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PC\Documents\Duoc\Año 2025\Segundo Semestre\BDY1101 - Base Datos I\Unidad 3\"/>
    </mc:Choice>
  </mc:AlternateContent>
  <bookViews>
    <workbookView xWindow="0" yWindow="0" windowWidth="23040" windowHeight="9264" firstSheet="4" activeTab="9"/>
  </bookViews>
  <sheets>
    <sheet name="Estructura" sheetId="24" r:id="rId1"/>
    <sheet name="REGIONES" sheetId="14" r:id="rId2"/>
    <sheet name="COMUNAS" sheetId="15" r:id="rId3"/>
    <sheet name="TIPOS_DOCUMENTO" sheetId="16" r:id="rId4"/>
    <sheet name="EMPLEADOS" sheetId="17" r:id="rId5"/>
    <sheet name="CLIENTES_BD" sheetId="18" r:id="rId6"/>
    <sheet name="PRODUCTOS" sheetId="19" r:id="rId7"/>
    <sheet name="PRECIOS_BD" sheetId="20" r:id="rId8"/>
    <sheet name="DOCUMENTOS" sheetId="23" r:id="rId9"/>
    <sheet name="DETALLE_DOCUMENTOS" sheetId="22" r:id="rId10"/>
    <sheet name="Ventas" sheetId="1" r:id="rId11"/>
    <sheet name="Clientes" sheetId="6" r:id="rId12"/>
    <sheet name="Precios" sheetId="8" r:id="rId13"/>
    <sheet name="Datos Maestros" sheetId="12" r:id="rId14"/>
    <sheet name="Productos - Inventario" sheetId="13" r:id="rId15"/>
  </sheets>
  <definedNames>
    <definedName name="_xlnm._FilterDatabase" localSheetId="11" hidden="1">Clientes!$A$2:$S$490</definedName>
    <definedName name="_xlnm._FilterDatabase" localSheetId="5" hidden="1">CLIENTES_BD!$A$17:$I$506</definedName>
    <definedName name="_xlnm._FilterDatabase" localSheetId="2" hidden="1">COMUNAS!$A$1:$D$347</definedName>
    <definedName name="_xlnm._FilterDatabase" localSheetId="9" hidden="1">DETALLE_DOCUMENTOS!$A$1:$L$3618</definedName>
    <definedName name="_xlnm._FilterDatabase" localSheetId="8" hidden="1">DOCUMENTOS!$A$4:$J$1635</definedName>
    <definedName name="_xlnm._FilterDatabase" localSheetId="4" hidden="1">EMPLEADOS!$A$1:$K$7</definedName>
    <definedName name="_xlnm._FilterDatabase" localSheetId="12" hidden="1">Precios!$A$1:$AB$388</definedName>
    <definedName name="_xlnm._FilterDatabase" localSheetId="6" hidden="1">PRODUCTOS!$A$1:$D$389</definedName>
    <definedName name="_xlnm._FilterDatabase" localSheetId="10" hidden="1">Ventas!$A$1:$AL$3631</definedName>
    <definedName name="Clientes">Clientes!$A$3:$A$643</definedName>
    <definedName name="Grupos">'Datos Maestros'!$K$2:$K$65</definedName>
    <definedName name="ListaProductos">Precios!$B$2:$B$836</definedName>
    <definedName name="Negocios">'Datos Maestros'!$P$2:$P$14</definedName>
    <definedName name="NombreProductos">'Productos - Inventario'!$A$1:$A$130</definedName>
    <definedName name="Pesos">'Datos Maestros'!$H$2:$H$9</definedName>
    <definedName name="Productos">'Datos Maestros'!$J$2:$J$65</definedName>
    <definedName name="ProductosInventario">'Productos - Inventario'!$A$2:$A$130</definedName>
    <definedName name="Proveedores">'Datos Maestros'!$A$2:$A$17</definedName>
    <definedName name="StatusEntrega">'Datos Maestros'!$R$2:$R$15</definedName>
    <definedName name="StatusPago">'Datos Maestros'!$T$2:$T$16</definedName>
    <definedName name="Unidades">'Datos Maestros'!$F$2:$F$7</definedName>
    <definedName name="Vendedores">'Datos Maestros'!$C$2:$C$23</definedName>
    <definedName name="Z_D3B1F023_19BB_464F_8A3D_FE308F3C83C4_.wvu.FilterData" localSheetId="13" hidden="1">'Datos Maestros'!$J$1:$K$46</definedName>
    <definedName name="Z_D3B1F023_19BB_464F_8A3D_FE308F3C83C4_.wvu.FilterData" localSheetId="12" hidden="1">Precios!$A$1:$Y$306</definedName>
    <definedName name="Z_D3B1F023_19BB_464F_8A3D_FE308F3C83C4_.wvu.FilterData" localSheetId="10" hidden="1">Ventas!$A$1:$AC$4344</definedName>
  </definedNames>
  <calcPr calcId="152511"/>
  <customWorkbookViews>
    <customWorkbookView name="Filtro 1" guid="{D3B1F023-19BB-464F-8A3D-FE308F3C83C4}" maximized="1" windowWidth="0" windowHeight="0" activeSheetId="0"/>
  </customWorkbookViews>
  <pivotCaches>
    <pivotCache cacheId="2" r:id="rId16"/>
  </pivotCaches>
</workbook>
</file>

<file path=xl/calcChain.xml><?xml version="1.0" encoding="utf-8"?>
<calcChain xmlns="http://schemas.openxmlformats.org/spreadsheetml/2006/main">
  <c r="L2" i="22" l="1"/>
  <c r="L3" i="22"/>
  <c r="L4" i="22"/>
  <c r="L5" i="22"/>
  <c r="L6" i="22"/>
  <c r="L7" i="22"/>
  <c r="L8" i="22"/>
  <c r="L9" i="22"/>
  <c r="L10" i="22"/>
  <c r="L11" i="22"/>
  <c r="L12" i="22"/>
  <c r="L13" i="22"/>
  <c r="L14" i="22"/>
  <c r="L15" i="22"/>
  <c r="L16" i="22"/>
  <c r="L17" i="22"/>
  <c r="L18" i="22"/>
  <c r="L19" i="22"/>
  <c r="L20" i="22"/>
  <c r="L21" i="22"/>
  <c r="L22" i="22"/>
  <c r="L23" i="22"/>
  <c r="L24" i="22"/>
  <c r="L25" i="22"/>
  <c r="L26" i="22"/>
  <c r="L27" i="22"/>
  <c r="L28" i="22"/>
  <c r="L29" i="22"/>
  <c r="L30" i="22"/>
  <c r="L31" i="22"/>
  <c r="L32" i="22"/>
  <c r="L33" i="22"/>
  <c r="L34" i="22"/>
  <c r="L35" i="22"/>
  <c r="L36" i="22"/>
  <c r="L37" i="22"/>
  <c r="L38" i="22"/>
  <c r="L39" i="22"/>
  <c r="L40" i="22"/>
  <c r="L41" i="22"/>
  <c r="L42" i="22"/>
  <c r="L43" i="22"/>
  <c r="L44" i="22"/>
  <c r="L45" i="22"/>
  <c r="L46" i="22"/>
  <c r="L47" i="22"/>
  <c r="L48" i="22"/>
  <c r="L49" i="22"/>
  <c r="L50" i="22"/>
  <c r="L51" i="22"/>
  <c r="L52" i="22"/>
  <c r="L53" i="22"/>
  <c r="L54" i="22"/>
  <c r="L55" i="22"/>
  <c r="L56" i="22"/>
  <c r="L57" i="22"/>
  <c r="L58" i="22"/>
  <c r="L59" i="22"/>
  <c r="L60" i="22"/>
  <c r="L61" i="22"/>
  <c r="L62" i="22"/>
  <c r="L63" i="22"/>
  <c r="L64" i="22"/>
  <c r="L65" i="22"/>
  <c r="L66" i="22"/>
  <c r="L67" i="22"/>
  <c r="L68" i="22"/>
  <c r="L69" i="22"/>
  <c r="L70" i="22"/>
  <c r="L71" i="22"/>
  <c r="L72" i="22"/>
  <c r="L73" i="22"/>
  <c r="L74" i="22"/>
  <c r="L75" i="22"/>
  <c r="L76" i="22"/>
  <c r="L77" i="22"/>
  <c r="L78" i="22"/>
  <c r="L79" i="22"/>
  <c r="L80" i="22"/>
  <c r="L81" i="22"/>
  <c r="L82" i="22"/>
  <c r="L83" i="22"/>
  <c r="L84" i="22"/>
  <c r="L85" i="22"/>
  <c r="L86" i="22"/>
  <c r="L87" i="22"/>
  <c r="L88" i="22"/>
  <c r="L89" i="22"/>
  <c r="L90" i="22"/>
  <c r="L91" i="22"/>
  <c r="L92" i="22"/>
  <c r="L93" i="22"/>
  <c r="L94" i="22"/>
  <c r="L95" i="22"/>
  <c r="L96" i="22"/>
  <c r="L97" i="22"/>
  <c r="L98" i="22"/>
  <c r="L99" i="22"/>
  <c r="L100" i="22"/>
  <c r="L101" i="22"/>
  <c r="L102" i="22"/>
  <c r="L103" i="22"/>
  <c r="L104" i="22"/>
  <c r="L105" i="22"/>
  <c r="L106" i="22"/>
  <c r="L107" i="22"/>
  <c r="L108" i="22"/>
  <c r="L109" i="22"/>
  <c r="L110" i="22"/>
  <c r="L111" i="22"/>
  <c r="L112" i="22"/>
  <c r="L113" i="22"/>
  <c r="L114" i="22"/>
  <c r="L115" i="22"/>
  <c r="L116" i="22"/>
  <c r="L117" i="22"/>
  <c r="L118" i="22"/>
  <c r="L119" i="22"/>
  <c r="L120" i="22"/>
  <c r="L121" i="22"/>
  <c r="L122" i="22"/>
  <c r="L123" i="22"/>
  <c r="L124" i="22"/>
  <c r="L125" i="22"/>
  <c r="L126" i="22"/>
  <c r="L127" i="22"/>
  <c r="L128" i="22"/>
  <c r="L129" i="22"/>
  <c r="L130" i="22"/>
  <c r="L131" i="22"/>
  <c r="L132" i="22"/>
  <c r="L133" i="22"/>
  <c r="L134" i="22"/>
  <c r="L135" i="22"/>
  <c r="L136" i="22"/>
  <c r="L137" i="22"/>
  <c r="L138" i="22"/>
  <c r="L139" i="22"/>
  <c r="L140" i="22"/>
  <c r="L141" i="22"/>
  <c r="L142" i="22"/>
  <c r="L143" i="22"/>
  <c r="L144" i="22"/>
  <c r="L145" i="22"/>
  <c r="L146" i="22"/>
  <c r="L147" i="22"/>
  <c r="L148" i="22"/>
  <c r="L149" i="22"/>
  <c r="L150" i="22"/>
  <c r="L151" i="22"/>
  <c r="L152" i="22"/>
  <c r="L153" i="22"/>
  <c r="L154" i="22"/>
  <c r="L155" i="22"/>
  <c r="L156" i="22"/>
  <c r="L157" i="22"/>
  <c r="L158" i="22"/>
  <c r="L159" i="22"/>
  <c r="L160" i="22"/>
  <c r="L161" i="22"/>
  <c r="L162" i="22"/>
  <c r="L163" i="22"/>
  <c r="L164" i="22"/>
  <c r="L165" i="22"/>
  <c r="L166" i="22"/>
  <c r="L167" i="22"/>
  <c r="L168" i="22"/>
  <c r="L169" i="22"/>
  <c r="L170" i="22"/>
  <c r="L171" i="22"/>
  <c r="L172" i="22"/>
  <c r="L173" i="22"/>
  <c r="L174" i="22"/>
  <c r="L175" i="22"/>
  <c r="L176" i="22"/>
  <c r="L177" i="22"/>
  <c r="L178" i="22"/>
  <c r="L179" i="22"/>
  <c r="L180" i="22"/>
  <c r="L181" i="22"/>
  <c r="L182" i="22"/>
  <c r="L183" i="22"/>
  <c r="L184" i="22"/>
  <c r="L185" i="22"/>
  <c r="L186" i="22"/>
  <c r="L187" i="22"/>
  <c r="L188" i="22"/>
  <c r="L189" i="22"/>
  <c r="L190" i="22"/>
  <c r="L191" i="22"/>
  <c r="L192" i="22"/>
  <c r="L193" i="22"/>
  <c r="L194" i="22"/>
  <c r="L195" i="22"/>
  <c r="L196" i="22"/>
  <c r="L197" i="22"/>
  <c r="L198" i="22"/>
  <c r="L199" i="22"/>
  <c r="L200" i="22"/>
  <c r="L201" i="22"/>
  <c r="L202" i="22"/>
  <c r="L203" i="22"/>
  <c r="L204" i="22"/>
  <c r="L205" i="22"/>
  <c r="L206" i="22"/>
  <c r="L207" i="22"/>
  <c r="L208" i="22"/>
  <c r="L209" i="22"/>
  <c r="L210" i="22"/>
  <c r="L211" i="22"/>
  <c r="L212" i="22"/>
  <c r="L213" i="22"/>
  <c r="L214" i="22"/>
  <c r="L215" i="22"/>
  <c r="L216" i="22"/>
  <c r="L217" i="22"/>
  <c r="L218" i="22"/>
  <c r="L219" i="22"/>
  <c r="L220" i="22"/>
  <c r="L221" i="22"/>
  <c r="L222" i="22"/>
  <c r="L223" i="22"/>
  <c r="L224" i="22"/>
  <c r="L225" i="22"/>
  <c r="L226" i="22"/>
  <c r="L227" i="22"/>
  <c r="L228" i="22"/>
  <c r="L229" i="22"/>
  <c r="L230" i="22"/>
  <c r="L231" i="22"/>
  <c r="L232" i="22"/>
  <c r="L233" i="22"/>
  <c r="L234" i="22"/>
  <c r="L235" i="22"/>
  <c r="L236" i="22"/>
  <c r="L237" i="22"/>
  <c r="L238" i="22"/>
  <c r="L239" i="22"/>
  <c r="L240" i="22"/>
  <c r="L241" i="22"/>
  <c r="L242" i="22"/>
  <c r="L243" i="22"/>
  <c r="L244" i="22"/>
  <c r="L245" i="22"/>
  <c r="L246" i="22"/>
  <c r="L247" i="22"/>
  <c r="L248" i="22"/>
  <c r="L249" i="22"/>
  <c r="L250" i="22"/>
  <c r="L251" i="22"/>
  <c r="L252" i="22"/>
  <c r="L253" i="22"/>
  <c r="L254" i="22"/>
  <c r="L255" i="22"/>
  <c r="L256" i="22"/>
  <c r="L257" i="22"/>
  <c r="L258" i="22"/>
  <c r="L259" i="22"/>
  <c r="L260" i="22"/>
  <c r="L261" i="22"/>
  <c r="L262" i="22"/>
  <c r="L263" i="22"/>
  <c r="L264" i="22"/>
  <c r="L265" i="22"/>
  <c r="L266" i="22"/>
  <c r="L267" i="22"/>
  <c r="L268" i="22"/>
  <c r="L269" i="22"/>
  <c r="L270" i="22"/>
  <c r="L271" i="22"/>
  <c r="L272" i="22"/>
  <c r="L273" i="22"/>
  <c r="L274" i="22"/>
  <c r="L275" i="22"/>
  <c r="L276" i="22"/>
  <c r="L277" i="22"/>
  <c r="L278" i="22"/>
  <c r="L279" i="22"/>
  <c r="L280" i="22"/>
  <c r="L281" i="22"/>
  <c r="L282" i="22"/>
  <c r="L283" i="22"/>
  <c r="L284" i="22"/>
  <c r="L285" i="22"/>
  <c r="L286" i="22"/>
  <c r="L287" i="22"/>
  <c r="L288" i="22"/>
  <c r="L289" i="22"/>
  <c r="L290" i="22"/>
  <c r="L291" i="22"/>
  <c r="L292" i="22"/>
  <c r="L293" i="22"/>
  <c r="L294" i="22"/>
  <c r="L295" i="22"/>
  <c r="L296" i="22"/>
  <c r="L297" i="22"/>
  <c r="L298" i="22"/>
  <c r="L299" i="22"/>
  <c r="L300" i="22"/>
  <c r="L301" i="22"/>
  <c r="L302" i="22"/>
  <c r="L303" i="22"/>
  <c r="L304" i="22"/>
  <c r="L305" i="22"/>
  <c r="L306" i="22"/>
  <c r="L307" i="22"/>
  <c r="L308" i="22"/>
  <c r="L309" i="22"/>
  <c r="L310" i="22"/>
  <c r="L311" i="22"/>
  <c r="L312" i="22"/>
  <c r="L313" i="22"/>
  <c r="L314" i="22"/>
  <c r="L315" i="22"/>
  <c r="L316" i="22"/>
  <c r="L317" i="22"/>
  <c r="L318" i="22"/>
  <c r="L319" i="22"/>
  <c r="L320" i="22"/>
  <c r="L321" i="22"/>
  <c r="L322" i="22"/>
  <c r="L323" i="22"/>
  <c r="L324" i="22"/>
  <c r="L325" i="22"/>
  <c r="L326" i="22"/>
  <c r="L327" i="22"/>
  <c r="L328" i="22"/>
  <c r="L329" i="22"/>
  <c r="L330" i="22"/>
  <c r="L331" i="22"/>
  <c r="L332" i="22"/>
  <c r="L333" i="22"/>
  <c r="L334" i="22"/>
  <c r="L335" i="22"/>
  <c r="L336" i="22"/>
  <c r="L337" i="22"/>
  <c r="L338" i="22"/>
  <c r="L339" i="22"/>
  <c r="L340" i="22"/>
  <c r="L341" i="22"/>
  <c r="L342" i="22"/>
  <c r="L343" i="22"/>
  <c r="L344" i="22"/>
  <c r="L345" i="22"/>
  <c r="L346" i="22"/>
  <c r="L347" i="22"/>
  <c r="L348" i="22"/>
  <c r="L349" i="22"/>
  <c r="L350" i="22"/>
  <c r="L351" i="22"/>
  <c r="L352" i="22"/>
  <c r="L353" i="22"/>
  <c r="L354" i="22"/>
  <c r="L355" i="22"/>
  <c r="L356" i="22"/>
  <c r="L357" i="22"/>
  <c r="L358" i="22"/>
  <c r="L359" i="22"/>
  <c r="L360" i="22"/>
  <c r="L361" i="22"/>
  <c r="L362" i="22"/>
  <c r="L363" i="22"/>
  <c r="L364" i="22"/>
  <c r="L365" i="22"/>
  <c r="L366" i="22"/>
  <c r="L367" i="22"/>
  <c r="L368" i="22"/>
  <c r="L369" i="22"/>
  <c r="L370" i="22"/>
  <c r="L371" i="22"/>
  <c r="L372" i="22"/>
  <c r="L373" i="22"/>
  <c r="L374" i="22"/>
  <c r="L375" i="22"/>
  <c r="L376" i="22"/>
  <c r="L377" i="22"/>
  <c r="L378" i="22"/>
  <c r="L379" i="22"/>
  <c r="L380" i="22"/>
  <c r="L381" i="22"/>
  <c r="L382" i="22"/>
  <c r="L383" i="22"/>
  <c r="L384" i="22"/>
  <c r="L385" i="22"/>
  <c r="L386" i="22"/>
  <c r="L387" i="22"/>
  <c r="L388" i="22"/>
  <c r="L389" i="22"/>
  <c r="L390" i="22"/>
  <c r="L391" i="22"/>
  <c r="L392" i="22"/>
  <c r="L393" i="22"/>
  <c r="L394" i="22"/>
  <c r="L395" i="22"/>
  <c r="L396" i="22"/>
  <c r="L397" i="22"/>
  <c r="L398" i="22"/>
  <c r="L399" i="22"/>
  <c r="L400" i="22"/>
  <c r="L401" i="22"/>
  <c r="L402" i="22"/>
  <c r="L403" i="22"/>
  <c r="L404" i="22"/>
  <c r="L405" i="22"/>
  <c r="L406" i="22"/>
  <c r="L407" i="22"/>
  <c r="L408" i="22"/>
  <c r="L409" i="22"/>
  <c r="L410" i="22"/>
  <c r="L411" i="22"/>
  <c r="L412" i="22"/>
  <c r="L413" i="22"/>
  <c r="L414" i="22"/>
  <c r="L415" i="22"/>
  <c r="L416" i="22"/>
  <c r="L417" i="22"/>
  <c r="L418" i="22"/>
  <c r="L419" i="22"/>
  <c r="L420" i="22"/>
  <c r="L421" i="22"/>
  <c r="L422" i="22"/>
  <c r="L423" i="22"/>
  <c r="L424" i="22"/>
  <c r="L425" i="22"/>
  <c r="L426" i="22"/>
  <c r="L427" i="22"/>
  <c r="L428" i="22"/>
  <c r="L429" i="22"/>
  <c r="L430" i="22"/>
  <c r="L431" i="22"/>
  <c r="L432" i="22"/>
  <c r="L433" i="22"/>
  <c r="L434" i="22"/>
  <c r="L435" i="22"/>
  <c r="L436" i="22"/>
  <c r="L437" i="22"/>
  <c r="L438" i="22"/>
  <c r="L439" i="22"/>
  <c r="L440" i="22"/>
  <c r="L441" i="22"/>
  <c r="L442" i="22"/>
  <c r="L443" i="22"/>
  <c r="L444" i="22"/>
  <c r="L445" i="22"/>
  <c r="L446" i="22"/>
  <c r="L447" i="22"/>
  <c r="L448" i="22"/>
  <c r="L449" i="22"/>
  <c r="L450" i="22"/>
  <c r="L451" i="22"/>
  <c r="L452" i="22"/>
  <c r="L453" i="22"/>
  <c r="L454" i="22"/>
  <c r="L455" i="22"/>
  <c r="L456" i="22"/>
  <c r="L457" i="22"/>
  <c r="L458" i="22"/>
  <c r="L459" i="22"/>
  <c r="L460" i="22"/>
  <c r="L461" i="22"/>
  <c r="L462" i="22"/>
  <c r="L463" i="22"/>
  <c r="L464" i="22"/>
  <c r="L465" i="22"/>
  <c r="L466" i="22"/>
  <c r="L467" i="22"/>
  <c r="L468" i="22"/>
  <c r="L469" i="22"/>
  <c r="L470" i="22"/>
  <c r="L471" i="22"/>
  <c r="L472" i="22"/>
  <c r="L473" i="22"/>
  <c r="L474" i="22"/>
  <c r="L475" i="22"/>
  <c r="L476" i="22"/>
  <c r="L477" i="22"/>
  <c r="L478" i="22"/>
  <c r="L479" i="22"/>
  <c r="L480" i="22"/>
  <c r="L481" i="22"/>
  <c r="L482" i="22"/>
  <c r="L483" i="22"/>
  <c r="L484" i="22"/>
  <c r="L485" i="22"/>
  <c r="L486" i="22"/>
  <c r="L487" i="22"/>
  <c r="L488" i="22"/>
  <c r="L489" i="22"/>
  <c r="L490" i="22"/>
  <c r="L491" i="22"/>
  <c r="L492" i="22"/>
  <c r="L493" i="22"/>
  <c r="L494" i="22"/>
  <c r="L495" i="22"/>
  <c r="L496" i="22"/>
  <c r="L497" i="22"/>
  <c r="L498" i="22"/>
  <c r="L499" i="22"/>
  <c r="L500" i="22"/>
  <c r="L501" i="22"/>
  <c r="L502" i="22"/>
  <c r="L503" i="22"/>
  <c r="L504" i="22"/>
  <c r="L505" i="22"/>
  <c r="L506" i="22"/>
  <c r="L507" i="22"/>
  <c r="L508" i="22"/>
  <c r="L509" i="22"/>
  <c r="L510" i="22"/>
  <c r="L511" i="22"/>
  <c r="L512" i="22"/>
  <c r="L513" i="22"/>
  <c r="L514" i="22"/>
  <c r="L515" i="22"/>
  <c r="L516" i="22"/>
  <c r="L517" i="22"/>
  <c r="L518" i="22"/>
  <c r="L519" i="22"/>
  <c r="L520" i="22"/>
  <c r="L521" i="22"/>
  <c r="L522" i="22"/>
  <c r="L523" i="22"/>
  <c r="L524" i="22"/>
  <c r="L525" i="22"/>
  <c r="L526" i="22"/>
  <c r="L527" i="22"/>
  <c r="L528" i="22"/>
  <c r="L529" i="22"/>
  <c r="L530" i="22"/>
  <c r="L531" i="22"/>
  <c r="L532" i="22"/>
  <c r="L533" i="22"/>
  <c r="L534" i="22"/>
  <c r="L535" i="22"/>
  <c r="L536" i="22"/>
  <c r="L537" i="22"/>
  <c r="L538" i="22"/>
  <c r="L539" i="22"/>
  <c r="L540" i="22"/>
  <c r="L541" i="22"/>
  <c r="L542" i="22"/>
  <c r="L543" i="22"/>
  <c r="L544" i="22"/>
  <c r="L545" i="22"/>
  <c r="L546" i="22"/>
  <c r="L547" i="22"/>
  <c r="L548" i="22"/>
  <c r="L549" i="22"/>
  <c r="L550" i="22"/>
  <c r="L551" i="22"/>
  <c r="L552" i="22"/>
  <c r="L553" i="22"/>
  <c r="L554" i="22"/>
  <c r="L555" i="22"/>
  <c r="L556" i="22"/>
  <c r="L557" i="22"/>
  <c r="L558" i="22"/>
  <c r="L559" i="22"/>
  <c r="L560" i="22"/>
  <c r="L561" i="22"/>
  <c r="L562" i="22"/>
  <c r="L563" i="22"/>
  <c r="L564" i="22"/>
  <c r="L565" i="22"/>
  <c r="L566" i="22"/>
  <c r="L567" i="22"/>
  <c r="L568" i="22"/>
  <c r="L569" i="22"/>
  <c r="L570" i="22"/>
  <c r="L571" i="22"/>
  <c r="L572" i="22"/>
  <c r="L573" i="22"/>
  <c r="L574" i="22"/>
  <c r="L575" i="22"/>
  <c r="L576" i="22"/>
  <c r="L577" i="22"/>
  <c r="L578" i="22"/>
  <c r="L579" i="22"/>
  <c r="L580" i="22"/>
  <c r="L581" i="22"/>
  <c r="L582" i="22"/>
  <c r="L583" i="22"/>
  <c r="L584" i="22"/>
  <c r="L585" i="22"/>
  <c r="L586" i="22"/>
  <c r="L587" i="22"/>
  <c r="L588" i="22"/>
  <c r="L589" i="22"/>
  <c r="L590" i="22"/>
  <c r="L591" i="22"/>
  <c r="L592" i="22"/>
  <c r="L593" i="22"/>
  <c r="L594" i="22"/>
  <c r="L595" i="22"/>
  <c r="L596" i="22"/>
  <c r="L597" i="22"/>
  <c r="L598" i="22"/>
  <c r="L599" i="22"/>
  <c r="L600" i="22"/>
  <c r="L601" i="22"/>
  <c r="L602" i="22"/>
  <c r="L603" i="22"/>
  <c r="L604" i="22"/>
  <c r="L605" i="22"/>
  <c r="L606" i="22"/>
  <c r="L607" i="22"/>
  <c r="L608" i="22"/>
  <c r="L609" i="22"/>
  <c r="L610" i="22"/>
  <c r="L611" i="22"/>
  <c r="L612" i="22"/>
  <c r="L613" i="22"/>
  <c r="L614" i="22"/>
  <c r="L615" i="22"/>
  <c r="L616" i="22"/>
  <c r="L617" i="22"/>
  <c r="L618" i="22"/>
  <c r="L619" i="22"/>
  <c r="L620" i="22"/>
  <c r="L621" i="22"/>
  <c r="L622" i="22"/>
  <c r="L623" i="22"/>
  <c r="L624" i="22"/>
  <c r="L625" i="22"/>
  <c r="L626" i="22"/>
  <c r="L627" i="22"/>
  <c r="L628" i="22"/>
  <c r="L629" i="22"/>
  <c r="L630" i="22"/>
  <c r="L631" i="22"/>
  <c r="L632" i="22"/>
  <c r="L633" i="22"/>
  <c r="L634" i="22"/>
  <c r="L635" i="22"/>
  <c r="L636" i="22"/>
  <c r="L637" i="22"/>
  <c r="L638" i="22"/>
  <c r="L639" i="22"/>
  <c r="L640" i="22"/>
  <c r="L641" i="22"/>
  <c r="L642" i="22"/>
  <c r="L643" i="22"/>
  <c r="L644" i="22"/>
  <c r="L645" i="22"/>
  <c r="L646" i="22"/>
  <c r="L647" i="22"/>
  <c r="L648" i="22"/>
  <c r="L649" i="22"/>
  <c r="L650" i="22"/>
  <c r="L651" i="22"/>
  <c r="L652" i="22"/>
  <c r="L653" i="22"/>
  <c r="L654" i="22"/>
  <c r="L655" i="22"/>
  <c r="L656" i="22"/>
  <c r="L657" i="22"/>
  <c r="L658" i="22"/>
  <c r="L659" i="22"/>
  <c r="L660" i="22"/>
  <c r="L661" i="22"/>
  <c r="L662" i="22"/>
  <c r="L663" i="22"/>
  <c r="L664" i="22"/>
  <c r="L665" i="22"/>
  <c r="L666" i="22"/>
  <c r="L667" i="22"/>
  <c r="L668" i="22"/>
  <c r="L669" i="22"/>
  <c r="L670" i="22"/>
  <c r="L671" i="22"/>
  <c r="L672" i="22"/>
  <c r="L673" i="22"/>
  <c r="L674" i="22"/>
  <c r="L675" i="22"/>
  <c r="L676" i="22"/>
  <c r="L677" i="22"/>
  <c r="L678" i="22"/>
  <c r="L679" i="22"/>
  <c r="L680" i="22"/>
  <c r="L681" i="22"/>
  <c r="L682" i="22"/>
  <c r="L683" i="22"/>
  <c r="L684" i="22"/>
  <c r="L685" i="22"/>
  <c r="L686" i="22"/>
  <c r="L687" i="22"/>
  <c r="L688" i="22"/>
  <c r="L689" i="22"/>
  <c r="L690" i="22"/>
  <c r="L691" i="22"/>
  <c r="L692" i="22"/>
  <c r="L693" i="22"/>
  <c r="L694" i="22"/>
  <c r="L695" i="22"/>
  <c r="L696" i="22"/>
  <c r="L697" i="22"/>
  <c r="L698" i="22"/>
  <c r="L699" i="22"/>
  <c r="L700" i="22"/>
  <c r="L701" i="22"/>
  <c r="L702" i="22"/>
  <c r="L703" i="22"/>
  <c r="L704" i="22"/>
  <c r="L705" i="22"/>
  <c r="L706" i="22"/>
  <c r="L707" i="22"/>
  <c r="L708" i="22"/>
  <c r="L709" i="22"/>
  <c r="L710" i="22"/>
  <c r="L711" i="22"/>
  <c r="L712" i="22"/>
  <c r="L713" i="22"/>
  <c r="L714" i="22"/>
  <c r="L715" i="22"/>
  <c r="L716" i="22"/>
  <c r="L717" i="22"/>
  <c r="L718" i="22"/>
  <c r="L719" i="22"/>
  <c r="L720" i="22"/>
  <c r="L721" i="22"/>
  <c r="L722" i="22"/>
  <c r="L723" i="22"/>
  <c r="L724" i="22"/>
  <c r="L725" i="22"/>
  <c r="L726" i="22"/>
  <c r="L727" i="22"/>
  <c r="L728" i="22"/>
  <c r="L729" i="22"/>
  <c r="L730" i="22"/>
  <c r="L731" i="22"/>
  <c r="L732" i="22"/>
  <c r="L733" i="22"/>
  <c r="L734" i="22"/>
  <c r="L735" i="22"/>
  <c r="L736" i="22"/>
  <c r="L737" i="22"/>
  <c r="L738" i="22"/>
  <c r="L739" i="22"/>
  <c r="L740" i="22"/>
  <c r="L741" i="22"/>
  <c r="L742" i="22"/>
  <c r="L743" i="22"/>
  <c r="L744" i="22"/>
  <c r="L745" i="22"/>
  <c r="L746" i="22"/>
  <c r="L747" i="22"/>
  <c r="L748" i="22"/>
  <c r="L749" i="22"/>
  <c r="L750" i="22"/>
  <c r="L751" i="22"/>
  <c r="L752" i="22"/>
  <c r="L753" i="22"/>
  <c r="L754" i="22"/>
  <c r="L755" i="22"/>
  <c r="L756" i="22"/>
  <c r="L757" i="22"/>
  <c r="L758" i="22"/>
  <c r="L759" i="22"/>
  <c r="L760" i="22"/>
  <c r="L761" i="22"/>
  <c r="L762" i="22"/>
  <c r="L763" i="22"/>
  <c r="L764" i="22"/>
  <c r="L765" i="22"/>
  <c r="L766" i="22"/>
  <c r="L767" i="22"/>
  <c r="L768" i="22"/>
  <c r="L769" i="22"/>
  <c r="L770" i="22"/>
  <c r="L771" i="22"/>
  <c r="L772" i="22"/>
  <c r="L773" i="22"/>
  <c r="L774" i="22"/>
  <c r="L775" i="22"/>
  <c r="L776" i="22"/>
  <c r="L777" i="22"/>
  <c r="L778" i="22"/>
  <c r="L779" i="22"/>
  <c r="L780" i="22"/>
  <c r="L781" i="22"/>
  <c r="L782" i="22"/>
  <c r="L783" i="22"/>
  <c r="L784" i="22"/>
  <c r="L785" i="22"/>
  <c r="L786" i="22"/>
  <c r="L787" i="22"/>
  <c r="L788" i="22"/>
  <c r="L789" i="22"/>
  <c r="L790" i="22"/>
  <c r="L791" i="22"/>
  <c r="L792" i="22"/>
  <c r="L793" i="22"/>
  <c r="L794" i="22"/>
  <c r="L795" i="22"/>
  <c r="L796" i="22"/>
  <c r="L797" i="22"/>
  <c r="L798" i="22"/>
  <c r="L799" i="22"/>
  <c r="L800" i="22"/>
  <c r="L801" i="22"/>
  <c r="L802" i="22"/>
  <c r="L803" i="22"/>
  <c r="L804" i="22"/>
  <c r="L805" i="22"/>
  <c r="L806" i="22"/>
  <c r="L807" i="22"/>
  <c r="L808" i="22"/>
  <c r="L809" i="22"/>
  <c r="L810" i="22"/>
  <c r="L811" i="22"/>
  <c r="L812" i="22"/>
  <c r="L813" i="22"/>
  <c r="L814" i="22"/>
  <c r="L815" i="22"/>
  <c r="L816" i="22"/>
  <c r="L817" i="22"/>
  <c r="L818" i="22"/>
  <c r="L819" i="22"/>
  <c r="L820" i="22"/>
  <c r="L821" i="22"/>
  <c r="L822" i="22"/>
  <c r="L823" i="22"/>
  <c r="L824" i="22"/>
  <c r="L825" i="22"/>
  <c r="L826" i="22"/>
  <c r="L827" i="22"/>
  <c r="L828" i="22"/>
  <c r="L829" i="22"/>
  <c r="L830" i="22"/>
  <c r="L831" i="22"/>
  <c r="L832" i="22"/>
  <c r="L833" i="22"/>
  <c r="L834" i="22"/>
  <c r="L835" i="22"/>
  <c r="L836" i="22"/>
  <c r="L837" i="22"/>
  <c r="L838" i="22"/>
  <c r="L839" i="22"/>
  <c r="L840" i="22"/>
  <c r="L841" i="22"/>
  <c r="L842" i="22"/>
  <c r="L843" i="22"/>
  <c r="L844" i="22"/>
  <c r="L845" i="22"/>
  <c r="L846" i="22"/>
  <c r="L847" i="22"/>
  <c r="L848" i="22"/>
  <c r="L849" i="22"/>
  <c r="L850" i="22"/>
  <c r="L851" i="22"/>
  <c r="L852" i="22"/>
  <c r="L853" i="22"/>
  <c r="L854" i="22"/>
  <c r="L855" i="22"/>
  <c r="L856" i="22"/>
  <c r="L857" i="22"/>
  <c r="L858" i="22"/>
  <c r="L859" i="22"/>
  <c r="L860" i="22"/>
  <c r="L861" i="22"/>
  <c r="L862" i="22"/>
  <c r="L863" i="22"/>
  <c r="L864" i="22"/>
  <c r="L865" i="22"/>
  <c r="L866" i="22"/>
  <c r="L867" i="22"/>
  <c r="L868" i="22"/>
  <c r="L869" i="22"/>
  <c r="L870" i="22"/>
  <c r="L871" i="22"/>
  <c r="L872" i="22"/>
  <c r="L873" i="22"/>
  <c r="L874" i="22"/>
  <c r="L875" i="22"/>
  <c r="L876" i="22"/>
  <c r="L877" i="22"/>
  <c r="L878" i="22"/>
  <c r="L879" i="22"/>
  <c r="L880" i="22"/>
  <c r="L881" i="22"/>
  <c r="L882" i="22"/>
  <c r="L883" i="22"/>
  <c r="L884" i="22"/>
  <c r="L885" i="22"/>
  <c r="L886" i="22"/>
  <c r="L887" i="22"/>
  <c r="L888" i="22"/>
  <c r="L889" i="22"/>
  <c r="L890" i="22"/>
  <c r="L891" i="22"/>
  <c r="L892" i="22"/>
  <c r="L893" i="22"/>
  <c r="L894" i="22"/>
  <c r="L895" i="22"/>
  <c r="L896" i="22"/>
  <c r="L897" i="22"/>
  <c r="L898" i="22"/>
  <c r="L899" i="22"/>
  <c r="L900" i="22"/>
  <c r="L901" i="22"/>
  <c r="L902" i="22"/>
  <c r="L903" i="22"/>
  <c r="L904" i="22"/>
  <c r="L905" i="22"/>
  <c r="L906" i="22"/>
  <c r="L907" i="22"/>
  <c r="L908" i="22"/>
  <c r="L909" i="22"/>
  <c r="L910" i="22"/>
  <c r="L911" i="22"/>
  <c r="L912" i="22"/>
  <c r="L913" i="22"/>
  <c r="L914" i="22"/>
  <c r="L915" i="22"/>
  <c r="L916" i="22"/>
  <c r="L917" i="22"/>
  <c r="L918" i="22"/>
  <c r="L919" i="22"/>
  <c r="L920" i="22"/>
  <c r="L921" i="22"/>
  <c r="L922" i="22"/>
  <c r="L923" i="22"/>
  <c r="L924" i="22"/>
  <c r="L925" i="22"/>
  <c r="L926" i="22"/>
  <c r="L927" i="22"/>
  <c r="L928" i="22"/>
  <c r="L929" i="22"/>
  <c r="L930" i="22"/>
  <c r="L931" i="22"/>
  <c r="L932" i="22"/>
  <c r="L933" i="22"/>
  <c r="L934" i="22"/>
  <c r="L935" i="22"/>
  <c r="L936" i="22"/>
  <c r="L937" i="22"/>
  <c r="L938" i="22"/>
  <c r="L939" i="22"/>
  <c r="L940" i="22"/>
  <c r="L941" i="22"/>
  <c r="L942" i="22"/>
  <c r="L943" i="22"/>
  <c r="L944" i="22"/>
  <c r="L945" i="22"/>
  <c r="L946" i="22"/>
  <c r="L947" i="22"/>
  <c r="L948" i="22"/>
  <c r="L949" i="22"/>
  <c r="L950" i="22"/>
  <c r="L951" i="22"/>
  <c r="L952" i="22"/>
  <c r="L953" i="22"/>
  <c r="L954" i="22"/>
  <c r="L955" i="22"/>
  <c r="L956" i="22"/>
  <c r="L957" i="22"/>
  <c r="L958" i="22"/>
  <c r="L959" i="22"/>
  <c r="L960" i="22"/>
  <c r="L961" i="22"/>
  <c r="L962" i="22"/>
  <c r="L963" i="22"/>
  <c r="L964" i="22"/>
  <c r="L965" i="22"/>
  <c r="L966" i="22"/>
  <c r="L967" i="22"/>
  <c r="L968" i="22"/>
  <c r="L969" i="22"/>
  <c r="L970" i="22"/>
  <c r="L971" i="22"/>
  <c r="L972" i="22"/>
  <c r="L973" i="22"/>
  <c r="L974" i="22"/>
  <c r="L975" i="22"/>
  <c r="L976" i="22"/>
  <c r="L977" i="22"/>
  <c r="L978" i="22"/>
  <c r="L979" i="22"/>
  <c r="L980" i="22"/>
  <c r="L981" i="22"/>
  <c r="L982" i="22"/>
  <c r="L983" i="22"/>
  <c r="L984" i="22"/>
  <c r="L985" i="22"/>
  <c r="L986" i="22"/>
  <c r="L987" i="22"/>
  <c r="L988" i="22"/>
  <c r="L989" i="22"/>
  <c r="L990" i="22"/>
  <c r="L991" i="22"/>
  <c r="L992" i="22"/>
  <c r="L993" i="22"/>
  <c r="L994" i="22"/>
  <c r="L995" i="22"/>
  <c r="L996" i="22"/>
  <c r="L997" i="22"/>
  <c r="L998" i="22"/>
  <c r="L999" i="22"/>
  <c r="L1000" i="22"/>
  <c r="L1001" i="22"/>
  <c r="L1002" i="22"/>
  <c r="L1003" i="22"/>
  <c r="L1004" i="22"/>
  <c r="L1005" i="22"/>
  <c r="L1006" i="22"/>
  <c r="L1007" i="22"/>
  <c r="L1008" i="22"/>
  <c r="L1009" i="22"/>
  <c r="L1010" i="22"/>
  <c r="L1011" i="22"/>
  <c r="L1012" i="22"/>
  <c r="L1013" i="22"/>
  <c r="L1014" i="22"/>
  <c r="L1015" i="22"/>
  <c r="L1016" i="22"/>
  <c r="L1017" i="22"/>
  <c r="L1018" i="22"/>
  <c r="L1019" i="22"/>
  <c r="L1020" i="22"/>
  <c r="L1021" i="22"/>
  <c r="L1022" i="22"/>
  <c r="L1023" i="22"/>
  <c r="L1024" i="22"/>
  <c r="L1025" i="22"/>
  <c r="L1026" i="22"/>
  <c r="L1027" i="22"/>
  <c r="L1028" i="22"/>
  <c r="L1029" i="22"/>
  <c r="L1030" i="22"/>
  <c r="L1031" i="22"/>
  <c r="L1032" i="22"/>
  <c r="L1033" i="22"/>
  <c r="L1034" i="22"/>
  <c r="L1035" i="22"/>
  <c r="L1036" i="22"/>
  <c r="L1037" i="22"/>
  <c r="L1038" i="22"/>
  <c r="L1039" i="22"/>
  <c r="L1040" i="22"/>
  <c r="L1041" i="22"/>
  <c r="L1042" i="22"/>
  <c r="L1043" i="22"/>
  <c r="L1044" i="22"/>
  <c r="L1045" i="22"/>
  <c r="L1046" i="22"/>
  <c r="L1047" i="22"/>
  <c r="L1048" i="22"/>
  <c r="L1049" i="22"/>
  <c r="L1050" i="22"/>
  <c r="L1051" i="22"/>
  <c r="L1052" i="22"/>
  <c r="L1053" i="22"/>
  <c r="L1054" i="22"/>
  <c r="L1055" i="22"/>
  <c r="L1056" i="22"/>
  <c r="L1057" i="22"/>
  <c r="L1058" i="22"/>
  <c r="L1059" i="22"/>
  <c r="L1060" i="22"/>
  <c r="L1061" i="22"/>
  <c r="L1062" i="22"/>
  <c r="L1063" i="22"/>
  <c r="L1064" i="22"/>
  <c r="L1065" i="22"/>
  <c r="L1066" i="22"/>
  <c r="L1067" i="22"/>
  <c r="L1068" i="22"/>
  <c r="L1069" i="22"/>
  <c r="L1070" i="22"/>
  <c r="L1071" i="22"/>
  <c r="L1072" i="22"/>
  <c r="L1073" i="22"/>
  <c r="L1074" i="22"/>
  <c r="L1075" i="22"/>
  <c r="L1076" i="22"/>
  <c r="L1077" i="22"/>
  <c r="L1078" i="22"/>
  <c r="L1079" i="22"/>
  <c r="L1080" i="22"/>
  <c r="L1081" i="22"/>
  <c r="L1082" i="22"/>
  <c r="L1083" i="22"/>
  <c r="L1084" i="22"/>
  <c r="L1085" i="22"/>
  <c r="L1086" i="22"/>
  <c r="L1087" i="22"/>
  <c r="L1088" i="22"/>
  <c r="L1089" i="22"/>
  <c r="L1090" i="22"/>
  <c r="L1091" i="22"/>
  <c r="L1092" i="22"/>
  <c r="L1093" i="22"/>
  <c r="L1094" i="22"/>
  <c r="L1095" i="22"/>
  <c r="L1096" i="22"/>
  <c r="L1097" i="22"/>
  <c r="L1098" i="22"/>
  <c r="L1099" i="22"/>
  <c r="L1100" i="22"/>
  <c r="L1101" i="22"/>
  <c r="L1102" i="22"/>
  <c r="L1103" i="22"/>
  <c r="L1104" i="22"/>
  <c r="L1105" i="22"/>
  <c r="L1106" i="22"/>
  <c r="L1107" i="22"/>
  <c r="L1108" i="22"/>
  <c r="L1109" i="22"/>
  <c r="L1110" i="22"/>
  <c r="L1111" i="22"/>
  <c r="L1112" i="22"/>
  <c r="L1113" i="22"/>
  <c r="L1114" i="22"/>
  <c r="L1115" i="22"/>
  <c r="L1116" i="22"/>
  <c r="L1117" i="22"/>
  <c r="L1118" i="22"/>
  <c r="L1119" i="22"/>
  <c r="L1120" i="22"/>
  <c r="L1121" i="22"/>
  <c r="L1122" i="22"/>
  <c r="L1123" i="22"/>
  <c r="L1124" i="22"/>
  <c r="L1125" i="22"/>
  <c r="L1126" i="22"/>
  <c r="L1127" i="22"/>
  <c r="L1128" i="22"/>
  <c r="L1129" i="22"/>
  <c r="L1130" i="22"/>
  <c r="L1131" i="22"/>
  <c r="L1132" i="22"/>
  <c r="L1133" i="22"/>
  <c r="L1134" i="22"/>
  <c r="L1135" i="22"/>
  <c r="L1136" i="22"/>
  <c r="L1137" i="22"/>
  <c r="L1138" i="22"/>
  <c r="L1139" i="22"/>
  <c r="L1140" i="22"/>
  <c r="L1141" i="22"/>
  <c r="L1142" i="22"/>
  <c r="L1143" i="22"/>
  <c r="L1144" i="22"/>
  <c r="L1145" i="22"/>
  <c r="L1146" i="22"/>
  <c r="L1147" i="22"/>
  <c r="L1148" i="22"/>
  <c r="L1149" i="22"/>
  <c r="L1150" i="22"/>
  <c r="L1151" i="22"/>
  <c r="L1152" i="22"/>
  <c r="L1153" i="22"/>
  <c r="L1154" i="22"/>
  <c r="L1155" i="22"/>
  <c r="L1156" i="22"/>
  <c r="L1157" i="22"/>
  <c r="L1158" i="22"/>
  <c r="L1159" i="22"/>
  <c r="L1160" i="22"/>
  <c r="L1161" i="22"/>
  <c r="L1162" i="22"/>
  <c r="L1163" i="22"/>
  <c r="L1164" i="22"/>
  <c r="L1165" i="22"/>
  <c r="L1166" i="22"/>
  <c r="L1167" i="22"/>
  <c r="L1168" i="22"/>
  <c r="L1169" i="22"/>
  <c r="L1170" i="22"/>
  <c r="L1171" i="22"/>
  <c r="L1172" i="22"/>
  <c r="L1173" i="22"/>
  <c r="L1174" i="22"/>
  <c r="L1175" i="22"/>
  <c r="L1176" i="22"/>
  <c r="L1177" i="22"/>
  <c r="L1178" i="22"/>
  <c r="L1179" i="22"/>
  <c r="L1180" i="22"/>
  <c r="L1181" i="22"/>
  <c r="L1182" i="22"/>
  <c r="L1183" i="22"/>
  <c r="L1184" i="22"/>
  <c r="L1185" i="22"/>
  <c r="L1186" i="22"/>
  <c r="L1187" i="22"/>
  <c r="L1188" i="22"/>
  <c r="L1189" i="22"/>
  <c r="L1190" i="22"/>
  <c r="L1191" i="22"/>
  <c r="L1192" i="22"/>
  <c r="L1193" i="22"/>
  <c r="L1194" i="22"/>
  <c r="L1195" i="22"/>
  <c r="L1196" i="22"/>
  <c r="L1197" i="22"/>
  <c r="L1198" i="22"/>
  <c r="L1199" i="22"/>
  <c r="L1200" i="22"/>
  <c r="L1201" i="22"/>
  <c r="L1202" i="22"/>
  <c r="L1203" i="22"/>
  <c r="L1204" i="22"/>
  <c r="L1205" i="22"/>
  <c r="L1206" i="22"/>
  <c r="L1207" i="22"/>
  <c r="L1208" i="22"/>
  <c r="L1209" i="22"/>
  <c r="L1210" i="22"/>
  <c r="L1211" i="22"/>
  <c r="L1212" i="22"/>
  <c r="L1213" i="22"/>
  <c r="L1214" i="22"/>
  <c r="L1215" i="22"/>
  <c r="L1216" i="22"/>
  <c r="L1217" i="22"/>
  <c r="L1218" i="22"/>
  <c r="L1219" i="22"/>
  <c r="L1220" i="22"/>
  <c r="L1221" i="22"/>
  <c r="L1222" i="22"/>
  <c r="L1223" i="22"/>
  <c r="L1224" i="22"/>
  <c r="L1225" i="22"/>
  <c r="L1226" i="22"/>
  <c r="L1227" i="22"/>
  <c r="L1228" i="22"/>
  <c r="L1229" i="22"/>
  <c r="L1230" i="22"/>
  <c r="L1231" i="22"/>
  <c r="L1232" i="22"/>
  <c r="L1233" i="22"/>
  <c r="L1234" i="22"/>
  <c r="L1235" i="22"/>
  <c r="L1236" i="22"/>
  <c r="L1237" i="22"/>
  <c r="L1238" i="22"/>
  <c r="L1239" i="22"/>
  <c r="L1240" i="22"/>
  <c r="L1241" i="22"/>
  <c r="L1242" i="22"/>
  <c r="L1243" i="22"/>
  <c r="L1244" i="22"/>
  <c r="L1245" i="22"/>
  <c r="L1246" i="22"/>
  <c r="L1247" i="22"/>
  <c r="L1248" i="22"/>
  <c r="L1249" i="22"/>
  <c r="L1250" i="22"/>
  <c r="L1251" i="22"/>
  <c r="L1252" i="22"/>
  <c r="L1253" i="22"/>
  <c r="L1254" i="22"/>
  <c r="L1255" i="22"/>
  <c r="L1256" i="22"/>
  <c r="L1257" i="22"/>
  <c r="L1258" i="22"/>
  <c r="L1259" i="22"/>
  <c r="L1260" i="22"/>
  <c r="L1261" i="22"/>
  <c r="L1262" i="22"/>
  <c r="L1263" i="22"/>
  <c r="L1264" i="22"/>
  <c r="L1265" i="22"/>
  <c r="L1266" i="22"/>
  <c r="L1267" i="22"/>
  <c r="L1268" i="22"/>
  <c r="L1269" i="22"/>
  <c r="L1270" i="22"/>
  <c r="L1271" i="22"/>
  <c r="L1272" i="22"/>
  <c r="L1273" i="22"/>
  <c r="L1274" i="22"/>
  <c r="L1275" i="22"/>
  <c r="L1276" i="22"/>
  <c r="L1277" i="22"/>
  <c r="L1278" i="22"/>
  <c r="L1279" i="22"/>
  <c r="L1280" i="22"/>
  <c r="L1281" i="22"/>
  <c r="L1282" i="22"/>
  <c r="L1283" i="22"/>
  <c r="L1284" i="22"/>
  <c r="L1285" i="22"/>
  <c r="L1286" i="22"/>
  <c r="L1287" i="22"/>
  <c r="L1288" i="22"/>
  <c r="L1289" i="22"/>
  <c r="L1290" i="22"/>
  <c r="L1291" i="22"/>
  <c r="L1292" i="22"/>
  <c r="L1293" i="22"/>
  <c r="L1294" i="22"/>
  <c r="L1295" i="22"/>
  <c r="L1296" i="22"/>
  <c r="L1297" i="22"/>
  <c r="L1298" i="22"/>
  <c r="L1299" i="22"/>
  <c r="L1300" i="22"/>
  <c r="L1301" i="22"/>
  <c r="L1302" i="22"/>
  <c r="L1303" i="22"/>
  <c r="L1304" i="22"/>
  <c r="L1305" i="22"/>
  <c r="L1306" i="22"/>
  <c r="L1307" i="22"/>
  <c r="L1308" i="22"/>
  <c r="L1309" i="22"/>
  <c r="L1310" i="22"/>
  <c r="L1311" i="22"/>
  <c r="L1312" i="22"/>
  <c r="L1313" i="22"/>
  <c r="L1314" i="22"/>
  <c r="L1315" i="22"/>
  <c r="L1316" i="22"/>
  <c r="L1317" i="22"/>
  <c r="L1318" i="22"/>
  <c r="L1319" i="22"/>
  <c r="L1320" i="22"/>
  <c r="L1321" i="22"/>
  <c r="L1322" i="22"/>
  <c r="L1323" i="22"/>
  <c r="L1324" i="22"/>
  <c r="L1325" i="22"/>
  <c r="L1326" i="22"/>
  <c r="L1327" i="22"/>
  <c r="L1328" i="22"/>
  <c r="L1329" i="22"/>
  <c r="L1330" i="22"/>
  <c r="L1331" i="22"/>
  <c r="L1332" i="22"/>
  <c r="L1333" i="22"/>
  <c r="L1334" i="22"/>
  <c r="L1335" i="22"/>
  <c r="L1336" i="22"/>
  <c r="L1337" i="22"/>
  <c r="L1338" i="22"/>
  <c r="L1339" i="22"/>
  <c r="L1340" i="22"/>
  <c r="L1341" i="22"/>
  <c r="L1342" i="22"/>
  <c r="L1343" i="22"/>
  <c r="L1344" i="22"/>
  <c r="L1345" i="22"/>
  <c r="L1346" i="22"/>
  <c r="L1347" i="22"/>
  <c r="L1348" i="22"/>
  <c r="L1349" i="22"/>
  <c r="L1350" i="22"/>
  <c r="L1351" i="22"/>
  <c r="L1352" i="22"/>
  <c r="L1353" i="22"/>
  <c r="L1354" i="22"/>
  <c r="L1355" i="22"/>
  <c r="L1356" i="22"/>
  <c r="L1357" i="22"/>
  <c r="L1358" i="22"/>
  <c r="L1359" i="22"/>
  <c r="L1360" i="22"/>
  <c r="L1361" i="22"/>
  <c r="L1362" i="22"/>
  <c r="L1363" i="22"/>
  <c r="L1364" i="22"/>
  <c r="L1365" i="22"/>
  <c r="L1366" i="22"/>
  <c r="L1367" i="22"/>
  <c r="L1368" i="22"/>
  <c r="L1369" i="22"/>
  <c r="L1370" i="22"/>
  <c r="L1371" i="22"/>
  <c r="L1372" i="22"/>
  <c r="L1373" i="22"/>
  <c r="L1374" i="22"/>
  <c r="L1375" i="22"/>
  <c r="L1376" i="22"/>
  <c r="L1377" i="22"/>
  <c r="L1378" i="22"/>
  <c r="L1379" i="22"/>
  <c r="L1380" i="22"/>
  <c r="L1381" i="22"/>
  <c r="L1382" i="22"/>
  <c r="L1383" i="22"/>
  <c r="L1384" i="22"/>
  <c r="L1385" i="22"/>
  <c r="L1386" i="22"/>
  <c r="L1387" i="22"/>
  <c r="L1388" i="22"/>
  <c r="L1389" i="22"/>
  <c r="L1390" i="22"/>
  <c r="L1391" i="22"/>
  <c r="L1392" i="22"/>
  <c r="L1393" i="22"/>
  <c r="L1394" i="22"/>
  <c r="L1395" i="22"/>
  <c r="L1396" i="22"/>
  <c r="L1397" i="22"/>
  <c r="L1398" i="22"/>
  <c r="L1399" i="22"/>
  <c r="L1400" i="22"/>
  <c r="L1401" i="22"/>
  <c r="L1402" i="22"/>
  <c r="L1403" i="22"/>
  <c r="L1404" i="22"/>
  <c r="L1405" i="22"/>
  <c r="L1406" i="22"/>
  <c r="L1407" i="22"/>
  <c r="L1408" i="22"/>
  <c r="L1409" i="22"/>
  <c r="L1410" i="22"/>
  <c r="L1411" i="22"/>
  <c r="L1412" i="22"/>
  <c r="L1413" i="22"/>
  <c r="L1414" i="22"/>
  <c r="L1415" i="22"/>
  <c r="L1416" i="22"/>
  <c r="L1417" i="22"/>
  <c r="L1418" i="22"/>
  <c r="L1419" i="22"/>
  <c r="L1420" i="22"/>
  <c r="L1421" i="22"/>
  <c r="L1422" i="22"/>
  <c r="L1423" i="22"/>
  <c r="L1424" i="22"/>
  <c r="L1425" i="22"/>
  <c r="L1426" i="22"/>
  <c r="L1427" i="22"/>
  <c r="L1428" i="22"/>
  <c r="L1429" i="22"/>
  <c r="L1430" i="22"/>
  <c r="L1431" i="22"/>
  <c r="L1432" i="22"/>
  <c r="L1433" i="22"/>
  <c r="L1434" i="22"/>
  <c r="L1435" i="22"/>
  <c r="L1436" i="22"/>
  <c r="L1437" i="22"/>
  <c r="L1438" i="22"/>
  <c r="L1439" i="22"/>
  <c r="L1440" i="22"/>
  <c r="L1441" i="22"/>
  <c r="L1442" i="22"/>
  <c r="L1443" i="22"/>
  <c r="L1444" i="22"/>
  <c r="L1445" i="22"/>
  <c r="L1446" i="22"/>
  <c r="L1447" i="22"/>
  <c r="L1448" i="22"/>
  <c r="L1449" i="22"/>
  <c r="L1450" i="22"/>
  <c r="L1451" i="22"/>
  <c r="L1452" i="22"/>
  <c r="L1453" i="22"/>
  <c r="L1454" i="22"/>
  <c r="L1455" i="22"/>
  <c r="L1456" i="22"/>
  <c r="L1457" i="22"/>
  <c r="L1458" i="22"/>
  <c r="L1459" i="22"/>
  <c r="L1460" i="22"/>
  <c r="L1461" i="22"/>
  <c r="L1462" i="22"/>
  <c r="L1463" i="22"/>
  <c r="L1464" i="22"/>
  <c r="L1465" i="22"/>
  <c r="L1466" i="22"/>
  <c r="L1467" i="22"/>
  <c r="L1468" i="22"/>
  <c r="L1469" i="22"/>
  <c r="L1470" i="22"/>
  <c r="L1471" i="22"/>
  <c r="L1472" i="22"/>
  <c r="L1473" i="22"/>
  <c r="L1474" i="22"/>
  <c r="L1475" i="22"/>
  <c r="L1476" i="22"/>
  <c r="L1477" i="22"/>
  <c r="L1478" i="22"/>
  <c r="L1479" i="22"/>
  <c r="L1480" i="22"/>
  <c r="L1481" i="22"/>
  <c r="L1482" i="22"/>
  <c r="L1483" i="22"/>
  <c r="L1484" i="22"/>
  <c r="L1485" i="22"/>
  <c r="L1486" i="22"/>
  <c r="L1487" i="22"/>
  <c r="L1488" i="22"/>
  <c r="L1489" i="22"/>
  <c r="L1490" i="22"/>
  <c r="L1491" i="22"/>
  <c r="L1492" i="22"/>
  <c r="L1493" i="22"/>
  <c r="L1494" i="22"/>
  <c r="L1495" i="22"/>
  <c r="L1496" i="22"/>
  <c r="L1497" i="22"/>
  <c r="L1498" i="22"/>
  <c r="L1499" i="22"/>
  <c r="L1500" i="22"/>
  <c r="L1501" i="22"/>
  <c r="L1502" i="22"/>
  <c r="L1503" i="22"/>
  <c r="L1504" i="22"/>
  <c r="L1505" i="22"/>
  <c r="L1506" i="22"/>
  <c r="L1507" i="22"/>
  <c r="L1508" i="22"/>
  <c r="L1509" i="22"/>
  <c r="L1510" i="22"/>
  <c r="L1511" i="22"/>
  <c r="L1512" i="22"/>
  <c r="L1513" i="22"/>
  <c r="L1514" i="22"/>
  <c r="L1515" i="22"/>
  <c r="L1516" i="22"/>
  <c r="L1517" i="22"/>
  <c r="L1518" i="22"/>
  <c r="L1519" i="22"/>
  <c r="L1520" i="22"/>
  <c r="L1521" i="22"/>
  <c r="L1522" i="22"/>
  <c r="L1523" i="22"/>
  <c r="L1524" i="22"/>
  <c r="L1525" i="22"/>
  <c r="L1526" i="22"/>
  <c r="L1527" i="22"/>
  <c r="L1528" i="22"/>
  <c r="L1529" i="22"/>
  <c r="L1530" i="22"/>
  <c r="L1531" i="22"/>
  <c r="L1532" i="22"/>
  <c r="L1533" i="22"/>
  <c r="L1534" i="22"/>
  <c r="L1535" i="22"/>
  <c r="L1536" i="22"/>
  <c r="L1537" i="22"/>
  <c r="L1538" i="22"/>
  <c r="L1539" i="22"/>
  <c r="L1540" i="22"/>
  <c r="L1541" i="22"/>
  <c r="L1542" i="22"/>
  <c r="L1543" i="22"/>
  <c r="L1544" i="22"/>
  <c r="L1545" i="22"/>
  <c r="L1546" i="22"/>
  <c r="L1547" i="22"/>
  <c r="L1548" i="22"/>
  <c r="L1549" i="22"/>
  <c r="L1550" i="22"/>
  <c r="L1551" i="22"/>
  <c r="L1552" i="22"/>
  <c r="L1553" i="22"/>
  <c r="L1554" i="22"/>
  <c r="L1555" i="22"/>
  <c r="L1556" i="22"/>
  <c r="L1557" i="22"/>
  <c r="L1558" i="22"/>
  <c r="L1559" i="22"/>
  <c r="L1560" i="22"/>
  <c r="L1561" i="22"/>
  <c r="L1562" i="22"/>
  <c r="L1563" i="22"/>
  <c r="L1564" i="22"/>
  <c r="L1565" i="22"/>
  <c r="L1566" i="22"/>
  <c r="L1567" i="22"/>
  <c r="L1568" i="22"/>
  <c r="L1569" i="22"/>
  <c r="L1570" i="22"/>
  <c r="L1571" i="22"/>
  <c r="L1572" i="22"/>
  <c r="L1573" i="22"/>
  <c r="L1574" i="22"/>
  <c r="L1575" i="22"/>
  <c r="L1576" i="22"/>
  <c r="L1577" i="22"/>
  <c r="L1578" i="22"/>
  <c r="L1579" i="22"/>
  <c r="L1580" i="22"/>
  <c r="L1581" i="22"/>
  <c r="L1582" i="22"/>
  <c r="L1583" i="22"/>
  <c r="L1584" i="22"/>
  <c r="L1585" i="22"/>
  <c r="L1586" i="22"/>
  <c r="L1587" i="22"/>
  <c r="L1588" i="22"/>
  <c r="L1589" i="22"/>
  <c r="L1590" i="22"/>
  <c r="L1591" i="22"/>
  <c r="L1592" i="22"/>
  <c r="L1593" i="22"/>
  <c r="L1594" i="22"/>
  <c r="L1595" i="22"/>
  <c r="L1596" i="22"/>
  <c r="L1597" i="22"/>
  <c r="L1598" i="22"/>
  <c r="L1599" i="22"/>
  <c r="L1600" i="22"/>
  <c r="L1601" i="22"/>
  <c r="L1602" i="22"/>
  <c r="L1603" i="22"/>
  <c r="L1604" i="22"/>
  <c r="L1605" i="22"/>
  <c r="L1606" i="22"/>
  <c r="L1607" i="22"/>
  <c r="L1608" i="22"/>
  <c r="L1609" i="22"/>
  <c r="L1610" i="22"/>
  <c r="L1611" i="22"/>
  <c r="L1612" i="22"/>
  <c r="L1613" i="22"/>
  <c r="L1614" i="22"/>
  <c r="L1615" i="22"/>
  <c r="L1616" i="22"/>
  <c r="L1617" i="22"/>
  <c r="L1618" i="22"/>
  <c r="L1619" i="22"/>
  <c r="L1620" i="22"/>
  <c r="L1621" i="22"/>
  <c r="L1622" i="22"/>
  <c r="L1623" i="22"/>
  <c r="L1624" i="22"/>
  <c r="L1625" i="22"/>
  <c r="L1626" i="22"/>
  <c r="L1627" i="22"/>
  <c r="L1628" i="22"/>
  <c r="L1629" i="22"/>
  <c r="L1630" i="22"/>
  <c r="L1631" i="22"/>
  <c r="L1632" i="22"/>
  <c r="L1633" i="22"/>
  <c r="L1634" i="22"/>
  <c r="L1635" i="22"/>
  <c r="L1636" i="22"/>
  <c r="L1637" i="22"/>
  <c r="L1638" i="22"/>
  <c r="L1639" i="22"/>
  <c r="L1640" i="22"/>
  <c r="L1641" i="22"/>
  <c r="L1642" i="22"/>
  <c r="L1643" i="22"/>
  <c r="L1644" i="22"/>
  <c r="L1645" i="22"/>
  <c r="L1646" i="22"/>
  <c r="L1647" i="22"/>
  <c r="L1648" i="22"/>
  <c r="L1649" i="22"/>
  <c r="L1650" i="22"/>
  <c r="L1651" i="22"/>
  <c r="L1652" i="22"/>
  <c r="L1653" i="22"/>
  <c r="L1654" i="22"/>
  <c r="L1655" i="22"/>
  <c r="L1656" i="22"/>
  <c r="L1657" i="22"/>
  <c r="L1658" i="22"/>
  <c r="L1659" i="22"/>
  <c r="L1660" i="22"/>
  <c r="L1661" i="22"/>
  <c r="L1662" i="22"/>
  <c r="L1663" i="22"/>
  <c r="L1664" i="22"/>
  <c r="L1665" i="22"/>
  <c r="L1666" i="22"/>
  <c r="L1667" i="22"/>
  <c r="L1668" i="22"/>
  <c r="L1669" i="22"/>
  <c r="L1670" i="22"/>
  <c r="L1671" i="22"/>
  <c r="L1672" i="22"/>
  <c r="L1673" i="22"/>
  <c r="L1674" i="22"/>
  <c r="L1675" i="22"/>
  <c r="L1676" i="22"/>
  <c r="L1677" i="22"/>
  <c r="L1678" i="22"/>
  <c r="L1679" i="22"/>
  <c r="L1680" i="22"/>
  <c r="L1681" i="22"/>
  <c r="L1682" i="22"/>
  <c r="L1683" i="22"/>
  <c r="L1684" i="22"/>
  <c r="L1685" i="22"/>
  <c r="L1686" i="22"/>
  <c r="L1687" i="22"/>
  <c r="L1688" i="22"/>
  <c r="L1689" i="22"/>
  <c r="L1690" i="22"/>
  <c r="L1691" i="22"/>
  <c r="L1692" i="22"/>
  <c r="L1693" i="22"/>
  <c r="L1694" i="22"/>
  <c r="L1695" i="22"/>
  <c r="L1696" i="22"/>
  <c r="L1697" i="22"/>
  <c r="L1698" i="22"/>
  <c r="L1699" i="22"/>
  <c r="L1700" i="22"/>
  <c r="L1701" i="22"/>
  <c r="L1702" i="22"/>
  <c r="L1703" i="22"/>
  <c r="L1704" i="22"/>
  <c r="L1705" i="22"/>
  <c r="L1706" i="22"/>
  <c r="L1707" i="22"/>
  <c r="L1708" i="22"/>
  <c r="L1709" i="22"/>
  <c r="L1710" i="22"/>
  <c r="L1711" i="22"/>
  <c r="L1712" i="22"/>
  <c r="L1713" i="22"/>
  <c r="L1714" i="22"/>
  <c r="L1715" i="22"/>
  <c r="L1716" i="22"/>
  <c r="L1717" i="22"/>
  <c r="L1718" i="22"/>
  <c r="L1719" i="22"/>
  <c r="L1720" i="22"/>
  <c r="L1721" i="22"/>
  <c r="L1722" i="22"/>
  <c r="L1723" i="22"/>
  <c r="L1724" i="22"/>
  <c r="L1725" i="22"/>
  <c r="L1726" i="22"/>
  <c r="L1727" i="22"/>
  <c r="L1728" i="22"/>
  <c r="L1729" i="22"/>
  <c r="L1730" i="22"/>
  <c r="L1731" i="22"/>
  <c r="L1732" i="22"/>
  <c r="L1733" i="22"/>
  <c r="L1734" i="22"/>
  <c r="L1735" i="22"/>
  <c r="L1736" i="22"/>
  <c r="L1737" i="22"/>
  <c r="L1738" i="22"/>
  <c r="L1739" i="22"/>
  <c r="L1740" i="22"/>
  <c r="L1741" i="22"/>
  <c r="L1742" i="22"/>
  <c r="L1743" i="22"/>
  <c r="L1744" i="22"/>
  <c r="L1745" i="22"/>
  <c r="L1746" i="22"/>
  <c r="L1747" i="22"/>
  <c r="L1748" i="22"/>
  <c r="L1749" i="22"/>
  <c r="L1750" i="22"/>
  <c r="L1751" i="22"/>
  <c r="L1752" i="22"/>
  <c r="L1753" i="22"/>
  <c r="L1754" i="22"/>
  <c r="L1755" i="22"/>
  <c r="L1756" i="22"/>
  <c r="L1757" i="22"/>
  <c r="L1758" i="22"/>
  <c r="L1759" i="22"/>
  <c r="L1760" i="22"/>
  <c r="L1761" i="22"/>
  <c r="L1762" i="22"/>
  <c r="L1763" i="22"/>
  <c r="L1764" i="22"/>
  <c r="L1765" i="22"/>
  <c r="L1766" i="22"/>
  <c r="L1767" i="22"/>
  <c r="L1768" i="22"/>
  <c r="L1769" i="22"/>
  <c r="L1770" i="22"/>
  <c r="L1771" i="22"/>
  <c r="L1772" i="22"/>
  <c r="L1773" i="22"/>
  <c r="L1774" i="22"/>
  <c r="L1775" i="22"/>
  <c r="L1776" i="22"/>
  <c r="L1777" i="22"/>
  <c r="L1778" i="22"/>
  <c r="L1779" i="22"/>
  <c r="L1780" i="22"/>
  <c r="L1781" i="22"/>
  <c r="L1782" i="22"/>
  <c r="L1783" i="22"/>
  <c r="L1784" i="22"/>
  <c r="L1785" i="22"/>
  <c r="L1786" i="22"/>
  <c r="L1787" i="22"/>
  <c r="L1788" i="22"/>
  <c r="L1789" i="22"/>
  <c r="L1790" i="22"/>
  <c r="L1791" i="22"/>
  <c r="L1792" i="22"/>
  <c r="L1793" i="22"/>
  <c r="L1794" i="22"/>
  <c r="L1795" i="22"/>
  <c r="L1796" i="22"/>
  <c r="L1797" i="22"/>
  <c r="L1798" i="22"/>
  <c r="L1799" i="22"/>
  <c r="L1800" i="22"/>
  <c r="L1801" i="22"/>
  <c r="L1802" i="22"/>
  <c r="L1803" i="22"/>
  <c r="L1804" i="22"/>
  <c r="L1805" i="22"/>
  <c r="L1806" i="22"/>
  <c r="L1807" i="22"/>
  <c r="L1808" i="22"/>
  <c r="L1809" i="22"/>
  <c r="L1810" i="22"/>
  <c r="L1811" i="22"/>
  <c r="L1812" i="22"/>
  <c r="L1813" i="22"/>
  <c r="L1814" i="22"/>
  <c r="L1815" i="22"/>
  <c r="L1816" i="22"/>
  <c r="L1817" i="22"/>
  <c r="L1818" i="22"/>
  <c r="L1819" i="22"/>
  <c r="L1820" i="22"/>
  <c r="L1821" i="22"/>
  <c r="L1822" i="22"/>
  <c r="L1823" i="22"/>
  <c r="L1824" i="22"/>
  <c r="L1825" i="22"/>
  <c r="L1826" i="22"/>
  <c r="L1827" i="22"/>
  <c r="L1828" i="22"/>
  <c r="L1829" i="22"/>
  <c r="L1830" i="22"/>
  <c r="L1831" i="22"/>
  <c r="L1832" i="22"/>
  <c r="L1833" i="22"/>
  <c r="L1834" i="22"/>
  <c r="L1835" i="22"/>
  <c r="L1836" i="22"/>
  <c r="L1837" i="22"/>
  <c r="L1838" i="22"/>
  <c r="L1839" i="22"/>
  <c r="L1840" i="22"/>
  <c r="L1841" i="22"/>
  <c r="L1842" i="22"/>
  <c r="L1843" i="22"/>
  <c r="L1844" i="22"/>
  <c r="L1845" i="22"/>
  <c r="L1846" i="22"/>
  <c r="L1847" i="22"/>
  <c r="L1848" i="22"/>
  <c r="L1849" i="22"/>
  <c r="L1850" i="22"/>
  <c r="L1851" i="22"/>
  <c r="L1852" i="22"/>
  <c r="L1853" i="22"/>
  <c r="L1854" i="22"/>
  <c r="L1855" i="22"/>
  <c r="L1856" i="22"/>
  <c r="L1857" i="22"/>
  <c r="L1858" i="22"/>
  <c r="L1859" i="22"/>
  <c r="L1860" i="22"/>
  <c r="L1861" i="22"/>
  <c r="L1862" i="22"/>
  <c r="L1863" i="22"/>
  <c r="L1864" i="22"/>
  <c r="L1865" i="22"/>
  <c r="L1866" i="22"/>
  <c r="L1867" i="22"/>
  <c r="L1868" i="22"/>
  <c r="L1869" i="22"/>
  <c r="L1870" i="22"/>
  <c r="L1871" i="22"/>
  <c r="L1872" i="22"/>
  <c r="L1873" i="22"/>
  <c r="L1874" i="22"/>
  <c r="L1875" i="22"/>
  <c r="L1876" i="22"/>
  <c r="L1877" i="22"/>
  <c r="L1878" i="22"/>
  <c r="L1879" i="22"/>
  <c r="L1880" i="22"/>
  <c r="L1881" i="22"/>
  <c r="L1882" i="22"/>
  <c r="L1883" i="22"/>
  <c r="L1884" i="22"/>
  <c r="L1885" i="22"/>
  <c r="L1886" i="22"/>
  <c r="L1887" i="22"/>
  <c r="L1888" i="22"/>
  <c r="L1889" i="22"/>
  <c r="L1890" i="22"/>
  <c r="L1891" i="22"/>
  <c r="L1892" i="22"/>
  <c r="L1893" i="22"/>
  <c r="L1894" i="22"/>
  <c r="L1895" i="22"/>
  <c r="L1896" i="22"/>
  <c r="L1897" i="22"/>
  <c r="L1898" i="22"/>
  <c r="L1899" i="22"/>
  <c r="L1900" i="22"/>
  <c r="L1901" i="22"/>
  <c r="L1902" i="22"/>
  <c r="L1903" i="22"/>
  <c r="L1904" i="22"/>
  <c r="L1905" i="22"/>
  <c r="L1906" i="22"/>
  <c r="L1907" i="22"/>
  <c r="L1908" i="22"/>
  <c r="L1909" i="22"/>
  <c r="L1910" i="22"/>
  <c r="L1911" i="22"/>
  <c r="L1912" i="22"/>
  <c r="L1913" i="22"/>
  <c r="L1914" i="22"/>
  <c r="L1915" i="22"/>
  <c r="L1916" i="22"/>
  <c r="L1917" i="22"/>
  <c r="L1918" i="22"/>
  <c r="L1919" i="22"/>
  <c r="L1920" i="22"/>
  <c r="L1921" i="22"/>
  <c r="L1922" i="22"/>
  <c r="L1923" i="22"/>
  <c r="L1924" i="22"/>
  <c r="L1925" i="22"/>
  <c r="L1926" i="22"/>
  <c r="L1927" i="22"/>
  <c r="L1928" i="22"/>
  <c r="L1929" i="22"/>
  <c r="L1930" i="22"/>
  <c r="L1931" i="22"/>
  <c r="L1932" i="22"/>
  <c r="L1933" i="22"/>
  <c r="L1934" i="22"/>
  <c r="L1935" i="22"/>
  <c r="L1936" i="22"/>
  <c r="L1937" i="22"/>
  <c r="L1938" i="22"/>
  <c r="L1939" i="22"/>
  <c r="L1940" i="22"/>
  <c r="L1941" i="22"/>
  <c r="L1942" i="22"/>
  <c r="L1943" i="22"/>
  <c r="L1944" i="22"/>
  <c r="L1945" i="22"/>
  <c r="L1946" i="22"/>
  <c r="L1947" i="22"/>
  <c r="L1948" i="22"/>
  <c r="L1949" i="22"/>
  <c r="L1950" i="22"/>
  <c r="L1951" i="22"/>
  <c r="L1952" i="22"/>
  <c r="L1953" i="22"/>
  <c r="L1954" i="22"/>
  <c r="L1955" i="22"/>
  <c r="L1956" i="22"/>
  <c r="L1957" i="22"/>
  <c r="L1958" i="22"/>
  <c r="L1959" i="22"/>
  <c r="L1960" i="22"/>
  <c r="L1961" i="22"/>
  <c r="L1962" i="22"/>
  <c r="L1963" i="22"/>
  <c r="L1964" i="22"/>
  <c r="L1965" i="22"/>
  <c r="L1966" i="22"/>
  <c r="L1967" i="22"/>
  <c r="L1968" i="22"/>
  <c r="L1969" i="22"/>
  <c r="L1970" i="22"/>
  <c r="L1971" i="22"/>
  <c r="L1972" i="22"/>
  <c r="L1973" i="22"/>
  <c r="L1974" i="22"/>
  <c r="L1975" i="22"/>
  <c r="L1976" i="22"/>
  <c r="L1977" i="22"/>
  <c r="L1978" i="22"/>
  <c r="L1979" i="22"/>
  <c r="L1980" i="22"/>
  <c r="L1981" i="22"/>
  <c r="L1982" i="22"/>
  <c r="L1983" i="22"/>
  <c r="L1984" i="22"/>
  <c r="L1985" i="22"/>
  <c r="L1986" i="22"/>
  <c r="L1987" i="22"/>
  <c r="L1988" i="22"/>
  <c r="L1989" i="22"/>
  <c r="L1990" i="22"/>
  <c r="L1991" i="22"/>
  <c r="L1992" i="22"/>
  <c r="L1993" i="22"/>
  <c r="L1994" i="22"/>
  <c r="L1995" i="22"/>
  <c r="L1996" i="22"/>
  <c r="L1997" i="22"/>
  <c r="L1998" i="22"/>
  <c r="L1999" i="22"/>
  <c r="L2000" i="22"/>
  <c r="L2001" i="22"/>
  <c r="L2002" i="22"/>
  <c r="L2003" i="22"/>
  <c r="L2004" i="22"/>
  <c r="L2005" i="22"/>
  <c r="L2006" i="22"/>
  <c r="L2007" i="22"/>
  <c r="L2008" i="22"/>
  <c r="L2009" i="22"/>
  <c r="L2010" i="22"/>
  <c r="L2011" i="22"/>
  <c r="L2012" i="22"/>
  <c r="L2013" i="22"/>
  <c r="L2014" i="22"/>
  <c r="L2015" i="22"/>
  <c r="L2016" i="22"/>
  <c r="L2017" i="22"/>
  <c r="L2018" i="22"/>
  <c r="L2019" i="22"/>
  <c r="L2020" i="22"/>
  <c r="L2021" i="22"/>
  <c r="L2022" i="22"/>
  <c r="L2023" i="22"/>
  <c r="L2024" i="22"/>
  <c r="L2025" i="22"/>
  <c r="L2026" i="22"/>
  <c r="L2027" i="22"/>
  <c r="L2028" i="22"/>
  <c r="L2029" i="22"/>
  <c r="L2030" i="22"/>
  <c r="L2031" i="22"/>
  <c r="L2032" i="22"/>
  <c r="L2033" i="22"/>
  <c r="L2034" i="22"/>
  <c r="L2035" i="22"/>
  <c r="L2036" i="22"/>
  <c r="L2037" i="22"/>
  <c r="L2038" i="22"/>
  <c r="L2039" i="22"/>
  <c r="L2040" i="22"/>
  <c r="L2041" i="22"/>
  <c r="L2042" i="22"/>
  <c r="L2043" i="22"/>
  <c r="L2044" i="22"/>
  <c r="L2045" i="22"/>
  <c r="L2046" i="22"/>
  <c r="L2047" i="22"/>
  <c r="L2048" i="22"/>
  <c r="L2049" i="22"/>
  <c r="L2050" i="22"/>
  <c r="L2051" i="22"/>
  <c r="L2052" i="22"/>
  <c r="L2053" i="22"/>
  <c r="L2054" i="22"/>
  <c r="L2055" i="22"/>
  <c r="L2056" i="22"/>
  <c r="L2057" i="22"/>
  <c r="L2058" i="22"/>
  <c r="L2059" i="22"/>
  <c r="L2060" i="22"/>
  <c r="L2061" i="22"/>
  <c r="L2062" i="22"/>
  <c r="L2063" i="22"/>
  <c r="L2064" i="22"/>
  <c r="L2065" i="22"/>
  <c r="L2066" i="22"/>
  <c r="L2067" i="22"/>
  <c r="L2068" i="22"/>
  <c r="L2069" i="22"/>
  <c r="L2070" i="22"/>
  <c r="L2071" i="22"/>
  <c r="L2072" i="22"/>
  <c r="L2073" i="22"/>
  <c r="L2074" i="22"/>
  <c r="L2075" i="22"/>
  <c r="L2076" i="22"/>
  <c r="L2077" i="22"/>
  <c r="L2078" i="22"/>
  <c r="L2079" i="22"/>
  <c r="L2080" i="22"/>
  <c r="L2081" i="22"/>
  <c r="L2082" i="22"/>
  <c r="L2083" i="22"/>
  <c r="L2084" i="22"/>
  <c r="L2085" i="22"/>
  <c r="L2086" i="22"/>
  <c r="L2087" i="22"/>
  <c r="L2088" i="22"/>
  <c r="L2089" i="22"/>
  <c r="L2090" i="22"/>
  <c r="L2091" i="22"/>
  <c r="L2092" i="22"/>
  <c r="L2093" i="22"/>
  <c r="L2094" i="22"/>
  <c r="L2095" i="22"/>
  <c r="L2096" i="22"/>
  <c r="L2097" i="22"/>
  <c r="L2098" i="22"/>
  <c r="L2099" i="22"/>
  <c r="L2100" i="22"/>
  <c r="L2101" i="22"/>
  <c r="L2102" i="22"/>
  <c r="L2103" i="22"/>
  <c r="L2104" i="22"/>
  <c r="L2105" i="22"/>
  <c r="L2106" i="22"/>
  <c r="L2107" i="22"/>
  <c r="L2108" i="22"/>
  <c r="L2109" i="22"/>
  <c r="L2110" i="22"/>
  <c r="L2111" i="22"/>
  <c r="L2112" i="22"/>
  <c r="L2113" i="22"/>
  <c r="L2114" i="22"/>
  <c r="L2115" i="22"/>
  <c r="L2116" i="22"/>
  <c r="L2117" i="22"/>
  <c r="L2118" i="22"/>
  <c r="L2119" i="22"/>
  <c r="L2120" i="22"/>
  <c r="L2121" i="22"/>
  <c r="L2122" i="22"/>
  <c r="L2123" i="22"/>
  <c r="L2124" i="22"/>
  <c r="L2125" i="22"/>
  <c r="L2126" i="22"/>
  <c r="L2127" i="22"/>
  <c r="L2128" i="22"/>
  <c r="L2129" i="22"/>
  <c r="L2130" i="22"/>
  <c r="L2131" i="22"/>
  <c r="L2132" i="22"/>
  <c r="L2133" i="22"/>
  <c r="L2134" i="22"/>
  <c r="L2135" i="22"/>
  <c r="L2136" i="22"/>
  <c r="L2137" i="22"/>
  <c r="L2138" i="22"/>
  <c r="L2139" i="22"/>
  <c r="L2140" i="22"/>
  <c r="L2141" i="22"/>
  <c r="L2142" i="22"/>
  <c r="L2143" i="22"/>
  <c r="L2144" i="22"/>
  <c r="L2145" i="22"/>
  <c r="L2146" i="22"/>
  <c r="L2147" i="22"/>
  <c r="L2148" i="22"/>
  <c r="L2149" i="22"/>
  <c r="L2150" i="22"/>
  <c r="L2151" i="22"/>
  <c r="L2152" i="22"/>
  <c r="L2153" i="22"/>
  <c r="L2154" i="22"/>
  <c r="L2155" i="22"/>
  <c r="L2156" i="22"/>
  <c r="L2157" i="22"/>
  <c r="L2158" i="22"/>
  <c r="L2159" i="22"/>
  <c r="L2160" i="22"/>
  <c r="L2161" i="22"/>
  <c r="L2162" i="22"/>
  <c r="L2163" i="22"/>
  <c r="L2164" i="22"/>
  <c r="L2165" i="22"/>
  <c r="L2166" i="22"/>
  <c r="L2167" i="22"/>
  <c r="L2168" i="22"/>
  <c r="L2169" i="22"/>
  <c r="L2170" i="22"/>
  <c r="L2171" i="22"/>
  <c r="L2172" i="22"/>
  <c r="L2173" i="22"/>
  <c r="L2174" i="22"/>
  <c r="L2175" i="22"/>
  <c r="L2176" i="22"/>
  <c r="L2177" i="22"/>
  <c r="L2178" i="22"/>
  <c r="L2179" i="22"/>
  <c r="L2180" i="22"/>
  <c r="L2181" i="22"/>
  <c r="L2182" i="22"/>
  <c r="L2183" i="22"/>
  <c r="L2184" i="22"/>
  <c r="L2185" i="22"/>
  <c r="L2186" i="22"/>
  <c r="L2187" i="22"/>
  <c r="L2188" i="22"/>
  <c r="L2189" i="22"/>
  <c r="L2190" i="22"/>
  <c r="L2191" i="22"/>
  <c r="L2192" i="22"/>
  <c r="L2193" i="22"/>
  <c r="L2194" i="22"/>
  <c r="L2195" i="22"/>
  <c r="L2196" i="22"/>
  <c r="L2197" i="22"/>
  <c r="L2198" i="22"/>
  <c r="L2199" i="22"/>
  <c r="L2200" i="22"/>
  <c r="L2201" i="22"/>
  <c r="L2202" i="22"/>
  <c r="L2203" i="22"/>
  <c r="L2204" i="22"/>
  <c r="L2205" i="22"/>
  <c r="L2206" i="22"/>
  <c r="L2207" i="22"/>
  <c r="L2208" i="22"/>
  <c r="L2209" i="22"/>
  <c r="L2210" i="22"/>
  <c r="L2211" i="22"/>
  <c r="L2212" i="22"/>
  <c r="L2213" i="22"/>
  <c r="L2214" i="22"/>
  <c r="L2215" i="22"/>
  <c r="L2216" i="22"/>
  <c r="L2217" i="22"/>
  <c r="L2218" i="22"/>
  <c r="L2219" i="22"/>
  <c r="L2220" i="22"/>
  <c r="L2221" i="22"/>
  <c r="L2222" i="22"/>
  <c r="L2223" i="22"/>
  <c r="L2224" i="22"/>
  <c r="L2225" i="22"/>
  <c r="L2226" i="22"/>
  <c r="L2227" i="22"/>
  <c r="L2228" i="22"/>
  <c r="L2229" i="22"/>
  <c r="L2230" i="22"/>
  <c r="L2231" i="22"/>
  <c r="L2232" i="22"/>
  <c r="L2233" i="22"/>
  <c r="L2234" i="22"/>
  <c r="L2235" i="22"/>
  <c r="L2236" i="22"/>
  <c r="L2237" i="22"/>
  <c r="L2238" i="22"/>
  <c r="L2239" i="22"/>
  <c r="L2240" i="22"/>
  <c r="L2241" i="22"/>
  <c r="L2242" i="22"/>
  <c r="L2243" i="22"/>
  <c r="L2244" i="22"/>
  <c r="L2245" i="22"/>
  <c r="L2246" i="22"/>
  <c r="L2247" i="22"/>
  <c r="L2248" i="22"/>
  <c r="L2249" i="22"/>
  <c r="L2250" i="22"/>
  <c r="L2251" i="22"/>
  <c r="L2252" i="22"/>
  <c r="L2253" i="22"/>
  <c r="L2254" i="22"/>
  <c r="L2255" i="22"/>
  <c r="L2256" i="22"/>
  <c r="L2257" i="22"/>
  <c r="L2258" i="22"/>
  <c r="L2259" i="22"/>
  <c r="L2260" i="22"/>
  <c r="L2261" i="22"/>
  <c r="L2262" i="22"/>
  <c r="L2263" i="22"/>
  <c r="L2264" i="22"/>
  <c r="L2265" i="22"/>
  <c r="L2266" i="22"/>
  <c r="L2267" i="22"/>
  <c r="L2268" i="22"/>
  <c r="L2269" i="22"/>
  <c r="L2270" i="22"/>
  <c r="L2271" i="22"/>
  <c r="L2272" i="22"/>
  <c r="L2273" i="22"/>
  <c r="L2274" i="22"/>
  <c r="L2275" i="22"/>
  <c r="L2276" i="22"/>
  <c r="L2277" i="22"/>
  <c r="L2278" i="22"/>
  <c r="L2279" i="22"/>
  <c r="L2280" i="22"/>
  <c r="L2281" i="22"/>
  <c r="L2282" i="22"/>
  <c r="L2283" i="22"/>
  <c r="L2284" i="22"/>
  <c r="L2285" i="22"/>
  <c r="L2286" i="22"/>
  <c r="L2287" i="22"/>
  <c r="L2288" i="22"/>
  <c r="L2289" i="22"/>
  <c r="L2290" i="22"/>
  <c r="L2291" i="22"/>
  <c r="L2292" i="22"/>
  <c r="L2293" i="22"/>
  <c r="L2294" i="22"/>
  <c r="L2295" i="22"/>
  <c r="L2296" i="22"/>
  <c r="L2297" i="22"/>
  <c r="L2298" i="22"/>
  <c r="L2299" i="22"/>
  <c r="L2300" i="22"/>
  <c r="L2301" i="22"/>
  <c r="L2302" i="22"/>
  <c r="L2303" i="22"/>
  <c r="L2304" i="22"/>
  <c r="L2305" i="22"/>
  <c r="L2306" i="22"/>
  <c r="L2307" i="22"/>
  <c r="L2308" i="22"/>
  <c r="L2309" i="22"/>
  <c r="L2310" i="22"/>
  <c r="L2311" i="22"/>
  <c r="L2312" i="22"/>
  <c r="L2313" i="22"/>
  <c r="L2314" i="22"/>
  <c r="L2315" i="22"/>
  <c r="L2316" i="22"/>
  <c r="L2317" i="22"/>
  <c r="L2318" i="22"/>
  <c r="L2319" i="22"/>
  <c r="L2320" i="22"/>
  <c r="L2321" i="22"/>
  <c r="L2322" i="22"/>
  <c r="L2323" i="22"/>
  <c r="L2324" i="22"/>
  <c r="L2325" i="22"/>
  <c r="L2326" i="22"/>
  <c r="L2327" i="22"/>
  <c r="L2328" i="22"/>
  <c r="L2329" i="22"/>
  <c r="L2330" i="22"/>
  <c r="L2331" i="22"/>
  <c r="L2332" i="22"/>
  <c r="L2333" i="22"/>
  <c r="L2334" i="22"/>
  <c r="L2335" i="22"/>
  <c r="L2336" i="22"/>
  <c r="L2337" i="22"/>
  <c r="L2338" i="22"/>
  <c r="L2339" i="22"/>
  <c r="L2340" i="22"/>
  <c r="L2341" i="22"/>
  <c r="L2342" i="22"/>
  <c r="L2343" i="22"/>
  <c r="L2344" i="22"/>
  <c r="L2345" i="22"/>
  <c r="L2346" i="22"/>
  <c r="L2347" i="22"/>
  <c r="L2348" i="22"/>
  <c r="L2349" i="22"/>
  <c r="L2350" i="22"/>
  <c r="L2351" i="22"/>
  <c r="L2352" i="22"/>
  <c r="L2353" i="22"/>
  <c r="L2354" i="22"/>
  <c r="L2355" i="22"/>
  <c r="L2356" i="22"/>
  <c r="L2357" i="22"/>
  <c r="L2358" i="22"/>
  <c r="L2359" i="22"/>
  <c r="L2360" i="22"/>
  <c r="L2361" i="22"/>
  <c r="L2362" i="22"/>
  <c r="L2363" i="22"/>
  <c r="L2364" i="22"/>
  <c r="L2365" i="22"/>
  <c r="L2366" i="22"/>
  <c r="L2367" i="22"/>
  <c r="L2368" i="22"/>
  <c r="L2369" i="22"/>
  <c r="L2370" i="22"/>
  <c r="L2371" i="22"/>
  <c r="L2372" i="22"/>
  <c r="L2373" i="22"/>
  <c r="L2374" i="22"/>
  <c r="L2375" i="22"/>
  <c r="L2376" i="22"/>
  <c r="L2377" i="22"/>
  <c r="L2378" i="22"/>
  <c r="L2379" i="22"/>
  <c r="L2380" i="22"/>
  <c r="L2381" i="22"/>
  <c r="L2382" i="22"/>
  <c r="L2383" i="22"/>
  <c r="L2384" i="22"/>
  <c r="L2385" i="22"/>
  <c r="L2386" i="22"/>
  <c r="L2387" i="22"/>
  <c r="L2388" i="22"/>
  <c r="L2389" i="22"/>
  <c r="L2390" i="22"/>
  <c r="L2391" i="22"/>
  <c r="L2392" i="22"/>
  <c r="L2393" i="22"/>
  <c r="L2394" i="22"/>
  <c r="L2395" i="22"/>
  <c r="L2396" i="22"/>
  <c r="L2397" i="22"/>
  <c r="L2398" i="22"/>
  <c r="L2399" i="22"/>
  <c r="L2400" i="22"/>
  <c r="L2401" i="22"/>
  <c r="L2402" i="22"/>
  <c r="L2403" i="22"/>
  <c r="L2404" i="22"/>
  <c r="L2405" i="22"/>
  <c r="L2406" i="22"/>
  <c r="L2407" i="22"/>
  <c r="L2408" i="22"/>
  <c r="L2409" i="22"/>
  <c r="L2410" i="22"/>
  <c r="L2411" i="22"/>
  <c r="L2412" i="22"/>
  <c r="L2413" i="22"/>
  <c r="L2414" i="22"/>
  <c r="L2415" i="22"/>
  <c r="L2416" i="22"/>
  <c r="L2417" i="22"/>
  <c r="L2418" i="22"/>
  <c r="L2419" i="22"/>
  <c r="L2420" i="22"/>
  <c r="L2421" i="22"/>
  <c r="L2422" i="22"/>
  <c r="L2423" i="22"/>
  <c r="L2424" i="22"/>
  <c r="L2425" i="22"/>
  <c r="L2426" i="22"/>
  <c r="L2427" i="22"/>
  <c r="L2428" i="22"/>
  <c r="L2429" i="22"/>
  <c r="L2430" i="22"/>
  <c r="L2431" i="22"/>
  <c r="L2432" i="22"/>
  <c r="L2433" i="22"/>
  <c r="L2434" i="22"/>
  <c r="L2435" i="22"/>
  <c r="L2436" i="22"/>
  <c r="L2437" i="22"/>
  <c r="L2438" i="22"/>
  <c r="L2439" i="22"/>
  <c r="L2440" i="22"/>
  <c r="L2441" i="22"/>
  <c r="L2442" i="22"/>
  <c r="L2443" i="22"/>
  <c r="L2444" i="22"/>
  <c r="L2445" i="22"/>
  <c r="L2446" i="22"/>
  <c r="L2447" i="22"/>
  <c r="L2448" i="22"/>
  <c r="L2449" i="22"/>
  <c r="L2450" i="22"/>
  <c r="L2451" i="22"/>
  <c r="L2452" i="22"/>
  <c r="L2453" i="22"/>
  <c r="L2454" i="22"/>
  <c r="L2455" i="22"/>
  <c r="L2456" i="22"/>
  <c r="L2457" i="22"/>
  <c r="L2458" i="22"/>
  <c r="L2459" i="22"/>
  <c r="L2460" i="22"/>
  <c r="L2461" i="22"/>
  <c r="L2462" i="22"/>
  <c r="L2463" i="22"/>
  <c r="L2464" i="22"/>
  <c r="L2465" i="22"/>
  <c r="L2466" i="22"/>
  <c r="L2467" i="22"/>
  <c r="L2468" i="22"/>
  <c r="L2469" i="22"/>
  <c r="L2470" i="22"/>
  <c r="L2471" i="22"/>
  <c r="L2472" i="22"/>
  <c r="L2473" i="22"/>
  <c r="L2474" i="22"/>
  <c r="L2475" i="22"/>
  <c r="L2476" i="22"/>
  <c r="L2477" i="22"/>
  <c r="L2478" i="22"/>
  <c r="L2479" i="22"/>
  <c r="L2480" i="22"/>
  <c r="L2481" i="22"/>
  <c r="L2482" i="22"/>
  <c r="L2483" i="22"/>
  <c r="L2484" i="22"/>
  <c r="L2485" i="22"/>
  <c r="L2486" i="22"/>
  <c r="L2487" i="22"/>
  <c r="L2488" i="22"/>
  <c r="L2489" i="22"/>
  <c r="L2490" i="22"/>
  <c r="L2491" i="22"/>
  <c r="L2492" i="22"/>
  <c r="L2493" i="22"/>
  <c r="L2494" i="22"/>
  <c r="L2495" i="22"/>
  <c r="L2496" i="22"/>
  <c r="L2497" i="22"/>
  <c r="L2498" i="22"/>
  <c r="L2499" i="22"/>
  <c r="L2500" i="22"/>
  <c r="L2501" i="22"/>
  <c r="L2502" i="22"/>
  <c r="L2503" i="22"/>
  <c r="L2504" i="22"/>
  <c r="L2505" i="22"/>
  <c r="L2506" i="22"/>
  <c r="L2507" i="22"/>
  <c r="L2508" i="22"/>
  <c r="L2509" i="22"/>
  <c r="L2510" i="22"/>
  <c r="L2511" i="22"/>
  <c r="L2512" i="22"/>
  <c r="L2513" i="22"/>
  <c r="L2514" i="22"/>
  <c r="L2515" i="22"/>
  <c r="L2516" i="22"/>
  <c r="L2517" i="22"/>
  <c r="L2518" i="22"/>
  <c r="L2519" i="22"/>
  <c r="L2520" i="22"/>
  <c r="L2521" i="22"/>
  <c r="L2522" i="22"/>
  <c r="L2523" i="22"/>
  <c r="L2524" i="22"/>
  <c r="L2525" i="22"/>
  <c r="L2526" i="22"/>
  <c r="L2527" i="22"/>
  <c r="L2528" i="22"/>
  <c r="L2529" i="22"/>
  <c r="L2530" i="22"/>
  <c r="L2531" i="22"/>
  <c r="L2532" i="22"/>
  <c r="L2533" i="22"/>
  <c r="L2534" i="22"/>
  <c r="L2535" i="22"/>
  <c r="L2536" i="22"/>
  <c r="L2537" i="22"/>
  <c r="L2538" i="22"/>
  <c r="L2539" i="22"/>
  <c r="L2540" i="22"/>
  <c r="L2541" i="22"/>
  <c r="L2542" i="22"/>
  <c r="L2543" i="22"/>
  <c r="L2544" i="22"/>
  <c r="L2545" i="22"/>
  <c r="L2546" i="22"/>
  <c r="L2547" i="22"/>
  <c r="L2548" i="22"/>
  <c r="L2549" i="22"/>
  <c r="L2550" i="22"/>
  <c r="L2551" i="22"/>
  <c r="L2552" i="22"/>
  <c r="L2553" i="22"/>
  <c r="L2554" i="22"/>
  <c r="L2555" i="22"/>
  <c r="L2556" i="22"/>
  <c r="L2557" i="22"/>
  <c r="L2558" i="22"/>
  <c r="L2559" i="22"/>
  <c r="L2560" i="22"/>
  <c r="L2561" i="22"/>
  <c r="L2562" i="22"/>
  <c r="L2563" i="22"/>
  <c r="L2564" i="22"/>
  <c r="L2565" i="22"/>
  <c r="L2566" i="22"/>
  <c r="L2567" i="22"/>
  <c r="L2568" i="22"/>
  <c r="L2569" i="22"/>
  <c r="L2570" i="22"/>
  <c r="L2571" i="22"/>
  <c r="L2572" i="22"/>
  <c r="L2573" i="22"/>
  <c r="L2574" i="22"/>
  <c r="L2575" i="22"/>
  <c r="L2576" i="22"/>
  <c r="L2577" i="22"/>
  <c r="L2578" i="22"/>
  <c r="L2579" i="22"/>
  <c r="L2580" i="22"/>
  <c r="L2581" i="22"/>
  <c r="L2582" i="22"/>
  <c r="L2583" i="22"/>
  <c r="L2584" i="22"/>
  <c r="L2585" i="22"/>
  <c r="L2586" i="22"/>
  <c r="L2587" i="22"/>
  <c r="L2588" i="22"/>
  <c r="L2589" i="22"/>
  <c r="L2590" i="22"/>
  <c r="L2591" i="22"/>
  <c r="L2592" i="22"/>
  <c r="L2593" i="22"/>
  <c r="L2594" i="22"/>
  <c r="L2595" i="22"/>
  <c r="L2596" i="22"/>
  <c r="L2597" i="22"/>
  <c r="L2598" i="22"/>
  <c r="L2599" i="22"/>
  <c r="L2600" i="22"/>
  <c r="L2601" i="22"/>
  <c r="L2602" i="22"/>
  <c r="L2603" i="22"/>
  <c r="L2604" i="22"/>
  <c r="L2605" i="22"/>
  <c r="L2606" i="22"/>
  <c r="L2607" i="22"/>
  <c r="L2608" i="22"/>
  <c r="L2609" i="22"/>
  <c r="L2610" i="22"/>
  <c r="L2611" i="22"/>
  <c r="L2612" i="22"/>
  <c r="L2613" i="22"/>
  <c r="L2614" i="22"/>
  <c r="L2615" i="22"/>
  <c r="L2616" i="22"/>
  <c r="L2617" i="22"/>
  <c r="L2618" i="22"/>
  <c r="L2619" i="22"/>
  <c r="L2620" i="22"/>
  <c r="L2621" i="22"/>
  <c r="L2622" i="22"/>
  <c r="L2623" i="22"/>
  <c r="L2624" i="22"/>
  <c r="L2625" i="22"/>
  <c r="L2626" i="22"/>
  <c r="L2627" i="22"/>
  <c r="L2628" i="22"/>
  <c r="L2629" i="22"/>
  <c r="L2630" i="22"/>
  <c r="L2631" i="22"/>
  <c r="L2632" i="22"/>
  <c r="L2633" i="22"/>
  <c r="L2634" i="22"/>
  <c r="L2635" i="22"/>
  <c r="L2636" i="22"/>
  <c r="L2637" i="22"/>
  <c r="L2638" i="22"/>
  <c r="L2639" i="22"/>
  <c r="L2640" i="22"/>
  <c r="L2641" i="22"/>
  <c r="L2642" i="22"/>
  <c r="L2643" i="22"/>
  <c r="L2644" i="22"/>
  <c r="L2645" i="22"/>
  <c r="L2646" i="22"/>
  <c r="L2647" i="22"/>
  <c r="L2648" i="22"/>
  <c r="L2649" i="22"/>
  <c r="L2650" i="22"/>
  <c r="L2651" i="22"/>
  <c r="L2652" i="22"/>
  <c r="L2653" i="22"/>
  <c r="L2654" i="22"/>
  <c r="L2655" i="22"/>
  <c r="L2656" i="22"/>
  <c r="L2657" i="22"/>
  <c r="L2658" i="22"/>
  <c r="L2659" i="22"/>
  <c r="L2660" i="22"/>
  <c r="L2661" i="22"/>
  <c r="L2662" i="22"/>
  <c r="L2663" i="22"/>
  <c r="L2664" i="22"/>
  <c r="L2665" i="22"/>
  <c r="L2666" i="22"/>
  <c r="L2667" i="22"/>
  <c r="L2668" i="22"/>
  <c r="L2669" i="22"/>
  <c r="L2670" i="22"/>
  <c r="L2671" i="22"/>
  <c r="L2672" i="22"/>
  <c r="L2673" i="22"/>
  <c r="L2674" i="22"/>
  <c r="L2675" i="22"/>
  <c r="L2676" i="22"/>
  <c r="L2677" i="22"/>
  <c r="L2678" i="22"/>
  <c r="L2679" i="22"/>
  <c r="L2680" i="22"/>
  <c r="L2681" i="22"/>
  <c r="L2682" i="22"/>
  <c r="L2683" i="22"/>
  <c r="L2684" i="22"/>
  <c r="L2685" i="22"/>
  <c r="L2686" i="22"/>
  <c r="L2687" i="22"/>
  <c r="L2688" i="22"/>
  <c r="L2689" i="22"/>
  <c r="L2690" i="22"/>
  <c r="L2691" i="22"/>
  <c r="L2692" i="22"/>
  <c r="L2693" i="22"/>
  <c r="L2694" i="22"/>
  <c r="L2695" i="22"/>
  <c r="L2696" i="22"/>
  <c r="L2697" i="22"/>
  <c r="L2698" i="22"/>
  <c r="L2699" i="22"/>
  <c r="L2700" i="22"/>
  <c r="L2701" i="22"/>
  <c r="L2702" i="22"/>
  <c r="L2703" i="22"/>
  <c r="L2704" i="22"/>
  <c r="L2705" i="22"/>
  <c r="L2706" i="22"/>
  <c r="L2707" i="22"/>
  <c r="L2708" i="22"/>
  <c r="L2709" i="22"/>
  <c r="L2710" i="22"/>
  <c r="L2711" i="22"/>
  <c r="L2712" i="22"/>
  <c r="L2713" i="22"/>
  <c r="L2714" i="22"/>
  <c r="L2715" i="22"/>
  <c r="L2716" i="22"/>
  <c r="L2717" i="22"/>
  <c r="L2718" i="22"/>
  <c r="L2719" i="22"/>
  <c r="L2720" i="22"/>
  <c r="L2721" i="22"/>
  <c r="L2722" i="22"/>
  <c r="L2723" i="22"/>
  <c r="L2724" i="22"/>
  <c r="L2725" i="22"/>
  <c r="L2726" i="22"/>
  <c r="L2727" i="22"/>
  <c r="L2728" i="22"/>
  <c r="L2729" i="22"/>
  <c r="L2730" i="22"/>
  <c r="L2731" i="22"/>
  <c r="L2732" i="22"/>
  <c r="L2733" i="22"/>
  <c r="L2734" i="22"/>
  <c r="L2735" i="22"/>
  <c r="L2736" i="22"/>
  <c r="L2737" i="22"/>
  <c r="L2738" i="22"/>
  <c r="L2739" i="22"/>
  <c r="L2740" i="22"/>
  <c r="L2741" i="22"/>
  <c r="L2742" i="22"/>
  <c r="L2743" i="22"/>
  <c r="L2744" i="22"/>
  <c r="L2745" i="22"/>
  <c r="L2746" i="22"/>
  <c r="L2747" i="22"/>
  <c r="L2748" i="22"/>
  <c r="L2749" i="22"/>
  <c r="L2750" i="22"/>
  <c r="L2751" i="22"/>
  <c r="L2752" i="22"/>
  <c r="L2753" i="22"/>
  <c r="L2754" i="22"/>
  <c r="L2755" i="22"/>
  <c r="L2756" i="22"/>
  <c r="L2757" i="22"/>
  <c r="L2758" i="22"/>
  <c r="L2759" i="22"/>
  <c r="L2760" i="22"/>
  <c r="L2761" i="22"/>
  <c r="L2762" i="22"/>
  <c r="L2763" i="22"/>
  <c r="L2764" i="22"/>
  <c r="L2765" i="22"/>
  <c r="L2766" i="22"/>
  <c r="L2767" i="22"/>
  <c r="L2768" i="22"/>
  <c r="L2769" i="22"/>
  <c r="L2770" i="22"/>
  <c r="L2771" i="22"/>
  <c r="L2772" i="22"/>
  <c r="L2773" i="22"/>
  <c r="L2774" i="22"/>
  <c r="L2775" i="22"/>
  <c r="L2776" i="22"/>
  <c r="L2777" i="22"/>
  <c r="L2778" i="22"/>
  <c r="L2779" i="22"/>
  <c r="L2780" i="22"/>
  <c r="L2781" i="22"/>
  <c r="L2782" i="22"/>
  <c r="L2783" i="22"/>
  <c r="L2784" i="22"/>
  <c r="L2785" i="22"/>
  <c r="L2786" i="22"/>
  <c r="L2787" i="22"/>
  <c r="L2788" i="22"/>
  <c r="L2789" i="22"/>
  <c r="L2790" i="22"/>
  <c r="L2791" i="22"/>
  <c r="L2792" i="22"/>
  <c r="L2793" i="22"/>
  <c r="L2794" i="22"/>
  <c r="L2795" i="22"/>
  <c r="L2796" i="22"/>
  <c r="L2797" i="22"/>
  <c r="L2798" i="22"/>
  <c r="L2799" i="22"/>
  <c r="L2800" i="22"/>
  <c r="L2801" i="22"/>
  <c r="L2802" i="22"/>
  <c r="L2803" i="22"/>
  <c r="L2804" i="22"/>
  <c r="L2805" i="22"/>
  <c r="L2806" i="22"/>
  <c r="L2807" i="22"/>
  <c r="L2808" i="22"/>
  <c r="L2809" i="22"/>
  <c r="L2810" i="22"/>
  <c r="L2811" i="22"/>
  <c r="L2812" i="22"/>
  <c r="L2813" i="22"/>
  <c r="L2814" i="22"/>
  <c r="L2815" i="22"/>
  <c r="L2816" i="22"/>
  <c r="L2817" i="22"/>
  <c r="L2818" i="22"/>
  <c r="L2819" i="22"/>
  <c r="L2820" i="22"/>
  <c r="L2821" i="22"/>
  <c r="L2822" i="22"/>
  <c r="L2823" i="22"/>
  <c r="L2824" i="22"/>
  <c r="L2825" i="22"/>
  <c r="L2826" i="22"/>
  <c r="L2827" i="22"/>
  <c r="L2828" i="22"/>
  <c r="L2829" i="22"/>
  <c r="L2830" i="22"/>
  <c r="L2831" i="22"/>
  <c r="L2832" i="22"/>
  <c r="L2833" i="22"/>
  <c r="L2834" i="22"/>
  <c r="L2835" i="22"/>
  <c r="L2836" i="22"/>
  <c r="L2837" i="22"/>
  <c r="L2838" i="22"/>
  <c r="L2839" i="22"/>
  <c r="L2840" i="22"/>
  <c r="L2841" i="22"/>
  <c r="L2842" i="22"/>
  <c r="L2843" i="22"/>
  <c r="L2844" i="22"/>
  <c r="L2845" i="22"/>
  <c r="L2846" i="22"/>
  <c r="L2847" i="22"/>
  <c r="L2848" i="22"/>
  <c r="L2849" i="22"/>
  <c r="L2850" i="22"/>
  <c r="L2851" i="22"/>
  <c r="L2852" i="22"/>
  <c r="L2853" i="22"/>
  <c r="L2854" i="22"/>
  <c r="L2855" i="22"/>
  <c r="L2856" i="22"/>
  <c r="L2857" i="22"/>
  <c r="L2858" i="22"/>
  <c r="L2859" i="22"/>
  <c r="L2860" i="22"/>
  <c r="L2861" i="22"/>
  <c r="L2862" i="22"/>
  <c r="L2863" i="22"/>
  <c r="L2864" i="22"/>
  <c r="L2865" i="22"/>
  <c r="L2866" i="22"/>
  <c r="L2867" i="22"/>
  <c r="L2868" i="22"/>
  <c r="L2869" i="22"/>
  <c r="L2870" i="22"/>
  <c r="L2871" i="22"/>
  <c r="L2872" i="22"/>
  <c r="L2873" i="22"/>
  <c r="L2874" i="22"/>
  <c r="L2875" i="22"/>
  <c r="L2876" i="22"/>
  <c r="L2877" i="22"/>
  <c r="L2878" i="22"/>
  <c r="L2879" i="22"/>
  <c r="L2880" i="22"/>
  <c r="L2881" i="22"/>
  <c r="L2882" i="22"/>
  <c r="L2883" i="22"/>
  <c r="L2884" i="22"/>
  <c r="L2885" i="22"/>
  <c r="L2886" i="22"/>
  <c r="L2887" i="22"/>
  <c r="L2888" i="22"/>
  <c r="L2889" i="22"/>
  <c r="L2890" i="22"/>
  <c r="L2891" i="22"/>
  <c r="L2892" i="22"/>
  <c r="L2893" i="22"/>
  <c r="L2894" i="22"/>
  <c r="L2895" i="22"/>
  <c r="L2896" i="22"/>
  <c r="L2897" i="22"/>
  <c r="L2898" i="22"/>
  <c r="L2899" i="22"/>
  <c r="L2900" i="22"/>
  <c r="L2901" i="22"/>
  <c r="L2902" i="22"/>
  <c r="L2903" i="22"/>
  <c r="L2904" i="22"/>
  <c r="L2905" i="22"/>
  <c r="L2906" i="22"/>
  <c r="L2907" i="22"/>
  <c r="L2908" i="22"/>
  <c r="L2909" i="22"/>
  <c r="L2910" i="22"/>
  <c r="L2911" i="22"/>
  <c r="L2912" i="22"/>
  <c r="L2913" i="22"/>
  <c r="L2914" i="22"/>
  <c r="L2915" i="22"/>
  <c r="L2916" i="22"/>
  <c r="L2917" i="22"/>
  <c r="L2918" i="22"/>
  <c r="L2919" i="22"/>
  <c r="L2920" i="22"/>
  <c r="L2921" i="22"/>
  <c r="L2922" i="22"/>
  <c r="L2923" i="22"/>
  <c r="L2924" i="22"/>
  <c r="L2925" i="22"/>
  <c r="L2926" i="22"/>
  <c r="L2927" i="22"/>
  <c r="L2928" i="22"/>
  <c r="L2929" i="22"/>
  <c r="L2930" i="22"/>
  <c r="L2931" i="22"/>
  <c r="L2932" i="22"/>
  <c r="L2933" i="22"/>
  <c r="L2934" i="22"/>
  <c r="L2935" i="22"/>
  <c r="L2936" i="22"/>
  <c r="L2937" i="22"/>
  <c r="L2938" i="22"/>
  <c r="L2939" i="22"/>
  <c r="L2940" i="22"/>
  <c r="L2941" i="22"/>
  <c r="L2942" i="22"/>
  <c r="L2943" i="22"/>
  <c r="L2944" i="22"/>
  <c r="L2945" i="22"/>
  <c r="L2946" i="22"/>
  <c r="L2947" i="22"/>
  <c r="L2948" i="22"/>
  <c r="L2949" i="22"/>
  <c r="L2950" i="22"/>
  <c r="L2951" i="22"/>
  <c r="L2952" i="22"/>
  <c r="L2953" i="22"/>
  <c r="L2954" i="22"/>
  <c r="L2955" i="22"/>
  <c r="L2956" i="22"/>
  <c r="L2957" i="22"/>
  <c r="L2958" i="22"/>
  <c r="L2959" i="22"/>
  <c r="L2960" i="22"/>
  <c r="L2961" i="22"/>
  <c r="L2962" i="22"/>
  <c r="L2963" i="22"/>
  <c r="L2964" i="22"/>
  <c r="L2965" i="22"/>
  <c r="L2966" i="22"/>
  <c r="L2967" i="22"/>
  <c r="L2968" i="22"/>
  <c r="L2969" i="22"/>
  <c r="L2970" i="22"/>
  <c r="L2971" i="22"/>
  <c r="L2972" i="22"/>
  <c r="L2973" i="22"/>
  <c r="L2974" i="22"/>
  <c r="L2975" i="22"/>
  <c r="L2976" i="22"/>
  <c r="L2977" i="22"/>
  <c r="L2978" i="22"/>
  <c r="L2979" i="22"/>
  <c r="L2980" i="22"/>
  <c r="L2981" i="22"/>
  <c r="L2982" i="22"/>
  <c r="L2983" i="22"/>
  <c r="L2984" i="22"/>
  <c r="L2985" i="22"/>
  <c r="L2986" i="22"/>
  <c r="L2987" i="22"/>
  <c r="L2988" i="22"/>
  <c r="L2989" i="22"/>
  <c r="L2990" i="22"/>
  <c r="L2991" i="22"/>
  <c r="L2992" i="22"/>
  <c r="L2993" i="22"/>
  <c r="L2994" i="22"/>
  <c r="L2995" i="22"/>
  <c r="L2996" i="22"/>
  <c r="L2997" i="22"/>
  <c r="L2998" i="22"/>
  <c r="L2999" i="22"/>
  <c r="L3000" i="22"/>
  <c r="L3001" i="22"/>
  <c r="L3002" i="22"/>
  <c r="L3003" i="22"/>
  <c r="L3004" i="22"/>
  <c r="L3005" i="22"/>
  <c r="L3006" i="22"/>
  <c r="L3007" i="22"/>
  <c r="L3008" i="22"/>
  <c r="L3009" i="22"/>
  <c r="L3010" i="22"/>
  <c r="L3011" i="22"/>
  <c r="L3012" i="22"/>
  <c r="L3013" i="22"/>
  <c r="L3014" i="22"/>
  <c r="L3015" i="22"/>
  <c r="L3016" i="22"/>
  <c r="L3017" i="22"/>
  <c r="L3018" i="22"/>
  <c r="L3019" i="22"/>
  <c r="L3020" i="22"/>
  <c r="L3021" i="22"/>
  <c r="L3022" i="22"/>
  <c r="L3023" i="22"/>
  <c r="L3024" i="22"/>
  <c r="L3025" i="22"/>
  <c r="L3026" i="22"/>
  <c r="L3027" i="22"/>
  <c r="L3028" i="22"/>
  <c r="L3029" i="22"/>
  <c r="L3030" i="22"/>
  <c r="L3031" i="22"/>
  <c r="L3032" i="22"/>
  <c r="L3033" i="22"/>
  <c r="L3034" i="22"/>
  <c r="L3035" i="22"/>
  <c r="L3036" i="22"/>
  <c r="L3037" i="22"/>
  <c r="L3038" i="22"/>
  <c r="L3039" i="22"/>
  <c r="L3040" i="22"/>
  <c r="L3041" i="22"/>
  <c r="L3042" i="22"/>
  <c r="L3043" i="22"/>
  <c r="L3044" i="22"/>
  <c r="L3045" i="22"/>
  <c r="L3046" i="22"/>
  <c r="L3047" i="22"/>
  <c r="L3048" i="22"/>
  <c r="L3049" i="22"/>
  <c r="L3050" i="22"/>
  <c r="L3051" i="22"/>
  <c r="L3052" i="22"/>
  <c r="L3053" i="22"/>
  <c r="L3054" i="22"/>
  <c r="L3055" i="22"/>
  <c r="L3056" i="22"/>
  <c r="L3057" i="22"/>
  <c r="L3058" i="22"/>
  <c r="L3059" i="22"/>
  <c r="L3060" i="22"/>
  <c r="L3061" i="22"/>
  <c r="L3062" i="22"/>
  <c r="L3063" i="22"/>
  <c r="L3064" i="22"/>
  <c r="L3065" i="22"/>
  <c r="L3066" i="22"/>
  <c r="L3067" i="22"/>
  <c r="L3068" i="22"/>
  <c r="L3069" i="22"/>
  <c r="L3070" i="22"/>
  <c r="L3071" i="22"/>
  <c r="L3072" i="22"/>
  <c r="L3073" i="22"/>
  <c r="L3074" i="22"/>
  <c r="L3075" i="22"/>
  <c r="L3076" i="22"/>
  <c r="L3077" i="22"/>
  <c r="L3078" i="22"/>
  <c r="L3079" i="22"/>
  <c r="L3080" i="22"/>
  <c r="L3081" i="22"/>
  <c r="L3082" i="22"/>
  <c r="L3083" i="22"/>
  <c r="L3084" i="22"/>
  <c r="L3085" i="22"/>
  <c r="L3086" i="22"/>
  <c r="L3087" i="22"/>
  <c r="L3088" i="22"/>
  <c r="L3089" i="22"/>
  <c r="L3090" i="22"/>
  <c r="L3091" i="22"/>
  <c r="L3092" i="22"/>
  <c r="L3093" i="22"/>
  <c r="L3094" i="22"/>
  <c r="L3095" i="22"/>
  <c r="L3096" i="22"/>
  <c r="L3097" i="22"/>
  <c r="L3098" i="22"/>
  <c r="L3099" i="22"/>
  <c r="L3100" i="22"/>
  <c r="L3101" i="22"/>
  <c r="L3102" i="22"/>
  <c r="L3103" i="22"/>
  <c r="L3104" i="22"/>
  <c r="L3105" i="22"/>
  <c r="L3106" i="22"/>
  <c r="L3107" i="22"/>
  <c r="L3108" i="22"/>
  <c r="L3109" i="22"/>
  <c r="L3110" i="22"/>
  <c r="L3111" i="22"/>
  <c r="L3112" i="22"/>
  <c r="L3113" i="22"/>
  <c r="L3114" i="22"/>
  <c r="L3115" i="22"/>
  <c r="L3116" i="22"/>
  <c r="L3117" i="22"/>
  <c r="L3118" i="22"/>
  <c r="L3119" i="22"/>
  <c r="L3120" i="22"/>
  <c r="L3121" i="22"/>
  <c r="L3122" i="22"/>
  <c r="L3123" i="22"/>
  <c r="L3124" i="22"/>
  <c r="L3125" i="22"/>
  <c r="L3126" i="22"/>
  <c r="L3127" i="22"/>
  <c r="L3128" i="22"/>
  <c r="L3129" i="22"/>
  <c r="L3130" i="22"/>
  <c r="L3131" i="22"/>
  <c r="L3132" i="22"/>
  <c r="L3133" i="22"/>
  <c r="L3134" i="22"/>
  <c r="L3135" i="22"/>
  <c r="L3136" i="22"/>
  <c r="L3137" i="22"/>
  <c r="L3138" i="22"/>
  <c r="L3139" i="22"/>
  <c r="L3140" i="22"/>
  <c r="L3141" i="22"/>
  <c r="L3142" i="22"/>
  <c r="L3143" i="22"/>
  <c r="L3144" i="22"/>
  <c r="L3145" i="22"/>
  <c r="L3146" i="22"/>
  <c r="L3147" i="22"/>
  <c r="L3148" i="22"/>
  <c r="L3149" i="22"/>
  <c r="L3150" i="22"/>
  <c r="L3151" i="22"/>
  <c r="L3152" i="22"/>
  <c r="L3153" i="22"/>
  <c r="L3154" i="22"/>
  <c r="L3155" i="22"/>
  <c r="L3156" i="22"/>
  <c r="L3157" i="22"/>
  <c r="L3158" i="22"/>
  <c r="L3159" i="22"/>
  <c r="L3160" i="22"/>
  <c r="L3161" i="22"/>
  <c r="L3162" i="22"/>
  <c r="L3163" i="22"/>
  <c r="L3164" i="22"/>
  <c r="L3165" i="22"/>
  <c r="L3166" i="22"/>
  <c r="L3167" i="22"/>
  <c r="L3168" i="22"/>
  <c r="L3169" i="22"/>
  <c r="L3170" i="22"/>
  <c r="L3171" i="22"/>
  <c r="L3172" i="22"/>
  <c r="L3173" i="22"/>
  <c r="L3174" i="22"/>
  <c r="L3175" i="22"/>
  <c r="L3176" i="22"/>
  <c r="L3177" i="22"/>
  <c r="L3178" i="22"/>
  <c r="L3179" i="22"/>
  <c r="L3180" i="22"/>
  <c r="L3181" i="22"/>
  <c r="L3182" i="22"/>
  <c r="L3183" i="22"/>
  <c r="L3184" i="22"/>
  <c r="L3185" i="22"/>
  <c r="L3186" i="22"/>
  <c r="L3187" i="22"/>
  <c r="L3188" i="22"/>
  <c r="L3189" i="22"/>
  <c r="L3190" i="22"/>
  <c r="L3191" i="22"/>
  <c r="L3192" i="22"/>
  <c r="L3193" i="22"/>
  <c r="L3194" i="22"/>
  <c r="L3195" i="22"/>
  <c r="L3196" i="22"/>
  <c r="L3197" i="22"/>
  <c r="L3198" i="22"/>
  <c r="L3199" i="22"/>
  <c r="L3200" i="22"/>
  <c r="L3201" i="22"/>
  <c r="L3202" i="22"/>
  <c r="L3203" i="22"/>
  <c r="L3204" i="22"/>
  <c r="L3205" i="22"/>
  <c r="L3206" i="22"/>
  <c r="L3207" i="22"/>
  <c r="L3208" i="22"/>
  <c r="L3209" i="22"/>
  <c r="L3210" i="22"/>
  <c r="L3211" i="22"/>
  <c r="L3212" i="22"/>
  <c r="L3213" i="22"/>
  <c r="L3214" i="22"/>
  <c r="L3215" i="22"/>
  <c r="L3216" i="22"/>
  <c r="L3217" i="22"/>
  <c r="L3218" i="22"/>
  <c r="L3219" i="22"/>
  <c r="L3220" i="22"/>
  <c r="L3221" i="22"/>
  <c r="L3222" i="22"/>
  <c r="L3223" i="22"/>
  <c r="L3224" i="22"/>
  <c r="L3225" i="22"/>
  <c r="L3226" i="22"/>
  <c r="L3227" i="22"/>
  <c r="L3228" i="22"/>
  <c r="L3229" i="22"/>
  <c r="L3230" i="22"/>
  <c r="L3231" i="22"/>
  <c r="L3232" i="22"/>
  <c r="L3233" i="22"/>
  <c r="L3234" i="22"/>
  <c r="L3235" i="22"/>
  <c r="L3236" i="22"/>
  <c r="L3237" i="22"/>
  <c r="L3238" i="22"/>
  <c r="L3239" i="22"/>
  <c r="L3240" i="22"/>
  <c r="L3241" i="22"/>
  <c r="L3242" i="22"/>
  <c r="L3243" i="22"/>
  <c r="L3244" i="22"/>
  <c r="L3245" i="22"/>
  <c r="L3246" i="22"/>
  <c r="L3247" i="22"/>
  <c r="L3248" i="22"/>
  <c r="L3249" i="22"/>
  <c r="L3250" i="22"/>
  <c r="L3251" i="22"/>
  <c r="L3252" i="22"/>
  <c r="L3253" i="22"/>
  <c r="L3254" i="22"/>
  <c r="L3255" i="22"/>
  <c r="L3256" i="22"/>
  <c r="L3257" i="22"/>
  <c r="L3258" i="22"/>
  <c r="L3259" i="22"/>
  <c r="L3260" i="22"/>
  <c r="L3261" i="22"/>
  <c r="L3262" i="22"/>
  <c r="L3263" i="22"/>
  <c r="L3264" i="22"/>
  <c r="L3265" i="22"/>
  <c r="L3266" i="22"/>
  <c r="L3267" i="22"/>
  <c r="L3268" i="22"/>
  <c r="L3269" i="22"/>
  <c r="L3270" i="22"/>
  <c r="L3271" i="22"/>
  <c r="L3272" i="22"/>
  <c r="L3273" i="22"/>
  <c r="L3274" i="22"/>
  <c r="L3275" i="22"/>
  <c r="L3276" i="22"/>
  <c r="L3277" i="22"/>
  <c r="L3278" i="22"/>
  <c r="L3279" i="22"/>
  <c r="L3280" i="22"/>
  <c r="L3281" i="22"/>
  <c r="L3282" i="22"/>
  <c r="L3283" i="22"/>
  <c r="L3284" i="22"/>
  <c r="L3285" i="22"/>
  <c r="L3286" i="22"/>
  <c r="L3287" i="22"/>
  <c r="L3288" i="22"/>
  <c r="L3289" i="22"/>
  <c r="L3290" i="22"/>
  <c r="L3291" i="22"/>
  <c r="L3292" i="22"/>
  <c r="L3293" i="22"/>
  <c r="L3294" i="22"/>
  <c r="L3295" i="22"/>
  <c r="L3296" i="22"/>
  <c r="L3297" i="22"/>
  <c r="L3298" i="22"/>
  <c r="L3299" i="22"/>
  <c r="L3300" i="22"/>
  <c r="L3301" i="22"/>
  <c r="L3302" i="22"/>
  <c r="L3303" i="22"/>
  <c r="L3304" i="22"/>
  <c r="L3305" i="22"/>
  <c r="L3306" i="22"/>
  <c r="L3307" i="22"/>
  <c r="L3308" i="22"/>
  <c r="L3309" i="22"/>
  <c r="L3310" i="22"/>
  <c r="L3311" i="22"/>
  <c r="L3312" i="22"/>
  <c r="L3313" i="22"/>
  <c r="L3314" i="22"/>
  <c r="L3315" i="22"/>
  <c r="L3316" i="22"/>
  <c r="L3317" i="22"/>
  <c r="L3318" i="22"/>
  <c r="L3319" i="22"/>
  <c r="L3320" i="22"/>
  <c r="L3321" i="22"/>
  <c r="L3322" i="22"/>
  <c r="L3323" i="22"/>
  <c r="L3324" i="22"/>
  <c r="L3325" i="22"/>
  <c r="L3326" i="22"/>
  <c r="L3327" i="22"/>
  <c r="L3328" i="22"/>
  <c r="L3329" i="22"/>
  <c r="L3330" i="22"/>
  <c r="L3331" i="22"/>
  <c r="L3332" i="22"/>
  <c r="L3333" i="22"/>
  <c r="L3334" i="22"/>
  <c r="L3335" i="22"/>
  <c r="L3336" i="22"/>
  <c r="L3337" i="22"/>
  <c r="L3338" i="22"/>
  <c r="L3339" i="22"/>
  <c r="L3340" i="22"/>
  <c r="L3341" i="22"/>
  <c r="L3342" i="22"/>
  <c r="L3343" i="22"/>
  <c r="L3344" i="22"/>
  <c r="L3345" i="22"/>
  <c r="L3346" i="22"/>
  <c r="L3347" i="22"/>
  <c r="L3348" i="22"/>
  <c r="L3349" i="22"/>
  <c r="L3350" i="22"/>
  <c r="L3351" i="22"/>
  <c r="L3352" i="22"/>
  <c r="L3353" i="22"/>
  <c r="L3354" i="22"/>
  <c r="L3355" i="22"/>
  <c r="L3356" i="22"/>
  <c r="L3357" i="22"/>
  <c r="L3358" i="22"/>
  <c r="L3359" i="22"/>
  <c r="L3360" i="22"/>
  <c r="L3361" i="22"/>
  <c r="L3362" i="22"/>
  <c r="L3363" i="22"/>
  <c r="L3364" i="22"/>
  <c r="L3365" i="22"/>
  <c r="L3366" i="22"/>
  <c r="L3367" i="22"/>
  <c r="L3368" i="22"/>
  <c r="L3369" i="22"/>
  <c r="L3370" i="22"/>
  <c r="L3371" i="22"/>
  <c r="L3372" i="22"/>
  <c r="L3373" i="22"/>
  <c r="L3374" i="22"/>
  <c r="L3375" i="22"/>
  <c r="L3376" i="22"/>
  <c r="L3377" i="22"/>
  <c r="L3378" i="22"/>
  <c r="L3379" i="22"/>
  <c r="L3380" i="22"/>
  <c r="L3381" i="22"/>
  <c r="L3382" i="22"/>
  <c r="L3383" i="22"/>
  <c r="L3384" i="22"/>
  <c r="L3385" i="22"/>
  <c r="L3386" i="22"/>
  <c r="L3387" i="22"/>
  <c r="L3388" i="22"/>
  <c r="L3389" i="22"/>
  <c r="L3390" i="22"/>
  <c r="L3391" i="22"/>
  <c r="L3392" i="22"/>
  <c r="L3393" i="22"/>
  <c r="L3394" i="22"/>
  <c r="L3395" i="22"/>
  <c r="L3396" i="22"/>
  <c r="L3397" i="22"/>
  <c r="L3398" i="22"/>
  <c r="L3399" i="22"/>
  <c r="L3400" i="22"/>
  <c r="L3401" i="22"/>
  <c r="L3402" i="22"/>
  <c r="L3403" i="22"/>
  <c r="L3404" i="22"/>
  <c r="L3405" i="22"/>
  <c r="L3406" i="22"/>
  <c r="L3407" i="22"/>
  <c r="L3408" i="22"/>
  <c r="L3409" i="22"/>
  <c r="L3410" i="22"/>
  <c r="L3411" i="22"/>
  <c r="L3412" i="22"/>
  <c r="L3413" i="22"/>
  <c r="L3414" i="22"/>
  <c r="L3415" i="22"/>
  <c r="L3416" i="22"/>
  <c r="L3417" i="22"/>
  <c r="L3418" i="22"/>
  <c r="L3419" i="22"/>
  <c r="L3420" i="22"/>
  <c r="L3421" i="22"/>
  <c r="L3422" i="22"/>
  <c r="L3423" i="22"/>
  <c r="L3424" i="22"/>
  <c r="L3425" i="22"/>
  <c r="L3426" i="22"/>
  <c r="L3427" i="22"/>
  <c r="L3428" i="22"/>
  <c r="L3429" i="22"/>
  <c r="L3430" i="22"/>
  <c r="L3431" i="22"/>
  <c r="L3432" i="22"/>
  <c r="L3433" i="22"/>
  <c r="L3434" i="22"/>
  <c r="L3435" i="22"/>
  <c r="L3436" i="22"/>
  <c r="L3437" i="22"/>
  <c r="L3438" i="22"/>
  <c r="L3439" i="22"/>
  <c r="L3440" i="22"/>
  <c r="L3441" i="22"/>
  <c r="L3442" i="22"/>
  <c r="L3443" i="22"/>
  <c r="L3444" i="22"/>
  <c r="L3445" i="22"/>
  <c r="L3446" i="22"/>
  <c r="L3447" i="22"/>
  <c r="L3448" i="22"/>
  <c r="L3449" i="22"/>
  <c r="L3450" i="22"/>
  <c r="L3451" i="22"/>
  <c r="L3452" i="22"/>
  <c r="L3453" i="22"/>
  <c r="L3454" i="22"/>
  <c r="L3455" i="22"/>
  <c r="L3456" i="22"/>
  <c r="L3457" i="22"/>
  <c r="L3458" i="22"/>
  <c r="L3459" i="22"/>
  <c r="L3460" i="22"/>
  <c r="L3461" i="22"/>
  <c r="L3462" i="22"/>
  <c r="L3463" i="22"/>
  <c r="L3464" i="22"/>
  <c r="L3465" i="22"/>
  <c r="L3466" i="22"/>
  <c r="L3467" i="22"/>
  <c r="L3468" i="22"/>
  <c r="L3469" i="22"/>
  <c r="L3470" i="22"/>
  <c r="L3471" i="22"/>
  <c r="L3472" i="22"/>
  <c r="L3473" i="22"/>
  <c r="L3474" i="22"/>
  <c r="L3475" i="22"/>
  <c r="L3476" i="22"/>
  <c r="L3477" i="22"/>
  <c r="L3478" i="22"/>
  <c r="L3479" i="22"/>
  <c r="L3480" i="22"/>
  <c r="L3481" i="22"/>
  <c r="L3482" i="22"/>
  <c r="L3483" i="22"/>
  <c r="L3484" i="22"/>
  <c r="L3485" i="22"/>
  <c r="L3486" i="22"/>
  <c r="L3487" i="22"/>
  <c r="L3488" i="22"/>
  <c r="L3489" i="22"/>
  <c r="L3490" i="22"/>
  <c r="L3491" i="22"/>
  <c r="L3492" i="22"/>
  <c r="L3493" i="22"/>
  <c r="L3494" i="22"/>
  <c r="L3495" i="22"/>
  <c r="L3496" i="22"/>
  <c r="L3497" i="22"/>
  <c r="L3498" i="22"/>
  <c r="L3499" i="22"/>
  <c r="L3500" i="22"/>
  <c r="L3501" i="22"/>
  <c r="L3502" i="22"/>
  <c r="L3503" i="22"/>
  <c r="L3504" i="22"/>
  <c r="L3505" i="22"/>
  <c r="L3506" i="22"/>
  <c r="L3507" i="22"/>
  <c r="L3508" i="22"/>
  <c r="L3509" i="22"/>
  <c r="L3510" i="22"/>
  <c r="L3511" i="22"/>
  <c r="L3512" i="22"/>
  <c r="L3513" i="22"/>
  <c r="L3514" i="22"/>
  <c r="L3515" i="22"/>
  <c r="L3516" i="22"/>
  <c r="L3517" i="22"/>
  <c r="L3518" i="22"/>
  <c r="L3519" i="22"/>
  <c r="L3520" i="22"/>
  <c r="L3521" i="22"/>
  <c r="L3522" i="22"/>
  <c r="L3523" i="22"/>
  <c r="L3524" i="22"/>
  <c r="L3525" i="22"/>
  <c r="L3526" i="22"/>
  <c r="L3527" i="22"/>
  <c r="L3528" i="22"/>
  <c r="L3529" i="22"/>
  <c r="L3530" i="22"/>
  <c r="L3531" i="22"/>
  <c r="L3532" i="22"/>
  <c r="L3533" i="22"/>
  <c r="L3534" i="22"/>
  <c r="L3535" i="22"/>
  <c r="L3536" i="22"/>
  <c r="L3537" i="22"/>
  <c r="L3538" i="22"/>
  <c r="L3539" i="22"/>
  <c r="L3540" i="22"/>
  <c r="L3541" i="22"/>
  <c r="L3542" i="22"/>
  <c r="L3543" i="22"/>
  <c r="L3544" i="22"/>
  <c r="L3545" i="22"/>
  <c r="L3546" i="22"/>
  <c r="L3547" i="22"/>
  <c r="L3548" i="22"/>
  <c r="L3549" i="22"/>
  <c r="L3550" i="22"/>
  <c r="L3551" i="22"/>
  <c r="L3552" i="22"/>
  <c r="L3553" i="22"/>
  <c r="L3554" i="22"/>
  <c r="L3555" i="22"/>
  <c r="L3556" i="22"/>
  <c r="L3557" i="22"/>
  <c r="L3558" i="22"/>
  <c r="L3559" i="22"/>
  <c r="L3560" i="22"/>
  <c r="L3561" i="22"/>
  <c r="L3562" i="22"/>
  <c r="L3563" i="22"/>
  <c r="L3564" i="22"/>
  <c r="L3565" i="22"/>
  <c r="L3566" i="22"/>
  <c r="L3567" i="22"/>
  <c r="L3568" i="22"/>
  <c r="L3569" i="22"/>
  <c r="L3570" i="22"/>
  <c r="L3571" i="22"/>
  <c r="L3572" i="22"/>
  <c r="L3573" i="22"/>
  <c r="L3574" i="22"/>
  <c r="L3575" i="22"/>
  <c r="L3576" i="22"/>
  <c r="L3577" i="22"/>
  <c r="L3578" i="22"/>
  <c r="L3579" i="22"/>
  <c r="L3580" i="22"/>
  <c r="L3581" i="22"/>
  <c r="L3582" i="22"/>
  <c r="L3583" i="22"/>
  <c r="L3584" i="22"/>
  <c r="L3585" i="22"/>
  <c r="L3586" i="22"/>
  <c r="L3587" i="22"/>
  <c r="L3588" i="22"/>
  <c r="L3589" i="22"/>
  <c r="L3590" i="22"/>
  <c r="L3591" i="22"/>
  <c r="L3592" i="22"/>
  <c r="L3593" i="22"/>
  <c r="L3594" i="22"/>
  <c r="L3595" i="22"/>
  <c r="L3596" i="22"/>
  <c r="L3597" i="22"/>
  <c r="L3598" i="22"/>
  <c r="L3599" i="22"/>
  <c r="L3600" i="22"/>
  <c r="L3601" i="22"/>
  <c r="L3602" i="22"/>
  <c r="L3603" i="22"/>
  <c r="L3604" i="22"/>
  <c r="L3605" i="22"/>
  <c r="L3606" i="22"/>
  <c r="L3607" i="22"/>
  <c r="L3608" i="22"/>
  <c r="L3609" i="22"/>
  <c r="L3610" i="22"/>
  <c r="L3611" i="22"/>
  <c r="L3612" i="22"/>
  <c r="L3613" i="22"/>
  <c r="L3614" i="22"/>
  <c r="L3615" i="22"/>
  <c r="L3616" i="22"/>
  <c r="L3617" i="22"/>
  <c r="J6" i="23"/>
  <c r="J7" i="23"/>
  <c r="J8" i="23"/>
  <c r="J9" i="23"/>
  <c r="J10" i="23"/>
  <c r="J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212" i="23"/>
  <c r="J213" i="23"/>
  <c r="J214" i="23"/>
  <c r="J215" i="23"/>
  <c r="J216" i="23"/>
  <c r="J217" i="23"/>
  <c r="J218" i="23"/>
  <c r="J219" i="23"/>
  <c r="J220" i="23"/>
  <c r="J221" i="23"/>
  <c r="J222" i="23"/>
  <c r="J223" i="23"/>
  <c r="J224" i="23"/>
  <c r="J225" i="23"/>
  <c r="J226" i="23"/>
  <c r="J227" i="23"/>
  <c r="J228" i="23"/>
  <c r="J229" i="23"/>
  <c r="J230" i="23"/>
  <c r="J231" i="23"/>
  <c r="J232" i="23"/>
  <c r="J233" i="23"/>
  <c r="J234" i="23"/>
  <c r="J235" i="23"/>
  <c r="J236" i="23"/>
  <c r="J237" i="23"/>
  <c r="J238" i="23"/>
  <c r="J239" i="23"/>
  <c r="J240" i="23"/>
  <c r="J241" i="23"/>
  <c r="J242" i="23"/>
  <c r="J243" i="23"/>
  <c r="J244" i="23"/>
  <c r="J245" i="23"/>
  <c r="J246" i="23"/>
  <c r="J247" i="23"/>
  <c r="J248" i="23"/>
  <c r="J249" i="23"/>
  <c r="J250" i="23"/>
  <c r="J251" i="23"/>
  <c r="J252" i="23"/>
  <c r="J253" i="23"/>
  <c r="J254" i="23"/>
  <c r="J255" i="23"/>
  <c r="J256" i="23"/>
  <c r="J257" i="23"/>
  <c r="J258" i="23"/>
  <c r="J259" i="23"/>
  <c r="J260" i="23"/>
  <c r="J261" i="23"/>
  <c r="J262" i="23"/>
  <c r="J263" i="23"/>
  <c r="J264" i="23"/>
  <c r="J265" i="23"/>
  <c r="J266" i="23"/>
  <c r="J267" i="23"/>
  <c r="J268" i="23"/>
  <c r="J269" i="23"/>
  <c r="J270" i="23"/>
  <c r="J271" i="23"/>
  <c r="J272" i="23"/>
  <c r="J273" i="23"/>
  <c r="J274" i="23"/>
  <c r="J275" i="23"/>
  <c r="J276" i="23"/>
  <c r="J277" i="23"/>
  <c r="J278" i="23"/>
  <c r="J279" i="23"/>
  <c r="J280" i="23"/>
  <c r="J281" i="23"/>
  <c r="J282" i="23"/>
  <c r="J283" i="23"/>
  <c r="J284" i="23"/>
  <c r="J285" i="23"/>
  <c r="J286" i="23"/>
  <c r="J287" i="23"/>
  <c r="J288" i="23"/>
  <c r="J289" i="23"/>
  <c r="J290" i="23"/>
  <c r="J291" i="23"/>
  <c r="J292" i="23"/>
  <c r="J293" i="23"/>
  <c r="J294" i="23"/>
  <c r="J295" i="23"/>
  <c r="J296" i="23"/>
  <c r="J297" i="23"/>
  <c r="J298" i="23"/>
  <c r="J299" i="23"/>
  <c r="J300" i="23"/>
  <c r="J301" i="23"/>
  <c r="J302" i="23"/>
  <c r="J303" i="23"/>
  <c r="J304" i="23"/>
  <c r="J305" i="23"/>
  <c r="J306" i="23"/>
  <c r="J307" i="23"/>
  <c r="J308" i="23"/>
  <c r="J309" i="23"/>
  <c r="J310" i="23"/>
  <c r="J311" i="23"/>
  <c r="J312" i="23"/>
  <c r="J313" i="23"/>
  <c r="J314" i="23"/>
  <c r="J315" i="23"/>
  <c r="J316" i="23"/>
  <c r="J317" i="23"/>
  <c r="J318" i="23"/>
  <c r="J319" i="23"/>
  <c r="J320" i="23"/>
  <c r="J321" i="23"/>
  <c r="J322" i="23"/>
  <c r="J323" i="23"/>
  <c r="J324" i="23"/>
  <c r="J325" i="23"/>
  <c r="J326" i="23"/>
  <c r="J327" i="23"/>
  <c r="J328" i="23"/>
  <c r="J329" i="23"/>
  <c r="J330" i="23"/>
  <c r="J331" i="23"/>
  <c r="J332" i="23"/>
  <c r="J333" i="23"/>
  <c r="J334" i="23"/>
  <c r="J335" i="23"/>
  <c r="J336" i="23"/>
  <c r="J337" i="23"/>
  <c r="J338" i="23"/>
  <c r="J339" i="23"/>
  <c r="J340" i="23"/>
  <c r="J341" i="23"/>
  <c r="J342" i="23"/>
  <c r="J343" i="23"/>
  <c r="J344" i="23"/>
  <c r="J345" i="23"/>
  <c r="J346" i="23"/>
  <c r="J347" i="23"/>
  <c r="J348" i="23"/>
  <c r="J349" i="23"/>
  <c r="J350" i="23"/>
  <c r="J351" i="23"/>
  <c r="J352" i="23"/>
  <c r="J353" i="23"/>
  <c r="J354" i="23"/>
  <c r="J355" i="23"/>
  <c r="J356" i="23"/>
  <c r="J357" i="23"/>
  <c r="J358" i="23"/>
  <c r="J359" i="23"/>
  <c r="J360" i="23"/>
  <c r="J361" i="23"/>
  <c r="J362" i="23"/>
  <c r="J363" i="23"/>
  <c r="J364" i="23"/>
  <c r="J365" i="23"/>
  <c r="J366" i="23"/>
  <c r="J367" i="23"/>
  <c r="J368" i="23"/>
  <c r="J369" i="23"/>
  <c r="J370" i="23"/>
  <c r="J371" i="23"/>
  <c r="J372" i="23"/>
  <c r="J373" i="23"/>
  <c r="J374" i="23"/>
  <c r="J375" i="23"/>
  <c r="J376" i="23"/>
  <c r="J377" i="23"/>
  <c r="J378" i="23"/>
  <c r="J379" i="23"/>
  <c r="J380" i="23"/>
  <c r="J381" i="23"/>
  <c r="J382" i="23"/>
  <c r="J383" i="23"/>
  <c r="J384" i="23"/>
  <c r="J385" i="23"/>
  <c r="J386" i="23"/>
  <c r="J387" i="23"/>
  <c r="J388" i="23"/>
  <c r="J389" i="23"/>
  <c r="J390" i="23"/>
  <c r="J391" i="23"/>
  <c r="J392" i="23"/>
  <c r="J393" i="23"/>
  <c r="J394" i="23"/>
  <c r="J395" i="23"/>
  <c r="J396" i="23"/>
  <c r="J397" i="23"/>
  <c r="J398" i="23"/>
  <c r="J399" i="23"/>
  <c r="J400" i="23"/>
  <c r="J401" i="23"/>
  <c r="J402" i="23"/>
  <c r="J403" i="23"/>
  <c r="J404" i="23"/>
  <c r="J405" i="23"/>
  <c r="J406" i="23"/>
  <c r="J407" i="23"/>
  <c r="J408" i="23"/>
  <c r="J409" i="23"/>
  <c r="J410" i="23"/>
  <c r="J411" i="23"/>
  <c r="J412" i="23"/>
  <c r="J413" i="23"/>
  <c r="J414" i="23"/>
  <c r="J415" i="23"/>
  <c r="J416" i="23"/>
  <c r="J417" i="23"/>
  <c r="J418" i="23"/>
  <c r="J419" i="23"/>
  <c r="J420" i="23"/>
  <c r="J421" i="23"/>
  <c r="J422" i="23"/>
  <c r="J423" i="23"/>
  <c r="J424" i="23"/>
  <c r="J425" i="23"/>
  <c r="J426" i="23"/>
  <c r="J427" i="23"/>
  <c r="J428" i="23"/>
  <c r="J429" i="23"/>
  <c r="J430" i="23"/>
  <c r="J431" i="23"/>
  <c r="J432" i="23"/>
  <c r="J433" i="23"/>
  <c r="J434" i="23"/>
  <c r="J435" i="23"/>
  <c r="J436" i="23"/>
  <c r="J437" i="23"/>
  <c r="J438" i="23"/>
  <c r="J439" i="23"/>
  <c r="J440" i="23"/>
  <c r="J441" i="23"/>
  <c r="J442" i="23"/>
  <c r="J443" i="23"/>
  <c r="J444" i="23"/>
  <c r="J445" i="23"/>
  <c r="J446" i="23"/>
  <c r="J447" i="23"/>
  <c r="J448" i="23"/>
  <c r="J449" i="23"/>
  <c r="J450" i="23"/>
  <c r="J451" i="23"/>
  <c r="J452" i="23"/>
  <c r="J453" i="23"/>
  <c r="J454" i="23"/>
  <c r="J455" i="23"/>
  <c r="J456" i="23"/>
  <c r="J457" i="23"/>
  <c r="J458" i="23"/>
  <c r="J459" i="23"/>
  <c r="J460" i="23"/>
  <c r="J461" i="23"/>
  <c r="J462" i="23"/>
  <c r="J463" i="23"/>
  <c r="J464" i="23"/>
  <c r="J465" i="23"/>
  <c r="J466" i="23"/>
  <c r="J467" i="23"/>
  <c r="J468" i="23"/>
  <c r="J469" i="23"/>
  <c r="J470" i="23"/>
  <c r="J471" i="23"/>
  <c r="J472" i="23"/>
  <c r="J473" i="23"/>
  <c r="J474" i="23"/>
  <c r="J475" i="23"/>
  <c r="J476" i="23"/>
  <c r="J477" i="23"/>
  <c r="J478" i="23"/>
  <c r="J479" i="23"/>
  <c r="J480" i="23"/>
  <c r="J481" i="23"/>
  <c r="J482" i="23"/>
  <c r="J483" i="23"/>
  <c r="J484" i="23"/>
  <c r="J485" i="23"/>
  <c r="J486" i="23"/>
  <c r="J487" i="23"/>
  <c r="J488" i="23"/>
  <c r="J489" i="23"/>
  <c r="J490" i="23"/>
  <c r="J491" i="23"/>
  <c r="J492" i="23"/>
  <c r="J493" i="23"/>
  <c r="J494" i="23"/>
  <c r="J495" i="23"/>
  <c r="J496" i="23"/>
  <c r="J497" i="23"/>
  <c r="J498" i="23"/>
  <c r="J499" i="23"/>
  <c r="J500" i="23"/>
  <c r="J501" i="23"/>
  <c r="J502" i="23"/>
  <c r="J503" i="23"/>
  <c r="J504" i="23"/>
  <c r="J505" i="23"/>
  <c r="J506" i="23"/>
  <c r="J507" i="23"/>
  <c r="J508" i="23"/>
  <c r="J509" i="23"/>
  <c r="J510" i="23"/>
  <c r="J511" i="23"/>
  <c r="J512" i="23"/>
  <c r="J513" i="23"/>
  <c r="J514" i="23"/>
  <c r="J515" i="23"/>
  <c r="J516" i="23"/>
  <c r="J517" i="23"/>
  <c r="J518" i="23"/>
  <c r="J519" i="23"/>
  <c r="J520" i="23"/>
  <c r="J521" i="23"/>
  <c r="J522" i="23"/>
  <c r="J523" i="23"/>
  <c r="J524" i="23"/>
  <c r="J525" i="23"/>
  <c r="J526" i="23"/>
  <c r="J527" i="23"/>
  <c r="J528" i="23"/>
  <c r="J529" i="23"/>
  <c r="J530" i="23"/>
  <c r="J531" i="23"/>
  <c r="J532" i="23"/>
  <c r="J533" i="23"/>
  <c r="J534" i="23"/>
  <c r="J535" i="23"/>
  <c r="J536" i="23"/>
  <c r="J537" i="23"/>
  <c r="J538" i="23"/>
  <c r="J539" i="23"/>
  <c r="J540" i="23"/>
  <c r="J541" i="23"/>
  <c r="J542" i="23"/>
  <c r="J543" i="23"/>
  <c r="J544" i="23"/>
  <c r="J545" i="23"/>
  <c r="J546" i="23"/>
  <c r="J547" i="23"/>
  <c r="J548" i="23"/>
  <c r="J549" i="23"/>
  <c r="J550" i="23"/>
  <c r="J551" i="23"/>
  <c r="J552" i="23"/>
  <c r="J553" i="23"/>
  <c r="J554" i="23"/>
  <c r="J555" i="23"/>
  <c r="J556" i="23"/>
  <c r="J557" i="23"/>
  <c r="J558" i="23"/>
  <c r="J559" i="23"/>
  <c r="J560" i="23"/>
  <c r="J561" i="23"/>
  <c r="J562" i="23"/>
  <c r="J563" i="23"/>
  <c r="J564" i="23"/>
  <c r="J565" i="23"/>
  <c r="J566" i="23"/>
  <c r="J567" i="23"/>
  <c r="J568" i="23"/>
  <c r="J569" i="23"/>
  <c r="J570" i="23"/>
  <c r="J571" i="23"/>
  <c r="J572" i="23"/>
  <c r="J573" i="23"/>
  <c r="J574" i="23"/>
  <c r="J575" i="23"/>
  <c r="J576" i="23"/>
  <c r="J577" i="23"/>
  <c r="J578" i="23"/>
  <c r="J579" i="23"/>
  <c r="J580" i="23"/>
  <c r="J581" i="23"/>
  <c r="J582" i="23"/>
  <c r="J583" i="23"/>
  <c r="J584" i="23"/>
  <c r="J585" i="23"/>
  <c r="J586" i="23"/>
  <c r="J587" i="23"/>
  <c r="J588" i="23"/>
  <c r="J589" i="23"/>
  <c r="J590" i="23"/>
  <c r="J591" i="23"/>
  <c r="J592" i="23"/>
  <c r="J593" i="23"/>
  <c r="J594" i="23"/>
  <c r="J595" i="23"/>
  <c r="J596" i="23"/>
  <c r="J597" i="23"/>
  <c r="J598" i="23"/>
  <c r="J599" i="23"/>
  <c r="J600" i="23"/>
  <c r="J601" i="23"/>
  <c r="J602" i="23"/>
  <c r="J603" i="23"/>
  <c r="J604" i="23"/>
  <c r="J605" i="23"/>
  <c r="J606" i="23"/>
  <c r="J607" i="23"/>
  <c r="J608" i="23"/>
  <c r="J609" i="23"/>
  <c r="J610" i="23"/>
  <c r="J611" i="23"/>
  <c r="J612" i="23"/>
  <c r="J613" i="23"/>
  <c r="J614" i="23"/>
  <c r="J615" i="23"/>
  <c r="J616" i="23"/>
  <c r="J617" i="23"/>
  <c r="J618" i="23"/>
  <c r="J619" i="23"/>
  <c r="J620" i="23"/>
  <c r="J621" i="23"/>
  <c r="J622" i="23"/>
  <c r="J623" i="23"/>
  <c r="J624" i="23"/>
  <c r="J625" i="23"/>
  <c r="J626" i="23"/>
  <c r="J627" i="23"/>
  <c r="J628" i="23"/>
  <c r="J629" i="23"/>
  <c r="J630" i="23"/>
  <c r="J631" i="23"/>
  <c r="J632" i="23"/>
  <c r="J633" i="23"/>
  <c r="J634" i="23"/>
  <c r="J635" i="23"/>
  <c r="J636" i="23"/>
  <c r="J637" i="23"/>
  <c r="J638" i="23"/>
  <c r="J639" i="23"/>
  <c r="J640" i="23"/>
  <c r="J641" i="23"/>
  <c r="J642" i="23"/>
  <c r="J643" i="23"/>
  <c r="J644" i="23"/>
  <c r="J645" i="23"/>
  <c r="J646" i="23"/>
  <c r="J647" i="23"/>
  <c r="J648" i="23"/>
  <c r="J649" i="23"/>
  <c r="J650" i="23"/>
  <c r="J651" i="23"/>
  <c r="J652" i="23"/>
  <c r="J653" i="23"/>
  <c r="J654" i="23"/>
  <c r="J655" i="23"/>
  <c r="J656" i="23"/>
  <c r="J657" i="23"/>
  <c r="J658" i="23"/>
  <c r="J659" i="23"/>
  <c r="J660" i="23"/>
  <c r="J661" i="23"/>
  <c r="J662" i="23"/>
  <c r="J663" i="23"/>
  <c r="J664" i="23"/>
  <c r="J665" i="23"/>
  <c r="J666" i="23"/>
  <c r="J667" i="23"/>
  <c r="J668" i="23"/>
  <c r="J669" i="23"/>
  <c r="J670" i="23"/>
  <c r="J671" i="23"/>
  <c r="J672" i="23"/>
  <c r="J673" i="23"/>
  <c r="J674" i="23"/>
  <c r="J675" i="23"/>
  <c r="J676" i="23"/>
  <c r="J677" i="23"/>
  <c r="J678" i="23"/>
  <c r="J679" i="23"/>
  <c r="J680" i="23"/>
  <c r="J681" i="23"/>
  <c r="J682" i="23"/>
  <c r="J683" i="23"/>
  <c r="J684" i="23"/>
  <c r="J685" i="23"/>
  <c r="J686" i="23"/>
  <c r="J687" i="23"/>
  <c r="J688" i="23"/>
  <c r="J689" i="23"/>
  <c r="J690" i="23"/>
  <c r="J691" i="23"/>
  <c r="J692" i="23"/>
  <c r="J693" i="23"/>
  <c r="J694" i="23"/>
  <c r="J695" i="23"/>
  <c r="J696" i="23"/>
  <c r="J697" i="23"/>
  <c r="J698" i="23"/>
  <c r="J699" i="23"/>
  <c r="J700" i="23"/>
  <c r="J701" i="23"/>
  <c r="J702" i="23"/>
  <c r="J703" i="23"/>
  <c r="J704" i="23"/>
  <c r="J705" i="23"/>
  <c r="J706" i="23"/>
  <c r="J707" i="23"/>
  <c r="J708" i="23"/>
  <c r="J709" i="23"/>
  <c r="J710" i="23"/>
  <c r="J711" i="23"/>
  <c r="J712" i="23"/>
  <c r="J713" i="23"/>
  <c r="J714" i="23"/>
  <c r="J715" i="23"/>
  <c r="J716" i="23"/>
  <c r="J717" i="23"/>
  <c r="J718" i="23"/>
  <c r="J719" i="23"/>
  <c r="J720" i="23"/>
  <c r="J721" i="23"/>
  <c r="J722" i="23"/>
  <c r="J723" i="23"/>
  <c r="J724" i="23"/>
  <c r="J725" i="23"/>
  <c r="J726" i="23"/>
  <c r="J727" i="23"/>
  <c r="J728" i="23"/>
  <c r="J729" i="23"/>
  <c r="J730" i="23"/>
  <c r="J731" i="23"/>
  <c r="J732" i="23"/>
  <c r="J733" i="23"/>
  <c r="J734" i="23"/>
  <c r="J735" i="23"/>
  <c r="J736" i="23"/>
  <c r="J737" i="23"/>
  <c r="J738" i="23"/>
  <c r="J739" i="23"/>
  <c r="J740" i="23"/>
  <c r="J741" i="23"/>
  <c r="J742" i="23"/>
  <c r="J743" i="23"/>
  <c r="J744" i="23"/>
  <c r="J745" i="23"/>
  <c r="J746" i="23"/>
  <c r="J747" i="23"/>
  <c r="J748" i="23"/>
  <c r="J749" i="23"/>
  <c r="J750" i="23"/>
  <c r="J751" i="23"/>
  <c r="J752" i="23"/>
  <c r="J753" i="23"/>
  <c r="J754" i="23"/>
  <c r="J755" i="23"/>
  <c r="J756" i="23"/>
  <c r="J757" i="23"/>
  <c r="J758" i="23"/>
  <c r="J759" i="23"/>
  <c r="J760" i="23"/>
  <c r="J761" i="23"/>
  <c r="J762" i="23"/>
  <c r="J763" i="23"/>
  <c r="J764" i="23"/>
  <c r="J765" i="23"/>
  <c r="J766" i="23"/>
  <c r="J767" i="23"/>
  <c r="J768" i="23"/>
  <c r="J769" i="23"/>
  <c r="J770" i="23"/>
  <c r="J771" i="23"/>
  <c r="J772" i="23"/>
  <c r="J773" i="23"/>
  <c r="J774" i="23"/>
  <c r="J775" i="23"/>
  <c r="J776" i="23"/>
  <c r="J777" i="23"/>
  <c r="J778" i="23"/>
  <c r="J779" i="23"/>
  <c r="J780" i="23"/>
  <c r="J781" i="23"/>
  <c r="J782" i="23"/>
  <c r="J783" i="23"/>
  <c r="J784" i="23"/>
  <c r="J785" i="23"/>
  <c r="J786" i="23"/>
  <c r="J787" i="23"/>
  <c r="J788" i="23"/>
  <c r="J789" i="23"/>
  <c r="J790" i="23"/>
  <c r="J791" i="23"/>
  <c r="J792" i="23"/>
  <c r="J793" i="23"/>
  <c r="J794" i="23"/>
  <c r="J795" i="23"/>
  <c r="J796" i="23"/>
  <c r="J797" i="23"/>
  <c r="J798" i="23"/>
  <c r="J799" i="23"/>
  <c r="J800" i="23"/>
  <c r="J801" i="23"/>
  <c r="J802" i="23"/>
  <c r="J803" i="23"/>
  <c r="J804" i="23"/>
  <c r="J805" i="23"/>
  <c r="J806" i="23"/>
  <c r="J807" i="23"/>
  <c r="J808" i="23"/>
  <c r="J809" i="23"/>
  <c r="J810" i="23"/>
  <c r="J811" i="23"/>
  <c r="J812" i="23"/>
  <c r="J813" i="23"/>
  <c r="J814" i="23"/>
  <c r="J815" i="23"/>
  <c r="J816" i="23"/>
  <c r="J817" i="23"/>
  <c r="J818" i="23"/>
  <c r="J819" i="23"/>
  <c r="J820" i="23"/>
  <c r="J821" i="23"/>
  <c r="J822" i="23"/>
  <c r="J823" i="23"/>
  <c r="J824" i="23"/>
  <c r="J825" i="23"/>
  <c r="J826" i="23"/>
  <c r="J827" i="23"/>
  <c r="J828" i="23"/>
  <c r="J829" i="23"/>
  <c r="J830" i="23"/>
  <c r="J831" i="23"/>
  <c r="J832" i="23"/>
  <c r="J833" i="23"/>
  <c r="J834" i="23"/>
  <c r="J835" i="23"/>
  <c r="J836" i="23"/>
  <c r="J837" i="23"/>
  <c r="J838" i="23"/>
  <c r="J839" i="23"/>
  <c r="J840" i="23"/>
  <c r="J841" i="23"/>
  <c r="J842" i="23"/>
  <c r="J843" i="23"/>
  <c r="J844" i="23"/>
  <c r="J845" i="23"/>
  <c r="J846" i="23"/>
  <c r="J847" i="23"/>
  <c r="J848" i="23"/>
  <c r="J849" i="23"/>
  <c r="J850" i="23"/>
  <c r="J851" i="23"/>
  <c r="J852" i="23"/>
  <c r="J853" i="23"/>
  <c r="J854" i="23"/>
  <c r="J855" i="23"/>
  <c r="J856" i="23"/>
  <c r="J857" i="23"/>
  <c r="J858" i="23"/>
  <c r="J859" i="23"/>
  <c r="J860" i="23"/>
  <c r="J861" i="23"/>
  <c r="J862" i="23"/>
  <c r="J863" i="23"/>
  <c r="J864" i="23"/>
  <c r="J865" i="23"/>
  <c r="J866" i="23"/>
  <c r="J867" i="23"/>
  <c r="J868" i="23"/>
  <c r="J869" i="23"/>
  <c r="J870" i="23"/>
  <c r="J871" i="23"/>
  <c r="J872" i="23"/>
  <c r="J873" i="23"/>
  <c r="J874" i="23"/>
  <c r="J875" i="23"/>
  <c r="J876" i="23"/>
  <c r="J877" i="23"/>
  <c r="J878" i="23"/>
  <c r="J879" i="23"/>
  <c r="J880" i="23"/>
  <c r="J881" i="23"/>
  <c r="J882" i="23"/>
  <c r="J883" i="23"/>
  <c r="J884" i="23"/>
  <c r="J885" i="23"/>
  <c r="J886" i="23"/>
  <c r="J887" i="23"/>
  <c r="J888" i="23"/>
  <c r="J889" i="23"/>
  <c r="J890" i="23"/>
  <c r="J891" i="23"/>
  <c r="J892" i="23"/>
  <c r="J893" i="23"/>
  <c r="J894" i="23"/>
  <c r="J895" i="23"/>
  <c r="J896" i="23"/>
  <c r="J897" i="23"/>
  <c r="J898" i="23"/>
  <c r="J899" i="23"/>
  <c r="J900" i="23"/>
  <c r="J901" i="23"/>
  <c r="J902" i="23"/>
  <c r="J903" i="23"/>
  <c r="J904" i="23"/>
  <c r="J905" i="23"/>
  <c r="J906" i="23"/>
  <c r="J907" i="23"/>
  <c r="J908" i="23"/>
  <c r="J909" i="23"/>
  <c r="J910" i="23"/>
  <c r="J911" i="23"/>
  <c r="J912" i="23"/>
  <c r="J913" i="23"/>
  <c r="J914" i="23"/>
  <c r="J915" i="23"/>
  <c r="J916" i="23"/>
  <c r="J917" i="23"/>
  <c r="J918" i="23"/>
  <c r="J919" i="23"/>
  <c r="J920" i="23"/>
  <c r="J921" i="23"/>
  <c r="J922" i="23"/>
  <c r="J923" i="23"/>
  <c r="J924" i="23"/>
  <c r="J925" i="23"/>
  <c r="J926" i="23"/>
  <c r="J927" i="23"/>
  <c r="J928" i="23"/>
  <c r="J929" i="23"/>
  <c r="J930" i="23"/>
  <c r="J931" i="23"/>
  <c r="J932" i="23"/>
  <c r="J933" i="23"/>
  <c r="J934" i="23"/>
  <c r="J935" i="23"/>
  <c r="J936" i="23"/>
  <c r="J937" i="23"/>
  <c r="J938" i="23"/>
  <c r="J939" i="23"/>
  <c r="J940" i="23"/>
  <c r="J941" i="23"/>
  <c r="J942" i="23"/>
  <c r="J943" i="23"/>
  <c r="J944" i="23"/>
  <c r="J945" i="23"/>
  <c r="J946" i="23"/>
  <c r="J947" i="23"/>
  <c r="J948" i="23"/>
  <c r="J949" i="23"/>
  <c r="J950" i="23"/>
  <c r="J951" i="23"/>
  <c r="J952" i="23"/>
  <c r="J953" i="23"/>
  <c r="J954" i="23"/>
  <c r="J955" i="23"/>
  <c r="J956" i="23"/>
  <c r="J957" i="23"/>
  <c r="J958" i="23"/>
  <c r="J959" i="23"/>
  <c r="J960" i="23"/>
  <c r="J961" i="23"/>
  <c r="J962" i="23"/>
  <c r="J963" i="23"/>
  <c r="J964" i="23"/>
  <c r="J965" i="23"/>
  <c r="J966" i="23"/>
  <c r="J967" i="23"/>
  <c r="J968" i="23"/>
  <c r="J969" i="23"/>
  <c r="J970" i="23"/>
  <c r="J971" i="23"/>
  <c r="J972" i="23"/>
  <c r="J973" i="23"/>
  <c r="J974" i="23"/>
  <c r="J975" i="23"/>
  <c r="J976" i="23"/>
  <c r="J977" i="23"/>
  <c r="J978" i="23"/>
  <c r="J979" i="23"/>
  <c r="J980" i="23"/>
  <c r="J981" i="23"/>
  <c r="J982" i="23"/>
  <c r="J983" i="23"/>
  <c r="J984" i="23"/>
  <c r="J985" i="23"/>
  <c r="J986" i="23"/>
  <c r="J987" i="23"/>
  <c r="J988" i="23"/>
  <c r="J989" i="23"/>
  <c r="J990" i="23"/>
  <c r="J991" i="23"/>
  <c r="J992" i="23"/>
  <c r="J993" i="23"/>
  <c r="J994" i="23"/>
  <c r="J995" i="23"/>
  <c r="J996" i="23"/>
  <c r="J997" i="23"/>
  <c r="J998" i="23"/>
  <c r="J999" i="23"/>
  <c r="J1000" i="23"/>
  <c r="J1001" i="23"/>
  <c r="J1002" i="23"/>
  <c r="J1003" i="23"/>
  <c r="J1004" i="23"/>
  <c r="J1005" i="23"/>
  <c r="J1006" i="23"/>
  <c r="J1007" i="23"/>
  <c r="J1008" i="23"/>
  <c r="J1009" i="23"/>
  <c r="J1010" i="23"/>
  <c r="J1011" i="23"/>
  <c r="J1012" i="23"/>
  <c r="J1013" i="23"/>
  <c r="J1014" i="23"/>
  <c r="J1015" i="23"/>
  <c r="J1016" i="23"/>
  <c r="J1017" i="23"/>
  <c r="J1018" i="23"/>
  <c r="J1019" i="23"/>
  <c r="J1020" i="23"/>
  <c r="J1021" i="23"/>
  <c r="J1022" i="23"/>
  <c r="J1023" i="23"/>
  <c r="J1024" i="23"/>
  <c r="J1025" i="23"/>
  <c r="J1026" i="23"/>
  <c r="J1027" i="23"/>
  <c r="J1028" i="23"/>
  <c r="J1029" i="23"/>
  <c r="J1030" i="23"/>
  <c r="J1031" i="23"/>
  <c r="J1032" i="23"/>
  <c r="J1033" i="23"/>
  <c r="J1034" i="23"/>
  <c r="J1035" i="23"/>
  <c r="J1036" i="23"/>
  <c r="J1037" i="23"/>
  <c r="J1038" i="23"/>
  <c r="J1039" i="23"/>
  <c r="J1040" i="23"/>
  <c r="J1041" i="23"/>
  <c r="J1042" i="23"/>
  <c r="J1043" i="23"/>
  <c r="J1044" i="23"/>
  <c r="J1045" i="23"/>
  <c r="J1046" i="23"/>
  <c r="J1047" i="23"/>
  <c r="J1048" i="23"/>
  <c r="J1049" i="23"/>
  <c r="J1050" i="23"/>
  <c r="J1051" i="23"/>
  <c r="J1052" i="23"/>
  <c r="J1053" i="23"/>
  <c r="J1054" i="23"/>
  <c r="J1055" i="23"/>
  <c r="J1056" i="23"/>
  <c r="J1057" i="23"/>
  <c r="J1058" i="23"/>
  <c r="J1059" i="23"/>
  <c r="J1060" i="23"/>
  <c r="J1061" i="23"/>
  <c r="J1062" i="23"/>
  <c r="J1063" i="23"/>
  <c r="J1064" i="23"/>
  <c r="J1065" i="23"/>
  <c r="J1066" i="23"/>
  <c r="J1067" i="23"/>
  <c r="J1068" i="23"/>
  <c r="J1069" i="23"/>
  <c r="J1070" i="23"/>
  <c r="J1071" i="23"/>
  <c r="J1072" i="23"/>
  <c r="J1073" i="23"/>
  <c r="J1074" i="23"/>
  <c r="J1075" i="23"/>
  <c r="J1076" i="23"/>
  <c r="J1077" i="23"/>
  <c r="J1078" i="23"/>
  <c r="J1079" i="23"/>
  <c r="J1080" i="23"/>
  <c r="J1081" i="23"/>
  <c r="J1082" i="23"/>
  <c r="J1083" i="23"/>
  <c r="J1084" i="23"/>
  <c r="J1085" i="23"/>
  <c r="J1086" i="23"/>
  <c r="J1087" i="23"/>
  <c r="J1088" i="23"/>
  <c r="J1089" i="23"/>
  <c r="J1090" i="23"/>
  <c r="J1091" i="23"/>
  <c r="J1092" i="23"/>
  <c r="J1093" i="23"/>
  <c r="J1094" i="23"/>
  <c r="J1095" i="23"/>
  <c r="J1096" i="23"/>
  <c r="J1097" i="23"/>
  <c r="J1098" i="23"/>
  <c r="J1099" i="23"/>
  <c r="J1100" i="23"/>
  <c r="J1101" i="23"/>
  <c r="J1102" i="23"/>
  <c r="J1103" i="23"/>
  <c r="J1104" i="23"/>
  <c r="J1105" i="23"/>
  <c r="J1106" i="23"/>
  <c r="J1107" i="23"/>
  <c r="J1108" i="23"/>
  <c r="J1109" i="23"/>
  <c r="J1110" i="23"/>
  <c r="J1111" i="23"/>
  <c r="J1112" i="23"/>
  <c r="J1113" i="23"/>
  <c r="J1114" i="23"/>
  <c r="J1115" i="23"/>
  <c r="J1116" i="23"/>
  <c r="J1117" i="23"/>
  <c r="J1118" i="23"/>
  <c r="J1119" i="23"/>
  <c r="J1120" i="23"/>
  <c r="J1121" i="23"/>
  <c r="J1122" i="23"/>
  <c r="J1123" i="23"/>
  <c r="J1124" i="23"/>
  <c r="J1125" i="23"/>
  <c r="J1126" i="23"/>
  <c r="J1127" i="23"/>
  <c r="J1128" i="23"/>
  <c r="J1129" i="23"/>
  <c r="J1130" i="23"/>
  <c r="J1131" i="23"/>
  <c r="J1132" i="23"/>
  <c r="J1133" i="23"/>
  <c r="J1134" i="23"/>
  <c r="J1135" i="23"/>
  <c r="J1136" i="23"/>
  <c r="J1137" i="23"/>
  <c r="J1138" i="23"/>
  <c r="J1139" i="23"/>
  <c r="J1140" i="23"/>
  <c r="J1141" i="23"/>
  <c r="J1142" i="23"/>
  <c r="J1143" i="23"/>
  <c r="J1144" i="23"/>
  <c r="J1145" i="23"/>
  <c r="J1146" i="23"/>
  <c r="J1147" i="23"/>
  <c r="J1148" i="23"/>
  <c r="J1149" i="23"/>
  <c r="J1150" i="23"/>
  <c r="J1151" i="23"/>
  <c r="J1152" i="23"/>
  <c r="J1153" i="23"/>
  <c r="J1154" i="23"/>
  <c r="J1155" i="23"/>
  <c r="J1156" i="23"/>
  <c r="J1157" i="23"/>
  <c r="J1158" i="23"/>
  <c r="J1159" i="23"/>
  <c r="J1160" i="23"/>
  <c r="J1161" i="23"/>
  <c r="J1162" i="23"/>
  <c r="J1163" i="23"/>
  <c r="J1164" i="23"/>
  <c r="J1165" i="23"/>
  <c r="J1166" i="23"/>
  <c r="J1167" i="23"/>
  <c r="J1168" i="23"/>
  <c r="J1169" i="23"/>
  <c r="J1170" i="23"/>
  <c r="J1171" i="23"/>
  <c r="J1172" i="23"/>
  <c r="J1173" i="23"/>
  <c r="J1174" i="23"/>
  <c r="J1175" i="23"/>
  <c r="J1176" i="23"/>
  <c r="J1177" i="23"/>
  <c r="J1178" i="23"/>
  <c r="J1179" i="23"/>
  <c r="J1180" i="23"/>
  <c r="J1181" i="23"/>
  <c r="J1182" i="23"/>
  <c r="J1183" i="23"/>
  <c r="J1184" i="23"/>
  <c r="J1185" i="23"/>
  <c r="J1186" i="23"/>
  <c r="J1187" i="23"/>
  <c r="J1188" i="23"/>
  <c r="J1189" i="23"/>
  <c r="J1190" i="23"/>
  <c r="J1191" i="23"/>
  <c r="J1192" i="23"/>
  <c r="J1193" i="23"/>
  <c r="J1194" i="23"/>
  <c r="J1195" i="23"/>
  <c r="J1196" i="23"/>
  <c r="J1197" i="23"/>
  <c r="J1198" i="23"/>
  <c r="J1199" i="23"/>
  <c r="J1200" i="23"/>
  <c r="J1201" i="23"/>
  <c r="J1202" i="23"/>
  <c r="J1203" i="23"/>
  <c r="J1204" i="23"/>
  <c r="J1205" i="23"/>
  <c r="J1206" i="23"/>
  <c r="J1207" i="23"/>
  <c r="J1208" i="23"/>
  <c r="J1209" i="23"/>
  <c r="J1210" i="23"/>
  <c r="J1211" i="23"/>
  <c r="J1212" i="23"/>
  <c r="J1213" i="23"/>
  <c r="J1214" i="23"/>
  <c r="J1215" i="23"/>
  <c r="J1216" i="23"/>
  <c r="J1217" i="23"/>
  <c r="J1218" i="23"/>
  <c r="J1219" i="23"/>
  <c r="J1220" i="23"/>
  <c r="J1221" i="23"/>
  <c r="J1222" i="23"/>
  <c r="J1223" i="23"/>
  <c r="J1224" i="23"/>
  <c r="J1225" i="23"/>
  <c r="J1226" i="23"/>
  <c r="J1227" i="23"/>
  <c r="J1228" i="23"/>
  <c r="J1229" i="23"/>
  <c r="J1230" i="23"/>
  <c r="J1231" i="23"/>
  <c r="J1232" i="23"/>
  <c r="J1233" i="23"/>
  <c r="J1234" i="23"/>
  <c r="J1235" i="23"/>
  <c r="J1236" i="23"/>
  <c r="J1237" i="23"/>
  <c r="J1238" i="23"/>
  <c r="J1239" i="23"/>
  <c r="J1240" i="23"/>
  <c r="J1241" i="23"/>
  <c r="J1242" i="23"/>
  <c r="J1243" i="23"/>
  <c r="J1244" i="23"/>
  <c r="J1245" i="23"/>
  <c r="J1246" i="23"/>
  <c r="J1247" i="23"/>
  <c r="J1248" i="23"/>
  <c r="J1249" i="23"/>
  <c r="J1250" i="23"/>
  <c r="J1251" i="23"/>
  <c r="J1252" i="23"/>
  <c r="J1253" i="23"/>
  <c r="J1254" i="23"/>
  <c r="J1255" i="23"/>
  <c r="J1256" i="23"/>
  <c r="J1257" i="23"/>
  <c r="J1258" i="23"/>
  <c r="J1259" i="23"/>
  <c r="J1260" i="23"/>
  <c r="J1261" i="23"/>
  <c r="J1262" i="23"/>
  <c r="J1263" i="23"/>
  <c r="J1264" i="23"/>
  <c r="J1265" i="23"/>
  <c r="J1266" i="23"/>
  <c r="J1267" i="23"/>
  <c r="J1268" i="23"/>
  <c r="J1269" i="23"/>
  <c r="J1270" i="23"/>
  <c r="J1271" i="23"/>
  <c r="J1272" i="23"/>
  <c r="J1273" i="23"/>
  <c r="J1274" i="23"/>
  <c r="J1275" i="23"/>
  <c r="J1276" i="23"/>
  <c r="J1277" i="23"/>
  <c r="J1278" i="23"/>
  <c r="J1279" i="23"/>
  <c r="J1280" i="23"/>
  <c r="J1281" i="23"/>
  <c r="J1282" i="23"/>
  <c r="J1283" i="23"/>
  <c r="J1284" i="23"/>
  <c r="J1285" i="23"/>
  <c r="J1286" i="23"/>
  <c r="J1287" i="23"/>
  <c r="J1288" i="23"/>
  <c r="J1289" i="23"/>
  <c r="J1290" i="23"/>
  <c r="J1291" i="23"/>
  <c r="J1292" i="23"/>
  <c r="J1293" i="23"/>
  <c r="J1294" i="23"/>
  <c r="J1295" i="23"/>
  <c r="J1296" i="23"/>
  <c r="J1297" i="23"/>
  <c r="J1298" i="23"/>
  <c r="J1299" i="23"/>
  <c r="J1300" i="23"/>
  <c r="J1301" i="23"/>
  <c r="J1302" i="23"/>
  <c r="J1303" i="23"/>
  <c r="J1304" i="23"/>
  <c r="J1305" i="23"/>
  <c r="J1306" i="23"/>
  <c r="J1307" i="23"/>
  <c r="J1308" i="23"/>
  <c r="J1309" i="23"/>
  <c r="J1310" i="23"/>
  <c r="J1311" i="23"/>
  <c r="J1312" i="23"/>
  <c r="J1313" i="23"/>
  <c r="J1314" i="23"/>
  <c r="J1315" i="23"/>
  <c r="J1316" i="23"/>
  <c r="J1317" i="23"/>
  <c r="J1318" i="23"/>
  <c r="J1319" i="23"/>
  <c r="J1320" i="23"/>
  <c r="J1321" i="23"/>
  <c r="J1322" i="23"/>
  <c r="J1323" i="23"/>
  <c r="J1324" i="23"/>
  <c r="J1325" i="23"/>
  <c r="J1326" i="23"/>
  <c r="J1327" i="23"/>
  <c r="J1328" i="23"/>
  <c r="J1329" i="23"/>
  <c r="J1330" i="23"/>
  <c r="J1331" i="23"/>
  <c r="J1332" i="23"/>
  <c r="J1333" i="23"/>
  <c r="J1334" i="23"/>
  <c r="J1335" i="23"/>
  <c r="J1336" i="23"/>
  <c r="J1337" i="23"/>
  <c r="J1338" i="23"/>
  <c r="J1339" i="23"/>
  <c r="J1340" i="23"/>
  <c r="J1341" i="23"/>
  <c r="J1342" i="23"/>
  <c r="J1343" i="23"/>
  <c r="J1344" i="23"/>
  <c r="J1345" i="23"/>
  <c r="J1346" i="23"/>
  <c r="J1347" i="23"/>
  <c r="J1348" i="23"/>
  <c r="J1349" i="23"/>
  <c r="J1350" i="23"/>
  <c r="J1351" i="23"/>
  <c r="J1352" i="23"/>
  <c r="J1353" i="23"/>
  <c r="J1354" i="23"/>
  <c r="J1355" i="23"/>
  <c r="J1356" i="23"/>
  <c r="J1357" i="23"/>
  <c r="J1358" i="23"/>
  <c r="J1359" i="23"/>
  <c r="J1360" i="23"/>
  <c r="J1361" i="23"/>
  <c r="J1362" i="23"/>
  <c r="J1363" i="23"/>
  <c r="J1364" i="23"/>
  <c r="J1365" i="23"/>
  <c r="J1366" i="23"/>
  <c r="J1367" i="23"/>
  <c r="J1368" i="23"/>
  <c r="J1369" i="23"/>
  <c r="J1370" i="23"/>
  <c r="J1371" i="23"/>
  <c r="J1372" i="23"/>
  <c r="J1373" i="23"/>
  <c r="J1374" i="23"/>
  <c r="J1375" i="23"/>
  <c r="J1376" i="23"/>
  <c r="J1377" i="23"/>
  <c r="J1378" i="23"/>
  <c r="J1379" i="23"/>
  <c r="J1380" i="23"/>
  <c r="J1381" i="23"/>
  <c r="J1382" i="23"/>
  <c r="J1383" i="23"/>
  <c r="J1384" i="23"/>
  <c r="J1385" i="23"/>
  <c r="J1386" i="23"/>
  <c r="J1387" i="23"/>
  <c r="J1388" i="23"/>
  <c r="J1389" i="23"/>
  <c r="J1390" i="23"/>
  <c r="J1391" i="23"/>
  <c r="J1392" i="23"/>
  <c r="J1393" i="23"/>
  <c r="J1394" i="23"/>
  <c r="J1395" i="23"/>
  <c r="J1396" i="23"/>
  <c r="J1397" i="23"/>
  <c r="J1398" i="23"/>
  <c r="J1399" i="23"/>
  <c r="J1400" i="23"/>
  <c r="J1401" i="23"/>
  <c r="J1402" i="23"/>
  <c r="J1403" i="23"/>
  <c r="J1404" i="23"/>
  <c r="J1405" i="23"/>
  <c r="J1406" i="23"/>
  <c r="J1407" i="23"/>
  <c r="J1408" i="23"/>
  <c r="J1409" i="23"/>
  <c r="J1410" i="23"/>
  <c r="J1411" i="23"/>
  <c r="J1412" i="23"/>
  <c r="J1413" i="23"/>
  <c r="J1414" i="23"/>
  <c r="J1415" i="23"/>
  <c r="J1416" i="23"/>
  <c r="J1417" i="23"/>
  <c r="J1418" i="23"/>
  <c r="J1419" i="23"/>
  <c r="J1420" i="23"/>
  <c r="J1421" i="23"/>
  <c r="J1422" i="23"/>
  <c r="J1423" i="23"/>
  <c r="J1424" i="23"/>
  <c r="J1425" i="23"/>
  <c r="J1426" i="23"/>
  <c r="J1427" i="23"/>
  <c r="J1428" i="23"/>
  <c r="J1429" i="23"/>
  <c r="J1430" i="23"/>
  <c r="J1431" i="23"/>
  <c r="J1432" i="23"/>
  <c r="J1433" i="23"/>
  <c r="J1434" i="23"/>
  <c r="J1435" i="23"/>
  <c r="J1436" i="23"/>
  <c r="J1437" i="23"/>
  <c r="J1438" i="23"/>
  <c r="J1439" i="23"/>
  <c r="J1440" i="23"/>
  <c r="J1441" i="23"/>
  <c r="J1442" i="23"/>
  <c r="J1443" i="23"/>
  <c r="J1444" i="23"/>
  <c r="J1445" i="23"/>
  <c r="J1446" i="23"/>
  <c r="J1447" i="23"/>
  <c r="J1448" i="23"/>
  <c r="J1449" i="23"/>
  <c r="J1450" i="23"/>
  <c r="J1451" i="23"/>
  <c r="J1452" i="23"/>
  <c r="J1453" i="23"/>
  <c r="J1454" i="23"/>
  <c r="J1455" i="23"/>
  <c r="J1456" i="23"/>
  <c r="J1457" i="23"/>
  <c r="J1458" i="23"/>
  <c r="J1459" i="23"/>
  <c r="J1460" i="23"/>
  <c r="J1461" i="23"/>
  <c r="J1462" i="23"/>
  <c r="J1463" i="23"/>
  <c r="J1464" i="23"/>
  <c r="J1465" i="23"/>
  <c r="J1466" i="23"/>
  <c r="J1467" i="23"/>
  <c r="J1468" i="23"/>
  <c r="J1469" i="23"/>
  <c r="J1470" i="23"/>
  <c r="J1471" i="23"/>
  <c r="J1472" i="23"/>
  <c r="J1473" i="23"/>
  <c r="J1474" i="23"/>
  <c r="J1475" i="23"/>
  <c r="J1476" i="23"/>
  <c r="J1477" i="23"/>
  <c r="J1478" i="23"/>
  <c r="J1479" i="23"/>
  <c r="J1480" i="23"/>
  <c r="J1481" i="23"/>
  <c r="J1482" i="23"/>
  <c r="J1483" i="23"/>
  <c r="J1484" i="23"/>
  <c r="J1485" i="23"/>
  <c r="J1486" i="23"/>
  <c r="J1487" i="23"/>
  <c r="J1488" i="23"/>
  <c r="J1489" i="23"/>
  <c r="J1490" i="23"/>
  <c r="J1491" i="23"/>
  <c r="J1492" i="23"/>
  <c r="J1493" i="23"/>
  <c r="J1494" i="23"/>
  <c r="J1495" i="23"/>
  <c r="J1496" i="23"/>
  <c r="J1497" i="23"/>
  <c r="J1498" i="23"/>
  <c r="J1499" i="23"/>
  <c r="J1500" i="23"/>
  <c r="J1501" i="23"/>
  <c r="J1502" i="23"/>
  <c r="J1503" i="23"/>
  <c r="J1504" i="23"/>
  <c r="J1505" i="23"/>
  <c r="J1506" i="23"/>
  <c r="J1507" i="23"/>
  <c r="J1508" i="23"/>
  <c r="J1509" i="23"/>
  <c r="J1510" i="23"/>
  <c r="J1511" i="23"/>
  <c r="J1512" i="23"/>
  <c r="J1513" i="23"/>
  <c r="J1514" i="23"/>
  <c r="J1515" i="23"/>
  <c r="J1516" i="23"/>
  <c r="J1517" i="23"/>
  <c r="J1518" i="23"/>
  <c r="J1519" i="23"/>
  <c r="J1520" i="23"/>
  <c r="J1521" i="23"/>
  <c r="J1522" i="23"/>
  <c r="J1523" i="23"/>
  <c r="J1524" i="23"/>
  <c r="J1525" i="23"/>
  <c r="J1526" i="23"/>
  <c r="J1527" i="23"/>
  <c r="J1528" i="23"/>
  <c r="J1529" i="23"/>
  <c r="J1530" i="23"/>
  <c r="J1531" i="23"/>
  <c r="J1532" i="23"/>
  <c r="J1533" i="23"/>
  <c r="J1534" i="23"/>
  <c r="J1535" i="23"/>
  <c r="J1536" i="23"/>
  <c r="J1537" i="23"/>
  <c r="J1538" i="23"/>
  <c r="J1539" i="23"/>
  <c r="J1540" i="23"/>
  <c r="J1541" i="23"/>
  <c r="J1542" i="23"/>
  <c r="J1543" i="23"/>
  <c r="J1544" i="23"/>
  <c r="J1545" i="23"/>
  <c r="J1546" i="23"/>
  <c r="J1547" i="23"/>
  <c r="J1548" i="23"/>
  <c r="J1549" i="23"/>
  <c r="J1550" i="23"/>
  <c r="J1551" i="23"/>
  <c r="J1552" i="23"/>
  <c r="J1553" i="23"/>
  <c r="J1554" i="23"/>
  <c r="J1555" i="23"/>
  <c r="J1556" i="23"/>
  <c r="J1557" i="23"/>
  <c r="J1558" i="23"/>
  <c r="J1559" i="23"/>
  <c r="J1560" i="23"/>
  <c r="J1561" i="23"/>
  <c r="J1562" i="23"/>
  <c r="J1563" i="23"/>
  <c r="J1564" i="23"/>
  <c r="J1565" i="23"/>
  <c r="J1566" i="23"/>
  <c r="J1567" i="23"/>
  <c r="J1568" i="23"/>
  <c r="J1569" i="23"/>
  <c r="J1570" i="23"/>
  <c r="J1571" i="23"/>
  <c r="J1572" i="23"/>
  <c r="J1573" i="23"/>
  <c r="J1574" i="23"/>
  <c r="J1575" i="23"/>
  <c r="J1576" i="23"/>
  <c r="J1577" i="23"/>
  <c r="J1578" i="23"/>
  <c r="J1579" i="23"/>
  <c r="J1580" i="23"/>
  <c r="J1581" i="23"/>
  <c r="J1582" i="23"/>
  <c r="J1583" i="23"/>
  <c r="J1584" i="23"/>
  <c r="J1585" i="23"/>
  <c r="J1586" i="23"/>
  <c r="J1587" i="23"/>
  <c r="J1588" i="23"/>
  <c r="J1589" i="23"/>
  <c r="J1590" i="23"/>
  <c r="J1591" i="23"/>
  <c r="J1592" i="23"/>
  <c r="J1593" i="23"/>
  <c r="J1594" i="23"/>
  <c r="J1595" i="23"/>
  <c r="J1596" i="23"/>
  <c r="J1597" i="23"/>
  <c r="J1598" i="23"/>
  <c r="J1599" i="23"/>
  <c r="J1600" i="23"/>
  <c r="J1601" i="23"/>
  <c r="J1602" i="23"/>
  <c r="J1603" i="23"/>
  <c r="J1604" i="23"/>
  <c r="J1605" i="23"/>
  <c r="J1606" i="23"/>
  <c r="J1607" i="23"/>
  <c r="J1608" i="23"/>
  <c r="J1609" i="23"/>
  <c r="J1610" i="23"/>
  <c r="J1611" i="23"/>
  <c r="J1612" i="23"/>
  <c r="J1613" i="23"/>
  <c r="J1614" i="23"/>
  <c r="J1615" i="23"/>
  <c r="J1616" i="23"/>
  <c r="J1617" i="23"/>
  <c r="J1618" i="23"/>
  <c r="J1619" i="23"/>
  <c r="J1620" i="23"/>
  <c r="J1621" i="23"/>
  <c r="J1622" i="23"/>
  <c r="J1623" i="23"/>
  <c r="J1624" i="23"/>
  <c r="J1625" i="23"/>
  <c r="J1626" i="23"/>
  <c r="J1627" i="23"/>
  <c r="J1628" i="23"/>
  <c r="J1629" i="23"/>
  <c r="J1630" i="23"/>
  <c r="J1631" i="23"/>
  <c r="J1632" i="23"/>
  <c r="J1633" i="23"/>
  <c r="J1634" i="23"/>
  <c r="J5" i="23"/>
  <c r="A7" i="19" l="1"/>
  <c r="A2" i="19"/>
  <c r="A3" i="19"/>
  <c r="A4" i="19"/>
  <c r="A5" i="19"/>
  <c r="A6" i="19"/>
  <c r="A8" i="19"/>
  <c r="A9" i="19"/>
  <c r="A10" i="19"/>
  <c r="A11" i="19"/>
  <c r="A12" i="19"/>
  <c r="A13" i="19"/>
  <c r="A14" i="19"/>
  <c r="A15" i="19"/>
  <c r="A16" i="19"/>
  <c r="A17" i="19"/>
  <c r="A18" i="19"/>
  <c r="A19" i="19"/>
  <c r="A20" i="19"/>
  <c r="A21" i="19"/>
  <c r="A22" i="19"/>
  <c r="A23" i="19"/>
  <c r="A24" i="19"/>
  <c r="A25" i="19"/>
  <c r="A26" i="19"/>
  <c r="A27" i="19"/>
  <c r="A28" i="19"/>
  <c r="A29" i="19"/>
  <c r="A30" i="19"/>
  <c r="A31" i="19"/>
  <c r="A32" i="19"/>
  <c r="A33" i="19"/>
  <c r="A34" i="19"/>
  <c r="A35" i="19"/>
  <c r="A36" i="19"/>
  <c r="A37" i="19"/>
  <c r="A38" i="19"/>
  <c r="A39" i="19"/>
  <c r="A40" i="19"/>
  <c r="A41" i="19"/>
  <c r="A42" i="19"/>
  <c r="A43" i="19"/>
  <c r="A44" i="19"/>
  <c r="A45" i="19"/>
  <c r="A46" i="19"/>
  <c r="A47" i="19"/>
  <c r="A48" i="19"/>
  <c r="A49" i="19"/>
  <c r="A50" i="19"/>
  <c r="A51" i="19"/>
  <c r="A52" i="19"/>
  <c r="A53" i="19"/>
  <c r="A54" i="19"/>
  <c r="A55" i="19"/>
  <c r="A56" i="19"/>
  <c r="A57" i="19"/>
  <c r="A58" i="19"/>
  <c r="A59" i="19"/>
  <c r="A60" i="19"/>
  <c r="A61" i="19"/>
  <c r="A62" i="19"/>
  <c r="A63" i="19"/>
  <c r="A64" i="19"/>
  <c r="A65" i="19"/>
  <c r="A66" i="19"/>
  <c r="A67" i="19"/>
  <c r="A68" i="19"/>
  <c r="A69" i="19"/>
  <c r="A70" i="19"/>
  <c r="A71" i="19"/>
  <c r="A72" i="19"/>
  <c r="A73" i="19"/>
  <c r="A74" i="19"/>
  <c r="A75" i="19"/>
  <c r="A76" i="19"/>
  <c r="A77" i="19"/>
  <c r="A78" i="19"/>
  <c r="A79" i="19"/>
  <c r="A80" i="19"/>
  <c r="A81" i="19"/>
  <c r="A82" i="19"/>
  <c r="A83" i="19"/>
  <c r="A84" i="19"/>
  <c r="A85" i="19"/>
  <c r="A86" i="19"/>
  <c r="A87" i="19"/>
  <c r="A88" i="19"/>
  <c r="A89" i="19"/>
  <c r="A90" i="19"/>
  <c r="A91" i="19"/>
  <c r="A92" i="19"/>
  <c r="A93" i="19"/>
  <c r="A94" i="19"/>
  <c r="A95" i="19"/>
  <c r="A96" i="19"/>
  <c r="A97" i="19"/>
  <c r="A98" i="19"/>
  <c r="A99" i="19"/>
  <c r="A100" i="19"/>
  <c r="A101" i="19"/>
  <c r="A102" i="19"/>
  <c r="A103" i="19"/>
  <c r="A104" i="19"/>
  <c r="A105" i="19"/>
  <c r="A106" i="19"/>
  <c r="A107" i="19"/>
  <c r="A108" i="19"/>
  <c r="A109" i="19"/>
  <c r="A110" i="19"/>
  <c r="A111" i="19"/>
  <c r="A112" i="19"/>
  <c r="A113" i="19"/>
  <c r="A114" i="19"/>
  <c r="A115" i="19"/>
  <c r="A116" i="19"/>
  <c r="A117" i="19"/>
  <c r="A118" i="19"/>
  <c r="A119" i="19"/>
  <c r="A120" i="19"/>
  <c r="A121" i="19"/>
  <c r="A122" i="19"/>
  <c r="A123" i="19"/>
  <c r="A124" i="19"/>
  <c r="A125" i="19"/>
  <c r="A126" i="19"/>
  <c r="A127" i="19"/>
  <c r="A128" i="19"/>
  <c r="A129" i="19"/>
  <c r="A130" i="19"/>
  <c r="A131" i="19"/>
  <c r="A132" i="19"/>
  <c r="A133" i="19"/>
  <c r="A134" i="19"/>
  <c r="A135" i="19"/>
  <c r="A136" i="19"/>
  <c r="A137" i="19"/>
  <c r="A138" i="19"/>
  <c r="A139" i="19"/>
  <c r="A140" i="19"/>
  <c r="A141" i="19"/>
  <c r="A142" i="19"/>
  <c r="A143" i="19"/>
  <c r="A144" i="19"/>
  <c r="A145" i="19"/>
  <c r="A146" i="19"/>
  <c r="A147" i="19"/>
  <c r="A148" i="19"/>
  <c r="A149" i="19"/>
  <c r="A150" i="19"/>
  <c r="A151" i="19"/>
  <c r="A152" i="19"/>
  <c r="A153" i="19"/>
  <c r="A154" i="19"/>
  <c r="A155" i="19"/>
  <c r="A156" i="19"/>
  <c r="A157" i="19"/>
  <c r="A158" i="19"/>
  <c r="A159" i="19"/>
  <c r="A160" i="19"/>
  <c r="A161" i="19"/>
  <c r="A162" i="19"/>
  <c r="A163" i="19"/>
  <c r="A164" i="19"/>
  <c r="A165" i="19"/>
  <c r="A166" i="19"/>
  <c r="A167" i="19"/>
  <c r="A168" i="19"/>
  <c r="A169" i="19"/>
  <c r="A170" i="19"/>
  <c r="A171" i="19"/>
  <c r="A172" i="19"/>
  <c r="A173" i="19"/>
  <c r="A174" i="19"/>
  <c r="A175" i="19"/>
  <c r="A176" i="19"/>
  <c r="A177" i="19"/>
  <c r="A178" i="19"/>
  <c r="A179" i="19"/>
  <c r="A180" i="19"/>
  <c r="A181" i="19"/>
  <c r="A182" i="19"/>
  <c r="A183" i="19"/>
  <c r="A184" i="19"/>
  <c r="A185" i="19"/>
  <c r="A186" i="19"/>
  <c r="A187" i="19"/>
  <c r="A188" i="19"/>
  <c r="A189" i="19"/>
  <c r="A190" i="19"/>
  <c r="A191" i="19"/>
  <c r="A192" i="19"/>
  <c r="A193" i="19"/>
  <c r="A194" i="19"/>
  <c r="A195" i="19"/>
  <c r="A196" i="19"/>
  <c r="A197" i="19"/>
  <c r="A198" i="19"/>
  <c r="A199" i="19"/>
  <c r="A200" i="19"/>
  <c r="A201" i="19"/>
  <c r="A202" i="19"/>
  <c r="A203" i="19"/>
  <c r="A204" i="19"/>
  <c r="A205" i="19"/>
  <c r="A206" i="19"/>
  <c r="A207" i="19"/>
  <c r="A208" i="19"/>
  <c r="A209" i="19"/>
  <c r="A210" i="19"/>
  <c r="A211" i="19"/>
  <c r="A212" i="19"/>
  <c r="A213" i="19"/>
  <c r="A214" i="19"/>
  <c r="A215" i="19"/>
  <c r="A216" i="19"/>
  <c r="A217" i="19"/>
  <c r="A218" i="19"/>
  <c r="A219" i="19"/>
  <c r="A220" i="19"/>
  <c r="A221" i="19"/>
  <c r="A222" i="19"/>
  <c r="A223" i="19"/>
  <c r="A224" i="19"/>
  <c r="A225" i="19"/>
  <c r="A226" i="19"/>
  <c r="A227" i="19"/>
  <c r="A228" i="19"/>
  <c r="A229" i="19"/>
  <c r="A230" i="19"/>
  <c r="A231" i="19"/>
  <c r="A232" i="19"/>
  <c r="A233" i="19"/>
  <c r="A234" i="19"/>
  <c r="A235" i="19"/>
  <c r="A236" i="19"/>
  <c r="A237" i="19"/>
  <c r="A238" i="19"/>
  <c r="A239" i="19"/>
  <c r="A240" i="19"/>
  <c r="A241" i="19"/>
  <c r="A242" i="19"/>
  <c r="A243" i="19"/>
  <c r="A244" i="19"/>
  <c r="A245" i="19"/>
  <c r="A246" i="19"/>
  <c r="A247" i="19"/>
  <c r="A248" i="19"/>
  <c r="A249" i="19"/>
  <c r="A250" i="19"/>
  <c r="A251" i="19"/>
  <c r="A252" i="19"/>
  <c r="A253" i="19"/>
  <c r="A254" i="19"/>
  <c r="A255" i="19"/>
  <c r="A256" i="19"/>
  <c r="A257" i="19"/>
  <c r="A258" i="19"/>
  <c r="A259" i="19"/>
  <c r="A260" i="19"/>
  <c r="A261" i="19"/>
  <c r="A262" i="19"/>
  <c r="A263" i="19"/>
  <c r="A264" i="19"/>
  <c r="A265" i="19"/>
  <c r="A266" i="19"/>
  <c r="A267" i="19"/>
  <c r="A268" i="19"/>
  <c r="A269" i="19"/>
  <c r="A270" i="19"/>
  <c r="A271" i="19"/>
  <c r="A272" i="19"/>
  <c r="A273" i="19"/>
  <c r="A274" i="19"/>
  <c r="A275" i="19"/>
  <c r="A276" i="19"/>
  <c r="A277" i="19"/>
  <c r="A278" i="19"/>
  <c r="A279" i="19"/>
  <c r="A280" i="19"/>
  <c r="A281" i="19"/>
  <c r="A282" i="19"/>
  <c r="A283" i="19"/>
  <c r="A284" i="19"/>
  <c r="A285" i="19"/>
  <c r="A286" i="19"/>
  <c r="A287" i="19"/>
  <c r="A288" i="19"/>
  <c r="A289" i="19"/>
  <c r="A290" i="19"/>
  <c r="A291" i="19"/>
  <c r="A292" i="19"/>
  <c r="A293" i="19"/>
  <c r="A294" i="19"/>
  <c r="A295" i="19"/>
  <c r="A296" i="19"/>
  <c r="A297" i="19"/>
  <c r="A298" i="19"/>
  <c r="A299" i="19"/>
  <c r="A300" i="19"/>
  <c r="A301" i="19"/>
  <c r="A302" i="19"/>
  <c r="A303" i="19"/>
  <c r="A304" i="19"/>
  <c r="A305" i="19"/>
  <c r="A306" i="19"/>
  <c r="A307" i="19"/>
  <c r="A308" i="19"/>
  <c r="A309" i="19"/>
  <c r="A310" i="19"/>
  <c r="A311" i="19"/>
  <c r="A312" i="19"/>
  <c r="A313" i="19"/>
  <c r="A314" i="19"/>
  <c r="A315" i="19"/>
  <c r="A316" i="19"/>
  <c r="A317" i="19"/>
  <c r="A318" i="19"/>
  <c r="A319" i="19"/>
  <c r="A320" i="19"/>
  <c r="A321" i="19"/>
  <c r="A322" i="19"/>
  <c r="A323" i="19"/>
  <c r="A324" i="19"/>
  <c r="A325" i="19"/>
  <c r="A326" i="19"/>
  <c r="A327" i="19"/>
  <c r="A328" i="19"/>
  <c r="A329" i="19"/>
  <c r="A330" i="19"/>
  <c r="A331" i="19"/>
  <c r="A332" i="19"/>
  <c r="A333" i="19"/>
  <c r="A334" i="19"/>
  <c r="A335" i="19"/>
  <c r="A336" i="19"/>
  <c r="A337" i="19"/>
  <c r="A338" i="19"/>
  <c r="A339" i="19"/>
  <c r="A340" i="19"/>
  <c r="A341" i="19"/>
  <c r="A342" i="19"/>
  <c r="A343" i="19"/>
  <c r="A344" i="19"/>
  <c r="A345" i="19"/>
  <c r="A346" i="19"/>
  <c r="A347" i="19"/>
  <c r="A348" i="19"/>
  <c r="A349" i="19"/>
  <c r="A350" i="19"/>
  <c r="A351" i="19"/>
  <c r="A352" i="19"/>
  <c r="A353" i="19"/>
  <c r="A354" i="19"/>
  <c r="A355" i="19"/>
  <c r="A356" i="19"/>
  <c r="A357" i="19"/>
  <c r="A358" i="19"/>
  <c r="A359" i="19"/>
  <c r="A360" i="19"/>
  <c r="A361" i="19"/>
  <c r="A362" i="19"/>
  <c r="A363" i="19"/>
  <c r="A364" i="19"/>
  <c r="A365" i="19"/>
  <c r="A366" i="19"/>
  <c r="A367" i="19"/>
  <c r="A368" i="19"/>
  <c r="A369" i="19"/>
  <c r="A370" i="19"/>
  <c r="A371" i="19"/>
  <c r="A372" i="19"/>
  <c r="A373" i="19"/>
  <c r="A374" i="19"/>
  <c r="A375" i="19"/>
  <c r="A376" i="19"/>
  <c r="A377" i="19"/>
  <c r="A378" i="19"/>
  <c r="A379" i="19"/>
  <c r="A380" i="19"/>
  <c r="A381" i="19"/>
  <c r="A382" i="19"/>
  <c r="A383" i="19"/>
  <c r="A384" i="19"/>
  <c r="A385" i="19"/>
  <c r="A386" i="19"/>
  <c r="A387" i="19"/>
  <c r="A388" i="19"/>
  <c r="A389" i="19"/>
  <c r="C2" i="19"/>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49" i="18"/>
  <c r="A50" i="18"/>
  <c r="A51" i="18"/>
  <c r="A52" i="18"/>
  <c r="A53" i="18"/>
  <c r="A54" i="18"/>
  <c r="A55" i="18"/>
  <c r="A56" i="18"/>
  <c r="A57" i="18"/>
  <c r="A58" i="18"/>
  <c r="A59" i="18"/>
  <c r="A60" i="18"/>
  <c r="A61" i="18"/>
  <c r="A62" i="18"/>
  <c r="A63" i="18"/>
  <c r="A64" i="18"/>
  <c r="A65" i="18"/>
  <c r="A66" i="18"/>
  <c r="A67" i="18"/>
  <c r="A68" i="18"/>
  <c r="A69" i="18"/>
  <c r="A70" i="18"/>
  <c r="A71" i="18"/>
  <c r="A72" i="18"/>
  <c r="A73" i="18"/>
  <c r="A74" i="18"/>
  <c r="A75" i="18"/>
  <c r="A76" i="18"/>
  <c r="A77" i="18"/>
  <c r="A78" i="18"/>
  <c r="A79" i="18"/>
  <c r="A80" i="18"/>
  <c r="A81" i="18"/>
  <c r="A82" i="18"/>
  <c r="A83" i="18"/>
  <c r="A84" i="18"/>
  <c r="A85" i="18"/>
  <c r="A86" i="18"/>
  <c r="A87" i="18"/>
  <c r="A88" i="18"/>
  <c r="A89" i="18"/>
  <c r="A90" i="18"/>
  <c r="A91" i="18"/>
  <c r="A92" i="18"/>
  <c r="A93" i="18"/>
  <c r="A94" i="18"/>
  <c r="A95" i="18"/>
  <c r="A96" i="18"/>
  <c r="A97" i="18"/>
  <c r="A98" i="18"/>
  <c r="A99" i="18"/>
  <c r="A100" i="18"/>
  <c r="A101" i="18"/>
  <c r="A102" i="18"/>
  <c r="A103" i="18"/>
  <c r="A104" i="18"/>
  <c r="A105" i="18"/>
  <c r="A106" i="18"/>
  <c r="A107" i="18"/>
  <c r="A108" i="18"/>
  <c r="A109" i="18"/>
  <c r="A110" i="18"/>
  <c r="A111" i="18"/>
  <c r="A112" i="18"/>
  <c r="A113" i="18"/>
  <c r="A114" i="18"/>
  <c r="A115" i="18"/>
  <c r="A116" i="18"/>
  <c r="A117" i="18"/>
  <c r="A118" i="18"/>
  <c r="A119" i="18"/>
  <c r="A120" i="18"/>
  <c r="A121" i="18"/>
  <c r="A122" i="18"/>
  <c r="A123" i="18"/>
  <c r="A124" i="18"/>
  <c r="A125" i="18"/>
  <c r="A126" i="18"/>
  <c r="A127" i="18"/>
  <c r="A128" i="18"/>
  <c r="A129" i="18"/>
  <c r="A130" i="18"/>
  <c r="A131" i="18"/>
  <c r="A132" i="18"/>
  <c r="A133" i="18"/>
  <c r="A134" i="18"/>
  <c r="A135" i="18"/>
  <c r="A136" i="18"/>
  <c r="A137" i="18"/>
  <c r="A138" i="18"/>
  <c r="A139" i="18"/>
  <c r="A140" i="18"/>
  <c r="A141" i="18"/>
  <c r="A142" i="18"/>
  <c r="A143" i="18"/>
  <c r="A144" i="18"/>
  <c r="A145" i="18"/>
  <c r="A146" i="18"/>
  <c r="A147" i="18"/>
  <c r="A148" i="18"/>
  <c r="A149" i="18"/>
  <c r="A150" i="18"/>
  <c r="A151" i="18"/>
  <c r="A152" i="18"/>
  <c r="A153" i="18"/>
  <c r="A154" i="18"/>
  <c r="A155" i="18"/>
  <c r="A156" i="18"/>
  <c r="A157" i="18"/>
  <c r="A158" i="18"/>
  <c r="A159" i="18"/>
  <c r="A160" i="18"/>
  <c r="A161" i="18"/>
  <c r="A162" i="18"/>
  <c r="A163" i="18"/>
  <c r="A164" i="18"/>
  <c r="A165" i="18"/>
  <c r="A166" i="18"/>
  <c r="A167" i="18"/>
  <c r="A168" i="18"/>
  <c r="A169" i="18"/>
  <c r="A170" i="18"/>
  <c r="A171" i="18"/>
  <c r="A172" i="18"/>
  <c r="A173" i="18"/>
  <c r="A174" i="18"/>
  <c r="A175" i="18"/>
  <c r="A176" i="18"/>
  <c r="A177" i="18"/>
  <c r="A178" i="18"/>
  <c r="A179" i="18"/>
  <c r="A180" i="18"/>
  <c r="A181" i="18"/>
  <c r="A182" i="18"/>
  <c r="A183" i="18"/>
  <c r="A184" i="18"/>
  <c r="A185" i="18"/>
  <c r="A186" i="18"/>
  <c r="A187" i="18"/>
  <c r="A188" i="18"/>
  <c r="A189" i="18"/>
  <c r="A190" i="18"/>
  <c r="A191" i="18"/>
  <c r="A192" i="18"/>
  <c r="A193" i="18"/>
  <c r="A194" i="18"/>
  <c r="A195" i="18"/>
  <c r="A196" i="18"/>
  <c r="A197" i="18"/>
  <c r="A198" i="18"/>
  <c r="A199" i="18"/>
  <c r="A200" i="18"/>
  <c r="A201" i="18"/>
  <c r="A202" i="18"/>
  <c r="A203" i="18"/>
  <c r="A204" i="18"/>
  <c r="A205" i="18"/>
  <c r="A206" i="18"/>
  <c r="A207" i="18"/>
  <c r="A208" i="18"/>
  <c r="A209" i="18"/>
  <c r="A210" i="18"/>
  <c r="A211" i="18"/>
  <c r="A212" i="18"/>
  <c r="A213" i="18"/>
  <c r="A214" i="18"/>
  <c r="A215" i="18"/>
  <c r="A216" i="18"/>
  <c r="A217" i="18"/>
  <c r="A218" i="18"/>
  <c r="A219" i="18"/>
  <c r="A220" i="18"/>
  <c r="A221" i="18"/>
  <c r="A222" i="18"/>
  <c r="A223" i="18"/>
  <c r="A224" i="18"/>
  <c r="A225" i="18"/>
  <c r="A226" i="18"/>
  <c r="A227" i="18"/>
  <c r="A228" i="18"/>
  <c r="A229" i="18"/>
  <c r="A230" i="18"/>
  <c r="A231" i="18"/>
  <c r="A232" i="18"/>
  <c r="A233" i="18"/>
  <c r="A234" i="18"/>
  <c r="A235" i="18"/>
  <c r="A236" i="18"/>
  <c r="A237" i="18"/>
  <c r="A238" i="18"/>
  <c r="A239" i="18"/>
  <c r="A240" i="18"/>
  <c r="A241" i="18"/>
  <c r="A242" i="18"/>
  <c r="A243" i="18"/>
  <c r="A244" i="18"/>
  <c r="A245" i="18"/>
  <c r="A246" i="18"/>
  <c r="A247" i="18"/>
  <c r="A248" i="18"/>
  <c r="A249" i="18"/>
  <c r="A250" i="18"/>
  <c r="A251" i="18"/>
  <c r="A252" i="18"/>
  <c r="A253" i="18"/>
  <c r="A254" i="18"/>
  <c r="A255" i="18"/>
  <c r="A256" i="18"/>
  <c r="A257" i="18"/>
  <c r="A258" i="18"/>
  <c r="A259" i="18"/>
  <c r="A260" i="18"/>
  <c r="A261" i="18"/>
  <c r="A262" i="18"/>
  <c r="A263" i="18"/>
  <c r="A264" i="18"/>
  <c r="A265" i="18"/>
  <c r="A266" i="18"/>
  <c r="A267" i="18"/>
  <c r="A268" i="18"/>
  <c r="A269" i="18"/>
  <c r="A270" i="18"/>
  <c r="A271" i="18"/>
  <c r="A272" i="18"/>
  <c r="A273" i="18"/>
  <c r="A274" i="18"/>
  <c r="A275" i="18"/>
  <c r="A276" i="18"/>
  <c r="A277" i="18"/>
  <c r="A278" i="18"/>
  <c r="A279" i="18"/>
  <c r="A280" i="18"/>
  <c r="A281" i="18"/>
  <c r="A282" i="18"/>
  <c r="A283" i="18"/>
  <c r="A284" i="18"/>
  <c r="A285" i="18"/>
  <c r="A286" i="18"/>
  <c r="A287" i="18"/>
  <c r="A288" i="18"/>
  <c r="A289" i="18"/>
  <c r="A290" i="18"/>
  <c r="A291" i="18"/>
  <c r="A292" i="18"/>
  <c r="A293" i="18"/>
  <c r="A294" i="18"/>
  <c r="A295" i="18"/>
  <c r="A296" i="18"/>
  <c r="A297" i="18"/>
  <c r="A298" i="18"/>
  <c r="A299" i="18"/>
  <c r="A300" i="18"/>
  <c r="A301" i="18"/>
  <c r="A302" i="18"/>
  <c r="A303" i="18"/>
  <c r="A304" i="18"/>
  <c r="A305" i="18"/>
  <c r="A306" i="18"/>
  <c r="A307" i="18"/>
  <c r="A308" i="18"/>
  <c r="A309" i="18"/>
  <c r="A310" i="18"/>
  <c r="A311" i="18"/>
  <c r="A312" i="18"/>
  <c r="A313" i="18"/>
  <c r="A314" i="18"/>
  <c r="A315" i="18"/>
  <c r="A316" i="18"/>
  <c r="A317" i="18"/>
  <c r="A318" i="18"/>
  <c r="A319" i="18"/>
  <c r="A320" i="18"/>
  <c r="A321" i="18"/>
  <c r="A322" i="18"/>
  <c r="A323" i="18"/>
  <c r="A324" i="18"/>
  <c r="A325" i="18"/>
  <c r="A326" i="18"/>
  <c r="A327" i="18"/>
  <c r="A328" i="18"/>
  <c r="A329" i="18"/>
  <c r="A330" i="18"/>
  <c r="A331" i="18"/>
  <c r="A332" i="18"/>
  <c r="A333" i="18"/>
  <c r="A334" i="18"/>
  <c r="A335" i="18"/>
  <c r="A336" i="18"/>
  <c r="A337" i="18"/>
  <c r="A338" i="18"/>
  <c r="A339" i="18"/>
  <c r="A340" i="18"/>
  <c r="A341" i="18"/>
  <c r="A342" i="18"/>
  <c r="A343" i="18"/>
  <c r="A344" i="18"/>
  <c r="A345" i="18"/>
  <c r="A346" i="18"/>
  <c r="A347" i="18"/>
  <c r="A348" i="18"/>
  <c r="A349" i="18"/>
  <c r="A350" i="18"/>
  <c r="A351" i="18"/>
  <c r="A352" i="18"/>
  <c r="A353" i="18"/>
  <c r="A354" i="18"/>
  <c r="A355" i="18"/>
  <c r="A356" i="18"/>
  <c r="A357" i="18"/>
  <c r="A358" i="18"/>
  <c r="A359" i="18"/>
  <c r="A360" i="18"/>
  <c r="A361" i="18"/>
  <c r="A362" i="18"/>
  <c r="A363" i="18"/>
  <c r="A364" i="18"/>
  <c r="A365" i="18"/>
  <c r="A366" i="18"/>
  <c r="A367" i="18"/>
  <c r="A368" i="18"/>
  <c r="A369" i="18"/>
  <c r="A370" i="18"/>
  <c r="A371" i="18"/>
  <c r="A372" i="18"/>
  <c r="A373" i="18"/>
  <c r="A374" i="18"/>
  <c r="A375" i="18"/>
  <c r="A376" i="18"/>
  <c r="A377" i="18"/>
  <c r="A378" i="18"/>
  <c r="A379" i="18"/>
  <c r="A380" i="18"/>
  <c r="A381" i="18"/>
  <c r="A382" i="18"/>
  <c r="A383" i="18"/>
  <c r="A384" i="18"/>
  <c r="A385" i="18"/>
  <c r="A386" i="18"/>
  <c r="A387" i="18"/>
  <c r="A388" i="18"/>
  <c r="A389" i="18"/>
  <c r="A390" i="18"/>
  <c r="A391" i="18"/>
  <c r="A392" i="18"/>
  <c r="A393" i="18"/>
  <c r="A394" i="18"/>
  <c r="A395" i="18"/>
  <c r="A396" i="18"/>
  <c r="A397" i="18"/>
  <c r="A398" i="18"/>
  <c r="A399" i="18"/>
  <c r="A400" i="18"/>
  <c r="A401" i="18"/>
  <c r="A402" i="18"/>
  <c r="A403" i="18"/>
  <c r="A404" i="18"/>
  <c r="A405" i="18"/>
  <c r="A406" i="18"/>
  <c r="A407" i="18"/>
  <c r="A408" i="18"/>
  <c r="A409" i="18"/>
  <c r="A410" i="18"/>
  <c r="A411" i="18"/>
  <c r="A412" i="18"/>
  <c r="A413" i="18"/>
  <c r="A414" i="18"/>
  <c r="A415" i="18"/>
  <c r="A416" i="18"/>
  <c r="A417" i="18"/>
  <c r="A418" i="18"/>
  <c r="A419" i="18"/>
  <c r="A420" i="18"/>
  <c r="A421" i="18"/>
  <c r="A422" i="18"/>
  <c r="A423" i="18"/>
  <c r="A424" i="18"/>
  <c r="A425" i="18"/>
  <c r="A426" i="18"/>
  <c r="A427" i="18"/>
  <c r="A428" i="18"/>
  <c r="A429" i="18"/>
  <c r="A430" i="18"/>
  <c r="A431" i="18"/>
  <c r="A432" i="18"/>
  <c r="A433" i="18"/>
  <c r="A434" i="18"/>
  <c r="A435" i="18"/>
  <c r="A436" i="18"/>
  <c r="A437" i="18"/>
  <c r="A438" i="18"/>
  <c r="A439" i="18"/>
  <c r="A440" i="18"/>
  <c r="A441" i="18"/>
  <c r="A442" i="18"/>
  <c r="A443" i="18"/>
  <c r="A444" i="18"/>
  <c r="A445" i="18"/>
  <c r="A446" i="18"/>
  <c r="A447" i="18"/>
  <c r="A448" i="18"/>
  <c r="A449" i="18"/>
  <c r="A450" i="18"/>
  <c r="A451" i="18"/>
  <c r="A452" i="18"/>
  <c r="A453" i="18"/>
  <c r="A454" i="18"/>
  <c r="A455" i="18"/>
  <c r="A456" i="18"/>
  <c r="A457" i="18"/>
  <c r="A458" i="18"/>
  <c r="A459" i="18"/>
  <c r="A460" i="18"/>
  <c r="A461" i="18"/>
  <c r="A462" i="18"/>
  <c r="A463" i="18"/>
  <c r="A464" i="18"/>
  <c r="A465" i="18"/>
  <c r="A466" i="18"/>
  <c r="A467" i="18"/>
  <c r="A468" i="18"/>
  <c r="A469" i="18"/>
  <c r="A470" i="18"/>
  <c r="A471" i="18"/>
  <c r="A472" i="18"/>
  <c r="A473" i="18"/>
  <c r="A474" i="18"/>
  <c r="A475" i="18"/>
  <c r="A476" i="18"/>
  <c r="A477" i="18"/>
  <c r="A478" i="18"/>
  <c r="A479" i="18"/>
  <c r="A480" i="18"/>
  <c r="A481" i="18"/>
  <c r="A482" i="18"/>
  <c r="A483" i="18"/>
  <c r="A484" i="18"/>
  <c r="A485" i="18"/>
  <c r="A486" i="18"/>
  <c r="A487" i="18"/>
  <c r="A488" i="18"/>
  <c r="A489" i="18"/>
  <c r="A490" i="18"/>
  <c r="A491" i="18"/>
  <c r="A492" i="18"/>
  <c r="A493" i="18"/>
  <c r="A494" i="18"/>
  <c r="A495" i="18"/>
  <c r="A496" i="18"/>
  <c r="A497" i="18"/>
  <c r="A498" i="18"/>
  <c r="A499" i="18"/>
  <c r="A500" i="18"/>
  <c r="A501" i="18"/>
  <c r="A502" i="18"/>
  <c r="A503" i="18"/>
  <c r="A504" i="18"/>
  <c r="A505" i="18"/>
  <c r="A506" i="18"/>
  <c r="A18" i="18"/>
  <c r="D3" i="20" l="1"/>
  <c r="C388" i="20"/>
  <c r="C387" i="20"/>
  <c r="C385" i="20"/>
  <c r="C384" i="20"/>
  <c r="C383" i="20"/>
  <c r="C382" i="20"/>
  <c r="C381" i="20"/>
  <c r="C380" i="20"/>
  <c r="C379" i="20"/>
  <c r="C378" i="20"/>
  <c r="C377" i="20"/>
  <c r="C376" i="20"/>
  <c r="C375" i="20"/>
  <c r="C374" i="20"/>
  <c r="C373" i="20"/>
  <c r="C372" i="20"/>
  <c r="C371" i="20"/>
  <c r="C370" i="20"/>
  <c r="C369" i="20"/>
  <c r="C368" i="20"/>
  <c r="C367" i="20"/>
  <c r="C366" i="20"/>
  <c r="C365" i="20"/>
  <c r="C364" i="20"/>
  <c r="C363" i="20"/>
  <c r="C362" i="20"/>
  <c r="C361" i="20"/>
  <c r="C360" i="20"/>
  <c r="C359" i="20"/>
  <c r="C358" i="20"/>
  <c r="C357" i="20"/>
  <c r="C356" i="20"/>
  <c r="C355" i="20"/>
  <c r="C354" i="20"/>
  <c r="C353" i="20"/>
  <c r="C352" i="20"/>
  <c r="C351" i="20"/>
  <c r="C350" i="20"/>
  <c r="C349" i="20"/>
  <c r="C348" i="20"/>
  <c r="C347" i="20"/>
  <c r="C346" i="20"/>
  <c r="C345" i="20"/>
  <c r="C344" i="20"/>
  <c r="C343" i="20"/>
  <c r="C342" i="20"/>
  <c r="C341" i="20"/>
  <c r="C340" i="20"/>
  <c r="C339" i="20"/>
  <c r="C338" i="20"/>
  <c r="C337" i="20"/>
  <c r="C336" i="20"/>
  <c r="C335" i="20"/>
  <c r="C334" i="20"/>
  <c r="C333" i="20"/>
  <c r="C332" i="20"/>
  <c r="C331" i="20"/>
  <c r="C330" i="20"/>
  <c r="C329" i="20"/>
  <c r="C328" i="20"/>
  <c r="C327" i="20"/>
  <c r="C326" i="20"/>
  <c r="C325" i="20"/>
  <c r="C324" i="20"/>
  <c r="C323" i="20"/>
  <c r="C322" i="20"/>
  <c r="C321" i="20"/>
  <c r="C320" i="20"/>
  <c r="C319" i="20"/>
  <c r="C318" i="20"/>
  <c r="C317" i="20"/>
  <c r="C316" i="20"/>
  <c r="C315" i="20"/>
  <c r="C314" i="20"/>
  <c r="C313" i="20"/>
  <c r="C312" i="20"/>
  <c r="C311" i="20"/>
  <c r="C310" i="20"/>
  <c r="C309" i="20"/>
  <c r="C308" i="20"/>
  <c r="C307" i="20"/>
  <c r="C306" i="20"/>
  <c r="C305" i="20"/>
  <c r="C304" i="20"/>
  <c r="C303" i="20"/>
  <c r="C302" i="20"/>
  <c r="C301" i="20"/>
  <c r="C300" i="20"/>
  <c r="C299" i="20"/>
  <c r="C298" i="20"/>
  <c r="C297" i="20"/>
  <c r="C296" i="20"/>
  <c r="C295" i="20"/>
  <c r="C294" i="20"/>
  <c r="C293" i="20"/>
  <c r="C292" i="20"/>
  <c r="C291" i="20"/>
  <c r="C290" i="20"/>
  <c r="C289" i="20"/>
  <c r="C288" i="20"/>
  <c r="C287" i="20"/>
  <c r="C286" i="20"/>
  <c r="C285" i="20"/>
  <c r="C284" i="20"/>
  <c r="C283" i="20"/>
  <c r="C282" i="20"/>
  <c r="C281" i="20"/>
  <c r="C280" i="20"/>
  <c r="C279" i="20"/>
  <c r="C278" i="20"/>
  <c r="C277" i="20"/>
  <c r="C276" i="20"/>
  <c r="C275" i="20"/>
  <c r="C274" i="20"/>
  <c r="C273" i="20"/>
  <c r="C272" i="20"/>
  <c r="C271" i="20"/>
  <c r="C270" i="20"/>
  <c r="C269" i="20"/>
  <c r="C268" i="20"/>
  <c r="C267" i="20"/>
  <c r="C266" i="20"/>
  <c r="C265" i="20"/>
  <c r="C264" i="20"/>
  <c r="C263" i="20"/>
  <c r="C262" i="20"/>
  <c r="C261" i="20"/>
  <c r="C260" i="20"/>
  <c r="C259" i="20"/>
  <c r="C258" i="20"/>
  <c r="C257" i="20"/>
  <c r="C256" i="20"/>
  <c r="C255" i="20"/>
  <c r="C254" i="20"/>
  <c r="C253" i="20"/>
  <c r="C252" i="20"/>
  <c r="C251" i="20"/>
  <c r="C250" i="20"/>
  <c r="C249" i="20"/>
  <c r="C248" i="20"/>
  <c r="C247" i="20"/>
  <c r="C246" i="20"/>
  <c r="C245" i="20"/>
  <c r="C244" i="20"/>
  <c r="C243" i="20"/>
  <c r="C242" i="20"/>
  <c r="C241" i="20"/>
  <c r="C240" i="20"/>
  <c r="C239" i="20"/>
  <c r="C238" i="20"/>
  <c r="C237" i="20"/>
  <c r="C236" i="20"/>
  <c r="C235" i="20"/>
  <c r="C234" i="20"/>
  <c r="C233" i="20"/>
  <c r="C232" i="20"/>
  <c r="C231" i="20"/>
  <c r="C230" i="20"/>
  <c r="C229" i="20"/>
  <c r="C228" i="20"/>
  <c r="C227" i="20"/>
  <c r="C226" i="20"/>
  <c r="C225" i="20"/>
  <c r="C224" i="20"/>
  <c r="C223" i="20"/>
  <c r="C222" i="20"/>
  <c r="C221" i="20"/>
  <c r="C220" i="20"/>
  <c r="C219" i="20"/>
  <c r="C218" i="20"/>
  <c r="C217" i="20"/>
  <c r="C216" i="20"/>
  <c r="C215" i="20"/>
  <c r="C214" i="20"/>
  <c r="C213" i="20"/>
  <c r="C212" i="20"/>
  <c r="C211" i="20"/>
  <c r="C210" i="20"/>
  <c r="C209" i="20"/>
  <c r="C208" i="20"/>
  <c r="C207" i="20"/>
  <c r="C206" i="20"/>
  <c r="C205" i="20"/>
  <c r="C204" i="20"/>
  <c r="C203" i="20"/>
  <c r="C202" i="20"/>
  <c r="C201" i="20"/>
  <c r="C200" i="20"/>
  <c r="C199" i="20"/>
  <c r="C198" i="20"/>
  <c r="C197" i="20"/>
  <c r="C196" i="20"/>
  <c r="C195" i="20"/>
  <c r="C194" i="20"/>
  <c r="C193" i="20"/>
  <c r="C192" i="20"/>
  <c r="C191" i="20"/>
  <c r="C190" i="20"/>
  <c r="C189" i="20"/>
  <c r="C188" i="20"/>
  <c r="C187" i="20"/>
  <c r="C186" i="20"/>
  <c r="C185" i="20"/>
  <c r="C184" i="20"/>
  <c r="C183" i="20"/>
  <c r="C182" i="20"/>
  <c r="C181" i="20"/>
  <c r="C180" i="20"/>
  <c r="C179" i="20"/>
  <c r="C178" i="20"/>
  <c r="C177" i="20"/>
  <c r="C176" i="20"/>
  <c r="C175" i="20"/>
  <c r="C174" i="20"/>
  <c r="C173" i="20"/>
  <c r="C172" i="20"/>
  <c r="C171" i="20"/>
  <c r="C170" i="20"/>
  <c r="C169" i="20"/>
  <c r="C168" i="20"/>
  <c r="C167" i="20"/>
  <c r="C166" i="20"/>
  <c r="C165" i="20"/>
  <c r="C164" i="20"/>
  <c r="C163" i="20"/>
  <c r="C162" i="20"/>
  <c r="C161" i="20"/>
  <c r="C160" i="20"/>
  <c r="C159" i="20"/>
  <c r="C158" i="20"/>
  <c r="C157" i="20"/>
  <c r="C156" i="20"/>
  <c r="C155" i="20"/>
  <c r="C154" i="20"/>
  <c r="C153" i="20"/>
  <c r="C152" i="20"/>
  <c r="C151" i="20"/>
  <c r="C150" i="20"/>
  <c r="C149" i="20"/>
  <c r="C148" i="20"/>
  <c r="C147" i="20"/>
  <c r="C146" i="20"/>
  <c r="C145" i="20"/>
  <c r="C144" i="20"/>
  <c r="C143" i="20"/>
  <c r="C142" i="20"/>
  <c r="C141" i="20"/>
  <c r="C140" i="20"/>
  <c r="C139" i="20"/>
  <c r="C138" i="20"/>
  <c r="C137" i="20"/>
  <c r="C136" i="20"/>
  <c r="C135" i="20"/>
  <c r="C134" i="20"/>
  <c r="C133" i="20"/>
  <c r="C132" i="20"/>
  <c r="C131" i="20"/>
  <c r="C130" i="20"/>
  <c r="C129" i="20"/>
  <c r="C128" i="20"/>
  <c r="C127" i="20"/>
  <c r="C126" i="20"/>
  <c r="C125" i="20"/>
  <c r="C124" i="20"/>
  <c r="C123" i="20"/>
  <c r="C122" i="20"/>
  <c r="C121" i="20"/>
  <c r="C120" i="20"/>
  <c r="C119" i="20"/>
  <c r="C118" i="20"/>
  <c r="C117" i="20"/>
  <c r="C116" i="20"/>
  <c r="C115" i="20"/>
  <c r="C114" i="20"/>
  <c r="C111" i="20"/>
  <c r="C110" i="20"/>
  <c r="C109" i="20"/>
  <c r="C108" i="20"/>
  <c r="C107" i="20"/>
  <c r="C106" i="20"/>
  <c r="C105" i="20"/>
  <c r="C104" i="20"/>
  <c r="C103" i="20"/>
  <c r="C102" i="20"/>
  <c r="C101" i="20"/>
  <c r="C100" i="20"/>
  <c r="C99" i="20"/>
  <c r="C98" i="20"/>
  <c r="C97" i="20"/>
  <c r="C96" i="20"/>
  <c r="C95" i="20"/>
  <c r="C94" i="20"/>
  <c r="C93" i="20"/>
  <c r="C92" i="20"/>
  <c r="C91" i="20"/>
  <c r="C90" i="20"/>
  <c r="C89" i="20"/>
  <c r="C88" i="20"/>
  <c r="C87" i="20"/>
  <c r="C86" i="20"/>
  <c r="C85" i="20"/>
  <c r="C84" i="20"/>
  <c r="C83" i="20"/>
  <c r="C82" i="20"/>
  <c r="C81" i="20"/>
  <c r="C80" i="20"/>
  <c r="C79" i="20"/>
  <c r="C78" i="20"/>
  <c r="C77" i="20"/>
  <c r="C76" i="20"/>
  <c r="C75" i="20"/>
  <c r="C74" i="20"/>
  <c r="C73" i="20"/>
  <c r="C72" i="20"/>
  <c r="C71" i="20"/>
  <c r="C70" i="20"/>
  <c r="C69" i="20"/>
  <c r="C68" i="20"/>
  <c r="C67" i="20"/>
  <c r="C66" i="20"/>
  <c r="C65" i="20"/>
  <c r="C64" i="20"/>
  <c r="C63" i="20"/>
  <c r="C62" i="20"/>
  <c r="C61" i="20"/>
  <c r="C60" i="20"/>
  <c r="C59" i="20"/>
  <c r="C58" i="20"/>
  <c r="C57" i="20"/>
  <c r="C56" i="20"/>
  <c r="C55" i="20"/>
  <c r="C54" i="20"/>
  <c r="C53" i="20"/>
  <c r="C52" i="20"/>
  <c r="C51" i="20"/>
  <c r="C50" i="20"/>
  <c r="C49" i="20"/>
  <c r="C48" i="20"/>
  <c r="C47" i="20"/>
  <c r="C46" i="20"/>
  <c r="C45" i="20"/>
  <c r="C44" i="20"/>
  <c r="C43" i="20"/>
  <c r="C42" i="20"/>
  <c r="C41" i="20"/>
  <c r="C40" i="20"/>
  <c r="C39" i="20"/>
  <c r="C38" i="20"/>
  <c r="C37" i="20"/>
  <c r="C36" i="20"/>
  <c r="C35" i="20"/>
  <c r="C34" i="20"/>
  <c r="C33" i="20"/>
  <c r="C32" i="20"/>
  <c r="C31" i="20"/>
  <c r="C30" i="20"/>
  <c r="C29" i="20"/>
  <c r="C28" i="20"/>
  <c r="C27" i="20"/>
  <c r="C26" i="20"/>
  <c r="C25" i="20"/>
  <c r="C24" i="20"/>
  <c r="C23" i="20"/>
  <c r="C22" i="20"/>
  <c r="C21" i="20"/>
  <c r="C20" i="20"/>
  <c r="C19" i="20"/>
  <c r="C18" i="20"/>
  <c r="C17" i="20"/>
  <c r="C16" i="20"/>
  <c r="C15" i="20"/>
  <c r="C14" i="20"/>
  <c r="C13" i="20"/>
  <c r="C12" i="20"/>
  <c r="C11" i="20"/>
  <c r="C10" i="20"/>
  <c r="C9" i="20"/>
  <c r="C8" i="20"/>
  <c r="C7" i="20"/>
  <c r="C6" i="20"/>
  <c r="C5" i="20"/>
  <c r="C4" i="20"/>
  <c r="C3" i="20"/>
  <c r="C2" i="20"/>
  <c r="E2" i="20" s="1"/>
  <c r="C3" i="19"/>
  <c r="C4"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159" i="19"/>
  <c r="C160" i="19"/>
  <c r="C161" i="19"/>
  <c r="C162" i="19"/>
  <c r="C163" i="19"/>
  <c r="C164" i="19"/>
  <c r="C165" i="19"/>
  <c r="C166" i="19"/>
  <c r="C167" i="19"/>
  <c r="C168" i="19"/>
  <c r="C169" i="19"/>
  <c r="C170" i="19"/>
  <c r="C171" i="19"/>
  <c r="C172" i="19"/>
  <c r="C173" i="19"/>
  <c r="C174" i="19"/>
  <c r="C175" i="19"/>
  <c r="C176" i="19"/>
  <c r="C177" i="19"/>
  <c r="C178" i="19"/>
  <c r="C179" i="19"/>
  <c r="C180" i="19"/>
  <c r="C181" i="19"/>
  <c r="C182" i="19"/>
  <c r="C183" i="19"/>
  <c r="C184" i="19"/>
  <c r="C185" i="19"/>
  <c r="C186" i="19"/>
  <c r="C187" i="19"/>
  <c r="C188" i="19"/>
  <c r="C189" i="19"/>
  <c r="C190" i="19"/>
  <c r="C191" i="19"/>
  <c r="C192" i="19"/>
  <c r="C193" i="19"/>
  <c r="C194" i="19"/>
  <c r="C195" i="19"/>
  <c r="C196" i="19"/>
  <c r="C197" i="19"/>
  <c r="C198" i="19"/>
  <c r="C199" i="19"/>
  <c r="C200" i="19"/>
  <c r="C201" i="19"/>
  <c r="C202" i="19"/>
  <c r="C203" i="19"/>
  <c r="C204" i="19"/>
  <c r="C205" i="19"/>
  <c r="C206" i="19"/>
  <c r="C207" i="19"/>
  <c r="C208" i="19"/>
  <c r="C209" i="19"/>
  <c r="C210" i="19"/>
  <c r="C211" i="19"/>
  <c r="C212" i="19"/>
  <c r="C213" i="19"/>
  <c r="C214" i="19"/>
  <c r="C215" i="19"/>
  <c r="C216" i="19"/>
  <c r="C217" i="19"/>
  <c r="C218" i="19"/>
  <c r="C219" i="19"/>
  <c r="C220" i="19"/>
  <c r="C221" i="19"/>
  <c r="C222" i="19"/>
  <c r="C223" i="19"/>
  <c r="C224" i="19"/>
  <c r="C225" i="19"/>
  <c r="C226" i="19"/>
  <c r="C227" i="19"/>
  <c r="C228" i="19"/>
  <c r="C229" i="19"/>
  <c r="C230" i="19"/>
  <c r="C231" i="19"/>
  <c r="C232" i="19"/>
  <c r="C233" i="19"/>
  <c r="C234" i="19"/>
  <c r="C235" i="19"/>
  <c r="C236" i="19"/>
  <c r="C237" i="19"/>
  <c r="C238" i="19"/>
  <c r="C239" i="19"/>
  <c r="C240" i="19"/>
  <c r="C241" i="19"/>
  <c r="C242" i="19"/>
  <c r="C243" i="19"/>
  <c r="C244" i="19"/>
  <c r="C245" i="19"/>
  <c r="C246" i="19"/>
  <c r="C247" i="19"/>
  <c r="C248" i="19"/>
  <c r="C249" i="19"/>
  <c r="C250" i="19"/>
  <c r="C251" i="19"/>
  <c r="C252" i="19"/>
  <c r="C253" i="19"/>
  <c r="C254" i="19"/>
  <c r="C255" i="19"/>
  <c r="C256" i="19"/>
  <c r="C257" i="19"/>
  <c r="C258" i="19"/>
  <c r="C259" i="19"/>
  <c r="C260" i="19"/>
  <c r="C261" i="19"/>
  <c r="C262" i="19"/>
  <c r="C263" i="19"/>
  <c r="C264" i="19"/>
  <c r="C265" i="19"/>
  <c r="C266" i="19"/>
  <c r="C267" i="19"/>
  <c r="C268" i="19"/>
  <c r="C269" i="19"/>
  <c r="C270" i="19"/>
  <c r="C271" i="19"/>
  <c r="C272" i="19"/>
  <c r="C273" i="19"/>
  <c r="C274" i="19"/>
  <c r="C275" i="19"/>
  <c r="C276" i="19"/>
  <c r="C277" i="19"/>
  <c r="C278" i="19"/>
  <c r="C279" i="19"/>
  <c r="C280" i="19"/>
  <c r="C281" i="19"/>
  <c r="C282" i="19"/>
  <c r="C283" i="19"/>
  <c r="C284" i="19"/>
  <c r="C285" i="19"/>
  <c r="C286" i="19"/>
  <c r="C287" i="19"/>
  <c r="C288" i="19"/>
  <c r="C289" i="19"/>
  <c r="C290" i="19"/>
  <c r="C291" i="19"/>
  <c r="C292" i="19"/>
  <c r="C293" i="19"/>
  <c r="C294" i="19"/>
  <c r="C295" i="19"/>
  <c r="C296" i="19"/>
  <c r="C297" i="19"/>
  <c r="C298" i="19"/>
  <c r="C299" i="19"/>
  <c r="C300" i="19"/>
  <c r="C301" i="19"/>
  <c r="C302" i="19"/>
  <c r="C303" i="19"/>
  <c r="C304" i="19"/>
  <c r="C305" i="19"/>
  <c r="C306" i="19"/>
  <c r="C307" i="19"/>
  <c r="C308" i="19"/>
  <c r="C309" i="19"/>
  <c r="C310" i="19"/>
  <c r="C311" i="19"/>
  <c r="C312" i="19"/>
  <c r="C313" i="19"/>
  <c r="C314" i="19"/>
  <c r="C315" i="19"/>
  <c r="C316" i="19"/>
  <c r="C317" i="19"/>
  <c r="C318" i="19"/>
  <c r="C319" i="19"/>
  <c r="C320" i="19"/>
  <c r="C321" i="19"/>
  <c r="C322" i="19"/>
  <c r="C323" i="19"/>
  <c r="C324" i="19"/>
  <c r="C325" i="19"/>
  <c r="C326" i="19"/>
  <c r="C327" i="19"/>
  <c r="C328" i="19"/>
  <c r="C329" i="19"/>
  <c r="C330" i="19"/>
  <c r="C331" i="19"/>
  <c r="C332" i="19"/>
  <c r="C333" i="19"/>
  <c r="C334" i="19"/>
  <c r="C335" i="19"/>
  <c r="C336" i="19"/>
  <c r="C337" i="19"/>
  <c r="C338" i="19"/>
  <c r="C339" i="19"/>
  <c r="C340" i="19"/>
  <c r="C341" i="19"/>
  <c r="C342" i="19"/>
  <c r="C343" i="19"/>
  <c r="C344" i="19"/>
  <c r="C345" i="19"/>
  <c r="C346" i="19"/>
  <c r="C347" i="19"/>
  <c r="C348" i="19"/>
  <c r="C349" i="19"/>
  <c r="C350" i="19"/>
  <c r="C351" i="19"/>
  <c r="C352" i="19"/>
  <c r="C353" i="19"/>
  <c r="C354" i="19"/>
  <c r="C355" i="19"/>
  <c r="C356" i="19"/>
  <c r="C357" i="19"/>
  <c r="C358" i="19"/>
  <c r="C359" i="19"/>
  <c r="C360" i="19"/>
  <c r="C361" i="19"/>
  <c r="C362" i="19"/>
  <c r="C363" i="19"/>
  <c r="C364" i="19"/>
  <c r="C365" i="19"/>
  <c r="C366" i="19"/>
  <c r="C367" i="19"/>
  <c r="C368" i="19"/>
  <c r="C369" i="19"/>
  <c r="C370" i="19"/>
  <c r="C371" i="19"/>
  <c r="C372" i="19"/>
  <c r="C373" i="19"/>
  <c r="C374" i="19"/>
  <c r="C375" i="19"/>
  <c r="C376" i="19"/>
  <c r="C377" i="19"/>
  <c r="C378" i="19"/>
  <c r="C379" i="19"/>
  <c r="C380" i="19"/>
  <c r="C381" i="19"/>
  <c r="C382" i="19"/>
  <c r="C383" i="19"/>
  <c r="C384" i="19"/>
  <c r="C385" i="19"/>
  <c r="C386" i="19"/>
  <c r="C387" i="19"/>
  <c r="C388" i="19"/>
  <c r="D2" i="19"/>
  <c r="B3" i="19"/>
  <c r="I505" i="18"/>
  <c r="I362" i="18"/>
  <c r="I346" i="18"/>
  <c r="I345" i="18"/>
  <c r="I243" i="18"/>
  <c r="I218" i="18"/>
  <c r="I217" i="18"/>
  <c r="I194" i="18"/>
  <c r="I122" i="18"/>
  <c r="I114" i="18"/>
  <c r="I66" i="18"/>
  <c r="B19" i="18"/>
  <c r="B20" i="18" s="1"/>
  <c r="B21" i="18" s="1"/>
  <c r="B22" i="18" s="1"/>
  <c r="B23" i="18" s="1"/>
  <c r="B24" i="18" s="1"/>
  <c r="B25" i="18" s="1"/>
  <c r="B26" i="18" s="1"/>
  <c r="B27" i="18" s="1"/>
  <c r="B28" i="18" s="1"/>
  <c r="B29" i="18" s="1"/>
  <c r="B30" i="18" s="1"/>
  <c r="B31" i="18" s="1"/>
  <c r="B32" i="18" s="1"/>
  <c r="B33" i="18" s="1"/>
  <c r="B34" i="18" s="1"/>
  <c r="B35" i="18" s="1"/>
  <c r="B36" i="18" s="1"/>
  <c r="B37" i="18" s="1"/>
  <c r="B38" i="18" s="1"/>
  <c r="B39" i="18" s="1"/>
  <c r="B40" i="18" s="1"/>
  <c r="B41" i="18" s="1"/>
  <c r="B42" i="18" s="1"/>
  <c r="B43" i="18" s="1"/>
  <c r="B44" i="18" s="1"/>
  <c r="B45" i="18" s="1"/>
  <c r="B46" i="18" s="1"/>
  <c r="B47" i="18" s="1"/>
  <c r="B48" i="18" s="1"/>
  <c r="B49" i="18" s="1"/>
  <c r="B50" i="18" s="1"/>
  <c r="B51" i="18" s="1"/>
  <c r="B52" i="18" s="1"/>
  <c r="B53" i="18" s="1"/>
  <c r="B54" i="18" s="1"/>
  <c r="B55" i="18" s="1"/>
  <c r="B56" i="18" s="1"/>
  <c r="B57" i="18" s="1"/>
  <c r="B58" i="18" s="1"/>
  <c r="B59" i="18" s="1"/>
  <c r="B60" i="18" s="1"/>
  <c r="B61" i="18" s="1"/>
  <c r="B62" i="18" s="1"/>
  <c r="B63" i="18" s="1"/>
  <c r="B64" i="18" s="1"/>
  <c r="B65" i="18" s="1"/>
  <c r="B66" i="18" s="1"/>
  <c r="B67" i="18" s="1"/>
  <c r="B68" i="18" s="1"/>
  <c r="B69" i="18" s="1"/>
  <c r="B70" i="18" s="1"/>
  <c r="B71" i="18" s="1"/>
  <c r="B72" i="18" s="1"/>
  <c r="B73" i="18" s="1"/>
  <c r="B74" i="18" s="1"/>
  <c r="B75" i="18" s="1"/>
  <c r="B76" i="18" s="1"/>
  <c r="B77" i="18" s="1"/>
  <c r="B78" i="18" s="1"/>
  <c r="B79" i="18" s="1"/>
  <c r="B80" i="18" s="1"/>
  <c r="B81" i="18" s="1"/>
  <c r="B82" i="18" s="1"/>
  <c r="B83" i="18" s="1"/>
  <c r="B84" i="18" s="1"/>
  <c r="B85" i="18" s="1"/>
  <c r="B86" i="18" s="1"/>
  <c r="B87" i="18" s="1"/>
  <c r="B88" i="18" s="1"/>
  <c r="B89" i="18" s="1"/>
  <c r="B90" i="18" s="1"/>
  <c r="B91" i="18" s="1"/>
  <c r="B92" i="18" s="1"/>
  <c r="B93" i="18" s="1"/>
  <c r="B94" i="18" s="1"/>
  <c r="B95" i="18" s="1"/>
  <c r="B96" i="18" s="1"/>
  <c r="B97" i="18" s="1"/>
  <c r="B98" i="18" s="1"/>
  <c r="B99" i="18" s="1"/>
  <c r="B100" i="18" s="1"/>
  <c r="B101" i="18" s="1"/>
  <c r="B102" i="18" s="1"/>
  <c r="B103" i="18" s="1"/>
  <c r="B104" i="18" s="1"/>
  <c r="B105" i="18" s="1"/>
  <c r="B106" i="18" s="1"/>
  <c r="B107" i="18" s="1"/>
  <c r="B108" i="18" s="1"/>
  <c r="B109" i="18" s="1"/>
  <c r="B110" i="18" s="1"/>
  <c r="B111" i="18" s="1"/>
  <c r="B112" i="18" s="1"/>
  <c r="B113" i="18" s="1"/>
  <c r="B114" i="18" s="1"/>
  <c r="B115" i="18" s="1"/>
  <c r="B116" i="18" s="1"/>
  <c r="B117" i="18" s="1"/>
  <c r="B118" i="18" s="1"/>
  <c r="B119" i="18" s="1"/>
  <c r="B120" i="18" s="1"/>
  <c r="B121" i="18" s="1"/>
  <c r="B122" i="18" s="1"/>
  <c r="B123" i="18" s="1"/>
  <c r="B124" i="18" s="1"/>
  <c r="B125" i="18" s="1"/>
  <c r="B126" i="18" s="1"/>
  <c r="B127" i="18" s="1"/>
  <c r="B128" i="18" s="1"/>
  <c r="B129" i="18" s="1"/>
  <c r="B130" i="18" s="1"/>
  <c r="B131" i="18" s="1"/>
  <c r="B132" i="18" s="1"/>
  <c r="B133" i="18" s="1"/>
  <c r="B134" i="18" s="1"/>
  <c r="B135" i="18" s="1"/>
  <c r="B136" i="18" s="1"/>
  <c r="B137" i="18" s="1"/>
  <c r="B138" i="18" s="1"/>
  <c r="B139" i="18" s="1"/>
  <c r="B140" i="18" s="1"/>
  <c r="B141" i="18" s="1"/>
  <c r="B142" i="18" s="1"/>
  <c r="B143" i="18" s="1"/>
  <c r="B144" i="18" s="1"/>
  <c r="B145" i="18" s="1"/>
  <c r="B146" i="18" s="1"/>
  <c r="B147" i="18" s="1"/>
  <c r="B148" i="18" s="1"/>
  <c r="B149" i="18" s="1"/>
  <c r="B150" i="18" s="1"/>
  <c r="B151" i="18" s="1"/>
  <c r="B152" i="18" s="1"/>
  <c r="B153" i="18" s="1"/>
  <c r="B154" i="18" s="1"/>
  <c r="B155" i="18" s="1"/>
  <c r="B156" i="18" s="1"/>
  <c r="B157" i="18" s="1"/>
  <c r="B158" i="18" s="1"/>
  <c r="B159" i="18" s="1"/>
  <c r="B160" i="18" s="1"/>
  <c r="B161" i="18" s="1"/>
  <c r="B162" i="18" s="1"/>
  <c r="B163" i="18" s="1"/>
  <c r="B164" i="18" s="1"/>
  <c r="B165" i="18" s="1"/>
  <c r="B166" i="18" s="1"/>
  <c r="B167" i="18" s="1"/>
  <c r="B168" i="18" s="1"/>
  <c r="B169" i="18" s="1"/>
  <c r="B170" i="18" s="1"/>
  <c r="B171" i="18" s="1"/>
  <c r="B172" i="18" s="1"/>
  <c r="B173" i="18" s="1"/>
  <c r="B174" i="18" s="1"/>
  <c r="B175" i="18" s="1"/>
  <c r="B176" i="18" s="1"/>
  <c r="B177" i="18" s="1"/>
  <c r="B178" i="18" s="1"/>
  <c r="B179" i="18" s="1"/>
  <c r="B180" i="18" s="1"/>
  <c r="B181" i="18" s="1"/>
  <c r="B182" i="18" s="1"/>
  <c r="B183" i="18" s="1"/>
  <c r="B184" i="18" s="1"/>
  <c r="B185" i="18" s="1"/>
  <c r="B186" i="18" s="1"/>
  <c r="B187" i="18" s="1"/>
  <c r="B188" i="18" s="1"/>
  <c r="B189" i="18" s="1"/>
  <c r="B190" i="18" s="1"/>
  <c r="B191" i="18" s="1"/>
  <c r="B192" i="18" s="1"/>
  <c r="B193" i="18" s="1"/>
  <c r="B194" i="18" s="1"/>
  <c r="B195" i="18" s="1"/>
  <c r="B196" i="18" s="1"/>
  <c r="B197" i="18" s="1"/>
  <c r="B198" i="18" s="1"/>
  <c r="B199" i="18" s="1"/>
  <c r="B200" i="18" s="1"/>
  <c r="B201" i="18" s="1"/>
  <c r="B202" i="18" s="1"/>
  <c r="B203" i="18" s="1"/>
  <c r="B204" i="18" s="1"/>
  <c r="B205" i="18" s="1"/>
  <c r="B206" i="18" s="1"/>
  <c r="B207" i="18" s="1"/>
  <c r="B208" i="18" s="1"/>
  <c r="B209" i="18" s="1"/>
  <c r="B210" i="18" s="1"/>
  <c r="B211" i="18" s="1"/>
  <c r="B212" i="18" s="1"/>
  <c r="B213" i="18" s="1"/>
  <c r="B214" i="18" s="1"/>
  <c r="B215" i="18" s="1"/>
  <c r="B216" i="18" s="1"/>
  <c r="B217" i="18" s="1"/>
  <c r="B218" i="18" s="1"/>
  <c r="B219" i="18" s="1"/>
  <c r="B220" i="18" s="1"/>
  <c r="B221" i="18" s="1"/>
  <c r="B222" i="18" s="1"/>
  <c r="B223" i="18" s="1"/>
  <c r="B224" i="18" s="1"/>
  <c r="B225" i="18" s="1"/>
  <c r="B226" i="18" s="1"/>
  <c r="B227" i="18" s="1"/>
  <c r="B228" i="18" s="1"/>
  <c r="B229" i="18" s="1"/>
  <c r="B230" i="18" s="1"/>
  <c r="B231" i="18" s="1"/>
  <c r="B232" i="18" s="1"/>
  <c r="B233" i="18" s="1"/>
  <c r="B234" i="18" s="1"/>
  <c r="B235" i="18" s="1"/>
  <c r="B236" i="18" s="1"/>
  <c r="B237" i="18" s="1"/>
  <c r="B238" i="18" s="1"/>
  <c r="B239" i="18" s="1"/>
  <c r="B240" i="18" s="1"/>
  <c r="B241" i="18" s="1"/>
  <c r="B242" i="18" s="1"/>
  <c r="B243" i="18" s="1"/>
  <c r="B244" i="18" s="1"/>
  <c r="B245" i="18" s="1"/>
  <c r="B246" i="18" s="1"/>
  <c r="B247" i="18" s="1"/>
  <c r="B248" i="18" s="1"/>
  <c r="B249" i="18" s="1"/>
  <c r="B250" i="18" s="1"/>
  <c r="B251" i="18" s="1"/>
  <c r="B252" i="18" s="1"/>
  <c r="B253" i="18" s="1"/>
  <c r="B254" i="18" s="1"/>
  <c r="B255" i="18" s="1"/>
  <c r="B256" i="18" s="1"/>
  <c r="B257" i="18" s="1"/>
  <c r="B258" i="18" s="1"/>
  <c r="B259" i="18" s="1"/>
  <c r="B260" i="18" s="1"/>
  <c r="B261" i="18" s="1"/>
  <c r="B262" i="18" s="1"/>
  <c r="B263" i="18" s="1"/>
  <c r="B264" i="18" s="1"/>
  <c r="B265" i="18" s="1"/>
  <c r="B266" i="18" s="1"/>
  <c r="B267" i="18" s="1"/>
  <c r="B268" i="18" s="1"/>
  <c r="B269" i="18" s="1"/>
  <c r="B270" i="18" s="1"/>
  <c r="B271" i="18" s="1"/>
  <c r="B272" i="18" s="1"/>
  <c r="B273" i="18" s="1"/>
  <c r="B274" i="18" s="1"/>
  <c r="B275" i="18" s="1"/>
  <c r="B276" i="18" s="1"/>
  <c r="B277" i="18" s="1"/>
  <c r="B278" i="18" s="1"/>
  <c r="B279" i="18" s="1"/>
  <c r="B280" i="18" s="1"/>
  <c r="B281" i="18" s="1"/>
  <c r="B282" i="18" s="1"/>
  <c r="B283" i="18" s="1"/>
  <c r="B284" i="18" s="1"/>
  <c r="B285" i="18" s="1"/>
  <c r="B286" i="18" s="1"/>
  <c r="B287" i="18" s="1"/>
  <c r="B288" i="18" s="1"/>
  <c r="B289" i="18" s="1"/>
  <c r="B290" i="18" s="1"/>
  <c r="B291" i="18" s="1"/>
  <c r="B292" i="18" s="1"/>
  <c r="B293" i="18" s="1"/>
  <c r="B294" i="18" s="1"/>
  <c r="B295" i="18" s="1"/>
  <c r="B296" i="18" s="1"/>
  <c r="B297" i="18" s="1"/>
  <c r="B298" i="18" s="1"/>
  <c r="B299" i="18" s="1"/>
  <c r="B300" i="18" s="1"/>
  <c r="B301" i="18" s="1"/>
  <c r="B302" i="18" s="1"/>
  <c r="B303" i="18" s="1"/>
  <c r="B304" i="18" s="1"/>
  <c r="B305" i="18" s="1"/>
  <c r="B306" i="18" s="1"/>
  <c r="B307" i="18" s="1"/>
  <c r="B308" i="18" s="1"/>
  <c r="B309" i="18" s="1"/>
  <c r="B310" i="18" s="1"/>
  <c r="B311" i="18" s="1"/>
  <c r="B312" i="18" s="1"/>
  <c r="B313" i="18" s="1"/>
  <c r="B314" i="18" s="1"/>
  <c r="B315" i="18" s="1"/>
  <c r="B316" i="18" s="1"/>
  <c r="B317" i="18" s="1"/>
  <c r="B318" i="18" s="1"/>
  <c r="B319" i="18" s="1"/>
  <c r="B320" i="18" s="1"/>
  <c r="B321" i="18" s="1"/>
  <c r="B322" i="18" s="1"/>
  <c r="B323" i="18" s="1"/>
  <c r="B324" i="18" s="1"/>
  <c r="B325" i="18" s="1"/>
  <c r="B326" i="18" s="1"/>
  <c r="B327" i="18" s="1"/>
  <c r="B328" i="18" s="1"/>
  <c r="B329" i="18" s="1"/>
  <c r="B330" i="18" s="1"/>
  <c r="B331" i="18" s="1"/>
  <c r="B332" i="18" s="1"/>
  <c r="B333" i="18" s="1"/>
  <c r="B334" i="18" s="1"/>
  <c r="B335" i="18" s="1"/>
  <c r="B336" i="18" s="1"/>
  <c r="B337" i="18" s="1"/>
  <c r="B338" i="18" s="1"/>
  <c r="B339" i="18" s="1"/>
  <c r="B340" i="18" s="1"/>
  <c r="B341" i="18" s="1"/>
  <c r="B342" i="18" s="1"/>
  <c r="B343" i="18" s="1"/>
  <c r="B344" i="18" s="1"/>
  <c r="B345" i="18" s="1"/>
  <c r="B346" i="18" s="1"/>
  <c r="B347" i="18" s="1"/>
  <c r="B348" i="18" s="1"/>
  <c r="B349" i="18" s="1"/>
  <c r="B350" i="18" s="1"/>
  <c r="B351" i="18" s="1"/>
  <c r="B352" i="18" s="1"/>
  <c r="B353" i="18" s="1"/>
  <c r="B354" i="18" s="1"/>
  <c r="B355" i="18" s="1"/>
  <c r="B356" i="18" s="1"/>
  <c r="B357" i="18" s="1"/>
  <c r="B358" i="18" s="1"/>
  <c r="B359" i="18" s="1"/>
  <c r="B360" i="18" s="1"/>
  <c r="B361" i="18" s="1"/>
  <c r="B362" i="18" s="1"/>
  <c r="B363" i="18" s="1"/>
  <c r="B364" i="18" s="1"/>
  <c r="B365" i="18" s="1"/>
  <c r="B366" i="18" s="1"/>
  <c r="B367" i="18" s="1"/>
  <c r="B368" i="18" s="1"/>
  <c r="B369" i="18" s="1"/>
  <c r="B370" i="18" s="1"/>
  <c r="B371" i="18" s="1"/>
  <c r="B372" i="18" s="1"/>
  <c r="B373" i="18" s="1"/>
  <c r="B374" i="18" s="1"/>
  <c r="B375" i="18" s="1"/>
  <c r="B376" i="18" s="1"/>
  <c r="B377" i="18" s="1"/>
  <c r="B378" i="18" s="1"/>
  <c r="B379" i="18" s="1"/>
  <c r="B380" i="18" s="1"/>
  <c r="B381" i="18" s="1"/>
  <c r="B382" i="18" s="1"/>
  <c r="B383" i="18" s="1"/>
  <c r="B384" i="18" s="1"/>
  <c r="B385" i="18" s="1"/>
  <c r="B386" i="18" s="1"/>
  <c r="B387" i="18" s="1"/>
  <c r="B388" i="18" s="1"/>
  <c r="B389" i="18" s="1"/>
  <c r="B390" i="18" s="1"/>
  <c r="B391" i="18" s="1"/>
  <c r="B392" i="18" s="1"/>
  <c r="B393" i="18" s="1"/>
  <c r="B394" i="18" s="1"/>
  <c r="B395" i="18" s="1"/>
  <c r="B396" i="18" s="1"/>
  <c r="B397" i="18" s="1"/>
  <c r="B398" i="18" s="1"/>
  <c r="B399" i="18" s="1"/>
  <c r="B400" i="18" s="1"/>
  <c r="B401" i="18" s="1"/>
  <c r="B402" i="18" s="1"/>
  <c r="B403" i="18" s="1"/>
  <c r="B404" i="18" s="1"/>
  <c r="B405" i="18" s="1"/>
  <c r="B406" i="18" s="1"/>
  <c r="B407" i="18" s="1"/>
  <c r="B408" i="18" s="1"/>
  <c r="B409" i="18" s="1"/>
  <c r="B410" i="18" s="1"/>
  <c r="B411" i="18" s="1"/>
  <c r="B412" i="18" s="1"/>
  <c r="B413" i="18" s="1"/>
  <c r="B414" i="18" s="1"/>
  <c r="B415" i="18" s="1"/>
  <c r="B416" i="18" s="1"/>
  <c r="B417" i="18" s="1"/>
  <c r="B418" i="18" s="1"/>
  <c r="B419" i="18" s="1"/>
  <c r="B420" i="18" s="1"/>
  <c r="B421" i="18" s="1"/>
  <c r="B422" i="18" s="1"/>
  <c r="B423" i="18" s="1"/>
  <c r="B424" i="18" s="1"/>
  <c r="B425" i="18" s="1"/>
  <c r="B426" i="18" s="1"/>
  <c r="B427" i="18" s="1"/>
  <c r="B428" i="18" s="1"/>
  <c r="B429" i="18" s="1"/>
  <c r="B430" i="18" s="1"/>
  <c r="B431" i="18" s="1"/>
  <c r="B432" i="18" s="1"/>
  <c r="B433" i="18" s="1"/>
  <c r="B434" i="18" s="1"/>
  <c r="B435" i="18" s="1"/>
  <c r="B436" i="18" s="1"/>
  <c r="B437" i="18" s="1"/>
  <c r="B438" i="18" s="1"/>
  <c r="B439" i="18" s="1"/>
  <c r="B440" i="18" s="1"/>
  <c r="B441" i="18" s="1"/>
  <c r="B442" i="18" s="1"/>
  <c r="B443" i="18" s="1"/>
  <c r="B444" i="18" s="1"/>
  <c r="B445" i="18" s="1"/>
  <c r="B446" i="18" s="1"/>
  <c r="B447" i="18" s="1"/>
  <c r="B448" i="18" s="1"/>
  <c r="B449" i="18" s="1"/>
  <c r="B450" i="18" s="1"/>
  <c r="B451" i="18" s="1"/>
  <c r="B452" i="18" s="1"/>
  <c r="B453" i="18" s="1"/>
  <c r="B454" i="18" s="1"/>
  <c r="B455" i="18" s="1"/>
  <c r="B456" i="18" s="1"/>
  <c r="B457" i="18" s="1"/>
  <c r="B458" i="18" s="1"/>
  <c r="B459" i="18" s="1"/>
  <c r="B460" i="18" s="1"/>
  <c r="B461" i="18" s="1"/>
  <c r="B462" i="18" s="1"/>
  <c r="B463" i="18" s="1"/>
  <c r="B464" i="18" s="1"/>
  <c r="B465" i="18" s="1"/>
  <c r="B466" i="18" s="1"/>
  <c r="B467" i="18" s="1"/>
  <c r="B468" i="18" s="1"/>
  <c r="B469" i="18" s="1"/>
  <c r="B470" i="18" s="1"/>
  <c r="B471" i="18" s="1"/>
  <c r="B472" i="18" s="1"/>
  <c r="B473" i="18" s="1"/>
  <c r="B474" i="18" s="1"/>
  <c r="B475" i="18" s="1"/>
  <c r="B476" i="18" s="1"/>
  <c r="B477" i="18" s="1"/>
  <c r="B478" i="18" s="1"/>
  <c r="B479" i="18" s="1"/>
  <c r="B480" i="18" s="1"/>
  <c r="B481" i="18" s="1"/>
  <c r="B482" i="18" s="1"/>
  <c r="B483" i="18" s="1"/>
  <c r="B484" i="18" s="1"/>
  <c r="B485" i="18" s="1"/>
  <c r="B486" i="18" s="1"/>
  <c r="B487" i="18" s="1"/>
  <c r="B488" i="18" s="1"/>
  <c r="B489" i="18" s="1"/>
  <c r="B490" i="18" s="1"/>
  <c r="B491" i="18" s="1"/>
  <c r="B492" i="18" s="1"/>
  <c r="B493" i="18" s="1"/>
  <c r="B494" i="18" s="1"/>
  <c r="B495" i="18" s="1"/>
  <c r="B496" i="18" s="1"/>
  <c r="B497" i="18" s="1"/>
  <c r="B498" i="18" s="1"/>
  <c r="B499" i="18" s="1"/>
  <c r="B500" i="18" s="1"/>
  <c r="B501" i="18" s="1"/>
  <c r="B502" i="18" s="1"/>
  <c r="B503" i="18" s="1"/>
  <c r="B504" i="18" s="1"/>
  <c r="B505" i="18" s="1"/>
  <c r="E505" i="18"/>
  <c r="E504" i="18"/>
  <c r="E503" i="18"/>
  <c r="E502" i="18"/>
  <c r="E501" i="18"/>
  <c r="E500" i="18"/>
  <c r="E499" i="18"/>
  <c r="E498" i="18"/>
  <c r="E497" i="18"/>
  <c r="E496" i="18"/>
  <c r="E495" i="18"/>
  <c r="E494" i="18"/>
  <c r="I494" i="18" s="1"/>
  <c r="E493" i="18"/>
  <c r="E492" i="18"/>
  <c r="E491" i="18"/>
  <c r="E490" i="18"/>
  <c r="E489" i="18"/>
  <c r="E488" i="18"/>
  <c r="E487" i="18"/>
  <c r="E486" i="18"/>
  <c r="I486" i="18" s="1"/>
  <c r="E485" i="18"/>
  <c r="E484" i="18"/>
  <c r="E483" i="18"/>
  <c r="E482" i="18"/>
  <c r="E481" i="18"/>
  <c r="E480" i="18"/>
  <c r="E479" i="18"/>
  <c r="E478" i="18"/>
  <c r="E477" i="18"/>
  <c r="E476" i="18"/>
  <c r="E475" i="18"/>
  <c r="E474" i="18"/>
  <c r="E473" i="18"/>
  <c r="E472" i="18"/>
  <c r="E471" i="18"/>
  <c r="E470" i="18"/>
  <c r="E469" i="18"/>
  <c r="E468" i="18"/>
  <c r="E467" i="18"/>
  <c r="E466" i="18"/>
  <c r="E465" i="18"/>
  <c r="E464" i="18"/>
  <c r="E463" i="18"/>
  <c r="E462" i="18"/>
  <c r="E461" i="18"/>
  <c r="E460" i="18"/>
  <c r="E459" i="18"/>
  <c r="E458" i="18"/>
  <c r="E457" i="18"/>
  <c r="E456" i="18"/>
  <c r="E455" i="18"/>
  <c r="E454" i="18"/>
  <c r="I454" i="18" s="1"/>
  <c r="E453" i="18"/>
  <c r="E452" i="18"/>
  <c r="E451" i="18"/>
  <c r="E450" i="18"/>
  <c r="E449" i="18"/>
  <c r="E448" i="18"/>
  <c r="E447" i="18"/>
  <c r="E446" i="18"/>
  <c r="E445" i="18"/>
  <c r="E444" i="18"/>
  <c r="E443" i="18"/>
  <c r="E442" i="18"/>
  <c r="E441" i="18"/>
  <c r="E440" i="18"/>
  <c r="E439" i="18"/>
  <c r="E438" i="18"/>
  <c r="E437" i="18"/>
  <c r="E436" i="18"/>
  <c r="E435" i="18"/>
  <c r="E434" i="18"/>
  <c r="E433" i="18"/>
  <c r="E432" i="18"/>
  <c r="E431" i="18"/>
  <c r="E430" i="18"/>
  <c r="E429" i="18"/>
  <c r="E428" i="18"/>
  <c r="E427" i="18"/>
  <c r="E426" i="18"/>
  <c r="E425" i="18"/>
  <c r="E424" i="18"/>
  <c r="E423" i="18"/>
  <c r="E422" i="18"/>
  <c r="I422" i="18" s="1"/>
  <c r="E421" i="18"/>
  <c r="E420" i="18"/>
  <c r="E419" i="18"/>
  <c r="E418" i="18"/>
  <c r="E417" i="18"/>
  <c r="E416" i="18"/>
  <c r="E415" i="18"/>
  <c r="E414" i="18"/>
  <c r="E413" i="18"/>
  <c r="E412" i="18"/>
  <c r="E411" i="18"/>
  <c r="E410" i="18"/>
  <c r="E409" i="18"/>
  <c r="E408" i="18"/>
  <c r="E407" i="18"/>
  <c r="E406" i="18"/>
  <c r="E405" i="18"/>
  <c r="E404" i="18"/>
  <c r="E403" i="18"/>
  <c r="E402" i="18"/>
  <c r="E401" i="18"/>
  <c r="E400" i="18"/>
  <c r="E399" i="18"/>
  <c r="E398" i="18"/>
  <c r="E397" i="18"/>
  <c r="E396" i="18"/>
  <c r="E395" i="18"/>
  <c r="E394" i="18"/>
  <c r="E393" i="18"/>
  <c r="E392" i="18"/>
  <c r="E391" i="18"/>
  <c r="E390" i="18"/>
  <c r="I390" i="18" s="1"/>
  <c r="E389" i="18"/>
  <c r="E388" i="18"/>
  <c r="E387" i="18"/>
  <c r="E386" i="18"/>
  <c r="E385" i="18"/>
  <c r="E384" i="18"/>
  <c r="E383" i="18"/>
  <c r="E382" i="18"/>
  <c r="E381" i="18"/>
  <c r="E380" i="18"/>
  <c r="E379" i="18"/>
  <c r="E378" i="18"/>
  <c r="E377" i="18"/>
  <c r="E376" i="18"/>
  <c r="E375" i="18"/>
  <c r="E374" i="18"/>
  <c r="E373" i="18"/>
  <c r="E372" i="18"/>
  <c r="E371" i="18"/>
  <c r="E370" i="18"/>
  <c r="E369" i="18"/>
  <c r="E368" i="18"/>
  <c r="E367" i="18"/>
  <c r="E366" i="18"/>
  <c r="E365" i="18"/>
  <c r="E364" i="18"/>
  <c r="E363" i="18"/>
  <c r="E362" i="18"/>
  <c r="E361" i="18"/>
  <c r="E360" i="18"/>
  <c r="E359" i="18"/>
  <c r="E358" i="18"/>
  <c r="I358" i="18" s="1"/>
  <c r="E357" i="18"/>
  <c r="E356" i="18"/>
  <c r="E355" i="18"/>
  <c r="E354" i="18"/>
  <c r="E353" i="18"/>
  <c r="E352" i="18"/>
  <c r="E351" i="18"/>
  <c r="E350" i="18"/>
  <c r="E349" i="18"/>
  <c r="E348" i="18"/>
  <c r="E347" i="18"/>
  <c r="E346" i="18"/>
  <c r="E345" i="18"/>
  <c r="E344" i="18"/>
  <c r="E343" i="18"/>
  <c r="E342" i="18"/>
  <c r="E341" i="18"/>
  <c r="E340" i="18"/>
  <c r="E339" i="18"/>
  <c r="E338" i="18"/>
  <c r="E337" i="18"/>
  <c r="E336" i="18"/>
  <c r="E335" i="18"/>
  <c r="E334" i="18"/>
  <c r="I334" i="18" s="1"/>
  <c r="E333" i="18"/>
  <c r="E332" i="18"/>
  <c r="E331" i="18"/>
  <c r="E330" i="18"/>
  <c r="E329" i="18"/>
  <c r="E328" i="18"/>
  <c r="E327" i="18"/>
  <c r="E326" i="18"/>
  <c r="E325" i="18"/>
  <c r="E324" i="18"/>
  <c r="E323" i="18"/>
  <c r="E322" i="18"/>
  <c r="E321" i="18"/>
  <c r="E320" i="18"/>
  <c r="E319" i="18"/>
  <c r="E318" i="18"/>
  <c r="I318" i="18" s="1"/>
  <c r="E317" i="18"/>
  <c r="E316" i="18"/>
  <c r="E315" i="18"/>
  <c r="E314" i="18"/>
  <c r="E313" i="18"/>
  <c r="E312" i="18"/>
  <c r="E311" i="18"/>
  <c r="E310" i="18"/>
  <c r="E309" i="18"/>
  <c r="E308" i="18"/>
  <c r="E307" i="18"/>
  <c r="E306" i="18"/>
  <c r="E305" i="18"/>
  <c r="E304" i="18"/>
  <c r="E303" i="18"/>
  <c r="E302" i="18"/>
  <c r="E301" i="18"/>
  <c r="E300" i="18"/>
  <c r="E299" i="18"/>
  <c r="E298" i="18"/>
  <c r="E297" i="18"/>
  <c r="E296" i="18"/>
  <c r="E295" i="18"/>
  <c r="E294" i="18"/>
  <c r="I294" i="18" s="1"/>
  <c r="E293" i="18"/>
  <c r="E292" i="18"/>
  <c r="E291" i="18"/>
  <c r="E290" i="18"/>
  <c r="E289" i="18"/>
  <c r="E288" i="18"/>
  <c r="E287" i="18"/>
  <c r="E286" i="18"/>
  <c r="E285" i="18"/>
  <c r="E284" i="18"/>
  <c r="E283" i="18"/>
  <c r="E282" i="18"/>
  <c r="E281" i="18"/>
  <c r="E280" i="18"/>
  <c r="E279" i="18"/>
  <c r="E278" i="18"/>
  <c r="I278" i="18" s="1"/>
  <c r="E277" i="18"/>
  <c r="E276" i="18"/>
  <c r="E275" i="18"/>
  <c r="E274" i="18"/>
  <c r="E273" i="18"/>
  <c r="E272" i="18"/>
  <c r="E271" i="18"/>
  <c r="E270" i="18"/>
  <c r="I270" i="18" s="1"/>
  <c r="E269" i="18"/>
  <c r="E268" i="18"/>
  <c r="E267" i="18"/>
  <c r="E266" i="18"/>
  <c r="E265" i="18"/>
  <c r="E264" i="18"/>
  <c r="E263" i="18"/>
  <c r="E262" i="18"/>
  <c r="E261" i="18"/>
  <c r="E260" i="18"/>
  <c r="E259" i="18"/>
  <c r="E258" i="18"/>
  <c r="E257" i="18"/>
  <c r="E256" i="18"/>
  <c r="E255" i="18"/>
  <c r="E254" i="18"/>
  <c r="I254" i="18" s="1"/>
  <c r="E253" i="18"/>
  <c r="E252" i="18"/>
  <c r="E251" i="18"/>
  <c r="E250" i="18"/>
  <c r="E249" i="18"/>
  <c r="E248" i="18"/>
  <c r="E247" i="18"/>
  <c r="E246" i="18"/>
  <c r="E245" i="18"/>
  <c r="E244" i="18"/>
  <c r="E243" i="18"/>
  <c r="E242" i="18"/>
  <c r="E241" i="18"/>
  <c r="E240" i="18"/>
  <c r="E239" i="18"/>
  <c r="E238" i="18"/>
  <c r="E237" i="18"/>
  <c r="E236" i="18"/>
  <c r="E235" i="18"/>
  <c r="E234" i="18"/>
  <c r="E233" i="18"/>
  <c r="E232" i="18"/>
  <c r="E231" i="18"/>
  <c r="E230" i="18"/>
  <c r="I230" i="18" s="1"/>
  <c r="E229" i="18"/>
  <c r="E228" i="18"/>
  <c r="E227" i="18"/>
  <c r="E226" i="18"/>
  <c r="E225" i="18"/>
  <c r="E224" i="18"/>
  <c r="E223" i="18"/>
  <c r="E222" i="18"/>
  <c r="I222" i="18" s="1"/>
  <c r="E221" i="18"/>
  <c r="E220" i="18"/>
  <c r="E219" i="18"/>
  <c r="E218" i="18"/>
  <c r="E217" i="18"/>
  <c r="E216" i="18"/>
  <c r="E215" i="18"/>
  <c r="E214" i="18"/>
  <c r="E213" i="18"/>
  <c r="E212" i="18"/>
  <c r="E211" i="18"/>
  <c r="E210" i="18"/>
  <c r="E209" i="18"/>
  <c r="E208" i="18"/>
  <c r="E207" i="18"/>
  <c r="E206" i="18"/>
  <c r="I206" i="18" s="1"/>
  <c r="E205" i="18"/>
  <c r="E204" i="18"/>
  <c r="E203" i="18"/>
  <c r="E202" i="18"/>
  <c r="E201" i="18"/>
  <c r="E200" i="18"/>
  <c r="E199" i="18"/>
  <c r="E198" i="18"/>
  <c r="I198" i="18" s="1"/>
  <c r="E197" i="18"/>
  <c r="E196" i="18"/>
  <c r="E195" i="18"/>
  <c r="E194" i="18"/>
  <c r="E193" i="18"/>
  <c r="E192" i="18"/>
  <c r="E191" i="18"/>
  <c r="E190" i="18"/>
  <c r="E189" i="18"/>
  <c r="E188" i="18"/>
  <c r="E187" i="18"/>
  <c r="E186" i="18"/>
  <c r="E185" i="18"/>
  <c r="E184" i="18"/>
  <c r="E183" i="18"/>
  <c r="E182" i="18"/>
  <c r="E181" i="18"/>
  <c r="E180" i="18"/>
  <c r="E179" i="18"/>
  <c r="E178" i="18"/>
  <c r="E177" i="18"/>
  <c r="E176" i="18"/>
  <c r="E175" i="18"/>
  <c r="E174" i="18"/>
  <c r="E173" i="18"/>
  <c r="E172" i="18"/>
  <c r="E171" i="18"/>
  <c r="E170" i="18"/>
  <c r="E169" i="18"/>
  <c r="E168" i="18"/>
  <c r="E167" i="18"/>
  <c r="E166" i="18"/>
  <c r="E165" i="18"/>
  <c r="E164" i="18"/>
  <c r="E163" i="18"/>
  <c r="E162" i="18"/>
  <c r="E161" i="18"/>
  <c r="E160" i="18"/>
  <c r="E159" i="18"/>
  <c r="E158" i="18"/>
  <c r="I158" i="18" s="1"/>
  <c r="E157" i="18"/>
  <c r="E156" i="18"/>
  <c r="E155" i="18"/>
  <c r="E154" i="18"/>
  <c r="E153" i="18"/>
  <c r="E152" i="18"/>
  <c r="E151" i="18"/>
  <c r="E150" i="18"/>
  <c r="I150" i="18" s="1"/>
  <c r="E149" i="18"/>
  <c r="E148" i="18"/>
  <c r="E147" i="18"/>
  <c r="E146" i="18"/>
  <c r="E145" i="18"/>
  <c r="E144" i="18"/>
  <c r="E143" i="18"/>
  <c r="E142" i="18"/>
  <c r="E141" i="18"/>
  <c r="E140" i="18"/>
  <c r="E139" i="18"/>
  <c r="E138" i="18"/>
  <c r="E137" i="18"/>
  <c r="E136" i="18"/>
  <c r="E135" i="18"/>
  <c r="E134" i="18"/>
  <c r="I134" i="18" s="1"/>
  <c r="E133" i="18"/>
  <c r="E132" i="18"/>
  <c r="E131" i="18"/>
  <c r="E130" i="18"/>
  <c r="E129" i="18"/>
  <c r="E128" i="18"/>
  <c r="E127" i="18"/>
  <c r="E126" i="18"/>
  <c r="E125" i="18"/>
  <c r="E124" i="18"/>
  <c r="E123" i="18"/>
  <c r="E122" i="18"/>
  <c r="E121" i="18"/>
  <c r="E120" i="18"/>
  <c r="E119" i="18"/>
  <c r="E118" i="18"/>
  <c r="E117" i="18"/>
  <c r="E116" i="18"/>
  <c r="E115" i="18"/>
  <c r="E114" i="18"/>
  <c r="E113" i="18"/>
  <c r="E112" i="18"/>
  <c r="E111" i="18"/>
  <c r="E110" i="18"/>
  <c r="E109" i="18"/>
  <c r="E108" i="18"/>
  <c r="E107" i="18"/>
  <c r="E106" i="18"/>
  <c r="E105" i="18"/>
  <c r="E104" i="18"/>
  <c r="E103" i="18"/>
  <c r="E102" i="18"/>
  <c r="I102" i="18" s="1"/>
  <c r="E101" i="18"/>
  <c r="E100" i="18"/>
  <c r="E99" i="18"/>
  <c r="E98" i="18"/>
  <c r="E97" i="18"/>
  <c r="E96" i="18"/>
  <c r="E95" i="18"/>
  <c r="E94" i="18"/>
  <c r="E93" i="18"/>
  <c r="E92" i="18"/>
  <c r="E91" i="18"/>
  <c r="E90" i="18"/>
  <c r="E89" i="18"/>
  <c r="E88" i="18"/>
  <c r="E87" i="18"/>
  <c r="E86" i="18"/>
  <c r="I86" i="18" s="1"/>
  <c r="E85" i="18"/>
  <c r="E84" i="18"/>
  <c r="E83" i="18"/>
  <c r="E82" i="18"/>
  <c r="E81" i="18"/>
  <c r="E80" i="18"/>
  <c r="E79" i="18"/>
  <c r="E78" i="18"/>
  <c r="E77" i="18"/>
  <c r="E76" i="18"/>
  <c r="E75" i="18"/>
  <c r="E74" i="18"/>
  <c r="E73" i="18"/>
  <c r="E72" i="18"/>
  <c r="E71" i="18"/>
  <c r="E70" i="18"/>
  <c r="I70" i="18" s="1"/>
  <c r="E69" i="18"/>
  <c r="E68" i="18"/>
  <c r="E67" i="18"/>
  <c r="E66" i="18"/>
  <c r="E65" i="18"/>
  <c r="E64" i="18"/>
  <c r="E63" i="18"/>
  <c r="E62" i="18"/>
  <c r="I62" i="18" s="1"/>
  <c r="E61" i="18"/>
  <c r="E60" i="18"/>
  <c r="E59" i="18"/>
  <c r="E58" i="18"/>
  <c r="E57" i="18"/>
  <c r="E56" i="18"/>
  <c r="E55" i="18"/>
  <c r="E54" i="18"/>
  <c r="E53" i="18"/>
  <c r="E52" i="18"/>
  <c r="E51" i="18"/>
  <c r="E50" i="18"/>
  <c r="E49" i="18"/>
  <c r="E48" i="18"/>
  <c r="E47" i="18"/>
  <c r="E46" i="18"/>
  <c r="E45" i="18"/>
  <c r="E44" i="18"/>
  <c r="E43" i="18"/>
  <c r="E42" i="18"/>
  <c r="E41" i="18"/>
  <c r="E40" i="18"/>
  <c r="E39" i="18"/>
  <c r="E38" i="18"/>
  <c r="I38" i="18" s="1"/>
  <c r="E37" i="18"/>
  <c r="E36" i="18"/>
  <c r="E35" i="18"/>
  <c r="E34" i="18"/>
  <c r="E33" i="18"/>
  <c r="E32" i="18"/>
  <c r="E31" i="18"/>
  <c r="E30" i="18"/>
  <c r="E29" i="18"/>
  <c r="E28" i="18"/>
  <c r="E27" i="18"/>
  <c r="E26" i="18"/>
  <c r="E25" i="18"/>
  <c r="E24" i="18"/>
  <c r="E23" i="18"/>
  <c r="E22" i="18"/>
  <c r="I22" i="18" s="1"/>
  <c r="E21" i="18"/>
  <c r="E20" i="18"/>
  <c r="E19" i="18"/>
  <c r="E18" i="18"/>
  <c r="D505" i="18"/>
  <c r="C505" i="18"/>
  <c r="D504" i="18"/>
  <c r="C504" i="18"/>
  <c r="I504" i="18" s="1"/>
  <c r="D503" i="18"/>
  <c r="C503" i="18"/>
  <c r="D502" i="18"/>
  <c r="C502" i="18"/>
  <c r="D501" i="18"/>
  <c r="C501" i="18"/>
  <c r="D500" i="18"/>
  <c r="C500" i="18"/>
  <c r="D499" i="18"/>
  <c r="C499" i="18"/>
  <c r="D498" i="18"/>
  <c r="C498" i="18"/>
  <c r="D497" i="18"/>
  <c r="C497" i="18"/>
  <c r="I497" i="18" s="1"/>
  <c r="D496" i="18"/>
  <c r="C496" i="18"/>
  <c r="I496" i="18" s="1"/>
  <c r="D495" i="18"/>
  <c r="C495" i="18"/>
  <c r="D494" i="18"/>
  <c r="C494" i="18"/>
  <c r="D493" i="18"/>
  <c r="C493" i="18"/>
  <c r="D492" i="18"/>
  <c r="C492" i="18"/>
  <c r="D491" i="18"/>
  <c r="C491" i="18"/>
  <c r="D490" i="18"/>
  <c r="C490" i="18"/>
  <c r="D489" i="18"/>
  <c r="C489" i="18"/>
  <c r="I489" i="18" s="1"/>
  <c r="D488" i="18"/>
  <c r="C488" i="18"/>
  <c r="I488" i="18" s="1"/>
  <c r="D487" i="18"/>
  <c r="C487" i="18"/>
  <c r="D486" i="18"/>
  <c r="C486" i="18"/>
  <c r="D485" i="18"/>
  <c r="C485" i="18"/>
  <c r="D484" i="18"/>
  <c r="C484" i="18"/>
  <c r="D483" i="18"/>
  <c r="C483" i="18"/>
  <c r="D482" i="18"/>
  <c r="C482" i="18"/>
  <c r="D481" i="18"/>
  <c r="C481" i="18"/>
  <c r="I481" i="18" s="1"/>
  <c r="D480" i="18"/>
  <c r="C480" i="18"/>
  <c r="I480" i="18" s="1"/>
  <c r="D479" i="18"/>
  <c r="C479" i="18"/>
  <c r="D478" i="18"/>
  <c r="C478" i="18"/>
  <c r="D477" i="18"/>
  <c r="C477" i="18"/>
  <c r="D476" i="18"/>
  <c r="C476" i="18"/>
  <c r="D475" i="18"/>
  <c r="C475" i="18"/>
  <c r="I475" i="18" s="1"/>
  <c r="D474" i="18"/>
  <c r="C474" i="18"/>
  <c r="I474" i="18" s="1"/>
  <c r="D473" i="18"/>
  <c r="C473" i="18"/>
  <c r="I473" i="18" s="1"/>
  <c r="D472" i="18"/>
  <c r="C472" i="18"/>
  <c r="I472" i="18" s="1"/>
  <c r="D471" i="18"/>
  <c r="C471" i="18"/>
  <c r="D470" i="18"/>
  <c r="C470" i="18"/>
  <c r="D469" i="18"/>
  <c r="C469" i="18"/>
  <c r="D468" i="18"/>
  <c r="C468" i="18"/>
  <c r="D467" i="18"/>
  <c r="C467" i="18"/>
  <c r="I467" i="18" s="1"/>
  <c r="D466" i="18"/>
  <c r="C466" i="18"/>
  <c r="D465" i="18"/>
  <c r="C465" i="18"/>
  <c r="I465" i="18" s="1"/>
  <c r="D464" i="18"/>
  <c r="C464" i="18"/>
  <c r="I464" i="18" s="1"/>
  <c r="D463" i="18"/>
  <c r="C463" i="18"/>
  <c r="D462" i="18"/>
  <c r="C462" i="18"/>
  <c r="D461" i="18"/>
  <c r="C461" i="18"/>
  <c r="D460" i="18"/>
  <c r="C460" i="18"/>
  <c r="D459" i="18"/>
  <c r="C459" i="18"/>
  <c r="D458" i="18"/>
  <c r="C458" i="18"/>
  <c r="D457" i="18"/>
  <c r="C457" i="18"/>
  <c r="I457" i="18" s="1"/>
  <c r="D456" i="18"/>
  <c r="C456" i="18"/>
  <c r="I456" i="18" s="1"/>
  <c r="D455" i="18"/>
  <c r="C455" i="18"/>
  <c r="D454" i="18"/>
  <c r="C454" i="18"/>
  <c r="D453" i="18"/>
  <c r="C453" i="18"/>
  <c r="D452" i="18"/>
  <c r="C452" i="18"/>
  <c r="D451" i="18"/>
  <c r="C451" i="18"/>
  <c r="D450" i="18"/>
  <c r="C450" i="18"/>
  <c r="D449" i="18"/>
  <c r="C449" i="18"/>
  <c r="I449" i="18" s="1"/>
  <c r="D448" i="18"/>
  <c r="C448" i="18"/>
  <c r="I448" i="18" s="1"/>
  <c r="D447" i="18"/>
  <c r="C447" i="18"/>
  <c r="D446" i="18"/>
  <c r="C446" i="18"/>
  <c r="D445" i="18"/>
  <c r="C445" i="18"/>
  <c r="D444" i="18"/>
  <c r="C444" i="18"/>
  <c r="D443" i="18"/>
  <c r="C443" i="18"/>
  <c r="I443" i="18" s="1"/>
  <c r="D442" i="18"/>
  <c r="C442" i="18"/>
  <c r="I442" i="18" s="1"/>
  <c r="D441" i="18"/>
  <c r="C441" i="18"/>
  <c r="I441" i="18" s="1"/>
  <c r="D440" i="18"/>
  <c r="C440" i="18"/>
  <c r="I440" i="18" s="1"/>
  <c r="D439" i="18"/>
  <c r="C439" i="18"/>
  <c r="D438" i="18"/>
  <c r="C438" i="18"/>
  <c r="D437" i="18"/>
  <c r="C437" i="18"/>
  <c r="D436" i="18"/>
  <c r="C436" i="18"/>
  <c r="D435" i="18"/>
  <c r="C435" i="18"/>
  <c r="I435" i="18" s="1"/>
  <c r="D434" i="18"/>
  <c r="C434" i="18"/>
  <c r="I434" i="18" s="1"/>
  <c r="D433" i="18"/>
  <c r="C433" i="18"/>
  <c r="I433" i="18" s="1"/>
  <c r="D432" i="18"/>
  <c r="C432" i="18"/>
  <c r="I432" i="18" s="1"/>
  <c r="D431" i="18"/>
  <c r="C431" i="18"/>
  <c r="D430" i="18"/>
  <c r="C430" i="18"/>
  <c r="D429" i="18"/>
  <c r="C429" i="18"/>
  <c r="D428" i="18"/>
  <c r="C428" i="18"/>
  <c r="D427" i="18"/>
  <c r="C427" i="18"/>
  <c r="D426" i="18"/>
  <c r="C426" i="18"/>
  <c r="D425" i="18"/>
  <c r="C425" i="18"/>
  <c r="I425" i="18" s="1"/>
  <c r="D424" i="18"/>
  <c r="C424" i="18"/>
  <c r="I424" i="18" s="1"/>
  <c r="D423" i="18"/>
  <c r="C423" i="18"/>
  <c r="D422" i="18"/>
  <c r="C422" i="18"/>
  <c r="D421" i="18"/>
  <c r="C421" i="18"/>
  <c r="D420" i="18"/>
  <c r="C420" i="18"/>
  <c r="D419" i="18"/>
  <c r="C419" i="18"/>
  <c r="I419" i="18" s="1"/>
  <c r="D418" i="18"/>
  <c r="C418" i="18"/>
  <c r="D417" i="18"/>
  <c r="C417" i="18"/>
  <c r="I417" i="18" s="1"/>
  <c r="D416" i="18"/>
  <c r="C416" i="18"/>
  <c r="I416" i="18" s="1"/>
  <c r="D415" i="18"/>
  <c r="C415" i="18"/>
  <c r="D414" i="18"/>
  <c r="C414" i="18"/>
  <c r="D413" i="18"/>
  <c r="C413" i="18"/>
  <c r="D412" i="18"/>
  <c r="C412" i="18"/>
  <c r="D411" i="18"/>
  <c r="C411" i="18"/>
  <c r="D410" i="18"/>
  <c r="C410" i="18"/>
  <c r="I410" i="18" s="1"/>
  <c r="D409" i="18"/>
  <c r="C409" i="18"/>
  <c r="I409" i="18" s="1"/>
  <c r="D408" i="18"/>
  <c r="C408" i="18"/>
  <c r="I408" i="18" s="1"/>
  <c r="D407" i="18"/>
  <c r="C407" i="18"/>
  <c r="D406" i="18"/>
  <c r="C406" i="18"/>
  <c r="D405" i="18"/>
  <c r="C405" i="18"/>
  <c r="D404" i="18"/>
  <c r="C404" i="18"/>
  <c r="D403" i="18"/>
  <c r="C403" i="18"/>
  <c r="I403" i="18" s="1"/>
  <c r="D402" i="18"/>
  <c r="C402" i="18"/>
  <c r="I402" i="18" s="1"/>
  <c r="D401" i="18"/>
  <c r="C401" i="18"/>
  <c r="I401" i="18" s="1"/>
  <c r="D400" i="18"/>
  <c r="C400" i="18"/>
  <c r="I400" i="18" s="1"/>
  <c r="D399" i="18"/>
  <c r="C399" i="18"/>
  <c r="D398" i="18"/>
  <c r="C398" i="18"/>
  <c r="D397" i="18"/>
  <c r="C397" i="18"/>
  <c r="D396" i="18"/>
  <c r="C396" i="18"/>
  <c r="D395" i="18"/>
  <c r="C395" i="18"/>
  <c r="D394" i="18"/>
  <c r="C394" i="18"/>
  <c r="D393" i="18"/>
  <c r="C393" i="18"/>
  <c r="I393" i="18" s="1"/>
  <c r="D392" i="18"/>
  <c r="C392" i="18"/>
  <c r="I392" i="18" s="1"/>
  <c r="D391" i="18"/>
  <c r="C391" i="18"/>
  <c r="D390" i="18"/>
  <c r="C390" i="18"/>
  <c r="D389" i="18"/>
  <c r="C389" i="18"/>
  <c r="D388" i="18"/>
  <c r="C388" i="18"/>
  <c r="D387" i="18"/>
  <c r="C387" i="18"/>
  <c r="I387" i="18" s="1"/>
  <c r="D386" i="18"/>
  <c r="C386" i="18"/>
  <c r="D385" i="18"/>
  <c r="C385" i="18"/>
  <c r="I385" i="18" s="1"/>
  <c r="D384" i="18"/>
  <c r="C384" i="18"/>
  <c r="I384" i="18" s="1"/>
  <c r="D383" i="18"/>
  <c r="C383" i="18"/>
  <c r="D382" i="18"/>
  <c r="C382" i="18"/>
  <c r="D381" i="18"/>
  <c r="C381" i="18"/>
  <c r="D380" i="18"/>
  <c r="C380" i="18"/>
  <c r="D379" i="18"/>
  <c r="C379" i="18"/>
  <c r="I379" i="18" s="1"/>
  <c r="D378" i="18"/>
  <c r="C378" i="18"/>
  <c r="I378" i="18" s="1"/>
  <c r="D377" i="18"/>
  <c r="C377" i="18"/>
  <c r="I377" i="18" s="1"/>
  <c r="D376" i="18"/>
  <c r="C376" i="18"/>
  <c r="I376" i="18" s="1"/>
  <c r="D375" i="18"/>
  <c r="C375" i="18"/>
  <c r="D374" i="18"/>
  <c r="C374" i="18"/>
  <c r="D373" i="18"/>
  <c r="C373" i="18"/>
  <c r="D372" i="18"/>
  <c r="C372" i="18"/>
  <c r="D371" i="18"/>
  <c r="C371" i="18"/>
  <c r="I371" i="18" s="1"/>
  <c r="D370" i="18"/>
  <c r="C370" i="18"/>
  <c r="D369" i="18"/>
  <c r="C369" i="18"/>
  <c r="I369" i="18" s="1"/>
  <c r="D368" i="18"/>
  <c r="C368" i="18"/>
  <c r="I368" i="18" s="1"/>
  <c r="D367" i="18"/>
  <c r="C367" i="18"/>
  <c r="D366" i="18"/>
  <c r="C366" i="18"/>
  <c r="D365" i="18"/>
  <c r="C365" i="18"/>
  <c r="D364" i="18"/>
  <c r="C364" i="18"/>
  <c r="D363" i="18"/>
  <c r="C363" i="18"/>
  <c r="D362" i="18"/>
  <c r="C362" i="18"/>
  <c r="D361" i="18"/>
  <c r="C361" i="18"/>
  <c r="I361" i="18" s="1"/>
  <c r="D360" i="18"/>
  <c r="C360" i="18"/>
  <c r="I360" i="18" s="1"/>
  <c r="D359" i="18"/>
  <c r="C359" i="18"/>
  <c r="D358" i="18"/>
  <c r="C358" i="18"/>
  <c r="D357" i="18"/>
  <c r="C357" i="18"/>
  <c r="D356" i="18"/>
  <c r="C356" i="18"/>
  <c r="D355" i="18"/>
  <c r="C355" i="18"/>
  <c r="D354" i="18"/>
  <c r="C354" i="18"/>
  <c r="D353" i="18"/>
  <c r="C353" i="18"/>
  <c r="I353" i="18" s="1"/>
  <c r="D352" i="18"/>
  <c r="C352" i="18"/>
  <c r="I352" i="18" s="1"/>
  <c r="D351" i="18"/>
  <c r="C351" i="18"/>
  <c r="D350" i="18"/>
  <c r="C350" i="18"/>
  <c r="D349" i="18"/>
  <c r="C349" i="18"/>
  <c r="D348" i="18"/>
  <c r="C348" i="18"/>
  <c r="D347" i="18"/>
  <c r="C347" i="18"/>
  <c r="I347" i="18" s="1"/>
  <c r="D346" i="18"/>
  <c r="C346" i="18"/>
  <c r="D345" i="18"/>
  <c r="C345" i="18"/>
  <c r="D344" i="18"/>
  <c r="C344" i="18"/>
  <c r="I344" i="18" s="1"/>
  <c r="D343" i="18"/>
  <c r="C343" i="18"/>
  <c r="D342" i="18"/>
  <c r="C342" i="18"/>
  <c r="D341" i="18"/>
  <c r="C341" i="18"/>
  <c r="D340" i="18"/>
  <c r="C340" i="18"/>
  <c r="D339" i="18"/>
  <c r="C339" i="18"/>
  <c r="D338" i="18"/>
  <c r="C338" i="18"/>
  <c r="D337" i="18"/>
  <c r="C337" i="18"/>
  <c r="I337" i="18" s="1"/>
  <c r="D336" i="18"/>
  <c r="C336" i="18"/>
  <c r="I336" i="18" s="1"/>
  <c r="D335" i="18"/>
  <c r="C335" i="18"/>
  <c r="D334" i="18"/>
  <c r="C334" i="18"/>
  <c r="D333" i="18"/>
  <c r="C333" i="18"/>
  <c r="D332" i="18"/>
  <c r="C332" i="18"/>
  <c r="D331" i="18"/>
  <c r="C331" i="18"/>
  <c r="D330" i="18"/>
  <c r="C330" i="18"/>
  <c r="I330" i="18" s="1"/>
  <c r="D329" i="18"/>
  <c r="C329" i="18"/>
  <c r="I329" i="18" s="1"/>
  <c r="D328" i="18"/>
  <c r="C328" i="18"/>
  <c r="I328" i="18" s="1"/>
  <c r="D327" i="18"/>
  <c r="C327" i="18"/>
  <c r="D326" i="18"/>
  <c r="C326" i="18"/>
  <c r="D325" i="18"/>
  <c r="C325" i="18"/>
  <c r="D324" i="18"/>
  <c r="C324" i="18"/>
  <c r="D323" i="18"/>
  <c r="C323" i="18"/>
  <c r="I323" i="18" s="1"/>
  <c r="D322" i="18"/>
  <c r="C322" i="18"/>
  <c r="D321" i="18"/>
  <c r="C321" i="18"/>
  <c r="I321" i="18" s="1"/>
  <c r="D320" i="18"/>
  <c r="C320" i="18"/>
  <c r="I320" i="18" s="1"/>
  <c r="D319" i="18"/>
  <c r="C319" i="18"/>
  <c r="D318" i="18"/>
  <c r="C318" i="18"/>
  <c r="D317" i="18"/>
  <c r="C317" i="18"/>
  <c r="D316" i="18"/>
  <c r="C316" i="18"/>
  <c r="D315" i="18"/>
  <c r="C315" i="18"/>
  <c r="I315" i="18" s="1"/>
  <c r="D314" i="18"/>
  <c r="C314" i="18"/>
  <c r="D313" i="18"/>
  <c r="C313" i="18"/>
  <c r="I313" i="18" s="1"/>
  <c r="D312" i="18"/>
  <c r="C312" i="18"/>
  <c r="I312" i="18" s="1"/>
  <c r="D311" i="18"/>
  <c r="C311" i="18"/>
  <c r="D310" i="18"/>
  <c r="C310" i="18"/>
  <c r="D309" i="18"/>
  <c r="C309" i="18"/>
  <c r="D308" i="18"/>
  <c r="C308" i="18"/>
  <c r="D307" i="18"/>
  <c r="C307" i="18"/>
  <c r="I307" i="18" s="1"/>
  <c r="D306" i="18"/>
  <c r="C306" i="18"/>
  <c r="I306" i="18" s="1"/>
  <c r="D305" i="18"/>
  <c r="C305" i="18"/>
  <c r="I305" i="18" s="1"/>
  <c r="D304" i="18"/>
  <c r="C304" i="18"/>
  <c r="I304" i="18" s="1"/>
  <c r="D303" i="18"/>
  <c r="C303" i="18"/>
  <c r="D302" i="18"/>
  <c r="C302" i="18"/>
  <c r="D301" i="18"/>
  <c r="C301" i="18"/>
  <c r="D300" i="18"/>
  <c r="C300" i="18"/>
  <c r="D299" i="18"/>
  <c r="C299" i="18"/>
  <c r="D298" i="18"/>
  <c r="C298" i="18"/>
  <c r="D297" i="18"/>
  <c r="C297" i="18"/>
  <c r="I297" i="18" s="1"/>
  <c r="D296" i="18"/>
  <c r="C296" i="18"/>
  <c r="I296" i="18" s="1"/>
  <c r="D295" i="18"/>
  <c r="C295" i="18"/>
  <c r="D294" i="18"/>
  <c r="C294" i="18"/>
  <c r="D293" i="18"/>
  <c r="C293" i="18"/>
  <c r="D292" i="18"/>
  <c r="C292" i="18"/>
  <c r="D291" i="18"/>
  <c r="C291" i="18"/>
  <c r="I291" i="18" s="1"/>
  <c r="D290" i="18"/>
  <c r="C290" i="18"/>
  <c r="I290" i="18" s="1"/>
  <c r="D289" i="18"/>
  <c r="C289" i="18"/>
  <c r="I289" i="18" s="1"/>
  <c r="D288" i="18"/>
  <c r="C288" i="18"/>
  <c r="I288" i="18" s="1"/>
  <c r="D287" i="18"/>
  <c r="C287" i="18"/>
  <c r="D286" i="18"/>
  <c r="C286" i="18"/>
  <c r="D285" i="18"/>
  <c r="C285" i="18"/>
  <c r="D284" i="18"/>
  <c r="C284" i="18"/>
  <c r="D283" i="18"/>
  <c r="C283" i="18"/>
  <c r="D282" i="18"/>
  <c r="C282" i="18"/>
  <c r="D281" i="18"/>
  <c r="C281" i="18"/>
  <c r="I281" i="18" s="1"/>
  <c r="D280" i="18"/>
  <c r="C280" i="18"/>
  <c r="I280" i="18" s="1"/>
  <c r="D279" i="18"/>
  <c r="C279" i="18"/>
  <c r="D278" i="18"/>
  <c r="C278" i="18"/>
  <c r="D277" i="18"/>
  <c r="C277" i="18"/>
  <c r="D276" i="18"/>
  <c r="C276" i="18"/>
  <c r="D275" i="18"/>
  <c r="C275" i="18"/>
  <c r="D274" i="18"/>
  <c r="C274" i="18"/>
  <c r="D273" i="18"/>
  <c r="C273" i="18"/>
  <c r="I273" i="18" s="1"/>
  <c r="D272" i="18"/>
  <c r="C272" i="18"/>
  <c r="I272" i="18" s="1"/>
  <c r="D271" i="18"/>
  <c r="C271" i="18"/>
  <c r="D270" i="18"/>
  <c r="C270" i="18"/>
  <c r="D269" i="18"/>
  <c r="C269" i="18"/>
  <c r="D268" i="18"/>
  <c r="C268" i="18"/>
  <c r="D267" i="18"/>
  <c r="C267" i="18"/>
  <c r="I267" i="18" s="1"/>
  <c r="D266" i="18"/>
  <c r="C266" i="18"/>
  <c r="D265" i="18"/>
  <c r="C265" i="18"/>
  <c r="I265" i="18" s="1"/>
  <c r="D264" i="18"/>
  <c r="C264" i="18"/>
  <c r="I264" i="18" s="1"/>
  <c r="D263" i="18"/>
  <c r="C263" i="18"/>
  <c r="D262" i="18"/>
  <c r="C262" i="18"/>
  <c r="D261" i="18"/>
  <c r="C261" i="18"/>
  <c r="D260" i="18"/>
  <c r="C260" i="18"/>
  <c r="D259" i="18"/>
  <c r="C259" i="18"/>
  <c r="I259" i="18" s="1"/>
  <c r="D258" i="18"/>
  <c r="C258" i="18"/>
  <c r="I258" i="18" s="1"/>
  <c r="D257" i="18"/>
  <c r="C257" i="18"/>
  <c r="I257" i="18" s="1"/>
  <c r="D256" i="18"/>
  <c r="C256" i="18"/>
  <c r="I256" i="18" s="1"/>
  <c r="D255" i="18"/>
  <c r="C255" i="18"/>
  <c r="D254" i="18"/>
  <c r="C254" i="18"/>
  <c r="D253" i="18"/>
  <c r="C253" i="18"/>
  <c r="I253" i="18" s="1"/>
  <c r="D252" i="18"/>
  <c r="C252" i="18"/>
  <c r="D251" i="18"/>
  <c r="C251" i="18"/>
  <c r="D250" i="18"/>
  <c r="C250" i="18"/>
  <c r="D249" i="18"/>
  <c r="C249" i="18"/>
  <c r="I249" i="18" s="1"/>
  <c r="D248" i="18"/>
  <c r="C248" i="18"/>
  <c r="I248" i="18" s="1"/>
  <c r="D247" i="18"/>
  <c r="C247" i="18"/>
  <c r="D246" i="18"/>
  <c r="C246" i="18"/>
  <c r="D245" i="18"/>
  <c r="C245" i="18"/>
  <c r="D244" i="18"/>
  <c r="C244" i="18"/>
  <c r="D243" i="18"/>
  <c r="C243" i="18"/>
  <c r="D242" i="18"/>
  <c r="C242" i="18"/>
  <c r="I242" i="18" s="1"/>
  <c r="D241" i="18"/>
  <c r="C241" i="18"/>
  <c r="I241" i="18" s="1"/>
  <c r="D240" i="18"/>
  <c r="C240" i="18"/>
  <c r="I240" i="18" s="1"/>
  <c r="D239" i="18"/>
  <c r="C239" i="18"/>
  <c r="D238" i="18"/>
  <c r="C238" i="18"/>
  <c r="D237" i="18"/>
  <c r="C237" i="18"/>
  <c r="D236" i="18"/>
  <c r="C236" i="18"/>
  <c r="D235" i="18"/>
  <c r="C235" i="18"/>
  <c r="I235" i="18" s="1"/>
  <c r="D234" i="18"/>
  <c r="C234" i="18"/>
  <c r="D233" i="18"/>
  <c r="C233" i="18"/>
  <c r="I233" i="18" s="1"/>
  <c r="D232" i="18"/>
  <c r="C232" i="18"/>
  <c r="I232" i="18" s="1"/>
  <c r="D231" i="18"/>
  <c r="C231" i="18"/>
  <c r="D230" i="18"/>
  <c r="C230" i="18"/>
  <c r="D229" i="18"/>
  <c r="C229" i="18"/>
  <c r="D228" i="18"/>
  <c r="C228" i="18"/>
  <c r="D227" i="18"/>
  <c r="C227" i="18"/>
  <c r="D226" i="18"/>
  <c r="C226" i="18"/>
  <c r="D225" i="18"/>
  <c r="C225" i="18"/>
  <c r="I225" i="18" s="1"/>
  <c r="D224" i="18"/>
  <c r="C224" i="18"/>
  <c r="I224" i="18" s="1"/>
  <c r="D223" i="18"/>
  <c r="C223" i="18"/>
  <c r="D222" i="18"/>
  <c r="C222" i="18"/>
  <c r="D221" i="18"/>
  <c r="C221" i="18"/>
  <c r="D220" i="18"/>
  <c r="C220" i="18"/>
  <c r="D219" i="18"/>
  <c r="C219" i="18"/>
  <c r="D218" i="18"/>
  <c r="C218" i="18"/>
  <c r="D217" i="18"/>
  <c r="C217" i="18"/>
  <c r="D216" i="18"/>
  <c r="C216" i="18"/>
  <c r="I216" i="18" s="1"/>
  <c r="D215" i="18"/>
  <c r="C215" i="18"/>
  <c r="D214" i="18"/>
  <c r="C214" i="18"/>
  <c r="D213" i="18"/>
  <c r="C213" i="18"/>
  <c r="D212" i="18"/>
  <c r="C212" i="18"/>
  <c r="D211" i="18"/>
  <c r="C211" i="18"/>
  <c r="D210" i="18"/>
  <c r="C210" i="18"/>
  <c r="D209" i="18"/>
  <c r="C209" i="18"/>
  <c r="I209" i="18" s="1"/>
  <c r="D208" i="18"/>
  <c r="C208" i="18"/>
  <c r="I208" i="18" s="1"/>
  <c r="D207" i="18"/>
  <c r="C207" i="18"/>
  <c r="D206" i="18"/>
  <c r="C206" i="18"/>
  <c r="D205" i="18"/>
  <c r="C205" i="18"/>
  <c r="D204" i="18"/>
  <c r="C204" i="18"/>
  <c r="D203" i="18"/>
  <c r="C203" i="18"/>
  <c r="D202" i="18"/>
  <c r="C202" i="18"/>
  <c r="D201" i="18"/>
  <c r="C201" i="18"/>
  <c r="I201" i="18" s="1"/>
  <c r="D200" i="18"/>
  <c r="C200" i="18"/>
  <c r="I200" i="18" s="1"/>
  <c r="D199" i="18"/>
  <c r="C199" i="18"/>
  <c r="D198" i="18"/>
  <c r="C198" i="18"/>
  <c r="D197" i="18"/>
  <c r="C197" i="18"/>
  <c r="D196" i="18"/>
  <c r="C196" i="18"/>
  <c r="D195" i="18"/>
  <c r="C195" i="18"/>
  <c r="I195" i="18" s="1"/>
  <c r="D194" i="18"/>
  <c r="C194" i="18"/>
  <c r="D193" i="18"/>
  <c r="C193" i="18"/>
  <c r="I193" i="18" s="1"/>
  <c r="D192" i="18"/>
  <c r="C192" i="18"/>
  <c r="I192" i="18" s="1"/>
  <c r="D191" i="18"/>
  <c r="C191" i="18"/>
  <c r="D190" i="18"/>
  <c r="C190" i="18"/>
  <c r="D189" i="18"/>
  <c r="C189" i="18"/>
  <c r="D188" i="18"/>
  <c r="C188" i="18"/>
  <c r="D187" i="18"/>
  <c r="C187" i="18"/>
  <c r="I187" i="18" s="1"/>
  <c r="D186" i="18"/>
  <c r="C186" i="18"/>
  <c r="I186" i="18" s="1"/>
  <c r="D185" i="18"/>
  <c r="C185" i="18"/>
  <c r="I185" i="18" s="1"/>
  <c r="D184" i="18"/>
  <c r="C184" i="18"/>
  <c r="I184" i="18" s="1"/>
  <c r="D183" i="18"/>
  <c r="C183" i="18"/>
  <c r="D182" i="18"/>
  <c r="C182" i="18"/>
  <c r="D181" i="18"/>
  <c r="C181" i="18"/>
  <c r="D180" i="18"/>
  <c r="C180" i="18"/>
  <c r="D179" i="18"/>
  <c r="C179" i="18"/>
  <c r="D178" i="18"/>
  <c r="C178" i="18"/>
  <c r="D177" i="18"/>
  <c r="C177" i="18"/>
  <c r="I177" i="18" s="1"/>
  <c r="D176" i="18"/>
  <c r="C176" i="18"/>
  <c r="I176" i="18" s="1"/>
  <c r="D175" i="18"/>
  <c r="C175" i="18"/>
  <c r="D174" i="18"/>
  <c r="C174" i="18"/>
  <c r="D173" i="18"/>
  <c r="C173" i="18"/>
  <c r="D172" i="18"/>
  <c r="C172" i="18"/>
  <c r="D171" i="18"/>
  <c r="C171" i="18"/>
  <c r="I171" i="18" s="1"/>
  <c r="D170" i="18"/>
  <c r="C170" i="18"/>
  <c r="I170" i="18" s="1"/>
  <c r="D169" i="18"/>
  <c r="C169" i="18"/>
  <c r="I169" i="18" s="1"/>
  <c r="D168" i="18"/>
  <c r="C168" i="18"/>
  <c r="I168" i="18" s="1"/>
  <c r="D167" i="18"/>
  <c r="C167" i="18"/>
  <c r="D166" i="18"/>
  <c r="C166" i="18"/>
  <c r="D165" i="18"/>
  <c r="C165" i="18"/>
  <c r="D164" i="18"/>
  <c r="C164" i="18"/>
  <c r="D163" i="18"/>
  <c r="C163" i="18"/>
  <c r="D162" i="18"/>
  <c r="C162" i="18"/>
  <c r="I162" i="18" s="1"/>
  <c r="D161" i="18"/>
  <c r="C161" i="18"/>
  <c r="I161" i="18" s="1"/>
  <c r="D160" i="18"/>
  <c r="C160" i="18"/>
  <c r="I160" i="18" s="1"/>
  <c r="D159" i="18"/>
  <c r="C159" i="18"/>
  <c r="D158" i="18"/>
  <c r="C158" i="18"/>
  <c r="D157" i="18"/>
  <c r="C157" i="18"/>
  <c r="I157" i="18" s="1"/>
  <c r="D156" i="18"/>
  <c r="C156" i="18"/>
  <c r="D155" i="18"/>
  <c r="C155" i="18"/>
  <c r="D154" i="18"/>
  <c r="C154" i="18"/>
  <c r="D153" i="18"/>
  <c r="C153" i="18"/>
  <c r="I153" i="18" s="1"/>
  <c r="D152" i="18"/>
  <c r="C152" i="18"/>
  <c r="I152" i="18" s="1"/>
  <c r="D151" i="18"/>
  <c r="C151" i="18"/>
  <c r="D150" i="18"/>
  <c r="C150" i="18"/>
  <c r="D149" i="18"/>
  <c r="C149" i="18"/>
  <c r="D148" i="18"/>
  <c r="C148" i="18"/>
  <c r="D147" i="18"/>
  <c r="C147" i="18"/>
  <c r="D146" i="18"/>
  <c r="C146" i="18"/>
  <c r="D145" i="18"/>
  <c r="C145" i="18"/>
  <c r="I145" i="18" s="1"/>
  <c r="D144" i="18"/>
  <c r="C144" i="18"/>
  <c r="I144" i="18" s="1"/>
  <c r="D143" i="18"/>
  <c r="C143" i="18"/>
  <c r="D142" i="18"/>
  <c r="C142" i="18"/>
  <c r="D141" i="18"/>
  <c r="C141" i="18"/>
  <c r="D140" i="18"/>
  <c r="C140" i="18"/>
  <c r="D139" i="18"/>
  <c r="C139" i="18"/>
  <c r="I139" i="18" s="1"/>
  <c r="D138" i="18"/>
  <c r="C138" i="18"/>
  <c r="D137" i="18"/>
  <c r="C137" i="18"/>
  <c r="I137" i="18" s="1"/>
  <c r="D136" i="18"/>
  <c r="C136" i="18"/>
  <c r="I136" i="18" s="1"/>
  <c r="D135" i="18"/>
  <c r="C135" i="18"/>
  <c r="D134" i="18"/>
  <c r="C134" i="18"/>
  <c r="D133" i="18"/>
  <c r="C133" i="18"/>
  <c r="D132" i="18"/>
  <c r="C132" i="18"/>
  <c r="D131" i="18"/>
  <c r="C131" i="18"/>
  <c r="D130" i="18"/>
  <c r="C130" i="18"/>
  <c r="D129" i="18"/>
  <c r="C129" i="18"/>
  <c r="I129" i="18" s="1"/>
  <c r="D128" i="18"/>
  <c r="C128" i="18"/>
  <c r="I128" i="18" s="1"/>
  <c r="D127" i="18"/>
  <c r="C127" i="18"/>
  <c r="D126" i="18"/>
  <c r="C126" i="18"/>
  <c r="D125" i="18"/>
  <c r="C125" i="18"/>
  <c r="D124" i="18"/>
  <c r="C124" i="18"/>
  <c r="D123" i="18"/>
  <c r="C123" i="18"/>
  <c r="I123" i="18" s="1"/>
  <c r="D122" i="18"/>
  <c r="C122" i="18"/>
  <c r="D121" i="18"/>
  <c r="C121" i="18"/>
  <c r="I121" i="18" s="1"/>
  <c r="D120" i="18"/>
  <c r="C120" i="18"/>
  <c r="I120" i="18" s="1"/>
  <c r="D119" i="18"/>
  <c r="C119" i="18"/>
  <c r="D118" i="18"/>
  <c r="C118" i="18"/>
  <c r="D117" i="18"/>
  <c r="C117" i="18"/>
  <c r="D116" i="18"/>
  <c r="C116" i="18"/>
  <c r="D115" i="18"/>
  <c r="C115" i="18"/>
  <c r="D114" i="18"/>
  <c r="C114" i="18"/>
  <c r="D113" i="18"/>
  <c r="C113" i="18"/>
  <c r="I113" i="18" s="1"/>
  <c r="D112" i="18"/>
  <c r="C112" i="18"/>
  <c r="I112" i="18" s="1"/>
  <c r="D111" i="18"/>
  <c r="C111" i="18"/>
  <c r="D110" i="18"/>
  <c r="C110" i="18"/>
  <c r="D109" i="18"/>
  <c r="C109" i="18"/>
  <c r="D108" i="18"/>
  <c r="C108" i="18"/>
  <c r="D107" i="18"/>
  <c r="C107" i="18"/>
  <c r="I107" i="18" s="1"/>
  <c r="D106" i="18"/>
  <c r="C106" i="18"/>
  <c r="D105" i="18"/>
  <c r="C105" i="18"/>
  <c r="I105" i="18" s="1"/>
  <c r="D104" i="18"/>
  <c r="C104" i="18"/>
  <c r="I104" i="18" s="1"/>
  <c r="D103" i="18"/>
  <c r="C103" i="18"/>
  <c r="D102" i="18"/>
  <c r="C102" i="18"/>
  <c r="D101" i="18"/>
  <c r="C101" i="18"/>
  <c r="D100" i="18"/>
  <c r="C100" i="18"/>
  <c r="D99" i="18"/>
  <c r="C99" i="18"/>
  <c r="I99" i="18" s="1"/>
  <c r="D98" i="18"/>
  <c r="C98" i="18"/>
  <c r="D97" i="18"/>
  <c r="C97" i="18"/>
  <c r="I97" i="18" s="1"/>
  <c r="D96" i="18"/>
  <c r="C96" i="18"/>
  <c r="I96" i="18" s="1"/>
  <c r="D95" i="18"/>
  <c r="C95" i="18"/>
  <c r="D94" i="18"/>
  <c r="C94" i="18"/>
  <c r="D93" i="18"/>
  <c r="C93" i="18"/>
  <c r="D92" i="18"/>
  <c r="C92" i="18"/>
  <c r="D91" i="18"/>
  <c r="C91" i="18"/>
  <c r="D90" i="18"/>
  <c r="C90" i="18"/>
  <c r="D89" i="18"/>
  <c r="C89" i="18"/>
  <c r="I89" i="18" s="1"/>
  <c r="D88" i="18"/>
  <c r="C88" i="18"/>
  <c r="I88" i="18" s="1"/>
  <c r="D87" i="18"/>
  <c r="C87" i="18"/>
  <c r="D86" i="18"/>
  <c r="C86" i="18"/>
  <c r="D85" i="18"/>
  <c r="C85" i="18"/>
  <c r="D84" i="18"/>
  <c r="C84" i="18"/>
  <c r="D83" i="18"/>
  <c r="C83" i="18"/>
  <c r="D82" i="18"/>
  <c r="C82" i="18"/>
  <c r="D81" i="18"/>
  <c r="C81" i="18"/>
  <c r="I81" i="18" s="1"/>
  <c r="D80" i="18"/>
  <c r="C80" i="18"/>
  <c r="I80" i="18" s="1"/>
  <c r="D79" i="18"/>
  <c r="C79" i="18"/>
  <c r="D78" i="18"/>
  <c r="C78" i="18"/>
  <c r="D77" i="18"/>
  <c r="C77" i="18"/>
  <c r="D76" i="18"/>
  <c r="C76" i="18"/>
  <c r="D75" i="18"/>
  <c r="C75" i="18"/>
  <c r="I75" i="18" s="1"/>
  <c r="D74" i="18"/>
  <c r="C74" i="18"/>
  <c r="D73" i="18"/>
  <c r="C73" i="18"/>
  <c r="I73" i="18" s="1"/>
  <c r="D72" i="18"/>
  <c r="C72" i="18"/>
  <c r="I72" i="18" s="1"/>
  <c r="D71" i="18"/>
  <c r="C71" i="18"/>
  <c r="D70" i="18"/>
  <c r="C70" i="18"/>
  <c r="D69" i="18"/>
  <c r="C69" i="18"/>
  <c r="D68" i="18"/>
  <c r="C68" i="18"/>
  <c r="D67" i="18"/>
  <c r="C67" i="18"/>
  <c r="D66" i="18"/>
  <c r="C66" i="18"/>
  <c r="D65" i="18"/>
  <c r="C65" i="18"/>
  <c r="I65" i="18" s="1"/>
  <c r="D64" i="18"/>
  <c r="C64" i="18"/>
  <c r="I64" i="18" s="1"/>
  <c r="D63" i="18"/>
  <c r="C63" i="18"/>
  <c r="D62" i="18"/>
  <c r="C62" i="18"/>
  <c r="D61" i="18"/>
  <c r="C61" i="18"/>
  <c r="D60" i="18"/>
  <c r="C60" i="18"/>
  <c r="D59" i="18"/>
  <c r="C59" i="18"/>
  <c r="I59" i="18" s="1"/>
  <c r="D58" i="18"/>
  <c r="C58" i="18"/>
  <c r="D57" i="18"/>
  <c r="C57" i="18"/>
  <c r="I57" i="18" s="1"/>
  <c r="D56" i="18"/>
  <c r="C56" i="18"/>
  <c r="I56" i="18" s="1"/>
  <c r="D55" i="18"/>
  <c r="C55" i="18"/>
  <c r="D54" i="18"/>
  <c r="C54" i="18"/>
  <c r="D53" i="18"/>
  <c r="C53" i="18"/>
  <c r="D52" i="18"/>
  <c r="C52" i="18"/>
  <c r="D51" i="18"/>
  <c r="C51" i="18"/>
  <c r="I51" i="18" s="1"/>
  <c r="D50" i="18"/>
  <c r="C50" i="18"/>
  <c r="D49" i="18"/>
  <c r="C49" i="18"/>
  <c r="I49" i="18" s="1"/>
  <c r="D48" i="18"/>
  <c r="C48" i="18"/>
  <c r="I48" i="18" s="1"/>
  <c r="D47" i="18"/>
  <c r="C47" i="18"/>
  <c r="D46" i="18"/>
  <c r="C46" i="18"/>
  <c r="D45" i="18"/>
  <c r="C45" i="18"/>
  <c r="D44" i="18"/>
  <c r="C44" i="18"/>
  <c r="D43" i="18"/>
  <c r="C43" i="18"/>
  <c r="D42" i="18"/>
  <c r="C42" i="18"/>
  <c r="D41" i="18"/>
  <c r="C41" i="18"/>
  <c r="I41" i="18" s="1"/>
  <c r="D40" i="18"/>
  <c r="C40" i="18"/>
  <c r="I40" i="18" s="1"/>
  <c r="D39" i="18"/>
  <c r="C39" i="18"/>
  <c r="D38" i="18"/>
  <c r="C38" i="18"/>
  <c r="D37" i="18"/>
  <c r="C37" i="18"/>
  <c r="D36" i="18"/>
  <c r="C36" i="18"/>
  <c r="D35" i="18"/>
  <c r="C35" i="18"/>
  <c r="I35" i="18" s="1"/>
  <c r="D34" i="18"/>
  <c r="C34" i="18"/>
  <c r="I34" i="18" s="1"/>
  <c r="D33" i="18"/>
  <c r="C33" i="18"/>
  <c r="I33" i="18" s="1"/>
  <c r="D32" i="18"/>
  <c r="C32" i="18"/>
  <c r="I32" i="18" s="1"/>
  <c r="D31" i="18"/>
  <c r="C31" i="18"/>
  <c r="D30" i="18"/>
  <c r="C30" i="18"/>
  <c r="D29" i="18"/>
  <c r="C29" i="18"/>
  <c r="D28" i="18"/>
  <c r="C28" i="18"/>
  <c r="D27" i="18"/>
  <c r="C27" i="18"/>
  <c r="D26" i="18"/>
  <c r="C26" i="18"/>
  <c r="I26" i="18" s="1"/>
  <c r="D25" i="18"/>
  <c r="C25" i="18"/>
  <c r="I25" i="18" s="1"/>
  <c r="D24" i="18"/>
  <c r="C24" i="18"/>
  <c r="I24" i="18" s="1"/>
  <c r="D23" i="18"/>
  <c r="C23" i="18"/>
  <c r="D22" i="18"/>
  <c r="C22" i="18"/>
  <c r="D21" i="18"/>
  <c r="C21" i="18"/>
  <c r="D20" i="18"/>
  <c r="C20" i="18"/>
  <c r="D19" i="18"/>
  <c r="C19" i="18"/>
  <c r="D18" i="18"/>
  <c r="C18" i="18"/>
  <c r="B4" i="19" l="1"/>
  <c r="B5" i="19"/>
  <c r="D4" i="19"/>
  <c r="D3" i="19"/>
  <c r="I18" i="18"/>
  <c r="I42" i="18"/>
  <c r="I50" i="18"/>
  <c r="I58" i="18"/>
  <c r="I74" i="18"/>
  <c r="I82" i="18"/>
  <c r="I90" i="18"/>
  <c r="I98" i="18"/>
  <c r="I106" i="18"/>
  <c r="I130" i="18"/>
  <c r="I138" i="18"/>
  <c r="I146" i="18"/>
  <c r="I154" i="18"/>
  <c r="I178" i="18"/>
  <c r="I202" i="18"/>
  <c r="I210" i="18"/>
  <c r="I226" i="18"/>
  <c r="I234" i="18"/>
  <c r="I250" i="18"/>
  <c r="I266" i="18"/>
  <c r="I274" i="18"/>
  <c r="I282" i="18"/>
  <c r="I298" i="18"/>
  <c r="I314" i="18"/>
  <c r="I322" i="18"/>
  <c r="I338" i="18"/>
  <c r="I354" i="18"/>
  <c r="I370" i="18"/>
  <c r="I386" i="18"/>
  <c r="I394" i="18"/>
  <c r="I418" i="18"/>
  <c r="I426" i="18"/>
  <c r="I450" i="18"/>
  <c r="I458" i="18"/>
  <c r="I466" i="18"/>
  <c r="I482" i="18"/>
  <c r="I490" i="18"/>
  <c r="I498" i="18"/>
  <c r="I47" i="18"/>
  <c r="I95" i="18"/>
  <c r="I143" i="18"/>
  <c r="I303" i="18"/>
  <c r="I85" i="18"/>
  <c r="I205" i="18"/>
  <c r="I357" i="18"/>
  <c r="I453" i="18"/>
  <c r="I239" i="18"/>
  <c r="I251" i="18"/>
  <c r="I287" i="18"/>
  <c r="I299" i="18"/>
  <c r="I339" i="18"/>
  <c r="I20" i="18"/>
  <c r="I28" i="18"/>
  <c r="I44" i="18"/>
  <c r="I52" i="18"/>
  <c r="I60" i="18"/>
  <c r="I68" i="18"/>
  <c r="I31" i="18"/>
  <c r="I43" i="18"/>
  <c r="I79" i="18"/>
  <c r="I131" i="18"/>
  <c r="I203" i="18"/>
  <c r="I215" i="18"/>
  <c r="I227" i="18"/>
  <c r="I263" i="18"/>
  <c r="I355" i="18"/>
  <c r="I36" i="18"/>
  <c r="I76" i="18"/>
  <c r="I84" i="18"/>
  <c r="I92" i="18"/>
  <c r="I167" i="18"/>
  <c r="I179" i="18"/>
  <c r="I100" i="18"/>
  <c r="I108" i="18"/>
  <c r="I116" i="18"/>
  <c r="I133" i="18"/>
  <c r="I181" i="18"/>
  <c r="I485" i="18"/>
  <c r="I140" i="18"/>
  <c r="I156" i="18"/>
  <c r="I172" i="18"/>
  <c r="I188" i="18"/>
  <c r="I204" i="18"/>
  <c r="I220" i="18"/>
  <c r="I236" i="18"/>
  <c r="I252" i="18"/>
  <c r="I260" i="18"/>
  <c r="I284" i="18"/>
  <c r="I308" i="18"/>
  <c r="I316" i="18"/>
  <c r="I340" i="18"/>
  <c r="I356" i="18"/>
  <c r="I372" i="18"/>
  <c r="I388" i="18"/>
  <c r="I396" i="18"/>
  <c r="I412" i="18"/>
  <c r="I428" i="18"/>
  <c r="I444" i="18"/>
  <c r="I460" i="18"/>
  <c r="I476" i="18"/>
  <c r="I492" i="18"/>
  <c r="I23" i="18"/>
  <c r="I271" i="18"/>
  <c r="I279" i="18"/>
  <c r="I295" i="18"/>
  <c r="I21" i="18"/>
  <c r="I29" i="18"/>
  <c r="I37" i="18"/>
  <c r="I45" i="18"/>
  <c r="I53" i="18"/>
  <c r="I69" i="18"/>
  <c r="I93" i="18"/>
  <c r="I101" i="18"/>
  <c r="I141" i="18"/>
  <c r="I149" i="18"/>
  <c r="I189" i="18"/>
  <c r="I197" i="18"/>
  <c r="I261" i="18"/>
  <c r="I269" i="18"/>
  <c r="I277" i="18"/>
  <c r="I285" i="18"/>
  <c r="I349" i="18"/>
  <c r="I124" i="18"/>
  <c r="I132" i="18"/>
  <c r="I148" i="18"/>
  <c r="I164" i="18"/>
  <c r="I180" i="18"/>
  <c r="I196" i="18"/>
  <c r="I212" i="18"/>
  <c r="I228" i="18"/>
  <c r="I244" i="18"/>
  <c r="I268" i="18"/>
  <c r="I276" i="18"/>
  <c r="I292" i="18"/>
  <c r="I300" i="18"/>
  <c r="I324" i="18"/>
  <c r="I332" i="18"/>
  <c r="I348" i="18"/>
  <c r="I364" i="18"/>
  <c r="I380" i="18"/>
  <c r="I404" i="18"/>
  <c r="I420" i="18"/>
  <c r="I436" i="18"/>
  <c r="I452" i="18"/>
  <c r="I468" i="18"/>
  <c r="I484" i="18"/>
  <c r="I500" i="18"/>
  <c r="I39" i="18"/>
  <c r="I71" i="18"/>
  <c r="I87" i="18"/>
  <c r="I103" i="18"/>
  <c r="I111" i="18"/>
  <c r="I135" i="18"/>
  <c r="I151" i="18"/>
  <c r="I159" i="18"/>
  <c r="I175" i="18"/>
  <c r="I199" i="18"/>
  <c r="I207" i="18"/>
  <c r="I223" i="18"/>
  <c r="I231" i="18"/>
  <c r="I61" i="18"/>
  <c r="I77" i="18"/>
  <c r="I109" i="18"/>
  <c r="I117" i="18"/>
  <c r="I125" i="18"/>
  <c r="I165" i="18"/>
  <c r="I173" i="18"/>
  <c r="I213" i="18"/>
  <c r="I221" i="18"/>
  <c r="I229" i="18"/>
  <c r="I237" i="18"/>
  <c r="I245" i="18"/>
  <c r="I333" i="18"/>
  <c r="I341" i="18"/>
  <c r="I365" i="18"/>
  <c r="I373" i="18"/>
  <c r="I381" i="18"/>
  <c r="I389" i="18"/>
  <c r="I397" i="18"/>
  <c r="I405" i="18"/>
  <c r="I413" i="18"/>
  <c r="I429" i="18"/>
  <c r="I445" i="18"/>
  <c r="I477" i="18"/>
  <c r="I501" i="18"/>
  <c r="I293" i="18"/>
  <c r="I301" i="18"/>
  <c r="I309" i="18"/>
  <c r="I317" i="18"/>
  <c r="I325" i="18"/>
  <c r="I421" i="18"/>
  <c r="I437" i="18"/>
  <c r="I461" i="18"/>
  <c r="I469" i="18"/>
  <c r="I493" i="18"/>
  <c r="I30" i="18"/>
  <c r="I78" i="18"/>
  <c r="I94" i="18"/>
  <c r="I126" i="18"/>
  <c r="I142" i="18"/>
  <c r="I166" i="18"/>
  <c r="I190" i="18"/>
  <c r="I214" i="18"/>
  <c r="I262" i="18"/>
  <c r="I286" i="18"/>
  <c r="I326" i="18"/>
  <c r="I350" i="18"/>
  <c r="I366" i="18"/>
  <c r="I382" i="18"/>
  <c r="I398" i="18"/>
  <c r="I430" i="18"/>
  <c r="I462" i="18"/>
  <c r="I67" i="18"/>
  <c r="I115" i="18"/>
  <c r="I163" i="18"/>
  <c r="I411" i="18"/>
  <c r="I451" i="18"/>
  <c r="I483" i="18"/>
  <c r="I499" i="18"/>
  <c r="I46" i="18"/>
  <c r="I110" i="18"/>
  <c r="I174" i="18"/>
  <c r="I182" i="18"/>
  <c r="I302" i="18"/>
  <c r="I83" i="18"/>
  <c r="I91" i="18"/>
  <c r="I119" i="18"/>
  <c r="I127" i="18"/>
  <c r="I147" i="18"/>
  <c r="I155" i="18"/>
  <c r="I183" i="18"/>
  <c r="I191" i="18"/>
  <c r="I211" i="18"/>
  <c r="I219" i="18"/>
  <c r="I247" i="18"/>
  <c r="I255" i="18"/>
  <c r="I275" i="18"/>
  <c r="I283" i="18"/>
  <c r="I311" i="18"/>
  <c r="I331" i="18"/>
  <c r="I363" i="18"/>
  <c r="I395" i="18"/>
  <c r="I427" i="18"/>
  <c r="I459" i="18"/>
  <c r="I491" i="18"/>
  <c r="I54" i="18"/>
  <c r="I118" i="18"/>
  <c r="I238" i="18"/>
  <c r="I246" i="18"/>
  <c r="I310" i="18"/>
  <c r="I342" i="18"/>
  <c r="I374" i="18"/>
  <c r="I406" i="18"/>
  <c r="I414" i="18"/>
  <c r="I438" i="18"/>
  <c r="I446" i="18"/>
  <c r="I470" i="18"/>
  <c r="I478" i="18"/>
  <c r="I502" i="18"/>
  <c r="I19" i="18"/>
  <c r="I27" i="18"/>
  <c r="I55" i="18"/>
  <c r="I63" i="18"/>
  <c r="I319" i="18"/>
  <c r="I327" i="18"/>
  <c r="I335" i="18"/>
  <c r="I343" i="18"/>
  <c r="I351" i="18"/>
  <c r="I359" i="18"/>
  <c r="I367" i="18"/>
  <c r="I375" i="18"/>
  <c r="I383" i="18"/>
  <c r="I391" i="18"/>
  <c r="I399" i="18"/>
  <c r="I407" i="18"/>
  <c r="I415" i="18"/>
  <c r="I423" i="18"/>
  <c r="I431" i="18"/>
  <c r="I439" i="18"/>
  <c r="I447" i="18"/>
  <c r="I455" i="18"/>
  <c r="I463" i="18"/>
  <c r="I471" i="18"/>
  <c r="I479" i="18"/>
  <c r="I487" i="18"/>
  <c r="I495" i="18"/>
  <c r="I503" i="18"/>
  <c r="E3" i="20"/>
  <c r="D4" i="20"/>
  <c r="D5" i="20" s="1"/>
  <c r="K7" i="17"/>
  <c r="K6" i="17"/>
  <c r="K5" i="17"/>
  <c r="K4" i="17"/>
  <c r="K3" i="17"/>
  <c r="K2" i="17"/>
  <c r="C4" i="16"/>
  <c r="C3" i="16"/>
  <c r="C2" i="16"/>
  <c r="C346" i="15"/>
  <c r="D346" i="15" s="1"/>
  <c r="C345" i="15"/>
  <c r="D345" i="15" s="1"/>
  <c r="C344" i="15"/>
  <c r="D344" i="15" s="1"/>
  <c r="C343" i="15"/>
  <c r="D343" i="15" s="1"/>
  <c r="C342" i="15"/>
  <c r="D342" i="15" s="1"/>
  <c r="C341" i="15"/>
  <c r="D341" i="15" s="1"/>
  <c r="C340" i="15"/>
  <c r="D340" i="15" s="1"/>
  <c r="C339" i="15"/>
  <c r="D339" i="15" s="1"/>
  <c r="C338" i="15"/>
  <c r="D338" i="15" s="1"/>
  <c r="C337" i="15"/>
  <c r="D337" i="15" s="1"/>
  <c r="C336" i="15"/>
  <c r="D336" i="15" s="1"/>
  <c r="C335" i="15"/>
  <c r="D335" i="15" s="1"/>
  <c r="C334" i="15"/>
  <c r="D334" i="15" s="1"/>
  <c r="C333" i="15"/>
  <c r="D333" i="15" s="1"/>
  <c r="C332" i="15"/>
  <c r="D332" i="15" s="1"/>
  <c r="C331" i="15"/>
  <c r="D331" i="15" s="1"/>
  <c r="C330" i="15"/>
  <c r="D330" i="15" s="1"/>
  <c r="C329" i="15"/>
  <c r="D329" i="15" s="1"/>
  <c r="C328" i="15"/>
  <c r="D328" i="15" s="1"/>
  <c r="C327" i="15"/>
  <c r="D327" i="15" s="1"/>
  <c r="C326" i="15"/>
  <c r="D326" i="15" s="1"/>
  <c r="C325" i="15"/>
  <c r="D325" i="15" s="1"/>
  <c r="C324" i="15"/>
  <c r="D324" i="15" s="1"/>
  <c r="C323" i="15"/>
  <c r="D323" i="15" s="1"/>
  <c r="C322" i="15"/>
  <c r="D322" i="15" s="1"/>
  <c r="C321" i="15"/>
  <c r="D321" i="15" s="1"/>
  <c r="C320" i="15"/>
  <c r="D320" i="15" s="1"/>
  <c r="C319" i="15"/>
  <c r="D319" i="15" s="1"/>
  <c r="C318" i="15"/>
  <c r="D318" i="15" s="1"/>
  <c r="C317" i="15"/>
  <c r="D317" i="15" s="1"/>
  <c r="C316" i="15"/>
  <c r="D316" i="15" s="1"/>
  <c r="C315" i="15"/>
  <c r="D315" i="15" s="1"/>
  <c r="C314" i="15"/>
  <c r="D314" i="15" s="1"/>
  <c r="C313" i="15"/>
  <c r="D313" i="15" s="1"/>
  <c r="C312" i="15"/>
  <c r="D312" i="15" s="1"/>
  <c r="C311" i="15"/>
  <c r="D311" i="15" s="1"/>
  <c r="C310" i="15"/>
  <c r="D310" i="15" s="1"/>
  <c r="C309" i="15"/>
  <c r="D309" i="15" s="1"/>
  <c r="C308" i="15"/>
  <c r="D308" i="15" s="1"/>
  <c r="C307" i="15"/>
  <c r="D307" i="15" s="1"/>
  <c r="C306" i="15"/>
  <c r="D306" i="15" s="1"/>
  <c r="C305" i="15"/>
  <c r="D305" i="15" s="1"/>
  <c r="C304" i="15"/>
  <c r="D304" i="15" s="1"/>
  <c r="C303" i="15"/>
  <c r="D303" i="15" s="1"/>
  <c r="C302" i="15"/>
  <c r="D302" i="15" s="1"/>
  <c r="C301" i="15"/>
  <c r="D301" i="15" s="1"/>
  <c r="C300" i="15"/>
  <c r="D300" i="15" s="1"/>
  <c r="C299" i="15"/>
  <c r="D299" i="15" s="1"/>
  <c r="C298" i="15"/>
  <c r="D298" i="15" s="1"/>
  <c r="C297" i="15"/>
  <c r="D297" i="15" s="1"/>
  <c r="C296" i="15"/>
  <c r="D296" i="15" s="1"/>
  <c r="C295" i="15"/>
  <c r="D295" i="15" s="1"/>
  <c r="C294" i="15"/>
  <c r="D294" i="15" s="1"/>
  <c r="C293" i="15"/>
  <c r="D293" i="15" s="1"/>
  <c r="C292" i="15"/>
  <c r="D292" i="15" s="1"/>
  <c r="C291" i="15"/>
  <c r="D291" i="15" s="1"/>
  <c r="C290" i="15"/>
  <c r="D290" i="15" s="1"/>
  <c r="C289" i="15"/>
  <c r="D289" i="15" s="1"/>
  <c r="C288" i="15"/>
  <c r="D288" i="15" s="1"/>
  <c r="C287" i="15"/>
  <c r="D287" i="15" s="1"/>
  <c r="C286" i="15"/>
  <c r="D286" i="15" s="1"/>
  <c r="C285" i="15"/>
  <c r="D285" i="15" s="1"/>
  <c r="C284" i="15"/>
  <c r="D284" i="15" s="1"/>
  <c r="C283" i="15"/>
  <c r="D283" i="15" s="1"/>
  <c r="C282" i="15"/>
  <c r="D282" i="15" s="1"/>
  <c r="C281" i="15"/>
  <c r="D281" i="15" s="1"/>
  <c r="C280" i="15"/>
  <c r="D280" i="15" s="1"/>
  <c r="C279" i="15"/>
  <c r="D279" i="15" s="1"/>
  <c r="C278" i="15"/>
  <c r="D278" i="15" s="1"/>
  <c r="C277" i="15"/>
  <c r="D277" i="15" s="1"/>
  <c r="C276" i="15"/>
  <c r="D276" i="15" s="1"/>
  <c r="C275" i="15"/>
  <c r="D275" i="15" s="1"/>
  <c r="C274" i="15"/>
  <c r="D274" i="15" s="1"/>
  <c r="C273" i="15"/>
  <c r="D273" i="15" s="1"/>
  <c r="C272" i="15"/>
  <c r="D272" i="15" s="1"/>
  <c r="C271" i="15"/>
  <c r="D271" i="15" s="1"/>
  <c r="C270" i="15"/>
  <c r="D270" i="15" s="1"/>
  <c r="C269" i="15"/>
  <c r="D269" i="15" s="1"/>
  <c r="C268" i="15"/>
  <c r="D268" i="15" s="1"/>
  <c r="C267" i="15"/>
  <c r="D267" i="15" s="1"/>
  <c r="C266" i="15"/>
  <c r="D266" i="15" s="1"/>
  <c r="C265" i="15"/>
  <c r="D265" i="15" s="1"/>
  <c r="C264" i="15"/>
  <c r="D264" i="15" s="1"/>
  <c r="C263" i="15"/>
  <c r="D263" i="15" s="1"/>
  <c r="C262" i="15"/>
  <c r="D262" i="15" s="1"/>
  <c r="C261" i="15"/>
  <c r="D261" i="15" s="1"/>
  <c r="C260" i="15"/>
  <c r="D260" i="15" s="1"/>
  <c r="C259" i="15"/>
  <c r="D259" i="15" s="1"/>
  <c r="C258" i="15"/>
  <c r="D258" i="15" s="1"/>
  <c r="C257" i="15"/>
  <c r="D257" i="15" s="1"/>
  <c r="C256" i="15"/>
  <c r="D256" i="15" s="1"/>
  <c r="C255" i="15"/>
  <c r="D255" i="15" s="1"/>
  <c r="C254" i="15"/>
  <c r="D254" i="15" s="1"/>
  <c r="C253" i="15"/>
  <c r="D253" i="15" s="1"/>
  <c r="C252" i="15"/>
  <c r="D252" i="15" s="1"/>
  <c r="C251" i="15"/>
  <c r="D251" i="15" s="1"/>
  <c r="C250" i="15"/>
  <c r="D250" i="15" s="1"/>
  <c r="C249" i="15"/>
  <c r="D249" i="15" s="1"/>
  <c r="C248" i="15"/>
  <c r="D248" i="15" s="1"/>
  <c r="C247" i="15"/>
  <c r="D247" i="15" s="1"/>
  <c r="C246" i="15"/>
  <c r="D246" i="15" s="1"/>
  <c r="C245" i="15"/>
  <c r="D245" i="15" s="1"/>
  <c r="C244" i="15"/>
  <c r="D244" i="15" s="1"/>
  <c r="C243" i="15"/>
  <c r="D243" i="15" s="1"/>
  <c r="C242" i="15"/>
  <c r="D242" i="15" s="1"/>
  <c r="C241" i="15"/>
  <c r="D241" i="15" s="1"/>
  <c r="C240" i="15"/>
  <c r="D240" i="15" s="1"/>
  <c r="C239" i="15"/>
  <c r="D239" i="15" s="1"/>
  <c r="C238" i="15"/>
  <c r="D238" i="15" s="1"/>
  <c r="C237" i="15"/>
  <c r="D237" i="15" s="1"/>
  <c r="C236" i="15"/>
  <c r="D236" i="15" s="1"/>
  <c r="C235" i="15"/>
  <c r="D235" i="15" s="1"/>
  <c r="C234" i="15"/>
  <c r="D234" i="15" s="1"/>
  <c r="C233" i="15"/>
  <c r="D233" i="15" s="1"/>
  <c r="C232" i="15"/>
  <c r="D232" i="15" s="1"/>
  <c r="C231" i="15"/>
  <c r="D231" i="15" s="1"/>
  <c r="C230" i="15"/>
  <c r="D230" i="15" s="1"/>
  <c r="C229" i="15"/>
  <c r="D229" i="15" s="1"/>
  <c r="C228" i="15"/>
  <c r="D228" i="15" s="1"/>
  <c r="C227" i="15"/>
  <c r="D227" i="15" s="1"/>
  <c r="C226" i="15"/>
  <c r="D226" i="15" s="1"/>
  <c r="C225" i="15"/>
  <c r="D225" i="15" s="1"/>
  <c r="C224" i="15"/>
  <c r="D224" i="15" s="1"/>
  <c r="C223" i="15"/>
  <c r="D223" i="15" s="1"/>
  <c r="C222" i="15"/>
  <c r="D222" i="15" s="1"/>
  <c r="C221" i="15"/>
  <c r="D221" i="15" s="1"/>
  <c r="C220" i="15"/>
  <c r="D220" i="15" s="1"/>
  <c r="C219" i="15"/>
  <c r="D219" i="15" s="1"/>
  <c r="C218" i="15"/>
  <c r="D218" i="15" s="1"/>
  <c r="C217" i="15"/>
  <c r="D217" i="15" s="1"/>
  <c r="C216" i="15"/>
  <c r="D216" i="15" s="1"/>
  <c r="C215" i="15"/>
  <c r="D215" i="15" s="1"/>
  <c r="C214" i="15"/>
  <c r="D214" i="15" s="1"/>
  <c r="C213" i="15"/>
  <c r="D213" i="15" s="1"/>
  <c r="C212" i="15"/>
  <c r="D212" i="15" s="1"/>
  <c r="C211" i="15"/>
  <c r="D211" i="15" s="1"/>
  <c r="C210" i="15"/>
  <c r="D210" i="15" s="1"/>
  <c r="C209" i="15"/>
  <c r="D209" i="15" s="1"/>
  <c r="C208" i="15"/>
  <c r="D208" i="15" s="1"/>
  <c r="C207" i="15"/>
  <c r="D207" i="15" s="1"/>
  <c r="C206" i="15"/>
  <c r="D206" i="15" s="1"/>
  <c r="C205" i="15"/>
  <c r="D205" i="15" s="1"/>
  <c r="C204" i="15"/>
  <c r="D204" i="15" s="1"/>
  <c r="C203" i="15"/>
  <c r="D203" i="15" s="1"/>
  <c r="C202" i="15"/>
  <c r="D202" i="15" s="1"/>
  <c r="C201" i="15"/>
  <c r="D201" i="15" s="1"/>
  <c r="C200" i="15"/>
  <c r="D200" i="15" s="1"/>
  <c r="C199" i="15"/>
  <c r="D199" i="15" s="1"/>
  <c r="C198" i="15"/>
  <c r="D198" i="15" s="1"/>
  <c r="C197" i="15"/>
  <c r="D197" i="15" s="1"/>
  <c r="C196" i="15"/>
  <c r="D196" i="15" s="1"/>
  <c r="C195" i="15"/>
  <c r="D195" i="15" s="1"/>
  <c r="C194" i="15"/>
  <c r="D194" i="15" s="1"/>
  <c r="C193" i="15"/>
  <c r="D193" i="15" s="1"/>
  <c r="C192" i="15"/>
  <c r="D192" i="15" s="1"/>
  <c r="C191" i="15"/>
  <c r="D191" i="15" s="1"/>
  <c r="C190" i="15"/>
  <c r="D190" i="15" s="1"/>
  <c r="C189" i="15"/>
  <c r="D189" i="15" s="1"/>
  <c r="C188" i="15"/>
  <c r="D188" i="15" s="1"/>
  <c r="C187" i="15"/>
  <c r="D187" i="15" s="1"/>
  <c r="C186" i="15"/>
  <c r="D186" i="15" s="1"/>
  <c r="C185" i="15"/>
  <c r="D185" i="15" s="1"/>
  <c r="C184" i="15"/>
  <c r="D184" i="15" s="1"/>
  <c r="C183" i="15"/>
  <c r="D183" i="15" s="1"/>
  <c r="C182" i="15"/>
  <c r="D182" i="15" s="1"/>
  <c r="C181" i="15"/>
  <c r="D181" i="15" s="1"/>
  <c r="C180" i="15"/>
  <c r="D180" i="15" s="1"/>
  <c r="C179" i="15"/>
  <c r="D179" i="15" s="1"/>
  <c r="C178" i="15"/>
  <c r="D178" i="15" s="1"/>
  <c r="C177" i="15"/>
  <c r="D177" i="15" s="1"/>
  <c r="C176" i="15"/>
  <c r="D176" i="15" s="1"/>
  <c r="C175" i="15"/>
  <c r="D175" i="15" s="1"/>
  <c r="C174" i="15"/>
  <c r="D174" i="15" s="1"/>
  <c r="C173" i="15"/>
  <c r="D173" i="15" s="1"/>
  <c r="C172" i="15"/>
  <c r="D172" i="15" s="1"/>
  <c r="C171" i="15"/>
  <c r="D171" i="15" s="1"/>
  <c r="C170" i="15"/>
  <c r="D170" i="15" s="1"/>
  <c r="C169" i="15"/>
  <c r="D169" i="15" s="1"/>
  <c r="C168" i="15"/>
  <c r="D168" i="15" s="1"/>
  <c r="C167" i="15"/>
  <c r="D167" i="15" s="1"/>
  <c r="C166" i="15"/>
  <c r="D166" i="15" s="1"/>
  <c r="C165" i="15"/>
  <c r="D165" i="15" s="1"/>
  <c r="C164" i="15"/>
  <c r="D164" i="15" s="1"/>
  <c r="C163" i="15"/>
  <c r="D163" i="15" s="1"/>
  <c r="C162" i="15"/>
  <c r="D162" i="15" s="1"/>
  <c r="C161" i="15"/>
  <c r="D161" i="15" s="1"/>
  <c r="C160" i="15"/>
  <c r="D160" i="15" s="1"/>
  <c r="C159" i="15"/>
  <c r="D159" i="15" s="1"/>
  <c r="C158" i="15"/>
  <c r="D158" i="15" s="1"/>
  <c r="C157" i="15"/>
  <c r="D157" i="15" s="1"/>
  <c r="C156" i="15"/>
  <c r="D156" i="15" s="1"/>
  <c r="C155" i="15"/>
  <c r="D155" i="15" s="1"/>
  <c r="C154" i="15"/>
  <c r="D154" i="15" s="1"/>
  <c r="C153" i="15"/>
  <c r="D153" i="15" s="1"/>
  <c r="C152" i="15"/>
  <c r="D152" i="15" s="1"/>
  <c r="C151" i="15"/>
  <c r="D151" i="15" s="1"/>
  <c r="C150" i="15"/>
  <c r="D150" i="15" s="1"/>
  <c r="C149" i="15"/>
  <c r="D149" i="15" s="1"/>
  <c r="C148" i="15"/>
  <c r="D148" i="15" s="1"/>
  <c r="C147" i="15"/>
  <c r="D147" i="15" s="1"/>
  <c r="C146" i="15"/>
  <c r="D146" i="15" s="1"/>
  <c r="C145" i="15"/>
  <c r="D145" i="15" s="1"/>
  <c r="C144" i="15"/>
  <c r="D144" i="15" s="1"/>
  <c r="C143" i="15"/>
  <c r="D143" i="15" s="1"/>
  <c r="C142" i="15"/>
  <c r="D142" i="15" s="1"/>
  <c r="C141" i="15"/>
  <c r="D141" i="15" s="1"/>
  <c r="C140" i="15"/>
  <c r="D140" i="15" s="1"/>
  <c r="C139" i="15"/>
  <c r="D139" i="15" s="1"/>
  <c r="C138" i="15"/>
  <c r="D138" i="15" s="1"/>
  <c r="C137" i="15"/>
  <c r="D137" i="15" s="1"/>
  <c r="C136" i="15"/>
  <c r="D136" i="15" s="1"/>
  <c r="C135" i="15"/>
  <c r="D135" i="15" s="1"/>
  <c r="C134" i="15"/>
  <c r="D134" i="15" s="1"/>
  <c r="C133" i="15"/>
  <c r="D133" i="15" s="1"/>
  <c r="C132" i="15"/>
  <c r="D132" i="15" s="1"/>
  <c r="C131" i="15"/>
  <c r="D131" i="15" s="1"/>
  <c r="C130" i="15"/>
  <c r="D130" i="15" s="1"/>
  <c r="C129" i="15"/>
  <c r="D129" i="15" s="1"/>
  <c r="C128" i="15"/>
  <c r="D128" i="15" s="1"/>
  <c r="C127" i="15"/>
  <c r="D127" i="15" s="1"/>
  <c r="C126" i="15"/>
  <c r="D126" i="15" s="1"/>
  <c r="C125" i="15"/>
  <c r="D125" i="15" s="1"/>
  <c r="C124" i="15"/>
  <c r="D124" i="15" s="1"/>
  <c r="C123" i="15"/>
  <c r="D123" i="15" s="1"/>
  <c r="C122" i="15"/>
  <c r="D122" i="15" s="1"/>
  <c r="C121" i="15"/>
  <c r="D121" i="15" s="1"/>
  <c r="C120" i="15"/>
  <c r="D120" i="15" s="1"/>
  <c r="C119" i="15"/>
  <c r="D119" i="15" s="1"/>
  <c r="C118" i="15"/>
  <c r="D118" i="15" s="1"/>
  <c r="C117" i="15"/>
  <c r="D117" i="15" s="1"/>
  <c r="C116" i="15"/>
  <c r="D116" i="15" s="1"/>
  <c r="C115" i="15"/>
  <c r="D115" i="15" s="1"/>
  <c r="C114" i="15"/>
  <c r="D114" i="15" s="1"/>
  <c r="C113" i="15"/>
  <c r="D113" i="15" s="1"/>
  <c r="C112" i="15"/>
  <c r="D112" i="15" s="1"/>
  <c r="C111" i="15"/>
  <c r="D111" i="15" s="1"/>
  <c r="C110" i="15"/>
  <c r="D110" i="15" s="1"/>
  <c r="C109" i="15"/>
  <c r="D109" i="15" s="1"/>
  <c r="C108" i="15"/>
  <c r="D108" i="15" s="1"/>
  <c r="C107" i="15"/>
  <c r="D107" i="15" s="1"/>
  <c r="C106" i="15"/>
  <c r="D106" i="15" s="1"/>
  <c r="C105" i="15"/>
  <c r="D105" i="15" s="1"/>
  <c r="C104" i="15"/>
  <c r="D104" i="15" s="1"/>
  <c r="C103" i="15"/>
  <c r="D103" i="15" s="1"/>
  <c r="C102" i="15"/>
  <c r="D102" i="15" s="1"/>
  <c r="C101" i="15"/>
  <c r="D101" i="15" s="1"/>
  <c r="C100" i="15"/>
  <c r="D100" i="15" s="1"/>
  <c r="C99" i="15"/>
  <c r="D99" i="15" s="1"/>
  <c r="C98" i="15"/>
  <c r="D98" i="15" s="1"/>
  <c r="C97" i="15"/>
  <c r="D97" i="15" s="1"/>
  <c r="C96" i="15"/>
  <c r="D96" i="15" s="1"/>
  <c r="C95" i="15"/>
  <c r="D95" i="15" s="1"/>
  <c r="C94" i="15"/>
  <c r="D94" i="15" s="1"/>
  <c r="C93" i="15"/>
  <c r="D93" i="15" s="1"/>
  <c r="C92" i="15"/>
  <c r="D92" i="15" s="1"/>
  <c r="C91" i="15"/>
  <c r="D91" i="15" s="1"/>
  <c r="C90" i="15"/>
  <c r="D90" i="15" s="1"/>
  <c r="C89" i="15"/>
  <c r="D89" i="15" s="1"/>
  <c r="C88" i="15"/>
  <c r="D88" i="15" s="1"/>
  <c r="C87" i="15"/>
  <c r="D87" i="15" s="1"/>
  <c r="C86" i="15"/>
  <c r="D86" i="15" s="1"/>
  <c r="C85" i="15"/>
  <c r="D85" i="15" s="1"/>
  <c r="C84" i="15"/>
  <c r="D84" i="15" s="1"/>
  <c r="C83" i="15"/>
  <c r="D83" i="15" s="1"/>
  <c r="C82" i="15"/>
  <c r="D82" i="15" s="1"/>
  <c r="C81" i="15"/>
  <c r="D81" i="15" s="1"/>
  <c r="C80" i="15"/>
  <c r="D80" i="15" s="1"/>
  <c r="C79" i="15"/>
  <c r="D79" i="15" s="1"/>
  <c r="C78" i="15"/>
  <c r="D78" i="15" s="1"/>
  <c r="C77" i="15"/>
  <c r="D77" i="15" s="1"/>
  <c r="C76" i="15"/>
  <c r="D76" i="15" s="1"/>
  <c r="C75" i="15"/>
  <c r="D75" i="15" s="1"/>
  <c r="C74" i="15"/>
  <c r="D74" i="15" s="1"/>
  <c r="C73" i="15"/>
  <c r="D73" i="15" s="1"/>
  <c r="C72" i="15"/>
  <c r="D72" i="15" s="1"/>
  <c r="C71" i="15"/>
  <c r="D71" i="15" s="1"/>
  <c r="C70" i="15"/>
  <c r="D70" i="15" s="1"/>
  <c r="C69" i="15"/>
  <c r="D69" i="15" s="1"/>
  <c r="C68" i="15"/>
  <c r="D68" i="15" s="1"/>
  <c r="C67" i="15"/>
  <c r="D67" i="15" s="1"/>
  <c r="C66" i="15"/>
  <c r="D66" i="15" s="1"/>
  <c r="C65" i="15"/>
  <c r="D65" i="15" s="1"/>
  <c r="C64" i="15"/>
  <c r="D64" i="15" s="1"/>
  <c r="C63" i="15"/>
  <c r="D63" i="15" s="1"/>
  <c r="C62" i="15"/>
  <c r="D62" i="15" s="1"/>
  <c r="C61" i="15"/>
  <c r="D61" i="15" s="1"/>
  <c r="C60" i="15"/>
  <c r="D60" i="15" s="1"/>
  <c r="C59" i="15"/>
  <c r="D59" i="15" s="1"/>
  <c r="C58" i="15"/>
  <c r="D58" i="15" s="1"/>
  <c r="C57" i="15"/>
  <c r="D57" i="15" s="1"/>
  <c r="C56" i="15"/>
  <c r="D56" i="15" s="1"/>
  <c r="C55" i="15"/>
  <c r="D55" i="15" s="1"/>
  <c r="C54" i="15"/>
  <c r="D54" i="15" s="1"/>
  <c r="C53" i="15"/>
  <c r="D53" i="15" s="1"/>
  <c r="C52" i="15"/>
  <c r="D52" i="15" s="1"/>
  <c r="C51" i="15"/>
  <c r="D51" i="15" s="1"/>
  <c r="C50" i="15"/>
  <c r="D50" i="15" s="1"/>
  <c r="C49" i="15"/>
  <c r="D49" i="15" s="1"/>
  <c r="C48" i="15"/>
  <c r="D48" i="15" s="1"/>
  <c r="C47" i="15"/>
  <c r="D47" i="15" s="1"/>
  <c r="C46" i="15"/>
  <c r="D46" i="15" s="1"/>
  <c r="C45" i="15"/>
  <c r="D45" i="15" s="1"/>
  <c r="C44" i="15"/>
  <c r="D44" i="15" s="1"/>
  <c r="C43" i="15"/>
  <c r="D43" i="15" s="1"/>
  <c r="C42" i="15"/>
  <c r="D42" i="15" s="1"/>
  <c r="C41" i="15"/>
  <c r="D41" i="15" s="1"/>
  <c r="C40" i="15"/>
  <c r="D40" i="15" s="1"/>
  <c r="C39" i="15"/>
  <c r="D39" i="15" s="1"/>
  <c r="C38" i="15"/>
  <c r="D38" i="15" s="1"/>
  <c r="C37" i="15"/>
  <c r="D37" i="15" s="1"/>
  <c r="C36" i="15"/>
  <c r="D36" i="15" s="1"/>
  <c r="C35" i="15"/>
  <c r="D35" i="15" s="1"/>
  <c r="C34" i="15"/>
  <c r="D34" i="15" s="1"/>
  <c r="C33" i="15"/>
  <c r="D33" i="15" s="1"/>
  <c r="C32" i="15"/>
  <c r="D32" i="15" s="1"/>
  <c r="C31" i="15"/>
  <c r="D31" i="15" s="1"/>
  <c r="C30" i="15"/>
  <c r="D30" i="15" s="1"/>
  <c r="C29" i="15"/>
  <c r="D29" i="15" s="1"/>
  <c r="C28" i="15"/>
  <c r="D28" i="15" s="1"/>
  <c r="C27" i="15"/>
  <c r="D27" i="15" s="1"/>
  <c r="C26" i="15"/>
  <c r="D26" i="15" s="1"/>
  <c r="C25" i="15"/>
  <c r="D25" i="15" s="1"/>
  <c r="C24" i="15"/>
  <c r="D24" i="15" s="1"/>
  <c r="C23" i="15"/>
  <c r="D23" i="15" s="1"/>
  <c r="C22" i="15"/>
  <c r="D22" i="15" s="1"/>
  <c r="C21" i="15"/>
  <c r="D21" i="15" s="1"/>
  <c r="C20" i="15"/>
  <c r="D20" i="15" s="1"/>
  <c r="C19" i="15"/>
  <c r="D19" i="15" s="1"/>
  <c r="C18" i="15"/>
  <c r="D18" i="15" s="1"/>
  <c r="C17" i="15"/>
  <c r="D17" i="15" s="1"/>
  <c r="C16" i="15"/>
  <c r="D16" i="15" s="1"/>
  <c r="C15" i="15"/>
  <c r="D15" i="15" s="1"/>
  <c r="C14" i="15"/>
  <c r="D14" i="15" s="1"/>
  <c r="C13" i="15"/>
  <c r="D13" i="15" s="1"/>
  <c r="C12" i="15"/>
  <c r="D12" i="15" s="1"/>
  <c r="C11" i="15"/>
  <c r="D11" i="15" s="1"/>
  <c r="C10" i="15"/>
  <c r="D10" i="15" s="1"/>
  <c r="C9" i="15"/>
  <c r="D9" i="15" s="1"/>
  <c r="C8" i="15"/>
  <c r="D8" i="15" s="1"/>
  <c r="C7" i="15"/>
  <c r="D7" i="15" s="1"/>
  <c r="C6" i="15"/>
  <c r="D6" i="15" s="1"/>
  <c r="C5" i="15"/>
  <c r="D5" i="15" s="1"/>
  <c r="C4" i="15"/>
  <c r="D4" i="15" s="1"/>
  <c r="C3" i="15"/>
  <c r="D3" i="15" s="1"/>
  <c r="C2" i="15"/>
  <c r="D2" i="15" s="1"/>
  <c r="B6" i="19" l="1"/>
  <c r="D6" i="19" s="1"/>
  <c r="B7" i="19"/>
  <c r="B8" i="19" s="1"/>
  <c r="D7" i="19"/>
  <c r="E4" i="20"/>
  <c r="D6" i="20"/>
  <c r="E5" i="20"/>
  <c r="C3" i="14"/>
  <c r="C4" i="14"/>
  <c r="C5" i="14"/>
  <c r="C6" i="14"/>
  <c r="C7" i="14"/>
  <c r="C8" i="14"/>
  <c r="C9" i="14"/>
  <c r="C10" i="14"/>
  <c r="C11" i="14"/>
  <c r="C12" i="14"/>
  <c r="C13" i="14"/>
  <c r="C14" i="14"/>
  <c r="C15" i="14"/>
  <c r="C16" i="14"/>
  <c r="C17" i="14"/>
  <c r="C2" i="14"/>
  <c r="B9" i="19" l="1"/>
  <c r="D8" i="19"/>
  <c r="D7" i="20"/>
  <c r="E6" i="20"/>
  <c r="M8" i="12"/>
  <c r="M9" i="12" s="1"/>
  <c r="M10" i="12" s="1"/>
  <c r="M11" i="12" s="1"/>
  <c r="M12" i="12" s="1"/>
  <c r="M14" i="12" s="1"/>
  <c r="M5" i="12"/>
  <c r="M6" i="12" s="1"/>
  <c r="M7" i="12" s="1"/>
  <c r="M3" i="12"/>
  <c r="M4" i="12" s="1"/>
  <c r="X388" i="8"/>
  <c r="V388" i="8"/>
  <c r="W388" i="8" s="1"/>
  <c r="T388" i="8"/>
  <c r="P388" i="8"/>
  <c r="H388" i="8"/>
  <c r="F388" i="8"/>
  <c r="B388" i="8"/>
  <c r="Z388" i="8" s="1"/>
  <c r="X387" i="8"/>
  <c r="T387" i="8"/>
  <c r="V387" i="8" s="1"/>
  <c r="W387" i="8" s="1"/>
  <c r="P387" i="8"/>
  <c r="H387" i="8"/>
  <c r="F387" i="8"/>
  <c r="B387" i="8"/>
  <c r="Z387" i="8" s="1"/>
  <c r="P386" i="8"/>
  <c r="F386" i="8"/>
  <c r="H386" i="8" s="1"/>
  <c r="D386" i="8"/>
  <c r="B386" i="8"/>
  <c r="Z386" i="8" s="1"/>
  <c r="X385" i="8"/>
  <c r="V385" i="8"/>
  <c r="W385" i="8" s="1"/>
  <c r="P385" i="8"/>
  <c r="I385" i="8"/>
  <c r="H385" i="8"/>
  <c r="Q385" i="8" s="1"/>
  <c r="B385" i="8"/>
  <c r="Z385" i="8" s="1"/>
  <c r="Z384" i="8"/>
  <c r="X384" i="8"/>
  <c r="W384" i="8"/>
  <c r="V384" i="8"/>
  <c r="P384" i="8"/>
  <c r="F384" i="8"/>
  <c r="H384" i="8" s="1"/>
  <c r="B384" i="8"/>
  <c r="Z383" i="8"/>
  <c r="X383" i="8"/>
  <c r="T383" i="8"/>
  <c r="V383" i="8" s="1"/>
  <c r="W383" i="8" s="1"/>
  <c r="P383" i="8"/>
  <c r="F383" i="8"/>
  <c r="H383" i="8" s="1"/>
  <c r="B383" i="8"/>
  <c r="X382" i="8"/>
  <c r="W382" i="8"/>
  <c r="V382" i="8"/>
  <c r="P382" i="8"/>
  <c r="I382" i="8"/>
  <c r="F382" i="8"/>
  <c r="H382" i="8" s="1"/>
  <c r="Q382" i="8" s="1"/>
  <c r="B382" i="8"/>
  <c r="Z382" i="8" s="1"/>
  <c r="X381" i="8"/>
  <c r="V381" i="8"/>
  <c r="W381" i="8" s="1"/>
  <c r="P381" i="8"/>
  <c r="H381" i="8"/>
  <c r="Q381" i="8" s="1"/>
  <c r="F381" i="8"/>
  <c r="B381" i="8"/>
  <c r="Z381" i="8" s="1"/>
  <c r="X380" i="8"/>
  <c r="V380" i="8"/>
  <c r="W380" i="8" s="1"/>
  <c r="T380" i="8"/>
  <c r="P380" i="8"/>
  <c r="H380" i="8"/>
  <c r="K380" i="8" s="1"/>
  <c r="B380" i="8"/>
  <c r="Z380" i="8" s="1"/>
  <c r="X379" i="8"/>
  <c r="T379" i="8"/>
  <c r="V379" i="8" s="1"/>
  <c r="W379" i="8" s="1"/>
  <c r="Q379" i="8"/>
  <c r="P379" i="8"/>
  <c r="H379" i="8"/>
  <c r="B379" i="8"/>
  <c r="Z379" i="8" s="1"/>
  <c r="X378" i="8"/>
  <c r="T378" i="8"/>
  <c r="V378" i="8" s="1"/>
  <c r="W378" i="8" s="1"/>
  <c r="S378" i="8"/>
  <c r="P378" i="8"/>
  <c r="H378" i="8"/>
  <c r="I378" i="8" s="1"/>
  <c r="B378" i="8"/>
  <c r="Z378" i="8" s="1"/>
  <c r="X377" i="8"/>
  <c r="S377" i="8"/>
  <c r="T377" i="8" s="1"/>
  <c r="V377" i="8" s="1"/>
  <c r="W377" i="8" s="1"/>
  <c r="P377" i="8"/>
  <c r="Q377" i="8" s="1"/>
  <c r="H377" i="8"/>
  <c r="K377" i="8" s="1"/>
  <c r="B377" i="8"/>
  <c r="Z377" i="8" s="1"/>
  <c r="X376" i="8"/>
  <c r="S376" i="8"/>
  <c r="P376" i="8"/>
  <c r="D376" i="8"/>
  <c r="B376" i="8"/>
  <c r="Z376" i="8" s="1"/>
  <c r="X375" i="8"/>
  <c r="S375" i="8"/>
  <c r="V375" i="8" s="1"/>
  <c r="W375" i="8" s="1"/>
  <c r="P375" i="8"/>
  <c r="B375" i="8"/>
  <c r="Z375" i="8" s="1"/>
  <c r="X374" i="8"/>
  <c r="V374" i="8"/>
  <c r="W374" i="8" s="1"/>
  <c r="S374" i="8"/>
  <c r="P374" i="8"/>
  <c r="F374" i="8"/>
  <c r="H374" i="8" s="1"/>
  <c r="B374" i="8"/>
  <c r="Z374" i="8" s="1"/>
  <c r="X373" i="8"/>
  <c r="V373" i="8"/>
  <c r="W373" i="8" s="1"/>
  <c r="P373" i="8"/>
  <c r="F373" i="8"/>
  <c r="H373" i="8" s="1"/>
  <c r="B373" i="8"/>
  <c r="Z373" i="8" s="1"/>
  <c r="X372" i="8"/>
  <c r="S372" i="8"/>
  <c r="V372" i="8" s="1"/>
  <c r="W372" i="8" s="1"/>
  <c r="P372" i="8"/>
  <c r="L372" i="8"/>
  <c r="I372" i="8"/>
  <c r="H372" i="8"/>
  <c r="K372" i="8" s="1"/>
  <c r="B372" i="8"/>
  <c r="Z372" i="8" s="1"/>
  <c r="X371" i="8"/>
  <c r="V371" i="8"/>
  <c r="W371" i="8" s="1"/>
  <c r="S371" i="8"/>
  <c r="P371" i="8"/>
  <c r="F371" i="8"/>
  <c r="H371" i="8" s="1"/>
  <c r="Q371" i="8" s="1"/>
  <c r="B371" i="8"/>
  <c r="Z371" i="8" s="1"/>
  <c r="Z370" i="8"/>
  <c r="X370" i="8"/>
  <c r="V370" i="8"/>
  <c r="W370" i="8" s="1"/>
  <c r="S370" i="8"/>
  <c r="P370" i="8"/>
  <c r="F370" i="8"/>
  <c r="H370" i="8" s="1"/>
  <c r="B370" i="8"/>
  <c r="X369" i="8"/>
  <c r="V369" i="8"/>
  <c r="W369" i="8" s="1"/>
  <c r="S369" i="8"/>
  <c r="Q369" i="8"/>
  <c r="P369" i="8"/>
  <c r="H369" i="8"/>
  <c r="I369" i="8" s="1"/>
  <c r="B369" i="8"/>
  <c r="Z369" i="8" s="1"/>
  <c r="Z368" i="8"/>
  <c r="X368" i="8"/>
  <c r="V368" i="8"/>
  <c r="W368" i="8" s="1"/>
  <c r="P368" i="8"/>
  <c r="F368" i="8"/>
  <c r="H368" i="8" s="1"/>
  <c r="B368" i="8"/>
  <c r="X367" i="8"/>
  <c r="V367" i="8"/>
  <c r="W367" i="8" s="1"/>
  <c r="P367" i="8"/>
  <c r="F367" i="8"/>
  <c r="H367" i="8" s="1"/>
  <c r="K367" i="8" s="1"/>
  <c r="N367" i="8" s="1"/>
  <c r="B367" i="8"/>
  <c r="Z367" i="8" s="1"/>
  <c r="X366" i="8"/>
  <c r="W366" i="8"/>
  <c r="V366" i="8"/>
  <c r="S366" i="8"/>
  <c r="P366" i="8"/>
  <c r="I366" i="8"/>
  <c r="H366" i="8"/>
  <c r="K366" i="8" s="1"/>
  <c r="B366" i="8"/>
  <c r="Z366" i="8" s="1"/>
  <c r="X365" i="8"/>
  <c r="V365" i="8"/>
  <c r="W365" i="8" s="1"/>
  <c r="S365" i="8"/>
  <c r="F365" i="8" s="1"/>
  <c r="H365" i="8" s="1"/>
  <c r="P365" i="8"/>
  <c r="B365" i="8"/>
  <c r="Z365" i="8" s="1"/>
  <c r="X364" i="8"/>
  <c r="V364" i="8"/>
  <c r="W364" i="8" s="1"/>
  <c r="S364" i="8"/>
  <c r="P364" i="8"/>
  <c r="H364" i="8"/>
  <c r="B364" i="8"/>
  <c r="Z364" i="8" s="1"/>
  <c r="X363" i="8"/>
  <c r="V363" i="8"/>
  <c r="W363" i="8" s="1"/>
  <c r="S363" i="8"/>
  <c r="F363" i="8" s="1"/>
  <c r="P363" i="8"/>
  <c r="H363" i="8"/>
  <c r="Q363" i="8" s="1"/>
  <c r="D363" i="8"/>
  <c r="B363" i="8"/>
  <c r="Z363" i="8" s="1"/>
  <c r="X362" i="8"/>
  <c r="S362" i="8"/>
  <c r="V362" i="8" s="1"/>
  <c r="W362" i="8" s="1"/>
  <c r="P362" i="8"/>
  <c r="H362" i="8"/>
  <c r="B362" i="8"/>
  <c r="Z362" i="8" s="1"/>
  <c r="Z361" i="8"/>
  <c r="X361" i="8"/>
  <c r="T361" i="8"/>
  <c r="V361" i="8" s="1"/>
  <c r="W361" i="8" s="1"/>
  <c r="P361" i="8"/>
  <c r="H361" i="8"/>
  <c r="B361" i="8"/>
  <c r="X360" i="8"/>
  <c r="T360" i="8"/>
  <c r="V360" i="8" s="1"/>
  <c r="W360" i="8" s="1"/>
  <c r="P360" i="8"/>
  <c r="K360" i="8"/>
  <c r="I360" i="8"/>
  <c r="H360" i="8"/>
  <c r="B360" i="8"/>
  <c r="Z360" i="8" s="1"/>
  <c r="X359" i="8"/>
  <c r="T359" i="8"/>
  <c r="V359" i="8" s="1"/>
  <c r="W359" i="8" s="1"/>
  <c r="P359" i="8"/>
  <c r="H359" i="8"/>
  <c r="K359" i="8" s="1"/>
  <c r="B359" i="8"/>
  <c r="Z359" i="8" s="1"/>
  <c r="X358" i="8"/>
  <c r="T358" i="8"/>
  <c r="V358" i="8" s="1"/>
  <c r="W358" i="8" s="1"/>
  <c r="P358" i="8"/>
  <c r="K358" i="8"/>
  <c r="H358" i="8"/>
  <c r="I358" i="8" s="1"/>
  <c r="B358" i="8"/>
  <c r="Z358" i="8" s="1"/>
  <c r="Z357" i="8"/>
  <c r="X357" i="8"/>
  <c r="T357" i="8"/>
  <c r="V357" i="8" s="1"/>
  <c r="W357" i="8" s="1"/>
  <c r="S357" i="8"/>
  <c r="P357" i="8"/>
  <c r="H357" i="8"/>
  <c r="D357" i="8"/>
  <c r="B357" i="8"/>
  <c r="X356" i="8"/>
  <c r="U356" i="8"/>
  <c r="T356" i="8"/>
  <c r="V356" i="8" s="1"/>
  <c r="W356" i="8" s="1"/>
  <c r="P356" i="8"/>
  <c r="H356" i="8"/>
  <c r="D356" i="8"/>
  <c r="B356" i="8"/>
  <c r="Z356" i="8" s="1"/>
  <c r="X355" i="8"/>
  <c r="V355" i="8"/>
  <c r="W355" i="8" s="1"/>
  <c r="P355" i="8"/>
  <c r="H355" i="8"/>
  <c r="I355" i="8" s="1"/>
  <c r="B355" i="8"/>
  <c r="Z355" i="8" s="1"/>
  <c r="X354" i="8"/>
  <c r="U354" i="8"/>
  <c r="T354" i="8"/>
  <c r="Q354" i="8"/>
  <c r="P354" i="8"/>
  <c r="K354" i="8"/>
  <c r="N354" i="8" s="1"/>
  <c r="H354" i="8"/>
  <c r="I354" i="8" s="1"/>
  <c r="D354" i="8"/>
  <c r="B354" i="8"/>
  <c r="Z354" i="8" s="1"/>
  <c r="X353" i="8"/>
  <c r="U353" i="8"/>
  <c r="T353" i="8"/>
  <c r="V353" i="8" s="1"/>
  <c r="W353" i="8" s="1"/>
  <c r="P353" i="8"/>
  <c r="Q353" i="8" s="1"/>
  <c r="L353" i="8"/>
  <c r="H353" i="8"/>
  <c r="K353" i="8" s="1"/>
  <c r="D353" i="8"/>
  <c r="B353" i="8"/>
  <c r="Z353" i="8" s="1"/>
  <c r="X352" i="8"/>
  <c r="W352" i="8"/>
  <c r="U352" i="8"/>
  <c r="T352" i="8"/>
  <c r="V352" i="8" s="1"/>
  <c r="P352" i="8"/>
  <c r="H352" i="8"/>
  <c r="D352" i="8"/>
  <c r="B352" i="8"/>
  <c r="Z352" i="8" s="1"/>
  <c r="X351" i="8"/>
  <c r="U351" i="8"/>
  <c r="T351" i="8"/>
  <c r="V351" i="8" s="1"/>
  <c r="W351" i="8" s="1"/>
  <c r="P351" i="8"/>
  <c r="H351" i="8"/>
  <c r="I351" i="8" s="1"/>
  <c r="D351" i="8"/>
  <c r="B351" i="8"/>
  <c r="Z351" i="8" s="1"/>
  <c r="Z350" i="8"/>
  <c r="X350" i="8"/>
  <c r="V350" i="8"/>
  <c r="W350" i="8" s="1"/>
  <c r="U350" i="8"/>
  <c r="T350" i="8"/>
  <c r="P350" i="8"/>
  <c r="K350" i="8"/>
  <c r="H350" i="8"/>
  <c r="D350" i="8"/>
  <c r="B350" i="8"/>
  <c r="X349" i="8"/>
  <c r="U349" i="8"/>
  <c r="T349" i="8"/>
  <c r="P349" i="8"/>
  <c r="K349" i="8"/>
  <c r="H349" i="8"/>
  <c r="I349" i="8" s="1"/>
  <c r="D349" i="8"/>
  <c r="B349" i="8"/>
  <c r="Z349" i="8" s="1"/>
  <c r="X348" i="8"/>
  <c r="U348" i="8"/>
  <c r="T348" i="8"/>
  <c r="V348" i="8" s="1"/>
  <c r="W348" i="8" s="1"/>
  <c r="P348" i="8"/>
  <c r="H348" i="8"/>
  <c r="D348" i="8"/>
  <c r="B348" i="8"/>
  <c r="Z348" i="8" s="1"/>
  <c r="X347" i="8"/>
  <c r="U347" i="8"/>
  <c r="T347" i="8"/>
  <c r="V347" i="8" s="1"/>
  <c r="W347" i="8" s="1"/>
  <c r="P347" i="8"/>
  <c r="H347" i="8"/>
  <c r="D347" i="8"/>
  <c r="B347" i="8"/>
  <c r="Z347" i="8" s="1"/>
  <c r="X346" i="8"/>
  <c r="U346" i="8"/>
  <c r="T346" i="8"/>
  <c r="P346" i="8"/>
  <c r="H346" i="8"/>
  <c r="D346" i="8"/>
  <c r="B346" i="8"/>
  <c r="Z346" i="8" s="1"/>
  <c r="X345" i="8"/>
  <c r="U345" i="8"/>
  <c r="T345" i="8"/>
  <c r="V345" i="8" s="1"/>
  <c r="W345" i="8" s="1"/>
  <c r="P345" i="8"/>
  <c r="H345" i="8"/>
  <c r="D345" i="8"/>
  <c r="B345" i="8"/>
  <c r="Z345" i="8" s="1"/>
  <c r="X344" i="8"/>
  <c r="U344" i="8"/>
  <c r="T344" i="8"/>
  <c r="V344" i="8" s="1"/>
  <c r="W344" i="8" s="1"/>
  <c r="P344" i="8"/>
  <c r="H344" i="8"/>
  <c r="I344" i="8" s="1"/>
  <c r="D344" i="8"/>
  <c r="B344" i="8"/>
  <c r="Z344" i="8" s="1"/>
  <c r="X343" i="8"/>
  <c r="U343" i="8"/>
  <c r="T343" i="8"/>
  <c r="P343" i="8"/>
  <c r="H343" i="8"/>
  <c r="Q343" i="8" s="1"/>
  <c r="D343" i="8"/>
  <c r="B343" i="8"/>
  <c r="Z343" i="8" s="1"/>
  <c r="X342" i="8"/>
  <c r="U342" i="8"/>
  <c r="T342" i="8"/>
  <c r="V342" i="8" s="1"/>
  <c r="W342" i="8" s="1"/>
  <c r="P342" i="8"/>
  <c r="K342" i="8"/>
  <c r="N342" i="8" s="1"/>
  <c r="H342" i="8"/>
  <c r="I342" i="8" s="1"/>
  <c r="D342" i="8"/>
  <c r="B342" i="8"/>
  <c r="Z342" i="8" s="1"/>
  <c r="X341" i="8"/>
  <c r="U341" i="8"/>
  <c r="V341" i="8" s="1"/>
  <c r="W341" i="8" s="1"/>
  <c r="T341" i="8"/>
  <c r="P341" i="8"/>
  <c r="H341" i="8"/>
  <c r="I341" i="8" s="1"/>
  <c r="D341" i="8"/>
  <c r="B341" i="8"/>
  <c r="Z341" i="8" s="1"/>
  <c r="X340" i="8"/>
  <c r="U340" i="8"/>
  <c r="T340" i="8"/>
  <c r="V340" i="8" s="1"/>
  <c r="W340" i="8" s="1"/>
  <c r="P340" i="8"/>
  <c r="L340" i="8"/>
  <c r="H340" i="8"/>
  <c r="K340" i="8" s="1"/>
  <c r="N340" i="8" s="1"/>
  <c r="D340" i="8"/>
  <c r="X339" i="8"/>
  <c r="U339" i="8"/>
  <c r="T339" i="8"/>
  <c r="P339" i="8"/>
  <c r="K339" i="8"/>
  <c r="H339" i="8"/>
  <c r="D339" i="8"/>
  <c r="X338" i="8"/>
  <c r="V338" i="8"/>
  <c r="W338" i="8" s="1"/>
  <c r="P338" i="8"/>
  <c r="F338" i="8"/>
  <c r="H338" i="8" s="1"/>
  <c r="B338" i="8"/>
  <c r="Z338" i="8" s="1"/>
  <c r="Z337" i="8"/>
  <c r="X337" i="8"/>
  <c r="V337" i="8"/>
  <c r="W337" i="8" s="1"/>
  <c r="P337" i="8"/>
  <c r="F337" i="8"/>
  <c r="H337" i="8" s="1"/>
  <c r="I337" i="8" s="1"/>
  <c r="B337" i="8"/>
  <c r="Z336" i="8"/>
  <c r="X336" i="8"/>
  <c r="V336" i="8"/>
  <c r="W336" i="8" s="1"/>
  <c r="P336" i="8"/>
  <c r="F336" i="8"/>
  <c r="H336" i="8" s="1"/>
  <c r="K336" i="8" s="1"/>
  <c r="B336" i="8"/>
  <c r="X335" i="8"/>
  <c r="W335" i="8"/>
  <c r="V335" i="8"/>
  <c r="P335" i="8"/>
  <c r="I335" i="8"/>
  <c r="F335" i="8"/>
  <c r="H335" i="8" s="1"/>
  <c r="K335" i="8" s="1"/>
  <c r="B335" i="8"/>
  <c r="Z335" i="8" s="1"/>
  <c r="X334" i="8"/>
  <c r="W334" i="8"/>
  <c r="V334" i="8"/>
  <c r="P334" i="8"/>
  <c r="H334" i="8"/>
  <c r="F334" i="8"/>
  <c r="X333" i="8"/>
  <c r="T333" i="8"/>
  <c r="V333" i="8" s="1"/>
  <c r="W333" i="8" s="1"/>
  <c r="P333" i="8"/>
  <c r="H333" i="8"/>
  <c r="B333" i="8"/>
  <c r="Z333" i="8" s="1"/>
  <c r="X332" i="8"/>
  <c r="U332" i="8"/>
  <c r="T332" i="8"/>
  <c r="P332" i="8"/>
  <c r="H332" i="8"/>
  <c r="I332" i="8" s="1"/>
  <c r="B332" i="8"/>
  <c r="Z332" i="8" s="1"/>
  <c r="X331" i="8"/>
  <c r="W331" i="8"/>
  <c r="T331" i="8"/>
  <c r="V331" i="8" s="1"/>
  <c r="P331" i="8"/>
  <c r="H331" i="8"/>
  <c r="K331" i="8" s="1"/>
  <c r="N331" i="8" s="1"/>
  <c r="B331" i="8"/>
  <c r="Z331" i="8" s="1"/>
  <c r="Z330" i="8"/>
  <c r="X330" i="8"/>
  <c r="V330" i="8"/>
  <c r="W330" i="8" s="1"/>
  <c r="U330" i="8"/>
  <c r="T330" i="8"/>
  <c r="P330" i="8"/>
  <c r="H330" i="8"/>
  <c r="B330" i="8"/>
  <c r="X329" i="8"/>
  <c r="U329" i="8"/>
  <c r="T329" i="8"/>
  <c r="V329" i="8" s="1"/>
  <c r="W329" i="8" s="1"/>
  <c r="P329" i="8"/>
  <c r="H329" i="8"/>
  <c r="B329" i="8"/>
  <c r="Z329" i="8" s="1"/>
  <c r="X328" i="8"/>
  <c r="U328" i="8"/>
  <c r="T328" i="8"/>
  <c r="V328" i="8" s="1"/>
  <c r="W328" i="8" s="1"/>
  <c r="P328" i="8"/>
  <c r="H328" i="8"/>
  <c r="Q328" i="8" s="1"/>
  <c r="B328" i="8"/>
  <c r="Z328" i="8" s="1"/>
  <c r="X327" i="8"/>
  <c r="V327" i="8"/>
  <c r="W327" i="8" s="1"/>
  <c r="U327" i="8"/>
  <c r="T327" i="8"/>
  <c r="P327" i="8"/>
  <c r="H327" i="8"/>
  <c r="Q327" i="8" s="1"/>
  <c r="B327" i="8"/>
  <c r="Z327" i="8" s="1"/>
  <c r="X326" i="8"/>
  <c r="V326" i="8"/>
  <c r="W326" i="8" s="1"/>
  <c r="U326" i="8"/>
  <c r="T326" i="8"/>
  <c r="P326" i="8"/>
  <c r="H326" i="8"/>
  <c r="B326" i="8"/>
  <c r="Z326" i="8" s="1"/>
  <c r="X325" i="8"/>
  <c r="V325" i="8"/>
  <c r="W325" i="8" s="1"/>
  <c r="U325" i="8"/>
  <c r="T325" i="8"/>
  <c r="P325" i="8"/>
  <c r="H325" i="8"/>
  <c r="Q325" i="8" s="1"/>
  <c r="B325" i="8"/>
  <c r="Z325" i="8" s="1"/>
  <c r="X324" i="8"/>
  <c r="V324" i="8"/>
  <c r="W324" i="8" s="1"/>
  <c r="U324" i="8"/>
  <c r="T324" i="8"/>
  <c r="P324" i="8"/>
  <c r="H324" i="8"/>
  <c r="B324" i="8"/>
  <c r="Z324" i="8" s="1"/>
  <c r="Z323" i="8"/>
  <c r="X323" i="8"/>
  <c r="V323" i="8"/>
  <c r="W323" i="8" s="1"/>
  <c r="U323" i="8"/>
  <c r="T323" i="8"/>
  <c r="P323" i="8"/>
  <c r="H323" i="8"/>
  <c r="B323" i="8"/>
  <c r="X322" i="8"/>
  <c r="U322" i="8"/>
  <c r="T322" i="8"/>
  <c r="V322" i="8" s="1"/>
  <c r="W322" i="8" s="1"/>
  <c r="P322" i="8"/>
  <c r="Q322" i="8" s="1"/>
  <c r="H322" i="8"/>
  <c r="B322" i="8"/>
  <c r="Z322" i="8" s="1"/>
  <c r="X321" i="8"/>
  <c r="U321" i="8"/>
  <c r="T321" i="8"/>
  <c r="V321" i="8" s="1"/>
  <c r="W321" i="8" s="1"/>
  <c r="P321" i="8"/>
  <c r="H321" i="8"/>
  <c r="B321" i="8"/>
  <c r="Z321" i="8" s="1"/>
  <c r="X320" i="8"/>
  <c r="T320" i="8"/>
  <c r="V320" i="8" s="1"/>
  <c r="W320" i="8" s="1"/>
  <c r="P320" i="8"/>
  <c r="H320" i="8"/>
  <c r="B320" i="8"/>
  <c r="Z320" i="8" s="1"/>
  <c r="Z319" i="8"/>
  <c r="V319" i="8"/>
  <c r="W319" i="8" s="1"/>
  <c r="P319" i="8"/>
  <c r="F319" i="8"/>
  <c r="H319" i="8" s="1"/>
  <c r="Q319" i="8" s="1"/>
  <c r="B319" i="8"/>
  <c r="X318" i="8"/>
  <c r="U318" i="8"/>
  <c r="T318" i="8"/>
  <c r="V318" i="8" s="1"/>
  <c r="W318" i="8" s="1"/>
  <c r="P318" i="8"/>
  <c r="H318" i="8"/>
  <c r="I318" i="8" s="1"/>
  <c r="D318" i="8"/>
  <c r="B318" i="8"/>
  <c r="Z318" i="8" s="1"/>
  <c r="X317" i="8"/>
  <c r="V317" i="8"/>
  <c r="W317" i="8" s="1"/>
  <c r="U317" i="8"/>
  <c r="T317" i="8"/>
  <c r="P317" i="8"/>
  <c r="H317" i="8"/>
  <c r="K317" i="8" s="1"/>
  <c r="D317" i="8"/>
  <c r="B317" i="8"/>
  <c r="Z317" i="8" s="1"/>
  <c r="X316" i="8"/>
  <c r="U316" i="8"/>
  <c r="T316" i="8"/>
  <c r="V316" i="8" s="1"/>
  <c r="W316" i="8" s="1"/>
  <c r="P316" i="8"/>
  <c r="H316" i="8"/>
  <c r="D316" i="8"/>
  <c r="B316" i="8"/>
  <c r="Z316" i="8" s="1"/>
  <c r="Z315" i="8"/>
  <c r="X315" i="8"/>
  <c r="U315" i="8"/>
  <c r="T315" i="8"/>
  <c r="P315" i="8"/>
  <c r="H315" i="8"/>
  <c r="D315" i="8"/>
  <c r="B315" i="8"/>
  <c r="X314" i="8"/>
  <c r="U314" i="8"/>
  <c r="T314" i="8"/>
  <c r="V314" i="8" s="1"/>
  <c r="W314" i="8" s="1"/>
  <c r="P314" i="8"/>
  <c r="H314" i="8"/>
  <c r="K314" i="8" s="1"/>
  <c r="D314" i="8"/>
  <c r="B314" i="8"/>
  <c r="Z314" i="8" s="1"/>
  <c r="X313" i="8"/>
  <c r="U313" i="8"/>
  <c r="T313" i="8"/>
  <c r="V313" i="8" s="1"/>
  <c r="W313" i="8" s="1"/>
  <c r="P313" i="8"/>
  <c r="H313" i="8"/>
  <c r="D313" i="8"/>
  <c r="B313" i="8"/>
  <c r="Z313" i="8" s="1"/>
  <c r="X312" i="8"/>
  <c r="U312" i="8"/>
  <c r="T312" i="8"/>
  <c r="V312" i="8" s="1"/>
  <c r="W312" i="8" s="1"/>
  <c r="P312" i="8"/>
  <c r="H312" i="8"/>
  <c r="Q312" i="8" s="1"/>
  <c r="D312" i="8"/>
  <c r="B312" i="8"/>
  <c r="Z312" i="8" s="1"/>
  <c r="X311" i="8"/>
  <c r="U311" i="8"/>
  <c r="T311" i="8"/>
  <c r="P311" i="8"/>
  <c r="I311" i="8"/>
  <c r="H311" i="8"/>
  <c r="Q311" i="8" s="1"/>
  <c r="D311" i="8"/>
  <c r="B311" i="8"/>
  <c r="Z311" i="8" s="1"/>
  <c r="X310" i="8"/>
  <c r="U310" i="8"/>
  <c r="T310" i="8"/>
  <c r="V310" i="8" s="1"/>
  <c r="W310" i="8" s="1"/>
  <c r="P310" i="8"/>
  <c r="H310" i="8"/>
  <c r="I310" i="8" s="1"/>
  <c r="D310" i="8"/>
  <c r="B310" i="8"/>
  <c r="Z310" i="8" s="1"/>
  <c r="X309" i="8"/>
  <c r="V309" i="8"/>
  <c r="W309" i="8" s="1"/>
  <c r="U309" i="8"/>
  <c r="T309" i="8"/>
  <c r="P309" i="8"/>
  <c r="H309" i="8"/>
  <c r="K309" i="8" s="1"/>
  <c r="D309" i="8"/>
  <c r="B309" i="8"/>
  <c r="Z309" i="8" s="1"/>
  <c r="X308" i="8"/>
  <c r="U308" i="8"/>
  <c r="T308" i="8"/>
  <c r="V308" i="8" s="1"/>
  <c r="W308" i="8" s="1"/>
  <c r="P308" i="8"/>
  <c r="K308" i="8"/>
  <c r="H308" i="8"/>
  <c r="D308" i="8"/>
  <c r="B308" i="8"/>
  <c r="Z308" i="8" s="1"/>
  <c r="X307" i="8"/>
  <c r="U307" i="8"/>
  <c r="T307" i="8"/>
  <c r="P307" i="8"/>
  <c r="Q307" i="8" s="1"/>
  <c r="H307" i="8"/>
  <c r="D307" i="8"/>
  <c r="B307" i="8"/>
  <c r="Z307" i="8" s="1"/>
  <c r="X306" i="8"/>
  <c r="U306" i="8"/>
  <c r="T306" i="8"/>
  <c r="V306" i="8" s="1"/>
  <c r="W306" i="8" s="1"/>
  <c r="P306" i="8"/>
  <c r="H306" i="8"/>
  <c r="D306" i="8"/>
  <c r="B306" i="8"/>
  <c r="Z306" i="8" s="1"/>
  <c r="X305" i="8"/>
  <c r="U305" i="8"/>
  <c r="T305" i="8"/>
  <c r="P305" i="8"/>
  <c r="H305" i="8"/>
  <c r="D305" i="8"/>
  <c r="B305" i="8"/>
  <c r="Z305" i="8" s="1"/>
  <c r="X304" i="8"/>
  <c r="U304" i="8"/>
  <c r="T304" i="8"/>
  <c r="V304" i="8" s="1"/>
  <c r="W304" i="8" s="1"/>
  <c r="P304" i="8"/>
  <c r="I304" i="8"/>
  <c r="H304" i="8"/>
  <c r="K304" i="8" s="1"/>
  <c r="F304" i="8"/>
  <c r="D304" i="8"/>
  <c r="B304" i="8"/>
  <c r="Z304" i="8" s="1"/>
  <c r="X303" i="8"/>
  <c r="U303" i="8"/>
  <c r="T303" i="8"/>
  <c r="Q303" i="8"/>
  <c r="P303" i="8"/>
  <c r="H303" i="8"/>
  <c r="I303" i="8" s="1"/>
  <c r="D303" i="8"/>
  <c r="B303" i="8"/>
  <c r="Z303" i="8" s="1"/>
  <c r="X302" i="8"/>
  <c r="U302" i="8"/>
  <c r="T302" i="8"/>
  <c r="V302" i="8" s="1"/>
  <c r="W302" i="8" s="1"/>
  <c r="P302" i="8"/>
  <c r="H302" i="8"/>
  <c r="K302" i="8" s="1"/>
  <c r="D302" i="8"/>
  <c r="B302" i="8"/>
  <c r="Z302" i="8" s="1"/>
  <c r="X301" i="8"/>
  <c r="S301" i="8"/>
  <c r="V301" i="8" s="1"/>
  <c r="W301" i="8" s="1"/>
  <c r="P301" i="8"/>
  <c r="N301" i="8"/>
  <c r="L301" i="8"/>
  <c r="I301" i="8"/>
  <c r="H301" i="8"/>
  <c r="K301" i="8" s="1"/>
  <c r="F301" i="8"/>
  <c r="B301" i="8"/>
  <c r="Z301" i="8" s="1"/>
  <c r="X300" i="8"/>
  <c r="V300" i="8"/>
  <c r="W300" i="8" s="1"/>
  <c r="P300" i="8"/>
  <c r="H300" i="8"/>
  <c r="B300" i="8"/>
  <c r="Z300" i="8" s="1"/>
  <c r="X299" i="8"/>
  <c r="V299" i="8"/>
  <c r="W299" i="8" s="1"/>
  <c r="P299" i="8"/>
  <c r="I299" i="8"/>
  <c r="H299" i="8"/>
  <c r="K299" i="8" s="1"/>
  <c r="B299" i="8"/>
  <c r="Z299" i="8" s="1"/>
  <c r="Z298" i="8"/>
  <c r="X298" i="8"/>
  <c r="V298" i="8"/>
  <c r="W298" i="8" s="1"/>
  <c r="S298" i="8"/>
  <c r="P298" i="8"/>
  <c r="H298" i="8"/>
  <c r="F298" i="8"/>
  <c r="B298" i="8"/>
  <c r="X297" i="8"/>
  <c r="V297" i="8"/>
  <c r="W297" i="8" s="1"/>
  <c r="P297" i="8"/>
  <c r="M297" i="8"/>
  <c r="O297" i="8" s="1"/>
  <c r="I297" i="8"/>
  <c r="H297" i="8"/>
  <c r="K297" i="8" s="1"/>
  <c r="L297" i="8" s="1"/>
  <c r="B297" i="8"/>
  <c r="Z297" i="8" s="1"/>
  <c r="X296" i="8"/>
  <c r="W296" i="8"/>
  <c r="V296" i="8"/>
  <c r="P296" i="8"/>
  <c r="K296" i="8"/>
  <c r="N296" i="8" s="1"/>
  <c r="H296" i="8"/>
  <c r="B296" i="8"/>
  <c r="Z296" i="8" s="1"/>
  <c r="X295" i="8"/>
  <c r="V295" i="8"/>
  <c r="W295" i="8" s="1"/>
  <c r="P295" i="8"/>
  <c r="H295" i="8"/>
  <c r="B295" i="8"/>
  <c r="Z295" i="8" s="1"/>
  <c r="X294" i="8"/>
  <c r="V294" i="8"/>
  <c r="W294" i="8" s="1"/>
  <c r="P294" i="8"/>
  <c r="H294" i="8"/>
  <c r="B294" i="8"/>
  <c r="Z294" i="8" s="1"/>
  <c r="X293" i="8"/>
  <c r="V293" i="8"/>
  <c r="W293" i="8" s="1"/>
  <c r="S293" i="8"/>
  <c r="P293" i="8"/>
  <c r="F293" i="8"/>
  <c r="H293" i="8" s="1"/>
  <c r="B293" i="8"/>
  <c r="Z293" i="8" s="1"/>
  <c r="X292" i="8"/>
  <c r="V292" i="8"/>
  <c r="W292" i="8" s="1"/>
  <c r="S292" i="8"/>
  <c r="P292" i="8"/>
  <c r="F292" i="8"/>
  <c r="H292" i="8" s="1"/>
  <c r="B292" i="8"/>
  <c r="Z292" i="8" s="1"/>
  <c r="X291" i="8"/>
  <c r="V291" i="8"/>
  <c r="W291" i="8" s="1"/>
  <c r="T291" i="8"/>
  <c r="P291" i="8"/>
  <c r="H291" i="8"/>
  <c r="Q291" i="8" s="1"/>
  <c r="B291" i="8"/>
  <c r="Z291" i="8" s="1"/>
  <c r="X290" i="8"/>
  <c r="T290" i="8"/>
  <c r="V290" i="8" s="1"/>
  <c r="W290" i="8" s="1"/>
  <c r="S290" i="8"/>
  <c r="P290" i="8"/>
  <c r="H290" i="8"/>
  <c r="B290" i="8"/>
  <c r="Z290" i="8" s="1"/>
  <c r="Z289" i="8"/>
  <c r="X289" i="8"/>
  <c r="T289" i="8"/>
  <c r="V289" i="8" s="1"/>
  <c r="W289" i="8" s="1"/>
  <c r="S289" i="8"/>
  <c r="P289" i="8"/>
  <c r="H289" i="8"/>
  <c r="B289" i="8"/>
  <c r="Z288" i="8"/>
  <c r="X288" i="8"/>
  <c r="T288" i="8"/>
  <c r="V288" i="8" s="1"/>
  <c r="W288" i="8" s="1"/>
  <c r="S288" i="8"/>
  <c r="Q288" i="8"/>
  <c r="P288" i="8"/>
  <c r="H288" i="8"/>
  <c r="B288" i="8"/>
  <c r="X287" i="8"/>
  <c r="T287" i="8"/>
  <c r="V287" i="8" s="1"/>
  <c r="W287" i="8" s="1"/>
  <c r="P287" i="8"/>
  <c r="N287" i="8"/>
  <c r="H287" i="8"/>
  <c r="K287" i="8" s="1"/>
  <c r="L287" i="8" s="1"/>
  <c r="D287" i="8"/>
  <c r="B287" i="8"/>
  <c r="Z287" i="8" s="1"/>
  <c r="Z286" i="8"/>
  <c r="X286" i="8"/>
  <c r="T286" i="8"/>
  <c r="V286" i="8" s="1"/>
  <c r="W286" i="8" s="1"/>
  <c r="P286" i="8"/>
  <c r="F286" i="8"/>
  <c r="H286" i="8" s="1"/>
  <c r="B286" i="8"/>
  <c r="X285" i="8"/>
  <c r="T285" i="8"/>
  <c r="V285" i="8" s="1"/>
  <c r="W285" i="8" s="1"/>
  <c r="P285" i="8"/>
  <c r="M285" i="8"/>
  <c r="O285" i="8" s="1"/>
  <c r="I285" i="8"/>
  <c r="H285" i="8"/>
  <c r="K285" i="8" s="1"/>
  <c r="L285" i="8" s="1"/>
  <c r="B285" i="8"/>
  <c r="Z285" i="8" s="1"/>
  <c r="X284" i="8"/>
  <c r="V284" i="8"/>
  <c r="W284" i="8" s="1"/>
  <c r="S284" i="8"/>
  <c r="P284" i="8"/>
  <c r="H284" i="8"/>
  <c r="I284" i="8" s="1"/>
  <c r="F284" i="8"/>
  <c r="B284" i="8"/>
  <c r="Z284" i="8" s="1"/>
  <c r="X283" i="8"/>
  <c r="V283" i="8"/>
  <c r="W283" i="8" s="1"/>
  <c r="S283" i="8"/>
  <c r="P283" i="8"/>
  <c r="H283" i="8"/>
  <c r="I283" i="8" s="1"/>
  <c r="F283" i="8"/>
  <c r="B283" i="8"/>
  <c r="Z283" i="8" s="1"/>
  <c r="X282" i="8"/>
  <c r="S282" i="8"/>
  <c r="T282" i="8" s="1"/>
  <c r="V282" i="8" s="1"/>
  <c r="W282" i="8" s="1"/>
  <c r="P282" i="8"/>
  <c r="F282" i="8"/>
  <c r="H282" i="8" s="1"/>
  <c r="B282" i="8"/>
  <c r="Z282" i="8" s="1"/>
  <c r="X281" i="8"/>
  <c r="T281" i="8"/>
  <c r="V281" i="8" s="1"/>
  <c r="W281" i="8" s="1"/>
  <c r="S281" i="8"/>
  <c r="P281" i="8"/>
  <c r="H281" i="8"/>
  <c r="B281" i="8"/>
  <c r="Z281" i="8" s="1"/>
  <c r="X280" i="8"/>
  <c r="T280" i="8"/>
  <c r="V280" i="8" s="1"/>
  <c r="W280" i="8" s="1"/>
  <c r="S280" i="8"/>
  <c r="P280" i="8"/>
  <c r="K280" i="8"/>
  <c r="H280" i="8"/>
  <c r="B280" i="8"/>
  <c r="Z280" i="8" s="1"/>
  <c r="X279" i="8"/>
  <c r="S279" i="8"/>
  <c r="V279" i="8" s="1"/>
  <c r="W279" i="8" s="1"/>
  <c r="P279" i="8"/>
  <c r="F279" i="8"/>
  <c r="H279" i="8" s="1"/>
  <c r="B279" i="8"/>
  <c r="Z279" i="8" s="1"/>
  <c r="Z278" i="8"/>
  <c r="X278" i="8"/>
  <c r="S278" i="8"/>
  <c r="V278" i="8" s="1"/>
  <c r="W278" i="8" s="1"/>
  <c r="P278" i="8"/>
  <c r="F278" i="8"/>
  <c r="H278" i="8" s="1"/>
  <c r="B278" i="8"/>
  <c r="X277" i="8"/>
  <c r="T277" i="8"/>
  <c r="V277" i="8" s="1"/>
  <c r="W277" i="8" s="1"/>
  <c r="S277" i="8"/>
  <c r="P277" i="8"/>
  <c r="H277" i="8"/>
  <c r="I277" i="8" s="1"/>
  <c r="B277" i="8"/>
  <c r="Z277" i="8" s="1"/>
  <c r="X276" i="8"/>
  <c r="W276" i="8"/>
  <c r="V276" i="8"/>
  <c r="P276" i="8"/>
  <c r="H276" i="8"/>
  <c r="Q276" i="8" s="1"/>
  <c r="F276" i="8"/>
  <c r="B276" i="8"/>
  <c r="Z276" i="8" s="1"/>
  <c r="X275" i="8"/>
  <c r="W275" i="8"/>
  <c r="S275" i="8"/>
  <c r="T275" i="8" s="1"/>
  <c r="V275" i="8" s="1"/>
  <c r="P275" i="8"/>
  <c r="F275" i="8"/>
  <c r="H275" i="8" s="1"/>
  <c r="B275" i="8"/>
  <c r="Z275" i="8" s="1"/>
  <c r="X274" i="8"/>
  <c r="T274" i="8"/>
  <c r="V274" i="8" s="1"/>
  <c r="W274" i="8" s="1"/>
  <c r="S274" i="8"/>
  <c r="P274" i="8"/>
  <c r="H274" i="8"/>
  <c r="I274" i="8" s="1"/>
  <c r="F274" i="8"/>
  <c r="B274" i="8"/>
  <c r="Z274" i="8" s="1"/>
  <c r="X273" i="8"/>
  <c r="S273" i="8"/>
  <c r="T273" i="8" s="1"/>
  <c r="V273" i="8" s="1"/>
  <c r="W273" i="8" s="1"/>
  <c r="P273" i="8"/>
  <c r="F273" i="8"/>
  <c r="H273" i="8" s="1"/>
  <c r="I273" i="8" s="1"/>
  <c r="B273" i="8"/>
  <c r="Z273" i="8" s="1"/>
  <c r="X272" i="8"/>
  <c r="T272" i="8"/>
  <c r="V272" i="8" s="1"/>
  <c r="W272" i="8" s="1"/>
  <c r="S272" i="8"/>
  <c r="P272" i="8"/>
  <c r="Q272" i="8" s="1"/>
  <c r="H272" i="8"/>
  <c r="I272" i="8" s="1"/>
  <c r="F272" i="8"/>
  <c r="B272" i="8"/>
  <c r="Z272" i="8" s="1"/>
  <c r="X271" i="8"/>
  <c r="S271" i="8"/>
  <c r="T271" i="8" s="1"/>
  <c r="V271" i="8" s="1"/>
  <c r="W271" i="8" s="1"/>
  <c r="P271" i="8"/>
  <c r="H271" i="8"/>
  <c r="F271" i="8"/>
  <c r="B271" i="8"/>
  <c r="Z271" i="8" s="1"/>
  <c r="X270" i="8"/>
  <c r="S270" i="8"/>
  <c r="T270" i="8" s="1"/>
  <c r="V270" i="8" s="1"/>
  <c r="W270" i="8" s="1"/>
  <c r="P270" i="8"/>
  <c r="I270" i="8"/>
  <c r="H270" i="8"/>
  <c r="F270" i="8"/>
  <c r="B270" i="8"/>
  <c r="Z270" i="8" s="1"/>
  <c r="X269" i="8"/>
  <c r="T269" i="8"/>
  <c r="V269" i="8" s="1"/>
  <c r="W269" i="8" s="1"/>
  <c r="S269" i="8"/>
  <c r="P269" i="8"/>
  <c r="K269" i="8"/>
  <c r="F269" i="8"/>
  <c r="H269" i="8" s="1"/>
  <c r="B269" i="8"/>
  <c r="Z269" i="8" s="1"/>
  <c r="X268" i="8"/>
  <c r="T268" i="8"/>
  <c r="V268" i="8" s="1"/>
  <c r="W268" i="8" s="1"/>
  <c r="S268" i="8"/>
  <c r="P268" i="8"/>
  <c r="H268" i="8"/>
  <c r="F268" i="8"/>
  <c r="B268" i="8"/>
  <c r="Z268" i="8" s="1"/>
  <c r="X267" i="8"/>
  <c r="W267" i="8"/>
  <c r="V267" i="8"/>
  <c r="S267" i="8"/>
  <c r="P267" i="8"/>
  <c r="H267" i="8"/>
  <c r="B267" i="8"/>
  <c r="Z267" i="8" s="1"/>
  <c r="X266" i="8"/>
  <c r="V266" i="8"/>
  <c r="W266" i="8" s="1"/>
  <c r="S266" i="8"/>
  <c r="P266" i="8"/>
  <c r="N266" i="8"/>
  <c r="K266" i="8"/>
  <c r="H266" i="8"/>
  <c r="I266" i="8" s="1"/>
  <c r="B266" i="8"/>
  <c r="Z266" i="8" s="1"/>
  <c r="X265" i="8"/>
  <c r="V265" i="8"/>
  <c r="W265" i="8" s="1"/>
  <c r="S265" i="8"/>
  <c r="P265" i="8"/>
  <c r="K265" i="8"/>
  <c r="H265" i="8"/>
  <c r="F265" i="8"/>
  <c r="B265" i="8"/>
  <c r="Z265" i="8" s="1"/>
  <c r="X264" i="8"/>
  <c r="T264" i="8"/>
  <c r="V264" i="8" s="1"/>
  <c r="W264" i="8" s="1"/>
  <c r="S264" i="8"/>
  <c r="P264" i="8"/>
  <c r="F264" i="8"/>
  <c r="H264" i="8" s="1"/>
  <c r="K264" i="8" s="1"/>
  <c r="B264" i="8"/>
  <c r="Z264" i="8" s="1"/>
  <c r="X263" i="8"/>
  <c r="V263" i="8"/>
  <c r="W263" i="8" s="1"/>
  <c r="T263" i="8"/>
  <c r="S263" i="8"/>
  <c r="P263" i="8"/>
  <c r="H263" i="8"/>
  <c r="B263" i="8"/>
  <c r="Z263" i="8" s="1"/>
  <c r="Z262" i="8"/>
  <c r="X262" i="8"/>
  <c r="V262" i="8"/>
  <c r="W262" i="8" s="1"/>
  <c r="T262" i="8"/>
  <c r="S262" i="8"/>
  <c r="P262" i="8"/>
  <c r="H262" i="8"/>
  <c r="B262" i="8"/>
  <c r="Z261" i="8"/>
  <c r="X261" i="8"/>
  <c r="V261" i="8"/>
  <c r="W261" i="8" s="1"/>
  <c r="T261" i="8"/>
  <c r="S261" i="8"/>
  <c r="P261" i="8"/>
  <c r="H261" i="8"/>
  <c r="B261" i="8"/>
  <c r="X260" i="8"/>
  <c r="V260" i="8"/>
  <c r="W260" i="8" s="1"/>
  <c r="T260" i="8"/>
  <c r="S260" i="8"/>
  <c r="P260" i="8"/>
  <c r="H260" i="8"/>
  <c r="Q260" i="8" s="1"/>
  <c r="B260" i="8"/>
  <c r="Z260" i="8" s="1"/>
  <c r="X259" i="8"/>
  <c r="V259" i="8"/>
  <c r="W259" i="8" s="1"/>
  <c r="T259" i="8"/>
  <c r="S259" i="8"/>
  <c r="P259" i="8"/>
  <c r="H259" i="8"/>
  <c r="Q259" i="8" s="1"/>
  <c r="B259" i="8"/>
  <c r="Z259" i="8" s="1"/>
  <c r="X258" i="8"/>
  <c r="V258" i="8"/>
  <c r="W258" i="8" s="1"/>
  <c r="P258" i="8"/>
  <c r="F258" i="8"/>
  <c r="H258" i="8" s="1"/>
  <c r="D258" i="8"/>
  <c r="Z257" i="8"/>
  <c r="X257" i="8"/>
  <c r="T257" i="8"/>
  <c r="V257" i="8" s="1"/>
  <c r="W257" i="8" s="1"/>
  <c r="S257" i="8"/>
  <c r="P257" i="8"/>
  <c r="Q257" i="8" s="1"/>
  <c r="H257" i="8"/>
  <c r="F257" i="8"/>
  <c r="B257" i="8"/>
  <c r="X256" i="8"/>
  <c r="S256" i="8"/>
  <c r="T256" i="8" s="1"/>
  <c r="V256" i="8" s="1"/>
  <c r="W256" i="8" s="1"/>
  <c r="P256" i="8"/>
  <c r="I256" i="8"/>
  <c r="F256" i="8"/>
  <c r="H256" i="8" s="1"/>
  <c r="B256" i="8"/>
  <c r="Z256" i="8" s="1"/>
  <c r="X255" i="8"/>
  <c r="S255" i="8"/>
  <c r="V255" i="8" s="1"/>
  <c r="W255" i="8" s="1"/>
  <c r="P255" i="8"/>
  <c r="N255" i="8"/>
  <c r="M255" i="8"/>
  <c r="O255" i="8" s="1"/>
  <c r="I255" i="8"/>
  <c r="H255" i="8"/>
  <c r="K255" i="8" s="1"/>
  <c r="L255" i="8" s="1"/>
  <c r="B255" i="8"/>
  <c r="Z255" i="8" s="1"/>
  <c r="Z254" i="8"/>
  <c r="X254" i="8"/>
  <c r="W254" i="8"/>
  <c r="V254" i="8"/>
  <c r="P254" i="8"/>
  <c r="F254" i="8"/>
  <c r="H254" i="8" s="1"/>
  <c r="B254" i="8"/>
  <c r="X253" i="8"/>
  <c r="T253" i="8"/>
  <c r="V253" i="8" s="1"/>
  <c r="W253" i="8" s="1"/>
  <c r="S253" i="8"/>
  <c r="P253" i="8"/>
  <c r="Q253" i="8" s="1"/>
  <c r="H253" i="8"/>
  <c r="B253" i="8"/>
  <c r="Z253" i="8" s="1"/>
  <c r="X252" i="8"/>
  <c r="T252" i="8"/>
  <c r="V252" i="8" s="1"/>
  <c r="W252" i="8" s="1"/>
  <c r="P252" i="8"/>
  <c r="F252" i="8"/>
  <c r="H252" i="8" s="1"/>
  <c r="B252" i="8"/>
  <c r="Z252" i="8" s="1"/>
  <c r="Z251" i="8"/>
  <c r="X251" i="8"/>
  <c r="T251" i="8"/>
  <c r="V251" i="8" s="1"/>
  <c r="W251" i="8" s="1"/>
  <c r="S251" i="8"/>
  <c r="P251" i="8"/>
  <c r="Q251" i="8" s="1"/>
  <c r="K251" i="8"/>
  <c r="N251" i="8" s="1"/>
  <c r="H251" i="8"/>
  <c r="I251" i="8" s="1"/>
  <c r="B251" i="8"/>
  <c r="X250" i="8"/>
  <c r="V250" i="8"/>
  <c r="W250" i="8" s="1"/>
  <c r="T250" i="8"/>
  <c r="P250" i="8"/>
  <c r="N250" i="8"/>
  <c r="H250" i="8"/>
  <c r="K250" i="8" s="1"/>
  <c r="L250" i="8" s="1"/>
  <c r="M250" i="8" s="1"/>
  <c r="O250" i="8" s="1"/>
  <c r="B250" i="8"/>
  <c r="Z250" i="8" s="1"/>
  <c r="X249" i="8"/>
  <c r="T249" i="8"/>
  <c r="V249" i="8" s="1"/>
  <c r="W249" i="8" s="1"/>
  <c r="S249" i="8"/>
  <c r="P249" i="8"/>
  <c r="H249" i="8"/>
  <c r="K249" i="8" s="1"/>
  <c r="B249" i="8"/>
  <c r="Z249" i="8" s="1"/>
  <c r="X248" i="8"/>
  <c r="T248" i="8"/>
  <c r="V248" i="8" s="1"/>
  <c r="W248" i="8" s="1"/>
  <c r="P248" i="8"/>
  <c r="H248" i="8"/>
  <c r="K248" i="8" s="1"/>
  <c r="F248" i="8"/>
  <c r="B248" i="8"/>
  <c r="Z248" i="8" s="1"/>
  <c r="X247" i="8"/>
  <c r="T247" i="8"/>
  <c r="V247" i="8" s="1"/>
  <c r="W247" i="8" s="1"/>
  <c r="P247" i="8"/>
  <c r="H247" i="8"/>
  <c r="K247" i="8" s="1"/>
  <c r="F247" i="8"/>
  <c r="B247" i="8"/>
  <c r="Z247" i="8" s="1"/>
  <c r="Z246" i="8"/>
  <c r="X246" i="8"/>
  <c r="T246" i="8"/>
  <c r="V246" i="8" s="1"/>
  <c r="W246" i="8" s="1"/>
  <c r="P246" i="8"/>
  <c r="H246" i="8"/>
  <c r="K246" i="8" s="1"/>
  <c r="B246" i="8"/>
  <c r="Z245" i="8"/>
  <c r="X245" i="8"/>
  <c r="V245" i="8"/>
  <c r="W245" i="8" s="1"/>
  <c r="S245" i="8"/>
  <c r="P245" i="8"/>
  <c r="F245" i="8"/>
  <c r="H245" i="8" s="1"/>
  <c r="Q245" i="8" s="1"/>
  <c r="B245" i="8"/>
  <c r="X244" i="8"/>
  <c r="S244" i="8"/>
  <c r="V244" i="8" s="1"/>
  <c r="W244" i="8" s="1"/>
  <c r="P244" i="8"/>
  <c r="D244" i="8"/>
  <c r="B244" i="8"/>
  <c r="Z244" i="8" s="1"/>
  <c r="X243" i="8"/>
  <c r="S243" i="8"/>
  <c r="F243" i="8" s="1"/>
  <c r="H243" i="8" s="1"/>
  <c r="P243" i="8"/>
  <c r="D243" i="8"/>
  <c r="B243" i="8"/>
  <c r="Z243" i="8" s="1"/>
  <c r="X242" i="8"/>
  <c r="T242" i="8"/>
  <c r="V242" i="8" s="1"/>
  <c r="W242" i="8" s="1"/>
  <c r="S242" i="8"/>
  <c r="P242" i="8"/>
  <c r="F242" i="8"/>
  <c r="H242" i="8" s="1"/>
  <c r="B242" i="8"/>
  <c r="Z242" i="8" s="1"/>
  <c r="X241" i="8"/>
  <c r="V241" i="8"/>
  <c r="W241" i="8" s="1"/>
  <c r="S241" i="8"/>
  <c r="P241" i="8"/>
  <c r="F241" i="8"/>
  <c r="H241" i="8" s="1"/>
  <c r="I241" i="8" s="1"/>
  <c r="B241" i="8"/>
  <c r="Z241" i="8" s="1"/>
  <c r="Z240" i="8"/>
  <c r="X240" i="8"/>
  <c r="V240" i="8"/>
  <c r="W240" i="8" s="1"/>
  <c r="S240" i="8"/>
  <c r="P240" i="8"/>
  <c r="F240" i="8"/>
  <c r="H240" i="8" s="1"/>
  <c r="B240" i="8"/>
  <c r="Z239" i="8"/>
  <c r="X239" i="8"/>
  <c r="V239" i="8"/>
  <c r="W239" i="8" s="1"/>
  <c r="S239" i="8"/>
  <c r="P239" i="8"/>
  <c r="F239" i="8"/>
  <c r="H239" i="8" s="1"/>
  <c r="I239" i="8" s="1"/>
  <c r="B239" i="8"/>
  <c r="Z238" i="8"/>
  <c r="X238" i="8"/>
  <c r="V238" i="8"/>
  <c r="W238" i="8" s="1"/>
  <c r="S238" i="8"/>
  <c r="P238" i="8"/>
  <c r="F238" i="8"/>
  <c r="H238" i="8" s="1"/>
  <c r="B238" i="8"/>
  <c r="Z237" i="8"/>
  <c r="X237" i="8"/>
  <c r="V237" i="8"/>
  <c r="W237" i="8" s="1"/>
  <c r="S237" i="8"/>
  <c r="P237" i="8"/>
  <c r="F237" i="8"/>
  <c r="H237" i="8" s="1"/>
  <c r="B237" i="8"/>
  <c r="X236" i="8"/>
  <c r="V236" i="8"/>
  <c r="W236" i="8" s="1"/>
  <c r="S236" i="8"/>
  <c r="P236" i="8"/>
  <c r="H236" i="8"/>
  <c r="F236" i="8"/>
  <c r="B236" i="8"/>
  <c r="Z236" i="8" s="1"/>
  <c r="X235" i="8"/>
  <c r="V235" i="8"/>
  <c r="W235" i="8" s="1"/>
  <c r="S235" i="8"/>
  <c r="Q235" i="8"/>
  <c r="P235" i="8"/>
  <c r="H235" i="8"/>
  <c r="F235" i="8"/>
  <c r="B235" i="8"/>
  <c r="Z235" i="8" s="1"/>
  <c r="X234" i="8"/>
  <c r="V234" i="8"/>
  <c r="W234" i="8" s="1"/>
  <c r="S234" i="8"/>
  <c r="P234" i="8"/>
  <c r="Q234" i="8" s="1"/>
  <c r="F234" i="8"/>
  <c r="H234" i="8" s="1"/>
  <c r="B234" i="8"/>
  <c r="Z234" i="8" s="1"/>
  <c r="X233" i="8"/>
  <c r="V233" i="8"/>
  <c r="W233" i="8" s="1"/>
  <c r="S233" i="8"/>
  <c r="P233" i="8"/>
  <c r="H233" i="8"/>
  <c r="I233" i="8" s="1"/>
  <c r="F233" i="8"/>
  <c r="B233" i="8"/>
  <c r="Z233" i="8" s="1"/>
  <c r="X232" i="8"/>
  <c r="V232" i="8"/>
  <c r="W232" i="8" s="1"/>
  <c r="S232" i="8"/>
  <c r="P232" i="8"/>
  <c r="H232" i="8"/>
  <c r="K232" i="8" s="1"/>
  <c r="B232" i="8"/>
  <c r="Z232" i="8" s="1"/>
  <c r="Z231" i="8"/>
  <c r="X231" i="8"/>
  <c r="V231" i="8"/>
  <c r="W231" i="8" s="1"/>
  <c r="P231" i="8"/>
  <c r="H231" i="8"/>
  <c r="K231" i="8" s="1"/>
  <c r="N231" i="8" s="1"/>
  <c r="B231" i="8"/>
  <c r="X230" i="8"/>
  <c r="W230" i="8"/>
  <c r="V230" i="8"/>
  <c r="S230" i="8"/>
  <c r="P230" i="8"/>
  <c r="H230" i="8"/>
  <c r="B230" i="8"/>
  <c r="Z230" i="8" s="1"/>
  <c r="X229" i="8"/>
  <c r="V229" i="8"/>
  <c r="W229" i="8" s="1"/>
  <c r="S229" i="8"/>
  <c r="P229" i="8"/>
  <c r="H229" i="8"/>
  <c r="B229" i="8"/>
  <c r="Z229" i="8" s="1"/>
  <c r="X228" i="8"/>
  <c r="V228" i="8"/>
  <c r="W228" i="8" s="1"/>
  <c r="P228" i="8"/>
  <c r="H228" i="8"/>
  <c r="B228" i="8"/>
  <c r="Z228" i="8" s="1"/>
  <c r="X227" i="8"/>
  <c r="S227" i="8"/>
  <c r="V227" i="8" s="1"/>
  <c r="W227" i="8" s="1"/>
  <c r="P227" i="8"/>
  <c r="F227" i="8"/>
  <c r="H227" i="8" s="1"/>
  <c r="B227" i="8"/>
  <c r="Z227" i="8" s="1"/>
  <c r="X226" i="8"/>
  <c r="S226" i="8"/>
  <c r="V226" i="8" s="1"/>
  <c r="W226" i="8" s="1"/>
  <c r="P226" i="8"/>
  <c r="H226" i="8"/>
  <c r="B226" i="8"/>
  <c r="Z226" i="8" s="1"/>
  <c r="X225" i="8"/>
  <c r="V225" i="8"/>
  <c r="W225" i="8" s="1"/>
  <c r="S225" i="8"/>
  <c r="P225" i="8"/>
  <c r="H225" i="8"/>
  <c r="K225" i="8" s="1"/>
  <c r="N225" i="8" s="1"/>
  <c r="F225" i="8"/>
  <c r="X224" i="8"/>
  <c r="T224" i="8"/>
  <c r="V224" i="8" s="1"/>
  <c r="W224" i="8" s="1"/>
  <c r="P224" i="8"/>
  <c r="N224" i="8"/>
  <c r="H224" i="8"/>
  <c r="K224" i="8" s="1"/>
  <c r="F224" i="8"/>
  <c r="B224" i="8"/>
  <c r="Z224" i="8" s="1"/>
  <c r="X223" i="8"/>
  <c r="T223" i="8"/>
  <c r="V223" i="8" s="1"/>
  <c r="W223" i="8" s="1"/>
  <c r="P223" i="8"/>
  <c r="H223" i="8"/>
  <c r="K223" i="8" s="1"/>
  <c r="F223" i="8"/>
  <c r="B223" i="8"/>
  <c r="Z223" i="8" s="1"/>
  <c r="X222" i="8"/>
  <c r="V222" i="8"/>
  <c r="W222" i="8" s="1"/>
  <c r="T222" i="8"/>
  <c r="S222" i="8"/>
  <c r="P222" i="8"/>
  <c r="I222" i="8"/>
  <c r="H222" i="8"/>
  <c r="K222" i="8" s="1"/>
  <c r="B222" i="8"/>
  <c r="Z222" i="8" s="1"/>
  <c r="X221" i="8"/>
  <c r="V221" i="8"/>
  <c r="W221" i="8" s="1"/>
  <c r="T221" i="8"/>
  <c r="S221" i="8"/>
  <c r="P221" i="8"/>
  <c r="I221" i="8"/>
  <c r="H221" i="8"/>
  <c r="K221" i="8" s="1"/>
  <c r="B221" i="8"/>
  <c r="Z221" i="8" s="1"/>
  <c r="X220" i="8"/>
  <c r="V220" i="8"/>
  <c r="W220" i="8" s="1"/>
  <c r="T220" i="8"/>
  <c r="S220" i="8"/>
  <c r="P220" i="8"/>
  <c r="I220" i="8"/>
  <c r="H220" i="8"/>
  <c r="K220" i="8" s="1"/>
  <c r="B220" i="8"/>
  <c r="Z220" i="8" s="1"/>
  <c r="X219" i="8"/>
  <c r="V219" i="8"/>
  <c r="W219" i="8" s="1"/>
  <c r="T219" i="8"/>
  <c r="S219" i="8"/>
  <c r="P219" i="8"/>
  <c r="I219" i="8"/>
  <c r="H219" i="8"/>
  <c r="K219" i="8" s="1"/>
  <c r="B219" i="8"/>
  <c r="Z219" i="8" s="1"/>
  <c r="X218" i="8"/>
  <c r="V218" i="8"/>
  <c r="W218" i="8" s="1"/>
  <c r="T218" i="8"/>
  <c r="S218" i="8"/>
  <c r="P218" i="8"/>
  <c r="H218" i="8"/>
  <c r="K218" i="8" s="1"/>
  <c r="B218" i="8"/>
  <c r="Z218" i="8" s="1"/>
  <c r="X217" i="8"/>
  <c r="U217" i="8"/>
  <c r="T217" i="8"/>
  <c r="V217" i="8" s="1"/>
  <c r="W217" i="8" s="1"/>
  <c r="P217" i="8"/>
  <c r="H217" i="8"/>
  <c r="K217" i="8" s="1"/>
  <c r="D217" i="8"/>
  <c r="B217" i="8"/>
  <c r="Z217" i="8" s="1"/>
  <c r="X216" i="8"/>
  <c r="U216" i="8"/>
  <c r="T216" i="8"/>
  <c r="V216" i="8" s="1"/>
  <c r="W216" i="8" s="1"/>
  <c r="Q216" i="8"/>
  <c r="P216" i="8"/>
  <c r="H216" i="8"/>
  <c r="I216" i="8" s="1"/>
  <c r="D216" i="8"/>
  <c r="B216" i="8"/>
  <c r="Z216" i="8" s="1"/>
  <c r="X215" i="8"/>
  <c r="U215" i="8"/>
  <c r="T215" i="8"/>
  <c r="V215" i="8" s="1"/>
  <c r="W215" i="8" s="1"/>
  <c r="P215" i="8"/>
  <c r="H215" i="8"/>
  <c r="K215" i="8" s="1"/>
  <c r="D215" i="8"/>
  <c r="B215" i="8"/>
  <c r="Z215" i="8" s="1"/>
  <c r="X214" i="8"/>
  <c r="U214" i="8"/>
  <c r="T214" i="8"/>
  <c r="P214" i="8"/>
  <c r="I214" i="8"/>
  <c r="H214" i="8"/>
  <c r="D214" i="8"/>
  <c r="B214" i="8"/>
  <c r="Z214" i="8" s="1"/>
  <c r="X213" i="8"/>
  <c r="U213" i="8"/>
  <c r="V213" i="8" s="1"/>
  <c r="W213" i="8" s="1"/>
  <c r="T213" i="8"/>
  <c r="P213" i="8"/>
  <c r="K213" i="8"/>
  <c r="N213" i="8" s="1"/>
  <c r="H213" i="8"/>
  <c r="I213" i="8" s="1"/>
  <c r="D213" i="8"/>
  <c r="B213" i="8"/>
  <c r="Z213" i="8" s="1"/>
  <c r="X212" i="8"/>
  <c r="W212" i="8"/>
  <c r="U212" i="8"/>
  <c r="T212" i="8"/>
  <c r="V212" i="8" s="1"/>
  <c r="P212" i="8"/>
  <c r="H212" i="8"/>
  <c r="Q212" i="8" s="1"/>
  <c r="D212" i="8"/>
  <c r="B212" i="8"/>
  <c r="Z212" i="8" s="1"/>
  <c r="X211" i="8"/>
  <c r="U211" i="8"/>
  <c r="T211" i="8"/>
  <c r="V211" i="8" s="1"/>
  <c r="W211" i="8" s="1"/>
  <c r="P211" i="8"/>
  <c r="H211" i="8"/>
  <c r="D211" i="8"/>
  <c r="B211" i="8"/>
  <c r="Z211" i="8" s="1"/>
  <c r="X210" i="8"/>
  <c r="U210" i="8"/>
  <c r="V210" i="8" s="1"/>
  <c r="W210" i="8" s="1"/>
  <c r="T210" i="8"/>
  <c r="P210" i="8"/>
  <c r="H210" i="8"/>
  <c r="I210" i="8" s="1"/>
  <c r="D210" i="8"/>
  <c r="B210" i="8"/>
  <c r="Z210" i="8" s="1"/>
  <c r="X209" i="8"/>
  <c r="U209" i="8"/>
  <c r="T209" i="8"/>
  <c r="V209" i="8" s="1"/>
  <c r="W209" i="8" s="1"/>
  <c r="P209" i="8"/>
  <c r="I209" i="8"/>
  <c r="H209" i="8"/>
  <c r="K209" i="8" s="1"/>
  <c r="D209" i="8"/>
  <c r="B209" i="8"/>
  <c r="Z209" i="8" s="1"/>
  <c r="X208" i="8"/>
  <c r="U208" i="8"/>
  <c r="T208" i="8"/>
  <c r="P208" i="8"/>
  <c r="K208" i="8"/>
  <c r="H208" i="8"/>
  <c r="I208" i="8" s="1"/>
  <c r="D208" i="8"/>
  <c r="B208" i="8"/>
  <c r="Z208" i="8" s="1"/>
  <c r="X207" i="8"/>
  <c r="U207" i="8"/>
  <c r="T207" i="8"/>
  <c r="V207" i="8" s="1"/>
  <c r="W207" i="8" s="1"/>
  <c r="P207" i="8"/>
  <c r="Q207" i="8" s="1"/>
  <c r="N207" i="8"/>
  <c r="L207" i="8"/>
  <c r="I207" i="8"/>
  <c r="H207" i="8"/>
  <c r="K207" i="8" s="1"/>
  <c r="D207" i="8"/>
  <c r="B207" i="8"/>
  <c r="Z207" i="8" s="1"/>
  <c r="X206" i="8"/>
  <c r="T206" i="8"/>
  <c r="V206" i="8" s="1"/>
  <c r="W206" i="8" s="1"/>
  <c r="P206" i="8"/>
  <c r="H206" i="8"/>
  <c r="D206" i="8"/>
  <c r="B206" i="8"/>
  <c r="Z206" i="8" s="1"/>
  <c r="X205" i="8"/>
  <c r="U205" i="8"/>
  <c r="T205" i="8"/>
  <c r="V205" i="8" s="1"/>
  <c r="W205" i="8" s="1"/>
  <c r="S205" i="8"/>
  <c r="P205" i="8"/>
  <c r="H205" i="8"/>
  <c r="D205" i="8"/>
  <c r="B205" i="8"/>
  <c r="Z205" i="8" s="1"/>
  <c r="X204" i="8"/>
  <c r="U204" i="8"/>
  <c r="S204" i="8"/>
  <c r="T204" i="8" s="1"/>
  <c r="V204" i="8" s="1"/>
  <c r="W204" i="8" s="1"/>
  <c r="P204" i="8"/>
  <c r="K204" i="8"/>
  <c r="L204" i="8" s="1"/>
  <c r="H204" i="8"/>
  <c r="I204" i="8" s="1"/>
  <c r="D204" i="8"/>
  <c r="B204" i="8"/>
  <c r="Z204" i="8" s="1"/>
  <c r="Z203" i="8"/>
  <c r="X203" i="8"/>
  <c r="U203" i="8"/>
  <c r="V203" i="8" s="1"/>
  <c r="W203" i="8" s="1"/>
  <c r="T203" i="8"/>
  <c r="P203" i="8"/>
  <c r="H203" i="8"/>
  <c r="I203" i="8" s="1"/>
  <c r="D203" i="8"/>
  <c r="B203" i="8"/>
  <c r="X202" i="8"/>
  <c r="U202" i="8"/>
  <c r="T202" i="8"/>
  <c r="V202" i="8" s="1"/>
  <c r="W202" i="8" s="1"/>
  <c r="P202" i="8"/>
  <c r="I202" i="8"/>
  <c r="H202" i="8"/>
  <c r="K202" i="8" s="1"/>
  <c r="N202" i="8" s="1"/>
  <c r="D202" i="8"/>
  <c r="X201" i="8"/>
  <c r="U201" i="8"/>
  <c r="T201" i="8"/>
  <c r="V201" i="8" s="1"/>
  <c r="W201" i="8" s="1"/>
  <c r="Q201" i="8"/>
  <c r="P201" i="8"/>
  <c r="H201" i="8"/>
  <c r="I201" i="8" s="1"/>
  <c r="D201" i="8"/>
  <c r="X200" i="8"/>
  <c r="U200" i="8"/>
  <c r="T200" i="8"/>
  <c r="V200" i="8" s="1"/>
  <c r="W200" i="8" s="1"/>
  <c r="P200" i="8"/>
  <c r="N200" i="8"/>
  <c r="I200" i="8"/>
  <c r="H200" i="8"/>
  <c r="K200" i="8" s="1"/>
  <c r="L200" i="8" s="1"/>
  <c r="D200" i="8"/>
  <c r="X199" i="8"/>
  <c r="U199" i="8"/>
  <c r="T199" i="8"/>
  <c r="P199" i="8"/>
  <c r="I199" i="8"/>
  <c r="H199" i="8"/>
  <c r="D199" i="8"/>
  <c r="X198" i="8"/>
  <c r="U198" i="8"/>
  <c r="T198" i="8"/>
  <c r="Q198" i="8"/>
  <c r="P198" i="8"/>
  <c r="H198" i="8"/>
  <c r="I198" i="8" s="1"/>
  <c r="D198" i="8"/>
  <c r="Z197" i="8"/>
  <c r="X197" i="8"/>
  <c r="V197" i="8"/>
  <c r="W197" i="8" s="1"/>
  <c r="U197" i="8"/>
  <c r="T197" i="8"/>
  <c r="Q197" i="8"/>
  <c r="P197" i="8"/>
  <c r="N197" i="8"/>
  <c r="L197" i="8"/>
  <c r="I197" i="8"/>
  <c r="H197" i="8"/>
  <c r="K197" i="8" s="1"/>
  <c r="D197" i="8"/>
  <c r="B197" i="8"/>
  <c r="X196" i="8"/>
  <c r="U196" i="8"/>
  <c r="T196" i="8"/>
  <c r="V196" i="8" s="1"/>
  <c r="W196" i="8" s="1"/>
  <c r="P196" i="8"/>
  <c r="H196" i="8"/>
  <c r="D196" i="8"/>
  <c r="B196" i="8"/>
  <c r="Z196" i="8" s="1"/>
  <c r="X195" i="8"/>
  <c r="V195" i="8"/>
  <c r="W195" i="8" s="1"/>
  <c r="U195" i="8"/>
  <c r="T195" i="8"/>
  <c r="P195" i="8"/>
  <c r="H195" i="8"/>
  <c r="D195" i="8"/>
  <c r="B195" i="8"/>
  <c r="Z195" i="8" s="1"/>
  <c r="X194" i="8"/>
  <c r="U194" i="8"/>
  <c r="T194" i="8"/>
  <c r="V194" i="8" s="1"/>
  <c r="W194" i="8" s="1"/>
  <c r="P194" i="8"/>
  <c r="H194" i="8"/>
  <c r="D194" i="8"/>
  <c r="B194" i="8"/>
  <c r="Z194" i="8" s="1"/>
  <c r="X193" i="8"/>
  <c r="W193" i="8"/>
  <c r="U193" i="8"/>
  <c r="T193" i="8"/>
  <c r="V193" i="8" s="1"/>
  <c r="P193" i="8"/>
  <c r="K193" i="8"/>
  <c r="H193" i="8"/>
  <c r="I193" i="8" s="1"/>
  <c r="D193" i="8"/>
  <c r="B193" i="8"/>
  <c r="Z193" i="8" s="1"/>
  <c r="X192" i="8"/>
  <c r="T192" i="8"/>
  <c r="V192" i="8" s="1"/>
  <c r="W192" i="8" s="1"/>
  <c r="P192" i="8"/>
  <c r="K192" i="8"/>
  <c r="H192" i="8"/>
  <c r="I192" i="8" s="1"/>
  <c r="B192" i="8"/>
  <c r="Z192" i="8" s="1"/>
  <c r="X191" i="8"/>
  <c r="T191" i="8"/>
  <c r="V191" i="8" s="1"/>
  <c r="W191" i="8" s="1"/>
  <c r="P191" i="8"/>
  <c r="H191" i="8"/>
  <c r="K191" i="8" s="1"/>
  <c r="N191" i="8" s="1"/>
  <c r="B191" i="8"/>
  <c r="Z191" i="8" s="1"/>
  <c r="X190" i="8"/>
  <c r="U190" i="8"/>
  <c r="T190" i="8"/>
  <c r="V190" i="8" s="1"/>
  <c r="W190" i="8" s="1"/>
  <c r="P190" i="8"/>
  <c r="H190" i="8"/>
  <c r="K190" i="8" s="1"/>
  <c r="N190" i="8" s="1"/>
  <c r="D190" i="8"/>
  <c r="B190" i="8"/>
  <c r="Z190" i="8" s="1"/>
  <c r="X189" i="8"/>
  <c r="U189" i="8"/>
  <c r="T189" i="8"/>
  <c r="V189" i="8" s="1"/>
  <c r="W189" i="8" s="1"/>
  <c r="P189" i="8"/>
  <c r="H189" i="8"/>
  <c r="D189" i="8"/>
  <c r="B189" i="8"/>
  <c r="Z189" i="8" s="1"/>
  <c r="X188" i="8"/>
  <c r="U188" i="8"/>
  <c r="T188" i="8"/>
  <c r="V188" i="8" s="1"/>
  <c r="W188" i="8" s="1"/>
  <c r="P188" i="8"/>
  <c r="H188" i="8"/>
  <c r="K188" i="8" s="1"/>
  <c r="D188" i="8"/>
  <c r="B188" i="8"/>
  <c r="Z188" i="8" s="1"/>
  <c r="X187" i="8"/>
  <c r="U187" i="8"/>
  <c r="T187" i="8"/>
  <c r="V187" i="8" s="1"/>
  <c r="W187" i="8" s="1"/>
  <c r="P187" i="8"/>
  <c r="H187" i="8"/>
  <c r="D187" i="8"/>
  <c r="B187" i="8"/>
  <c r="Z187" i="8" s="1"/>
  <c r="X186" i="8"/>
  <c r="U186" i="8"/>
  <c r="V186" i="8" s="1"/>
  <c r="W186" i="8" s="1"/>
  <c r="T186" i="8"/>
  <c r="P186" i="8"/>
  <c r="H186" i="8"/>
  <c r="D186" i="8"/>
  <c r="X185" i="8"/>
  <c r="U185" i="8"/>
  <c r="T185" i="8"/>
  <c r="V185" i="8" s="1"/>
  <c r="W185" i="8" s="1"/>
  <c r="P185" i="8"/>
  <c r="H185" i="8"/>
  <c r="D185" i="8"/>
  <c r="X184" i="8"/>
  <c r="U184" i="8"/>
  <c r="T184" i="8"/>
  <c r="V184" i="8" s="1"/>
  <c r="W184" i="8" s="1"/>
  <c r="P184" i="8"/>
  <c r="H184" i="8"/>
  <c r="D184" i="8"/>
  <c r="X183" i="8"/>
  <c r="U183" i="8"/>
  <c r="T183" i="8"/>
  <c r="P183" i="8"/>
  <c r="K183" i="8"/>
  <c r="H183" i="8"/>
  <c r="I183" i="8" s="1"/>
  <c r="B183" i="8"/>
  <c r="Z183" i="8" s="1"/>
  <c r="X182" i="8"/>
  <c r="U182" i="8"/>
  <c r="V182" i="8" s="1"/>
  <c r="W182" i="8" s="1"/>
  <c r="T182" i="8"/>
  <c r="P182" i="8"/>
  <c r="N182" i="8"/>
  <c r="K182" i="8"/>
  <c r="L182" i="8" s="1"/>
  <c r="H182" i="8"/>
  <c r="I182" i="8" s="1"/>
  <c r="B182" i="8"/>
  <c r="Z182" i="8" s="1"/>
  <c r="X181" i="8"/>
  <c r="U181" i="8"/>
  <c r="T181" i="8"/>
  <c r="P181" i="8"/>
  <c r="H181" i="8"/>
  <c r="I181" i="8" s="1"/>
  <c r="B181" i="8"/>
  <c r="Z181" i="8" s="1"/>
  <c r="Z180" i="8"/>
  <c r="X180" i="8"/>
  <c r="U180" i="8"/>
  <c r="V180" i="8" s="1"/>
  <c r="W180" i="8" s="1"/>
  <c r="T180" i="8"/>
  <c r="P180" i="8"/>
  <c r="H180" i="8"/>
  <c r="I180" i="8" s="1"/>
  <c r="B180" i="8"/>
  <c r="X179" i="8"/>
  <c r="U179" i="8"/>
  <c r="T179" i="8"/>
  <c r="P179" i="8"/>
  <c r="H179" i="8"/>
  <c r="I179" i="8" s="1"/>
  <c r="D179" i="8"/>
  <c r="B179" i="8"/>
  <c r="Z179" i="8" s="1"/>
  <c r="X178" i="8"/>
  <c r="V178" i="8"/>
  <c r="W178" i="8" s="1"/>
  <c r="U178" i="8"/>
  <c r="T178" i="8"/>
  <c r="P178" i="8"/>
  <c r="H178" i="8"/>
  <c r="K178" i="8" s="1"/>
  <c r="D178" i="8"/>
  <c r="B178" i="8"/>
  <c r="Z178" i="8" s="1"/>
  <c r="X177" i="8"/>
  <c r="U177" i="8"/>
  <c r="T177" i="8"/>
  <c r="V177" i="8" s="1"/>
  <c r="W177" i="8" s="1"/>
  <c r="P177" i="8"/>
  <c r="H177" i="8"/>
  <c r="D177" i="8"/>
  <c r="B177" i="8"/>
  <c r="Z177" i="8" s="1"/>
  <c r="X176" i="8"/>
  <c r="U176" i="8"/>
  <c r="T176" i="8"/>
  <c r="V176" i="8" s="1"/>
  <c r="W176" i="8" s="1"/>
  <c r="P176" i="8"/>
  <c r="H176" i="8"/>
  <c r="K176" i="8" s="1"/>
  <c r="D176" i="8"/>
  <c r="B176" i="8"/>
  <c r="Z176" i="8" s="1"/>
  <c r="X175" i="8"/>
  <c r="U175" i="8"/>
  <c r="T175" i="8"/>
  <c r="P175" i="8"/>
  <c r="H175" i="8"/>
  <c r="D175" i="8"/>
  <c r="B175" i="8"/>
  <c r="Z175" i="8" s="1"/>
  <c r="X174" i="8"/>
  <c r="U174" i="8"/>
  <c r="T174" i="8"/>
  <c r="P174" i="8"/>
  <c r="H174" i="8"/>
  <c r="D174" i="8"/>
  <c r="B174" i="8"/>
  <c r="Z174" i="8" s="1"/>
  <c r="X173" i="8"/>
  <c r="U173" i="8"/>
  <c r="T173" i="8"/>
  <c r="V173" i="8" s="1"/>
  <c r="W173" i="8" s="1"/>
  <c r="P173" i="8"/>
  <c r="H173" i="8"/>
  <c r="I173" i="8" s="1"/>
  <c r="D173" i="8"/>
  <c r="B173" i="8"/>
  <c r="Z173" i="8" s="1"/>
  <c r="X172" i="8"/>
  <c r="T172" i="8"/>
  <c r="V172" i="8" s="1"/>
  <c r="W172" i="8" s="1"/>
  <c r="P172" i="8"/>
  <c r="H172" i="8"/>
  <c r="I172" i="8" s="1"/>
  <c r="B172" i="8"/>
  <c r="Z172" i="8" s="1"/>
  <c r="X171" i="8"/>
  <c r="T171" i="8"/>
  <c r="V171" i="8" s="1"/>
  <c r="W171" i="8" s="1"/>
  <c r="P171" i="8"/>
  <c r="I171" i="8"/>
  <c r="H171" i="8"/>
  <c r="B171" i="8"/>
  <c r="Z171" i="8" s="1"/>
  <c r="X170" i="8"/>
  <c r="T170" i="8"/>
  <c r="V170" i="8" s="1"/>
  <c r="W170" i="8" s="1"/>
  <c r="P170" i="8"/>
  <c r="H170" i="8"/>
  <c r="B170" i="8"/>
  <c r="Z170" i="8" s="1"/>
  <c r="Z169" i="8"/>
  <c r="X169" i="8"/>
  <c r="T169" i="8"/>
  <c r="V169" i="8" s="1"/>
  <c r="W169" i="8" s="1"/>
  <c r="P169" i="8"/>
  <c r="H169" i="8"/>
  <c r="B169" i="8"/>
  <c r="X168" i="8"/>
  <c r="V168" i="8"/>
  <c r="W168" i="8" s="1"/>
  <c r="T168" i="8"/>
  <c r="P168" i="8"/>
  <c r="H168" i="8"/>
  <c r="B168" i="8"/>
  <c r="Z168" i="8" s="1"/>
  <c r="X167" i="8"/>
  <c r="T167" i="8"/>
  <c r="V167" i="8" s="1"/>
  <c r="W167" i="8" s="1"/>
  <c r="S167" i="8"/>
  <c r="Q167" i="8"/>
  <c r="P167" i="8"/>
  <c r="K167" i="8"/>
  <c r="N167" i="8" s="1"/>
  <c r="I167" i="8"/>
  <c r="D167" i="8"/>
  <c r="B167" i="8"/>
  <c r="Z167" i="8" s="1"/>
  <c r="X166" i="8"/>
  <c r="T166" i="8"/>
  <c r="V166" i="8" s="1"/>
  <c r="W166" i="8" s="1"/>
  <c r="S166" i="8"/>
  <c r="P166" i="8"/>
  <c r="H166" i="8"/>
  <c r="D166" i="8"/>
  <c r="B166" i="8"/>
  <c r="Z166" i="8" s="1"/>
  <c r="X165" i="8"/>
  <c r="S165" i="8"/>
  <c r="T165" i="8" s="1"/>
  <c r="V165" i="8" s="1"/>
  <c r="W165" i="8" s="1"/>
  <c r="P165" i="8"/>
  <c r="H165" i="8"/>
  <c r="F165" i="8"/>
  <c r="D165" i="8"/>
  <c r="B165" i="8"/>
  <c r="Z165" i="8" s="1"/>
  <c r="X164" i="8"/>
  <c r="V164" i="8"/>
  <c r="W164" i="8" s="1"/>
  <c r="T164" i="8"/>
  <c r="S164" i="8"/>
  <c r="P164" i="8"/>
  <c r="F164" i="8"/>
  <c r="H164" i="8" s="1"/>
  <c r="D164" i="8"/>
  <c r="B164" i="8"/>
  <c r="Z164" i="8" s="1"/>
  <c r="X163" i="8"/>
  <c r="W163" i="8"/>
  <c r="T163" i="8"/>
  <c r="V163" i="8" s="1"/>
  <c r="P163" i="8"/>
  <c r="H163" i="8"/>
  <c r="B163" i="8"/>
  <c r="Z163" i="8" s="1"/>
  <c r="X162" i="8"/>
  <c r="V162" i="8"/>
  <c r="W162" i="8" s="1"/>
  <c r="T162" i="8"/>
  <c r="S162" i="8"/>
  <c r="P162" i="8"/>
  <c r="H162" i="8"/>
  <c r="D162" i="8"/>
  <c r="B162" i="8"/>
  <c r="Z162" i="8" s="1"/>
  <c r="X161" i="8"/>
  <c r="W161" i="8"/>
  <c r="V161" i="8"/>
  <c r="P161" i="8"/>
  <c r="K161" i="8"/>
  <c r="I161" i="8"/>
  <c r="H161" i="8"/>
  <c r="D161" i="8"/>
  <c r="B161" i="8"/>
  <c r="Z161" i="8" s="1"/>
  <c r="X160" i="8"/>
  <c r="V160" i="8"/>
  <c r="W160" i="8" s="1"/>
  <c r="P160" i="8"/>
  <c r="K160" i="8"/>
  <c r="I160" i="8"/>
  <c r="H160" i="8"/>
  <c r="D160" i="8"/>
  <c r="B160" i="8"/>
  <c r="Z160" i="8" s="1"/>
  <c r="Z159" i="8"/>
  <c r="X159" i="8"/>
  <c r="V159" i="8"/>
  <c r="W159" i="8" s="1"/>
  <c r="P159" i="8"/>
  <c r="H159" i="8"/>
  <c r="K159" i="8" s="1"/>
  <c r="N159" i="8" s="1"/>
  <c r="D159" i="8"/>
  <c r="B159" i="8"/>
  <c r="X158" i="8"/>
  <c r="S158" i="8"/>
  <c r="T158" i="8" s="1"/>
  <c r="V158" i="8" s="1"/>
  <c r="W158" i="8" s="1"/>
  <c r="P158" i="8"/>
  <c r="H158" i="8"/>
  <c r="D158" i="8"/>
  <c r="B158" i="8"/>
  <c r="Z158" i="8" s="1"/>
  <c r="X157" i="8"/>
  <c r="V157" i="8"/>
  <c r="W157" i="8" s="1"/>
  <c r="T157" i="8"/>
  <c r="S157" i="8"/>
  <c r="P157" i="8"/>
  <c r="I157" i="8"/>
  <c r="H157" i="8"/>
  <c r="K157" i="8" s="1"/>
  <c r="B157" i="8"/>
  <c r="Z157" i="8" s="1"/>
  <c r="X156" i="8"/>
  <c r="T156" i="8"/>
  <c r="V156" i="8" s="1"/>
  <c r="W156" i="8" s="1"/>
  <c r="S156" i="8"/>
  <c r="P156" i="8"/>
  <c r="H156" i="8"/>
  <c r="B156" i="8"/>
  <c r="Z156" i="8" s="1"/>
  <c r="X155" i="8"/>
  <c r="T155" i="8"/>
  <c r="V155" i="8" s="1"/>
  <c r="W155" i="8" s="1"/>
  <c r="P155" i="8"/>
  <c r="H155" i="8"/>
  <c r="F155" i="8"/>
  <c r="B155" i="8"/>
  <c r="Z155" i="8" s="1"/>
  <c r="X154" i="8"/>
  <c r="T154" i="8"/>
  <c r="V154" i="8" s="1"/>
  <c r="W154" i="8" s="1"/>
  <c r="P154" i="8"/>
  <c r="H154" i="8"/>
  <c r="F154" i="8"/>
  <c r="B154" i="8"/>
  <c r="Z154" i="8" s="1"/>
  <c r="X153" i="8"/>
  <c r="V153" i="8"/>
  <c r="W153" i="8" s="1"/>
  <c r="T153" i="8"/>
  <c r="P153" i="8"/>
  <c r="H153" i="8"/>
  <c r="F153" i="8"/>
  <c r="B153" i="8"/>
  <c r="Z153" i="8" s="1"/>
  <c r="X152" i="8"/>
  <c r="V152" i="8"/>
  <c r="W152" i="8" s="1"/>
  <c r="T152" i="8"/>
  <c r="P152" i="8"/>
  <c r="K152" i="8"/>
  <c r="I152" i="8"/>
  <c r="H152" i="8"/>
  <c r="F152" i="8"/>
  <c r="B152" i="8"/>
  <c r="Z152" i="8" s="1"/>
  <c r="X151" i="8"/>
  <c r="T151" i="8"/>
  <c r="V151" i="8" s="1"/>
  <c r="W151" i="8" s="1"/>
  <c r="P151" i="8"/>
  <c r="I151" i="8"/>
  <c r="H151" i="8"/>
  <c r="F151" i="8"/>
  <c r="B151" i="8"/>
  <c r="Z151" i="8" s="1"/>
  <c r="Z150" i="8"/>
  <c r="X150" i="8"/>
  <c r="T150" i="8"/>
  <c r="V150" i="8" s="1"/>
  <c r="W150" i="8" s="1"/>
  <c r="P150" i="8"/>
  <c r="K150" i="8"/>
  <c r="I150" i="8"/>
  <c r="H150" i="8"/>
  <c r="B150" i="8"/>
  <c r="X149" i="8"/>
  <c r="T149" i="8"/>
  <c r="V149" i="8" s="1"/>
  <c r="W149" i="8" s="1"/>
  <c r="P149" i="8"/>
  <c r="Q149" i="8" s="1"/>
  <c r="H149" i="8"/>
  <c r="B149" i="8"/>
  <c r="Z149" i="8" s="1"/>
  <c r="X148" i="8"/>
  <c r="T148" i="8"/>
  <c r="V148" i="8" s="1"/>
  <c r="W148" i="8" s="1"/>
  <c r="P148" i="8"/>
  <c r="H148" i="8"/>
  <c r="B148" i="8"/>
  <c r="Z148" i="8" s="1"/>
  <c r="X147" i="8"/>
  <c r="T147" i="8"/>
  <c r="V147" i="8" s="1"/>
  <c r="W147" i="8" s="1"/>
  <c r="P147" i="8"/>
  <c r="H147" i="8"/>
  <c r="K147" i="8" s="1"/>
  <c r="B147" i="8"/>
  <c r="Z147" i="8" s="1"/>
  <c r="X146" i="8"/>
  <c r="T146" i="8"/>
  <c r="V146" i="8" s="1"/>
  <c r="W146" i="8" s="1"/>
  <c r="P146" i="8"/>
  <c r="H146" i="8"/>
  <c r="K146" i="8" s="1"/>
  <c r="B146" i="8"/>
  <c r="Z146" i="8" s="1"/>
  <c r="X145" i="8"/>
  <c r="T145" i="8"/>
  <c r="V145" i="8" s="1"/>
  <c r="W145" i="8" s="1"/>
  <c r="P145" i="8"/>
  <c r="H145" i="8"/>
  <c r="B145" i="8"/>
  <c r="Z145" i="8" s="1"/>
  <c r="X144" i="8"/>
  <c r="V144" i="8"/>
  <c r="W144" i="8" s="1"/>
  <c r="T144" i="8"/>
  <c r="P144" i="8"/>
  <c r="F144" i="8"/>
  <c r="H144" i="8" s="1"/>
  <c r="B144" i="8"/>
  <c r="Z144" i="8" s="1"/>
  <c r="X143" i="8"/>
  <c r="T143" i="8"/>
  <c r="V143" i="8" s="1"/>
  <c r="W143" i="8" s="1"/>
  <c r="P143" i="8"/>
  <c r="H143" i="8"/>
  <c r="B143" i="8"/>
  <c r="Z143" i="8" s="1"/>
  <c r="Z142" i="8"/>
  <c r="X142" i="8"/>
  <c r="T142" i="8"/>
  <c r="V142" i="8" s="1"/>
  <c r="W142" i="8" s="1"/>
  <c r="P142" i="8"/>
  <c r="H142" i="8"/>
  <c r="K142" i="8" s="1"/>
  <c r="B142" i="8"/>
  <c r="Z141" i="8"/>
  <c r="X141" i="8"/>
  <c r="T141" i="8"/>
  <c r="V141" i="8" s="1"/>
  <c r="W141" i="8" s="1"/>
  <c r="P141" i="8"/>
  <c r="H141" i="8"/>
  <c r="K141" i="8" s="1"/>
  <c r="L141" i="8" s="1"/>
  <c r="B141" i="8"/>
  <c r="X140" i="8"/>
  <c r="T140" i="8"/>
  <c r="V140" i="8" s="1"/>
  <c r="W140" i="8" s="1"/>
  <c r="P140" i="8"/>
  <c r="H140" i="8"/>
  <c r="K140" i="8" s="1"/>
  <c r="N140" i="8" s="1"/>
  <c r="D140" i="8"/>
  <c r="B140" i="8"/>
  <c r="Z140" i="8" s="1"/>
  <c r="X139" i="8"/>
  <c r="T139" i="8"/>
  <c r="V139" i="8" s="1"/>
  <c r="R139" i="8"/>
  <c r="W139" i="8" s="1"/>
  <c r="P139" i="8"/>
  <c r="H139" i="8"/>
  <c r="K139" i="8" s="1"/>
  <c r="D139" i="8"/>
  <c r="B139" i="8"/>
  <c r="Z139" i="8" s="1"/>
  <c r="X138" i="8"/>
  <c r="T138" i="8"/>
  <c r="V138" i="8" s="1"/>
  <c r="W138" i="8" s="1"/>
  <c r="P138" i="8"/>
  <c r="N138" i="8"/>
  <c r="M138" i="8"/>
  <c r="O138" i="8" s="1"/>
  <c r="H138" i="8"/>
  <c r="K138" i="8" s="1"/>
  <c r="L138" i="8" s="1"/>
  <c r="D138" i="8"/>
  <c r="B138" i="8"/>
  <c r="Z138" i="8" s="1"/>
  <c r="X137" i="8"/>
  <c r="V137" i="8"/>
  <c r="W137" i="8" s="1"/>
  <c r="P137" i="8"/>
  <c r="F137" i="8"/>
  <c r="H137" i="8" s="1"/>
  <c r="D137" i="8"/>
  <c r="B137" i="8"/>
  <c r="Z137" i="8" s="1"/>
  <c r="Z136" i="8"/>
  <c r="X136" i="8"/>
  <c r="V136" i="8"/>
  <c r="W136" i="8" s="1"/>
  <c r="P136" i="8"/>
  <c r="H136" i="8"/>
  <c r="K136" i="8" s="1"/>
  <c r="N136" i="8" s="1"/>
  <c r="D136" i="8"/>
  <c r="B136" i="8"/>
  <c r="X135" i="8"/>
  <c r="W135" i="8"/>
  <c r="U135" i="8"/>
  <c r="S135" i="8"/>
  <c r="T135" i="8" s="1"/>
  <c r="V135" i="8" s="1"/>
  <c r="P135" i="8"/>
  <c r="H135" i="8"/>
  <c r="D135" i="8"/>
  <c r="X134" i="8"/>
  <c r="U134" i="8"/>
  <c r="T134" i="8"/>
  <c r="V134" i="8" s="1"/>
  <c r="W134" i="8" s="1"/>
  <c r="S134" i="8"/>
  <c r="P134" i="8"/>
  <c r="H134" i="8"/>
  <c r="D134" i="8"/>
  <c r="X133" i="8"/>
  <c r="U133" i="8"/>
  <c r="S133" i="8"/>
  <c r="T133" i="8" s="1"/>
  <c r="V133" i="8" s="1"/>
  <c r="W133" i="8" s="1"/>
  <c r="P133" i="8"/>
  <c r="H133" i="8"/>
  <c r="D133" i="8"/>
  <c r="X132" i="8"/>
  <c r="U132" i="8"/>
  <c r="V132" i="8" s="1"/>
  <c r="W132" i="8" s="1"/>
  <c r="T132" i="8"/>
  <c r="P132" i="8"/>
  <c r="H132" i="8"/>
  <c r="D132" i="8"/>
  <c r="X131" i="8"/>
  <c r="V131" i="8"/>
  <c r="W131" i="8" s="1"/>
  <c r="U131" i="8"/>
  <c r="T131" i="8"/>
  <c r="P131" i="8"/>
  <c r="H131" i="8"/>
  <c r="K131" i="8" s="1"/>
  <c r="D131" i="8"/>
  <c r="X130" i="8"/>
  <c r="W130" i="8"/>
  <c r="U130" i="8"/>
  <c r="T130" i="8"/>
  <c r="V130" i="8" s="1"/>
  <c r="P130" i="8"/>
  <c r="H130" i="8"/>
  <c r="K130" i="8" s="1"/>
  <c r="L130" i="8" s="1"/>
  <c r="D130" i="8"/>
  <c r="X129" i="8"/>
  <c r="U129" i="8"/>
  <c r="T129" i="8"/>
  <c r="V129" i="8" s="1"/>
  <c r="W129" i="8" s="1"/>
  <c r="P129" i="8"/>
  <c r="I129" i="8"/>
  <c r="H129" i="8"/>
  <c r="K129" i="8" s="1"/>
  <c r="D129" i="8"/>
  <c r="V128" i="8"/>
  <c r="W128" i="8" s="1"/>
  <c r="P128" i="8"/>
  <c r="F128" i="8"/>
  <c r="H128" i="8" s="1"/>
  <c r="B128" i="8"/>
  <c r="Z128" i="8" s="1"/>
  <c r="X127" i="8"/>
  <c r="T127" i="8"/>
  <c r="V127" i="8" s="1"/>
  <c r="W127" i="8" s="1"/>
  <c r="P127" i="8"/>
  <c r="H127" i="8"/>
  <c r="K127" i="8" s="1"/>
  <c r="N127" i="8" s="1"/>
  <c r="B127" i="8"/>
  <c r="Z127" i="8" s="1"/>
  <c r="Z126" i="8"/>
  <c r="X126" i="8"/>
  <c r="T126" i="8"/>
  <c r="V126" i="8" s="1"/>
  <c r="W126" i="8" s="1"/>
  <c r="P126" i="8"/>
  <c r="K126" i="8"/>
  <c r="H126" i="8"/>
  <c r="I126" i="8" s="1"/>
  <c r="B126" i="8"/>
  <c r="X125" i="8"/>
  <c r="T125" i="8"/>
  <c r="V125" i="8" s="1"/>
  <c r="W125" i="8" s="1"/>
  <c r="P125" i="8"/>
  <c r="K125" i="8"/>
  <c r="I125" i="8"/>
  <c r="H125" i="8"/>
  <c r="B125" i="8"/>
  <c r="Z125" i="8" s="1"/>
  <c r="Z124" i="8"/>
  <c r="X124" i="8"/>
  <c r="T124" i="8"/>
  <c r="V124" i="8" s="1"/>
  <c r="W124" i="8" s="1"/>
  <c r="P124" i="8"/>
  <c r="H124" i="8"/>
  <c r="B124" i="8"/>
  <c r="X123" i="8"/>
  <c r="W123" i="8"/>
  <c r="T123" i="8"/>
  <c r="V123" i="8" s="1"/>
  <c r="P123" i="8"/>
  <c r="H123" i="8"/>
  <c r="Q123" i="8" s="1"/>
  <c r="B123" i="8"/>
  <c r="Z123" i="8" s="1"/>
  <c r="X122" i="8"/>
  <c r="V122" i="8"/>
  <c r="W122" i="8" s="1"/>
  <c r="T122" i="8"/>
  <c r="P122" i="8"/>
  <c r="F122" i="8"/>
  <c r="H122" i="8" s="1"/>
  <c r="B122" i="8"/>
  <c r="Z122" i="8" s="1"/>
  <c r="X121" i="8"/>
  <c r="V121" i="8"/>
  <c r="W121" i="8" s="1"/>
  <c r="P121" i="8"/>
  <c r="N121" i="8"/>
  <c r="H121" i="8"/>
  <c r="K121" i="8" s="1"/>
  <c r="F121" i="8"/>
  <c r="B121" i="8"/>
  <c r="Z121" i="8" s="1"/>
  <c r="X120" i="8"/>
  <c r="U120" i="8"/>
  <c r="T120" i="8"/>
  <c r="V120" i="8" s="1"/>
  <c r="W120" i="8" s="1"/>
  <c r="P120" i="8"/>
  <c r="H120" i="8"/>
  <c r="K120" i="8" s="1"/>
  <c r="N120" i="8" s="1"/>
  <c r="D120" i="8"/>
  <c r="X119" i="8"/>
  <c r="V119" i="8"/>
  <c r="W119" i="8" s="1"/>
  <c r="S119" i="8"/>
  <c r="P119" i="8"/>
  <c r="H119" i="8"/>
  <c r="D119" i="8"/>
  <c r="B119" i="8"/>
  <c r="Z119" i="8" s="1"/>
  <c r="X118" i="8"/>
  <c r="V118" i="8"/>
  <c r="W118" i="8" s="1"/>
  <c r="S118" i="8"/>
  <c r="P118" i="8"/>
  <c r="H118" i="8"/>
  <c r="D118" i="8"/>
  <c r="B118" i="8"/>
  <c r="Z118" i="8" s="1"/>
  <c r="X117" i="8"/>
  <c r="V117" i="8"/>
  <c r="W117" i="8" s="1"/>
  <c r="T117" i="8"/>
  <c r="S117" i="8"/>
  <c r="P117" i="8"/>
  <c r="Q117" i="8" s="1"/>
  <c r="H117" i="8"/>
  <c r="B117" i="8"/>
  <c r="Z117" i="8" s="1"/>
  <c r="X116" i="8"/>
  <c r="T116" i="8"/>
  <c r="V116" i="8" s="1"/>
  <c r="W116" i="8" s="1"/>
  <c r="S116" i="8"/>
  <c r="P116" i="8"/>
  <c r="H116" i="8"/>
  <c r="B116" i="8"/>
  <c r="Z116" i="8" s="1"/>
  <c r="X115" i="8"/>
  <c r="T115" i="8"/>
  <c r="V115" i="8" s="1"/>
  <c r="W115" i="8" s="1"/>
  <c r="S115" i="8"/>
  <c r="P115" i="8"/>
  <c r="H115" i="8"/>
  <c r="B115" i="8"/>
  <c r="Z115" i="8" s="1"/>
  <c r="X114" i="8"/>
  <c r="T114" i="8"/>
  <c r="V114" i="8" s="1"/>
  <c r="W114" i="8" s="1"/>
  <c r="S114" i="8"/>
  <c r="P114" i="8"/>
  <c r="Q114" i="8" s="1"/>
  <c r="H114" i="8"/>
  <c r="D114" i="8"/>
  <c r="B114" i="8"/>
  <c r="Z114" i="8" s="1"/>
  <c r="P113" i="8"/>
  <c r="H113" i="8"/>
  <c r="N113" i="8" s="1"/>
  <c r="D113" i="8"/>
  <c r="B113" i="8"/>
  <c r="Z113" i="8" s="1"/>
  <c r="Z112" i="8"/>
  <c r="P112" i="8"/>
  <c r="H112" i="8"/>
  <c r="X111" i="8"/>
  <c r="U111" i="8"/>
  <c r="T111" i="8"/>
  <c r="V111" i="8" s="1"/>
  <c r="W111" i="8" s="1"/>
  <c r="P111" i="8"/>
  <c r="K111" i="8"/>
  <c r="N111" i="8" s="1"/>
  <c r="I111" i="8"/>
  <c r="H111" i="8"/>
  <c r="D111" i="8"/>
  <c r="B111" i="8"/>
  <c r="Z111" i="8" s="1"/>
  <c r="X110" i="8"/>
  <c r="U110" i="8"/>
  <c r="T110" i="8"/>
  <c r="V110" i="8" s="1"/>
  <c r="W110" i="8" s="1"/>
  <c r="P110" i="8"/>
  <c r="H110" i="8"/>
  <c r="D110" i="8"/>
  <c r="B110" i="8"/>
  <c r="Z110" i="8" s="1"/>
  <c r="X109" i="8"/>
  <c r="U109" i="8"/>
  <c r="T109" i="8"/>
  <c r="V109" i="8" s="1"/>
  <c r="W109" i="8" s="1"/>
  <c r="P109" i="8"/>
  <c r="H109" i="8"/>
  <c r="D109" i="8"/>
  <c r="B109" i="8"/>
  <c r="Z109" i="8" s="1"/>
  <c r="X108" i="8"/>
  <c r="U108" i="8"/>
  <c r="T108" i="8"/>
  <c r="V108" i="8" s="1"/>
  <c r="W108" i="8" s="1"/>
  <c r="P108" i="8"/>
  <c r="K108" i="8"/>
  <c r="I108" i="8"/>
  <c r="H108" i="8"/>
  <c r="D108" i="8"/>
  <c r="B108" i="8"/>
  <c r="Z108" i="8" s="1"/>
  <c r="X107" i="8"/>
  <c r="U107" i="8"/>
  <c r="V107" i="8" s="1"/>
  <c r="W107" i="8" s="1"/>
  <c r="T107" i="8"/>
  <c r="P107" i="8"/>
  <c r="K107" i="8"/>
  <c r="H107" i="8"/>
  <c r="I107" i="8" s="1"/>
  <c r="D107" i="8"/>
  <c r="B107" i="8"/>
  <c r="Z107" i="8" s="1"/>
  <c r="X106" i="8"/>
  <c r="U106" i="8"/>
  <c r="T106" i="8"/>
  <c r="V106" i="8" s="1"/>
  <c r="W106" i="8" s="1"/>
  <c r="P106" i="8"/>
  <c r="H106" i="8"/>
  <c r="K106" i="8" s="1"/>
  <c r="N106" i="8" s="1"/>
  <c r="D106" i="8"/>
  <c r="B106" i="8"/>
  <c r="Z106" i="8" s="1"/>
  <c r="X105" i="8"/>
  <c r="U105" i="8"/>
  <c r="T105" i="8"/>
  <c r="V105" i="8" s="1"/>
  <c r="W105" i="8" s="1"/>
  <c r="Q105" i="8"/>
  <c r="P105" i="8"/>
  <c r="H105" i="8"/>
  <c r="D105" i="8"/>
  <c r="B105" i="8"/>
  <c r="Z105" i="8" s="1"/>
  <c r="X104" i="8"/>
  <c r="U104" i="8"/>
  <c r="T104" i="8"/>
  <c r="V104" i="8" s="1"/>
  <c r="W104" i="8" s="1"/>
  <c r="P104" i="8"/>
  <c r="H104" i="8"/>
  <c r="K104" i="8" s="1"/>
  <c r="N104" i="8" s="1"/>
  <c r="D104" i="8"/>
  <c r="B104" i="8"/>
  <c r="Z104" i="8" s="1"/>
  <c r="X103" i="8"/>
  <c r="U103" i="8"/>
  <c r="T103" i="8"/>
  <c r="V103" i="8" s="1"/>
  <c r="W103" i="8" s="1"/>
  <c r="P103" i="8"/>
  <c r="H103" i="8"/>
  <c r="D103" i="8"/>
  <c r="B103" i="8"/>
  <c r="Z103" i="8" s="1"/>
  <c r="X102" i="8"/>
  <c r="U102" i="8"/>
  <c r="T102" i="8"/>
  <c r="V102" i="8" s="1"/>
  <c r="W102" i="8" s="1"/>
  <c r="P102" i="8"/>
  <c r="H102" i="8"/>
  <c r="D102" i="8"/>
  <c r="B102" i="8"/>
  <c r="Z102" i="8" s="1"/>
  <c r="X101" i="8"/>
  <c r="W101" i="8"/>
  <c r="V101" i="8"/>
  <c r="P101" i="8"/>
  <c r="F101" i="8"/>
  <c r="H101" i="8" s="1"/>
  <c r="B101" i="8"/>
  <c r="Z101" i="8" s="1"/>
  <c r="X100" i="8"/>
  <c r="V100" i="8"/>
  <c r="W100" i="8" s="1"/>
  <c r="P100" i="8"/>
  <c r="H100" i="8"/>
  <c r="K100" i="8" s="1"/>
  <c r="N100" i="8" s="1"/>
  <c r="B100" i="8"/>
  <c r="Z100" i="8" s="1"/>
  <c r="X99" i="8"/>
  <c r="V99" i="8"/>
  <c r="W99" i="8" s="1"/>
  <c r="P99" i="8"/>
  <c r="H99" i="8"/>
  <c r="K99" i="8" s="1"/>
  <c r="N99" i="8" s="1"/>
  <c r="B99" i="8"/>
  <c r="Z99" i="8" s="1"/>
  <c r="X98" i="8"/>
  <c r="S98" i="8"/>
  <c r="T98" i="8" s="1"/>
  <c r="V98" i="8" s="1"/>
  <c r="W98" i="8" s="1"/>
  <c r="P98" i="8"/>
  <c r="H98" i="8"/>
  <c r="K98" i="8" s="1"/>
  <c r="D98" i="8"/>
  <c r="B98" i="8"/>
  <c r="Z98" i="8" s="1"/>
  <c r="X97" i="8"/>
  <c r="U97" i="8"/>
  <c r="T97" i="8"/>
  <c r="V97" i="8" s="1"/>
  <c r="W97" i="8" s="1"/>
  <c r="P97" i="8"/>
  <c r="H97" i="8"/>
  <c r="Q97" i="8" s="1"/>
  <c r="D97" i="8"/>
  <c r="B97" i="8"/>
  <c r="Z97" i="8" s="1"/>
  <c r="X96" i="8"/>
  <c r="T96" i="8"/>
  <c r="V96" i="8" s="1"/>
  <c r="W96" i="8" s="1"/>
  <c r="P96" i="8"/>
  <c r="H96" i="8"/>
  <c r="B96" i="8"/>
  <c r="Z96" i="8" s="1"/>
  <c r="X95" i="8"/>
  <c r="U95" i="8"/>
  <c r="T95" i="8"/>
  <c r="V95" i="8" s="1"/>
  <c r="W95" i="8" s="1"/>
  <c r="P95" i="8"/>
  <c r="H95" i="8"/>
  <c r="D95" i="8"/>
  <c r="X94" i="8"/>
  <c r="U94" i="8"/>
  <c r="T94" i="8"/>
  <c r="V94" i="8" s="1"/>
  <c r="W94" i="8" s="1"/>
  <c r="P94" i="8"/>
  <c r="H94" i="8"/>
  <c r="K94" i="8" s="1"/>
  <c r="D94" i="8"/>
  <c r="X93" i="8"/>
  <c r="U93" i="8"/>
  <c r="T93" i="8"/>
  <c r="P93" i="8"/>
  <c r="H93" i="8"/>
  <c r="D93" i="8"/>
  <c r="X92" i="8"/>
  <c r="U92" i="8"/>
  <c r="V92" i="8" s="1"/>
  <c r="W92" i="8" s="1"/>
  <c r="T92" i="8"/>
  <c r="P92" i="8"/>
  <c r="Q92" i="8" s="1"/>
  <c r="K92" i="8"/>
  <c r="H92" i="8"/>
  <c r="I92" i="8" s="1"/>
  <c r="D92" i="8"/>
  <c r="X91" i="8"/>
  <c r="U91" i="8"/>
  <c r="V91" i="8" s="1"/>
  <c r="W91" i="8" s="1"/>
  <c r="T91" i="8"/>
  <c r="P91" i="8"/>
  <c r="H91" i="8"/>
  <c r="E91" i="8"/>
  <c r="D91" i="8"/>
  <c r="X90" i="8"/>
  <c r="U90" i="8"/>
  <c r="T90" i="8"/>
  <c r="P90" i="8"/>
  <c r="K90" i="8"/>
  <c r="N90" i="8" s="1"/>
  <c r="H90" i="8"/>
  <c r="I90" i="8" s="1"/>
  <c r="D90" i="8"/>
  <c r="X89" i="8"/>
  <c r="U89" i="8"/>
  <c r="T89" i="8"/>
  <c r="V89" i="8" s="1"/>
  <c r="W89" i="8" s="1"/>
  <c r="P89" i="8"/>
  <c r="N89" i="8"/>
  <c r="H89" i="8"/>
  <c r="K89" i="8" s="1"/>
  <c r="L89" i="8" s="1"/>
  <c r="M89" i="8" s="1"/>
  <c r="D89" i="8"/>
  <c r="X88" i="8"/>
  <c r="U88" i="8"/>
  <c r="T88" i="8"/>
  <c r="V88" i="8" s="1"/>
  <c r="W88" i="8" s="1"/>
  <c r="P88" i="8"/>
  <c r="H88" i="8"/>
  <c r="Q88" i="8" s="1"/>
  <c r="D88" i="8"/>
  <c r="X87" i="8"/>
  <c r="U87" i="8"/>
  <c r="T87" i="8"/>
  <c r="V87" i="8" s="1"/>
  <c r="W87" i="8" s="1"/>
  <c r="P87" i="8"/>
  <c r="H87" i="8"/>
  <c r="K87" i="8" s="1"/>
  <c r="D87" i="8"/>
  <c r="X86" i="8"/>
  <c r="U86" i="8"/>
  <c r="T86" i="8"/>
  <c r="P86" i="8"/>
  <c r="K86" i="8"/>
  <c r="H86" i="8"/>
  <c r="I86" i="8" s="1"/>
  <c r="D86" i="8"/>
  <c r="X85" i="8"/>
  <c r="U85" i="8"/>
  <c r="T85" i="8"/>
  <c r="V85" i="8" s="1"/>
  <c r="W85" i="8" s="1"/>
  <c r="P85" i="8"/>
  <c r="H85" i="8"/>
  <c r="D85" i="8"/>
  <c r="X84" i="8"/>
  <c r="T84" i="8"/>
  <c r="V84" i="8" s="1"/>
  <c r="W84" i="8" s="1"/>
  <c r="P84" i="8"/>
  <c r="K84" i="8"/>
  <c r="H84" i="8"/>
  <c r="I84" i="8" s="1"/>
  <c r="B84" i="8"/>
  <c r="Z84" i="8" s="1"/>
  <c r="X83" i="8"/>
  <c r="T83" i="8"/>
  <c r="V83" i="8" s="1"/>
  <c r="W83" i="8" s="1"/>
  <c r="P83" i="8"/>
  <c r="H83" i="8"/>
  <c r="B83" i="8"/>
  <c r="Z83" i="8" s="1"/>
  <c r="X82" i="8"/>
  <c r="V82" i="8"/>
  <c r="W82" i="8" s="1"/>
  <c r="T82" i="8"/>
  <c r="P82" i="8"/>
  <c r="H82" i="8"/>
  <c r="I82" i="8" s="1"/>
  <c r="B82" i="8"/>
  <c r="Z82" i="8" s="1"/>
  <c r="X81" i="8"/>
  <c r="T81" i="8"/>
  <c r="V81" i="8" s="1"/>
  <c r="W81" i="8" s="1"/>
  <c r="P81" i="8"/>
  <c r="H81" i="8"/>
  <c r="K81" i="8" s="1"/>
  <c r="B81" i="8"/>
  <c r="Z81" i="8" s="1"/>
  <c r="Z80" i="8"/>
  <c r="X80" i="8"/>
  <c r="U80" i="8"/>
  <c r="T80" i="8"/>
  <c r="V80" i="8" s="1"/>
  <c r="W80" i="8" s="1"/>
  <c r="P80" i="8"/>
  <c r="H80" i="8"/>
  <c r="K80" i="8" s="1"/>
  <c r="D80" i="8"/>
  <c r="B80" i="8"/>
  <c r="X79" i="8"/>
  <c r="U79" i="8"/>
  <c r="T79" i="8"/>
  <c r="V79" i="8" s="1"/>
  <c r="W79" i="8" s="1"/>
  <c r="P79" i="8"/>
  <c r="H79" i="8"/>
  <c r="D79" i="8"/>
  <c r="B79" i="8"/>
  <c r="Z79" i="8" s="1"/>
  <c r="X78" i="8"/>
  <c r="U78" i="8"/>
  <c r="T78" i="8"/>
  <c r="V78" i="8" s="1"/>
  <c r="W78" i="8" s="1"/>
  <c r="P78" i="8"/>
  <c r="H78" i="8"/>
  <c r="D78" i="8"/>
  <c r="B78" i="8"/>
  <c r="Z78" i="8" s="1"/>
  <c r="X77" i="8"/>
  <c r="U77" i="8"/>
  <c r="V77" i="8" s="1"/>
  <c r="W77" i="8" s="1"/>
  <c r="T77" i="8"/>
  <c r="P77" i="8"/>
  <c r="H77" i="8"/>
  <c r="D77" i="8"/>
  <c r="B77" i="8"/>
  <c r="Z77" i="8" s="1"/>
  <c r="X76" i="8"/>
  <c r="U76" i="8"/>
  <c r="T76" i="8"/>
  <c r="V76" i="8" s="1"/>
  <c r="W76" i="8" s="1"/>
  <c r="P76" i="8"/>
  <c r="H76" i="8"/>
  <c r="D76" i="8"/>
  <c r="B76" i="8"/>
  <c r="Z76" i="8" s="1"/>
  <c r="X75" i="8"/>
  <c r="V75" i="8"/>
  <c r="W75" i="8" s="1"/>
  <c r="P75" i="8"/>
  <c r="H75" i="8"/>
  <c r="I75" i="8" s="1"/>
  <c r="B75" i="8"/>
  <c r="Z75" i="8" s="1"/>
  <c r="X74" i="8"/>
  <c r="U74" i="8"/>
  <c r="V74" i="8" s="1"/>
  <c r="W74" i="8" s="1"/>
  <c r="T74" i="8"/>
  <c r="P74" i="8"/>
  <c r="H74" i="8"/>
  <c r="I74" i="8" s="1"/>
  <c r="D74" i="8"/>
  <c r="B74" i="8"/>
  <c r="Z74" i="8" s="1"/>
  <c r="X73" i="8"/>
  <c r="U73" i="8"/>
  <c r="T73" i="8"/>
  <c r="V73" i="8" s="1"/>
  <c r="W73" i="8" s="1"/>
  <c r="P73" i="8"/>
  <c r="H73" i="8"/>
  <c r="K73" i="8" s="1"/>
  <c r="D73" i="8"/>
  <c r="B73" i="8"/>
  <c r="Z73" i="8" s="1"/>
  <c r="X72" i="8"/>
  <c r="U72" i="8"/>
  <c r="T72" i="8"/>
  <c r="V72" i="8" s="1"/>
  <c r="W72" i="8" s="1"/>
  <c r="P72" i="8"/>
  <c r="I72" i="8"/>
  <c r="H72" i="8"/>
  <c r="D72" i="8"/>
  <c r="B72" i="8"/>
  <c r="Z72" i="8" s="1"/>
  <c r="Z71" i="8"/>
  <c r="W71" i="8"/>
  <c r="V71" i="8"/>
  <c r="P71" i="8"/>
  <c r="K71" i="8"/>
  <c r="H71" i="8"/>
  <c r="I71" i="8" s="1"/>
  <c r="F71" i="8"/>
  <c r="B71" i="8"/>
  <c r="X70" i="8"/>
  <c r="V70" i="8"/>
  <c r="W70" i="8" s="1"/>
  <c r="P70" i="8"/>
  <c r="I70" i="8"/>
  <c r="H70" i="8"/>
  <c r="B70" i="8"/>
  <c r="Z70" i="8" s="1"/>
  <c r="X69" i="8"/>
  <c r="V69" i="8"/>
  <c r="W69" i="8" s="1"/>
  <c r="P69" i="8"/>
  <c r="H69" i="8"/>
  <c r="K69" i="8" s="1"/>
  <c r="B69" i="8"/>
  <c r="Z69" i="8" s="1"/>
  <c r="X68" i="8"/>
  <c r="V68" i="8"/>
  <c r="W68" i="8" s="1"/>
  <c r="P68" i="8"/>
  <c r="N68" i="8"/>
  <c r="L68" i="8"/>
  <c r="K68" i="8"/>
  <c r="H68" i="8"/>
  <c r="I68" i="8" s="1"/>
  <c r="B68" i="8"/>
  <c r="Z68" i="8" s="1"/>
  <c r="X67" i="8"/>
  <c r="V67" i="8"/>
  <c r="W67" i="8" s="1"/>
  <c r="P67" i="8"/>
  <c r="L67" i="8"/>
  <c r="I67" i="8"/>
  <c r="H67" i="8"/>
  <c r="K67" i="8" s="1"/>
  <c r="B67" i="8"/>
  <c r="Z67" i="8" s="1"/>
  <c r="X66" i="8"/>
  <c r="T66" i="8"/>
  <c r="V66" i="8" s="1"/>
  <c r="W66" i="8" s="1"/>
  <c r="P66" i="8"/>
  <c r="K66" i="8"/>
  <c r="H66" i="8"/>
  <c r="I66" i="8" s="1"/>
  <c r="B66" i="8"/>
  <c r="Z66" i="8" s="1"/>
  <c r="X65" i="8"/>
  <c r="T65" i="8"/>
  <c r="V65" i="8" s="1"/>
  <c r="W65" i="8" s="1"/>
  <c r="P65" i="8"/>
  <c r="H65" i="8"/>
  <c r="B65" i="8"/>
  <c r="Z65" i="8" s="1"/>
  <c r="X64" i="8"/>
  <c r="U64" i="8"/>
  <c r="T64" i="8"/>
  <c r="V64" i="8" s="1"/>
  <c r="W64" i="8" s="1"/>
  <c r="P64" i="8"/>
  <c r="H64" i="8"/>
  <c r="D64" i="8"/>
  <c r="X63" i="8"/>
  <c r="U63" i="8"/>
  <c r="V63" i="8" s="1"/>
  <c r="W63" i="8" s="1"/>
  <c r="T63" i="8"/>
  <c r="P63" i="8"/>
  <c r="H63" i="8"/>
  <c r="I63" i="8" s="1"/>
  <c r="D63" i="8"/>
  <c r="X62" i="8"/>
  <c r="T62" i="8"/>
  <c r="V62" i="8" s="1"/>
  <c r="W62" i="8" s="1"/>
  <c r="P62" i="8"/>
  <c r="H62" i="8"/>
  <c r="I62" i="8" s="1"/>
  <c r="B62" i="8"/>
  <c r="Z62" i="8" s="1"/>
  <c r="X61" i="8"/>
  <c r="U61" i="8"/>
  <c r="V61" i="8" s="1"/>
  <c r="W61" i="8" s="1"/>
  <c r="T61" i="8"/>
  <c r="P61" i="8"/>
  <c r="H61" i="8"/>
  <c r="D61" i="8"/>
  <c r="B61" i="8"/>
  <c r="Z61" i="8" s="1"/>
  <c r="X60" i="8"/>
  <c r="V60" i="8"/>
  <c r="W60" i="8" s="1"/>
  <c r="U60" i="8"/>
  <c r="T60" i="8"/>
  <c r="P60" i="8"/>
  <c r="I60" i="8"/>
  <c r="H60" i="8"/>
  <c r="K60" i="8" s="1"/>
  <c r="D60" i="8"/>
  <c r="B60" i="8"/>
  <c r="Z60" i="8" s="1"/>
  <c r="X59" i="8"/>
  <c r="U59" i="8"/>
  <c r="T59" i="8"/>
  <c r="V59" i="8" s="1"/>
  <c r="W59" i="8" s="1"/>
  <c r="P59" i="8"/>
  <c r="H59" i="8"/>
  <c r="Q59" i="8" s="1"/>
  <c r="D59" i="8"/>
  <c r="B59" i="8"/>
  <c r="Z59" i="8" s="1"/>
  <c r="X58" i="8"/>
  <c r="T58" i="8"/>
  <c r="V58" i="8" s="1"/>
  <c r="W58" i="8" s="1"/>
  <c r="S58" i="8"/>
  <c r="P58" i="8"/>
  <c r="N58" i="8"/>
  <c r="L58" i="8"/>
  <c r="K58" i="8"/>
  <c r="H58" i="8"/>
  <c r="I58" i="8" s="1"/>
  <c r="D58" i="8"/>
  <c r="B58" i="8"/>
  <c r="Z58" i="8" s="1"/>
  <c r="Z57" i="8"/>
  <c r="X57" i="8"/>
  <c r="W57" i="8"/>
  <c r="V57" i="8"/>
  <c r="T57" i="8"/>
  <c r="P57" i="8"/>
  <c r="H57" i="8"/>
  <c r="B57" i="8"/>
  <c r="Z56" i="8"/>
  <c r="X56" i="8"/>
  <c r="V56" i="8"/>
  <c r="W56" i="8" s="1"/>
  <c r="T56" i="8"/>
  <c r="P56" i="8"/>
  <c r="N56" i="8"/>
  <c r="M56" i="8"/>
  <c r="O56" i="8" s="1"/>
  <c r="K56" i="8"/>
  <c r="L56" i="8" s="1"/>
  <c r="I56" i="8"/>
  <c r="H56" i="8"/>
  <c r="B56" i="8"/>
  <c r="X55" i="8"/>
  <c r="T55" i="8"/>
  <c r="V55" i="8" s="1"/>
  <c r="W55" i="8" s="1"/>
  <c r="P55" i="8"/>
  <c r="L55" i="8"/>
  <c r="I55" i="8"/>
  <c r="H55" i="8"/>
  <c r="K55" i="8" s="1"/>
  <c r="F55" i="8"/>
  <c r="B55" i="8"/>
  <c r="Z55" i="8" s="1"/>
  <c r="Z54" i="8"/>
  <c r="X54" i="8"/>
  <c r="T54" i="8"/>
  <c r="V54" i="8" s="1"/>
  <c r="W54" i="8" s="1"/>
  <c r="P54" i="8"/>
  <c r="I54" i="8"/>
  <c r="H54" i="8"/>
  <c r="K54" i="8" s="1"/>
  <c r="B54" i="8"/>
  <c r="X53" i="8"/>
  <c r="T53" i="8"/>
  <c r="V53" i="8" s="1"/>
  <c r="W53" i="8" s="1"/>
  <c r="P53" i="8"/>
  <c r="K53" i="8"/>
  <c r="H53" i="8"/>
  <c r="I53" i="8" s="1"/>
  <c r="F53" i="8"/>
  <c r="B53" i="8"/>
  <c r="Z53" i="8" s="1"/>
  <c r="X52" i="8"/>
  <c r="T52" i="8"/>
  <c r="V52" i="8" s="1"/>
  <c r="W52" i="8" s="1"/>
  <c r="P52" i="8"/>
  <c r="K52" i="8"/>
  <c r="H52" i="8"/>
  <c r="I52" i="8" s="1"/>
  <c r="B52" i="8"/>
  <c r="Z52" i="8" s="1"/>
  <c r="X51" i="8"/>
  <c r="T51" i="8"/>
  <c r="V51" i="8" s="1"/>
  <c r="W51" i="8" s="1"/>
  <c r="P51" i="8"/>
  <c r="F51" i="8"/>
  <c r="H51" i="8" s="1"/>
  <c r="I51" i="8" s="1"/>
  <c r="B51" i="8"/>
  <c r="Z51" i="8" s="1"/>
  <c r="X50" i="8"/>
  <c r="T50" i="8"/>
  <c r="V50" i="8" s="1"/>
  <c r="W50" i="8" s="1"/>
  <c r="P50" i="8"/>
  <c r="H50" i="8"/>
  <c r="Q50" i="8" s="1"/>
  <c r="B50" i="8"/>
  <c r="Z50" i="8" s="1"/>
  <c r="X49" i="8"/>
  <c r="T49" i="8"/>
  <c r="V49" i="8" s="1"/>
  <c r="W49" i="8" s="1"/>
  <c r="P49" i="8"/>
  <c r="H49" i="8"/>
  <c r="Q49" i="8" s="1"/>
  <c r="F49" i="8"/>
  <c r="B49" i="8"/>
  <c r="Z49" i="8" s="1"/>
  <c r="Z48" i="8"/>
  <c r="X48" i="8"/>
  <c r="T48" i="8"/>
  <c r="V48" i="8" s="1"/>
  <c r="W48" i="8" s="1"/>
  <c r="P48" i="8"/>
  <c r="H48" i="8"/>
  <c r="Q48" i="8" s="1"/>
  <c r="B48" i="8"/>
  <c r="Z47" i="8"/>
  <c r="X47" i="8"/>
  <c r="T47" i="8"/>
  <c r="V47" i="8" s="1"/>
  <c r="W47" i="8" s="1"/>
  <c r="P47" i="8"/>
  <c r="F47" i="8"/>
  <c r="H47" i="8" s="1"/>
  <c r="B47" i="8"/>
  <c r="Z46" i="8"/>
  <c r="X46" i="8"/>
  <c r="T46" i="8"/>
  <c r="V46" i="8" s="1"/>
  <c r="W46" i="8" s="1"/>
  <c r="P46" i="8"/>
  <c r="F46" i="8"/>
  <c r="H46" i="8" s="1"/>
  <c r="B46" i="8"/>
  <c r="X45" i="8"/>
  <c r="U45" i="8"/>
  <c r="T45" i="8"/>
  <c r="V45" i="8" s="1"/>
  <c r="W45" i="8" s="1"/>
  <c r="P45" i="8"/>
  <c r="H45" i="8"/>
  <c r="D45" i="8"/>
  <c r="B45" i="8"/>
  <c r="Z45" i="8" s="1"/>
  <c r="X44" i="8"/>
  <c r="U44" i="8"/>
  <c r="T44" i="8"/>
  <c r="V44" i="8" s="1"/>
  <c r="W44" i="8" s="1"/>
  <c r="P44" i="8"/>
  <c r="H44" i="8"/>
  <c r="D44" i="8"/>
  <c r="B44" i="8"/>
  <c r="Z44" i="8" s="1"/>
  <c r="X43" i="8"/>
  <c r="U43" i="8"/>
  <c r="T43" i="8"/>
  <c r="P43" i="8"/>
  <c r="H43" i="8"/>
  <c r="I43" i="8" s="1"/>
  <c r="D43" i="8"/>
  <c r="B43" i="8"/>
  <c r="Z43" i="8" s="1"/>
  <c r="X42" i="8"/>
  <c r="U42" i="8"/>
  <c r="T42" i="8"/>
  <c r="V42" i="8" s="1"/>
  <c r="W42" i="8" s="1"/>
  <c r="P42" i="8"/>
  <c r="I42" i="8"/>
  <c r="H42" i="8"/>
  <c r="K42" i="8" s="1"/>
  <c r="D42" i="8"/>
  <c r="B42" i="8"/>
  <c r="Z42" i="8" s="1"/>
  <c r="X41" i="8"/>
  <c r="U41" i="8"/>
  <c r="T41" i="8"/>
  <c r="V41" i="8" s="1"/>
  <c r="W41" i="8" s="1"/>
  <c r="P41" i="8"/>
  <c r="H41" i="8"/>
  <c r="D41" i="8"/>
  <c r="B41" i="8"/>
  <c r="Z41" i="8" s="1"/>
  <c r="X40" i="8"/>
  <c r="V40" i="8"/>
  <c r="W40" i="8" s="1"/>
  <c r="U40" i="8"/>
  <c r="T40" i="8"/>
  <c r="P40" i="8"/>
  <c r="L40" i="8"/>
  <c r="K40" i="8"/>
  <c r="I40" i="8"/>
  <c r="H40" i="8"/>
  <c r="Q40" i="8" s="1"/>
  <c r="D40" i="8"/>
  <c r="B40" i="8"/>
  <c r="Z40" i="8" s="1"/>
  <c r="X39" i="8"/>
  <c r="V39" i="8"/>
  <c r="W39" i="8" s="1"/>
  <c r="U39" i="8"/>
  <c r="T39" i="8"/>
  <c r="P39" i="8"/>
  <c r="H39" i="8"/>
  <c r="K39" i="8" s="1"/>
  <c r="D39" i="8"/>
  <c r="B39" i="8"/>
  <c r="Z39" i="8" s="1"/>
  <c r="X38" i="8"/>
  <c r="U38" i="8"/>
  <c r="T38" i="8"/>
  <c r="V38" i="8" s="1"/>
  <c r="W38" i="8" s="1"/>
  <c r="P38" i="8"/>
  <c r="H38" i="8"/>
  <c r="K38" i="8" s="1"/>
  <c r="D38" i="8"/>
  <c r="B38" i="8"/>
  <c r="Z38" i="8" s="1"/>
  <c r="X37" i="8"/>
  <c r="U37" i="8"/>
  <c r="T37" i="8"/>
  <c r="V37" i="8" s="1"/>
  <c r="W37" i="8" s="1"/>
  <c r="Q37" i="8"/>
  <c r="P37" i="8"/>
  <c r="H37" i="8"/>
  <c r="D37" i="8"/>
  <c r="B37" i="8"/>
  <c r="Z37" i="8" s="1"/>
  <c r="X36" i="8"/>
  <c r="U36" i="8"/>
  <c r="T36" i="8"/>
  <c r="V36" i="8" s="1"/>
  <c r="W36" i="8" s="1"/>
  <c r="P36" i="8"/>
  <c r="K36" i="8"/>
  <c r="N36" i="8" s="1"/>
  <c r="H36" i="8"/>
  <c r="D36" i="8"/>
  <c r="B36" i="8"/>
  <c r="Z36" i="8" s="1"/>
  <c r="X35" i="8"/>
  <c r="U35" i="8"/>
  <c r="T35" i="8"/>
  <c r="P35" i="8"/>
  <c r="H35" i="8"/>
  <c r="I35" i="8" s="1"/>
  <c r="B35" i="8"/>
  <c r="Z35" i="8" s="1"/>
  <c r="X34" i="8"/>
  <c r="V34" i="8"/>
  <c r="W34" i="8" s="1"/>
  <c r="P34" i="8"/>
  <c r="H34" i="8"/>
  <c r="F34" i="8"/>
  <c r="B34" i="8"/>
  <c r="Z34" i="8" s="1"/>
  <c r="X33" i="8"/>
  <c r="V33" i="8"/>
  <c r="W33" i="8" s="1"/>
  <c r="P33" i="8"/>
  <c r="F33" i="8"/>
  <c r="H33" i="8" s="1"/>
  <c r="B33" i="8"/>
  <c r="Z33" i="8" s="1"/>
  <c r="X32" i="8"/>
  <c r="W32" i="8"/>
  <c r="V32" i="8"/>
  <c r="P32" i="8"/>
  <c r="F32" i="8"/>
  <c r="H32" i="8" s="1"/>
  <c r="B32" i="8"/>
  <c r="Z32" i="8" s="1"/>
  <c r="X31" i="8"/>
  <c r="W31" i="8"/>
  <c r="V31" i="8"/>
  <c r="P31" i="8"/>
  <c r="F31" i="8"/>
  <c r="H31" i="8" s="1"/>
  <c r="B31" i="8"/>
  <c r="Z31" i="8" s="1"/>
  <c r="X30" i="8"/>
  <c r="T30" i="8"/>
  <c r="V30" i="8" s="1"/>
  <c r="W30" i="8" s="1"/>
  <c r="P30" i="8"/>
  <c r="F30" i="8"/>
  <c r="H30" i="8" s="1"/>
  <c r="B30" i="8"/>
  <c r="Z30" i="8" s="1"/>
  <c r="Z29" i="8"/>
  <c r="X29" i="8"/>
  <c r="T29" i="8"/>
  <c r="V29" i="8" s="1"/>
  <c r="W29" i="8" s="1"/>
  <c r="P29" i="8"/>
  <c r="F29" i="8"/>
  <c r="H29" i="8" s="1"/>
  <c r="B29" i="8"/>
  <c r="X28" i="8"/>
  <c r="V28" i="8"/>
  <c r="W28" i="8" s="1"/>
  <c r="P28" i="8"/>
  <c r="N28" i="8"/>
  <c r="K28" i="8"/>
  <c r="L28" i="8" s="1"/>
  <c r="I28" i="8"/>
  <c r="H28" i="8"/>
  <c r="F28" i="8"/>
  <c r="B28" i="8"/>
  <c r="Z28" i="8" s="1"/>
  <c r="Z27" i="8"/>
  <c r="X27" i="8"/>
  <c r="V27" i="8"/>
  <c r="W27" i="8" s="1"/>
  <c r="P27" i="8"/>
  <c r="I27" i="8"/>
  <c r="H27" i="8"/>
  <c r="K27" i="8" s="1"/>
  <c r="N27" i="8" s="1"/>
  <c r="F27" i="8"/>
  <c r="B27" i="8"/>
  <c r="Z26" i="8"/>
  <c r="X26" i="8"/>
  <c r="V26" i="8"/>
  <c r="W26" i="8" s="1"/>
  <c r="P26" i="8"/>
  <c r="H26" i="8"/>
  <c r="F26" i="8"/>
  <c r="B26" i="8"/>
  <c r="X25" i="8"/>
  <c r="V25" i="8"/>
  <c r="W25" i="8" s="1"/>
  <c r="P25" i="8"/>
  <c r="F25" i="8"/>
  <c r="H25" i="8" s="1"/>
  <c r="B25" i="8"/>
  <c r="Z25" i="8" s="1"/>
  <c r="X24" i="8"/>
  <c r="V24" i="8"/>
  <c r="W24" i="8" s="1"/>
  <c r="P24" i="8"/>
  <c r="H24" i="8"/>
  <c r="F24" i="8"/>
  <c r="B24" i="8"/>
  <c r="Z24" i="8" s="1"/>
  <c r="Z23" i="8"/>
  <c r="X23" i="8"/>
  <c r="V23" i="8"/>
  <c r="W23" i="8" s="1"/>
  <c r="P23" i="8"/>
  <c r="H23" i="8"/>
  <c r="F23" i="8"/>
  <c r="B23" i="8"/>
  <c r="X22" i="8"/>
  <c r="V22" i="8"/>
  <c r="W22" i="8" s="1"/>
  <c r="P22" i="8"/>
  <c r="F22" i="8"/>
  <c r="H22" i="8" s="1"/>
  <c r="B22" i="8"/>
  <c r="Z22" i="8" s="1"/>
  <c r="X21" i="8"/>
  <c r="W21" i="8"/>
  <c r="V21" i="8"/>
  <c r="P21" i="8"/>
  <c r="F21" i="8"/>
  <c r="H21" i="8" s="1"/>
  <c r="B21" i="8"/>
  <c r="Z21" i="8" s="1"/>
  <c r="Z20" i="8"/>
  <c r="X20" i="8"/>
  <c r="V20" i="8"/>
  <c r="W20" i="8" s="1"/>
  <c r="P20" i="8"/>
  <c r="K20" i="8"/>
  <c r="I20" i="8"/>
  <c r="H20" i="8"/>
  <c r="Q20" i="8" s="1"/>
  <c r="F20" i="8"/>
  <c r="B20" i="8"/>
  <c r="X19" i="8"/>
  <c r="V19" i="8"/>
  <c r="W19" i="8" s="1"/>
  <c r="P19" i="8"/>
  <c r="L19" i="8"/>
  <c r="I19" i="8"/>
  <c r="H19" i="8"/>
  <c r="K19" i="8" s="1"/>
  <c r="N19" i="8" s="1"/>
  <c r="F19" i="8"/>
  <c r="B19" i="8"/>
  <c r="Z19" i="8" s="1"/>
  <c r="Z18" i="8"/>
  <c r="X18" i="8"/>
  <c r="T18" i="8"/>
  <c r="V18" i="8" s="1"/>
  <c r="W18" i="8" s="1"/>
  <c r="P18" i="8"/>
  <c r="H18" i="8"/>
  <c r="K18" i="8" s="1"/>
  <c r="F18" i="8"/>
  <c r="B18" i="8"/>
  <c r="X17" i="8"/>
  <c r="V17" i="8"/>
  <c r="W17" i="8" s="1"/>
  <c r="P17" i="8"/>
  <c r="K17" i="8"/>
  <c r="L17" i="8" s="1"/>
  <c r="H17" i="8"/>
  <c r="I17" i="8" s="1"/>
  <c r="F17" i="8"/>
  <c r="B17" i="8"/>
  <c r="Z17" i="8" s="1"/>
  <c r="X16" i="8"/>
  <c r="V16" i="8"/>
  <c r="W16" i="8" s="1"/>
  <c r="P16" i="8"/>
  <c r="I16" i="8"/>
  <c r="H16" i="8"/>
  <c r="Q16" i="8" s="1"/>
  <c r="B16" i="8"/>
  <c r="Z16" i="8" s="1"/>
  <c r="Z15" i="8"/>
  <c r="X15" i="8"/>
  <c r="V15" i="8"/>
  <c r="W15" i="8" s="1"/>
  <c r="P15" i="8"/>
  <c r="F15" i="8"/>
  <c r="H15" i="8" s="1"/>
  <c r="Q15" i="8" s="1"/>
  <c r="B15" i="8"/>
  <c r="X14" i="8"/>
  <c r="W14" i="8"/>
  <c r="V14" i="8"/>
  <c r="P14" i="8"/>
  <c r="F14" i="8"/>
  <c r="H14" i="8" s="1"/>
  <c r="B14" i="8"/>
  <c r="Z14" i="8" s="1"/>
  <c r="X13" i="8"/>
  <c r="V13" i="8"/>
  <c r="W13" i="8" s="1"/>
  <c r="P13" i="8"/>
  <c r="F13" i="8"/>
  <c r="H13" i="8" s="1"/>
  <c r="B13" i="8"/>
  <c r="Z13" i="8" s="1"/>
  <c r="X12" i="8"/>
  <c r="W12" i="8"/>
  <c r="V12" i="8"/>
  <c r="P12" i="8"/>
  <c r="K12" i="8"/>
  <c r="L12" i="8" s="1"/>
  <c r="M12" i="8" s="1"/>
  <c r="O12" i="8" s="1"/>
  <c r="I12" i="8"/>
  <c r="H12" i="8"/>
  <c r="F12" i="8"/>
  <c r="B12" i="8"/>
  <c r="Z12" i="8" s="1"/>
  <c r="X11" i="8"/>
  <c r="V11" i="8"/>
  <c r="W11" i="8" s="1"/>
  <c r="P11" i="8"/>
  <c r="I11" i="8"/>
  <c r="H11" i="8"/>
  <c r="K11" i="8" s="1"/>
  <c r="N11" i="8" s="1"/>
  <c r="F11" i="8"/>
  <c r="B11" i="8"/>
  <c r="Z11" i="8" s="1"/>
  <c r="X10" i="8"/>
  <c r="S10" i="8"/>
  <c r="V10" i="8" s="1"/>
  <c r="W10" i="8" s="1"/>
  <c r="P10" i="8"/>
  <c r="L10" i="8"/>
  <c r="M10" i="8" s="1"/>
  <c r="O10" i="8" s="1"/>
  <c r="I10" i="8"/>
  <c r="H10" i="8"/>
  <c r="K10" i="8" s="1"/>
  <c r="N10" i="8" s="1"/>
  <c r="F10" i="8"/>
  <c r="B10" i="8"/>
  <c r="Z10" i="8" s="1"/>
  <c r="Z9" i="8"/>
  <c r="X9" i="8"/>
  <c r="T9" i="8"/>
  <c r="V9" i="8" s="1"/>
  <c r="W9" i="8" s="1"/>
  <c r="P9" i="8"/>
  <c r="H9" i="8"/>
  <c r="K9" i="8" s="1"/>
  <c r="N9" i="8" s="1"/>
  <c r="F9" i="8"/>
  <c r="B9" i="8"/>
  <c r="Z8" i="8"/>
  <c r="X8" i="8"/>
  <c r="T8" i="8"/>
  <c r="V8" i="8" s="1"/>
  <c r="W8" i="8" s="1"/>
  <c r="S8" i="8"/>
  <c r="P8" i="8"/>
  <c r="I8" i="8"/>
  <c r="H8" i="8"/>
  <c r="B8" i="8"/>
  <c r="X7" i="8"/>
  <c r="T7" i="8"/>
  <c r="V7" i="8" s="1"/>
  <c r="W7" i="8" s="1"/>
  <c r="S7" i="8"/>
  <c r="P7" i="8"/>
  <c r="F7" i="8"/>
  <c r="H7" i="8" s="1"/>
  <c r="B7" i="8"/>
  <c r="Z7" i="8" s="1"/>
  <c r="Z6" i="8"/>
  <c r="X6" i="8"/>
  <c r="V6" i="8"/>
  <c r="W6" i="8" s="1"/>
  <c r="T6" i="8"/>
  <c r="P6" i="8"/>
  <c r="F6" i="8"/>
  <c r="H6" i="8" s="1"/>
  <c r="B6" i="8"/>
  <c r="Z5" i="8"/>
  <c r="X5" i="8"/>
  <c r="T5" i="8"/>
  <c r="V5" i="8" s="1"/>
  <c r="W5" i="8" s="1"/>
  <c r="P5" i="8"/>
  <c r="F5" i="8"/>
  <c r="H5" i="8" s="1"/>
  <c r="B5" i="8"/>
  <c r="C5" i="19" s="1"/>
  <c r="D5" i="19" s="1"/>
  <c r="Z4" i="8"/>
  <c r="X4" i="8"/>
  <c r="V4" i="8"/>
  <c r="W4" i="8" s="1"/>
  <c r="T4" i="8"/>
  <c r="P4" i="8"/>
  <c r="F4" i="8"/>
  <c r="H4" i="8" s="1"/>
  <c r="B4" i="8"/>
  <c r="X3" i="8"/>
  <c r="V3" i="8"/>
  <c r="W3" i="8" s="1"/>
  <c r="T3" i="8"/>
  <c r="P3" i="8"/>
  <c r="H3" i="8"/>
  <c r="F3" i="8"/>
  <c r="B3" i="8"/>
  <c r="Z3" i="8" s="1"/>
  <c r="X2" i="8"/>
  <c r="V2" i="8"/>
  <c r="W2" i="8" s="1"/>
  <c r="T2" i="8"/>
  <c r="P2" i="8"/>
  <c r="H2" i="8"/>
  <c r="F2" i="8"/>
  <c r="B2" i="8"/>
  <c r="V756" i="1" s="1"/>
  <c r="M506" i="6"/>
  <c r="H490" i="6"/>
  <c r="G490" i="6"/>
  <c r="H489" i="6"/>
  <c r="G489" i="6"/>
  <c r="H488" i="6"/>
  <c r="G488" i="6"/>
  <c r="H487" i="6"/>
  <c r="G487" i="6"/>
  <c r="H486" i="6"/>
  <c r="G486" i="6"/>
  <c r="H485" i="6"/>
  <c r="G485" i="6"/>
  <c r="H484" i="6"/>
  <c r="G484" i="6"/>
  <c r="H483" i="6"/>
  <c r="G483" i="6"/>
  <c r="H482" i="6"/>
  <c r="G482" i="6"/>
  <c r="H481" i="6"/>
  <c r="G481" i="6"/>
  <c r="H480" i="6"/>
  <c r="G480" i="6"/>
  <c r="H479" i="6"/>
  <c r="G479" i="6"/>
  <c r="H478" i="6"/>
  <c r="G478" i="6"/>
  <c r="H477" i="6"/>
  <c r="G477" i="6"/>
  <c r="H476" i="6"/>
  <c r="G476" i="6"/>
  <c r="H475" i="6"/>
  <c r="G475" i="6"/>
  <c r="H474" i="6"/>
  <c r="G474" i="6"/>
  <c r="H473" i="6"/>
  <c r="G473" i="6"/>
  <c r="H472" i="6"/>
  <c r="G472" i="6"/>
  <c r="H471" i="6"/>
  <c r="G471" i="6"/>
  <c r="H470" i="6"/>
  <c r="G470" i="6"/>
  <c r="H469" i="6"/>
  <c r="G469" i="6"/>
  <c r="H468" i="6"/>
  <c r="G468" i="6"/>
  <c r="H467" i="6"/>
  <c r="G467" i="6"/>
  <c r="H466" i="6"/>
  <c r="G466" i="6"/>
  <c r="H465" i="6"/>
  <c r="G465" i="6"/>
  <c r="H464" i="6"/>
  <c r="G464" i="6"/>
  <c r="H463" i="6"/>
  <c r="G463" i="6"/>
  <c r="H462" i="6"/>
  <c r="G462" i="6"/>
  <c r="H461" i="6"/>
  <c r="G461" i="6"/>
  <c r="H460" i="6"/>
  <c r="G460" i="6"/>
  <c r="H459" i="6"/>
  <c r="G459" i="6"/>
  <c r="H458" i="6"/>
  <c r="G458" i="6"/>
  <c r="H457" i="6"/>
  <c r="G457" i="6"/>
  <c r="H456" i="6"/>
  <c r="G456" i="6"/>
  <c r="H455" i="6"/>
  <c r="G455" i="6"/>
  <c r="H454" i="6"/>
  <c r="G454" i="6"/>
  <c r="H453" i="6"/>
  <c r="G453" i="6"/>
  <c r="H452" i="6"/>
  <c r="G452" i="6"/>
  <c r="H451" i="6"/>
  <c r="G451" i="6"/>
  <c r="H450" i="6"/>
  <c r="G450" i="6"/>
  <c r="H449" i="6"/>
  <c r="G449" i="6"/>
  <c r="H448" i="6"/>
  <c r="G448" i="6"/>
  <c r="H447" i="6"/>
  <c r="G447" i="6"/>
  <c r="H446" i="6"/>
  <c r="G446" i="6"/>
  <c r="H445" i="6"/>
  <c r="G445" i="6"/>
  <c r="H444" i="6"/>
  <c r="G444" i="6"/>
  <c r="H443" i="6"/>
  <c r="G443" i="6"/>
  <c r="H442" i="6"/>
  <c r="G442" i="6"/>
  <c r="H441" i="6"/>
  <c r="G441" i="6"/>
  <c r="H440" i="6"/>
  <c r="G440" i="6"/>
  <c r="H439" i="6"/>
  <c r="G439" i="6"/>
  <c r="H438" i="6"/>
  <c r="G438" i="6"/>
  <c r="H437" i="6"/>
  <c r="G437" i="6"/>
  <c r="H436" i="6"/>
  <c r="G436" i="6"/>
  <c r="H435" i="6"/>
  <c r="G435" i="6"/>
  <c r="H434" i="6"/>
  <c r="G434" i="6"/>
  <c r="H433" i="6"/>
  <c r="G433" i="6"/>
  <c r="H432" i="6"/>
  <c r="G432" i="6"/>
  <c r="H431" i="6"/>
  <c r="G431" i="6"/>
  <c r="H430" i="6"/>
  <c r="G430" i="6"/>
  <c r="H429" i="6"/>
  <c r="G429" i="6"/>
  <c r="H428" i="6"/>
  <c r="G428" i="6"/>
  <c r="H427" i="6"/>
  <c r="G427" i="6"/>
  <c r="H426" i="6"/>
  <c r="G426" i="6"/>
  <c r="R425" i="6"/>
  <c r="S425" i="6" s="1"/>
  <c r="H425" i="6"/>
  <c r="G425" i="6"/>
  <c r="H424" i="6"/>
  <c r="G424" i="6"/>
  <c r="H423" i="6"/>
  <c r="G423" i="6"/>
  <c r="H422" i="6"/>
  <c r="G422" i="6"/>
  <c r="H421" i="6"/>
  <c r="G421" i="6"/>
  <c r="H420" i="6"/>
  <c r="G420" i="6"/>
  <c r="H419" i="6"/>
  <c r="G419" i="6"/>
  <c r="H418" i="6"/>
  <c r="G418" i="6"/>
  <c r="H417" i="6"/>
  <c r="G417" i="6"/>
  <c r="H416" i="6"/>
  <c r="G416" i="6"/>
  <c r="H415" i="6"/>
  <c r="G415" i="6"/>
  <c r="H414" i="6"/>
  <c r="G414" i="6"/>
  <c r="H413" i="6"/>
  <c r="G413" i="6"/>
  <c r="H412" i="6"/>
  <c r="G412" i="6"/>
  <c r="H411" i="6"/>
  <c r="G411" i="6"/>
  <c r="H410" i="6"/>
  <c r="G410" i="6"/>
  <c r="H409" i="6"/>
  <c r="G409" i="6"/>
  <c r="H408" i="6"/>
  <c r="G408" i="6"/>
  <c r="H407" i="6"/>
  <c r="G407" i="6"/>
  <c r="H406" i="6"/>
  <c r="G406" i="6"/>
  <c r="H405" i="6"/>
  <c r="G405" i="6"/>
  <c r="H404" i="6"/>
  <c r="G404" i="6"/>
  <c r="H403" i="6"/>
  <c r="G403" i="6"/>
  <c r="H402" i="6"/>
  <c r="G402" i="6"/>
  <c r="H401" i="6"/>
  <c r="G401" i="6"/>
  <c r="H400" i="6"/>
  <c r="G400" i="6"/>
  <c r="H399" i="6"/>
  <c r="G399" i="6"/>
  <c r="H398" i="6"/>
  <c r="G398" i="6"/>
  <c r="H397" i="6"/>
  <c r="G397" i="6"/>
  <c r="H396" i="6"/>
  <c r="G396" i="6"/>
  <c r="H395" i="6"/>
  <c r="G395" i="6"/>
  <c r="H394" i="6"/>
  <c r="G394" i="6"/>
  <c r="H393" i="6"/>
  <c r="G393" i="6"/>
  <c r="H392" i="6"/>
  <c r="G392" i="6"/>
  <c r="H391" i="6"/>
  <c r="G391" i="6"/>
  <c r="H390" i="6"/>
  <c r="G390" i="6"/>
  <c r="H389" i="6"/>
  <c r="G389" i="6"/>
  <c r="H388" i="6"/>
  <c r="G388" i="6"/>
  <c r="H387" i="6"/>
  <c r="G387" i="6"/>
  <c r="H386" i="6"/>
  <c r="G386" i="6"/>
  <c r="H385" i="6"/>
  <c r="G385" i="6"/>
  <c r="H384" i="6"/>
  <c r="G384" i="6"/>
  <c r="H383" i="6"/>
  <c r="G383" i="6"/>
  <c r="H382" i="6"/>
  <c r="G382" i="6"/>
  <c r="H381" i="6"/>
  <c r="G381" i="6"/>
  <c r="H380" i="6"/>
  <c r="G380" i="6"/>
  <c r="H379" i="6"/>
  <c r="G379" i="6"/>
  <c r="H378" i="6"/>
  <c r="G378" i="6"/>
  <c r="H377" i="6"/>
  <c r="G377" i="6"/>
  <c r="H376" i="6"/>
  <c r="G376" i="6"/>
  <c r="H375" i="6"/>
  <c r="G375" i="6"/>
  <c r="H374" i="6"/>
  <c r="G374" i="6"/>
  <c r="H373" i="6"/>
  <c r="G373" i="6"/>
  <c r="H372" i="6"/>
  <c r="G372" i="6"/>
  <c r="H371" i="6"/>
  <c r="G371" i="6"/>
  <c r="H370" i="6"/>
  <c r="G370" i="6"/>
  <c r="H369" i="6"/>
  <c r="G369" i="6"/>
  <c r="H368" i="6"/>
  <c r="G368" i="6"/>
  <c r="H367" i="6"/>
  <c r="G367" i="6"/>
  <c r="H366" i="6"/>
  <c r="G366" i="6"/>
  <c r="H365" i="6"/>
  <c r="G365" i="6"/>
  <c r="H364" i="6"/>
  <c r="G364" i="6"/>
  <c r="H363" i="6"/>
  <c r="G363" i="6"/>
  <c r="H362" i="6"/>
  <c r="G362" i="6"/>
  <c r="H361" i="6"/>
  <c r="G361" i="6"/>
  <c r="H360" i="6"/>
  <c r="G360" i="6"/>
  <c r="H359" i="6"/>
  <c r="G359" i="6"/>
  <c r="H358" i="6"/>
  <c r="G358" i="6"/>
  <c r="H357" i="6"/>
  <c r="G357" i="6"/>
  <c r="H356" i="6"/>
  <c r="G356" i="6"/>
  <c r="H355" i="6"/>
  <c r="G355" i="6"/>
  <c r="H354" i="6"/>
  <c r="G354" i="6"/>
  <c r="H353" i="6"/>
  <c r="G353" i="6"/>
  <c r="H352" i="6"/>
  <c r="G352" i="6"/>
  <c r="H351" i="6"/>
  <c r="G351" i="6"/>
  <c r="H350" i="6"/>
  <c r="G350" i="6"/>
  <c r="H349" i="6"/>
  <c r="G349" i="6"/>
  <c r="H348" i="6"/>
  <c r="G348" i="6"/>
  <c r="H347" i="6"/>
  <c r="G347" i="6"/>
  <c r="H346" i="6"/>
  <c r="G346" i="6"/>
  <c r="H345" i="6"/>
  <c r="G345" i="6"/>
  <c r="H344" i="6"/>
  <c r="G344" i="6"/>
  <c r="H343" i="6"/>
  <c r="G343" i="6"/>
  <c r="H342" i="6"/>
  <c r="G342" i="6"/>
  <c r="H341" i="6"/>
  <c r="G341" i="6"/>
  <c r="H340" i="6"/>
  <c r="G340" i="6"/>
  <c r="H339" i="6"/>
  <c r="G339" i="6"/>
  <c r="H338" i="6"/>
  <c r="G338" i="6"/>
  <c r="H337" i="6"/>
  <c r="G337" i="6"/>
  <c r="H336" i="6"/>
  <c r="G336" i="6"/>
  <c r="H335" i="6"/>
  <c r="G335" i="6"/>
  <c r="H334" i="6"/>
  <c r="G334" i="6"/>
  <c r="H333" i="6"/>
  <c r="G333" i="6"/>
  <c r="H332" i="6"/>
  <c r="G332" i="6"/>
  <c r="H331" i="6"/>
  <c r="G331" i="6"/>
  <c r="H330" i="6"/>
  <c r="G330" i="6"/>
  <c r="H329" i="6"/>
  <c r="G329" i="6"/>
  <c r="H328" i="6"/>
  <c r="G328" i="6"/>
  <c r="H327" i="6"/>
  <c r="G327" i="6"/>
  <c r="H326" i="6"/>
  <c r="G326" i="6"/>
  <c r="H325" i="6"/>
  <c r="G325" i="6"/>
  <c r="H324" i="6"/>
  <c r="G324" i="6"/>
  <c r="H323" i="6"/>
  <c r="G323" i="6"/>
  <c r="H322" i="6"/>
  <c r="G322" i="6"/>
  <c r="H321" i="6"/>
  <c r="G321" i="6"/>
  <c r="H320" i="6"/>
  <c r="G320" i="6"/>
  <c r="S319" i="6"/>
  <c r="H319" i="6"/>
  <c r="G319" i="6"/>
  <c r="H318" i="6"/>
  <c r="G318" i="6"/>
  <c r="H317" i="6"/>
  <c r="G317" i="6"/>
  <c r="H316" i="6"/>
  <c r="G316" i="6"/>
  <c r="H315" i="6"/>
  <c r="G315" i="6"/>
  <c r="H314" i="6"/>
  <c r="G314" i="6"/>
  <c r="H313" i="6"/>
  <c r="G313" i="6"/>
  <c r="H312" i="6"/>
  <c r="G312" i="6"/>
  <c r="H311" i="6"/>
  <c r="G311" i="6"/>
  <c r="H310" i="6"/>
  <c r="G310" i="6"/>
  <c r="H309" i="6"/>
  <c r="G309" i="6"/>
  <c r="H308" i="6"/>
  <c r="G308" i="6"/>
  <c r="H307" i="6"/>
  <c r="G307" i="6"/>
  <c r="H306" i="6"/>
  <c r="G306" i="6"/>
  <c r="H305" i="6"/>
  <c r="G305" i="6"/>
  <c r="H304" i="6"/>
  <c r="G304" i="6"/>
  <c r="H303" i="6"/>
  <c r="G303" i="6"/>
  <c r="H302" i="6"/>
  <c r="G302" i="6"/>
  <c r="H301" i="6"/>
  <c r="G301" i="6"/>
  <c r="H300" i="6"/>
  <c r="G300" i="6"/>
  <c r="H299" i="6"/>
  <c r="G299" i="6"/>
  <c r="H298" i="6"/>
  <c r="G298" i="6"/>
  <c r="H297" i="6"/>
  <c r="G297" i="6"/>
  <c r="H296" i="6"/>
  <c r="G296" i="6"/>
  <c r="H295" i="6"/>
  <c r="G295" i="6"/>
  <c r="H294" i="6"/>
  <c r="G294" i="6"/>
  <c r="H293" i="6"/>
  <c r="G293" i="6"/>
  <c r="H292" i="6"/>
  <c r="G292" i="6"/>
  <c r="H291" i="6"/>
  <c r="G291" i="6"/>
  <c r="H290" i="6"/>
  <c r="G290" i="6"/>
  <c r="H289" i="6"/>
  <c r="G289" i="6"/>
  <c r="H288" i="6"/>
  <c r="G288" i="6"/>
  <c r="H287" i="6"/>
  <c r="G287" i="6"/>
  <c r="H286" i="6"/>
  <c r="G286" i="6"/>
  <c r="H285" i="6"/>
  <c r="G285" i="6"/>
  <c r="H284" i="6"/>
  <c r="G284" i="6"/>
  <c r="H283" i="6"/>
  <c r="G283" i="6"/>
  <c r="H282" i="6"/>
  <c r="G282" i="6"/>
  <c r="H281" i="6"/>
  <c r="G281" i="6"/>
  <c r="H280" i="6"/>
  <c r="G280" i="6"/>
  <c r="H279" i="6"/>
  <c r="G279" i="6"/>
  <c r="H278" i="6"/>
  <c r="G278" i="6"/>
  <c r="H277" i="6"/>
  <c r="G277" i="6"/>
  <c r="H276" i="6"/>
  <c r="G276" i="6"/>
  <c r="H275" i="6"/>
  <c r="G275" i="6"/>
  <c r="H274" i="6"/>
  <c r="G274" i="6"/>
  <c r="H273" i="6"/>
  <c r="G273" i="6"/>
  <c r="H272" i="6"/>
  <c r="G272" i="6"/>
  <c r="H271" i="6"/>
  <c r="G271" i="6"/>
  <c r="H270" i="6"/>
  <c r="G270" i="6"/>
  <c r="H269" i="6"/>
  <c r="G269" i="6"/>
  <c r="H268" i="6"/>
  <c r="G268" i="6"/>
  <c r="H267" i="6"/>
  <c r="G267" i="6"/>
  <c r="H266" i="6"/>
  <c r="G266" i="6"/>
  <c r="H265" i="6"/>
  <c r="G265" i="6"/>
  <c r="H264" i="6"/>
  <c r="G264" i="6"/>
  <c r="H263" i="6"/>
  <c r="G263" i="6"/>
  <c r="H262" i="6"/>
  <c r="G262" i="6"/>
  <c r="H261" i="6"/>
  <c r="G261" i="6"/>
  <c r="H260" i="6"/>
  <c r="G260" i="6"/>
  <c r="H259" i="6"/>
  <c r="G259" i="6"/>
  <c r="H258" i="6"/>
  <c r="G258" i="6"/>
  <c r="H257" i="6"/>
  <c r="G257" i="6"/>
  <c r="H256" i="6"/>
  <c r="G256" i="6"/>
  <c r="H255" i="6"/>
  <c r="G255" i="6"/>
  <c r="H254" i="6"/>
  <c r="G254" i="6"/>
  <c r="H253" i="6"/>
  <c r="G253" i="6"/>
  <c r="H252" i="6"/>
  <c r="G252" i="6"/>
  <c r="H251" i="6"/>
  <c r="G251" i="6"/>
  <c r="H250" i="6"/>
  <c r="G250" i="6"/>
  <c r="H249" i="6"/>
  <c r="G249" i="6"/>
  <c r="H248" i="6"/>
  <c r="G248" i="6"/>
  <c r="H247" i="6"/>
  <c r="G247" i="6"/>
  <c r="H246" i="6"/>
  <c r="G246" i="6"/>
  <c r="H245" i="6"/>
  <c r="G245" i="6"/>
  <c r="S244" i="6"/>
  <c r="R244" i="6"/>
  <c r="H244" i="6"/>
  <c r="G244" i="6"/>
  <c r="H243" i="6"/>
  <c r="G243" i="6"/>
  <c r="H242" i="6"/>
  <c r="G242" i="6"/>
  <c r="H241" i="6"/>
  <c r="G241" i="6"/>
  <c r="H240" i="6"/>
  <c r="G240" i="6"/>
  <c r="H239" i="6"/>
  <c r="G239" i="6"/>
  <c r="H238" i="6"/>
  <c r="G238" i="6"/>
  <c r="H237" i="6"/>
  <c r="G237" i="6"/>
  <c r="H236" i="6"/>
  <c r="G236" i="6"/>
  <c r="H235" i="6"/>
  <c r="G235" i="6"/>
  <c r="H234" i="6"/>
  <c r="G234" i="6"/>
  <c r="H233" i="6"/>
  <c r="G233" i="6"/>
  <c r="H232" i="6"/>
  <c r="G232" i="6"/>
  <c r="H231" i="6"/>
  <c r="G231" i="6"/>
  <c r="H230" i="6"/>
  <c r="G230" i="6"/>
  <c r="H229" i="6"/>
  <c r="G229" i="6"/>
  <c r="H228" i="6"/>
  <c r="G228" i="6"/>
  <c r="H227" i="6"/>
  <c r="G227" i="6"/>
  <c r="H226" i="6"/>
  <c r="G226" i="6"/>
  <c r="H225" i="6"/>
  <c r="G225" i="6"/>
  <c r="H224" i="6"/>
  <c r="G224" i="6"/>
  <c r="H223" i="6"/>
  <c r="G223" i="6"/>
  <c r="H222" i="6"/>
  <c r="G222" i="6"/>
  <c r="H221" i="6"/>
  <c r="G221" i="6"/>
  <c r="H220" i="6"/>
  <c r="G220" i="6"/>
  <c r="H219" i="6"/>
  <c r="G219" i="6"/>
  <c r="H218" i="6"/>
  <c r="G218" i="6"/>
  <c r="H217" i="6"/>
  <c r="G217" i="6"/>
  <c r="H216" i="6"/>
  <c r="G216" i="6"/>
  <c r="H215" i="6"/>
  <c r="G215" i="6"/>
  <c r="H214" i="6"/>
  <c r="G214" i="6"/>
  <c r="H213" i="6"/>
  <c r="G213" i="6"/>
  <c r="H212" i="6"/>
  <c r="G212" i="6"/>
  <c r="H211" i="6"/>
  <c r="G211" i="6"/>
  <c r="H210" i="6"/>
  <c r="G210" i="6"/>
  <c r="H209" i="6"/>
  <c r="G209" i="6"/>
  <c r="H208" i="6"/>
  <c r="G208" i="6"/>
  <c r="H207" i="6"/>
  <c r="G207" i="6"/>
  <c r="H206" i="6"/>
  <c r="G206" i="6"/>
  <c r="H205" i="6"/>
  <c r="G205" i="6"/>
  <c r="H204" i="6"/>
  <c r="G204" i="6"/>
  <c r="H203" i="6"/>
  <c r="G203" i="6"/>
  <c r="H202" i="6"/>
  <c r="G202" i="6"/>
  <c r="H201" i="6"/>
  <c r="G201" i="6"/>
  <c r="H200" i="6"/>
  <c r="G200" i="6"/>
  <c r="H199" i="6"/>
  <c r="G199" i="6"/>
  <c r="H198" i="6"/>
  <c r="G198" i="6"/>
  <c r="H197" i="6"/>
  <c r="G197" i="6"/>
  <c r="H196" i="6"/>
  <c r="G196" i="6"/>
  <c r="H195" i="6"/>
  <c r="G195" i="6"/>
  <c r="H194" i="6"/>
  <c r="G194" i="6"/>
  <c r="H193" i="6"/>
  <c r="G193" i="6"/>
  <c r="H192" i="6"/>
  <c r="G192" i="6"/>
  <c r="H191" i="6"/>
  <c r="G191" i="6"/>
  <c r="H190" i="6"/>
  <c r="G190" i="6"/>
  <c r="H189" i="6"/>
  <c r="G189" i="6"/>
  <c r="H188" i="6"/>
  <c r="G188" i="6"/>
  <c r="H187" i="6"/>
  <c r="G187" i="6"/>
  <c r="H186" i="6"/>
  <c r="G186" i="6"/>
  <c r="H185" i="6"/>
  <c r="G185" i="6"/>
  <c r="H184" i="6"/>
  <c r="G184" i="6"/>
  <c r="H183" i="6"/>
  <c r="G183" i="6"/>
  <c r="H182" i="6"/>
  <c r="G182" i="6"/>
  <c r="H181" i="6"/>
  <c r="G181" i="6"/>
  <c r="H180" i="6"/>
  <c r="G180" i="6"/>
  <c r="H179" i="6"/>
  <c r="G179" i="6"/>
  <c r="H178" i="6"/>
  <c r="G178" i="6"/>
  <c r="H177" i="6"/>
  <c r="G177" i="6"/>
  <c r="H176" i="6"/>
  <c r="G176" i="6"/>
  <c r="H175" i="6"/>
  <c r="G175" i="6"/>
  <c r="H174" i="6"/>
  <c r="G174" i="6"/>
  <c r="H173" i="6"/>
  <c r="G173" i="6"/>
  <c r="H172" i="6"/>
  <c r="G172" i="6"/>
  <c r="H171" i="6"/>
  <c r="G171" i="6"/>
  <c r="H170" i="6"/>
  <c r="G170" i="6"/>
  <c r="H169" i="6"/>
  <c r="G169" i="6"/>
  <c r="H168" i="6"/>
  <c r="G168" i="6"/>
  <c r="H167" i="6"/>
  <c r="G167" i="6"/>
  <c r="H166" i="6"/>
  <c r="G166" i="6"/>
  <c r="H165" i="6"/>
  <c r="G165" i="6"/>
  <c r="H164" i="6"/>
  <c r="G164" i="6"/>
  <c r="H163" i="6"/>
  <c r="G163" i="6"/>
  <c r="H162" i="6"/>
  <c r="G162" i="6"/>
  <c r="H161" i="6"/>
  <c r="G161" i="6"/>
  <c r="H160" i="6"/>
  <c r="G160" i="6"/>
  <c r="H159" i="6"/>
  <c r="G159" i="6"/>
  <c r="H158" i="6"/>
  <c r="G158" i="6"/>
  <c r="H157" i="6"/>
  <c r="G157" i="6"/>
  <c r="H156" i="6"/>
  <c r="G156" i="6"/>
  <c r="H155" i="6"/>
  <c r="G155" i="6"/>
  <c r="H154" i="6"/>
  <c r="G154" i="6"/>
  <c r="H153" i="6"/>
  <c r="G153" i="6"/>
  <c r="H152" i="6"/>
  <c r="G152" i="6"/>
  <c r="H151" i="6"/>
  <c r="G151" i="6"/>
  <c r="H150" i="6"/>
  <c r="G150" i="6"/>
  <c r="H149" i="6"/>
  <c r="G149" i="6"/>
  <c r="H148" i="6"/>
  <c r="G148" i="6"/>
  <c r="H147" i="6"/>
  <c r="G147" i="6"/>
  <c r="H146" i="6"/>
  <c r="G146" i="6"/>
  <c r="H145" i="6"/>
  <c r="G145" i="6"/>
  <c r="H144" i="6"/>
  <c r="G144" i="6"/>
  <c r="H143" i="6"/>
  <c r="G143" i="6"/>
  <c r="H142" i="6"/>
  <c r="G142" i="6"/>
  <c r="H141" i="6"/>
  <c r="G141" i="6"/>
  <c r="H140" i="6"/>
  <c r="G140" i="6"/>
  <c r="H139" i="6"/>
  <c r="G139" i="6"/>
  <c r="H138" i="6"/>
  <c r="G138" i="6"/>
  <c r="H137" i="6"/>
  <c r="G137" i="6"/>
  <c r="H136" i="6"/>
  <c r="G136" i="6"/>
  <c r="H135" i="6"/>
  <c r="G135" i="6"/>
  <c r="H134" i="6"/>
  <c r="G134" i="6"/>
  <c r="H133" i="6"/>
  <c r="G133" i="6"/>
  <c r="H132" i="6"/>
  <c r="G132" i="6"/>
  <c r="H131" i="6"/>
  <c r="G131" i="6"/>
  <c r="H130" i="6"/>
  <c r="G130" i="6"/>
  <c r="H129" i="6"/>
  <c r="G129" i="6"/>
  <c r="H128" i="6"/>
  <c r="G128" i="6"/>
  <c r="H127" i="6"/>
  <c r="G127" i="6"/>
  <c r="H126" i="6"/>
  <c r="G126" i="6"/>
  <c r="H125" i="6"/>
  <c r="G125" i="6"/>
  <c r="H124" i="6"/>
  <c r="G124" i="6"/>
  <c r="H123" i="6"/>
  <c r="G123" i="6"/>
  <c r="H122" i="6"/>
  <c r="G122" i="6"/>
  <c r="H121" i="6"/>
  <c r="G121" i="6"/>
  <c r="H120" i="6"/>
  <c r="G120" i="6"/>
  <c r="H119" i="6"/>
  <c r="G119" i="6"/>
  <c r="H118" i="6"/>
  <c r="G118" i="6"/>
  <c r="H117" i="6"/>
  <c r="G117" i="6"/>
  <c r="H116" i="6"/>
  <c r="G116" i="6"/>
  <c r="H115" i="6"/>
  <c r="G115" i="6"/>
  <c r="H114" i="6"/>
  <c r="G114" i="6"/>
  <c r="H113" i="6"/>
  <c r="G113" i="6"/>
  <c r="H112" i="6"/>
  <c r="G112" i="6"/>
  <c r="H111" i="6"/>
  <c r="G111" i="6"/>
  <c r="H110" i="6"/>
  <c r="G110" i="6"/>
  <c r="H109" i="6"/>
  <c r="G109" i="6"/>
  <c r="H108" i="6"/>
  <c r="G108" i="6"/>
  <c r="H107" i="6"/>
  <c r="G107" i="6"/>
  <c r="H106" i="6"/>
  <c r="G106" i="6"/>
  <c r="H105" i="6"/>
  <c r="G105" i="6"/>
  <c r="H104" i="6"/>
  <c r="G104" i="6"/>
  <c r="H103" i="6"/>
  <c r="G103" i="6"/>
  <c r="H102" i="6"/>
  <c r="G102" i="6"/>
  <c r="H101" i="6"/>
  <c r="G101" i="6"/>
  <c r="H100" i="6"/>
  <c r="G100" i="6"/>
  <c r="H99" i="6"/>
  <c r="G99" i="6"/>
  <c r="H98" i="6"/>
  <c r="G98" i="6"/>
  <c r="H97" i="6"/>
  <c r="G97" i="6"/>
  <c r="H96" i="6"/>
  <c r="G96" i="6"/>
  <c r="H95" i="6"/>
  <c r="G95" i="6"/>
  <c r="H94" i="6"/>
  <c r="G94" i="6"/>
  <c r="H93" i="6"/>
  <c r="G93" i="6"/>
  <c r="H92" i="6"/>
  <c r="G92" i="6"/>
  <c r="H91" i="6"/>
  <c r="G91" i="6"/>
  <c r="H90" i="6"/>
  <c r="G90" i="6"/>
  <c r="H89" i="6"/>
  <c r="G89" i="6"/>
  <c r="H88" i="6"/>
  <c r="G88" i="6"/>
  <c r="H87" i="6"/>
  <c r="G87" i="6"/>
  <c r="H86" i="6"/>
  <c r="G86" i="6"/>
  <c r="H85" i="6"/>
  <c r="G85" i="6"/>
  <c r="H84" i="6"/>
  <c r="G84" i="6"/>
  <c r="H83" i="6"/>
  <c r="G83" i="6"/>
  <c r="H82" i="6"/>
  <c r="G82" i="6"/>
  <c r="H81" i="6"/>
  <c r="G81" i="6"/>
  <c r="H80" i="6"/>
  <c r="G80" i="6"/>
  <c r="H79" i="6"/>
  <c r="G79" i="6"/>
  <c r="H78" i="6"/>
  <c r="G78" i="6"/>
  <c r="H77" i="6"/>
  <c r="G77" i="6"/>
  <c r="H76" i="6"/>
  <c r="G76" i="6"/>
  <c r="H75" i="6"/>
  <c r="G75" i="6"/>
  <c r="H74" i="6"/>
  <c r="G74" i="6"/>
  <c r="H73" i="6"/>
  <c r="G73" i="6"/>
  <c r="H72" i="6"/>
  <c r="G72" i="6"/>
  <c r="H71" i="6"/>
  <c r="G71" i="6"/>
  <c r="H70" i="6"/>
  <c r="G70" i="6"/>
  <c r="H69" i="6"/>
  <c r="G69" i="6"/>
  <c r="H68" i="6"/>
  <c r="G68" i="6"/>
  <c r="H67" i="6"/>
  <c r="G67" i="6"/>
  <c r="H66" i="6"/>
  <c r="G66" i="6"/>
  <c r="H65" i="6"/>
  <c r="G65" i="6"/>
  <c r="H64" i="6"/>
  <c r="G64" i="6"/>
  <c r="H63" i="6"/>
  <c r="G63" i="6"/>
  <c r="H62" i="6"/>
  <c r="G62" i="6"/>
  <c r="H61" i="6"/>
  <c r="G61" i="6"/>
  <c r="H60" i="6"/>
  <c r="G60" i="6"/>
  <c r="H59" i="6"/>
  <c r="G59" i="6"/>
  <c r="H58" i="6"/>
  <c r="G58" i="6"/>
  <c r="H57" i="6"/>
  <c r="G57" i="6"/>
  <c r="H56" i="6"/>
  <c r="G56" i="6"/>
  <c r="H55" i="6"/>
  <c r="G55" i="6"/>
  <c r="H54" i="6"/>
  <c r="G54" i="6"/>
  <c r="H53" i="6"/>
  <c r="G53" i="6"/>
  <c r="H52" i="6"/>
  <c r="G52" i="6"/>
  <c r="H51" i="6"/>
  <c r="G51" i="6"/>
  <c r="H50" i="6"/>
  <c r="G50" i="6"/>
  <c r="H49" i="6"/>
  <c r="G49" i="6"/>
  <c r="H48" i="6"/>
  <c r="G48" i="6"/>
  <c r="H47" i="6"/>
  <c r="G47" i="6"/>
  <c r="H46" i="6"/>
  <c r="G46" i="6"/>
  <c r="H45" i="6"/>
  <c r="G45" i="6"/>
  <c r="H44" i="6"/>
  <c r="G44" i="6"/>
  <c r="H43" i="6"/>
  <c r="G43" i="6"/>
  <c r="H42" i="6"/>
  <c r="G42" i="6"/>
  <c r="H41" i="6"/>
  <c r="G41" i="6"/>
  <c r="H40" i="6"/>
  <c r="G40" i="6"/>
  <c r="H39" i="6"/>
  <c r="G39" i="6"/>
  <c r="H38" i="6"/>
  <c r="G38" i="6"/>
  <c r="H37" i="6"/>
  <c r="G37" i="6"/>
  <c r="H36" i="6"/>
  <c r="G36" i="6"/>
  <c r="H35" i="6"/>
  <c r="G35" i="6"/>
  <c r="H34" i="6"/>
  <c r="G34" i="6"/>
  <c r="H33" i="6"/>
  <c r="G33" i="6"/>
  <c r="H32" i="6"/>
  <c r="G32" i="6"/>
  <c r="H31" i="6"/>
  <c r="G31" i="6"/>
  <c r="H30" i="6"/>
  <c r="G30" i="6"/>
  <c r="H29" i="6"/>
  <c r="G29" i="6"/>
  <c r="H28" i="6"/>
  <c r="G28" i="6"/>
  <c r="H27" i="6"/>
  <c r="G27" i="6"/>
  <c r="H26" i="6"/>
  <c r="G26" i="6"/>
  <c r="H25" i="6"/>
  <c r="G25" i="6"/>
  <c r="H24" i="6"/>
  <c r="G24" i="6"/>
  <c r="H23" i="6"/>
  <c r="G23" i="6"/>
  <c r="H22" i="6"/>
  <c r="G22" i="6"/>
  <c r="H21" i="6"/>
  <c r="G21" i="6"/>
  <c r="H20" i="6"/>
  <c r="G20" i="6"/>
  <c r="H19" i="6"/>
  <c r="G19" i="6"/>
  <c r="H18" i="6"/>
  <c r="G18" i="6"/>
  <c r="H17" i="6"/>
  <c r="G17" i="6"/>
  <c r="H16" i="6"/>
  <c r="G16" i="6"/>
  <c r="H15" i="6"/>
  <c r="G15" i="6"/>
  <c r="H14" i="6"/>
  <c r="G14" i="6"/>
  <c r="H13" i="6"/>
  <c r="G13" i="6"/>
  <c r="H12" i="6"/>
  <c r="G12" i="6"/>
  <c r="H11" i="6"/>
  <c r="G11" i="6"/>
  <c r="H10" i="6"/>
  <c r="G10" i="6"/>
  <c r="H9" i="6"/>
  <c r="G9" i="6"/>
  <c r="H8" i="6"/>
  <c r="G8" i="6"/>
  <c r="H7" i="6"/>
  <c r="G7" i="6"/>
  <c r="H6" i="6"/>
  <c r="G6" i="6"/>
  <c r="H5" i="6"/>
  <c r="G5" i="6"/>
  <c r="H4" i="6"/>
  <c r="G4" i="6"/>
  <c r="H3" i="6"/>
  <c r="G3" i="6"/>
  <c r="AC3631" i="1"/>
  <c r="AB3631" i="1"/>
  <c r="AA3631" i="1"/>
  <c r="AC3630" i="1"/>
  <c r="AB3630" i="1"/>
  <c r="AA3630" i="1"/>
  <c r="AC3629" i="1"/>
  <c r="AB3629" i="1"/>
  <c r="AA3629" i="1"/>
  <c r="AC3628" i="1"/>
  <c r="AB3628" i="1"/>
  <c r="AA3628" i="1"/>
  <c r="AC3627" i="1"/>
  <c r="AB3627" i="1"/>
  <c r="AA3627" i="1"/>
  <c r="AC3626" i="1"/>
  <c r="AB3626" i="1"/>
  <c r="AA3626" i="1"/>
  <c r="AC3625" i="1"/>
  <c r="AB3625" i="1"/>
  <c r="AA3625" i="1"/>
  <c r="AC3624" i="1"/>
  <c r="AB3624" i="1"/>
  <c r="AA3624" i="1"/>
  <c r="AC3623" i="1"/>
  <c r="AB3623" i="1"/>
  <c r="AA3623" i="1"/>
  <c r="AC3622" i="1"/>
  <c r="AB3622" i="1"/>
  <c r="AA3622" i="1"/>
  <c r="AC3621" i="1"/>
  <c r="AB3621" i="1"/>
  <c r="AA3621" i="1"/>
  <c r="AC3620" i="1"/>
  <c r="AB3620" i="1"/>
  <c r="AA3620" i="1"/>
  <c r="AC3619" i="1"/>
  <c r="AB3619" i="1"/>
  <c r="AA3619" i="1"/>
  <c r="AC3618" i="1"/>
  <c r="AB3618" i="1"/>
  <c r="AA3618" i="1"/>
  <c r="AC3617" i="1"/>
  <c r="AB3617" i="1"/>
  <c r="AA3617" i="1"/>
  <c r="AC3616" i="1"/>
  <c r="AB3616" i="1"/>
  <c r="AA3616" i="1"/>
  <c r="AC3615" i="1"/>
  <c r="AB3615" i="1"/>
  <c r="AA3615" i="1"/>
  <c r="AC3614" i="1"/>
  <c r="AB3614" i="1"/>
  <c r="AA3614" i="1"/>
  <c r="AC3613" i="1"/>
  <c r="AB3613" i="1"/>
  <c r="AA3613" i="1"/>
  <c r="AC3612" i="1"/>
  <c r="AB3612" i="1"/>
  <c r="AA3612" i="1"/>
  <c r="AC3611" i="1"/>
  <c r="AB3611" i="1"/>
  <c r="AA3611" i="1"/>
  <c r="AC3610" i="1"/>
  <c r="AB3610" i="1"/>
  <c r="AA3610" i="1"/>
  <c r="AC3609" i="1"/>
  <c r="AB3609" i="1"/>
  <c r="AA3609" i="1"/>
  <c r="AC3608" i="1"/>
  <c r="AB3608" i="1"/>
  <c r="AA3608" i="1"/>
  <c r="AC3607" i="1"/>
  <c r="AB3607" i="1"/>
  <c r="AA3607" i="1"/>
  <c r="AC3606" i="1"/>
  <c r="AB3606" i="1"/>
  <c r="AA3606" i="1"/>
  <c r="AC3605" i="1"/>
  <c r="AB3605" i="1"/>
  <c r="AA3605" i="1"/>
  <c r="AC3604" i="1"/>
  <c r="AB3604" i="1"/>
  <c r="AA3604" i="1"/>
  <c r="AC3603" i="1"/>
  <c r="AB3603" i="1"/>
  <c r="AA3603" i="1"/>
  <c r="AC3602" i="1"/>
  <c r="AB3602" i="1"/>
  <c r="AA3602" i="1"/>
  <c r="AC3601" i="1"/>
  <c r="AB3601" i="1"/>
  <c r="AA3601" i="1"/>
  <c r="AC3600" i="1"/>
  <c r="AB3600" i="1"/>
  <c r="AA3600" i="1"/>
  <c r="AC3599" i="1"/>
  <c r="AB3599" i="1"/>
  <c r="AA3599" i="1"/>
  <c r="AC3598" i="1"/>
  <c r="AB3598" i="1"/>
  <c r="AA3598" i="1"/>
  <c r="AC3597" i="1"/>
  <c r="AB3597" i="1"/>
  <c r="AA3597" i="1"/>
  <c r="AC3596" i="1"/>
  <c r="AB3596" i="1"/>
  <c r="AA3596" i="1"/>
  <c r="AC3595" i="1"/>
  <c r="AB3595" i="1"/>
  <c r="AA3595" i="1"/>
  <c r="AC3594" i="1"/>
  <c r="AB3594" i="1"/>
  <c r="AA3594" i="1"/>
  <c r="AC3593" i="1"/>
  <c r="AB3593" i="1"/>
  <c r="AA3593" i="1"/>
  <c r="AC3592" i="1"/>
  <c r="AB3592" i="1"/>
  <c r="AA3592" i="1"/>
  <c r="AC3591" i="1"/>
  <c r="AB3591" i="1"/>
  <c r="AA3591" i="1"/>
  <c r="AC3590" i="1"/>
  <c r="AB3590" i="1"/>
  <c r="AA3590" i="1"/>
  <c r="AC3589" i="1"/>
  <c r="AB3589" i="1"/>
  <c r="AA3589" i="1"/>
  <c r="AC3588" i="1"/>
  <c r="AB3588" i="1"/>
  <c r="AA3588" i="1"/>
  <c r="AC3587" i="1"/>
  <c r="AB3587" i="1"/>
  <c r="AA3587" i="1"/>
  <c r="AC3586" i="1"/>
  <c r="AB3586" i="1"/>
  <c r="AA3586" i="1"/>
  <c r="AC3585" i="1"/>
  <c r="AB3585" i="1"/>
  <c r="AA3585" i="1"/>
  <c r="AC3584" i="1"/>
  <c r="AB3584" i="1"/>
  <c r="AA3584" i="1"/>
  <c r="AC3583" i="1"/>
  <c r="AB3583" i="1"/>
  <c r="AA3583" i="1"/>
  <c r="AC3582" i="1"/>
  <c r="AB3582" i="1"/>
  <c r="AA3582" i="1"/>
  <c r="AC3581" i="1"/>
  <c r="AB3581" i="1"/>
  <c r="AA3581" i="1"/>
  <c r="AC3580" i="1"/>
  <c r="AB3580" i="1"/>
  <c r="AA3580" i="1"/>
  <c r="AC3579" i="1"/>
  <c r="AB3579" i="1"/>
  <c r="AA3579" i="1"/>
  <c r="AC3578" i="1"/>
  <c r="AB3578" i="1"/>
  <c r="AA3578" i="1"/>
  <c r="AC3577" i="1"/>
  <c r="AB3577" i="1"/>
  <c r="AA3577" i="1"/>
  <c r="AC3576" i="1"/>
  <c r="AB3576" i="1"/>
  <c r="AA3576" i="1"/>
  <c r="AC3575" i="1"/>
  <c r="AB3575" i="1"/>
  <c r="AA3575" i="1"/>
  <c r="AC3574" i="1"/>
  <c r="AB3574" i="1"/>
  <c r="AA3574" i="1"/>
  <c r="AC3573" i="1"/>
  <c r="AB3573" i="1"/>
  <c r="AA3573" i="1"/>
  <c r="AC3572" i="1"/>
  <c r="AB3572" i="1"/>
  <c r="AA3572" i="1"/>
  <c r="AC3571" i="1"/>
  <c r="AB3571" i="1"/>
  <c r="AA3571" i="1"/>
  <c r="AC3570" i="1"/>
  <c r="AB3570" i="1"/>
  <c r="AA3570" i="1"/>
  <c r="AC3569" i="1"/>
  <c r="AB3569" i="1"/>
  <c r="AA3569" i="1"/>
  <c r="AC3568" i="1"/>
  <c r="AB3568" i="1"/>
  <c r="AA3568" i="1"/>
  <c r="AC3567" i="1"/>
  <c r="AB3567" i="1"/>
  <c r="AA3567" i="1"/>
  <c r="AC3566" i="1"/>
  <c r="AB3566" i="1"/>
  <c r="AA3566" i="1"/>
  <c r="AC3565" i="1"/>
  <c r="AB3565" i="1"/>
  <c r="AA3565" i="1"/>
  <c r="AC3564" i="1"/>
  <c r="AB3564" i="1"/>
  <c r="AA3564" i="1"/>
  <c r="AC3563" i="1"/>
  <c r="AB3563" i="1"/>
  <c r="AA3563" i="1"/>
  <c r="AC3562" i="1"/>
  <c r="AB3562" i="1"/>
  <c r="AA3562" i="1"/>
  <c r="AC3561" i="1"/>
  <c r="AB3561" i="1"/>
  <c r="AA3561" i="1"/>
  <c r="AC3560" i="1"/>
  <c r="AB3560" i="1"/>
  <c r="AA3560" i="1"/>
  <c r="AC3559" i="1"/>
  <c r="AB3559" i="1"/>
  <c r="AA3559" i="1"/>
  <c r="AC3558" i="1"/>
  <c r="AB3558" i="1"/>
  <c r="AA3558" i="1"/>
  <c r="AC3557" i="1"/>
  <c r="AB3557" i="1"/>
  <c r="AA3557" i="1"/>
  <c r="AC3556" i="1"/>
  <c r="AB3556" i="1"/>
  <c r="AA3556" i="1"/>
  <c r="AC3555" i="1"/>
  <c r="AB3555" i="1"/>
  <c r="AA3555" i="1"/>
  <c r="AC3554" i="1"/>
  <c r="AB3554" i="1"/>
  <c r="AA3554" i="1"/>
  <c r="AC3553" i="1"/>
  <c r="AB3553" i="1"/>
  <c r="AA3553" i="1"/>
  <c r="AC3552" i="1"/>
  <c r="AB3552" i="1"/>
  <c r="AA3552" i="1"/>
  <c r="AC3551" i="1"/>
  <c r="AB3551" i="1"/>
  <c r="AA3551" i="1"/>
  <c r="AC3550" i="1"/>
  <c r="AB3550" i="1"/>
  <c r="AA3550" i="1"/>
  <c r="AC3549" i="1"/>
  <c r="AB3549" i="1"/>
  <c r="AA3549" i="1"/>
  <c r="AC3548" i="1"/>
  <c r="AB3548" i="1"/>
  <c r="AA3548" i="1"/>
  <c r="AC3547" i="1"/>
  <c r="AB3547" i="1"/>
  <c r="AA3547" i="1"/>
  <c r="AC3546" i="1"/>
  <c r="AB3546" i="1"/>
  <c r="AA3546" i="1"/>
  <c r="AC3545" i="1"/>
  <c r="AB3545" i="1"/>
  <c r="AA3545" i="1"/>
  <c r="AC3544" i="1"/>
  <c r="AB3544" i="1"/>
  <c r="AA3544" i="1"/>
  <c r="AC3543" i="1"/>
  <c r="AB3543" i="1"/>
  <c r="AA3543" i="1"/>
  <c r="AC3542" i="1"/>
  <c r="AB3542" i="1"/>
  <c r="AA3542" i="1"/>
  <c r="AC3541" i="1"/>
  <c r="AB3541" i="1"/>
  <c r="AA3541" i="1"/>
  <c r="AC3540" i="1"/>
  <c r="AB3540" i="1"/>
  <c r="AA3540" i="1"/>
  <c r="AC3539" i="1"/>
  <c r="AB3539" i="1"/>
  <c r="AA3539" i="1"/>
  <c r="AC3538" i="1"/>
  <c r="AB3538" i="1"/>
  <c r="AA3538" i="1"/>
  <c r="AC3537" i="1"/>
  <c r="AB3537" i="1"/>
  <c r="AA3537" i="1"/>
  <c r="AC3536" i="1"/>
  <c r="AB3536" i="1"/>
  <c r="AA3536" i="1"/>
  <c r="AC3535" i="1"/>
  <c r="AB3535" i="1"/>
  <c r="AA3535" i="1"/>
  <c r="AC3534" i="1"/>
  <c r="AB3534" i="1"/>
  <c r="AA3534" i="1"/>
  <c r="AC3533" i="1"/>
  <c r="AB3533" i="1"/>
  <c r="AA3533" i="1"/>
  <c r="AC3532" i="1"/>
  <c r="AB3532" i="1"/>
  <c r="AA3532" i="1"/>
  <c r="AC3531" i="1"/>
  <c r="AB3531" i="1"/>
  <c r="AA3531" i="1"/>
  <c r="AC3530" i="1"/>
  <c r="AB3530" i="1"/>
  <c r="AA3530" i="1"/>
  <c r="AC3529" i="1"/>
  <c r="AB3529" i="1"/>
  <c r="AA3529" i="1"/>
  <c r="AC3528" i="1"/>
  <c r="AB3528" i="1"/>
  <c r="AA3528" i="1"/>
  <c r="AC3527" i="1"/>
  <c r="AB3527" i="1"/>
  <c r="AA3527" i="1"/>
  <c r="AC3526" i="1"/>
  <c r="AB3526" i="1"/>
  <c r="AA3526" i="1"/>
  <c r="AC3525" i="1"/>
  <c r="AB3525" i="1"/>
  <c r="AA3525" i="1"/>
  <c r="AC3524" i="1"/>
  <c r="AB3524" i="1"/>
  <c r="AA3524" i="1"/>
  <c r="AC3523" i="1"/>
  <c r="AB3523" i="1"/>
  <c r="AA3523" i="1"/>
  <c r="AC3522" i="1"/>
  <c r="AB3522" i="1"/>
  <c r="AA3522" i="1"/>
  <c r="AC3521" i="1"/>
  <c r="AB3521" i="1"/>
  <c r="AA3521" i="1"/>
  <c r="AC3520" i="1"/>
  <c r="AB3520" i="1"/>
  <c r="AA3520" i="1"/>
  <c r="AC3519" i="1"/>
  <c r="AB3519" i="1"/>
  <c r="AA3519" i="1"/>
  <c r="AC3518" i="1"/>
  <c r="AB3518" i="1"/>
  <c r="AA3518" i="1"/>
  <c r="AC3517" i="1"/>
  <c r="AB3517" i="1"/>
  <c r="AA3517" i="1"/>
  <c r="AC3516" i="1"/>
  <c r="AB3516" i="1"/>
  <c r="AA3516" i="1"/>
  <c r="AC3515" i="1"/>
  <c r="AB3515" i="1"/>
  <c r="AA3515" i="1"/>
  <c r="AC3514" i="1"/>
  <c r="AB3514" i="1"/>
  <c r="AA3514" i="1"/>
  <c r="AC3513" i="1"/>
  <c r="AB3513" i="1"/>
  <c r="AA3513" i="1"/>
  <c r="AC3512" i="1"/>
  <c r="AB3512" i="1"/>
  <c r="AA3512" i="1"/>
  <c r="AC3511" i="1"/>
  <c r="AB3511" i="1"/>
  <c r="AA3511" i="1"/>
  <c r="AC3510" i="1"/>
  <c r="AB3510" i="1"/>
  <c r="AA3510" i="1"/>
  <c r="AC3509" i="1"/>
  <c r="AB3509" i="1"/>
  <c r="AA3509" i="1"/>
  <c r="AC3508" i="1"/>
  <c r="AB3508" i="1"/>
  <c r="AA3508" i="1"/>
  <c r="AC3507" i="1"/>
  <c r="AB3507" i="1"/>
  <c r="AA3507" i="1"/>
  <c r="AC3506" i="1"/>
  <c r="AB3506" i="1"/>
  <c r="AA3506" i="1"/>
  <c r="AC3505" i="1"/>
  <c r="AB3505" i="1"/>
  <c r="AA3505" i="1"/>
  <c r="AC3504" i="1"/>
  <c r="AB3504" i="1"/>
  <c r="AA3504" i="1"/>
  <c r="AC3503" i="1"/>
  <c r="AB3503" i="1"/>
  <c r="AA3503" i="1"/>
  <c r="AC3502" i="1"/>
  <c r="AB3502" i="1"/>
  <c r="AA3502" i="1"/>
  <c r="AC3501" i="1"/>
  <c r="AB3501" i="1"/>
  <c r="AA3501" i="1"/>
  <c r="AC3500" i="1"/>
  <c r="AB3500" i="1"/>
  <c r="AA3500" i="1"/>
  <c r="AC3499" i="1"/>
  <c r="AB3499" i="1"/>
  <c r="AA3499" i="1"/>
  <c r="AC3498" i="1"/>
  <c r="AB3498" i="1"/>
  <c r="AA3498" i="1"/>
  <c r="AC3497" i="1"/>
  <c r="AB3497" i="1"/>
  <c r="AA3497" i="1"/>
  <c r="AC3496" i="1"/>
  <c r="AB3496" i="1"/>
  <c r="AA3496" i="1"/>
  <c r="AC3495" i="1"/>
  <c r="AB3495" i="1"/>
  <c r="AA3495" i="1"/>
  <c r="AC3494" i="1"/>
  <c r="AB3494" i="1"/>
  <c r="AA3494" i="1"/>
  <c r="AC3493" i="1"/>
  <c r="AB3493" i="1"/>
  <c r="AA3493" i="1"/>
  <c r="AC3492" i="1"/>
  <c r="AB3492" i="1"/>
  <c r="AA3492" i="1"/>
  <c r="AC3491" i="1"/>
  <c r="AB3491" i="1"/>
  <c r="AA3491" i="1"/>
  <c r="AC3490" i="1"/>
  <c r="AB3490" i="1"/>
  <c r="AA3490" i="1"/>
  <c r="AC3489" i="1"/>
  <c r="AB3489" i="1"/>
  <c r="AA3489" i="1"/>
  <c r="AC3488" i="1"/>
  <c r="AB3488" i="1"/>
  <c r="AA3488" i="1"/>
  <c r="AC3487" i="1"/>
  <c r="AB3487" i="1"/>
  <c r="AA3487" i="1"/>
  <c r="AC3486" i="1"/>
  <c r="AB3486" i="1"/>
  <c r="AA3486" i="1"/>
  <c r="AC3485" i="1"/>
  <c r="AB3485" i="1"/>
  <c r="AA3485" i="1"/>
  <c r="AC3484" i="1"/>
  <c r="AB3484" i="1"/>
  <c r="AA3484" i="1"/>
  <c r="AC3483" i="1"/>
  <c r="AB3483" i="1"/>
  <c r="AA3483" i="1"/>
  <c r="AC3482" i="1"/>
  <c r="AB3482" i="1"/>
  <c r="AA3482" i="1"/>
  <c r="AC3481" i="1"/>
  <c r="AB3481" i="1"/>
  <c r="AA3481" i="1"/>
  <c r="AC3480" i="1"/>
  <c r="AB3480" i="1"/>
  <c r="AA3480" i="1"/>
  <c r="AC3479" i="1"/>
  <c r="AB3479" i="1"/>
  <c r="AA3479" i="1"/>
  <c r="AC3478" i="1"/>
  <c r="AB3478" i="1"/>
  <c r="AA3478" i="1"/>
  <c r="AC3477" i="1"/>
  <c r="AB3477" i="1"/>
  <c r="AA3477" i="1"/>
  <c r="AC3476" i="1"/>
  <c r="AB3476" i="1"/>
  <c r="AA3476" i="1"/>
  <c r="AC3475" i="1"/>
  <c r="AB3475" i="1"/>
  <c r="AA3475" i="1"/>
  <c r="AC3474" i="1"/>
  <c r="AB3474" i="1"/>
  <c r="AA3474" i="1"/>
  <c r="AC3473" i="1"/>
  <c r="AB3473" i="1"/>
  <c r="AA3473" i="1"/>
  <c r="AC3472" i="1"/>
  <c r="AB3472" i="1"/>
  <c r="AA3472" i="1"/>
  <c r="AC3471" i="1"/>
  <c r="AB3471" i="1"/>
  <c r="AA3471" i="1"/>
  <c r="AC3470" i="1"/>
  <c r="AB3470" i="1"/>
  <c r="AA3470" i="1"/>
  <c r="AC3469" i="1"/>
  <c r="AB3469" i="1"/>
  <c r="AA3469" i="1"/>
  <c r="AC3468" i="1"/>
  <c r="AB3468" i="1"/>
  <c r="AA3468" i="1"/>
  <c r="AC3467" i="1"/>
  <c r="AB3467" i="1"/>
  <c r="AA3467" i="1"/>
  <c r="AC3466" i="1"/>
  <c r="AB3466" i="1"/>
  <c r="AA3466" i="1"/>
  <c r="AC3465" i="1"/>
  <c r="AB3465" i="1"/>
  <c r="AA3465" i="1"/>
  <c r="AC3464" i="1"/>
  <c r="AB3464" i="1"/>
  <c r="AA3464" i="1"/>
  <c r="AC3463" i="1"/>
  <c r="AB3463" i="1"/>
  <c r="AA3463" i="1"/>
  <c r="AC3462" i="1"/>
  <c r="AB3462" i="1"/>
  <c r="AA3462" i="1"/>
  <c r="AC3461" i="1"/>
  <c r="AB3461" i="1"/>
  <c r="AA3461" i="1"/>
  <c r="AC3460" i="1"/>
  <c r="AB3460" i="1"/>
  <c r="AA3460" i="1"/>
  <c r="AC3459" i="1"/>
  <c r="AB3459" i="1"/>
  <c r="AA3459" i="1"/>
  <c r="AC3458" i="1"/>
  <c r="AB3458" i="1"/>
  <c r="AA3458" i="1"/>
  <c r="AC3457" i="1"/>
  <c r="AB3457" i="1"/>
  <c r="AA3457" i="1"/>
  <c r="AC3456" i="1"/>
  <c r="AB3456" i="1"/>
  <c r="AA3456" i="1"/>
  <c r="AC3455" i="1"/>
  <c r="AB3455" i="1"/>
  <c r="AA3455" i="1"/>
  <c r="AC3454" i="1"/>
  <c r="AB3454" i="1"/>
  <c r="AA3454" i="1"/>
  <c r="AC3453" i="1"/>
  <c r="AB3453" i="1"/>
  <c r="AA3453" i="1"/>
  <c r="AC3452" i="1"/>
  <c r="AB3452" i="1"/>
  <c r="AA3452" i="1"/>
  <c r="AC3451" i="1"/>
  <c r="AB3451" i="1"/>
  <c r="AA3451" i="1"/>
  <c r="AC3450" i="1"/>
  <c r="AB3450" i="1"/>
  <c r="AA3450" i="1"/>
  <c r="AC3449" i="1"/>
  <c r="AB3449" i="1"/>
  <c r="AA3449" i="1"/>
  <c r="AC3448" i="1"/>
  <c r="AB3448" i="1"/>
  <c r="AA3448" i="1"/>
  <c r="AC3447" i="1"/>
  <c r="AB3447" i="1"/>
  <c r="AA3447" i="1"/>
  <c r="AC3446" i="1"/>
  <c r="AB3446" i="1"/>
  <c r="AA3446" i="1"/>
  <c r="AC3445" i="1"/>
  <c r="AB3445" i="1"/>
  <c r="AA3445" i="1"/>
  <c r="AC3444" i="1"/>
  <c r="AB3444" i="1"/>
  <c r="AA3444" i="1"/>
  <c r="AC3443" i="1"/>
  <c r="AB3443" i="1"/>
  <c r="AA3443" i="1"/>
  <c r="AC3442" i="1"/>
  <c r="AB3442" i="1"/>
  <c r="AA3442" i="1"/>
  <c r="AC3441" i="1"/>
  <c r="AB3441" i="1"/>
  <c r="AA3441" i="1"/>
  <c r="AC3440" i="1"/>
  <c r="AB3440" i="1"/>
  <c r="AA3440" i="1"/>
  <c r="AC3439" i="1"/>
  <c r="AB3439" i="1"/>
  <c r="AA3439" i="1"/>
  <c r="AC3438" i="1"/>
  <c r="AB3438" i="1"/>
  <c r="AA3438" i="1"/>
  <c r="AC3437" i="1"/>
  <c r="AB3437" i="1"/>
  <c r="AA3437" i="1"/>
  <c r="AC3436" i="1"/>
  <c r="AB3436" i="1"/>
  <c r="AA3436" i="1"/>
  <c r="AC3435" i="1"/>
  <c r="AB3435" i="1"/>
  <c r="AA3435" i="1"/>
  <c r="AC3434" i="1"/>
  <c r="AB3434" i="1"/>
  <c r="AA3434" i="1"/>
  <c r="AC3433" i="1"/>
  <c r="AB3433" i="1"/>
  <c r="AA3433" i="1"/>
  <c r="AC3432" i="1"/>
  <c r="AB3432" i="1"/>
  <c r="AA3432" i="1"/>
  <c r="AC3431" i="1"/>
  <c r="AB3431" i="1"/>
  <c r="AA3431" i="1"/>
  <c r="AC3430" i="1"/>
  <c r="AB3430" i="1"/>
  <c r="AA3430" i="1"/>
  <c r="AC3429" i="1"/>
  <c r="AB3429" i="1"/>
  <c r="AA3429" i="1"/>
  <c r="AC3428" i="1"/>
  <c r="AB3428" i="1"/>
  <c r="AA3428" i="1"/>
  <c r="AC3427" i="1"/>
  <c r="AB3427" i="1"/>
  <c r="AA3427" i="1"/>
  <c r="AC3426" i="1"/>
  <c r="AB3426" i="1"/>
  <c r="AA3426" i="1"/>
  <c r="AC3425" i="1"/>
  <c r="AB3425" i="1"/>
  <c r="AA3425" i="1"/>
  <c r="AC3424" i="1"/>
  <c r="AB3424" i="1"/>
  <c r="AA3424" i="1"/>
  <c r="AC3423" i="1"/>
  <c r="AB3423" i="1"/>
  <c r="AA3423" i="1"/>
  <c r="AC3422" i="1"/>
  <c r="AB3422" i="1"/>
  <c r="AA3422" i="1"/>
  <c r="AC3421" i="1"/>
  <c r="AB3421" i="1"/>
  <c r="AA3421" i="1"/>
  <c r="AC3420" i="1"/>
  <c r="AB3420" i="1"/>
  <c r="AA3420" i="1"/>
  <c r="AC3419" i="1"/>
  <c r="AB3419" i="1"/>
  <c r="AA3419" i="1"/>
  <c r="AC3418" i="1"/>
  <c r="AB3418" i="1"/>
  <c r="AA3418" i="1"/>
  <c r="AC3417" i="1"/>
  <c r="AB3417" i="1"/>
  <c r="AA3417" i="1"/>
  <c r="AC3416" i="1"/>
  <c r="AB3416" i="1"/>
  <c r="AA3416" i="1"/>
  <c r="AC3415" i="1"/>
  <c r="AB3415" i="1"/>
  <c r="AA3415" i="1"/>
  <c r="AC3414" i="1"/>
  <c r="AB3414" i="1"/>
  <c r="AA3414" i="1"/>
  <c r="AC3413" i="1"/>
  <c r="AB3413" i="1"/>
  <c r="AA3413" i="1"/>
  <c r="AC3412" i="1"/>
  <c r="AB3412" i="1"/>
  <c r="AA3412" i="1"/>
  <c r="AC3411" i="1"/>
  <c r="AB3411" i="1"/>
  <c r="AA3411" i="1"/>
  <c r="AC3410" i="1"/>
  <c r="AB3410" i="1"/>
  <c r="AA3410" i="1"/>
  <c r="AC3409" i="1"/>
  <c r="AB3409" i="1"/>
  <c r="AA3409" i="1"/>
  <c r="AC3408" i="1"/>
  <c r="AB3408" i="1"/>
  <c r="AA3408" i="1"/>
  <c r="AC3407" i="1"/>
  <c r="AB3407" i="1"/>
  <c r="AA3407" i="1"/>
  <c r="AC3406" i="1"/>
  <c r="AB3406" i="1"/>
  <c r="AA3406" i="1"/>
  <c r="AC3405" i="1"/>
  <c r="AB3405" i="1"/>
  <c r="AA3405" i="1"/>
  <c r="AC3404" i="1"/>
  <c r="AB3404" i="1"/>
  <c r="AA3404" i="1"/>
  <c r="AC3403" i="1"/>
  <c r="AB3403" i="1"/>
  <c r="AA3403" i="1"/>
  <c r="AC3402" i="1"/>
  <c r="AB3402" i="1"/>
  <c r="AA3402" i="1"/>
  <c r="AC3401" i="1"/>
  <c r="AB3401" i="1"/>
  <c r="AA3401" i="1"/>
  <c r="AC3400" i="1"/>
  <c r="AB3400" i="1"/>
  <c r="AA3400" i="1"/>
  <c r="AC3399" i="1"/>
  <c r="AB3399" i="1"/>
  <c r="AA3399" i="1"/>
  <c r="AC3398" i="1"/>
  <c r="AB3398" i="1"/>
  <c r="AA3398" i="1"/>
  <c r="AC3397" i="1"/>
  <c r="AB3397" i="1"/>
  <c r="AA3397" i="1"/>
  <c r="AC3396" i="1"/>
  <c r="AB3396" i="1"/>
  <c r="AA3396" i="1"/>
  <c r="AC3395" i="1"/>
  <c r="AB3395" i="1"/>
  <c r="AA3395" i="1"/>
  <c r="AC3394" i="1"/>
  <c r="AB3394" i="1"/>
  <c r="AA3394" i="1"/>
  <c r="AC3393" i="1"/>
  <c r="AB3393" i="1"/>
  <c r="AA3393" i="1"/>
  <c r="AC3392" i="1"/>
  <c r="AB3392" i="1"/>
  <c r="AA3392" i="1"/>
  <c r="AC3391" i="1"/>
  <c r="AB3391" i="1"/>
  <c r="AA3391" i="1"/>
  <c r="AC3390" i="1"/>
  <c r="AB3390" i="1"/>
  <c r="AA3390" i="1"/>
  <c r="AC3389" i="1"/>
  <c r="AB3389" i="1"/>
  <c r="AA3389" i="1"/>
  <c r="AC3388" i="1"/>
  <c r="AB3388" i="1"/>
  <c r="AA3388" i="1"/>
  <c r="AC3387" i="1"/>
  <c r="AB3387" i="1"/>
  <c r="AA3387" i="1"/>
  <c r="AC3386" i="1"/>
  <c r="AB3386" i="1"/>
  <c r="AA3386" i="1"/>
  <c r="AC3385" i="1"/>
  <c r="AB3385" i="1"/>
  <c r="AA3385" i="1"/>
  <c r="AC3384" i="1"/>
  <c r="AB3384" i="1"/>
  <c r="AA3384" i="1"/>
  <c r="AC3383" i="1"/>
  <c r="AB3383" i="1"/>
  <c r="AA3383" i="1"/>
  <c r="AC3382" i="1"/>
  <c r="AB3382" i="1"/>
  <c r="AA3382" i="1"/>
  <c r="AC3381" i="1"/>
  <c r="AB3381" i="1"/>
  <c r="AA3381" i="1"/>
  <c r="AC3380" i="1"/>
  <c r="AB3380" i="1"/>
  <c r="AA3380" i="1"/>
  <c r="AC3379" i="1"/>
  <c r="AB3379" i="1"/>
  <c r="AA3379" i="1"/>
  <c r="AC3378" i="1"/>
  <c r="AB3378" i="1"/>
  <c r="AA3378" i="1"/>
  <c r="AC3377" i="1"/>
  <c r="AB3377" i="1"/>
  <c r="AA3377" i="1"/>
  <c r="AC3376" i="1"/>
  <c r="AB3376" i="1"/>
  <c r="AA3376" i="1"/>
  <c r="AC3375" i="1"/>
  <c r="AB3375" i="1"/>
  <c r="AA3375" i="1"/>
  <c r="AC3374" i="1"/>
  <c r="AB3374" i="1"/>
  <c r="AA3374" i="1"/>
  <c r="AC3373" i="1"/>
  <c r="AB3373" i="1"/>
  <c r="AA3373" i="1"/>
  <c r="AC3372" i="1"/>
  <c r="AB3372" i="1"/>
  <c r="AA3372" i="1"/>
  <c r="AC3371" i="1"/>
  <c r="AB3371" i="1"/>
  <c r="AA3371" i="1"/>
  <c r="AC3370" i="1"/>
  <c r="AB3370" i="1"/>
  <c r="AA3370" i="1"/>
  <c r="AC3369" i="1"/>
  <c r="AB3369" i="1"/>
  <c r="AA3369" i="1"/>
  <c r="AC3368" i="1"/>
  <c r="AB3368" i="1"/>
  <c r="AA3368" i="1"/>
  <c r="AC3367" i="1"/>
  <c r="AB3367" i="1"/>
  <c r="AA3367" i="1"/>
  <c r="AC3366" i="1"/>
  <c r="AB3366" i="1"/>
  <c r="AA3366" i="1"/>
  <c r="AC3365" i="1"/>
  <c r="AB3365" i="1"/>
  <c r="AA3365" i="1"/>
  <c r="AC3364" i="1"/>
  <c r="AB3364" i="1"/>
  <c r="AA3364" i="1"/>
  <c r="AC3363" i="1"/>
  <c r="AB3363" i="1"/>
  <c r="AA3363" i="1"/>
  <c r="AC3362" i="1"/>
  <c r="AB3362" i="1"/>
  <c r="AA3362" i="1"/>
  <c r="AC3361" i="1"/>
  <c r="AB3361" i="1"/>
  <c r="AA3361" i="1"/>
  <c r="AC3360" i="1"/>
  <c r="AB3360" i="1"/>
  <c r="AA3360" i="1"/>
  <c r="AC3359" i="1"/>
  <c r="AB3359" i="1"/>
  <c r="AA3359" i="1"/>
  <c r="AC3358" i="1"/>
  <c r="AB3358" i="1"/>
  <c r="AA3358" i="1"/>
  <c r="AC3357" i="1"/>
  <c r="AB3357" i="1"/>
  <c r="AA3357" i="1"/>
  <c r="AC3356" i="1"/>
  <c r="AB3356" i="1"/>
  <c r="AA3356" i="1"/>
  <c r="AC3355" i="1"/>
  <c r="AB3355" i="1"/>
  <c r="AA3355" i="1"/>
  <c r="AC3354" i="1"/>
  <c r="AB3354" i="1"/>
  <c r="AA3354" i="1"/>
  <c r="AC3353" i="1"/>
  <c r="AB3353" i="1"/>
  <c r="AA3353" i="1"/>
  <c r="AC3352" i="1"/>
  <c r="AB3352" i="1"/>
  <c r="AA3352" i="1"/>
  <c r="AC3351" i="1"/>
  <c r="AB3351" i="1"/>
  <c r="AA3351" i="1"/>
  <c r="AC3350" i="1"/>
  <c r="AB3350" i="1"/>
  <c r="AA3350" i="1"/>
  <c r="AC3349" i="1"/>
  <c r="AB3349" i="1"/>
  <c r="AA3349" i="1"/>
  <c r="AC3348" i="1"/>
  <c r="AB3348" i="1"/>
  <c r="AA3348" i="1"/>
  <c r="AC3347" i="1"/>
  <c r="AB3347" i="1"/>
  <c r="AA3347" i="1"/>
  <c r="AC3346" i="1"/>
  <c r="AB3346" i="1"/>
  <c r="AA3346" i="1"/>
  <c r="AC3345" i="1"/>
  <c r="AB3345" i="1"/>
  <c r="AA3345" i="1"/>
  <c r="AC3344" i="1"/>
  <c r="AB3344" i="1"/>
  <c r="AA3344" i="1"/>
  <c r="AC3343" i="1"/>
  <c r="AB3343" i="1"/>
  <c r="AA3343" i="1"/>
  <c r="AC3342" i="1"/>
  <c r="AB3342" i="1"/>
  <c r="AA3342" i="1"/>
  <c r="AC3341" i="1"/>
  <c r="AB3341" i="1"/>
  <c r="AA3341" i="1"/>
  <c r="AC3340" i="1"/>
  <c r="AB3340" i="1"/>
  <c r="AA3340" i="1"/>
  <c r="AC3339" i="1"/>
  <c r="AB3339" i="1"/>
  <c r="AA3339" i="1"/>
  <c r="AC3338" i="1"/>
  <c r="AB3338" i="1"/>
  <c r="AA3338" i="1"/>
  <c r="AC3337" i="1"/>
  <c r="AB3337" i="1"/>
  <c r="AA3337" i="1"/>
  <c r="AC3336" i="1"/>
  <c r="AB3336" i="1"/>
  <c r="AA3336" i="1"/>
  <c r="AC3335" i="1"/>
  <c r="AB3335" i="1"/>
  <c r="AA3335" i="1"/>
  <c r="AC3334" i="1"/>
  <c r="AB3334" i="1"/>
  <c r="AA3334" i="1"/>
  <c r="AC3333" i="1"/>
  <c r="AB3333" i="1"/>
  <c r="AA3333" i="1"/>
  <c r="AC3332" i="1"/>
  <c r="AB3332" i="1"/>
  <c r="AA3332" i="1"/>
  <c r="AC3331" i="1"/>
  <c r="AB3331" i="1"/>
  <c r="AA3331" i="1"/>
  <c r="AC3330" i="1"/>
  <c r="AB3330" i="1"/>
  <c r="AA3330" i="1"/>
  <c r="AC3329" i="1"/>
  <c r="AB3329" i="1"/>
  <c r="AA3329" i="1"/>
  <c r="AC3328" i="1"/>
  <c r="AB3328" i="1"/>
  <c r="AA3328" i="1"/>
  <c r="AC3327" i="1"/>
  <c r="AB3327" i="1"/>
  <c r="AA3327" i="1"/>
  <c r="AC3326" i="1"/>
  <c r="AB3326" i="1"/>
  <c r="AA3326" i="1"/>
  <c r="AC3325" i="1"/>
  <c r="AB3325" i="1"/>
  <c r="AA3325" i="1"/>
  <c r="AC3324" i="1"/>
  <c r="AB3324" i="1"/>
  <c r="AA3324" i="1"/>
  <c r="AC3323" i="1"/>
  <c r="AB3323" i="1"/>
  <c r="AA3323" i="1"/>
  <c r="AC3322" i="1"/>
  <c r="AB3322" i="1"/>
  <c r="AA3322" i="1"/>
  <c r="AC3321" i="1"/>
  <c r="AB3321" i="1"/>
  <c r="AA3321" i="1"/>
  <c r="AC3320" i="1"/>
  <c r="AB3320" i="1"/>
  <c r="AA3320" i="1"/>
  <c r="AC3319" i="1"/>
  <c r="AB3319" i="1"/>
  <c r="AA3319" i="1"/>
  <c r="AC3318" i="1"/>
  <c r="AB3318" i="1"/>
  <c r="AA3318" i="1"/>
  <c r="AC3317" i="1"/>
  <c r="AB3317" i="1"/>
  <c r="AA3317" i="1"/>
  <c r="AC3316" i="1"/>
  <c r="AB3316" i="1"/>
  <c r="AA3316" i="1"/>
  <c r="AC3315" i="1"/>
  <c r="AB3315" i="1"/>
  <c r="AA3315" i="1"/>
  <c r="AC3314" i="1"/>
  <c r="AB3314" i="1"/>
  <c r="AA3314" i="1"/>
  <c r="AC3313" i="1"/>
  <c r="AB3313" i="1"/>
  <c r="AA3313" i="1"/>
  <c r="AC3312" i="1"/>
  <c r="AB3312" i="1"/>
  <c r="AA3312" i="1"/>
  <c r="AC3311" i="1"/>
  <c r="AB3311" i="1"/>
  <c r="AA3311" i="1"/>
  <c r="AC3310" i="1"/>
  <c r="AB3310" i="1"/>
  <c r="AA3310" i="1"/>
  <c r="AC3309" i="1"/>
  <c r="AB3309" i="1"/>
  <c r="AA3309" i="1"/>
  <c r="AC3308" i="1"/>
  <c r="AB3308" i="1"/>
  <c r="AA3308" i="1"/>
  <c r="AC3307" i="1"/>
  <c r="AB3307" i="1"/>
  <c r="AA3307" i="1"/>
  <c r="AC3306" i="1"/>
  <c r="AB3306" i="1"/>
  <c r="AA3306" i="1"/>
  <c r="AC3305" i="1"/>
  <c r="AB3305" i="1"/>
  <c r="AA3305" i="1"/>
  <c r="AC3304" i="1"/>
  <c r="AB3304" i="1"/>
  <c r="AA3304" i="1"/>
  <c r="AC3303" i="1"/>
  <c r="AB3303" i="1"/>
  <c r="AA3303" i="1"/>
  <c r="AC3302" i="1"/>
  <c r="AB3302" i="1"/>
  <c r="AA3302" i="1"/>
  <c r="AC3301" i="1"/>
  <c r="AB3301" i="1"/>
  <c r="AA3301" i="1"/>
  <c r="AC3300" i="1"/>
  <c r="AB3300" i="1"/>
  <c r="AA3300" i="1"/>
  <c r="AC3299" i="1"/>
  <c r="AB3299" i="1"/>
  <c r="AA3299" i="1"/>
  <c r="AC3298" i="1"/>
  <c r="AB3298" i="1"/>
  <c r="AA3298" i="1"/>
  <c r="AC3297" i="1"/>
  <c r="AB3297" i="1"/>
  <c r="AA3297" i="1"/>
  <c r="AC3296" i="1"/>
  <c r="AB3296" i="1"/>
  <c r="AA3296" i="1"/>
  <c r="AC3295" i="1"/>
  <c r="AB3295" i="1"/>
  <c r="AA3295" i="1"/>
  <c r="AC3294" i="1"/>
  <c r="AB3294" i="1"/>
  <c r="AA3294" i="1"/>
  <c r="AC3293" i="1"/>
  <c r="AB3293" i="1"/>
  <c r="AA3293" i="1"/>
  <c r="AC3292" i="1"/>
  <c r="AB3292" i="1"/>
  <c r="AA3292" i="1"/>
  <c r="AC3291" i="1"/>
  <c r="AB3291" i="1"/>
  <c r="AA3291" i="1"/>
  <c r="AC3290" i="1"/>
  <c r="AB3290" i="1"/>
  <c r="AA3290" i="1"/>
  <c r="AC3289" i="1"/>
  <c r="AB3289" i="1"/>
  <c r="AA3289" i="1"/>
  <c r="AC3288" i="1"/>
  <c r="AB3288" i="1"/>
  <c r="AA3288" i="1"/>
  <c r="AC3287" i="1"/>
  <c r="AB3287" i="1"/>
  <c r="AA3287" i="1"/>
  <c r="AC3286" i="1"/>
  <c r="AB3286" i="1"/>
  <c r="AA3286" i="1"/>
  <c r="AC3285" i="1"/>
  <c r="AB3285" i="1"/>
  <c r="AA3285" i="1"/>
  <c r="AC3284" i="1"/>
  <c r="AB3284" i="1"/>
  <c r="AA3284" i="1"/>
  <c r="AC3283" i="1"/>
  <c r="AB3283" i="1"/>
  <c r="AA3283" i="1"/>
  <c r="AC3282" i="1"/>
  <c r="AB3282" i="1"/>
  <c r="AA3282" i="1"/>
  <c r="AC3281" i="1"/>
  <c r="AB3281" i="1"/>
  <c r="AA3281" i="1"/>
  <c r="AC3280" i="1"/>
  <c r="AB3280" i="1"/>
  <c r="AA3280" i="1"/>
  <c r="AC3279" i="1"/>
  <c r="AB3279" i="1"/>
  <c r="AA3279" i="1"/>
  <c r="AC3278" i="1"/>
  <c r="AB3278" i="1"/>
  <c r="AA3278" i="1"/>
  <c r="AC3277" i="1"/>
  <c r="AB3277" i="1"/>
  <c r="AA3277" i="1"/>
  <c r="AC3276" i="1"/>
  <c r="AB3276" i="1"/>
  <c r="AA3276" i="1"/>
  <c r="AC3275" i="1"/>
  <c r="AB3275" i="1"/>
  <c r="AA3275" i="1"/>
  <c r="AC3274" i="1"/>
  <c r="AB3274" i="1"/>
  <c r="AA3274" i="1"/>
  <c r="AC3273" i="1"/>
  <c r="AB3273" i="1"/>
  <c r="AA3273" i="1"/>
  <c r="AC3272" i="1"/>
  <c r="AB3272" i="1"/>
  <c r="AA3272" i="1"/>
  <c r="AC3271" i="1"/>
  <c r="AB3271" i="1"/>
  <c r="AA3271" i="1"/>
  <c r="AC3270" i="1"/>
  <c r="AB3270" i="1"/>
  <c r="AA3270" i="1"/>
  <c r="AC3269" i="1"/>
  <c r="AB3269" i="1"/>
  <c r="AA3269" i="1"/>
  <c r="AC3268" i="1"/>
  <c r="AB3268" i="1"/>
  <c r="AA3268" i="1"/>
  <c r="AC3267" i="1"/>
  <c r="AB3267" i="1"/>
  <c r="AA3267" i="1"/>
  <c r="AC3266" i="1"/>
  <c r="AB3266" i="1"/>
  <c r="AA3266" i="1"/>
  <c r="AC3265" i="1"/>
  <c r="AB3265" i="1"/>
  <c r="AA3265" i="1"/>
  <c r="AC3264" i="1"/>
  <c r="AB3264" i="1"/>
  <c r="AA3264" i="1"/>
  <c r="AC3263" i="1"/>
  <c r="AB3263" i="1"/>
  <c r="AA3263" i="1"/>
  <c r="AC3262" i="1"/>
  <c r="AB3262" i="1"/>
  <c r="AA3262" i="1"/>
  <c r="AC3261" i="1"/>
  <c r="AB3261" i="1"/>
  <c r="AA3261" i="1"/>
  <c r="AC3260" i="1"/>
  <c r="AB3260" i="1"/>
  <c r="AA3260" i="1"/>
  <c r="AC3259" i="1"/>
  <c r="AB3259" i="1"/>
  <c r="AA3259" i="1"/>
  <c r="AC3258" i="1"/>
  <c r="AB3258" i="1"/>
  <c r="AA3258" i="1"/>
  <c r="AC3257" i="1"/>
  <c r="AB3257" i="1"/>
  <c r="AA3257" i="1"/>
  <c r="AC3256" i="1"/>
  <c r="AB3256" i="1"/>
  <c r="AA3256" i="1"/>
  <c r="AC3255" i="1"/>
  <c r="AB3255" i="1"/>
  <c r="AA3255" i="1"/>
  <c r="AC3254" i="1"/>
  <c r="AB3254" i="1"/>
  <c r="AA3254" i="1"/>
  <c r="AC3253" i="1"/>
  <c r="AB3253" i="1"/>
  <c r="AA3253" i="1"/>
  <c r="AC3252" i="1"/>
  <c r="AB3252" i="1"/>
  <c r="AA3252" i="1"/>
  <c r="AC3251" i="1"/>
  <c r="AB3251" i="1"/>
  <c r="AA3251" i="1"/>
  <c r="AC3250" i="1"/>
  <c r="AB3250" i="1"/>
  <c r="AA3250" i="1"/>
  <c r="AC3249" i="1"/>
  <c r="AB3249" i="1"/>
  <c r="AA3249" i="1"/>
  <c r="AC3248" i="1"/>
  <c r="AB3248" i="1"/>
  <c r="AA3248" i="1"/>
  <c r="AC3247" i="1"/>
  <c r="AB3247" i="1"/>
  <c r="AA3247" i="1"/>
  <c r="AC3246" i="1"/>
  <c r="AB3246" i="1"/>
  <c r="AA3246" i="1"/>
  <c r="AC3245" i="1"/>
  <c r="AB3245" i="1"/>
  <c r="AA3245" i="1"/>
  <c r="AC3244" i="1"/>
  <c r="AB3244" i="1"/>
  <c r="AA3244" i="1"/>
  <c r="AC3243" i="1"/>
  <c r="AB3243" i="1"/>
  <c r="AA3243" i="1"/>
  <c r="AC3242" i="1"/>
  <c r="AB3242" i="1"/>
  <c r="AA3242" i="1"/>
  <c r="AC3241" i="1"/>
  <c r="AB3241" i="1"/>
  <c r="AA3241" i="1"/>
  <c r="AC3240" i="1"/>
  <c r="AB3240" i="1"/>
  <c r="AA3240" i="1"/>
  <c r="AC3239" i="1"/>
  <c r="AB3239" i="1"/>
  <c r="AA3239" i="1"/>
  <c r="AC3238" i="1"/>
  <c r="AB3238" i="1"/>
  <c r="AA3238" i="1"/>
  <c r="AC3237" i="1"/>
  <c r="AB3237" i="1"/>
  <c r="AA3237" i="1"/>
  <c r="AC3236" i="1"/>
  <c r="AB3236" i="1"/>
  <c r="AA3236" i="1"/>
  <c r="AC3235" i="1"/>
  <c r="AB3235" i="1"/>
  <c r="AA3235" i="1"/>
  <c r="AC3234" i="1"/>
  <c r="AB3234" i="1"/>
  <c r="AA3234" i="1"/>
  <c r="AC3233" i="1"/>
  <c r="AB3233" i="1"/>
  <c r="AA3233" i="1"/>
  <c r="AC3232" i="1"/>
  <c r="AB3232" i="1"/>
  <c r="AA3232" i="1"/>
  <c r="AC3231" i="1"/>
  <c r="AB3231" i="1"/>
  <c r="AA3231" i="1"/>
  <c r="AC3230" i="1"/>
  <c r="AB3230" i="1"/>
  <c r="AA3230" i="1"/>
  <c r="AC3229" i="1"/>
  <c r="AB3229" i="1"/>
  <c r="AA3229" i="1"/>
  <c r="AC3228" i="1"/>
  <c r="AB3228" i="1"/>
  <c r="AA3228" i="1"/>
  <c r="AC3227" i="1"/>
  <c r="AB3227" i="1"/>
  <c r="AA3227" i="1"/>
  <c r="AC3226" i="1"/>
  <c r="AB3226" i="1"/>
  <c r="AA3226" i="1"/>
  <c r="AC3225" i="1"/>
  <c r="AB3225" i="1"/>
  <c r="AA3225" i="1"/>
  <c r="AC3224" i="1"/>
  <c r="AB3224" i="1"/>
  <c r="AA3224" i="1"/>
  <c r="AC3223" i="1"/>
  <c r="AB3223" i="1"/>
  <c r="AA3223" i="1"/>
  <c r="AC3222" i="1"/>
  <c r="AB3222" i="1"/>
  <c r="AA3222" i="1"/>
  <c r="AC3221" i="1"/>
  <c r="AB3221" i="1"/>
  <c r="AA3221" i="1"/>
  <c r="AC3220" i="1"/>
  <c r="AB3220" i="1"/>
  <c r="AA3220" i="1"/>
  <c r="AC3219" i="1"/>
  <c r="AB3219" i="1"/>
  <c r="AA3219" i="1"/>
  <c r="AC3218" i="1"/>
  <c r="AB3218" i="1"/>
  <c r="AA3218" i="1"/>
  <c r="AC3217" i="1"/>
  <c r="AB3217" i="1"/>
  <c r="AA3217" i="1"/>
  <c r="AC3216" i="1"/>
  <c r="AB3216" i="1"/>
  <c r="AA3216" i="1"/>
  <c r="AC3215" i="1"/>
  <c r="AB3215" i="1"/>
  <c r="AA3215" i="1"/>
  <c r="AC3214" i="1"/>
  <c r="AB3214" i="1"/>
  <c r="AA3214" i="1"/>
  <c r="AC3213" i="1"/>
  <c r="AB3213" i="1"/>
  <c r="AA3213" i="1"/>
  <c r="AC3212" i="1"/>
  <c r="AB3212" i="1"/>
  <c r="AA3212" i="1"/>
  <c r="AC3211" i="1"/>
  <c r="AB3211" i="1"/>
  <c r="AA3211" i="1"/>
  <c r="AC3210" i="1"/>
  <c r="AB3210" i="1"/>
  <c r="AA3210" i="1"/>
  <c r="AC3209" i="1"/>
  <c r="AB3209" i="1"/>
  <c r="AA3209" i="1"/>
  <c r="AC3208" i="1"/>
  <c r="AB3208" i="1"/>
  <c r="AA3208" i="1"/>
  <c r="AC3207" i="1"/>
  <c r="AB3207" i="1"/>
  <c r="AA3207" i="1"/>
  <c r="AC3206" i="1"/>
  <c r="AB3206" i="1"/>
  <c r="AA3206" i="1"/>
  <c r="AC3205" i="1"/>
  <c r="AB3205" i="1"/>
  <c r="AA3205" i="1"/>
  <c r="AC3204" i="1"/>
  <c r="AB3204" i="1"/>
  <c r="AA3204" i="1"/>
  <c r="AC3203" i="1"/>
  <c r="AB3203" i="1"/>
  <c r="AA3203" i="1"/>
  <c r="AC3202" i="1"/>
  <c r="AB3202" i="1"/>
  <c r="AA3202" i="1"/>
  <c r="AC3201" i="1"/>
  <c r="AB3201" i="1"/>
  <c r="AA3201" i="1"/>
  <c r="AC3200" i="1"/>
  <c r="AB3200" i="1"/>
  <c r="AA3200" i="1"/>
  <c r="AC3199" i="1"/>
  <c r="AB3199" i="1"/>
  <c r="AA3199" i="1"/>
  <c r="AC3198" i="1"/>
  <c r="AB3198" i="1"/>
  <c r="AA3198" i="1"/>
  <c r="AC3197" i="1"/>
  <c r="AB3197" i="1"/>
  <c r="AA3197" i="1"/>
  <c r="AC3196" i="1"/>
  <c r="AB3196" i="1"/>
  <c r="AA3196" i="1"/>
  <c r="AC3195" i="1"/>
  <c r="AB3195" i="1"/>
  <c r="AA3195" i="1"/>
  <c r="AC3194" i="1"/>
  <c r="AB3194" i="1"/>
  <c r="AA3194" i="1"/>
  <c r="AC3193" i="1"/>
  <c r="AB3193" i="1"/>
  <c r="AA3193" i="1"/>
  <c r="AC3192" i="1"/>
  <c r="AB3192" i="1"/>
  <c r="AA3192" i="1"/>
  <c r="AC3191" i="1"/>
  <c r="AB3191" i="1"/>
  <c r="AA3191" i="1"/>
  <c r="AC3190" i="1"/>
  <c r="AB3190" i="1"/>
  <c r="AA3190" i="1"/>
  <c r="AC3189" i="1"/>
  <c r="AB3189" i="1"/>
  <c r="AA3189" i="1"/>
  <c r="AC3188" i="1"/>
  <c r="AB3188" i="1"/>
  <c r="AA3188" i="1"/>
  <c r="AC3187" i="1"/>
  <c r="AB3187" i="1"/>
  <c r="AA3187" i="1"/>
  <c r="AC3186" i="1"/>
  <c r="AB3186" i="1"/>
  <c r="AA3186" i="1"/>
  <c r="AC3185" i="1"/>
  <c r="AB3185" i="1"/>
  <c r="AA3185" i="1"/>
  <c r="AC3184" i="1"/>
  <c r="AB3184" i="1"/>
  <c r="AA3184" i="1"/>
  <c r="AC3183" i="1"/>
  <c r="AB3183" i="1"/>
  <c r="AA3183" i="1"/>
  <c r="AC3182" i="1"/>
  <c r="AB3182" i="1"/>
  <c r="AA3182" i="1"/>
  <c r="AC3181" i="1"/>
  <c r="AB3181" i="1"/>
  <c r="AA3181" i="1"/>
  <c r="AC3180" i="1"/>
  <c r="AB3180" i="1"/>
  <c r="AA3180" i="1"/>
  <c r="AC3179" i="1"/>
  <c r="AB3179" i="1"/>
  <c r="AA3179" i="1"/>
  <c r="AC3178" i="1"/>
  <c r="AB3178" i="1"/>
  <c r="AA3178" i="1"/>
  <c r="AC3177" i="1"/>
  <c r="AB3177" i="1"/>
  <c r="AA3177" i="1"/>
  <c r="AC3176" i="1"/>
  <c r="AB3176" i="1"/>
  <c r="AA3176" i="1"/>
  <c r="AC3175" i="1"/>
  <c r="AB3175" i="1"/>
  <c r="AA3175" i="1"/>
  <c r="AC3174" i="1"/>
  <c r="AB3174" i="1"/>
  <c r="AA3174" i="1"/>
  <c r="AC3173" i="1"/>
  <c r="AB3173" i="1"/>
  <c r="AA3173" i="1"/>
  <c r="AC3172" i="1"/>
  <c r="AB3172" i="1"/>
  <c r="AA3172" i="1"/>
  <c r="AC3171" i="1"/>
  <c r="AB3171" i="1"/>
  <c r="AA3171" i="1"/>
  <c r="AC3170" i="1"/>
  <c r="AB3170" i="1"/>
  <c r="AA3170" i="1"/>
  <c r="AC3169" i="1"/>
  <c r="AB3169" i="1"/>
  <c r="AA3169" i="1"/>
  <c r="AC3168" i="1"/>
  <c r="AB3168" i="1"/>
  <c r="AA3168" i="1"/>
  <c r="AC3167" i="1"/>
  <c r="AB3167" i="1"/>
  <c r="AA3167" i="1"/>
  <c r="AC3166" i="1"/>
  <c r="AB3166" i="1"/>
  <c r="AA3166" i="1"/>
  <c r="AC3165" i="1"/>
  <c r="AB3165" i="1"/>
  <c r="AA3165" i="1"/>
  <c r="AC3164" i="1"/>
  <c r="AB3164" i="1"/>
  <c r="AA3164" i="1"/>
  <c r="AC3163" i="1"/>
  <c r="AB3163" i="1"/>
  <c r="AA3163" i="1"/>
  <c r="AC3162" i="1"/>
  <c r="AB3162" i="1"/>
  <c r="AA3162" i="1"/>
  <c r="AC3161" i="1"/>
  <c r="AB3161" i="1"/>
  <c r="AA3161" i="1"/>
  <c r="AC3160" i="1"/>
  <c r="AB3160" i="1"/>
  <c r="AA3160" i="1"/>
  <c r="AC3159" i="1"/>
  <c r="AB3159" i="1"/>
  <c r="AA3159" i="1"/>
  <c r="AC3158" i="1"/>
  <c r="AB3158" i="1"/>
  <c r="AA3158" i="1"/>
  <c r="AC3157" i="1"/>
  <c r="AB3157" i="1"/>
  <c r="AA3157" i="1"/>
  <c r="AC3156" i="1"/>
  <c r="AB3156" i="1"/>
  <c r="AA3156" i="1"/>
  <c r="AC3155" i="1"/>
  <c r="AB3155" i="1"/>
  <c r="AA3155" i="1"/>
  <c r="AC3154" i="1"/>
  <c r="AB3154" i="1"/>
  <c r="AA3154" i="1"/>
  <c r="AC3153" i="1"/>
  <c r="AB3153" i="1"/>
  <c r="AA3153" i="1"/>
  <c r="AC3152" i="1"/>
  <c r="AB3152" i="1"/>
  <c r="AA3152" i="1"/>
  <c r="AC3151" i="1"/>
  <c r="AB3151" i="1"/>
  <c r="AA3151" i="1"/>
  <c r="AC3150" i="1"/>
  <c r="AB3150" i="1"/>
  <c r="AA3150" i="1"/>
  <c r="AC3149" i="1"/>
  <c r="AB3149" i="1"/>
  <c r="AA3149" i="1"/>
  <c r="AC3148" i="1"/>
  <c r="AB3148" i="1"/>
  <c r="AA3148" i="1"/>
  <c r="AC3147" i="1"/>
  <c r="AB3147" i="1"/>
  <c r="AA3147" i="1"/>
  <c r="AC3146" i="1"/>
  <c r="AB3146" i="1"/>
  <c r="AA3146" i="1"/>
  <c r="AC3145" i="1"/>
  <c r="AB3145" i="1"/>
  <c r="AA3145" i="1"/>
  <c r="AC3144" i="1"/>
  <c r="AB3144" i="1"/>
  <c r="AA3144" i="1"/>
  <c r="AC3143" i="1"/>
  <c r="AB3143" i="1"/>
  <c r="AA3143" i="1"/>
  <c r="AC3142" i="1"/>
  <c r="AB3142" i="1"/>
  <c r="AA3142" i="1"/>
  <c r="AC3141" i="1"/>
  <c r="AB3141" i="1"/>
  <c r="AA3141" i="1"/>
  <c r="AC3140" i="1"/>
  <c r="AB3140" i="1"/>
  <c r="AA3140" i="1"/>
  <c r="AC3139" i="1"/>
  <c r="AB3139" i="1"/>
  <c r="AA3139" i="1"/>
  <c r="AC3138" i="1"/>
  <c r="AB3138" i="1"/>
  <c r="AA3138" i="1"/>
  <c r="AC3137" i="1"/>
  <c r="AB3137" i="1"/>
  <c r="AA3137" i="1"/>
  <c r="AC3136" i="1"/>
  <c r="AB3136" i="1"/>
  <c r="AA3136" i="1"/>
  <c r="AC3135" i="1"/>
  <c r="AB3135" i="1"/>
  <c r="AA3135" i="1"/>
  <c r="AC3134" i="1"/>
  <c r="AB3134" i="1"/>
  <c r="AA3134" i="1"/>
  <c r="AC3133" i="1"/>
  <c r="AB3133" i="1"/>
  <c r="AA3133" i="1"/>
  <c r="AC3132" i="1"/>
  <c r="AB3132" i="1"/>
  <c r="AA3132" i="1"/>
  <c r="AC3131" i="1"/>
  <c r="AB3131" i="1"/>
  <c r="AA3131" i="1"/>
  <c r="AC3130" i="1"/>
  <c r="AB3130" i="1"/>
  <c r="AA3130" i="1"/>
  <c r="AC3129" i="1"/>
  <c r="AB3129" i="1"/>
  <c r="AA3129" i="1"/>
  <c r="AC3128" i="1"/>
  <c r="AB3128" i="1"/>
  <c r="AA3128" i="1"/>
  <c r="AC3127" i="1"/>
  <c r="AB3127" i="1"/>
  <c r="AA3127" i="1"/>
  <c r="AC3126" i="1"/>
  <c r="AB3126" i="1"/>
  <c r="AA3126" i="1"/>
  <c r="AC3125" i="1"/>
  <c r="AB3125" i="1"/>
  <c r="AA3125" i="1"/>
  <c r="AC3124" i="1"/>
  <c r="AB3124" i="1"/>
  <c r="AA3124" i="1"/>
  <c r="AC3123" i="1"/>
  <c r="AB3123" i="1"/>
  <c r="AA3123" i="1"/>
  <c r="AC3122" i="1"/>
  <c r="AB3122" i="1"/>
  <c r="AA3122" i="1"/>
  <c r="AC3121" i="1"/>
  <c r="AB3121" i="1"/>
  <c r="AA3121" i="1"/>
  <c r="AC3120" i="1"/>
  <c r="AB3120" i="1"/>
  <c r="AA3120" i="1"/>
  <c r="AC3119" i="1"/>
  <c r="AB3119" i="1"/>
  <c r="AA3119" i="1"/>
  <c r="AC3118" i="1"/>
  <c r="AB3118" i="1"/>
  <c r="AA3118" i="1"/>
  <c r="AC3117" i="1"/>
  <c r="AB3117" i="1"/>
  <c r="AA3117" i="1"/>
  <c r="AC3116" i="1"/>
  <c r="AB3116" i="1"/>
  <c r="AA3116" i="1"/>
  <c r="AC3115" i="1"/>
  <c r="AB3115" i="1"/>
  <c r="AA3115" i="1"/>
  <c r="AC3114" i="1"/>
  <c r="AB3114" i="1"/>
  <c r="AA3114" i="1"/>
  <c r="AC3113" i="1"/>
  <c r="AB3113" i="1"/>
  <c r="AA3113" i="1"/>
  <c r="AC3112" i="1"/>
  <c r="AB3112" i="1"/>
  <c r="AA3112" i="1"/>
  <c r="AC3111" i="1"/>
  <c r="AB3111" i="1"/>
  <c r="AA3111" i="1"/>
  <c r="AC3110" i="1"/>
  <c r="AB3110" i="1"/>
  <c r="AA3110" i="1"/>
  <c r="AC3109" i="1"/>
  <c r="AB3109" i="1"/>
  <c r="AA3109" i="1"/>
  <c r="AC3108" i="1"/>
  <c r="AB3108" i="1"/>
  <c r="AA3108" i="1"/>
  <c r="AC3107" i="1"/>
  <c r="AB3107" i="1"/>
  <c r="AA3107" i="1"/>
  <c r="AC3106" i="1"/>
  <c r="AB3106" i="1"/>
  <c r="AA3106" i="1"/>
  <c r="AC3105" i="1"/>
  <c r="AB3105" i="1"/>
  <c r="AA3105" i="1"/>
  <c r="AC3104" i="1"/>
  <c r="AB3104" i="1"/>
  <c r="AA3104" i="1"/>
  <c r="AC3103" i="1"/>
  <c r="AB3103" i="1"/>
  <c r="AA3103" i="1"/>
  <c r="AC3102" i="1"/>
  <c r="AB3102" i="1"/>
  <c r="AA3102" i="1"/>
  <c r="AC3101" i="1"/>
  <c r="AB3101" i="1"/>
  <c r="AA3101" i="1"/>
  <c r="AC3100" i="1"/>
  <c r="AB3100" i="1"/>
  <c r="AA3100" i="1"/>
  <c r="AC3099" i="1"/>
  <c r="AB3099" i="1"/>
  <c r="AA3099" i="1"/>
  <c r="AC3098" i="1"/>
  <c r="AB3098" i="1"/>
  <c r="AA3098" i="1"/>
  <c r="AC3097" i="1"/>
  <c r="AB3097" i="1"/>
  <c r="AA3097" i="1"/>
  <c r="AC3096" i="1"/>
  <c r="AB3096" i="1"/>
  <c r="AA3096" i="1"/>
  <c r="AC3095" i="1"/>
  <c r="AB3095" i="1"/>
  <c r="AA3095" i="1"/>
  <c r="AC3094" i="1"/>
  <c r="AB3094" i="1"/>
  <c r="AA3094" i="1"/>
  <c r="AC3093" i="1"/>
  <c r="AB3093" i="1"/>
  <c r="AA3093" i="1"/>
  <c r="AC3092" i="1"/>
  <c r="AB3092" i="1"/>
  <c r="AA3092" i="1"/>
  <c r="AC3091" i="1"/>
  <c r="AB3091" i="1"/>
  <c r="AA3091" i="1"/>
  <c r="AC3090" i="1"/>
  <c r="AB3090" i="1"/>
  <c r="AA3090" i="1"/>
  <c r="AC3089" i="1"/>
  <c r="AB3089" i="1"/>
  <c r="AA3089" i="1"/>
  <c r="AC3088" i="1"/>
  <c r="AB3088" i="1"/>
  <c r="AA3088" i="1"/>
  <c r="AC3087" i="1"/>
  <c r="AB3087" i="1"/>
  <c r="AA3087" i="1"/>
  <c r="AC3086" i="1"/>
  <c r="AB3086" i="1"/>
  <c r="AA3086" i="1"/>
  <c r="AC3085" i="1"/>
  <c r="AB3085" i="1"/>
  <c r="AA3085" i="1"/>
  <c r="AC3083" i="1"/>
  <c r="AB3083" i="1"/>
  <c r="AA3083" i="1"/>
  <c r="AC3076" i="1"/>
  <c r="AB3076" i="1"/>
  <c r="AA3076" i="1"/>
  <c r="AC3075" i="1"/>
  <c r="AB3075" i="1"/>
  <c r="AA3075" i="1"/>
  <c r="AC3074" i="1"/>
  <c r="AB3074" i="1"/>
  <c r="AA3074" i="1"/>
  <c r="AC3073" i="1"/>
  <c r="AB3073" i="1"/>
  <c r="AA3073" i="1"/>
  <c r="AC3072" i="1"/>
  <c r="AB3072" i="1"/>
  <c r="AA3072" i="1"/>
  <c r="AC3071" i="1"/>
  <c r="AB3071" i="1"/>
  <c r="AA3071" i="1"/>
  <c r="AC3070" i="1"/>
  <c r="AB3070" i="1"/>
  <c r="AA3070" i="1"/>
  <c r="AC3069" i="1"/>
  <c r="AB3069" i="1"/>
  <c r="AA3069" i="1"/>
  <c r="AC3068" i="1"/>
  <c r="AB3068" i="1"/>
  <c r="AA3068" i="1"/>
  <c r="AC3067" i="1"/>
  <c r="AB3067" i="1"/>
  <c r="AA3067" i="1"/>
  <c r="AC3066" i="1"/>
  <c r="AB3066" i="1"/>
  <c r="AA3066" i="1"/>
  <c r="AC3065" i="1"/>
  <c r="AB3065" i="1"/>
  <c r="AA3065" i="1"/>
  <c r="AC3064" i="1"/>
  <c r="AB3064" i="1"/>
  <c r="AA3064" i="1"/>
  <c r="AC3063" i="1"/>
  <c r="AB3063" i="1"/>
  <c r="AA3063" i="1"/>
  <c r="AC3062" i="1"/>
  <c r="AB3062" i="1"/>
  <c r="AA3062" i="1"/>
  <c r="AC3061" i="1"/>
  <c r="AB3061" i="1"/>
  <c r="AA3061" i="1"/>
  <c r="AC3060" i="1"/>
  <c r="AB3060" i="1"/>
  <c r="AA3060" i="1"/>
  <c r="AC3059" i="1"/>
  <c r="AB3059" i="1"/>
  <c r="AA3059" i="1"/>
  <c r="AC3058" i="1"/>
  <c r="AB3058" i="1"/>
  <c r="AA3058" i="1"/>
  <c r="AC3057" i="1"/>
  <c r="AB3057" i="1"/>
  <c r="AA3057" i="1"/>
  <c r="AC3056" i="1"/>
  <c r="AB3056" i="1"/>
  <c r="AA3056" i="1"/>
  <c r="AC3055" i="1"/>
  <c r="AB3055" i="1"/>
  <c r="AA3055" i="1"/>
  <c r="AC3054" i="1"/>
  <c r="AB3054" i="1"/>
  <c r="AA3054" i="1"/>
  <c r="AC3053" i="1"/>
  <c r="AB3053" i="1"/>
  <c r="AA3053" i="1"/>
  <c r="AC3052" i="1"/>
  <c r="AB3052" i="1"/>
  <c r="AA3052" i="1"/>
  <c r="AC3051" i="1"/>
  <c r="AB3051" i="1"/>
  <c r="AA3051" i="1"/>
  <c r="AC3050" i="1"/>
  <c r="AB3050" i="1"/>
  <c r="AA3050" i="1"/>
  <c r="AC3049" i="1"/>
  <c r="AB3049" i="1"/>
  <c r="AA3049" i="1"/>
  <c r="AC3048" i="1"/>
  <c r="AB3048" i="1"/>
  <c r="AA3048" i="1"/>
  <c r="AC3047" i="1"/>
  <c r="AB3047" i="1"/>
  <c r="AA3047" i="1"/>
  <c r="AC3046" i="1"/>
  <c r="AB3046" i="1"/>
  <c r="AA3046" i="1"/>
  <c r="AC3045" i="1"/>
  <c r="AB3045" i="1"/>
  <c r="AA3045" i="1"/>
  <c r="AC3044" i="1"/>
  <c r="AB3044" i="1"/>
  <c r="AA3044" i="1"/>
  <c r="AC3043" i="1"/>
  <c r="AB3043" i="1"/>
  <c r="AA3043" i="1"/>
  <c r="AC3042" i="1"/>
  <c r="AB3042" i="1"/>
  <c r="AA3042" i="1"/>
  <c r="AC3041" i="1"/>
  <c r="AB3041" i="1"/>
  <c r="AA3041" i="1"/>
  <c r="AC3040" i="1"/>
  <c r="AB3040" i="1"/>
  <c r="AA3040" i="1"/>
  <c r="AC3039" i="1"/>
  <c r="AB3039" i="1"/>
  <c r="AA3039" i="1"/>
  <c r="AC3038" i="1"/>
  <c r="AB3038" i="1"/>
  <c r="AA3038" i="1"/>
  <c r="AC3037" i="1"/>
  <c r="AB3037" i="1"/>
  <c r="AA3037" i="1"/>
  <c r="AC3036" i="1"/>
  <c r="AB3036" i="1"/>
  <c r="AA3036" i="1"/>
  <c r="AC3035" i="1"/>
  <c r="AB3035" i="1"/>
  <c r="AA3035" i="1"/>
  <c r="AC3034" i="1"/>
  <c r="AB3034" i="1"/>
  <c r="AA3034" i="1"/>
  <c r="AC3033" i="1"/>
  <c r="AB3033" i="1"/>
  <c r="AA3033" i="1"/>
  <c r="AC3032" i="1"/>
  <c r="AB3032" i="1"/>
  <c r="AA3032" i="1"/>
  <c r="AC3031" i="1"/>
  <c r="AB3031" i="1"/>
  <c r="AA3031" i="1"/>
  <c r="AC3030" i="1"/>
  <c r="AB3030" i="1"/>
  <c r="AA3030" i="1"/>
  <c r="AC3029" i="1"/>
  <c r="AB3029" i="1"/>
  <c r="AA3029" i="1"/>
  <c r="AC3028" i="1"/>
  <c r="AB3028" i="1"/>
  <c r="AA3028" i="1"/>
  <c r="AC3027" i="1"/>
  <c r="AB3027" i="1"/>
  <c r="AA3027" i="1"/>
  <c r="AC3026" i="1"/>
  <c r="AB3026" i="1"/>
  <c r="AA3026" i="1"/>
  <c r="AC3025" i="1"/>
  <c r="AB3025" i="1"/>
  <c r="AA3025" i="1"/>
  <c r="AC3024" i="1"/>
  <c r="AB3024" i="1"/>
  <c r="AA3024" i="1"/>
  <c r="AC3023" i="1"/>
  <c r="AB3023" i="1"/>
  <c r="AA3023" i="1"/>
  <c r="AC3022" i="1"/>
  <c r="AB3022" i="1"/>
  <c r="AA3022" i="1"/>
  <c r="AC3021" i="1"/>
  <c r="AB3021" i="1"/>
  <c r="AA3021" i="1"/>
  <c r="AC3020" i="1"/>
  <c r="AB3020" i="1"/>
  <c r="AA3020" i="1"/>
  <c r="AC3019" i="1"/>
  <c r="AB3019" i="1"/>
  <c r="AA3019" i="1"/>
  <c r="AC3018" i="1"/>
  <c r="AB3018" i="1"/>
  <c r="AA3018" i="1"/>
  <c r="AC3017" i="1"/>
  <c r="AB3017" i="1"/>
  <c r="AA3017" i="1"/>
  <c r="AC3016" i="1"/>
  <c r="AB3016" i="1"/>
  <c r="AA3016" i="1"/>
  <c r="AC3015" i="1"/>
  <c r="AB3015" i="1"/>
  <c r="AA3015" i="1"/>
  <c r="AC3014" i="1"/>
  <c r="AB3014" i="1"/>
  <c r="AA3014" i="1"/>
  <c r="AC3013" i="1"/>
  <c r="AB3013" i="1"/>
  <c r="AA3013" i="1"/>
  <c r="AC3012" i="1"/>
  <c r="AB3012" i="1"/>
  <c r="AA3012" i="1"/>
  <c r="AC3011" i="1"/>
  <c r="AB3011" i="1"/>
  <c r="AA3011" i="1"/>
  <c r="AC3010" i="1"/>
  <c r="AB3010" i="1"/>
  <c r="AA3010" i="1"/>
  <c r="AC3009" i="1"/>
  <c r="AB3009" i="1"/>
  <c r="AA3009" i="1"/>
  <c r="AC3008" i="1"/>
  <c r="AB3008" i="1"/>
  <c r="AA3008" i="1"/>
  <c r="AC3007" i="1"/>
  <c r="AB3007" i="1"/>
  <c r="AA3007" i="1"/>
  <c r="AC3006" i="1"/>
  <c r="AB3006" i="1"/>
  <c r="AA3006" i="1"/>
  <c r="AC3005" i="1"/>
  <c r="AB3005" i="1"/>
  <c r="AA3005" i="1"/>
  <c r="AC3004" i="1"/>
  <c r="AB3004" i="1"/>
  <c r="AA3004" i="1"/>
  <c r="AC3003" i="1"/>
  <c r="AB3003" i="1"/>
  <c r="AA3003" i="1"/>
  <c r="AC3002" i="1"/>
  <c r="AB3002" i="1"/>
  <c r="AA3002" i="1"/>
  <c r="AC3001" i="1"/>
  <c r="AB3001" i="1"/>
  <c r="AA3001" i="1"/>
  <c r="AC3000" i="1"/>
  <c r="AB3000" i="1"/>
  <c r="AA3000" i="1"/>
  <c r="AC2999" i="1"/>
  <c r="AB2999" i="1"/>
  <c r="AA2999" i="1"/>
  <c r="AC2998" i="1"/>
  <c r="AB2998" i="1"/>
  <c r="AA2998" i="1"/>
  <c r="AC2997" i="1"/>
  <c r="AB2997" i="1"/>
  <c r="AA2997" i="1"/>
  <c r="AC2996" i="1"/>
  <c r="AB2996" i="1"/>
  <c r="AA2996" i="1"/>
  <c r="AC2995" i="1"/>
  <c r="AB2995" i="1"/>
  <c r="AA2995" i="1"/>
  <c r="AC2994" i="1"/>
  <c r="AB2994" i="1"/>
  <c r="AA2994" i="1"/>
  <c r="AC2993" i="1"/>
  <c r="AB2993" i="1"/>
  <c r="AA2993" i="1"/>
  <c r="AC2992" i="1"/>
  <c r="AB2992" i="1"/>
  <c r="AA2992" i="1"/>
  <c r="AC2991" i="1"/>
  <c r="AB2991" i="1"/>
  <c r="AA2991" i="1"/>
  <c r="AC2990" i="1"/>
  <c r="AB2990" i="1"/>
  <c r="AA2990" i="1"/>
  <c r="AC2989" i="1"/>
  <c r="AB2989" i="1"/>
  <c r="AA2989" i="1"/>
  <c r="AC2988" i="1"/>
  <c r="AB2988" i="1"/>
  <c r="AA2988" i="1"/>
  <c r="AC2987" i="1"/>
  <c r="AB2987" i="1"/>
  <c r="AA2987" i="1"/>
  <c r="AC2986" i="1"/>
  <c r="AB2986" i="1"/>
  <c r="AA2986" i="1"/>
  <c r="AC2985" i="1"/>
  <c r="AB2985" i="1"/>
  <c r="AA2985" i="1"/>
  <c r="AC2982" i="1"/>
  <c r="AB2982" i="1"/>
  <c r="AA2982" i="1"/>
  <c r="AC2981" i="1"/>
  <c r="AB2981" i="1"/>
  <c r="AA2981" i="1"/>
  <c r="AC2980" i="1"/>
  <c r="AB2980" i="1"/>
  <c r="AA2980" i="1"/>
  <c r="AC2979" i="1"/>
  <c r="AB2979" i="1"/>
  <c r="AA2979" i="1"/>
  <c r="AC2978" i="1"/>
  <c r="AB2978" i="1"/>
  <c r="AA2978" i="1"/>
  <c r="AC2977" i="1"/>
  <c r="AB2977" i="1"/>
  <c r="AA2977" i="1"/>
  <c r="AC2976" i="1"/>
  <c r="AB2976" i="1"/>
  <c r="AA2976" i="1"/>
  <c r="AC2975" i="1"/>
  <c r="AB2975" i="1"/>
  <c r="AA2975" i="1"/>
  <c r="AC2974" i="1"/>
  <c r="AB2974" i="1"/>
  <c r="AA2974" i="1"/>
  <c r="AC2973" i="1"/>
  <c r="AB2973" i="1"/>
  <c r="AA2973" i="1"/>
  <c r="AC2972" i="1"/>
  <c r="AB2972" i="1"/>
  <c r="AA2972" i="1"/>
  <c r="AC2971" i="1"/>
  <c r="AB2971" i="1"/>
  <c r="AA2971" i="1"/>
  <c r="AC2970" i="1"/>
  <c r="AB2970" i="1"/>
  <c r="AA2970" i="1"/>
  <c r="AC2969" i="1"/>
  <c r="AB2969" i="1"/>
  <c r="AA2969" i="1"/>
  <c r="AC2968" i="1"/>
  <c r="AB2968" i="1"/>
  <c r="AA2968" i="1"/>
  <c r="AC2967" i="1"/>
  <c r="AB2967" i="1"/>
  <c r="AA2967" i="1"/>
  <c r="AC2966" i="1"/>
  <c r="AB2966" i="1"/>
  <c r="AA2966" i="1"/>
  <c r="AC2965" i="1"/>
  <c r="AB2965" i="1"/>
  <c r="AA2965" i="1"/>
  <c r="AC2964" i="1"/>
  <c r="AB2964" i="1"/>
  <c r="AA2964" i="1"/>
  <c r="AC2963" i="1"/>
  <c r="AB2963" i="1"/>
  <c r="AA2963" i="1"/>
  <c r="AC2962" i="1"/>
  <c r="AB2962" i="1"/>
  <c r="AA2962" i="1"/>
  <c r="AC2961" i="1"/>
  <c r="AB2961" i="1"/>
  <c r="AA2961" i="1"/>
  <c r="AC2960" i="1"/>
  <c r="AB2960" i="1"/>
  <c r="AA2960" i="1"/>
  <c r="AC2959" i="1"/>
  <c r="AB2959" i="1"/>
  <c r="AA2959" i="1"/>
  <c r="AC2958" i="1"/>
  <c r="AB2958" i="1"/>
  <c r="AA2958" i="1"/>
  <c r="AC2957" i="1"/>
  <c r="AB2957" i="1"/>
  <c r="AA2957" i="1"/>
  <c r="AC2956" i="1"/>
  <c r="AB2956" i="1"/>
  <c r="AA2956" i="1"/>
  <c r="AC2955" i="1"/>
  <c r="AB2955" i="1"/>
  <c r="AA2955" i="1"/>
  <c r="AC2954" i="1"/>
  <c r="AB2954" i="1"/>
  <c r="AA2954" i="1"/>
  <c r="AC2953" i="1"/>
  <c r="AB2953" i="1"/>
  <c r="AA2953" i="1"/>
  <c r="AC2952" i="1"/>
  <c r="AB2952" i="1"/>
  <c r="AA2952" i="1"/>
  <c r="AC2951" i="1"/>
  <c r="AB2951" i="1"/>
  <c r="AA2951" i="1"/>
  <c r="AC2950" i="1"/>
  <c r="AB2950" i="1"/>
  <c r="AA2950" i="1"/>
  <c r="AC2949" i="1"/>
  <c r="AB2949" i="1"/>
  <c r="AA2949" i="1"/>
  <c r="AC2948" i="1"/>
  <c r="AB2948" i="1"/>
  <c r="AA2948" i="1"/>
  <c r="AC2947" i="1"/>
  <c r="AB2947" i="1"/>
  <c r="AA2947" i="1"/>
  <c r="AC2946" i="1"/>
  <c r="AB2946" i="1"/>
  <c r="AA2946" i="1"/>
  <c r="AC2945" i="1"/>
  <c r="AB2945" i="1"/>
  <c r="AA2945" i="1"/>
  <c r="AC2944" i="1"/>
  <c r="AB2944" i="1"/>
  <c r="AA2944" i="1"/>
  <c r="AC2943" i="1"/>
  <c r="AB2943" i="1"/>
  <c r="AA2943" i="1"/>
  <c r="AC2942" i="1"/>
  <c r="AB2942" i="1"/>
  <c r="AA2942" i="1"/>
  <c r="AC2941" i="1"/>
  <c r="AB2941" i="1"/>
  <c r="AA2941" i="1"/>
  <c r="AC2940" i="1"/>
  <c r="AB2940" i="1"/>
  <c r="AA2940" i="1"/>
  <c r="AC2939" i="1"/>
  <c r="AB2939" i="1"/>
  <c r="AA2939" i="1"/>
  <c r="AC2938" i="1"/>
  <c r="AB2938" i="1"/>
  <c r="AA2938" i="1"/>
  <c r="AC2937" i="1"/>
  <c r="AB2937" i="1"/>
  <c r="AA2937" i="1"/>
  <c r="AC2936" i="1"/>
  <c r="AB2936" i="1"/>
  <c r="AA2936" i="1"/>
  <c r="AC2935" i="1"/>
  <c r="AB2935" i="1"/>
  <c r="AA2935" i="1"/>
  <c r="AC2934" i="1"/>
  <c r="AB2934" i="1"/>
  <c r="AA2934" i="1"/>
  <c r="AC2933" i="1"/>
  <c r="AB2933" i="1"/>
  <c r="AA2933" i="1"/>
  <c r="AC2932" i="1"/>
  <c r="AB2932" i="1"/>
  <c r="AA2932" i="1"/>
  <c r="AC2931" i="1"/>
  <c r="AB2931" i="1"/>
  <c r="AA2931" i="1"/>
  <c r="AC2930" i="1"/>
  <c r="AB2930" i="1"/>
  <c r="AA2930" i="1"/>
  <c r="AC2929" i="1"/>
  <c r="AB2929" i="1"/>
  <c r="AA2929" i="1"/>
  <c r="AC2928" i="1"/>
  <c r="AB2928" i="1"/>
  <c r="AA2928" i="1"/>
  <c r="AC2927" i="1"/>
  <c r="AB2927" i="1"/>
  <c r="AA2927" i="1"/>
  <c r="AC2926" i="1"/>
  <c r="AB2926" i="1"/>
  <c r="AA2926" i="1"/>
  <c r="AC2925" i="1"/>
  <c r="AB2925" i="1"/>
  <c r="AA2925" i="1"/>
  <c r="AC2924" i="1"/>
  <c r="AB2924" i="1"/>
  <c r="AA2924" i="1"/>
  <c r="AC2923" i="1"/>
  <c r="AB2923" i="1"/>
  <c r="AA2923" i="1"/>
  <c r="AC2922" i="1"/>
  <c r="AB2922" i="1"/>
  <c r="AA2922" i="1"/>
  <c r="AC2921" i="1"/>
  <c r="AB2921" i="1"/>
  <c r="AA2921" i="1"/>
  <c r="AC2920" i="1"/>
  <c r="AB2920" i="1"/>
  <c r="AA2920" i="1"/>
  <c r="AC2919" i="1"/>
  <c r="AB2919" i="1"/>
  <c r="AA2919" i="1"/>
  <c r="AC2918" i="1"/>
  <c r="AB2918" i="1"/>
  <c r="AA2918" i="1"/>
  <c r="AC2917" i="1"/>
  <c r="AB2917" i="1"/>
  <c r="AA2917" i="1"/>
  <c r="AC2916" i="1"/>
  <c r="AB2916" i="1"/>
  <c r="AA2916" i="1"/>
  <c r="AC2915" i="1"/>
  <c r="AB2915" i="1"/>
  <c r="AA2915" i="1"/>
  <c r="AC2914" i="1"/>
  <c r="AB2914" i="1"/>
  <c r="AA2914" i="1"/>
  <c r="AC2913" i="1"/>
  <c r="AB2913" i="1"/>
  <c r="AA2913" i="1"/>
  <c r="AC2912" i="1"/>
  <c r="AB2912" i="1"/>
  <c r="AA2912" i="1"/>
  <c r="AC2911" i="1"/>
  <c r="AB2911" i="1"/>
  <c r="AA2911" i="1"/>
  <c r="AC2910" i="1"/>
  <c r="AB2910" i="1"/>
  <c r="AA2910" i="1"/>
  <c r="AC2909" i="1"/>
  <c r="AB2909" i="1"/>
  <c r="AA2909" i="1"/>
  <c r="AC2908" i="1"/>
  <c r="AB2908" i="1"/>
  <c r="AA2908" i="1"/>
  <c r="AC2907" i="1"/>
  <c r="AB2907" i="1"/>
  <c r="AA2907" i="1"/>
  <c r="AC2906" i="1"/>
  <c r="AB2906" i="1"/>
  <c r="AA2906" i="1"/>
  <c r="AC2905" i="1"/>
  <c r="AB2905" i="1"/>
  <c r="AA2905" i="1"/>
  <c r="AC2904" i="1"/>
  <c r="AB2904" i="1"/>
  <c r="AA2904" i="1"/>
  <c r="AC2903" i="1"/>
  <c r="AB2903" i="1"/>
  <c r="AA2903" i="1"/>
  <c r="AC2902" i="1"/>
  <c r="AB2902" i="1"/>
  <c r="AA2902" i="1"/>
  <c r="AC2901" i="1"/>
  <c r="AB2901" i="1"/>
  <c r="AA2901" i="1"/>
  <c r="AC2900" i="1"/>
  <c r="AB2900" i="1"/>
  <c r="AA2900" i="1"/>
  <c r="AC2899" i="1"/>
  <c r="AB2899" i="1"/>
  <c r="AA2899" i="1"/>
  <c r="AC2898" i="1"/>
  <c r="AB2898" i="1"/>
  <c r="AA2898" i="1"/>
  <c r="AC2897" i="1"/>
  <c r="AB2897" i="1"/>
  <c r="AA2897" i="1"/>
  <c r="AC2896" i="1"/>
  <c r="AB2896" i="1"/>
  <c r="AA2896" i="1"/>
  <c r="AC2895" i="1"/>
  <c r="AB2895" i="1"/>
  <c r="AA2895" i="1"/>
  <c r="AC2894" i="1"/>
  <c r="AB2894" i="1"/>
  <c r="AA2894" i="1"/>
  <c r="AC2893" i="1"/>
  <c r="AB2893" i="1"/>
  <c r="AA2893" i="1"/>
  <c r="AC2892" i="1"/>
  <c r="AB2892" i="1"/>
  <c r="AA2892" i="1"/>
  <c r="AC2891" i="1"/>
  <c r="AB2891" i="1"/>
  <c r="AA2891" i="1"/>
  <c r="AC2890" i="1"/>
  <c r="AB2890" i="1"/>
  <c r="AA2890" i="1"/>
  <c r="AC2889" i="1"/>
  <c r="AB2889" i="1"/>
  <c r="AA2889" i="1"/>
  <c r="AC2888" i="1"/>
  <c r="AB2888" i="1"/>
  <c r="AA2888" i="1"/>
  <c r="AC2887" i="1"/>
  <c r="AB2887" i="1"/>
  <c r="AA2887" i="1"/>
  <c r="AC2886" i="1"/>
  <c r="AB2886" i="1"/>
  <c r="AA2886" i="1"/>
  <c r="AC2885" i="1"/>
  <c r="AB2885" i="1"/>
  <c r="AA2885" i="1"/>
  <c r="AC2884" i="1"/>
  <c r="AB2884" i="1"/>
  <c r="AA2884" i="1"/>
  <c r="AC2883" i="1"/>
  <c r="AB2883" i="1"/>
  <c r="AA2883" i="1"/>
  <c r="AC2882" i="1"/>
  <c r="AB2882" i="1"/>
  <c r="AA2882" i="1"/>
  <c r="AC2881" i="1"/>
  <c r="AB2881" i="1"/>
  <c r="AA2881" i="1"/>
  <c r="AC2880" i="1"/>
  <c r="AB2880" i="1"/>
  <c r="AA2880" i="1"/>
  <c r="AC2879" i="1"/>
  <c r="AB2879" i="1"/>
  <c r="AA2879" i="1"/>
  <c r="AC2878" i="1"/>
  <c r="AB2878" i="1"/>
  <c r="AA2878" i="1"/>
  <c r="AC2877" i="1"/>
  <c r="AB2877" i="1"/>
  <c r="AA2877" i="1"/>
  <c r="AC2876" i="1"/>
  <c r="AB2876" i="1"/>
  <c r="AA2876" i="1"/>
  <c r="AC2875" i="1"/>
  <c r="AB2875" i="1"/>
  <c r="AA2875" i="1"/>
  <c r="AC2874" i="1"/>
  <c r="AB2874" i="1"/>
  <c r="AA2874" i="1"/>
  <c r="AC2873" i="1"/>
  <c r="AB2873" i="1"/>
  <c r="AA2873" i="1"/>
  <c r="AC2872" i="1"/>
  <c r="AB2872" i="1"/>
  <c r="AA2872" i="1"/>
  <c r="AC2871" i="1"/>
  <c r="AB2871" i="1"/>
  <c r="AA2871" i="1"/>
  <c r="AC2870" i="1"/>
  <c r="AB2870" i="1"/>
  <c r="AA2870" i="1"/>
  <c r="AC2869" i="1"/>
  <c r="AB2869" i="1"/>
  <c r="AA2869" i="1"/>
  <c r="AC2868" i="1"/>
  <c r="AB2868" i="1"/>
  <c r="AA2868" i="1"/>
  <c r="AC2867" i="1"/>
  <c r="AB2867" i="1"/>
  <c r="AA2867" i="1"/>
  <c r="AC2866" i="1"/>
  <c r="AB2866" i="1"/>
  <c r="AA2866" i="1"/>
  <c r="AC2865" i="1"/>
  <c r="AB2865" i="1"/>
  <c r="AA2865" i="1"/>
  <c r="AC2864" i="1"/>
  <c r="AB2864" i="1"/>
  <c r="AA2864" i="1"/>
  <c r="AC2863" i="1"/>
  <c r="AB2863" i="1"/>
  <c r="AA2863" i="1"/>
  <c r="AC2862" i="1"/>
  <c r="AB2862" i="1"/>
  <c r="AA2862" i="1"/>
  <c r="AC2861" i="1"/>
  <c r="AB2861" i="1"/>
  <c r="AA2861" i="1"/>
  <c r="AC2860" i="1"/>
  <c r="AB2860" i="1"/>
  <c r="AA2860" i="1"/>
  <c r="AC2859" i="1"/>
  <c r="AB2859" i="1"/>
  <c r="AA2859" i="1"/>
  <c r="AC2858" i="1"/>
  <c r="AB2858" i="1"/>
  <c r="AA2858" i="1"/>
  <c r="AC2857" i="1"/>
  <c r="AB2857" i="1"/>
  <c r="AA2857" i="1"/>
  <c r="AC2856" i="1"/>
  <c r="AB2856" i="1"/>
  <c r="AA2856" i="1"/>
  <c r="AC2855" i="1"/>
  <c r="AB2855" i="1"/>
  <c r="AA2855" i="1"/>
  <c r="AC2854" i="1"/>
  <c r="AB2854" i="1"/>
  <c r="AA2854" i="1"/>
  <c r="AC2853" i="1"/>
  <c r="AB2853" i="1"/>
  <c r="AA2853" i="1"/>
  <c r="AC2852" i="1"/>
  <c r="AB2852" i="1"/>
  <c r="AA2852" i="1"/>
  <c r="AC2851" i="1"/>
  <c r="AB2851" i="1"/>
  <c r="AA2851" i="1"/>
  <c r="AC2850" i="1"/>
  <c r="AB2850" i="1"/>
  <c r="AA2850" i="1"/>
  <c r="AC2849" i="1"/>
  <c r="AB2849" i="1"/>
  <c r="AA2849" i="1"/>
  <c r="AC2848" i="1"/>
  <c r="AB2848" i="1"/>
  <c r="AA2848" i="1"/>
  <c r="AC2847" i="1"/>
  <c r="AB2847" i="1"/>
  <c r="AA2847" i="1"/>
  <c r="AC2846" i="1"/>
  <c r="AB2846" i="1"/>
  <c r="AA2846" i="1"/>
  <c r="AC2845" i="1"/>
  <c r="AB2845" i="1"/>
  <c r="AA2845" i="1"/>
  <c r="AC2844" i="1"/>
  <c r="AB2844" i="1"/>
  <c r="AA2844" i="1"/>
  <c r="AC2843" i="1"/>
  <c r="AB2843" i="1"/>
  <c r="AA2843" i="1"/>
  <c r="AC2842" i="1"/>
  <c r="AB2842" i="1"/>
  <c r="AA2842" i="1"/>
  <c r="AC2841" i="1"/>
  <c r="AB2841" i="1"/>
  <c r="AA2841" i="1"/>
  <c r="AC2840" i="1"/>
  <c r="AB2840" i="1"/>
  <c r="AA2840" i="1"/>
  <c r="AC2839" i="1"/>
  <c r="AB2839" i="1"/>
  <c r="AA2839" i="1"/>
  <c r="AC2838" i="1"/>
  <c r="AB2838" i="1"/>
  <c r="AA2838" i="1"/>
  <c r="AC2837" i="1"/>
  <c r="AB2837" i="1"/>
  <c r="AA2837" i="1"/>
  <c r="AC2836" i="1"/>
  <c r="AB2836" i="1"/>
  <c r="AA2836" i="1"/>
  <c r="AC2835" i="1"/>
  <c r="AB2835" i="1"/>
  <c r="AA2835" i="1"/>
  <c r="AC2834" i="1"/>
  <c r="AB2834" i="1"/>
  <c r="AA2834" i="1"/>
  <c r="AC2833" i="1"/>
  <c r="AB2833" i="1"/>
  <c r="AA2833" i="1"/>
  <c r="AC2832" i="1"/>
  <c r="AB2832" i="1"/>
  <c r="AA2832" i="1"/>
  <c r="AC2831" i="1"/>
  <c r="AB2831" i="1"/>
  <c r="AA2831" i="1"/>
  <c r="AC2830" i="1"/>
  <c r="AB2830" i="1"/>
  <c r="AA2830" i="1"/>
  <c r="AC2829" i="1"/>
  <c r="AB2829" i="1"/>
  <c r="AA2829" i="1"/>
  <c r="AC2828" i="1"/>
  <c r="AB2828" i="1"/>
  <c r="AA2828" i="1"/>
  <c r="AC2827" i="1"/>
  <c r="AB2827" i="1"/>
  <c r="AA2827" i="1"/>
  <c r="AC2826" i="1"/>
  <c r="AB2826" i="1"/>
  <c r="AA2826" i="1"/>
  <c r="AC2825" i="1"/>
  <c r="AB2825" i="1"/>
  <c r="AA2825" i="1"/>
  <c r="AC2824" i="1"/>
  <c r="AB2824" i="1"/>
  <c r="AA2824" i="1"/>
  <c r="AC2823" i="1"/>
  <c r="AB2823" i="1"/>
  <c r="AA2823" i="1"/>
  <c r="AC2822" i="1"/>
  <c r="AB2822" i="1"/>
  <c r="AA2822" i="1"/>
  <c r="AC2821" i="1"/>
  <c r="AB2821" i="1"/>
  <c r="AA2821" i="1"/>
  <c r="AC2820" i="1"/>
  <c r="AB2820" i="1"/>
  <c r="AA2820" i="1"/>
  <c r="AC2819" i="1"/>
  <c r="AB2819" i="1"/>
  <c r="AA2819" i="1"/>
  <c r="AC2818" i="1"/>
  <c r="AB2818" i="1"/>
  <c r="AA2818" i="1"/>
  <c r="AC2817" i="1"/>
  <c r="AB2817" i="1"/>
  <c r="AA2817" i="1"/>
  <c r="AC2816" i="1"/>
  <c r="AB2816" i="1"/>
  <c r="AA2816" i="1"/>
  <c r="AC2815" i="1"/>
  <c r="AB2815" i="1"/>
  <c r="AA2815" i="1"/>
  <c r="AC2814" i="1"/>
  <c r="AB2814" i="1"/>
  <c r="AA2814" i="1"/>
  <c r="AC2813" i="1"/>
  <c r="AB2813" i="1"/>
  <c r="AA2813" i="1"/>
  <c r="AC2812" i="1"/>
  <c r="AB2812" i="1"/>
  <c r="AA2812" i="1"/>
  <c r="AC2811" i="1"/>
  <c r="AB2811" i="1"/>
  <c r="AA2811" i="1"/>
  <c r="AC2810" i="1"/>
  <c r="AB2810" i="1"/>
  <c r="AA2810" i="1"/>
  <c r="AC2809" i="1"/>
  <c r="AB2809" i="1"/>
  <c r="AA2809" i="1"/>
  <c r="AC2808" i="1"/>
  <c r="AB2808" i="1"/>
  <c r="AA2808" i="1"/>
  <c r="AC2807" i="1"/>
  <c r="AB2807" i="1"/>
  <c r="AA2807" i="1"/>
  <c r="AC2806" i="1"/>
  <c r="AB2806" i="1"/>
  <c r="AA2806" i="1"/>
  <c r="AC2805" i="1"/>
  <c r="AB2805" i="1"/>
  <c r="AA2805" i="1"/>
  <c r="AC2804" i="1"/>
  <c r="AB2804" i="1"/>
  <c r="AA2804" i="1"/>
  <c r="AC2803" i="1"/>
  <c r="AB2803" i="1"/>
  <c r="AA2803" i="1"/>
  <c r="AC2802" i="1"/>
  <c r="AB2802" i="1"/>
  <c r="AA2802" i="1"/>
  <c r="AC2801" i="1"/>
  <c r="AB2801" i="1"/>
  <c r="AA2801" i="1"/>
  <c r="AC2800" i="1"/>
  <c r="AB2800" i="1"/>
  <c r="AA2800" i="1"/>
  <c r="AC2799" i="1"/>
  <c r="AB2799" i="1"/>
  <c r="AA2799" i="1"/>
  <c r="AC2798" i="1"/>
  <c r="AB2798" i="1"/>
  <c r="AA2798" i="1"/>
  <c r="AC2797" i="1"/>
  <c r="AB2797" i="1"/>
  <c r="AA2797" i="1"/>
  <c r="AC2796" i="1"/>
  <c r="AB2796" i="1"/>
  <c r="AA2796" i="1"/>
  <c r="AC2795" i="1"/>
  <c r="AB2795" i="1"/>
  <c r="AA2795" i="1"/>
  <c r="AC2794" i="1"/>
  <c r="AB2794" i="1"/>
  <c r="AA2794" i="1"/>
  <c r="AC2793" i="1"/>
  <c r="AB2793" i="1"/>
  <c r="AA2793" i="1"/>
  <c r="AC2792" i="1"/>
  <c r="AB2792" i="1"/>
  <c r="AA2792" i="1"/>
  <c r="AC2791" i="1"/>
  <c r="AB2791" i="1"/>
  <c r="AA2791" i="1"/>
  <c r="AC2790" i="1"/>
  <c r="AB2790" i="1"/>
  <c r="AA2790" i="1"/>
  <c r="AC2789" i="1"/>
  <c r="AB2789" i="1"/>
  <c r="AA2789" i="1"/>
  <c r="AC2788" i="1"/>
  <c r="AB2788" i="1"/>
  <c r="AA2788" i="1"/>
  <c r="AC2787" i="1"/>
  <c r="AB2787" i="1"/>
  <c r="AA2787" i="1"/>
  <c r="AC2786" i="1"/>
  <c r="AB2786" i="1"/>
  <c r="AA2786" i="1"/>
  <c r="AC2785" i="1"/>
  <c r="AB2785" i="1"/>
  <c r="AA2785" i="1"/>
  <c r="AC2784" i="1"/>
  <c r="AB2784" i="1"/>
  <c r="AA2784" i="1"/>
  <c r="AC2783" i="1"/>
  <c r="AB2783" i="1"/>
  <c r="AA2783" i="1"/>
  <c r="AC2782" i="1"/>
  <c r="AB2782" i="1"/>
  <c r="AA2782" i="1"/>
  <c r="AC2781" i="1"/>
  <c r="AB2781" i="1"/>
  <c r="AA2781" i="1"/>
  <c r="AC2780" i="1"/>
  <c r="AB2780" i="1"/>
  <c r="AA2780" i="1"/>
  <c r="AC2779" i="1"/>
  <c r="AB2779" i="1"/>
  <c r="AA2779" i="1"/>
  <c r="AC2778" i="1"/>
  <c r="AB2778" i="1"/>
  <c r="AA2778" i="1"/>
  <c r="AC2777" i="1"/>
  <c r="AB2777" i="1"/>
  <c r="AA2777" i="1"/>
  <c r="AC2776" i="1"/>
  <c r="AB2776" i="1"/>
  <c r="AA2776" i="1"/>
  <c r="AC2775" i="1"/>
  <c r="AB2775" i="1"/>
  <c r="AA2775" i="1"/>
  <c r="AC2774" i="1"/>
  <c r="AB2774" i="1"/>
  <c r="AA2774" i="1"/>
  <c r="AC2773" i="1"/>
  <c r="AB2773" i="1"/>
  <c r="AA2773" i="1"/>
  <c r="AC2772" i="1"/>
  <c r="AB2772" i="1"/>
  <c r="AA2772" i="1"/>
  <c r="AC2771" i="1"/>
  <c r="AB2771" i="1"/>
  <c r="AA2771" i="1"/>
  <c r="AC2770" i="1"/>
  <c r="AB2770" i="1"/>
  <c r="AA2770" i="1"/>
  <c r="AC2769" i="1"/>
  <c r="AB2769" i="1"/>
  <c r="AA2769" i="1"/>
  <c r="AC2768" i="1"/>
  <c r="AB2768" i="1"/>
  <c r="AA2768" i="1"/>
  <c r="AC2767" i="1"/>
  <c r="AB2767" i="1"/>
  <c r="AA2767" i="1"/>
  <c r="AC2766" i="1"/>
  <c r="AB2766" i="1"/>
  <c r="AA2766" i="1"/>
  <c r="AC2765" i="1"/>
  <c r="AB2765" i="1"/>
  <c r="AA2765" i="1"/>
  <c r="AC2764" i="1"/>
  <c r="AB2764" i="1"/>
  <c r="AA2764" i="1"/>
  <c r="AC2763" i="1"/>
  <c r="AB2763" i="1"/>
  <c r="AA2763" i="1"/>
  <c r="AC2762" i="1"/>
  <c r="AB2762" i="1"/>
  <c r="AA2762" i="1"/>
  <c r="AC2761" i="1"/>
  <c r="AB2761" i="1"/>
  <c r="AA2761" i="1"/>
  <c r="AC2760" i="1"/>
  <c r="AB2760" i="1"/>
  <c r="AA2760" i="1"/>
  <c r="AC2759" i="1"/>
  <c r="AB2759" i="1"/>
  <c r="AA2759" i="1"/>
  <c r="AC2758" i="1"/>
  <c r="AB2758" i="1"/>
  <c r="AA2758" i="1"/>
  <c r="AC2757" i="1"/>
  <c r="AB2757" i="1"/>
  <c r="AA2757" i="1"/>
  <c r="AC2756" i="1"/>
  <c r="AB2756" i="1"/>
  <c r="AA2756" i="1"/>
  <c r="AC2755" i="1"/>
  <c r="AB2755" i="1"/>
  <c r="AA2755" i="1"/>
  <c r="AC2754" i="1"/>
  <c r="AB2754" i="1"/>
  <c r="AA2754" i="1"/>
  <c r="AC2753" i="1"/>
  <c r="AB2753" i="1"/>
  <c r="AA2753" i="1"/>
  <c r="AC2752" i="1"/>
  <c r="AB2752" i="1"/>
  <c r="AA2752" i="1"/>
  <c r="AC2751" i="1"/>
  <c r="AB2751" i="1"/>
  <c r="AA2751" i="1"/>
  <c r="AC2750" i="1"/>
  <c r="AB2750" i="1"/>
  <c r="AA2750" i="1"/>
  <c r="AC2749" i="1"/>
  <c r="AB2749" i="1"/>
  <c r="AA2749" i="1"/>
  <c r="AC2748" i="1"/>
  <c r="AB2748" i="1"/>
  <c r="AA2748" i="1"/>
  <c r="AC2747" i="1"/>
  <c r="AB2747" i="1"/>
  <c r="AA2747" i="1"/>
  <c r="AC2746" i="1"/>
  <c r="AB2746" i="1"/>
  <c r="AA2746" i="1"/>
  <c r="AC2745" i="1"/>
  <c r="AB2745" i="1"/>
  <c r="AA2745" i="1"/>
  <c r="AC2744" i="1"/>
  <c r="AB2744" i="1"/>
  <c r="AA2744" i="1"/>
  <c r="AC2743" i="1"/>
  <c r="AB2743" i="1"/>
  <c r="AA2743" i="1"/>
  <c r="AC2742" i="1"/>
  <c r="AB2742" i="1"/>
  <c r="AA2742" i="1"/>
  <c r="AC2741" i="1"/>
  <c r="AB2741" i="1"/>
  <c r="AA2741" i="1"/>
  <c r="AC2740" i="1"/>
  <c r="AB2740" i="1"/>
  <c r="AA2740" i="1"/>
  <c r="AC2739" i="1"/>
  <c r="AB2739" i="1"/>
  <c r="AA2739" i="1"/>
  <c r="AC2738" i="1"/>
  <c r="AB2738" i="1"/>
  <c r="AA2738" i="1"/>
  <c r="AC2737" i="1"/>
  <c r="AB2737" i="1"/>
  <c r="AA2737" i="1"/>
  <c r="AC2736" i="1"/>
  <c r="AB2736" i="1"/>
  <c r="AA2736" i="1"/>
  <c r="AC2735" i="1"/>
  <c r="AB2735" i="1"/>
  <c r="AA2735" i="1"/>
  <c r="AC2734" i="1"/>
  <c r="AB2734" i="1"/>
  <c r="AA2734" i="1"/>
  <c r="AC2733" i="1"/>
  <c r="AB2733" i="1"/>
  <c r="AA2733" i="1"/>
  <c r="AC2732" i="1"/>
  <c r="AB2732" i="1"/>
  <c r="AA2732" i="1"/>
  <c r="AC2731" i="1"/>
  <c r="AB2731" i="1"/>
  <c r="AA2731" i="1"/>
  <c r="AC2730" i="1"/>
  <c r="AB2730" i="1"/>
  <c r="AA2730" i="1"/>
  <c r="AC2729" i="1"/>
  <c r="AB2729" i="1"/>
  <c r="AA2729" i="1"/>
  <c r="AC2728" i="1"/>
  <c r="AB2728" i="1"/>
  <c r="AA2728" i="1"/>
  <c r="AC2727" i="1"/>
  <c r="AB2727" i="1"/>
  <c r="AA2727" i="1"/>
  <c r="AC2726" i="1"/>
  <c r="AB2726" i="1"/>
  <c r="AA2726" i="1"/>
  <c r="AC2725" i="1"/>
  <c r="AB2725" i="1"/>
  <c r="AA2725" i="1"/>
  <c r="AC2724" i="1"/>
  <c r="AB2724" i="1"/>
  <c r="AA2724" i="1"/>
  <c r="AC2723" i="1"/>
  <c r="AB2723" i="1"/>
  <c r="AA2723" i="1"/>
  <c r="AC2722" i="1"/>
  <c r="AB2722" i="1"/>
  <c r="AA2722" i="1"/>
  <c r="AC2721" i="1"/>
  <c r="AB2721" i="1"/>
  <c r="AA2721" i="1"/>
  <c r="AC2720" i="1"/>
  <c r="AB2720" i="1"/>
  <c r="AA2720" i="1"/>
  <c r="AC2719" i="1"/>
  <c r="AB2719" i="1"/>
  <c r="AA2719" i="1"/>
  <c r="AC2718" i="1"/>
  <c r="AB2718" i="1"/>
  <c r="AA2718" i="1"/>
  <c r="AC2717" i="1"/>
  <c r="AB2717" i="1"/>
  <c r="AA2717" i="1"/>
  <c r="AC2716" i="1"/>
  <c r="AB2716" i="1"/>
  <c r="AA2716" i="1"/>
  <c r="AC2715" i="1"/>
  <c r="AB2715" i="1"/>
  <c r="AA2715" i="1"/>
  <c r="AC2714" i="1"/>
  <c r="AB2714" i="1"/>
  <c r="AA2714" i="1"/>
  <c r="AC2713" i="1"/>
  <c r="AB2713" i="1"/>
  <c r="AA2713" i="1"/>
  <c r="AC2712" i="1"/>
  <c r="AB2712" i="1"/>
  <c r="AA2712" i="1"/>
  <c r="AC2711" i="1"/>
  <c r="AB2711" i="1"/>
  <c r="AA2711" i="1"/>
  <c r="AC2710" i="1"/>
  <c r="AB2710" i="1"/>
  <c r="AA2710" i="1"/>
  <c r="AC2709" i="1"/>
  <c r="AB2709" i="1"/>
  <c r="AA2709" i="1"/>
  <c r="AC2708" i="1"/>
  <c r="AB2708" i="1"/>
  <c r="AA2708" i="1"/>
  <c r="AC2707" i="1"/>
  <c r="AB2707" i="1"/>
  <c r="AA2707" i="1"/>
  <c r="AC2706" i="1"/>
  <c r="AB2706" i="1"/>
  <c r="AA2706" i="1"/>
  <c r="AC2705" i="1"/>
  <c r="AB2705" i="1"/>
  <c r="AA2705" i="1"/>
  <c r="AC2704" i="1"/>
  <c r="AB2704" i="1"/>
  <c r="AA2704" i="1"/>
  <c r="AC2703" i="1"/>
  <c r="AB2703" i="1"/>
  <c r="AA2703" i="1"/>
  <c r="AC2702" i="1"/>
  <c r="AB2702" i="1"/>
  <c r="AA2702" i="1"/>
  <c r="AC2701" i="1"/>
  <c r="AB2701" i="1"/>
  <c r="AA2701" i="1"/>
  <c r="AC2700" i="1"/>
  <c r="AB2700" i="1"/>
  <c r="AA2700" i="1"/>
  <c r="AC2699" i="1"/>
  <c r="AB2699" i="1"/>
  <c r="AA2699" i="1"/>
  <c r="AC2698" i="1"/>
  <c r="AB2698" i="1"/>
  <c r="AA2698" i="1"/>
  <c r="AC2697" i="1"/>
  <c r="AB2697" i="1"/>
  <c r="AA2697" i="1"/>
  <c r="AC2696" i="1"/>
  <c r="AB2696" i="1"/>
  <c r="AA2696" i="1"/>
  <c r="AC2695" i="1"/>
  <c r="AB2695" i="1"/>
  <c r="AA2695" i="1"/>
  <c r="AC2694" i="1"/>
  <c r="AB2694" i="1"/>
  <c r="AA2694" i="1"/>
  <c r="AC2693" i="1"/>
  <c r="AB2693" i="1"/>
  <c r="AA2693" i="1"/>
  <c r="AC2692" i="1"/>
  <c r="AB2692" i="1"/>
  <c r="AA2692" i="1"/>
  <c r="AC2691" i="1"/>
  <c r="AB2691" i="1"/>
  <c r="AA2691" i="1"/>
  <c r="AC2690" i="1"/>
  <c r="AB2690" i="1"/>
  <c r="AA2690" i="1"/>
  <c r="AC2689" i="1"/>
  <c r="AB2689" i="1"/>
  <c r="AA2689" i="1"/>
  <c r="AC2688" i="1"/>
  <c r="AB2688" i="1"/>
  <c r="AA2688" i="1"/>
  <c r="AC2687" i="1"/>
  <c r="AB2687" i="1"/>
  <c r="AA2687" i="1"/>
  <c r="AC2686" i="1"/>
  <c r="AB2686" i="1"/>
  <c r="AA2686" i="1"/>
  <c r="AC2685" i="1"/>
  <c r="AB2685" i="1"/>
  <c r="AA2685" i="1"/>
  <c r="AC2684" i="1"/>
  <c r="AB2684" i="1"/>
  <c r="AA2684" i="1"/>
  <c r="AC2683" i="1"/>
  <c r="AB2683" i="1"/>
  <c r="AA2683" i="1"/>
  <c r="AC2682" i="1"/>
  <c r="AB2682" i="1"/>
  <c r="AA2682" i="1"/>
  <c r="AC2681" i="1"/>
  <c r="AB2681" i="1"/>
  <c r="AA2681" i="1"/>
  <c r="AC2680" i="1"/>
  <c r="AB2680" i="1"/>
  <c r="AA2680" i="1"/>
  <c r="AC2679" i="1"/>
  <c r="AB2679" i="1"/>
  <c r="AA2679" i="1"/>
  <c r="AC2678" i="1"/>
  <c r="AB2678" i="1"/>
  <c r="AA2678" i="1"/>
  <c r="AC2677" i="1"/>
  <c r="AB2677" i="1"/>
  <c r="AA2677" i="1"/>
  <c r="AC2676" i="1"/>
  <c r="AB2676" i="1"/>
  <c r="AA2676" i="1"/>
  <c r="AC2675" i="1"/>
  <c r="AB2675" i="1"/>
  <c r="AA2675" i="1"/>
  <c r="AC2674" i="1"/>
  <c r="AB2674" i="1"/>
  <c r="AA2674" i="1"/>
  <c r="AC2673" i="1"/>
  <c r="AB2673" i="1"/>
  <c r="AA2673" i="1"/>
  <c r="AC2672" i="1"/>
  <c r="AB2672" i="1"/>
  <c r="AA2672" i="1"/>
  <c r="AC2671" i="1"/>
  <c r="AB2671" i="1"/>
  <c r="AA2671" i="1"/>
  <c r="AC2670" i="1"/>
  <c r="AB2670" i="1"/>
  <c r="AA2670" i="1"/>
  <c r="AC2669" i="1"/>
  <c r="AB2669" i="1"/>
  <c r="AA2669" i="1"/>
  <c r="AC2668" i="1"/>
  <c r="AB2668" i="1"/>
  <c r="AA2668" i="1"/>
  <c r="AC2667" i="1"/>
  <c r="AB2667" i="1"/>
  <c r="AA2667" i="1"/>
  <c r="AC2666" i="1"/>
  <c r="AB2666" i="1"/>
  <c r="AA2666" i="1"/>
  <c r="AC2665" i="1"/>
  <c r="AB2665" i="1"/>
  <c r="AA2665" i="1"/>
  <c r="AC2664" i="1"/>
  <c r="AB2664" i="1"/>
  <c r="AA2664" i="1"/>
  <c r="AC2663" i="1"/>
  <c r="AB2663" i="1"/>
  <c r="AA2663" i="1"/>
  <c r="AC2662" i="1"/>
  <c r="AB2662" i="1"/>
  <c r="AA2662" i="1"/>
  <c r="AC2661" i="1"/>
  <c r="AB2661" i="1"/>
  <c r="AA2661" i="1"/>
  <c r="AC2660" i="1"/>
  <c r="AB2660" i="1"/>
  <c r="AA2660" i="1"/>
  <c r="AC2659" i="1"/>
  <c r="AB2659" i="1"/>
  <c r="AA2659" i="1"/>
  <c r="AC2658" i="1"/>
  <c r="AB2658" i="1"/>
  <c r="AA2658" i="1"/>
  <c r="AC2657" i="1"/>
  <c r="AB2657" i="1"/>
  <c r="AA2657" i="1"/>
  <c r="AC2656" i="1"/>
  <c r="AB2656" i="1"/>
  <c r="AA2656" i="1"/>
  <c r="AC2655" i="1"/>
  <c r="AB2655" i="1"/>
  <c r="AA2655" i="1"/>
  <c r="AC2654" i="1"/>
  <c r="AB2654" i="1"/>
  <c r="AA2654" i="1"/>
  <c r="AC2653" i="1"/>
  <c r="AB2653" i="1"/>
  <c r="AA2653" i="1"/>
  <c r="AC2652" i="1"/>
  <c r="AB2652" i="1"/>
  <c r="AA2652" i="1"/>
  <c r="AC2651" i="1"/>
  <c r="AB2651" i="1"/>
  <c r="AA2651" i="1"/>
  <c r="AC2650" i="1"/>
  <c r="AB2650" i="1"/>
  <c r="AA2650" i="1"/>
  <c r="AC2649" i="1"/>
  <c r="AB2649" i="1"/>
  <c r="AA2649" i="1"/>
  <c r="AC2648" i="1"/>
  <c r="AB2648" i="1"/>
  <c r="AA2648" i="1"/>
  <c r="AC2647" i="1"/>
  <c r="AB2647" i="1"/>
  <c r="AA2647" i="1"/>
  <c r="AC2646" i="1"/>
  <c r="AB2646" i="1"/>
  <c r="AA2646" i="1"/>
  <c r="AC2645" i="1"/>
  <c r="AB2645" i="1"/>
  <c r="AA2645" i="1"/>
  <c r="AC2644" i="1"/>
  <c r="AB2644" i="1"/>
  <c r="AA2644" i="1"/>
  <c r="AC2643" i="1"/>
  <c r="AB2643" i="1"/>
  <c r="AA2643" i="1"/>
  <c r="AC2642" i="1"/>
  <c r="AB2642" i="1"/>
  <c r="AA2642" i="1"/>
  <c r="AC2641" i="1"/>
  <c r="AB2641" i="1"/>
  <c r="AA2641" i="1"/>
  <c r="AC2640" i="1"/>
  <c r="AB2640" i="1"/>
  <c r="AA2640" i="1"/>
  <c r="AC2639" i="1"/>
  <c r="AB2639" i="1"/>
  <c r="AA2639" i="1"/>
  <c r="AC2638" i="1"/>
  <c r="AB2638" i="1"/>
  <c r="AA2638" i="1"/>
  <c r="AC2637" i="1"/>
  <c r="AB2637" i="1"/>
  <c r="AA2637" i="1"/>
  <c r="AC2636" i="1"/>
  <c r="AB2636" i="1"/>
  <c r="AA2636" i="1"/>
  <c r="AC2635" i="1"/>
  <c r="AB2635" i="1"/>
  <c r="AA2635" i="1"/>
  <c r="AC2634" i="1"/>
  <c r="AB2634" i="1"/>
  <c r="AA2634" i="1"/>
  <c r="AC2633" i="1"/>
  <c r="AB2633" i="1"/>
  <c r="AA2633" i="1"/>
  <c r="AC2632" i="1"/>
  <c r="AB2632" i="1"/>
  <c r="AA2632" i="1"/>
  <c r="AC2631" i="1"/>
  <c r="AB2631" i="1"/>
  <c r="AA2631" i="1"/>
  <c r="AC2630" i="1"/>
  <c r="AB2630" i="1"/>
  <c r="AA2630" i="1"/>
  <c r="AC2629" i="1"/>
  <c r="AB2629" i="1"/>
  <c r="AA2629" i="1"/>
  <c r="AC2628" i="1"/>
  <c r="AB2628" i="1"/>
  <c r="AA2628" i="1"/>
  <c r="AC2627" i="1"/>
  <c r="AB2627" i="1"/>
  <c r="AA2627" i="1"/>
  <c r="AC2626" i="1"/>
  <c r="AB2626" i="1"/>
  <c r="AA2626" i="1"/>
  <c r="AC2625" i="1"/>
  <c r="AB2625" i="1"/>
  <c r="AA2625" i="1"/>
  <c r="AC2624" i="1"/>
  <c r="AB2624" i="1"/>
  <c r="AA2624" i="1"/>
  <c r="AC2623" i="1"/>
  <c r="AB2623" i="1"/>
  <c r="AA2623" i="1"/>
  <c r="AC2622" i="1"/>
  <c r="AB2622" i="1"/>
  <c r="AA2622" i="1"/>
  <c r="AC2621" i="1"/>
  <c r="AB2621" i="1"/>
  <c r="AA2621" i="1"/>
  <c r="AC2620" i="1"/>
  <c r="AB2620" i="1"/>
  <c r="AA2620" i="1"/>
  <c r="AC2619" i="1"/>
  <c r="AB2619" i="1"/>
  <c r="AA2619" i="1"/>
  <c r="AC2618" i="1"/>
  <c r="AB2618" i="1"/>
  <c r="AA2618" i="1"/>
  <c r="AC2617" i="1"/>
  <c r="AB2617" i="1"/>
  <c r="AA2617" i="1"/>
  <c r="AC2616" i="1"/>
  <c r="AB2616" i="1"/>
  <c r="AA2616" i="1"/>
  <c r="AC2615" i="1"/>
  <c r="AB2615" i="1"/>
  <c r="AA2615" i="1"/>
  <c r="AC2614" i="1"/>
  <c r="AB2614" i="1"/>
  <c r="AA2614" i="1"/>
  <c r="AC2613" i="1"/>
  <c r="AB2613" i="1"/>
  <c r="AA2613" i="1"/>
  <c r="AC2612" i="1"/>
  <c r="AB2612" i="1"/>
  <c r="AA2612" i="1"/>
  <c r="AC2611" i="1"/>
  <c r="AB2611" i="1"/>
  <c r="AA2611" i="1"/>
  <c r="AC2610" i="1"/>
  <c r="AB2610" i="1"/>
  <c r="AA2610" i="1"/>
  <c r="AC2609" i="1"/>
  <c r="AB2609" i="1"/>
  <c r="AA2609" i="1"/>
  <c r="AC2608" i="1"/>
  <c r="AB2608" i="1"/>
  <c r="AA2608" i="1"/>
  <c r="AC2607" i="1"/>
  <c r="AB2607" i="1"/>
  <c r="AA2607" i="1"/>
  <c r="AC2606" i="1"/>
  <c r="AB2606" i="1"/>
  <c r="AA2606" i="1"/>
  <c r="AC2605" i="1"/>
  <c r="AB2605" i="1"/>
  <c r="AA2605" i="1"/>
  <c r="AC2604" i="1"/>
  <c r="AB2604" i="1"/>
  <c r="AA2604" i="1"/>
  <c r="AC2603" i="1"/>
  <c r="AB2603" i="1"/>
  <c r="AA2603" i="1"/>
  <c r="AC2602" i="1"/>
  <c r="AB2602" i="1"/>
  <c r="AA2602" i="1"/>
  <c r="AC2601" i="1"/>
  <c r="AB2601" i="1"/>
  <c r="AA2601" i="1"/>
  <c r="AC2600" i="1"/>
  <c r="AB2600" i="1"/>
  <c r="AA2600" i="1"/>
  <c r="AC2599" i="1"/>
  <c r="AB2599" i="1"/>
  <c r="AA2599" i="1"/>
  <c r="AC2598" i="1"/>
  <c r="AB2598" i="1"/>
  <c r="AA2598" i="1"/>
  <c r="AC2597" i="1"/>
  <c r="AB2597" i="1"/>
  <c r="AA2597" i="1"/>
  <c r="AC2596" i="1"/>
  <c r="AB2596" i="1"/>
  <c r="AA2596" i="1"/>
  <c r="AC2595" i="1"/>
  <c r="AB2595" i="1"/>
  <c r="AA2595" i="1"/>
  <c r="AC2594" i="1"/>
  <c r="AB2594" i="1"/>
  <c r="AA2594" i="1"/>
  <c r="AC2593" i="1"/>
  <c r="AB2593" i="1"/>
  <c r="AA2593" i="1"/>
  <c r="AC2592" i="1"/>
  <c r="AB2592" i="1"/>
  <c r="AA2592" i="1"/>
  <c r="AC2591" i="1"/>
  <c r="AB2591" i="1"/>
  <c r="AA2591" i="1"/>
  <c r="AC2590" i="1"/>
  <c r="AB2590" i="1"/>
  <c r="AA2590" i="1"/>
  <c r="AC2589" i="1"/>
  <c r="AB2589" i="1"/>
  <c r="AA2589" i="1"/>
  <c r="AC2588" i="1"/>
  <c r="AB2588" i="1"/>
  <c r="AA2588" i="1"/>
  <c r="AC2587" i="1"/>
  <c r="AB2587" i="1"/>
  <c r="AA2587" i="1"/>
  <c r="AC2586" i="1"/>
  <c r="AB2586" i="1"/>
  <c r="AA2586" i="1"/>
  <c r="AC2585" i="1"/>
  <c r="AB2585" i="1"/>
  <c r="AA2585" i="1"/>
  <c r="AC2584" i="1"/>
  <c r="AB2584" i="1"/>
  <c r="AA2584" i="1"/>
  <c r="AC2583" i="1"/>
  <c r="AB2583" i="1"/>
  <c r="AA2583" i="1"/>
  <c r="AC2582" i="1"/>
  <c r="AB2582" i="1"/>
  <c r="AA2582" i="1"/>
  <c r="AC2581" i="1"/>
  <c r="AB2581" i="1"/>
  <c r="AA2581" i="1"/>
  <c r="AC2580" i="1"/>
  <c r="AB2580" i="1"/>
  <c r="AA2580" i="1"/>
  <c r="AC2579" i="1"/>
  <c r="AB2579" i="1"/>
  <c r="AA2579" i="1"/>
  <c r="AC2578" i="1"/>
  <c r="AB2578" i="1"/>
  <c r="AA2578" i="1"/>
  <c r="AC2577" i="1"/>
  <c r="AB2577" i="1"/>
  <c r="AA2577" i="1"/>
  <c r="AC2576" i="1"/>
  <c r="AB2576" i="1"/>
  <c r="AA2576" i="1"/>
  <c r="AC2575" i="1"/>
  <c r="AB2575" i="1"/>
  <c r="AA2575" i="1"/>
  <c r="AC2574" i="1"/>
  <c r="AB2574" i="1"/>
  <c r="AA2574" i="1"/>
  <c r="AC2573" i="1"/>
  <c r="AB2573" i="1"/>
  <c r="AA2573" i="1"/>
  <c r="AC2572" i="1"/>
  <c r="AB2572" i="1"/>
  <c r="AA2572" i="1"/>
  <c r="AC2571" i="1"/>
  <c r="AB2571" i="1"/>
  <c r="AA2571" i="1"/>
  <c r="AC2570" i="1"/>
  <c r="AB2570" i="1"/>
  <c r="AA2570" i="1"/>
  <c r="AC2569" i="1"/>
  <c r="AB2569" i="1"/>
  <c r="AA2569" i="1"/>
  <c r="AC2568" i="1"/>
  <c r="AB2568" i="1"/>
  <c r="AA2568" i="1"/>
  <c r="AC2567" i="1"/>
  <c r="AB2567" i="1"/>
  <c r="AA2567" i="1"/>
  <c r="AC2566" i="1"/>
  <c r="AB2566" i="1"/>
  <c r="AA2566" i="1"/>
  <c r="AC2565" i="1"/>
  <c r="AB2565" i="1"/>
  <c r="AA2565" i="1"/>
  <c r="AC2564" i="1"/>
  <c r="AB2564" i="1"/>
  <c r="AA2564" i="1"/>
  <c r="AC2563" i="1"/>
  <c r="AB2563" i="1"/>
  <c r="AA2563" i="1"/>
  <c r="AC2562" i="1"/>
  <c r="AB2562" i="1"/>
  <c r="AA2562" i="1"/>
  <c r="AC2561" i="1"/>
  <c r="AB2561" i="1"/>
  <c r="AA2561" i="1"/>
  <c r="AC2560" i="1"/>
  <c r="AB2560" i="1"/>
  <c r="AA2560" i="1"/>
  <c r="AC2559" i="1"/>
  <c r="AB2559" i="1"/>
  <c r="AA2559" i="1"/>
  <c r="AC2558" i="1"/>
  <c r="AB2558" i="1"/>
  <c r="AA2558" i="1"/>
  <c r="AC2557" i="1"/>
  <c r="AB2557" i="1"/>
  <c r="AA2557" i="1"/>
  <c r="AC2556" i="1"/>
  <c r="AB2556" i="1"/>
  <c r="AA2556" i="1"/>
  <c r="AC2555" i="1"/>
  <c r="AB2555" i="1"/>
  <c r="AA2555" i="1"/>
  <c r="AC2554" i="1"/>
  <c r="AB2554" i="1"/>
  <c r="AA2554" i="1"/>
  <c r="AC2553" i="1"/>
  <c r="AB2553" i="1"/>
  <c r="AA2553" i="1"/>
  <c r="AC2552" i="1"/>
  <c r="AB2552" i="1"/>
  <c r="AA2552" i="1"/>
  <c r="AC2551" i="1"/>
  <c r="AB2551" i="1"/>
  <c r="AA2551" i="1"/>
  <c r="AC2550" i="1"/>
  <c r="AB2550" i="1"/>
  <c r="AA2550" i="1"/>
  <c r="AC2549" i="1"/>
  <c r="AB2549" i="1"/>
  <c r="AA2549" i="1"/>
  <c r="AC2548" i="1"/>
  <c r="AB2548" i="1"/>
  <c r="AA2548" i="1"/>
  <c r="AC2547" i="1"/>
  <c r="AB2547" i="1"/>
  <c r="AA2547" i="1"/>
  <c r="AC2546" i="1"/>
  <c r="AB2546" i="1"/>
  <c r="AA2546" i="1"/>
  <c r="AC2545" i="1"/>
  <c r="AB2545" i="1"/>
  <c r="AA2545" i="1"/>
  <c r="AC2544" i="1"/>
  <c r="AB2544" i="1"/>
  <c r="AA2544" i="1"/>
  <c r="AC2543" i="1"/>
  <c r="AB2543" i="1"/>
  <c r="AA2543" i="1"/>
  <c r="AC2542" i="1"/>
  <c r="AB2542" i="1"/>
  <c r="AA2542" i="1"/>
  <c r="AC2541" i="1"/>
  <c r="AB2541" i="1"/>
  <c r="AA2541" i="1"/>
  <c r="AC2540" i="1"/>
  <c r="AB2540" i="1"/>
  <c r="AA2540" i="1"/>
  <c r="AC2539" i="1"/>
  <c r="AB2539" i="1"/>
  <c r="AA2539" i="1"/>
  <c r="AC2538" i="1"/>
  <c r="AB2538" i="1"/>
  <c r="AA2538" i="1"/>
  <c r="AC2537" i="1"/>
  <c r="AB2537" i="1"/>
  <c r="AA2537" i="1"/>
  <c r="AC2536" i="1"/>
  <c r="AB2536" i="1"/>
  <c r="AA2536" i="1"/>
  <c r="AC2535" i="1"/>
  <c r="AB2535" i="1"/>
  <c r="AA2535" i="1"/>
  <c r="AC2534" i="1"/>
  <c r="AB2534" i="1"/>
  <c r="AA2534" i="1"/>
  <c r="AC2533" i="1"/>
  <c r="AB2533" i="1"/>
  <c r="AA2533" i="1"/>
  <c r="AC2532" i="1"/>
  <c r="AB2532" i="1"/>
  <c r="AA2532" i="1"/>
  <c r="AC2531" i="1"/>
  <c r="AB2531" i="1"/>
  <c r="AA2531" i="1"/>
  <c r="AC2530" i="1"/>
  <c r="AB2530" i="1"/>
  <c r="AA2530" i="1"/>
  <c r="AC2529" i="1"/>
  <c r="AB2529" i="1"/>
  <c r="AA2529" i="1"/>
  <c r="AC2528" i="1"/>
  <c r="AB2528" i="1"/>
  <c r="AA2528" i="1"/>
  <c r="AC2527" i="1"/>
  <c r="AB2527" i="1"/>
  <c r="AA2527" i="1"/>
  <c r="AC2526" i="1"/>
  <c r="AB2526" i="1"/>
  <c r="AA2526" i="1"/>
  <c r="AC2525" i="1"/>
  <c r="AB2525" i="1"/>
  <c r="AA2525" i="1"/>
  <c r="AC2524" i="1"/>
  <c r="AB2524" i="1"/>
  <c r="AA2524" i="1"/>
  <c r="AC2523" i="1"/>
  <c r="AB2523" i="1"/>
  <c r="AA2523" i="1"/>
  <c r="AC2522" i="1"/>
  <c r="AB2522" i="1"/>
  <c r="AA2522" i="1"/>
  <c r="AC2521" i="1"/>
  <c r="AB2521" i="1"/>
  <c r="AA2521" i="1"/>
  <c r="AC2520" i="1"/>
  <c r="AB2520" i="1"/>
  <c r="AA2520" i="1"/>
  <c r="AC2519" i="1"/>
  <c r="AB2519" i="1"/>
  <c r="AA2519" i="1"/>
  <c r="AC2518" i="1"/>
  <c r="AB2518" i="1"/>
  <c r="AA2518" i="1"/>
  <c r="AC2517" i="1"/>
  <c r="AB2517" i="1"/>
  <c r="AA2517" i="1"/>
  <c r="AC2516" i="1"/>
  <c r="AB2516" i="1"/>
  <c r="AA2516" i="1"/>
  <c r="AC2515" i="1"/>
  <c r="AB2515" i="1"/>
  <c r="AA2515" i="1"/>
  <c r="AC2514" i="1"/>
  <c r="AB2514" i="1"/>
  <c r="AA2514" i="1"/>
  <c r="AC2513" i="1"/>
  <c r="AB2513" i="1"/>
  <c r="AA2513" i="1"/>
  <c r="AC2512" i="1"/>
  <c r="AB2512" i="1"/>
  <c r="AA2512" i="1"/>
  <c r="AC2511" i="1"/>
  <c r="AB2511" i="1"/>
  <c r="AA2511" i="1"/>
  <c r="AC2510" i="1"/>
  <c r="AB2510" i="1"/>
  <c r="AA2510" i="1"/>
  <c r="AC2509" i="1"/>
  <c r="AB2509" i="1"/>
  <c r="AA2509" i="1"/>
  <c r="AC2508" i="1"/>
  <c r="AB2508" i="1"/>
  <c r="AA2508" i="1"/>
  <c r="AC2507" i="1"/>
  <c r="AB2507" i="1"/>
  <c r="AA2507" i="1"/>
  <c r="AC2506" i="1"/>
  <c r="AB2506" i="1"/>
  <c r="AA2506" i="1"/>
  <c r="AC2505" i="1"/>
  <c r="AB2505" i="1"/>
  <c r="AA2505" i="1"/>
  <c r="AC2504" i="1"/>
  <c r="AB2504" i="1"/>
  <c r="AA2504" i="1"/>
  <c r="AC2501" i="1"/>
  <c r="AB2501" i="1"/>
  <c r="AA2501" i="1"/>
  <c r="AC2500" i="1"/>
  <c r="AB2500" i="1"/>
  <c r="AA2500" i="1"/>
  <c r="AC2499" i="1"/>
  <c r="AB2499" i="1"/>
  <c r="AA2499" i="1"/>
  <c r="AC2498" i="1"/>
  <c r="AB2498" i="1"/>
  <c r="AA2498" i="1"/>
  <c r="AC2497" i="1"/>
  <c r="AB2497" i="1"/>
  <c r="AA2497" i="1"/>
  <c r="AC2496" i="1"/>
  <c r="AB2496" i="1"/>
  <c r="AA2496" i="1"/>
  <c r="AC2495" i="1"/>
  <c r="AB2495" i="1"/>
  <c r="AA2495" i="1"/>
  <c r="AC2494" i="1"/>
  <c r="AB2494" i="1"/>
  <c r="AA2494" i="1"/>
  <c r="AC2493" i="1"/>
  <c r="AB2493" i="1"/>
  <c r="AA2493" i="1"/>
  <c r="AC2492" i="1"/>
  <c r="AB2492" i="1"/>
  <c r="AA2492" i="1"/>
  <c r="AC2491" i="1"/>
  <c r="AB2491" i="1"/>
  <c r="AA2491" i="1"/>
  <c r="AC2490" i="1"/>
  <c r="AB2490" i="1"/>
  <c r="AA2490" i="1"/>
  <c r="AC2489" i="1"/>
  <c r="AB2489" i="1"/>
  <c r="AA2489" i="1"/>
  <c r="AC2488" i="1"/>
  <c r="AB2488" i="1"/>
  <c r="AA2488" i="1"/>
  <c r="AC2487" i="1"/>
  <c r="AB2487" i="1"/>
  <c r="AA2487" i="1"/>
  <c r="AC2486" i="1"/>
  <c r="AB2486" i="1"/>
  <c r="AA2486" i="1"/>
  <c r="AC2485" i="1"/>
  <c r="AB2485" i="1"/>
  <c r="AA2485" i="1"/>
  <c r="AC2484" i="1"/>
  <c r="AB2484" i="1"/>
  <c r="AA2484" i="1"/>
  <c r="AC2483" i="1"/>
  <c r="AB2483" i="1"/>
  <c r="AA2483" i="1"/>
  <c r="AC2482" i="1"/>
  <c r="AB2482" i="1"/>
  <c r="AA2482" i="1"/>
  <c r="AC2481" i="1"/>
  <c r="AB2481" i="1"/>
  <c r="AA2481" i="1"/>
  <c r="AC2480" i="1"/>
  <c r="AB2480" i="1"/>
  <c r="AA2480" i="1"/>
  <c r="AC2479" i="1"/>
  <c r="AB2479" i="1"/>
  <c r="AA2479" i="1"/>
  <c r="AC2478" i="1"/>
  <c r="AB2478" i="1"/>
  <c r="AA2478" i="1"/>
  <c r="AC2477" i="1"/>
  <c r="AB2477" i="1"/>
  <c r="AA2477" i="1"/>
  <c r="AC2476" i="1"/>
  <c r="AB2476" i="1"/>
  <c r="AA2476" i="1"/>
  <c r="AC2475" i="1"/>
  <c r="AB2475" i="1"/>
  <c r="AA2475" i="1"/>
  <c r="AC2474" i="1"/>
  <c r="AB2474" i="1"/>
  <c r="AA2474" i="1"/>
  <c r="AC2473" i="1"/>
  <c r="AB2473" i="1"/>
  <c r="AA2473" i="1"/>
  <c r="AC2472" i="1"/>
  <c r="AB2472" i="1"/>
  <c r="AA2472" i="1"/>
  <c r="AC2471" i="1"/>
  <c r="AB2471" i="1"/>
  <c r="AA2471" i="1"/>
  <c r="AC2470" i="1"/>
  <c r="AB2470" i="1"/>
  <c r="AA2470" i="1"/>
  <c r="AC2469" i="1"/>
  <c r="AB2469" i="1"/>
  <c r="AA2469" i="1"/>
  <c r="AC2468" i="1"/>
  <c r="AB2468" i="1"/>
  <c r="AA2468" i="1"/>
  <c r="AB2313" i="1"/>
  <c r="AB2312" i="1"/>
  <c r="AB2311" i="1"/>
  <c r="AB2310" i="1"/>
  <c r="AB2309" i="1"/>
  <c r="AB1584" i="1"/>
  <c r="AB1583" i="1"/>
  <c r="AB1582" i="1"/>
  <c r="AB1581" i="1"/>
  <c r="AB1580" i="1"/>
  <c r="AB1579" i="1"/>
  <c r="AB1578" i="1"/>
  <c r="AB1577" i="1"/>
  <c r="AB1303" i="1"/>
  <c r="AB1302" i="1"/>
  <c r="AB1301" i="1"/>
  <c r="AB1300" i="1"/>
  <c r="AB952" i="1"/>
  <c r="AB951" i="1"/>
  <c r="AB950" i="1"/>
  <c r="AB949" i="1"/>
  <c r="AI810" i="1"/>
  <c r="AC810" i="1"/>
  <c r="AB810" i="1"/>
  <c r="AA810" i="1"/>
  <c r="Y810" i="1"/>
  <c r="R810" i="1"/>
  <c r="AG810" i="1" s="1"/>
  <c r="Q810" i="1"/>
  <c r="AI809" i="1"/>
  <c r="AC809" i="1"/>
  <c r="AB809" i="1"/>
  <c r="AA809" i="1"/>
  <c r="Y809" i="1"/>
  <c r="R809" i="1"/>
  <c r="AG809" i="1" s="1"/>
  <c r="Q809" i="1"/>
  <c r="AI808" i="1"/>
  <c r="AC808" i="1"/>
  <c r="AB808" i="1"/>
  <c r="AA808" i="1"/>
  <c r="Y808" i="1"/>
  <c r="R808" i="1"/>
  <c r="AG808" i="1" s="1"/>
  <c r="Q808" i="1"/>
  <c r="AI807" i="1"/>
  <c r="AC807" i="1"/>
  <c r="AB807" i="1"/>
  <c r="AA807" i="1"/>
  <c r="Y807" i="1"/>
  <c r="R807" i="1"/>
  <c r="AG807" i="1" s="1"/>
  <c r="Q807" i="1"/>
  <c r="AI806" i="1"/>
  <c r="AC806" i="1"/>
  <c r="AB806" i="1"/>
  <c r="AA806" i="1"/>
  <c r="Y806" i="1"/>
  <c r="R806" i="1"/>
  <c r="AG806" i="1" s="1"/>
  <c r="Q806" i="1"/>
  <c r="AI805" i="1"/>
  <c r="AC805" i="1"/>
  <c r="AB805" i="1"/>
  <c r="AA805" i="1"/>
  <c r="Y805" i="1"/>
  <c r="R805" i="1"/>
  <c r="AG805" i="1" s="1"/>
  <c r="Q805" i="1"/>
  <c r="AI804" i="1"/>
  <c r="AC804" i="1"/>
  <c r="AB804" i="1"/>
  <c r="AA804" i="1"/>
  <c r="Y804" i="1"/>
  <c r="R804" i="1"/>
  <c r="AG804" i="1" s="1"/>
  <c r="Q804" i="1"/>
  <c r="AI803" i="1"/>
  <c r="AC803" i="1"/>
  <c r="AB803" i="1"/>
  <c r="AA803" i="1"/>
  <c r="Y803" i="1"/>
  <c r="R803" i="1"/>
  <c r="AG803" i="1" s="1"/>
  <c r="Q803" i="1"/>
  <c r="AI802" i="1"/>
  <c r="AC802" i="1"/>
  <c r="AB802" i="1"/>
  <c r="AA802" i="1"/>
  <c r="Y802" i="1"/>
  <c r="R802" i="1"/>
  <c r="AG802" i="1" s="1"/>
  <c r="Q802" i="1"/>
  <c r="AI801" i="1"/>
  <c r="AC801" i="1"/>
  <c r="AB801" i="1"/>
  <c r="AA801" i="1"/>
  <c r="Y801" i="1"/>
  <c r="R801" i="1"/>
  <c r="AG801" i="1" s="1"/>
  <c r="Q801" i="1"/>
  <c r="AI800" i="1"/>
  <c r="AC800" i="1"/>
  <c r="AB800" i="1"/>
  <c r="AA800" i="1"/>
  <c r="Y800" i="1"/>
  <c r="R800" i="1"/>
  <c r="AG800" i="1" s="1"/>
  <c r="Q800" i="1"/>
  <c r="AI799" i="1"/>
  <c r="AC799" i="1"/>
  <c r="AB799" i="1"/>
  <c r="AA799" i="1"/>
  <c r="Y799" i="1"/>
  <c r="R799" i="1"/>
  <c r="AG799" i="1" s="1"/>
  <c r="Q799" i="1"/>
  <c r="AI798" i="1"/>
  <c r="AC798" i="1"/>
  <c r="AB798" i="1"/>
  <c r="AA798" i="1"/>
  <c r="Y798" i="1"/>
  <c r="R798" i="1"/>
  <c r="AG798" i="1" s="1"/>
  <c r="Q798" i="1"/>
  <c r="AI797" i="1"/>
  <c r="AC797" i="1"/>
  <c r="AB797" i="1"/>
  <c r="AA797" i="1"/>
  <c r="Y797" i="1"/>
  <c r="R797" i="1"/>
  <c r="AG797" i="1" s="1"/>
  <c r="Q797" i="1"/>
  <c r="AI796" i="1"/>
  <c r="AC796" i="1"/>
  <c r="AB796" i="1"/>
  <c r="AA796" i="1"/>
  <c r="Y796" i="1"/>
  <c r="R796" i="1"/>
  <c r="AG796" i="1" s="1"/>
  <c r="Q796" i="1"/>
  <c r="AI795" i="1"/>
  <c r="AC795" i="1"/>
  <c r="AB795" i="1"/>
  <c r="AA795" i="1"/>
  <c r="Y795" i="1"/>
  <c r="R795" i="1"/>
  <c r="AG795" i="1" s="1"/>
  <c r="Q795" i="1"/>
  <c r="AI794" i="1"/>
  <c r="AC794" i="1"/>
  <c r="AB794" i="1"/>
  <c r="AA794" i="1"/>
  <c r="Y794" i="1"/>
  <c r="R794" i="1"/>
  <c r="AG794" i="1" s="1"/>
  <c r="Q794" i="1"/>
  <c r="AI793" i="1"/>
  <c r="AC793" i="1"/>
  <c r="AB793" i="1"/>
  <c r="AA793" i="1"/>
  <c r="Y793" i="1"/>
  <c r="R793" i="1"/>
  <c r="AG793" i="1" s="1"/>
  <c r="Q793" i="1"/>
  <c r="AI792" i="1"/>
  <c r="AC792" i="1"/>
  <c r="AB792" i="1"/>
  <c r="AA792" i="1"/>
  <c r="Y792" i="1"/>
  <c r="R792" i="1"/>
  <c r="AG792" i="1" s="1"/>
  <c r="Q792" i="1"/>
  <c r="AI791" i="1"/>
  <c r="AC791" i="1"/>
  <c r="AB791" i="1"/>
  <c r="AA791" i="1"/>
  <c r="Y791" i="1"/>
  <c r="R791" i="1"/>
  <c r="AG791" i="1" s="1"/>
  <c r="Q791" i="1"/>
  <c r="AI790" i="1"/>
  <c r="AC790" i="1"/>
  <c r="AB790" i="1"/>
  <c r="AA790" i="1"/>
  <c r="Y790" i="1"/>
  <c r="R790" i="1"/>
  <c r="AG790" i="1" s="1"/>
  <c r="Q790" i="1"/>
  <c r="AI789" i="1"/>
  <c r="AC789" i="1"/>
  <c r="AB789" i="1"/>
  <c r="AA789" i="1"/>
  <c r="Y789" i="1"/>
  <c r="R789" i="1"/>
  <c r="AG789" i="1" s="1"/>
  <c r="Q789" i="1"/>
  <c r="AI788" i="1"/>
  <c r="AC788" i="1"/>
  <c r="AB788" i="1"/>
  <c r="AA788" i="1"/>
  <c r="Y788" i="1"/>
  <c r="R788" i="1"/>
  <c r="AG788" i="1" s="1"/>
  <c r="Q788" i="1"/>
  <c r="AI787" i="1"/>
  <c r="AC787" i="1"/>
  <c r="AB787" i="1"/>
  <c r="AA787" i="1"/>
  <c r="Y787" i="1"/>
  <c r="R787" i="1"/>
  <c r="AG787" i="1" s="1"/>
  <c r="Q787" i="1"/>
  <c r="AI786" i="1"/>
  <c r="AC786" i="1"/>
  <c r="AB786" i="1"/>
  <c r="AA786" i="1"/>
  <c r="Y786" i="1"/>
  <c r="R786" i="1"/>
  <c r="AG786" i="1" s="1"/>
  <c r="Q786" i="1"/>
  <c r="AI785" i="1"/>
  <c r="AC785" i="1"/>
  <c r="AB785" i="1"/>
  <c r="AA785" i="1"/>
  <c r="Y785" i="1"/>
  <c r="R785" i="1"/>
  <c r="AG785" i="1" s="1"/>
  <c r="Q785" i="1"/>
  <c r="AI784" i="1"/>
  <c r="AC784" i="1"/>
  <c r="AB784" i="1"/>
  <c r="AA784" i="1"/>
  <c r="Y784" i="1"/>
  <c r="R784" i="1"/>
  <c r="AG784" i="1" s="1"/>
  <c r="Q784" i="1"/>
  <c r="AI783" i="1"/>
  <c r="AC783" i="1"/>
  <c r="AB783" i="1"/>
  <c r="AA783" i="1"/>
  <c r="Y783" i="1"/>
  <c r="R783" i="1"/>
  <c r="AG783" i="1" s="1"/>
  <c r="Q783" i="1"/>
  <c r="AI782" i="1"/>
  <c r="AC782" i="1"/>
  <c r="AB782" i="1"/>
  <c r="AA782" i="1"/>
  <c r="Y782" i="1"/>
  <c r="R782" i="1"/>
  <c r="AG782" i="1" s="1"/>
  <c r="Q782" i="1"/>
  <c r="AI781" i="1"/>
  <c r="AC781" i="1"/>
  <c r="AB781" i="1"/>
  <c r="AA781" i="1"/>
  <c r="Y781" i="1"/>
  <c r="R781" i="1"/>
  <c r="AG781" i="1" s="1"/>
  <c r="Q781" i="1"/>
  <c r="AI780" i="1"/>
  <c r="AC780" i="1"/>
  <c r="AB780" i="1"/>
  <c r="AA780" i="1"/>
  <c r="Y780" i="1"/>
  <c r="R780" i="1"/>
  <c r="AG780" i="1" s="1"/>
  <c r="Q780" i="1"/>
  <c r="AI779" i="1"/>
  <c r="AC779" i="1"/>
  <c r="AB779" i="1"/>
  <c r="AA779" i="1"/>
  <c r="Y779" i="1"/>
  <c r="R779" i="1"/>
  <c r="AG779" i="1" s="1"/>
  <c r="Q779" i="1"/>
  <c r="AI778" i="1"/>
  <c r="AC778" i="1"/>
  <c r="AB778" i="1"/>
  <c r="AA778" i="1"/>
  <c r="Y778" i="1"/>
  <c r="R778" i="1"/>
  <c r="AG778" i="1" s="1"/>
  <c r="Q778" i="1"/>
  <c r="AI777" i="1"/>
  <c r="AC777" i="1"/>
  <c r="AB777" i="1"/>
  <c r="AA777" i="1"/>
  <c r="Y777" i="1"/>
  <c r="R777" i="1"/>
  <c r="AG777" i="1" s="1"/>
  <c r="Q777" i="1"/>
  <c r="AI776" i="1"/>
  <c r="AC776" i="1"/>
  <c r="AB776" i="1"/>
  <c r="AA776" i="1"/>
  <c r="Y776" i="1"/>
  <c r="R776" i="1"/>
  <c r="AG776" i="1" s="1"/>
  <c r="Q776" i="1"/>
  <c r="AI775" i="1"/>
  <c r="AC775" i="1"/>
  <c r="AB775" i="1"/>
  <c r="AA775" i="1"/>
  <c r="Y775" i="1"/>
  <c r="R775" i="1"/>
  <c r="AG775" i="1" s="1"/>
  <c r="Q775" i="1"/>
  <c r="AI774" i="1"/>
  <c r="AC774" i="1"/>
  <c r="AB774" i="1"/>
  <c r="AA774" i="1"/>
  <c r="Y774" i="1"/>
  <c r="R774" i="1"/>
  <c r="AG774" i="1" s="1"/>
  <c r="Q774" i="1"/>
  <c r="AI773" i="1"/>
  <c r="AC773" i="1"/>
  <c r="AB773" i="1"/>
  <c r="AA773" i="1"/>
  <c r="Y773" i="1"/>
  <c r="R773" i="1"/>
  <c r="AG773" i="1" s="1"/>
  <c r="Q773" i="1"/>
  <c r="AI772" i="1"/>
  <c r="AC772" i="1"/>
  <c r="AB772" i="1"/>
  <c r="AA772" i="1"/>
  <c r="Y772" i="1"/>
  <c r="T772" i="1"/>
  <c r="R772" i="1"/>
  <c r="AG772" i="1" s="1"/>
  <c r="Q772" i="1"/>
  <c r="AI771" i="1"/>
  <c r="AC771" i="1"/>
  <c r="AB771" i="1"/>
  <c r="AA771" i="1"/>
  <c r="Y771" i="1"/>
  <c r="S771" i="1"/>
  <c r="R771" i="1"/>
  <c r="AG771" i="1" s="1"/>
  <c r="Q771" i="1"/>
  <c r="AI770" i="1"/>
  <c r="AC770" i="1"/>
  <c r="AB770" i="1"/>
  <c r="AA770" i="1"/>
  <c r="Y770" i="1"/>
  <c r="R770" i="1"/>
  <c r="AG770" i="1" s="1"/>
  <c r="Q770" i="1"/>
  <c r="AI769" i="1"/>
  <c r="AC769" i="1"/>
  <c r="AB769" i="1"/>
  <c r="AA769" i="1"/>
  <c r="Y769" i="1"/>
  <c r="R769" i="1"/>
  <c r="AG769" i="1" s="1"/>
  <c r="Q769" i="1"/>
  <c r="AI768" i="1"/>
  <c r="AC768" i="1"/>
  <c r="AB768" i="1"/>
  <c r="AA768" i="1"/>
  <c r="Y768" i="1"/>
  <c r="R768" i="1"/>
  <c r="AG768" i="1" s="1"/>
  <c r="Q768" i="1"/>
  <c r="AI767" i="1"/>
  <c r="AC767" i="1"/>
  <c r="AB767" i="1"/>
  <c r="AA767" i="1"/>
  <c r="Y767" i="1"/>
  <c r="R767" i="1"/>
  <c r="AG767" i="1" s="1"/>
  <c r="Q767" i="1"/>
  <c r="AI766" i="1"/>
  <c r="AC766" i="1"/>
  <c r="AB766" i="1"/>
  <c r="AA766" i="1"/>
  <c r="Y766" i="1"/>
  <c r="R766" i="1"/>
  <c r="AG766" i="1" s="1"/>
  <c r="Q766" i="1"/>
  <c r="AI765" i="1"/>
  <c r="AC765" i="1"/>
  <c r="AB765" i="1"/>
  <c r="AA765" i="1"/>
  <c r="Y765" i="1"/>
  <c r="R765" i="1"/>
  <c r="AG765" i="1" s="1"/>
  <c r="Q765" i="1"/>
  <c r="AI764" i="1"/>
  <c r="AC764" i="1"/>
  <c r="AB764" i="1"/>
  <c r="AA764" i="1"/>
  <c r="Y764" i="1"/>
  <c r="R764" i="1"/>
  <c r="AG764" i="1" s="1"/>
  <c r="Q764" i="1"/>
  <c r="AI763" i="1"/>
  <c r="AC763" i="1"/>
  <c r="AB763" i="1"/>
  <c r="AA763" i="1"/>
  <c r="Y763" i="1"/>
  <c r="R763" i="1"/>
  <c r="AG763" i="1" s="1"/>
  <c r="Q763" i="1"/>
  <c r="AI762" i="1"/>
  <c r="AC762" i="1"/>
  <c r="AB762" i="1"/>
  <c r="AA762" i="1"/>
  <c r="Y762" i="1"/>
  <c r="R762" i="1"/>
  <c r="AG762" i="1" s="1"/>
  <c r="Q762" i="1"/>
  <c r="AI761" i="1"/>
  <c r="AC761" i="1"/>
  <c r="AB761" i="1"/>
  <c r="AA761" i="1"/>
  <c r="Y761" i="1"/>
  <c r="R761" i="1"/>
  <c r="AG761" i="1" s="1"/>
  <c r="Q761" i="1"/>
  <c r="AI760" i="1"/>
  <c r="AC760" i="1"/>
  <c r="AB760" i="1"/>
  <c r="AA760" i="1"/>
  <c r="Y760" i="1"/>
  <c r="R760" i="1"/>
  <c r="AG760" i="1" s="1"/>
  <c r="Q760" i="1"/>
  <c r="AI759" i="1"/>
  <c r="AC759" i="1"/>
  <c r="AB759" i="1"/>
  <c r="AA759" i="1"/>
  <c r="Y759" i="1"/>
  <c r="R759" i="1"/>
  <c r="AG759" i="1" s="1"/>
  <c r="Q759" i="1"/>
  <c r="AI758" i="1"/>
  <c r="AC758" i="1"/>
  <c r="AB758" i="1"/>
  <c r="AA758" i="1"/>
  <c r="Y758" i="1"/>
  <c r="R758" i="1"/>
  <c r="AG758" i="1" s="1"/>
  <c r="Q758" i="1"/>
  <c r="AI757" i="1"/>
  <c r="AC757" i="1"/>
  <c r="AB757" i="1"/>
  <c r="AA757" i="1"/>
  <c r="Y757" i="1"/>
  <c r="R757" i="1"/>
  <c r="AG757" i="1" s="1"/>
  <c r="Q757" i="1"/>
  <c r="AI756" i="1"/>
  <c r="AC756" i="1"/>
  <c r="AB756" i="1"/>
  <c r="AA756" i="1"/>
  <c r="Y756" i="1"/>
  <c r="R756" i="1"/>
  <c r="AG756" i="1" s="1"/>
  <c r="Q756" i="1"/>
  <c r="AI755" i="1"/>
  <c r="AC755" i="1"/>
  <c r="AB755" i="1"/>
  <c r="AA755" i="1"/>
  <c r="Y755" i="1"/>
  <c r="R755" i="1"/>
  <c r="AG755" i="1" s="1"/>
  <c r="Q755" i="1"/>
  <c r="AI754" i="1"/>
  <c r="AC754" i="1"/>
  <c r="AB754" i="1"/>
  <c r="AA754" i="1"/>
  <c r="Y754" i="1"/>
  <c r="R754" i="1"/>
  <c r="AG754" i="1" s="1"/>
  <c r="Q754" i="1"/>
  <c r="AI753" i="1"/>
  <c r="AC753" i="1"/>
  <c r="AB753" i="1"/>
  <c r="AA753" i="1"/>
  <c r="Y753" i="1"/>
  <c r="R753" i="1"/>
  <c r="AG753" i="1" s="1"/>
  <c r="Q753" i="1"/>
  <c r="AI752" i="1"/>
  <c r="AC752" i="1"/>
  <c r="AB752" i="1"/>
  <c r="AA752" i="1"/>
  <c r="Y752" i="1"/>
  <c r="R752" i="1"/>
  <c r="AG752" i="1" s="1"/>
  <c r="Q752" i="1"/>
  <c r="AI751" i="1"/>
  <c r="AC751" i="1"/>
  <c r="AB751" i="1"/>
  <c r="AA751" i="1"/>
  <c r="Y751" i="1"/>
  <c r="R751" i="1"/>
  <c r="AG751" i="1" s="1"/>
  <c r="Q751" i="1"/>
  <c r="AI750" i="1"/>
  <c r="AC750" i="1"/>
  <c r="AB750" i="1"/>
  <c r="AA750" i="1"/>
  <c r="Y750" i="1"/>
  <c r="R750" i="1"/>
  <c r="AG750" i="1" s="1"/>
  <c r="Q750" i="1"/>
  <c r="AI749" i="1"/>
  <c r="AC749" i="1"/>
  <c r="AB749" i="1"/>
  <c r="AA749" i="1"/>
  <c r="Y749" i="1"/>
  <c r="R749" i="1"/>
  <c r="AG749" i="1" s="1"/>
  <c r="Q749" i="1"/>
  <c r="AI748" i="1"/>
  <c r="AC748" i="1"/>
  <c r="AB748" i="1"/>
  <c r="AA748" i="1"/>
  <c r="Y748" i="1"/>
  <c r="R748" i="1"/>
  <c r="AG748" i="1" s="1"/>
  <c r="Q748" i="1"/>
  <c r="AI747" i="1"/>
  <c r="AC747" i="1"/>
  <c r="AB747" i="1"/>
  <c r="AA747" i="1"/>
  <c r="Y747" i="1"/>
  <c r="R747" i="1"/>
  <c r="AG747" i="1" s="1"/>
  <c r="Q747" i="1"/>
  <c r="AI746" i="1"/>
  <c r="AC746" i="1"/>
  <c r="AB746" i="1"/>
  <c r="AA746" i="1"/>
  <c r="Y746" i="1"/>
  <c r="R746" i="1"/>
  <c r="AG746" i="1" s="1"/>
  <c r="Q746" i="1"/>
  <c r="AI745" i="1"/>
  <c r="AC745" i="1"/>
  <c r="AB745" i="1"/>
  <c r="AA745" i="1"/>
  <c r="Y745" i="1"/>
  <c r="R745" i="1"/>
  <c r="AG745" i="1" s="1"/>
  <c r="Q745" i="1"/>
  <c r="AI744" i="1"/>
  <c r="AC744" i="1"/>
  <c r="AB744" i="1"/>
  <c r="AA744" i="1"/>
  <c r="Y744" i="1"/>
  <c r="R744" i="1"/>
  <c r="AG744" i="1" s="1"/>
  <c r="Q744" i="1"/>
  <c r="AI743" i="1"/>
  <c r="AC743" i="1"/>
  <c r="AB743" i="1"/>
  <c r="AA743" i="1"/>
  <c r="Y743" i="1"/>
  <c r="R743" i="1"/>
  <c r="AG743" i="1" s="1"/>
  <c r="Q743" i="1"/>
  <c r="AI742" i="1"/>
  <c r="AC742" i="1"/>
  <c r="AB742" i="1"/>
  <c r="AA742" i="1"/>
  <c r="Y742" i="1"/>
  <c r="R742" i="1"/>
  <c r="AG742" i="1" s="1"/>
  <c r="Q742" i="1"/>
  <c r="AI741" i="1"/>
  <c r="AC741" i="1"/>
  <c r="AB741" i="1"/>
  <c r="AA741" i="1"/>
  <c r="Y741" i="1"/>
  <c r="R741" i="1"/>
  <c r="AG741" i="1" s="1"/>
  <c r="Q741" i="1"/>
  <c r="AI740" i="1"/>
  <c r="AC740" i="1"/>
  <c r="AB740" i="1"/>
  <c r="AA740" i="1"/>
  <c r="Y740" i="1"/>
  <c r="R740" i="1"/>
  <c r="AG740" i="1" s="1"/>
  <c r="Q740" i="1"/>
  <c r="AI739" i="1"/>
  <c r="AC739" i="1"/>
  <c r="AB739" i="1"/>
  <c r="AA739" i="1"/>
  <c r="Y739" i="1"/>
  <c r="R739" i="1"/>
  <c r="AG739" i="1" s="1"/>
  <c r="Q739" i="1"/>
  <c r="AI738" i="1"/>
  <c r="AC738" i="1"/>
  <c r="AB738" i="1"/>
  <c r="AA738" i="1"/>
  <c r="Y738" i="1"/>
  <c r="R738" i="1"/>
  <c r="AG738" i="1" s="1"/>
  <c r="Q738" i="1"/>
  <c r="AI737" i="1"/>
  <c r="AC737" i="1"/>
  <c r="AB737" i="1"/>
  <c r="AA737" i="1"/>
  <c r="Y737" i="1"/>
  <c r="R737" i="1"/>
  <c r="AG737" i="1" s="1"/>
  <c r="Q737" i="1"/>
  <c r="AI736" i="1"/>
  <c r="AC736" i="1"/>
  <c r="AB736" i="1"/>
  <c r="AA736" i="1"/>
  <c r="Y736" i="1"/>
  <c r="R736" i="1"/>
  <c r="AG736" i="1" s="1"/>
  <c r="Q736" i="1"/>
  <c r="AI735" i="1"/>
  <c r="AC735" i="1"/>
  <c r="AB735" i="1"/>
  <c r="AA735" i="1"/>
  <c r="Y735" i="1"/>
  <c r="R735" i="1"/>
  <c r="AG735" i="1" s="1"/>
  <c r="Q735" i="1"/>
  <c r="AI734" i="1"/>
  <c r="AC734" i="1"/>
  <c r="AB734" i="1"/>
  <c r="AA734" i="1"/>
  <c r="Y734" i="1"/>
  <c r="R734" i="1"/>
  <c r="AG734" i="1" s="1"/>
  <c r="Q734" i="1"/>
  <c r="AI733" i="1"/>
  <c r="AC733" i="1"/>
  <c r="AB733" i="1"/>
  <c r="AA733" i="1"/>
  <c r="Y733" i="1"/>
  <c r="R733" i="1"/>
  <c r="AG733" i="1" s="1"/>
  <c r="Q733" i="1"/>
  <c r="AI732" i="1"/>
  <c r="AC732" i="1"/>
  <c r="AB732" i="1"/>
  <c r="AA732" i="1"/>
  <c r="Y732" i="1"/>
  <c r="R732" i="1"/>
  <c r="AG732" i="1" s="1"/>
  <c r="Q732" i="1"/>
  <c r="AI731" i="1"/>
  <c r="AC731" i="1"/>
  <c r="AB731" i="1"/>
  <c r="AA731" i="1"/>
  <c r="Y731" i="1"/>
  <c r="R731" i="1"/>
  <c r="AG731" i="1" s="1"/>
  <c r="Q731" i="1"/>
  <c r="AI730" i="1"/>
  <c r="AC730" i="1"/>
  <c r="AB730" i="1"/>
  <c r="AA730" i="1"/>
  <c r="Y730" i="1"/>
  <c r="R730" i="1"/>
  <c r="AG730" i="1" s="1"/>
  <c r="Q730" i="1"/>
  <c r="AI729" i="1"/>
  <c r="AC729" i="1"/>
  <c r="AB729" i="1"/>
  <c r="AA729" i="1"/>
  <c r="Y729" i="1"/>
  <c r="R729" i="1"/>
  <c r="AG729" i="1" s="1"/>
  <c r="Q729" i="1"/>
  <c r="AI728" i="1"/>
  <c r="AC728" i="1"/>
  <c r="AB728" i="1"/>
  <c r="AA728" i="1"/>
  <c r="Y728" i="1"/>
  <c r="R728" i="1"/>
  <c r="AG728" i="1" s="1"/>
  <c r="Q728" i="1"/>
  <c r="AI727" i="1"/>
  <c r="AC727" i="1"/>
  <c r="AB727" i="1"/>
  <c r="AA727" i="1"/>
  <c r="Y727" i="1"/>
  <c r="R727" i="1"/>
  <c r="AG727" i="1" s="1"/>
  <c r="Q727" i="1"/>
  <c r="AI726" i="1"/>
  <c r="AC726" i="1"/>
  <c r="AB726" i="1"/>
  <c r="AA726" i="1"/>
  <c r="Y726" i="1"/>
  <c r="R726" i="1"/>
  <c r="AG726" i="1" s="1"/>
  <c r="Q726" i="1"/>
  <c r="AI725" i="1"/>
  <c r="AC725" i="1"/>
  <c r="AB725" i="1"/>
  <c r="AA725" i="1"/>
  <c r="Y725" i="1"/>
  <c r="R725" i="1"/>
  <c r="AG725" i="1" s="1"/>
  <c r="Q725" i="1"/>
  <c r="AI724" i="1"/>
  <c r="AC724" i="1"/>
  <c r="AB724" i="1"/>
  <c r="AA724" i="1"/>
  <c r="Y724" i="1"/>
  <c r="R724" i="1"/>
  <c r="AG724" i="1" s="1"/>
  <c r="Q724" i="1"/>
  <c r="AI723" i="1"/>
  <c r="AC723" i="1"/>
  <c r="AB723" i="1"/>
  <c r="AA723" i="1"/>
  <c r="Y723" i="1"/>
  <c r="R723" i="1"/>
  <c r="AG723" i="1" s="1"/>
  <c r="Q723" i="1"/>
  <c r="AI722" i="1"/>
  <c r="AC722" i="1"/>
  <c r="AB722" i="1"/>
  <c r="AA722" i="1"/>
  <c r="Y722" i="1"/>
  <c r="R722" i="1"/>
  <c r="AG722" i="1" s="1"/>
  <c r="Q722" i="1"/>
  <c r="AI721" i="1"/>
  <c r="AC721" i="1"/>
  <c r="AB721" i="1"/>
  <c r="AA721" i="1"/>
  <c r="Y721" i="1"/>
  <c r="R721" i="1"/>
  <c r="AG721" i="1" s="1"/>
  <c r="Q721" i="1"/>
  <c r="AI720" i="1"/>
  <c r="AC720" i="1"/>
  <c r="AB720" i="1"/>
  <c r="AA720" i="1"/>
  <c r="Y720" i="1"/>
  <c r="R720" i="1"/>
  <c r="AG720" i="1" s="1"/>
  <c r="Q720" i="1"/>
  <c r="AI719" i="1"/>
  <c r="AC719" i="1"/>
  <c r="AB719" i="1"/>
  <c r="AA719" i="1"/>
  <c r="Y719" i="1"/>
  <c r="R719" i="1"/>
  <c r="AG719" i="1" s="1"/>
  <c r="Q719" i="1"/>
  <c r="AI718" i="1"/>
  <c r="AC718" i="1"/>
  <c r="AB718" i="1"/>
  <c r="AA718" i="1"/>
  <c r="Y718" i="1"/>
  <c r="R718" i="1"/>
  <c r="AG718" i="1" s="1"/>
  <c r="Q718" i="1"/>
  <c r="AI717" i="1"/>
  <c r="AC717" i="1"/>
  <c r="AB717" i="1"/>
  <c r="AA717" i="1"/>
  <c r="Y717" i="1"/>
  <c r="R717" i="1"/>
  <c r="AG717" i="1" s="1"/>
  <c r="Q717" i="1"/>
  <c r="AI716" i="1"/>
  <c r="AC716" i="1"/>
  <c r="AB716" i="1"/>
  <c r="AA716" i="1"/>
  <c r="Y716" i="1"/>
  <c r="R716" i="1"/>
  <c r="AG716" i="1" s="1"/>
  <c r="Q716" i="1"/>
  <c r="AI715" i="1"/>
  <c r="AC715" i="1"/>
  <c r="AB715" i="1"/>
  <c r="AA715" i="1"/>
  <c r="Y715" i="1"/>
  <c r="R715" i="1"/>
  <c r="AG715" i="1" s="1"/>
  <c r="Q715" i="1"/>
  <c r="AI714" i="1"/>
  <c r="AC714" i="1"/>
  <c r="AB714" i="1"/>
  <c r="AA714" i="1"/>
  <c r="Y714" i="1"/>
  <c r="R714" i="1"/>
  <c r="AG714" i="1" s="1"/>
  <c r="Q714" i="1"/>
  <c r="AI713" i="1"/>
  <c r="AC713" i="1"/>
  <c r="AB713" i="1"/>
  <c r="AA713" i="1"/>
  <c r="Y713" i="1"/>
  <c r="R713" i="1"/>
  <c r="AG713" i="1" s="1"/>
  <c r="Q713" i="1"/>
  <c r="AI712" i="1"/>
  <c r="AC712" i="1"/>
  <c r="AB712" i="1"/>
  <c r="AA712" i="1"/>
  <c r="Y712" i="1"/>
  <c r="R712" i="1"/>
  <c r="AG712" i="1" s="1"/>
  <c r="Q712" i="1"/>
  <c r="AI711" i="1"/>
  <c r="AC711" i="1"/>
  <c r="AB711" i="1"/>
  <c r="AA711" i="1"/>
  <c r="Y711" i="1"/>
  <c r="R711" i="1"/>
  <c r="AG711" i="1" s="1"/>
  <c r="Q711" i="1"/>
  <c r="AI710" i="1"/>
  <c r="AC710" i="1"/>
  <c r="AB710" i="1"/>
  <c r="AA710" i="1"/>
  <c r="Y710" i="1"/>
  <c r="R710" i="1"/>
  <c r="AG710" i="1" s="1"/>
  <c r="Q710" i="1"/>
  <c r="AI709" i="1"/>
  <c r="AC709" i="1"/>
  <c r="AB709" i="1"/>
  <c r="AA709" i="1"/>
  <c r="Y709" i="1"/>
  <c r="R709" i="1"/>
  <c r="AG709" i="1" s="1"/>
  <c r="Q709" i="1"/>
  <c r="AI708" i="1"/>
  <c r="AC708" i="1"/>
  <c r="AB708" i="1"/>
  <c r="AA708" i="1"/>
  <c r="Y708" i="1"/>
  <c r="R708" i="1"/>
  <c r="AG708" i="1" s="1"/>
  <c r="Q708" i="1"/>
  <c r="AI707" i="1"/>
  <c r="AC707" i="1"/>
  <c r="AB707" i="1"/>
  <c r="AA707" i="1"/>
  <c r="Y707" i="1"/>
  <c r="R707" i="1"/>
  <c r="AG707" i="1" s="1"/>
  <c r="Q707" i="1"/>
  <c r="AI706" i="1"/>
  <c r="AC706" i="1"/>
  <c r="AB706" i="1"/>
  <c r="AA706" i="1"/>
  <c r="Y706" i="1"/>
  <c r="R706" i="1"/>
  <c r="AG706" i="1" s="1"/>
  <c r="Q706" i="1"/>
  <c r="AI705" i="1"/>
  <c r="AC705" i="1"/>
  <c r="AB705" i="1"/>
  <c r="AA705" i="1"/>
  <c r="Y705" i="1"/>
  <c r="R705" i="1"/>
  <c r="AG705" i="1" s="1"/>
  <c r="Q705" i="1"/>
  <c r="AI704" i="1"/>
  <c r="AC704" i="1"/>
  <c r="AB704" i="1"/>
  <c r="AA704" i="1"/>
  <c r="Y704" i="1"/>
  <c r="R704" i="1"/>
  <c r="AG704" i="1" s="1"/>
  <c r="Q704" i="1"/>
  <c r="AI703" i="1"/>
  <c r="AC703" i="1"/>
  <c r="AB703" i="1"/>
  <c r="AA703" i="1"/>
  <c r="Y703" i="1"/>
  <c r="R703" i="1"/>
  <c r="AG703" i="1" s="1"/>
  <c r="Q703" i="1"/>
  <c r="AI702" i="1"/>
  <c r="AC702" i="1"/>
  <c r="AB702" i="1"/>
  <c r="AA702" i="1"/>
  <c r="Y702" i="1"/>
  <c r="R702" i="1"/>
  <c r="AG702" i="1" s="1"/>
  <c r="Q702" i="1"/>
  <c r="AI701" i="1"/>
  <c r="AC701" i="1"/>
  <c r="AB701" i="1"/>
  <c r="AA701" i="1"/>
  <c r="Y701" i="1"/>
  <c r="R701" i="1"/>
  <c r="AG701" i="1" s="1"/>
  <c r="Q701" i="1"/>
  <c r="AI700" i="1"/>
  <c r="AC700" i="1"/>
  <c r="AB700" i="1"/>
  <c r="AA700" i="1"/>
  <c r="Y700" i="1"/>
  <c r="R700" i="1"/>
  <c r="AG700" i="1" s="1"/>
  <c r="Q700" i="1"/>
  <c r="AI699" i="1"/>
  <c r="AC699" i="1"/>
  <c r="AB699" i="1"/>
  <c r="AA699" i="1"/>
  <c r="Y699" i="1"/>
  <c r="R699" i="1"/>
  <c r="AG699" i="1" s="1"/>
  <c r="Q699" i="1"/>
  <c r="AI698" i="1"/>
  <c r="AC698" i="1"/>
  <c r="AB698" i="1"/>
  <c r="AA698" i="1"/>
  <c r="Y698" i="1"/>
  <c r="R698" i="1"/>
  <c r="AG698" i="1" s="1"/>
  <c r="Q698" i="1"/>
  <c r="AI697" i="1"/>
  <c r="AC697" i="1"/>
  <c r="AB697" i="1"/>
  <c r="AA697" i="1"/>
  <c r="Y697" i="1"/>
  <c r="R697" i="1"/>
  <c r="AG697" i="1" s="1"/>
  <c r="Q697" i="1"/>
  <c r="AI696" i="1"/>
  <c r="AC696" i="1"/>
  <c r="AB696" i="1"/>
  <c r="AA696" i="1"/>
  <c r="Y696" i="1"/>
  <c r="R696" i="1"/>
  <c r="AG696" i="1" s="1"/>
  <c r="Q696" i="1"/>
  <c r="AI695" i="1"/>
  <c r="AC695" i="1"/>
  <c r="AB695" i="1"/>
  <c r="AA695" i="1"/>
  <c r="Y695" i="1"/>
  <c r="R695" i="1"/>
  <c r="AG695" i="1" s="1"/>
  <c r="Q695" i="1"/>
  <c r="AI694" i="1"/>
  <c r="AC694" i="1"/>
  <c r="AB694" i="1"/>
  <c r="AA694" i="1"/>
  <c r="Y694" i="1"/>
  <c r="R694" i="1"/>
  <c r="AG694" i="1" s="1"/>
  <c r="Q694" i="1"/>
  <c r="AI693" i="1"/>
  <c r="AC693" i="1"/>
  <c r="AB693" i="1"/>
  <c r="AA693" i="1"/>
  <c r="Y693" i="1"/>
  <c r="R693" i="1"/>
  <c r="AG693" i="1" s="1"/>
  <c r="Q693" i="1"/>
  <c r="AI692" i="1"/>
  <c r="AC692" i="1"/>
  <c r="AB692" i="1"/>
  <c r="AA692" i="1"/>
  <c r="Y692" i="1"/>
  <c r="R692" i="1"/>
  <c r="AG692" i="1" s="1"/>
  <c r="Q692" i="1"/>
  <c r="AI691" i="1"/>
  <c r="AC691" i="1"/>
  <c r="AB691" i="1"/>
  <c r="AA691" i="1"/>
  <c r="Y691" i="1"/>
  <c r="R691" i="1"/>
  <c r="AG691" i="1" s="1"/>
  <c r="Q691" i="1"/>
  <c r="AI690" i="1"/>
  <c r="AC690" i="1"/>
  <c r="AB690" i="1"/>
  <c r="AA690" i="1"/>
  <c r="Y690" i="1"/>
  <c r="R690" i="1"/>
  <c r="AG690" i="1" s="1"/>
  <c r="Q690" i="1"/>
  <c r="AI689" i="1"/>
  <c r="AC689" i="1"/>
  <c r="AB689" i="1"/>
  <c r="AA689" i="1"/>
  <c r="Y689" i="1"/>
  <c r="X689" i="1"/>
  <c r="W689" i="1" s="1"/>
  <c r="R689" i="1"/>
  <c r="AG689" i="1" s="1"/>
  <c r="Q689" i="1"/>
  <c r="M689" i="1"/>
  <c r="H689" i="1"/>
  <c r="AI688" i="1"/>
  <c r="AC688" i="1"/>
  <c r="AB688" i="1"/>
  <c r="AA688" i="1"/>
  <c r="Y688" i="1"/>
  <c r="R688" i="1"/>
  <c r="AG688" i="1" s="1"/>
  <c r="Q688" i="1"/>
  <c r="AI687" i="1"/>
  <c r="AC687" i="1"/>
  <c r="AB687" i="1"/>
  <c r="AA687" i="1"/>
  <c r="Y687" i="1"/>
  <c r="R687" i="1"/>
  <c r="AG687" i="1" s="1"/>
  <c r="Q687" i="1"/>
  <c r="AI686" i="1"/>
  <c r="AC686" i="1"/>
  <c r="AB686" i="1"/>
  <c r="AA686" i="1"/>
  <c r="Y686" i="1"/>
  <c r="R686" i="1"/>
  <c r="AG686" i="1" s="1"/>
  <c r="Q686" i="1"/>
  <c r="AI685" i="1"/>
  <c r="AC685" i="1"/>
  <c r="AB685" i="1"/>
  <c r="AA685" i="1"/>
  <c r="Y685" i="1"/>
  <c r="R685" i="1"/>
  <c r="AG685" i="1" s="1"/>
  <c r="Q685" i="1"/>
  <c r="AI684" i="1"/>
  <c r="AC684" i="1"/>
  <c r="AB684" i="1"/>
  <c r="AA684" i="1"/>
  <c r="Y684" i="1"/>
  <c r="R684" i="1"/>
  <c r="AG684" i="1" s="1"/>
  <c r="Q684" i="1"/>
  <c r="AI683" i="1"/>
  <c r="AC683" i="1"/>
  <c r="AB683" i="1"/>
  <c r="AA683" i="1"/>
  <c r="Y683" i="1"/>
  <c r="R683" i="1"/>
  <c r="AG683" i="1" s="1"/>
  <c r="Q683" i="1"/>
  <c r="AI682" i="1"/>
  <c r="AC682" i="1"/>
  <c r="AB682" i="1"/>
  <c r="AA682" i="1"/>
  <c r="Y682" i="1"/>
  <c r="R682" i="1"/>
  <c r="AG682" i="1" s="1"/>
  <c r="Q682" i="1"/>
  <c r="AI681" i="1"/>
  <c r="AC681" i="1"/>
  <c r="AB681" i="1"/>
  <c r="AA681" i="1"/>
  <c r="Y681" i="1"/>
  <c r="R681" i="1"/>
  <c r="AG681" i="1" s="1"/>
  <c r="Q681" i="1"/>
  <c r="AI680" i="1"/>
  <c r="AC680" i="1"/>
  <c r="AB680" i="1"/>
  <c r="AA680" i="1"/>
  <c r="Y680" i="1"/>
  <c r="R680" i="1"/>
  <c r="AG680" i="1" s="1"/>
  <c r="Q680" i="1"/>
  <c r="AI679" i="1"/>
  <c r="AC679" i="1"/>
  <c r="AB679" i="1"/>
  <c r="AA679" i="1"/>
  <c r="Y679" i="1"/>
  <c r="R679" i="1"/>
  <c r="AG679" i="1" s="1"/>
  <c r="Q679" i="1"/>
  <c r="AI678" i="1"/>
  <c r="AC678" i="1"/>
  <c r="AB678" i="1"/>
  <c r="AA678" i="1"/>
  <c r="Y678" i="1"/>
  <c r="R678" i="1"/>
  <c r="AG678" i="1" s="1"/>
  <c r="Q678" i="1"/>
  <c r="AI677" i="1"/>
  <c r="AC677" i="1"/>
  <c r="AB677" i="1"/>
  <c r="AA677" i="1"/>
  <c r="Y677" i="1"/>
  <c r="R677" i="1"/>
  <c r="AG677" i="1" s="1"/>
  <c r="Q677" i="1"/>
  <c r="AI676" i="1"/>
  <c r="AC676" i="1"/>
  <c r="AB676" i="1"/>
  <c r="AA676" i="1"/>
  <c r="Y676" i="1"/>
  <c r="R676" i="1"/>
  <c r="AG676" i="1" s="1"/>
  <c r="Q676" i="1"/>
  <c r="AI675" i="1"/>
  <c r="AC675" i="1"/>
  <c r="AB675" i="1"/>
  <c r="AA675" i="1"/>
  <c r="Y675" i="1"/>
  <c r="R675" i="1"/>
  <c r="AG675" i="1" s="1"/>
  <c r="Q675" i="1"/>
  <c r="AI674" i="1"/>
  <c r="AC674" i="1"/>
  <c r="AB674" i="1"/>
  <c r="AA674" i="1"/>
  <c r="Y674" i="1"/>
  <c r="R674" i="1"/>
  <c r="AG674" i="1" s="1"/>
  <c r="Q674" i="1"/>
  <c r="AI673" i="1"/>
  <c r="AC673" i="1"/>
  <c r="AB673" i="1"/>
  <c r="AA673" i="1"/>
  <c r="Y673" i="1"/>
  <c r="R673" i="1"/>
  <c r="AG673" i="1" s="1"/>
  <c r="Q673" i="1"/>
  <c r="AI672" i="1"/>
  <c r="AC672" i="1"/>
  <c r="AB672" i="1"/>
  <c r="AA672" i="1"/>
  <c r="Y672" i="1"/>
  <c r="R672" i="1"/>
  <c r="AG672" i="1" s="1"/>
  <c r="Q672" i="1"/>
  <c r="AI671" i="1"/>
  <c r="AC671" i="1"/>
  <c r="AB671" i="1"/>
  <c r="AA671" i="1"/>
  <c r="Y671" i="1"/>
  <c r="R671" i="1"/>
  <c r="AG671" i="1" s="1"/>
  <c r="Q671" i="1"/>
  <c r="AI670" i="1"/>
  <c r="AC670" i="1"/>
  <c r="AB670" i="1"/>
  <c r="AA670" i="1"/>
  <c r="Y670" i="1"/>
  <c r="R670" i="1"/>
  <c r="AG670" i="1" s="1"/>
  <c r="Q670" i="1"/>
  <c r="AI669" i="1"/>
  <c r="AC669" i="1"/>
  <c r="AB669" i="1"/>
  <c r="AA669" i="1"/>
  <c r="Y669" i="1"/>
  <c r="R669" i="1"/>
  <c r="AG669" i="1" s="1"/>
  <c r="Q669" i="1"/>
  <c r="AI668" i="1"/>
  <c r="AC668" i="1"/>
  <c r="AB668" i="1"/>
  <c r="AA668" i="1"/>
  <c r="Y668" i="1"/>
  <c r="R668" i="1"/>
  <c r="AG668" i="1" s="1"/>
  <c r="Q668" i="1"/>
  <c r="AI667" i="1"/>
  <c r="AC667" i="1"/>
  <c r="AB667" i="1"/>
  <c r="AA667" i="1"/>
  <c r="Y667" i="1"/>
  <c r="R667" i="1"/>
  <c r="AG667" i="1" s="1"/>
  <c r="Q667" i="1"/>
  <c r="AI666" i="1"/>
  <c r="AC666" i="1"/>
  <c r="AB666" i="1"/>
  <c r="AA666" i="1"/>
  <c r="Y666" i="1"/>
  <c r="R666" i="1"/>
  <c r="AG666" i="1" s="1"/>
  <c r="Q666" i="1"/>
  <c r="AI665" i="1"/>
  <c r="AC665" i="1"/>
  <c r="AB665" i="1"/>
  <c r="AA665" i="1"/>
  <c r="Y665" i="1"/>
  <c r="R665" i="1"/>
  <c r="AG665" i="1" s="1"/>
  <c r="Q665" i="1"/>
  <c r="AI664" i="1"/>
  <c r="AC664" i="1"/>
  <c r="AB664" i="1"/>
  <c r="AA664" i="1"/>
  <c r="Y664" i="1"/>
  <c r="R664" i="1"/>
  <c r="AG664" i="1" s="1"/>
  <c r="Q664" i="1"/>
  <c r="AI663" i="1"/>
  <c r="AC663" i="1"/>
  <c r="AB663" i="1"/>
  <c r="AA663" i="1"/>
  <c r="Y663" i="1"/>
  <c r="R663" i="1"/>
  <c r="AG663" i="1" s="1"/>
  <c r="Q663" i="1"/>
  <c r="AI662" i="1"/>
  <c r="AC662" i="1"/>
  <c r="AB662" i="1"/>
  <c r="AA662" i="1"/>
  <c r="Y662" i="1"/>
  <c r="R662" i="1"/>
  <c r="AG662" i="1" s="1"/>
  <c r="Q662" i="1"/>
  <c r="AI661" i="1"/>
  <c r="AC661" i="1"/>
  <c r="AB661" i="1"/>
  <c r="AA661" i="1"/>
  <c r="Y661" i="1"/>
  <c r="X661" i="1"/>
  <c r="W661" i="1" s="1"/>
  <c r="R661" i="1"/>
  <c r="AG661" i="1" s="1"/>
  <c r="Q661" i="1"/>
  <c r="M661" i="1"/>
  <c r="H661" i="1"/>
  <c r="AI660" i="1"/>
  <c r="AC660" i="1"/>
  <c r="AB660" i="1"/>
  <c r="AA660" i="1"/>
  <c r="Y660" i="1"/>
  <c r="X660" i="1"/>
  <c r="W660" i="1" s="1"/>
  <c r="R660" i="1"/>
  <c r="AG660" i="1" s="1"/>
  <c r="Q660" i="1"/>
  <c r="M660" i="1"/>
  <c r="H660" i="1"/>
  <c r="AI659" i="1"/>
  <c r="AC659" i="1"/>
  <c r="AB659" i="1"/>
  <c r="AA659" i="1"/>
  <c r="Y659" i="1"/>
  <c r="R659" i="1"/>
  <c r="AG659" i="1" s="1"/>
  <c r="Q659" i="1"/>
  <c r="AI658" i="1"/>
  <c r="AC658" i="1"/>
  <c r="AB658" i="1"/>
  <c r="AA658" i="1"/>
  <c r="Y658" i="1"/>
  <c r="R658" i="1"/>
  <c r="AG658" i="1" s="1"/>
  <c r="Q658" i="1"/>
  <c r="AI657" i="1"/>
  <c r="AC657" i="1"/>
  <c r="AB657" i="1"/>
  <c r="AA657" i="1"/>
  <c r="Y657" i="1"/>
  <c r="R657" i="1"/>
  <c r="AG657" i="1" s="1"/>
  <c r="Q657" i="1"/>
  <c r="AI656" i="1"/>
  <c r="AC656" i="1"/>
  <c r="AB656" i="1"/>
  <c r="AA656" i="1"/>
  <c r="Y656" i="1"/>
  <c r="R656" i="1"/>
  <c r="AG656" i="1" s="1"/>
  <c r="Q656" i="1"/>
  <c r="AI655" i="1"/>
  <c r="AC655" i="1"/>
  <c r="AB655" i="1"/>
  <c r="AA655" i="1"/>
  <c r="Y655" i="1"/>
  <c r="R655" i="1"/>
  <c r="AG655" i="1" s="1"/>
  <c r="Q655" i="1"/>
  <c r="AI654" i="1"/>
  <c r="AC654" i="1"/>
  <c r="AB654" i="1"/>
  <c r="AA654" i="1"/>
  <c r="Y654" i="1"/>
  <c r="R654" i="1"/>
  <c r="AG654" i="1" s="1"/>
  <c r="Q654" i="1"/>
  <c r="AI653" i="1"/>
  <c r="AC653" i="1"/>
  <c r="AB653" i="1"/>
  <c r="AA653" i="1"/>
  <c r="Y653" i="1"/>
  <c r="R653" i="1"/>
  <c r="AG653" i="1" s="1"/>
  <c r="Q653" i="1"/>
  <c r="AI652" i="1"/>
  <c r="AC652" i="1"/>
  <c r="AB652" i="1"/>
  <c r="AA652" i="1"/>
  <c r="Y652" i="1"/>
  <c r="R652" i="1"/>
  <c r="AG652" i="1" s="1"/>
  <c r="Q652" i="1"/>
  <c r="AI651" i="1"/>
  <c r="AC651" i="1"/>
  <c r="AB651" i="1"/>
  <c r="AA651" i="1"/>
  <c r="Y651" i="1"/>
  <c r="R651" i="1"/>
  <c r="AG651" i="1" s="1"/>
  <c r="Q651" i="1"/>
  <c r="AI650" i="1"/>
  <c r="AC650" i="1"/>
  <c r="AB650" i="1"/>
  <c r="AA650" i="1"/>
  <c r="Y650" i="1"/>
  <c r="T650" i="1"/>
  <c r="R650" i="1"/>
  <c r="AG650" i="1" s="1"/>
  <c r="Q650" i="1"/>
  <c r="AI649" i="1"/>
  <c r="AC649" i="1"/>
  <c r="AB649" i="1"/>
  <c r="AA649" i="1"/>
  <c r="Y649" i="1"/>
  <c r="S649" i="1"/>
  <c r="R649" i="1"/>
  <c r="AG649" i="1" s="1"/>
  <c r="Q649" i="1"/>
  <c r="AI648" i="1"/>
  <c r="AC648" i="1"/>
  <c r="AB648" i="1"/>
  <c r="AA648" i="1"/>
  <c r="Y648" i="1"/>
  <c r="R648" i="1"/>
  <c r="AG648" i="1" s="1"/>
  <c r="Q648" i="1"/>
  <c r="AI647" i="1"/>
  <c r="AC647" i="1"/>
  <c r="AB647" i="1"/>
  <c r="AA647" i="1"/>
  <c r="Y647" i="1"/>
  <c r="R647" i="1"/>
  <c r="AG647" i="1" s="1"/>
  <c r="Q647" i="1"/>
  <c r="AI646" i="1"/>
  <c r="AC646" i="1"/>
  <c r="AB646" i="1"/>
  <c r="AA646" i="1"/>
  <c r="Y646" i="1"/>
  <c r="R646" i="1"/>
  <c r="AG646" i="1" s="1"/>
  <c r="Q646" i="1"/>
  <c r="AI645" i="1"/>
  <c r="AC645" i="1"/>
  <c r="AB645" i="1"/>
  <c r="AA645" i="1"/>
  <c r="Y645" i="1"/>
  <c r="R645" i="1"/>
  <c r="AG645" i="1" s="1"/>
  <c r="Q645" i="1"/>
  <c r="AI644" i="1"/>
  <c r="AC644" i="1"/>
  <c r="AB644" i="1"/>
  <c r="AA644" i="1"/>
  <c r="Y644" i="1"/>
  <c r="R644" i="1"/>
  <c r="AG644" i="1" s="1"/>
  <c r="Q644" i="1"/>
  <c r="AI643" i="1"/>
  <c r="AC643" i="1"/>
  <c r="AB643" i="1"/>
  <c r="AA643" i="1"/>
  <c r="Y643" i="1"/>
  <c r="R643" i="1"/>
  <c r="AG643" i="1" s="1"/>
  <c r="Q643" i="1"/>
  <c r="AI642" i="1"/>
  <c r="AC642" i="1"/>
  <c r="AB642" i="1"/>
  <c r="AA642" i="1"/>
  <c r="Y642" i="1"/>
  <c r="R642" i="1"/>
  <c r="AG642" i="1" s="1"/>
  <c r="Q642" i="1"/>
  <c r="AI641" i="1"/>
  <c r="AC641" i="1"/>
  <c r="AB641" i="1"/>
  <c r="AA641" i="1"/>
  <c r="Y641" i="1"/>
  <c r="R641" i="1"/>
  <c r="AG641" i="1" s="1"/>
  <c r="Q641" i="1"/>
  <c r="AI640" i="1"/>
  <c r="AC640" i="1"/>
  <c r="AB640" i="1"/>
  <c r="AA640" i="1"/>
  <c r="Y640" i="1"/>
  <c r="R640" i="1"/>
  <c r="AG640" i="1" s="1"/>
  <c r="Q640" i="1"/>
  <c r="AI639" i="1"/>
  <c r="AC639" i="1"/>
  <c r="AB639" i="1"/>
  <c r="AA639" i="1"/>
  <c r="Y639" i="1"/>
  <c r="R639" i="1"/>
  <c r="AG639" i="1" s="1"/>
  <c r="Q639" i="1"/>
  <c r="AI638" i="1"/>
  <c r="AC638" i="1"/>
  <c r="AB638" i="1"/>
  <c r="AA638" i="1"/>
  <c r="Y638" i="1"/>
  <c r="R638" i="1"/>
  <c r="AG638" i="1" s="1"/>
  <c r="Q638" i="1"/>
  <c r="AI637" i="1"/>
  <c r="AC637" i="1"/>
  <c r="AB637" i="1"/>
  <c r="AA637" i="1"/>
  <c r="Y637" i="1"/>
  <c r="R637" i="1"/>
  <c r="AG637" i="1" s="1"/>
  <c r="Q637" i="1"/>
  <c r="AI636" i="1"/>
  <c r="AC636" i="1"/>
  <c r="AB636" i="1"/>
  <c r="AA636" i="1"/>
  <c r="Y636" i="1"/>
  <c r="R636" i="1"/>
  <c r="AG636" i="1" s="1"/>
  <c r="Q636" i="1"/>
  <c r="AI635" i="1"/>
  <c r="AC635" i="1"/>
  <c r="AB635" i="1"/>
  <c r="AA635" i="1"/>
  <c r="Y635" i="1"/>
  <c r="R635" i="1"/>
  <c r="AG635" i="1" s="1"/>
  <c r="Q635" i="1"/>
  <c r="AI634" i="1"/>
  <c r="AC634" i="1"/>
  <c r="AB634" i="1"/>
  <c r="AA634" i="1"/>
  <c r="Y634" i="1"/>
  <c r="R634" i="1"/>
  <c r="AG634" i="1" s="1"/>
  <c r="Q634" i="1"/>
  <c r="AI633" i="1"/>
  <c r="AC633" i="1"/>
  <c r="AB633" i="1"/>
  <c r="AA633" i="1"/>
  <c r="Y633" i="1"/>
  <c r="R633" i="1"/>
  <c r="AG633" i="1" s="1"/>
  <c r="Q633" i="1"/>
  <c r="AI632" i="1"/>
  <c r="AC632" i="1"/>
  <c r="AB632" i="1"/>
  <c r="AA632" i="1"/>
  <c r="Y632" i="1"/>
  <c r="R632" i="1"/>
  <c r="AG632" i="1" s="1"/>
  <c r="Q632" i="1"/>
  <c r="AI631" i="1"/>
  <c r="AC631" i="1"/>
  <c r="AB631" i="1"/>
  <c r="AA631" i="1"/>
  <c r="Y631" i="1"/>
  <c r="R631" i="1"/>
  <c r="AG631" i="1" s="1"/>
  <c r="Q631" i="1"/>
  <c r="AI630" i="1"/>
  <c r="AC630" i="1"/>
  <c r="AB630" i="1"/>
  <c r="AA630" i="1"/>
  <c r="Y630" i="1"/>
  <c r="R630" i="1"/>
  <c r="AG630" i="1" s="1"/>
  <c r="Q630" i="1"/>
  <c r="AI629" i="1"/>
  <c r="AC629" i="1"/>
  <c r="AB629" i="1"/>
  <c r="AA629" i="1"/>
  <c r="Y629" i="1"/>
  <c r="R629" i="1"/>
  <c r="AG629" i="1" s="1"/>
  <c r="Q629" i="1"/>
  <c r="AI628" i="1"/>
  <c r="AC628" i="1"/>
  <c r="AB628" i="1"/>
  <c r="AA628" i="1"/>
  <c r="Y628" i="1"/>
  <c r="R628" i="1"/>
  <c r="AG628" i="1" s="1"/>
  <c r="Q628" i="1"/>
  <c r="AI627" i="1"/>
  <c r="AC627" i="1"/>
  <c r="AB627" i="1"/>
  <c r="AA627" i="1"/>
  <c r="Y627" i="1"/>
  <c r="R627" i="1"/>
  <c r="AG627" i="1" s="1"/>
  <c r="Q627" i="1"/>
  <c r="AI626" i="1"/>
  <c r="AC626" i="1"/>
  <c r="AB626" i="1"/>
  <c r="AA626" i="1"/>
  <c r="Y626" i="1"/>
  <c r="V626" i="1"/>
  <c r="X626" i="1" s="1"/>
  <c r="W626" i="1" s="1"/>
  <c r="R626" i="1"/>
  <c r="AG626" i="1" s="1"/>
  <c r="Q626" i="1"/>
  <c r="AI625" i="1"/>
  <c r="AC625" i="1"/>
  <c r="AB625" i="1"/>
  <c r="AA625" i="1"/>
  <c r="Y625" i="1"/>
  <c r="R625" i="1"/>
  <c r="AG625" i="1" s="1"/>
  <c r="Q625" i="1"/>
  <c r="AI624" i="1"/>
  <c r="AC624" i="1"/>
  <c r="AB624" i="1"/>
  <c r="AA624" i="1"/>
  <c r="Y624" i="1"/>
  <c r="R624" i="1"/>
  <c r="AG624" i="1" s="1"/>
  <c r="Q624" i="1"/>
  <c r="AI623" i="1"/>
  <c r="AC623" i="1"/>
  <c r="AB623" i="1"/>
  <c r="AA623" i="1"/>
  <c r="Y623" i="1"/>
  <c r="R623" i="1"/>
  <c r="AG623" i="1" s="1"/>
  <c r="Q623" i="1"/>
  <c r="AI622" i="1"/>
  <c r="AC622" i="1"/>
  <c r="AB622" i="1"/>
  <c r="AA622" i="1"/>
  <c r="Y622" i="1"/>
  <c r="S622" i="1"/>
  <c r="R622" i="1"/>
  <c r="AG622" i="1" s="1"/>
  <c r="Q622" i="1"/>
  <c r="AI621" i="1"/>
  <c r="AC621" i="1"/>
  <c r="AB621" i="1"/>
  <c r="AA621" i="1"/>
  <c r="Y621" i="1"/>
  <c r="R621" i="1"/>
  <c r="AG621" i="1" s="1"/>
  <c r="Q621" i="1"/>
  <c r="AI620" i="1"/>
  <c r="AC620" i="1"/>
  <c r="AB620" i="1"/>
  <c r="AA620" i="1"/>
  <c r="Y620" i="1"/>
  <c r="R620" i="1"/>
  <c r="AG620" i="1" s="1"/>
  <c r="Q620" i="1"/>
  <c r="AI619" i="1"/>
  <c r="AC619" i="1"/>
  <c r="AB619" i="1"/>
  <c r="AA619" i="1"/>
  <c r="Y619" i="1"/>
  <c r="R619" i="1"/>
  <c r="AG619" i="1" s="1"/>
  <c r="Q619" i="1"/>
  <c r="AI618" i="1"/>
  <c r="AC618" i="1"/>
  <c r="AB618" i="1"/>
  <c r="AA618" i="1"/>
  <c r="Y618" i="1"/>
  <c r="R618" i="1"/>
  <c r="AG618" i="1" s="1"/>
  <c r="Q618" i="1"/>
  <c r="AI617" i="1"/>
  <c r="AC617" i="1"/>
  <c r="AB617" i="1"/>
  <c r="AA617" i="1"/>
  <c r="Y617" i="1"/>
  <c r="R617" i="1"/>
  <c r="AG617" i="1" s="1"/>
  <c r="Q617" i="1"/>
  <c r="AI616" i="1"/>
  <c r="AC616" i="1"/>
  <c r="AB616" i="1"/>
  <c r="AA616" i="1"/>
  <c r="Y616" i="1"/>
  <c r="R616" i="1"/>
  <c r="AG616" i="1" s="1"/>
  <c r="Q616" i="1"/>
  <c r="AI615" i="1"/>
  <c r="AC615" i="1"/>
  <c r="AB615" i="1"/>
  <c r="AA615" i="1"/>
  <c r="Y615" i="1"/>
  <c r="R615" i="1"/>
  <c r="AG615" i="1" s="1"/>
  <c r="Q615" i="1"/>
  <c r="AI614" i="1"/>
  <c r="AC614" i="1"/>
  <c r="AB614" i="1"/>
  <c r="AA614" i="1"/>
  <c r="Y614" i="1"/>
  <c r="R614" i="1"/>
  <c r="AG614" i="1" s="1"/>
  <c r="Q614" i="1"/>
  <c r="AI613" i="1"/>
  <c r="AC613" i="1"/>
  <c r="AB613" i="1"/>
  <c r="AA613" i="1"/>
  <c r="Y613" i="1"/>
  <c r="R613" i="1"/>
  <c r="AG613" i="1" s="1"/>
  <c r="Q613" i="1"/>
  <c r="AI612" i="1"/>
  <c r="AC612" i="1"/>
  <c r="AB612" i="1"/>
  <c r="AA612" i="1"/>
  <c r="Y612" i="1"/>
  <c r="R612" i="1"/>
  <c r="AG612" i="1" s="1"/>
  <c r="Q612" i="1"/>
  <c r="AI611" i="1"/>
  <c r="AC611" i="1"/>
  <c r="AB611" i="1"/>
  <c r="AA611" i="1"/>
  <c r="Y611" i="1"/>
  <c r="R611" i="1"/>
  <c r="AG611" i="1" s="1"/>
  <c r="Q611" i="1"/>
  <c r="AI610" i="1"/>
  <c r="AC610" i="1"/>
  <c r="AB610" i="1"/>
  <c r="AA610" i="1"/>
  <c r="Y610" i="1"/>
  <c r="R610" i="1"/>
  <c r="AG610" i="1" s="1"/>
  <c r="Q610" i="1"/>
  <c r="AI609" i="1"/>
  <c r="AC609" i="1"/>
  <c r="AB609" i="1"/>
  <c r="AA609" i="1"/>
  <c r="Y609" i="1"/>
  <c r="R609" i="1"/>
  <c r="AG609" i="1" s="1"/>
  <c r="Q609" i="1"/>
  <c r="AI608" i="1"/>
  <c r="AC608" i="1"/>
  <c r="AB608" i="1"/>
  <c r="AA608" i="1"/>
  <c r="Y608" i="1"/>
  <c r="R608" i="1"/>
  <c r="AG608" i="1" s="1"/>
  <c r="Q608" i="1"/>
  <c r="AI607" i="1"/>
  <c r="AC607" i="1"/>
  <c r="AB607" i="1"/>
  <c r="AA607" i="1"/>
  <c r="Y607" i="1"/>
  <c r="R607" i="1"/>
  <c r="AG607" i="1" s="1"/>
  <c r="Q607" i="1"/>
  <c r="AI606" i="1"/>
  <c r="AC606" i="1"/>
  <c r="AB606" i="1"/>
  <c r="AA606" i="1"/>
  <c r="Y606" i="1"/>
  <c r="R606" i="1"/>
  <c r="AG606" i="1" s="1"/>
  <c r="Q606" i="1"/>
  <c r="AI605" i="1"/>
  <c r="AC605" i="1"/>
  <c r="AB605" i="1"/>
  <c r="AA605" i="1"/>
  <c r="Y605" i="1"/>
  <c r="R605" i="1"/>
  <c r="AG605" i="1" s="1"/>
  <c r="Q605" i="1"/>
  <c r="AI604" i="1"/>
  <c r="AC604" i="1"/>
  <c r="AB604" i="1"/>
  <c r="AA604" i="1"/>
  <c r="Y604" i="1"/>
  <c r="R604" i="1"/>
  <c r="AG604" i="1" s="1"/>
  <c r="Q604" i="1"/>
  <c r="AI603" i="1"/>
  <c r="AC603" i="1"/>
  <c r="AB603" i="1"/>
  <c r="AA603" i="1"/>
  <c r="Y603" i="1"/>
  <c r="R603" i="1"/>
  <c r="AG603" i="1" s="1"/>
  <c r="Q603" i="1"/>
  <c r="AI602" i="1"/>
  <c r="AC602" i="1"/>
  <c r="AB602" i="1"/>
  <c r="AA602" i="1"/>
  <c r="Y602" i="1"/>
  <c r="X602" i="1"/>
  <c r="W602" i="1" s="1"/>
  <c r="R602" i="1"/>
  <c r="AG602" i="1" s="1"/>
  <c r="Q602" i="1"/>
  <c r="M602" i="1"/>
  <c r="H602" i="1"/>
  <c r="AI601" i="1"/>
  <c r="AC601" i="1"/>
  <c r="AB601" i="1"/>
  <c r="AA601" i="1"/>
  <c r="Y601" i="1"/>
  <c r="R601" i="1"/>
  <c r="AG601" i="1" s="1"/>
  <c r="Q601" i="1"/>
  <c r="AI600" i="1"/>
  <c r="AC600" i="1"/>
  <c r="AB600" i="1"/>
  <c r="AA600" i="1"/>
  <c r="Y600" i="1"/>
  <c r="R600" i="1"/>
  <c r="AG600" i="1" s="1"/>
  <c r="Q600" i="1"/>
  <c r="AI599" i="1"/>
  <c r="AC599" i="1"/>
  <c r="AB599" i="1"/>
  <c r="AA599" i="1"/>
  <c r="Y599" i="1"/>
  <c r="R599" i="1"/>
  <c r="AG599" i="1" s="1"/>
  <c r="Q599" i="1"/>
  <c r="AI598" i="1"/>
  <c r="AC598" i="1"/>
  <c r="AB598" i="1"/>
  <c r="AA598" i="1"/>
  <c r="Y598" i="1"/>
  <c r="R598" i="1"/>
  <c r="AG598" i="1" s="1"/>
  <c r="Q598" i="1"/>
  <c r="AI597" i="1"/>
  <c r="AC597" i="1"/>
  <c r="AB597" i="1"/>
  <c r="AA597" i="1"/>
  <c r="Y597" i="1"/>
  <c r="R597" i="1"/>
  <c r="AG597" i="1" s="1"/>
  <c r="Q597" i="1"/>
  <c r="AI596" i="1"/>
  <c r="AC596" i="1"/>
  <c r="AB596" i="1"/>
  <c r="AA596" i="1"/>
  <c r="Y596" i="1"/>
  <c r="R596" i="1"/>
  <c r="AG596" i="1" s="1"/>
  <c r="Q596" i="1"/>
  <c r="AI595" i="1"/>
  <c r="AC595" i="1"/>
  <c r="AB595" i="1"/>
  <c r="AA595" i="1"/>
  <c r="Y595" i="1"/>
  <c r="R595" i="1"/>
  <c r="AG595" i="1" s="1"/>
  <c r="Q595" i="1"/>
  <c r="AI594" i="1"/>
  <c r="AC594" i="1"/>
  <c r="AB594" i="1"/>
  <c r="AA594" i="1"/>
  <c r="Y594" i="1"/>
  <c r="R594" i="1"/>
  <c r="AG594" i="1" s="1"/>
  <c r="Q594" i="1"/>
  <c r="AI593" i="1"/>
  <c r="AC593" i="1"/>
  <c r="AB593" i="1"/>
  <c r="AA593" i="1"/>
  <c r="Y593" i="1"/>
  <c r="R593" i="1"/>
  <c r="AG593" i="1" s="1"/>
  <c r="Q593" i="1"/>
  <c r="AI592" i="1"/>
  <c r="AC592" i="1"/>
  <c r="AB592" i="1"/>
  <c r="AA592" i="1"/>
  <c r="Y592" i="1"/>
  <c r="R592" i="1"/>
  <c r="AG592" i="1" s="1"/>
  <c r="Q592" i="1"/>
  <c r="AI591" i="1"/>
  <c r="AC591" i="1"/>
  <c r="AB591" i="1"/>
  <c r="AA591" i="1"/>
  <c r="Y591" i="1"/>
  <c r="R591" i="1"/>
  <c r="AG591" i="1" s="1"/>
  <c r="Q591" i="1"/>
  <c r="AI590" i="1"/>
  <c r="AC590" i="1"/>
  <c r="AB590" i="1"/>
  <c r="AA590" i="1"/>
  <c r="Y590" i="1"/>
  <c r="R590" i="1"/>
  <c r="AG590" i="1" s="1"/>
  <c r="Q590" i="1"/>
  <c r="AI589" i="1"/>
  <c r="AC589" i="1"/>
  <c r="AB589" i="1"/>
  <c r="AA589" i="1"/>
  <c r="Y589" i="1"/>
  <c r="R589" i="1"/>
  <c r="AG589" i="1" s="1"/>
  <c r="Q589" i="1"/>
  <c r="AI588" i="1"/>
  <c r="AC588" i="1"/>
  <c r="AB588" i="1"/>
  <c r="AA588" i="1"/>
  <c r="Y588" i="1"/>
  <c r="R588" i="1"/>
  <c r="AG588" i="1" s="1"/>
  <c r="Q588" i="1"/>
  <c r="AI587" i="1"/>
  <c r="AC587" i="1"/>
  <c r="AB587" i="1"/>
  <c r="AA587" i="1"/>
  <c r="Y587" i="1"/>
  <c r="R587" i="1"/>
  <c r="AG587" i="1" s="1"/>
  <c r="Q587" i="1"/>
  <c r="AI586" i="1"/>
  <c r="AC586" i="1"/>
  <c r="AB586" i="1"/>
  <c r="AA586" i="1"/>
  <c r="Y586" i="1"/>
  <c r="R586" i="1"/>
  <c r="AG586" i="1" s="1"/>
  <c r="Q586" i="1"/>
  <c r="AI585" i="1"/>
  <c r="AC585" i="1"/>
  <c r="AB585" i="1"/>
  <c r="AA585" i="1"/>
  <c r="Y585" i="1"/>
  <c r="R585" i="1"/>
  <c r="AG585" i="1" s="1"/>
  <c r="Q585" i="1"/>
  <c r="AI584" i="1"/>
  <c r="AC584" i="1"/>
  <c r="AB584" i="1"/>
  <c r="AA584" i="1"/>
  <c r="Y584" i="1"/>
  <c r="R584" i="1"/>
  <c r="AG584" i="1" s="1"/>
  <c r="Q584" i="1"/>
  <c r="AI583" i="1"/>
  <c r="AC583" i="1"/>
  <c r="AB583" i="1"/>
  <c r="AA583" i="1"/>
  <c r="Y583" i="1"/>
  <c r="R583" i="1"/>
  <c r="AG583" i="1" s="1"/>
  <c r="Q583" i="1"/>
  <c r="AI582" i="1"/>
  <c r="AC582" i="1"/>
  <c r="AB582" i="1"/>
  <c r="AA582" i="1"/>
  <c r="Y582" i="1"/>
  <c r="R582" i="1"/>
  <c r="AG582" i="1" s="1"/>
  <c r="Q582" i="1"/>
  <c r="AI581" i="1"/>
  <c r="AC581" i="1"/>
  <c r="AB581" i="1"/>
  <c r="AA581" i="1"/>
  <c r="Y581" i="1"/>
  <c r="R581" i="1"/>
  <c r="AG581" i="1" s="1"/>
  <c r="Q581" i="1"/>
  <c r="AI580" i="1"/>
  <c r="AC580" i="1"/>
  <c r="AB580" i="1"/>
  <c r="AA580" i="1"/>
  <c r="Y580" i="1"/>
  <c r="R580" i="1"/>
  <c r="AG580" i="1" s="1"/>
  <c r="Q580" i="1"/>
  <c r="AI579" i="1"/>
  <c r="AC579" i="1"/>
  <c r="AB579" i="1"/>
  <c r="AA579" i="1"/>
  <c r="Y579" i="1"/>
  <c r="R579" i="1"/>
  <c r="AG579" i="1" s="1"/>
  <c r="Q579" i="1"/>
  <c r="AI578" i="1"/>
  <c r="AC578" i="1"/>
  <c r="AB578" i="1"/>
  <c r="AA578" i="1"/>
  <c r="Y578" i="1"/>
  <c r="R578" i="1"/>
  <c r="AG578" i="1" s="1"/>
  <c r="Q578" i="1"/>
  <c r="AI577" i="1"/>
  <c r="AC577" i="1"/>
  <c r="AB577" i="1"/>
  <c r="AA577" i="1"/>
  <c r="Y577" i="1"/>
  <c r="R577" i="1"/>
  <c r="AG577" i="1" s="1"/>
  <c r="Q577" i="1"/>
  <c r="AI576" i="1"/>
  <c r="AC576" i="1"/>
  <c r="AB576" i="1"/>
  <c r="AA576" i="1"/>
  <c r="Y576" i="1"/>
  <c r="R576" i="1"/>
  <c r="AG576" i="1" s="1"/>
  <c r="Q576" i="1"/>
  <c r="AI575" i="1"/>
  <c r="AC575" i="1"/>
  <c r="AB575" i="1"/>
  <c r="AA575" i="1"/>
  <c r="Y575" i="1"/>
  <c r="R575" i="1"/>
  <c r="AG575" i="1" s="1"/>
  <c r="Q575" i="1"/>
  <c r="AI574" i="1"/>
  <c r="AC574" i="1"/>
  <c r="AB574" i="1"/>
  <c r="AA574" i="1"/>
  <c r="Y574" i="1"/>
  <c r="R574" i="1"/>
  <c r="AG574" i="1" s="1"/>
  <c r="Q574" i="1"/>
  <c r="AI573" i="1"/>
  <c r="AC573" i="1"/>
  <c r="AB573" i="1"/>
  <c r="AA573" i="1"/>
  <c r="Y573" i="1"/>
  <c r="R573" i="1"/>
  <c r="AG573" i="1" s="1"/>
  <c r="Q573" i="1"/>
  <c r="AI572" i="1"/>
  <c r="AC572" i="1"/>
  <c r="AB572" i="1"/>
  <c r="AA572" i="1"/>
  <c r="Y572" i="1"/>
  <c r="R572" i="1"/>
  <c r="AG572" i="1" s="1"/>
  <c r="Q572" i="1"/>
  <c r="AI571" i="1"/>
  <c r="AC571" i="1"/>
  <c r="AB571" i="1"/>
  <c r="AA571" i="1"/>
  <c r="Y571" i="1"/>
  <c r="R571" i="1"/>
  <c r="AG571" i="1" s="1"/>
  <c r="Q571" i="1"/>
  <c r="AI570" i="1"/>
  <c r="AC570" i="1"/>
  <c r="AB570" i="1"/>
  <c r="AA570" i="1"/>
  <c r="Y570" i="1"/>
  <c r="R570" i="1"/>
  <c r="AG570" i="1" s="1"/>
  <c r="Q570" i="1"/>
  <c r="AI569" i="1"/>
  <c r="AC569" i="1"/>
  <c r="AB569" i="1"/>
  <c r="AA569" i="1"/>
  <c r="Y569" i="1"/>
  <c r="R569" i="1"/>
  <c r="AG569" i="1" s="1"/>
  <c r="Q569" i="1"/>
  <c r="AI568" i="1"/>
  <c r="AC568" i="1"/>
  <c r="AB568" i="1"/>
  <c r="AA568" i="1"/>
  <c r="Y568" i="1"/>
  <c r="R568" i="1"/>
  <c r="AG568" i="1" s="1"/>
  <c r="Q568" i="1"/>
  <c r="AI567" i="1"/>
  <c r="AC567" i="1"/>
  <c r="AB567" i="1"/>
  <c r="AA567" i="1"/>
  <c r="Y567" i="1"/>
  <c r="R567" i="1"/>
  <c r="AG567" i="1" s="1"/>
  <c r="Q567" i="1"/>
  <c r="AI566" i="1"/>
  <c r="AC566" i="1"/>
  <c r="AB566" i="1"/>
  <c r="AA566" i="1"/>
  <c r="Y566" i="1"/>
  <c r="R566" i="1"/>
  <c r="AG566" i="1" s="1"/>
  <c r="Q566" i="1"/>
  <c r="AI565" i="1"/>
  <c r="AC565" i="1"/>
  <c r="AB565" i="1"/>
  <c r="AA565" i="1"/>
  <c r="Y565" i="1"/>
  <c r="R565" i="1"/>
  <c r="AG565" i="1" s="1"/>
  <c r="Q565" i="1"/>
  <c r="AI564" i="1"/>
  <c r="AC564" i="1"/>
  <c r="AB564" i="1"/>
  <c r="AA564" i="1"/>
  <c r="Y564" i="1"/>
  <c r="R564" i="1"/>
  <c r="AG564" i="1" s="1"/>
  <c r="Q564" i="1"/>
  <c r="AI563" i="1"/>
  <c r="AC563" i="1"/>
  <c r="AB563" i="1"/>
  <c r="AA563" i="1"/>
  <c r="Y563" i="1"/>
  <c r="R563" i="1"/>
  <c r="AG563" i="1" s="1"/>
  <c r="Q563" i="1"/>
  <c r="AI562" i="1"/>
  <c r="AC562" i="1"/>
  <c r="AB562" i="1"/>
  <c r="AA562" i="1"/>
  <c r="Y562" i="1"/>
  <c r="R562" i="1"/>
  <c r="AG562" i="1" s="1"/>
  <c r="Q562" i="1"/>
  <c r="AI561" i="1"/>
  <c r="AC561" i="1"/>
  <c r="AB561" i="1"/>
  <c r="AA561" i="1"/>
  <c r="Y561" i="1"/>
  <c r="R561" i="1"/>
  <c r="AG561" i="1" s="1"/>
  <c r="Q561" i="1"/>
  <c r="AI560" i="1"/>
  <c r="AC560" i="1"/>
  <c r="AB560" i="1"/>
  <c r="AA560" i="1"/>
  <c r="Y560" i="1"/>
  <c r="R560" i="1"/>
  <c r="AG560" i="1" s="1"/>
  <c r="Q560" i="1"/>
  <c r="AI559" i="1"/>
  <c r="AC559" i="1"/>
  <c r="AB559" i="1"/>
  <c r="AA559" i="1"/>
  <c r="Y559" i="1"/>
  <c r="R559" i="1"/>
  <c r="AG559" i="1" s="1"/>
  <c r="Q559" i="1"/>
  <c r="AI558" i="1"/>
  <c r="AC558" i="1"/>
  <c r="AB558" i="1"/>
  <c r="AA558" i="1"/>
  <c r="Y558" i="1"/>
  <c r="R558" i="1"/>
  <c r="AG558" i="1" s="1"/>
  <c r="Q558" i="1"/>
  <c r="AI557" i="1"/>
  <c r="AC557" i="1"/>
  <c r="AB557" i="1"/>
  <c r="AA557" i="1"/>
  <c r="Y557" i="1"/>
  <c r="R557" i="1"/>
  <c r="AG557" i="1" s="1"/>
  <c r="Q557" i="1"/>
  <c r="AI556" i="1"/>
  <c r="AC556" i="1"/>
  <c r="AB556" i="1"/>
  <c r="AA556" i="1"/>
  <c r="Y556" i="1"/>
  <c r="R556" i="1"/>
  <c r="AG556" i="1" s="1"/>
  <c r="Q556" i="1"/>
  <c r="AI555" i="1"/>
  <c r="AC555" i="1"/>
  <c r="AB555" i="1"/>
  <c r="AA555" i="1"/>
  <c r="Y555" i="1"/>
  <c r="R555" i="1"/>
  <c r="AG555" i="1" s="1"/>
  <c r="Q555" i="1"/>
  <c r="AI554" i="1"/>
  <c r="AC554" i="1"/>
  <c r="AB554" i="1"/>
  <c r="AA554" i="1"/>
  <c r="Y554" i="1"/>
  <c r="R554" i="1"/>
  <c r="AG554" i="1" s="1"/>
  <c r="Q554" i="1"/>
  <c r="AI553" i="1"/>
  <c r="AC553" i="1"/>
  <c r="AB553" i="1"/>
  <c r="AA553" i="1"/>
  <c r="Y553" i="1"/>
  <c r="R553" i="1"/>
  <c r="AG553" i="1" s="1"/>
  <c r="Q553" i="1"/>
  <c r="AI552" i="1"/>
  <c r="AC552" i="1"/>
  <c r="AB552" i="1"/>
  <c r="AA552" i="1"/>
  <c r="Y552" i="1"/>
  <c r="R552" i="1"/>
  <c r="AG552" i="1" s="1"/>
  <c r="Q552" i="1"/>
  <c r="AI551" i="1"/>
  <c r="AC551" i="1"/>
  <c r="AB551" i="1"/>
  <c r="AA551" i="1"/>
  <c r="Y551" i="1"/>
  <c r="R551" i="1"/>
  <c r="AG551" i="1" s="1"/>
  <c r="Q551" i="1"/>
  <c r="AI550" i="1"/>
  <c r="AC550" i="1"/>
  <c r="AB550" i="1"/>
  <c r="AA550" i="1"/>
  <c r="Y550" i="1"/>
  <c r="R550" i="1"/>
  <c r="AG550" i="1" s="1"/>
  <c r="Q550" i="1"/>
  <c r="AI549" i="1"/>
  <c r="AC549" i="1"/>
  <c r="AB549" i="1"/>
  <c r="AA549" i="1"/>
  <c r="Y549" i="1"/>
  <c r="R549" i="1"/>
  <c r="AG549" i="1" s="1"/>
  <c r="Q549" i="1"/>
  <c r="AI548" i="1"/>
  <c r="AC548" i="1"/>
  <c r="AB548" i="1"/>
  <c r="AA548" i="1"/>
  <c r="Y548" i="1"/>
  <c r="R548" i="1"/>
  <c r="AG548" i="1" s="1"/>
  <c r="Q548" i="1"/>
  <c r="AI547" i="1"/>
  <c r="AC547" i="1"/>
  <c r="AB547" i="1"/>
  <c r="AA547" i="1"/>
  <c r="Y547" i="1"/>
  <c r="R547" i="1"/>
  <c r="AG547" i="1" s="1"/>
  <c r="Q547" i="1"/>
  <c r="AI546" i="1"/>
  <c r="AC546" i="1"/>
  <c r="AB546" i="1"/>
  <c r="AA546" i="1"/>
  <c r="Y546" i="1"/>
  <c r="R546" i="1"/>
  <c r="AG546" i="1" s="1"/>
  <c r="Q546" i="1"/>
  <c r="AI545" i="1"/>
  <c r="AC545" i="1"/>
  <c r="AB545" i="1"/>
  <c r="AA545" i="1"/>
  <c r="Y545" i="1"/>
  <c r="R545" i="1"/>
  <c r="AG545" i="1" s="1"/>
  <c r="Q545" i="1"/>
  <c r="AI544" i="1"/>
  <c r="AC544" i="1"/>
  <c r="AB544" i="1"/>
  <c r="AA544" i="1"/>
  <c r="Y544" i="1"/>
  <c r="R544" i="1"/>
  <c r="AG544" i="1" s="1"/>
  <c r="Q544" i="1"/>
  <c r="AI543" i="1"/>
  <c r="AC543" i="1"/>
  <c r="AB543" i="1"/>
  <c r="AA543" i="1"/>
  <c r="Y543" i="1"/>
  <c r="R543" i="1"/>
  <c r="AG543" i="1" s="1"/>
  <c r="Q543" i="1"/>
  <c r="AI542" i="1"/>
  <c r="AC542" i="1"/>
  <c r="AB542" i="1"/>
  <c r="AA542" i="1"/>
  <c r="Y542" i="1"/>
  <c r="R542" i="1"/>
  <c r="AG542" i="1" s="1"/>
  <c r="Q542" i="1"/>
  <c r="AI541" i="1"/>
  <c r="AC541" i="1"/>
  <c r="AB541" i="1"/>
  <c r="AA541" i="1"/>
  <c r="Y541" i="1"/>
  <c r="R541" i="1"/>
  <c r="AG541" i="1" s="1"/>
  <c r="Q541" i="1"/>
  <c r="AI540" i="1"/>
  <c r="AC540" i="1"/>
  <c r="AB540" i="1"/>
  <c r="AA540" i="1"/>
  <c r="Y540" i="1"/>
  <c r="R540" i="1"/>
  <c r="AG540" i="1" s="1"/>
  <c r="Q540" i="1"/>
  <c r="AI539" i="1"/>
  <c r="AC539" i="1"/>
  <c r="AB539" i="1"/>
  <c r="AA539" i="1"/>
  <c r="Y539" i="1"/>
  <c r="R539" i="1"/>
  <c r="AG539" i="1" s="1"/>
  <c r="Q539" i="1"/>
  <c r="AI538" i="1"/>
  <c r="AC538" i="1"/>
  <c r="AB538" i="1"/>
  <c r="AA538" i="1"/>
  <c r="Y538" i="1"/>
  <c r="R538" i="1"/>
  <c r="AG538" i="1" s="1"/>
  <c r="Q538" i="1"/>
  <c r="AI537" i="1"/>
  <c r="AC537" i="1"/>
  <c r="AB537" i="1"/>
  <c r="AA537" i="1"/>
  <c r="Y537" i="1"/>
  <c r="R537" i="1"/>
  <c r="AG537" i="1" s="1"/>
  <c r="Q537" i="1"/>
  <c r="AI536" i="1"/>
  <c r="AC536" i="1"/>
  <c r="AB536" i="1"/>
  <c r="AA536" i="1"/>
  <c r="Y536" i="1"/>
  <c r="R536" i="1"/>
  <c r="AG536" i="1" s="1"/>
  <c r="Q536" i="1"/>
  <c r="AI535" i="1"/>
  <c r="AC535" i="1"/>
  <c r="AB535" i="1"/>
  <c r="AA535" i="1"/>
  <c r="Y535" i="1"/>
  <c r="T535" i="1"/>
  <c r="R535" i="1"/>
  <c r="AG535" i="1" s="1"/>
  <c r="Q535" i="1"/>
  <c r="AI534" i="1"/>
  <c r="AC534" i="1"/>
  <c r="AB534" i="1"/>
  <c r="AA534" i="1"/>
  <c r="Y534" i="1"/>
  <c r="R534" i="1"/>
  <c r="AG534" i="1" s="1"/>
  <c r="Q534" i="1"/>
  <c r="AI533" i="1"/>
  <c r="AC533" i="1"/>
  <c r="AB533" i="1"/>
  <c r="AA533" i="1"/>
  <c r="Y533" i="1"/>
  <c r="R533" i="1"/>
  <c r="AG533" i="1" s="1"/>
  <c r="Q533" i="1"/>
  <c r="AI532" i="1"/>
  <c r="AC532" i="1"/>
  <c r="AB532" i="1"/>
  <c r="AA532" i="1"/>
  <c r="Y532" i="1"/>
  <c r="R532" i="1"/>
  <c r="AG532" i="1" s="1"/>
  <c r="Q532" i="1"/>
  <c r="AI531" i="1"/>
  <c r="AC531" i="1"/>
  <c r="AB531" i="1"/>
  <c r="AA531" i="1"/>
  <c r="Y531" i="1"/>
  <c r="R531" i="1"/>
  <c r="AG531" i="1" s="1"/>
  <c r="Q531" i="1"/>
  <c r="AI530" i="1"/>
  <c r="AC530" i="1"/>
  <c r="AB530" i="1"/>
  <c r="AA530" i="1"/>
  <c r="Y530" i="1"/>
  <c r="R530" i="1"/>
  <c r="AG530" i="1" s="1"/>
  <c r="Q530" i="1"/>
  <c r="AI529" i="1"/>
  <c r="AC529" i="1"/>
  <c r="AB529" i="1"/>
  <c r="AA529" i="1"/>
  <c r="Y529" i="1"/>
  <c r="R529" i="1"/>
  <c r="AG529" i="1" s="1"/>
  <c r="Q529" i="1"/>
  <c r="AI528" i="1"/>
  <c r="AC528" i="1"/>
  <c r="AB528" i="1"/>
  <c r="AA528" i="1"/>
  <c r="Y528" i="1"/>
  <c r="R528" i="1"/>
  <c r="AG528" i="1" s="1"/>
  <c r="Q528" i="1"/>
  <c r="AI527" i="1"/>
  <c r="AC527" i="1"/>
  <c r="AB527" i="1"/>
  <c r="AA527" i="1"/>
  <c r="Y527" i="1"/>
  <c r="R527" i="1"/>
  <c r="AG527" i="1" s="1"/>
  <c r="Q527" i="1"/>
  <c r="AI526" i="1"/>
  <c r="AC526" i="1"/>
  <c r="AB526" i="1"/>
  <c r="AA526" i="1"/>
  <c r="Y526" i="1"/>
  <c r="R526" i="1"/>
  <c r="AG526" i="1" s="1"/>
  <c r="Q526" i="1"/>
  <c r="AI525" i="1"/>
  <c r="AC525" i="1"/>
  <c r="AB525" i="1"/>
  <c r="AA525" i="1"/>
  <c r="Y525" i="1"/>
  <c r="R525" i="1"/>
  <c r="AG525" i="1" s="1"/>
  <c r="Q525" i="1"/>
  <c r="AI524" i="1"/>
  <c r="AC524" i="1"/>
  <c r="AB524" i="1"/>
  <c r="AA524" i="1"/>
  <c r="Y524" i="1"/>
  <c r="R524" i="1"/>
  <c r="AG524" i="1" s="1"/>
  <c r="Q524" i="1"/>
  <c r="AI523" i="1"/>
  <c r="AC523" i="1"/>
  <c r="AB523" i="1"/>
  <c r="AA523" i="1"/>
  <c r="Y523" i="1"/>
  <c r="R523" i="1"/>
  <c r="AG523" i="1" s="1"/>
  <c r="Q523" i="1"/>
  <c r="AI522" i="1"/>
  <c r="AC522" i="1"/>
  <c r="AB522" i="1"/>
  <c r="AA522" i="1"/>
  <c r="Y522" i="1"/>
  <c r="R522" i="1"/>
  <c r="AG522" i="1" s="1"/>
  <c r="Q522" i="1"/>
  <c r="AI521" i="1"/>
  <c r="AC521" i="1"/>
  <c r="AB521" i="1"/>
  <c r="AA521" i="1"/>
  <c r="Y521" i="1"/>
  <c r="R521" i="1"/>
  <c r="AG521" i="1" s="1"/>
  <c r="Q521" i="1"/>
  <c r="AI520" i="1"/>
  <c r="AC520" i="1"/>
  <c r="AB520" i="1"/>
  <c r="AA520" i="1"/>
  <c r="Y520" i="1"/>
  <c r="R520" i="1"/>
  <c r="AG520" i="1" s="1"/>
  <c r="Q520" i="1"/>
  <c r="AI519" i="1"/>
  <c r="AC519" i="1"/>
  <c r="AB519" i="1"/>
  <c r="AA519" i="1"/>
  <c r="Y519" i="1"/>
  <c r="R519" i="1"/>
  <c r="AG519" i="1" s="1"/>
  <c r="Q519" i="1"/>
  <c r="AI518" i="1"/>
  <c r="AC518" i="1"/>
  <c r="AB518" i="1"/>
  <c r="AA518" i="1"/>
  <c r="Y518" i="1"/>
  <c r="R518" i="1"/>
  <c r="AG518" i="1" s="1"/>
  <c r="Q518" i="1"/>
  <c r="AI517" i="1"/>
  <c r="AC517" i="1"/>
  <c r="AB517" i="1"/>
  <c r="AA517" i="1"/>
  <c r="Y517" i="1"/>
  <c r="R517" i="1"/>
  <c r="AG517" i="1" s="1"/>
  <c r="Q517" i="1"/>
  <c r="AI516" i="1"/>
  <c r="AC516" i="1"/>
  <c r="AB516" i="1"/>
  <c r="AA516" i="1"/>
  <c r="Y516" i="1"/>
  <c r="R516" i="1"/>
  <c r="AG516" i="1" s="1"/>
  <c r="Q516" i="1"/>
  <c r="AI515" i="1"/>
  <c r="AC515" i="1"/>
  <c r="AB515" i="1"/>
  <c r="AA515" i="1"/>
  <c r="Y515" i="1"/>
  <c r="R515" i="1"/>
  <c r="AG515" i="1" s="1"/>
  <c r="Q515" i="1"/>
  <c r="AI514" i="1"/>
  <c r="AC514" i="1"/>
  <c r="AB514" i="1"/>
  <c r="AA514" i="1"/>
  <c r="Y514" i="1"/>
  <c r="R514" i="1"/>
  <c r="AG514" i="1" s="1"/>
  <c r="Q514" i="1"/>
  <c r="AI513" i="1"/>
  <c r="AC513" i="1"/>
  <c r="AB513" i="1"/>
  <c r="AA513" i="1"/>
  <c r="Y513" i="1"/>
  <c r="R513" i="1"/>
  <c r="AG513" i="1" s="1"/>
  <c r="Q513" i="1"/>
  <c r="AI512" i="1"/>
  <c r="AC512" i="1"/>
  <c r="AB512" i="1"/>
  <c r="AA512" i="1"/>
  <c r="Y512" i="1"/>
  <c r="R512" i="1"/>
  <c r="AG512" i="1" s="1"/>
  <c r="Q512" i="1"/>
  <c r="AI511" i="1"/>
  <c r="AC511" i="1"/>
  <c r="AB511" i="1"/>
  <c r="AA511" i="1"/>
  <c r="Y511" i="1"/>
  <c r="R511" i="1"/>
  <c r="AG511" i="1" s="1"/>
  <c r="Q511" i="1"/>
  <c r="AI510" i="1"/>
  <c r="AC510" i="1"/>
  <c r="AB510" i="1"/>
  <c r="AA510" i="1"/>
  <c r="Y510" i="1"/>
  <c r="R510" i="1"/>
  <c r="AG510" i="1" s="1"/>
  <c r="Q510" i="1"/>
  <c r="AI509" i="1"/>
  <c r="AC509" i="1"/>
  <c r="AB509" i="1"/>
  <c r="AA509" i="1"/>
  <c r="Y509" i="1"/>
  <c r="R509" i="1"/>
  <c r="AG509" i="1" s="1"/>
  <c r="Q509" i="1"/>
  <c r="AI508" i="1"/>
  <c r="AC508" i="1"/>
  <c r="AB508" i="1"/>
  <c r="AA508" i="1"/>
  <c r="Y508" i="1"/>
  <c r="R508" i="1"/>
  <c r="AG508" i="1" s="1"/>
  <c r="Q508" i="1"/>
  <c r="AI507" i="1"/>
  <c r="AC507" i="1"/>
  <c r="AB507" i="1"/>
  <c r="AA507" i="1"/>
  <c r="Y507" i="1"/>
  <c r="R507" i="1"/>
  <c r="AG507" i="1" s="1"/>
  <c r="Q507" i="1"/>
  <c r="AI506" i="1"/>
  <c r="AC506" i="1"/>
  <c r="AB506" i="1"/>
  <c r="AA506" i="1"/>
  <c r="Y506" i="1"/>
  <c r="R506" i="1"/>
  <c r="AG506" i="1" s="1"/>
  <c r="Q506" i="1"/>
  <c r="AI505" i="1"/>
  <c r="AC505" i="1"/>
  <c r="AB505" i="1"/>
  <c r="AA505" i="1"/>
  <c r="Y505" i="1"/>
  <c r="R505" i="1"/>
  <c r="AG505" i="1" s="1"/>
  <c r="Q505" i="1"/>
  <c r="AI504" i="1"/>
  <c r="AC504" i="1"/>
  <c r="AB504" i="1"/>
  <c r="AA504" i="1"/>
  <c r="Y504" i="1"/>
  <c r="R504" i="1"/>
  <c r="AG504" i="1" s="1"/>
  <c r="Q504" i="1"/>
  <c r="AI503" i="1"/>
  <c r="AC503" i="1"/>
  <c r="AB503" i="1"/>
  <c r="AA503" i="1"/>
  <c r="Y503" i="1"/>
  <c r="R503" i="1"/>
  <c r="AG503" i="1" s="1"/>
  <c r="Q503" i="1"/>
  <c r="AI502" i="1"/>
  <c r="AC502" i="1"/>
  <c r="AB502" i="1"/>
  <c r="AA502" i="1"/>
  <c r="Y502" i="1"/>
  <c r="R502" i="1"/>
  <c r="AG502" i="1" s="1"/>
  <c r="Q502" i="1"/>
  <c r="AI501" i="1"/>
  <c r="AC501" i="1"/>
  <c r="AB501" i="1"/>
  <c r="AA501" i="1"/>
  <c r="Y501" i="1"/>
  <c r="R501" i="1"/>
  <c r="AG501" i="1" s="1"/>
  <c r="Q501" i="1"/>
  <c r="AI500" i="1"/>
  <c r="AC500" i="1"/>
  <c r="AB500" i="1"/>
  <c r="AA500" i="1"/>
  <c r="Y500" i="1"/>
  <c r="R500" i="1"/>
  <c r="AG500" i="1" s="1"/>
  <c r="Q500" i="1"/>
  <c r="AI499" i="1"/>
  <c r="AC499" i="1"/>
  <c r="AB499" i="1"/>
  <c r="AA499" i="1"/>
  <c r="Y499" i="1"/>
  <c r="R499" i="1"/>
  <c r="AG499" i="1" s="1"/>
  <c r="Q499" i="1"/>
  <c r="AI498" i="1"/>
  <c r="AC498" i="1"/>
  <c r="AB498" i="1"/>
  <c r="AA498" i="1"/>
  <c r="Y498" i="1"/>
  <c r="R498" i="1"/>
  <c r="AG498" i="1" s="1"/>
  <c r="Q498" i="1"/>
  <c r="AI497" i="1"/>
  <c r="AC497" i="1"/>
  <c r="AB497" i="1"/>
  <c r="AA497" i="1"/>
  <c r="Y497" i="1"/>
  <c r="R497" i="1"/>
  <c r="AG497" i="1" s="1"/>
  <c r="Q497" i="1"/>
  <c r="AI496" i="1"/>
  <c r="AC496" i="1"/>
  <c r="AB496" i="1"/>
  <c r="AA496" i="1"/>
  <c r="Y496" i="1"/>
  <c r="R496" i="1"/>
  <c r="AG496" i="1" s="1"/>
  <c r="Q496" i="1"/>
  <c r="AI495" i="1"/>
  <c r="AC495" i="1"/>
  <c r="AB495" i="1"/>
  <c r="AA495" i="1"/>
  <c r="Y495" i="1"/>
  <c r="R495" i="1"/>
  <c r="AG495" i="1" s="1"/>
  <c r="Q495" i="1"/>
  <c r="AI494" i="1"/>
  <c r="AC494" i="1"/>
  <c r="AB494" i="1"/>
  <c r="AA494" i="1"/>
  <c r="Y494" i="1"/>
  <c r="R494" i="1"/>
  <c r="AG494" i="1" s="1"/>
  <c r="Q494" i="1"/>
  <c r="AI493" i="1"/>
  <c r="AC493" i="1"/>
  <c r="AB493" i="1"/>
  <c r="AA493" i="1"/>
  <c r="Y493" i="1"/>
  <c r="R493" i="1"/>
  <c r="AG493" i="1" s="1"/>
  <c r="Q493" i="1"/>
  <c r="AI492" i="1"/>
  <c r="AC492" i="1"/>
  <c r="AB492" i="1"/>
  <c r="AA492" i="1"/>
  <c r="Y492" i="1"/>
  <c r="R492" i="1"/>
  <c r="AG492" i="1" s="1"/>
  <c r="Q492" i="1"/>
  <c r="AI491" i="1"/>
  <c r="AC491" i="1"/>
  <c r="AB491" i="1"/>
  <c r="AA491" i="1"/>
  <c r="Y491" i="1"/>
  <c r="R491" i="1"/>
  <c r="AG491" i="1" s="1"/>
  <c r="Q491" i="1"/>
  <c r="AI490" i="1"/>
  <c r="AC490" i="1"/>
  <c r="AB490" i="1"/>
  <c r="AA490" i="1"/>
  <c r="Y490" i="1"/>
  <c r="R490" i="1"/>
  <c r="AG490" i="1" s="1"/>
  <c r="Q490" i="1"/>
  <c r="AI489" i="1"/>
  <c r="AC489" i="1"/>
  <c r="AB489" i="1"/>
  <c r="AA489" i="1"/>
  <c r="Y489" i="1"/>
  <c r="R489" i="1"/>
  <c r="AG489" i="1" s="1"/>
  <c r="Q489" i="1"/>
  <c r="AI488" i="1"/>
  <c r="AC488" i="1"/>
  <c r="AB488" i="1"/>
  <c r="AA488" i="1"/>
  <c r="Y488" i="1"/>
  <c r="R488" i="1"/>
  <c r="AG488" i="1" s="1"/>
  <c r="Q488" i="1"/>
  <c r="AI487" i="1"/>
  <c r="AC487" i="1"/>
  <c r="AB487" i="1"/>
  <c r="AA487" i="1"/>
  <c r="Y487" i="1"/>
  <c r="R487" i="1"/>
  <c r="AG487" i="1" s="1"/>
  <c r="Q487" i="1"/>
  <c r="AI486" i="1"/>
  <c r="AC486" i="1"/>
  <c r="AB486" i="1"/>
  <c r="AA486" i="1"/>
  <c r="Y486" i="1"/>
  <c r="X486" i="1"/>
  <c r="W486" i="1" s="1"/>
  <c r="R486" i="1"/>
  <c r="AG486" i="1" s="1"/>
  <c r="Q486" i="1"/>
  <c r="M486" i="1"/>
  <c r="H486" i="1"/>
  <c r="AI485" i="1"/>
  <c r="AC485" i="1"/>
  <c r="AB485" i="1"/>
  <c r="AA485" i="1"/>
  <c r="Y485" i="1"/>
  <c r="R485" i="1"/>
  <c r="AG485" i="1" s="1"/>
  <c r="Q485" i="1"/>
  <c r="AI484" i="1"/>
  <c r="AC484" i="1"/>
  <c r="AB484" i="1"/>
  <c r="AA484" i="1"/>
  <c r="Y484" i="1"/>
  <c r="R484" i="1"/>
  <c r="AG484" i="1" s="1"/>
  <c r="Q484" i="1"/>
  <c r="AI483" i="1"/>
  <c r="AC483" i="1"/>
  <c r="AB483" i="1"/>
  <c r="AA483" i="1"/>
  <c r="Y483" i="1"/>
  <c r="R483" i="1"/>
  <c r="AG483" i="1" s="1"/>
  <c r="Q483" i="1"/>
  <c r="AI482" i="1"/>
  <c r="AC482" i="1"/>
  <c r="AB482" i="1"/>
  <c r="AA482" i="1"/>
  <c r="Y482" i="1"/>
  <c r="R482" i="1"/>
  <c r="AG482" i="1" s="1"/>
  <c r="Q482" i="1"/>
  <c r="AI481" i="1"/>
  <c r="AC481" i="1"/>
  <c r="AB481" i="1"/>
  <c r="AA481" i="1"/>
  <c r="Y481" i="1"/>
  <c r="R481" i="1"/>
  <c r="AG481" i="1" s="1"/>
  <c r="Q481" i="1"/>
  <c r="AI480" i="1"/>
  <c r="AC480" i="1"/>
  <c r="AB480" i="1"/>
  <c r="AA480" i="1"/>
  <c r="Y480" i="1"/>
  <c r="R480" i="1"/>
  <c r="AG480" i="1" s="1"/>
  <c r="Q480" i="1"/>
  <c r="AI479" i="1"/>
  <c r="AC479" i="1"/>
  <c r="AB479" i="1"/>
  <c r="AA479" i="1"/>
  <c r="Y479" i="1"/>
  <c r="R479" i="1"/>
  <c r="AG479" i="1" s="1"/>
  <c r="Q479" i="1"/>
  <c r="AI478" i="1"/>
  <c r="AC478" i="1"/>
  <c r="AB478" i="1"/>
  <c r="AA478" i="1"/>
  <c r="Y478" i="1"/>
  <c r="R478" i="1"/>
  <c r="AG478" i="1" s="1"/>
  <c r="Q478" i="1"/>
  <c r="AI477" i="1"/>
  <c r="AC477" i="1"/>
  <c r="AB477" i="1"/>
  <c r="AA477" i="1"/>
  <c r="Y477" i="1"/>
  <c r="R477" i="1"/>
  <c r="AG477" i="1" s="1"/>
  <c r="Q477" i="1"/>
  <c r="AI476" i="1"/>
  <c r="AC476" i="1"/>
  <c r="AB476" i="1"/>
  <c r="AA476" i="1"/>
  <c r="Y476" i="1"/>
  <c r="R476" i="1"/>
  <c r="AG476" i="1" s="1"/>
  <c r="Q476" i="1"/>
  <c r="AI475" i="1"/>
  <c r="AC475" i="1"/>
  <c r="AB475" i="1"/>
  <c r="AA475" i="1"/>
  <c r="Y475" i="1"/>
  <c r="R475" i="1"/>
  <c r="AG475" i="1" s="1"/>
  <c r="Q475" i="1"/>
  <c r="AI474" i="1"/>
  <c r="AC474" i="1"/>
  <c r="AB474" i="1"/>
  <c r="AA474" i="1"/>
  <c r="Y474" i="1"/>
  <c r="R474" i="1"/>
  <c r="AG474" i="1" s="1"/>
  <c r="Q474" i="1"/>
  <c r="AI473" i="1"/>
  <c r="AC473" i="1"/>
  <c r="AB473" i="1"/>
  <c r="AA473" i="1"/>
  <c r="Y473" i="1"/>
  <c r="R473" i="1"/>
  <c r="AG473" i="1" s="1"/>
  <c r="Q473" i="1"/>
  <c r="AI472" i="1"/>
  <c r="AC472" i="1"/>
  <c r="AB472" i="1"/>
  <c r="AA472" i="1"/>
  <c r="Y472" i="1"/>
  <c r="R472" i="1"/>
  <c r="AG472" i="1" s="1"/>
  <c r="Q472" i="1"/>
  <c r="AI471" i="1"/>
  <c r="AC471" i="1"/>
  <c r="AB471" i="1"/>
  <c r="AA471" i="1"/>
  <c r="Y471" i="1"/>
  <c r="R471" i="1"/>
  <c r="AG471" i="1" s="1"/>
  <c r="Q471" i="1"/>
  <c r="AI470" i="1"/>
  <c r="AC470" i="1"/>
  <c r="AB470" i="1"/>
  <c r="AA470" i="1"/>
  <c r="Y470" i="1"/>
  <c r="R470" i="1"/>
  <c r="AG470" i="1" s="1"/>
  <c r="Q470" i="1"/>
  <c r="AI469" i="1"/>
  <c r="AC469" i="1"/>
  <c r="AB469" i="1"/>
  <c r="AA469" i="1"/>
  <c r="Y469" i="1"/>
  <c r="R469" i="1"/>
  <c r="AG469" i="1" s="1"/>
  <c r="Q469" i="1"/>
  <c r="AI468" i="1"/>
  <c r="AC468" i="1"/>
  <c r="AB468" i="1"/>
  <c r="AA468" i="1"/>
  <c r="Y468" i="1"/>
  <c r="R468" i="1"/>
  <c r="AG468" i="1" s="1"/>
  <c r="Q468" i="1"/>
  <c r="AI467" i="1"/>
  <c r="AC467" i="1"/>
  <c r="AB467" i="1"/>
  <c r="AA467" i="1"/>
  <c r="Y467" i="1"/>
  <c r="R467" i="1"/>
  <c r="AG467" i="1" s="1"/>
  <c r="Q467" i="1"/>
  <c r="AI466" i="1"/>
  <c r="AC466" i="1"/>
  <c r="AB466" i="1"/>
  <c r="AA466" i="1"/>
  <c r="Y466" i="1"/>
  <c r="R466" i="1"/>
  <c r="AG466" i="1" s="1"/>
  <c r="Q466" i="1"/>
  <c r="AI465" i="1"/>
  <c r="AC465" i="1"/>
  <c r="AB465" i="1"/>
  <c r="AA465" i="1"/>
  <c r="Y465" i="1"/>
  <c r="R465" i="1"/>
  <c r="AG465" i="1" s="1"/>
  <c r="Q465" i="1"/>
  <c r="AI464" i="1"/>
  <c r="AC464" i="1"/>
  <c r="AB464" i="1"/>
  <c r="AA464" i="1"/>
  <c r="Y464" i="1"/>
  <c r="R464" i="1"/>
  <c r="AG464" i="1" s="1"/>
  <c r="Q464" i="1"/>
  <c r="AI463" i="1"/>
  <c r="AC463" i="1"/>
  <c r="AB463" i="1"/>
  <c r="AA463" i="1"/>
  <c r="Y463" i="1"/>
  <c r="R463" i="1"/>
  <c r="AG463" i="1" s="1"/>
  <c r="Q463" i="1"/>
  <c r="AI462" i="1"/>
  <c r="AC462" i="1"/>
  <c r="AB462" i="1"/>
  <c r="AA462" i="1"/>
  <c r="Y462" i="1"/>
  <c r="R462" i="1"/>
  <c r="AG462" i="1" s="1"/>
  <c r="Q462" i="1"/>
  <c r="AI461" i="1"/>
  <c r="AC461" i="1"/>
  <c r="AB461" i="1"/>
  <c r="AA461" i="1"/>
  <c r="Y461" i="1"/>
  <c r="R461" i="1"/>
  <c r="AG461" i="1" s="1"/>
  <c r="Q461" i="1"/>
  <c r="AI460" i="1"/>
  <c r="AC460" i="1"/>
  <c r="AB460" i="1"/>
  <c r="AA460" i="1"/>
  <c r="Y460" i="1"/>
  <c r="R460" i="1"/>
  <c r="AG460" i="1" s="1"/>
  <c r="Q460" i="1"/>
  <c r="AI459" i="1"/>
  <c r="AC459" i="1"/>
  <c r="AB459" i="1"/>
  <c r="AA459" i="1"/>
  <c r="Y459" i="1"/>
  <c r="R459" i="1"/>
  <c r="AG459" i="1" s="1"/>
  <c r="Q459" i="1"/>
  <c r="AI458" i="1"/>
  <c r="AC458" i="1"/>
  <c r="AB458" i="1"/>
  <c r="AA458" i="1"/>
  <c r="Y458" i="1"/>
  <c r="R458" i="1"/>
  <c r="AG458" i="1" s="1"/>
  <c r="Q458" i="1"/>
  <c r="AI457" i="1"/>
  <c r="AC457" i="1"/>
  <c r="AB457" i="1"/>
  <c r="AA457" i="1"/>
  <c r="Y457" i="1"/>
  <c r="R457" i="1"/>
  <c r="AG457" i="1" s="1"/>
  <c r="Q457" i="1"/>
  <c r="AI456" i="1"/>
  <c r="AC456" i="1"/>
  <c r="AB456" i="1"/>
  <c r="AA456" i="1"/>
  <c r="Y456" i="1"/>
  <c r="R456" i="1"/>
  <c r="AG456" i="1" s="1"/>
  <c r="Q456" i="1"/>
  <c r="AI455" i="1"/>
  <c r="AC455" i="1"/>
  <c r="AB455" i="1"/>
  <c r="AA455" i="1"/>
  <c r="Y455" i="1"/>
  <c r="R455" i="1"/>
  <c r="AG455" i="1" s="1"/>
  <c r="Q455" i="1"/>
  <c r="AI454" i="1"/>
  <c r="AC454" i="1"/>
  <c r="AB454" i="1"/>
  <c r="AA454" i="1"/>
  <c r="Y454" i="1"/>
  <c r="R454" i="1"/>
  <c r="AG454" i="1" s="1"/>
  <c r="Q454" i="1"/>
  <c r="AI453" i="1"/>
  <c r="AC453" i="1"/>
  <c r="AB453" i="1"/>
  <c r="AA453" i="1"/>
  <c r="Y453" i="1"/>
  <c r="R453" i="1"/>
  <c r="AG453" i="1" s="1"/>
  <c r="Q453" i="1"/>
  <c r="AI452" i="1"/>
  <c r="AC452" i="1"/>
  <c r="AB452" i="1"/>
  <c r="AA452" i="1"/>
  <c r="Y452" i="1"/>
  <c r="R452" i="1"/>
  <c r="AG452" i="1" s="1"/>
  <c r="Q452" i="1"/>
  <c r="AI451" i="1"/>
  <c r="AC451" i="1"/>
  <c r="AB451" i="1"/>
  <c r="AA451" i="1"/>
  <c r="Y451" i="1"/>
  <c r="R451" i="1"/>
  <c r="AG451" i="1" s="1"/>
  <c r="Q451" i="1"/>
  <c r="AI450" i="1"/>
  <c r="AC450" i="1"/>
  <c r="AB450" i="1"/>
  <c r="AA450" i="1"/>
  <c r="Y450" i="1"/>
  <c r="R450" i="1"/>
  <c r="AG450" i="1" s="1"/>
  <c r="Q450" i="1"/>
  <c r="AI449" i="1"/>
  <c r="AC449" i="1"/>
  <c r="AB449" i="1"/>
  <c r="AA449" i="1"/>
  <c r="Y449" i="1"/>
  <c r="R449" i="1"/>
  <c r="AG449" i="1" s="1"/>
  <c r="Q449" i="1"/>
  <c r="AI448" i="1"/>
  <c r="AC448" i="1"/>
  <c r="AB448" i="1"/>
  <c r="AA448" i="1"/>
  <c r="Y448" i="1"/>
  <c r="R448" i="1"/>
  <c r="AG448" i="1" s="1"/>
  <c r="Q448" i="1"/>
  <c r="AI447" i="1"/>
  <c r="AC447" i="1"/>
  <c r="AB447" i="1"/>
  <c r="AA447" i="1"/>
  <c r="Y447" i="1"/>
  <c r="R447" i="1"/>
  <c r="AG447" i="1" s="1"/>
  <c r="Q447" i="1"/>
  <c r="AI446" i="1"/>
  <c r="AC446" i="1"/>
  <c r="AB446" i="1"/>
  <c r="AA446" i="1"/>
  <c r="Y446" i="1"/>
  <c r="R446" i="1"/>
  <c r="AG446" i="1" s="1"/>
  <c r="Q446" i="1"/>
  <c r="AI445" i="1"/>
  <c r="AC445" i="1"/>
  <c r="AB445" i="1"/>
  <c r="AA445" i="1"/>
  <c r="Y445" i="1"/>
  <c r="R445" i="1"/>
  <c r="AG445" i="1" s="1"/>
  <c r="Q445" i="1"/>
  <c r="AI444" i="1"/>
  <c r="AC444" i="1"/>
  <c r="AB444" i="1"/>
  <c r="AA444" i="1"/>
  <c r="Y444" i="1"/>
  <c r="R444" i="1"/>
  <c r="AG444" i="1" s="1"/>
  <c r="Q444" i="1"/>
  <c r="AI443" i="1"/>
  <c r="AC443" i="1"/>
  <c r="AB443" i="1"/>
  <c r="AA443" i="1"/>
  <c r="Y443" i="1"/>
  <c r="R443" i="1"/>
  <c r="AG443" i="1" s="1"/>
  <c r="Q443" i="1"/>
  <c r="AI442" i="1"/>
  <c r="AC442" i="1"/>
  <c r="AB442" i="1"/>
  <c r="AA442" i="1"/>
  <c r="Y442" i="1"/>
  <c r="R442" i="1"/>
  <c r="AG442" i="1" s="1"/>
  <c r="Q442" i="1"/>
  <c r="AI441" i="1"/>
  <c r="AC441" i="1"/>
  <c r="AB441" i="1"/>
  <c r="AA441" i="1"/>
  <c r="Y441" i="1"/>
  <c r="R441" i="1"/>
  <c r="AG441" i="1" s="1"/>
  <c r="Q441" i="1"/>
  <c r="AI440" i="1"/>
  <c r="AC440" i="1"/>
  <c r="AB440" i="1"/>
  <c r="AA440" i="1"/>
  <c r="Y440" i="1"/>
  <c r="R440" i="1"/>
  <c r="AG440" i="1" s="1"/>
  <c r="Q440" i="1"/>
  <c r="AI439" i="1"/>
  <c r="AC439" i="1"/>
  <c r="AB439" i="1"/>
  <c r="AA439" i="1"/>
  <c r="Y439" i="1"/>
  <c r="R439" i="1"/>
  <c r="AG439" i="1" s="1"/>
  <c r="Q439" i="1"/>
  <c r="AI438" i="1"/>
  <c r="AC438" i="1"/>
  <c r="AB438" i="1"/>
  <c r="AA438" i="1"/>
  <c r="Y438" i="1"/>
  <c r="R438" i="1"/>
  <c r="AG438" i="1" s="1"/>
  <c r="Q438" i="1"/>
  <c r="AI437" i="1"/>
  <c r="AC437" i="1"/>
  <c r="AB437" i="1"/>
  <c r="AA437" i="1"/>
  <c r="Y437" i="1"/>
  <c r="R437" i="1"/>
  <c r="AG437" i="1" s="1"/>
  <c r="Q437" i="1"/>
  <c r="AI436" i="1"/>
  <c r="AC436" i="1"/>
  <c r="AB436" i="1"/>
  <c r="AA436" i="1"/>
  <c r="Y436" i="1"/>
  <c r="R436" i="1"/>
  <c r="AG436" i="1" s="1"/>
  <c r="Q436" i="1"/>
  <c r="AI435" i="1"/>
  <c r="AC435" i="1"/>
  <c r="AB435" i="1"/>
  <c r="AA435" i="1"/>
  <c r="Y435" i="1"/>
  <c r="R435" i="1"/>
  <c r="AG435" i="1" s="1"/>
  <c r="Q435" i="1"/>
  <c r="AI434" i="1"/>
  <c r="AC434" i="1"/>
  <c r="AB434" i="1"/>
  <c r="AA434" i="1"/>
  <c r="Y434" i="1"/>
  <c r="R434" i="1"/>
  <c r="AG434" i="1" s="1"/>
  <c r="Q434" i="1"/>
  <c r="AI433" i="1"/>
  <c r="AC433" i="1"/>
  <c r="AB433" i="1"/>
  <c r="AA433" i="1"/>
  <c r="Y433" i="1"/>
  <c r="R433" i="1"/>
  <c r="AG433" i="1" s="1"/>
  <c r="Q433" i="1"/>
  <c r="AI432" i="1"/>
  <c r="AC432" i="1"/>
  <c r="AB432" i="1"/>
  <c r="AA432" i="1"/>
  <c r="Y432" i="1"/>
  <c r="R432" i="1"/>
  <c r="AG432" i="1" s="1"/>
  <c r="Q432" i="1"/>
  <c r="AI431" i="1"/>
  <c r="AC431" i="1"/>
  <c r="AB431" i="1"/>
  <c r="AA431" i="1"/>
  <c r="Y431" i="1"/>
  <c r="R431" i="1"/>
  <c r="AG431" i="1" s="1"/>
  <c r="Q431" i="1"/>
  <c r="AI430" i="1"/>
  <c r="AC430" i="1"/>
  <c r="AB430" i="1"/>
  <c r="AA430" i="1"/>
  <c r="Y430" i="1"/>
  <c r="R430" i="1"/>
  <c r="AG430" i="1" s="1"/>
  <c r="Q430" i="1"/>
  <c r="AI429" i="1"/>
  <c r="AC429" i="1"/>
  <c r="AB429" i="1"/>
  <c r="AA429" i="1"/>
  <c r="Y429" i="1"/>
  <c r="R429" i="1"/>
  <c r="AG429" i="1" s="1"/>
  <c r="Q429" i="1"/>
  <c r="AI428" i="1"/>
  <c r="AC428" i="1"/>
  <c r="AB428" i="1"/>
  <c r="AA428" i="1"/>
  <c r="Y428" i="1"/>
  <c r="R428" i="1"/>
  <c r="AG428" i="1" s="1"/>
  <c r="Q428" i="1"/>
  <c r="AI427" i="1"/>
  <c r="AC427" i="1"/>
  <c r="AB427" i="1"/>
  <c r="AA427" i="1"/>
  <c r="Y427" i="1"/>
  <c r="R427" i="1"/>
  <c r="AG427" i="1" s="1"/>
  <c r="Q427" i="1"/>
  <c r="AI426" i="1"/>
  <c r="AC426" i="1"/>
  <c r="AB426" i="1"/>
  <c r="AA426" i="1"/>
  <c r="Y426" i="1"/>
  <c r="R426" i="1"/>
  <c r="AG426" i="1" s="1"/>
  <c r="Q426" i="1"/>
  <c r="AI425" i="1"/>
  <c r="AC425" i="1"/>
  <c r="AB425" i="1"/>
  <c r="AA425" i="1"/>
  <c r="Y425" i="1"/>
  <c r="R425" i="1"/>
  <c r="AG425" i="1" s="1"/>
  <c r="Q425" i="1"/>
  <c r="AI424" i="1"/>
  <c r="AC424" i="1"/>
  <c r="AB424" i="1"/>
  <c r="AA424" i="1"/>
  <c r="Y424" i="1"/>
  <c r="R424" i="1"/>
  <c r="AG424" i="1" s="1"/>
  <c r="Q424" i="1"/>
  <c r="AI423" i="1"/>
  <c r="AC423" i="1"/>
  <c r="AB423" i="1"/>
  <c r="AA423" i="1"/>
  <c r="Y423" i="1"/>
  <c r="R423" i="1"/>
  <c r="AG423" i="1" s="1"/>
  <c r="Q423" i="1"/>
  <c r="AI422" i="1"/>
  <c r="AC422" i="1"/>
  <c r="AB422" i="1"/>
  <c r="AA422" i="1"/>
  <c r="Y422" i="1"/>
  <c r="R422" i="1"/>
  <c r="AG422" i="1" s="1"/>
  <c r="Q422" i="1"/>
  <c r="AI421" i="1"/>
  <c r="AC421" i="1"/>
  <c r="AB421" i="1"/>
  <c r="AA421" i="1"/>
  <c r="Y421" i="1"/>
  <c r="R421" i="1"/>
  <c r="AG421" i="1" s="1"/>
  <c r="Q421" i="1"/>
  <c r="AI420" i="1"/>
  <c r="AC420" i="1"/>
  <c r="AB420" i="1"/>
  <c r="AA420" i="1"/>
  <c r="Y420" i="1"/>
  <c r="R420" i="1"/>
  <c r="AG420" i="1" s="1"/>
  <c r="Q420" i="1"/>
  <c r="AI419" i="1"/>
  <c r="AC419" i="1"/>
  <c r="AB419" i="1"/>
  <c r="AA419" i="1"/>
  <c r="Y419" i="1"/>
  <c r="R419" i="1"/>
  <c r="AG419" i="1" s="1"/>
  <c r="Q419" i="1"/>
  <c r="AI418" i="1"/>
  <c r="AC418" i="1"/>
  <c r="AB418" i="1"/>
  <c r="AA418" i="1"/>
  <c r="Y418" i="1"/>
  <c r="R418" i="1"/>
  <c r="AG418" i="1" s="1"/>
  <c r="Q418" i="1"/>
  <c r="AI417" i="1"/>
  <c r="AC417" i="1"/>
  <c r="AB417" i="1"/>
  <c r="AA417" i="1"/>
  <c r="Y417" i="1"/>
  <c r="R417" i="1"/>
  <c r="AG417" i="1" s="1"/>
  <c r="Q417" i="1"/>
  <c r="AI416" i="1"/>
  <c r="AC416" i="1"/>
  <c r="AB416" i="1"/>
  <c r="AA416" i="1"/>
  <c r="Y416" i="1"/>
  <c r="R416" i="1"/>
  <c r="AG416" i="1" s="1"/>
  <c r="Q416" i="1"/>
  <c r="AI415" i="1"/>
  <c r="AC415" i="1"/>
  <c r="AB415" i="1"/>
  <c r="AA415" i="1"/>
  <c r="Y415" i="1"/>
  <c r="R415" i="1"/>
  <c r="AG415" i="1" s="1"/>
  <c r="Q415" i="1"/>
  <c r="AI414" i="1"/>
  <c r="AC414" i="1"/>
  <c r="AB414" i="1"/>
  <c r="AA414" i="1"/>
  <c r="Y414" i="1"/>
  <c r="R414" i="1"/>
  <c r="AG414" i="1" s="1"/>
  <c r="Q414" i="1"/>
  <c r="AI413" i="1"/>
  <c r="AC413" i="1"/>
  <c r="AB413" i="1"/>
  <c r="AA413" i="1"/>
  <c r="Y413" i="1"/>
  <c r="R413" i="1"/>
  <c r="AG413" i="1" s="1"/>
  <c r="Q413" i="1"/>
  <c r="AI412" i="1"/>
  <c r="AC412" i="1"/>
  <c r="AB412" i="1"/>
  <c r="AA412" i="1"/>
  <c r="Y412" i="1"/>
  <c r="R412" i="1"/>
  <c r="AG412" i="1" s="1"/>
  <c r="Q412" i="1"/>
  <c r="AI411" i="1"/>
  <c r="AC411" i="1"/>
  <c r="AB411" i="1"/>
  <c r="AA411" i="1"/>
  <c r="Y411" i="1"/>
  <c r="R411" i="1"/>
  <c r="AG411" i="1" s="1"/>
  <c r="Q411" i="1"/>
  <c r="AI410" i="1"/>
  <c r="AC410" i="1"/>
  <c r="AB410" i="1"/>
  <c r="AA410" i="1"/>
  <c r="Y410" i="1"/>
  <c r="R410" i="1"/>
  <c r="AG410" i="1" s="1"/>
  <c r="Q410" i="1"/>
  <c r="AI409" i="1"/>
  <c r="AC409" i="1"/>
  <c r="AB409" i="1"/>
  <c r="AA409" i="1"/>
  <c r="Y409" i="1"/>
  <c r="R409" i="1"/>
  <c r="AG409" i="1" s="1"/>
  <c r="Q409" i="1"/>
  <c r="AI408" i="1"/>
  <c r="AC408" i="1"/>
  <c r="AB408" i="1"/>
  <c r="AA408" i="1"/>
  <c r="Y408" i="1"/>
  <c r="R408" i="1"/>
  <c r="AG408" i="1" s="1"/>
  <c r="Q408" i="1"/>
  <c r="AI407" i="1"/>
  <c r="AC407" i="1"/>
  <c r="AB407" i="1"/>
  <c r="AA407" i="1"/>
  <c r="Y407" i="1"/>
  <c r="R407" i="1"/>
  <c r="AG407" i="1" s="1"/>
  <c r="Q407" i="1"/>
  <c r="AI406" i="1"/>
  <c r="AC406" i="1"/>
  <c r="AB406" i="1"/>
  <c r="AA406" i="1"/>
  <c r="Y406" i="1"/>
  <c r="R406" i="1"/>
  <c r="AG406" i="1" s="1"/>
  <c r="Q406" i="1"/>
  <c r="AI405" i="1"/>
  <c r="AC405" i="1"/>
  <c r="AB405" i="1"/>
  <c r="AA405" i="1"/>
  <c r="Y405" i="1"/>
  <c r="R405" i="1"/>
  <c r="AG405" i="1" s="1"/>
  <c r="Q405" i="1"/>
  <c r="AI404" i="1"/>
  <c r="AC404" i="1"/>
  <c r="AB404" i="1"/>
  <c r="AA404" i="1"/>
  <c r="Y404" i="1"/>
  <c r="R404" i="1"/>
  <c r="AG404" i="1" s="1"/>
  <c r="Q404" i="1"/>
  <c r="AI403" i="1"/>
  <c r="AC403" i="1"/>
  <c r="AB403" i="1"/>
  <c r="AA403" i="1"/>
  <c r="Y403" i="1"/>
  <c r="R403" i="1"/>
  <c r="AG403" i="1" s="1"/>
  <c r="Q403" i="1"/>
  <c r="AI402" i="1"/>
  <c r="AC402" i="1"/>
  <c r="AB402" i="1"/>
  <c r="AA402" i="1"/>
  <c r="Y402" i="1"/>
  <c r="R402" i="1"/>
  <c r="AG402" i="1" s="1"/>
  <c r="Q402" i="1"/>
  <c r="AI401" i="1"/>
  <c r="AC401" i="1"/>
  <c r="AB401" i="1"/>
  <c r="AA401" i="1"/>
  <c r="Y401" i="1"/>
  <c r="R401" i="1"/>
  <c r="AG401" i="1" s="1"/>
  <c r="Q401" i="1"/>
  <c r="AI400" i="1"/>
  <c r="AC400" i="1"/>
  <c r="AB400" i="1"/>
  <c r="AA400" i="1"/>
  <c r="Y400" i="1"/>
  <c r="R400" i="1"/>
  <c r="AG400" i="1" s="1"/>
  <c r="Q400" i="1"/>
  <c r="AI399" i="1"/>
  <c r="AC399" i="1"/>
  <c r="AB399" i="1"/>
  <c r="AA399" i="1"/>
  <c r="Y399" i="1"/>
  <c r="R399" i="1"/>
  <c r="AG399" i="1" s="1"/>
  <c r="Q399" i="1"/>
  <c r="AI398" i="1"/>
  <c r="AC398" i="1"/>
  <c r="AB398" i="1"/>
  <c r="AA398" i="1"/>
  <c r="Y398" i="1"/>
  <c r="R398" i="1"/>
  <c r="AG398" i="1" s="1"/>
  <c r="Q398" i="1"/>
  <c r="AI397" i="1"/>
  <c r="AC397" i="1"/>
  <c r="AB397" i="1"/>
  <c r="AA397" i="1"/>
  <c r="Y397" i="1"/>
  <c r="R397" i="1"/>
  <c r="AG397" i="1" s="1"/>
  <c r="Q397" i="1"/>
  <c r="AI396" i="1"/>
  <c r="AC396" i="1"/>
  <c r="AB396" i="1"/>
  <c r="AA396" i="1"/>
  <c r="Y396" i="1"/>
  <c r="R396" i="1"/>
  <c r="AG396" i="1" s="1"/>
  <c r="Q396" i="1"/>
  <c r="AI395" i="1"/>
  <c r="AC395" i="1"/>
  <c r="AB395" i="1"/>
  <c r="AA395" i="1"/>
  <c r="Y395" i="1"/>
  <c r="R395" i="1"/>
  <c r="AG395" i="1" s="1"/>
  <c r="Q395" i="1"/>
  <c r="AI394" i="1"/>
  <c r="AC394" i="1"/>
  <c r="AB394" i="1"/>
  <c r="AA394" i="1"/>
  <c r="Y394" i="1"/>
  <c r="R394" i="1"/>
  <c r="AG394" i="1" s="1"/>
  <c r="Q394" i="1"/>
  <c r="AI393" i="1"/>
  <c r="AC393" i="1"/>
  <c r="AB393" i="1"/>
  <c r="AA393" i="1"/>
  <c r="Y393" i="1"/>
  <c r="R393" i="1"/>
  <c r="AG393" i="1" s="1"/>
  <c r="Q393" i="1"/>
  <c r="AI392" i="1"/>
  <c r="AC392" i="1"/>
  <c r="AB392" i="1"/>
  <c r="AA392" i="1"/>
  <c r="Y392" i="1"/>
  <c r="R392" i="1"/>
  <c r="AG392" i="1" s="1"/>
  <c r="Q392" i="1"/>
  <c r="AI391" i="1"/>
  <c r="AC391" i="1"/>
  <c r="AB391" i="1"/>
  <c r="AA391" i="1"/>
  <c r="Y391" i="1"/>
  <c r="R391" i="1"/>
  <c r="AG391" i="1" s="1"/>
  <c r="Q391" i="1"/>
  <c r="AI390" i="1"/>
  <c r="AC390" i="1"/>
  <c r="AB390" i="1"/>
  <c r="AA390" i="1"/>
  <c r="Y390" i="1"/>
  <c r="R390" i="1"/>
  <c r="AG390" i="1" s="1"/>
  <c r="Q390" i="1"/>
  <c r="AI389" i="1"/>
  <c r="AC389" i="1"/>
  <c r="AB389" i="1"/>
  <c r="AA389" i="1"/>
  <c r="Y389" i="1"/>
  <c r="R389" i="1"/>
  <c r="AG389" i="1" s="1"/>
  <c r="Q389" i="1"/>
  <c r="AI388" i="1"/>
  <c r="AC388" i="1"/>
  <c r="AB388" i="1"/>
  <c r="AA388" i="1"/>
  <c r="Y388" i="1"/>
  <c r="R388" i="1"/>
  <c r="AG388" i="1" s="1"/>
  <c r="Q388" i="1"/>
  <c r="AI387" i="1"/>
  <c r="AC387" i="1"/>
  <c r="AB387" i="1"/>
  <c r="AA387" i="1"/>
  <c r="Y387" i="1"/>
  <c r="R387" i="1"/>
  <c r="AG387" i="1" s="1"/>
  <c r="Q387" i="1"/>
  <c r="AI386" i="1"/>
  <c r="AC386" i="1"/>
  <c r="AB386" i="1"/>
  <c r="AA386" i="1"/>
  <c r="Y386" i="1"/>
  <c r="R386" i="1"/>
  <c r="AG386" i="1" s="1"/>
  <c r="Q386" i="1"/>
  <c r="AI385" i="1"/>
  <c r="AC385" i="1"/>
  <c r="AB385" i="1"/>
  <c r="AA385" i="1"/>
  <c r="Y385" i="1"/>
  <c r="R385" i="1"/>
  <c r="AG385" i="1" s="1"/>
  <c r="Q385" i="1"/>
  <c r="AI384" i="1"/>
  <c r="AC384" i="1"/>
  <c r="AB384" i="1"/>
  <c r="AA384" i="1"/>
  <c r="Y384" i="1"/>
  <c r="R384" i="1"/>
  <c r="AG384" i="1" s="1"/>
  <c r="Q384" i="1"/>
  <c r="AI383" i="1"/>
  <c r="AC383" i="1"/>
  <c r="AB383" i="1"/>
  <c r="AA383" i="1"/>
  <c r="Y383" i="1"/>
  <c r="R383" i="1"/>
  <c r="AG383" i="1" s="1"/>
  <c r="Q383" i="1"/>
  <c r="AI382" i="1"/>
  <c r="AC382" i="1"/>
  <c r="AB382" i="1"/>
  <c r="AA382" i="1"/>
  <c r="Y382" i="1"/>
  <c r="R382" i="1"/>
  <c r="AG382" i="1" s="1"/>
  <c r="Q382" i="1"/>
  <c r="AI381" i="1"/>
  <c r="AC381" i="1"/>
  <c r="AB381" i="1"/>
  <c r="AA381" i="1"/>
  <c r="Y381" i="1"/>
  <c r="R381" i="1"/>
  <c r="AG381" i="1" s="1"/>
  <c r="Q381" i="1"/>
  <c r="AI380" i="1"/>
  <c r="AC380" i="1"/>
  <c r="AB380" i="1"/>
  <c r="AA380" i="1"/>
  <c r="Y380" i="1"/>
  <c r="R380" i="1"/>
  <c r="AG380" i="1" s="1"/>
  <c r="Q380" i="1"/>
  <c r="AI379" i="1"/>
  <c r="AC379" i="1"/>
  <c r="AB379" i="1"/>
  <c r="AA379" i="1"/>
  <c r="Y379" i="1"/>
  <c r="R379" i="1"/>
  <c r="AG379" i="1" s="1"/>
  <c r="Q379" i="1"/>
  <c r="AI378" i="1"/>
  <c r="AC378" i="1"/>
  <c r="AB378" i="1"/>
  <c r="AA378" i="1"/>
  <c r="Y378" i="1"/>
  <c r="R378" i="1"/>
  <c r="AG378" i="1" s="1"/>
  <c r="Q378" i="1"/>
  <c r="AI377" i="1"/>
  <c r="AC377" i="1"/>
  <c r="AB377" i="1"/>
  <c r="AA377" i="1"/>
  <c r="Y377" i="1"/>
  <c r="R377" i="1"/>
  <c r="AG377" i="1" s="1"/>
  <c r="Q377" i="1"/>
  <c r="AI376" i="1"/>
  <c r="AC376" i="1"/>
  <c r="AB376" i="1"/>
  <c r="AA376" i="1"/>
  <c r="Y376" i="1"/>
  <c r="R376" i="1"/>
  <c r="AG376" i="1" s="1"/>
  <c r="Q376" i="1"/>
  <c r="AI375" i="1"/>
  <c r="AC375" i="1"/>
  <c r="AB375" i="1"/>
  <c r="AA375" i="1"/>
  <c r="Y375" i="1"/>
  <c r="R375" i="1"/>
  <c r="AG375" i="1" s="1"/>
  <c r="Q375" i="1"/>
  <c r="AI374" i="1"/>
  <c r="AC374" i="1"/>
  <c r="AB374" i="1"/>
  <c r="AA374" i="1"/>
  <c r="Y374" i="1"/>
  <c r="R374" i="1"/>
  <c r="AG374" i="1" s="1"/>
  <c r="Q374" i="1"/>
  <c r="AI373" i="1"/>
  <c r="AC373" i="1"/>
  <c r="AB373" i="1"/>
  <c r="AA373" i="1"/>
  <c r="Y373" i="1"/>
  <c r="R373" i="1"/>
  <c r="AG373" i="1" s="1"/>
  <c r="Q373" i="1"/>
  <c r="AI372" i="1"/>
  <c r="AC372" i="1"/>
  <c r="AB372" i="1"/>
  <c r="AA372" i="1"/>
  <c r="Y372" i="1"/>
  <c r="R372" i="1"/>
  <c r="AG372" i="1" s="1"/>
  <c r="Q372" i="1"/>
  <c r="AI371" i="1"/>
  <c r="AC371" i="1"/>
  <c r="AB371" i="1"/>
  <c r="AA371" i="1"/>
  <c r="Y371" i="1"/>
  <c r="R371" i="1"/>
  <c r="AG371" i="1" s="1"/>
  <c r="Q371" i="1"/>
  <c r="AI370" i="1"/>
  <c r="AC370" i="1"/>
  <c r="AB370" i="1"/>
  <c r="AA370" i="1"/>
  <c r="Y370" i="1"/>
  <c r="R370" i="1"/>
  <c r="AG370" i="1" s="1"/>
  <c r="Q370" i="1"/>
  <c r="AI369" i="1"/>
  <c r="AC369" i="1"/>
  <c r="AB369" i="1"/>
  <c r="AA369" i="1"/>
  <c r="Y369" i="1"/>
  <c r="R369" i="1"/>
  <c r="AG369" i="1" s="1"/>
  <c r="Q369" i="1"/>
  <c r="AI368" i="1"/>
  <c r="AC368" i="1"/>
  <c r="AB368" i="1"/>
  <c r="AA368" i="1"/>
  <c r="Y368" i="1"/>
  <c r="R368" i="1"/>
  <c r="AG368" i="1" s="1"/>
  <c r="Q368" i="1"/>
  <c r="AI367" i="1"/>
  <c r="AC367" i="1"/>
  <c r="AB367" i="1"/>
  <c r="AA367" i="1"/>
  <c r="Y367" i="1"/>
  <c r="R367" i="1"/>
  <c r="AG367" i="1" s="1"/>
  <c r="Q367" i="1"/>
  <c r="AI366" i="1"/>
  <c r="AC366" i="1"/>
  <c r="AB366" i="1"/>
  <c r="AA366" i="1"/>
  <c r="Y366" i="1"/>
  <c r="R366" i="1"/>
  <c r="AG366" i="1" s="1"/>
  <c r="Q366" i="1"/>
  <c r="AI365" i="1"/>
  <c r="AC365" i="1"/>
  <c r="AB365" i="1"/>
  <c r="AA365" i="1"/>
  <c r="Y365" i="1"/>
  <c r="R365" i="1"/>
  <c r="AG365" i="1" s="1"/>
  <c r="Q365" i="1"/>
  <c r="AI364" i="1"/>
  <c r="AC364" i="1"/>
  <c r="AB364" i="1"/>
  <c r="AA364" i="1"/>
  <c r="Y364" i="1"/>
  <c r="R364" i="1"/>
  <c r="AG364" i="1" s="1"/>
  <c r="Q364" i="1"/>
  <c r="AI363" i="1"/>
  <c r="AC363" i="1"/>
  <c r="AB363" i="1"/>
  <c r="AA363" i="1"/>
  <c r="Y363" i="1"/>
  <c r="R363" i="1"/>
  <c r="AG363" i="1" s="1"/>
  <c r="Q363" i="1"/>
  <c r="AI362" i="1"/>
  <c r="AC362" i="1"/>
  <c r="AB362" i="1"/>
  <c r="AA362" i="1"/>
  <c r="Y362" i="1"/>
  <c r="R362" i="1"/>
  <c r="AG362" i="1" s="1"/>
  <c r="Q362" i="1"/>
  <c r="AI361" i="1"/>
  <c r="AC361" i="1"/>
  <c r="AB361" i="1"/>
  <c r="AA361" i="1"/>
  <c r="Y361" i="1"/>
  <c r="R361" i="1"/>
  <c r="AG361" i="1" s="1"/>
  <c r="Q361" i="1"/>
  <c r="AI360" i="1"/>
  <c r="AC360" i="1"/>
  <c r="AB360" i="1"/>
  <c r="AA360" i="1"/>
  <c r="Y360" i="1"/>
  <c r="R360" i="1"/>
  <c r="AG360" i="1" s="1"/>
  <c r="Q360" i="1"/>
  <c r="AI359" i="1"/>
  <c r="AC359" i="1"/>
  <c r="AB359" i="1"/>
  <c r="AA359" i="1"/>
  <c r="Y359" i="1"/>
  <c r="R359" i="1"/>
  <c r="AG359" i="1" s="1"/>
  <c r="Q359" i="1"/>
  <c r="AI358" i="1"/>
  <c r="AC358" i="1"/>
  <c r="AB358" i="1"/>
  <c r="AA358" i="1"/>
  <c r="Y358" i="1"/>
  <c r="R358" i="1"/>
  <c r="AG358" i="1" s="1"/>
  <c r="Q358" i="1"/>
  <c r="AI357" i="1"/>
  <c r="AC357" i="1"/>
  <c r="AB357" i="1"/>
  <c r="AA357" i="1"/>
  <c r="Y357" i="1"/>
  <c r="R357" i="1"/>
  <c r="AG357" i="1" s="1"/>
  <c r="Q357" i="1"/>
  <c r="AI356" i="1"/>
  <c r="AC356" i="1"/>
  <c r="AB356" i="1"/>
  <c r="AA356" i="1"/>
  <c r="Y356" i="1"/>
  <c r="R356" i="1"/>
  <c r="AG356" i="1" s="1"/>
  <c r="Q356" i="1"/>
  <c r="AI355" i="1"/>
  <c r="AC355" i="1"/>
  <c r="AB355" i="1"/>
  <c r="AA355" i="1"/>
  <c r="Y355" i="1"/>
  <c r="R355" i="1"/>
  <c r="AG355" i="1" s="1"/>
  <c r="Q355" i="1"/>
  <c r="AI354" i="1"/>
  <c r="AC354" i="1"/>
  <c r="AB354" i="1"/>
  <c r="AA354" i="1"/>
  <c r="Y354" i="1"/>
  <c r="R354" i="1"/>
  <c r="AG354" i="1" s="1"/>
  <c r="Q354" i="1"/>
  <c r="AI353" i="1"/>
  <c r="AC353" i="1"/>
  <c r="AB353" i="1"/>
  <c r="AA353" i="1"/>
  <c r="Y353" i="1"/>
  <c r="R353" i="1"/>
  <c r="AG353" i="1" s="1"/>
  <c r="Q353" i="1"/>
  <c r="AI352" i="1"/>
  <c r="AC352" i="1"/>
  <c r="AB352" i="1"/>
  <c r="AA352" i="1"/>
  <c r="Y352" i="1"/>
  <c r="R352" i="1"/>
  <c r="AG352" i="1" s="1"/>
  <c r="Q352" i="1"/>
  <c r="AI351" i="1"/>
  <c r="AC351" i="1"/>
  <c r="AB351" i="1"/>
  <c r="AA351" i="1"/>
  <c r="Y351" i="1"/>
  <c r="R351" i="1"/>
  <c r="AG351" i="1" s="1"/>
  <c r="Q351" i="1"/>
  <c r="AI350" i="1"/>
  <c r="AC350" i="1"/>
  <c r="AB350" i="1"/>
  <c r="AA350" i="1"/>
  <c r="Y350" i="1"/>
  <c r="R350" i="1"/>
  <c r="AG350" i="1" s="1"/>
  <c r="Q350" i="1"/>
  <c r="AI349" i="1"/>
  <c r="AC349" i="1"/>
  <c r="AB349" i="1"/>
  <c r="AA349" i="1"/>
  <c r="Y349" i="1"/>
  <c r="R349" i="1"/>
  <c r="AG349" i="1" s="1"/>
  <c r="Q349" i="1"/>
  <c r="AI348" i="1"/>
  <c r="AC348" i="1"/>
  <c r="AB348" i="1"/>
  <c r="AA348" i="1"/>
  <c r="Y348" i="1"/>
  <c r="R348" i="1"/>
  <c r="AG348" i="1" s="1"/>
  <c r="Q348" i="1"/>
  <c r="AI347" i="1"/>
  <c r="AC347" i="1"/>
  <c r="AB347" i="1"/>
  <c r="AA347" i="1"/>
  <c r="Y347" i="1"/>
  <c r="R347" i="1"/>
  <c r="AG347" i="1" s="1"/>
  <c r="Q347" i="1"/>
  <c r="AI346" i="1"/>
  <c r="AC346" i="1"/>
  <c r="AB346" i="1"/>
  <c r="AA346" i="1"/>
  <c r="Y346" i="1"/>
  <c r="R346" i="1"/>
  <c r="AG346" i="1" s="1"/>
  <c r="Q346" i="1"/>
  <c r="AI345" i="1"/>
  <c r="AC345" i="1"/>
  <c r="AB345" i="1"/>
  <c r="AA345" i="1"/>
  <c r="Y345" i="1"/>
  <c r="R345" i="1"/>
  <c r="AG345" i="1" s="1"/>
  <c r="Q345" i="1"/>
  <c r="AI344" i="1"/>
  <c r="AC344" i="1"/>
  <c r="AB344" i="1"/>
  <c r="AA344" i="1"/>
  <c r="Y344" i="1"/>
  <c r="R344" i="1"/>
  <c r="AG344" i="1" s="1"/>
  <c r="Q344" i="1"/>
  <c r="AI343" i="1"/>
  <c r="AC343" i="1"/>
  <c r="AB343" i="1"/>
  <c r="AA343" i="1"/>
  <c r="Y343" i="1"/>
  <c r="R343" i="1"/>
  <c r="AG343" i="1" s="1"/>
  <c r="Q343" i="1"/>
  <c r="AI342" i="1"/>
  <c r="AC342" i="1"/>
  <c r="AB342" i="1"/>
  <c r="AA342" i="1"/>
  <c r="Y342" i="1"/>
  <c r="R342" i="1"/>
  <c r="AG342" i="1" s="1"/>
  <c r="Q342" i="1"/>
  <c r="AI341" i="1"/>
  <c r="AC341" i="1"/>
  <c r="AB341" i="1"/>
  <c r="AA341" i="1"/>
  <c r="Y341" i="1"/>
  <c r="R341" i="1"/>
  <c r="AG341" i="1" s="1"/>
  <c r="Q341" i="1"/>
  <c r="AI340" i="1"/>
  <c r="AC340" i="1"/>
  <c r="AB340" i="1"/>
  <c r="AA340" i="1"/>
  <c r="Y340" i="1"/>
  <c r="R340" i="1"/>
  <c r="AG340" i="1" s="1"/>
  <c r="Q340" i="1"/>
  <c r="AI339" i="1"/>
  <c r="AC339" i="1"/>
  <c r="AB339" i="1"/>
  <c r="AA339" i="1"/>
  <c r="Y339" i="1"/>
  <c r="R339" i="1"/>
  <c r="AG339" i="1" s="1"/>
  <c r="Q339" i="1"/>
  <c r="AI338" i="1"/>
  <c r="AC338" i="1"/>
  <c r="AB338" i="1"/>
  <c r="AA338" i="1"/>
  <c r="Y338" i="1"/>
  <c r="R338" i="1"/>
  <c r="AG338" i="1" s="1"/>
  <c r="Q338" i="1"/>
  <c r="AI337" i="1"/>
  <c r="AC337" i="1"/>
  <c r="AB337" i="1"/>
  <c r="AA337" i="1"/>
  <c r="Y337" i="1"/>
  <c r="R337" i="1"/>
  <c r="AG337" i="1" s="1"/>
  <c r="Q337" i="1"/>
  <c r="AI336" i="1"/>
  <c r="AC336" i="1"/>
  <c r="AB336" i="1"/>
  <c r="AA336" i="1"/>
  <c r="Y336" i="1"/>
  <c r="R336" i="1"/>
  <c r="AG336" i="1" s="1"/>
  <c r="Q336" i="1"/>
  <c r="AI335" i="1"/>
  <c r="AC335" i="1"/>
  <c r="AB335" i="1"/>
  <c r="AA335" i="1"/>
  <c r="Y335" i="1"/>
  <c r="R335" i="1"/>
  <c r="AG335" i="1" s="1"/>
  <c r="Q335" i="1"/>
  <c r="AI334" i="1"/>
  <c r="AC334" i="1"/>
  <c r="AB334" i="1"/>
  <c r="AA334" i="1"/>
  <c r="Y334" i="1"/>
  <c r="R334" i="1"/>
  <c r="AG334" i="1" s="1"/>
  <c r="Q334" i="1"/>
  <c r="AI333" i="1"/>
  <c r="AC333" i="1"/>
  <c r="AB333" i="1"/>
  <c r="AA333" i="1"/>
  <c r="Y333" i="1"/>
  <c r="R333" i="1"/>
  <c r="AG333" i="1" s="1"/>
  <c r="Q333" i="1"/>
  <c r="AI332" i="1"/>
  <c r="AC332" i="1"/>
  <c r="AB332" i="1"/>
  <c r="AA332" i="1"/>
  <c r="Y332" i="1"/>
  <c r="R332" i="1"/>
  <c r="AG332" i="1" s="1"/>
  <c r="Q332" i="1"/>
  <c r="AI331" i="1"/>
  <c r="AC331" i="1"/>
  <c r="AB331" i="1"/>
  <c r="AA331" i="1"/>
  <c r="Y331" i="1"/>
  <c r="R331" i="1"/>
  <c r="AG331" i="1" s="1"/>
  <c r="Q331" i="1"/>
  <c r="AI330" i="1"/>
  <c r="AC330" i="1"/>
  <c r="AB330" i="1"/>
  <c r="AA330" i="1"/>
  <c r="Y330" i="1"/>
  <c r="R330" i="1"/>
  <c r="AG330" i="1" s="1"/>
  <c r="Q330" i="1"/>
  <c r="AI329" i="1"/>
  <c r="AC329" i="1"/>
  <c r="AB329" i="1"/>
  <c r="AA329" i="1"/>
  <c r="Y329" i="1"/>
  <c r="R329" i="1"/>
  <c r="AG329" i="1" s="1"/>
  <c r="Q329" i="1"/>
  <c r="AI328" i="1"/>
  <c r="AC328" i="1"/>
  <c r="AB328" i="1"/>
  <c r="AA328" i="1"/>
  <c r="Y328" i="1"/>
  <c r="R328" i="1"/>
  <c r="AG328" i="1" s="1"/>
  <c r="Q328" i="1"/>
  <c r="AI327" i="1"/>
  <c r="AC327" i="1"/>
  <c r="AB327" i="1"/>
  <c r="AA327" i="1"/>
  <c r="Y327" i="1"/>
  <c r="R327" i="1"/>
  <c r="AG327" i="1" s="1"/>
  <c r="Q327" i="1"/>
  <c r="AI326" i="1"/>
  <c r="AC326" i="1"/>
  <c r="AB326" i="1"/>
  <c r="AA326" i="1"/>
  <c r="Y326" i="1"/>
  <c r="R326" i="1"/>
  <c r="AG326" i="1" s="1"/>
  <c r="Q326" i="1"/>
  <c r="AI325" i="1"/>
  <c r="AC325" i="1"/>
  <c r="AB325" i="1"/>
  <c r="AA325" i="1"/>
  <c r="Y325" i="1"/>
  <c r="R325" i="1"/>
  <c r="AG325" i="1" s="1"/>
  <c r="Q325" i="1"/>
  <c r="AI324" i="1"/>
  <c r="AC324" i="1"/>
  <c r="AB324" i="1"/>
  <c r="AA324" i="1"/>
  <c r="Y324" i="1"/>
  <c r="R324" i="1"/>
  <c r="AG324" i="1" s="1"/>
  <c r="Q324" i="1"/>
  <c r="AI323" i="1"/>
  <c r="AC323" i="1"/>
  <c r="AB323" i="1"/>
  <c r="AA323" i="1"/>
  <c r="Y323" i="1"/>
  <c r="R323" i="1"/>
  <c r="AG323" i="1" s="1"/>
  <c r="Q323" i="1"/>
  <c r="AI322" i="1"/>
  <c r="AC322" i="1"/>
  <c r="AB322" i="1"/>
  <c r="AA322" i="1"/>
  <c r="Y322" i="1"/>
  <c r="R322" i="1"/>
  <c r="AG322" i="1" s="1"/>
  <c r="Q322" i="1"/>
  <c r="AI321" i="1"/>
  <c r="AC321" i="1"/>
  <c r="AB321" i="1"/>
  <c r="AA321" i="1"/>
  <c r="Y321" i="1"/>
  <c r="R321" i="1"/>
  <c r="AG321" i="1" s="1"/>
  <c r="Q321" i="1"/>
  <c r="AI320" i="1"/>
  <c r="AC320" i="1"/>
  <c r="AB320" i="1"/>
  <c r="AA320" i="1"/>
  <c r="Y320" i="1"/>
  <c r="R320" i="1"/>
  <c r="AG320" i="1" s="1"/>
  <c r="Q320" i="1"/>
  <c r="AI319" i="1"/>
  <c r="AC319" i="1"/>
  <c r="AB319" i="1"/>
  <c r="AA319" i="1"/>
  <c r="Y319" i="1"/>
  <c r="R319" i="1"/>
  <c r="AG319" i="1" s="1"/>
  <c r="Q319" i="1"/>
  <c r="AI318" i="1"/>
  <c r="AC318" i="1"/>
  <c r="AB318" i="1"/>
  <c r="AA318" i="1"/>
  <c r="Y318" i="1"/>
  <c r="R318" i="1"/>
  <c r="AG318" i="1" s="1"/>
  <c r="Q318" i="1"/>
  <c r="AI317" i="1"/>
  <c r="AC317" i="1"/>
  <c r="AB317" i="1"/>
  <c r="AA317" i="1"/>
  <c r="Y317" i="1"/>
  <c r="R317" i="1"/>
  <c r="AG317" i="1" s="1"/>
  <c r="Q317" i="1"/>
  <c r="AI316" i="1"/>
  <c r="AC316" i="1"/>
  <c r="AB316" i="1"/>
  <c r="AA316" i="1"/>
  <c r="Y316" i="1"/>
  <c r="R316" i="1"/>
  <c r="AG316" i="1" s="1"/>
  <c r="Q316" i="1"/>
  <c r="AI315" i="1"/>
  <c r="AC315" i="1"/>
  <c r="AB315" i="1"/>
  <c r="AA315" i="1"/>
  <c r="Y315" i="1"/>
  <c r="R315" i="1"/>
  <c r="AG315" i="1" s="1"/>
  <c r="Q315" i="1"/>
  <c r="AI314" i="1"/>
  <c r="AC314" i="1"/>
  <c r="AB314" i="1"/>
  <c r="AA314" i="1"/>
  <c r="Y314" i="1"/>
  <c r="R314" i="1"/>
  <c r="AG314" i="1" s="1"/>
  <c r="Q314" i="1"/>
  <c r="AI313" i="1"/>
  <c r="AC313" i="1"/>
  <c r="AB313" i="1"/>
  <c r="AA313" i="1"/>
  <c r="Y313" i="1"/>
  <c r="R313" i="1"/>
  <c r="AG313" i="1" s="1"/>
  <c r="Q313" i="1"/>
  <c r="AI312" i="1"/>
  <c r="AC312" i="1"/>
  <c r="AB312" i="1"/>
  <c r="AA312" i="1"/>
  <c r="Y312" i="1"/>
  <c r="R312" i="1"/>
  <c r="AG312" i="1" s="1"/>
  <c r="Q312" i="1"/>
  <c r="AI311" i="1"/>
  <c r="AC311" i="1"/>
  <c r="AB311" i="1"/>
  <c r="AA311" i="1"/>
  <c r="Y311" i="1"/>
  <c r="R311" i="1"/>
  <c r="AG311" i="1" s="1"/>
  <c r="Q311" i="1"/>
  <c r="AI310" i="1"/>
  <c r="AC310" i="1"/>
  <c r="AB310" i="1"/>
  <c r="AA310" i="1"/>
  <c r="Y310" i="1"/>
  <c r="R310" i="1"/>
  <c r="AG310" i="1" s="1"/>
  <c r="Q310" i="1"/>
  <c r="AI309" i="1"/>
  <c r="AC309" i="1"/>
  <c r="AB309" i="1"/>
  <c r="AA309" i="1"/>
  <c r="Y309" i="1"/>
  <c r="R309" i="1"/>
  <c r="AG309" i="1" s="1"/>
  <c r="Q309" i="1"/>
  <c r="AI308" i="1"/>
  <c r="AC308" i="1"/>
  <c r="AB308" i="1"/>
  <c r="AA308" i="1"/>
  <c r="Y308" i="1"/>
  <c r="R308" i="1"/>
  <c r="AG308" i="1" s="1"/>
  <c r="Q308" i="1"/>
  <c r="AI307" i="1"/>
  <c r="AC307" i="1"/>
  <c r="AB307" i="1"/>
  <c r="AA307" i="1"/>
  <c r="Y307" i="1"/>
  <c r="R307" i="1"/>
  <c r="AG307" i="1" s="1"/>
  <c r="Q307" i="1"/>
  <c r="AI306" i="1"/>
  <c r="AC306" i="1"/>
  <c r="AB306" i="1"/>
  <c r="AA306" i="1"/>
  <c r="Y306" i="1"/>
  <c r="R306" i="1"/>
  <c r="AG306" i="1" s="1"/>
  <c r="Q306" i="1"/>
  <c r="AI305" i="1"/>
  <c r="AC305" i="1"/>
  <c r="AB305" i="1"/>
  <c r="AA305" i="1"/>
  <c r="Y305" i="1"/>
  <c r="R305" i="1"/>
  <c r="AG305" i="1" s="1"/>
  <c r="Q305" i="1"/>
  <c r="AI304" i="1"/>
  <c r="AC304" i="1"/>
  <c r="AB304" i="1"/>
  <c r="AA304" i="1"/>
  <c r="Y304" i="1"/>
  <c r="R304" i="1"/>
  <c r="AG304" i="1" s="1"/>
  <c r="Q304" i="1"/>
  <c r="AI303" i="1"/>
  <c r="AC303" i="1"/>
  <c r="AB303" i="1"/>
  <c r="AA303" i="1"/>
  <c r="Y303" i="1"/>
  <c r="R303" i="1"/>
  <c r="AG303" i="1" s="1"/>
  <c r="Q303" i="1"/>
  <c r="AI302" i="1"/>
  <c r="AC302" i="1"/>
  <c r="AB302" i="1"/>
  <c r="AA302" i="1"/>
  <c r="Y302" i="1"/>
  <c r="R302" i="1"/>
  <c r="AG302" i="1" s="1"/>
  <c r="Q302" i="1"/>
  <c r="AI301" i="1"/>
  <c r="AC301" i="1"/>
  <c r="AB301" i="1"/>
  <c r="AA301" i="1"/>
  <c r="Y301" i="1"/>
  <c r="R301" i="1"/>
  <c r="AG301" i="1" s="1"/>
  <c r="Q301" i="1"/>
  <c r="AI300" i="1"/>
  <c r="AC300" i="1"/>
  <c r="AB300" i="1"/>
  <c r="AA300" i="1"/>
  <c r="Y300" i="1"/>
  <c r="R300" i="1"/>
  <c r="AG300" i="1" s="1"/>
  <c r="Q300" i="1"/>
  <c r="AI299" i="1"/>
  <c r="AC299" i="1"/>
  <c r="AB299" i="1"/>
  <c r="AA299" i="1"/>
  <c r="Y299" i="1"/>
  <c r="R299" i="1"/>
  <c r="AG299" i="1" s="1"/>
  <c r="Q299" i="1"/>
  <c r="AI298" i="1"/>
  <c r="AC298" i="1"/>
  <c r="AB298" i="1"/>
  <c r="AA298" i="1"/>
  <c r="Y298" i="1"/>
  <c r="R298" i="1"/>
  <c r="AG298" i="1" s="1"/>
  <c r="Q298" i="1"/>
  <c r="AI297" i="1"/>
  <c r="AC297" i="1"/>
  <c r="AB297" i="1"/>
  <c r="AA297" i="1"/>
  <c r="Y297" i="1"/>
  <c r="R297" i="1"/>
  <c r="AG297" i="1" s="1"/>
  <c r="Q297" i="1"/>
  <c r="AI296" i="1"/>
  <c r="AC296" i="1"/>
  <c r="AB296" i="1"/>
  <c r="AA296" i="1"/>
  <c r="Y296" i="1"/>
  <c r="R296" i="1"/>
  <c r="AG296" i="1" s="1"/>
  <c r="Q296" i="1"/>
  <c r="AI295" i="1"/>
  <c r="AC295" i="1"/>
  <c r="AB295" i="1"/>
  <c r="AA295" i="1"/>
  <c r="Y295" i="1"/>
  <c r="R295" i="1"/>
  <c r="AG295" i="1" s="1"/>
  <c r="Q295" i="1"/>
  <c r="AI294" i="1"/>
  <c r="AC294" i="1"/>
  <c r="AB294" i="1"/>
  <c r="AA294" i="1"/>
  <c r="Y294" i="1"/>
  <c r="R294" i="1"/>
  <c r="AG294" i="1" s="1"/>
  <c r="Q294" i="1"/>
  <c r="AI293" i="1"/>
  <c r="AC293" i="1"/>
  <c r="AB293" i="1"/>
  <c r="AA293" i="1"/>
  <c r="Y293" i="1"/>
  <c r="R293" i="1"/>
  <c r="AG293" i="1" s="1"/>
  <c r="Q293" i="1"/>
  <c r="AI292" i="1"/>
  <c r="AC292" i="1"/>
  <c r="AB292" i="1"/>
  <c r="AA292" i="1"/>
  <c r="Y292" i="1"/>
  <c r="R292" i="1"/>
  <c r="AG292" i="1" s="1"/>
  <c r="Q292" i="1"/>
  <c r="AI291" i="1"/>
  <c r="AC291" i="1"/>
  <c r="AB291" i="1"/>
  <c r="AA291" i="1"/>
  <c r="Y291" i="1"/>
  <c r="R291" i="1"/>
  <c r="AG291" i="1" s="1"/>
  <c r="Q291" i="1"/>
  <c r="AI290" i="1"/>
  <c r="AC290" i="1"/>
  <c r="AB290" i="1"/>
  <c r="AA290" i="1"/>
  <c r="Y290" i="1"/>
  <c r="R290" i="1"/>
  <c r="AG290" i="1" s="1"/>
  <c r="Q290" i="1"/>
  <c r="AI289" i="1"/>
  <c r="AC289" i="1"/>
  <c r="AB289" i="1"/>
  <c r="AA289" i="1"/>
  <c r="Y289" i="1"/>
  <c r="R289" i="1"/>
  <c r="AG289" i="1" s="1"/>
  <c r="Q289" i="1"/>
  <c r="AI288" i="1"/>
  <c r="AC288" i="1"/>
  <c r="AB288" i="1"/>
  <c r="AA288" i="1"/>
  <c r="Y288" i="1"/>
  <c r="R288" i="1"/>
  <c r="AG288" i="1" s="1"/>
  <c r="Q288" i="1"/>
  <c r="AI287" i="1"/>
  <c r="AC287" i="1"/>
  <c r="AB287" i="1"/>
  <c r="AA287" i="1"/>
  <c r="Y287" i="1"/>
  <c r="R287" i="1"/>
  <c r="AG287" i="1" s="1"/>
  <c r="Q287" i="1"/>
  <c r="AI286" i="1"/>
  <c r="AC286" i="1"/>
  <c r="AB286" i="1"/>
  <c r="AA286" i="1"/>
  <c r="Y286" i="1"/>
  <c r="R286" i="1"/>
  <c r="AG286" i="1" s="1"/>
  <c r="Q286" i="1"/>
  <c r="AI285" i="1"/>
  <c r="AC285" i="1"/>
  <c r="AB285" i="1"/>
  <c r="AA285" i="1"/>
  <c r="Y285" i="1"/>
  <c r="R285" i="1"/>
  <c r="AG285" i="1" s="1"/>
  <c r="Q285" i="1"/>
  <c r="AI284" i="1"/>
  <c r="AC284" i="1"/>
  <c r="AB284" i="1"/>
  <c r="AA284" i="1"/>
  <c r="Y284" i="1"/>
  <c r="R284" i="1"/>
  <c r="AG284" i="1" s="1"/>
  <c r="Q284" i="1"/>
  <c r="AI283" i="1"/>
  <c r="AC283" i="1"/>
  <c r="AB283" i="1"/>
  <c r="AA283" i="1"/>
  <c r="Y283" i="1"/>
  <c r="R283" i="1"/>
  <c r="AG283" i="1" s="1"/>
  <c r="Q283" i="1"/>
  <c r="AI282" i="1"/>
  <c r="AC282" i="1"/>
  <c r="AB282" i="1"/>
  <c r="AA282" i="1"/>
  <c r="Y282" i="1"/>
  <c r="R282" i="1"/>
  <c r="AG282" i="1" s="1"/>
  <c r="Q282" i="1"/>
  <c r="AI281" i="1"/>
  <c r="AC281" i="1"/>
  <c r="AB281" i="1"/>
  <c r="AA281" i="1"/>
  <c r="Y281" i="1"/>
  <c r="R281" i="1"/>
  <c r="AG281" i="1" s="1"/>
  <c r="Q281" i="1"/>
  <c r="AI280" i="1"/>
  <c r="AC280" i="1"/>
  <c r="AB280" i="1"/>
  <c r="AA280" i="1"/>
  <c r="Y280" i="1"/>
  <c r="R280" i="1"/>
  <c r="AG280" i="1" s="1"/>
  <c r="Q280" i="1"/>
  <c r="AI279" i="1"/>
  <c r="AC279" i="1"/>
  <c r="AB279" i="1"/>
  <c r="AA279" i="1"/>
  <c r="Y279" i="1"/>
  <c r="R279" i="1"/>
  <c r="AG279" i="1" s="1"/>
  <c r="Q279" i="1"/>
  <c r="AI278" i="1"/>
  <c r="AC278" i="1"/>
  <c r="AB278" i="1"/>
  <c r="AA278" i="1"/>
  <c r="Y278" i="1"/>
  <c r="R278" i="1"/>
  <c r="AG278" i="1" s="1"/>
  <c r="Q278" i="1"/>
  <c r="AI277" i="1"/>
  <c r="AC277" i="1"/>
  <c r="AB277" i="1"/>
  <c r="AA277" i="1"/>
  <c r="Y277" i="1"/>
  <c r="R277" i="1"/>
  <c r="AG277" i="1" s="1"/>
  <c r="Q277" i="1"/>
  <c r="AI276" i="1"/>
  <c r="AC276" i="1"/>
  <c r="AB276" i="1"/>
  <c r="AA276" i="1"/>
  <c r="Y276" i="1"/>
  <c r="R276" i="1"/>
  <c r="AG276" i="1" s="1"/>
  <c r="Q276" i="1"/>
  <c r="AI275" i="1"/>
  <c r="AC275" i="1"/>
  <c r="AB275" i="1"/>
  <c r="AA275" i="1"/>
  <c r="Y275" i="1"/>
  <c r="R275" i="1"/>
  <c r="AG275" i="1" s="1"/>
  <c r="Q275" i="1"/>
  <c r="AI274" i="1"/>
  <c r="AC274" i="1"/>
  <c r="AB274" i="1"/>
  <c r="AA274" i="1"/>
  <c r="Y274" i="1"/>
  <c r="R274" i="1"/>
  <c r="AG274" i="1" s="1"/>
  <c r="Q274" i="1"/>
  <c r="AI273" i="1"/>
  <c r="AC273" i="1"/>
  <c r="AB273" i="1"/>
  <c r="AA273" i="1"/>
  <c r="Y273" i="1"/>
  <c r="R273" i="1"/>
  <c r="AG273" i="1" s="1"/>
  <c r="Q273" i="1"/>
  <c r="AI272" i="1"/>
  <c r="AC272" i="1"/>
  <c r="AB272" i="1"/>
  <c r="AA272" i="1"/>
  <c r="Y272" i="1"/>
  <c r="R272" i="1"/>
  <c r="AG272" i="1" s="1"/>
  <c r="Q272" i="1"/>
  <c r="AI271" i="1"/>
  <c r="AC271" i="1"/>
  <c r="AB271" i="1"/>
  <c r="AA271" i="1"/>
  <c r="Y271" i="1"/>
  <c r="R271" i="1"/>
  <c r="AG271" i="1" s="1"/>
  <c r="Q271" i="1"/>
  <c r="AI270" i="1"/>
  <c r="AC270" i="1"/>
  <c r="AB270" i="1"/>
  <c r="AA270" i="1"/>
  <c r="Y270" i="1"/>
  <c r="R270" i="1"/>
  <c r="AG270" i="1" s="1"/>
  <c r="Q270" i="1"/>
  <c r="AI269" i="1"/>
  <c r="AC269" i="1"/>
  <c r="AB269" i="1"/>
  <c r="AA269" i="1"/>
  <c r="Y269" i="1"/>
  <c r="R269" i="1"/>
  <c r="AG269" i="1" s="1"/>
  <c r="Q269" i="1"/>
  <c r="AI268" i="1"/>
  <c r="AC268" i="1"/>
  <c r="AB268" i="1"/>
  <c r="AA268" i="1"/>
  <c r="Y268" i="1"/>
  <c r="R268" i="1"/>
  <c r="AG268" i="1" s="1"/>
  <c r="Q268" i="1"/>
  <c r="AI267" i="1"/>
  <c r="AC267" i="1"/>
  <c r="AB267" i="1"/>
  <c r="AA267" i="1"/>
  <c r="Y267" i="1"/>
  <c r="R267" i="1"/>
  <c r="AG267" i="1" s="1"/>
  <c r="Q267" i="1"/>
  <c r="AI266" i="1"/>
  <c r="AC266" i="1"/>
  <c r="AB266" i="1"/>
  <c r="AA266" i="1"/>
  <c r="Y266" i="1"/>
  <c r="R266" i="1"/>
  <c r="AG266" i="1" s="1"/>
  <c r="Q266" i="1"/>
  <c r="AI265" i="1"/>
  <c r="AC265" i="1"/>
  <c r="AB265" i="1"/>
  <c r="AA265" i="1"/>
  <c r="Y265" i="1"/>
  <c r="R265" i="1"/>
  <c r="AG265" i="1" s="1"/>
  <c r="Q265" i="1"/>
  <c r="AI264" i="1"/>
  <c r="AC264" i="1"/>
  <c r="AB264" i="1"/>
  <c r="AA264" i="1"/>
  <c r="Y264" i="1"/>
  <c r="R264" i="1"/>
  <c r="AG264" i="1" s="1"/>
  <c r="Q264" i="1"/>
  <c r="AI263" i="1"/>
  <c r="AC263" i="1"/>
  <c r="AB263" i="1"/>
  <c r="AA263" i="1"/>
  <c r="Y263" i="1"/>
  <c r="R263" i="1"/>
  <c r="AG263" i="1" s="1"/>
  <c r="Q263" i="1"/>
  <c r="AI262" i="1"/>
  <c r="AC262" i="1"/>
  <c r="AB262" i="1"/>
  <c r="AA262" i="1"/>
  <c r="Y262" i="1"/>
  <c r="R262" i="1"/>
  <c r="AG262" i="1" s="1"/>
  <c r="Q262" i="1"/>
  <c r="AI261" i="1"/>
  <c r="AC261" i="1"/>
  <c r="AB261" i="1"/>
  <c r="AA261" i="1"/>
  <c r="Y261" i="1"/>
  <c r="R261" i="1"/>
  <c r="AG261" i="1" s="1"/>
  <c r="Q261" i="1"/>
  <c r="AI260" i="1"/>
  <c r="AC260" i="1"/>
  <c r="AB260" i="1"/>
  <c r="AA260" i="1"/>
  <c r="Y260" i="1"/>
  <c r="R260" i="1"/>
  <c r="AG260" i="1" s="1"/>
  <c r="Q260" i="1"/>
  <c r="AI259" i="1"/>
  <c r="AC259" i="1"/>
  <c r="AB259" i="1"/>
  <c r="AA259" i="1"/>
  <c r="Y259" i="1"/>
  <c r="R259" i="1"/>
  <c r="AG259" i="1" s="1"/>
  <c r="Q259" i="1"/>
  <c r="AI258" i="1"/>
  <c r="AC258" i="1"/>
  <c r="AB258" i="1"/>
  <c r="AA258" i="1"/>
  <c r="Y258" i="1"/>
  <c r="R258" i="1"/>
  <c r="AG258" i="1" s="1"/>
  <c r="Q258" i="1"/>
  <c r="AI257" i="1"/>
  <c r="AC257" i="1"/>
  <c r="AB257" i="1"/>
  <c r="AA257" i="1"/>
  <c r="Y257" i="1"/>
  <c r="R257" i="1"/>
  <c r="AG257" i="1" s="1"/>
  <c r="Q257" i="1"/>
  <c r="AI256" i="1"/>
  <c r="AC256" i="1"/>
  <c r="AB256" i="1"/>
  <c r="AA256" i="1"/>
  <c r="Y256" i="1"/>
  <c r="R256" i="1"/>
  <c r="AG256" i="1" s="1"/>
  <c r="Q256" i="1"/>
  <c r="AI255" i="1"/>
  <c r="AC255" i="1"/>
  <c r="AB255" i="1"/>
  <c r="AA255" i="1"/>
  <c r="Y255" i="1"/>
  <c r="R255" i="1"/>
  <c r="AG255" i="1" s="1"/>
  <c r="Q255" i="1"/>
  <c r="AI254" i="1"/>
  <c r="AC254" i="1"/>
  <c r="AB254" i="1"/>
  <c r="AA254" i="1"/>
  <c r="Y254" i="1"/>
  <c r="R254" i="1"/>
  <c r="AG254" i="1" s="1"/>
  <c r="Q254" i="1"/>
  <c r="AI253" i="1"/>
  <c r="AC253" i="1"/>
  <c r="AB253" i="1"/>
  <c r="AA253" i="1"/>
  <c r="Y253" i="1"/>
  <c r="R253" i="1"/>
  <c r="AG253" i="1" s="1"/>
  <c r="Q253" i="1"/>
  <c r="AI252" i="1"/>
  <c r="AC252" i="1"/>
  <c r="AB252" i="1"/>
  <c r="AA252" i="1"/>
  <c r="Y252" i="1"/>
  <c r="R252" i="1"/>
  <c r="AG252" i="1" s="1"/>
  <c r="Q252" i="1"/>
  <c r="AI251" i="1"/>
  <c r="AC251" i="1"/>
  <c r="AB251" i="1"/>
  <c r="AA251" i="1"/>
  <c r="Y251" i="1"/>
  <c r="R251" i="1"/>
  <c r="AG251" i="1" s="1"/>
  <c r="Q251" i="1"/>
  <c r="AI250" i="1"/>
  <c r="AC250" i="1"/>
  <c r="AB250" i="1"/>
  <c r="AA250" i="1"/>
  <c r="Y250" i="1"/>
  <c r="R250" i="1"/>
  <c r="AG250" i="1" s="1"/>
  <c r="Q250" i="1"/>
  <c r="AI249" i="1"/>
  <c r="AC249" i="1"/>
  <c r="AB249" i="1"/>
  <c r="AA249" i="1"/>
  <c r="Y249" i="1"/>
  <c r="R249" i="1"/>
  <c r="AG249" i="1" s="1"/>
  <c r="Q249" i="1"/>
  <c r="AI248" i="1"/>
  <c r="AC248" i="1"/>
  <c r="AB248" i="1"/>
  <c r="AA248" i="1"/>
  <c r="Y248" i="1"/>
  <c r="R248" i="1"/>
  <c r="AG248" i="1" s="1"/>
  <c r="Q248" i="1"/>
  <c r="AI247" i="1"/>
  <c r="AC247" i="1"/>
  <c r="AB247" i="1"/>
  <c r="AA247" i="1"/>
  <c r="Y247" i="1"/>
  <c r="R247" i="1"/>
  <c r="AG247" i="1" s="1"/>
  <c r="Q247" i="1"/>
  <c r="AI246" i="1"/>
  <c r="AC246" i="1"/>
  <c r="AB246" i="1"/>
  <c r="AA246" i="1"/>
  <c r="Y246" i="1"/>
  <c r="R246" i="1"/>
  <c r="AG246" i="1" s="1"/>
  <c r="Q246" i="1"/>
  <c r="AI245" i="1"/>
  <c r="AC245" i="1"/>
  <c r="AB245" i="1"/>
  <c r="AA245" i="1"/>
  <c r="Y245" i="1"/>
  <c r="R245" i="1"/>
  <c r="AG245" i="1" s="1"/>
  <c r="Q245" i="1"/>
  <c r="AI244" i="1"/>
  <c r="AC244" i="1"/>
  <c r="AB244" i="1"/>
  <c r="AA244" i="1"/>
  <c r="Y244" i="1"/>
  <c r="R244" i="1"/>
  <c r="AG244" i="1" s="1"/>
  <c r="Q244" i="1"/>
  <c r="AI243" i="1"/>
  <c r="AC243" i="1"/>
  <c r="AB243" i="1"/>
  <c r="AA243" i="1"/>
  <c r="Y243" i="1"/>
  <c r="R243" i="1"/>
  <c r="AG243" i="1" s="1"/>
  <c r="Q243" i="1"/>
  <c r="AI242" i="1"/>
  <c r="AC242" i="1"/>
  <c r="AB242" i="1"/>
  <c r="AA242" i="1"/>
  <c r="Y242" i="1"/>
  <c r="R242" i="1"/>
  <c r="AG242" i="1" s="1"/>
  <c r="Q242" i="1"/>
  <c r="AI241" i="1"/>
  <c r="AC241" i="1"/>
  <c r="AB241" i="1"/>
  <c r="AA241" i="1"/>
  <c r="Y241" i="1"/>
  <c r="R241" i="1"/>
  <c r="AG241" i="1" s="1"/>
  <c r="Q241" i="1"/>
  <c r="AI240" i="1"/>
  <c r="AC240" i="1"/>
  <c r="AB240" i="1"/>
  <c r="AA240" i="1"/>
  <c r="Y240" i="1"/>
  <c r="X240" i="1"/>
  <c r="W240" i="1" s="1"/>
  <c r="R240" i="1"/>
  <c r="AG240" i="1" s="1"/>
  <c r="Q240" i="1"/>
  <c r="M240" i="1"/>
  <c r="H240" i="1"/>
  <c r="AI239" i="1"/>
  <c r="AC239" i="1"/>
  <c r="AB239" i="1"/>
  <c r="AA239" i="1"/>
  <c r="Y239" i="1"/>
  <c r="X239" i="1"/>
  <c r="W239" i="1" s="1"/>
  <c r="R239" i="1"/>
  <c r="AG239" i="1" s="1"/>
  <c r="Q239" i="1"/>
  <c r="M239" i="1"/>
  <c r="H239" i="1"/>
  <c r="AI238" i="1"/>
  <c r="AC238" i="1"/>
  <c r="AB238" i="1"/>
  <c r="AA238" i="1"/>
  <c r="Y238" i="1"/>
  <c r="R238" i="1"/>
  <c r="AG238" i="1" s="1"/>
  <c r="Q238" i="1"/>
  <c r="AI237" i="1"/>
  <c r="AC237" i="1"/>
  <c r="AB237" i="1"/>
  <c r="AA237" i="1"/>
  <c r="Y237" i="1"/>
  <c r="R237" i="1"/>
  <c r="AG237" i="1" s="1"/>
  <c r="Q237" i="1"/>
  <c r="AI236" i="1"/>
  <c r="AC236" i="1"/>
  <c r="AB236" i="1"/>
  <c r="AA236" i="1"/>
  <c r="Y236" i="1"/>
  <c r="R236" i="1"/>
  <c r="AG236" i="1" s="1"/>
  <c r="Q236" i="1"/>
  <c r="AI235" i="1"/>
  <c r="AC235" i="1"/>
  <c r="AB235" i="1"/>
  <c r="AA235" i="1"/>
  <c r="Y235" i="1"/>
  <c r="R235" i="1"/>
  <c r="AG235" i="1" s="1"/>
  <c r="Q235" i="1"/>
  <c r="AI234" i="1"/>
  <c r="AC234" i="1"/>
  <c r="AB234" i="1"/>
  <c r="AA234" i="1"/>
  <c r="Y234" i="1"/>
  <c r="T234" i="1"/>
  <c r="R234" i="1"/>
  <c r="AG234" i="1" s="1"/>
  <c r="Q234" i="1"/>
  <c r="AI233" i="1"/>
  <c r="AC233" i="1"/>
  <c r="AB233" i="1"/>
  <c r="AA233" i="1"/>
  <c r="Y233" i="1"/>
  <c r="R233" i="1"/>
  <c r="AG233" i="1" s="1"/>
  <c r="Q233" i="1"/>
  <c r="AI232" i="1"/>
  <c r="AC232" i="1"/>
  <c r="AB232" i="1"/>
  <c r="AA232" i="1"/>
  <c r="Y232" i="1"/>
  <c r="R232" i="1"/>
  <c r="AG232" i="1" s="1"/>
  <c r="Q232" i="1"/>
  <c r="AI231" i="1"/>
  <c r="AC231" i="1"/>
  <c r="AB231" i="1"/>
  <c r="AA231" i="1"/>
  <c r="Y231" i="1"/>
  <c r="R231" i="1"/>
  <c r="AG231" i="1" s="1"/>
  <c r="Q231" i="1"/>
  <c r="AI230" i="1"/>
  <c r="AC230" i="1"/>
  <c r="AB230" i="1"/>
  <c r="AA230" i="1"/>
  <c r="Y230" i="1"/>
  <c r="R230" i="1"/>
  <c r="AG230" i="1" s="1"/>
  <c r="Q230" i="1"/>
  <c r="AI229" i="1"/>
  <c r="AC229" i="1"/>
  <c r="AB229" i="1"/>
  <c r="AA229" i="1"/>
  <c r="Y229" i="1"/>
  <c r="R229" i="1"/>
  <c r="AG229" i="1" s="1"/>
  <c r="Q229" i="1"/>
  <c r="AI228" i="1"/>
  <c r="AC228" i="1"/>
  <c r="AB228" i="1"/>
  <c r="AA228" i="1"/>
  <c r="Y228" i="1"/>
  <c r="R228" i="1"/>
  <c r="AG228" i="1" s="1"/>
  <c r="Q228" i="1"/>
  <c r="AI227" i="1"/>
  <c r="AC227" i="1"/>
  <c r="AB227" i="1"/>
  <c r="AA227" i="1"/>
  <c r="Y227" i="1"/>
  <c r="R227" i="1"/>
  <c r="AG227" i="1" s="1"/>
  <c r="Q227" i="1"/>
  <c r="AI226" i="1"/>
  <c r="AC226" i="1"/>
  <c r="AB226" i="1"/>
  <c r="AA226" i="1"/>
  <c r="Y226" i="1"/>
  <c r="R226" i="1"/>
  <c r="AG226" i="1" s="1"/>
  <c r="Q226" i="1"/>
  <c r="AI225" i="1"/>
  <c r="AC225" i="1"/>
  <c r="AB225" i="1"/>
  <c r="AA225" i="1"/>
  <c r="Y225" i="1"/>
  <c r="R225" i="1"/>
  <c r="AG225" i="1" s="1"/>
  <c r="Q225" i="1"/>
  <c r="AI224" i="1"/>
  <c r="AC224" i="1"/>
  <c r="AB224" i="1"/>
  <c r="AA224" i="1"/>
  <c r="Y224" i="1"/>
  <c r="R224" i="1"/>
  <c r="AG224" i="1" s="1"/>
  <c r="Q224" i="1"/>
  <c r="AI223" i="1"/>
  <c r="AC223" i="1"/>
  <c r="AB223" i="1"/>
  <c r="AA223" i="1"/>
  <c r="Y223" i="1"/>
  <c r="R223" i="1"/>
  <c r="AG223" i="1" s="1"/>
  <c r="Q223" i="1"/>
  <c r="AI222" i="1"/>
  <c r="AC222" i="1"/>
  <c r="AB222" i="1"/>
  <c r="AA222" i="1"/>
  <c r="Y222" i="1"/>
  <c r="R222" i="1"/>
  <c r="AG222" i="1" s="1"/>
  <c r="Q222" i="1"/>
  <c r="AI221" i="1"/>
  <c r="AC221" i="1"/>
  <c r="AB221" i="1"/>
  <c r="AA221" i="1"/>
  <c r="Y221" i="1"/>
  <c r="R221" i="1"/>
  <c r="AG221" i="1" s="1"/>
  <c r="Q221" i="1"/>
  <c r="AI220" i="1"/>
  <c r="AC220" i="1"/>
  <c r="AB220" i="1"/>
  <c r="AA220" i="1"/>
  <c r="Y220" i="1"/>
  <c r="R220" i="1"/>
  <c r="AG220" i="1" s="1"/>
  <c r="Q220" i="1"/>
  <c r="AI219" i="1"/>
  <c r="AC219" i="1"/>
  <c r="AB219" i="1"/>
  <c r="AA219" i="1"/>
  <c r="Y219" i="1"/>
  <c r="R219" i="1"/>
  <c r="AG219" i="1" s="1"/>
  <c r="Q219" i="1"/>
  <c r="AI218" i="1"/>
  <c r="AC218" i="1"/>
  <c r="AB218" i="1"/>
  <c r="AA218" i="1"/>
  <c r="Y218" i="1"/>
  <c r="R218" i="1"/>
  <c r="AG218" i="1" s="1"/>
  <c r="Q218" i="1"/>
  <c r="AI217" i="1"/>
  <c r="AC217" i="1"/>
  <c r="AB217" i="1"/>
  <c r="AA217" i="1"/>
  <c r="Y217" i="1"/>
  <c r="R217" i="1"/>
  <c r="AG217" i="1" s="1"/>
  <c r="Q217" i="1"/>
  <c r="AI216" i="1"/>
  <c r="AC216" i="1"/>
  <c r="AB216" i="1"/>
  <c r="AA216" i="1"/>
  <c r="Y216" i="1"/>
  <c r="R216" i="1"/>
  <c r="AG216" i="1" s="1"/>
  <c r="Q216" i="1"/>
  <c r="AI215" i="1"/>
  <c r="AC215" i="1"/>
  <c r="AB215" i="1"/>
  <c r="AA215" i="1"/>
  <c r="Y215" i="1"/>
  <c r="R215" i="1"/>
  <c r="AG215" i="1" s="1"/>
  <c r="Q215" i="1"/>
  <c r="AI214" i="1"/>
  <c r="AC214" i="1"/>
  <c r="AB214" i="1"/>
  <c r="AA214" i="1"/>
  <c r="Y214" i="1"/>
  <c r="R214" i="1"/>
  <c r="AG214" i="1" s="1"/>
  <c r="Q214" i="1"/>
  <c r="AI213" i="1"/>
  <c r="AC213" i="1"/>
  <c r="AB213" i="1"/>
  <c r="AA213" i="1"/>
  <c r="Y213" i="1"/>
  <c r="R213" i="1"/>
  <c r="AG213" i="1" s="1"/>
  <c r="Q213" i="1"/>
  <c r="AI212" i="1"/>
  <c r="AC212" i="1"/>
  <c r="AB212" i="1"/>
  <c r="AA212" i="1"/>
  <c r="Y212" i="1"/>
  <c r="R212" i="1"/>
  <c r="AG212" i="1" s="1"/>
  <c r="Q212" i="1"/>
  <c r="AI211" i="1"/>
  <c r="AC211" i="1"/>
  <c r="AB211" i="1"/>
  <c r="AA211" i="1"/>
  <c r="Y211" i="1"/>
  <c r="R211" i="1"/>
  <c r="AG211" i="1" s="1"/>
  <c r="Q211" i="1"/>
  <c r="AI210" i="1"/>
  <c r="AC210" i="1"/>
  <c r="AB210" i="1"/>
  <c r="AA210" i="1"/>
  <c r="Y210" i="1"/>
  <c r="R210" i="1"/>
  <c r="AG210" i="1" s="1"/>
  <c r="Q210" i="1"/>
  <c r="AI209" i="1"/>
  <c r="AC209" i="1"/>
  <c r="AB209" i="1"/>
  <c r="AA209" i="1"/>
  <c r="Y209" i="1"/>
  <c r="R209" i="1"/>
  <c r="AG209" i="1" s="1"/>
  <c r="Q209" i="1"/>
  <c r="AI208" i="1"/>
  <c r="AC208" i="1"/>
  <c r="AB208" i="1"/>
  <c r="AA208" i="1"/>
  <c r="Y208" i="1"/>
  <c r="R208" i="1"/>
  <c r="AG208" i="1" s="1"/>
  <c r="Q208" i="1"/>
  <c r="AI207" i="1"/>
  <c r="AC207" i="1"/>
  <c r="AB207" i="1"/>
  <c r="AA207" i="1"/>
  <c r="Y207" i="1"/>
  <c r="R207" i="1"/>
  <c r="AG207" i="1" s="1"/>
  <c r="Q207" i="1"/>
  <c r="AI206" i="1"/>
  <c r="AC206" i="1"/>
  <c r="AB206" i="1"/>
  <c r="AA206" i="1"/>
  <c r="Y206" i="1"/>
  <c r="R206" i="1"/>
  <c r="AG206" i="1" s="1"/>
  <c r="Q206" i="1"/>
  <c r="AI205" i="1"/>
  <c r="AC205" i="1"/>
  <c r="AB205" i="1"/>
  <c r="AA205" i="1"/>
  <c r="Y205" i="1"/>
  <c r="R205" i="1"/>
  <c r="AG205" i="1" s="1"/>
  <c r="Q205" i="1"/>
  <c r="AI204" i="1"/>
  <c r="AC204" i="1"/>
  <c r="AB204" i="1"/>
  <c r="AA204" i="1"/>
  <c r="Y204" i="1"/>
  <c r="R204" i="1"/>
  <c r="AG204" i="1" s="1"/>
  <c r="Q204" i="1"/>
  <c r="AI203" i="1"/>
  <c r="AC203" i="1"/>
  <c r="AB203" i="1"/>
  <c r="AA203" i="1"/>
  <c r="Y203" i="1"/>
  <c r="R203" i="1"/>
  <c r="AG203" i="1" s="1"/>
  <c r="Q203" i="1"/>
  <c r="AI202" i="1"/>
  <c r="AC202" i="1"/>
  <c r="AB202" i="1"/>
  <c r="AA202" i="1"/>
  <c r="Y202" i="1"/>
  <c r="R202" i="1"/>
  <c r="AG202" i="1" s="1"/>
  <c r="Q202" i="1"/>
  <c r="AI201" i="1"/>
  <c r="AC201" i="1"/>
  <c r="AB201" i="1"/>
  <c r="AA201" i="1"/>
  <c r="Y201" i="1"/>
  <c r="R201" i="1"/>
  <c r="AG201" i="1" s="1"/>
  <c r="Q201" i="1"/>
  <c r="AI200" i="1"/>
  <c r="AC200" i="1"/>
  <c r="AB200" i="1"/>
  <c r="AA200" i="1"/>
  <c r="Y200" i="1"/>
  <c r="R200" i="1"/>
  <c r="AG200" i="1" s="1"/>
  <c r="Q200" i="1"/>
  <c r="AI199" i="1"/>
  <c r="AC199" i="1"/>
  <c r="AB199" i="1"/>
  <c r="AA199" i="1"/>
  <c r="Y199" i="1"/>
  <c r="R199" i="1"/>
  <c r="AG199" i="1" s="1"/>
  <c r="Q199" i="1"/>
  <c r="AI198" i="1"/>
  <c r="AC198" i="1"/>
  <c r="AB198" i="1"/>
  <c r="AA198" i="1"/>
  <c r="Y198" i="1"/>
  <c r="R198" i="1"/>
  <c r="AG198" i="1" s="1"/>
  <c r="Q198" i="1"/>
  <c r="AI197" i="1"/>
  <c r="AC197" i="1"/>
  <c r="AB197" i="1"/>
  <c r="AA197" i="1"/>
  <c r="Y197" i="1"/>
  <c r="T197" i="1"/>
  <c r="R197" i="1"/>
  <c r="AG197" i="1" s="1"/>
  <c r="Q197" i="1"/>
  <c r="AI196" i="1"/>
  <c r="AC196" i="1"/>
  <c r="AB196" i="1"/>
  <c r="AA196" i="1"/>
  <c r="Y196" i="1"/>
  <c r="R196" i="1"/>
  <c r="AG196" i="1" s="1"/>
  <c r="Q196" i="1"/>
  <c r="AI195" i="1"/>
  <c r="AC195" i="1"/>
  <c r="AB195" i="1"/>
  <c r="AA195" i="1"/>
  <c r="Y195" i="1"/>
  <c r="S195" i="1"/>
  <c r="R195" i="1"/>
  <c r="AG195" i="1" s="1"/>
  <c r="Q195" i="1"/>
  <c r="AI194" i="1"/>
  <c r="AC194" i="1"/>
  <c r="AB194" i="1"/>
  <c r="AA194" i="1"/>
  <c r="Y194" i="1"/>
  <c r="R194" i="1"/>
  <c r="AG194" i="1" s="1"/>
  <c r="Q194" i="1"/>
  <c r="AI193" i="1"/>
  <c r="AC193" i="1"/>
  <c r="AB193" i="1"/>
  <c r="AA193" i="1"/>
  <c r="Y193" i="1"/>
  <c r="R193" i="1"/>
  <c r="AG193" i="1" s="1"/>
  <c r="Q193" i="1"/>
  <c r="AI192" i="1"/>
  <c r="AC192" i="1"/>
  <c r="AB192" i="1"/>
  <c r="AA192" i="1"/>
  <c r="Y192" i="1"/>
  <c r="R192" i="1"/>
  <c r="AG192" i="1" s="1"/>
  <c r="Q192" i="1"/>
  <c r="AI191" i="1"/>
  <c r="AC191" i="1"/>
  <c r="AB191" i="1"/>
  <c r="AA191" i="1"/>
  <c r="Y191" i="1"/>
  <c r="R191" i="1"/>
  <c r="AG191" i="1" s="1"/>
  <c r="Q191" i="1"/>
  <c r="AI190" i="1"/>
  <c r="AC190" i="1"/>
  <c r="AB190" i="1"/>
  <c r="AA190" i="1"/>
  <c r="Y190" i="1"/>
  <c r="R190" i="1"/>
  <c r="AG190" i="1" s="1"/>
  <c r="Q190" i="1"/>
  <c r="AI189" i="1"/>
  <c r="AC189" i="1"/>
  <c r="AB189" i="1"/>
  <c r="AA189" i="1"/>
  <c r="Y189" i="1"/>
  <c r="S189" i="1"/>
  <c r="R189" i="1"/>
  <c r="AG189" i="1" s="1"/>
  <c r="Q189" i="1"/>
  <c r="AI188" i="1"/>
  <c r="AC188" i="1"/>
  <c r="AB188" i="1"/>
  <c r="AA188" i="1"/>
  <c r="Y188" i="1"/>
  <c r="R188" i="1"/>
  <c r="AG188" i="1" s="1"/>
  <c r="Q188" i="1"/>
  <c r="AI187" i="1"/>
  <c r="AC187" i="1"/>
  <c r="AB187" i="1"/>
  <c r="AA187" i="1"/>
  <c r="Y187" i="1"/>
  <c r="R187" i="1"/>
  <c r="AG187" i="1" s="1"/>
  <c r="Q187" i="1"/>
  <c r="AI186" i="1"/>
  <c r="AC186" i="1"/>
  <c r="AB186" i="1"/>
  <c r="AA186" i="1"/>
  <c r="Y186" i="1"/>
  <c r="R186" i="1"/>
  <c r="AG186" i="1" s="1"/>
  <c r="Q186" i="1"/>
  <c r="AI185" i="1"/>
  <c r="AC185" i="1"/>
  <c r="AB185" i="1"/>
  <c r="AA185" i="1"/>
  <c r="Y185" i="1"/>
  <c r="R185" i="1"/>
  <c r="AG185" i="1" s="1"/>
  <c r="Q185" i="1"/>
  <c r="AI184" i="1"/>
  <c r="AC184" i="1"/>
  <c r="AB184" i="1"/>
  <c r="AA184" i="1"/>
  <c r="Y184" i="1"/>
  <c r="R184" i="1"/>
  <c r="AG184" i="1" s="1"/>
  <c r="Q184" i="1"/>
  <c r="AI183" i="1"/>
  <c r="AC183" i="1"/>
  <c r="AB183" i="1"/>
  <c r="AA183" i="1"/>
  <c r="Y183" i="1"/>
  <c r="R183" i="1"/>
  <c r="AG183" i="1" s="1"/>
  <c r="Q183" i="1"/>
  <c r="AI182" i="1"/>
  <c r="AC182" i="1"/>
  <c r="AB182" i="1"/>
  <c r="AA182" i="1"/>
  <c r="Y182" i="1"/>
  <c r="R182" i="1"/>
  <c r="AG182" i="1" s="1"/>
  <c r="Q182" i="1"/>
  <c r="AI181" i="1"/>
  <c r="AC181" i="1"/>
  <c r="AB181" i="1"/>
  <c r="AA181" i="1"/>
  <c r="Y181" i="1"/>
  <c r="R181" i="1"/>
  <c r="AG181" i="1" s="1"/>
  <c r="Q181" i="1"/>
  <c r="AI180" i="1"/>
  <c r="AC180" i="1"/>
  <c r="AB180" i="1"/>
  <c r="AA180" i="1"/>
  <c r="Y180" i="1"/>
  <c r="R180" i="1"/>
  <c r="AG180" i="1" s="1"/>
  <c r="Q180" i="1"/>
  <c r="AI179" i="1"/>
  <c r="AC179" i="1"/>
  <c r="AB179" i="1"/>
  <c r="AA179" i="1"/>
  <c r="Y179" i="1"/>
  <c r="R179" i="1"/>
  <c r="AG179" i="1" s="1"/>
  <c r="Q179" i="1"/>
  <c r="AI178" i="1"/>
  <c r="AC178" i="1"/>
  <c r="AB178" i="1"/>
  <c r="AA178" i="1"/>
  <c r="Y178" i="1"/>
  <c r="R178" i="1"/>
  <c r="AG178" i="1" s="1"/>
  <c r="Q178" i="1"/>
  <c r="AI177" i="1"/>
  <c r="AC177" i="1"/>
  <c r="AB177" i="1"/>
  <c r="AA177" i="1"/>
  <c r="Y177" i="1"/>
  <c r="R177" i="1"/>
  <c r="AG177" i="1" s="1"/>
  <c r="Q177" i="1"/>
  <c r="AI176" i="1"/>
  <c r="AC176" i="1"/>
  <c r="AB176" i="1"/>
  <c r="AA176" i="1"/>
  <c r="Y176" i="1"/>
  <c r="R176" i="1"/>
  <c r="AG176" i="1" s="1"/>
  <c r="Q176" i="1"/>
  <c r="AI175" i="1"/>
  <c r="AC175" i="1"/>
  <c r="AB175" i="1"/>
  <c r="AA175" i="1"/>
  <c r="Y175" i="1"/>
  <c r="R175" i="1"/>
  <c r="AG175" i="1" s="1"/>
  <c r="Q175" i="1"/>
  <c r="AI174" i="1"/>
  <c r="AC174" i="1"/>
  <c r="AB174" i="1"/>
  <c r="AA174" i="1"/>
  <c r="Y174" i="1"/>
  <c r="R174" i="1"/>
  <c r="AG174" i="1" s="1"/>
  <c r="Q174" i="1"/>
  <c r="AI173" i="1"/>
  <c r="AC173" i="1"/>
  <c r="AB173" i="1"/>
  <c r="AA173" i="1"/>
  <c r="Y173" i="1"/>
  <c r="R173" i="1"/>
  <c r="AG173" i="1" s="1"/>
  <c r="Q173" i="1"/>
  <c r="AI172" i="1"/>
  <c r="AC172" i="1"/>
  <c r="AB172" i="1"/>
  <c r="AA172" i="1"/>
  <c r="Y172" i="1"/>
  <c r="R172" i="1"/>
  <c r="AG172" i="1" s="1"/>
  <c r="Q172" i="1"/>
  <c r="AI171" i="1"/>
  <c r="AC171" i="1"/>
  <c r="AB171" i="1"/>
  <c r="AA171" i="1"/>
  <c r="Y171" i="1"/>
  <c r="R171" i="1"/>
  <c r="AG171" i="1" s="1"/>
  <c r="Q171" i="1"/>
  <c r="AI170" i="1"/>
  <c r="AC170" i="1"/>
  <c r="AB170" i="1"/>
  <c r="AA170" i="1"/>
  <c r="Y170" i="1"/>
  <c r="R170" i="1"/>
  <c r="AG170" i="1" s="1"/>
  <c r="Q170" i="1"/>
  <c r="AI169" i="1"/>
  <c r="AC169" i="1"/>
  <c r="AB169" i="1"/>
  <c r="AA169" i="1"/>
  <c r="Y169" i="1"/>
  <c r="R169" i="1"/>
  <c r="AG169" i="1" s="1"/>
  <c r="Q169" i="1"/>
  <c r="AI168" i="1"/>
  <c r="AC168" i="1"/>
  <c r="AB168" i="1"/>
  <c r="AA168" i="1"/>
  <c r="Y168" i="1"/>
  <c r="R168" i="1"/>
  <c r="AG168" i="1" s="1"/>
  <c r="Q168" i="1"/>
  <c r="AI167" i="1"/>
  <c r="AC167" i="1"/>
  <c r="AB167" i="1"/>
  <c r="AA167" i="1"/>
  <c r="Y167" i="1"/>
  <c r="R167" i="1"/>
  <c r="AG167" i="1" s="1"/>
  <c r="Q167" i="1"/>
  <c r="AI166" i="1"/>
  <c r="AC166" i="1"/>
  <c r="AB166" i="1"/>
  <c r="AA166" i="1"/>
  <c r="Y166" i="1"/>
  <c r="R166" i="1"/>
  <c r="AG166" i="1" s="1"/>
  <c r="Q166" i="1"/>
  <c r="AI165" i="1"/>
  <c r="AC165" i="1"/>
  <c r="AB165" i="1"/>
  <c r="AA165" i="1"/>
  <c r="Y165" i="1"/>
  <c r="T165" i="1"/>
  <c r="R165" i="1"/>
  <c r="AG165" i="1" s="1"/>
  <c r="Q165" i="1"/>
  <c r="AI164" i="1"/>
  <c r="AC164" i="1"/>
  <c r="AB164" i="1"/>
  <c r="AA164" i="1"/>
  <c r="Y164" i="1"/>
  <c r="T164" i="1"/>
  <c r="R164" i="1"/>
  <c r="AG164" i="1" s="1"/>
  <c r="Q164" i="1"/>
  <c r="AI163" i="1"/>
  <c r="AC163" i="1"/>
  <c r="AB163" i="1"/>
  <c r="AA163" i="1"/>
  <c r="Y163" i="1"/>
  <c r="R163" i="1"/>
  <c r="AG163" i="1" s="1"/>
  <c r="Q163" i="1"/>
  <c r="AI162" i="1"/>
  <c r="AC162" i="1"/>
  <c r="AB162" i="1"/>
  <c r="AA162" i="1"/>
  <c r="Y162" i="1"/>
  <c r="R162" i="1"/>
  <c r="AG162" i="1" s="1"/>
  <c r="Q162" i="1"/>
  <c r="AI161" i="1"/>
  <c r="AC161" i="1"/>
  <c r="AB161" i="1"/>
  <c r="AA161" i="1"/>
  <c r="Y161" i="1"/>
  <c r="R161" i="1"/>
  <c r="AG161" i="1" s="1"/>
  <c r="Q161" i="1"/>
  <c r="AI160" i="1"/>
  <c r="AC160" i="1"/>
  <c r="AB160" i="1"/>
  <c r="AA160" i="1"/>
  <c r="Y160" i="1"/>
  <c r="R160" i="1"/>
  <c r="AG160" i="1" s="1"/>
  <c r="Q160" i="1"/>
  <c r="AI159" i="1"/>
  <c r="AC159" i="1"/>
  <c r="AB159" i="1"/>
  <c r="AA159" i="1"/>
  <c r="Y159" i="1"/>
  <c r="R159" i="1"/>
  <c r="AG159" i="1" s="1"/>
  <c r="Q159" i="1"/>
  <c r="AI158" i="1"/>
  <c r="AC158" i="1"/>
  <c r="AB158" i="1"/>
  <c r="AA158" i="1"/>
  <c r="Y158" i="1"/>
  <c r="R158" i="1"/>
  <c r="AG158" i="1" s="1"/>
  <c r="Q158" i="1"/>
  <c r="AI157" i="1"/>
  <c r="AC157" i="1"/>
  <c r="AB157" i="1"/>
  <c r="AA157" i="1"/>
  <c r="Y157" i="1"/>
  <c r="R157" i="1"/>
  <c r="AG157" i="1" s="1"/>
  <c r="Q157" i="1"/>
  <c r="AI156" i="1"/>
  <c r="AC156" i="1"/>
  <c r="AB156" i="1"/>
  <c r="AA156" i="1"/>
  <c r="Y156" i="1"/>
  <c r="R156" i="1"/>
  <c r="AG156" i="1" s="1"/>
  <c r="Q156" i="1"/>
  <c r="AI155" i="1"/>
  <c r="AC155" i="1"/>
  <c r="AB155" i="1"/>
  <c r="AA155" i="1"/>
  <c r="Y155" i="1"/>
  <c r="R155" i="1"/>
  <c r="AG155" i="1" s="1"/>
  <c r="Q155" i="1"/>
  <c r="AI154" i="1"/>
  <c r="AC154" i="1"/>
  <c r="AB154" i="1"/>
  <c r="AA154" i="1"/>
  <c r="Y154" i="1"/>
  <c r="R154" i="1"/>
  <c r="AG154" i="1" s="1"/>
  <c r="Q154" i="1"/>
  <c r="AI153" i="1"/>
  <c r="AC153" i="1"/>
  <c r="AB153" i="1"/>
  <c r="AA153" i="1"/>
  <c r="Y153" i="1"/>
  <c r="R153" i="1"/>
  <c r="AG153" i="1" s="1"/>
  <c r="Q153" i="1"/>
  <c r="AI152" i="1"/>
  <c r="AC152" i="1"/>
  <c r="AB152" i="1"/>
  <c r="AA152" i="1"/>
  <c r="Y152" i="1"/>
  <c r="R152" i="1"/>
  <c r="AG152" i="1" s="1"/>
  <c r="Q152" i="1"/>
  <c r="AI151" i="1"/>
  <c r="AC151" i="1"/>
  <c r="AB151" i="1"/>
  <c r="AA151" i="1"/>
  <c r="Y151" i="1"/>
  <c r="R151" i="1"/>
  <c r="AG151" i="1" s="1"/>
  <c r="Q151" i="1"/>
  <c r="AI150" i="1"/>
  <c r="AC150" i="1"/>
  <c r="AB150" i="1"/>
  <c r="AA150" i="1"/>
  <c r="Y150" i="1"/>
  <c r="R150" i="1"/>
  <c r="AG150" i="1" s="1"/>
  <c r="Q150" i="1"/>
  <c r="AI149" i="1"/>
  <c r="AC149" i="1"/>
  <c r="AB149" i="1"/>
  <c r="AA149" i="1"/>
  <c r="Y149" i="1"/>
  <c r="X149" i="1"/>
  <c r="W149" i="1" s="1"/>
  <c r="R149" i="1"/>
  <c r="AG149" i="1" s="1"/>
  <c r="Q149" i="1"/>
  <c r="M149" i="1"/>
  <c r="H149" i="1"/>
  <c r="AI148" i="1"/>
  <c r="AC148" i="1"/>
  <c r="AB148" i="1"/>
  <c r="AA148" i="1"/>
  <c r="Y148" i="1"/>
  <c r="R148" i="1"/>
  <c r="AG148" i="1" s="1"/>
  <c r="Q148" i="1"/>
  <c r="AI147" i="1"/>
  <c r="AC147" i="1"/>
  <c r="AB147" i="1"/>
  <c r="AA147" i="1"/>
  <c r="Y147" i="1"/>
  <c r="R147" i="1"/>
  <c r="AG147" i="1" s="1"/>
  <c r="Q147" i="1"/>
  <c r="AI146" i="1"/>
  <c r="AC146" i="1"/>
  <c r="AB146" i="1"/>
  <c r="AA146" i="1"/>
  <c r="Y146" i="1"/>
  <c r="R146" i="1"/>
  <c r="AG146" i="1" s="1"/>
  <c r="Q146" i="1"/>
  <c r="AI145" i="1"/>
  <c r="AC145" i="1"/>
  <c r="AB145" i="1"/>
  <c r="AA145" i="1"/>
  <c r="Y145" i="1"/>
  <c r="R145" i="1"/>
  <c r="AG145" i="1" s="1"/>
  <c r="Q145" i="1"/>
  <c r="AI144" i="1"/>
  <c r="AC144" i="1"/>
  <c r="AB144" i="1"/>
  <c r="AA144" i="1"/>
  <c r="Y144" i="1"/>
  <c r="R144" i="1"/>
  <c r="AG144" i="1" s="1"/>
  <c r="Q144" i="1"/>
  <c r="AI143" i="1"/>
  <c r="AC143" i="1"/>
  <c r="AB143" i="1"/>
  <c r="AA143" i="1"/>
  <c r="Y143" i="1"/>
  <c r="R143" i="1"/>
  <c r="AG143" i="1" s="1"/>
  <c r="Q143" i="1"/>
  <c r="AI142" i="1"/>
  <c r="AC142" i="1"/>
  <c r="AB142" i="1"/>
  <c r="AA142" i="1"/>
  <c r="Y142" i="1"/>
  <c r="R142" i="1"/>
  <c r="AG142" i="1" s="1"/>
  <c r="Q142" i="1"/>
  <c r="AI141" i="1"/>
  <c r="AC141" i="1"/>
  <c r="AB141" i="1"/>
  <c r="AA141" i="1"/>
  <c r="Y141" i="1"/>
  <c r="R141" i="1"/>
  <c r="AG141" i="1" s="1"/>
  <c r="Q141" i="1"/>
  <c r="AI140" i="1"/>
  <c r="AC140" i="1"/>
  <c r="AB140" i="1"/>
  <c r="AA140" i="1"/>
  <c r="Y140" i="1"/>
  <c r="R140" i="1"/>
  <c r="AG140" i="1" s="1"/>
  <c r="Q140" i="1"/>
  <c r="AI139" i="1"/>
  <c r="AC139" i="1"/>
  <c r="AB139" i="1"/>
  <c r="AA139" i="1"/>
  <c r="Y139" i="1"/>
  <c r="R139" i="1"/>
  <c r="AG139" i="1" s="1"/>
  <c r="Q139" i="1"/>
  <c r="AI138" i="1"/>
  <c r="AC138" i="1"/>
  <c r="AB138" i="1"/>
  <c r="AA138" i="1"/>
  <c r="Y138" i="1"/>
  <c r="R138" i="1"/>
  <c r="AG138" i="1" s="1"/>
  <c r="Q138" i="1"/>
  <c r="AI137" i="1"/>
  <c r="AC137" i="1"/>
  <c r="AB137" i="1"/>
  <c r="AA137" i="1"/>
  <c r="Y137" i="1"/>
  <c r="R137" i="1"/>
  <c r="AG137" i="1" s="1"/>
  <c r="Q137" i="1"/>
  <c r="AI136" i="1"/>
  <c r="AC136" i="1"/>
  <c r="AB136" i="1"/>
  <c r="AA136" i="1"/>
  <c r="Y136" i="1"/>
  <c r="R136" i="1"/>
  <c r="AG136" i="1" s="1"/>
  <c r="Q136" i="1"/>
  <c r="AI135" i="1"/>
  <c r="AC135" i="1"/>
  <c r="AB135" i="1"/>
  <c r="AA135" i="1"/>
  <c r="Y135" i="1"/>
  <c r="R135" i="1"/>
  <c r="AG135" i="1" s="1"/>
  <c r="Q135" i="1"/>
  <c r="AI134" i="1"/>
  <c r="AC134" i="1"/>
  <c r="AB134" i="1"/>
  <c r="AA134" i="1"/>
  <c r="Y134" i="1"/>
  <c r="R134" i="1"/>
  <c r="AG134" i="1" s="1"/>
  <c r="Q134" i="1"/>
  <c r="AI133" i="1"/>
  <c r="AC133" i="1"/>
  <c r="AB133" i="1"/>
  <c r="AA133" i="1"/>
  <c r="Y133" i="1"/>
  <c r="R133" i="1"/>
  <c r="AG133" i="1" s="1"/>
  <c r="Q133" i="1"/>
  <c r="AI132" i="1"/>
  <c r="AC132" i="1"/>
  <c r="AB132" i="1"/>
  <c r="AA132" i="1"/>
  <c r="Y132" i="1"/>
  <c r="R132" i="1"/>
  <c r="AG132" i="1" s="1"/>
  <c r="Q132" i="1"/>
  <c r="AI131" i="1"/>
  <c r="AC131" i="1"/>
  <c r="AB131" i="1"/>
  <c r="AA131" i="1"/>
  <c r="Y131" i="1"/>
  <c r="T131" i="1"/>
  <c r="R131" i="1"/>
  <c r="AG131" i="1" s="1"/>
  <c r="Q131" i="1"/>
  <c r="AI130" i="1"/>
  <c r="AC130" i="1"/>
  <c r="AB130" i="1"/>
  <c r="AA130" i="1"/>
  <c r="Y130" i="1"/>
  <c r="R130" i="1"/>
  <c r="AG130" i="1" s="1"/>
  <c r="Q130" i="1"/>
  <c r="AI129" i="1"/>
  <c r="AC129" i="1"/>
  <c r="AB129" i="1"/>
  <c r="AA129" i="1"/>
  <c r="Y129" i="1"/>
  <c r="R129" i="1"/>
  <c r="AG129" i="1" s="1"/>
  <c r="Q129" i="1"/>
  <c r="AI128" i="1"/>
  <c r="AC128" i="1"/>
  <c r="AB128" i="1"/>
  <c r="AA128" i="1"/>
  <c r="Y128" i="1"/>
  <c r="R128" i="1"/>
  <c r="AG128" i="1" s="1"/>
  <c r="Q128" i="1"/>
  <c r="AI127" i="1"/>
  <c r="AC127" i="1"/>
  <c r="AB127" i="1"/>
  <c r="AA127" i="1"/>
  <c r="Y127" i="1"/>
  <c r="R127" i="1"/>
  <c r="AG127" i="1" s="1"/>
  <c r="Q127" i="1"/>
  <c r="AI126" i="1"/>
  <c r="AC126" i="1"/>
  <c r="AB126" i="1"/>
  <c r="AA126" i="1"/>
  <c r="Y126" i="1"/>
  <c r="R126" i="1"/>
  <c r="AG126" i="1" s="1"/>
  <c r="Q126" i="1"/>
  <c r="AI125" i="1"/>
  <c r="AC125" i="1"/>
  <c r="AB125" i="1"/>
  <c r="AA125" i="1"/>
  <c r="Y125" i="1"/>
  <c r="R125" i="1"/>
  <c r="AG125" i="1" s="1"/>
  <c r="Q125" i="1"/>
  <c r="AI124" i="1"/>
  <c r="AC124" i="1"/>
  <c r="AB124" i="1"/>
  <c r="AA124" i="1"/>
  <c r="Y124" i="1"/>
  <c r="R124" i="1"/>
  <c r="AG124" i="1" s="1"/>
  <c r="Q124" i="1"/>
  <c r="AI123" i="1"/>
  <c r="AC123" i="1"/>
  <c r="AB123" i="1"/>
  <c r="AA123" i="1"/>
  <c r="Y123" i="1"/>
  <c r="R123" i="1"/>
  <c r="AG123" i="1" s="1"/>
  <c r="Q123" i="1"/>
  <c r="AI122" i="1"/>
  <c r="AC122" i="1"/>
  <c r="AB122" i="1"/>
  <c r="AA122" i="1"/>
  <c r="Y122" i="1"/>
  <c r="R122" i="1"/>
  <c r="AG122" i="1" s="1"/>
  <c r="Q122" i="1"/>
  <c r="AI121" i="1"/>
  <c r="AC121" i="1"/>
  <c r="AB121" i="1"/>
  <c r="AA121" i="1"/>
  <c r="Y121" i="1"/>
  <c r="R121" i="1"/>
  <c r="AG121" i="1" s="1"/>
  <c r="Q121" i="1"/>
  <c r="AI120" i="1"/>
  <c r="AC120" i="1"/>
  <c r="AB120" i="1"/>
  <c r="AA120" i="1"/>
  <c r="Y120" i="1"/>
  <c r="R120" i="1"/>
  <c r="AG120" i="1" s="1"/>
  <c r="Q120" i="1"/>
  <c r="AI119" i="1"/>
  <c r="AC119" i="1"/>
  <c r="AB119" i="1"/>
  <c r="AA119" i="1"/>
  <c r="Y119" i="1"/>
  <c r="R119" i="1"/>
  <c r="AG119" i="1" s="1"/>
  <c r="Q119" i="1"/>
  <c r="AI118" i="1"/>
  <c r="AC118" i="1"/>
  <c r="AB118" i="1"/>
  <c r="AA118" i="1"/>
  <c r="Y118" i="1"/>
  <c r="R118" i="1"/>
  <c r="AG118" i="1" s="1"/>
  <c r="Q118" i="1"/>
  <c r="AI117" i="1"/>
  <c r="AC117" i="1"/>
  <c r="AB117" i="1"/>
  <c r="AA117" i="1"/>
  <c r="Y117" i="1"/>
  <c r="R117" i="1"/>
  <c r="AG117" i="1" s="1"/>
  <c r="Q117" i="1"/>
  <c r="AI116" i="1"/>
  <c r="AC116" i="1"/>
  <c r="AB116" i="1"/>
  <c r="AA116" i="1"/>
  <c r="Y116" i="1"/>
  <c r="R116" i="1"/>
  <c r="AG116" i="1" s="1"/>
  <c r="Q116" i="1"/>
  <c r="AI115" i="1"/>
  <c r="AC115" i="1"/>
  <c r="AB115" i="1"/>
  <c r="AA115" i="1"/>
  <c r="Y115" i="1"/>
  <c r="R115" i="1"/>
  <c r="AG115" i="1" s="1"/>
  <c r="Q115" i="1"/>
  <c r="AI114" i="1"/>
  <c r="AC114" i="1"/>
  <c r="AB114" i="1"/>
  <c r="AA114" i="1"/>
  <c r="Y114" i="1"/>
  <c r="R114" i="1"/>
  <c r="AG114" i="1" s="1"/>
  <c r="Q114" i="1"/>
  <c r="AI113" i="1"/>
  <c r="AC113" i="1"/>
  <c r="AB113" i="1"/>
  <c r="AA113" i="1"/>
  <c r="Y113" i="1"/>
  <c r="R113" i="1"/>
  <c r="AG113" i="1" s="1"/>
  <c r="Q113" i="1"/>
  <c r="AI112" i="1"/>
  <c r="AC112" i="1"/>
  <c r="AB112" i="1"/>
  <c r="AA112" i="1"/>
  <c r="Y112" i="1"/>
  <c r="R112" i="1"/>
  <c r="AG112" i="1" s="1"/>
  <c r="Q112" i="1"/>
  <c r="AI111" i="1"/>
  <c r="AC111" i="1"/>
  <c r="AB111" i="1"/>
  <c r="AA111" i="1"/>
  <c r="Y111" i="1"/>
  <c r="R111" i="1"/>
  <c r="AG111" i="1" s="1"/>
  <c r="Q111" i="1"/>
  <c r="AI110" i="1"/>
  <c r="AC110" i="1"/>
  <c r="AB110" i="1"/>
  <c r="AA110" i="1"/>
  <c r="Y110" i="1"/>
  <c r="R110" i="1"/>
  <c r="AG110" i="1" s="1"/>
  <c r="Q110" i="1"/>
  <c r="AI109" i="1"/>
  <c r="AC109" i="1"/>
  <c r="AB109" i="1"/>
  <c r="AA109" i="1"/>
  <c r="Y109" i="1"/>
  <c r="R109" i="1"/>
  <c r="AG109" i="1" s="1"/>
  <c r="Q109" i="1"/>
  <c r="AI108" i="1"/>
  <c r="AC108" i="1"/>
  <c r="AB108" i="1"/>
  <c r="AA108" i="1"/>
  <c r="Y108" i="1"/>
  <c r="R108" i="1"/>
  <c r="AG108" i="1" s="1"/>
  <c r="Q108" i="1"/>
  <c r="AI107" i="1"/>
  <c r="AC107" i="1"/>
  <c r="AB107" i="1"/>
  <c r="AA107" i="1"/>
  <c r="Y107" i="1"/>
  <c r="R107" i="1"/>
  <c r="AG107" i="1" s="1"/>
  <c r="Q107" i="1"/>
  <c r="AI106" i="1"/>
  <c r="AC106" i="1"/>
  <c r="AB106" i="1"/>
  <c r="AA106" i="1"/>
  <c r="Y106" i="1"/>
  <c r="R106" i="1"/>
  <c r="AG106" i="1" s="1"/>
  <c r="Q106" i="1"/>
  <c r="AI105" i="1"/>
  <c r="AC105" i="1"/>
  <c r="AB105" i="1"/>
  <c r="AA105" i="1"/>
  <c r="Y105" i="1"/>
  <c r="R105" i="1"/>
  <c r="AG105" i="1" s="1"/>
  <c r="Q105" i="1"/>
  <c r="AI104" i="1"/>
  <c r="AC104" i="1"/>
  <c r="AB104" i="1"/>
  <c r="AA104" i="1"/>
  <c r="Y104" i="1"/>
  <c r="R104" i="1"/>
  <c r="AG104" i="1" s="1"/>
  <c r="Q104" i="1"/>
  <c r="AI103" i="1"/>
  <c r="AC103" i="1"/>
  <c r="AB103" i="1"/>
  <c r="AA103" i="1"/>
  <c r="Y103" i="1"/>
  <c r="R103" i="1"/>
  <c r="AG103" i="1" s="1"/>
  <c r="Q103" i="1"/>
  <c r="AI102" i="1"/>
  <c r="AC102" i="1"/>
  <c r="AB102" i="1"/>
  <c r="AA102" i="1"/>
  <c r="Y102" i="1"/>
  <c r="R102" i="1"/>
  <c r="AG102" i="1" s="1"/>
  <c r="Q102" i="1"/>
  <c r="AI101" i="1"/>
  <c r="AC101" i="1"/>
  <c r="AB101" i="1"/>
  <c r="AA101" i="1"/>
  <c r="Y101" i="1"/>
  <c r="R101" i="1"/>
  <c r="AG101" i="1" s="1"/>
  <c r="Q101" i="1"/>
  <c r="AI100" i="1"/>
  <c r="AC100" i="1"/>
  <c r="AB100" i="1"/>
  <c r="AA100" i="1"/>
  <c r="Y100" i="1"/>
  <c r="S100" i="1"/>
  <c r="R100" i="1"/>
  <c r="AG100" i="1" s="1"/>
  <c r="Q100" i="1"/>
  <c r="AI99" i="1"/>
  <c r="AC99" i="1"/>
  <c r="AB99" i="1"/>
  <c r="AA99" i="1"/>
  <c r="Y99" i="1"/>
  <c r="R99" i="1"/>
  <c r="AG99" i="1" s="1"/>
  <c r="Q99" i="1"/>
  <c r="AI98" i="1"/>
  <c r="AC98" i="1"/>
  <c r="AB98" i="1"/>
  <c r="AA98" i="1"/>
  <c r="Y98" i="1"/>
  <c r="R98" i="1"/>
  <c r="AG98" i="1" s="1"/>
  <c r="Q98" i="1"/>
  <c r="AI97" i="1"/>
  <c r="AC97" i="1"/>
  <c r="AB97" i="1"/>
  <c r="AA97" i="1"/>
  <c r="Y97" i="1"/>
  <c r="R97" i="1"/>
  <c r="AG97" i="1" s="1"/>
  <c r="Q97" i="1"/>
  <c r="AI96" i="1"/>
  <c r="AC96" i="1"/>
  <c r="AB96" i="1"/>
  <c r="AA96" i="1"/>
  <c r="Y96" i="1"/>
  <c r="R96" i="1"/>
  <c r="AG96" i="1" s="1"/>
  <c r="Q96" i="1"/>
  <c r="AI95" i="1"/>
  <c r="AC95" i="1"/>
  <c r="AB95" i="1"/>
  <c r="AA95" i="1"/>
  <c r="Y95" i="1"/>
  <c r="R95" i="1"/>
  <c r="AG95" i="1" s="1"/>
  <c r="Q95" i="1"/>
  <c r="AI94" i="1"/>
  <c r="AC94" i="1"/>
  <c r="AB94" i="1"/>
  <c r="AA94" i="1"/>
  <c r="Y94" i="1"/>
  <c r="R94" i="1"/>
  <c r="AG94" i="1" s="1"/>
  <c r="Q94" i="1"/>
  <c r="AI93" i="1"/>
  <c r="AC93" i="1"/>
  <c r="AB93" i="1"/>
  <c r="AA93" i="1"/>
  <c r="Y93" i="1"/>
  <c r="R93" i="1"/>
  <c r="AG93" i="1" s="1"/>
  <c r="Q93" i="1"/>
  <c r="AI92" i="1"/>
  <c r="AC92" i="1"/>
  <c r="AB92" i="1"/>
  <c r="AA92" i="1"/>
  <c r="Y92" i="1"/>
  <c r="R92" i="1"/>
  <c r="AG92" i="1" s="1"/>
  <c r="Q92" i="1"/>
  <c r="AI91" i="1"/>
  <c r="AC91" i="1"/>
  <c r="AB91" i="1"/>
  <c r="AA91" i="1"/>
  <c r="Y91" i="1"/>
  <c r="R91" i="1"/>
  <c r="AG91" i="1" s="1"/>
  <c r="Q91" i="1"/>
  <c r="AI90" i="1"/>
  <c r="AC90" i="1"/>
  <c r="AB90" i="1"/>
  <c r="AA90" i="1"/>
  <c r="Y90" i="1"/>
  <c r="R90" i="1"/>
  <c r="AG90" i="1" s="1"/>
  <c r="Q90" i="1"/>
  <c r="AI89" i="1"/>
  <c r="AC89" i="1"/>
  <c r="AB89" i="1"/>
  <c r="AA89" i="1"/>
  <c r="Y89" i="1"/>
  <c r="R89" i="1"/>
  <c r="AG89" i="1" s="1"/>
  <c r="Q89" i="1"/>
  <c r="AI88" i="1"/>
  <c r="AC88" i="1"/>
  <c r="AB88" i="1"/>
  <c r="AA88" i="1"/>
  <c r="Y88" i="1"/>
  <c r="R88" i="1"/>
  <c r="AG88" i="1" s="1"/>
  <c r="Q88" i="1"/>
  <c r="AI87" i="1"/>
  <c r="AC87" i="1"/>
  <c r="AB87" i="1"/>
  <c r="AA87" i="1"/>
  <c r="Y87" i="1"/>
  <c r="R87" i="1"/>
  <c r="AG87" i="1" s="1"/>
  <c r="Q87" i="1"/>
  <c r="AI86" i="1"/>
  <c r="AC86" i="1"/>
  <c r="AB86" i="1"/>
  <c r="AA86" i="1"/>
  <c r="Y86" i="1"/>
  <c r="R86" i="1"/>
  <c r="AG86" i="1" s="1"/>
  <c r="Q86" i="1"/>
  <c r="AI85" i="1"/>
  <c r="AC85" i="1"/>
  <c r="AB85" i="1"/>
  <c r="AA85" i="1"/>
  <c r="Y85" i="1"/>
  <c r="R85" i="1"/>
  <c r="AG85" i="1" s="1"/>
  <c r="Q85" i="1"/>
  <c r="AI84" i="1"/>
  <c r="AC84" i="1"/>
  <c r="AB84" i="1"/>
  <c r="AA84" i="1"/>
  <c r="Y84" i="1"/>
  <c r="R84" i="1"/>
  <c r="AG84" i="1" s="1"/>
  <c r="Q84" i="1"/>
  <c r="AI83" i="1"/>
  <c r="AC83" i="1"/>
  <c r="AB83" i="1"/>
  <c r="AA83" i="1"/>
  <c r="Y83" i="1"/>
  <c r="R83" i="1"/>
  <c r="AG83" i="1" s="1"/>
  <c r="Q83" i="1"/>
  <c r="AI82" i="1"/>
  <c r="AC82" i="1"/>
  <c r="AB82" i="1"/>
  <c r="AA82" i="1"/>
  <c r="Y82" i="1"/>
  <c r="R82" i="1"/>
  <c r="AG82" i="1" s="1"/>
  <c r="Q82" i="1"/>
  <c r="AI81" i="1"/>
  <c r="AC81" i="1"/>
  <c r="AB81" i="1"/>
  <c r="AA81" i="1"/>
  <c r="Y81" i="1"/>
  <c r="R81" i="1"/>
  <c r="AG81" i="1" s="1"/>
  <c r="Q81" i="1"/>
  <c r="AI80" i="1"/>
  <c r="AC80" i="1"/>
  <c r="AB80" i="1"/>
  <c r="AA80" i="1"/>
  <c r="Y80" i="1"/>
  <c r="R80" i="1"/>
  <c r="AG80" i="1" s="1"/>
  <c r="Q80" i="1"/>
  <c r="AI79" i="1"/>
  <c r="AC79" i="1"/>
  <c r="AB79" i="1"/>
  <c r="AA79" i="1"/>
  <c r="Y79" i="1"/>
  <c r="R79" i="1"/>
  <c r="AG79" i="1" s="1"/>
  <c r="Q79" i="1"/>
  <c r="AI78" i="1"/>
  <c r="AC78" i="1"/>
  <c r="AB78" i="1"/>
  <c r="AA78" i="1"/>
  <c r="Y78" i="1"/>
  <c r="R78" i="1"/>
  <c r="AG78" i="1" s="1"/>
  <c r="Q78" i="1"/>
  <c r="AI77" i="1"/>
  <c r="AC77" i="1"/>
  <c r="AB77" i="1"/>
  <c r="AA77" i="1"/>
  <c r="Y77" i="1"/>
  <c r="R77" i="1"/>
  <c r="AG77" i="1" s="1"/>
  <c r="Q77" i="1"/>
  <c r="AI76" i="1"/>
  <c r="AC76" i="1"/>
  <c r="AB76" i="1"/>
  <c r="AA76" i="1"/>
  <c r="Y76" i="1"/>
  <c r="R76" i="1"/>
  <c r="AG76" i="1" s="1"/>
  <c r="Q76" i="1"/>
  <c r="AI75" i="1"/>
  <c r="AC75" i="1"/>
  <c r="AB75" i="1"/>
  <c r="AA75" i="1"/>
  <c r="Y75" i="1"/>
  <c r="R75" i="1"/>
  <c r="AG75" i="1" s="1"/>
  <c r="Q75" i="1"/>
  <c r="AI74" i="1"/>
  <c r="AC74" i="1"/>
  <c r="AB74" i="1"/>
  <c r="AA74" i="1"/>
  <c r="Y74" i="1"/>
  <c r="R74" i="1"/>
  <c r="AG74" i="1" s="1"/>
  <c r="Q74" i="1"/>
  <c r="AI73" i="1"/>
  <c r="AC73" i="1"/>
  <c r="AB73" i="1"/>
  <c r="AA73" i="1"/>
  <c r="Y73" i="1"/>
  <c r="R73" i="1"/>
  <c r="AG73" i="1" s="1"/>
  <c r="Q73" i="1"/>
  <c r="AI72" i="1"/>
  <c r="AC72" i="1"/>
  <c r="AB72" i="1"/>
  <c r="AA72" i="1"/>
  <c r="Y72" i="1"/>
  <c r="R72" i="1"/>
  <c r="AG72" i="1" s="1"/>
  <c r="Q72" i="1"/>
  <c r="AI71" i="1"/>
  <c r="AC71" i="1"/>
  <c r="AB71" i="1"/>
  <c r="AA71" i="1"/>
  <c r="Y71" i="1"/>
  <c r="R71" i="1"/>
  <c r="AG71" i="1" s="1"/>
  <c r="Q71" i="1"/>
  <c r="AI70" i="1"/>
  <c r="AC70" i="1"/>
  <c r="AB70" i="1"/>
  <c r="AA70" i="1"/>
  <c r="Y70" i="1"/>
  <c r="R70" i="1"/>
  <c r="AG70" i="1" s="1"/>
  <c r="Q70" i="1"/>
  <c r="AI69" i="1"/>
  <c r="AC69" i="1"/>
  <c r="AB69" i="1"/>
  <c r="AA69" i="1"/>
  <c r="Y69" i="1"/>
  <c r="R69" i="1"/>
  <c r="AG69" i="1" s="1"/>
  <c r="Q69" i="1"/>
  <c r="AI68" i="1"/>
  <c r="AC68" i="1"/>
  <c r="AB68" i="1"/>
  <c r="AA68" i="1"/>
  <c r="Y68" i="1"/>
  <c r="R68" i="1"/>
  <c r="AG68" i="1" s="1"/>
  <c r="Q68" i="1"/>
  <c r="AI67" i="1"/>
  <c r="AC67" i="1"/>
  <c r="AB67" i="1"/>
  <c r="AA67" i="1"/>
  <c r="Y67" i="1"/>
  <c r="R67" i="1"/>
  <c r="AG67" i="1" s="1"/>
  <c r="Q67" i="1"/>
  <c r="AI66" i="1"/>
  <c r="AC66" i="1"/>
  <c r="AB66" i="1"/>
  <c r="AA66" i="1"/>
  <c r="Y66" i="1"/>
  <c r="R66" i="1"/>
  <c r="AG66" i="1" s="1"/>
  <c r="Q66" i="1"/>
  <c r="AI65" i="1"/>
  <c r="AC65" i="1"/>
  <c r="AB65" i="1"/>
  <c r="AA65" i="1"/>
  <c r="Y65" i="1"/>
  <c r="R65" i="1"/>
  <c r="AG65" i="1" s="1"/>
  <c r="Q65" i="1"/>
  <c r="AI64" i="1"/>
  <c r="AC64" i="1"/>
  <c r="AB64" i="1"/>
  <c r="AA64" i="1"/>
  <c r="Y64" i="1"/>
  <c r="R64" i="1"/>
  <c r="AG64" i="1" s="1"/>
  <c r="Q64" i="1"/>
  <c r="AI63" i="1"/>
  <c r="AC63" i="1"/>
  <c r="AB63" i="1"/>
  <c r="AA63" i="1"/>
  <c r="Y63" i="1"/>
  <c r="R63" i="1"/>
  <c r="AG63" i="1" s="1"/>
  <c r="Q63" i="1"/>
  <c r="AI62" i="1"/>
  <c r="AC62" i="1"/>
  <c r="AB62" i="1"/>
  <c r="AA62" i="1"/>
  <c r="Y62" i="1"/>
  <c r="R62" i="1"/>
  <c r="AG62" i="1" s="1"/>
  <c r="Q62" i="1"/>
  <c r="AI61" i="1"/>
  <c r="AC61" i="1"/>
  <c r="AB61" i="1"/>
  <c r="AA61" i="1"/>
  <c r="Y61" i="1"/>
  <c r="R61" i="1"/>
  <c r="AG61" i="1" s="1"/>
  <c r="Q61" i="1"/>
  <c r="AI60" i="1"/>
  <c r="AC60" i="1"/>
  <c r="AB60" i="1"/>
  <c r="AA60" i="1"/>
  <c r="Y60" i="1"/>
  <c r="T60" i="1"/>
  <c r="R60" i="1"/>
  <c r="AG60" i="1" s="1"/>
  <c r="Q60" i="1"/>
  <c r="AI59" i="1"/>
  <c r="AC59" i="1"/>
  <c r="AB59" i="1"/>
  <c r="AA59" i="1"/>
  <c r="Y59" i="1"/>
  <c r="R59" i="1"/>
  <c r="AG59" i="1" s="1"/>
  <c r="Q59" i="1"/>
  <c r="AI58" i="1"/>
  <c r="AC58" i="1"/>
  <c r="AB58" i="1"/>
  <c r="AA58" i="1"/>
  <c r="Y58" i="1"/>
  <c r="R58" i="1"/>
  <c r="AG58" i="1" s="1"/>
  <c r="Q58" i="1"/>
  <c r="AI57" i="1"/>
  <c r="AC57" i="1"/>
  <c r="AB57" i="1"/>
  <c r="AA57" i="1"/>
  <c r="Y57" i="1"/>
  <c r="R57" i="1"/>
  <c r="AG57" i="1" s="1"/>
  <c r="Q57" i="1"/>
  <c r="AI56" i="1"/>
  <c r="AC56" i="1"/>
  <c r="AB56" i="1"/>
  <c r="AA56" i="1"/>
  <c r="Y56" i="1"/>
  <c r="R56" i="1"/>
  <c r="AG56" i="1" s="1"/>
  <c r="Q56" i="1"/>
  <c r="AI55" i="1"/>
  <c r="AC55" i="1"/>
  <c r="AB55" i="1"/>
  <c r="AA55" i="1"/>
  <c r="Y55" i="1"/>
  <c r="R55" i="1"/>
  <c r="AG55" i="1" s="1"/>
  <c r="Q55" i="1"/>
  <c r="AI54" i="1"/>
  <c r="AC54" i="1"/>
  <c r="AB54" i="1"/>
  <c r="AA54" i="1"/>
  <c r="Y54" i="1"/>
  <c r="R54" i="1"/>
  <c r="AG54" i="1" s="1"/>
  <c r="Q54" i="1"/>
  <c r="AI53" i="1"/>
  <c r="AC53" i="1"/>
  <c r="AB53" i="1"/>
  <c r="AA53" i="1"/>
  <c r="Y53" i="1"/>
  <c r="R53" i="1"/>
  <c r="AG53" i="1" s="1"/>
  <c r="Q53" i="1"/>
  <c r="AI52" i="1"/>
  <c r="AC52" i="1"/>
  <c r="AB52" i="1"/>
  <c r="AA52" i="1"/>
  <c r="Y52" i="1"/>
  <c r="R52" i="1"/>
  <c r="AG52" i="1" s="1"/>
  <c r="Q52" i="1"/>
  <c r="AI51" i="1"/>
  <c r="AC51" i="1"/>
  <c r="AB51" i="1"/>
  <c r="AA51" i="1"/>
  <c r="Y51" i="1"/>
  <c r="R51" i="1"/>
  <c r="AG51" i="1" s="1"/>
  <c r="Q51" i="1"/>
  <c r="AI50" i="1"/>
  <c r="AC50" i="1"/>
  <c r="AB50" i="1"/>
  <c r="AA50" i="1"/>
  <c r="Y50" i="1"/>
  <c r="R50" i="1"/>
  <c r="AG50" i="1" s="1"/>
  <c r="Q50" i="1"/>
  <c r="AI49" i="1"/>
  <c r="AC49" i="1"/>
  <c r="AB49" i="1"/>
  <c r="AA49" i="1"/>
  <c r="Y49" i="1"/>
  <c r="R49" i="1"/>
  <c r="AG49" i="1" s="1"/>
  <c r="Q49" i="1"/>
  <c r="AI48" i="1"/>
  <c r="AC48" i="1"/>
  <c r="AB48" i="1"/>
  <c r="AA48" i="1"/>
  <c r="Y48" i="1"/>
  <c r="R48" i="1"/>
  <c r="AG48" i="1" s="1"/>
  <c r="Q48" i="1"/>
  <c r="AI47" i="1"/>
  <c r="AC47" i="1"/>
  <c r="AB47" i="1"/>
  <c r="AA47" i="1"/>
  <c r="Y47" i="1"/>
  <c r="R47" i="1"/>
  <c r="AG47" i="1" s="1"/>
  <c r="Q47" i="1"/>
  <c r="AI46" i="1"/>
  <c r="AC46" i="1"/>
  <c r="AB46" i="1"/>
  <c r="AA46" i="1"/>
  <c r="Y46" i="1"/>
  <c r="R46" i="1"/>
  <c r="AG46" i="1" s="1"/>
  <c r="Q46" i="1"/>
  <c r="AI45" i="1"/>
  <c r="AC45" i="1"/>
  <c r="AB45" i="1"/>
  <c r="AA45" i="1"/>
  <c r="Y45" i="1"/>
  <c r="R45" i="1"/>
  <c r="AG45" i="1" s="1"/>
  <c r="Q45" i="1"/>
  <c r="AI44" i="1"/>
  <c r="AC44" i="1"/>
  <c r="AB44" i="1"/>
  <c r="AA44" i="1"/>
  <c r="Y44" i="1"/>
  <c r="R44" i="1"/>
  <c r="AG44" i="1" s="1"/>
  <c r="Q44" i="1"/>
  <c r="AI43" i="1"/>
  <c r="AC43" i="1"/>
  <c r="AB43" i="1"/>
  <c r="AA43" i="1"/>
  <c r="Y43" i="1"/>
  <c r="R43" i="1"/>
  <c r="AG43" i="1" s="1"/>
  <c r="Q43" i="1"/>
  <c r="AI42" i="1"/>
  <c r="AC42" i="1"/>
  <c r="AB42" i="1"/>
  <c r="AA42" i="1"/>
  <c r="Y42" i="1"/>
  <c r="R42" i="1"/>
  <c r="AG42" i="1" s="1"/>
  <c r="Q42" i="1"/>
  <c r="AI41" i="1"/>
  <c r="AC41" i="1"/>
  <c r="AB41" i="1"/>
  <c r="AA41" i="1"/>
  <c r="Y41" i="1"/>
  <c r="R41" i="1"/>
  <c r="AG41" i="1" s="1"/>
  <c r="Q41" i="1"/>
  <c r="AI40" i="1"/>
  <c r="AC40" i="1"/>
  <c r="AB40" i="1"/>
  <c r="AA40" i="1"/>
  <c r="Y40" i="1"/>
  <c r="R40" i="1"/>
  <c r="AG40" i="1" s="1"/>
  <c r="Q40" i="1"/>
  <c r="AI39" i="1"/>
  <c r="AC39" i="1"/>
  <c r="AB39" i="1"/>
  <c r="AA39" i="1"/>
  <c r="Y39" i="1"/>
  <c r="R39" i="1"/>
  <c r="AG39" i="1" s="1"/>
  <c r="Q39" i="1"/>
  <c r="AI38" i="1"/>
  <c r="AC38" i="1"/>
  <c r="AB38" i="1"/>
  <c r="AA38" i="1"/>
  <c r="Y38" i="1"/>
  <c r="R38" i="1"/>
  <c r="AG38" i="1" s="1"/>
  <c r="Q38" i="1"/>
  <c r="AI37" i="1"/>
  <c r="AC37" i="1"/>
  <c r="AB37" i="1"/>
  <c r="AA37" i="1"/>
  <c r="Y37" i="1"/>
  <c r="R37" i="1"/>
  <c r="AG37" i="1" s="1"/>
  <c r="Q37" i="1"/>
  <c r="AI36" i="1"/>
  <c r="AC36" i="1"/>
  <c r="AB36" i="1"/>
  <c r="AA36" i="1"/>
  <c r="Y36" i="1"/>
  <c r="R36" i="1"/>
  <c r="AG36" i="1" s="1"/>
  <c r="Q36" i="1"/>
  <c r="AI35" i="1"/>
  <c r="AC35" i="1"/>
  <c r="AB35" i="1"/>
  <c r="AA35" i="1"/>
  <c r="Y35" i="1"/>
  <c r="R35" i="1"/>
  <c r="AG35" i="1" s="1"/>
  <c r="Q35" i="1"/>
  <c r="AI34" i="1"/>
  <c r="AC34" i="1"/>
  <c r="AB34" i="1"/>
  <c r="AA34" i="1"/>
  <c r="Y34" i="1"/>
  <c r="R34" i="1"/>
  <c r="AG34" i="1" s="1"/>
  <c r="Q34" i="1"/>
  <c r="AI33" i="1"/>
  <c r="AC33" i="1"/>
  <c r="AB33" i="1"/>
  <c r="AA33" i="1"/>
  <c r="Y33" i="1"/>
  <c r="R33" i="1"/>
  <c r="AG33" i="1" s="1"/>
  <c r="Q33" i="1"/>
  <c r="AI32" i="1"/>
  <c r="AC32" i="1"/>
  <c r="AB32" i="1"/>
  <c r="AA32" i="1"/>
  <c r="Y32" i="1"/>
  <c r="R32" i="1"/>
  <c r="AG32" i="1" s="1"/>
  <c r="Q32" i="1"/>
  <c r="AI31" i="1"/>
  <c r="AC31" i="1"/>
  <c r="AB31" i="1"/>
  <c r="AA31" i="1"/>
  <c r="Y31" i="1"/>
  <c r="R31" i="1"/>
  <c r="AG31" i="1" s="1"/>
  <c r="Q31" i="1"/>
  <c r="AI30" i="1"/>
  <c r="AC30" i="1"/>
  <c r="AB30" i="1"/>
  <c r="AA30" i="1"/>
  <c r="Y30" i="1"/>
  <c r="R30" i="1"/>
  <c r="AG30" i="1" s="1"/>
  <c r="Q30" i="1"/>
  <c r="AI29" i="1"/>
  <c r="AC29" i="1"/>
  <c r="AB29" i="1"/>
  <c r="AA29" i="1"/>
  <c r="Y29" i="1"/>
  <c r="R29" i="1"/>
  <c r="AG29" i="1" s="1"/>
  <c r="Q29" i="1"/>
  <c r="AI28" i="1"/>
  <c r="AC28" i="1"/>
  <c r="AB28" i="1"/>
  <c r="AA28" i="1"/>
  <c r="Y28" i="1"/>
  <c r="R28" i="1"/>
  <c r="AG28" i="1" s="1"/>
  <c r="Q28" i="1"/>
  <c r="AI27" i="1"/>
  <c r="AC27" i="1"/>
  <c r="AB27" i="1"/>
  <c r="AA27" i="1"/>
  <c r="Y27" i="1"/>
  <c r="R27" i="1"/>
  <c r="AG27" i="1" s="1"/>
  <c r="Q27" i="1"/>
  <c r="AI26" i="1"/>
  <c r="AC26" i="1"/>
  <c r="AB26" i="1"/>
  <c r="AA26" i="1"/>
  <c r="Y26" i="1"/>
  <c r="S26" i="1"/>
  <c r="R26" i="1"/>
  <c r="AG26" i="1" s="1"/>
  <c r="Q26" i="1"/>
  <c r="AI25" i="1"/>
  <c r="AC25" i="1"/>
  <c r="AB25" i="1"/>
  <c r="AA25" i="1"/>
  <c r="Y25" i="1"/>
  <c r="R25" i="1"/>
  <c r="AG25" i="1" s="1"/>
  <c r="Q25" i="1"/>
  <c r="AI24" i="1"/>
  <c r="AC24" i="1"/>
  <c r="AB24" i="1"/>
  <c r="AA24" i="1"/>
  <c r="Y24" i="1"/>
  <c r="R24" i="1"/>
  <c r="AG24" i="1" s="1"/>
  <c r="Q24" i="1"/>
  <c r="AI23" i="1"/>
  <c r="AC23" i="1"/>
  <c r="AB23" i="1"/>
  <c r="AA23" i="1"/>
  <c r="Y23" i="1"/>
  <c r="R23" i="1"/>
  <c r="AG23" i="1" s="1"/>
  <c r="Q23" i="1"/>
  <c r="AI22" i="1"/>
  <c r="AC22" i="1"/>
  <c r="AB22" i="1"/>
  <c r="AA22" i="1"/>
  <c r="Y22" i="1"/>
  <c r="R22" i="1"/>
  <c r="AG22" i="1" s="1"/>
  <c r="Q22" i="1"/>
  <c r="AI21" i="1"/>
  <c r="AC21" i="1"/>
  <c r="AB21" i="1"/>
  <c r="AA21" i="1"/>
  <c r="Y21" i="1"/>
  <c r="R21" i="1"/>
  <c r="AG21" i="1" s="1"/>
  <c r="Q21" i="1"/>
  <c r="AI20" i="1"/>
  <c r="AC20" i="1"/>
  <c r="AB20" i="1"/>
  <c r="AA20" i="1"/>
  <c r="Y20" i="1"/>
  <c r="R20" i="1"/>
  <c r="AG20" i="1" s="1"/>
  <c r="Q20" i="1"/>
  <c r="AI19" i="1"/>
  <c r="AC19" i="1"/>
  <c r="AB19" i="1"/>
  <c r="AA19" i="1"/>
  <c r="Y19" i="1"/>
  <c r="R19" i="1"/>
  <c r="AG19" i="1" s="1"/>
  <c r="Q19" i="1"/>
  <c r="AI18" i="1"/>
  <c r="AC18" i="1"/>
  <c r="AB18" i="1"/>
  <c r="AA18" i="1"/>
  <c r="Y18" i="1"/>
  <c r="R18" i="1"/>
  <c r="AG18" i="1" s="1"/>
  <c r="Q18" i="1"/>
  <c r="AI17" i="1"/>
  <c r="AC17" i="1"/>
  <c r="AB17" i="1"/>
  <c r="AA17" i="1"/>
  <c r="Y17" i="1"/>
  <c r="R17" i="1"/>
  <c r="AG17" i="1" s="1"/>
  <c r="Q17" i="1"/>
  <c r="AI16" i="1"/>
  <c r="AC16" i="1"/>
  <c r="AB16" i="1"/>
  <c r="AA16" i="1"/>
  <c r="Y16" i="1"/>
  <c r="R16" i="1"/>
  <c r="AG16" i="1" s="1"/>
  <c r="Q16" i="1"/>
  <c r="AI15" i="1"/>
  <c r="AC15" i="1"/>
  <c r="AB15" i="1"/>
  <c r="AA15" i="1"/>
  <c r="Y15" i="1"/>
  <c r="R15" i="1"/>
  <c r="AG15" i="1" s="1"/>
  <c r="Q15" i="1"/>
  <c r="AI14" i="1"/>
  <c r="AC14" i="1"/>
  <c r="AB14" i="1"/>
  <c r="AA14" i="1"/>
  <c r="Y14" i="1"/>
  <c r="R14" i="1"/>
  <c r="AG14" i="1" s="1"/>
  <c r="Q14" i="1"/>
  <c r="AI13" i="1"/>
  <c r="AC13" i="1"/>
  <c r="AB13" i="1"/>
  <c r="AA13" i="1"/>
  <c r="Y13" i="1"/>
  <c r="R13" i="1"/>
  <c r="AG13" i="1" s="1"/>
  <c r="Q13" i="1"/>
  <c r="AI12" i="1"/>
  <c r="AC12" i="1"/>
  <c r="AB12" i="1"/>
  <c r="AA12" i="1"/>
  <c r="Y12" i="1"/>
  <c r="R12" i="1"/>
  <c r="AG12" i="1" s="1"/>
  <c r="Q12" i="1"/>
  <c r="AI11" i="1"/>
  <c r="AC11" i="1"/>
  <c r="AB11" i="1"/>
  <c r="AA11" i="1"/>
  <c r="Y11" i="1"/>
  <c r="R11" i="1"/>
  <c r="AG11" i="1" s="1"/>
  <c r="Q11" i="1"/>
  <c r="AI10" i="1"/>
  <c r="AC10" i="1"/>
  <c r="AB10" i="1"/>
  <c r="AA10" i="1"/>
  <c r="Y10" i="1"/>
  <c r="R10" i="1"/>
  <c r="AG10" i="1" s="1"/>
  <c r="Q10" i="1"/>
  <c r="AI9" i="1"/>
  <c r="AC9" i="1"/>
  <c r="AB9" i="1"/>
  <c r="AA9" i="1"/>
  <c r="Y9" i="1"/>
  <c r="R9" i="1"/>
  <c r="AG9" i="1" s="1"/>
  <c r="Q9" i="1"/>
  <c r="AI8" i="1"/>
  <c r="AC8" i="1"/>
  <c r="AB8" i="1"/>
  <c r="AA8" i="1"/>
  <c r="Y8" i="1"/>
  <c r="R8" i="1"/>
  <c r="AG8" i="1" s="1"/>
  <c r="Q8" i="1"/>
  <c r="AI7" i="1"/>
  <c r="AC7" i="1"/>
  <c r="AB7" i="1"/>
  <c r="AA7" i="1"/>
  <c r="Y7" i="1"/>
  <c r="R7" i="1"/>
  <c r="AG7" i="1" s="1"/>
  <c r="Q7" i="1"/>
  <c r="AI6" i="1"/>
  <c r="AC6" i="1"/>
  <c r="AB6" i="1"/>
  <c r="AA6" i="1"/>
  <c r="Y6" i="1"/>
  <c r="R6" i="1"/>
  <c r="AG6" i="1" s="1"/>
  <c r="Q6" i="1"/>
  <c r="AI5" i="1"/>
  <c r="AC5" i="1"/>
  <c r="AB5" i="1"/>
  <c r="AA5" i="1"/>
  <c r="Y5" i="1"/>
  <c r="R5" i="1"/>
  <c r="AG5" i="1" s="1"/>
  <c r="Q5" i="1"/>
  <c r="AI4" i="1"/>
  <c r="AC4" i="1"/>
  <c r="AB4" i="1"/>
  <c r="AA4" i="1"/>
  <c r="Y4" i="1"/>
  <c r="R4" i="1"/>
  <c r="AG4" i="1" s="1"/>
  <c r="Q4" i="1"/>
  <c r="AI3" i="1"/>
  <c r="AC3" i="1"/>
  <c r="AB3" i="1"/>
  <c r="AA3" i="1"/>
  <c r="Y3" i="1"/>
  <c r="R3" i="1"/>
  <c r="AG3" i="1" s="1"/>
  <c r="Q3" i="1"/>
  <c r="AI2" i="1"/>
  <c r="AC2" i="1"/>
  <c r="AB2" i="1"/>
  <c r="AA2" i="1"/>
  <c r="Y2" i="1"/>
  <c r="R2" i="1"/>
  <c r="AG2" i="1" s="1"/>
  <c r="Q2" i="1"/>
  <c r="N240" i="1" l="1"/>
  <c r="N602" i="1"/>
  <c r="O602" i="1" s="1"/>
  <c r="N149" i="1"/>
  <c r="O149" i="1" s="1"/>
  <c r="B10" i="19"/>
  <c r="D9" i="19"/>
  <c r="D8" i="20"/>
  <c r="E7" i="20"/>
  <c r="N689" i="1"/>
  <c r="O689" i="1" s="1"/>
  <c r="K226" i="8"/>
  <c r="I226" i="8"/>
  <c r="S642" i="1"/>
  <c r="K83" i="8"/>
  <c r="Q83" i="8"/>
  <c r="I148" i="8"/>
  <c r="Q148" i="8"/>
  <c r="K316" i="8"/>
  <c r="I316" i="8"/>
  <c r="T801" i="1"/>
  <c r="S744" i="1"/>
  <c r="T718" i="1"/>
  <c r="S607" i="1"/>
  <c r="T587" i="1"/>
  <c r="T577" i="1"/>
  <c r="T532" i="1"/>
  <c r="G508" i="1"/>
  <c r="M508" i="1" s="1"/>
  <c r="T506" i="1"/>
  <c r="T500" i="1"/>
  <c r="T457" i="1"/>
  <c r="S430" i="1"/>
  <c r="V336" i="1"/>
  <c r="X336" i="1" s="1"/>
  <c r="W336" i="1" s="1"/>
  <c r="T238" i="1"/>
  <c r="T236" i="1"/>
  <c r="T195" i="1"/>
  <c r="G189" i="1"/>
  <c r="S186" i="1"/>
  <c r="S180" i="1"/>
  <c r="V150" i="1"/>
  <c r="X150" i="1" s="1"/>
  <c r="S131" i="1"/>
  <c r="T43" i="1"/>
  <c r="S41" i="1"/>
  <c r="S37" i="1"/>
  <c r="T34" i="1"/>
  <c r="S500" i="1"/>
  <c r="S457" i="1"/>
  <c r="T433" i="1"/>
  <c r="T336" i="1"/>
  <c r="S801" i="1"/>
  <c r="S718" i="1"/>
  <c r="V649" i="1"/>
  <c r="X649" i="1" s="1"/>
  <c r="W649" i="1" s="1"/>
  <c r="T613" i="1"/>
  <c r="S587" i="1"/>
  <c r="S577" i="1"/>
  <c r="S532" i="1"/>
  <c r="S506" i="1"/>
  <c r="V777" i="1"/>
  <c r="X777" i="1" s="1"/>
  <c r="V771" i="1"/>
  <c r="X771" i="1" s="1"/>
  <c r="T741" i="1"/>
  <c r="T688" i="1"/>
  <c r="T649" i="1"/>
  <c r="S613" i="1"/>
  <c r="T527" i="1"/>
  <c r="T487" i="1"/>
  <c r="S433" i="1"/>
  <c r="T429" i="1"/>
  <c r="S336" i="1"/>
  <c r="S234" i="1"/>
  <c r="T222" i="1"/>
  <c r="T189" i="1"/>
  <c r="S164" i="1"/>
  <c r="S150" i="1"/>
  <c r="T140" i="1"/>
  <c r="T778" i="1"/>
  <c r="T756" i="1"/>
  <c r="T744" i="1"/>
  <c r="T693" i="1"/>
  <c r="T648" i="1"/>
  <c r="S589" i="1"/>
  <c r="S535" i="1"/>
  <c r="S524" i="1"/>
  <c r="T497" i="1"/>
  <c r="S460" i="1"/>
  <c r="S431" i="1"/>
  <c r="T430" i="1"/>
  <c r="G336" i="1"/>
  <c r="S327" i="1"/>
  <c r="S238" i="1"/>
  <c r="T233" i="1"/>
  <c r="T186" i="1"/>
  <c r="S60" i="1"/>
  <c r="T42" i="1"/>
  <c r="S39" i="1"/>
  <c r="T37" i="1"/>
  <c r="S34" i="1"/>
  <c r="S42" i="1"/>
  <c r="T6" i="1"/>
  <c r="T41" i="1"/>
  <c r="S6" i="1"/>
  <c r="S222" i="1"/>
  <c r="T132" i="1"/>
  <c r="T100" i="1"/>
  <c r="S778" i="1"/>
  <c r="S756" i="1"/>
  <c r="S693" i="1"/>
  <c r="G649" i="1"/>
  <c r="M649" i="1" s="1"/>
  <c r="S648" i="1"/>
  <c r="S497" i="1"/>
  <c r="S233" i="1"/>
  <c r="T12" i="1"/>
  <c r="S777" i="1"/>
  <c r="S578" i="1"/>
  <c r="S235" i="1"/>
  <c r="T150" i="1"/>
  <c r="S140" i="1"/>
  <c r="S12" i="1"/>
  <c r="T777" i="1"/>
  <c r="S741" i="1"/>
  <c r="T722" i="1"/>
  <c r="S688" i="1"/>
  <c r="T607" i="1"/>
  <c r="T578" i="1"/>
  <c r="S429" i="1"/>
  <c r="T235" i="1"/>
  <c r="T111" i="1"/>
  <c r="S722" i="1"/>
  <c r="T237" i="1"/>
  <c r="S111" i="1"/>
  <c r="T45" i="1"/>
  <c r="T26" i="1"/>
  <c r="Z2" i="8"/>
  <c r="S775" i="1"/>
  <c r="S772" i="1"/>
  <c r="S721" i="1"/>
  <c r="T716" i="1"/>
  <c r="S650" i="1"/>
  <c r="T626" i="1"/>
  <c r="T622" i="1"/>
  <c r="S527" i="1"/>
  <c r="T508" i="1"/>
  <c r="S487" i="1"/>
  <c r="V467" i="1"/>
  <c r="X467" i="1" s="1"/>
  <c r="W467" i="1" s="1"/>
  <c r="T381" i="1"/>
  <c r="S197" i="1"/>
  <c r="V189" i="1"/>
  <c r="X189" i="1" s="1"/>
  <c r="W189" i="1" s="1"/>
  <c r="S165" i="1"/>
  <c r="T139" i="1"/>
  <c r="V131" i="1"/>
  <c r="S43" i="1"/>
  <c r="S40" i="1"/>
  <c r="T771" i="1"/>
  <c r="T759" i="1"/>
  <c r="S716" i="1"/>
  <c r="T705" i="1"/>
  <c r="K135" i="8"/>
  <c r="I135" i="8"/>
  <c r="S132" i="1"/>
  <c r="S236" i="1"/>
  <c r="S381" i="1"/>
  <c r="S508" i="1"/>
  <c r="T589" i="1"/>
  <c r="T721" i="1"/>
  <c r="S759" i="1"/>
  <c r="I26" i="8"/>
  <c r="K26" i="8"/>
  <c r="Q65" i="8"/>
  <c r="K65" i="8"/>
  <c r="N65" i="8" s="1"/>
  <c r="I65" i="8"/>
  <c r="I77" i="8"/>
  <c r="K77" i="8"/>
  <c r="V186" i="1"/>
  <c r="X186" i="1" s="1"/>
  <c r="W186" i="1" s="1"/>
  <c r="T327" i="1"/>
  <c r="T39" i="1"/>
  <c r="T642" i="1"/>
  <c r="V42" i="1"/>
  <c r="X42" i="1" s="1"/>
  <c r="W42" i="1" s="1"/>
  <c r="S45" i="1"/>
  <c r="S139" i="1"/>
  <c r="T180" i="1"/>
  <c r="G234" i="1"/>
  <c r="H234" i="1" s="1"/>
  <c r="S467" i="1"/>
  <c r="T524" i="1"/>
  <c r="T775" i="1"/>
  <c r="S237" i="1"/>
  <c r="T431" i="1"/>
  <c r="I57" i="8"/>
  <c r="K57" i="8"/>
  <c r="K187" i="8"/>
  <c r="N187" i="8" s="1"/>
  <c r="I187" i="8"/>
  <c r="L193" i="8"/>
  <c r="M193" i="8" s="1"/>
  <c r="O193" i="8" s="1"/>
  <c r="N193" i="8"/>
  <c r="T40" i="1"/>
  <c r="T460" i="1"/>
  <c r="T467" i="1"/>
  <c r="G497" i="1"/>
  <c r="H497" i="1" s="1"/>
  <c r="S626" i="1"/>
  <c r="S705" i="1"/>
  <c r="V744" i="1"/>
  <c r="X744" i="1" s="1"/>
  <c r="W744" i="1" s="1"/>
  <c r="I61" i="8"/>
  <c r="K61" i="8"/>
  <c r="K76" i="8"/>
  <c r="I76" i="8"/>
  <c r="N98" i="8"/>
  <c r="L98" i="8"/>
  <c r="M197" i="8"/>
  <c r="O197" i="8" s="1"/>
  <c r="K271" i="8"/>
  <c r="N271" i="8" s="1"/>
  <c r="I271" i="8"/>
  <c r="Q64" i="8"/>
  <c r="K64" i="8"/>
  <c r="N64" i="8" s="1"/>
  <c r="I64" i="8"/>
  <c r="K82" i="8"/>
  <c r="L82" i="8" s="1"/>
  <c r="M82" i="8" s="1"/>
  <c r="O82" i="8" s="1"/>
  <c r="K206" i="8"/>
  <c r="L206" i="8" s="1"/>
  <c r="I206" i="8"/>
  <c r="K211" i="8"/>
  <c r="I211" i="8"/>
  <c r="Q350" i="8"/>
  <c r="I350" i="8"/>
  <c r="K347" i="8"/>
  <c r="I347" i="8"/>
  <c r="Q8" i="8"/>
  <c r="K8" i="8"/>
  <c r="L20" i="8"/>
  <c r="M20" i="8" s="1"/>
  <c r="O20" i="8" s="1"/>
  <c r="N20" i="8"/>
  <c r="Q25" i="8"/>
  <c r="K25" i="8"/>
  <c r="I25" i="8"/>
  <c r="M40" i="8"/>
  <c r="O40" i="8" s="1"/>
  <c r="I50" i="8"/>
  <c r="L80" i="8"/>
  <c r="N80" i="8"/>
  <c r="M80" i="8"/>
  <c r="O80" i="8" s="1"/>
  <c r="Q156" i="8"/>
  <c r="K156" i="8"/>
  <c r="I156" i="8"/>
  <c r="I186" i="8"/>
  <c r="Q186" i="8"/>
  <c r="K186" i="8"/>
  <c r="Q44" i="8"/>
  <c r="K44" i="8"/>
  <c r="N44" i="8" s="1"/>
  <c r="K50" i="8"/>
  <c r="N50" i="8" s="1"/>
  <c r="V688" i="1" s="1"/>
  <c r="Q103" i="8"/>
  <c r="K103" i="8"/>
  <c r="I103" i="8"/>
  <c r="I281" i="8"/>
  <c r="K281" i="8"/>
  <c r="K345" i="8"/>
  <c r="L345" i="8" s="1"/>
  <c r="Q345" i="8"/>
  <c r="I345" i="8"/>
  <c r="N12" i="8"/>
  <c r="V234" i="1" s="1"/>
  <c r="V35" i="8"/>
  <c r="W35" i="8" s="1"/>
  <c r="N40" i="8"/>
  <c r="Q41" i="8"/>
  <c r="K41" i="8"/>
  <c r="I41" i="8"/>
  <c r="K43" i="8"/>
  <c r="I44" i="8"/>
  <c r="Q78" i="8"/>
  <c r="K78" i="8"/>
  <c r="N78" i="8" s="1"/>
  <c r="I78" i="8"/>
  <c r="I280" i="8"/>
  <c r="Q280" i="8"/>
  <c r="K295" i="8"/>
  <c r="L295" i="8" s="1"/>
  <c r="Q295" i="8"/>
  <c r="I295" i="8"/>
  <c r="K333" i="8"/>
  <c r="I333" i="8"/>
  <c r="L81" i="8"/>
  <c r="M81" i="8" s="1"/>
  <c r="O81" i="8" s="1"/>
  <c r="N81" i="8"/>
  <c r="K124" i="8"/>
  <c r="Q124" i="8"/>
  <c r="K185" i="8"/>
  <c r="I185" i="8"/>
  <c r="Q185" i="8"/>
  <c r="Q2" i="8"/>
  <c r="K2" i="8"/>
  <c r="K63" i="8"/>
  <c r="K75" i="8"/>
  <c r="Q153" i="8"/>
  <c r="K153" i="8"/>
  <c r="N153" i="8" s="1"/>
  <c r="Q154" i="8"/>
  <c r="K154" i="8"/>
  <c r="N154" i="8" s="1"/>
  <c r="I154" i="8"/>
  <c r="Q170" i="8"/>
  <c r="I170" i="8"/>
  <c r="Q184" i="8"/>
  <c r="K184" i="8"/>
  <c r="I230" i="8"/>
  <c r="K230" i="8"/>
  <c r="L230" i="8" s="1"/>
  <c r="I2" i="8"/>
  <c r="I59" i="8"/>
  <c r="I73" i="8"/>
  <c r="K74" i="8"/>
  <c r="K149" i="8"/>
  <c r="N149" i="8" s="1"/>
  <c r="I149" i="8"/>
  <c r="I153" i="8"/>
  <c r="K170" i="8"/>
  <c r="V179" i="8"/>
  <c r="W179" i="8" s="1"/>
  <c r="I184" i="8"/>
  <c r="Q296" i="8"/>
  <c r="I296" i="8"/>
  <c r="Q308" i="8"/>
  <c r="I308" i="8"/>
  <c r="N309" i="8"/>
  <c r="L309" i="8"/>
  <c r="M309" i="8" s="1"/>
  <c r="O309" i="8" s="1"/>
  <c r="K320" i="8"/>
  <c r="I320" i="8"/>
  <c r="I357" i="8"/>
  <c r="K357" i="8"/>
  <c r="N357" i="8" s="1"/>
  <c r="Q362" i="8"/>
  <c r="K362" i="8"/>
  <c r="L362" i="8" s="1"/>
  <c r="I362" i="8"/>
  <c r="K59" i="8"/>
  <c r="K62" i="8"/>
  <c r="L62" i="8" s="1"/>
  <c r="M62" i="8" s="1"/>
  <c r="O62" i="8" s="1"/>
  <c r="Q174" i="8"/>
  <c r="K174" i="8"/>
  <c r="L174" i="8" s="1"/>
  <c r="I174" i="8"/>
  <c r="L183" i="8"/>
  <c r="N183" i="8"/>
  <c r="Q229" i="8"/>
  <c r="I229" i="8"/>
  <c r="K229" i="8"/>
  <c r="N229" i="8" s="1"/>
  <c r="L308" i="8"/>
  <c r="M308" i="8" s="1"/>
  <c r="O308" i="8" s="1"/>
  <c r="N308" i="8"/>
  <c r="K356" i="8"/>
  <c r="I356" i="8"/>
  <c r="Q28" i="8"/>
  <c r="V43" i="8"/>
  <c r="W43" i="8" s="1"/>
  <c r="Q70" i="8"/>
  <c r="Q72" i="8"/>
  <c r="V90" i="8"/>
  <c r="W90" i="8" s="1"/>
  <c r="Q95" i="8"/>
  <c r="Q102" i="8"/>
  <c r="Q118" i="8"/>
  <c r="K118" i="8"/>
  <c r="N118" i="8" s="1"/>
  <c r="I118" i="8"/>
  <c r="Q133" i="8"/>
  <c r="K133" i="8"/>
  <c r="N133" i="8" s="1"/>
  <c r="I133" i="8"/>
  <c r="Q270" i="8"/>
  <c r="K270" i="8"/>
  <c r="L302" i="8"/>
  <c r="M302" i="8" s="1"/>
  <c r="O302" i="8" s="1"/>
  <c r="N302" i="8"/>
  <c r="K330" i="8"/>
  <c r="Q330" i="8"/>
  <c r="Q3" i="8"/>
  <c r="Q81" i="8"/>
  <c r="Q93" i="8"/>
  <c r="Q258" i="8"/>
  <c r="K258" i="8"/>
  <c r="L258" i="8" s="1"/>
  <c r="M258" i="8" s="1"/>
  <c r="I258" i="8"/>
  <c r="I330" i="8"/>
  <c r="N335" i="8"/>
  <c r="L335" i="8"/>
  <c r="M335" i="8" s="1"/>
  <c r="O335" i="8" s="1"/>
  <c r="Q339" i="8"/>
  <c r="I339" i="8"/>
  <c r="K355" i="8"/>
  <c r="N355" i="8" s="1"/>
  <c r="I3" i="8"/>
  <c r="I9" i="8"/>
  <c r="K16" i="8"/>
  <c r="N16" i="8" s="1"/>
  <c r="Q36" i="8"/>
  <c r="Q56" i="8"/>
  <c r="M58" i="8"/>
  <c r="O58" i="8" s="1"/>
  <c r="K70" i="8"/>
  <c r="N70" i="8" s="1"/>
  <c r="K72" i="8"/>
  <c r="Q85" i="8"/>
  <c r="I93" i="8"/>
  <c r="I100" i="8"/>
  <c r="I104" i="8"/>
  <c r="I132" i="8"/>
  <c r="K132" i="8"/>
  <c r="L132" i="8" s="1"/>
  <c r="I147" i="8"/>
  <c r="Q155" i="8"/>
  <c r="K155" i="8"/>
  <c r="N155" i="8" s="1"/>
  <c r="I155" i="8"/>
  <c r="V174" i="8"/>
  <c r="W174" i="8" s="1"/>
  <c r="Q268" i="8"/>
  <c r="K294" i="8"/>
  <c r="I294" i="8"/>
  <c r="L339" i="8"/>
  <c r="M339" i="8"/>
  <c r="Q355" i="8"/>
  <c r="Q364" i="8"/>
  <c r="K364" i="8"/>
  <c r="I364" i="8"/>
  <c r="K3" i="8"/>
  <c r="L9" i="8"/>
  <c r="M9" i="8" s="1"/>
  <c r="O9" i="8" s="1"/>
  <c r="Q12" i="8"/>
  <c r="I18" i="8"/>
  <c r="M28" i="8"/>
  <c r="O28" i="8" s="1"/>
  <c r="K35" i="8"/>
  <c r="I36" i="8"/>
  <c r="M68" i="8"/>
  <c r="O68" i="8" s="1"/>
  <c r="K93" i="8"/>
  <c r="Q94" i="8"/>
  <c r="Q108" i="8"/>
  <c r="N131" i="8"/>
  <c r="L131" i="8"/>
  <c r="M131" i="8" s="1"/>
  <c r="O131" i="8" s="1"/>
  <c r="Q151" i="8"/>
  <c r="K151" i="8"/>
  <c r="Q171" i="8"/>
  <c r="K171" i="8"/>
  <c r="L171" i="8" s="1"/>
  <c r="Q125" i="8"/>
  <c r="Q152" i="8"/>
  <c r="V181" i="8"/>
  <c r="W181" i="8" s="1"/>
  <c r="Q191" i="8"/>
  <c r="Q192" i="8"/>
  <c r="V198" i="8"/>
  <c r="W198" i="8" s="1"/>
  <c r="Q359" i="8"/>
  <c r="V183" i="8"/>
  <c r="W183" i="8" s="1"/>
  <c r="Q228" i="8"/>
  <c r="K311" i="8"/>
  <c r="M340" i="8"/>
  <c r="V349" i="8"/>
  <c r="W349" i="8" s="1"/>
  <c r="Q357" i="8"/>
  <c r="Q380" i="8"/>
  <c r="K382" i="8"/>
  <c r="L382" i="8" s="1"/>
  <c r="K385" i="8"/>
  <c r="Q119" i="8"/>
  <c r="Q143" i="8"/>
  <c r="Q158" i="8"/>
  <c r="Q175" i="8"/>
  <c r="K179" i="8"/>
  <c r="K180" i="8"/>
  <c r="I188" i="8"/>
  <c r="I190" i="8"/>
  <c r="Q196" i="8"/>
  <c r="Q199" i="8"/>
  <c r="Q214" i="8"/>
  <c r="I247" i="8"/>
  <c r="I249" i="8"/>
  <c r="I250" i="8"/>
  <c r="Q262" i="8"/>
  <c r="K277" i="8"/>
  <c r="N277" i="8" s="1"/>
  <c r="N297" i="8"/>
  <c r="V303" i="8"/>
  <c r="W303" i="8" s="1"/>
  <c r="Q304" i="8"/>
  <c r="V307" i="8"/>
  <c r="W307" i="8" s="1"/>
  <c r="I312" i="8"/>
  <c r="Q314" i="8"/>
  <c r="I331" i="8"/>
  <c r="K351" i="8"/>
  <c r="L351" i="8" s="1"/>
  <c r="V354" i="8"/>
  <c r="W354" i="8" s="1"/>
  <c r="Q116" i="8"/>
  <c r="I119" i="8"/>
  <c r="I120" i="8"/>
  <c r="I143" i="8"/>
  <c r="I158" i="8"/>
  <c r="I159" i="8"/>
  <c r="Q160" i="8"/>
  <c r="I175" i="8"/>
  <c r="K181" i="8"/>
  <c r="L190" i="8"/>
  <c r="M190" i="8" s="1"/>
  <c r="O190" i="8" s="1"/>
  <c r="I191" i="8"/>
  <c r="Q193" i="8"/>
  <c r="I196" i="8"/>
  <c r="Q265" i="8"/>
  <c r="I287" i="8"/>
  <c r="M301" i="8"/>
  <c r="O301" i="8" s="1"/>
  <c r="K312" i="8"/>
  <c r="V315" i="8"/>
  <c r="W315" i="8" s="1"/>
  <c r="K318" i="8"/>
  <c r="N318" i="8" s="1"/>
  <c r="V346" i="8"/>
  <c r="W346" i="8" s="1"/>
  <c r="I353" i="8"/>
  <c r="Q365" i="8"/>
  <c r="K369" i="8"/>
  <c r="L369" i="8" s="1"/>
  <c r="M369" i="8" s="1"/>
  <c r="O369" i="8" s="1"/>
  <c r="Q115" i="8"/>
  <c r="K119" i="8"/>
  <c r="N119" i="8" s="1"/>
  <c r="I121" i="8"/>
  <c r="I142" i="8"/>
  <c r="K143" i="8"/>
  <c r="N143" i="8" s="1"/>
  <c r="Q150" i="8"/>
  <c r="K158" i="8"/>
  <c r="K175" i="8"/>
  <c r="Q188" i="8"/>
  <c r="L191" i="8"/>
  <c r="M191" i="8" s="1"/>
  <c r="O191" i="8" s="1"/>
  <c r="K196" i="8"/>
  <c r="K199" i="8"/>
  <c r="L199" i="8" s="1"/>
  <c r="L202" i="8"/>
  <c r="K210" i="8"/>
  <c r="N210" i="8" s="1"/>
  <c r="K214" i="8"/>
  <c r="I217" i="8"/>
  <c r="I218" i="8"/>
  <c r="Q247" i="8"/>
  <c r="Q248" i="8"/>
  <c r="I265" i="8"/>
  <c r="K274" i="8"/>
  <c r="M287" i="8"/>
  <c r="O287" i="8" s="1"/>
  <c r="K310" i="8"/>
  <c r="Q331" i="8"/>
  <c r="Q333" i="8"/>
  <c r="N660" i="1"/>
  <c r="O660" i="1" s="1"/>
  <c r="H649" i="1"/>
  <c r="N239" i="1"/>
  <c r="O239" i="1" s="1"/>
  <c r="O240" i="1"/>
  <c r="N661" i="1"/>
  <c r="O661" i="1" s="1"/>
  <c r="N486" i="1"/>
  <c r="O486" i="1" s="1"/>
  <c r="X131" i="1"/>
  <c r="W131" i="1" s="1"/>
  <c r="X756" i="1"/>
  <c r="W756" i="1" s="1"/>
  <c r="K21" i="8"/>
  <c r="I21" i="8"/>
  <c r="Q21" i="8"/>
  <c r="K34" i="8"/>
  <c r="I34" i="8"/>
  <c r="Q34" i="8"/>
  <c r="L150" i="8"/>
  <c r="M150" i="8" s="1"/>
  <c r="O150" i="8" s="1"/>
  <c r="N150" i="8"/>
  <c r="N126" i="8"/>
  <c r="L126" i="8"/>
  <c r="M126" i="8" s="1"/>
  <c r="O126" i="8" s="1"/>
  <c r="K15" i="8"/>
  <c r="I15" i="8"/>
  <c r="N18" i="8"/>
  <c r="L18" i="8"/>
  <c r="M18" i="8" s="1"/>
  <c r="K24" i="8"/>
  <c r="Q24" i="8"/>
  <c r="I24" i="8"/>
  <c r="N86" i="8"/>
  <c r="L86" i="8"/>
  <c r="M86" i="8" s="1"/>
  <c r="K23" i="8"/>
  <c r="I23" i="8"/>
  <c r="Q23" i="8"/>
  <c r="K22" i="8"/>
  <c r="I22" i="8"/>
  <c r="Q22" i="8"/>
  <c r="N69" i="8"/>
  <c r="M69" i="8"/>
  <c r="O69" i="8" s="1"/>
  <c r="L69" i="8"/>
  <c r="N17" i="8"/>
  <c r="M17" i="8"/>
  <c r="K29" i="8"/>
  <c r="I29" i="8"/>
  <c r="Q29" i="8"/>
  <c r="N35" i="8"/>
  <c r="L35" i="8"/>
  <c r="M35" i="8" s="1"/>
  <c r="O35" i="8" s="1"/>
  <c r="K37" i="8"/>
  <c r="I37" i="8"/>
  <c r="N38" i="8"/>
  <c r="L38" i="8"/>
  <c r="M38" i="8" s="1"/>
  <c r="O38" i="8" s="1"/>
  <c r="K48" i="8"/>
  <c r="I48" i="8"/>
  <c r="K49" i="8"/>
  <c r="I49" i="8"/>
  <c r="N67" i="8"/>
  <c r="M67" i="8"/>
  <c r="O67" i="8" s="1"/>
  <c r="N25" i="8"/>
  <c r="L25" i="8"/>
  <c r="M25" i="8" s="1"/>
  <c r="N26" i="8"/>
  <c r="K30" i="8"/>
  <c r="I30" i="8"/>
  <c r="Q30" i="8"/>
  <c r="K33" i="8"/>
  <c r="I33" i="8"/>
  <c r="Q33" i="8"/>
  <c r="N42" i="8"/>
  <c r="K47" i="8"/>
  <c r="I47" i="8"/>
  <c r="Q47" i="8"/>
  <c r="N54" i="8"/>
  <c r="N66" i="8"/>
  <c r="L66" i="8"/>
  <c r="M66" i="8" s="1"/>
  <c r="O66" i="8" s="1"/>
  <c r="N73" i="8"/>
  <c r="M73" i="8"/>
  <c r="O73" i="8" s="1"/>
  <c r="N125" i="8"/>
  <c r="L125" i="8"/>
  <c r="M125" i="8" s="1"/>
  <c r="O125" i="8" s="1"/>
  <c r="K134" i="8"/>
  <c r="I134" i="8"/>
  <c r="Q134" i="8"/>
  <c r="K4" i="8"/>
  <c r="I4" i="8"/>
  <c r="Q4" i="8"/>
  <c r="L26" i="8"/>
  <c r="M26" i="8" s="1"/>
  <c r="K32" i="8"/>
  <c r="I32" i="8"/>
  <c r="Q32" i="8"/>
  <c r="N60" i="8"/>
  <c r="M60" i="8"/>
  <c r="O60" i="8" s="1"/>
  <c r="N76" i="8"/>
  <c r="K96" i="8"/>
  <c r="I96" i="8"/>
  <c r="Q96" i="8"/>
  <c r="B131" i="8"/>
  <c r="Z131" i="8" s="1"/>
  <c r="L139" i="8"/>
  <c r="M139" i="8" s="1"/>
  <c r="O139" i="8" s="1"/>
  <c r="N139" i="8"/>
  <c r="K169" i="8"/>
  <c r="Q169" i="8"/>
  <c r="I169" i="8"/>
  <c r="K5" i="8"/>
  <c r="I5" i="8"/>
  <c r="Q5" i="8"/>
  <c r="L11" i="8"/>
  <c r="M11" i="8" s="1"/>
  <c r="O11" i="8" s="1"/>
  <c r="K31" i="8"/>
  <c r="I31" i="8"/>
  <c r="Q31" i="8"/>
  <c r="L42" i="8"/>
  <c r="M42" i="8" s="1"/>
  <c r="O42" i="8" s="1"/>
  <c r="K46" i="8"/>
  <c r="I46" i="8"/>
  <c r="Q46" i="8"/>
  <c r="N52" i="8"/>
  <c r="L52" i="8"/>
  <c r="M52" i="8" s="1"/>
  <c r="N53" i="8"/>
  <c r="L53" i="8"/>
  <c r="M53" i="8" s="1"/>
  <c r="O53" i="8" s="1"/>
  <c r="L54" i="8"/>
  <c r="M54" i="8" s="1"/>
  <c r="N55" i="8"/>
  <c r="M55" i="8"/>
  <c r="O55" i="8" s="1"/>
  <c r="N63" i="8"/>
  <c r="L63" i="8"/>
  <c r="M63" i="8" s="1"/>
  <c r="L73" i="8"/>
  <c r="N75" i="8"/>
  <c r="L75" i="8"/>
  <c r="M75" i="8" s="1"/>
  <c r="O75" i="8" s="1"/>
  <c r="N84" i="8"/>
  <c r="L84" i="8"/>
  <c r="M84" i="8" s="1"/>
  <c r="O84" i="8" s="1"/>
  <c r="K6" i="8"/>
  <c r="I6" i="8"/>
  <c r="Q6" i="8"/>
  <c r="L27" i="8"/>
  <c r="N43" i="8"/>
  <c r="L43" i="8"/>
  <c r="M43" i="8" s="1"/>
  <c r="O43" i="8" s="1"/>
  <c r="K45" i="8"/>
  <c r="I45" i="8"/>
  <c r="Q51" i="8"/>
  <c r="K51" i="8"/>
  <c r="L60" i="8"/>
  <c r="N74" i="8"/>
  <c r="L74" i="8"/>
  <c r="M74" i="8" s="1"/>
  <c r="O74" i="8" s="1"/>
  <c r="L76" i="8"/>
  <c r="M76" i="8" s="1"/>
  <c r="O76" i="8" s="1"/>
  <c r="N83" i="8"/>
  <c r="L83" i="8"/>
  <c r="M83" i="8" s="1"/>
  <c r="O83" i="8" s="1"/>
  <c r="K109" i="8"/>
  <c r="Q109" i="8"/>
  <c r="I109" i="8"/>
  <c r="K7" i="8"/>
  <c r="I7" i="8"/>
  <c r="Q7" i="8"/>
  <c r="M27" i="8"/>
  <c r="N61" i="8"/>
  <c r="L61" i="8"/>
  <c r="M61" i="8" s="1"/>
  <c r="O61" i="8" s="1"/>
  <c r="N77" i="8"/>
  <c r="L77" i="8"/>
  <c r="M77" i="8" s="1"/>
  <c r="O77" i="8" s="1"/>
  <c r="Q79" i="8"/>
  <c r="K79" i="8"/>
  <c r="I79" i="8"/>
  <c r="N82" i="8"/>
  <c r="K13" i="8"/>
  <c r="I13" i="8"/>
  <c r="Q13" i="8"/>
  <c r="K14" i="8"/>
  <c r="I14" i="8"/>
  <c r="Q14" i="8"/>
  <c r="M19" i="8"/>
  <c r="O19" i="8" s="1"/>
  <c r="N39" i="8"/>
  <c r="L39" i="8"/>
  <c r="M39" i="8" s="1"/>
  <c r="O39" i="8" s="1"/>
  <c r="Q45" i="8"/>
  <c r="N71" i="8"/>
  <c r="L71" i="8"/>
  <c r="M71" i="8" s="1"/>
  <c r="O71" i="8" s="1"/>
  <c r="O89" i="8"/>
  <c r="B89" i="8"/>
  <c r="Z89" i="8" s="1"/>
  <c r="Q91" i="8"/>
  <c r="K91" i="8"/>
  <c r="I91" i="8"/>
  <c r="Q38" i="8"/>
  <c r="Q69" i="8"/>
  <c r="N108" i="8"/>
  <c r="L108" i="8"/>
  <c r="M108" i="8" s="1"/>
  <c r="O108" i="8" s="1"/>
  <c r="K110" i="8"/>
  <c r="I110" i="8"/>
  <c r="K128" i="8"/>
  <c r="I128" i="8"/>
  <c r="Q128" i="8"/>
  <c r="L129" i="8"/>
  <c r="M129" i="8" s="1"/>
  <c r="L133" i="8"/>
  <c r="M133" i="8" s="1"/>
  <c r="N158" i="8"/>
  <c r="L158" i="8"/>
  <c r="M158" i="8" s="1"/>
  <c r="O158" i="8" s="1"/>
  <c r="K387" i="8"/>
  <c r="I387" i="8"/>
  <c r="Q387" i="8"/>
  <c r="L36" i="8"/>
  <c r="M36" i="8" s="1"/>
  <c r="O36" i="8" s="1"/>
  <c r="I38" i="8"/>
  <c r="Q39" i="8"/>
  <c r="L44" i="8"/>
  <c r="M44" i="8" s="1"/>
  <c r="O44" i="8" s="1"/>
  <c r="L64" i="8"/>
  <c r="M64" i="8" s="1"/>
  <c r="I69" i="8"/>
  <c r="L70" i="8"/>
  <c r="L87" i="8"/>
  <c r="M87" i="8" s="1"/>
  <c r="N93" i="8"/>
  <c r="K97" i="8"/>
  <c r="I97" i="8"/>
  <c r="Q111" i="8"/>
  <c r="L113" i="8"/>
  <c r="L127" i="8"/>
  <c r="M127" i="8" s="1"/>
  <c r="O127" i="8" s="1"/>
  <c r="L135" i="8"/>
  <c r="M135" i="8" s="1"/>
  <c r="L142" i="8"/>
  <c r="M142" i="8" s="1"/>
  <c r="O142" i="8" s="1"/>
  <c r="N161" i="8"/>
  <c r="I162" i="8"/>
  <c r="K162" i="8"/>
  <c r="Q162" i="8"/>
  <c r="K168" i="8"/>
  <c r="I168" i="8"/>
  <c r="Q168" i="8"/>
  <c r="I39" i="8"/>
  <c r="Q57" i="8"/>
  <c r="Q58" i="8"/>
  <c r="Q68" i="8"/>
  <c r="M70" i="8"/>
  <c r="O70" i="8" s="1"/>
  <c r="I83" i="8"/>
  <c r="I85" i="8"/>
  <c r="Q86" i="8"/>
  <c r="I87" i="8"/>
  <c r="L90" i="8"/>
  <c r="M90" i="8" s="1"/>
  <c r="L94" i="8"/>
  <c r="M94" i="8" s="1"/>
  <c r="N103" i="8"/>
  <c r="L103" i="8"/>
  <c r="M103" i="8" s="1"/>
  <c r="O103" i="8" s="1"/>
  <c r="L106" i="8"/>
  <c r="M106" i="8" s="1"/>
  <c r="O106" i="8" s="1"/>
  <c r="Q110" i="8"/>
  <c r="I112" i="8"/>
  <c r="M113" i="8"/>
  <c r="N129" i="8"/>
  <c r="L140" i="8"/>
  <c r="M140" i="8" s="1"/>
  <c r="O140" i="8" s="1"/>
  <c r="M141" i="8"/>
  <c r="O141" i="8" s="1"/>
  <c r="K145" i="8"/>
  <c r="I145" i="8"/>
  <c r="N146" i="8"/>
  <c r="L146" i="8"/>
  <c r="M146" i="8" s="1"/>
  <c r="O146" i="8" s="1"/>
  <c r="L161" i="8"/>
  <c r="M161" i="8" s="1"/>
  <c r="O161" i="8" s="1"/>
  <c r="K166" i="8"/>
  <c r="I166" i="8"/>
  <c r="Q166" i="8"/>
  <c r="N188" i="8"/>
  <c r="L188" i="8"/>
  <c r="M188" i="8" s="1"/>
  <c r="O188" i="8" s="1"/>
  <c r="I237" i="8"/>
  <c r="Q237" i="8"/>
  <c r="I242" i="8"/>
  <c r="K242" i="8"/>
  <c r="Q242" i="8"/>
  <c r="Q80" i="8"/>
  <c r="I81" i="8"/>
  <c r="Q82" i="8"/>
  <c r="Q84" i="8"/>
  <c r="K85" i="8"/>
  <c r="V86" i="8"/>
  <c r="W86" i="8" s="1"/>
  <c r="N87" i="8"/>
  <c r="I94" i="8"/>
  <c r="L104" i="8"/>
  <c r="M104" i="8" s="1"/>
  <c r="O104" i="8" s="1"/>
  <c r="Q120" i="8"/>
  <c r="M130" i="8"/>
  <c r="N135" i="8"/>
  <c r="N141" i="8"/>
  <c r="N142" i="8"/>
  <c r="K144" i="8"/>
  <c r="I144" i="8"/>
  <c r="Q144" i="8"/>
  <c r="I146" i="8"/>
  <c r="K237" i="8"/>
  <c r="Q9" i="8"/>
  <c r="Q10" i="8"/>
  <c r="Q11" i="8"/>
  <c r="Q18" i="8"/>
  <c r="Q19" i="8"/>
  <c r="Q27" i="8"/>
  <c r="Q42" i="8"/>
  <c r="Q54" i="8"/>
  <c r="Q55" i="8"/>
  <c r="Q60" i="8"/>
  <c r="Q67" i="8"/>
  <c r="Q73" i="8"/>
  <c r="Q76" i="8"/>
  <c r="V93" i="8"/>
  <c r="W93" i="8" s="1"/>
  <c r="N94" i="8"/>
  <c r="Q112" i="8"/>
  <c r="N130" i="8"/>
  <c r="Q145" i="8"/>
  <c r="N147" i="8"/>
  <c r="L147" i="8"/>
  <c r="M147" i="8" s="1"/>
  <c r="O147" i="8" s="1"/>
  <c r="K165" i="8"/>
  <c r="Q165" i="8"/>
  <c r="I165" i="8"/>
  <c r="Q17" i="8"/>
  <c r="Q26" i="8"/>
  <c r="Q35" i="8"/>
  <c r="Q43" i="8"/>
  <c r="Q52" i="8"/>
  <c r="Q53" i="8"/>
  <c r="Q61" i="8"/>
  <c r="Q62" i="8"/>
  <c r="Q63" i="8"/>
  <c r="Q66" i="8"/>
  <c r="Q71" i="8"/>
  <c r="Q74" i="8"/>
  <c r="Q75" i="8"/>
  <c r="Q77" i="8"/>
  <c r="K88" i="8"/>
  <c r="I88" i="8"/>
  <c r="N92" i="8"/>
  <c r="K95" i="8"/>
  <c r="I95" i="8"/>
  <c r="L100" i="8"/>
  <c r="M100" i="8" s="1"/>
  <c r="O100" i="8" s="1"/>
  <c r="I101" i="8"/>
  <c r="Q101" i="8"/>
  <c r="N107" i="8"/>
  <c r="K123" i="8"/>
  <c r="I123" i="8"/>
  <c r="N124" i="8"/>
  <c r="L124" i="8"/>
  <c r="M124" i="8" s="1"/>
  <c r="O124" i="8" s="1"/>
  <c r="L136" i="8"/>
  <c r="M136" i="8" s="1"/>
  <c r="O136" i="8" s="1"/>
  <c r="K137" i="8"/>
  <c r="I137" i="8"/>
  <c r="Q137" i="8"/>
  <c r="Q146" i="8"/>
  <c r="N214" i="8"/>
  <c r="L214" i="8"/>
  <c r="M214" i="8" s="1"/>
  <c r="O214" i="8" s="1"/>
  <c r="I80" i="8"/>
  <c r="Q87" i="8"/>
  <c r="L92" i="8"/>
  <c r="M92" i="8" s="1"/>
  <c r="M98" i="8"/>
  <c r="O98" i="8" s="1"/>
  <c r="L99" i="8"/>
  <c r="M99" i="8" s="1"/>
  <c r="O99" i="8" s="1"/>
  <c r="K101" i="8"/>
  <c r="K102" i="8"/>
  <c r="I102" i="8"/>
  <c r="K105" i="8"/>
  <c r="I105" i="8"/>
  <c r="L107" i="8"/>
  <c r="M107" i="8" s="1"/>
  <c r="O107" i="8" s="1"/>
  <c r="K114" i="8"/>
  <c r="I114" i="8"/>
  <c r="K115" i="8"/>
  <c r="I115" i="8"/>
  <c r="K116" i="8"/>
  <c r="I116" i="8"/>
  <c r="K117" i="8"/>
  <c r="I117" i="8"/>
  <c r="L121" i="8"/>
  <c r="M121" i="8" s="1"/>
  <c r="O121" i="8" s="1"/>
  <c r="K122" i="8"/>
  <c r="I122" i="8"/>
  <c r="Q122" i="8"/>
  <c r="I124" i="8"/>
  <c r="N132" i="8"/>
  <c r="L159" i="8"/>
  <c r="M159" i="8" s="1"/>
  <c r="O159" i="8" s="1"/>
  <c r="N170" i="8"/>
  <c r="L170" i="8"/>
  <c r="M170" i="8" s="1"/>
  <c r="O170" i="8" s="1"/>
  <c r="N171" i="8"/>
  <c r="N174" i="8"/>
  <c r="M174" i="8"/>
  <c r="O174" i="8" s="1"/>
  <c r="K189" i="8"/>
  <c r="I189" i="8"/>
  <c r="Q189" i="8"/>
  <c r="N219" i="8"/>
  <c r="L219" i="8"/>
  <c r="M219" i="8" s="1"/>
  <c r="O219" i="8" s="1"/>
  <c r="I236" i="8"/>
  <c r="Q236" i="8"/>
  <c r="K236" i="8"/>
  <c r="Q100" i="8"/>
  <c r="Q104" i="8"/>
  <c r="Q121" i="8"/>
  <c r="Q129" i="8"/>
  <c r="Q135" i="8"/>
  <c r="Q142" i="8"/>
  <c r="N152" i="8"/>
  <c r="L152" i="8"/>
  <c r="M152" i="8" s="1"/>
  <c r="O152" i="8" s="1"/>
  <c r="I163" i="8"/>
  <c r="K163" i="8"/>
  <c r="K194" i="8"/>
  <c r="I194" i="8"/>
  <c r="Q194" i="8"/>
  <c r="I195" i="8"/>
  <c r="Q195" i="8"/>
  <c r="N208" i="8"/>
  <c r="L208" i="8"/>
  <c r="M208" i="8" s="1"/>
  <c r="O208" i="8" s="1"/>
  <c r="L358" i="8"/>
  <c r="M358" i="8" s="1"/>
  <c r="O358" i="8" s="1"/>
  <c r="N358" i="8"/>
  <c r="Q130" i="8"/>
  <c r="Q138" i="8"/>
  <c r="Q139" i="8"/>
  <c r="Q141" i="8"/>
  <c r="N156" i="8"/>
  <c r="Q157" i="8"/>
  <c r="N176" i="8"/>
  <c r="L176" i="8"/>
  <c r="M176" i="8" s="1"/>
  <c r="O176" i="8" s="1"/>
  <c r="K195" i="8"/>
  <c r="K313" i="8"/>
  <c r="I313" i="8"/>
  <c r="Q313" i="8"/>
  <c r="Q89" i="8"/>
  <c r="Q98" i="8"/>
  <c r="Q99" i="8"/>
  <c r="Q106" i="8"/>
  <c r="L111" i="8"/>
  <c r="Q113" i="8"/>
  <c r="L118" i="8"/>
  <c r="L119" i="8"/>
  <c r="L120" i="8"/>
  <c r="Q127" i="8"/>
  <c r="I130" i="8"/>
  <c r="Q131" i="8"/>
  <c r="Q136" i="8"/>
  <c r="I138" i="8"/>
  <c r="I139" i="8"/>
  <c r="Q140" i="8"/>
  <c r="I141" i="8"/>
  <c r="L143" i="8"/>
  <c r="M143" i="8" s="1"/>
  <c r="O143" i="8" s="1"/>
  <c r="L156" i="8"/>
  <c r="M156" i="8" s="1"/>
  <c r="O156" i="8" s="1"/>
  <c r="I176" i="8"/>
  <c r="K177" i="8"/>
  <c r="I177" i="8"/>
  <c r="L178" i="8"/>
  <c r="M178" i="8" s="1"/>
  <c r="O178" i="8" s="1"/>
  <c r="N178" i="8"/>
  <c r="I89" i="8"/>
  <c r="Q90" i="8"/>
  <c r="I98" i="8"/>
  <c r="I99" i="8"/>
  <c r="I106" i="8"/>
  <c r="Q107" i="8"/>
  <c r="M111" i="8"/>
  <c r="O111" i="8" s="1"/>
  <c r="I113" i="8"/>
  <c r="M118" i="8"/>
  <c r="O118" i="8" s="1"/>
  <c r="M119" i="8"/>
  <c r="O119" i="8" s="1"/>
  <c r="M120" i="8"/>
  <c r="Q126" i="8"/>
  <c r="I127" i="8"/>
  <c r="I131" i="8"/>
  <c r="Q132" i="8"/>
  <c r="I136" i="8"/>
  <c r="I140" i="8"/>
  <c r="K148" i="8"/>
  <c r="N157" i="8"/>
  <c r="Q159" i="8"/>
  <c r="N160" i="8"/>
  <c r="L160" i="8"/>
  <c r="M160" i="8" s="1"/>
  <c r="O160" i="8" s="1"/>
  <c r="Q161" i="8"/>
  <c r="Q164" i="8"/>
  <c r="I164" i="8"/>
  <c r="L192" i="8"/>
  <c r="N192" i="8"/>
  <c r="M192" i="8"/>
  <c r="O192" i="8" s="1"/>
  <c r="L196" i="8"/>
  <c r="M196" i="8" s="1"/>
  <c r="O196" i="8" s="1"/>
  <c r="N196" i="8"/>
  <c r="Q147" i="8"/>
  <c r="L157" i="8"/>
  <c r="M157" i="8" s="1"/>
  <c r="O157" i="8" s="1"/>
  <c r="Q163" i="8"/>
  <c r="K164" i="8"/>
  <c r="V175" i="8"/>
  <c r="W175" i="8" s="1"/>
  <c r="Q176" i="8"/>
  <c r="Q177" i="8"/>
  <c r="K172" i="8"/>
  <c r="K173" i="8"/>
  <c r="M182" i="8"/>
  <c r="O182" i="8" s="1"/>
  <c r="M183" i="8"/>
  <c r="O183" i="8" s="1"/>
  <c r="V199" i="8"/>
  <c r="W199" i="8" s="1"/>
  <c r="N204" i="8"/>
  <c r="M206" i="8"/>
  <c r="O206" i="8" s="1"/>
  <c r="L210" i="8"/>
  <c r="N218" i="8"/>
  <c r="L218" i="8"/>
  <c r="M218" i="8" s="1"/>
  <c r="O218" i="8" s="1"/>
  <c r="N222" i="8"/>
  <c r="L222" i="8"/>
  <c r="M222" i="8" s="1"/>
  <c r="O222" i="8" s="1"/>
  <c r="N226" i="8"/>
  <c r="L226" i="8"/>
  <c r="M226" i="8" s="1"/>
  <c r="O226" i="8" s="1"/>
  <c r="I234" i="8"/>
  <c r="K234" i="8"/>
  <c r="I235" i="8"/>
  <c r="K235" i="8"/>
  <c r="N249" i="8"/>
  <c r="L249" i="8"/>
  <c r="M249" i="8" s="1"/>
  <c r="O249" i="8" s="1"/>
  <c r="K256" i="8"/>
  <c r="Q256" i="8"/>
  <c r="L357" i="8"/>
  <c r="M357" i="8" s="1"/>
  <c r="O357" i="8" s="1"/>
  <c r="Q178" i="8"/>
  <c r="M202" i="8"/>
  <c r="I205" i="8"/>
  <c r="Q205" i="8"/>
  <c r="N206" i="8"/>
  <c r="N209" i="8"/>
  <c r="Q211" i="8"/>
  <c r="N215" i="8"/>
  <c r="L223" i="8"/>
  <c r="M223" i="8" s="1"/>
  <c r="O223" i="8" s="1"/>
  <c r="I238" i="8"/>
  <c r="K238" i="8"/>
  <c r="Q238" i="8"/>
  <c r="K243" i="8"/>
  <c r="I243" i="8"/>
  <c r="Q243" i="8"/>
  <c r="N264" i="8"/>
  <c r="K300" i="8"/>
  <c r="Q300" i="8"/>
  <c r="I300" i="8"/>
  <c r="I178" i="8"/>
  <c r="Q179" i="8"/>
  <c r="Q180" i="8"/>
  <c r="Q181" i="8"/>
  <c r="Q182" i="8"/>
  <c r="Q183" i="8"/>
  <c r="Q187" i="8"/>
  <c r="N199" i="8"/>
  <c r="Q203" i="8"/>
  <c r="Q204" i="8"/>
  <c r="K205" i="8"/>
  <c r="M207" i="8"/>
  <c r="O207" i="8" s="1"/>
  <c r="Q208" i="8"/>
  <c r="Q210" i="8"/>
  <c r="I215" i="8"/>
  <c r="N220" i="8"/>
  <c r="L220" i="8"/>
  <c r="M220" i="8" s="1"/>
  <c r="O220" i="8" s="1"/>
  <c r="N223" i="8"/>
  <c r="K245" i="8"/>
  <c r="I245" i="8"/>
  <c r="N246" i="8"/>
  <c r="L246" i="8"/>
  <c r="M246" i="8" s="1"/>
  <c r="O246" i="8" s="1"/>
  <c r="L264" i="8"/>
  <c r="M264" i="8" s="1"/>
  <c r="O264" i="8" s="1"/>
  <c r="I267" i="8"/>
  <c r="K267" i="8"/>
  <c r="Q267" i="8"/>
  <c r="L280" i="8"/>
  <c r="M280" i="8"/>
  <c r="O280" i="8" s="1"/>
  <c r="L167" i="8"/>
  <c r="M167" i="8" s="1"/>
  <c r="O167" i="8" s="1"/>
  <c r="Q190" i="8"/>
  <c r="K198" i="8"/>
  <c r="Q200" i="8"/>
  <c r="K201" i="8"/>
  <c r="Q206" i="8"/>
  <c r="V208" i="8"/>
  <c r="W208" i="8" s="1"/>
  <c r="L209" i="8"/>
  <c r="M209" i="8" s="1"/>
  <c r="O209" i="8" s="1"/>
  <c r="V214" i="8"/>
  <c r="W214" i="8" s="1"/>
  <c r="L215" i="8"/>
  <c r="M215" i="8" s="1"/>
  <c r="O215" i="8" s="1"/>
  <c r="L224" i="8"/>
  <c r="M224" i="8" s="1"/>
  <c r="O224" i="8" s="1"/>
  <c r="K228" i="8"/>
  <c r="I228" i="8"/>
  <c r="N230" i="8"/>
  <c r="M230" i="8"/>
  <c r="O230" i="8" s="1"/>
  <c r="I246" i="8"/>
  <c r="N247" i="8"/>
  <c r="L247" i="8"/>
  <c r="M247" i="8" s="1"/>
  <c r="O247" i="8" s="1"/>
  <c r="N280" i="8"/>
  <c r="K298" i="8"/>
  <c r="I298" i="8"/>
  <c r="Q298" i="8"/>
  <c r="Q172" i="8"/>
  <c r="Q173" i="8"/>
  <c r="N221" i="8"/>
  <c r="M221" i="8"/>
  <c r="O221" i="8" s="1"/>
  <c r="L221" i="8"/>
  <c r="L232" i="8"/>
  <c r="M232" i="8" s="1"/>
  <c r="O232" i="8" s="1"/>
  <c r="N248" i="8"/>
  <c r="M248" i="8"/>
  <c r="O248" i="8" s="1"/>
  <c r="L248" i="8"/>
  <c r="Q252" i="8"/>
  <c r="I252" i="8"/>
  <c r="K252" i="8"/>
  <c r="I261" i="8"/>
  <c r="K261" i="8"/>
  <c r="Q261" i="8"/>
  <c r="K292" i="8"/>
  <c r="I292" i="8"/>
  <c r="Q292" i="8"/>
  <c r="L304" i="8"/>
  <c r="M304" i="8" s="1"/>
  <c r="O304" i="8" s="1"/>
  <c r="N304" i="8"/>
  <c r="L187" i="8"/>
  <c r="M187" i="8" s="1"/>
  <c r="O187" i="8" s="1"/>
  <c r="M200" i="8"/>
  <c r="K203" i="8"/>
  <c r="M204" i="8"/>
  <c r="O204" i="8" s="1"/>
  <c r="K212" i="8"/>
  <c r="I212" i="8"/>
  <c r="L213" i="8"/>
  <c r="M213" i="8" s="1"/>
  <c r="O213" i="8" s="1"/>
  <c r="Q215" i="8"/>
  <c r="K216" i="8"/>
  <c r="N217" i="8"/>
  <c r="M217" i="8"/>
  <c r="O217" i="8" s="1"/>
  <c r="L217" i="8"/>
  <c r="L225" i="8"/>
  <c r="M225" i="8" s="1"/>
  <c r="K227" i="8"/>
  <c r="I227" i="8"/>
  <c r="Q227" i="8"/>
  <c r="L231" i="8"/>
  <c r="M231" i="8" s="1"/>
  <c r="O231" i="8" s="1"/>
  <c r="N232" i="8"/>
  <c r="I240" i="8"/>
  <c r="K240" i="8"/>
  <c r="Q240" i="8"/>
  <c r="Q246" i="8"/>
  <c r="I248" i="8"/>
  <c r="K289" i="8"/>
  <c r="I289" i="8"/>
  <c r="Q289" i="8"/>
  <c r="K315" i="8"/>
  <c r="I315" i="8"/>
  <c r="Q315" i="8"/>
  <c r="Q202" i="8"/>
  <c r="Q209" i="8"/>
  <c r="Q217" i="8"/>
  <c r="Q218" i="8"/>
  <c r="Q219" i="8"/>
  <c r="Q220" i="8"/>
  <c r="Q221" i="8"/>
  <c r="Q222" i="8"/>
  <c r="Q226" i="8"/>
  <c r="Q233" i="8"/>
  <c r="Q241" i="8"/>
  <c r="F244" i="8"/>
  <c r="H244" i="8" s="1"/>
  <c r="I263" i="8"/>
  <c r="K263" i="8"/>
  <c r="Q269" i="8"/>
  <c r="I269" i="8"/>
  <c r="L299" i="8"/>
  <c r="M299" i="8" s="1"/>
  <c r="O299" i="8" s="1"/>
  <c r="N299" i="8"/>
  <c r="V311" i="8"/>
  <c r="W311" i="8" s="1"/>
  <c r="N312" i="8"/>
  <c r="L312" i="8"/>
  <c r="M312" i="8" s="1"/>
  <c r="O312" i="8" s="1"/>
  <c r="Q223" i="8"/>
  <c r="Q224" i="8"/>
  <c r="Q225" i="8"/>
  <c r="Q232" i="8"/>
  <c r="Q254" i="8"/>
  <c r="I254" i="8"/>
  <c r="I260" i="8"/>
  <c r="K260" i="8"/>
  <c r="L274" i="8"/>
  <c r="M274" i="8"/>
  <c r="O274" i="8" s="1"/>
  <c r="L281" i="8"/>
  <c r="M281" i="8" s="1"/>
  <c r="O281" i="8" s="1"/>
  <c r="K290" i="8"/>
  <c r="I290" i="8"/>
  <c r="K293" i="8"/>
  <c r="I293" i="8"/>
  <c r="Q305" i="8"/>
  <c r="I305" i="8"/>
  <c r="K306" i="8"/>
  <c r="I306" i="8"/>
  <c r="Q306" i="8"/>
  <c r="I223" i="8"/>
  <c r="I224" i="8"/>
  <c r="I225" i="8"/>
  <c r="I232" i="8"/>
  <c r="K233" i="8"/>
  <c r="Q239" i="8"/>
  <c r="K241" i="8"/>
  <c r="V243" i="8"/>
  <c r="W243" i="8" s="1"/>
  <c r="L251" i="8"/>
  <c r="M251" i="8" s="1"/>
  <c r="O251" i="8" s="1"/>
  <c r="K254" i="8"/>
  <c r="I257" i="8"/>
  <c r="K257" i="8"/>
  <c r="N265" i="8"/>
  <c r="L265" i="8"/>
  <c r="M265" i="8" s="1"/>
  <c r="O265" i="8" s="1"/>
  <c r="Q266" i="8"/>
  <c r="L269" i="8"/>
  <c r="M269" i="8" s="1"/>
  <c r="O269" i="8" s="1"/>
  <c r="L271" i="8"/>
  <c r="M271" i="8" s="1"/>
  <c r="O271" i="8" s="1"/>
  <c r="N274" i="8"/>
  <c r="N281" i="8"/>
  <c r="M295" i="8"/>
  <c r="O295" i="8" s="1"/>
  <c r="K305" i="8"/>
  <c r="N317" i="8"/>
  <c r="L317" i="8"/>
  <c r="M317" i="8" s="1"/>
  <c r="O317" i="8" s="1"/>
  <c r="Q231" i="8"/>
  <c r="Q250" i="8"/>
  <c r="I253" i="8"/>
  <c r="K253" i="8"/>
  <c r="N258" i="8"/>
  <c r="I262" i="8"/>
  <c r="K262" i="8"/>
  <c r="I268" i="8"/>
  <c r="K268" i="8"/>
  <c r="N269" i="8"/>
  <c r="K275" i="8"/>
  <c r="Q275" i="8"/>
  <c r="K278" i="8"/>
  <c r="Q278" i="8"/>
  <c r="K282" i="8"/>
  <c r="Q282" i="8"/>
  <c r="K286" i="8"/>
  <c r="I286" i="8"/>
  <c r="Q286" i="8"/>
  <c r="K291" i="8"/>
  <c r="I291" i="8"/>
  <c r="L294" i="8"/>
  <c r="M294" i="8" s="1"/>
  <c r="O294" i="8" s="1"/>
  <c r="N294" i="8"/>
  <c r="K348" i="8"/>
  <c r="I348" i="8"/>
  <c r="Q348" i="8"/>
  <c r="Q213" i="8"/>
  <c r="Q230" i="8"/>
  <c r="I231" i="8"/>
  <c r="K239" i="8"/>
  <c r="I259" i="8"/>
  <c r="K259" i="8"/>
  <c r="K272" i="8"/>
  <c r="I275" i="8"/>
  <c r="I278" i="8"/>
  <c r="K279" i="8"/>
  <c r="Q279" i="8"/>
  <c r="I282" i="8"/>
  <c r="K321" i="8"/>
  <c r="I321" i="8"/>
  <c r="Q321" i="8"/>
  <c r="K326" i="8"/>
  <c r="I326" i="8"/>
  <c r="Q326" i="8"/>
  <c r="N366" i="8"/>
  <c r="L366" i="8"/>
  <c r="M366" i="8" s="1"/>
  <c r="O366" i="8" s="1"/>
  <c r="Q249" i="8"/>
  <c r="Q263" i="8"/>
  <c r="Q264" i="8"/>
  <c r="I264" i="8"/>
  <c r="L266" i="8"/>
  <c r="M266" i="8" s="1"/>
  <c r="O266" i="8" s="1"/>
  <c r="N270" i="8"/>
  <c r="L270" i="8"/>
  <c r="M270" i="8" s="1"/>
  <c r="O270" i="8" s="1"/>
  <c r="Q271" i="8"/>
  <c r="K273" i="8"/>
  <c r="Q273" i="8"/>
  <c r="Q274" i="8"/>
  <c r="I276" i="8"/>
  <c r="K276" i="8"/>
  <c r="Q277" i="8"/>
  <c r="I279" i="8"/>
  <c r="Q281" i="8"/>
  <c r="N285" i="8"/>
  <c r="K288" i="8"/>
  <c r="I288" i="8"/>
  <c r="Q290" i="8"/>
  <c r="Q293" i="8"/>
  <c r="L296" i="8"/>
  <c r="M296" i="8" s="1"/>
  <c r="O296" i="8" s="1"/>
  <c r="N336" i="8"/>
  <c r="L336" i="8"/>
  <c r="M336" i="8" s="1"/>
  <c r="O336" i="8" s="1"/>
  <c r="N360" i="8"/>
  <c r="L360" i="8"/>
  <c r="M360" i="8"/>
  <c r="O360" i="8" s="1"/>
  <c r="Q388" i="8"/>
  <c r="K388" i="8"/>
  <c r="I388" i="8"/>
  <c r="K283" i="8"/>
  <c r="K284" i="8"/>
  <c r="K323" i="8"/>
  <c r="I323" i="8"/>
  <c r="Q336" i="8"/>
  <c r="I336" i="8"/>
  <c r="K343" i="8"/>
  <c r="I343" i="8"/>
  <c r="Q344" i="8"/>
  <c r="K344" i="8"/>
  <c r="L355" i="8"/>
  <c r="M355" i="8" s="1"/>
  <c r="O355" i="8" s="1"/>
  <c r="N362" i="8"/>
  <c r="M362" i="8"/>
  <c r="O362" i="8" s="1"/>
  <c r="K363" i="8"/>
  <c r="I363" i="8"/>
  <c r="N382" i="8"/>
  <c r="M382" i="8"/>
  <c r="O382" i="8" s="1"/>
  <c r="I383" i="8"/>
  <c r="Q383" i="8"/>
  <c r="K383" i="8"/>
  <c r="Q294" i="8"/>
  <c r="Q299" i="8"/>
  <c r="K324" i="8"/>
  <c r="I324" i="8"/>
  <c r="K338" i="8"/>
  <c r="I338" i="8"/>
  <c r="Q338" i="8"/>
  <c r="V343" i="8"/>
  <c r="W343" i="8" s="1"/>
  <c r="K352" i="8"/>
  <c r="I352" i="8"/>
  <c r="K374" i="8"/>
  <c r="I374" i="8"/>
  <c r="Q316" i="8"/>
  <c r="Q323" i="8"/>
  <c r="K327" i="8"/>
  <c r="I327" i="8"/>
  <c r="B339" i="8"/>
  <c r="Z339" i="8" s="1"/>
  <c r="O339" i="8"/>
  <c r="I346" i="8"/>
  <c r="Q346" i="8"/>
  <c r="K346" i="8"/>
  <c r="K368" i="8"/>
  <c r="I368" i="8"/>
  <c r="Q368" i="8"/>
  <c r="V376" i="8"/>
  <c r="W376" i="8" s="1"/>
  <c r="F376" i="8"/>
  <c r="H376" i="8" s="1"/>
  <c r="Q255" i="8"/>
  <c r="Q285" i="8"/>
  <c r="Q287" i="8"/>
  <c r="Q297" i="8"/>
  <c r="Q302" i="8"/>
  <c r="I319" i="8"/>
  <c r="K322" i="8"/>
  <c r="I322" i="8"/>
  <c r="Q332" i="8"/>
  <c r="K332" i="8"/>
  <c r="N349" i="8"/>
  <c r="L349" i="8"/>
  <c r="M349" i="8" s="1"/>
  <c r="O349" i="8" s="1"/>
  <c r="Q352" i="8"/>
  <c r="K373" i="8"/>
  <c r="Q373" i="8"/>
  <c r="Q374" i="8"/>
  <c r="Q378" i="8"/>
  <c r="K378" i="8"/>
  <c r="L380" i="8"/>
  <c r="M380" i="8" s="1"/>
  <c r="O380" i="8" s="1"/>
  <c r="Q283" i="8"/>
  <c r="Q284" i="8"/>
  <c r="N314" i="8"/>
  <c r="L314" i="8"/>
  <c r="M314" i="8" s="1"/>
  <c r="O314" i="8" s="1"/>
  <c r="K319" i="8"/>
  <c r="Q320" i="8"/>
  <c r="K325" i="8"/>
  <c r="I325" i="8"/>
  <c r="K329" i="8"/>
  <c r="Q329" i="8"/>
  <c r="I329" i="8"/>
  <c r="Q334" i="8"/>
  <c r="K334" i="8"/>
  <c r="Q361" i="8"/>
  <c r="I361" i="8"/>
  <c r="I370" i="8"/>
  <c r="Q370" i="8"/>
  <c r="I373" i="8"/>
  <c r="K379" i="8"/>
  <c r="I379" i="8"/>
  <c r="N380" i="8"/>
  <c r="Q301" i="8"/>
  <c r="I302" i="8"/>
  <c r="K303" i="8"/>
  <c r="V305" i="8"/>
  <c r="W305" i="8" s="1"/>
  <c r="K307" i="8"/>
  <c r="I307" i="8"/>
  <c r="I314" i="8"/>
  <c r="Q324" i="8"/>
  <c r="K328" i="8"/>
  <c r="I328" i="8"/>
  <c r="I334" i="8"/>
  <c r="N350" i="8"/>
  <c r="L350" i="8"/>
  <c r="M350" i="8" s="1"/>
  <c r="O350" i="8" s="1"/>
  <c r="Q360" i="8"/>
  <c r="K361" i="8"/>
  <c r="K370" i="8"/>
  <c r="I371" i="8"/>
  <c r="K371" i="8"/>
  <c r="N377" i="8"/>
  <c r="L377" i="8"/>
  <c r="M377" i="8" s="1"/>
  <c r="O377" i="8" s="1"/>
  <c r="K381" i="8"/>
  <c r="I381" i="8"/>
  <c r="N356" i="8"/>
  <c r="Q335" i="8"/>
  <c r="Q337" i="8"/>
  <c r="N339" i="8"/>
  <c r="Q341" i="8"/>
  <c r="Q342" i="8"/>
  <c r="N345" i="8"/>
  <c r="Q351" i="8"/>
  <c r="L356" i="8"/>
  <c r="M356" i="8" s="1"/>
  <c r="O356" i="8" s="1"/>
  <c r="I365" i="8"/>
  <c r="I367" i="8"/>
  <c r="Q367" i="8"/>
  <c r="Q372" i="8"/>
  <c r="K386" i="8"/>
  <c r="I386" i="8"/>
  <c r="Q386" i="8"/>
  <c r="Q309" i="8"/>
  <c r="Q317" i="8"/>
  <c r="Q340" i="8"/>
  <c r="Q347" i="8"/>
  <c r="M354" i="8"/>
  <c r="O354" i="8" s="1"/>
  <c r="L354" i="8"/>
  <c r="N359" i="8"/>
  <c r="K365" i="8"/>
  <c r="I384" i="8"/>
  <c r="Q384" i="8"/>
  <c r="I309" i="8"/>
  <c r="Q310" i="8"/>
  <c r="I317" i="8"/>
  <c r="Q318" i="8"/>
  <c r="I359" i="8"/>
  <c r="L367" i="8"/>
  <c r="M367" i="8" s="1"/>
  <c r="O367" i="8" s="1"/>
  <c r="N369" i="8"/>
  <c r="F375" i="8"/>
  <c r="H375" i="8" s="1"/>
  <c r="I377" i="8"/>
  <c r="I380" i="8"/>
  <c r="K384" i="8"/>
  <c r="L331" i="8"/>
  <c r="M331" i="8" s="1"/>
  <c r="O331" i="8" s="1"/>
  <c r="V332" i="8"/>
  <c r="W332" i="8" s="1"/>
  <c r="K337" i="8"/>
  <c r="V339" i="8"/>
  <c r="W339" i="8" s="1"/>
  <c r="I340" i="8"/>
  <c r="K341" i="8"/>
  <c r="L342" i="8"/>
  <c r="M342" i="8" s="1"/>
  <c r="O342" i="8" s="1"/>
  <c r="N353" i="8"/>
  <c r="M353" i="8"/>
  <c r="O353" i="8" s="1"/>
  <c r="Q356" i="8"/>
  <c r="Q358" i="8"/>
  <c r="L359" i="8"/>
  <c r="M359" i="8" s="1"/>
  <c r="O359" i="8" s="1"/>
  <c r="Q366" i="8"/>
  <c r="N372" i="8"/>
  <c r="M372" i="8"/>
  <c r="O372" i="8" s="1"/>
  <c r="Q349" i="8"/>
  <c r="N649" i="1" l="1"/>
  <c r="O649" i="1" s="1"/>
  <c r="H508" i="1"/>
  <c r="B11" i="19"/>
  <c r="D10" i="19"/>
  <c r="D9" i="20"/>
  <c r="E8" i="20"/>
  <c r="O113" i="8"/>
  <c r="C113" i="20"/>
  <c r="M234" i="1"/>
  <c r="X234" i="1"/>
  <c r="W234" i="1" s="1"/>
  <c r="X688" i="1"/>
  <c r="W688" i="1" s="1"/>
  <c r="M175" i="8"/>
  <c r="O175" i="8" s="1"/>
  <c r="M93" i="8"/>
  <c r="B93" i="8" s="1"/>
  <c r="Z93" i="8" s="1"/>
  <c r="V487" i="1"/>
  <c r="X487" i="1" s="1"/>
  <c r="W487" i="1" s="1"/>
  <c r="N351" i="8"/>
  <c r="L229" i="8"/>
  <c r="M229" i="8" s="1"/>
  <c r="O229" i="8" s="1"/>
  <c r="L175" i="8"/>
  <c r="L155" i="8"/>
  <c r="M155" i="8" s="1"/>
  <c r="O155" i="8" s="1"/>
  <c r="L78" i="8"/>
  <c r="M78" i="8" s="1"/>
  <c r="O78" i="8" s="1"/>
  <c r="N310" i="8"/>
  <c r="M310" i="8"/>
  <c r="O310" i="8" s="1"/>
  <c r="L310" i="8"/>
  <c r="L59" i="8"/>
  <c r="M59" i="8" s="1"/>
  <c r="O59" i="8" s="1"/>
  <c r="N59" i="8"/>
  <c r="L333" i="8"/>
  <c r="M333" i="8" s="1"/>
  <c r="O333" i="8" s="1"/>
  <c r="N333" i="8"/>
  <c r="V508" i="1"/>
  <c r="H336" i="1"/>
  <c r="M336" i="1"/>
  <c r="V497" i="1"/>
  <c r="X497" i="1" s="1"/>
  <c r="W497" i="1" s="1"/>
  <c r="L2" i="8"/>
  <c r="M2" i="8" s="1"/>
  <c r="O2" i="8" s="1"/>
  <c r="N2" i="8"/>
  <c r="L385" i="8"/>
  <c r="N385" i="8"/>
  <c r="M385" i="8"/>
  <c r="O385" i="8" s="1"/>
  <c r="L3" i="8"/>
  <c r="M3" i="8" s="1"/>
  <c r="N3" i="8"/>
  <c r="V236" i="1" s="1"/>
  <c r="L320" i="8"/>
  <c r="M320" i="8" s="1"/>
  <c r="O320" i="8" s="1"/>
  <c r="N320" i="8"/>
  <c r="N57" i="8"/>
  <c r="L57" i="8"/>
  <c r="M57" i="8" s="1"/>
  <c r="O57" i="8" s="1"/>
  <c r="H189" i="1"/>
  <c r="M189" i="1"/>
  <c r="N295" i="8"/>
  <c r="L277" i="8"/>
  <c r="M210" i="8"/>
  <c r="O210" i="8" s="1"/>
  <c r="N175" i="8"/>
  <c r="M497" i="1"/>
  <c r="L179" i="8"/>
  <c r="M179" i="8" s="1"/>
  <c r="O179" i="8" s="1"/>
  <c r="N179" i="8"/>
  <c r="N184" i="8"/>
  <c r="M184" i="8"/>
  <c r="L184" i="8"/>
  <c r="N185" i="8"/>
  <c r="M185" i="8"/>
  <c r="L185" i="8"/>
  <c r="G756" i="1"/>
  <c r="G744" i="1"/>
  <c r="M351" i="8"/>
  <c r="O351" i="8" s="1"/>
  <c r="M277" i="8"/>
  <c r="O277" i="8" s="1"/>
  <c r="L154" i="8"/>
  <c r="M154" i="8" s="1"/>
  <c r="O154" i="8" s="1"/>
  <c r="L65" i="8"/>
  <c r="W777" i="1"/>
  <c r="L347" i="8"/>
  <c r="N347" i="8"/>
  <c r="M347" i="8"/>
  <c r="O347" i="8" s="1"/>
  <c r="M65" i="8"/>
  <c r="O65" i="8" s="1"/>
  <c r="L180" i="8"/>
  <c r="M180" i="8" s="1"/>
  <c r="O180" i="8" s="1"/>
  <c r="N180" i="8"/>
  <c r="L151" i="8"/>
  <c r="N151" i="8"/>
  <c r="N364" i="8"/>
  <c r="L364" i="8"/>
  <c r="M364" i="8" s="1"/>
  <c r="O364" i="8" s="1"/>
  <c r="L16" i="8"/>
  <c r="M16" i="8" s="1"/>
  <c r="G587" i="1" s="1"/>
  <c r="W150" i="1"/>
  <c r="L318" i="8"/>
  <c r="M318" i="8" s="1"/>
  <c r="O318" i="8" s="1"/>
  <c r="L153" i="8"/>
  <c r="M153" i="8" s="1"/>
  <c r="O153" i="8" s="1"/>
  <c r="L149" i="8"/>
  <c r="M149" i="8" s="1"/>
  <c r="O149" i="8" s="1"/>
  <c r="L93" i="8"/>
  <c r="N62" i="8"/>
  <c r="W771" i="1"/>
  <c r="B340" i="8"/>
  <c r="Z340" i="8" s="1"/>
  <c r="O340" i="8"/>
  <c r="L72" i="8"/>
  <c r="M72" i="8"/>
  <c r="O72" i="8" s="1"/>
  <c r="N72" i="8"/>
  <c r="L41" i="8"/>
  <c r="N41" i="8"/>
  <c r="M41" i="8"/>
  <c r="O41" i="8" s="1"/>
  <c r="L186" i="8"/>
  <c r="M186" i="8" s="1"/>
  <c r="B186" i="8" s="1"/>
  <c r="Z186" i="8" s="1"/>
  <c r="N186" i="8"/>
  <c r="L8" i="8"/>
  <c r="M8" i="8" s="1"/>
  <c r="N8" i="8"/>
  <c r="N330" i="8"/>
  <c r="L330" i="8"/>
  <c r="M330" i="8" s="1"/>
  <c r="O330" i="8" s="1"/>
  <c r="V457" i="1"/>
  <c r="X457" i="1" s="1"/>
  <c r="W457" i="1" s="1"/>
  <c r="V693" i="1"/>
  <c r="X693" i="1" s="1"/>
  <c r="W693" i="1" s="1"/>
  <c r="L211" i="8"/>
  <c r="M211" i="8" s="1"/>
  <c r="O211" i="8" s="1"/>
  <c r="N211" i="8"/>
  <c r="M345" i="8"/>
  <c r="O345" i="8" s="1"/>
  <c r="M199" i="8"/>
  <c r="M151" i="8"/>
  <c r="O151" i="8" s="1"/>
  <c r="M171" i="8"/>
  <c r="O171" i="8" s="1"/>
  <c r="M132" i="8"/>
  <c r="O132" i="8" s="1"/>
  <c r="L50" i="8"/>
  <c r="M50" i="8" s="1"/>
  <c r="G150" i="1" s="1"/>
  <c r="L181" i="8"/>
  <c r="M181" i="8" s="1"/>
  <c r="O181" i="8" s="1"/>
  <c r="N181" i="8"/>
  <c r="N311" i="8"/>
  <c r="L311" i="8"/>
  <c r="M311" i="8" s="1"/>
  <c r="O311" i="8" s="1"/>
  <c r="AK3483" i="1"/>
  <c r="AJ3472" i="1"/>
  <c r="AJ3426" i="1"/>
  <c r="AJ3354" i="1"/>
  <c r="AJ3352" i="1"/>
  <c r="AK3337" i="1"/>
  <c r="AJ3306" i="1"/>
  <c r="AK3223" i="1"/>
  <c r="AK3099" i="1"/>
  <c r="AK3062" i="1"/>
  <c r="AJ2981" i="1"/>
  <c r="AJ2971" i="1"/>
  <c r="AK2958" i="1"/>
  <c r="AK2948" i="1"/>
  <c r="AJ2893" i="1"/>
  <c r="AK2850" i="1"/>
  <c r="AK2740" i="1"/>
  <c r="AJ2499" i="1"/>
  <c r="AJ2463" i="1"/>
  <c r="AJ2437" i="1"/>
  <c r="AJ2420" i="1"/>
  <c r="AJ2380" i="1"/>
  <c r="AJ2358" i="1"/>
  <c r="AJ2320" i="1"/>
  <c r="AK2252" i="1"/>
  <c r="AK2188" i="1"/>
  <c r="AK2141" i="1"/>
  <c r="AK2136" i="1"/>
  <c r="AK2101" i="1"/>
  <c r="AK2032" i="1"/>
  <c r="AK1999" i="1"/>
  <c r="AK1935" i="1"/>
  <c r="AK1866" i="1"/>
  <c r="AK1832" i="1"/>
  <c r="AK1822" i="1"/>
  <c r="AK1747" i="1"/>
  <c r="AK1683" i="1"/>
  <c r="AK1675" i="1"/>
  <c r="AJ3483" i="1"/>
  <c r="AK3460" i="1"/>
  <c r="AJ3337" i="1"/>
  <c r="AJ3223" i="1"/>
  <c r="AK3202" i="1"/>
  <c r="AJ3099" i="1"/>
  <c r="AJ3062" i="1"/>
  <c r="AJ2958" i="1"/>
  <c r="AJ2948" i="1"/>
  <c r="AJ2850" i="1"/>
  <c r="AK2789" i="1"/>
  <c r="AJ2740" i="1"/>
  <c r="AK2693" i="1"/>
  <c r="AK2595" i="1"/>
  <c r="AK2460" i="1"/>
  <c r="AK2433" i="1"/>
  <c r="AK2413" i="1"/>
  <c r="AK2367" i="1"/>
  <c r="AK2356" i="1"/>
  <c r="AK2317" i="1"/>
  <c r="AJ2252" i="1"/>
  <c r="AJ2188" i="1"/>
  <c r="AJ2141" i="1"/>
  <c r="AJ2136" i="1"/>
  <c r="AJ2101" i="1"/>
  <c r="AJ2032" i="1"/>
  <c r="AJ1999" i="1"/>
  <c r="AJ1935" i="1"/>
  <c r="AJ1866" i="1"/>
  <c r="AJ1832" i="1"/>
  <c r="AJ1822" i="1"/>
  <c r="AJ1747" i="1"/>
  <c r="AJ1683" i="1"/>
  <c r="AJ1675" i="1"/>
  <c r="AK3541" i="1"/>
  <c r="AK3531" i="1"/>
  <c r="AK3473" i="1"/>
  <c r="AJ3460" i="1"/>
  <c r="AK3445" i="1"/>
  <c r="AK3363" i="1"/>
  <c r="AJ3202" i="1"/>
  <c r="AK3079" i="1"/>
  <c r="AK3052" i="1"/>
  <c r="AK2890" i="1"/>
  <c r="AJ2789" i="1"/>
  <c r="AK2726" i="1"/>
  <c r="AJ2693" i="1"/>
  <c r="AK2610" i="1"/>
  <c r="AJ2595" i="1"/>
  <c r="AK2590" i="1"/>
  <c r="AK2476" i="1"/>
  <c r="AJ2460" i="1"/>
  <c r="AJ2433" i="1"/>
  <c r="AJ2413" i="1"/>
  <c r="AJ2367" i="1"/>
  <c r="AJ2356" i="1"/>
  <c r="AJ2317" i="1"/>
  <c r="AK2304" i="1"/>
  <c r="AK2251" i="1"/>
  <c r="AK2184" i="1"/>
  <c r="AK2140" i="1"/>
  <c r="AK2129" i="1"/>
  <c r="AK2100" i="1"/>
  <c r="AK2030" i="1"/>
  <c r="AK1991" i="1"/>
  <c r="AK1932" i="1"/>
  <c r="AK1864" i="1"/>
  <c r="AK1831" i="1"/>
  <c r="AK1815" i="1"/>
  <c r="AK1731" i="1"/>
  <c r="AK1679" i="1"/>
  <c r="AK1673" i="1"/>
  <c r="AK3574" i="1"/>
  <c r="AJ3541" i="1"/>
  <c r="AJ3531" i="1"/>
  <c r="AK3500" i="1"/>
  <c r="AJ3473" i="1"/>
  <c r="AJ3445" i="1"/>
  <c r="AJ3363" i="1"/>
  <c r="AK3266" i="1"/>
  <c r="AK3232" i="1"/>
  <c r="AK3150" i="1"/>
  <c r="AJ3079" i="1"/>
  <c r="AK3063" i="1"/>
  <c r="AJ3052" i="1"/>
  <c r="AK3023" i="1"/>
  <c r="AJ2890" i="1"/>
  <c r="AK2885" i="1"/>
  <c r="AK2847" i="1"/>
  <c r="AK2793" i="1"/>
  <c r="AK2733" i="1"/>
  <c r="AJ2726" i="1"/>
  <c r="AK2675" i="1"/>
  <c r="AJ2610" i="1"/>
  <c r="AJ2590" i="1"/>
  <c r="AK2541" i="1"/>
  <c r="AJ2476" i="1"/>
  <c r="AK2457" i="1"/>
  <c r="AK2424" i="1"/>
  <c r="AK2390" i="1"/>
  <c r="AK2365" i="1"/>
  <c r="AK2355" i="1"/>
  <c r="AK2313" i="1"/>
  <c r="AJ2304" i="1"/>
  <c r="AJ2251" i="1"/>
  <c r="AJ2184" i="1"/>
  <c r="AJ2140" i="1"/>
  <c r="AJ2129" i="1"/>
  <c r="AJ2100" i="1"/>
  <c r="AJ2030" i="1"/>
  <c r="AJ1991" i="1"/>
  <c r="AJ1932" i="1"/>
  <c r="AJ1864" i="1"/>
  <c r="AJ1831" i="1"/>
  <c r="AJ1815" i="1"/>
  <c r="AJ1731" i="1"/>
  <c r="AJ1679" i="1"/>
  <c r="AJ3574" i="1"/>
  <c r="AK3569" i="1"/>
  <c r="AJ3468" i="1"/>
  <c r="AJ3345" i="1"/>
  <c r="AJ3232" i="1"/>
  <c r="AK2422" i="1"/>
  <c r="AK2363" i="1"/>
  <c r="AJ2275" i="1"/>
  <c r="AJ2160" i="1"/>
  <c r="AJ2120" i="1"/>
  <c r="AJ2001" i="1"/>
  <c r="AJ1878" i="1"/>
  <c r="AJ1823" i="1"/>
  <c r="AJ1684" i="1"/>
  <c r="AK1602" i="1"/>
  <c r="AK1586" i="1"/>
  <c r="AK801" i="1"/>
  <c r="AJ778" i="1"/>
  <c r="AJ772" i="1"/>
  <c r="AJ744" i="1"/>
  <c r="AJ721" i="1"/>
  <c r="AK718" i="1"/>
  <c r="AJ650" i="1"/>
  <c r="AJ648" i="1"/>
  <c r="AK607" i="1"/>
  <c r="AK577" i="1"/>
  <c r="AJ535" i="1"/>
  <c r="AK532" i="1"/>
  <c r="AK457" i="1"/>
  <c r="AK430" i="1"/>
  <c r="AJ327" i="1"/>
  <c r="AK238" i="1"/>
  <c r="AK236" i="1"/>
  <c r="AK195" i="1"/>
  <c r="AJ186" i="1"/>
  <c r="AK180" i="1"/>
  <c r="AJ131" i="1"/>
  <c r="AJ45" i="1"/>
  <c r="AK41" i="1"/>
  <c r="AK37" i="1"/>
  <c r="AK500" i="1"/>
  <c r="AJ457" i="1"/>
  <c r="AJ430" i="1"/>
  <c r="AK336" i="1"/>
  <c r="AJ3569" i="1"/>
  <c r="AK3352" i="1"/>
  <c r="AJ3266" i="1"/>
  <c r="AJ3023" i="1"/>
  <c r="AK2874" i="1"/>
  <c r="AK2736" i="1"/>
  <c r="AK2734" i="1"/>
  <c r="AJ2675" i="1"/>
  <c r="AJ2422" i="1"/>
  <c r="AJ2363" i="1"/>
  <c r="AK2199" i="1"/>
  <c r="AK2138" i="1"/>
  <c r="AK2052" i="1"/>
  <c r="AK1986" i="1"/>
  <c r="AK1861" i="1"/>
  <c r="AK1775" i="1"/>
  <c r="AK1677" i="1"/>
  <c r="AJ1602" i="1"/>
  <c r="AJ1586" i="1"/>
  <c r="AJ801" i="1"/>
  <c r="AJ718" i="1"/>
  <c r="AK613" i="1"/>
  <c r="AJ607" i="1"/>
  <c r="AK587" i="1"/>
  <c r="AJ577" i="1"/>
  <c r="AJ532" i="1"/>
  <c r="AK506" i="1"/>
  <c r="AK3482" i="1"/>
  <c r="AK3472" i="1"/>
  <c r="AK3406" i="1"/>
  <c r="AK3404" i="1"/>
  <c r="AK3354" i="1"/>
  <c r="AK3305" i="1"/>
  <c r="AJ2874" i="1"/>
  <c r="AJ2736" i="1"/>
  <c r="AJ2734" i="1"/>
  <c r="AK2611" i="1"/>
  <c r="AJ2541" i="1"/>
  <c r="AK2463" i="1"/>
  <c r="AK2420" i="1"/>
  <c r="AK2358" i="1"/>
  <c r="AJ2199" i="1"/>
  <c r="AJ2138" i="1"/>
  <c r="AJ2052" i="1"/>
  <c r="AJ1986" i="1"/>
  <c r="AJ1861" i="1"/>
  <c r="AJ1775" i="1"/>
  <c r="AJ1677" i="1"/>
  <c r="AK1594" i="1"/>
  <c r="AK777" i="1"/>
  <c r="AK771" i="1"/>
  <c r="AK688" i="1"/>
  <c r="AK649" i="1"/>
  <c r="AJ613" i="1"/>
  <c r="AJ587" i="1"/>
  <c r="AK527" i="1"/>
  <c r="AJ506" i="1"/>
  <c r="AJ500" i="1"/>
  <c r="AK497" i="1"/>
  <c r="AK487" i="1"/>
  <c r="AK433" i="1"/>
  <c r="AJ336" i="1"/>
  <c r="AJ234" i="1"/>
  <c r="AK222" i="1"/>
  <c r="AK189" i="1"/>
  <c r="AK164" i="1"/>
  <c r="AJ150" i="1"/>
  <c r="AJ3500" i="1"/>
  <c r="AK3461" i="1"/>
  <c r="AJ3446" i="1"/>
  <c r="AJ3180" i="1"/>
  <c r="AK3151" i="1"/>
  <c r="AJ3063" i="1"/>
  <c r="AJ3053" i="1"/>
  <c r="AJ2885" i="1"/>
  <c r="AK2715" i="1"/>
  <c r="AJ2692" i="1"/>
  <c r="AK2388" i="1"/>
  <c r="AJ2313" i="1"/>
  <c r="AK2275" i="1"/>
  <c r="AK2128" i="1"/>
  <c r="AK1944" i="1"/>
  <c r="AJ1827" i="1"/>
  <c r="AJ1676" i="1"/>
  <c r="AJ1587" i="1"/>
  <c r="AJ771" i="1"/>
  <c r="AJ759" i="1"/>
  <c r="AK756" i="1"/>
  <c r="AJ705" i="1"/>
  <c r="AJ693" i="1"/>
  <c r="AJ649" i="1"/>
  <c r="AJ642" i="1"/>
  <c r="AK589" i="1"/>
  <c r="AJ524" i="1"/>
  <c r="AJ460" i="1"/>
  <c r="AJ433" i="1"/>
  <c r="AK431" i="1"/>
  <c r="AK233" i="1"/>
  <c r="AJ180" i="1"/>
  <c r="AJ164" i="1"/>
  <c r="AK60" i="1"/>
  <c r="AK42" i="1"/>
  <c r="AK39" i="1"/>
  <c r="AJ34" i="1"/>
  <c r="AK12" i="1"/>
  <c r="AJ3404" i="1"/>
  <c r="AJ2772" i="1"/>
  <c r="AK2492" i="1"/>
  <c r="AK2454" i="1"/>
  <c r="AK2051" i="1"/>
  <c r="AJ1614" i="1"/>
  <c r="AJ578" i="1"/>
  <c r="AK429" i="1"/>
  <c r="AK237" i="1"/>
  <c r="AJ111" i="1"/>
  <c r="AJ6" i="1"/>
  <c r="AK3507" i="1"/>
  <c r="AJ3461" i="1"/>
  <c r="AJ3151" i="1"/>
  <c r="AJ2733" i="1"/>
  <c r="AJ2715" i="1"/>
  <c r="AJ2388" i="1"/>
  <c r="AK2194" i="1"/>
  <c r="AJ2128" i="1"/>
  <c r="AJ1944" i="1"/>
  <c r="AK1823" i="1"/>
  <c r="AJ1673" i="1"/>
  <c r="AJ756" i="1"/>
  <c r="AK744" i="1"/>
  <c r="AJ589" i="1"/>
  <c r="AK535" i="1"/>
  <c r="AJ431" i="1"/>
  <c r="AK327" i="1"/>
  <c r="AJ238" i="1"/>
  <c r="AJ233" i="1"/>
  <c r="AK186" i="1"/>
  <c r="AJ60" i="1"/>
  <c r="AJ42" i="1"/>
  <c r="AJ39" i="1"/>
  <c r="AK34" i="1"/>
  <c r="AJ37" i="1"/>
  <c r="AK6" i="1"/>
  <c r="AJ2847" i="1"/>
  <c r="AK2509" i="1"/>
  <c r="AJ2365" i="1"/>
  <c r="AJ1884" i="1"/>
  <c r="AK722" i="1"/>
  <c r="AJ235" i="1"/>
  <c r="AK197" i="1"/>
  <c r="AJ3507" i="1"/>
  <c r="AK3468" i="1"/>
  <c r="AJ2793" i="1"/>
  <c r="AK2772" i="1"/>
  <c r="AJ2457" i="1"/>
  <c r="AK2380" i="1"/>
  <c r="AJ2194" i="1"/>
  <c r="AK2120" i="1"/>
  <c r="AK1884" i="1"/>
  <c r="AK1769" i="1"/>
  <c r="AK1614" i="1"/>
  <c r="AK778" i="1"/>
  <c r="AK648" i="1"/>
  <c r="AK578" i="1"/>
  <c r="AJ497" i="1"/>
  <c r="AK235" i="1"/>
  <c r="AK111" i="1"/>
  <c r="AK3306" i="1"/>
  <c r="AK2482" i="1"/>
  <c r="AK2183" i="1"/>
  <c r="AJ1769" i="1"/>
  <c r="AK1548" i="1"/>
  <c r="AK741" i="1"/>
  <c r="AJ12" i="1"/>
  <c r="AK3345" i="1"/>
  <c r="AJ3150" i="1"/>
  <c r="AJ3012" i="1"/>
  <c r="AK2981" i="1"/>
  <c r="AK2828" i="1"/>
  <c r="AJ2813" i="1"/>
  <c r="AJ2582" i="1"/>
  <c r="AK2499" i="1"/>
  <c r="AK2437" i="1"/>
  <c r="AK2338" i="1"/>
  <c r="AK2160" i="1"/>
  <c r="AK2012" i="1"/>
  <c r="AK1845" i="1"/>
  <c r="AJ1685" i="1"/>
  <c r="AK1591" i="1"/>
  <c r="AK1580" i="1"/>
  <c r="AK1534" i="1"/>
  <c r="AK775" i="1"/>
  <c r="AK626" i="1"/>
  <c r="AK508" i="1"/>
  <c r="AK381" i="1"/>
  <c r="AJ165" i="1"/>
  <c r="AK150" i="1"/>
  <c r="AJ140" i="1"/>
  <c r="AJ132" i="1"/>
  <c r="AJ100" i="1"/>
  <c r="AK45" i="1"/>
  <c r="AK40" i="1"/>
  <c r="AJ26" i="1"/>
  <c r="AK3431" i="1"/>
  <c r="AK3102" i="1"/>
  <c r="AJ2828" i="1"/>
  <c r="AK2542" i="1"/>
  <c r="AJ2424" i="1"/>
  <c r="AJ2338" i="1"/>
  <c r="AK2281" i="1"/>
  <c r="AK2137" i="1"/>
  <c r="AJ2012" i="1"/>
  <c r="AJ1845" i="1"/>
  <c r="AK1684" i="1"/>
  <c r="AJ1591" i="1"/>
  <c r="AJ1580" i="1"/>
  <c r="AJ1534" i="1"/>
  <c r="AJ775" i="1"/>
  <c r="AK772" i="1"/>
  <c r="AK721" i="1"/>
  <c r="AK716" i="1"/>
  <c r="AK650" i="1"/>
  <c r="AK3053" i="1"/>
  <c r="AJ2482" i="1"/>
  <c r="AJ2355" i="1"/>
  <c r="AJ2183" i="1"/>
  <c r="AJ1594" i="1"/>
  <c r="AJ722" i="1"/>
  <c r="AK693" i="1"/>
  <c r="AK622" i="1"/>
  <c r="AK234" i="1"/>
  <c r="AJ195" i="1"/>
  <c r="AJ189" i="1"/>
  <c r="AK131" i="1"/>
  <c r="AK100" i="1"/>
  <c r="AJ1548" i="1"/>
  <c r="AK139" i="1"/>
  <c r="AK1878" i="1"/>
  <c r="AJ41" i="1"/>
  <c r="AJ2390" i="1"/>
  <c r="AJ3431" i="1"/>
  <c r="AK3426" i="1"/>
  <c r="AJ3102" i="1"/>
  <c r="AJ2492" i="1"/>
  <c r="AK2320" i="1"/>
  <c r="AJ2137" i="1"/>
  <c r="AK1587" i="1"/>
  <c r="AJ688" i="1"/>
  <c r="AJ626" i="1"/>
  <c r="AJ622" i="1"/>
  <c r="AK467" i="1"/>
  <c r="AK460" i="1"/>
  <c r="AK26" i="1"/>
  <c r="AJ2051" i="1"/>
  <c r="AJ741" i="1"/>
  <c r="AK705" i="1"/>
  <c r="AK524" i="1"/>
  <c r="AJ467" i="1"/>
  <c r="AJ222" i="1"/>
  <c r="AK140" i="1"/>
  <c r="AK3012" i="1"/>
  <c r="AJ716" i="1"/>
  <c r="AK642" i="1"/>
  <c r="AJ527" i="1"/>
  <c r="AJ43" i="1"/>
  <c r="AJ40" i="1"/>
  <c r="AK1827" i="1"/>
  <c r="AJ237" i="1"/>
  <c r="AJ2281" i="1"/>
  <c r="AJ197" i="1"/>
  <c r="AK2971" i="1"/>
  <c r="AK2692" i="1"/>
  <c r="AK2893" i="1"/>
  <c r="AJ777" i="1"/>
  <c r="AJ3482" i="1"/>
  <c r="AJ3305" i="1"/>
  <c r="AK2813" i="1"/>
  <c r="AJ2611" i="1"/>
  <c r="AJ2454" i="1"/>
  <c r="AJ508" i="1"/>
  <c r="AJ429" i="1"/>
  <c r="AJ381" i="1"/>
  <c r="AJ2542" i="1"/>
  <c r="AK759" i="1"/>
  <c r="AK165" i="1"/>
  <c r="AK132" i="1"/>
  <c r="AK3446" i="1"/>
  <c r="AJ2509" i="1"/>
  <c r="AK2001" i="1"/>
  <c r="AJ487" i="1"/>
  <c r="AJ139" i="1"/>
  <c r="AK43" i="1"/>
  <c r="AJ3406" i="1"/>
  <c r="AK3180" i="1"/>
  <c r="AK2582" i="1"/>
  <c r="AK1685" i="1"/>
  <c r="AK1676" i="1"/>
  <c r="AJ236" i="1"/>
  <c r="L316" i="8"/>
  <c r="M316" i="8" s="1"/>
  <c r="O316" i="8" s="1"/>
  <c r="N316" i="8"/>
  <c r="N508" i="1"/>
  <c r="O508" i="1" s="1"/>
  <c r="O133" i="8"/>
  <c r="B133" i="8"/>
  <c r="Z133" i="8" s="1"/>
  <c r="O92" i="8"/>
  <c r="B92" i="8"/>
  <c r="Z92" i="8" s="1"/>
  <c r="G457" i="1"/>
  <c r="G487" i="1"/>
  <c r="G233" i="1"/>
  <c r="G139" i="1"/>
  <c r="G39" i="1"/>
  <c r="O94" i="8"/>
  <c r="B94" i="8"/>
  <c r="Z94" i="8" s="1"/>
  <c r="O26" i="8"/>
  <c r="G801" i="1"/>
  <c r="G165" i="1"/>
  <c r="G180" i="1"/>
  <c r="O52" i="8"/>
  <c r="G642" i="1"/>
  <c r="G381" i="1"/>
  <c r="G40" i="1"/>
  <c r="O87" i="8"/>
  <c r="B87" i="8"/>
  <c r="Z87" i="8" s="1"/>
  <c r="B90" i="8"/>
  <c r="Z90" i="8" s="1"/>
  <c r="O90" i="8"/>
  <c r="O18" i="8"/>
  <c r="G506" i="1"/>
  <c r="G45" i="1"/>
  <c r="O54" i="8"/>
  <c r="G759" i="1"/>
  <c r="G535" i="1"/>
  <c r="G26" i="1"/>
  <c r="O135" i="8"/>
  <c r="B135" i="8"/>
  <c r="Z135" i="8" s="1"/>
  <c r="O63" i="8"/>
  <c r="B63" i="8"/>
  <c r="B258" i="8"/>
  <c r="Z258" i="8" s="1"/>
  <c r="O258" i="8"/>
  <c r="B225" i="8"/>
  <c r="Z225" i="8" s="1"/>
  <c r="O225" i="8"/>
  <c r="O64" i="8"/>
  <c r="B64" i="8"/>
  <c r="Z64" i="8" s="1"/>
  <c r="B86" i="8"/>
  <c r="Z86" i="8" s="1"/>
  <c r="O86" i="8"/>
  <c r="K376" i="8"/>
  <c r="I376" i="8"/>
  <c r="Q376" i="8"/>
  <c r="N261" i="8"/>
  <c r="L261" i="8"/>
  <c r="M261" i="8" s="1"/>
  <c r="O261" i="8" s="1"/>
  <c r="O120" i="8"/>
  <c r="B120" i="8"/>
  <c r="Z120" i="8" s="1"/>
  <c r="N237" i="8"/>
  <c r="L237" i="8"/>
  <c r="M237" i="8" s="1"/>
  <c r="O237" i="8" s="1"/>
  <c r="N227" i="8"/>
  <c r="L227" i="8"/>
  <c r="M227" i="8" s="1"/>
  <c r="O227" i="8" s="1"/>
  <c r="N252" i="8"/>
  <c r="M252" i="8"/>
  <c r="O252" i="8" s="1"/>
  <c r="L252" i="8"/>
  <c r="N243" i="8"/>
  <c r="L243" i="8"/>
  <c r="M243" i="8" s="1"/>
  <c r="O243" i="8" s="1"/>
  <c r="N194" i="8"/>
  <c r="L194" i="8"/>
  <c r="M194" i="8" s="1"/>
  <c r="O194" i="8" s="1"/>
  <c r="N102" i="8"/>
  <c r="L102" i="8"/>
  <c r="M102" i="8" s="1"/>
  <c r="O102" i="8" s="1"/>
  <c r="N165" i="8"/>
  <c r="L165" i="8"/>
  <c r="M165" i="8" s="1"/>
  <c r="O165" i="8" s="1"/>
  <c r="N85" i="8"/>
  <c r="L85" i="8"/>
  <c r="M85" i="8" s="1"/>
  <c r="N162" i="8"/>
  <c r="L162" i="8"/>
  <c r="M162" i="8" s="1"/>
  <c r="O162" i="8" s="1"/>
  <c r="N14" i="8"/>
  <c r="V431" i="1" s="1"/>
  <c r="M14" i="8"/>
  <c r="L14" i="8"/>
  <c r="L31" i="8"/>
  <c r="M31" i="8" s="1"/>
  <c r="N31" i="8"/>
  <c r="N47" i="8"/>
  <c r="L47" i="8"/>
  <c r="M47" i="8" s="1"/>
  <c r="L30" i="8"/>
  <c r="M30" i="8" s="1"/>
  <c r="N30" i="8"/>
  <c r="N37" i="8"/>
  <c r="L37" i="8"/>
  <c r="M37" i="8" s="1"/>
  <c r="O37" i="8" s="1"/>
  <c r="V648" i="1"/>
  <c r="V722" i="1"/>
  <c r="V721" i="1"/>
  <c r="N344" i="8"/>
  <c r="L344" i="8"/>
  <c r="M344" i="8"/>
  <c r="O344" i="8" s="1"/>
  <c r="L282" i="8"/>
  <c r="M282" i="8"/>
  <c r="O282" i="8" s="1"/>
  <c r="N282" i="8"/>
  <c r="N216" i="8"/>
  <c r="M216" i="8"/>
  <c r="O216" i="8" s="1"/>
  <c r="L216" i="8"/>
  <c r="L105" i="8"/>
  <c r="N105" i="8"/>
  <c r="M105" i="8"/>
  <c r="O105" i="8" s="1"/>
  <c r="L371" i="8"/>
  <c r="M371" i="8" s="1"/>
  <c r="O371" i="8" s="1"/>
  <c r="N371" i="8"/>
  <c r="M273" i="8"/>
  <c r="O273" i="8" s="1"/>
  <c r="N273" i="8"/>
  <c r="L273" i="8"/>
  <c r="L198" i="8"/>
  <c r="M198" i="8" s="1"/>
  <c r="N198" i="8"/>
  <c r="N116" i="8"/>
  <c r="L116" i="8"/>
  <c r="M116" i="8" s="1"/>
  <c r="O116" i="8" s="1"/>
  <c r="L88" i="8"/>
  <c r="M88" i="8" s="1"/>
  <c r="N88" i="8"/>
  <c r="O130" i="8"/>
  <c r="B130" i="8"/>
  <c r="Z130" i="8" s="1"/>
  <c r="O17" i="8"/>
  <c r="G721" i="1"/>
  <c r="G722" i="1"/>
  <c r="G648" i="1"/>
  <c r="L370" i="8"/>
  <c r="M370" i="8" s="1"/>
  <c r="O370" i="8" s="1"/>
  <c r="N370" i="8"/>
  <c r="N328" i="8"/>
  <c r="L328" i="8"/>
  <c r="M328" i="8" s="1"/>
  <c r="O328" i="8" s="1"/>
  <c r="L325" i="8"/>
  <c r="M325" i="8" s="1"/>
  <c r="O325" i="8" s="1"/>
  <c r="N325" i="8"/>
  <c r="L327" i="8"/>
  <c r="M327" i="8" s="1"/>
  <c r="O327" i="8" s="1"/>
  <c r="N327" i="8"/>
  <c r="M363" i="8"/>
  <c r="O363" i="8" s="1"/>
  <c r="N363" i="8"/>
  <c r="L363" i="8"/>
  <c r="N343" i="8"/>
  <c r="L343" i="8"/>
  <c r="M343" i="8" s="1"/>
  <c r="O343" i="8" s="1"/>
  <c r="N388" i="8"/>
  <c r="L388" i="8"/>
  <c r="M388" i="8" s="1"/>
  <c r="O388" i="8" s="1"/>
  <c r="N259" i="8"/>
  <c r="L259" i="8"/>
  <c r="M259" i="8" s="1"/>
  <c r="O259" i="8" s="1"/>
  <c r="L291" i="8"/>
  <c r="M291" i="8"/>
  <c r="O291" i="8" s="1"/>
  <c r="N291" i="8"/>
  <c r="L290" i="8"/>
  <c r="M290" i="8"/>
  <c r="O290" i="8" s="1"/>
  <c r="N290" i="8"/>
  <c r="N260" i="8"/>
  <c r="L260" i="8"/>
  <c r="M260" i="8" s="1"/>
  <c r="O260" i="8" s="1"/>
  <c r="N234" i="8"/>
  <c r="L234" i="8"/>
  <c r="M234" i="8" s="1"/>
  <c r="O234" i="8" s="1"/>
  <c r="N173" i="8"/>
  <c r="L173" i="8"/>
  <c r="M173" i="8" s="1"/>
  <c r="O173" i="8" s="1"/>
  <c r="N163" i="8"/>
  <c r="L163" i="8"/>
  <c r="M163" i="8" s="1"/>
  <c r="O163" i="8" s="1"/>
  <c r="N122" i="8"/>
  <c r="L122" i="8"/>
  <c r="M122" i="8" s="1"/>
  <c r="O122" i="8" s="1"/>
  <c r="N115" i="8"/>
  <c r="L115" i="8"/>
  <c r="M115" i="8" s="1"/>
  <c r="O115" i="8" s="1"/>
  <c r="N101" i="8"/>
  <c r="L101" i="8"/>
  <c r="M101" i="8" s="1"/>
  <c r="O101" i="8" s="1"/>
  <c r="N128" i="8"/>
  <c r="L128" i="8"/>
  <c r="M128" i="8" s="1"/>
  <c r="O128" i="8" s="1"/>
  <c r="N79" i="8"/>
  <c r="L79" i="8"/>
  <c r="M79" i="8" s="1"/>
  <c r="O79" i="8" s="1"/>
  <c r="O27" i="8"/>
  <c r="G777" i="1"/>
  <c r="G626" i="1"/>
  <c r="G467" i="1"/>
  <c r="G131" i="1"/>
  <c r="G42" i="1"/>
  <c r="G186" i="1"/>
  <c r="V642" i="1"/>
  <c r="V381" i="1"/>
  <c r="V40" i="1"/>
  <c r="N49" i="8"/>
  <c r="L49" i="8"/>
  <c r="M49" i="8" s="1"/>
  <c r="O49" i="8" s="1"/>
  <c r="N34" i="8"/>
  <c r="L34" i="8"/>
  <c r="M34" i="8" s="1"/>
  <c r="O34" i="8" s="1"/>
  <c r="N262" i="8"/>
  <c r="M262" i="8"/>
  <c r="O262" i="8" s="1"/>
  <c r="L262" i="8"/>
  <c r="L289" i="8"/>
  <c r="M289" i="8" s="1"/>
  <c r="O289" i="8" s="1"/>
  <c r="N289" i="8"/>
  <c r="B202" i="8"/>
  <c r="Z202" i="8" s="1"/>
  <c r="O202" i="8"/>
  <c r="N236" i="8"/>
  <c r="L236" i="8"/>
  <c r="M236" i="8" s="1"/>
  <c r="O236" i="8" s="1"/>
  <c r="Q375" i="8"/>
  <c r="K375" i="8"/>
  <c r="I375" i="8"/>
  <c r="L386" i="8"/>
  <c r="M386" i="8" s="1"/>
  <c r="N386" i="8"/>
  <c r="M361" i="8"/>
  <c r="O361" i="8" s="1"/>
  <c r="N361" i="8"/>
  <c r="L361" i="8"/>
  <c r="N378" i="8"/>
  <c r="L378" i="8"/>
  <c r="M378" i="8"/>
  <c r="O378" i="8" s="1"/>
  <c r="N368" i="8"/>
  <c r="L368" i="8"/>
  <c r="M368" i="8" s="1"/>
  <c r="O368" i="8" s="1"/>
  <c r="N348" i="8"/>
  <c r="L348" i="8"/>
  <c r="M348" i="8" s="1"/>
  <c r="O348" i="8" s="1"/>
  <c r="L275" i="8"/>
  <c r="M275" i="8"/>
  <c r="O275" i="8" s="1"/>
  <c r="N275" i="8"/>
  <c r="L253" i="8"/>
  <c r="M253" i="8" s="1"/>
  <c r="O253" i="8" s="1"/>
  <c r="N253" i="8"/>
  <c r="N305" i="8"/>
  <c r="L305" i="8"/>
  <c r="M305" i="8" s="1"/>
  <c r="O305" i="8" s="1"/>
  <c r="N241" i="8"/>
  <c r="L241" i="8"/>
  <c r="M241" i="8" s="1"/>
  <c r="O241" i="8" s="1"/>
  <c r="L240" i="8"/>
  <c r="M240" i="8" s="1"/>
  <c r="O240" i="8" s="1"/>
  <c r="N240" i="8"/>
  <c r="N212" i="8"/>
  <c r="L212" i="8"/>
  <c r="M212" i="8"/>
  <c r="O212" i="8" s="1"/>
  <c r="N238" i="8"/>
  <c r="L238" i="8"/>
  <c r="M238" i="8" s="1"/>
  <c r="O238" i="8" s="1"/>
  <c r="N172" i="8"/>
  <c r="L172" i="8"/>
  <c r="M172" i="8" s="1"/>
  <c r="O172" i="8" s="1"/>
  <c r="N313" i="8"/>
  <c r="L313" i="8"/>
  <c r="M313" i="8" s="1"/>
  <c r="O313" i="8" s="1"/>
  <c r="N144" i="8"/>
  <c r="L144" i="8"/>
  <c r="M144" i="8" s="1"/>
  <c r="O144" i="8" s="1"/>
  <c r="N91" i="8"/>
  <c r="L91" i="8"/>
  <c r="M91" i="8" s="1"/>
  <c r="V801" i="1"/>
  <c r="V165" i="1"/>
  <c r="V180" i="1"/>
  <c r="N22" i="8"/>
  <c r="L22" i="8"/>
  <c r="M22" i="8" s="1"/>
  <c r="V506" i="1"/>
  <c r="V45" i="1"/>
  <c r="N365" i="8"/>
  <c r="L365" i="8"/>
  <c r="M365" i="8" s="1"/>
  <c r="O365" i="8" s="1"/>
  <c r="L307" i="8"/>
  <c r="M307" i="8" s="1"/>
  <c r="O307" i="8" s="1"/>
  <c r="N307" i="8"/>
  <c r="N373" i="8"/>
  <c r="L373" i="8"/>
  <c r="M373" i="8" s="1"/>
  <c r="O373" i="8" s="1"/>
  <c r="N338" i="8"/>
  <c r="L338" i="8"/>
  <c r="M338" i="8" s="1"/>
  <c r="O338" i="8" s="1"/>
  <c r="L148" i="8"/>
  <c r="M148" i="8" s="1"/>
  <c r="O148" i="8" s="1"/>
  <c r="N148" i="8"/>
  <c r="N168" i="8"/>
  <c r="L168" i="8"/>
  <c r="M168" i="8" s="1"/>
  <c r="O168" i="8" s="1"/>
  <c r="N45" i="8"/>
  <c r="L45" i="8"/>
  <c r="M45" i="8" s="1"/>
  <c r="O45" i="8" s="1"/>
  <c r="L29" i="8"/>
  <c r="M29" i="8" s="1"/>
  <c r="O29" i="8" s="1"/>
  <c r="N29" i="8"/>
  <c r="N283" i="8"/>
  <c r="L283" i="8"/>
  <c r="M283" i="8" s="1"/>
  <c r="O283" i="8" s="1"/>
  <c r="L321" i="8"/>
  <c r="M321" i="8" s="1"/>
  <c r="O321" i="8" s="1"/>
  <c r="N321" i="8"/>
  <c r="N235" i="8"/>
  <c r="M235" i="8"/>
  <c r="O235" i="8" s="1"/>
  <c r="L235" i="8"/>
  <c r="N177" i="8"/>
  <c r="L177" i="8"/>
  <c r="M177" i="8" s="1"/>
  <c r="O177" i="8" s="1"/>
  <c r="N352" i="8"/>
  <c r="L352" i="8"/>
  <c r="M352" i="8"/>
  <c r="O352" i="8" s="1"/>
  <c r="N337" i="8"/>
  <c r="L337" i="8"/>
  <c r="M337" i="8" s="1"/>
  <c r="O337" i="8" s="1"/>
  <c r="L334" i="8"/>
  <c r="M334" i="8" s="1"/>
  <c r="N334" i="8"/>
  <c r="N319" i="8"/>
  <c r="L319" i="8"/>
  <c r="M319" i="8"/>
  <c r="O319" i="8" s="1"/>
  <c r="L332" i="8"/>
  <c r="M332" i="8" s="1"/>
  <c r="O332" i="8" s="1"/>
  <c r="N332" i="8"/>
  <c r="L346" i="8"/>
  <c r="M346" i="8" s="1"/>
  <c r="O346" i="8" s="1"/>
  <c r="N346" i="8"/>
  <c r="N383" i="8"/>
  <c r="L383" i="8"/>
  <c r="M383" i="8" s="1"/>
  <c r="O383" i="8" s="1"/>
  <c r="N276" i="8"/>
  <c r="M276" i="8"/>
  <c r="O276" i="8" s="1"/>
  <c r="L276" i="8"/>
  <c r="N306" i="8"/>
  <c r="L306" i="8"/>
  <c r="M306" i="8" s="1"/>
  <c r="O306" i="8" s="1"/>
  <c r="N263" i="8"/>
  <c r="L263" i="8"/>
  <c r="M263" i="8" s="1"/>
  <c r="O263" i="8" s="1"/>
  <c r="L315" i="8"/>
  <c r="M315" i="8" s="1"/>
  <c r="O315" i="8" s="1"/>
  <c r="N315" i="8"/>
  <c r="L298" i="8"/>
  <c r="M298" i="8"/>
  <c r="O298" i="8" s="1"/>
  <c r="N298" i="8"/>
  <c r="N300" i="8"/>
  <c r="L300" i="8"/>
  <c r="M300" i="8" s="1"/>
  <c r="O300" i="8" s="1"/>
  <c r="L256" i="8"/>
  <c r="M256" i="8" s="1"/>
  <c r="O256" i="8" s="1"/>
  <c r="N256" i="8"/>
  <c r="N114" i="8"/>
  <c r="L114" i="8"/>
  <c r="M114" i="8" s="1"/>
  <c r="O114" i="8" s="1"/>
  <c r="N123" i="8"/>
  <c r="L123" i="8"/>
  <c r="M123" i="8" s="1"/>
  <c r="O123" i="8" s="1"/>
  <c r="L95" i="8"/>
  <c r="M95" i="8"/>
  <c r="N95" i="8"/>
  <c r="N110" i="8"/>
  <c r="L110" i="8"/>
  <c r="M110" i="8" s="1"/>
  <c r="O110" i="8" s="1"/>
  <c r="L13" i="8"/>
  <c r="M13" i="8" s="1"/>
  <c r="N13" i="8"/>
  <c r="N51" i="8"/>
  <c r="L51" i="8"/>
  <c r="M51" i="8" s="1"/>
  <c r="O51" i="8" s="1"/>
  <c r="N32" i="8"/>
  <c r="L32" i="8"/>
  <c r="M32" i="8" s="1"/>
  <c r="N134" i="8"/>
  <c r="L134" i="8"/>
  <c r="M134" i="8" s="1"/>
  <c r="N48" i="8"/>
  <c r="M48" i="8"/>
  <c r="O48" i="8" s="1"/>
  <c r="L48" i="8"/>
  <c r="V587" i="1"/>
  <c r="V500" i="1"/>
  <c r="V613" i="1"/>
  <c r="V233" i="1"/>
  <c r="V139" i="1"/>
  <c r="V39" i="1"/>
  <c r="N23" i="8"/>
  <c r="L23" i="8"/>
  <c r="M23" i="8" s="1"/>
  <c r="O23" i="8" s="1"/>
  <c r="N497" i="1"/>
  <c r="O497" i="1" s="1"/>
  <c r="N234" i="1"/>
  <c r="O234" i="1" s="1"/>
  <c r="L322" i="8"/>
  <c r="M322" i="8" s="1"/>
  <c r="O322" i="8" s="1"/>
  <c r="N322" i="8"/>
  <c r="N284" i="8"/>
  <c r="L284" i="8"/>
  <c r="M284" i="8" s="1"/>
  <c r="O284" i="8" s="1"/>
  <c r="L189" i="8"/>
  <c r="M189" i="8" s="1"/>
  <c r="O189" i="8" s="1"/>
  <c r="N189" i="8"/>
  <c r="B129" i="8"/>
  <c r="Z129" i="8" s="1"/>
  <c r="O129" i="8"/>
  <c r="L6" i="8"/>
  <c r="N6" i="8"/>
  <c r="M6" i="8"/>
  <c r="O6" i="8" s="1"/>
  <c r="N329" i="8"/>
  <c r="L329" i="8"/>
  <c r="M329" i="8" s="1"/>
  <c r="O329" i="8" s="1"/>
  <c r="N254" i="8"/>
  <c r="L254" i="8"/>
  <c r="M254" i="8" s="1"/>
  <c r="O254" i="8" s="1"/>
  <c r="N166" i="8"/>
  <c r="L166" i="8"/>
  <c r="M166" i="8" s="1"/>
  <c r="O166" i="8" s="1"/>
  <c r="N109" i="8"/>
  <c r="L109" i="8"/>
  <c r="M109" i="8" s="1"/>
  <c r="O109" i="8" s="1"/>
  <c r="L4" i="8"/>
  <c r="N4" i="8"/>
  <c r="V237" i="1" s="1"/>
  <c r="M4" i="8"/>
  <c r="N24" i="8"/>
  <c r="L24" i="8"/>
  <c r="M24" i="8" s="1"/>
  <c r="O24" i="8" s="1"/>
  <c r="L303" i="8"/>
  <c r="M303" i="8" s="1"/>
  <c r="O303" i="8" s="1"/>
  <c r="N303" i="8"/>
  <c r="L324" i="8"/>
  <c r="M324" i="8" s="1"/>
  <c r="O324" i="8" s="1"/>
  <c r="N324" i="8"/>
  <c r="L278" i="8"/>
  <c r="M278" i="8"/>
  <c r="O278" i="8" s="1"/>
  <c r="N278" i="8"/>
  <c r="N381" i="8"/>
  <c r="L381" i="8"/>
  <c r="M381" i="8" s="1"/>
  <c r="O381" i="8" s="1"/>
  <c r="L326" i="8"/>
  <c r="M326" i="8" s="1"/>
  <c r="O326" i="8" s="1"/>
  <c r="N326" i="8"/>
  <c r="L279" i="8"/>
  <c r="M279" i="8" s="1"/>
  <c r="O279" i="8" s="1"/>
  <c r="N279" i="8"/>
  <c r="L239" i="8"/>
  <c r="M239" i="8"/>
  <c r="O239" i="8" s="1"/>
  <c r="N239" i="8"/>
  <c r="L286" i="8"/>
  <c r="M286" i="8" s="1"/>
  <c r="O286" i="8" s="1"/>
  <c r="N286" i="8"/>
  <c r="N268" i="8"/>
  <c r="L268" i="8"/>
  <c r="M268" i="8" s="1"/>
  <c r="O268" i="8" s="1"/>
  <c r="N233" i="8"/>
  <c r="L233" i="8"/>
  <c r="M233" i="8" s="1"/>
  <c r="O233" i="8" s="1"/>
  <c r="L203" i="8"/>
  <c r="M203" i="8" s="1"/>
  <c r="O203" i="8" s="1"/>
  <c r="N203" i="8"/>
  <c r="L292" i="8"/>
  <c r="M292" i="8" s="1"/>
  <c r="O292" i="8" s="1"/>
  <c r="N292" i="8"/>
  <c r="N228" i="8"/>
  <c r="L228" i="8"/>
  <c r="M228" i="8" s="1"/>
  <c r="O228" i="8" s="1"/>
  <c r="L201" i="8"/>
  <c r="M201" i="8" s="1"/>
  <c r="N201" i="8"/>
  <c r="N245" i="8"/>
  <c r="L245" i="8"/>
  <c r="M245" i="8" s="1"/>
  <c r="O245" i="8" s="1"/>
  <c r="N195" i="8"/>
  <c r="L195" i="8"/>
  <c r="M195" i="8" s="1"/>
  <c r="O195" i="8" s="1"/>
  <c r="B132" i="8"/>
  <c r="Z132" i="8" s="1"/>
  <c r="N112" i="8"/>
  <c r="L112" i="8"/>
  <c r="M112" i="8" s="1"/>
  <c r="L97" i="8"/>
  <c r="M97" i="8" s="1"/>
  <c r="O97" i="8" s="1"/>
  <c r="N97" i="8"/>
  <c r="L7" i="8"/>
  <c r="M7" i="8" s="1"/>
  <c r="O7" i="8" s="1"/>
  <c r="N7" i="8"/>
  <c r="N46" i="8"/>
  <c r="L46" i="8"/>
  <c r="M46" i="8" s="1"/>
  <c r="L5" i="8"/>
  <c r="M5" i="8" s="1"/>
  <c r="N5" i="8"/>
  <c r="V238" i="1" s="1"/>
  <c r="N169" i="8"/>
  <c r="L169" i="8"/>
  <c r="M169" i="8" s="1"/>
  <c r="O169" i="8" s="1"/>
  <c r="L96" i="8"/>
  <c r="M96" i="8" s="1"/>
  <c r="O96" i="8" s="1"/>
  <c r="N96" i="8"/>
  <c r="O25" i="8"/>
  <c r="G778" i="1"/>
  <c r="G195" i="1"/>
  <c r="G164" i="1"/>
  <c r="L21" i="8"/>
  <c r="M21" i="8" s="1"/>
  <c r="O21" i="8" s="1"/>
  <c r="N21" i="8"/>
  <c r="L288" i="8"/>
  <c r="M288" i="8"/>
  <c r="O288" i="8" s="1"/>
  <c r="N288" i="8"/>
  <c r="O199" i="8"/>
  <c r="B199" i="8"/>
  <c r="Z199" i="8" s="1"/>
  <c r="N242" i="8"/>
  <c r="L242" i="8"/>
  <c r="M242" i="8" s="1"/>
  <c r="O242" i="8" s="1"/>
  <c r="N387" i="8"/>
  <c r="L387" i="8"/>
  <c r="M387" i="8" s="1"/>
  <c r="O387" i="8" s="1"/>
  <c r="N15" i="8"/>
  <c r="V100" i="1" s="1"/>
  <c r="L15" i="8"/>
  <c r="M15" i="8" s="1"/>
  <c r="L384" i="8"/>
  <c r="M384" i="8" s="1"/>
  <c r="O384" i="8" s="1"/>
  <c r="N384" i="8"/>
  <c r="N272" i="8"/>
  <c r="L272" i="8"/>
  <c r="M272" i="8" s="1"/>
  <c r="O272" i="8" s="1"/>
  <c r="L293" i="8"/>
  <c r="M293" i="8"/>
  <c r="O293" i="8" s="1"/>
  <c r="N293" i="8"/>
  <c r="N164" i="8"/>
  <c r="L164" i="8"/>
  <c r="M164" i="8" s="1"/>
  <c r="O164" i="8" s="1"/>
  <c r="N341" i="8"/>
  <c r="L341" i="8"/>
  <c r="M341" i="8" s="1"/>
  <c r="O341" i="8" s="1"/>
  <c r="N379" i="8"/>
  <c r="L379" i="8"/>
  <c r="M379" i="8"/>
  <c r="O379" i="8" s="1"/>
  <c r="N374" i="8"/>
  <c r="L374" i="8"/>
  <c r="M374" i="8" s="1"/>
  <c r="O374" i="8" s="1"/>
  <c r="L323" i="8"/>
  <c r="M323" i="8" s="1"/>
  <c r="O323" i="8" s="1"/>
  <c r="N323" i="8"/>
  <c r="N257" i="8"/>
  <c r="L257" i="8"/>
  <c r="M257" i="8" s="1"/>
  <c r="O257" i="8" s="1"/>
  <c r="K244" i="8"/>
  <c r="I244" i="8"/>
  <c r="Q244" i="8"/>
  <c r="B200" i="8"/>
  <c r="Z200" i="8" s="1"/>
  <c r="O200" i="8"/>
  <c r="N267" i="8"/>
  <c r="L267" i="8"/>
  <c r="M267" i="8" s="1"/>
  <c r="O267" i="8" s="1"/>
  <c r="N205" i="8"/>
  <c r="L205" i="8"/>
  <c r="M205" i="8" s="1"/>
  <c r="O205" i="8" s="1"/>
  <c r="N117" i="8"/>
  <c r="L117" i="8"/>
  <c r="M117" i="8" s="1"/>
  <c r="O117" i="8" s="1"/>
  <c r="N137" i="8"/>
  <c r="L137" i="8"/>
  <c r="M137" i="8"/>
  <c r="O137" i="8" s="1"/>
  <c r="N145" i="8"/>
  <c r="L145" i="8"/>
  <c r="M145" i="8" s="1"/>
  <c r="O145" i="8" s="1"/>
  <c r="V759" i="1"/>
  <c r="V535" i="1"/>
  <c r="V26" i="1"/>
  <c r="N33" i="8"/>
  <c r="L33" i="8"/>
  <c r="M33" i="8" s="1"/>
  <c r="O33" i="8" s="1"/>
  <c r="V778" i="1"/>
  <c r="V195" i="1"/>
  <c r="V164" i="1"/>
  <c r="N336" i="1" l="1"/>
  <c r="O336" i="1" s="1"/>
  <c r="B12" i="19"/>
  <c r="D11" i="19"/>
  <c r="D10" i="20"/>
  <c r="E9" i="20"/>
  <c r="O386" i="8"/>
  <c r="C386" i="20"/>
  <c r="O112" i="8"/>
  <c r="C112" i="20"/>
  <c r="G688" i="1"/>
  <c r="G693" i="1"/>
  <c r="M693" i="1" s="1"/>
  <c r="M756" i="1"/>
  <c r="H756" i="1"/>
  <c r="G613" i="1"/>
  <c r="H613" i="1" s="1"/>
  <c r="G771" i="1"/>
  <c r="M771" i="1" s="1"/>
  <c r="O3" i="8"/>
  <c r="G236" i="1"/>
  <c r="G500" i="1"/>
  <c r="H500" i="1" s="1"/>
  <c r="O50" i="8"/>
  <c r="B185" i="8"/>
  <c r="Z185" i="8" s="1"/>
  <c r="O185" i="8"/>
  <c r="X236" i="1"/>
  <c r="W236" i="1" s="1"/>
  <c r="H744" i="1"/>
  <c r="M744" i="1"/>
  <c r="N189" i="1"/>
  <c r="O189" i="1" s="1"/>
  <c r="X508" i="1"/>
  <c r="W508" i="1" s="1"/>
  <c r="O186" i="8"/>
  <c r="O16" i="8"/>
  <c r="V12" i="1"/>
  <c r="X12" i="1" s="1"/>
  <c r="W12" i="1" s="1"/>
  <c r="V222" i="1"/>
  <c r="X222" i="1" s="1"/>
  <c r="W222" i="1" s="1"/>
  <c r="V532" i="1"/>
  <c r="X532" i="1" s="1"/>
  <c r="W532" i="1" s="1"/>
  <c r="V527" i="1"/>
  <c r="X527" i="1" s="1"/>
  <c r="W527" i="1" s="1"/>
  <c r="V718" i="1"/>
  <c r="V524" i="1"/>
  <c r="X524" i="1" s="1"/>
  <c r="W524" i="1" s="1"/>
  <c r="V197" i="1"/>
  <c r="O93" i="8"/>
  <c r="O8" i="8"/>
  <c r="G12" i="1"/>
  <c r="G524" i="1"/>
  <c r="G527" i="1"/>
  <c r="G532" i="1"/>
  <c r="G718" i="1"/>
  <c r="G197" i="1"/>
  <c r="G222" i="1"/>
  <c r="B184" i="8"/>
  <c r="Z184" i="8" s="1"/>
  <c r="O184" i="8"/>
  <c r="O334" i="8"/>
  <c r="B334" i="8"/>
  <c r="Z334" i="8" s="1"/>
  <c r="O198" i="8"/>
  <c r="B198" i="8"/>
  <c r="Z198" i="8" s="1"/>
  <c r="O46" i="8"/>
  <c r="G772" i="1"/>
  <c r="G460" i="1"/>
  <c r="B88" i="8"/>
  <c r="Z88" i="8" s="1"/>
  <c r="O88" i="8"/>
  <c r="O32" i="8"/>
  <c r="G607" i="1"/>
  <c r="G589" i="1"/>
  <c r="G577" i="1"/>
  <c r="G140" i="1"/>
  <c r="O201" i="8"/>
  <c r="B201" i="8"/>
  <c r="Z201" i="8" s="1"/>
  <c r="O134" i="8"/>
  <c r="B134" i="8"/>
  <c r="Z134" i="8" s="1"/>
  <c r="O47" i="8"/>
  <c r="G327" i="1"/>
  <c r="G41" i="1"/>
  <c r="O91" i="8"/>
  <c r="B91" i="8"/>
  <c r="Z91" i="8" s="1"/>
  <c r="O15" i="8"/>
  <c r="G100" i="1"/>
  <c r="O13" i="8"/>
  <c r="G775" i="1"/>
  <c r="G430" i="1"/>
  <c r="G235" i="1"/>
  <c r="X139" i="1"/>
  <c r="W139" i="1" s="1"/>
  <c r="X721" i="1"/>
  <c r="W721" i="1" s="1"/>
  <c r="O14" i="8"/>
  <c r="G431" i="1"/>
  <c r="X801" i="1"/>
  <c r="W801" i="1" s="1"/>
  <c r="X431" i="1"/>
  <c r="W431" i="1" s="1"/>
  <c r="M500" i="1"/>
  <c r="X45" i="1"/>
  <c r="W45" i="1" s="1"/>
  <c r="X40" i="1"/>
  <c r="W40" i="1" s="1"/>
  <c r="M777" i="1"/>
  <c r="H777" i="1"/>
  <c r="X648" i="1"/>
  <c r="W648" i="1" s="1"/>
  <c r="M535" i="1"/>
  <c r="H535" i="1"/>
  <c r="M801" i="1"/>
  <c r="H801" i="1"/>
  <c r="O95" i="8"/>
  <c r="B95" i="8"/>
  <c r="Z95" i="8" s="1"/>
  <c r="O30" i="8"/>
  <c r="G741" i="1"/>
  <c r="G705" i="1"/>
  <c r="G716" i="1"/>
  <c r="G650" i="1"/>
  <c r="G433" i="1"/>
  <c r="G132" i="1"/>
  <c r="G60" i="1"/>
  <c r="G6" i="1"/>
  <c r="G111" i="1"/>
  <c r="G43" i="1"/>
  <c r="G37" i="1"/>
  <c r="H626" i="1"/>
  <c r="M626" i="1"/>
  <c r="M165" i="1"/>
  <c r="H165" i="1"/>
  <c r="X613" i="1"/>
  <c r="W613" i="1" s="1"/>
  <c r="M164" i="1"/>
  <c r="H164" i="1"/>
  <c r="O4" i="8"/>
  <c r="G237" i="1"/>
  <c r="X500" i="1"/>
  <c r="W500" i="1" s="1"/>
  <c r="X506" i="1"/>
  <c r="W506" i="1" s="1"/>
  <c r="N375" i="8"/>
  <c r="L375" i="8"/>
  <c r="M375" i="8" s="1"/>
  <c r="O375" i="8" s="1"/>
  <c r="X381" i="1"/>
  <c r="W381" i="1" s="1"/>
  <c r="V327" i="1"/>
  <c r="V41" i="1"/>
  <c r="M759" i="1"/>
  <c r="H759" i="1"/>
  <c r="M587" i="1"/>
  <c r="H587" i="1"/>
  <c r="M467" i="1"/>
  <c r="H467" i="1"/>
  <c r="M233" i="1"/>
  <c r="H233" i="1"/>
  <c r="X722" i="1"/>
  <c r="W722" i="1" s="1"/>
  <c r="V772" i="1"/>
  <c r="V460" i="1"/>
  <c r="X100" i="1"/>
  <c r="W100" i="1" s="1"/>
  <c r="H195" i="1"/>
  <c r="M195" i="1"/>
  <c r="X237" i="1"/>
  <c r="W237" i="1" s="1"/>
  <c r="X587" i="1"/>
  <c r="W587" i="1" s="1"/>
  <c r="X642" i="1"/>
  <c r="W642" i="1" s="1"/>
  <c r="V578" i="1"/>
  <c r="V34" i="1"/>
  <c r="N376" i="8"/>
  <c r="L376" i="8"/>
  <c r="M376" i="8" s="1"/>
  <c r="O376" i="8" s="1"/>
  <c r="M40" i="1"/>
  <c r="H40" i="1"/>
  <c r="X778" i="1"/>
  <c r="W778" i="1" s="1"/>
  <c r="M26" i="1"/>
  <c r="H26" i="1"/>
  <c r="X26" i="1"/>
  <c r="W26" i="1" s="1"/>
  <c r="M778" i="1"/>
  <c r="H778" i="1"/>
  <c r="O5" i="8"/>
  <c r="G238" i="1"/>
  <c r="V607" i="1"/>
  <c r="V589" i="1"/>
  <c r="V577" i="1"/>
  <c r="V140" i="1"/>
  <c r="O22" i="8"/>
  <c r="G622" i="1"/>
  <c r="G429" i="1"/>
  <c r="M186" i="1"/>
  <c r="H186" i="1"/>
  <c r="M648" i="1"/>
  <c r="H648" i="1"/>
  <c r="Z63" i="8"/>
  <c r="T739" i="1"/>
  <c r="G739" i="1"/>
  <c r="V802" i="1"/>
  <c r="T802" i="1"/>
  <c r="G802" i="1"/>
  <c r="T748" i="1"/>
  <c r="G748" i="1"/>
  <c r="T712" i="1"/>
  <c r="G712" i="1"/>
  <c r="S802" i="1"/>
  <c r="S679" i="1"/>
  <c r="V712" i="1"/>
  <c r="S712" i="1"/>
  <c r="V680" i="1"/>
  <c r="G680" i="1"/>
  <c r="V739" i="1"/>
  <c r="T680" i="1"/>
  <c r="V748" i="1"/>
  <c r="S739" i="1"/>
  <c r="S748" i="1"/>
  <c r="V679" i="1"/>
  <c r="T679" i="1"/>
  <c r="G679" i="1"/>
  <c r="T473" i="1"/>
  <c r="G473" i="1"/>
  <c r="V511" i="1"/>
  <c r="S473" i="1"/>
  <c r="V615" i="1"/>
  <c r="G615" i="1"/>
  <c r="T615" i="1"/>
  <c r="S511" i="1"/>
  <c r="S615" i="1"/>
  <c r="G480" i="1"/>
  <c r="S680" i="1"/>
  <c r="S432" i="1"/>
  <c r="V473" i="1"/>
  <c r="S412" i="1"/>
  <c r="T511" i="1"/>
  <c r="G432" i="1"/>
  <c r="G511" i="1"/>
  <c r="V432" i="1"/>
  <c r="T359" i="1"/>
  <c r="G359" i="1"/>
  <c r="T412" i="1"/>
  <c r="T215" i="1"/>
  <c r="G215" i="1"/>
  <c r="T253" i="1"/>
  <c r="S215" i="1"/>
  <c r="V412" i="1"/>
  <c r="T432" i="1"/>
  <c r="G412" i="1"/>
  <c r="V359" i="1"/>
  <c r="S166" i="1"/>
  <c r="S359" i="1"/>
  <c r="V215" i="1"/>
  <c r="G166" i="1"/>
  <c r="S143" i="1"/>
  <c r="V64" i="1"/>
  <c r="V50" i="1"/>
  <c r="V166" i="1"/>
  <c r="T64" i="1"/>
  <c r="G64" i="1"/>
  <c r="T50" i="1"/>
  <c r="G50" i="1"/>
  <c r="S50" i="1"/>
  <c r="T166" i="1"/>
  <c r="S102" i="1"/>
  <c r="S64" i="1"/>
  <c r="V101" i="1"/>
  <c r="V51" i="1"/>
  <c r="T95" i="1"/>
  <c r="T51" i="1"/>
  <c r="G51" i="1"/>
  <c r="T47" i="1"/>
  <c r="S51" i="1"/>
  <c r="T214" i="1"/>
  <c r="S87" i="1"/>
  <c r="S49" i="1"/>
  <c r="S27" i="1"/>
  <c r="M45" i="1"/>
  <c r="H45" i="1"/>
  <c r="M381" i="1"/>
  <c r="H381" i="1"/>
  <c r="M150" i="1"/>
  <c r="H150" i="1"/>
  <c r="X195" i="1"/>
  <c r="W195" i="1" s="1"/>
  <c r="M688" i="1"/>
  <c r="H688" i="1"/>
  <c r="L244" i="8"/>
  <c r="M244" i="8" s="1"/>
  <c r="O244" i="8" s="1"/>
  <c r="N244" i="8"/>
  <c r="X238" i="1"/>
  <c r="W238" i="1" s="1"/>
  <c r="V622" i="1"/>
  <c r="V429" i="1"/>
  <c r="M42" i="1"/>
  <c r="H42" i="1"/>
  <c r="M722" i="1"/>
  <c r="H722" i="1"/>
  <c r="V716" i="1"/>
  <c r="V705" i="1"/>
  <c r="V650" i="1"/>
  <c r="V741" i="1"/>
  <c r="V433" i="1"/>
  <c r="V60" i="1"/>
  <c r="V6" i="1"/>
  <c r="V111" i="1"/>
  <c r="V43" i="1"/>
  <c r="V37" i="1"/>
  <c r="V132" i="1"/>
  <c r="O31" i="8"/>
  <c r="G578" i="1"/>
  <c r="G34" i="1"/>
  <c r="O85" i="8"/>
  <c r="B85" i="8"/>
  <c r="T781" i="1" s="1"/>
  <c r="M506" i="1"/>
  <c r="H506" i="1"/>
  <c r="M642" i="1"/>
  <c r="H642" i="1"/>
  <c r="M39" i="1"/>
  <c r="H39" i="1"/>
  <c r="M487" i="1"/>
  <c r="H487" i="1"/>
  <c r="X165" i="1"/>
  <c r="W165" i="1" s="1"/>
  <c r="M180" i="1"/>
  <c r="H180" i="1"/>
  <c r="X233" i="1"/>
  <c r="W233" i="1" s="1"/>
  <c r="V775" i="1"/>
  <c r="V430" i="1"/>
  <c r="V235" i="1"/>
  <c r="X535" i="1"/>
  <c r="W535" i="1" s="1"/>
  <c r="X164" i="1"/>
  <c r="W164" i="1" s="1"/>
  <c r="X759" i="1"/>
  <c r="W759" i="1" s="1"/>
  <c r="X39" i="1"/>
  <c r="W39" i="1" s="1"/>
  <c r="X180" i="1"/>
  <c r="W180" i="1" s="1"/>
  <c r="H131" i="1"/>
  <c r="M131" i="1"/>
  <c r="M721" i="1"/>
  <c r="H721" i="1"/>
  <c r="M139" i="1"/>
  <c r="H139" i="1"/>
  <c r="M457" i="1"/>
  <c r="H457" i="1"/>
  <c r="N744" i="1" l="1"/>
  <c r="O744" i="1" s="1"/>
  <c r="N756" i="1"/>
  <c r="O756" i="1" s="1"/>
  <c r="B13" i="19"/>
  <c r="D12" i="19"/>
  <c r="D11" i="20"/>
  <c r="E10" i="20"/>
  <c r="H693" i="1"/>
  <c r="M613" i="1"/>
  <c r="H236" i="1"/>
  <c r="M236" i="1"/>
  <c r="G105" i="1"/>
  <c r="S103" i="1"/>
  <c r="V207" i="1"/>
  <c r="X207" i="1" s="1"/>
  <c r="W207" i="1" s="1"/>
  <c r="G295" i="1"/>
  <c r="G400" i="1"/>
  <c r="M400" i="1" s="1"/>
  <c r="S63" i="1"/>
  <c r="S113" i="1"/>
  <c r="S53" i="1"/>
  <c r="T55" i="1"/>
  <c r="G129" i="1"/>
  <c r="V11" i="1"/>
  <c r="G168" i="1"/>
  <c r="M168" i="1" s="1"/>
  <c r="G92" i="1"/>
  <c r="T217" i="1"/>
  <c r="G560" i="1"/>
  <c r="G596" i="1"/>
  <c r="H771" i="1"/>
  <c r="H197" i="1"/>
  <c r="M197" i="1"/>
  <c r="X197" i="1"/>
  <c r="W197" i="1" s="1"/>
  <c r="M12" i="1"/>
  <c r="H12" i="1"/>
  <c r="S138" i="1"/>
  <c r="S663" i="1"/>
  <c r="V657" i="1"/>
  <c r="X657" i="1" s="1"/>
  <c r="W657" i="1" s="1"/>
  <c r="T692" i="1"/>
  <c r="M222" i="1"/>
  <c r="H222" i="1"/>
  <c r="S71" i="1"/>
  <c r="S129" i="1"/>
  <c r="T5" i="1"/>
  <c r="T63" i="1"/>
  <c r="T168" i="1"/>
  <c r="V167" i="1"/>
  <c r="G220" i="1"/>
  <c r="M220" i="1" s="1"/>
  <c r="S287" i="1"/>
  <c r="G148" i="1"/>
  <c r="H148" i="1" s="1"/>
  <c r="T308" i="1"/>
  <c r="G592" i="1"/>
  <c r="G451" i="1"/>
  <c r="G628" i="1"/>
  <c r="M718" i="1"/>
  <c r="H718" i="1"/>
  <c r="S95" i="1"/>
  <c r="T137" i="1"/>
  <c r="G119" i="1"/>
  <c r="M119" i="1" s="1"/>
  <c r="T695" i="1"/>
  <c r="S11" i="1"/>
  <c r="S77" i="1"/>
  <c r="S144" i="1"/>
  <c r="T13" i="1"/>
  <c r="T71" i="1"/>
  <c r="T211" i="1"/>
  <c r="V19" i="1"/>
  <c r="X19" i="1" s="1"/>
  <c r="W19" i="1" s="1"/>
  <c r="S46" i="1"/>
  <c r="T200" i="1"/>
  <c r="S399" i="1"/>
  <c r="T374" i="1"/>
  <c r="S472" i="1"/>
  <c r="T757" i="1"/>
  <c r="H532" i="1"/>
  <c r="M532" i="1"/>
  <c r="X718" i="1"/>
  <c r="W718" i="1" s="1"/>
  <c r="S494" i="1"/>
  <c r="S57" i="1"/>
  <c r="T184" i="1"/>
  <c r="V464" i="1"/>
  <c r="X464" i="1" s="1"/>
  <c r="W464" i="1" s="1"/>
  <c r="G657" i="1"/>
  <c r="H657" i="1" s="1"/>
  <c r="S13" i="1"/>
  <c r="S79" i="1"/>
  <c r="G161" i="1"/>
  <c r="T21" i="1"/>
  <c r="T79" i="1"/>
  <c r="S62" i="1"/>
  <c r="V370" i="1"/>
  <c r="X370" i="1" s="1"/>
  <c r="W370" i="1" s="1"/>
  <c r="G623" i="1"/>
  <c r="M623" i="1" s="1"/>
  <c r="V561" i="1"/>
  <c r="X561" i="1" s="1"/>
  <c r="W561" i="1" s="1"/>
  <c r="M527" i="1"/>
  <c r="H527" i="1"/>
  <c r="S9" i="1"/>
  <c r="S19" i="1"/>
  <c r="S83" i="1"/>
  <c r="V182" i="1"/>
  <c r="X182" i="1" s="1"/>
  <c r="W182" i="1" s="1"/>
  <c r="T29" i="1"/>
  <c r="T87" i="1"/>
  <c r="V73" i="1"/>
  <c r="X73" i="1" s="1"/>
  <c r="W73" i="1" s="1"/>
  <c r="S208" i="1"/>
  <c r="S600" i="1"/>
  <c r="V769" i="1"/>
  <c r="H524" i="1"/>
  <c r="M524" i="1"/>
  <c r="M105" i="1"/>
  <c r="H105" i="1"/>
  <c r="X101" i="1"/>
  <c r="W101" i="1" s="1"/>
  <c r="N131" i="1"/>
  <c r="O131" i="1" s="1"/>
  <c r="N180" i="1"/>
  <c r="O180" i="1" s="1"/>
  <c r="N642" i="1"/>
  <c r="O642" i="1" s="1"/>
  <c r="X741" i="1"/>
  <c r="W741" i="1" s="1"/>
  <c r="X429" i="1"/>
  <c r="W429" i="1" s="1"/>
  <c r="N150" i="1"/>
  <c r="O150" i="1" s="1"/>
  <c r="S93" i="1"/>
  <c r="S109" i="1"/>
  <c r="S127" i="1"/>
  <c r="T160" i="1"/>
  <c r="T181" i="1"/>
  <c r="V212" i="1"/>
  <c r="S5" i="1"/>
  <c r="G5" i="1"/>
  <c r="G13" i="1"/>
  <c r="G21" i="1"/>
  <c r="G29" i="1"/>
  <c r="G47" i="1"/>
  <c r="G55" i="1"/>
  <c r="G63" i="1"/>
  <c r="G71" i="1"/>
  <c r="G79" i="1"/>
  <c r="G87" i="1"/>
  <c r="G95" i="1"/>
  <c r="T103" i="1"/>
  <c r="T115" i="1"/>
  <c r="T127" i="1"/>
  <c r="V160" i="1"/>
  <c r="G209" i="1"/>
  <c r="G259" i="1"/>
  <c r="V71" i="1"/>
  <c r="V99" i="1"/>
  <c r="V125" i="1"/>
  <c r="T178" i="1"/>
  <c r="V10" i="1"/>
  <c r="T158" i="1"/>
  <c r="T207" i="1"/>
  <c r="S44" i="1"/>
  <c r="S98" i="1"/>
  <c r="S134" i="1"/>
  <c r="G167" i="1"/>
  <c r="G218" i="1"/>
  <c r="S38" i="1"/>
  <c r="G38" i="1"/>
  <c r="G84" i="1"/>
  <c r="T176" i="1"/>
  <c r="V118" i="1"/>
  <c r="V185" i="1"/>
  <c r="S271" i="1"/>
  <c r="S192" i="1"/>
  <c r="G279" i="1"/>
  <c r="G138" i="1"/>
  <c r="S339" i="1"/>
  <c r="S227" i="1"/>
  <c r="T414" i="1"/>
  <c r="T355" i="1"/>
  <c r="V414" i="1"/>
  <c r="V449" i="1"/>
  <c r="T495" i="1"/>
  <c r="T300" i="1"/>
  <c r="T366" i="1"/>
  <c r="V354" i="1"/>
  <c r="V477" i="1"/>
  <c r="S629" i="1"/>
  <c r="G552" i="1"/>
  <c r="S454" i="1"/>
  <c r="G597" i="1"/>
  <c r="G472" i="1"/>
  <c r="V446" i="1"/>
  <c r="S568" i="1"/>
  <c r="T553" i="1"/>
  <c r="S465" i="1"/>
  <c r="V571" i="1"/>
  <c r="G443" i="1"/>
  <c r="T581" i="1"/>
  <c r="G647" i="1"/>
  <c r="S734" i="1"/>
  <c r="S640" i="1"/>
  <c r="G616" i="1"/>
  <c r="S708" i="1"/>
  <c r="V713" i="1"/>
  <c r="T738" i="1"/>
  <c r="S803" i="1"/>
  <c r="T749" i="1"/>
  <c r="AK3558" i="1"/>
  <c r="AK3502" i="1"/>
  <c r="AJ3559" i="1"/>
  <c r="AJ3532" i="1"/>
  <c r="AJ3502" i="1"/>
  <c r="AK3393" i="1"/>
  <c r="AJ3358" i="1"/>
  <c r="AK3353" i="1"/>
  <c r="AK3448" i="1"/>
  <c r="AJ3393" i="1"/>
  <c r="AJ3353" i="1"/>
  <c r="AJ3448" i="1"/>
  <c r="AJ3558" i="1"/>
  <c r="AK3521" i="1"/>
  <c r="AJ3418" i="1"/>
  <c r="AK3405" i="1"/>
  <c r="AJ3138" i="1"/>
  <c r="AJ3114" i="1"/>
  <c r="AK2988" i="1"/>
  <c r="AK3559" i="1"/>
  <c r="AK3532" i="1"/>
  <c r="AJ3240" i="1"/>
  <c r="AK3139" i="1"/>
  <c r="AJ2989" i="1"/>
  <c r="AK2939" i="1"/>
  <c r="AJ2872" i="1"/>
  <c r="AJ2848" i="1"/>
  <c r="AK2835" i="1"/>
  <c r="AK2731" i="1"/>
  <c r="AJ2648" i="1"/>
  <c r="AK3368" i="1"/>
  <c r="AJ3139" i="1"/>
  <c r="AK3114" i="1"/>
  <c r="AK3069" i="1"/>
  <c r="AJ2939" i="1"/>
  <c r="AK2910" i="1"/>
  <c r="AK2870" i="1"/>
  <c r="AJ2835" i="1"/>
  <c r="AK2774" i="1"/>
  <c r="AJ2731" i="1"/>
  <c r="AK2646" i="1"/>
  <c r="AK3556" i="1"/>
  <c r="AJ3368" i="1"/>
  <c r="AK3358" i="1"/>
  <c r="AK3331" i="1"/>
  <c r="AJ3556" i="1"/>
  <c r="AJ3331" i="1"/>
  <c r="AJ3000" i="1"/>
  <c r="AJ2967" i="1"/>
  <c r="AJ3521" i="1"/>
  <c r="AJ3405" i="1"/>
  <c r="AJ2988" i="1"/>
  <c r="AK2935" i="1"/>
  <c r="AK2919" i="1"/>
  <c r="AK2871" i="1"/>
  <c r="AK2775" i="1"/>
  <c r="AK3138" i="1"/>
  <c r="AK3320" i="1"/>
  <c r="AK3312" i="1"/>
  <c r="AK2909" i="1"/>
  <c r="AJ2764" i="1"/>
  <c r="AK2648" i="1"/>
  <c r="AK3240" i="1"/>
  <c r="AK2967" i="1"/>
  <c r="AJ2919" i="1"/>
  <c r="AK2751" i="1"/>
  <c r="AK2732" i="1"/>
  <c r="AJ2646" i="1"/>
  <c r="AK2548" i="1"/>
  <c r="AJ3312" i="1"/>
  <c r="AK2989" i="1"/>
  <c r="AJ2774" i="1"/>
  <c r="AJ2751" i="1"/>
  <c r="AJ2732" i="1"/>
  <c r="AJ2548" i="1"/>
  <c r="AJ2269" i="1"/>
  <c r="AJ1925" i="1"/>
  <c r="AJ1661" i="1"/>
  <c r="AK3000" i="1"/>
  <c r="AJ2910" i="1"/>
  <c r="AK2872" i="1"/>
  <c r="AJ2870" i="1"/>
  <c r="AK2848" i="1"/>
  <c r="AK2647" i="1"/>
  <c r="AK2461" i="1"/>
  <c r="AK3418" i="1"/>
  <c r="AJ3069" i="1"/>
  <c r="AJ2935" i="1"/>
  <c r="AJ2647" i="1"/>
  <c r="AK2645" i="1"/>
  <c r="AK2544" i="1"/>
  <c r="AJ2461" i="1"/>
  <c r="AK2263" i="1"/>
  <c r="AK2195" i="1"/>
  <c r="AK1763" i="1"/>
  <c r="AJ1581" i="1"/>
  <c r="AK1547" i="1"/>
  <c r="AJ3320" i="1"/>
  <c r="AK2873" i="1"/>
  <c r="AJ2871" i="1"/>
  <c r="AJ2703" i="1"/>
  <c r="AK1924" i="1"/>
  <c r="AJ2873" i="1"/>
  <c r="AJ2645" i="1"/>
  <c r="AJ1924" i="1"/>
  <c r="AK2666" i="1"/>
  <c r="AJ2666" i="1"/>
  <c r="AJ2909" i="1"/>
  <c r="AJ1942" i="1"/>
  <c r="AJ1660" i="1"/>
  <c r="AK2764" i="1"/>
  <c r="AJ2544" i="1"/>
  <c r="AJ1598" i="1"/>
  <c r="AJ2195" i="1"/>
  <c r="AK1546" i="1"/>
  <c r="AJ680" i="1"/>
  <c r="AK2269" i="1"/>
  <c r="AK1661" i="1"/>
  <c r="AJ1546" i="1"/>
  <c r="AK802" i="1"/>
  <c r="AK748" i="1"/>
  <c r="AK1925" i="1"/>
  <c r="AK1660" i="1"/>
  <c r="AJ802" i="1"/>
  <c r="AJ748" i="1"/>
  <c r="AJ2775" i="1"/>
  <c r="AK2703" i="1"/>
  <c r="AJ2263" i="1"/>
  <c r="AK1942" i="1"/>
  <c r="AJ1763" i="1"/>
  <c r="AK1598" i="1"/>
  <c r="AK1597" i="1"/>
  <c r="AJ1597" i="1"/>
  <c r="AK1581" i="1"/>
  <c r="AJ1547" i="1"/>
  <c r="AK712" i="1"/>
  <c r="AJ712" i="1"/>
  <c r="AK739" i="1"/>
  <c r="AK680" i="1"/>
  <c r="AJ739" i="1"/>
  <c r="AK679" i="1"/>
  <c r="AJ679" i="1"/>
  <c r="AK615" i="1"/>
  <c r="AJ511" i="1"/>
  <c r="AJ615" i="1"/>
  <c r="AK473" i="1"/>
  <c r="AJ473" i="1"/>
  <c r="AK511" i="1"/>
  <c r="AK359" i="1"/>
  <c r="AK432" i="1"/>
  <c r="AJ359" i="1"/>
  <c r="AJ432" i="1"/>
  <c r="AK412" i="1"/>
  <c r="AJ412" i="1"/>
  <c r="AK166" i="1"/>
  <c r="AJ166" i="1"/>
  <c r="AK215" i="1"/>
  <c r="AJ64" i="1"/>
  <c r="AJ50" i="1"/>
  <c r="AK51" i="1"/>
  <c r="AJ215" i="1"/>
  <c r="AJ51" i="1"/>
  <c r="AK64" i="1"/>
  <c r="AK50" i="1"/>
  <c r="X140" i="1"/>
  <c r="W140" i="1" s="1"/>
  <c r="N457" i="1"/>
  <c r="O457" i="1" s="1"/>
  <c r="X650" i="1"/>
  <c r="W650" i="1" s="1"/>
  <c r="X622" i="1"/>
  <c r="W622" i="1" s="1"/>
  <c r="M560" i="1"/>
  <c r="H560" i="1"/>
  <c r="M592" i="1"/>
  <c r="H592" i="1"/>
  <c r="H596" i="1"/>
  <c r="M596" i="1"/>
  <c r="H460" i="1"/>
  <c r="M460" i="1"/>
  <c r="N506" i="1"/>
  <c r="O506" i="1" s="1"/>
  <c r="X37" i="1"/>
  <c r="W37" i="1" s="1"/>
  <c r="X705" i="1"/>
  <c r="W705" i="1" s="1"/>
  <c r="N381" i="1"/>
  <c r="O381" i="1" s="1"/>
  <c r="S17" i="1"/>
  <c r="S61" i="1"/>
  <c r="S81" i="1"/>
  <c r="S97" i="1"/>
  <c r="S115" i="1"/>
  <c r="S136" i="1"/>
  <c r="G162" i="1"/>
  <c r="G187" i="1"/>
  <c r="T216" i="1"/>
  <c r="S15" i="1"/>
  <c r="S55" i="1"/>
  <c r="G7" i="1"/>
  <c r="G15" i="1"/>
  <c r="G23" i="1"/>
  <c r="G31" i="1"/>
  <c r="G49" i="1"/>
  <c r="G57" i="1"/>
  <c r="G65" i="1"/>
  <c r="G73" i="1"/>
  <c r="G81" i="1"/>
  <c r="G89" i="1"/>
  <c r="G97" i="1"/>
  <c r="T105" i="1"/>
  <c r="T119" i="1"/>
  <c r="T129" i="1"/>
  <c r="V174" i="1"/>
  <c r="V214" i="1"/>
  <c r="V53" i="1"/>
  <c r="V75" i="1"/>
  <c r="V103" i="1"/>
  <c r="G145" i="1"/>
  <c r="V190" i="1"/>
  <c r="V21" i="1"/>
  <c r="G173" i="1"/>
  <c r="V29" i="1"/>
  <c r="S110" i="1"/>
  <c r="V147" i="1"/>
  <c r="T171" i="1"/>
  <c r="V259" i="1"/>
  <c r="G102" i="1"/>
  <c r="V28" i="1"/>
  <c r="G171" i="1"/>
  <c r="S303" i="1"/>
  <c r="S226" i="1"/>
  <c r="S330" i="1"/>
  <c r="S257" i="1"/>
  <c r="T285" i="1"/>
  <c r="T225" i="1"/>
  <c r="V445" i="1"/>
  <c r="G495" i="1"/>
  <c r="S419" i="1"/>
  <c r="T252" i="1"/>
  <c r="T316" i="1"/>
  <c r="T382" i="1"/>
  <c r="V386" i="1"/>
  <c r="S516" i="1"/>
  <c r="G494" i="1"/>
  <c r="G576" i="1"/>
  <c r="V488" i="1"/>
  <c r="V639" i="1"/>
  <c r="T564" i="1"/>
  <c r="V480" i="1"/>
  <c r="G583" i="1"/>
  <c r="S483" i="1"/>
  <c r="S627" i="1"/>
  <c r="G461" i="1"/>
  <c r="G621" i="1"/>
  <c r="G666" i="1"/>
  <c r="M680" i="1"/>
  <c r="H680" i="1"/>
  <c r="G636" i="1"/>
  <c r="V743" i="1"/>
  <c r="T700" i="1"/>
  <c r="V766" i="1"/>
  <c r="T703" i="1"/>
  <c r="T767" i="1"/>
  <c r="M161" i="1"/>
  <c r="H161" i="1"/>
  <c r="X51" i="1"/>
  <c r="W51" i="1" s="1"/>
  <c r="G143" i="1"/>
  <c r="V169" i="1"/>
  <c r="V194" i="1"/>
  <c r="T218" i="1"/>
  <c r="S21" i="1"/>
  <c r="S59" i="1"/>
  <c r="T7" i="1"/>
  <c r="T15" i="1"/>
  <c r="T23" i="1"/>
  <c r="T31" i="1"/>
  <c r="T49" i="1"/>
  <c r="T57" i="1"/>
  <c r="T65" i="1"/>
  <c r="T73" i="1"/>
  <c r="T81" i="1"/>
  <c r="T89" i="1"/>
  <c r="T97" i="1"/>
  <c r="G109" i="1"/>
  <c r="G121" i="1"/>
  <c r="S133" i="1"/>
  <c r="V179" i="1"/>
  <c r="V216" i="1"/>
  <c r="V55" i="1"/>
  <c r="V83" i="1"/>
  <c r="V105" i="1"/>
  <c r="V145" i="1"/>
  <c r="G194" i="1"/>
  <c r="V27" i="1"/>
  <c r="G174" i="1"/>
  <c r="V31" i="1"/>
  <c r="S66" i="1"/>
  <c r="S114" i="1"/>
  <c r="S149" i="1"/>
  <c r="V188" i="1"/>
  <c r="V263" i="1"/>
  <c r="S88" i="1"/>
  <c r="G58" i="1"/>
  <c r="G110" i="1"/>
  <c r="X50" i="1"/>
  <c r="W50" i="1" s="1"/>
  <c r="T206" i="1"/>
  <c r="V223" i="1"/>
  <c r="V349" i="1"/>
  <c r="T251" i="1"/>
  <c r="V241" i="1"/>
  <c r="S273" i="1"/>
  <c r="S155" i="1"/>
  <c r="V311" i="1"/>
  <c r="G242" i="1"/>
  <c r="T313" i="1"/>
  <c r="T363" i="1"/>
  <c r="S342" i="1"/>
  <c r="T260" i="1"/>
  <c r="T324" i="1"/>
  <c r="T390" i="1"/>
  <c r="V407" i="1"/>
  <c r="S536" i="1"/>
  <c r="G504" i="1"/>
  <c r="S591" i="1"/>
  <c r="V510" i="1"/>
  <c r="S580" i="1"/>
  <c r="S501" i="1"/>
  <c r="T641" i="1"/>
  <c r="G603" i="1"/>
  <c r="V503" i="1"/>
  <c r="V668" i="1"/>
  <c r="G471" i="1"/>
  <c r="S659" i="1"/>
  <c r="T676" i="1"/>
  <c r="S750" i="1"/>
  <c r="G646" i="1"/>
  <c r="V630" i="1"/>
  <c r="T685" i="1"/>
  <c r="T708" i="1"/>
  <c r="T758" i="1"/>
  <c r="V786" i="1"/>
  <c r="T713" i="1"/>
  <c r="N164" i="1"/>
  <c r="O164" i="1" s="1"/>
  <c r="M37" i="1"/>
  <c r="H37" i="1"/>
  <c r="M716" i="1"/>
  <c r="H716" i="1"/>
  <c r="N613" i="1"/>
  <c r="O613" i="1" s="1"/>
  <c r="N777" i="1"/>
  <c r="O777" i="1" s="1"/>
  <c r="X132" i="1"/>
  <c r="W132" i="1" s="1"/>
  <c r="X235" i="1"/>
  <c r="W235" i="1" s="1"/>
  <c r="X716" i="1"/>
  <c r="W716" i="1" s="1"/>
  <c r="S99" i="1"/>
  <c r="S117" i="1"/>
  <c r="X430" i="1"/>
  <c r="W430" i="1" s="1"/>
  <c r="N487" i="1"/>
  <c r="O487" i="1" s="1"/>
  <c r="Z85" i="8"/>
  <c r="AK1985" i="1" s="1"/>
  <c r="T805" i="1"/>
  <c r="T795" i="1"/>
  <c r="T787" i="1"/>
  <c r="T779" i="1"/>
  <c r="T765" i="1"/>
  <c r="T755" i="1"/>
  <c r="T747" i="1"/>
  <c r="T737" i="1"/>
  <c r="T729" i="1"/>
  <c r="T719" i="1"/>
  <c r="T711" i="1"/>
  <c r="T701" i="1"/>
  <c r="T691" i="1"/>
  <c r="S797" i="1"/>
  <c r="S781" i="1"/>
  <c r="S757" i="1"/>
  <c r="S810" i="1"/>
  <c r="V798" i="1"/>
  <c r="V782" i="1"/>
  <c r="V762" i="1"/>
  <c r="T800" i="1"/>
  <c r="T792" i="1"/>
  <c r="T784" i="1"/>
  <c r="T774" i="1"/>
  <c r="T764" i="1"/>
  <c r="T754" i="1"/>
  <c r="T746" i="1"/>
  <c r="T736" i="1"/>
  <c r="T728" i="1"/>
  <c r="T714" i="1"/>
  <c r="T706" i="1"/>
  <c r="T698" i="1"/>
  <c r="T690" i="1"/>
  <c r="S796" i="1"/>
  <c r="G808" i="1"/>
  <c r="V793" i="1"/>
  <c r="S780" i="1"/>
  <c r="S682" i="1"/>
  <c r="S760" i="1"/>
  <c r="V711" i="1"/>
  <c r="G684" i="1"/>
  <c r="V665" i="1"/>
  <c r="V644" i="1"/>
  <c r="V624" i="1"/>
  <c r="S714" i="1"/>
  <c r="S706" i="1"/>
  <c r="V697" i="1"/>
  <c r="S675" i="1"/>
  <c r="T665" i="1"/>
  <c r="G656" i="1"/>
  <c r="G644" i="1"/>
  <c r="G634" i="1"/>
  <c r="G624" i="1"/>
  <c r="G614" i="1"/>
  <c r="G606" i="1"/>
  <c r="V752" i="1"/>
  <c r="S698" i="1"/>
  <c r="T689" i="1"/>
  <c r="T674" i="1"/>
  <c r="S658" i="1"/>
  <c r="S636" i="1"/>
  <c r="V737" i="1"/>
  <c r="V729" i="1"/>
  <c r="S691" i="1"/>
  <c r="G677" i="1"/>
  <c r="V740" i="1"/>
  <c r="S732" i="1"/>
  <c r="S724" i="1"/>
  <c r="V719" i="1"/>
  <c r="G673" i="1"/>
  <c r="G664" i="1"/>
  <c r="G655" i="1"/>
  <c r="G645" i="1"/>
  <c r="S719" i="1"/>
  <c r="G672" i="1"/>
  <c r="S657" i="1"/>
  <c r="V616" i="1"/>
  <c r="G599" i="1"/>
  <c r="T572" i="1"/>
  <c r="G485" i="1"/>
  <c r="G477" i="1"/>
  <c r="G469" i="1"/>
  <c r="G459" i="1"/>
  <c r="G449" i="1"/>
  <c r="G441" i="1"/>
  <c r="G427" i="1"/>
  <c r="G419" i="1"/>
  <c r="G411" i="1"/>
  <c r="G403" i="1"/>
  <c r="G641" i="1"/>
  <c r="S616" i="1"/>
  <c r="S590" i="1"/>
  <c r="V568" i="1"/>
  <c r="V551" i="1"/>
  <c r="V533" i="1"/>
  <c r="V515" i="1"/>
  <c r="V499" i="1"/>
  <c r="S479" i="1"/>
  <c r="S461" i="1"/>
  <c r="S653" i="1"/>
  <c r="G619" i="1"/>
  <c r="S596" i="1"/>
  <c r="V574" i="1"/>
  <c r="T559" i="1"/>
  <c r="T551" i="1"/>
  <c r="T543" i="1"/>
  <c r="T533" i="1"/>
  <c r="T523" i="1"/>
  <c r="T515" i="1"/>
  <c r="S632" i="1"/>
  <c r="T603" i="1"/>
  <c r="T583" i="1"/>
  <c r="G567" i="1"/>
  <c r="S549" i="1"/>
  <c r="S531" i="1"/>
  <c r="S513" i="1"/>
  <c r="S495" i="1"/>
  <c r="V476" i="1"/>
  <c r="V458" i="1"/>
  <c r="V442" i="1"/>
  <c r="G639" i="1"/>
  <c r="V610" i="1"/>
  <c r="S592" i="1"/>
  <c r="G579" i="1"/>
  <c r="S561" i="1"/>
  <c r="G478" i="1"/>
  <c r="G470" i="1"/>
  <c r="G462" i="1"/>
  <c r="G452" i="1"/>
  <c r="G444" i="1"/>
  <c r="G436" i="1"/>
  <c r="S630" i="1"/>
  <c r="S614" i="1"/>
  <c r="T591" i="1"/>
  <c r="T573" i="1"/>
  <c r="V558" i="1"/>
  <c r="V542" i="1"/>
  <c r="V522" i="1"/>
  <c r="V502" i="1"/>
  <c r="S484" i="1"/>
  <c r="S468" i="1"/>
  <c r="S450" i="1"/>
  <c r="S434" i="1"/>
  <c r="V643" i="1"/>
  <c r="V605" i="1"/>
  <c r="G588" i="1"/>
  <c r="S570" i="1"/>
  <c r="G558" i="1"/>
  <c r="G550" i="1"/>
  <c r="G542" i="1"/>
  <c r="G534" i="1"/>
  <c r="G522" i="1"/>
  <c r="G514" i="1"/>
  <c r="G502" i="1"/>
  <c r="G492" i="1"/>
  <c r="V645" i="1"/>
  <c r="V627" i="1"/>
  <c r="S597" i="1"/>
  <c r="V581" i="1"/>
  <c r="G566" i="1"/>
  <c r="S548" i="1"/>
  <c r="S530" i="1"/>
  <c r="S512" i="1"/>
  <c r="S490" i="1"/>
  <c r="S443" i="1"/>
  <c r="V423" i="1"/>
  <c r="V398" i="1"/>
  <c r="V382" i="1"/>
  <c r="V366" i="1"/>
  <c r="V350" i="1"/>
  <c r="V332" i="1"/>
  <c r="S425" i="1"/>
  <c r="S407" i="1"/>
  <c r="T396" i="1"/>
  <c r="T388" i="1"/>
  <c r="T380" i="1"/>
  <c r="T372" i="1"/>
  <c r="T364" i="1"/>
  <c r="T356" i="1"/>
  <c r="T348" i="1"/>
  <c r="T340" i="1"/>
  <c r="T330" i="1"/>
  <c r="T322" i="1"/>
  <c r="T314" i="1"/>
  <c r="T306" i="1"/>
  <c r="T298" i="1"/>
  <c r="T290" i="1"/>
  <c r="T282" i="1"/>
  <c r="T274" i="1"/>
  <c r="T266" i="1"/>
  <c r="T258" i="1"/>
  <c r="T250" i="1"/>
  <c r="S424" i="1"/>
  <c r="S405" i="1"/>
  <c r="S386" i="1"/>
  <c r="S370" i="1"/>
  <c r="S354" i="1"/>
  <c r="T501" i="1"/>
  <c r="G418" i="1"/>
  <c r="G507" i="1"/>
  <c r="V415" i="1"/>
  <c r="V387" i="1"/>
  <c r="V369" i="1"/>
  <c r="V461" i="1"/>
  <c r="V413" i="1"/>
  <c r="T395" i="1"/>
  <c r="T387" i="1"/>
  <c r="T377" i="1"/>
  <c r="T369" i="1"/>
  <c r="T361" i="1"/>
  <c r="T353" i="1"/>
  <c r="T345" i="1"/>
  <c r="T337" i="1"/>
  <c r="T329" i="1"/>
  <c r="T319" i="1"/>
  <c r="T311" i="1"/>
  <c r="V441" i="1"/>
  <c r="V410" i="1"/>
  <c r="V345" i="1"/>
  <c r="G297" i="1"/>
  <c r="G281" i="1"/>
  <c r="G265" i="1"/>
  <c r="G249" i="1"/>
  <c r="T231" i="1"/>
  <c r="T223" i="1"/>
  <c r="S365" i="1"/>
  <c r="V325" i="1"/>
  <c r="V317" i="1"/>
  <c r="V309" i="1"/>
  <c r="T277" i="1"/>
  <c r="S246" i="1"/>
  <c r="S223" i="1"/>
  <c r="S207" i="1"/>
  <c r="S185" i="1"/>
  <c r="S169" i="1"/>
  <c r="S151" i="1"/>
  <c r="S391" i="1"/>
  <c r="V333" i="1"/>
  <c r="S321" i="1"/>
  <c r="S313" i="1"/>
  <c r="S301" i="1"/>
  <c r="S285" i="1"/>
  <c r="S269" i="1"/>
  <c r="S253" i="1"/>
  <c r="G146" i="1"/>
  <c r="G136" i="1"/>
  <c r="V347" i="1"/>
  <c r="S292" i="1"/>
  <c r="S260" i="1"/>
  <c r="V230" i="1"/>
  <c r="G307" i="1"/>
  <c r="G291" i="1"/>
  <c r="G275" i="1"/>
  <c r="S375" i="1"/>
  <c r="T307" i="1"/>
  <c r="T275" i="1"/>
  <c r="S245" i="1"/>
  <c r="S220" i="1"/>
  <c r="S204" i="1"/>
  <c r="S188" i="1"/>
  <c r="S168" i="1"/>
  <c r="V428" i="1"/>
  <c r="S340" i="1"/>
  <c r="S299" i="1"/>
  <c r="S283" i="1"/>
  <c r="S267" i="1"/>
  <c r="S251" i="1"/>
  <c r="S302" i="1"/>
  <c r="S270" i="1"/>
  <c r="V242" i="1"/>
  <c r="V219" i="1"/>
  <c r="V203" i="1"/>
  <c r="G228" i="1"/>
  <c r="T194" i="1"/>
  <c r="G135" i="1"/>
  <c r="V200" i="1"/>
  <c r="V162" i="1"/>
  <c r="T135" i="1"/>
  <c r="V114" i="1"/>
  <c r="V96" i="1"/>
  <c r="V80" i="1"/>
  <c r="V46" i="1"/>
  <c r="V14" i="1"/>
  <c r="V196" i="1"/>
  <c r="V138" i="1"/>
  <c r="G124" i="1"/>
  <c r="G116" i="1"/>
  <c r="G108" i="1"/>
  <c r="G98" i="1"/>
  <c r="G90" i="1"/>
  <c r="G82" i="1"/>
  <c r="G74" i="1"/>
  <c r="G66" i="1"/>
  <c r="G56" i="1"/>
  <c r="G48" i="1"/>
  <c r="G36" i="1"/>
  <c r="G24" i="1"/>
  <c r="G16" i="1"/>
  <c r="G4" i="1"/>
  <c r="S84" i="1"/>
  <c r="S22" i="1"/>
  <c r="V17" i="1"/>
  <c r="V255" i="1"/>
  <c r="G214" i="1"/>
  <c r="G190" i="1"/>
  <c r="S148" i="1"/>
  <c r="S128" i="1"/>
  <c r="S112" i="1"/>
  <c r="S82" i="1"/>
  <c r="S30" i="1"/>
  <c r="V25" i="1"/>
  <c r="G202" i="1"/>
  <c r="T172" i="1"/>
  <c r="T141" i="1"/>
  <c r="V13" i="1"/>
  <c r="T228" i="1"/>
  <c r="G185" i="1"/>
  <c r="T167" i="1"/>
  <c r="S141" i="1"/>
  <c r="V119" i="1"/>
  <c r="G805" i="1"/>
  <c r="G795" i="1"/>
  <c r="G787" i="1"/>
  <c r="G779" i="1"/>
  <c r="G765" i="1"/>
  <c r="G755" i="1"/>
  <c r="G747" i="1"/>
  <c r="G737" i="1"/>
  <c r="G729" i="1"/>
  <c r="G719" i="1"/>
  <c r="G711" i="1"/>
  <c r="G701" i="1"/>
  <c r="G691" i="1"/>
  <c r="S795" i="1"/>
  <c r="S779" i="1"/>
  <c r="S755" i="1"/>
  <c r="T807" i="1"/>
  <c r="V796" i="1"/>
  <c r="V780" i="1"/>
  <c r="T809" i="1"/>
  <c r="G800" i="1"/>
  <c r="G792" i="1"/>
  <c r="G784" i="1"/>
  <c r="G774" i="1"/>
  <c r="G764" i="1"/>
  <c r="G754" i="1"/>
  <c r="G746" i="1"/>
  <c r="G736" i="1"/>
  <c r="G728" i="1"/>
  <c r="G714" i="1"/>
  <c r="G706" i="1"/>
  <c r="G698" i="1"/>
  <c r="G690" i="1"/>
  <c r="S794" i="1"/>
  <c r="S806" i="1"/>
  <c r="V791" i="1"/>
  <c r="V767" i="1"/>
  <c r="V757" i="1"/>
  <c r="V710" i="1"/>
  <c r="V681" i="1"/>
  <c r="V663" i="1"/>
  <c r="V640" i="1"/>
  <c r="V620" i="1"/>
  <c r="S713" i="1"/>
  <c r="V704" i="1"/>
  <c r="V696" i="1"/>
  <c r="V674" i="1"/>
  <c r="G665" i="1"/>
  <c r="T654" i="1"/>
  <c r="T640" i="1"/>
  <c r="T632" i="1"/>
  <c r="T620" i="1"/>
  <c r="T612" i="1"/>
  <c r="T604" i="1"/>
  <c r="V747" i="1"/>
  <c r="S697" i="1"/>
  <c r="V687" i="1"/>
  <c r="T671" i="1"/>
  <c r="S656" i="1"/>
  <c r="S768" i="1"/>
  <c r="V736" i="1"/>
  <c r="V728" i="1"/>
  <c r="S690" i="1"/>
  <c r="S674" i="1"/>
  <c r="S731" i="1"/>
  <c r="S723" i="1"/>
  <c r="S686" i="1"/>
  <c r="T670" i="1"/>
  <c r="T662" i="1"/>
  <c r="T653" i="1"/>
  <c r="T643" i="1"/>
  <c r="V685" i="1"/>
  <c r="S670" i="1"/>
  <c r="S645" i="1"/>
  <c r="V612" i="1"/>
  <c r="V596" i="1"/>
  <c r="G572" i="1"/>
  <c r="T483" i="1"/>
  <c r="T475" i="1"/>
  <c r="T465" i="1"/>
  <c r="T455" i="1"/>
  <c r="T447" i="1"/>
  <c r="T439" i="1"/>
  <c r="T425" i="1"/>
  <c r="T417" i="1"/>
  <c r="T409" i="1"/>
  <c r="T401" i="1"/>
  <c r="T637" i="1"/>
  <c r="S612" i="1"/>
  <c r="T584" i="1"/>
  <c r="T565" i="1"/>
  <c r="V549" i="1"/>
  <c r="V531" i="1"/>
  <c r="V513" i="1"/>
  <c r="V495" i="1"/>
  <c r="S477" i="1"/>
  <c r="S459" i="1"/>
  <c r="V647" i="1"/>
  <c r="V595" i="1"/>
  <c r="T571" i="1"/>
  <c r="G559" i="1"/>
  <c r="G551" i="1"/>
  <c r="G543" i="1"/>
  <c r="G533" i="1"/>
  <c r="G523" i="1"/>
  <c r="G515" i="1"/>
  <c r="V631" i="1"/>
  <c r="V601" i="1"/>
  <c r="T580" i="1"/>
  <c r="V564" i="1"/>
  <c r="S547" i="1"/>
  <c r="S529" i="1"/>
  <c r="S493" i="1"/>
  <c r="V474" i="1"/>
  <c r="V456" i="1"/>
  <c r="V440" i="1"/>
  <c r="T631" i="1"/>
  <c r="V606" i="1"/>
  <c r="V591" i="1"/>
  <c r="S574" i="1"/>
  <c r="T484" i="1"/>
  <c r="T476" i="1"/>
  <c r="T468" i="1"/>
  <c r="T458" i="1"/>
  <c r="T450" i="1"/>
  <c r="T442" i="1"/>
  <c r="T434" i="1"/>
  <c r="V629" i="1"/>
  <c r="S610" i="1"/>
  <c r="V588" i="1"/>
  <c r="T570" i="1"/>
  <c r="V556" i="1"/>
  <c r="V540" i="1"/>
  <c r="V520" i="1"/>
  <c r="V498" i="1"/>
  <c r="S482" i="1"/>
  <c r="S466" i="1"/>
  <c r="S448" i="1"/>
  <c r="T639" i="1"/>
  <c r="G605" i="1"/>
  <c r="T585" i="1"/>
  <c r="V569" i="1"/>
  <c r="T556" i="1"/>
  <c r="T548" i="1"/>
  <c r="T540" i="1"/>
  <c r="T530" i="1"/>
  <c r="T520" i="1"/>
  <c r="T512" i="1"/>
  <c r="T498" i="1"/>
  <c r="T490" i="1"/>
  <c r="S643" i="1"/>
  <c r="G627" i="1"/>
  <c r="S594" i="1"/>
  <c r="G581" i="1"/>
  <c r="S563" i="1"/>
  <c r="S546" i="1"/>
  <c r="S528" i="1"/>
  <c r="S510" i="1"/>
  <c r="S488" i="1"/>
  <c r="V471" i="1"/>
  <c r="S441" i="1"/>
  <c r="V396" i="1"/>
  <c r="V380" i="1"/>
  <c r="V364" i="1"/>
  <c r="V348" i="1"/>
  <c r="V330" i="1"/>
  <c r="T424" i="1"/>
  <c r="V406" i="1"/>
  <c r="G396" i="1"/>
  <c r="G388" i="1"/>
  <c r="G380" i="1"/>
  <c r="G372" i="1"/>
  <c r="G364" i="1"/>
  <c r="G356" i="1"/>
  <c r="G348" i="1"/>
  <c r="G340" i="1"/>
  <c r="G330" i="1"/>
  <c r="G322" i="1"/>
  <c r="G314" i="1"/>
  <c r="G306" i="1"/>
  <c r="G298" i="1"/>
  <c r="G290" i="1"/>
  <c r="G282" i="1"/>
  <c r="G274" i="1"/>
  <c r="G266" i="1"/>
  <c r="G258" i="1"/>
  <c r="G250" i="1"/>
  <c r="T422" i="1"/>
  <c r="S401" i="1"/>
  <c r="S384" i="1"/>
  <c r="S368" i="1"/>
  <c r="S352" i="1"/>
  <c r="G489" i="1"/>
  <c r="V417" i="1"/>
  <c r="G503" i="1"/>
  <c r="S427" i="1"/>
  <c r="T404" i="1"/>
  <c r="V385" i="1"/>
  <c r="V367" i="1"/>
  <c r="S404" i="1"/>
  <c r="G395" i="1"/>
  <c r="G387" i="1"/>
  <c r="G377" i="1"/>
  <c r="G369" i="1"/>
  <c r="G361" i="1"/>
  <c r="G353" i="1"/>
  <c r="G345" i="1"/>
  <c r="G337" i="1"/>
  <c r="G329" i="1"/>
  <c r="G319" i="1"/>
  <c r="G311" i="1"/>
  <c r="V439" i="1"/>
  <c r="G410" i="1"/>
  <c r="S335" i="1"/>
  <c r="V293" i="1"/>
  <c r="V277" i="1"/>
  <c r="V261" i="1"/>
  <c r="T246" i="1"/>
  <c r="G231" i="1"/>
  <c r="G223" i="1"/>
  <c r="S361" i="1"/>
  <c r="V324" i="1"/>
  <c r="V316" i="1"/>
  <c r="T305" i="1"/>
  <c r="T273" i="1"/>
  <c r="S244" i="1"/>
  <c r="S221" i="1"/>
  <c r="S205" i="1"/>
  <c r="S183" i="1"/>
  <c r="S167" i="1"/>
  <c r="V148" i="1"/>
  <c r="S387" i="1"/>
  <c r="V329" i="1"/>
  <c r="S320" i="1"/>
  <c r="S312" i="1"/>
  <c r="V300" i="1"/>
  <c r="V284" i="1"/>
  <c r="V268" i="1"/>
  <c r="V252" i="1"/>
  <c r="T144" i="1"/>
  <c r="T134" i="1"/>
  <c r="S341" i="1"/>
  <c r="S288" i="1"/>
  <c r="S256" i="1"/>
  <c r="V228" i="1"/>
  <c r="V303" i="1"/>
  <c r="V287" i="1"/>
  <c r="V271" i="1"/>
  <c r="S371" i="1"/>
  <c r="T303" i="1"/>
  <c r="T271" i="1"/>
  <c r="S243" i="1"/>
  <c r="S218" i="1"/>
  <c r="S202" i="1"/>
  <c r="S184" i="1"/>
  <c r="S397" i="1"/>
  <c r="S338" i="1"/>
  <c r="V298" i="1"/>
  <c r="V282" i="1"/>
  <c r="V266" i="1"/>
  <c r="V250" i="1"/>
  <c r="S298" i="1"/>
  <c r="S266" i="1"/>
  <c r="T240" i="1"/>
  <c r="V217" i="1"/>
  <c r="V201" i="1"/>
  <c r="T226" i="1"/>
  <c r="G192" i="1"/>
  <c r="V161" i="1"/>
  <c r="V2" i="1"/>
  <c r="T191" i="1"/>
  <c r="T161" i="1"/>
  <c r="V128" i="1"/>
  <c r="V112" i="1"/>
  <c r="V94" i="1"/>
  <c r="V78" i="1"/>
  <c r="V62" i="1"/>
  <c r="V44" i="1"/>
  <c r="G232" i="1"/>
  <c r="V192" i="1"/>
  <c r="G163" i="1"/>
  <c r="S135" i="1"/>
  <c r="T122" i="1"/>
  <c r="T114" i="1"/>
  <c r="T106" i="1"/>
  <c r="T96" i="1"/>
  <c r="T88" i="1"/>
  <c r="T80" i="1"/>
  <c r="T72" i="1"/>
  <c r="T54" i="1"/>
  <c r="T46" i="1"/>
  <c r="T32" i="1"/>
  <c r="T22" i="1"/>
  <c r="T14" i="1"/>
  <c r="T2" i="1"/>
  <c r="S68" i="1"/>
  <c r="S18" i="1"/>
  <c r="V15" i="1"/>
  <c r="V251" i="1"/>
  <c r="G211" i="1"/>
  <c r="T803" i="1"/>
  <c r="T793" i="1"/>
  <c r="T785" i="1"/>
  <c r="T773" i="1"/>
  <c r="T763" i="1"/>
  <c r="T753" i="1"/>
  <c r="T745" i="1"/>
  <c r="T735" i="1"/>
  <c r="T727" i="1"/>
  <c r="T717" i="1"/>
  <c r="T709" i="1"/>
  <c r="T699" i="1"/>
  <c r="S689" i="1"/>
  <c r="S793" i="1"/>
  <c r="S773" i="1"/>
  <c r="S753" i="1"/>
  <c r="G807" i="1"/>
  <c r="V794" i="1"/>
  <c r="V776" i="1"/>
  <c r="G809" i="1"/>
  <c r="T798" i="1"/>
  <c r="T790" i="1"/>
  <c r="T782" i="1"/>
  <c r="T770" i="1"/>
  <c r="T762" i="1"/>
  <c r="T752" i="1"/>
  <c r="T742" i="1"/>
  <c r="T734" i="1"/>
  <c r="T726" i="1"/>
  <c r="T704" i="1"/>
  <c r="T696" i="1"/>
  <c r="S809" i="1"/>
  <c r="S792" i="1"/>
  <c r="T808" i="1"/>
  <c r="V789" i="1"/>
  <c r="V760" i="1"/>
  <c r="V678" i="1"/>
  <c r="V751" i="1"/>
  <c r="V709" i="1"/>
  <c r="T678" i="1"/>
  <c r="T661" i="1"/>
  <c r="V638" i="1"/>
  <c r="S774" i="1"/>
  <c r="V703" i="1"/>
  <c r="V695" i="1"/>
  <c r="G674" i="1"/>
  <c r="T663" i="1"/>
  <c r="G654" i="1"/>
  <c r="G640" i="1"/>
  <c r="G632" i="1"/>
  <c r="G620" i="1"/>
  <c r="G612" i="1"/>
  <c r="G604" i="1"/>
  <c r="S704" i="1"/>
  <c r="S696" i="1"/>
  <c r="G687" i="1"/>
  <c r="G671" i="1"/>
  <c r="S654" i="1"/>
  <c r="S758" i="1"/>
  <c r="V735" i="1"/>
  <c r="V727" i="1"/>
  <c r="T687" i="1"/>
  <c r="S671" i="1"/>
  <c r="S738" i="1"/>
  <c r="S730" i="1"/>
  <c r="V773" i="1"/>
  <c r="S683" i="1"/>
  <c r="G670" i="1"/>
  <c r="G662" i="1"/>
  <c r="G653" i="1"/>
  <c r="G643" i="1"/>
  <c r="T682" i="1"/>
  <c r="S668" i="1"/>
  <c r="V637" i="1"/>
  <c r="S609" i="1"/>
  <c r="T593" i="1"/>
  <c r="S569" i="1"/>
  <c r="G483" i="1"/>
  <c r="G475" i="1"/>
  <c r="G465" i="1"/>
  <c r="G455" i="1"/>
  <c r="G447" i="1"/>
  <c r="G439" i="1"/>
  <c r="G425" i="1"/>
  <c r="G417" i="1"/>
  <c r="G409" i="1"/>
  <c r="G401" i="1"/>
  <c r="S635" i="1"/>
  <c r="S608" i="1"/>
  <c r="G584" i="1"/>
  <c r="T562" i="1"/>
  <c r="V547" i="1"/>
  <c r="V529" i="1"/>
  <c r="V493" i="1"/>
  <c r="S475" i="1"/>
  <c r="S455" i="1"/>
  <c r="V641" i="1"/>
  <c r="G595" i="1"/>
  <c r="T568" i="1"/>
  <c r="T557" i="1"/>
  <c r="T549" i="1"/>
  <c r="T541" i="1"/>
  <c r="T531" i="1"/>
  <c r="T521" i="1"/>
  <c r="T513" i="1"/>
  <c r="G631" i="1"/>
  <c r="G601" i="1"/>
  <c r="G580" i="1"/>
  <c r="T561" i="1"/>
  <c r="S545" i="1"/>
  <c r="S525" i="1"/>
  <c r="S509" i="1"/>
  <c r="S491" i="1"/>
  <c r="V472" i="1"/>
  <c r="V454" i="1"/>
  <c r="V438" i="1"/>
  <c r="T625" i="1"/>
  <c r="S603" i="1"/>
  <c r="G591" i="1"/>
  <c r="V573" i="1"/>
  <c r="G484" i="1"/>
  <c r="G476" i="1"/>
  <c r="G468" i="1"/>
  <c r="G458" i="1"/>
  <c r="G450" i="1"/>
  <c r="G442" i="1"/>
  <c r="S687" i="1"/>
  <c r="G629" i="1"/>
  <c r="S606" i="1"/>
  <c r="S586" i="1"/>
  <c r="G570" i="1"/>
  <c r="V554" i="1"/>
  <c r="V538" i="1"/>
  <c r="V518" i="1"/>
  <c r="V496" i="1"/>
  <c r="S480" i="1"/>
  <c r="S464" i="1"/>
  <c r="S446" i="1"/>
  <c r="S428" i="1"/>
  <c r="T629" i="1"/>
  <c r="V600" i="1"/>
  <c r="T582" i="1"/>
  <c r="G569" i="1"/>
  <c r="G556" i="1"/>
  <c r="G548" i="1"/>
  <c r="G540" i="1"/>
  <c r="G530" i="1"/>
  <c r="G520" i="1"/>
  <c r="G512" i="1"/>
  <c r="G498" i="1"/>
  <c r="G490" i="1"/>
  <c r="S639" i="1"/>
  <c r="S623" i="1"/>
  <c r="V593" i="1"/>
  <c r="S576" i="1"/>
  <c r="S560" i="1"/>
  <c r="S544" i="1"/>
  <c r="S526" i="1"/>
  <c r="S504" i="1"/>
  <c r="V485" i="1"/>
  <c r="V469" i="1"/>
  <c r="S439" i="1"/>
  <c r="T410" i="1"/>
  <c r="V394" i="1"/>
  <c r="V378" i="1"/>
  <c r="V362" i="1"/>
  <c r="V346" i="1"/>
  <c r="V328" i="1"/>
  <c r="S423" i="1"/>
  <c r="G406" i="1"/>
  <c r="T394" i="1"/>
  <c r="T386" i="1"/>
  <c r="T378" i="1"/>
  <c r="T370" i="1"/>
  <c r="T362" i="1"/>
  <c r="T354" i="1"/>
  <c r="T346" i="1"/>
  <c r="T338" i="1"/>
  <c r="T328" i="1"/>
  <c r="T320" i="1"/>
  <c r="T312" i="1"/>
  <c r="T304" i="1"/>
  <c r="T296" i="1"/>
  <c r="T288" i="1"/>
  <c r="T280" i="1"/>
  <c r="T272" i="1"/>
  <c r="T264" i="1"/>
  <c r="T256" i="1"/>
  <c r="T248" i="1"/>
  <c r="S421" i="1"/>
  <c r="S398" i="1"/>
  <c r="S382" i="1"/>
  <c r="S366" i="1"/>
  <c r="S350" i="1"/>
  <c r="V427" i="1"/>
  <c r="S406" i="1"/>
  <c r="G499" i="1"/>
  <c r="T426" i="1"/>
  <c r="T400" i="1"/>
  <c r="V383" i="1"/>
  <c r="V365" i="1"/>
  <c r="G428" i="1"/>
  <c r="V403" i="1"/>
  <c r="T393" i="1"/>
  <c r="T385" i="1"/>
  <c r="T375" i="1"/>
  <c r="T367" i="1"/>
  <c r="T351" i="1"/>
  <c r="T343" i="1"/>
  <c r="T335" i="1"/>
  <c r="T325" i="1"/>
  <c r="T317" i="1"/>
  <c r="T309" i="1"/>
  <c r="V437" i="1"/>
  <c r="V409" i="1"/>
  <c r="G309" i="1"/>
  <c r="G293" i="1"/>
  <c r="G277" i="1"/>
  <c r="G261" i="1"/>
  <c r="G246" i="1"/>
  <c r="T229" i="1"/>
  <c r="T221" i="1"/>
  <c r="T213" i="1"/>
  <c r="V351" i="1"/>
  <c r="V323" i="1"/>
  <c r="V315" i="1"/>
  <c r="T301" i="1"/>
  <c r="T269" i="1"/>
  <c r="S242" i="1"/>
  <c r="S219" i="1"/>
  <c r="S203" i="1"/>
  <c r="S181" i="1"/>
  <c r="S163" i="1"/>
  <c r="V146" i="1"/>
  <c r="S383" i="1"/>
  <c r="S328" i="1"/>
  <c r="S319" i="1"/>
  <c r="S311" i="1"/>
  <c r="S297" i="1"/>
  <c r="S281" i="1"/>
  <c r="S265" i="1"/>
  <c r="S249" i="1"/>
  <c r="G144" i="1"/>
  <c r="G134" i="1"/>
  <c r="S333" i="1"/>
  <c r="S284" i="1"/>
  <c r="S252" i="1"/>
  <c r="V226" i="1"/>
  <c r="G303" i="1"/>
  <c r="G287" i="1"/>
  <c r="G271" i="1"/>
  <c r="S367" i="1"/>
  <c r="T299" i="1"/>
  <c r="T267" i="1"/>
  <c r="S241" i="1"/>
  <c r="S216" i="1"/>
  <c r="S200" i="1"/>
  <c r="S182" i="1"/>
  <c r="S162" i="1"/>
  <c r="S393" i="1"/>
  <c r="S334" i="1"/>
  <c r="S295" i="1"/>
  <c r="S279" i="1"/>
  <c r="S263" i="1"/>
  <c r="S247" i="1"/>
  <c r="S294" i="1"/>
  <c r="S262" i="1"/>
  <c r="V231" i="1"/>
  <c r="V199" i="1"/>
  <c r="G213" i="1"/>
  <c r="T185" i="1"/>
  <c r="V156" i="1"/>
  <c r="G245" i="1"/>
  <c r="G188" i="1"/>
  <c r="G158" i="1"/>
  <c r="V126" i="1"/>
  <c r="V110" i="1"/>
  <c r="V92" i="1"/>
  <c r="V76" i="1"/>
  <c r="V58" i="1"/>
  <c r="V38" i="1"/>
  <c r="T230" i="1"/>
  <c r="T187" i="1"/>
  <c r="T162" i="1"/>
  <c r="V134" i="1"/>
  <c r="G122" i="1"/>
  <c r="G114" i="1"/>
  <c r="G106" i="1"/>
  <c r="G96" i="1"/>
  <c r="G88" i="1"/>
  <c r="G80" i="1"/>
  <c r="G72" i="1"/>
  <c r="G54" i="1"/>
  <c r="G46" i="1"/>
  <c r="G32" i="1"/>
  <c r="G22" i="1"/>
  <c r="G14" i="1"/>
  <c r="G2" i="1"/>
  <c r="S58" i="1"/>
  <c r="S16" i="1"/>
  <c r="V5" i="1"/>
  <c r="V247" i="1"/>
  <c r="T210" i="1"/>
  <c r="T183" i="1"/>
  <c r="V158" i="1"/>
  <c r="G147" i="1"/>
  <c r="S124" i="1"/>
  <c r="S108" i="1"/>
  <c r="S78" i="1"/>
  <c r="S56" i="1"/>
  <c r="S20" i="1"/>
  <c r="V18" i="1"/>
  <c r="T188" i="1"/>
  <c r="T163" i="1"/>
  <c r="G137" i="1"/>
  <c r="V9" i="1"/>
  <c r="V208" i="1"/>
  <c r="G182" i="1"/>
  <c r="V154" i="1"/>
  <c r="T133" i="1"/>
  <c r="V115" i="1"/>
  <c r="V97" i="1"/>
  <c r="V81" i="1"/>
  <c r="V65" i="1"/>
  <c r="V49" i="1"/>
  <c r="G224" i="1"/>
  <c r="G206" i="1"/>
  <c r="T173" i="1"/>
  <c r="T154" i="1"/>
  <c r="V810" i="1"/>
  <c r="G803" i="1"/>
  <c r="G793" i="1"/>
  <c r="G785" i="1"/>
  <c r="G773" i="1"/>
  <c r="G763" i="1"/>
  <c r="G753" i="1"/>
  <c r="G745" i="1"/>
  <c r="G735" i="1"/>
  <c r="G727" i="1"/>
  <c r="G717" i="1"/>
  <c r="G709" i="1"/>
  <c r="G699" i="1"/>
  <c r="T810" i="1"/>
  <c r="S791" i="1"/>
  <c r="S769" i="1"/>
  <c r="S751" i="1"/>
  <c r="V809" i="1"/>
  <c r="V792" i="1"/>
  <c r="V774" i="1"/>
  <c r="G806" i="1"/>
  <c r="G798" i="1"/>
  <c r="G790" i="1"/>
  <c r="G782" i="1"/>
  <c r="G770" i="1"/>
  <c r="G762" i="1"/>
  <c r="G752" i="1"/>
  <c r="G742" i="1"/>
  <c r="G734" i="1"/>
  <c r="G726" i="1"/>
  <c r="G704" i="1"/>
  <c r="G696" i="1"/>
  <c r="T806" i="1"/>
  <c r="S790" i="1"/>
  <c r="V805" i="1"/>
  <c r="V787" i="1"/>
  <c r="V753" i="1"/>
  <c r="G678" i="1"/>
  <c r="S717" i="1"/>
  <c r="V708" i="1"/>
  <c r="T675" i="1"/>
  <c r="V658" i="1"/>
  <c r="V636" i="1"/>
  <c r="S764" i="1"/>
  <c r="S711" i="1"/>
  <c r="V702" i="1"/>
  <c r="V694" i="1"/>
  <c r="V671" i="1"/>
  <c r="G663" i="1"/>
  <c r="T652" i="1"/>
  <c r="T638" i="1"/>
  <c r="T630" i="1"/>
  <c r="T618" i="1"/>
  <c r="T610" i="1"/>
  <c r="S602" i="1"/>
  <c r="S703" i="1"/>
  <c r="S695" i="1"/>
  <c r="S684" i="1"/>
  <c r="S669" i="1"/>
  <c r="S652" i="1"/>
  <c r="S752" i="1"/>
  <c r="V734" i="1"/>
  <c r="V726" i="1"/>
  <c r="V686" i="1"/>
  <c r="S660" i="1"/>
  <c r="S737" i="1"/>
  <c r="S729" i="1"/>
  <c r="V763" i="1"/>
  <c r="V682" i="1"/>
  <c r="T668" i="1"/>
  <c r="T659" i="1"/>
  <c r="T651" i="1"/>
  <c r="V765" i="1"/>
  <c r="S666" i="1"/>
  <c r="T635" i="1"/>
  <c r="V608" i="1"/>
  <c r="T590" i="1"/>
  <c r="S566" i="1"/>
  <c r="T481" i="1"/>
  <c r="T463" i="1"/>
  <c r="T453" i="1"/>
  <c r="T445" i="1"/>
  <c r="T437" i="1"/>
  <c r="T423" i="1"/>
  <c r="T415" i="1"/>
  <c r="T407" i="1"/>
  <c r="T399" i="1"/>
  <c r="S634" i="1"/>
  <c r="S604" i="1"/>
  <c r="S581" i="1"/>
  <c r="G562" i="1"/>
  <c r="V545" i="1"/>
  <c r="V525" i="1"/>
  <c r="V509" i="1"/>
  <c r="V491" i="1"/>
  <c r="S453" i="1"/>
  <c r="S637" i="1"/>
  <c r="V611" i="1"/>
  <c r="V592" i="1"/>
  <c r="G568" i="1"/>
  <c r="G557" i="1"/>
  <c r="G549" i="1"/>
  <c r="G541" i="1"/>
  <c r="G531" i="1"/>
  <c r="G521" i="1"/>
  <c r="V676" i="1"/>
  <c r="V625" i="1"/>
  <c r="V598" i="1"/>
  <c r="T574" i="1"/>
  <c r="S559" i="1"/>
  <c r="S543" i="1"/>
  <c r="S523" i="1"/>
  <c r="S507" i="1"/>
  <c r="S489" i="1"/>
  <c r="V470" i="1"/>
  <c r="V452" i="1"/>
  <c r="V436" i="1"/>
  <c r="S619" i="1"/>
  <c r="T602" i="1"/>
  <c r="T586" i="1"/>
  <c r="G573" i="1"/>
  <c r="T482" i="1"/>
  <c r="T474" i="1"/>
  <c r="T466" i="1"/>
  <c r="T456" i="1"/>
  <c r="T448" i="1"/>
  <c r="T440" i="1"/>
  <c r="S625" i="1"/>
  <c r="S601" i="1"/>
  <c r="V585" i="1"/>
  <c r="S567" i="1"/>
  <c r="V552" i="1"/>
  <c r="V536" i="1"/>
  <c r="V516" i="1"/>
  <c r="V494" i="1"/>
  <c r="S478" i="1"/>
  <c r="S462" i="1"/>
  <c r="S444" i="1"/>
  <c r="S426" i="1"/>
  <c r="T623" i="1"/>
  <c r="T597" i="1"/>
  <c r="G582" i="1"/>
  <c r="V566" i="1"/>
  <c r="T554" i="1"/>
  <c r="T546" i="1"/>
  <c r="T538" i="1"/>
  <c r="T528" i="1"/>
  <c r="T518" i="1"/>
  <c r="T510" i="1"/>
  <c r="T496" i="1"/>
  <c r="T488" i="1"/>
  <c r="G637" i="1"/>
  <c r="T617" i="1"/>
  <c r="G593" i="1"/>
  <c r="V575" i="1"/>
  <c r="S558" i="1"/>
  <c r="S542" i="1"/>
  <c r="S522" i="1"/>
  <c r="S502" i="1"/>
  <c r="V483" i="1"/>
  <c r="T489" i="1"/>
  <c r="S437" i="1"/>
  <c r="S409" i="1"/>
  <c r="V392" i="1"/>
  <c r="V376" i="1"/>
  <c r="V360" i="1"/>
  <c r="V344" i="1"/>
  <c r="T507" i="1"/>
  <c r="V422" i="1"/>
  <c r="V405" i="1"/>
  <c r="G394" i="1"/>
  <c r="G386" i="1"/>
  <c r="G378" i="1"/>
  <c r="G370" i="1"/>
  <c r="G362" i="1"/>
  <c r="G354" i="1"/>
  <c r="G346" i="1"/>
  <c r="G338" i="1"/>
  <c r="G328" i="1"/>
  <c r="G320" i="1"/>
  <c r="G312" i="1"/>
  <c r="G304" i="1"/>
  <c r="G296" i="1"/>
  <c r="G288" i="1"/>
  <c r="G280" i="1"/>
  <c r="G272" i="1"/>
  <c r="G264" i="1"/>
  <c r="G256" i="1"/>
  <c r="G248" i="1"/>
  <c r="V420" i="1"/>
  <c r="S396" i="1"/>
  <c r="S380" i="1"/>
  <c r="S364" i="1"/>
  <c r="S348" i="1"/>
  <c r="V426" i="1"/>
  <c r="V404" i="1"/>
  <c r="T493" i="1"/>
  <c r="S420" i="1"/>
  <c r="V397" i="1"/>
  <c r="V379" i="1"/>
  <c r="V363" i="1"/>
  <c r="S418" i="1"/>
  <c r="S400" i="1"/>
  <c r="G393" i="1"/>
  <c r="G385" i="1"/>
  <c r="G375" i="1"/>
  <c r="G367" i="1"/>
  <c r="G351" i="1"/>
  <c r="G343" i="1"/>
  <c r="G335" i="1"/>
  <c r="G325" i="1"/>
  <c r="G317" i="1"/>
  <c r="G509" i="1"/>
  <c r="V435" i="1"/>
  <c r="V402" i="1"/>
  <c r="V305" i="1"/>
  <c r="V289" i="1"/>
  <c r="V273" i="1"/>
  <c r="V257" i="1"/>
  <c r="T244" i="1"/>
  <c r="G229" i="1"/>
  <c r="G221" i="1"/>
  <c r="S413" i="1"/>
  <c r="S345" i="1"/>
  <c r="V322" i="1"/>
  <c r="V314" i="1"/>
  <c r="T297" i="1"/>
  <c r="T265" i="1"/>
  <c r="T239" i="1"/>
  <c r="S217" i="1"/>
  <c r="S201" i="1"/>
  <c r="S179" i="1"/>
  <c r="S161" i="1"/>
  <c r="V144" i="1"/>
  <c r="V357" i="1"/>
  <c r="S326" i="1"/>
  <c r="S318" i="1"/>
  <c r="S310" i="1"/>
  <c r="V296" i="1"/>
  <c r="V280" i="1"/>
  <c r="V264" i="1"/>
  <c r="V248" i="1"/>
  <c r="T142" i="1"/>
  <c r="T130" i="1"/>
  <c r="S329" i="1"/>
  <c r="S280" i="1"/>
  <c r="S248" i="1"/>
  <c r="V224" i="1"/>
  <c r="V299" i="1"/>
  <c r="V283" i="1"/>
  <c r="V267" i="1"/>
  <c r="S363" i="1"/>
  <c r="T295" i="1"/>
  <c r="T263" i="1"/>
  <c r="S232" i="1"/>
  <c r="S214" i="1"/>
  <c r="S198" i="1"/>
  <c r="S178" i="1"/>
  <c r="S160" i="1"/>
  <c r="S389" i="1"/>
  <c r="S331" i="1"/>
  <c r="V294" i="1"/>
  <c r="V278" i="1"/>
  <c r="V262" i="1"/>
  <c r="V434" i="1"/>
  <c r="S290" i="1"/>
  <c r="S258" i="1"/>
  <c r="V229" i="1"/>
  <c r="V213" i="1"/>
  <c r="V193" i="1"/>
  <c r="T212" i="1"/>
  <c r="G183" i="1"/>
  <c r="T155" i="1"/>
  <c r="T243" i="1"/>
  <c r="V176" i="1"/>
  <c r="G157" i="1"/>
  <c r="V124" i="1"/>
  <c r="V108" i="1"/>
  <c r="V90" i="1"/>
  <c r="V74" i="1"/>
  <c r="V56" i="1"/>
  <c r="V36" i="1"/>
  <c r="V210" i="1"/>
  <c r="G184" i="1"/>
  <c r="V157" i="1"/>
  <c r="T128" i="1"/>
  <c r="T120" i="1"/>
  <c r="T112" i="1"/>
  <c r="T104" i="1"/>
  <c r="T94" i="1"/>
  <c r="T86" i="1"/>
  <c r="T78" i="1"/>
  <c r="T70" i="1"/>
  <c r="T62" i="1"/>
  <c r="T52" i="1"/>
  <c r="T44" i="1"/>
  <c r="T30" i="1"/>
  <c r="T20" i="1"/>
  <c r="T10" i="1"/>
  <c r="S96" i="1"/>
  <c r="S54" i="1"/>
  <c r="S8" i="1"/>
  <c r="V3" i="1"/>
  <c r="G226" i="1"/>
  <c r="G208" i="1"/>
  <c r="V177" i="1"/>
  <c r="T157" i="1"/>
  <c r="V141" i="1"/>
  <c r="S122" i="1"/>
  <c r="S106" i="1"/>
  <c r="S76" i="1"/>
  <c r="S52" i="1"/>
  <c r="S14" i="1"/>
  <c r="G243" i="1"/>
  <c r="V184" i="1"/>
  <c r="G160" i="1"/>
  <c r="V133" i="1"/>
  <c r="V7" i="1"/>
  <c r="T201" i="1"/>
  <c r="G181" i="1"/>
  <c r="T153" i="1"/>
  <c r="V129" i="1"/>
  <c r="V113" i="1"/>
  <c r="V95" i="1"/>
  <c r="V79" i="1"/>
  <c r="V63" i="1"/>
  <c r="V47" i="1"/>
  <c r="V220" i="1"/>
  <c r="V202" i="1"/>
  <c r="G170" i="1"/>
  <c r="T145" i="1"/>
  <c r="T125" i="1"/>
  <c r="T117" i="1"/>
  <c r="T107" i="1"/>
  <c r="T99" i="1"/>
  <c r="V808" i="1"/>
  <c r="T799" i="1"/>
  <c r="T791" i="1"/>
  <c r="T783" i="1"/>
  <c r="T769" i="1"/>
  <c r="T761" i="1"/>
  <c r="T751" i="1"/>
  <c r="T743" i="1"/>
  <c r="T733" i="1"/>
  <c r="T725" i="1"/>
  <c r="T715" i="1"/>
  <c r="T707" i="1"/>
  <c r="T697" i="1"/>
  <c r="V807" i="1"/>
  <c r="S789" i="1"/>
  <c r="S767" i="1"/>
  <c r="S749" i="1"/>
  <c r="S807" i="1"/>
  <c r="V790" i="1"/>
  <c r="V770" i="1"/>
  <c r="T804" i="1"/>
  <c r="T796" i="1"/>
  <c r="T788" i="1"/>
  <c r="T780" i="1"/>
  <c r="T768" i="1"/>
  <c r="T760" i="1"/>
  <c r="T750" i="1"/>
  <c r="T740" i="1"/>
  <c r="T732" i="1"/>
  <c r="T724" i="1"/>
  <c r="T710" i="1"/>
  <c r="T702" i="1"/>
  <c r="T694" i="1"/>
  <c r="S804" i="1"/>
  <c r="S788" i="1"/>
  <c r="V803" i="1"/>
  <c r="V785" i="1"/>
  <c r="S742" i="1"/>
  <c r="V675" i="1"/>
  <c r="V715" i="1"/>
  <c r="V707" i="1"/>
  <c r="G675" i="1"/>
  <c r="V656" i="1"/>
  <c r="V634" i="1"/>
  <c r="V754" i="1"/>
  <c r="S710" i="1"/>
  <c r="V701" i="1"/>
  <c r="T684" i="1"/>
  <c r="T669" i="1"/>
  <c r="S661" i="1"/>
  <c r="G652" i="1"/>
  <c r="G638" i="1"/>
  <c r="G630" i="1"/>
  <c r="G618" i="1"/>
  <c r="G610" i="1"/>
  <c r="S776" i="1"/>
  <c r="S702" i="1"/>
  <c r="S694" i="1"/>
  <c r="S681" i="1"/>
  <c r="S667" i="1"/>
  <c r="S646" i="1"/>
  <c r="V750" i="1"/>
  <c r="V733" i="1"/>
  <c r="V725" i="1"/>
  <c r="G686" i="1"/>
  <c r="S770" i="1"/>
  <c r="S736" i="1"/>
  <c r="S728" i="1"/>
  <c r="G682" i="1"/>
  <c r="G668" i="1"/>
  <c r="G659" i="1"/>
  <c r="G651" i="1"/>
  <c r="V755" i="1"/>
  <c r="S664" i="1"/>
  <c r="T627" i="1"/>
  <c r="S605" i="1"/>
  <c r="G590" i="1"/>
  <c r="V565" i="1"/>
  <c r="G481" i="1"/>
  <c r="G463" i="1"/>
  <c r="G453" i="1"/>
  <c r="G445" i="1"/>
  <c r="G437" i="1"/>
  <c r="G423" i="1"/>
  <c r="G415" i="1"/>
  <c r="G407" i="1"/>
  <c r="T683" i="1"/>
  <c r="V633" i="1"/>
  <c r="T599" i="1"/>
  <c r="S575" i="1"/>
  <c r="V559" i="1"/>
  <c r="V543" i="1"/>
  <c r="V523" i="1"/>
  <c r="V507" i="1"/>
  <c r="V489" i="1"/>
  <c r="S471" i="1"/>
  <c r="S451" i="1"/>
  <c r="T633" i="1"/>
  <c r="G611" i="1"/>
  <c r="S584" i="1"/>
  <c r="S565" i="1"/>
  <c r="T555" i="1"/>
  <c r="T547" i="1"/>
  <c r="T539" i="1"/>
  <c r="T529" i="1"/>
  <c r="T519" i="1"/>
  <c r="V664" i="1"/>
  <c r="G625" i="1"/>
  <c r="T595" i="1"/>
  <c r="G574" i="1"/>
  <c r="S557" i="1"/>
  <c r="S541" i="1"/>
  <c r="S521" i="1"/>
  <c r="S505" i="1"/>
  <c r="V484" i="1"/>
  <c r="V468" i="1"/>
  <c r="V450" i="1"/>
  <c r="G683" i="1"/>
  <c r="V618" i="1"/>
  <c r="T601" i="1"/>
  <c r="G586" i="1"/>
  <c r="V570" i="1"/>
  <c r="G482" i="1"/>
  <c r="G474" i="1"/>
  <c r="G466" i="1"/>
  <c r="G456" i="1"/>
  <c r="G448" i="1"/>
  <c r="G440" i="1"/>
  <c r="V673" i="1"/>
  <c r="S624" i="1"/>
  <c r="S598" i="1"/>
  <c r="G585" i="1"/>
  <c r="S564" i="1"/>
  <c r="V550" i="1"/>
  <c r="V534" i="1"/>
  <c r="V514" i="1"/>
  <c r="V492" i="1"/>
  <c r="S476" i="1"/>
  <c r="S458" i="1"/>
  <c r="S442" i="1"/>
  <c r="T686" i="1"/>
  <c r="V617" i="1"/>
  <c r="T594" i="1"/>
  <c r="S579" i="1"/>
  <c r="T563" i="1"/>
  <c r="G554" i="1"/>
  <c r="G546" i="1"/>
  <c r="G538" i="1"/>
  <c r="G528" i="1"/>
  <c r="G518" i="1"/>
  <c r="G510" i="1"/>
  <c r="G496" i="1"/>
  <c r="G488" i="1"/>
  <c r="V635" i="1"/>
  <c r="T609" i="1"/>
  <c r="V590" i="1"/>
  <c r="G575" i="1"/>
  <c r="S556" i="1"/>
  <c r="S540" i="1"/>
  <c r="S520" i="1"/>
  <c r="S498" i="1"/>
  <c r="V481" i="1"/>
  <c r="V455" i="1"/>
  <c r="S435" i="1"/>
  <c r="V408" i="1"/>
  <c r="V390" i="1"/>
  <c r="V374" i="1"/>
  <c r="V358" i="1"/>
  <c r="V342" i="1"/>
  <c r="T503" i="1"/>
  <c r="G422" i="1"/>
  <c r="S402" i="1"/>
  <c r="T392" i="1"/>
  <c r="T384" i="1"/>
  <c r="T376" i="1"/>
  <c r="T368" i="1"/>
  <c r="T360" i="1"/>
  <c r="T352" i="1"/>
  <c r="T344" i="1"/>
  <c r="T334" i="1"/>
  <c r="T326" i="1"/>
  <c r="T318" i="1"/>
  <c r="T310" i="1"/>
  <c r="T302" i="1"/>
  <c r="T294" i="1"/>
  <c r="T286" i="1"/>
  <c r="T278" i="1"/>
  <c r="T270" i="1"/>
  <c r="T262" i="1"/>
  <c r="T254" i="1"/>
  <c r="G420" i="1"/>
  <c r="S394" i="1"/>
  <c r="S378" i="1"/>
  <c r="S362" i="1"/>
  <c r="S346" i="1"/>
  <c r="S422" i="1"/>
  <c r="G404" i="1"/>
  <c r="V459" i="1"/>
  <c r="T418" i="1"/>
  <c r="V395" i="1"/>
  <c r="V377" i="1"/>
  <c r="V361" i="1"/>
  <c r="T416" i="1"/>
  <c r="V399" i="1"/>
  <c r="T391" i="1"/>
  <c r="T383" i="1"/>
  <c r="T373" i="1"/>
  <c r="T365" i="1"/>
  <c r="T357" i="1"/>
  <c r="T349" i="1"/>
  <c r="T341" i="1"/>
  <c r="T333" i="1"/>
  <c r="T323" i="1"/>
  <c r="T315" i="1"/>
  <c r="T505" i="1"/>
  <c r="T428" i="1"/>
  <c r="G402" i="1"/>
  <c r="G305" i="1"/>
  <c r="G289" i="1"/>
  <c r="G273" i="1"/>
  <c r="G257" i="1"/>
  <c r="G244" i="1"/>
  <c r="T227" i="1"/>
  <c r="T219" i="1"/>
  <c r="S403" i="1"/>
  <c r="V339" i="1"/>
  <c r="V321" i="1"/>
  <c r="V313" i="1"/>
  <c r="T293" i="1"/>
  <c r="T261" i="1"/>
  <c r="S231" i="1"/>
  <c r="S199" i="1"/>
  <c r="S177" i="1"/>
  <c r="S159" i="1"/>
  <c r="T491" i="1"/>
  <c r="S351" i="1"/>
  <c r="S325" i="1"/>
  <c r="S317" i="1"/>
  <c r="S309" i="1"/>
  <c r="S293" i="1"/>
  <c r="S277" i="1"/>
  <c r="S261" i="1"/>
  <c r="S239" i="1"/>
  <c r="G142" i="1"/>
  <c r="G130" i="1"/>
  <c r="S308" i="1"/>
  <c r="S276" i="1"/>
  <c r="V245" i="1"/>
  <c r="V353" i="1"/>
  <c r="G299" i="1"/>
  <c r="G283" i="1"/>
  <c r="G267" i="1"/>
  <c r="T291" i="1"/>
  <c r="T259" i="1"/>
  <c r="S230" i="1"/>
  <c r="S212" i="1"/>
  <c r="S196" i="1"/>
  <c r="S176" i="1"/>
  <c r="S158" i="1"/>
  <c r="S385" i="1"/>
  <c r="S307" i="1"/>
  <c r="S291" i="1"/>
  <c r="S275" i="1"/>
  <c r="S259" i="1"/>
  <c r="V355" i="1"/>
  <c r="S286" i="1"/>
  <c r="S254" i="1"/>
  <c r="V227" i="1"/>
  <c r="V211" i="1"/>
  <c r="V191" i="1"/>
  <c r="G210" i="1"/>
  <c r="T182" i="1"/>
  <c r="G152" i="1"/>
  <c r="T209" i="1"/>
  <c r="T175" i="1"/>
  <c r="T156" i="1"/>
  <c r="V122" i="1"/>
  <c r="V106" i="1"/>
  <c r="V88" i="1"/>
  <c r="V72" i="1"/>
  <c r="V54" i="1"/>
  <c r="V32" i="1"/>
  <c r="T203" i="1"/>
  <c r="G178" i="1"/>
  <c r="V152" i="1"/>
  <c r="G128" i="1"/>
  <c r="G120" i="1"/>
  <c r="G112" i="1"/>
  <c r="G104" i="1"/>
  <c r="G94" i="1"/>
  <c r="G86" i="1"/>
  <c r="G78" i="1"/>
  <c r="G70" i="1"/>
  <c r="G62" i="1"/>
  <c r="G52" i="1"/>
  <c r="G44" i="1"/>
  <c r="G30" i="1"/>
  <c r="G20" i="1"/>
  <c r="G10" i="1"/>
  <c r="S94" i="1"/>
  <c r="S4" i="1"/>
  <c r="V24" i="1"/>
  <c r="T224" i="1"/>
  <c r="V204" i="1"/>
  <c r="V172" i="1"/>
  <c r="G154" i="1"/>
  <c r="G141" i="1"/>
  <c r="S120" i="1"/>
  <c r="S104" i="1"/>
  <c r="S74" i="1"/>
  <c r="S48" i="1"/>
  <c r="S10" i="1"/>
  <c r="T241" i="1"/>
  <c r="V178" i="1"/>
  <c r="G159" i="1"/>
  <c r="G133" i="1"/>
  <c r="V20" i="1"/>
  <c r="G199" i="1"/>
  <c r="G179" i="1"/>
  <c r="S147" i="1"/>
  <c r="V127" i="1"/>
  <c r="V109" i="1"/>
  <c r="V93" i="1"/>
  <c r="V77" i="1"/>
  <c r="V61" i="1"/>
  <c r="G263" i="1"/>
  <c r="V218" i="1"/>
  <c r="T193" i="1"/>
  <c r="G169" i="1"/>
  <c r="S137" i="1"/>
  <c r="G125" i="1"/>
  <c r="G117" i="1"/>
  <c r="G107" i="1"/>
  <c r="V806" i="1"/>
  <c r="G799" i="1"/>
  <c r="G791" i="1"/>
  <c r="G783" i="1"/>
  <c r="G769" i="1"/>
  <c r="G761" i="1"/>
  <c r="G751" i="1"/>
  <c r="G743" i="1"/>
  <c r="G733" i="1"/>
  <c r="G725" i="1"/>
  <c r="G715" i="1"/>
  <c r="G707" i="1"/>
  <c r="G697" i="1"/>
  <c r="S805" i="1"/>
  <c r="S787" i="1"/>
  <c r="S765" i="1"/>
  <c r="S747" i="1"/>
  <c r="V804" i="1"/>
  <c r="V788" i="1"/>
  <c r="V768" i="1"/>
  <c r="G804" i="1"/>
  <c r="G796" i="1"/>
  <c r="G788" i="1"/>
  <c r="G780" i="1"/>
  <c r="G768" i="1"/>
  <c r="G760" i="1"/>
  <c r="G750" i="1"/>
  <c r="G740" i="1"/>
  <c r="G732" i="1"/>
  <c r="G724" i="1"/>
  <c r="G710" i="1"/>
  <c r="G702" i="1"/>
  <c r="G694" i="1"/>
  <c r="S786" i="1"/>
  <c r="V799" i="1"/>
  <c r="V783" i="1"/>
  <c r="V717" i="1"/>
  <c r="T672" i="1"/>
  <c r="V714" i="1"/>
  <c r="V706" i="1"/>
  <c r="S672" i="1"/>
  <c r="V654" i="1"/>
  <c r="V632" i="1"/>
  <c r="V749" i="1"/>
  <c r="S709" i="1"/>
  <c r="V700" i="1"/>
  <c r="T681" i="1"/>
  <c r="G669" i="1"/>
  <c r="T658" i="1"/>
  <c r="T646" i="1"/>
  <c r="T636" i="1"/>
  <c r="T628" i="1"/>
  <c r="T616" i="1"/>
  <c r="T608" i="1"/>
  <c r="S766" i="1"/>
  <c r="S701" i="1"/>
  <c r="V692" i="1"/>
  <c r="S665" i="1"/>
  <c r="S644" i="1"/>
  <c r="V745" i="1"/>
  <c r="V732" i="1"/>
  <c r="V724" i="1"/>
  <c r="V683" i="1"/>
  <c r="V761" i="1"/>
  <c r="S735" i="1"/>
  <c r="S727" i="1"/>
  <c r="V746" i="1"/>
  <c r="T666" i="1"/>
  <c r="T657" i="1"/>
  <c r="T647" i="1"/>
  <c r="S746" i="1"/>
  <c r="S676" i="1"/>
  <c r="S662" i="1"/>
  <c r="V621" i="1"/>
  <c r="V604" i="1"/>
  <c r="V584" i="1"/>
  <c r="G565" i="1"/>
  <c r="T479" i="1"/>
  <c r="T471" i="1"/>
  <c r="T461" i="1"/>
  <c r="T451" i="1"/>
  <c r="T443" i="1"/>
  <c r="T435" i="1"/>
  <c r="T421" i="1"/>
  <c r="T413" i="1"/>
  <c r="T405" i="1"/>
  <c r="S677" i="1"/>
  <c r="G633" i="1"/>
  <c r="T596" i="1"/>
  <c r="S572" i="1"/>
  <c r="V557" i="1"/>
  <c r="V541" i="1"/>
  <c r="V521" i="1"/>
  <c r="V505" i="1"/>
  <c r="S485" i="1"/>
  <c r="S469" i="1"/>
  <c r="S449" i="1"/>
  <c r="S621" i="1"/>
  <c r="V603" i="1"/>
  <c r="V583" i="1"/>
  <c r="S562" i="1"/>
  <c r="G555" i="1"/>
  <c r="G547" i="1"/>
  <c r="G539" i="1"/>
  <c r="G529" i="1"/>
  <c r="G519" i="1"/>
  <c r="S647" i="1"/>
  <c r="T619" i="1"/>
  <c r="T592" i="1"/>
  <c r="S571" i="1"/>
  <c r="S555" i="1"/>
  <c r="S539" i="1"/>
  <c r="S519" i="1"/>
  <c r="S503" i="1"/>
  <c r="V482" i="1"/>
  <c r="V466" i="1"/>
  <c r="V448" i="1"/>
  <c r="V662" i="1"/>
  <c r="T598" i="1"/>
  <c r="S583" i="1"/>
  <c r="T567" i="1"/>
  <c r="T480" i="1"/>
  <c r="T472" i="1"/>
  <c r="T464" i="1"/>
  <c r="T454" i="1"/>
  <c r="T446" i="1"/>
  <c r="T438" i="1"/>
  <c r="S655" i="1"/>
  <c r="V623" i="1"/>
  <c r="V597" i="1"/>
  <c r="V582" i="1"/>
  <c r="V563" i="1"/>
  <c r="V548" i="1"/>
  <c r="V530" i="1"/>
  <c r="V512" i="1"/>
  <c r="V490" i="1"/>
  <c r="S474" i="1"/>
  <c r="S456" i="1"/>
  <c r="S440" i="1"/>
  <c r="G676" i="1"/>
  <c r="G617" i="1"/>
  <c r="G594" i="1"/>
  <c r="T576" i="1"/>
  <c r="T560" i="1"/>
  <c r="T552" i="1"/>
  <c r="T544" i="1"/>
  <c r="T536" i="1"/>
  <c r="T526" i="1"/>
  <c r="T516" i="1"/>
  <c r="T504" i="1"/>
  <c r="T494" i="1"/>
  <c r="S486" i="1"/>
  <c r="G635" i="1"/>
  <c r="T605" i="1"/>
  <c r="S588" i="1"/>
  <c r="V572" i="1"/>
  <c r="S554" i="1"/>
  <c r="S538" i="1"/>
  <c r="S518" i="1"/>
  <c r="S496" i="1"/>
  <c r="V479" i="1"/>
  <c r="V451" i="1"/>
  <c r="V425" i="1"/>
  <c r="G408" i="1"/>
  <c r="V388" i="1"/>
  <c r="V372" i="1"/>
  <c r="V356" i="1"/>
  <c r="V340" i="1"/>
  <c r="T499" i="1"/>
  <c r="V421" i="1"/>
  <c r="V401" i="1"/>
  <c r="G392" i="1"/>
  <c r="G384" i="1"/>
  <c r="G376" i="1"/>
  <c r="G368" i="1"/>
  <c r="G360" i="1"/>
  <c r="G352" i="1"/>
  <c r="G344" i="1"/>
  <c r="G334" i="1"/>
  <c r="G326" i="1"/>
  <c r="G318" i="1"/>
  <c r="G310" i="1"/>
  <c r="G302" i="1"/>
  <c r="G294" i="1"/>
  <c r="G286" i="1"/>
  <c r="G278" i="1"/>
  <c r="G270" i="1"/>
  <c r="G262" i="1"/>
  <c r="G254" i="1"/>
  <c r="G505" i="1"/>
  <c r="V419" i="1"/>
  <c r="S392" i="1"/>
  <c r="S376" i="1"/>
  <c r="S360" i="1"/>
  <c r="S344" i="1"/>
  <c r="T420" i="1"/>
  <c r="V400" i="1"/>
  <c r="V453" i="1"/>
  <c r="S417" i="1"/>
  <c r="V393" i="1"/>
  <c r="V375" i="1"/>
  <c r="S415" i="1"/>
  <c r="G399" i="1"/>
  <c r="G391" i="1"/>
  <c r="G383" i="1"/>
  <c r="G373" i="1"/>
  <c r="G365" i="1"/>
  <c r="G357" i="1"/>
  <c r="G349" i="1"/>
  <c r="G341" i="1"/>
  <c r="G333" i="1"/>
  <c r="G323" i="1"/>
  <c r="G315" i="1"/>
  <c r="G493" i="1"/>
  <c r="S414" i="1"/>
  <c r="S416" i="1"/>
  <c r="V301" i="1"/>
  <c r="V285" i="1"/>
  <c r="V269" i="1"/>
  <c r="V253" i="1"/>
  <c r="T242" i="1"/>
  <c r="G227" i="1"/>
  <c r="G219" i="1"/>
  <c r="S377" i="1"/>
  <c r="V337" i="1"/>
  <c r="V320" i="1"/>
  <c r="V312" i="1"/>
  <c r="T289" i="1"/>
  <c r="T257" i="1"/>
  <c r="S229" i="1"/>
  <c r="S213" i="1"/>
  <c r="S193" i="1"/>
  <c r="S175" i="1"/>
  <c r="S157" i="1"/>
  <c r="V341" i="1"/>
  <c r="S324" i="1"/>
  <c r="S316" i="1"/>
  <c r="V308" i="1"/>
  <c r="V292" i="1"/>
  <c r="V276" i="1"/>
  <c r="V260" i="1"/>
  <c r="T148" i="1"/>
  <c r="T138" i="1"/>
  <c r="S304" i="1"/>
  <c r="S272" i="1"/>
  <c r="V243" i="1"/>
  <c r="S347" i="1"/>
  <c r="V295" i="1"/>
  <c r="V279" i="1"/>
  <c r="G501" i="1"/>
  <c r="S353" i="1"/>
  <c r="T287" i="1"/>
  <c r="T255" i="1"/>
  <c r="S228" i="1"/>
  <c r="S210" i="1"/>
  <c r="S194" i="1"/>
  <c r="S174" i="1"/>
  <c r="S156" i="1"/>
  <c r="V306" i="1"/>
  <c r="V290" i="1"/>
  <c r="V274" i="1"/>
  <c r="V258" i="1"/>
  <c r="S349" i="1"/>
  <c r="S282" i="1"/>
  <c r="S250" i="1"/>
  <c r="V225" i="1"/>
  <c r="V209" i="1"/>
  <c r="V187" i="1"/>
  <c r="V206" i="1"/>
  <c r="V175" i="1"/>
  <c r="G151" i="1"/>
  <c r="G207" i="1"/>
  <c r="G172" i="1"/>
  <c r="V151" i="1"/>
  <c r="V120" i="1"/>
  <c r="V104" i="1"/>
  <c r="V86" i="1"/>
  <c r="V70" i="1"/>
  <c r="V52" i="1"/>
  <c r="V30" i="1"/>
  <c r="G201" i="1"/>
  <c r="G177" i="1"/>
  <c r="T151" i="1"/>
  <c r="T126" i="1"/>
  <c r="T118" i="1"/>
  <c r="T110" i="1"/>
  <c r="T102" i="1"/>
  <c r="T92" i="1"/>
  <c r="T84" i="1"/>
  <c r="T76" i="1"/>
  <c r="T68" i="1"/>
  <c r="T58" i="1"/>
  <c r="T38" i="1"/>
  <c r="T28" i="1"/>
  <c r="T18" i="1"/>
  <c r="T8" i="1"/>
  <c r="S808" i="1"/>
  <c r="G797" i="1"/>
  <c r="G789" i="1"/>
  <c r="G781" i="1"/>
  <c r="G767" i="1"/>
  <c r="G757" i="1"/>
  <c r="G749" i="1"/>
  <c r="G731" i="1"/>
  <c r="G723" i="1"/>
  <c r="G713" i="1"/>
  <c r="G703" i="1"/>
  <c r="G695" i="1"/>
  <c r="S799" i="1"/>
  <c r="S783" i="1"/>
  <c r="S761" i="1"/>
  <c r="S743" i="1"/>
  <c r="V800" i="1"/>
  <c r="V784" i="1"/>
  <c r="V764" i="1"/>
  <c r="G794" i="1"/>
  <c r="G786" i="1"/>
  <c r="G776" i="1"/>
  <c r="G766" i="1"/>
  <c r="G758" i="1"/>
  <c r="G738" i="1"/>
  <c r="G730" i="1"/>
  <c r="G720" i="1"/>
  <c r="G708" i="1"/>
  <c r="G700" i="1"/>
  <c r="G692" i="1"/>
  <c r="S798" i="1"/>
  <c r="S782" i="1"/>
  <c r="V795" i="1"/>
  <c r="V779" i="1"/>
  <c r="G685" i="1"/>
  <c r="S762" i="1"/>
  <c r="V684" i="1"/>
  <c r="V667" i="1"/>
  <c r="V646" i="1"/>
  <c r="V628" i="1"/>
  <c r="S715" i="1"/>
  <c r="S707" i="1"/>
  <c r="V698" i="1"/>
  <c r="S678" i="1"/>
  <c r="G667" i="1"/>
  <c r="T656" i="1"/>
  <c r="T644" i="1"/>
  <c r="T634" i="1"/>
  <c r="T624" i="1"/>
  <c r="T614" i="1"/>
  <c r="T606" i="1"/>
  <c r="S754" i="1"/>
  <c r="S699" i="1"/>
  <c r="V690" i="1"/>
  <c r="V677" i="1"/>
  <c r="T660" i="1"/>
  <c r="S638" i="1"/>
  <c r="V738" i="1"/>
  <c r="V730" i="1"/>
  <c r="S692" i="1"/>
  <c r="T677" i="1"/>
  <c r="S733" i="1"/>
  <c r="S725" i="1"/>
  <c r="V720" i="1"/>
  <c r="T673" i="1"/>
  <c r="T664" i="1"/>
  <c r="T655" i="1"/>
  <c r="T645" i="1"/>
  <c r="S720" i="1"/>
  <c r="V672" i="1"/>
  <c r="V670" i="1"/>
  <c r="S617" i="1"/>
  <c r="V599" i="1"/>
  <c r="T575" i="1"/>
  <c r="T485" i="1"/>
  <c r="T477" i="1"/>
  <c r="T469" i="1"/>
  <c r="T459" i="1"/>
  <c r="T449" i="1"/>
  <c r="T441" i="1"/>
  <c r="T427" i="1"/>
  <c r="T419" i="1"/>
  <c r="T411" i="1"/>
  <c r="T403" i="1"/>
  <c r="V653" i="1"/>
  <c r="T621" i="1"/>
  <c r="S593" i="1"/>
  <c r="G571" i="1"/>
  <c r="V553" i="1"/>
  <c r="V537" i="1"/>
  <c r="V517" i="1"/>
  <c r="V501" i="1"/>
  <c r="S481" i="1"/>
  <c r="S463" i="1"/>
  <c r="V666" i="1"/>
  <c r="V619" i="1"/>
  <c r="S599" i="1"/>
  <c r="V580" i="1"/>
  <c r="G561" i="1"/>
  <c r="G553" i="1"/>
  <c r="G545" i="1"/>
  <c r="G537" i="1"/>
  <c r="G525" i="1"/>
  <c r="G517" i="1"/>
  <c r="S633" i="1"/>
  <c r="T611" i="1"/>
  <c r="V586" i="1"/>
  <c r="V567" i="1"/>
  <c r="S551" i="1"/>
  <c r="S533" i="1"/>
  <c r="S515" i="1"/>
  <c r="S499" i="1"/>
  <c r="V478" i="1"/>
  <c r="V462" i="1"/>
  <c r="V444" i="1"/>
  <c r="S641" i="1"/>
  <c r="S611" i="1"/>
  <c r="S595" i="1"/>
  <c r="V579" i="1"/>
  <c r="G564" i="1"/>
  <c r="T478" i="1"/>
  <c r="T470" i="1"/>
  <c r="T462" i="1"/>
  <c r="T452" i="1"/>
  <c r="T444" i="1"/>
  <c r="T436" i="1"/>
  <c r="S631" i="1"/>
  <c r="S618" i="1"/>
  <c r="V594" i="1"/>
  <c r="V576" i="1"/>
  <c r="V560" i="1"/>
  <c r="V544" i="1"/>
  <c r="V526" i="1"/>
  <c r="V504" i="1"/>
  <c r="T486" i="1"/>
  <c r="S470" i="1"/>
  <c r="S452" i="1"/>
  <c r="S436" i="1"/>
  <c r="V651" i="1"/>
  <c r="G609" i="1"/>
  <c r="T588" i="1"/>
  <c r="S573" i="1"/>
  <c r="T558" i="1"/>
  <c r="T550" i="1"/>
  <c r="T542" i="1"/>
  <c r="T534" i="1"/>
  <c r="T522" i="1"/>
  <c r="T514" i="1"/>
  <c r="T502" i="1"/>
  <c r="T492" i="1"/>
  <c r="S651" i="1"/>
  <c r="S628" i="1"/>
  <c r="G600" i="1"/>
  <c r="S582" i="1"/>
  <c r="T566" i="1"/>
  <c r="S550" i="1"/>
  <c r="S534" i="1"/>
  <c r="S514" i="1"/>
  <c r="S492" i="1"/>
  <c r="V475" i="1"/>
  <c r="S445" i="1"/>
  <c r="G424" i="1"/>
  <c r="T402" i="1"/>
  <c r="V384" i="1"/>
  <c r="V368" i="1"/>
  <c r="V352" i="1"/>
  <c r="V334" i="1"/>
  <c r="V463" i="1"/>
  <c r="T408" i="1"/>
  <c r="G398" i="1"/>
  <c r="G390" i="1"/>
  <c r="G382" i="1"/>
  <c r="G374" i="1"/>
  <c r="G366" i="1"/>
  <c r="G358" i="1"/>
  <c r="G350" i="1"/>
  <c r="G342" i="1"/>
  <c r="G332" i="1"/>
  <c r="G324" i="1"/>
  <c r="G316" i="1"/>
  <c r="G308" i="1"/>
  <c r="G300" i="1"/>
  <c r="G292" i="1"/>
  <c r="G284" i="1"/>
  <c r="G276" i="1"/>
  <c r="G268" i="1"/>
  <c r="G260" i="1"/>
  <c r="G252" i="1"/>
  <c r="G426" i="1"/>
  <c r="T406" i="1"/>
  <c r="S388" i="1"/>
  <c r="S372" i="1"/>
  <c r="S356" i="1"/>
  <c r="G513" i="1"/>
  <c r="V418" i="1"/>
  <c r="T509" i="1"/>
  <c r="G434" i="1"/>
  <c r="G416" i="1"/>
  <c r="V389" i="1"/>
  <c r="V371" i="1"/>
  <c r="V465" i="1"/>
  <c r="G414" i="1"/>
  <c r="G397" i="1"/>
  <c r="G389" i="1"/>
  <c r="G379" i="1"/>
  <c r="G371" i="1"/>
  <c r="G363" i="1"/>
  <c r="G355" i="1"/>
  <c r="G347" i="1"/>
  <c r="G339" i="1"/>
  <c r="G331" i="1"/>
  <c r="G321" i="1"/>
  <c r="G313" i="1"/>
  <c r="V443" i="1"/>
  <c r="S411" i="1"/>
  <c r="S355" i="1"/>
  <c r="V297" i="1"/>
  <c r="V281" i="1"/>
  <c r="V265" i="1"/>
  <c r="V249" i="1"/>
  <c r="S240" i="1"/>
  <c r="G225" i="1"/>
  <c r="G217" i="1"/>
  <c r="S369" i="1"/>
  <c r="V326" i="1"/>
  <c r="V318" i="1"/>
  <c r="V310" i="1"/>
  <c r="T281" i="1"/>
  <c r="T249" i="1"/>
  <c r="S225" i="1"/>
  <c r="S209" i="1"/>
  <c r="S187" i="1"/>
  <c r="S171" i="1"/>
  <c r="S153" i="1"/>
  <c r="S395" i="1"/>
  <c r="S337" i="1"/>
  <c r="S322" i="1"/>
  <c r="S314" i="1"/>
  <c r="V304" i="1"/>
  <c r="V288" i="1"/>
  <c r="V272" i="1"/>
  <c r="V256" i="1"/>
  <c r="T146" i="1"/>
  <c r="T136" i="1"/>
  <c r="S357" i="1"/>
  <c r="S296" i="1"/>
  <c r="S264" i="1"/>
  <c r="V232" i="1"/>
  <c r="V307" i="1"/>
  <c r="V291" i="1"/>
  <c r="V275" i="1"/>
  <c r="S379" i="1"/>
  <c r="V331" i="1"/>
  <c r="T279" i="1"/>
  <c r="T247" i="1"/>
  <c r="S224" i="1"/>
  <c r="S206" i="1"/>
  <c r="S190" i="1"/>
  <c r="S170" i="1"/>
  <c r="S152" i="1"/>
  <c r="S343" i="1"/>
  <c r="V302" i="1"/>
  <c r="V286" i="1"/>
  <c r="V270" i="1"/>
  <c r="V254" i="1"/>
  <c r="S306" i="1"/>
  <c r="S274" i="1"/>
  <c r="V244" i="1"/>
  <c r="V221" i="1"/>
  <c r="V205" i="1"/>
  <c r="V183" i="1"/>
  <c r="G196" i="1"/>
  <c r="T169" i="1"/>
  <c r="V135" i="1"/>
  <c r="G204" i="1"/>
  <c r="T170" i="1"/>
  <c r="V142" i="1"/>
  <c r="V116" i="1"/>
  <c r="V98" i="1"/>
  <c r="V82" i="1"/>
  <c r="V66" i="1"/>
  <c r="V48" i="1"/>
  <c r="V16" i="1"/>
  <c r="G198" i="1"/>
  <c r="V171" i="1"/>
  <c r="S142" i="1"/>
  <c r="T124" i="1"/>
  <c r="T116" i="1"/>
  <c r="T108" i="1"/>
  <c r="T98" i="1"/>
  <c r="T90" i="1"/>
  <c r="T82" i="1"/>
  <c r="T74" i="1"/>
  <c r="T66" i="1"/>
  <c r="T56" i="1"/>
  <c r="T48" i="1"/>
  <c r="T36" i="1"/>
  <c r="T24" i="1"/>
  <c r="T16" i="1"/>
  <c r="T4" i="1"/>
  <c r="S86" i="1"/>
  <c r="S28" i="1"/>
  <c r="X111" i="1"/>
  <c r="W111" i="1" s="1"/>
  <c r="N722" i="1"/>
  <c r="O722" i="1" s="1"/>
  <c r="N688" i="1"/>
  <c r="O688" i="1" s="1"/>
  <c r="N45" i="1"/>
  <c r="O45" i="1" s="1"/>
  <c r="S23" i="1"/>
  <c r="S67" i="1"/>
  <c r="S85" i="1"/>
  <c r="S101" i="1"/>
  <c r="S119" i="1"/>
  <c r="V143" i="1"/>
  <c r="T174" i="1"/>
  <c r="G200" i="1"/>
  <c r="T220" i="1"/>
  <c r="S25" i="1"/>
  <c r="S65" i="1"/>
  <c r="G9" i="1"/>
  <c r="G17" i="1"/>
  <c r="G25" i="1"/>
  <c r="G33" i="1"/>
  <c r="M51" i="1"/>
  <c r="H51" i="1"/>
  <c r="G59" i="1"/>
  <c r="G67" i="1"/>
  <c r="G75" i="1"/>
  <c r="G83" i="1"/>
  <c r="G91" i="1"/>
  <c r="G99" i="1"/>
  <c r="T109" i="1"/>
  <c r="T121" i="1"/>
  <c r="V136" i="1"/>
  <c r="V181" i="1"/>
  <c r="T245" i="1"/>
  <c r="V57" i="1"/>
  <c r="V85" i="1"/>
  <c r="V107" i="1"/>
  <c r="S146" i="1"/>
  <c r="T198" i="1"/>
  <c r="S130" i="1"/>
  <c r="T177" i="1"/>
  <c r="V33" i="1"/>
  <c r="S70" i="1"/>
  <c r="S116" i="1"/>
  <c r="T152" i="1"/>
  <c r="T192" i="1"/>
  <c r="V4" i="1"/>
  <c r="S92" i="1"/>
  <c r="G118" i="1"/>
  <c r="T143" i="1"/>
  <c r="V246" i="1"/>
  <c r="T283" i="1"/>
  <c r="S268" i="1"/>
  <c r="S289" i="1"/>
  <c r="S173" i="1"/>
  <c r="V319" i="1"/>
  <c r="G253" i="1"/>
  <c r="T321" i="1"/>
  <c r="T371" i="1"/>
  <c r="V373" i="1"/>
  <c r="S358" i="1"/>
  <c r="T268" i="1"/>
  <c r="T332" i="1"/>
  <c r="T398" i="1"/>
  <c r="S552" i="1"/>
  <c r="G516" i="1"/>
  <c r="V609" i="1"/>
  <c r="V528" i="1"/>
  <c r="G438" i="1"/>
  <c r="G598" i="1"/>
  <c r="T517" i="1"/>
  <c r="G405" i="1"/>
  <c r="S673" i="1"/>
  <c r="V691" i="1"/>
  <c r="G658" i="1"/>
  <c r="V652" i="1"/>
  <c r="V781" i="1"/>
  <c r="T766" i="1"/>
  <c r="X802" i="1"/>
  <c r="W802" i="1" s="1"/>
  <c r="T723" i="1"/>
  <c r="T789" i="1"/>
  <c r="X772" i="1"/>
  <c r="W772" i="1" s="1"/>
  <c r="X167" i="1"/>
  <c r="W167" i="1" s="1"/>
  <c r="M50" i="1"/>
  <c r="H50" i="1"/>
  <c r="M295" i="1"/>
  <c r="H295" i="1"/>
  <c r="G175" i="1"/>
  <c r="T202" i="1"/>
  <c r="T232" i="1"/>
  <c r="S29" i="1"/>
  <c r="S69" i="1"/>
  <c r="T9" i="1"/>
  <c r="T17" i="1"/>
  <c r="T25" i="1"/>
  <c r="T33" i="1"/>
  <c r="T59" i="1"/>
  <c r="T67" i="1"/>
  <c r="T75" i="1"/>
  <c r="T83" i="1"/>
  <c r="T91" i="1"/>
  <c r="G101" i="1"/>
  <c r="G113" i="1"/>
  <c r="G123" i="1"/>
  <c r="G155" i="1"/>
  <c r="T190" i="1"/>
  <c r="G247" i="1"/>
  <c r="V59" i="1"/>
  <c r="V87" i="1"/>
  <c r="V117" i="1"/>
  <c r="V159" i="1"/>
  <c r="G212" i="1"/>
  <c r="V137" i="1"/>
  <c r="V198" i="1"/>
  <c r="S24" i="1"/>
  <c r="S72" i="1"/>
  <c r="S118" i="1"/>
  <c r="G153" i="1"/>
  <c r="G193" i="1"/>
  <c r="V23" i="1"/>
  <c r="G8" i="1"/>
  <c r="G126" i="1"/>
  <c r="V68" i="1"/>
  <c r="S278" i="1"/>
  <c r="S154" i="1"/>
  <c r="V343" i="1"/>
  <c r="S300" i="1"/>
  <c r="S305" i="1"/>
  <c r="S191" i="1"/>
  <c r="S332" i="1"/>
  <c r="G269" i="1"/>
  <c r="T331" i="1"/>
  <c r="T379" i="1"/>
  <c r="V391" i="1"/>
  <c r="S374" i="1"/>
  <c r="T276" i="1"/>
  <c r="T342" i="1"/>
  <c r="S410" i="1"/>
  <c r="V424" i="1"/>
  <c r="T569" i="1"/>
  <c r="G526" i="1"/>
  <c r="V659" i="1"/>
  <c r="V546" i="1"/>
  <c r="G446" i="1"/>
  <c r="V614" i="1"/>
  <c r="S517" i="1"/>
  <c r="T525" i="1"/>
  <c r="V519" i="1"/>
  <c r="G413" i="1"/>
  <c r="S740" i="1"/>
  <c r="V723" i="1"/>
  <c r="S700" i="1"/>
  <c r="T667" i="1"/>
  <c r="V669" i="1"/>
  <c r="V797" i="1"/>
  <c r="T776" i="1"/>
  <c r="S745" i="1"/>
  <c r="T731" i="1"/>
  <c r="T797" i="1"/>
  <c r="M129" i="1"/>
  <c r="H129" i="1"/>
  <c r="X11" i="1"/>
  <c r="W11" i="1" s="1"/>
  <c r="H168" i="1"/>
  <c r="M92" i="1"/>
  <c r="H92" i="1"/>
  <c r="X769" i="1"/>
  <c r="W769" i="1" s="1"/>
  <c r="N139" i="1"/>
  <c r="O139" i="1" s="1"/>
  <c r="X43" i="1"/>
  <c r="W43" i="1" s="1"/>
  <c r="S121" i="1"/>
  <c r="N39" i="1"/>
  <c r="O39" i="1" s="1"/>
  <c r="M34" i="1"/>
  <c r="H34" i="1"/>
  <c r="X60" i="1"/>
  <c r="W60" i="1" s="1"/>
  <c r="N42" i="1"/>
  <c r="O42" i="1" s="1"/>
  <c r="V22" i="1"/>
  <c r="S33" i="1"/>
  <c r="S73" i="1"/>
  <c r="S89" i="1"/>
  <c r="S105" i="1"/>
  <c r="S123" i="1"/>
  <c r="S145" i="1"/>
  <c r="G176" i="1"/>
  <c r="G203" i="1"/>
  <c r="G241" i="1"/>
  <c r="S31" i="1"/>
  <c r="G3" i="1"/>
  <c r="G11" i="1"/>
  <c r="G19" i="1"/>
  <c r="G27" i="1"/>
  <c r="G35" i="1"/>
  <c r="G53" i="1"/>
  <c r="G61" i="1"/>
  <c r="G69" i="1"/>
  <c r="G77" i="1"/>
  <c r="G85" i="1"/>
  <c r="G93" i="1"/>
  <c r="T101" i="1"/>
  <c r="T113" i="1"/>
  <c r="T123" i="1"/>
  <c r="G156" i="1"/>
  <c r="G191" i="1"/>
  <c r="G251" i="1"/>
  <c r="V67" i="1"/>
  <c r="V89" i="1"/>
  <c r="V121" i="1"/>
  <c r="V168" i="1"/>
  <c r="G230" i="1"/>
  <c r="T147" i="1"/>
  <c r="T204" i="1"/>
  <c r="S32" i="1"/>
  <c r="S80" i="1"/>
  <c r="S126" i="1"/>
  <c r="V163" i="1"/>
  <c r="T196" i="1"/>
  <c r="V35" i="1"/>
  <c r="G18" i="1"/>
  <c r="G68" i="1"/>
  <c r="T149" i="1"/>
  <c r="V84" i="1"/>
  <c r="V170" i="1"/>
  <c r="V335" i="1"/>
  <c r="V411" i="1"/>
  <c r="S315" i="1"/>
  <c r="S211" i="1"/>
  <c r="S373" i="1"/>
  <c r="G285" i="1"/>
  <c r="T339" i="1"/>
  <c r="T389" i="1"/>
  <c r="V416" i="1"/>
  <c r="S390" i="1"/>
  <c r="T284" i="1"/>
  <c r="T350" i="1"/>
  <c r="G491" i="1"/>
  <c r="V447" i="1"/>
  <c r="S585" i="1"/>
  <c r="G536" i="1"/>
  <c r="G563" i="1"/>
  <c r="G454" i="1"/>
  <c r="S537" i="1"/>
  <c r="T537" i="1"/>
  <c r="S620" i="1"/>
  <c r="V539" i="1"/>
  <c r="G421" i="1"/>
  <c r="G479" i="1"/>
  <c r="V731" i="1"/>
  <c r="V758" i="1"/>
  <c r="G681" i="1"/>
  <c r="S685" i="1"/>
  <c r="S784" i="1"/>
  <c r="T720" i="1"/>
  <c r="T786" i="1"/>
  <c r="S763" i="1"/>
  <c r="G810" i="1"/>
  <c r="H480" i="1"/>
  <c r="M480" i="1"/>
  <c r="M451" i="1"/>
  <c r="H451" i="1"/>
  <c r="H628" i="1"/>
  <c r="M628" i="1"/>
  <c r="N721" i="1"/>
  <c r="O721" i="1" s="1"/>
  <c r="X775" i="1"/>
  <c r="W775" i="1" s="1"/>
  <c r="X6" i="1"/>
  <c r="W6" i="1" s="1"/>
  <c r="M578" i="1"/>
  <c r="H578" i="1"/>
  <c r="X433" i="1"/>
  <c r="W433" i="1" s="1"/>
  <c r="N693" i="1"/>
  <c r="O693" i="1" s="1"/>
  <c r="S7" i="1"/>
  <c r="S47" i="1"/>
  <c r="S75" i="1"/>
  <c r="S91" i="1"/>
  <c r="S107" i="1"/>
  <c r="S125" i="1"/>
  <c r="V155" i="1"/>
  <c r="T179" i="1"/>
  <c r="T205" i="1"/>
  <c r="S3" i="1"/>
  <c r="S35" i="1"/>
  <c r="T3" i="1"/>
  <c r="T11" i="1"/>
  <c r="T19" i="1"/>
  <c r="T27" i="1"/>
  <c r="T35" i="1"/>
  <c r="T53" i="1"/>
  <c r="T61" i="1"/>
  <c r="T69" i="1"/>
  <c r="T77" i="1"/>
  <c r="T85" i="1"/>
  <c r="T93" i="1"/>
  <c r="G103" i="1"/>
  <c r="G115" i="1"/>
  <c r="G127" i="1"/>
  <c r="T159" i="1"/>
  <c r="T208" i="1"/>
  <c r="G255" i="1"/>
  <c r="V69" i="1"/>
  <c r="V91" i="1"/>
  <c r="V123" i="1"/>
  <c r="V173" i="1"/>
  <c r="V8" i="1"/>
  <c r="V153" i="1"/>
  <c r="G205" i="1"/>
  <c r="S36" i="1"/>
  <c r="S90" i="1"/>
  <c r="V130" i="1"/>
  <c r="G216" i="1"/>
  <c r="S2" i="1"/>
  <c r="G28" i="1"/>
  <c r="G76" i="1"/>
  <c r="V102" i="1"/>
  <c r="T199" i="1"/>
  <c r="S255" i="1"/>
  <c r="S172" i="1"/>
  <c r="M412" i="1"/>
  <c r="H412" i="1"/>
  <c r="S323" i="1"/>
  <c r="G301" i="1"/>
  <c r="T347" i="1"/>
  <c r="T397" i="1"/>
  <c r="S408" i="1"/>
  <c r="T292" i="1"/>
  <c r="T358" i="1"/>
  <c r="V338" i="1"/>
  <c r="T600" i="1"/>
  <c r="G544" i="1"/>
  <c r="S438" i="1"/>
  <c r="T579" i="1"/>
  <c r="G464" i="1"/>
  <c r="V655" i="1"/>
  <c r="S553" i="1"/>
  <c r="T545" i="1"/>
  <c r="S447" i="1"/>
  <c r="V555" i="1"/>
  <c r="G435" i="1"/>
  <c r="V562" i="1"/>
  <c r="V742" i="1"/>
  <c r="S726" i="1"/>
  <c r="X739" i="1"/>
  <c r="W739" i="1" s="1"/>
  <c r="G608" i="1"/>
  <c r="V699" i="1"/>
  <c r="S800" i="1"/>
  <c r="T730" i="1"/>
  <c r="T794" i="1"/>
  <c r="S785" i="1"/>
  <c r="X748" i="1"/>
  <c r="W748" i="1" s="1"/>
  <c r="X712" i="1"/>
  <c r="W712" i="1" s="1"/>
  <c r="M748" i="1"/>
  <c r="H748" i="1"/>
  <c r="M802" i="1"/>
  <c r="H802" i="1"/>
  <c r="M739" i="1"/>
  <c r="H739" i="1"/>
  <c r="X460" i="1"/>
  <c r="W460" i="1" s="1"/>
  <c r="N587" i="1"/>
  <c r="O587" i="1" s="1"/>
  <c r="N626" i="1"/>
  <c r="O626" i="1" s="1"/>
  <c r="M650" i="1"/>
  <c r="H650" i="1"/>
  <c r="X412" i="1"/>
  <c r="W412" i="1" s="1"/>
  <c r="M511" i="1"/>
  <c r="H511" i="1"/>
  <c r="X679" i="1"/>
  <c r="W679" i="1" s="1"/>
  <c r="X680" i="1"/>
  <c r="W680" i="1" s="1"/>
  <c r="N648" i="1"/>
  <c r="O648" i="1" s="1"/>
  <c r="X577" i="1"/>
  <c r="W577" i="1" s="1"/>
  <c r="N759" i="1"/>
  <c r="O759" i="1" s="1"/>
  <c r="M43" i="1"/>
  <c r="H43" i="1"/>
  <c r="H705" i="1"/>
  <c r="M705" i="1"/>
  <c r="M140" i="1"/>
  <c r="H140" i="1"/>
  <c r="M772" i="1"/>
  <c r="H772" i="1"/>
  <c r="X359" i="1"/>
  <c r="W359" i="1" s="1"/>
  <c r="M473" i="1"/>
  <c r="H473" i="1"/>
  <c r="H679" i="1"/>
  <c r="M679" i="1"/>
  <c r="X589" i="1"/>
  <c r="W589" i="1" s="1"/>
  <c r="N26" i="1"/>
  <c r="O26" i="1" s="1"/>
  <c r="M111" i="1"/>
  <c r="H111" i="1"/>
  <c r="M741" i="1"/>
  <c r="H741" i="1"/>
  <c r="N801" i="1"/>
  <c r="O801" i="1" s="1"/>
  <c r="M235" i="1"/>
  <c r="H235" i="1"/>
  <c r="M41" i="1"/>
  <c r="H41" i="1"/>
  <c r="M577" i="1"/>
  <c r="H577" i="1"/>
  <c r="M359" i="1"/>
  <c r="H359" i="1"/>
  <c r="M712" i="1"/>
  <c r="H712" i="1"/>
  <c r="N186" i="1"/>
  <c r="O186" i="1" s="1"/>
  <c r="X607" i="1"/>
  <c r="W607" i="1" s="1"/>
  <c r="X34" i="1"/>
  <c r="W34" i="1" s="1"/>
  <c r="N233" i="1"/>
  <c r="O233" i="1" s="1"/>
  <c r="X41" i="1"/>
  <c r="W41" i="1" s="1"/>
  <c r="H6" i="1"/>
  <c r="M6" i="1"/>
  <c r="M430" i="1"/>
  <c r="H430" i="1"/>
  <c r="M327" i="1"/>
  <c r="H327" i="1"/>
  <c r="M589" i="1"/>
  <c r="H589" i="1"/>
  <c r="M64" i="1"/>
  <c r="H64" i="1"/>
  <c r="X215" i="1"/>
  <c r="W215" i="1" s="1"/>
  <c r="M615" i="1"/>
  <c r="H615" i="1"/>
  <c r="X511" i="1"/>
  <c r="W511" i="1" s="1"/>
  <c r="M238" i="1"/>
  <c r="H238" i="1"/>
  <c r="X578" i="1"/>
  <c r="W578" i="1" s="1"/>
  <c r="N195" i="1"/>
  <c r="O195" i="1" s="1"/>
  <c r="X327" i="1"/>
  <c r="W327" i="1" s="1"/>
  <c r="N165" i="1"/>
  <c r="O165" i="1" s="1"/>
  <c r="M60" i="1"/>
  <c r="H60" i="1"/>
  <c r="N535" i="1"/>
  <c r="O535" i="1" s="1"/>
  <c r="M431" i="1"/>
  <c r="H431" i="1"/>
  <c r="M775" i="1"/>
  <c r="H775" i="1"/>
  <c r="M607" i="1"/>
  <c r="H607" i="1"/>
  <c r="H215" i="1"/>
  <c r="M215" i="1"/>
  <c r="X432" i="1"/>
  <c r="W432" i="1" s="1"/>
  <c r="X615" i="1"/>
  <c r="W615" i="1" s="1"/>
  <c r="M429" i="1"/>
  <c r="H429" i="1"/>
  <c r="N467" i="1"/>
  <c r="O467" i="1" s="1"/>
  <c r="M132" i="1"/>
  <c r="H132" i="1"/>
  <c r="X166" i="1"/>
  <c r="W166" i="1" s="1"/>
  <c r="X64" i="1"/>
  <c r="W64" i="1" s="1"/>
  <c r="M166" i="1"/>
  <c r="H166" i="1"/>
  <c r="M432" i="1"/>
  <c r="H432" i="1"/>
  <c r="X473" i="1"/>
  <c r="W473" i="1" s="1"/>
  <c r="H622" i="1"/>
  <c r="M622" i="1"/>
  <c r="N778" i="1"/>
  <c r="O778" i="1" s="1"/>
  <c r="N40" i="1"/>
  <c r="O40" i="1" s="1"/>
  <c r="M237" i="1"/>
  <c r="H237" i="1"/>
  <c r="M433" i="1"/>
  <c r="H433" i="1"/>
  <c r="N771" i="1"/>
  <c r="O771" i="1" s="1"/>
  <c r="N500" i="1"/>
  <c r="O500" i="1" s="1"/>
  <c r="M100" i="1"/>
  <c r="H100" i="1"/>
  <c r="N527" i="1" l="1"/>
  <c r="O527" i="1" s="1"/>
  <c r="N236" i="1"/>
  <c r="O236" i="1" s="1"/>
  <c r="N12" i="1"/>
  <c r="O12" i="1" s="1"/>
  <c r="N532" i="1"/>
  <c r="O532" i="1" s="1"/>
  <c r="N222" i="1"/>
  <c r="O222" i="1" s="1"/>
  <c r="N718" i="1"/>
  <c r="O718" i="1" s="1"/>
  <c r="N524" i="1"/>
  <c r="O524" i="1" s="1"/>
  <c r="H119" i="1"/>
  <c r="B14" i="19"/>
  <c r="D13" i="19"/>
  <c r="D12" i="20"/>
  <c r="E11" i="20"/>
  <c r="H400" i="1"/>
  <c r="H220" i="1"/>
  <c r="M657" i="1"/>
  <c r="H623" i="1"/>
  <c r="N197" i="1"/>
  <c r="O197" i="1" s="1"/>
  <c r="M148" i="1"/>
  <c r="N433" i="1"/>
  <c r="O433" i="1" s="1"/>
  <c r="N429" i="1"/>
  <c r="O429" i="1" s="1"/>
  <c r="N60" i="1"/>
  <c r="O60" i="1" s="1"/>
  <c r="N802" i="1"/>
  <c r="O802" i="1" s="1"/>
  <c r="M103" i="1"/>
  <c r="H103" i="1"/>
  <c r="M61" i="1"/>
  <c r="H61" i="1"/>
  <c r="X669" i="1"/>
  <c r="W669" i="1" s="1"/>
  <c r="X198" i="1"/>
  <c r="W198" i="1" s="1"/>
  <c r="M67" i="1"/>
  <c r="H67" i="1"/>
  <c r="X307" i="1"/>
  <c r="W307" i="1" s="1"/>
  <c r="X326" i="1"/>
  <c r="W326" i="1" s="1"/>
  <c r="H342" i="1"/>
  <c r="M342" i="1"/>
  <c r="X594" i="1"/>
  <c r="W594" i="1" s="1"/>
  <c r="X209" i="1"/>
  <c r="W209" i="1" s="1"/>
  <c r="X341" i="1"/>
  <c r="W341" i="1" s="1"/>
  <c r="X557" i="1"/>
  <c r="W557" i="1" s="1"/>
  <c r="X69" i="1"/>
  <c r="W69" i="1" s="1"/>
  <c r="M176" i="1"/>
  <c r="H176" i="1"/>
  <c r="N6" i="1"/>
  <c r="O6" i="1" s="1"/>
  <c r="N679" i="1"/>
  <c r="O679" i="1" s="1"/>
  <c r="H810" i="1"/>
  <c r="M810" i="1"/>
  <c r="M563" i="1"/>
  <c r="H563" i="1"/>
  <c r="X163" i="1"/>
  <c r="W163" i="1" s="1"/>
  <c r="N92" i="1"/>
  <c r="O92" i="1" s="1"/>
  <c r="X546" i="1"/>
  <c r="W546" i="1" s="1"/>
  <c r="N705" i="1"/>
  <c r="O705" i="1" s="1"/>
  <c r="X699" i="1"/>
  <c r="W699" i="1" s="1"/>
  <c r="X555" i="1"/>
  <c r="W555" i="1" s="1"/>
  <c r="M301" i="1"/>
  <c r="H301" i="1"/>
  <c r="X153" i="1"/>
  <c r="W153" i="1" s="1"/>
  <c r="X67" i="1"/>
  <c r="W67" i="1" s="1"/>
  <c r="M11" i="1"/>
  <c r="H11" i="1"/>
  <c r="N168" i="1"/>
  <c r="O168" i="1" s="1"/>
  <c r="M526" i="1"/>
  <c r="H526" i="1"/>
  <c r="N166" i="1"/>
  <c r="O166" i="1" s="1"/>
  <c r="N615" i="1"/>
  <c r="O615" i="1" s="1"/>
  <c r="N327" i="1"/>
  <c r="O327" i="1" s="1"/>
  <c r="N712" i="1"/>
  <c r="O712" i="1" s="1"/>
  <c r="N235" i="1"/>
  <c r="O235" i="1" s="1"/>
  <c r="N43" i="1"/>
  <c r="O43" i="1" s="1"/>
  <c r="N650" i="1"/>
  <c r="O650" i="1" s="1"/>
  <c r="N739" i="1"/>
  <c r="O739" i="1" s="1"/>
  <c r="M608" i="1"/>
  <c r="H608" i="1"/>
  <c r="M28" i="1"/>
  <c r="H28" i="1"/>
  <c r="X8" i="1"/>
  <c r="W8" i="1" s="1"/>
  <c r="M127" i="1"/>
  <c r="H127" i="1"/>
  <c r="X539" i="1"/>
  <c r="W539" i="1" s="1"/>
  <c r="X447" i="1"/>
  <c r="W447" i="1" s="1"/>
  <c r="M285" i="1"/>
  <c r="H285" i="1"/>
  <c r="M251" i="1"/>
  <c r="H251" i="1"/>
  <c r="M77" i="1"/>
  <c r="H77" i="1"/>
  <c r="M3" i="1"/>
  <c r="H3" i="1"/>
  <c r="N34" i="1"/>
  <c r="O34" i="1" s="1"/>
  <c r="X519" i="1"/>
  <c r="W519" i="1" s="1"/>
  <c r="X59" i="1"/>
  <c r="W59" i="1" s="1"/>
  <c r="M658" i="1"/>
  <c r="H658" i="1"/>
  <c r="X609" i="1"/>
  <c r="W609" i="1" s="1"/>
  <c r="X246" i="1"/>
  <c r="W246" i="1" s="1"/>
  <c r="X57" i="1"/>
  <c r="W57" i="1" s="1"/>
  <c r="M83" i="1"/>
  <c r="H83" i="1"/>
  <c r="H17" i="1"/>
  <c r="M17" i="1"/>
  <c r="X16" i="1"/>
  <c r="W16" i="1" s="1"/>
  <c r="M204" i="1"/>
  <c r="H204" i="1"/>
  <c r="X275" i="1"/>
  <c r="W275" i="1" s="1"/>
  <c r="X310" i="1"/>
  <c r="W310" i="1" s="1"/>
  <c r="X265" i="1"/>
  <c r="W265" i="1" s="1"/>
  <c r="M331" i="1"/>
  <c r="H331" i="1"/>
  <c r="M397" i="1"/>
  <c r="H397" i="1"/>
  <c r="X418" i="1"/>
  <c r="W418" i="1" s="1"/>
  <c r="M260" i="1"/>
  <c r="H260" i="1"/>
  <c r="M324" i="1"/>
  <c r="H324" i="1"/>
  <c r="H390" i="1"/>
  <c r="M390" i="1"/>
  <c r="X651" i="1"/>
  <c r="W651" i="1" s="1"/>
  <c r="X560" i="1"/>
  <c r="W560" i="1" s="1"/>
  <c r="X444" i="1"/>
  <c r="W444" i="1" s="1"/>
  <c r="X586" i="1"/>
  <c r="W586" i="1" s="1"/>
  <c r="M561" i="1"/>
  <c r="H561" i="1"/>
  <c r="X517" i="1"/>
  <c r="W517" i="1" s="1"/>
  <c r="X730" i="1"/>
  <c r="W730" i="1" s="1"/>
  <c r="X698" i="1"/>
  <c r="W698" i="1" s="1"/>
  <c r="M685" i="1"/>
  <c r="H685" i="1"/>
  <c r="M720" i="1"/>
  <c r="H720" i="1"/>
  <c r="X764" i="1"/>
  <c r="W764" i="1" s="1"/>
  <c r="H703" i="1"/>
  <c r="M703" i="1"/>
  <c r="M789" i="1"/>
  <c r="H789" i="1"/>
  <c r="X86" i="1"/>
  <c r="W86" i="1" s="1"/>
  <c r="X206" i="1"/>
  <c r="W206" i="1" s="1"/>
  <c r="X274" i="1"/>
  <c r="W274" i="1" s="1"/>
  <c r="M315" i="1"/>
  <c r="H315" i="1"/>
  <c r="M383" i="1"/>
  <c r="H383" i="1"/>
  <c r="X400" i="1"/>
  <c r="W400" i="1" s="1"/>
  <c r="H254" i="1"/>
  <c r="M254" i="1"/>
  <c r="M318" i="1"/>
  <c r="H318" i="1"/>
  <c r="H384" i="1"/>
  <c r="M384" i="1"/>
  <c r="X388" i="1"/>
  <c r="W388" i="1" s="1"/>
  <c r="M617" i="1"/>
  <c r="H617" i="1"/>
  <c r="X548" i="1"/>
  <c r="W548" i="1" s="1"/>
  <c r="X448" i="1"/>
  <c r="W448" i="1" s="1"/>
  <c r="X521" i="1"/>
  <c r="W521" i="1" s="1"/>
  <c r="M565" i="1"/>
  <c r="H565" i="1"/>
  <c r="X732" i="1"/>
  <c r="W732" i="1" s="1"/>
  <c r="X717" i="1"/>
  <c r="W717" i="1" s="1"/>
  <c r="M732" i="1"/>
  <c r="H732" i="1"/>
  <c r="M804" i="1"/>
  <c r="H804" i="1"/>
  <c r="H697" i="1"/>
  <c r="M697" i="1"/>
  <c r="M769" i="1"/>
  <c r="H769" i="1"/>
  <c r="M125" i="1"/>
  <c r="H125" i="1"/>
  <c r="X93" i="1"/>
  <c r="W93" i="1" s="1"/>
  <c r="M159" i="1"/>
  <c r="H159" i="1"/>
  <c r="M141" i="1"/>
  <c r="H141" i="1"/>
  <c r="H10" i="1"/>
  <c r="M10" i="1"/>
  <c r="M86" i="1"/>
  <c r="H86" i="1"/>
  <c r="M283" i="1"/>
  <c r="H283" i="1"/>
  <c r="X321" i="1"/>
  <c r="W321" i="1" s="1"/>
  <c r="M289" i="1"/>
  <c r="H289" i="1"/>
  <c r="H422" i="1"/>
  <c r="M422" i="1"/>
  <c r="X455" i="1"/>
  <c r="W455" i="1" s="1"/>
  <c r="M546" i="1"/>
  <c r="H546" i="1"/>
  <c r="H482" i="1"/>
  <c r="M482" i="1"/>
  <c r="X484" i="1"/>
  <c r="W484" i="1" s="1"/>
  <c r="X664" i="1"/>
  <c r="W664" i="1" s="1"/>
  <c r="M611" i="1"/>
  <c r="H611" i="1"/>
  <c r="X559" i="1"/>
  <c r="W559" i="1" s="1"/>
  <c r="M437" i="1"/>
  <c r="H437" i="1"/>
  <c r="M652" i="1"/>
  <c r="H652" i="1"/>
  <c r="X656" i="1"/>
  <c r="W656" i="1" s="1"/>
  <c r="X790" i="1"/>
  <c r="W790" i="1" s="1"/>
  <c r="X113" i="1"/>
  <c r="W113" i="1" s="1"/>
  <c r="X184" i="1"/>
  <c r="W184" i="1" s="1"/>
  <c r="X210" i="1"/>
  <c r="W210" i="1" s="1"/>
  <c r="X176" i="1"/>
  <c r="W176" i="1" s="1"/>
  <c r="X267" i="1"/>
  <c r="W267" i="1" s="1"/>
  <c r="X357" i="1"/>
  <c r="W357" i="1" s="1"/>
  <c r="X257" i="1"/>
  <c r="W257" i="1" s="1"/>
  <c r="M325" i="1"/>
  <c r="H325" i="1"/>
  <c r="X426" i="1"/>
  <c r="W426" i="1" s="1"/>
  <c r="M264" i="1"/>
  <c r="H264" i="1"/>
  <c r="H328" i="1"/>
  <c r="M328" i="1"/>
  <c r="H394" i="1"/>
  <c r="M394" i="1"/>
  <c r="X575" i="1"/>
  <c r="W575" i="1" s="1"/>
  <c r="X470" i="1"/>
  <c r="W470" i="1" s="1"/>
  <c r="X625" i="1"/>
  <c r="W625" i="1" s="1"/>
  <c r="X592" i="1"/>
  <c r="W592" i="1" s="1"/>
  <c r="H562" i="1"/>
  <c r="M562" i="1"/>
  <c r="X636" i="1"/>
  <c r="W636" i="1" s="1"/>
  <c r="X805" i="1"/>
  <c r="W805" i="1" s="1"/>
  <c r="M752" i="1"/>
  <c r="H752" i="1"/>
  <c r="X792" i="1"/>
  <c r="W792" i="1" s="1"/>
  <c r="M717" i="1"/>
  <c r="H717" i="1"/>
  <c r="M793" i="1"/>
  <c r="H793" i="1"/>
  <c r="X49" i="1"/>
  <c r="W49" i="1" s="1"/>
  <c r="X208" i="1"/>
  <c r="W208" i="1" s="1"/>
  <c r="X5" i="1"/>
  <c r="W5" i="1" s="1"/>
  <c r="M54" i="1"/>
  <c r="H54" i="1"/>
  <c r="X134" i="1"/>
  <c r="W134" i="1" s="1"/>
  <c r="X110" i="1"/>
  <c r="W110" i="1" s="1"/>
  <c r="X199" i="1"/>
  <c r="W199" i="1" s="1"/>
  <c r="M499" i="1"/>
  <c r="H499" i="1"/>
  <c r="X378" i="1"/>
  <c r="W378" i="1" s="1"/>
  <c r="M512" i="1"/>
  <c r="H512" i="1"/>
  <c r="X600" i="1"/>
  <c r="W600" i="1" s="1"/>
  <c r="X538" i="1"/>
  <c r="W538" i="1" s="1"/>
  <c r="H450" i="1"/>
  <c r="M450" i="1"/>
  <c r="X529" i="1"/>
  <c r="W529" i="1" s="1"/>
  <c r="M417" i="1"/>
  <c r="H417" i="1"/>
  <c r="M662" i="1"/>
  <c r="H662" i="1"/>
  <c r="X727" i="1"/>
  <c r="W727" i="1" s="1"/>
  <c r="M604" i="1"/>
  <c r="H604" i="1"/>
  <c r="X695" i="1"/>
  <c r="W695" i="1" s="1"/>
  <c r="X678" i="1"/>
  <c r="W678" i="1" s="1"/>
  <c r="X251" i="1"/>
  <c r="W251" i="1" s="1"/>
  <c r="X94" i="1"/>
  <c r="W94" i="1" s="1"/>
  <c r="X282" i="1"/>
  <c r="W282" i="1" s="1"/>
  <c r="M231" i="1"/>
  <c r="H231" i="1"/>
  <c r="M311" i="1"/>
  <c r="H311" i="1"/>
  <c r="M377" i="1"/>
  <c r="H377" i="1"/>
  <c r="M503" i="1"/>
  <c r="H503" i="1"/>
  <c r="H250" i="1"/>
  <c r="M250" i="1"/>
  <c r="M314" i="1"/>
  <c r="H314" i="1"/>
  <c r="H380" i="1"/>
  <c r="M380" i="1"/>
  <c r="X380" i="1"/>
  <c r="W380" i="1" s="1"/>
  <c r="X456" i="1"/>
  <c r="W456" i="1" s="1"/>
  <c r="X631" i="1"/>
  <c r="W631" i="1" s="1"/>
  <c r="X595" i="1"/>
  <c r="W595" i="1" s="1"/>
  <c r="X612" i="1"/>
  <c r="W612" i="1" s="1"/>
  <c r="X620" i="1"/>
  <c r="W620" i="1" s="1"/>
  <c r="M746" i="1"/>
  <c r="H746" i="1"/>
  <c r="X780" i="1"/>
  <c r="W780" i="1" s="1"/>
  <c r="M711" i="1"/>
  <c r="H711" i="1"/>
  <c r="M787" i="1"/>
  <c r="H787" i="1"/>
  <c r="H185" i="1"/>
  <c r="M185" i="1"/>
  <c r="M66" i="1"/>
  <c r="H66" i="1"/>
  <c r="X138" i="1"/>
  <c r="W138" i="1" s="1"/>
  <c r="X162" i="1"/>
  <c r="W162" i="1" s="1"/>
  <c r="M275" i="1"/>
  <c r="H275" i="1"/>
  <c r="H146" i="1"/>
  <c r="M146" i="1"/>
  <c r="X309" i="1"/>
  <c r="W309" i="1" s="1"/>
  <c r="M281" i="1"/>
  <c r="H281" i="1"/>
  <c r="X413" i="1"/>
  <c r="W413" i="1" s="1"/>
  <c r="X627" i="1"/>
  <c r="W627" i="1" s="1"/>
  <c r="M550" i="1"/>
  <c r="H550" i="1"/>
  <c r="M619" i="1"/>
  <c r="H619" i="1"/>
  <c r="X568" i="1"/>
  <c r="W568" i="1" s="1"/>
  <c r="M441" i="1"/>
  <c r="H441" i="1"/>
  <c r="X616" i="1"/>
  <c r="W616" i="1" s="1"/>
  <c r="X719" i="1"/>
  <c r="W719" i="1" s="1"/>
  <c r="H624" i="1"/>
  <c r="M624" i="1"/>
  <c r="N37" i="1"/>
  <c r="O37" i="1" s="1"/>
  <c r="X503" i="1"/>
  <c r="W503" i="1" s="1"/>
  <c r="M242" i="1"/>
  <c r="H242" i="1"/>
  <c r="X105" i="1"/>
  <c r="W105" i="1" s="1"/>
  <c r="M143" i="1"/>
  <c r="H143" i="1"/>
  <c r="X147" i="1"/>
  <c r="W147" i="1" s="1"/>
  <c r="X75" i="1"/>
  <c r="W75" i="1" s="1"/>
  <c r="M89" i="1"/>
  <c r="H89" i="1"/>
  <c r="H15" i="1"/>
  <c r="M15" i="1"/>
  <c r="AJ2" i="1"/>
  <c r="AK16" i="1"/>
  <c r="AK66" i="1"/>
  <c r="AK84" i="1"/>
  <c r="AK102" i="1"/>
  <c r="AK118" i="1"/>
  <c r="AJ155" i="1"/>
  <c r="AK32" i="1"/>
  <c r="AJ193" i="1"/>
  <c r="AJ4" i="1"/>
  <c r="AJ29" i="1"/>
  <c r="AJ55" i="1"/>
  <c r="AJ71" i="1"/>
  <c r="AJ87" i="1"/>
  <c r="AJ103" i="1"/>
  <c r="AJ121" i="1"/>
  <c r="AJ167" i="1"/>
  <c r="AJ23" i="1"/>
  <c r="AK31" i="1"/>
  <c r="AK73" i="1"/>
  <c r="AK103" i="1"/>
  <c r="AK121" i="1"/>
  <c r="AK145" i="1"/>
  <c r="AJ21" i="1"/>
  <c r="AK33" i="1"/>
  <c r="AK77" i="1"/>
  <c r="AJ134" i="1"/>
  <c r="AJ203" i="1"/>
  <c r="AJ209" i="1"/>
  <c r="AJ44" i="1"/>
  <c r="AJ62" i="1"/>
  <c r="AJ82" i="1"/>
  <c r="AJ108" i="1"/>
  <c r="AJ185" i="1"/>
  <c r="AJ285" i="1"/>
  <c r="AJ227" i="1"/>
  <c r="AK261" i="1"/>
  <c r="AK285" i="1"/>
  <c r="AK350" i="1"/>
  <c r="AK171" i="1"/>
  <c r="AK203" i="1"/>
  <c r="AK225" i="1"/>
  <c r="AK270" i="1"/>
  <c r="AK386" i="1"/>
  <c r="AJ402" i="1"/>
  <c r="AJ295" i="1"/>
  <c r="AJ160" i="1"/>
  <c r="AJ192" i="1"/>
  <c r="AJ218" i="1"/>
  <c r="AK251" i="1"/>
  <c r="AK279" i="1"/>
  <c r="AK303" i="1"/>
  <c r="AK156" i="1"/>
  <c r="AK182" i="1"/>
  <c r="AK210" i="1"/>
  <c r="AK245" i="1"/>
  <c r="AK292" i="1"/>
  <c r="AJ318" i="1"/>
  <c r="AK352" i="1"/>
  <c r="AK318" i="1"/>
  <c r="AJ346" i="1"/>
  <c r="AJ392" i="1"/>
  <c r="AJ436" i="1"/>
  <c r="AK440" i="1"/>
  <c r="AK375" i="1"/>
  <c r="AK407" i="1"/>
  <c r="AK493" i="1"/>
  <c r="AK543" i="1"/>
  <c r="AK646" i="1"/>
  <c r="AJ447" i="1"/>
  <c r="AK584" i="1"/>
  <c r="AK451" i="1"/>
  <c r="AK597" i="1"/>
  <c r="AJ510" i="1"/>
  <c r="AJ558" i="1"/>
  <c r="AK644" i="1"/>
  <c r="AK526" i="1"/>
  <c r="AK594" i="1"/>
  <c r="AK448" i="1"/>
  <c r="AK571" i="1"/>
  <c r="AJ501" i="1"/>
  <c r="AJ541" i="1"/>
  <c r="AJ616" i="1"/>
  <c r="AJ755" i="1"/>
  <c r="AJ655" i="1"/>
  <c r="AJ730" i="1"/>
  <c r="AK655" i="1"/>
  <c r="AK727" i="1"/>
  <c r="AJ571" i="1"/>
  <c r="AK691" i="1"/>
  <c r="AK696" i="1"/>
  <c r="AJ769" i="1"/>
  <c r="AK708" i="1"/>
  <c r="AJ1635" i="1"/>
  <c r="AJ1804" i="1"/>
  <c r="AK2072" i="1"/>
  <c r="AJ2446" i="1"/>
  <c r="AJ808" i="1"/>
  <c r="AJ1624" i="1"/>
  <c r="AJ1788" i="1"/>
  <c r="AJ2024" i="1"/>
  <c r="AJ2415" i="1"/>
  <c r="AK803" i="1"/>
  <c r="AK1630" i="1"/>
  <c r="AJ1782" i="1"/>
  <c r="AJ2043" i="1"/>
  <c r="AJ2498" i="1"/>
  <c r="AJ1838" i="1"/>
  <c r="AK2233" i="1"/>
  <c r="AJ1590" i="1"/>
  <c r="AK2238" i="1"/>
  <c r="H18" i="1"/>
  <c r="M18" i="1"/>
  <c r="X478" i="1"/>
  <c r="W478" i="1" s="1"/>
  <c r="X800" i="1"/>
  <c r="W800" i="1" s="1"/>
  <c r="X269" i="1"/>
  <c r="W269" i="1" s="1"/>
  <c r="X746" i="1"/>
  <c r="W746" i="1" s="1"/>
  <c r="X742" i="1"/>
  <c r="W742" i="1" s="1"/>
  <c r="X411" i="1"/>
  <c r="W411" i="1" s="1"/>
  <c r="X168" i="1"/>
  <c r="W168" i="1" s="1"/>
  <c r="X23" i="1"/>
  <c r="W23" i="1" s="1"/>
  <c r="M212" i="1"/>
  <c r="H212" i="1"/>
  <c r="M175" i="1"/>
  <c r="H175" i="1"/>
  <c r="X98" i="1"/>
  <c r="W98" i="1" s="1"/>
  <c r="X562" i="1"/>
  <c r="W562" i="1" s="1"/>
  <c r="M255" i="1"/>
  <c r="H255" i="1"/>
  <c r="N578" i="1"/>
  <c r="O578" i="1" s="1"/>
  <c r="X416" i="1"/>
  <c r="W416" i="1" s="1"/>
  <c r="N215" i="1"/>
  <c r="O215" i="1" s="1"/>
  <c r="X338" i="1"/>
  <c r="W338" i="1" s="1"/>
  <c r="N412" i="1"/>
  <c r="O412" i="1" s="1"/>
  <c r="X173" i="1"/>
  <c r="W173" i="1" s="1"/>
  <c r="M115" i="1"/>
  <c r="H115" i="1"/>
  <c r="M491" i="1"/>
  <c r="H491" i="1"/>
  <c r="M68" i="1"/>
  <c r="H68" i="1"/>
  <c r="H191" i="1"/>
  <c r="M191" i="1"/>
  <c r="M69" i="1"/>
  <c r="H69" i="1"/>
  <c r="X797" i="1"/>
  <c r="W797" i="1" s="1"/>
  <c r="X424" i="1"/>
  <c r="W424" i="1" s="1"/>
  <c r="M269" i="1"/>
  <c r="H269" i="1"/>
  <c r="X68" i="1"/>
  <c r="W68" i="1" s="1"/>
  <c r="M247" i="1"/>
  <c r="H247" i="1"/>
  <c r="N50" i="1"/>
  <c r="O50" i="1" s="1"/>
  <c r="X691" i="1"/>
  <c r="W691" i="1" s="1"/>
  <c r="M516" i="1"/>
  <c r="H516" i="1"/>
  <c r="X33" i="1"/>
  <c r="W33" i="1" s="1"/>
  <c r="M75" i="1"/>
  <c r="H75" i="1"/>
  <c r="H9" i="1"/>
  <c r="M9" i="1"/>
  <c r="X48" i="1"/>
  <c r="W48" i="1" s="1"/>
  <c r="X135" i="1"/>
  <c r="W135" i="1" s="1"/>
  <c r="X291" i="1"/>
  <c r="W291" i="1" s="1"/>
  <c r="X256" i="1"/>
  <c r="W256" i="1" s="1"/>
  <c r="X318" i="1"/>
  <c r="W318" i="1" s="1"/>
  <c r="X281" i="1"/>
  <c r="W281" i="1" s="1"/>
  <c r="M339" i="1"/>
  <c r="H339" i="1"/>
  <c r="M414" i="1"/>
  <c r="H414" i="1"/>
  <c r="M513" i="1"/>
  <c r="H513" i="1"/>
  <c r="M268" i="1"/>
  <c r="H268" i="1"/>
  <c r="H332" i="1"/>
  <c r="M332" i="1"/>
  <c r="H398" i="1"/>
  <c r="M398" i="1"/>
  <c r="H424" i="1"/>
  <c r="M424" i="1"/>
  <c r="X576" i="1"/>
  <c r="W576" i="1" s="1"/>
  <c r="X462" i="1"/>
  <c r="W462" i="1" s="1"/>
  <c r="X580" i="1"/>
  <c r="W580" i="1" s="1"/>
  <c r="X537" i="1"/>
  <c r="W537" i="1" s="1"/>
  <c r="X738" i="1"/>
  <c r="W738" i="1" s="1"/>
  <c r="X779" i="1"/>
  <c r="W779" i="1" s="1"/>
  <c r="M730" i="1"/>
  <c r="H730" i="1"/>
  <c r="X784" i="1"/>
  <c r="W784" i="1" s="1"/>
  <c r="M713" i="1"/>
  <c r="H713" i="1"/>
  <c r="M797" i="1"/>
  <c r="H797" i="1"/>
  <c r="X104" i="1"/>
  <c r="W104" i="1" s="1"/>
  <c r="X187" i="1"/>
  <c r="W187" i="1" s="1"/>
  <c r="X290" i="1"/>
  <c r="W290" i="1" s="1"/>
  <c r="X253" i="1"/>
  <c r="W253" i="1" s="1"/>
  <c r="M323" i="1"/>
  <c r="H323" i="1"/>
  <c r="M391" i="1"/>
  <c r="H391" i="1"/>
  <c r="H262" i="1"/>
  <c r="M262" i="1"/>
  <c r="M326" i="1"/>
  <c r="H326" i="1"/>
  <c r="H392" i="1"/>
  <c r="M392" i="1"/>
  <c r="H408" i="1"/>
  <c r="M408" i="1"/>
  <c r="X572" i="1"/>
  <c r="W572" i="1" s="1"/>
  <c r="M676" i="1"/>
  <c r="H676" i="1"/>
  <c r="X563" i="1"/>
  <c r="W563" i="1" s="1"/>
  <c r="X466" i="1"/>
  <c r="W466" i="1" s="1"/>
  <c r="X583" i="1"/>
  <c r="W583" i="1" s="1"/>
  <c r="X541" i="1"/>
  <c r="W541" i="1" s="1"/>
  <c r="X584" i="1"/>
  <c r="W584" i="1" s="1"/>
  <c r="X745" i="1"/>
  <c r="W745" i="1" s="1"/>
  <c r="X749" i="1"/>
  <c r="W749" i="1" s="1"/>
  <c r="X783" i="1"/>
  <c r="W783" i="1" s="1"/>
  <c r="M740" i="1"/>
  <c r="H740" i="1"/>
  <c r="X768" i="1"/>
  <c r="W768" i="1" s="1"/>
  <c r="M707" i="1"/>
  <c r="H707" i="1"/>
  <c r="M783" i="1"/>
  <c r="H783" i="1"/>
  <c r="X109" i="1"/>
  <c r="W109" i="1" s="1"/>
  <c r="X178" i="1"/>
  <c r="W178" i="1" s="1"/>
  <c r="M154" i="1"/>
  <c r="H154" i="1"/>
  <c r="M20" i="1"/>
  <c r="H20" i="1"/>
  <c r="M94" i="1"/>
  <c r="H94" i="1"/>
  <c r="X32" i="1"/>
  <c r="W32" i="1" s="1"/>
  <c r="M299" i="1"/>
  <c r="H299" i="1"/>
  <c r="X339" i="1"/>
  <c r="W339" i="1" s="1"/>
  <c r="M305" i="1"/>
  <c r="H305" i="1"/>
  <c r="X361" i="1"/>
  <c r="W361" i="1" s="1"/>
  <c r="X481" i="1"/>
  <c r="W481" i="1" s="1"/>
  <c r="X635" i="1"/>
  <c r="W635" i="1" s="1"/>
  <c r="M554" i="1"/>
  <c r="H554" i="1"/>
  <c r="X570" i="1"/>
  <c r="W570" i="1" s="1"/>
  <c r="M445" i="1"/>
  <c r="H445" i="1"/>
  <c r="H675" i="1"/>
  <c r="M675" i="1"/>
  <c r="M170" i="1"/>
  <c r="H170" i="1"/>
  <c r="X129" i="1"/>
  <c r="W129" i="1" s="1"/>
  <c r="M243" i="1"/>
  <c r="H243" i="1"/>
  <c r="X177" i="1"/>
  <c r="W177" i="1" s="1"/>
  <c r="X36" i="1"/>
  <c r="W36" i="1" s="1"/>
  <c r="X283" i="1"/>
  <c r="W283" i="1" s="1"/>
  <c r="X248" i="1"/>
  <c r="W248" i="1" s="1"/>
  <c r="X144" i="1"/>
  <c r="W144" i="1" s="1"/>
  <c r="X314" i="1"/>
  <c r="W314" i="1" s="1"/>
  <c r="X273" i="1"/>
  <c r="W273" i="1" s="1"/>
  <c r="M335" i="1"/>
  <c r="H335" i="1"/>
  <c r="M272" i="1"/>
  <c r="H272" i="1"/>
  <c r="H338" i="1"/>
  <c r="M338" i="1"/>
  <c r="X405" i="1"/>
  <c r="W405" i="1" s="1"/>
  <c r="M593" i="1"/>
  <c r="H593" i="1"/>
  <c r="X585" i="1"/>
  <c r="W585" i="1" s="1"/>
  <c r="X676" i="1"/>
  <c r="W676" i="1" s="1"/>
  <c r="X611" i="1"/>
  <c r="W611" i="1" s="1"/>
  <c r="X658" i="1"/>
  <c r="W658" i="1" s="1"/>
  <c r="M762" i="1"/>
  <c r="H762" i="1"/>
  <c r="X809" i="1"/>
  <c r="W809" i="1" s="1"/>
  <c r="M727" i="1"/>
  <c r="H727" i="1"/>
  <c r="M803" i="1"/>
  <c r="H803" i="1"/>
  <c r="X65" i="1"/>
  <c r="W65" i="1" s="1"/>
  <c r="X9" i="1"/>
  <c r="W9" i="1" s="1"/>
  <c r="M72" i="1"/>
  <c r="H72" i="1"/>
  <c r="X126" i="1"/>
  <c r="W126" i="1" s="1"/>
  <c r="X231" i="1"/>
  <c r="W231" i="1" s="1"/>
  <c r="M134" i="1"/>
  <c r="H134" i="1"/>
  <c r="M246" i="1"/>
  <c r="H246" i="1"/>
  <c r="X394" i="1"/>
  <c r="W394" i="1" s="1"/>
  <c r="M520" i="1"/>
  <c r="H520" i="1"/>
  <c r="X554" i="1"/>
  <c r="W554" i="1" s="1"/>
  <c r="H458" i="1"/>
  <c r="M458" i="1"/>
  <c r="X438" i="1"/>
  <c r="W438" i="1" s="1"/>
  <c r="M580" i="1"/>
  <c r="H580" i="1"/>
  <c r="X547" i="1"/>
  <c r="W547" i="1" s="1"/>
  <c r="M425" i="1"/>
  <c r="H425" i="1"/>
  <c r="M670" i="1"/>
  <c r="H670" i="1"/>
  <c r="X735" i="1"/>
  <c r="W735" i="1" s="1"/>
  <c r="M612" i="1"/>
  <c r="H612" i="1"/>
  <c r="X703" i="1"/>
  <c r="W703" i="1" s="1"/>
  <c r="X760" i="1"/>
  <c r="W760" i="1" s="1"/>
  <c r="M809" i="1"/>
  <c r="H809" i="1"/>
  <c r="X15" i="1"/>
  <c r="W15" i="1" s="1"/>
  <c r="X112" i="1"/>
  <c r="W112" i="1" s="1"/>
  <c r="X201" i="1"/>
  <c r="W201" i="1" s="1"/>
  <c r="X298" i="1"/>
  <c r="W298" i="1" s="1"/>
  <c r="M319" i="1"/>
  <c r="H319" i="1"/>
  <c r="M387" i="1"/>
  <c r="H387" i="1"/>
  <c r="X417" i="1"/>
  <c r="W417" i="1" s="1"/>
  <c r="H258" i="1"/>
  <c r="M258" i="1"/>
  <c r="M322" i="1"/>
  <c r="H322" i="1"/>
  <c r="H388" i="1"/>
  <c r="M388" i="1"/>
  <c r="X396" i="1"/>
  <c r="W396" i="1" s="1"/>
  <c r="M581" i="1"/>
  <c r="H581" i="1"/>
  <c r="X588" i="1"/>
  <c r="W588" i="1" s="1"/>
  <c r="X474" i="1"/>
  <c r="W474" i="1" s="1"/>
  <c r="M515" i="1"/>
  <c r="H515" i="1"/>
  <c r="X647" i="1"/>
  <c r="W647" i="1" s="1"/>
  <c r="X640" i="1"/>
  <c r="W640" i="1" s="1"/>
  <c r="M754" i="1"/>
  <c r="H754" i="1"/>
  <c r="X796" i="1"/>
  <c r="W796" i="1" s="1"/>
  <c r="M719" i="1"/>
  <c r="H719" i="1"/>
  <c r="M795" i="1"/>
  <c r="H795" i="1"/>
  <c r="M74" i="1"/>
  <c r="H74" i="1"/>
  <c r="X196" i="1"/>
  <c r="W196" i="1" s="1"/>
  <c r="X200" i="1"/>
  <c r="W200" i="1" s="1"/>
  <c r="M291" i="1"/>
  <c r="H291" i="1"/>
  <c r="X317" i="1"/>
  <c r="W317" i="1" s="1"/>
  <c r="M297" i="1"/>
  <c r="H297" i="1"/>
  <c r="X461" i="1"/>
  <c r="W461" i="1" s="1"/>
  <c r="X645" i="1"/>
  <c r="W645" i="1" s="1"/>
  <c r="M558" i="1"/>
  <c r="H558" i="1"/>
  <c r="M579" i="1"/>
  <c r="H579" i="1"/>
  <c r="M449" i="1"/>
  <c r="H449" i="1"/>
  <c r="H634" i="1"/>
  <c r="M634" i="1"/>
  <c r="X624" i="1"/>
  <c r="W624" i="1" s="1"/>
  <c r="X793" i="1"/>
  <c r="W793" i="1" s="1"/>
  <c r="X762" i="1"/>
  <c r="W762" i="1" s="1"/>
  <c r="X630" i="1"/>
  <c r="W630" i="1" s="1"/>
  <c r="M603" i="1"/>
  <c r="H603" i="1"/>
  <c r="X407" i="1"/>
  <c r="W407" i="1" s="1"/>
  <c r="X311" i="1"/>
  <c r="W311" i="1" s="1"/>
  <c r="X83" i="1"/>
  <c r="W83" i="1" s="1"/>
  <c r="N657" i="1"/>
  <c r="O657" i="1" s="1"/>
  <c r="M666" i="1"/>
  <c r="H666" i="1"/>
  <c r="X639" i="1"/>
  <c r="W639" i="1" s="1"/>
  <c r="X53" i="1"/>
  <c r="W53" i="1" s="1"/>
  <c r="M81" i="1"/>
  <c r="H81" i="1"/>
  <c r="M7" i="1"/>
  <c r="H7" i="1"/>
  <c r="N460" i="1"/>
  <c r="O460" i="1" s="1"/>
  <c r="AJ10" i="1"/>
  <c r="AK18" i="1"/>
  <c r="AK68" i="1"/>
  <c r="AK86" i="1"/>
  <c r="AK104" i="1"/>
  <c r="AK120" i="1"/>
  <c r="AJ169" i="1"/>
  <c r="AK36" i="1"/>
  <c r="AK70" i="1"/>
  <c r="AJ211" i="1"/>
  <c r="AJ8" i="1"/>
  <c r="AJ31" i="1"/>
  <c r="AJ57" i="1"/>
  <c r="AJ73" i="1"/>
  <c r="AJ89" i="1"/>
  <c r="AJ105" i="1"/>
  <c r="AJ123" i="1"/>
  <c r="AJ207" i="1"/>
  <c r="AK7" i="1"/>
  <c r="AK35" i="1"/>
  <c r="AK75" i="1"/>
  <c r="AK105" i="1"/>
  <c r="AK123" i="1"/>
  <c r="AJ148" i="1"/>
  <c r="AK3" i="1"/>
  <c r="AK47" i="1"/>
  <c r="AK83" i="1"/>
  <c r="AK137" i="1"/>
  <c r="AK134" i="1"/>
  <c r="AJ20" i="1"/>
  <c r="AJ46" i="1"/>
  <c r="AJ86" i="1"/>
  <c r="AJ112" i="1"/>
  <c r="AJ199" i="1"/>
  <c r="AJ293" i="1"/>
  <c r="AJ229" i="1"/>
  <c r="AK265" i="1"/>
  <c r="AK289" i="1"/>
  <c r="AJ410" i="1"/>
  <c r="AK175" i="1"/>
  <c r="AK205" i="1"/>
  <c r="AK229" i="1"/>
  <c r="AK274" i="1"/>
  <c r="AK394" i="1"/>
  <c r="AJ247" i="1"/>
  <c r="AJ299" i="1"/>
  <c r="AJ194" i="1"/>
  <c r="AJ224" i="1"/>
  <c r="AK255" i="1"/>
  <c r="AJ280" i="1"/>
  <c r="AK307" i="1"/>
  <c r="AK158" i="1"/>
  <c r="AK188" i="1"/>
  <c r="AK212" i="1"/>
  <c r="AK252" i="1"/>
  <c r="AK300" i="1"/>
  <c r="AJ319" i="1"/>
  <c r="AK396" i="1"/>
  <c r="AK323" i="1"/>
  <c r="AJ350" i="1"/>
  <c r="AJ394" i="1"/>
  <c r="AJ440" i="1"/>
  <c r="AJ454" i="1"/>
  <c r="AJ363" i="1"/>
  <c r="AK341" i="1"/>
  <c r="AK379" i="1"/>
  <c r="AK418" i="1"/>
  <c r="AK505" i="1"/>
  <c r="AK547" i="1"/>
  <c r="AJ405" i="1"/>
  <c r="AJ459" i="1"/>
  <c r="AJ590" i="1"/>
  <c r="AK463" i="1"/>
  <c r="AJ600" i="1"/>
  <c r="AJ520" i="1"/>
  <c r="AK566" i="1"/>
  <c r="AK656" i="1"/>
  <c r="AK538" i="1"/>
  <c r="AK602" i="1"/>
  <c r="AK450" i="1"/>
  <c r="AK598" i="1"/>
  <c r="AJ505" i="1"/>
  <c r="AJ551" i="1"/>
  <c r="AJ633" i="1"/>
  <c r="AJ685" i="1"/>
  <c r="AJ659" i="1"/>
  <c r="AJ735" i="1"/>
  <c r="AK657" i="1"/>
  <c r="AK732" i="1"/>
  <c r="AJ573" i="1"/>
  <c r="AJ697" i="1"/>
  <c r="AK698" i="1"/>
  <c r="AJ638" i="1"/>
  <c r="AJ1552" i="1"/>
  <c r="AK1669" i="1"/>
  <c r="AK1833" i="1"/>
  <c r="AJ2090" i="1"/>
  <c r="AJ2757" i="1"/>
  <c r="AK1529" i="1"/>
  <c r="AK1656" i="1"/>
  <c r="AK1804" i="1"/>
  <c r="AK2042" i="1"/>
  <c r="AJ2493" i="1"/>
  <c r="AK808" i="1"/>
  <c r="AK1636" i="1"/>
  <c r="AJ1836" i="1"/>
  <c r="AK2077" i="1"/>
  <c r="AK2523" i="1"/>
  <c r="AJ1603" i="1"/>
  <c r="AJ1874" i="1"/>
  <c r="AK2278" i="1"/>
  <c r="AJ1604" i="1"/>
  <c r="AK1993" i="1"/>
  <c r="AJ760" i="1"/>
  <c r="AK1688" i="1"/>
  <c r="AJ2396" i="1"/>
  <c r="M216" i="1"/>
  <c r="H216" i="1"/>
  <c r="M118" i="1"/>
  <c r="H118" i="1"/>
  <c r="X181" i="1"/>
  <c r="W181" i="1" s="1"/>
  <c r="X465" i="1"/>
  <c r="W465" i="1" s="1"/>
  <c r="M600" i="1"/>
  <c r="H600" i="1"/>
  <c r="M723" i="1"/>
  <c r="H723" i="1"/>
  <c r="M399" i="1"/>
  <c r="H399" i="1"/>
  <c r="X425" i="1"/>
  <c r="W425" i="1" s="1"/>
  <c r="X603" i="1"/>
  <c r="W603" i="1" s="1"/>
  <c r="X604" i="1"/>
  <c r="W604" i="1" s="1"/>
  <c r="X632" i="1"/>
  <c r="W632" i="1" s="1"/>
  <c r="X799" i="1"/>
  <c r="W799" i="1" s="1"/>
  <c r="M750" i="1"/>
  <c r="H750" i="1"/>
  <c r="X788" i="1"/>
  <c r="W788" i="1" s="1"/>
  <c r="M715" i="1"/>
  <c r="H715" i="1"/>
  <c r="M791" i="1"/>
  <c r="H791" i="1"/>
  <c r="M169" i="1"/>
  <c r="H169" i="1"/>
  <c r="X127" i="1"/>
  <c r="W127" i="1" s="1"/>
  <c r="X172" i="1"/>
  <c r="W172" i="1" s="1"/>
  <c r="M30" i="1"/>
  <c r="H30" i="1"/>
  <c r="M104" i="1"/>
  <c r="H104" i="1"/>
  <c r="X54" i="1"/>
  <c r="W54" i="1" s="1"/>
  <c r="M152" i="1"/>
  <c r="H152" i="1"/>
  <c r="X355" i="1"/>
  <c r="W355" i="1" s="1"/>
  <c r="X353" i="1"/>
  <c r="W353" i="1" s="1"/>
  <c r="M402" i="1"/>
  <c r="H402" i="1"/>
  <c r="X377" i="1"/>
  <c r="W377" i="1" s="1"/>
  <c r="X342" i="1"/>
  <c r="W342" i="1" s="1"/>
  <c r="M488" i="1"/>
  <c r="H488" i="1"/>
  <c r="X492" i="1"/>
  <c r="W492" i="1" s="1"/>
  <c r="X673" i="1"/>
  <c r="W673" i="1" s="1"/>
  <c r="M586" i="1"/>
  <c r="H586" i="1"/>
  <c r="X755" i="1"/>
  <c r="W755" i="1" s="1"/>
  <c r="X707" i="1"/>
  <c r="W707" i="1" s="1"/>
  <c r="X808" i="1"/>
  <c r="W808" i="1" s="1"/>
  <c r="M208" i="1"/>
  <c r="H208" i="1"/>
  <c r="X434" i="1"/>
  <c r="W434" i="1" s="1"/>
  <c r="X299" i="1"/>
  <c r="W299" i="1" s="1"/>
  <c r="X264" i="1"/>
  <c r="W264" i="1" s="1"/>
  <c r="X322" i="1"/>
  <c r="W322" i="1" s="1"/>
  <c r="X289" i="1"/>
  <c r="W289" i="1" s="1"/>
  <c r="M343" i="1"/>
  <c r="H343" i="1"/>
  <c r="X363" i="1"/>
  <c r="W363" i="1" s="1"/>
  <c r="M280" i="1"/>
  <c r="H280" i="1"/>
  <c r="H346" i="1"/>
  <c r="M346" i="1"/>
  <c r="X422" i="1"/>
  <c r="W422" i="1" s="1"/>
  <c r="M573" i="1"/>
  <c r="H573" i="1"/>
  <c r="M521" i="1"/>
  <c r="H521" i="1"/>
  <c r="X765" i="1"/>
  <c r="W765" i="1" s="1"/>
  <c r="M663" i="1"/>
  <c r="H663" i="1"/>
  <c r="M770" i="1"/>
  <c r="H770" i="1"/>
  <c r="M735" i="1"/>
  <c r="H735" i="1"/>
  <c r="X810" i="1"/>
  <c r="W810" i="1" s="1"/>
  <c r="X81" i="1"/>
  <c r="W81" i="1" s="1"/>
  <c r="M137" i="1"/>
  <c r="H137" i="1"/>
  <c r="M80" i="1"/>
  <c r="H80" i="1"/>
  <c r="M158" i="1"/>
  <c r="H158" i="1"/>
  <c r="M271" i="1"/>
  <c r="H271" i="1"/>
  <c r="H144" i="1"/>
  <c r="M144" i="1"/>
  <c r="M261" i="1"/>
  <c r="H261" i="1"/>
  <c r="X403" i="1"/>
  <c r="W403" i="1" s="1"/>
  <c r="X427" i="1"/>
  <c r="W427" i="1" s="1"/>
  <c r="M530" i="1"/>
  <c r="H530" i="1"/>
  <c r="M570" i="1"/>
  <c r="H570" i="1"/>
  <c r="H468" i="1"/>
  <c r="M468" i="1"/>
  <c r="X454" i="1"/>
  <c r="W454" i="1" s="1"/>
  <c r="M601" i="1"/>
  <c r="H601" i="1"/>
  <c r="M439" i="1"/>
  <c r="H439" i="1"/>
  <c r="H620" i="1"/>
  <c r="M620" i="1"/>
  <c r="X789" i="1"/>
  <c r="W789" i="1" s="1"/>
  <c r="X776" i="1"/>
  <c r="W776" i="1" s="1"/>
  <c r="M163" i="1"/>
  <c r="H163" i="1"/>
  <c r="X128" i="1"/>
  <c r="W128" i="1" s="1"/>
  <c r="X217" i="1"/>
  <c r="W217" i="1" s="1"/>
  <c r="X329" i="1"/>
  <c r="W329" i="1" s="1"/>
  <c r="X261" i="1"/>
  <c r="W261" i="1" s="1"/>
  <c r="H329" i="1"/>
  <c r="M329" i="1"/>
  <c r="M395" i="1"/>
  <c r="H395" i="1"/>
  <c r="M489" i="1"/>
  <c r="H489" i="1"/>
  <c r="M266" i="1"/>
  <c r="H266" i="1"/>
  <c r="H330" i="1"/>
  <c r="M330" i="1"/>
  <c r="H396" i="1"/>
  <c r="M396" i="1"/>
  <c r="M523" i="1"/>
  <c r="H523" i="1"/>
  <c r="X687" i="1"/>
  <c r="W687" i="1" s="1"/>
  <c r="X663" i="1"/>
  <c r="W663" i="1" s="1"/>
  <c r="M690" i="1"/>
  <c r="H690" i="1"/>
  <c r="M764" i="1"/>
  <c r="H764" i="1"/>
  <c r="M729" i="1"/>
  <c r="H729" i="1"/>
  <c r="M805" i="1"/>
  <c r="H805" i="1"/>
  <c r="X13" i="1"/>
  <c r="W13" i="1" s="1"/>
  <c r="M4" i="1"/>
  <c r="H4" i="1"/>
  <c r="M82" i="1"/>
  <c r="H82" i="1"/>
  <c r="X14" i="1"/>
  <c r="W14" i="1" s="1"/>
  <c r="M135" i="1"/>
  <c r="H135" i="1"/>
  <c r="M307" i="1"/>
  <c r="H307" i="1"/>
  <c r="X325" i="1"/>
  <c r="W325" i="1" s="1"/>
  <c r="X345" i="1"/>
  <c r="W345" i="1" s="1"/>
  <c r="X369" i="1"/>
  <c r="W369" i="1" s="1"/>
  <c r="X332" i="1"/>
  <c r="W332" i="1" s="1"/>
  <c r="M492" i="1"/>
  <c r="H492" i="1"/>
  <c r="X502" i="1"/>
  <c r="W502" i="1" s="1"/>
  <c r="H436" i="1"/>
  <c r="M436" i="1"/>
  <c r="M459" i="1"/>
  <c r="H459" i="1"/>
  <c r="M672" i="1"/>
  <c r="H672" i="1"/>
  <c r="M644" i="1"/>
  <c r="H644" i="1"/>
  <c r="X644" i="1"/>
  <c r="W644" i="1" s="1"/>
  <c r="H808" i="1"/>
  <c r="M808" i="1"/>
  <c r="X782" i="1"/>
  <c r="W782" i="1" s="1"/>
  <c r="M646" i="1"/>
  <c r="H646" i="1"/>
  <c r="X55" i="1"/>
  <c r="W55" i="1" s="1"/>
  <c r="N148" i="1"/>
  <c r="O148" i="1" s="1"/>
  <c r="M621" i="1"/>
  <c r="H621" i="1"/>
  <c r="X488" i="1"/>
  <c r="W488" i="1" s="1"/>
  <c r="X29" i="1"/>
  <c r="W29" i="1" s="1"/>
  <c r="X214" i="1"/>
  <c r="W214" i="1" s="1"/>
  <c r="M73" i="1"/>
  <c r="H73" i="1"/>
  <c r="AJ14" i="1"/>
  <c r="AK20" i="1"/>
  <c r="AK72" i="1"/>
  <c r="AK88" i="1"/>
  <c r="AK106" i="1"/>
  <c r="AK122" i="1"/>
  <c r="AJ205" i="1"/>
  <c r="AK46" i="1"/>
  <c r="AK135" i="1"/>
  <c r="AK136" i="1"/>
  <c r="AJ3" i="1"/>
  <c r="AJ33" i="1"/>
  <c r="AJ59" i="1"/>
  <c r="AJ75" i="1"/>
  <c r="AJ91" i="1"/>
  <c r="AJ107" i="1"/>
  <c r="AJ125" i="1"/>
  <c r="AJ213" i="1"/>
  <c r="AK9" i="1"/>
  <c r="AK49" i="1"/>
  <c r="AK79" i="1"/>
  <c r="AK107" i="1"/>
  <c r="AK125" i="1"/>
  <c r="AJ163" i="1"/>
  <c r="AK5" i="1"/>
  <c r="AK85" i="1"/>
  <c r="AJ138" i="1"/>
  <c r="AK138" i="1"/>
  <c r="AJ22" i="1"/>
  <c r="AJ48" i="1"/>
  <c r="AJ66" i="1"/>
  <c r="AJ88" i="1"/>
  <c r="AJ116" i="1"/>
  <c r="AK239" i="1"/>
  <c r="AJ301" i="1"/>
  <c r="AJ240" i="1"/>
  <c r="AJ266" i="1"/>
  <c r="AK293" i="1"/>
  <c r="AK149" i="1"/>
  <c r="AK179" i="1"/>
  <c r="AK209" i="1"/>
  <c r="AK240" i="1"/>
  <c r="AK282" i="1"/>
  <c r="AK398" i="1"/>
  <c r="AJ255" i="1"/>
  <c r="AJ303" i="1"/>
  <c r="AJ170" i="1"/>
  <c r="AJ198" i="1"/>
  <c r="AJ226" i="1"/>
  <c r="AK259" i="1"/>
  <c r="AK283" i="1"/>
  <c r="AJ328" i="1"/>
  <c r="AK162" i="1"/>
  <c r="AK192" i="1"/>
  <c r="AK216" i="1"/>
  <c r="AK256" i="1"/>
  <c r="AK308" i="1"/>
  <c r="AJ320" i="1"/>
  <c r="AK408" i="1"/>
  <c r="AK324" i="1"/>
  <c r="AJ360" i="1"/>
  <c r="AJ398" i="1"/>
  <c r="AJ466" i="1"/>
  <c r="AJ470" i="1"/>
  <c r="AJ373" i="1"/>
  <c r="AK343" i="1"/>
  <c r="AK391" i="1"/>
  <c r="AK423" i="1"/>
  <c r="AK507" i="1"/>
  <c r="AK557" i="1"/>
  <c r="AJ409" i="1"/>
  <c r="AJ461" i="1"/>
  <c r="AK621" i="1"/>
  <c r="AK465" i="1"/>
  <c r="AJ609" i="1"/>
  <c r="AJ522" i="1"/>
  <c r="AJ588" i="1"/>
  <c r="AK486" i="1"/>
  <c r="AK540" i="1"/>
  <c r="AK623" i="1"/>
  <c r="AK454" i="1"/>
  <c r="AJ603" i="1"/>
  <c r="AJ553" i="1"/>
  <c r="AJ719" i="1"/>
  <c r="AK670" i="1"/>
  <c r="AJ736" i="1"/>
  <c r="AK662" i="1"/>
  <c r="AK733" i="1"/>
  <c r="AJ579" i="1"/>
  <c r="AJ698" i="1"/>
  <c r="AK703" i="1"/>
  <c r="AJ644" i="1"/>
  <c r="AK713" i="1"/>
  <c r="AJ1561" i="1"/>
  <c r="AJ1680" i="1"/>
  <c r="AK1896" i="1"/>
  <c r="AK2144" i="1"/>
  <c r="AJ2853" i="1"/>
  <c r="AK1561" i="1"/>
  <c r="AJ1663" i="1"/>
  <c r="AK1853" i="1"/>
  <c r="AK2074" i="1"/>
  <c r="AK2546" i="1"/>
  <c r="AJ1553" i="1"/>
  <c r="AK1650" i="1"/>
  <c r="AJ1854" i="1"/>
  <c r="AK2162" i="1"/>
  <c r="AK2566" i="1"/>
  <c r="AK1637" i="1"/>
  <c r="AK1940" i="1"/>
  <c r="AJ2391" i="1"/>
  <c r="AK1645" i="1"/>
  <c r="AJ2066" i="1"/>
  <c r="AJ780" i="1"/>
  <c r="AJ1751" i="1"/>
  <c r="AJ2547" i="1"/>
  <c r="M453" i="1"/>
  <c r="H453" i="1"/>
  <c r="M686" i="1"/>
  <c r="H686" i="1"/>
  <c r="X202" i="1"/>
  <c r="W202" i="1" s="1"/>
  <c r="X56" i="1"/>
  <c r="W56" i="1" s="1"/>
  <c r="N622" i="1"/>
  <c r="O622" i="1" s="1"/>
  <c r="X655" i="1"/>
  <c r="W655" i="1" s="1"/>
  <c r="X130" i="1"/>
  <c r="W130" i="1" s="1"/>
  <c r="X91" i="1"/>
  <c r="W91" i="1" s="1"/>
  <c r="N400" i="1"/>
  <c r="O400" i="1" s="1"/>
  <c r="M681" i="1"/>
  <c r="H681" i="1"/>
  <c r="X35" i="1"/>
  <c r="W35" i="1" s="1"/>
  <c r="M230" i="1"/>
  <c r="H230" i="1"/>
  <c r="M53" i="1"/>
  <c r="H53" i="1"/>
  <c r="H203" i="1"/>
  <c r="M203" i="1"/>
  <c r="X22" i="1"/>
  <c r="W22" i="1" s="1"/>
  <c r="N129" i="1"/>
  <c r="O129" i="1" s="1"/>
  <c r="X614" i="1"/>
  <c r="W614" i="1" s="1"/>
  <c r="H8" i="1"/>
  <c r="M8" i="1"/>
  <c r="X137" i="1"/>
  <c r="W137" i="1" s="1"/>
  <c r="M155" i="1"/>
  <c r="H155" i="1"/>
  <c r="H405" i="1"/>
  <c r="M405" i="1"/>
  <c r="X319" i="1"/>
  <c r="W319" i="1" s="1"/>
  <c r="X136" i="1"/>
  <c r="W136" i="1" s="1"/>
  <c r="M59" i="1"/>
  <c r="H59" i="1"/>
  <c r="X82" i="1"/>
  <c r="W82" i="1" s="1"/>
  <c r="M196" i="1"/>
  <c r="H196" i="1"/>
  <c r="X270" i="1"/>
  <c r="W270" i="1" s="1"/>
  <c r="X232" i="1"/>
  <c r="W232" i="1" s="1"/>
  <c r="X288" i="1"/>
  <c r="W288" i="1" s="1"/>
  <c r="M355" i="1"/>
  <c r="H355" i="1"/>
  <c r="X371" i="1"/>
  <c r="W371" i="1" s="1"/>
  <c r="M284" i="1"/>
  <c r="H284" i="1"/>
  <c r="H350" i="1"/>
  <c r="M350" i="1"/>
  <c r="X463" i="1"/>
  <c r="W463" i="1" s="1"/>
  <c r="X475" i="1"/>
  <c r="W475" i="1" s="1"/>
  <c r="M564" i="1"/>
  <c r="H564" i="1"/>
  <c r="M517" i="1"/>
  <c r="H517" i="1"/>
  <c r="X619" i="1"/>
  <c r="W619" i="1" s="1"/>
  <c r="M571" i="1"/>
  <c r="H571" i="1"/>
  <c r="X720" i="1"/>
  <c r="W720" i="1" s="1"/>
  <c r="X628" i="1"/>
  <c r="W628" i="1" s="1"/>
  <c r="M758" i="1"/>
  <c r="H758" i="1"/>
  <c r="M731" i="1"/>
  <c r="H731" i="1"/>
  <c r="M177" i="1"/>
  <c r="H177" i="1"/>
  <c r="X151" i="1"/>
  <c r="W151" i="1" s="1"/>
  <c r="X225" i="1"/>
  <c r="W225" i="1" s="1"/>
  <c r="M501" i="1"/>
  <c r="H501" i="1"/>
  <c r="X320" i="1"/>
  <c r="W320" i="1" s="1"/>
  <c r="X285" i="1"/>
  <c r="W285" i="1" s="1"/>
  <c r="M341" i="1"/>
  <c r="H341" i="1"/>
  <c r="M278" i="1"/>
  <c r="H278" i="1"/>
  <c r="H344" i="1"/>
  <c r="M344" i="1"/>
  <c r="X421" i="1"/>
  <c r="W421" i="1" s="1"/>
  <c r="X451" i="1"/>
  <c r="W451" i="1" s="1"/>
  <c r="X597" i="1"/>
  <c r="W597" i="1" s="1"/>
  <c r="M519" i="1"/>
  <c r="H519" i="1"/>
  <c r="X621" i="1"/>
  <c r="W621" i="1" s="1"/>
  <c r="X654" i="1"/>
  <c r="W654" i="1" s="1"/>
  <c r="M760" i="1"/>
  <c r="H760" i="1"/>
  <c r="X804" i="1"/>
  <c r="W804" i="1" s="1"/>
  <c r="M725" i="1"/>
  <c r="H725" i="1"/>
  <c r="M799" i="1"/>
  <c r="H799" i="1"/>
  <c r="X204" i="1"/>
  <c r="W204" i="1" s="1"/>
  <c r="M44" i="1"/>
  <c r="H44" i="1"/>
  <c r="M112" i="1"/>
  <c r="H112" i="1"/>
  <c r="X72" i="1"/>
  <c r="W72" i="1" s="1"/>
  <c r="X245" i="1"/>
  <c r="W245" i="1" s="1"/>
  <c r="X395" i="1"/>
  <c r="W395" i="1" s="1"/>
  <c r="X358" i="1"/>
  <c r="W358" i="1" s="1"/>
  <c r="M496" i="1"/>
  <c r="H496" i="1"/>
  <c r="X514" i="1"/>
  <c r="W514" i="1" s="1"/>
  <c r="H440" i="1"/>
  <c r="M440" i="1"/>
  <c r="X633" i="1"/>
  <c r="W633" i="1" s="1"/>
  <c r="M463" i="1"/>
  <c r="H463" i="1"/>
  <c r="M651" i="1"/>
  <c r="H651" i="1"/>
  <c r="X725" i="1"/>
  <c r="W725" i="1" s="1"/>
  <c r="X715" i="1"/>
  <c r="W715" i="1" s="1"/>
  <c r="X220" i="1"/>
  <c r="W220" i="1" s="1"/>
  <c r="M181" i="1"/>
  <c r="H181" i="1"/>
  <c r="M226" i="1"/>
  <c r="H226" i="1"/>
  <c r="X74" i="1"/>
  <c r="W74" i="1" s="1"/>
  <c r="H183" i="1"/>
  <c r="M183" i="1"/>
  <c r="X262" i="1"/>
  <c r="W262" i="1" s="1"/>
  <c r="X224" i="1"/>
  <c r="W224" i="1" s="1"/>
  <c r="X280" i="1"/>
  <c r="W280" i="1" s="1"/>
  <c r="X305" i="1"/>
  <c r="W305" i="1" s="1"/>
  <c r="M351" i="1"/>
  <c r="H351" i="1"/>
  <c r="X379" i="1"/>
  <c r="W379" i="1" s="1"/>
  <c r="M288" i="1"/>
  <c r="H288" i="1"/>
  <c r="H354" i="1"/>
  <c r="M354" i="1"/>
  <c r="X483" i="1"/>
  <c r="W483" i="1" s="1"/>
  <c r="M637" i="1"/>
  <c r="H637" i="1"/>
  <c r="M531" i="1"/>
  <c r="H531" i="1"/>
  <c r="X686" i="1"/>
  <c r="W686" i="1" s="1"/>
  <c r="X671" i="1"/>
  <c r="W671" i="1" s="1"/>
  <c r="X708" i="1"/>
  <c r="W708" i="1" s="1"/>
  <c r="H696" i="1"/>
  <c r="M696" i="1"/>
  <c r="M782" i="1"/>
  <c r="H782" i="1"/>
  <c r="M745" i="1"/>
  <c r="H745" i="1"/>
  <c r="X97" i="1"/>
  <c r="W97" i="1" s="1"/>
  <c r="M147" i="1"/>
  <c r="H147" i="1"/>
  <c r="H2" i="1"/>
  <c r="M2" i="1"/>
  <c r="M88" i="1"/>
  <c r="H88" i="1"/>
  <c r="M188" i="1"/>
  <c r="H188" i="1"/>
  <c r="M287" i="1"/>
  <c r="H287" i="1"/>
  <c r="X146" i="1"/>
  <c r="W146" i="1" s="1"/>
  <c r="X315" i="1"/>
  <c r="W315" i="1" s="1"/>
  <c r="M277" i="1"/>
  <c r="H277" i="1"/>
  <c r="M428" i="1"/>
  <c r="H428" i="1"/>
  <c r="H406" i="1"/>
  <c r="M406" i="1"/>
  <c r="X593" i="1"/>
  <c r="W593" i="1" s="1"/>
  <c r="M540" i="1"/>
  <c r="H540" i="1"/>
  <c r="H476" i="1"/>
  <c r="M476" i="1"/>
  <c r="X472" i="1"/>
  <c r="W472" i="1" s="1"/>
  <c r="M631" i="1"/>
  <c r="H631" i="1"/>
  <c r="M595" i="1"/>
  <c r="H595" i="1"/>
  <c r="H584" i="1"/>
  <c r="M584" i="1"/>
  <c r="M447" i="1"/>
  <c r="H447" i="1"/>
  <c r="X637" i="1"/>
  <c r="W637" i="1" s="1"/>
  <c r="X773" i="1"/>
  <c r="W773" i="1" s="1"/>
  <c r="H632" i="1"/>
  <c r="M632" i="1"/>
  <c r="X638" i="1"/>
  <c r="W638" i="1" s="1"/>
  <c r="X794" i="1"/>
  <c r="W794" i="1" s="1"/>
  <c r="X192" i="1"/>
  <c r="W192" i="1" s="1"/>
  <c r="X271" i="1"/>
  <c r="W271" i="1" s="1"/>
  <c r="X277" i="1"/>
  <c r="W277" i="1" s="1"/>
  <c r="M337" i="1"/>
  <c r="H337" i="1"/>
  <c r="M274" i="1"/>
  <c r="H274" i="1"/>
  <c r="H340" i="1"/>
  <c r="M340" i="1"/>
  <c r="X406" i="1"/>
  <c r="W406" i="1" s="1"/>
  <c r="X471" i="1"/>
  <c r="W471" i="1" s="1"/>
  <c r="M627" i="1"/>
  <c r="H627" i="1"/>
  <c r="X629" i="1"/>
  <c r="W629" i="1" s="1"/>
  <c r="M533" i="1"/>
  <c r="H533" i="1"/>
  <c r="X685" i="1"/>
  <c r="W685" i="1" s="1"/>
  <c r="M665" i="1"/>
  <c r="H665" i="1"/>
  <c r="X681" i="1"/>
  <c r="W681" i="1" s="1"/>
  <c r="H698" i="1"/>
  <c r="M698" i="1"/>
  <c r="M774" i="1"/>
  <c r="H774" i="1"/>
  <c r="M737" i="1"/>
  <c r="H737" i="1"/>
  <c r="H16" i="1"/>
  <c r="M16" i="1"/>
  <c r="M90" i="1"/>
  <c r="H90" i="1"/>
  <c r="X46" i="1"/>
  <c r="W46" i="1" s="1"/>
  <c r="X230" i="1"/>
  <c r="W230" i="1" s="1"/>
  <c r="X410" i="1"/>
  <c r="W410" i="1" s="1"/>
  <c r="X387" i="1"/>
  <c r="W387" i="1" s="1"/>
  <c r="X350" i="1"/>
  <c r="W350" i="1" s="1"/>
  <c r="M502" i="1"/>
  <c r="H502" i="1"/>
  <c r="M588" i="1"/>
  <c r="H588" i="1"/>
  <c r="X522" i="1"/>
  <c r="W522" i="1" s="1"/>
  <c r="H444" i="1"/>
  <c r="M444" i="1"/>
  <c r="X610" i="1"/>
  <c r="W610" i="1" s="1"/>
  <c r="H641" i="1"/>
  <c r="M641" i="1"/>
  <c r="M469" i="1"/>
  <c r="H469" i="1"/>
  <c r="X740" i="1"/>
  <c r="W740" i="1" s="1"/>
  <c r="M656" i="1"/>
  <c r="H656" i="1"/>
  <c r="X665" i="1"/>
  <c r="W665" i="1" s="1"/>
  <c r="X798" i="1"/>
  <c r="W798" i="1" s="1"/>
  <c r="M110" i="1"/>
  <c r="H110" i="1"/>
  <c r="X31" i="1"/>
  <c r="W31" i="1" s="1"/>
  <c r="X216" i="1"/>
  <c r="W216" i="1" s="1"/>
  <c r="N220" i="1"/>
  <c r="O220" i="1" s="1"/>
  <c r="X766" i="1"/>
  <c r="W766" i="1" s="1"/>
  <c r="M461" i="1"/>
  <c r="H461" i="1"/>
  <c r="M576" i="1"/>
  <c r="H576" i="1"/>
  <c r="M495" i="1"/>
  <c r="H495" i="1"/>
  <c r="H171" i="1"/>
  <c r="M171" i="1"/>
  <c r="M173" i="1"/>
  <c r="H173" i="1"/>
  <c r="X174" i="1"/>
  <c r="W174" i="1" s="1"/>
  <c r="M65" i="1"/>
  <c r="H65" i="1"/>
  <c r="N596" i="1"/>
  <c r="O596" i="1" s="1"/>
  <c r="AJ16" i="1"/>
  <c r="AK22" i="1"/>
  <c r="AK74" i="1"/>
  <c r="AK90" i="1"/>
  <c r="AK108" i="1"/>
  <c r="AK124" i="1"/>
  <c r="AK4" i="1"/>
  <c r="AK48" i="1"/>
  <c r="AJ136" i="1"/>
  <c r="AK143" i="1"/>
  <c r="AJ5" i="1"/>
  <c r="AJ35" i="1"/>
  <c r="AJ61" i="1"/>
  <c r="AJ77" i="1"/>
  <c r="AJ93" i="1"/>
  <c r="AJ109" i="1"/>
  <c r="AJ127" i="1"/>
  <c r="AK13" i="1"/>
  <c r="AK53" i="1"/>
  <c r="AK81" i="1"/>
  <c r="AK109" i="1"/>
  <c r="AK127" i="1"/>
  <c r="AJ177" i="1"/>
  <c r="AK11" i="1"/>
  <c r="AK55" i="1"/>
  <c r="AK87" i="1"/>
  <c r="AJ141" i="1"/>
  <c r="AK141" i="1"/>
  <c r="AJ24" i="1"/>
  <c r="AJ70" i="1"/>
  <c r="AJ90" i="1"/>
  <c r="AJ120" i="1"/>
  <c r="AJ253" i="1"/>
  <c r="AJ305" i="1"/>
  <c r="AJ244" i="1"/>
  <c r="AK269" i="1"/>
  <c r="AK297" i="1"/>
  <c r="AK153" i="1"/>
  <c r="AK181" i="1"/>
  <c r="AK213" i="1"/>
  <c r="AK242" i="1"/>
  <c r="AK290" i="1"/>
  <c r="AJ330" i="1"/>
  <c r="AJ263" i="1"/>
  <c r="AK330" i="1"/>
  <c r="AJ172" i="1"/>
  <c r="AJ202" i="1"/>
  <c r="AJ228" i="1"/>
  <c r="AK263" i="1"/>
  <c r="AK287" i="1"/>
  <c r="AJ329" i="1"/>
  <c r="AK194" i="1"/>
  <c r="AK220" i="1"/>
  <c r="AK260" i="1"/>
  <c r="AJ310" i="1"/>
  <c r="AJ322" i="1"/>
  <c r="AJ239" i="1"/>
  <c r="AK326" i="1"/>
  <c r="AJ362" i="1"/>
  <c r="AJ424" i="1"/>
  <c r="AK399" i="1"/>
  <c r="AJ331" i="1"/>
  <c r="AJ375" i="1"/>
  <c r="AK347" i="1"/>
  <c r="AK393" i="1"/>
  <c r="AK409" i="1"/>
  <c r="AK559" i="1"/>
  <c r="AJ419" i="1"/>
  <c r="AJ465" i="1"/>
  <c r="AK652" i="1"/>
  <c r="AK471" i="1"/>
  <c r="AK638" i="1"/>
  <c r="AJ528" i="1"/>
  <c r="AK591" i="1"/>
  <c r="AK496" i="1"/>
  <c r="AK544" i="1"/>
  <c r="AK629" i="1"/>
  <c r="AK466" i="1"/>
  <c r="AJ515" i="1"/>
  <c r="AJ557" i="1"/>
  <c r="AK658" i="1"/>
  <c r="AJ740" i="1"/>
  <c r="AJ673" i="1"/>
  <c r="AJ738" i="1"/>
  <c r="AK735" i="1"/>
  <c r="AJ593" i="1"/>
  <c r="AJ700" i="1"/>
  <c r="AK704" i="1"/>
  <c r="AJ658" i="1"/>
  <c r="AK714" i="1"/>
  <c r="AK1697" i="1"/>
  <c r="AJ1907" i="1"/>
  <c r="AK2226" i="1"/>
  <c r="AK3071" i="1"/>
  <c r="AJ1566" i="1"/>
  <c r="AK1680" i="1"/>
  <c r="AJ1870" i="1"/>
  <c r="AK2213" i="1"/>
  <c r="AJ2717" i="1"/>
  <c r="AK1557" i="1"/>
  <c r="AJ1692" i="1"/>
  <c r="AJ1872" i="1"/>
  <c r="AK2178" i="1"/>
  <c r="AJ1526" i="1"/>
  <c r="AJ1651" i="1"/>
  <c r="AJ1960" i="1"/>
  <c r="AJ2427" i="1"/>
  <c r="AK1658" i="1"/>
  <c r="AK2192" i="1"/>
  <c r="AJ796" i="1"/>
  <c r="AK1809" i="1"/>
  <c r="X123" i="1"/>
  <c r="W123" i="1" s="1"/>
  <c r="X155" i="1"/>
  <c r="W155" i="1" s="1"/>
  <c r="N480" i="1"/>
  <c r="O480" i="1" s="1"/>
  <c r="M241" i="1"/>
  <c r="H241" i="1"/>
  <c r="X66" i="1"/>
  <c r="W66" i="1" s="1"/>
  <c r="X272" i="1"/>
  <c r="W272" i="1" s="1"/>
  <c r="X553" i="1"/>
  <c r="W553" i="1" s="1"/>
  <c r="M270" i="1"/>
  <c r="H270" i="1"/>
  <c r="N237" i="1"/>
  <c r="O237" i="1" s="1"/>
  <c r="N577" i="1"/>
  <c r="O577" i="1" s="1"/>
  <c r="N741" i="1"/>
  <c r="O741" i="1" s="1"/>
  <c r="N140" i="1"/>
  <c r="O140" i="1" s="1"/>
  <c r="H446" i="1"/>
  <c r="M446" i="1"/>
  <c r="M123" i="1"/>
  <c r="H123" i="1"/>
  <c r="N51" i="1"/>
  <c r="O51" i="1" s="1"/>
  <c r="H217" i="1"/>
  <c r="M217" i="1"/>
  <c r="M363" i="1"/>
  <c r="H363" i="1"/>
  <c r="X389" i="1"/>
  <c r="W389" i="1" s="1"/>
  <c r="M292" i="1"/>
  <c r="H292" i="1"/>
  <c r="H358" i="1"/>
  <c r="M358" i="1"/>
  <c r="X334" i="1"/>
  <c r="W334" i="1" s="1"/>
  <c r="X579" i="1"/>
  <c r="W579" i="1" s="1"/>
  <c r="M525" i="1"/>
  <c r="H525" i="1"/>
  <c r="X666" i="1"/>
  <c r="W666" i="1" s="1"/>
  <c r="X670" i="1"/>
  <c r="W670" i="1" s="1"/>
  <c r="X677" i="1"/>
  <c r="W677" i="1" s="1"/>
  <c r="X646" i="1"/>
  <c r="W646" i="1" s="1"/>
  <c r="M766" i="1"/>
  <c r="H766" i="1"/>
  <c r="M749" i="1"/>
  <c r="H749" i="1"/>
  <c r="H201" i="1"/>
  <c r="M201" i="1"/>
  <c r="M172" i="1"/>
  <c r="H172" i="1"/>
  <c r="X279" i="1"/>
  <c r="W279" i="1" s="1"/>
  <c r="X260" i="1"/>
  <c r="W260" i="1" s="1"/>
  <c r="X337" i="1"/>
  <c r="W337" i="1" s="1"/>
  <c r="X301" i="1"/>
  <c r="W301" i="1" s="1"/>
  <c r="M349" i="1"/>
  <c r="H349" i="1"/>
  <c r="X375" i="1"/>
  <c r="W375" i="1" s="1"/>
  <c r="M286" i="1"/>
  <c r="H286" i="1"/>
  <c r="H352" i="1"/>
  <c r="M352" i="1"/>
  <c r="X479" i="1"/>
  <c r="W479" i="1" s="1"/>
  <c r="M635" i="1"/>
  <c r="H635" i="1"/>
  <c r="X623" i="1"/>
  <c r="W623" i="1" s="1"/>
  <c r="M529" i="1"/>
  <c r="H529" i="1"/>
  <c r="X692" i="1"/>
  <c r="W692" i="1" s="1"/>
  <c r="H694" i="1"/>
  <c r="M694" i="1"/>
  <c r="M768" i="1"/>
  <c r="H768" i="1"/>
  <c r="M733" i="1"/>
  <c r="H733" i="1"/>
  <c r="X806" i="1"/>
  <c r="W806" i="1" s="1"/>
  <c r="X218" i="1"/>
  <c r="W218" i="1" s="1"/>
  <c r="M179" i="1"/>
  <c r="H179" i="1"/>
  <c r="M52" i="1"/>
  <c r="H52" i="1"/>
  <c r="M120" i="1"/>
  <c r="H120" i="1"/>
  <c r="X88" i="1"/>
  <c r="W88" i="1" s="1"/>
  <c r="M210" i="1"/>
  <c r="H210" i="1"/>
  <c r="M420" i="1"/>
  <c r="H420" i="1"/>
  <c r="X374" i="1"/>
  <c r="W374" i="1" s="1"/>
  <c r="M510" i="1"/>
  <c r="H510" i="1"/>
  <c r="X534" i="1"/>
  <c r="W534" i="1" s="1"/>
  <c r="H448" i="1"/>
  <c r="M448" i="1"/>
  <c r="X618" i="1"/>
  <c r="W618" i="1" s="1"/>
  <c r="X489" i="1"/>
  <c r="W489" i="1" s="1"/>
  <c r="M481" i="1"/>
  <c r="H481" i="1"/>
  <c r="M659" i="1"/>
  <c r="H659" i="1"/>
  <c r="X733" i="1"/>
  <c r="W733" i="1" s="1"/>
  <c r="M610" i="1"/>
  <c r="H610" i="1"/>
  <c r="X701" i="1"/>
  <c r="W701" i="1" s="1"/>
  <c r="X675" i="1"/>
  <c r="W675" i="1" s="1"/>
  <c r="X47" i="1"/>
  <c r="W47" i="1" s="1"/>
  <c r="X3" i="1"/>
  <c r="W3" i="1" s="1"/>
  <c r="X90" i="1"/>
  <c r="W90" i="1" s="1"/>
  <c r="X278" i="1"/>
  <c r="W278" i="1" s="1"/>
  <c r="X296" i="1"/>
  <c r="W296" i="1" s="1"/>
  <c r="X402" i="1"/>
  <c r="W402" i="1" s="1"/>
  <c r="M367" i="1"/>
  <c r="H367" i="1"/>
  <c r="X397" i="1"/>
  <c r="W397" i="1" s="1"/>
  <c r="M296" i="1"/>
  <c r="H296" i="1"/>
  <c r="H362" i="1"/>
  <c r="M362" i="1"/>
  <c r="X344" i="1"/>
  <c r="W344" i="1" s="1"/>
  <c r="X566" i="1"/>
  <c r="W566" i="1" s="1"/>
  <c r="X494" i="1"/>
  <c r="W494" i="1" s="1"/>
  <c r="M541" i="1"/>
  <c r="H541" i="1"/>
  <c r="X491" i="1"/>
  <c r="W491" i="1" s="1"/>
  <c r="X726" i="1"/>
  <c r="W726" i="1" s="1"/>
  <c r="X694" i="1"/>
  <c r="W694" i="1" s="1"/>
  <c r="H704" i="1"/>
  <c r="M704" i="1"/>
  <c r="M790" i="1"/>
  <c r="H790" i="1"/>
  <c r="M753" i="1"/>
  <c r="H753" i="1"/>
  <c r="X115" i="1"/>
  <c r="W115" i="1" s="1"/>
  <c r="X158" i="1"/>
  <c r="W158" i="1" s="1"/>
  <c r="M14" i="1"/>
  <c r="H14" i="1"/>
  <c r="M96" i="1"/>
  <c r="H96" i="1"/>
  <c r="X38" i="1"/>
  <c r="W38" i="1" s="1"/>
  <c r="M245" i="1"/>
  <c r="H245" i="1"/>
  <c r="M303" i="1"/>
  <c r="H303" i="1"/>
  <c r="X323" i="1"/>
  <c r="W323" i="1" s="1"/>
  <c r="M293" i="1"/>
  <c r="H293" i="1"/>
  <c r="X365" i="1"/>
  <c r="W365" i="1" s="1"/>
  <c r="X469" i="1"/>
  <c r="W469" i="1" s="1"/>
  <c r="M548" i="1"/>
  <c r="H548" i="1"/>
  <c r="H484" i="1"/>
  <c r="M484" i="1"/>
  <c r="X641" i="1"/>
  <c r="W641" i="1" s="1"/>
  <c r="M455" i="1"/>
  <c r="H455" i="1"/>
  <c r="M671" i="1"/>
  <c r="H671" i="1"/>
  <c r="M640" i="1"/>
  <c r="H640" i="1"/>
  <c r="M807" i="1"/>
  <c r="H807" i="1"/>
  <c r="M232" i="1"/>
  <c r="H232" i="1"/>
  <c r="X287" i="1"/>
  <c r="W287" i="1" s="1"/>
  <c r="X252" i="1"/>
  <c r="W252" i="1" s="1"/>
  <c r="X148" i="1"/>
  <c r="W148" i="1" s="1"/>
  <c r="X316" i="1"/>
  <c r="W316" i="1" s="1"/>
  <c r="X293" i="1"/>
  <c r="W293" i="1" s="1"/>
  <c r="M345" i="1"/>
  <c r="H345" i="1"/>
  <c r="X367" i="1"/>
  <c r="W367" i="1" s="1"/>
  <c r="M282" i="1"/>
  <c r="H282" i="1"/>
  <c r="H348" i="1"/>
  <c r="M348" i="1"/>
  <c r="X498" i="1"/>
  <c r="W498" i="1" s="1"/>
  <c r="X591" i="1"/>
  <c r="W591" i="1" s="1"/>
  <c r="M543" i="1"/>
  <c r="H543" i="1"/>
  <c r="X495" i="1"/>
  <c r="W495" i="1" s="1"/>
  <c r="X747" i="1"/>
  <c r="W747" i="1" s="1"/>
  <c r="X674" i="1"/>
  <c r="W674" i="1" s="1"/>
  <c r="X710" i="1"/>
  <c r="W710" i="1" s="1"/>
  <c r="M706" i="1"/>
  <c r="H706" i="1"/>
  <c r="M784" i="1"/>
  <c r="H784" i="1"/>
  <c r="H747" i="1"/>
  <c r="M747" i="1"/>
  <c r="M190" i="1"/>
  <c r="H190" i="1"/>
  <c r="M24" i="1"/>
  <c r="H24" i="1"/>
  <c r="M98" i="1"/>
  <c r="H98" i="1"/>
  <c r="X80" i="1"/>
  <c r="W80" i="1" s="1"/>
  <c r="M228" i="1"/>
  <c r="H228" i="1"/>
  <c r="X441" i="1"/>
  <c r="W441" i="1" s="1"/>
  <c r="X415" i="1"/>
  <c r="W415" i="1" s="1"/>
  <c r="X366" i="1"/>
  <c r="W366" i="1" s="1"/>
  <c r="M514" i="1"/>
  <c r="H514" i="1"/>
  <c r="X605" i="1"/>
  <c r="W605" i="1" s="1"/>
  <c r="X542" i="1"/>
  <c r="W542" i="1" s="1"/>
  <c r="H452" i="1"/>
  <c r="M452" i="1"/>
  <c r="M639" i="1"/>
  <c r="H639" i="1"/>
  <c r="M567" i="1"/>
  <c r="H567" i="1"/>
  <c r="X499" i="1"/>
  <c r="W499" i="1" s="1"/>
  <c r="M403" i="1"/>
  <c r="H403" i="1"/>
  <c r="M477" i="1"/>
  <c r="H477" i="1"/>
  <c r="M645" i="1"/>
  <c r="H645" i="1"/>
  <c r="M677" i="1"/>
  <c r="H677" i="1"/>
  <c r="M684" i="1"/>
  <c r="H684" i="1"/>
  <c r="X241" i="1"/>
  <c r="W241" i="1" s="1"/>
  <c r="M58" i="1"/>
  <c r="H58" i="1"/>
  <c r="M174" i="1"/>
  <c r="H174" i="1"/>
  <c r="X179" i="1"/>
  <c r="W179" i="1" s="1"/>
  <c r="M494" i="1"/>
  <c r="H494" i="1"/>
  <c r="X445" i="1"/>
  <c r="W445" i="1" s="1"/>
  <c r="X28" i="1"/>
  <c r="W28" i="1" s="1"/>
  <c r="X21" i="1"/>
  <c r="W21" i="1" s="1"/>
  <c r="M57" i="1"/>
  <c r="H57" i="1"/>
  <c r="N592" i="1"/>
  <c r="O592" i="1" s="1"/>
  <c r="AJ18" i="1"/>
  <c r="AK38" i="1"/>
  <c r="AK76" i="1"/>
  <c r="AK92" i="1"/>
  <c r="AK110" i="1"/>
  <c r="AK126" i="1"/>
  <c r="AK8" i="1"/>
  <c r="AK52" i="1"/>
  <c r="AJ143" i="1"/>
  <c r="AJ146" i="1"/>
  <c r="AJ9" i="1"/>
  <c r="AJ47" i="1"/>
  <c r="AJ63" i="1"/>
  <c r="AJ79" i="1"/>
  <c r="AJ95" i="1"/>
  <c r="AJ113" i="1"/>
  <c r="AJ129" i="1"/>
  <c r="AJ217" i="1"/>
  <c r="AK15" i="1"/>
  <c r="AK63" i="1"/>
  <c r="AK89" i="1"/>
  <c r="AK113" i="1"/>
  <c r="AK129" i="1"/>
  <c r="AJ183" i="1"/>
  <c r="AK17" i="1"/>
  <c r="AK57" i="1"/>
  <c r="AK91" i="1"/>
  <c r="AJ147" i="1"/>
  <c r="AJ142" i="1"/>
  <c r="AJ30" i="1"/>
  <c r="AJ52" i="1"/>
  <c r="AJ72" i="1"/>
  <c r="AJ94" i="1"/>
  <c r="AJ122" i="1"/>
  <c r="AJ261" i="1"/>
  <c r="AK338" i="1"/>
  <c r="AK249" i="1"/>
  <c r="AK273" i="1"/>
  <c r="AJ298" i="1"/>
  <c r="AK157" i="1"/>
  <c r="AK183" i="1"/>
  <c r="AK244" i="1"/>
  <c r="AK298" i="1"/>
  <c r="AK360" i="1"/>
  <c r="AJ267" i="1"/>
  <c r="AK348" i="1"/>
  <c r="AJ174" i="1"/>
  <c r="AJ206" i="1"/>
  <c r="AJ232" i="1"/>
  <c r="AJ264" i="1"/>
  <c r="AK291" i="1"/>
  <c r="AK337" i="1"/>
  <c r="AK168" i="1"/>
  <c r="AK196" i="1"/>
  <c r="AK226" i="1"/>
  <c r="AK268" i="1"/>
  <c r="AJ311" i="1"/>
  <c r="AJ324" i="1"/>
  <c r="AK310" i="1"/>
  <c r="AK366" i="1"/>
  <c r="AJ366" i="1"/>
  <c r="AJ399" i="1"/>
  <c r="AJ341" i="1"/>
  <c r="AJ379" i="1"/>
  <c r="AK357" i="1"/>
  <c r="AK397" i="1"/>
  <c r="AK420" i="1"/>
  <c r="AK521" i="1"/>
  <c r="AK568" i="1"/>
  <c r="AJ421" i="1"/>
  <c r="AK425" i="1"/>
  <c r="AJ639" i="1"/>
  <c r="AJ540" i="1"/>
  <c r="AK600" i="1"/>
  <c r="AK498" i="1"/>
  <c r="AK554" i="1"/>
  <c r="AK561" i="1"/>
  <c r="AK468" i="1"/>
  <c r="AJ634" i="1"/>
  <c r="AJ517" i="1"/>
  <c r="AK580" i="1"/>
  <c r="AK661" i="1"/>
  <c r="AK719" i="1"/>
  <c r="AJ683" i="1"/>
  <c r="AJ595" i="1"/>
  <c r="AJ743" i="1"/>
  <c r="AJ707" i="1"/>
  <c r="AJ661" i="1"/>
  <c r="AJ717" i="1"/>
  <c r="AJ1584" i="1"/>
  <c r="AK1732" i="1"/>
  <c r="AK1928" i="1"/>
  <c r="AK2245" i="1"/>
  <c r="AJ787" i="1"/>
  <c r="AJ1575" i="1"/>
  <c r="AK1720" i="1"/>
  <c r="AJ1888" i="1"/>
  <c r="AJ2230" i="1"/>
  <c r="AK783" i="1"/>
  <c r="AK1566" i="1"/>
  <c r="AJ1700" i="1"/>
  <c r="AJ1922" i="1"/>
  <c r="AK2232" i="1"/>
  <c r="AJ1535" i="1"/>
  <c r="AJ1694" i="1"/>
  <c r="AK2026" i="1"/>
  <c r="AJ2634" i="1"/>
  <c r="AJ1708" i="1"/>
  <c r="AJ1904" i="1"/>
  <c r="M113" i="1"/>
  <c r="H113" i="1"/>
  <c r="M598" i="1"/>
  <c r="H598" i="1"/>
  <c r="M200" i="1"/>
  <c r="H200" i="1"/>
  <c r="X116" i="1"/>
  <c r="W116" i="1" s="1"/>
  <c r="X205" i="1"/>
  <c r="W205" i="1" s="1"/>
  <c r="X302" i="1"/>
  <c r="W302" i="1" s="1"/>
  <c r="M225" i="1"/>
  <c r="H225" i="1"/>
  <c r="X443" i="1"/>
  <c r="W443" i="1" s="1"/>
  <c r="M371" i="1"/>
  <c r="H371" i="1"/>
  <c r="M416" i="1"/>
  <c r="H416" i="1"/>
  <c r="M300" i="1"/>
  <c r="H300" i="1"/>
  <c r="H366" i="1"/>
  <c r="M366" i="1"/>
  <c r="X352" i="1"/>
  <c r="W352" i="1" s="1"/>
  <c r="X504" i="1"/>
  <c r="W504" i="1" s="1"/>
  <c r="M537" i="1"/>
  <c r="H537" i="1"/>
  <c r="X672" i="1"/>
  <c r="W672" i="1" s="1"/>
  <c r="X690" i="1"/>
  <c r="W690" i="1" s="1"/>
  <c r="X667" i="1"/>
  <c r="W667" i="1" s="1"/>
  <c r="M692" i="1"/>
  <c r="H692" i="1"/>
  <c r="M776" i="1"/>
  <c r="H776" i="1"/>
  <c r="M757" i="1"/>
  <c r="H757" i="1"/>
  <c r="X30" i="1"/>
  <c r="W30" i="1" s="1"/>
  <c r="H207" i="1"/>
  <c r="M207" i="1"/>
  <c r="X295" i="1"/>
  <c r="W295" i="1" s="1"/>
  <c r="X276" i="1"/>
  <c r="W276" i="1" s="1"/>
  <c r="M357" i="1"/>
  <c r="H357" i="1"/>
  <c r="X393" i="1"/>
  <c r="W393" i="1" s="1"/>
  <c r="M294" i="1"/>
  <c r="H294" i="1"/>
  <c r="H360" i="1"/>
  <c r="M360" i="1"/>
  <c r="X340" i="1"/>
  <c r="W340" i="1" s="1"/>
  <c r="X490" i="1"/>
  <c r="W490" i="1" s="1"/>
  <c r="M539" i="1"/>
  <c r="H539" i="1"/>
  <c r="H633" i="1"/>
  <c r="M633" i="1"/>
  <c r="X761" i="1"/>
  <c r="W761" i="1" s="1"/>
  <c r="M669" i="1"/>
  <c r="H669" i="1"/>
  <c r="X706" i="1"/>
  <c r="W706" i="1" s="1"/>
  <c r="H702" i="1"/>
  <c r="M702" i="1"/>
  <c r="M780" i="1"/>
  <c r="H780" i="1"/>
  <c r="M743" i="1"/>
  <c r="H743" i="1"/>
  <c r="M263" i="1"/>
  <c r="H263" i="1"/>
  <c r="H199" i="1"/>
  <c r="M199" i="1"/>
  <c r="X24" i="1"/>
  <c r="W24" i="1" s="1"/>
  <c r="M62" i="1"/>
  <c r="H62" i="1"/>
  <c r="M128" i="1"/>
  <c r="H128" i="1"/>
  <c r="X106" i="1"/>
  <c r="W106" i="1" s="1"/>
  <c r="X191" i="1"/>
  <c r="W191" i="1" s="1"/>
  <c r="M244" i="1"/>
  <c r="H244" i="1"/>
  <c r="X459" i="1"/>
  <c r="W459" i="1" s="1"/>
  <c r="X390" i="1"/>
  <c r="W390" i="1" s="1"/>
  <c r="M518" i="1"/>
  <c r="H518" i="1"/>
  <c r="X617" i="1"/>
  <c r="W617" i="1" s="1"/>
  <c r="X550" i="1"/>
  <c r="W550" i="1" s="1"/>
  <c r="H456" i="1"/>
  <c r="M456" i="1"/>
  <c r="M683" i="1"/>
  <c r="H683" i="1"/>
  <c r="M574" i="1"/>
  <c r="H574" i="1"/>
  <c r="X507" i="1"/>
  <c r="W507" i="1" s="1"/>
  <c r="M407" i="1"/>
  <c r="H407" i="1"/>
  <c r="X565" i="1"/>
  <c r="W565" i="1" s="1"/>
  <c r="M668" i="1"/>
  <c r="H668" i="1"/>
  <c r="X750" i="1"/>
  <c r="W750" i="1" s="1"/>
  <c r="M618" i="1"/>
  <c r="H618" i="1"/>
  <c r="X807" i="1"/>
  <c r="W807" i="1" s="1"/>
  <c r="X63" i="1"/>
  <c r="W63" i="1" s="1"/>
  <c r="X7" i="1"/>
  <c r="W7" i="1" s="1"/>
  <c r="X108" i="1"/>
  <c r="W108" i="1" s="1"/>
  <c r="X193" i="1"/>
  <c r="W193" i="1" s="1"/>
  <c r="X294" i="1"/>
  <c r="W294" i="1" s="1"/>
  <c r="M221" i="1"/>
  <c r="H221" i="1"/>
  <c r="X435" i="1"/>
  <c r="W435" i="1" s="1"/>
  <c r="M375" i="1"/>
  <c r="H375" i="1"/>
  <c r="X420" i="1"/>
  <c r="W420" i="1" s="1"/>
  <c r="M304" i="1"/>
  <c r="H304" i="1"/>
  <c r="H370" i="1"/>
  <c r="M370" i="1"/>
  <c r="X360" i="1"/>
  <c r="W360" i="1" s="1"/>
  <c r="M582" i="1"/>
  <c r="H582" i="1"/>
  <c r="X516" i="1"/>
  <c r="W516" i="1" s="1"/>
  <c r="M549" i="1"/>
  <c r="H549" i="1"/>
  <c r="X509" i="1"/>
  <c r="W509" i="1" s="1"/>
  <c r="X734" i="1"/>
  <c r="W734" i="1" s="1"/>
  <c r="X702" i="1"/>
  <c r="W702" i="1" s="1"/>
  <c r="M678" i="1"/>
  <c r="H678" i="1"/>
  <c r="M726" i="1"/>
  <c r="H726" i="1"/>
  <c r="M798" i="1"/>
  <c r="H798" i="1"/>
  <c r="M763" i="1"/>
  <c r="H763" i="1"/>
  <c r="X18" i="1"/>
  <c r="W18" i="1" s="1"/>
  <c r="M22" i="1"/>
  <c r="H22" i="1"/>
  <c r="M106" i="1"/>
  <c r="H106" i="1"/>
  <c r="X58" i="1"/>
  <c r="W58" i="1" s="1"/>
  <c r="X156" i="1"/>
  <c r="W156" i="1" s="1"/>
  <c r="X226" i="1"/>
  <c r="W226" i="1" s="1"/>
  <c r="X351" i="1"/>
  <c r="W351" i="1" s="1"/>
  <c r="M309" i="1"/>
  <c r="H309" i="1"/>
  <c r="X383" i="1"/>
  <c r="W383" i="1" s="1"/>
  <c r="X328" i="1"/>
  <c r="W328" i="1" s="1"/>
  <c r="X485" i="1"/>
  <c r="W485" i="1" s="1"/>
  <c r="M556" i="1"/>
  <c r="H556" i="1"/>
  <c r="M629" i="1"/>
  <c r="H629" i="1"/>
  <c r="X573" i="1"/>
  <c r="W573" i="1" s="1"/>
  <c r="M465" i="1"/>
  <c r="H465" i="1"/>
  <c r="M687" i="1"/>
  <c r="H687" i="1"/>
  <c r="M654" i="1"/>
  <c r="H654" i="1"/>
  <c r="X44" i="1"/>
  <c r="W44" i="1" s="1"/>
  <c r="X2" i="1"/>
  <c r="W2" i="1" s="1"/>
  <c r="X303" i="1"/>
  <c r="W303" i="1" s="1"/>
  <c r="X268" i="1"/>
  <c r="W268" i="1" s="1"/>
  <c r="X324" i="1"/>
  <c r="W324" i="1" s="1"/>
  <c r="M353" i="1"/>
  <c r="H353" i="1"/>
  <c r="X385" i="1"/>
  <c r="W385" i="1" s="1"/>
  <c r="M290" i="1"/>
  <c r="H290" i="1"/>
  <c r="H356" i="1"/>
  <c r="M356" i="1"/>
  <c r="X330" i="1"/>
  <c r="W330" i="1" s="1"/>
  <c r="X569" i="1"/>
  <c r="W569" i="1" s="1"/>
  <c r="X520" i="1"/>
  <c r="W520" i="1" s="1"/>
  <c r="X606" i="1"/>
  <c r="W606" i="1" s="1"/>
  <c r="X564" i="1"/>
  <c r="W564" i="1" s="1"/>
  <c r="M551" i="1"/>
  <c r="H551" i="1"/>
  <c r="X513" i="1"/>
  <c r="W513" i="1" s="1"/>
  <c r="X728" i="1"/>
  <c r="W728" i="1" s="1"/>
  <c r="X696" i="1"/>
  <c r="W696" i="1" s="1"/>
  <c r="X757" i="1"/>
  <c r="W757" i="1" s="1"/>
  <c r="M714" i="1"/>
  <c r="H714" i="1"/>
  <c r="M792" i="1"/>
  <c r="H792" i="1"/>
  <c r="M755" i="1"/>
  <c r="H755" i="1"/>
  <c r="X119" i="1"/>
  <c r="W119" i="1" s="1"/>
  <c r="M202" i="1"/>
  <c r="H202" i="1"/>
  <c r="M214" i="1"/>
  <c r="H214" i="1"/>
  <c r="M36" i="1"/>
  <c r="H36" i="1"/>
  <c r="M108" i="1"/>
  <c r="H108" i="1"/>
  <c r="X96" i="1"/>
  <c r="W96" i="1" s="1"/>
  <c r="X203" i="1"/>
  <c r="W203" i="1" s="1"/>
  <c r="M507" i="1"/>
  <c r="H507" i="1"/>
  <c r="X382" i="1"/>
  <c r="W382" i="1" s="1"/>
  <c r="M566" i="1"/>
  <c r="H566" i="1"/>
  <c r="M522" i="1"/>
  <c r="H522" i="1"/>
  <c r="X643" i="1"/>
  <c r="W643" i="1" s="1"/>
  <c r="X558" i="1"/>
  <c r="W558" i="1" s="1"/>
  <c r="H462" i="1"/>
  <c r="M462" i="1"/>
  <c r="X442" i="1"/>
  <c r="W442" i="1" s="1"/>
  <c r="X515" i="1"/>
  <c r="W515" i="1" s="1"/>
  <c r="M411" i="1"/>
  <c r="H411" i="1"/>
  <c r="M485" i="1"/>
  <c r="H485" i="1"/>
  <c r="M655" i="1"/>
  <c r="H655" i="1"/>
  <c r="X752" i="1"/>
  <c r="W752" i="1" s="1"/>
  <c r="X711" i="1"/>
  <c r="W711" i="1" s="1"/>
  <c r="X786" i="1"/>
  <c r="W786" i="1" s="1"/>
  <c r="X510" i="1"/>
  <c r="W510" i="1" s="1"/>
  <c r="X27" i="1"/>
  <c r="W27" i="1" s="1"/>
  <c r="N623" i="1"/>
  <c r="O623" i="1" s="1"/>
  <c r="X743" i="1"/>
  <c r="W743" i="1" s="1"/>
  <c r="M102" i="1"/>
  <c r="H102" i="1"/>
  <c r="X190" i="1"/>
  <c r="W190" i="1" s="1"/>
  <c r="M49" i="1"/>
  <c r="H49" i="1"/>
  <c r="H187" i="1"/>
  <c r="M187" i="1"/>
  <c r="AK2" i="1"/>
  <c r="AK44" i="1"/>
  <c r="AK78" i="1"/>
  <c r="AK94" i="1"/>
  <c r="AK112" i="1"/>
  <c r="AK128" i="1"/>
  <c r="AK24" i="1"/>
  <c r="AK56" i="1"/>
  <c r="AK144" i="1"/>
  <c r="AJ159" i="1"/>
  <c r="AJ17" i="1"/>
  <c r="AJ49" i="1"/>
  <c r="AJ65" i="1"/>
  <c r="AJ81" i="1"/>
  <c r="AJ97" i="1"/>
  <c r="AJ115" i="1"/>
  <c r="AJ145" i="1"/>
  <c r="AJ219" i="1"/>
  <c r="AK19" i="1"/>
  <c r="AK65" i="1"/>
  <c r="AK97" i="1"/>
  <c r="AK115" i="1"/>
  <c r="AJ130" i="1"/>
  <c r="AJ7" i="1"/>
  <c r="AK21" i="1"/>
  <c r="AK59" i="1"/>
  <c r="AK93" i="1"/>
  <c r="AK148" i="1"/>
  <c r="AJ149" i="1"/>
  <c r="AJ32" i="1"/>
  <c r="AJ54" i="1"/>
  <c r="AJ74" i="1"/>
  <c r="AJ98" i="1"/>
  <c r="AJ124" i="1"/>
  <c r="AJ269" i="1"/>
  <c r="AK356" i="1"/>
  <c r="AJ250" i="1"/>
  <c r="AK277" i="1"/>
  <c r="AK301" i="1"/>
  <c r="AK161" i="1"/>
  <c r="AK187" i="1"/>
  <c r="AK217" i="1"/>
  <c r="AK250" i="1"/>
  <c r="AK302" i="1"/>
  <c r="AK368" i="1"/>
  <c r="AJ271" i="1"/>
  <c r="AJ152" i="1"/>
  <c r="AJ178" i="1"/>
  <c r="AJ208" i="1"/>
  <c r="AJ243" i="1"/>
  <c r="AK267" i="1"/>
  <c r="AK295" i="1"/>
  <c r="AK342" i="1"/>
  <c r="AK172" i="1"/>
  <c r="AK200" i="1"/>
  <c r="AK228" i="1"/>
  <c r="AK276" i="1"/>
  <c r="AJ312" i="1"/>
  <c r="AJ326" i="1"/>
  <c r="AK314" i="1"/>
  <c r="AK370" i="1"/>
  <c r="AJ376" i="1"/>
  <c r="AJ403" i="1"/>
  <c r="AJ343" i="1"/>
  <c r="AJ391" i="1"/>
  <c r="AJ418" i="1"/>
  <c r="AJ448" i="1"/>
  <c r="AK523" i="1"/>
  <c r="AJ596" i="1"/>
  <c r="AJ425" i="1"/>
  <c r="AJ477" i="1"/>
  <c r="AK435" i="1"/>
  <c r="AK481" i="1"/>
  <c r="AJ488" i="1"/>
  <c r="AJ542" i="1"/>
  <c r="AJ610" i="1"/>
  <c r="AK504" i="1"/>
  <c r="AK556" i="1"/>
  <c r="AK595" i="1"/>
  <c r="AK472" i="1"/>
  <c r="AJ636" i="1"/>
  <c r="AJ521" i="1"/>
  <c r="AK592" i="1"/>
  <c r="AK665" i="1"/>
  <c r="AK720" i="1"/>
  <c r="AK686" i="1"/>
  <c r="AK637" i="1"/>
  <c r="AJ689" i="1"/>
  <c r="AK745" i="1"/>
  <c r="AJ599" i="1"/>
  <c r="AK747" i="1"/>
  <c r="AJ665" i="1"/>
  <c r="AJ767" i="1"/>
  <c r="AJ1592" i="1"/>
  <c r="AJ1739" i="1"/>
  <c r="AJ1978" i="1"/>
  <c r="AK2273" i="1"/>
  <c r="AJ789" i="1"/>
  <c r="AJ1727" i="1"/>
  <c r="AJ1938" i="1"/>
  <c r="AK2257" i="1"/>
  <c r="AK785" i="1"/>
  <c r="AJ1585" i="1"/>
  <c r="AK1713" i="1"/>
  <c r="AK1938" i="1"/>
  <c r="AK2336" i="1"/>
  <c r="AK1562" i="1"/>
  <c r="AJ1707" i="1"/>
  <c r="AK2045" i="1"/>
  <c r="AK2898" i="1"/>
  <c r="AJ1764" i="1"/>
  <c r="AJ2382" i="1"/>
  <c r="AK1536" i="1"/>
  <c r="M253" i="1"/>
  <c r="H253" i="1"/>
  <c r="X297" i="1"/>
  <c r="W297" i="1" s="1"/>
  <c r="X599" i="1"/>
  <c r="W599" i="1" s="1"/>
  <c r="X795" i="1"/>
  <c r="W795" i="1" s="1"/>
  <c r="X312" i="1"/>
  <c r="W312" i="1" s="1"/>
  <c r="H334" i="1"/>
  <c r="M334" i="1"/>
  <c r="X482" i="1"/>
  <c r="W482" i="1" s="1"/>
  <c r="N100" i="1"/>
  <c r="O100" i="1" s="1"/>
  <c r="N775" i="1"/>
  <c r="O775" i="1" s="1"/>
  <c r="N238" i="1"/>
  <c r="O238" i="1" s="1"/>
  <c r="N64" i="1"/>
  <c r="O64" i="1" s="1"/>
  <c r="N511" i="1"/>
  <c r="O511" i="1" s="1"/>
  <c r="N748" i="1"/>
  <c r="O748" i="1" s="1"/>
  <c r="H454" i="1"/>
  <c r="M454" i="1"/>
  <c r="X4" i="1"/>
  <c r="W4" i="1" s="1"/>
  <c r="X183" i="1"/>
  <c r="W183" i="1" s="1"/>
  <c r="X335" i="1"/>
  <c r="W335" i="1" s="1"/>
  <c r="M27" i="1"/>
  <c r="H27" i="1"/>
  <c r="X723" i="1"/>
  <c r="W723" i="1" s="1"/>
  <c r="H193" i="1"/>
  <c r="M193" i="1"/>
  <c r="X159" i="1"/>
  <c r="W159" i="1" s="1"/>
  <c r="N432" i="1"/>
  <c r="O432" i="1" s="1"/>
  <c r="N132" i="1"/>
  <c r="O132" i="1" s="1"/>
  <c r="N431" i="1"/>
  <c r="O431" i="1" s="1"/>
  <c r="N589" i="1"/>
  <c r="O589" i="1" s="1"/>
  <c r="N41" i="1"/>
  <c r="O41" i="1" s="1"/>
  <c r="N111" i="1"/>
  <c r="O111" i="1" s="1"/>
  <c r="N473" i="1"/>
  <c r="O473" i="1" s="1"/>
  <c r="M435" i="1"/>
  <c r="H435" i="1"/>
  <c r="X102" i="1"/>
  <c r="W102" i="1" s="1"/>
  <c r="H205" i="1"/>
  <c r="M205" i="1"/>
  <c r="N628" i="1"/>
  <c r="O628" i="1" s="1"/>
  <c r="M479" i="1"/>
  <c r="H479" i="1"/>
  <c r="M536" i="1"/>
  <c r="H536" i="1"/>
  <c r="X170" i="1"/>
  <c r="W170" i="1" s="1"/>
  <c r="X89" i="1"/>
  <c r="W89" i="1" s="1"/>
  <c r="M93" i="1"/>
  <c r="H93" i="1"/>
  <c r="M19" i="1"/>
  <c r="H19" i="1"/>
  <c r="X659" i="1"/>
  <c r="W659" i="1" s="1"/>
  <c r="X391" i="1"/>
  <c r="W391" i="1" s="1"/>
  <c r="X343" i="1"/>
  <c r="W343" i="1" s="1"/>
  <c r="M153" i="1"/>
  <c r="H153" i="1"/>
  <c r="X117" i="1"/>
  <c r="W117" i="1" s="1"/>
  <c r="M101" i="1"/>
  <c r="H101" i="1"/>
  <c r="X781" i="1"/>
  <c r="W781" i="1" s="1"/>
  <c r="H438" i="1"/>
  <c r="M438" i="1"/>
  <c r="X107" i="1"/>
  <c r="W107" i="1" s="1"/>
  <c r="M99" i="1"/>
  <c r="H99" i="1"/>
  <c r="H33" i="1"/>
  <c r="M33" i="1"/>
  <c r="X171" i="1"/>
  <c r="W171" i="1" s="1"/>
  <c r="X142" i="1"/>
  <c r="W142" i="1" s="1"/>
  <c r="X221" i="1"/>
  <c r="W221" i="1" s="1"/>
  <c r="X331" i="1"/>
  <c r="W331" i="1" s="1"/>
  <c r="M313" i="1"/>
  <c r="H313" i="1"/>
  <c r="M379" i="1"/>
  <c r="H379" i="1"/>
  <c r="M434" i="1"/>
  <c r="H434" i="1"/>
  <c r="M426" i="1"/>
  <c r="H426" i="1"/>
  <c r="M308" i="1"/>
  <c r="H308" i="1"/>
  <c r="H374" i="1"/>
  <c r="M374" i="1"/>
  <c r="X368" i="1"/>
  <c r="W368" i="1" s="1"/>
  <c r="X526" i="1"/>
  <c r="W526" i="1" s="1"/>
  <c r="M545" i="1"/>
  <c r="H545" i="1"/>
  <c r="X653" i="1"/>
  <c r="W653" i="1" s="1"/>
  <c r="M667" i="1"/>
  <c r="H667" i="1"/>
  <c r="X684" i="1"/>
  <c r="W684" i="1" s="1"/>
  <c r="H700" i="1"/>
  <c r="M700" i="1"/>
  <c r="M786" i="1"/>
  <c r="H786" i="1"/>
  <c r="M767" i="1"/>
  <c r="H767" i="1"/>
  <c r="X52" i="1"/>
  <c r="W52" i="1" s="1"/>
  <c r="M151" i="1"/>
  <c r="H151" i="1"/>
  <c r="X292" i="1"/>
  <c r="W292" i="1" s="1"/>
  <c r="H219" i="1"/>
  <c r="M219" i="1"/>
  <c r="M365" i="1"/>
  <c r="H365" i="1"/>
  <c r="X419" i="1"/>
  <c r="W419" i="1" s="1"/>
  <c r="M302" i="1"/>
  <c r="H302" i="1"/>
  <c r="H368" i="1"/>
  <c r="M368" i="1"/>
  <c r="X356" i="1"/>
  <c r="W356" i="1" s="1"/>
  <c r="X512" i="1"/>
  <c r="W512" i="1" s="1"/>
  <c r="M547" i="1"/>
  <c r="H547" i="1"/>
  <c r="X683" i="1"/>
  <c r="W683" i="1" s="1"/>
  <c r="X714" i="1"/>
  <c r="W714" i="1" s="1"/>
  <c r="M710" i="1"/>
  <c r="H710" i="1"/>
  <c r="M788" i="1"/>
  <c r="H788" i="1"/>
  <c r="M751" i="1"/>
  <c r="H751" i="1"/>
  <c r="M107" i="1"/>
  <c r="H107" i="1"/>
  <c r="X61" i="1"/>
  <c r="W61" i="1" s="1"/>
  <c r="X20" i="1"/>
  <c r="W20" i="1" s="1"/>
  <c r="M70" i="1"/>
  <c r="H70" i="1"/>
  <c r="X152" i="1"/>
  <c r="W152" i="1" s="1"/>
  <c r="X122" i="1"/>
  <c r="W122" i="1" s="1"/>
  <c r="X211" i="1"/>
  <c r="W211" i="1" s="1"/>
  <c r="M130" i="1"/>
  <c r="H130" i="1"/>
  <c r="M257" i="1"/>
  <c r="H257" i="1"/>
  <c r="M404" i="1"/>
  <c r="H404" i="1"/>
  <c r="X408" i="1"/>
  <c r="W408" i="1" s="1"/>
  <c r="M575" i="1"/>
  <c r="H575" i="1"/>
  <c r="M528" i="1"/>
  <c r="H528" i="1"/>
  <c r="H466" i="1"/>
  <c r="M466" i="1"/>
  <c r="X450" i="1"/>
  <c r="W450" i="1" s="1"/>
  <c r="X523" i="1"/>
  <c r="W523" i="1" s="1"/>
  <c r="M415" i="1"/>
  <c r="H415" i="1"/>
  <c r="M590" i="1"/>
  <c r="H590" i="1"/>
  <c r="M682" i="1"/>
  <c r="H682" i="1"/>
  <c r="H630" i="1"/>
  <c r="M630" i="1"/>
  <c r="X754" i="1"/>
  <c r="W754" i="1" s="1"/>
  <c r="X785" i="1"/>
  <c r="W785" i="1" s="1"/>
  <c r="X79" i="1"/>
  <c r="W79" i="1" s="1"/>
  <c r="X133" i="1"/>
  <c r="W133" i="1" s="1"/>
  <c r="X157" i="1"/>
  <c r="W157" i="1" s="1"/>
  <c r="X124" i="1"/>
  <c r="W124" i="1" s="1"/>
  <c r="X213" i="1"/>
  <c r="W213" i="1" s="1"/>
  <c r="M229" i="1"/>
  <c r="H229" i="1"/>
  <c r="M509" i="1"/>
  <c r="H509" i="1"/>
  <c r="M385" i="1"/>
  <c r="H385" i="1"/>
  <c r="M248" i="1"/>
  <c r="H248" i="1"/>
  <c r="M312" i="1"/>
  <c r="H312" i="1"/>
  <c r="H378" i="1"/>
  <c r="M378" i="1"/>
  <c r="X376" i="1"/>
  <c r="W376" i="1" s="1"/>
  <c r="X536" i="1"/>
  <c r="W536" i="1" s="1"/>
  <c r="X436" i="1"/>
  <c r="W436" i="1" s="1"/>
  <c r="M557" i="1"/>
  <c r="H557" i="1"/>
  <c r="X525" i="1"/>
  <c r="W525" i="1" s="1"/>
  <c r="X682" i="1"/>
  <c r="W682" i="1" s="1"/>
  <c r="X753" i="1"/>
  <c r="W753" i="1" s="1"/>
  <c r="M734" i="1"/>
  <c r="H734" i="1"/>
  <c r="H806" i="1"/>
  <c r="M806" i="1"/>
  <c r="H699" i="1"/>
  <c r="M699" i="1"/>
  <c r="M773" i="1"/>
  <c r="H773" i="1"/>
  <c r="M206" i="1"/>
  <c r="H206" i="1"/>
  <c r="X154" i="1"/>
  <c r="W154" i="1" s="1"/>
  <c r="M32" i="1"/>
  <c r="H32" i="1"/>
  <c r="M114" i="1"/>
  <c r="H114" i="1"/>
  <c r="X76" i="1"/>
  <c r="W76" i="1" s="1"/>
  <c r="X409" i="1"/>
  <c r="W409" i="1" s="1"/>
  <c r="X346" i="1"/>
  <c r="W346" i="1" s="1"/>
  <c r="M490" i="1"/>
  <c r="H490" i="1"/>
  <c r="M569" i="1"/>
  <c r="H569" i="1"/>
  <c r="X496" i="1"/>
  <c r="W496" i="1" s="1"/>
  <c r="M591" i="1"/>
  <c r="H591" i="1"/>
  <c r="H401" i="1"/>
  <c r="M401" i="1"/>
  <c r="M475" i="1"/>
  <c r="H475" i="1"/>
  <c r="M643" i="1"/>
  <c r="H643" i="1"/>
  <c r="X709" i="1"/>
  <c r="W709" i="1" s="1"/>
  <c r="X62" i="1"/>
  <c r="W62" i="1" s="1"/>
  <c r="X161" i="1"/>
  <c r="W161" i="1" s="1"/>
  <c r="X250" i="1"/>
  <c r="W250" i="1" s="1"/>
  <c r="X228" i="1"/>
  <c r="W228" i="1" s="1"/>
  <c r="X284" i="1"/>
  <c r="W284" i="1" s="1"/>
  <c r="M410" i="1"/>
  <c r="H410" i="1"/>
  <c r="M361" i="1"/>
  <c r="H361" i="1"/>
  <c r="M298" i="1"/>
  <c r="H298" i="1"/>
  <c r="H364" i="1"/>
  <c r="M364" i="1"/>
  <c r="X348" i="1"/>
  <c r="W348" i="1" s="1"/>
  <c r="X540" i="1"/>
  <c r="W540" i="1" s="1"/>
  <c r="M559" i="1"/>
  <c r="H559" i="1"/>
  <c r="X531" i="1"/>
  <c r="W531" i="1" s="1"/>
  <c r="M572" i="1"/>
  <c r="H572" i="1"/>
  <c r="X736" i="1"/>
  <c r="W736" i="1" s="1"/>
  <c r="X704" i="1"/>
  <c r="W704" i="1" s="1"/>
  <c r="X767" i="1"/>
  <c r="W767" i="1" s="1"/>
  <c r="M728" i="1"/>
  <c r="H728" i="1"/>
  <c r="M800" i="1"/>
  <c r="H800" i="1"/>
  <c r="M691" i="1"/>
  <c r="H691" i="1"/>
  <c r="M765" i="1"/>
  <c r="H765" i="1"/>
  <c r="X25" i="1"/>
  <c r="W25" i="1" s="1"/>
  <c r="X255" i="1"/>
  <c r="W255" i="1" s="1"/>
  <c r="M48" i="1"/>
  <c r="H48" i="1"/>
  <c r="M116" i="1"/>
  <c r="H116" i="1"/>
  <c r="X114" i="1"/>
  <c r="W114" i="1" s="1"/>
  <c r="X219" i="1"/>
  <c r="W219" i="1" s="1"/>
  <c r="X347" i="1"/>
  <c r="W347" i="1" s="1"/>
  <c r="M249" i="1"/>
  <c r="H249" i="1"/>
  <c r="M418" i="1"/>
  <c r="H418" i="1"/>
  <c r="X398" i="1"/>
  <c r="W398" i="1" s="1"/>
  <c r="X581" i="1"/>
  <c r="W581" i="1" s="1"/>
  <c r="M534" i="1"/>
  <c r="H534" i="1"/>
  <c r="H470" i="1"/>
  <c r="M470" i="1"/>
  <c r="X458" i="1"/>
  <c r="W458" i="1" s="1"/>
  <c r="X574" i="1"/>
  <c r="W574" i="1" s="1"/>
  <c r="X533" i="1"/>
  <c r="W533" i="1" s="1"/>
  <c r="M419" i="1"/>
  <c r="H419" i="1"/>
  <c r="M664" i="1"/>
  <c r="H664" i="1"/>
  <c r="X729" i="1"/>
  <c r="W729" i="1" s="1"/>
  <c r="M606" i="1"/>
  <c r="H606" i="1"/>
  <c r="X697" i="1"/>
  <c r="W697" i="1" s="1"/>
  <c r="N119" i="1"/>
  <c r="O119" i="1" s="1"/>
  <c r="N716" i="1"/>
  <c r="O716" i="1" s="1"/>
  <c r="M471" i="1"/>
  <c r="H471" i="1"/>
  <c r="X349" i="1"/>
  <c r="W349" i="1" s="1"/>
  <c r="X263" i="1"/>
  <c r="W263" i="1" s="1"/>
  <c r="M194" i="1"/>
  <c r="H194" i="1"/>
  <c r="M121" i="1"/>
  <c r="H121" i="1"/>
  <c r="X194" i="1"/>
  <c r="W194" i="1" s="1"/>
  <c r="H636" i="1"/>
  <c r="M636" i="1"/>
  <c r="M583" i="1"/>
  <c r="H583" i="1"/>
  <c r="X386" i="1"/>
  <c r="W386" i="1" s="1"/>
  <c r="X259" i="1"/>
  <c r="W259" i="1" s="1"/>
  <c r="M145" i="1"/>
  <c r="H145" i="1"/>
  <c r="M31" i="1"/>
  <c r="H31" i="1"/>
  <c r="M162" i="1"/>
  <c r="H162" i="1"/>
  <c r="N560" i="1"/>
  <c r="O560" i="1" s="1"/>
  <c r="AK10" i="1"/>
  <c r="AK80" i="1"/>
  <c r="AK96" i="1"/>
  <c r="AK114" i="1"/>
  <c r="AJ135" i="1"/>
  <c r="AK28" i="1"/>
  <c r="AK58" i="1"/>
  <c r="AJ179" i="1"/>
  <c r="AJ173" i="1"/>
  <c r="AJ25" i="1"/>
  <c r="AJ67" i="1"/>
  <c r="AJ83" i="1"/>
  <c r="AJ99" i="1"/>
  <c r="AJ117" i="1"/>
  <c r="AK146" i="1"/>
  <c r="AJ13" i="1"/>
  <c r="AK23" i="1"/>
  <c r="AK69" i="1"/>
  <c r="AK99" i="1"/>
  <c r="AK117" i="1"/>
  <c r="AJ133" i="1"/>
  <c r="AJ11" i="1"/>
  <c r="AK25" i="1"/>
  <c r="AK61" i="1"/>
  <c r="AK95" i="1"/>
  <c r="AJ171" i="1"/>
  <c r="AJ151" i="1"/>
  <c r="AJ36" i="1"/>
  <c r="AJ56" i="1"/>
  <c r="AJ76" i="1"/>
  <c r="AJ104" i="1"/>
  <c r="AJ128" i="1"/>
  <c r="AJ273" i="1"/>
  <c r="AJ221" i="1"/>
  <c r="AK253" i="1"/>
  <c r="AK281" i="1"/>
  <c r="AK305" i="1"/>
  <c r="AK163" i="1"/>
  <c r="AK193" i="1"/>
  <c r="AK219" i="1"/>
  <c r="AK258" i="1"/>
  <c r="AK306" i="1"/>
  <c r="AK376" i="1"/>
  <c r="AJ279" i="1"/>
  <c r="AJ154" i="1"/>
  <c r="AJ184" i="1"/>
  <c r="AJ210" i="1"/>
  <c r="AK247" i="1"/>
  <c r="AK271" i="1"/>
  <c r="AJ296" i="1"/>
  <c r="AJ476" i="1"/>
  <c r="AK174" i="1"/>
  <c r="AK204" i="1"/>
  <c r="AK230" i="1"/>
  <c r="AK284" i="1"/>
  <c r="AJ314" i="1"/>
  <c r="AK328" i="1"/>
  <c r="AK315" i="1"/>
  <c r="AK378" i="1"/>
  <c r="AJ378" i="1"/>
  <c r="AK434" i="1"/>
  <c r="AJ347" i="1"/>
  <c r="AJ393" i="1"/>
  <c r="AK363" i="1"/>
  <c r="AK421" i="1"/>
  <c r="AJ482" i="1"/>
  <c r="AK529" i="1"/>
  <c r="AK604" i="1"/>
  <c r="AJ441" i="1"/>
  <c r="AJ479" i="1"/>
  <c r="AK445" i="1"/>
  <c r="AK483" i="1"/>
  <c r="AJ498" i="1"/>
  <c r="AJ546" i="1"/>
  <c r="AJ614" i="1"/>
  <c r="AK518" i="1"/>
  <c r="AK560" i="1"/>
  <c r="AJ598" i="1"/>
  <c r="AK482" i="1"/>
  <c r="AK685" i="1"/>
  <c r="AJ533" i="1"/>
  <c r="AK603" i="1"/>
  <c r="AK681" i="1"/>
  <c r="AK763" i="1"/>
  <c r="AJ727" i="1"/>
  <c r="AK639" i="1"/>
  <c r="AK724" i="1"/>
  <c r="AJ747" i="1"/>
  <c r="AK683" i="1"/>
  <c r="AK660" i="1"/>
  <c r="AJ713" i="1"/>
  <c r="AJ681" i="1"/>
  <c r="AK769" i="1"/>
  <c r="AK1617" i="1"/>
  <c r="AJ1760" i="1"/>
  <c r="AK1988" i="1"/>
  <c r="AJ2378" i="1"/>
  <c r="AJ793" i="1"/>
  <c r="AK1606" i="1"/>
  <c r="AK1741" i="1"/>
  <c r="AJ1948" i="1"/>
  <c r="AJ2366" i="1"/>
  <c r="AK789" i="1"/>
  <c r="AJ1589" i="1"/>
  <c r="AJ1748" i="1"/>
  <c r="AJ1959" i="1"/>
  <c r="AK2348" i="1"/>
  <c r="AJ1572" i="1"/>
  <c r="AK1748" i="1"/>
  <c r="AJ2131" i="1"/>
  <c r="AK1540" i="1"/>
  <c r="AJ1824" i="1"/>
  <c r="AJ1573" i="1"/>
  <c r="N607" i="1"/>
  <c r="O607" i="1" s="1"/>
  <c r="N430" i="1"/>
  <c r="O430" i="1" s="1"/>
  <c r="N359" i="1"/>
  <c r="O359" i="1" s="1"/>
  <c r="N772" i="1"/>
  <c r="O772" i="1" s="1"/>
  <c r="M156" i="1"/>
  <c r="H156" i="1"/>
  <c r="M126" i="1"/>
  <c r="H126" i="1"/>
  <c r="X254" i="1"/>
  <c r="W254" i="1" s="1"/>
  <c r="M347" i="1"/>
  <c r="H347" i="1"/>
  <c r="M276" i="1"/>
  <c r="H276" i="1"/>
  <c r="M738" i="1"/>
  <c r="H738" i="1"/>
  <c r="X120" i="1"/>
  <c r="W120" i="1" s="1"/>
  <c r="X306" i="1"/>
  <c r="W306" i="1" s="1"/>
  <c r="M333" i="1"/>
  <c r="H333" i="1"/>
  <c r="X401" i="1"/>
  <c r="W401" i="1" s="1"/>
  <c r="X582" i="1"/>
  <c r="W582" i="1" s="1"/>
  <c r="H464" i="1"/>
  <c r="M464" i="1"/>
  <c r="X758" i="1"/>
  <c r="W758" i="1" s="1"/>
  <c r="M35" i="1"/>
  <c r="H35" i="1"/>
  <c r="X286" i="1"/>
  <c r="W286" i="1" s="1"/>
  <c r="X304" i="1"/>
  <c r="W304" i="1" s="1"/>
  <c r="X731" i="1"/>
  <c r="W731" i="1" s="1"/>
  <c r="X121" i="1"/>
  <c r="W121" i="1" s="1"/>
  <c r="M544" i="1"/>
  <c r="H544" i="1"/>
  <c r="M76" i="1"/>
  <c r="H76" i="1"/>
  <c r="N451" i="1"/>
  <c r="O451" i="1" s="1"/>
  <c r="M421" i="1"/>
  <c r="H421" i="1"/>
  <c r="X84" i="1"/>
  <c r="W84" i="1" s="1"/>
  <c r="M85" i="1"/>
  <c r="H85" i="1"/>
  <c r="M413" i="1"/>
  <c r="H413" i="1"/>
  <c r="X87" i="1"/>
  <c r="W87" i="1" s="1"/>
  <c r="N295" i="1"/>
  <c r="O295" i="1" s="1"/>
  <c r="X652" i="1"/>
  <c r="W652" i="1" s="1"/>
  <c r="X528" i="1"/>
  <c r="W528" i="1" s="1"/>
  <c r="X373" i="1"/>
  <c r="W373" i="1" s="1"/>
  <c r="X85" i="1"/>
  <c r="W85" i="1" s="1"/>
  <c r="M91" i="1"/>
  <c r="H91" i="1"/>
  <c r="H25" i="1"/>
  <c r="M25" i="1"/>
  <c r="X143" i="1"/>
  <c r="W143" i="1" s="1"/>
  <c r="M198" i="1"/>
  <c r="H198" i="1"/>
  <c r="X244" i="1"/>
  <c r="W244" i="1" s="1"/>
  <c r="X249" i="1"/>
  <c r="W249" i="1" s="1"/>
  <c r="M321" i="1"/>
  <c r="H321" i="1"/>
  <c r="M389" i="1"/>
  <c r="H389" i="1"/>
  <c r="M252" i="1"/>
  <c r="H252" i="1"/>
  <c r="M316" i="1"/>
  <c r="H316" i="1"/>
  <c r="H382" i="1"/>
  <c r="M382" i="1"/>
  <c r="X384" i="1"/>
  <c r="W384" i="1" s="1"/>
  <c r="M609" i="1"/>
  <c r="H609" i="1"/>
  <c r="X544" i="1"/>
  <c r="W544" i="1" s="1"/>
  <c r="X567" i="1"/>
  <c r="W567" i="1" s="1"/>
  <c r="M553" i="1"/>
  <c r="H553" i="1"/>
  <c r="X501" i="1"/>
  <c r="W501" i="1" s="1"/>
  <c r="M708" i="1"/>
  <c r="H708" i="1"/>
  <c r="M794" i="1"/>
  <c r="H794" i="1"/>
  <c r="H695" i="1"/>
  <c r="M695" i="1"/>
  <c r="M781" i="1"/>
  <c r="H781" i="1"/>
  <c r="X70" i="1"/>
  <c r="W70" i="1" s="1"/>
  <c r="X175" i="1"/>
  <c r="W175" i="1" s="1"/>
  <c r="X258" i="1"/>
  <c r="W258" i="1" s="1"/>
  <c r="X243" i="1"/>
  <c r="W243" i="1" s="1"/>
  <c r="X308" i="1"/>
  <c r="W308" i="1" s="1"/>
  <c r="M227" i="1"/>
  <c r="H227" i="1"/>
  <c r="M493" i="1"/>
  <c r="H493" i="1"/>
  <c r="M373" i="1"/>
  <c r="H373" i="1"/>
  <c r="X453" i="1"/>
  <c r="W453" i="1" s="1"/>
  <c r="M505" i="1"/>
  <c r="H505" i="1"/>
  <c r="M310" i="1"/>
  <c r="H310" i="1"/>
  <c r="H376" i="1"/>
  <c r="M376" i="1"/>
  <c r="X372" i="1"/>
  <c r="W372" i="1" s="1"/>
  <c r="M594" i="1"/>
  <c r="H594" i="1"/>
  <c r="X530" i="1"/>
  <c r="W530" i="1" s="1"/>
  <c r="X662" i="1"/>
  <c r="W662" i="1" s="1"/>
  <c r="M555" i="1"/>
  <c r="H555" i="1"/>
  <c r="X505" i="1"/>
  <c r="W505" i="1" s="1"/>
  <c r="X724" i="1"/>
  <c r="W724" i="1" s="1"/>
  <c r="X700" i="1"/>
  <c r="W700" i="1" s="1"/>
  <c r="M724" i="1"/>
  <c r="H724" i="1"/>
  <c r="M796" i="1"/>
  <c r="H796" i="1"/>
  <c r="M761" i="1"/>
  <c r="H761" i="1"/>
  <c r="M117" i="1"/>
  <c r="H117" i="1"/>
  <c r="X77" i="1"/>
  <c r="W77" i="1" s="1"/>
  <c r="M133" i="1"/>
  <c r="H133" i="1"/>
  <c r="M78" i="1"/>
  <c r="H78" i="1"/>
  <c r="M178" i="1"/>
  <c r="H178" i="1"/>
  <c r="X227" i="1"/>
  <c r="W227" i="1" s="1"/>
  <c r="M267" i="1"/>
  <c r="H267" i="1"/>
  <c r="H142" i="1"/>
  <c r="M142" i="1"/>
  <c r="X313" i="1"/>
  <c r="W313" i="1" s="1"/>
  <c r="M273" i="1"/>
  <c r="H273" i="1"/>
  <c r="X399" i="1"/>
  <c r="W399" i="1" s="1"/>
  <c r="X590" i="1"/>
  <c r="W590" i="1" s="1"/>
  <c r="M538" i="1"/>
  <c r="H538" i="1"/>
  <c r="M585" i="1"/>
  <c r="H585" i="1"/>
  <c r="H474" i="1"/>
  <c r="M474" i="1"/>
  <c r="X468" i="1"/>
  <c r="W468" i="1" s="1"/>
  <c r="M625" i="1"/>
  <c r="H625" i="1"/>
  <c r="X543" i="1"/>
  <c r="W543" i="1" s="1"/>
  <c r="M423" i="1"/>
  <c r="H423" i="1"/>
  <c r="M638" i="1"/>
  <c r="H638" i="1"/>
  <c r="X634" i="1"/>
  <c r="W634" i="1" s="1"/>
  <c r="X803" i="1"/>
  <c r="W803" i="1" s="1"/>
  <c r="X770" i="1"/>
  <c r="W770" i="1" s="1"/>
  <c r="X95" i="1"/>
  <c r="W95" i="1" s="1"/>
  <c r="M160" i="1"/>
  <c r="H160" i="1"/>
  <c r="X141" i="1"/>
  <c r="W141" i="1" s="1"/>
  <c r="M184" i="1"/>
  <c r="H184" i="1"/>
  <c r="H157" i="1"/>
  <c r="M157" i="1"/>
  <c r="X229" i="1"/>
  <c r="W229" i="1" s="1"/>
  <c r="M317" i="1"/>
  <c r="H317" i="1"/>
  <c r="M393" i="1"/>
  <c r="H393" i="1"/>
  <c r="X404" i="1"/>
  <c r="W404" i="1" s="1"/>
  <c r="M256" i="1"/>
  <c r="H256" i="1"/>
  <c r="M320" i="1"/>
  <c r="H320" i="1"/>
  <c r="H386" i="1"/>
  <c r="M386" i="1"/>
  <c r="X392" i="1"/>
  <c r="W392" i="1" s="1"/>
  <c r="X552" i="1"/>
  <c r="W552" i="1" s="1"/>
  <c r="X452" i="1"/>
  <c r="W452" i="1" s="1"/>
  <c r="X598" i="1"/>
  <c r="W598" i="1" s="1"/>
  <c r="M568" i="1"/>
  <c r="H568" i="1"/>
  <c r="X545" i="1"/>
  <c r="W545" i="1" s="1"/>
  <c r="X608" i="1"/>
  <c r="W608" i="1" s="1"/>
  <c r="X763" i="1"/>
  <c r="W763" i="1" s="1"/>
  <c r="X787" i="1"/>
  <c r="W787" i="1" s="1"/>
  <c r="M742" i="1"/>
  <c r="H742" i="1"/>
  <c r="X774" i="1"/>
  <c r="W774" i="1" s="1"/>
  <c r="M709" i="1"/>
  <c r="H709" i="1"/>
  <c r="M785" i="1"/>
  <c r="H785" i="1"/>
  <c r="M224" i="1"/>
  <c r="H224" i="1"/>
  <c r="M182" i="1"/>
  <c r="H182" i="1"/>
  <c r="X247" i="1"/>
  <c r="W247" i="1" s="1"/>
  <c r="M46" i="1"/>
  <c r="H46" i="1"/>
  <c r="M122" i="1"/>
  <c r="H122" i="1"/>
  <c r="X92" i="1"/>
  <c r="W92" i="1" s="1"/>
  <c r="H213" i="1"/>
  <c r="M213" i="1"/>
  <c r="X437" i="1"/>
  <c r="W437" i="1" s="1"/>
  <c r="X362" i="1"/>
  <c r="W362" i="1" s="1"/>
  <c r="M498" i="1"/>
  <c r="H498" i="1"/>
  <c r="X518" i="1"/>
  <c r="W518" i="1" s="1"/>
  <c r="H442" i="1"/>
  <c r="M442" i="1"/>
  <c r="X493" i="1"/>
  <c r="W493" i="1" s="1"/>
  <c r="M409" i="1"/>
  <c r="H409" i="1"/>
  <c r="M483" i="1"/>
  <c r="H483" i="1"/>
  <c r="M653" i="1"/>
  <c r="H653" i="1"/>
  <c r="M674" i="1"/>
  <c r="H674" i="1"/>
  <c r="X751" i="1"/>
  <c r="W751" i="1" s="1"/>
  <c r="H211" i="1"/>
  <c r="M211" i="1"/>
  <c r="X78" i="1"/>
  <c r="W78" i="1" s="1"/>
  <c r="M192" i="1"/>
  <c r="H192" i="1"/>
  <c r="X266" i="1"/>
  <c r="W266" i="1" s="1"/>
  <c r="X300" i="1"/>
  <c r="W300" i="1" s="1"/>
  <c r="M223" i="1"/>
  <c r="H223" i="1"/>
  <c r="X439" i="1"/>
  <c r="W439" i="1" s="1"/>
  <c r="M369" i="1"/>
  <c r="H369" i="1"/>
  <c r="M306" i="1"/>
  <c r="H306" i="1"/>
  <c r="H372" i="1"/>
  <c r="M372" i="1"/>
  <c r="X364" i="1"/>
  <c r="W364" i="1" s="1"/>
  <c r="M605" i="1"/>
  <c r="H605" i="1"/>
  <c r="X556" i="1"/>
  <c r="W556" i="1" s="1"/>
  <c r="X440" i="1"/>
  <c r="W440" i="1" s="1"/>
  <c r="X601" i="1"/>
  <c r="W601" i="1" s="1"/>
  <c r="X549" i="1"/>
  <c r="W549" i="1" s="1"/>
  <c r="X596" i="1"/>
  <c r="W596" i="1" s="1"/>
  <c r="X791" i="1"/>
  <c r="W791" i="1" s="1"/>
  <c r="M736" i="1"/>
  <c r="H736" i="1"/>
  <c r="H701" i="1"/>
  <c r="M701" i="1"/>
  <c r="M779" i="1"/>
  <c r="H779" i="1"/>
  <c r="X17" i="1"/>
  <c r="W17" i="1" s="1"/>
  <c r="M56" i="1"/>
  <c r="H56" i="1"/>
  <c r="M124" i="1"/>
  <c r="H124" i="1"/>
  <c r="X242" i="1"/>
  <c r="W242" i="1" s="1"/>
  <c r="X428" i="1"/>
  <c r="W428" i="1" s="1"/>
  <c r="M136" i="1"/>
  <c r="H136" i="1"/>
  <c r="X333" i="1"/>
  <c r="W333" i="1" s="1"/>
  <c r="M265" i="1"/>
  <c r="H265" i="1"/>
  <c r="X423" i="1"/>
  <c r="W423" i="1" s="1"/>
  <c r="M542" i="1"/>
  <c r="H542" i="1"/>
  <c r="H478" i="1"/>
  <c r="M478" i="1"/>
  <c r="X476" i="1"/>
  <c r="W476" i="1" s="1"/>
  <c r="X551" i="1"/>
  <c r="W551" i="1" s="1"/>
  <c r="M427" i="1"/>
  <c r="H427" i="1"/>
  <c r="M599" i="1"/>
  <c r="H599" i="1"/>
  <c r="M673" i="1"/>
  <c r="H673" i="1"/>
  <c r="X737" i="1"/>
  <c r="W737" i="1" s="1"/>
  <c r="M614" i="1"/>
  <c r="H614" i="1"/>
  <c r="AJ3579" i="1"/>
  <c r="AK3542" i="1"/>
  <c r="AJ3467" i="1"/>
  <c r="AK3430" i="1"/>
  <c r="AJ3542" i="1"/>
  <c r="AJ3497" i="1"/>
  <c r="AJ3450" i="1"/>
  <c r="AK3409" i="1"/>
  <c r="AJ3374" i="1"/>
  <c r="AJ3334" i="1"/>
  <c r="AK3297" i="1"/>
  <c r="AK3265" i="1"/>
  <c r="AK3233" i="1"/>
  <c r="AK3201" i="1"/>
  <c r="AK3169" i="1"/>
  <c r="AJ3134" i="1"/>
  <c r="AJ3562" i="1"/>
  <c r="AK3525" i="1"/>
  <c r="AK3480" i="1"/>
  <c r="AJ3440" i="1"/>
  <c r="AJ3401" i="1"/>
  <c r="AJ3369" i="1"/>
  <c r="AJ3329" i="1"/>
  <c r="AK3292" i="1"/>
  <c r="AK3260" i="1"/>
  <c r="AK3560" i="1"/>
  <c r="AJ3530" i="1"/>
  <c r="AK3493" i="1"/>
  <c r="AJ3438" i="1"/>
  <c r="AK3399" i="1"/>
  <c r="AK3367" i="1"/>
  <c r="AK3335" i="1"/>
  <c r="AK3303" i="1"/>
  <c r="AK3271" i="1"/>
  <c r="AK3573" i="1"/>
  <c r="AK3536" i="1"/>
  <c r="AK3496" i="1"/>
  <c r="AK3449" i="1"/>
  <c r="AJ3410" i="1"/>
  <c r="AJ3378" i="1"/>
  <c r="AK3341" i="1"/>
  <c r="AK3309" i="1"/>
  <c r="AJ3274" i="1"/>
  <c r="AK3237" i="1"/>
  <c r="AK3205" i="1"/>
  <c r="AJ3170" i="1"/>
  <c r="AJ3106" i="1"/>
  <c r="AK3076" i="1"/>
  <c r="AJ3041" i="1"/>
  <c r="AK3004" i="1"/>
  <c r="AK2974" i="1"/>
  <c r="AJ3514" i="1"/>
  <c r="AJ3474" i="1"/>
  <c r="AJ3187" i="1"/>
  <c r="AJ3155" i="1"/>
  <c r="AK3104" i="1"/>
  <c r="AK3064" i="1"/>
  <c r="AK3029" i="1"/>
  <c r="AK2992" i="1"/>
  <c r="AK2959" i="1"/>
  <c r="AK2931" i="1"/>
  <c r="AK2899" i="1"/>
  <c r="AK2867" i="1"/>
  <c r="AK2803" i="1"/>
  <c r="AK2771" i="1"/>
  <c r="AK2739" i="1"/>
  <c r="AK2699" i="1"/>
  <c r="AJ2664" i="1"/>
  <c r="AJ2632" i="1"/>
  <c r="AJ2592" i="1"/>
  <c r="AJ3575" i="1"/>
  <c r="AJ3504" i="1"/>
  <c r="AK3384" i="1"/>
  <c r="AK3296" i="1"/>
  <c r="AJ3231" i="1"/>
  <c r="AK3199" i="1"/>
  <c r="AJ3104" i="1"/>
  <c r="AK3032" i="1"/>
  <c r="AJ2992" i="1"/>
  <c r="AJ2959" i="1"/>
  <c r="AJ2923" i="1"/>
  <c r="AJ2891" i="1"/>
  <c r="AJ2859" i="1"/>
  <c r="AJ2827" i="1"/>
  <c r="AJ2795" i="1"/>
  <c r="AJ2763" i="1"/>
  <c r="AJ2723" i="1"/>
  <c r="AK2686" i="1"/>
  <c r="AJ2651" i="1"/>
  <c r="AJ2619" i="1"/>
  <c r="AK3439" i="1"/>
  <c r="AK3398" i="1"/>
  <c r="AJ3376" i="1"/>
  <c r="AK3294" i="1"/>
  <c r="AJ3272" i="1"/>
  <c r="AK3211" i="1"/>
  <c r="AK3174" i="1"/>
  <c r="AK3548" i="1"/>
  <c r="AJ3462" i="1"/>
  <c r="AJ3415" i="1"/>
  <c r="AJ3309" i="1"/>
  <c r="AJ3243" i="1"/>
  <c r="AJ3209" i="1"/>
  <c r="AK3142" i="1"/>
  <c r="AJ3112" i="1"/>
  <c r="AJ3067" i="1"/>
  <c r="AK3025" i="1"/>
  <c r="AK2980" i="1"/>
  <c r="AK2945" i="1"/>
  <c r="AJ2913" i="1"/>
  <c r="AK3529" i="1"/>
  <c r="AJ3501" i="1"/>
  <c r="AJ3195" i="1"/>
  <c r="AJ3163" i="1"/>
  <c r="AK3115" i="1"/>
  <c r="AK3070" i="1"/>
  <c r="AJ3030" i="1"/>
  <c r="AK2993" i="1"/>
  <c r="AJ2960" i="1"/>
  <c r="AJ2924" i="1"/>
  <c r="AJ2892" i="1"/>
  <c r="AJ2860" i="1"/>
  <c r="AJ2820" i="1"/>
  <c r="AJ2788" i="1"/>
  <c r="AJ3566" i="1"/>
  <c r="AK3484" i="1"/>
  <c r="AK3371" i="1"/>
  <c r="AK3275" i="1"/>
  <c r="AK3228" i="1"/>
  <c r="AJ3184" i="1"/>
  <c r="AK3136" i="1"/>
  <c r="AK3108" i="1"/>
  <c r="AJ3070" i="1"/>
  <c r="AJ3028" i="1"/>
  <c r="AK2986" i="1"/>
  <c r="AK3549" i="1"/>
  <c r="AJ3432" i="1"/>
  <c r="AJ3391" i="1"/>
  <c r="AJ3371" i="1"/>
  <c r="AK3328" i="1"/>
  <c r="AJ3291" i="1"/>
  <c r="AJ3269" i="1"/>
  <c r="AK3203" i="1"/>
  <c r="AK3166" i="1"/>
  <c r="AJ3113" i="1"/>
  <c r="AK3073" i="1"/>
  <c r="AK3026" i="1"/>
  <c r="AJ2986" i="1"/>
  <c r="AK2941" i="1"/>
  <c r="AK2861" i="1"/>
  <c r="AJ2826" i="1"/>
  <c r="AJ3255" i="1"/>
  <c r="AK3066" i="1"/>
  <c r="AK2810" i="1"/>
  <c r="AK2708" i="1"/>
  <c r="AK2664" i="1"/>
  <c r="AK2623" i="1"/>
  <c r="AK2586" i="1"/>
  <c r="AJ2550" i="1"/>
  <c r="AK2513" i="1"/>
  <c r="AK2475" i="1"/>
  <c r="AJ3336" i="1"/>
  <c r="AK3112" i="1"/>
  <c r="AK2956" i="1"/>
  <c r="AK2906" i="1"/>
  <c r="AJ2839" i="1"/>
  <c r="AJ2797" i="1"/>
  <c r="AK2744" i="1"/>
  <c r="AJ2706" i="1"/>
  <c r="AJ2655" i="1"/>
  <c r="AK2614" i="1"/>
  <c r="AK2574" i="1"/>
  <c r="AK2540" i="1"/>
  <c r="AK2508" i="1"/>
  <c r="AK2470" i="1"/>
  <c r="AJ3087" i="1"/>
  <c r="AJ2962" i="1"/>
  <c r="AJ2825" i="1"/>
  <c r="AK2695" i="1"/>
  <c r="AJ2653" i="1"/>
  <c r="AK2609" i="1"/>
  <c r="AJ2569" i="1"/>
  <c r="AJ2540" i="1"/>
  <c r="AJ2508" i="1"/>
  <c r="AK2473" i="1"/>
  <c r="AK2438" i="1"/>
  <c r="AK2402" i="1"/>
  <c r="AK2366" i="1"/>
  <c r="AK2326" i="1"/>
  <c r="AJ2293" i="1"/>
  <c r="AJ2257" i="1"/>
  <c r="AJ2225" i="1"/>
  <c r="AJ2193" i="1"/>
  <c r="AJ2161" i="1"/>
  <c r="AJ2117" i="1"/>
  <c r="AJ2081" i="1"/>
  <c r="AJ2049" i="1"/>
  <c r="AJ2017" i="1"/>
  <c r="AJ1981" i="1"/>
  <c r="AJ1949" i="1"/>
  <c r="AJ1917" i="1"/>
  <c r="AJ1885" i="1"/>
  <c r="AJ1849" i="1"/>
  <c r="AJ1813" i="1"/>
  <c r="AJ1781" i="1"/>
  <c r="AJ1745" i="1"/>
  <c r="AJ1713" i="1"/>
  <c r="AJ1669" i="1"/>
  <c r="AJ1637" i="1"/>
  <c r="AJ3463" i="1"/>
  <c r="AJ3096" i="1"/>
  <c r="AK2929" i="1"/>
  <c r="AK2852" i="1"/>
  <c r="AK2756" i="1"/>
  <c r="AJ2711" i="1"/>
  <c r="AK2665" i="1"/>
  <c r="AJ3349" i="1"/>
  <c r="AK3061" i="1"/>
  <c r="AJ2817" i="1"/>
  <c r="AJ2770" i="1"/>
  <c r="AK2714" i="1"/>
  <c r="AJ2665" i="1"/>
  <c r="AK2624" i="1"/>
  <c r="AJ2587" i="1"/>
  <c r="AJ2554" i="1"/>
  <c r="AK2517" i="1"/>
  <c r="AK2479" i="1"/>
  <c r="AK2441" i="1"/>
  <c r="AK2397" i="1"/>
  <c r="AK2361" i="1"/>
  <c r="AK2329" i="1"/>
  <c r="AJ2284" i="1"/>
  <c r="AJ2248" i="1"/>
  <c r="AJ2216" i="1"/>
  <c r="AJ2176" i="1"/>
  <c r="AJ2132" i="1"/>
  <c r="AJ2088" i="1"/>
  <c r="AJ2056" i="1"/>
  <c r="AJ3196" i="1"/>
  <c r="AK3024" i="1"/>
  <c r="AK2922" i="1"/>
  <c r="AK2881" i="1"/>
  <c r="AK2826" i="1"/>
  <c r="AK2759" i="1"/>
  <c r="AJ2700" i="1"/>
  <c r="AJ2654" i="1"/>
  <c r="AK2605" i="1"/>
  <c r="AJ2557" i="1"/>
  <c r="AK2520" i="1"/>
  <c r="AJ2487" i="1"/>
  <c r="AJ2445" i="1"/>
  <c r="AJ2401" i="1"/>
  <c r="AJ2369" i="1"/>
  <c r="AJ2333" i="1"/>
  <c r="AK2295" i="1"/>
  <c r="AK2259" i="1"/>
  <c r="AK2223" i="1"/>
  <c r="AK2187" i="1"/>
  <c r="AK2151" i="1"/>
  <c r="AK2119" i="1"/>
  <c r="AK2087" i="1"/>
  <c r="AK2055" i="1"/>
  <c r="AK2019" i="1"/>
  <c r="AK1979" i="1"/>
  <c r="AK1947" i="1"/>
  <c r="AK1911" i="1"/>
  <c r="AK1879" i="1"/>
  <c r="AK1847" i="1"/>
  <c r="AK1799" i="1"/>
  <c r="AK1723" i="1"/>
  <c r="AK1691" i="1"/>
  <c r="AK1647" i="1"/>
  <c r="AK1615" i="1"/>
  <c r="AK1575" i="1"/>
  <c r="AK1543" i="1"/>
  <c r="AK3251" i="1"/>
  <c r="AK2999" i="1"/>
  <c r="AJ2678" i="1"/>
  <c r="AJ2567" i="1"/>
  <c r="AK2444" i="1"/>
  <c r="AK2399" i="1"/>
  <c r="AK2332" i="1"/>
  <c r="AJ2278" i="1"/>
  <c r="AK2229" i="1"/>
  <c r="AK2181" i="1"/>
  <c r="AK2122" i="1"/>
  <c r="AJ2074" i="1"/>
  <c r="AK2028" i="1"/>
  <c r="AK1982" i="1"/>
  <c r="AJ1940" i="1"/>
  <c r="AK1892" i="1"/>
  <c r="AJ1835" i="1"/>
  <c r="AJ2877" i="1"/>
  <c r="AK2680" i="1"/>
  <c r="AK2531" i="1"/>
  <c r="AJ2451" i="1"/>
  <c r="AJ2392" i="1"/>
  <c r="AJ2315" i="1"/>
  <c r="AJ2271" i="1"/>
  <c r="AJ2215" i="1"/>
  <c r="AJ2167" i="1"/>
  <c r="AJ2110" i="1"/>
  <c r="AK2060" i="1"/>
  <c r="AK2017" i="1"/>
  <c r="AJ1966" i="1"/>
  <c r="AK1918" i="1"/>
  <c r="AJ1876" i="1"/>
  <c r="AJ1830" i="1"/>
  <c r="AK2952" i="1"/>
  <c r="AK2668" i="1"/>
  <c r="AK2547" i="1"/>
  <c r="AJ2456" i="1"/>
  <c r="AK2391" i="1"/>
  <c r="AK2324" i="1"/>
  <c r="AK2276" i="1"/>
  <c r="AK2221" i="1"/>
  <c r="AK2166" i="1"/>
  <c r="AK2109" i="1"/>
  <c r="AK2818" i="1"/>
  <c r="AJ2628" i="1"/>
  <c r="AK3015" i="1"/>
  <c r="AJ2743" i="1"/>
  <c r="AK2526" i="1"/>
  <c r="AJ2466" i="1"/>
  <c r="AJ3571" i="1"/>
  <c r="AJ3539" i="1"/>
  <c r="AJ3499" i="1"/>
  <c r="AK3462" i="1"/>
  <c r="AK3577" i="1"/>
  <c r="AJ3537" i="1"/>
  <c r="AJ3492" i="1"/>
  <c r="AK3440" i="1"/>
  <c r="AK3401" i="1"/>
  <c r="AK3369" i="1"/>
  <c r="AK3329" i="1"/>
  <c r="AJ3294" i="1"/>
  <c r="AJ3262" i="1"/>
  <c r="AJ3230" i="1"/>
  <c r="AJ3198" i="1"/>
  <c r="AJ3166" i="1"/>
  <c r="AK3129" i="1"/>
  <c r="AJ3557" i="1"/>
  <c r="AK3520" i="1"/>
  <c r="AK3475" i="1"/>
  <c r="AK3433" i="1"/>
  <c r="AK3396" i="1"/>
  <c r="AK3364" i="1"/>
  <c r="AK3324" i="1"/>
  <c r="AJ3289" i="1"/>
  <c r="AJ3257" i="1"/>
  <c r="AK3555" i="1"/>
  <c r="AJ3525" i="1"/>
  <c r="AK3488" i="1"/>
  <c r="AJ3433" i="1"/>
  <c r="AJ3396" i="1"/>
  <c r="AJ3364" i="1"/>
  <c r="AJ3332" i="1"/>
  <c r="AJ3300" i="1"/>
  <c r="AJ3268" i="1"/>
  <c r="AK3568" i="1"/>
  <c r="AJ3528" i="1"/>
  <c r="AK3491" i="1"/>
  <c r="AJ3441" i="1"/>
  <c r="AK3373" i="1"/>
  <c r="AJ3338" i="1"/>
  <c r="AK3301" i="1"/>
  <c r="AK3269" i="1"/>
  <c r="AJ3234" i="1"/>
  <c r="AK3197" i="1"/>
  <c r="AK3165" i="1"/>
  <c r="AK3133" i="1"/>
  <c r="AK3101" i="1"/>
  <c r="AJ3073" i="1"/>
  <c r="AK3036" i="1"/>
  <c r="AJ3001" i="1"/>
  <c r="AK2966" i="1"/>
  <c r="AJ3534" i="1"/>
  <c r="AK3512" i="1"/>
  <c r="AK3457" i="1"/>
  <c r="AK3231" i="1"/>
  <c r="AJ3185" i="1"/>
  <c r="AJ3153" i="1"/>
  <c r="AK3094" i="1"/>
  <c r="AJ3061" i="1"/>
  <c r="AJ3024" i="1"/>
  <c r="AJ2956" i="1"/>
  <c r="AJ2928" i="1"/>
  <c r="AJ2896" i="1"/>
  <c r="AJ2864" i="1"/>
  <c r="AJ2832" i="1"/>
  <c r="AJ2800" i="1"/>
  <c r="AJ2768" i="1"/>
  <c r="AJ2696" i="1"/>
  <c r="AK2659" i="1"/>
  <c r="AK2627" i="1"/>
  <c r="AK2587" i="1"/>
  <c r="AK3571" i="1"/>
  <c r="AJ3498" i="1"/>
  <c r="AK3376" i="1"/>
  <c r="AK3288" i="1"/>
  <c r="AJ3229" i="1"/>
  <c r="AJ3192" i="1"/>
  <c r="AJ3137" i="1"/>
  <c r="AK3097" i="1"/>
  <c r="AJ3064" i="1"/>
  <c r="AJ3029" i="1"/>
  <c r="AJ2987" i="1"/>
  <c r="AJ2954" i="1"/>
  <c r="AK2918" i="1"/>
  <c r="AK2886" i="1"/>
  <c r="AK2854" i="1"/>
  <c r="AK2822" i="1"/>
  <c r="AK2790" i="1"/>
  <c r="AK2758" i="1"/>
  <c r="AK2718" i="1"/>
  <c r="AJ2683" i="1"/>
  <c r="AJ3573" i="1"/>
  <c r="AK3437" i="1"/>
  <c r="AK3394" i="1"/>
  <c r="AK3374" i="1"/>
  <c r="AK3323" i="1"/>
  <c r="AK3290" i="1"/>
  <c r="AK3270" i="1"/>
  <c r="AJ3204" i="1"/>
  <c r="AK3172" i="1"/>
  <c r="AK3519" i="1"/>
  <c r="AK3452" i="1"/>
  <c r="AJ3413" i="1"/>
  <c r="AJ3327" i="1"/>
  <c r="AJ3307" i="1"/>
  <c r="AJ3241" i="1"/>
  <c r="AK3195" i="1"/>
  <c r="AK3140" i="1"/>
  <c r="AJ3107" i="1"/>
  <c r="AK3055" i="1"/>
  <c r="AJ3020" i="1"/>
  <c r="AK2975" i="1"/>
  <c r="AK2940" i="1"/>
  <c r="AK2908" i="1"/>
  <c r="AK3523" i="1"/>
  <c r="AJ3493" i="1"/>
  <c r="AK3344" i="1"/>
  <c r="AJ3193" i="1"/>
  <c r="AJ3161" i="1"/>
  <c r="AK3110" i="1"/>
  <c r="AK3065" i="1"/>
  <c r="AK3018" i="1"/>
  <c r="AK2955" i="1"/>
  <c r="AK2887" i="1"/>
  <c r="AK2855" i="1"/>
  <c r="AK2815" i="1"/>
  <c r="AK2783" i="1"/>
  <c r="AK3564" i="1"/>
  <c r="AK3469" i="1"/>
  <c r="AK3355" i="1"/>
  <c r="AK3267" i="1"/>
  <c r="AJ3221" i="1"/>
  <c r="AK3175" i="1"/>
  <c r="AJ3131" i="1"/>
  <c r="AK3103" i="1"/>
  <c r="AK3058" i="1"/>
  <c r="AJ3018" i="1"/>
  <c r="AJ2978" i="1"/>
  <c r="AK3543" i="1"/>
  <c r="AK3424" i="1"/>
  <c r="AJ3389" i="1"/>
  <c r="AJ3367" i="1"/>
  <c r="AJ3287" i="1"/>
  <c r="AJ3267" i="1"/>
  <c r="AK3198" i="1"/>
  <c r="AK3164" i="1"/>
  <c r="AJ3108" i="1"/>
  <c r="AJ3068" i="1"/>
  <c r="AK3021" i="1"/>
  <c r="AK2984" i="1"/>
  <c r="AJ2938" i="1"/>
  <c r="AJ2906" i="1"/>
  <c r="AJ2858" i="1"/>
  <c r="AK3514" i="1"/>
  <c r="AJ3233" i="1"/>
  <c r="AK3037" i="1"/>
  <c r="AJ2801" i="1"/>
  <c r="AJ2762" i="1"/>
  <c r="AK2706" i="1"/>
  <c r="AJ2657" i="1"/>
  <c r="AK2616" i="1"/>
  <c r="AK2581" i="1"/>
  <c r="AK2545" i="1"/>
  <c r="AJ2510" i="1"/>
  <c r="AJ2472" i="1"/>
  <c r="AK3310" i="1"/>
  <c r="AK3081" i="1"/>
  <c r="AK2947" i="1"/>
  <c r="AK2904" i="1"/>
  <c r="AJ2837" i="1"/>
  <c r="AK2780" i="1"/>
  <c r="AJ2737" i="1"/>
  <c r="AK2697" i="1"/>
  <c r="AK2653" i="1"/>
  <c r="AJ2606" i="1"/>
  <c r="AK2569" i="1"/>
  <c r="AJ2537" i="1"/>
  <c r="AJ2505" i="1"/>
  <c r="AK3561" i="1"/>
  <c r="AK3072" i="1"/>
  <c r="AK2951" i="1"/>
  <c r="AJ2823" i="1"/>
  <c r="AJ2767" i="1"/>
  <c r="AJ2730" i="1"/>
  <c r="AK2688" i="1"/>
  <c r="AK2644" i="1"/>
  <c r="AK2604" i="1"/>
  <c r="AK2567" i="1"/>
  <c r="AK2535" i="1"/>
  <c r="AK2503" i="1"/>
  <c r="AJ2470" i="1"/>
  <c r="AK2434" i="1"/>
  <c r="AK2398" i="1"/>
  <c r="AK2362" i="1"/>
  <c r="AK2322" i="1"/>
  <c r="AJ2289" i="1"/>
  <c r="AJ2253" i="1"/>
  <c r="AJ2221" i="1"/>
  <c r="AJ2189" i="1"/>
  <c r="AJ2157" i="1"/>
  <c r="AJ2113" i="1"/>
  <c r="AJ2077" i="1"/>
  <c r="AJ2045" i="1"/>
  <c r="AJ2013" i="1"/>
  <c r="AJ1977" i="1"/>
  <c r="AJ1945" i="1"/>
  <c r="AJ1913" i="1"/>
  <c r="AJ1881" i="1"/>
  <c r="AJ1841" i="1"/>
  <c r="AJ1809" i="1"/>
  <c r="AJ1777" i="1"/>
  <c r="AJ1741" i="1"/>
  <c r="AJ1709" i="1"/>
  <c r="AJ1665" i="1"/>
  <c r="AJ1633" i="1"/>
  <c r="AK3414" i="1"/>
  <c r="AK3089" i="1"/>
  <c r="AJ2927" i="1"/>
  <c r="AJ2821" i="1"/>
  <c r="AK2754" i="1"/>
  <c r="AK2709" i="1"/>
  <c r="AJ2660" i="1"/>
  <c r="AJ3328" i="1"/>
  <c r="AJ3036" i="1"/>
  <c r="AJ2815" i="1"/>
  <c r="AK2761" i="1"/>
  <c r="AJ2709" i="1"/>
  <c r="AK2663" i="1"/>
  <c r="AJ2617" i="1"/>
  <c r="AJ2577" i="1"/>
  <c r="AK2549" i="1"/>
  <c r="AJ2514" i="1"/>
  <c r="AK2471" i="1"/>
  <c r="AK2429" i="1"/>
  <c r="AK2393" i="1"/>
  <c r="AK2357" i="1"/>
  <c r="AK2325" i="1"/>
  <c r="AJ2280" i="1"/>
  <c r="AJ2244" i="1"/>
  <c r="AJ2212" i="1"/>
  <c r="AJ2172" i="1"/>
  <c r="AJ2124" i="1"/>
  <c r="AJ2084" i="1"/>
  <c r="AJ3442" i="1"/>
  <c r="AJ3144" i="1"/>
  <c r="AK2995" i="1"/>
  <c r="AK2920" i="1"/>
  <c r="AJ2846" i="1"/>
  <c r="AK2809" i="1"/>
  <c r="AK2752" i="1"/>
  <c r="AJ2698" i="1"/>
  <c r="AK2600" i="1"/>
  <c r="AK2552" i="1"/>
  <c r="AJ2517" i="1"/>
  <c r="AJ2479" i="1"/>
  <c r="AJ2441" i="1"/>
  <c r="AJ2397" i="1"/>
  <c r="AJ2361" i="1"/>
  <c r="AJ2329" i="1"/>
  <c r="AK2291" i="1"/>
  <c r="AK2255" i="1"/>
  <c r="AK2219" i="1"/>
  <c r="AK2179" i="1"/>
  <c r="AK2147" i="1"/>
  <c r="AK2115" i="1"/>
  <c r="AK2083" i="1"/>
  <c r="AK2047" i="1"/>
  <c r="AK2015" i="1"/>
  <c r="AK1975" i="1"/>
  <c r="AK1943" i="1"/>
  <c r="AK1907" i="1"/>
  <c r="AK1875" i="1"/>
  <c r="AK1843" i="1"/>
  <c r="AK1795" i="1"/>
  <c r="AK1759" i="1"/>
  <c r="AK1719" i="1"/>
  <c r="AK1687" i="1"/>
  <c r="AK1643" i="1"/>
  <c r="AK1611" i="1"/>
  <c r="AK1571" i="1"/>
  <c r="AK1539" i="1"/>
  <c r="AK3210" i="1"/>
  <c r="AJ3253" i="1"/>
  <c r="AK2985" i="1"/>
  <c r="AK2857" i="1"/>
  <c r="AK2657" i="1"/>
  <c r="AJ2552" i="1"/>
  <c r="AJ2439" i="1"/>
  <c r="AK2392" i="1"/>
  <c r="AJ2327" i="1"/>
  <c r="AK2272" i="1"/>
  <c r="AK2222" i="1"/>
  <c r="AK2174" i="1"/>
  <c r="AK2117" i="1"/>
  <c r="AJ2067" i="1"/>
  <c r="AJ2023" i="1"/>
  <c r="AK1977" i="1"/>
  <c r="AJ1930" i="1"/>
  <c r="AJ1887" i="1"/>
  <c r="AK1830" i="1"/>
  <c r="AJ2652" i="1"/>
  <c r="AJ2527" i="1"/>
  <c r="AJ2444" i="1"/>
  <c r="AJ2387" i="1"/>
  <c r="AJ2311" i="1"/>
  <c r="AK3566" i="1"/>
  <c r="AK3534" i="1"/>
  <c r="AK3494" i="1"/>
  <c r="AJ3459" i="1"/>
  <c r="AJ3564" i="1"/>
  <c r="AK3490" i="1"/>
  <c r="AK3435" i="1"/>
  <c r="AJ3398" i="1"/>
  <c r="AJ3366" i="1"/>
  <c r="AJ3326" i="1"/>
  <c r="AK3289" i="1"/>
  <c r="AK3257" i="1"/>
  <c r="AK3225" i="1"/>
  <c r="AK3193" i="1"/>
  <c r="AK3161" i="1"/>
  <c r="AJ3126" i="1"/>
  <c r="AJ3552" i="1"/>
  <c r="AK3515" i="1"/>
  <c r="AJ3470" i="1"/>
  <c r="AK3428" i="1"/>
  <c r="AJ3361" i="1"/>
  <c r="AJ3321" i="1"/>
  <c r="AK3284" i="1"/>
  <c r="AK3580" i="1"/>
  <c r="AJ3550" i="1"/>
  <c r="AJ3520" i="1"/>
  <c r="AJ3480" i="1"/>
  <c r="AJ3428" i="1"/>
  <c r="AK3391" i="1"/>
  <c r="AK3359" i="1"/>
  <c r="AK3327" i="1"/>
  <c r="AK3295" i="1"/>
  <c r="AK3263" i="1"/>
  <c r="AK3563" i="1"/>
  <c r="AJ3486" i="1"/>
  <c r="AJ3436" i="1"/>
  <c r="AJ3402" i="1"/>
  <c r="AJ3370" i="1"/>
  <c r="AK3333" i="1"/>
  <c r="AJ3298" i="1"/>
  <c r="AK3261" i="1"/>
  <c r="AK3229" i="1"/>
  <c r="AJ3194" i="1"/>
  <c r="AJ3162" i="1"/>
  <c r="AJ3130" i="1"/>
  <c r="AJ3098" i="1"/>
  <c r="AK3068" i="1"/>
  <c r="AJ3033" i="1"/>
  <c r="AK2996" i="1"/>
  <c r="AJ2963" i="1"/>
  <c r="AJ3508" i="1"/>
  <c r="AK3451" i="1"/>
  <c r="AJ3224" i="1"/>
  <c r="AK3178" i="1"/>
  <c r="AJ3148" i="1"/>
  <c r="AJ3089" i="1"/>
  <c r="AK3059" i="1"/>
  <c r="AJ3019" i="1"/>
  <c r="AK2987" i="1"/>
  <c r="AK2954" i="1"/>
  <c r="AK2923" i="1"/>
  <c r="AK2891" i="1"/>
  <c r="AK2859" i="1"/>
  <c r="AK2827" i="1"/>
  <c r="AK2795" i="1"/>
  <c r="AK2763" i="1"/>
  <c r="AJ2728" i="1"/>
  <c r="AK2691" i="1"/>
  <c r="AJ2656" i="1"/>
  <c r="AJ2624" i="1"/>
  <c r="AJ2584" i="1"/>
  <c r="AJ3565" i="1"/>
  <c r="AJ3496" i="1"/>
  <c r="AK3280" i="1"/>
  <c r="AK3222" i="1"/>
  <c r="AK3183" i="1"/>
  <c r="AK3130" i="1"/>
  <c r="AJ3094" i="1"/>
  <c r="AJ3059" i="1"/>
  <c r="AK3027" i="1"/>
  <c r="AJ2983" i="1"/>
  <c r="AJ2949" i="1"/>
  <c r="AJ2915" i="1"/>
  <c r="AJ2883" i="1"/>
  <c r="AJ2851" i="1"/>
  <c r="AJ2819" i="1"/>
  <c r="AJ2787" i="1"/>
  <c r="AJ2755" i="1"/>
  <c r="AK2710" i="1"/>
  <c r="AK2678" i="1"/>
  <c r="AJ2643" i="1"/>
  <c r="AJ3429" i="1"/>
  <c r="AJ3392" i="1"/>
  <c r="AK3370" i="1"/>
  <c r="AK3315" i="1"/>
  <c r="AJ3288" i="1"/>
  <c r="AK3264" i="1"/>
  <c r="AJ3199" i="1"/>
  <c r="AJ3167" i="1"/>
  <c r="AK3509" i="1"/>
  <c r="AK3441" i="1"/>
  <c r="AJ3411" i="1"/>
  <c r="AJ3325" i="1"/>
  <c r="AJ3264" i="1"/>
  <c r="AK3234" i="1"/>
  <c r="AJ3188" i="1"/>
  <c r="AJ3135" i="1"/>
  <c r="AK3105" i="1"/>
  <c r="AJ3047" i="1"/>
  <c r="AJ3015" i="1"/>
  <c r="AK2970" i="1"/>
  <c r="AJ2937" i="1"/>
  <c r="AJ2905" i="1"/>
  <c r="AJ3481" i="1"/>
  <c r="AK3250" i="1"/>
  <c r="AK3186" i="1"/>
  <c r="AK3154" i="1"/>
  <c r="AJ3105" i="1"/>
  <c r="AJ3060" i="1"/>
  <c r="AK3013" i="1"/>
  <c r="AJ2980" i="1"/>
  <c r="AJ2950" i="1"/>
  <c r="AJ2916" i="1"/>
  <c r="AJ2884" i="1"/>
  <c r="AJ2852" i="1"/>
  <c r="AJ2812" i="1"/>
  <c r="AJ2780" i="1"/>
  <c r="AK3539" i="1"/>
  <c r="AK3456" i="1"/>
  <c r="AJ3344" i="1"/>
  <c r="AJ3248" i="1"/>
  <c r="AK3214" i="1"/>
  <c r="AJ3168" i="1"/>
  <c r="AJ3129" i="1"/>
  <c r="AK3098" i="1"/>
  <c r="AJ3050" i="1"/>
  <c r="AK3016" i="1"/>
  <c r="AJ2973" i="1"/>
  <c r="AJ3484" i="1"/>
  <c r="AK3416" i="1"/>
  <c r="AJ3387" i="1"/>
  <c r="AJ3365" i="1"/>
  <c r="AJ3285" i="1"/>
  <c r="AK3259" i="1"/>
  <c r="AK3196" i="1"/>
  <c r="AJ3159" i="1"/>
  <c r="AJ3103" i="1"/>
  <c r="AJ3058" i="1"/>
  <c r="AJ3016" i="1"/>
  <c r="AK2976" i="1"/>
  <c r="AK2933" i="1"/>
  <c r="AK2901" i="1"/>
  <c r="AK2853" i="1"/>
  <c r="AK3447" i="1"/>
  <c r="AK3226" i="1"/>
  <c r="AK2892" i="1"/>
  <c r="AJ2799" i="1"/>
  <c r="AK2753" i="1"/>
  <c r="AJ2701" i="1"/>
  <c r="AK2655" i="1"/>
  <c r="AK2606" i="1"/>
  <c r="AK2576" i="1"/>
  <c r="AK2537" i="1"/>
  <c r="AK2505" i="1"/>
  <c r="AK2467" i="1"/>
  <c r="AK3057" i="1"/>
  <c r="AK2938" i="1"/>
  <c r="AJ2902" i="1"/>
  <c r="AJ2833" i="1"/>
  <c r="AJ2778" i="1"/>
  <c r="AJ2690" i="1"/>
  <c r="AJ2601" i="1"/>
  <c r="AK2564" i="1"/>
  <c r="AK2532" i="1"/>
  <c r="AK2494" i="1"/>
  <c r="AJ3551" i="1"/>
  <c r="AK3046" i="1"/>
  <c r="AK2884" i="1"/>
  <c r="AK2821" i="1"/>
  <c r="AK2765" i="1"/>
  <c r="AJ2725" i="1"/>
  <c r="AJ2681" i="1"/>
  <c r="AK2642" i="1"/>
  <c r="AJ2599" i="1"/>
  <c r="AJ2564" i="1"/>
  <c r="AJ2532" i="1"/>
  <c r="AK2497" i="1"/>
  <c r="AK2466" i="1"/>
  <c r="AK2430" i="1"/>
  <c r="AK2394" i="1"/>
  <c r="AK2354" i="1"/>
  <c r="AK2318" i="1"/>
  <c r="AJ2285" i="1"/>
  <c r="AJ2249" i="1"/>
  <c r="AJ2217" i="1"/>
  <c r="AJ2185" i="1"/>
  <c r="AJ2153" i="1"/>
  <c r="AJ2109" i="1"/>
  <c r="AJ2073" i="1"/>
  <c r="AJ2041" i="1"/>
  <c r="AJ2009" i="1"/>
  <c r="AJ1973" i="1"/>
  <c r="AJ1941" i="1"/>
  <c r="AJ1909" i="1"/>
  <c r="AJ1877" i="1"/>
  <c r="AJ1837" i="1"/>
  <c r="AJ1805" i="1"/>
  <c r="AJ1773" i="1"/>
  <c r="AJ1737" i="1"/>
  <c r="AJ1705" i="1"/>
  <c r="AJ1629" i="1"/>
  <c r="AJ3347" i="1"/>
  <c r="AJ3074" i="1"/>
  <c r="AJ2925" i="1"/>
  <c r="AK2868" i="1"/>
  <c r="AK2817" i="1"/>
  <c r="AJ2749" i="1"/>
  <c r="AJ2702" i="1"/>
  <c r="AJ2658" i="1"/>
  <c r="AJ3261" i="1"/>
  <c r="AJ3002" i="1"/>
  <c r="AK2800" i="1"/>
  <c r="AJ2756" i="1"/>
  <c r="AK2700" i="1"/>
  <c r="AK2656" i="1"/>
  <c r="AK2615" i="1"/>
  <c r="AK2575" i="1"/>
  <c r="AJ2546" i="1"/>
  <c r="AJ2506" i="1"/>
  <c r="AJ2468" i="1"/>
  <c r="AK2425" i="1"/>
  <c r="AK2389" i="1"/>
  <c r="AK2353" i="1"/>
  <c r="AK2321" i="1"/>
  <c r="AJ2276" i="1"/>
  <c r="AJ2240" i="1"/>
  <c r="AJ2208" i="1"/>
  <c r="AJ2168" i="1"/>
  <c r="AJ2116" i="1"/>
  <c r="AJ2080" i="1"/>
  <c r="AK3118" i="1"/>
  <c r="AJ2966" i="1"/>
  <c r="AJ2918" i="1"/>
  <c r="AK2844" i="1"/>
  <c r="AK2796" i="1"/>
  <c r="AJ2745" i="1"/>
  <c r="AK2689" i="1"/>
  <c r="AK2585" i="1"/>
  <c r="AJ2549" i="1"/>
  <c r="AK2512" i="1"/>
  <c r="AK2474" i="1"/>
  <c r="AJ2429" i="1"/>
  <c r="AJ2393" i="1"/>
  <c r="AJ2357" i="1"/>
  <c r="AJ2325" i="1"/>
  <c r="AK2287" i="1"/>
  <c r="AK2247" i="1"/>
  <c r="AK2215" i="1"/>
  <c r="AK2175" i="1"/>
  <c r="AK2143" i="1"/>
  <c r="AK2111" i="1"/>
  <c r="AK2079" i="1"/>
  <c r="AK2043" i="1"/>
  <c r="AK2011" i="1"/>
  <c r="AK1971" i="1"/>
  <c r="AK1939" i="1"/>
  <c r="AK1903" i="1"/>
  <c r="AK1871" i="1"/>
  <c r="AK1839" i="1"/>
  <c r="AK1791" i="1"/>
  <c r="AK1755" i="1"/>
  <c r="AK1715" i="1"/>
  <c r="AK1671" i="1"/>
  <c r="AK1639" i="1"/>
  <c r="AK1607" i="1"/>
  <c r="AK1567" i="1"/>
  <c r="AK1535" i="1"/>
  <c r="AK3155" i="1"/>
  <c r="AK3224" i="1"/>
  <c r="AJ2972" i="1"/>
  <c r="AJ2855" i="1"/>
  <c r="AK2652" i="1"/>
  <c r="AK2550" i="1"/>
  <c r="AJ2434" i="1"/>
  <c r="AK2387" i="1"/>
  <c r="AK2315" i="1"/>
  <c r="AJ2266" i="1"/>
  <c r="AK2216" i="1"/>
  <c r="AK2168" i="1"/>
  <c r="AK2110" i="1"/>
  <c r="AK2061" i="1"/>
  <c r="AJ2018" i="1"/>
  <c r="AJ1972" i="1"/>
  <c r="AJ1882" i="1"/>
  <c r="AJ1826" i="1"/>
  <c r="AJ2857" i="1"/>
  <c r="AJ2650" i="1"/>
  <c r="AJ2512" i="1"/>
  <c r="AJ2438" i="1"/>
  <c r="AJ2374" i="1"/>
  <c r="AJ2307" i="1"/>
  <c r="AK2258" i="1"/>
  <c r="AK2202" i="1"/>
  <c r="AJ2155" i="1"/>
  <c r="AJ3563" i="1"/>
  <c r="AK3526" i="1"/>
  <c r="AJ3491" i="1"/>
  <c r="AK3454" i="1"/>
  <c r="AK3562" i="1"/>
  <c r="AK3527" i="1"/>
  <c r="AJ3487" i="1"/>
  <c r="AJ3430" i="1"/>
  <c r="AK3361" i="1"/>
  <c r="AK3321" i="1"/>
  <c r="AJ3286" i="1"/>
  <c r="AJ3254" i="1"/>
  <c r="AJ3222" i="1"/>
  <c r="AJ3190" i="1"/>
  <c r="AJ3158" i="1"/>
  <c r="AK3121" i="1"/>
  <c r="AK3545" i="1"/>
  <c r="AJ3510" i="1"/>
  <c r="AJ3465" i="1"/>
  <c r="AJ3425" i="1"/>
  <c r="AK3388" i="1"/>
  <c r="AK3356" i="1"/>
  <c r="AK3316" i="1"/>
  <c r="AJ3281" i="1"/>
  <c r="AK3575" i="1"/>
  <c r="AJ3545" i="1"/>
  <c r="AK3513" i="1"/>
  <c r="AK3463" i="1"/>
  <c r="AK3423" i="1"/>
  <c r="AJ3388" i="1"/>
  <c r="AJ3356" i="1"/>
  <c r="AJ3324" i="1"/>
  <c r="AJ3292" i="1"/>
  <c r="AJ3260" i="1"/>
  <c r="AK3516" i="1"/>
  <c r="AK3481" i="1"/>
  <c r="AK3434" i="1"/>
  <c r="AK3397" i="1"/>
  <c r="AK3365" i="1"/>
  <c r="AJ3330" i="1"/>
  <c r="AK3293" i="1"/>
  <c r="AJ3258" i="1"/>
  <c r="AJ3226" i="1"/>
  <c r="AK3189" i="1"/>
  <c r="AK3157" i="1"/>
  <c r="AK3125" i="1"/>
  <c r="AK3093" i="1"/>
  <c r="AJ3065" i="1"/>
  <c r="AK3028" i="1"/>
  <c r="AJ2993" i="1"/>
  <c r="AJ2955" i="1"/>
  <c r="AJ3526" i="1"/>
  <c r="AK3504" i="1"/>
  <c r="AJ3449" i="1"/>
  <c r="AK3215" i="1"/>
  <c r="AK3176" i="1"/>
  <c r="AJ3084" i="1"/>
  <c r="AK3054" i="1"/>
  <c r="AJ3014" i="1"/>
  <c r="AK2983" i="1"/>
  <c r="AJ2951" i="1"/>
  <c r="AJ2920" i="1"/>
  <c r="AJ2888" i="1"/>
  <c r="AJ2856" i="1"/>
  <c r="AJ2824" i="1"/>
  <c r="AJ2792" i="1"/>
  <c r="AJ2760" i="1"/>
  <c r="AK2723" i="1"/>
  <c r="AJ2688" i="1"/>
  <c r="AK2651" i="1"/>
  <c r="AK2619" i="1"/>
  <c r="AK2579" i="1"/>
  <c r="AK3544" i="1"/>
  <c r="AK3459" i="1"/>
  <c r="AK3360" i="1"/>
  <c r="AK3272" i="1"/>
  <c r="AK3220" i="1"/>
  <c r="AJ3176" i="1"/>
  <c r="AK3128" i="1"/>
  <c r="AK3092" i="1"/>
  <c r="AJ3054" i="1"/>
  <c r="AK3022" i="1"/>
  <c r="AK2977" i="1"/>
  <c r="AJ2944" i="1"/>
  <c r="AK2878" i="1"/>
  <c r="AK2846" i="1"/>
  <c r="AK2814" i="1"/>
  <c r="AK2782" i="1"/>
  <c r="AK2750" i="1"/>
  <c r="AJ2707" i="1"/>
  <c r="AK2670" i="1"/>
  <c r="AK2638" i="1"/>
  <c r="AK3554" i="1"/>
  <c r="AJ3427" i="1"/>
  <c r="AK3390" i="1"/>
  <c r="AK3307" i="1"/>
  <c r="AK3286" i="1"/>
  <c r="AK3256" i="1"/>
  <c r="AJ3197" i="1"/>
  <c r="AJ3165" i="1"/>
  <c r="AJ3489" i="1"/>
  <c r="AJ3439" i="1"/>
  <c r="AJ3407" i="1"/>
  <c r="AJ3323" i="1"/>
  <c r="AK3262" i="1"/>
  <c r="AJ3227" i="1"/>
  <c r="AK3179" i="1"/>
  <c r="AJ3133" i="1"/>
  <c r="AK3100" i="1"/>
  <c r="AJ3042" i="1"/>
  <c r="AK3010" i="1"/>
  <c r="AK2932" i="1"/>
  <c r="AK2900" i="1"/>
  <c r="AJ3519" i="1"/>
  <c r="AJ3479" i="1"/>
  <c r="AK3248" i="1"/>
  <c r="AK3184" i="1"/>
  <c r="AK3152" i="1"/>
  <c r="AJ3100" i="1"/>
  <c r="AJ3055" i="1"/>
  <c r="AJ3010" i="1"/>
  <c r="AK2978" i="1"/>
  <c r="AJ2945" i="1"/>
  <c r="AK2911" i="1"/>
  <c r="AK2879" i="1"/>
  <c r="AJ2844" i="1"/>
  <c r="AK2807" i="1"/>
  <c r="AK3537" i="1"/>
  <c r="AK3432" i="1"/>
  <c r="AK3342" i="1"/>
  <c r="AK3246" i="1"/>
  <c r="AK3212" i="1"/>
  <c r="AK3159" i="1"/>
  <c r="AK3122" i="1"/>
  <c r="AJ3093" i="1"/>
  <c r="AK3048" i="1"/>
  <c r="AJ3013" i="1"/>
  <c r="AK2968" i="1"/>
  <c r="AJ3471" i="1"/>
  <c r="AK3408" i="1"/>
  <c r="AJ3383" i="1"/>
  <c r="AJ3359" i="1"/>
  <c r="AJ3303" i="1"/>
  <c r="AJ3283" i="1"/>
  <c r="AJ3244" i="1"/>
  <c r="AJ3191" i="1"/>
  <c r="AJ3157" i="1"/>
  <c r="AK3096" i="1"/>
  <c r="AK3056" i="1"/>
  <c r="AK3011" i="1"/>
  <c r="AJ2968" i="1"/>
  <c r="AJ2930" i="1"/>
  <c r="AJ2898" i="1"/>
  <c r="AK2845" i="1"/>
  <c r="AK3436" i="1"/>
  <c r="AJ3217" i="1"/>
  <c r="AJ2849" i="1"/>
  <c r="AK2797" i="1"/>
  <c r="AJ2748" i="1"/>
  <c r="AK2690" i="1"/>
  <c r="AK2601" i="1"/>
  <c r="AJ2571" i="1"/>
  <c r="AJ2534" i="1"/>
  <c r="AJ2496" i="1"/>
  <c r="AK2459" i="1"/>
  <c r="AJ3235" i="1"/>
  <c r="AK3051" i="1"/>
  <c r="AK2936" i="1"/>
  <c r="AK2888" i="1"/>
  <c r="AJ2831" i="1"/>
  <c r="AJ2769" i="1"/>
  <c r="AK2730" i="1"/>
  <c r="AK2681" i="1"/>
  <c r="AJ2639" i="1"/>
  <c r="AK2599" i="1"/>
  <c r="AJ2561" i="1"/>
  <c r="AJ2529" i="1"/>
  <c r="AJ2491" i="1"/>
  <c r="AK3474" i="1"/>
  <c r="AJ3027" i="1"/>
  <c r="AK2880" i="1"/>
  <c r="AK2808" i="1"/>
  <c r="AJ2758" i="1"/>
  <c r="AK2716" i="1"/>
  <c r="AK2679" i="1"/>
  <c r="AJ2637" i="1"/>
  <c r="AK2594" i="1"/>
  <c r="AK2559" i="1"/>
  <c r="AK2527" i="1"/>
  <c r="AJ2494" i="1"/>
  <c r="AK2462" i="1"/>
  <c r="AK2426" i="1"/>
  <c r="AK2386" i="1"/>
  <c r="AK2350" i="1"/>
  <c r="AK2314" i="1"/>
  <c r="AJ2277" i="1"/>
  <c r="AJ2245" i="1"/>
  <c r="AJ2213" i="1"/>
  <c r="AJ2181" i="1"/>
  <c r="AJ2149" i="1"/>
  <c r="AJ2105" i="1"/>
  <c r="AJ2069" i="1"/>
  <c r="AJ2037" i="1"/>
  <c r="AJ2005" i="1"/>
  <c r="AJ1969" i="1"/>
  <c r="AJ1937" i="1"/>
  <c r="AJ1905" i="1"/>
  <c r="AJ1873" i="1"/>
  <c r="AJ1833" i="1"/>
  <c r="AJ1801" i="1"/>
  <c r="AJ1765" i="1"/>
  <c r="AJ1733" i="1"/>
  <c r="AJ1701" i="1"/>
  <c r="AJ1657" i="1"/>
  <c r="AJ1625" i="1"/>
  <c r="AK3326" i="1"/>
  <c r="AK3041" i="1"/>
  <c r="AK2914" i="1"/>
  <c r="AK2864" i="1"/>
  <c r="AK2804" i="1"/>
  <c r="AK2738" i="1"/>
  <c r="AJ2695" i="1"/>
  <c r="AK2649" i="1"/>
  <c r="AK3171" i="1"/>
  <c r="AJ2982" i="1"/>
  <c r="AJ2798" i="1"/>
  <c r="AJ2754" i="1"/>
  <c r="AK2698" i="1"/>
  <c r="AJ2649" i="1"/>
  <c r="AJ2612" i="1"/>
  <c r="AJ2572" i="1"/>
  <c r="AJ2538" i="1"/>
  <c r="AK2502" i="1"/>
  <c r="AK2465" i="1"/>
  <c r="AK2421" i="1"/>
  <c r="AK2385" i="1"/>
  <c r="AJ3523" i="1"/>
  <c r="AK3486" i="1"/>
  <c r="AJ3451" i="1"/>
  <c r="AJ3522" i="1"/>
  <c r="AK3485" i="1"/>
  <c r="AK3425" i="1"/>
  <c r="AJ3390" i="1"/>
  <c r="AJ3318" i="1"/>
  <c r="AK3281" i="1"/>
  <c r="AK3249" i="1"/>
  <c r="AK3217" i="1"/>
  <c r="AK3185" i="1"/>
  <c r="AK3153" i="1"/>
  <c r="AJ3118" i="1"/>
  <c r="AK3540" i="1"/>
  <c r="AK3505" i="1"/>
  <c r="AK3458" i="1"/>
  <c r="AK3420" i="1"/>
  <c r="AJ3385" i="1"/>
  <c r="AJ3313" i="1"/>
  <c r="AK3276" i="1"/>
  <c r="AJ3572" i="1"/>
  <c r="AJ3540" i="1"/>
  <c r="AK3508" i="1"/>
  <c r="AJ3458" i="1"/>
  <c r="AJ3420" i="1"/>
  <c r="AK3383" i="1"/>
  <c r="AK3351" i="1"/>
  <c r="AK3319" i="1"/>
  <c r="AK3287" i="1"/>
  <c r="AK3255" i="1"/>
  <c r="AJ3553" i="1"/>
  <c r="AK3511" i="1"/>
  <c r="AK3476" i="1"/>
  <c r="AK3429" i="1"/>
  <c r="AJ3394" i="1"/>
  <c r="AJ3362" i="1"/>
  <c r="AK3325" i="1"/>
  <c r="AJ3290" i="1"/>
  <c r="AK3253" i="1"/>
  <c r="AK3221" i="1"/>
  <c r="AJ3186" i="1"/>
  <c r="AJ3154" i="1"/>
  <c r="AJ3122" i="1"/>
  <c r="AJ3090" i="1"/>
  <c r="AK3060" i="1"/>
  <c r="AJ3025" i="1"/>
  <c r="AK2950" i="1"/>
  <c r="AJ3524" i="1"/>
  <c r="AJ3494" i="1"/>
  <c r="AJ3447" i="1"/>
  <c r="AJ3208" i="1"/>
  <c r="AJ3171" i="1"/>
  <c r="AJ3132" i="1"/>
  <c r="AJ3081" i="1"/>
  <c r="AJ3051" i="1"/>
  <c r="AK3009" i="1"/>
  <c r="AK2979" i="1"/>
  <c r="AK2949" i="1"/>
  <c r="AK2915" i="1"/>
  <c r="AK2883" i="1"/>
  <c r="AK2851" i="1"/>
  <c r="AK2819" i="1"/>
  <c r="AK2787" i="1"/>
  <c r="AK2755" i="1"/>
  <c r="AJ2720" i="1"/>
  <c r="AK2683" i="1"/>
  <c r="AJ2616" i="1"/>
  <c r="AJ2576" i="1"/>
  <c r="AJ3538" i="1"/>
  <c r="AJ3457" i="1"/>
  <c r="AJ3343" i="1"/>
  <c r="AJ3247" i="1"/>
  <c r="AJ3215" i="1"/>
  <c r="AK3167" i="1"/>
  <c r="AJ3123" i="1"/>
  <c r="AK3087" i="1"/>
  <c r="AK3049" i="1"/>
  <c r="AK3017" i="1"/>
  <c r="AK2972" i="1"/>
  <c r="AJ2907" i="1"/>
  <c r="AJ2875" i="1"/>
  <c r="AJ2843" i="1"/>
  <c r="AJ2811" i="1"/>
  <c r="AJ2779" i="1"/>
  <c r="AJ2747" i="1"/>
  <c r="AK2702" i="1"/>
  <c r="AJ2667" i="1"/>
  <c r="AJ2635" i="1"/>
  <c r="AJ3546" i="1"/>
  <c r="AK3419" i="1"/>
  <c r="AK3386" i="1"/>
  <c r="AK3366" i="1"/>
  <c r="AJ3304" i="1"/>
  <c r="AK3282" i="1"/>
  <c r="AK3243" i="1"/>
  <c r="AK3190" i="1"/>
  <c r="AK3158" i="1"/>
  <c r="AK3487" i="1"/>
  <c r="AJ3437" i="1"/>
  <c r="AK3350" i="1"/>
  <c r="AJ3319" i="1"/>
  <c r="AK3258" i="1"/>
  <c r="AJ3225" i="1"/>
  <c r="AJ3172" i="1"/>
  <c r="AK3126" i="1"/>
  <c r="AK3095" i="1"/>
  <c r="AK3040" i="1"/>
  <c r="AK3005" i="1"/>
  <c r="AK2965" i="1"/>
  <c r="AJ2929" i="1"/>
  <c r="AJ2897" i="1"/>
  <c r="AK3517" i="1"/>
  <c r="AK3477" i="1"/>
  <c r="AK3239" i="1"/>
  <c r="AJ3179" i="1"/>
  <c r="AK3147" i="1"/>
  <c r="AJ3095" i="1"/>
  <c r="AK3050" i="1"/>
  <c r="AK3008" i="1"/>
  <c r="AJ2975" i="1"/>
  <c r="AJ2940" i="1"/>
  <c r="AJ2908" i="1"/>
  <c r="AJ2876" i="1"/>
  <c r="AK2839" i="1"/>
  <c r="AJ2804" i="1"/>
  <c r="AJ3580" i="1"/>
  <c r="AJ3529" i="1"/>
  <c r="AK3403" i="1"/>
  <c r="AK3338" i="1"/>
  <c r="AK3244" i="1"/>
  <c r="AJ3207" i="1"/>
  <c r="AJ3152" i="1"/>
  <c r="AK3120" i="1"/>
  <c r="AJ3088" i="1"/>
  <c r="AJ3045" i="1"/>
  <c r="AJ3008" i="1"/>
  <c r="AK2963" i="1"/>
  <c r="AJ3469" i="1"/>
  <c r="AJ3403" i="1"/>
  <c r="AJ3381" i="1"/>
  <c r="AJ3357" i="1"/>
  <c r="AJ3301" i="1"/>
  <c r="AJ3279" i="1"/>
  <c r="AK3235" i="1"/>
  <c r="AJ3189" i="1"/>
  <c r="AK3143" i="1"/>
  <c r="AK3091" i="1"/>
  <c r="AJ3048" i="1"/>
  <c r="AK3006" i="1"/>
  <c r="AK2961" i="1"/>
  <c r="AK2925" i="1"/>
  <c r="AJ2882" i="1"/>
  <c r="AJ2842" i="1"/>
  <c r="AK3422" i="1"/>
  <c r="AK3148" i="1"/>
  <c r="AK2841" i="1"/>
  <c r="AK2784" i="1"/>
  <c r="AJ2746" i="1"/>
  <c r="AJ2685" i="1"/>
  <c r="AJ2641" i="1"/>
  <c r="AK2596" i="1"/>
  <c r="AJ2566" i="1"/>
  <c r="AK2529" i="1"/>
  <c r="AK2491" i="1"/>
  <c r="AK2455" i="1"/>
  <c r="AJ3219" i="1"/>
  <c r="AJ3032" i="1"/>
  <c r="AJ2934" i="1"/>
  <c r="AJ2886" i="1"/>
  <c r="AJ2829" i="1"/>
  <c r="AK2767" i="1"/>
  <c r="AK2725" i="1"/>
  <c r="AJ2676" i="1"/>
  <c r="AK2637" i="1"/>
  <c r="AJ2596" i="1"/>
  <c r="AK2556" i="1"/>
  <c r="AK2524" i="1"/>
  <c r="AK2486" i="1"/>
  <c r="AJ3021" i="1"/>
  <c r="AJ2878" i="1"/>
  <c r="AJ2806" i="1"/>
  <c r="AJ2713" i="1"/>
  <c r="AK2674" i="1"/>
  <c r="AK2628" i="1"/>
  <c r="AK2589" i="1"/>
  <c r="AJ2556" i="1"/>
  <c r="AJ2524" i="1"/>
  <c r="AK2489" i="1"/>
  <c r="AK2458" i="1"/>
  <c r="AK2418" i="1"/>
  <c r="AK2382" i="1"/>
  <c r="AK2346" i="1"/>
  <c r="AK2311" i="1"/>
  <c r="AJ2273" i="1"/>
  <c r="AJ2241" i="1"/>
  <c r="AJ2209" i="1"/>
  <c r="AJ2177" i="1"/>
  <c r="AJ2145" i="1"/>
  <c r="AJ2097" i="1"/>
  <c r="AJ2065" i="1"/>
  <c r="AJ2033" i="1"/>
  <c r="AJ1997" i="1"/>
  <c r="AJ1965" i="1"/>
  <c r="AJ1933" i="1"/>
  <c r="AJ1901" i="1"/>
  <c r="AJ1869" i="1"/>
  <c r="AJ1829" i="1"/>
  <c r="AJ1797" i="1"/>
  <c r="AJ1761" i="1"/>
  <c r="AJ1729" i="1"/>
  <c r="AJ1697" i="1"/>
  <c r="AJ1653" i="1"/>
  <c r="AJ1621" i="1"/>
  <c r="AK3314" i="1"/>
  <c r="AJ3007" i="1"/>
  <c r="AK2912" i="1"/>
  <c r="AJ2862" i="1"/>
  <c r="AJ2802" i="1"/>
  <c r="AJ2735" i="1"/>
  <c r="AJ2686" i="1"/>
  <c r="AJ2644" i="1"/>
  <c r="AK3116" i="1"/>
  <c r="AK2889" i="1"/>
  <c r="AK2794" i="1"/>
  <c r="AK2745" i="1"/>
  <c r="AK2684" i="1"/>
  <c r="AJ2607" i="1"/>
  <c r="AK2570" i="1"/>
  <c r="AK2533" i="1"/>
  <c r="AJ2500" i="1"/>
  <c r="AK2417" i="1"/>
  <c r="AK2381" i="1"/>
  <c r="AK2345" i="1"/>
  <c r="AJ2300" i="1"/>
  <c r="AJ2268" i="1"/>
  <c r="AJ2232" i="1"/>
  <c r="AJ2200" i="1"/>
  <c r="AJ2156" i="1"/>
  <c r="AJ2108" i="1"/>
  <c r="AJ2072" i="1"/>
  <c r="AK3330" i="1"/>
  <c r="AK3084" i="1"/>
  <c r="AJ2946" i="1"/>
  <c r="AJ2903" i="1"/>
  <c r="AJ2838" i="1"/>
  <c r="AJ2781" i="1"/>
  <c r="AJ2719" i="1"/>
  <c r="AJ2682" i="1"/>
  <c r="AJ2631" i="1"/>
  <c r="AJ2575" i="1"/>
  <c r="AK2536" i="1"/>
  <c r="AJ2502" i="1"/>
  <c r="AJ2465" i="1"/>
  <c r="AJ2421" i="1"/>
  <c r="AJ2385" i="1"/>
  <c r="AJ2349" i="1"/>
  <c r="AK2310" i="1"/>
  <c r="AK2279" i="1"/>
  <c r="AK2239" i="1"/>
  <c r="AK2207" i="1"/>
  <c r="AK2167" i="1"/>
  <c r="AK2135" i="1"/>
  <c r="AK2103" i="1"/>
  <c r="AK2071" i="1"/>
  <c r="AK2035" i="1"/>
  <c r="AK2003" i="1"/>
  <c r="AK1963" i="1"/>
  <c r="AK1927" i="1"/>
  <c r="AK1895" i="1"/>
  <c r="AK1863" i="1"/>
  <c r="AK1819" i="1"/>
  <c r="AK1783" i="1"/>
  <c r="AK1743" i="1"/>
  <c r="AK1707" i="1"/>
  <c r="AK1663" i="1"/>
  <c r="AK1631" i="1"/>
  <c r="AK1599" i="1"/>
  <c r="AK1559" i="1"/>
  <c r="AK1527" i="1"/>
  <c r="AJ3125" i="1"/>
  <c r="AJ3127" i="1"/>
  <c r="AJ3026" i="1"/>
  <c r="AJ2777" i="1"/>
  <c r="AK2613" i="1"/>
  <c r="AJ2523" i="1"/>
  <c r="AJ2423" i="1"/>
  <c r="AJ2368" i="1"/>
  <c r="AK2302" i="1"/>
  <c r="AK2253" i="1"/>
  <c r="AJ2203" i="1"/>
  <c r="AK2156" i="1"/>
  <c r="AJ2099" i="1"/>
  <c r="AJ2050" i="1"/>
  <c r="AJ2002" i="1"/>
  <c r="AK1961" i="1"/>
  <c r="AJ1914" i="1"/>
  <c r="AJ3555" i="1"/>
  <c r="AK3518" i="1"/>
  <c r="AK3478" i="1"/>
  <c r="AJ3443" i="1"/>
  <c r="AK3557" i="1"/>
  <c r="AJ3517" i="1"/>
  <c r="AJ3477" i="1"/>
  <c r="AJ3422" i="1"/>
  <c r="AK3385" i="1"/>
  <c r="AK3313" i="1"/>
  <c r="AJ3278" i="1"/>
  <c r="AJ3246" i="1"/>
  <c r="AJ3214" i="1"/>
  <c r="AJ3182" i="1"/>
  <c r="AK3145" i="1"/>
  <c r="AJ3577" i="1"/>
  <c r="AK3535" i="1"/>
  <c r="AK3495" i="1"/>
  <c r="AJ3455" i="1"/>
  <c r="AJ3417" i="1"/>
  <c r="AK3380" i="1"/>
  <c r="AK3348" i="1"/>
  <c r="AK3308" i="1"/>
  <c r="AJ3273" i="1"/>
  <c r="AK3570" i="1"/>
  <c r="AK3538" i="1"/>
  <c r="AJ3505" i="1"/>
  <c r="AJ3453" i="1"/>
  <c r="AK3415" i="1"/>
  <c r="AJ3380" i="1"/>
  <c r="AJ3348" i="1"/>
  <c r="AJ3316" i="1"/>
  <c r="AJ3284" i="1"/>
  <c r="AJ3252" i="1"/>
  <c r="AJ3548" i="1"/>
  <c r="AK3506" i="1"/>
  <c r="AK3471" i="1"/>
  <c r="AK3421" i="1"/>
  <c r="AK3389" i="1"/>
  <c r="AK3357" i="1"/>
  <c r="AJ3322" i="1"/>
  <c r="AK3285" i="1"/>
  <c r="AJ3250" i="1"/>
  <c r="AJ3218" i="1"/>
  <c r="AK3181" i="1"/>
  <c r="AK3149" i="1"/>
  <c r="AK3117" i="1"/>
  <c r="AK3085" i="1"/>
  <c r="AJ3057" i="1"/>
  <c r="AK3020" i="1"/>
  <c r="AJ2985" i="1"/>
  <c r="AJ2947" i="1"/>
  <c r="AK3522" i="1"/>
  <c r="AK3492" i="1"/>
  <c r="AK3339" i="1"/>
  <c r="AJ3201" i="1"/>
  <c r="AJ3169" i="1"/>
  <c r="AK3123" i="1"/>
  <c r="AJ3076" i="1"/>
  <c r="AJ3046" i="1"/>
  <c r="AJ3004" i="1"/>
  <c r="AJ2974" i="1"/>
  <c r="AK2944" i="1"/>
  <c r="AJ2912" i="1"/>
  <c r="AJ2880" i="1"/>
  <c r="AJ2816" i="1"/>
  <c r="AJ2784" i="1"/>
  <c r="AJ2752" i="1"/>
  <c r="AJ2712" i="1"/>
  <c r="AJ2680" i="1"/>
  <c r="AK2643" i="1"/>
  <c r="AJ2608" i="1"/>
  <c r="AK2571" i="1"/>
  <c r="AJ3536" i="1"/>
  <c r="AK3427" i="1"/>
  <c r="AJ3341" i="1"/>
  <c r="AJ3245" i="1"/>
  <c r="AJ3213" i="1"/>
  <c r="AJ3160" i="1"/>
  <c r="AJ3121" i="1"/>
  <c r="AK3083" i="1"/>
  <c r="AJ3044" i="1"/>
  <c r="AK3007" i="1"/>
  <c r="AJ2969" i="1"/>
  <c r="AK2934" i="1"/>
  <c r="AK2902" i="1"/>
  <c r="AK2838" i="1"/>
  <c r="AK2806" i="1"/>
  <c r="AK2742" i="1"/>
  <c r="AJ2699" i="1"/>
  <c r="AK2662" i="1"/>
  <c r="AK2630" i="1"/>
  <c r="AJ3544" i="1"/>
  <c r="AK3411" i="1"/>
  <c r="AJ3384" i="1"/>
  <c r="AK3362" i="1"/>
  <c r="AK3302" i="1"/>
  <c r="AJ3280" i="1"/>
  <c r="AJ3236" i="1"/>
  <c r="AK3188" i="1"/>
  <c r="AK3156" i="1"/>
  <c r="AK3479" i="1"/>
  <c r="AJ3423" i="1"/>
  <c r="AK3346" i="1"/>
  <c r="AJ3317" i="1"/>
  <c r="AJ3256" i="1"/>
  <c r="AK3218" i="1"/>
  <c r="AK3163" i="1"/>
  <c r="AK3124" i="1"/>
  <c r="AK3090" i="1"/>
  <c r="AJ3037" i="1"/>
  <c r="AK2960" i="1"/>
  <c r="AK2924" i="1"/>
  <c r="AK3576" i="1"/>
  <c r="AJ3513" i="1"/>
  <c r="AJ3454" i="1"/>
  <c r="AJ3216" i="1"/>
  <c r="AJ3177" i="1"/>
  <c r="AJ3140" i="1"/>
  <c r="AK3088" i="1"/>
  <c r="AK3045" i="1"/>
  <c r="AJ3005" i="1"/>
  <c r="AK2973" i="1"/>
  <c r="AK2903" i="1"/>
  <c r="AJ2836" i="1"/>
  <c r="AK2799" i="1"/>
  <c r="AK3578" i="1"/>
  <c r="AK3503" i="1"/>
  <c r="AK3395" i="1"/>
  <c r="AK3299" i="1"/>
  <c r="AJ3239" i="1"/>
  <c r="AJ3205" i="1"/>
  <c r="AJ3147" i="1"/>
  <c r="AJ3115" i="1"/>
  <c r="AK3082" i="1"/>
  <c r="AK3043" i="1"/>
  <c r="AJ3003" i="1"/>
  <c r="AK2953" i="1"/>
  <c r="AK3444" i="1"/>
  <c r="AJ3399" i="1"/>
  <c r="AJ3379" i="1"/>
  <c r="AJ3355" i="1"/>
  <c r="AJ3299" i="1"/>
  <c r="AJ3277" i="1"/>
  <c r="AJ3228" i="1"/>
  <c r="AK3182" i="1"/>
  <c r="AJ3136" i="1"/>
  <c r="AK3086" i="1"/>
  <c r="AJ3043" i="1"/>
  <c r="AK3001" i="1"/>
  <c r="AJ2953" i="1"/>
  <c r="AJ2922" i="1"/>
  <c r="AK2877" i="1"/>
  <c r="AK2837" i="1"/>
  <c r="AK3410" i="1"/>
  <c r="AJ3141" i="1"/>
  <c r="AK2833" i="1"/>
  <c r="AJ2782" i="1"/>
  <c r="AK2737" i="1"/>
  <c r="AK2676" i="1"/>
  <c r="AK2639" i="1"/>
  <c r="AJ2593" i="1"/>
  <c r="AK2561" i="1"/>
  <c r="AJ2526" i="1"/>
  <c r="AJ2488" i="1"/>
  <c r="AJ3549" i="1"/>
  <c r="AK3187" i="1"/>
  <c r="AK3019" i="1"/>
  <c r="AK2921" i="1"/>
  <c r="AK2882" i="1"/>
  <c r="AK2825" i="1"/>
  <c r="AK2760" i="1"/>
  <c r="AJ2718" i="1"/>
  <c r="AJ2671" i="1"/>
  <c r="AJ2630" i="1"/>
  <c r="AJ2591" i="1"/>
  <c r="AJ2553" i="1"/>
  <c r="AJ2521" i="1"/>
  <c r="AJ2483" i="1"/>
  <c r="AK3242" i="1"/>
  <c r="AK3014" i="1"/>
  <c r="AK2876" i="1"/>
  <c r="AK2802" i="1"/>
  <c r="AK2749" i="1"/>
  <c r="AK2711" i="1"/>
  <c r="AJ2669" i="1"/>
  <c r="AK2626" i="1"/>
  <c r="AK2584" i="1"/>
  <c r="AK2551" i="1"/>
  <c r="AK2519" i="1"/>
  <c r="AJ2486" i="1"/>
  <c r="AK2450" i="1"/>
  <c r="AK2414" i="1"/>
  <c r="AK2378" i="1"/>
  <c r="AK2342" i="1"/>
  <c r="AJ2305" i="1"/>
  <c r="AJ2237" i="1"/>
  <c r="AJ2205" i="1"/>
  <c r="AJ2173" i="1"/>
  <c r="AJ2133" i="1"/>
  <c r="AJ2093" i="1"/>
  <c r="AJ2061" i="1"/>
  <c r="AJ2029" i="1"/>
  <c r="AJ1993" i="1"/>
  <c r="AJ1961" i="1"/>
  <c r="AJ1929" i="1"/>
  <c r="AJ1897" i="1"/>
  <c r="AJ1865" i="1"/>
  <c r="AJ1825" i="1"/>
  <c r="AJ1793" i="1"/>
  <c r="AJ1757" i="1"/>
  <c r="AJ1725" i="1"/>
  <c r="AJ1693" i="1"/>
  <c r="AJ1649" i="1"/>
  <c r="AJ1617" i="1"/>
  <c r="AJ3259" i="1"/>
  <c r="AK2860" i="1"/>
  <c r="AK2785" i="1"/>
  <c r="AK2728" i="1"/>
  <c r="AJ2679" i="1"/>
  <c r="AJ2642" i="1"/>
  <c r="AJ3091" i="1"/>
  <c r="AJ2785" i="1"/>
  <c r="AJ2738" i="1"/>
  <c r="AK2682" i="1"/>
  <c r="AK2640" i="1"/>
  <c r="AJ2602" i="1"/>
  <c r="AK2565" i="1"/>
  <c r="AJ2530" i="1"/>
  <c r="AK2495" i="1"/>
  <c r="AK2453" i="1"/>
  <c r="AK2409" i="1"/>
  <c r="AK2377" i="1"/>
  <c r="AK2341" i="1"/>
  <c r="AJ2296" i="1"/>
  <c r="AJ2264" i="1"/>
  <c r="AJ2228" i="1"/>
  <c r="AJ2196" i="1"/>
  <c r="AJ2152" i="1"/>
  <c r="AJ2104" i="1"/>
  <c r="AJ2068" i="1"/>
  <c r="AJ3263" i="1"/>
  <c r="AK2937" i="1"/>
  <c r="AJ2901" i="1"/>
  <c r="AK2836" i="1"/>
  <c r="AK2777" i="1"/>
  <c r="AK2717" i="1"/>
  <c r="AJ2670" i="1"/>
  <c r="AK2629" i="1"/>
  <c r="AJ2570" i="1"/>
  <c r="AJ2533" i="1"/>
  <c r="AK2498" i="1"/>
  <c r="AJ2417" i="1"/>
  <c r="AJ2381" i="1"/>
  <c r="AJ2345" i="1"/>
  <c r="AK2307" i="1"/>
  <c r="AK2271" i="1"/>
  <c r="AK2235" i="1"/>
  <c r="AK2203" i="1"/>
  <c r="AK2163" i="1"/>
  <c r="AK2131" i="1"/>
  <c r="AK2099" i="1"/>
  <c r="AK2067" i="1"/>
  <c r="AK2031" i="1"/>
  <c r="AK1995" i="1"/>
  <c r="AK1959" i="1"/>
  <c r="AK1923" i="1"/>
  <c r="AK1891" i="1"/>
  <c r="AK1859" i="1"/>
  <c r="AK1811" i="1"/>
  <c r="AK1779" i="1"/>
  <c r="AK1739" i="1"/>
  <c r="AK1703" i="1"/>
  <c r="AK1659" i="1"/>
  <c r="AK1627" i="1"/>
  <c r="AK1595" i="1"/>
  <c r="AK1555" i="1"/>
  <c r="AK3467" i="1"/>
  <c r="AK3106" i="1"/>
  <c r="AJ3097" i="1"/>
  <c r="AK2943" i="1"/>
  <c r="AJ2710" i="1"/>
  <c r="AK2597" i="1"/>
  <c r="AJ2497" i="1"/>
  <c r="AK2416" i="1"/>
  <c r="AK2351" i="1"/>
  <c r="AK2296" i="1"/>
  <c r="AK2248" i="1"/>
  <c r="AJ2198" i="1"/>
  <c r="AJ2150" i="1"/>
  <c r="AK2093" i="1"/>
  <c r="AK2044" i="1"/>
  <c r="AJ1998" i="1"/>
  <c r="AJ1956" i="1"/>
  <c r="AK1908" i="1"/>
  <c r="AJ1856" i="1"/>
  <c r="AJ1811" i="1"/>
  <c r="AK2712" i="1"/>
  <c r="AJ2580" i="1"/>
  <c r="AJ2474" i="1"/>
  <c r="AK2411" i="1"/>
  <c r="AJ2332" i="1"/>
  <c r="AK2289" i="1"/>
  <c r="AK2234" i="1"/>
  <c r="AK2185" i="1"/>
  <c r="AK2133" i="1"/>
  <c r="AJ2079" i="1"/>
  <c r="AK2033" i="1"/>
  <c r="AJ1982" i="1"/>
  <c r="AK1934" i="1"/>
  <c r="AJ1892" i="1"/>
  <c r="AJ1850" i="1"/>
  <c r="AJ1800" i="1"/>
  <c r="AJ2689" i="1"/>
  <c r="AK2573" i="1"/>
  <c r="AK2484" i="1"/>
  <c r="AJ2411" i="1"/>
  <c r="AJ2350" i="1"/>
  <c r="AK2294" i="1"/>
  <c r="AK2240" i="1"/>
  <c r="AJ2190" i="1"/>
  <c r="AJ2127" i="1"/>
  <c r="AK2078" i="1"/>
  <c r="AJ2668" i="1"/>
  <c r="AK2588" i="1"/>
  <c r="AJ2822" i="1"/>
  <c r="AK2577" i="1"/>
  <c r="AK2485" i="1"/>
  <c r="AK2431" i="1"/>
  <c r="AK2359" i="1"/>
  <c r="AK2298" i="1"/>
  <c r="AK2250" i="1"/>
  <c r="AK2177" i="1"/>
  <c r="AJ2119" i="1"/>
  <c r="AJ2063" i="1"/>
  <c r="AK2009" i="1"/>
  <c r="AJ1963" i="1"/>
  <c r="AJ1916" i="1"/>
  <c r="AK1862" i="1"/>
  <c r="AJ3547" i="1"/>
  <c r="AK3510" i="1"/>
  <c r="AK3470" i="1"/>
  <c r="AJ3435" i="1"/>
  <c r="AK3547" i="1"/>
  <c r="AK3455" i="1"/>
  <c r="AJ3414" i="1"/>
  <c r="AK3377" i="1"/>
  <c r="AJ3342" i="1"/>
  <c r="AJ3302" i="1"/>
  <c r="AJ3270" i="1"/>
  <c r="AJ3238" i="1"/>
  <c r="AJ3206" i="1"/>
  <c r="AJ3174" i="1"/>
  <c r="AK3137" i="1"/>
  <c r="AK3567" i="1"/>
  <c r="AJ3527" i="1"/>
  <c r="AJ3485" i="1"/>
  <c r="AJ3409" i="1"/>
  <c r="AK3372" i="1"/>
  <c r="AK3332" i="1"/>
  <c r="AJ3297" i="1"/>
  <c r="AJ3265" i="1"/>
  <c r="AK3565" i="1"/>
  <c r="AK3533" i="1"/>
  <c r="AJ3495" i="1"/>
  <c r="AK3443" i="1"/>
  <c r="AK3407" i="1"/>
  <c r="AJ3372" i="1"/>
  <c r="AJ3340" i="1"/>
  <c r="AJ3308" i="1"/>
  <c r="AJ3276" i="1"/>
  <c r="AJ3578" i="1"/>
  <c r="AJ3543" i="1"/>
  <c r="AK3501" i="1"/>
  <c r="AJ3456" i="1"/>
  <c r="AK3413" i="1"/>
  <c r="AK3381" i="1"/>
  <c r="AJ3346" i="1"/>
  <c r="AJ3314" i="1"/>
  <c r="AK3277" i="1"/>
  <c r="AJ3242" i="1"/>
  <c r="AJ3210" i="1"/>
  <c r="AK3173" i="1"/>
  <c r="AK3141" i="1"/>
  <c r="AK3109" i="1"/>
  <c r="AK3080" i="1"/>
  <c r="AK3044" i="1"/>
  <c r="AJ3009" i="1"/>
  <c r="AJ2979" i="1"/>
  <c r="AJ3561" i="1"/>
  <c r="AJ3516" i="1"/>
  <c r="AJ3476" i="1"/>
  <c r="AJ3249" i="1"/>
  <c r="AK3192" i="1"/>
  <c r="AK3160" i="1"/>
  <c r="AJ3111" i="1"/>
  <c r="AJ3066" i="1"/>
  <c r="AK3034" i="1"/>
  <c r="AJ2994" i="1"/>
  <c r="AK2964" i="1"/>
  <c r="AJ2936" i="1"/>
  <c r="AJ2904" i="1"/>
  <c r="AJ2840" i="1"/>
  <c r="AJ2808" i="1"/>
  <c r="AJ2776" i="1"/>
  <c r="AJ2744" i="1"/>
  <c r="AJ2704" i="1"/>
  <c r="AK2667" i="1"/>
  <c r="AK2635" i="1"/>
  <c r="AJ2600" i="1"/>
  <c r="AK3579" i="1"/>
  <c r="AJ3506" i="1"/>
  <c r="AK3392" i="1"/>
  <c r="AK3304" i="1"/>
  <c r="AK3236" i="1"/>
  <c r="AK3204" i="1"/>
  <c r="AK3144" i="1"/>
  <c r="AJ3109" i="1"/>
  <c r="AK3074" i="1"/>
  <c r="AJ3034" i="1"/>
  <c r="AK2997" i="1"/>
  <c r="AK2962" i="1"/>
  <c r="AK2926" i="1"/>
  <c r="AK2894" i="1"/>
  <c r="AK2862" i="1"/>
  <c r="AK2830" i="1"/>
  <c r="AK2798" i="1"/>
  <c r="AK2766" i="1"/>
  <c r="AJ2691" i="1"/>
  <c r="AK2654" i="1"/>
  <c r="AK2622" i="1"/>
  <c r="AK3464" i="1"/>
  <c r="AJ3400" i="1"/>
  <c r="AK3378" i="1"/>
  <c r="AJ3296" i="1"/>
  <c r="AK3274" i="1"/>
  <c r="AJ3220" i="1"/>
  <c r="AJ3181" i="1"/>
  <c r="AJ3554" i="1"/>
  <c r="AJ3464" i="1"/>
  <c r="AJ3419" i="1"/>
  <c r="AJ3333" i="1"/>
  <c r="AJ3311" i="1"/>
  <c r="AK3252" i="1"/>
  <c r="AJ3211" i="1"/>
  <c r="AJ3149" i="1"/>
  <c r="AJ3117" i="1"/>
  <c r="AJ3072" i="1"/>
  <c r="AK3030" i="1"/>
  <c r="AJ2990" i="1"/>
  <c r="AJ2952" i="1"/>
  <c r="AK2916" i="1"/>
  <c r="AJ3533" i="1"/>
  <c r="AJ3509" i="1"/>
  <c r="AK3450" i="1"/>
  <c r="AK3200" i="1"/>
  <c r="AK3168" i="1"/>
  <c r="AJ3124" i="1"/>
  <c r="AK3075" i="1"/>
  <c r="AJ3035" i="1"/>
  <c r="AK2998" i="1"/>
  <c r="AJ2965" i="1"/>
  <c r="AK2927" i="1"/>
  <c r="AK2895" i="1"/>
  <c r="AK2863" i="1"/>
  <c r="AK2823" i="1"/>
  <c r="AK2791" i="1"/>
  <c r="AJ3570" i="1"/>
  <c r="AK3497" i="1"/>
  <c r="AK3379" i="1"/>
  <c r="AK3283" i="1"/>
  <c r="AK3230" i="1"/>
  <c r="AK3191" i="1"/>
  <c r="AJ3110" i="1"/>
  <c r="AJ3075" i="1"/>
  <c r="AK3033" i="1"/>
  <c r="AK2991" i="1"/>
  <c r="AK3551" i="1"/>
  <c r="AJ3434" i="1"/>
  <c r="AJ3395" i="1"/>
  <c r="AJ3373" i="1"/>
  <c r="AK3336" i="1"/>
  <c r="AJ3293" i="1"/>
  <c r="AJ3271" i="1"/>
  <c r="AJ3212" i="1"/>
  <c r="AJ3173" i="1"/>
  <c r="AJ3120" i="1"/>
  <c r="AK3077" i="1"/>
  <c r="AK3031" i="1"/>
  <c r="AJ2991" i="1"/>
  <c r="AJ2943" i="1"/>
  <c r="AJ2914" i="1"/>
  <c r="AJ2866" i="1"/>
  <c r="AK2829" i="1"/>
  <c r="AK3322" i="1"/>
  <c r="AJ3092" i="1"/>
  <c r="AJ2814" i="1"/>
  <c r="AK2769" i="1"/>
  <c r="AK2720" i="1"/>
  <c r="AK2671" i="1"/>
  <c r="AJ2625" i="1"/>
  <c r="AJ2588" i="1"/>
  <c r="AK2553" i="1"/>
  <c r="AJ2518" i="1"/>
  <c r="AJ2480" i="1"/>
  <c r="AJ3424" i="1"/>
  <c r="AK3119" i="1"/>
  <c r="AJ2917" i="1"/>
  <c r="AJ2841" i="1"/>
  <c r="AJ2810" i="1"/>
  <c r="AJ2708" i="1"/>
  <c r="AJ2662" i="1"/>
  <c r="AK2621" i="1"/>
  <c r="AJ2581" i="1"/>
  <c r="AJ2545" i="1"/>
  <c r="AJ2513" i="1"/>
  <c r="AJ2475" i="1"/>
  <c r="AK3107" i="1"/>
  <c r="AJ2976" i="1"/>
  <c r="AK2858" i="1"/>
  <c r="AK2776" i="1"/>
  <c r="AK2735" i="1"/>
  <c r="AJ2697" i="1"/>
  <c r="AK2658" i="1"/>
  <c r="AJ2614" i="1"/>
  <c r="AJ2574" i="1"/>
  <c r="AK2543" i="1"/>
  <c r="AK2511" i="1"/>
  <c r="AJ2478" i="1"/>
  <c r="AK2442" i="1"/>
  <c r="AK2406" i="1"/>
  <c r="AK2370" i="1"/>
  <c r="AK2330" i="1"/>
  <c r="AJ2297" i="1"/>
  <c r="AJ2261" i="1"/>
  <c r="AJ2229" i="1"/>
  <c r="AJ2197" i="1"/>
  <c r="AJ2165" i="1"/>
  <c r="AJ2121" i="1"/>
  <c r="AJ2085" i="1"/>
  <c r="AJ2053" i="1"/>
  <c r="AJ2021" i="1"/>
  <c r="AJ1985" i="1"/>
  <c r="AJ1953" i="1"/>
  <c r="AJ1921" i="1"/>
  <c r="AJ1889" i="1"/>
  <c r="AJ1853" i="1"/>
  <c r="AJ1817" i="1"/>
  <c r="AJ1785" i="1"/>
  <c r="AJ1749" i="1"/>
  <c r="AJ1717" i="1"/>
  <c r="AJ1681" i="1"/>
  <c r="AJ1641" i="1"/>
  <c r="AJ3488" i="1"/>
  <c r="AJ3128" i="1"/>
  <c r="AJ2942" i="1"/>
  <c r="AJ2895" i="1"/>
  <c r="AJ2854" i="1"/>
  <c r="AJ2765" i="1"/>
  <c r="AJ2716" i="1"/>
  <c r="AJ2674" i="1"/>
  <c r="AJ3416" i="1"/>
  <c r="AK3067" i="1"/>
  <c r="AK2834" i="1"/>
  <c r="AK2781" i="1"/>
  <c r="AK2719" i="1"/>
  <c r="AK2672" i="1"/>
  <c r="AK2631" i="1"/>
  <c r="AK2592" i="1"/>
  <c r="AK2557" i="1"/>
  <c r="AJ2522" i="1"/>
  <c r="AJ2484" i="1"/>
  <c r="AK2445" i="1"/>
  <c r="AK2401" i="1"/>
  <c r="AK2369" i="1"/>
  <c r="AK2333" i="1"/>
  <c r="AJ2288" i="1"/>
  <c r="AJ2256" i="1"/>
  <c r="AJ2220" i="1"/>
  <c r="AJ2180" i="1"/>
  <c r="AJ2144" i="1"/>
  <c r="AJ2092" i="1"/>
  <c r="AJ2060" i="1"/>
  <c r="AJ3203" i="1"/>
  <c r="AJ3031" i="1"/>
  <c r="AJ2933" i="1"/>
  <c r="AJ2887" i="1"/>
  <c r="AJ2830" i="1"/>
  <c r="AJ2761" i="1"/>
  <c r="AK2705" i="1"/>
  <c r="AK2661" i="1"/>
  <c r="AJ2615" i="1"/>
  <c r="AK2560" i="1"/>
  <c r="AJ2525" i="1"/>
  <c r="AK2490" i="1"/>
  <c r="AJ2449" i="1"/>
  <c r="AJ2405" i="1"/>
  <c r="AJ2373" i="1"/>
  <c r="AJ2337" i="1"/>
  <c r="AK2299" i="1"/>
  <c r="AK2227" i="1"/>
  <c r="AK2191" i="1"/>
  <c r="AK2155" i="1"/>
  <c r="AK2123" i="1"/>
  <c r="AK2091" i="1"/>
  <c r="AK2059" i="1"/>
  <c r="AK2023" i="1"/>
  <c r="AK1983" i="1"/>
  <c r="AK1951" i="1"/>
  <c r="AK1915" i="1"/>
  <c r="AK1883" i="1"/>
  <c r="AK1851" i="1"/>
  <c r="AK1803" i="1"/>
  <c r="AK1767" i="1"/>
  <c r="AK1727" i="1"/>
  <c r="AK1695" i="1"/>
  <c r="AK1651" i="1"/>
  <c r="AK1619" i="1"/>
  <c r="AK1578" i="1"/>
  <c r="AK3318" i="1"/>
  <c r="AJ3408" i="1"/>
  <c r="AJ3006" i="1"/>
  <c r="AK2578" i="1"/>
  <c r="AK2451" i="1"/>
  <c r="AJ2406" i="1"/>
  <c r="AJ2339" i="1"/>
  <c r="AJ2283" i="1"/>
  <c r="AJ2235" i="1"/>
  <c r="AJ2186" i="1"/>
  <c r="AJ2134" i="1"/>
  <c r="AK2080" i="1"/>
  <c r="AJ2034" i="1"/>
  <c r="AJ3475" i="1"/>
  <c r="AK3417" i="1"/>
  <c r="AK3241" i="1"/>
  <c r="AJ3567" i="1"/>
  <c r="AK3279" i="1"/>
  <c r="AJ3146" i="1"/>
  <c r="AK2942" i="1"/>
  <c r="AK3162" i="1"/>
  <c r="AK2779" i="1"/>
  <c r="AJ2568" i="1"/>
  <c r="AJ2931" i="1"/>
  <c r="AJ2771" i="1"/>
  <c r="AK3489" i="1"/>
  <c r="AK3278" i="1"/>
  <c r="AJ3315" i="1"/>
  <c r="AJ2995" i="1"/>
  <c r="AJ2970" i="1"/>
  <c r="AJ2796" i="1"/>
  <c r="AJ3145" i="1"/>
  <c r="AJ3397" i="1"/>
  <c r="AJ3175" i="1"/>
  <c r="AK2869" i="1"/>
  <c r="AJ2673" i="1"/>
  <c r="AK2516" i="1"/>
  <c r="AJ2516" i="1"/>
  <c r="AJ2265" i="1"/>
  <c r="AJ1989" i="1"/>
  <c r="AJ1721" i="1"/>
  <c r="AK2633" i="1"/>
  <c r="AJ2633" i="1"/>
  <c r="AK2373" i="1"/>
  <c r="AJ2224" i="1"/>
  <c r="AJ2064" i="1"/>
  <c r="AJ2714" i="1"/>
  <c r="AJ2565" i="1"/>
  <c r="AJ2425" i="1"/>
  <c r="AK2283" i="1"/>
  <c r="AK2159" i="1"/>
  <c r="AK2027" i="1"/>
  <c r="AK1887" i="1"/>
  <c r="AK1751" i="1"/>
  <c r="AK1603" i="1"/>
  <c r="AJ3086" i="1"/>
  <c r="AK2805" i="1"/>
  <c r="AJ2412" i="1"/>
  <c r="AJ2191" i="1"/>
  <c r="AK1992" i="1"/>
  <c r="AJ1898" i="1"/>
  <c r="AK2930" i="1"/>
  <c r="AJ2578" i="1"/>
  <c r="AK2404" i="1"/>
  <c r="AK2282" i="1"/>
  <c r="AK2197" i="1"/>
  <c r="AK2116" i="1"/>
  <c r="AK2049" i="1"/>
  <c r="AJ1987" i="1"/>
  <c r="AK1865" i="1"/>
  <c r="AK1805" i="1"/>
  <c r="AK2673" i="1"/>
  <c r="AJ2531" i="1"/>
  <c r="AK2415" i="1"/>
  <c r="AK2331" i="1"/>
  <c r="AK2264" i="1"/>
  <c r="AK2196" i="1"/>
  <c r="AJ2115" i="1"/>
  <c r="AK2786" i="1"/>
  <c r="AK2598" i="1"/>
  <c r="AJ2750" i="1"/>
  <c r="AJ2511" i="1"/>
  <c r="AJ2436" i="1"/>
  <c r="AJ2354" i="1"/>
  <c r="AJ2286" i="1"/>
  <c r="AJ2231" i="1"/>
  <c r="AK2152" i="1"/>
  <c r="AK2082" i="1"/>
  <c r="AJ2020" i="1"/>
  <c r="AK1968" i="1"/>
  <c r="AK1910" i="1"/>
  <c r="AK1852" i="1"/>
  <c r="AK1797" i="1"/>
  <c r="AJ1756" i="1"/>
  <c r="AK1714" i="1"/>
  <c r="AK2801" i="1"/>
  <c r="AK2636" i="1"/>
  <c r="AJ2559" i="1"/>
  <c r="AJ2481" i="1"/>
  <c r="AJ2419" i="1"/>
  <c r="AJ2359" i="1"/>
  <c r="AK2312" i="1"/>
  <c r="AK2261" i="1"/>
  <c r="AJ2211" i="1"/>
  <c r="AJ2158" i="1"/>
  <c r="AK2094" i="1"/>
  <c r="AK2040" i="1"/>
  <c r="AK1989" i="1"/>
  <c r="AK1946" i="1"/>
  <c r="AK1904" i="1"/>
  <c r="AK1857" i="1"/>
  <c r="AJ1802" i="1"/>
  <c r="AJ1755" i="1"/>
  <c r="AJ1714" i="1"/>
  <c r="AJ1670" i="1"/>
  <c r="AJ1627" i="1"/>
  <c r="AJ2818" i="1"/>
  <c r="AJ2501" i="1"/>
  <c r="AK2286" i="1"/>
  <c r="AJ2159" i="1"/>
  <c r="AK2002" i="1"/>
  <c r="AJ1896" i="1"/>
  <c r="AJ1803" i="1"/>
  <c r="AK1746" i="1"/>
  <c r="AJ1690" i="1"/>
  <c r="AK1622" i="1"/>
  <c r="AJ1565" i="1"/>
  <c r="AK1528" i="1"/>
  <c r="AJ676" i="1"/>
  <c r="AK2741" i="1"/>
  <c r="AJ2442" i="1"/>
  <c r="AJ2310" i="1"/>
  <c r="AK2157" i="1"/>
  <c r="AJ2011" i="1"/>
  <c r="AJ1895" i="1"/>
  <c r="AK1801" i="1"/>
  <c r="AK1744" i="1"/>
  <c r="AJ1674" i="1"/>
  <c r="AK1621" i="1"/>
  <c r="AK1573" i="1"/>
  <c r="AJ1537" i="1"/>
  <c r="AK796" i="1"/>
  <c r="AK780" i="1"/>
  <c r="AK760" i="1"/>
  <c r="AK740" i="1"/>
  <c r="AK3438" i="1"/>
  <c r="AK3209" i="1"/>
  <c r="AK3412" i="1"/>
  <c r="AJ3535" i="1"/>
  <c r="AK3247" i="1"/>
  <c r="AJ3386" i="1"/>
  <c r="AK2907" i="1"/>
  <c r="AK2747" i="1"/>
  <c r="AK3528" i="1"/>
  <c r="AJ2739" i="1"/>
  <c r="AK3402" i="1"/>
  <c r="AK3227" i="1"/>
  <c r="AK3254" i="1"/>
  <c r="AK3207" i="1"/>
  <c r="AJ3375" i="1"/>
  <c r="AK3127" i="1"/>
  <c r="AJ2834" i="1"/>
  <c r="AJ3143" i="1"/>
  <c r="AK2478" i="1"/>
  <c r="AJ2742" i="1"/>
  <c r="AK2481" i="1"/>
  <c r="AJ2233" i="1"/>
  <c r="AJ1957" i="1"/>
  <c r="AJ1689" i="1"/>
  <c r="AK2897" i="1"/>
  <c r="AJ3077" i="1"/>
  <c r="AJ2597" i="1"/>
  <c r="AK2349" i="1"/>
  <c r="AJ2204" i="1"/>
  <c r="AK2905" i="1"/>
  <c r="AJ2684" i="1"/>
  <c r="AJ2409" i="1"/>
  <c r="AK2267" i="1"/>
  <c r="AK2139" i="1"/>
  <c r="AK2007" i="1"/>
  <c r="AK1867" i="1"/>
  <c r="AK1735" i="1"/>
  <c r="AJ2705" i="1"/>
  <c r="AJ2375" i="1"/>
  <c r="AJ2162" i="1"/>
  <c r="AJ1988" i="1"/>
  <c r="AK1876" i="1"/>
  <c r="AK2554" i="1"/>
  <c r="AJ2399" i="1"/>
  <c r="AK2277" i="1"/>
  <c r="AK2190" i="1"/>
  <c r="AJ2103" i="1"/>
  <c r="AJ2044" i="1"/>
  <c r="AK1976" i="1"/>
  <c r="AK1913" i="1"/>
  <c r="AK1860" i="1"/>
  <c r="AK1794" i="1"/>
  <c r="AK2514" i="1"/>
  <c r="AJ2404" i="1"/>
  <c r="AJ2319" i="1"/>
  <c r="AJ2258" i="1"/>
  <c r="AJ2179" i="1"/>
  <c r="AK2102" i="1"/>
  <c r="AK2746" i="1"/>
  <c r="AJ2573" i="1"/>
  <c r="AJ2741" i="1"/>
  <c r="AK2507" i="1"/>
  <c r="AK2419" i="1"/>
  <c r="AK2347" i="1"/>
  <c r="AK2280" i="1"/>
  <c r="AK2225" i="1"/>
  <c r="AJ2146" i="1"/>
  <c r="AK2076" i="1"/>
  <c r="AK2014" i="1"/>
  <c r="AJ1958" i="1"/>
  <c r="AK1905" i="1"/>
  <c r="AJ1847" i="1"/>
  <c r="AJ1792" i="1"/>
  <c r="AK1750" i="1"/>
  <c r="AK1709" i="1"/>
  <c r="AK1654" i="1"/>
  <c r="AK2773" i="1"/>
  <c r="AK2634" i="1"/>
  <c r="AK2464" i="1"/>
  <c r="AK2407" i="1"/>
  <c r="AK2352" i="1"/>
  <c r="AJ2309" i="1"/>
  <c r="AK2254" i="1"/>
  <c r="AK2205" i="1"/>
  <c r="AJ2151" i="1"/>
  <c r="AK2088" i="1"/>
  <c r="AJ2035" i="1"/>
  <c r="AJ1984" i="1"/>
  <c r="AK1941" i="1"/>
  <c r="AJ1899" i="1"/>
  <c r="AJ1852" i="1"/>
  <c r="AK1796" i="1"/>
  <c r="AJ1750" i="1"/>
  <c r="AK1708" i="1"/>
  <c r="AK1664" i="1"/>
  <c r="AJ1622" i="1"/>
  <c r="AJ2759" i="1"/>
  <c r="AJ2443" i="1"/>
  <c r="AJ2270" i="1"/>
  <c r="AK2114" i="1"/>
  <c r="AK1996" i="1"/>
  <c r="AK1885" i="1"/>
  <c r="AJ1794" i="1"/>
  <c r="AK1738" i="1"/>
  <c r="AK1668" i="1"/>
  <c r="AJ1616" i="1"/>
  <c r="AK1560" i="1"/>
  <c r="AJ810" i="1"/>
  <c r="AJ674" i="1"/>
  <c r="AJ2598" i="1"/>
  <c r="AK2432" i="1"/>
  <c r="AK2300" i="1"/>
  <c r="AJ2114" i="1"/>
  <c r="AJ1996" i="1"/>
  <c r="AK1877" i="1"/>
  <c r="AK1793" i="1"/>
  <c r="AJ1738" i="1"/>
  <c r="AJ1668" i="1"/>
  <c r="AJ1615" i="1"/>
  <c r="AJ1569" i="1"/>
  <c r="AK1532" i="1"/>
  <c r="AK794" i="1"/>
  <c r="AK776" i="1"/>
  <c r="AK758" i="1"/>
  <c r="AK2788" i="1"/>
  <c r="AJ2490" i="1"/>
  <c r="AJ2384" i="1"/>
  <c r="AK2220" i="1"/>
  <c r="AJ2055" i="1"/>
  <c r="AK1974" i="1"/>
  <c r="AK1893" i="1"/>
  <c r="AK1800" i="1"/>
  <c r="AJ1744" i="1"/>
  <c r="AJ1678" i="1"/>
  <c r="AK1620" i="1"/>
  <c r="AK1568" i="1"/>
  <c r="AJ1532" i="1"/>
  <c r="AJ794" i="1"/>
  <c r="AJ776" i="1"/>
  <c r="AJ758" i="1"/>
  <c r="AK2748" i="1"/>
  <c r="AK2368" i="1"/>
  <c r="AJ2166" i="1"/>
  <c r="AK2053" i="1"/>
  <c r="AJ1983" i="1"/>
  <c r="AJ1902" i="1"/>
  <c r="AK1816" i="1"/>
  <c r="AK1757" i="1"/>
  <c r="AK1701" i="1"/>
  <c r="AK1638" i="1"/>
  <c r="AK1572" i="1"/>
  <c r="AJ1536" i="1"/>
  <c r="AJ2629" i="1"/>
  <c r="AK2360" i="1"/>
  <c r="AK2217" i="1"/>
  <c r="AJ2123" i="1"/>
  <c r="AJ2016" i="1"/>
  <c r="AK1922" i="1"/>
  <c r="AK1829" i="1"/>
  <c r="AK1742" i="1"/>
  <c r="AJ1686" i="1"/>
  <c r="AJ1631" i="1"/>
  <c r="AK1589" i="1"/>
  <c r="AJ1558" i="1"/>
  <c r="AJ806" i="1"/>
  <c r="AJ3382" i="1"/>
  <c r="AK3177" i="1"/>
  <c r="AK3498" i="1"/>
  <c r="AK3349" i="1"/>
  <c r="AJ3116" i="1"/>
  <c r="AK2875" i="1"/>
  <c r="AK3400" i="1"/>
  <c r="AJ3080" i="1"/>
  <c r="AJ2899" i="1"/>
  <c r="AK3382" i="1"/>
  <c r="AJ3183" i="1"/>
  <c r="AK3216" i="1"/>
  <c r="AJ2957" i="1"/>
  <c r="AK3170" i="1"/>
  <c r="AJ2932" i="1"/>
  <c r="AJ3576" i="1"/>
  <c r="AK3113" i="1"/>
  <c r="AK3347" i="1"/>
  <c r="AJ3082" i="1"/>
  <c r="AK3334" i="1"/>
  <c r="AK2632" i="1"/>
  <c r="AK2994" i="1"/>
  <c r="AK2713" i="1"/>
  <c r="AK2446" i="1"/>
  <c r="AJ2201" i="1"/>
  <c r="AJ2562" i="1"/>
  <c r="AK2337" i="1"/>
  <c r="AJ2192" i="1"/>
  <c r="AJ3351" i="1"/>
  <c r="AJ2889" i="1"/>
  <c r="AJ2663" i="1"/>
  <c r="AK2528" i="1"/>
  <c r="AJ2389" i="1"/>
  <c r="AK2127" i="1"/>
  <c r="AK1987" i="1"/>
  <c r="AK1855" i="1"/>
  <c r="AK1711" i="1"/>
  <c r="AK1563" i="1"/>
  <c r="AK3134" i="1"/>
  <c r="AK2344" i="1"/>
  <c r="AJ2143" i="1"/>
  <c r="AK1966" i="1"/>
  <c r="AJ1871" i="1"/>
  <c r="AJ2807" i="1"/>
  <c r="AK2510" i="1"/>
  <c r="AJ2351" i="1"/>
  <c r="AK2265" i="1"/>
  <c r="AK2180" i="1"/>
  <c r="AK2098" i="1"/>
  <c r="AK2038" i="1"/>
  <c r="AJ1971" i="1"/>
  <c r="AJ1908" i="1"/>
  <c r="AJ1855" i="1"/>
  <c r="AK1789" i="1"/>
  <c r="AJ2626" i="1"/>
  <c r="AK2506" i="1"/>
  <c r="AJ2398" i="1"/>
  <c r="AJ2314" i="1"/>
  <c r="AK2246" i="1"/>
  <c r="AK2173" i="1"/>
  <c r="AJ2098" i="1"/>
  <c r="AJ2729" i="1"/>
  <c r="AK2562" i="1"/>
  <c r="AK2612" i="1"/>
  <c r="AJ2503" i="1"/>
  <c r="AJ2408" i="1"/>
  <c r="AK2340" i="1"/>
  <c r="AK2274" i="1"/>
  <c r="AK2218" i="1"/>
  <c r="AJ2130" i="1"/>
  <c r="AJ2070" i="1"/>
  <c r="AJ2004" i="1"/>
  <c r="AK1952" i="1"/>
  <c r="AJ1900" i="1"/>
  <c r="AK1842" i="1"/>
  <c r="AK1786" i="1"/>
  <c r="AJ1746" i="1"/>
  <c r="AJ1704" i="1"/>
  <c r="AK1649" i="1"/>
  <c r="AK2625" i="1"/>
  <c r="AK2530" i="1"/>
  <c r="AJ2458" i="1"/>
  <c r="AK2400" i="1"/>
  <c r="AJ2347" i="1"/>
  <c r="AJ2298" i="1"/>
  <c r="AJ2250" i="1"/>
  <c r="AK2193" i="1"/>
  <c r="AK2145" i="1"/>
  <c r="AJ2082" i="1"/>
  <c r="AK2024" i="1"/>
  <c r="AK1978" i="1"/>
  <c r="AJ1936" i="1"/>
  <c r="AJ1894" i="1"/>
  <c r="AK1846" i="1"/>
  <c r="AJ1791" i="1"/>
  <c r="AK1745" i="1"/>
  <c r="AJ1703" i="1"/>
  <c r="AJ1659" i="1"/>
  <c r="AK1616" i="1"/>
  <c r="AJ2620" i="1"/>
  <c r="AK2423" i="1"/>
  <c r="AJ2254" i="1"/>
  <c r="AJ2087" i="1"/>
  <c r="AJ1976" i="1"/>
  <c r="AK1868" i="1"/>
  <c r="AK1785" i="1"/>
  <c r="AJ1732" i="1"/>
  <c r="AJ1662" i="1"/>
  <c r="AK1610" i="1"/>
  <c r="AJ1556" i="1"/>
  <c r="AJ807" i="1"/>
  <c r="AJ672" i="1"/>
  <c r="AK2572" i="1"/>
  <c r="AK2396" i="1"/>
  <c r="AK2284" i="1"/>
  <c r="AK2084" i="1"/>
  <c r="AJ1975" i="1"/>
  <c r="AJ1859" i="1"/>
  <c r="AK1784" i="1"/>
  <c r="AJ1724" i="1"/>
  <c r="AJ1610" i="1"/>
  <c r="AK1564" i="1"/>
  <c r="AJ1528" i="1"/>
  <c r="AK792" i="1"/>
  <c r="AK774" i="1"/>
  <c r="AK754" i="1"/>
  <c r="AJ2773" i="1"/>
  <c r="AK2488" i="1"/>
  <c r="AK2371" i="1"/>
  <c r="AK2204" i="1"/>
  <c r="AJ2048" i="1"/>
  <c r="AJ1964" i="1"/>
  <c r="AJ1875" i="1"/>
  <c r="AK1792" i="1"/>
  <c r="AK1737" i="1"/>
  <c r="AJ1667" i="1"/>
  <c r="AK1609" i="1"/>
  <c r="AJ1564" i="1"/>
  <c r="AJ1527" i="1"/>
  <c r="AJ792" i="1"/>
  <c r="AJ774" i="1"/>
  <c r="AJ754" i="1"/>
  <c r="AJ2324" i="1"/>
  <c r="AK2153" i="1"/>
  <c r="AJ2047" i="1"/>
  <c r="AK1972" i="1"/>
  <c r="AJ1891" i="1"/>
  <c r="AK1808" i="1"/>
  <c r="AK1749" i="1"/>
  <c r="AK1694" i="1"/>
  <c r="AJ1632" i="1"/>
  <c r="AJ1568" i="1"/>
  <c r="AJ1531" i="1"/>
  <c r="AJ2519" i="1"/>
  <c r="AJ2352" i="1"/>
  <c r="AK2200" i="1"/>
  <c r="AJ2107" i="1"/>
  <c r="AJ2008" i="1"/>
  <c r="AJ1912" i="1"/>
  <c r="AK1806" i="1"/>
  <c r="AJ1736" i="1"/>
  <c r="AJ1682" i="1"/>
  <c r="AK1625" i="1"/>
  <c r="AK1585" i="1"/>
  <c r="AK1553" i="1"/>
  <c r="AJ687" i="1"/>
  <c r="AK2448" i="1"/>
  <c r="AK2305" i="1"/>
  <c r="AJ2147" i="1"/>
  <c r="AJ2015" i="1"/>
  <c r="AJ1911" i="1"/>
  <c r="AK1828" i="1"/>
  <c r="AJ1742" i="1"/>
  <c r="AK1681" i="1"/>
  <c r="AK1624" i="1"/>
  <c r="AJ1582" i="1"/>
  <c r="AJ1544" i="1"/>
  <c r="AK797" i="1"/>
  <c r="AK781" i="1"/>
  <c r="AJ2489" i="1"/>
  <c r="AJ2348" i="1"/>
  <c r="AJ2178" i="1"/>
  <c r="AK2013" i="1"/>
  <c r="AK1930" i="1"/>
  <c r="AK1844" i="1"/>
  <c r="AK1774" i="1"/>
  <c r="AK1712" i="1"/>
  <c r="AJ1650" i="1"/>
  <c r="AJ1557" i="1"/>
  <c r="AJ803" i="1"/>
  <c r="AJ785" i="1"/>
  <c r="AJ2724" i="1"/>
  <c r="AJ2346" i="1"/>
  <c r="AK2210" i="1"/>
  <c r="AJ2059" i="1"/>
  <c r="AJ1967" i="1"/>
  <c r="AJ1886" i="1"/>
  <c r="AJ1787" i="1"/>
  <c r="AK1726" i="1"/>
  <c r="AK1662" i="1"/>
  <c r="AJ1611" i="1"/>
  <c r="AJ1578" i="1"/>
  <c r="AK1542" i="1"/>
  <c r="AK757" i="1"/>
  <c r="AK678" i="1"/>
  <c r="AJ656" i="1"/>
  <c r="AJ757" i="1"/>
  <c r="AJ711" i="1"/>
  <c r="AK702" i="1"/>
  <c r="AK694" i="1"/>
  <c r="AJ704" i="1"/>
  <c r="AJ696" i="1"/>
  <c r="AJ677" i="1"/>
  <c r="AJ591" i="1"/>
  <c r="AJ569" i="1"/>
  <c r="AK731" i="1"/>
  <c r="AK723" i="1"/>
  <c r="AK673" i="1"/>
  <c r="AK653" i="1"/>
  <c r="AK635" i="1"/>
  <c r="AJ734" i="1"/>
  <c r="AJ726" i="1"/>
  <c r="AJ668" i="1"/>
  <c r="AJ651" i="1"/>
  <c r="AJ773" i="1"/>
  <c r="AK682" i="1"/>
  <c r="AJ675" i="1"/>
  <c r="AJ612" i="1"/>
  <c r="AK574" i="1"/>
  <c r="AJ549" i="1"/>
  <c r="AJ531" i="1"/>
  <c r="AJ513" i="1"/>
  <c r="AJ495" i="1"/>
  <c r="AK631" i="1"/>
  <c r="AJ592" i="1"/>
  <c r="AK480" i="1"/>
  <c r="AK464" i="1"/>
  <c r="AJ641" i="1"/>
  <c r="AJ586" i="1"/>
  <c r="AK618" i="1"/>
  <c r="AK582" i="1"/>
  <c r="AK552" i="1"/>
  <c r="AK536" i="1"/>
  <c r="AK516" i="1"/>
  <c r="AK494" i="1"/>
  <c r="AK630" i="1"/>
  <c r="AK609" i="1"/>
  <c r="AJ582" i="1"/>
  <c r="AJ554" i="1"/>
  <c r="AJ538" i="1"/>
  <c r="AJ518" i="1"/>
  <c r="AJ496" i="1"/>
  <c r="AJ630" i="1"/>
  <c r="AK590" i="1"/>
  <c r="AK479" i="1"/>
  <c r="AK461" i="1"/>
  <c r="AK443" i="1"/>
  <c r="AJ643" i="1"/>
  <c r="AJ572" i="1"/>
  <c r="AJ475" i="1"/>
  <c r="AJ455" i="1"/>
  <c r="AJ439" i="1"/>
  <c r="AJ417" i="1"/>
  <c r="AK633" i="1"/>
  <c r="AK593" i="1"/>
  <c r="AK555" i="1"/>
  <c r="AK539" i="1"/>
  <c r="AK519" i="1"/>
  <c r="AK503" i="1"/>
  <c r="AJ474" i="1"/>
  <c r="AJ406" i="1"/>
  <c r="AK404" i="1"/>
  <c r="AK416" i="1"/>
  <c r="AK389" i="1"/>
  <c r="AK371" i="1"/>
  <c r="AK355" i="1"/>
  <c r="AJ389" i="1"/>
  <c r="AJ371" i="1"/>
  <c r="AJ355" i="1"/>
  <c r="AJ339" i="1"/>
  <c r="AJ450" i="1"/>
  <c r="AJ462" i="1"/>
  <c r="AJ428" i="1"/>
  <c r="AK422" i="1"/>
  <c r="AJ390" i="1"/>
  <c r="AJ374" i="1"/>
  <c r="AJ358" i="1"/>
  <c r="AJ342" i="1"/>
  <c r="AK362" i="1"/>
  <c r="AK322" i="1"/>
  <c r="AK3552" i="1"/>
  <c r="AJ3142" i="1"/>
  <c r="AJ3377" i="1"/>
  <c r="AK3546" i="1"/>
  <c r="AK3317" i="1"/>
  <c r="AJ3083" i="1"/>
  <c r="AJ3518" i="1"/>
  <c r="AJ3071" i="1"/>
  <c r="AK2707" i="1"/>
  <c r="AK2694" i="1"/>
  <c r="AJ3156" i="1"/>
  <c r="AJ2921" i="1"/>
  <c r="AK3131" i="1"/>
  <c r="AK3499" i="1"/>
  <c r="AJ3078" i="1"/>
  <c r="AJ3038" i="1"/>
  <c r="AJ3101" i="1"/>
  <c r="AK2591" i="1"/>
  <c r="AK2669" i="1"/>
  <c r="AJ3164" i="1"/>
  <c r="AK2704" i="1"/>
  <c r="AK2410" i="1"/>
  <c r="AJ2169" i="1"/>
  <c r="AJ1893" i="1"/>
  <c r="AJ1645" i="1"/>
  <c r="AK2842" i="1"/>
  <c r="AK2525" i="1"/>
  <c r="AJ2308" i="1"/>
  <c r="AJ2164" i="1"/>
  <c r="AK3208" i="1"/>
  <c r="AK2840" i="1"/>
  <c r="AK2504" i="1"/>
  <c r="AJ2377" i="1"/>
  <c r="AK2243" i="1"/>
  <c r="AK2107" i="1"/>
  <c r="AK1967" i="1"/>
  <c r="AK1835" i="1"/>
  <c r="AK1699" i="1"/>
  <c r="AK1551" i="1"/>
  <c r="AK3042" i="1"/>
  <c r="AK2650" i="1"/>
  <c r="AK2308" i="1"/>
  <c r="AK2104" i="1"/>
  <c r="AK1950" i="1"/>
  <c r="AK1850" i="1"/>
  <c r="AJ2805" i="1"/>
  <c r="AJ2504" i="1"/>
  <c r="AJ2344" i="1"/>
  <c r="AJ2247" i="1"/>
  <c r="AJ2174" i="1"/>
  <c r="AK2092" i="1"/>
  <c r="AJ2028" i="1"/>
  <c r="AK1960" i="1"/>
  <c r="AK1902" i="1"/>
  <c r="AJ1840" i="1"/>
  <c r="AJ2879" i="1"/>
  <c r="AJ2605" i="1"/>
  <c r="AK2480" i="1"/>
  <c r="AJ2386" i="1"/>
  <c r="AK2306" i="1"/>
  <c r="AJ2234" i="1"/>
  <c r="AK2154" i="1"/>
  <c r="AJ2091" i="1"/>
  <c r="AK2990" i="1"/>
  <c r="AJ2585" i="1"/>
  <c r="AJ2477" i="1"/>
  <c r="AJ2402" i="1"/>
  <c r="AK2335" i="1"/>
  <c r="AK2268" i="1"/>
  <c r="AK2212" i="1"/>
  <c r="AK2125" i="1"/>
  <c r="AK2057" i="1"/>
  <c r="AK1994" i="1"/>
  <c r="AJ1947" i="1"/>
  <c r="AK1894" i="1"/>
  <c r="AK1837" i="1"/>
  <c r="AK1781" i="1"/>
  <c r="AK1740" i="1"/>
  <c r="AK1698" i="1"/>
  <c r="AJ1644" i="1"/>
  <c r="AK2757" i="1"/>
  <c r="AK2620" i="1"/>
  <c r="AJ2515" i="1"/>
  <c r="AK2452" i="1"/>
  <c r="AJ2395" i="1"/>
  <c r="AJ2340" i="1"/>
  <c r="AJ2291" i="1"/>
  <c r="AJ2243" i="1"/>
  <c r="AJ2187" i="1"/>
  <c r="AJ2135" i="1"/>
  <c r="AJ2075" i="1"/>
  <c r="AJ2019" i="1"/>
  <c r="AK1973" i="1"/>
  <c r="AJ1931" i="1"/>
  <c r="AK1888" i="1"/>
  <c r="AJ1842" i="1"/>
  <c r="AJ1786" i="1"/>
  <c r="AJ1740" i="1"/>
  <c r="AJ1698" i="1"/>
  <c r="AJ1654" i="1"/>
  <c r="AJ1612" i="1"/>
  <c r="AJ2594" i="1"/>
  <c r="AJ2400" i="1"/>
  <c r="AK2242" i="1"/>
  <c r="AJ2071" i="1"/>
  <c r="AK1965" i="1"/>
  <c r="AJ1860" i="1"/>
  <c r="AK1778" i="1"/>
  <c r="AJ1726" i="1"/>
  <c r="AJ1655" i="1"/>
  <c r="AK1605" i="1"/>
  <c r="AJ1551" i="1"/>
  <c r="AJ686" i="1"/>
  <c r="AJ670" i="1"/>
  <c r="AJ2539" i="1"/>
  <c r="AK2384" i="1"/>
  <c r="AK2070" i="1"/>
  <c r="AK1964" i="1"/>
  <c r="AK1848" i="1"/>
  <c r="AJ1778" i="1"/>
  <c r="AK1717" i="1"/>
  <c r="AK1653" i="1"/>
  <c r="AJ1605" i="1"/>
  <c r="AJ1560" i="1"/>
  <c r="AK809" i="1"/>
  <c r="AK790" i="1"/>
  <c r="AK770" i="1"/>
  <c r="AK752" i="1"/>
  <c r="AJ2766" i="1"/>
  <c r="AJ2469" i="1"/>
  <c r="AK2339" i="1"/>
  <c r="AK2169" i="1"/>
  <c r="AK2037" i="1"/>
  <c r="AK1953" i="1"/>
  <c r="AK1858" i="1"/>
  <c r="AJ1784" i="1"/>
  <c r="AJ1723" i="1"/>
  <c r="AK1604" i="1"/>
  <c r="AJ1559" i="1"/>
  <c r="AJ809" i="1"/>
  <c r="AJ790" i="1"/>
  <c r="AJ770" i="1"/>
  <c r="AJ752" i="1"/>
  <c r="AJ2536" i="1"/>
  <c r="AK2297" i="1"/>
  <c r="AK2134" i="1"/>
  <c r="AK2036" i="1"/>
  <c r="AJ1962" i="1"/>
  <c r="AK1882" i="1"/>
  <c r="AJ1799" i="1"/>
  <c r="AJ1743" i="1"/>
  <c r="AK1686" i="1"/>
  <c r="AJ1626" i="1"/>
  <c r="AJ1563" i="1"/>
  <c r="AK1526" i="1"/>
  <c r="AK2500" i="1"/>
  <c r="AK2323" i="1"/>
  <c r="AK2189" i="1"/>
  <c r="AK2096" i="1"/>
  <c r="AJ2000" i="1"/>
  <c r="AK1901" i="1"/>
  <c r="AK1798" i="1"/>
  <c r="AK1728" i="1"/>
  <c r="AK1672" i="1"/>
  <c r="AJ1619" i="1"/>
  <c r="AK1582" i="1"/>
  <c r="AJ1549" i="1"/>
  <c r="AJ3022" i="1"/>
  <c r="AK2436" i="1"/>
  <c r="AK2293" i="1"/>
  <c r="AK2130" i="1"/>
  <c r="AJ2006" i="1"/>
  <c r="AK1900" i="1"/>
  <c r="AJ1806" i="1"/>
  <c r="AJ1734" i="1"/>
  <c r="AJ1672" i="1"/>
  <c r="AK1618" i="1"/>
  <c r="AJ1579" i="1"/>
  <c r="AJ1539" i="1"/>
  <c r="AK795" i="1"/>
  <c r="AJ2926" i="1"/>
  <c r="AK2477" i="1"/>
  <c r="AJ2336" i="1"/>
  <c r="AK2146" i="1"/>
  <c r="AK2005" i="1"/>
  <c r="AJ1920" i="1"/>
  <c r="AJ1834" i="1"/>
  <c r="AK1768" i="1"/>
  <c r="AJ1706" i="1"/>
  <c r="AJ1642" i="1"/>
  <c r="AK1592" i="1"/>
  <c r="AK1552" i="1"/>
  <c r="AJ799" i="1"/>
  <c r="AJ783" i="1"/>
  <c r="AJ2618" i="1"/>
  <c r="AJ2334" i="1"/>
  <c r="AK2198" i="1"/>
  <c r="AJ2042" i="1"/>
  <c r="AK1956" i="1"/>
  <c r="AK1869" i="1"/>
  <c r="AJ1779" i="1"/>
  <c r="AK1718" i="1"/>
  <c r="AJ1656" i="1"/>
  <c r="AJ1606" i="1"/>
  <c r="AK1574" i="1"/>
  <c r="AJ1538" i="1"/>
  <c r="AJ753" i="1"/>
  <c r="AK711" i="1"/>
  <c r="AK671" i="1"/>
  <c r="AJ654" i="1"/>
  <c r="AJ751" i="1"/>
  <c r="AJ710" i="1"/>
  <c r="AK701" i="1"/>
  <c r="AK684" i="1"/>
  <c r="AJ703" i="1"/>
  <c r="AJ695" i="1"/>
  <c r="AK674" i="1"/>
  <c r="AJ585" i="1"/>
  <c r="AJ567" i="1"/>
  <c r="AK738" i="1"/>
  <c r="AK730" i="1"/>
  <c r="AJ692" i="1"/>
  <c r="AK668" i="1"/>
  <c r="AK651" i="1"/>
  <c r="AK761" i="1"/>
  <c r="AJ733" i="1"/>
  <c r="AJ725" i="1"/>
  <c r="AJ666" i="1"/>
  <c r="AJ647" i="1"/>
  <c r="AK765" i="1"/>
  <c r="AK675" i="1"/>
  <c r="AK672" i="1"/>
  <c r="AJ637" i="1"/>
  <c r="AK611" i="1"/>
  <c r="AJ568" i="1"/>
  <c r="AJ547" i="1"/>
  <c r="AJ529" i="1"/>
  <c r="AJ493" i="1"/>
  <c r="AK625" i="1"/>
  <c r="AK586" i="1"/>
  <c r="AK478" i="1"/>
  <c r="AK462" i="1"/>
  <c r="AK640" i="1"/>
  <c r="AK583" i="1"/>
  <c r="AK614" i="1"/>
  <c r="AK576" i="1"/>
  <c r="AK550" i="1"/>
  <c r="AK534" i="1"/>
  <c r="AK514" i="1"/>
  <c r="AK492" i="1"/>
  <c r="AJ629" i="1"/>
  <c r="AJ606" i="1"/>
  <c r="AK579" i="1"/>
  <c r="AJ552" i="1"/>
  <c r="AJ536" i="1"/>
  <c r="AJ516" i="1"/>
  <c r="AJ494" i="1"/>
  <c r="AK627" i="1"/>
  <c r="AK585" i="1"/>
  <c r="AK477" i="1"/>
  <c r="AK459" i="1"/>
  <c r="AK441" i="1"/>
  <c r="AJ635" i="1"/>
  <c r="AK569" i="1"/>
  <c r="AJ453" i="1"/>
  <c r="AJ437" i="1"/>
  <c r="AJ415" i="1"/>
  <c r="AJ628" i="1"/>
  <c r="AJ584" i="1"/>
  <c r="AK553" i="1"/>
  <c r="AK537" i="1"/>
  <c r="AK517" i="1"/>
  <c r="AK501" i="1"/>
  <c r="AJ458" i="1"/>
  <c r="AK401" i="1"/>
  <c r="AJ401" i="1"/>
  <c r="AK405" i="1"/>
  <c r="AK387" i="1"/>
  <c r="AK369" i="1"/>
  <c r="AK353" i="1"/>
  <c r="AK419" i="1"/>
  <c r="AJ387" i="1"/>
  <c r="AJ369" i="1"/>
  <c r="AJ353" i="1"/>
  <c r="AJ337" i="1"/>
  <c r="AK446" i="1"/>
  <c r="AK428" i="1"/>
  <c r="AJ446" i="1"/>
  <c r="AK415" i="1"/>
  <c r="AK411" i="1"/>
  <c r="AJ388" i="1"/>
  <c r="AJ372" i="1"/>
  <c r="AJ356" i="1"/>
  <c r="AJ340" i="1"/>
  <c r="AK346" i="1"/>
  <c r="AK321" i="1"/>
  <c r="AK313" i="1"/>
  <c r="AK392" i="1"/>
  <c r="AJ325" i="1"/>
  <c r="AJ317" i="1"/>
  <c r="AJ309" i="1"/>
  <c r="AK280" i="1"/>
  <c r="AK248" i="1"/>
  <c r="AK224" i="1"/>
  <c r="AK206" i="1"/>
  <c r="AK190" i="1"/>
  <c r="AK170" i="1"/>
  <c r="AK152" i="1"/>
  <c r="AJ308" i="1"/>
  <c r="AJ292" i="1"/>
  <c r="AJ276" i="1"/>
  <c r="AJ260" i="1"/>
  <c r="AJ245" i="1"/>
  <c r="AJ220" i="1"/>
  <c r="AJ204" i="1"/>
  <c r="AJ188" i="1"/>
  <c r="AJ168" i="1"/>
  <c r="AK413" i="1"/>
  <c r="AJ291" i="1"/>
  <c r="AJ259" i="1"/>
  <c r="AK372" i="1"/>
  <c r="AK390" i="1"/>
  <c r="AK294" i="1"/>
  <c r="AK262" i="1"/>
  <c r="AK231" i="1"/>
  <c r="AK199" i="1"/>
  <c r="AK177" i="1"/>
  <c r="AK159" i="1"/>
  <c r="AJ334" i="1"/>
  <c r="AJ294" i="1"/>
  <c r="AJ278" i="1"/>
  <c r="AJ262" i="1"/>
  <c r="AJ246" i="1"/>
  <c r="AJ223" i="1"/>
  <c r="AJ297" i="1"/>
  <c r="AJ265" i="1"/>
  <c r="AJ175" i="1"/>
  <c r="AJ118" i="1"/>
  <c r="AJ102" i="1"/>
  <c r="AJ84" i="1"/>
  <c r="AJ68" i="1"/>
  <c r="AJ28" i="1"/>
  <c r="AK147" i="1"/>
  <c r="AJ157" i="1"/>
  <c r="AK130" i="1"/>
  <c r="AK3572" i="1"/>
  <c r="AJ3412" i="1"/>
  <c r="AJ3282" i="1"/>
  <c r="AJ3049" i="1"/>
  <c r="AJ3478" i="1"/>
  <c r="AK3039" i="1"/>
  <c r="AJ2672" i="1"/>
  <c r="AJ3339" i="1"/>
  <c r="AJ3039" i="1"/>
  <c r="AJ2867" i="1"/>
  <c r="AJ2659" i="1"/>
  <c r="AJ3360" i="1"/>
  <c r="AK3466" i="1"/>
  <c r="AJ3119" i="1"/>
  <c r="AJ3560" i="1"/>
  <c r="AK3078" i="1"/>
  <c r="AJ2900" i="1"/>
  <c r="AK3387" i="1"/>
  <c r="AK3038" i="1"/>
  <c r="AJ2996" i="1"/>
  <c r="AK2816" i="1"/>
  <c r="AJ2558" i="1"/>
  <c r="AK2660" i="1"/>
  <c r="AK2374" i="1"/>
  <c r="AJ2125" i="1"/>
  <c r="AJ1857" i="1"/>
  <c r="AK3553" i="1"/>
  <c r="AK2856" i="1"/>
  <c r="AJ2783" i="1"/>
  <c r="AK2487" i="1"/>
  <c r="AJ2292" i="1"/>
  <c r="AJ2148" i="1"/>
  <c r="AK3111" i="1"/>
  <c r="AK2832" i="1"/>
  <c r="AJ2495" i="1"/>
  <c r="AJ2353" i="1"/>
  <c r="AK2231" i="1"/>
  <c r="AK2095" i="1"/>
  <c r="AK1955" i="1"/>
  <c r="AK1807" i="1"/>
  <c r="AK1667" i="1"/>
  <c r="AK3047" i="1"/>
  <c r="AK2593" i="1"/>
  <c r="AJ2290" i="1"/>
  <c r="AK2086" i="1"/>
  <c r="AK1945" i="1"/>
  <c r="AK1840" i="1"/>
  <c r="AK2687" i="1"/>
  <c r="AK2472" i="1"/>
  <c r="AJ2326" i="1"/>
  <c r="AK2241" i="1"/>
  <c r="AK2161" i="1"/>
  <c r="AJ2086" i="1"/>
  <c r="AK2022" i="1"/>
  <c r="AJ1955" i="1"/>
  <c r="AK1897" i="1"/>
  <c r="AK1834" i="1"/>
  <c r="AJ2809" i="1"/>
  <c r="AJ2603" i="1"/>
  <c r="AJ2462" i="1"/>
  <c r="AK2379" i="1"/>
  <c r="AK2301" i="1"/>
  <c r="AJ2227" i="1"/>
  <c r="AK2148" i="1"/>
  <c r="AK2085" i="1"/>
  <c r="AJ2661" i="1"/>
  <c r="AJ2583" i="1"/>
  <c r="AJ2473" i="1"/>
  <c r="AK2395" i="1"/>
  <c r="AK2328" i="1"/>
  <c r="AJ2262" i="1"/>
  <c r="AJ2206" i="1"/>
  <c r="AK2113" i="1"/>
  <c r="AK2046" i="1"/>
  <c r="AJ1990" i="1"/>
  <c r="AK1889" i="1"/>
  <c r="AJ1818" i="1"/>
  <c r="AJ1776" i="1"/>
  <c r="AJ1735" i="1"/>
  <c r="AK1693" i="1"/>
  <c r="AJ2911" i="1"/>
  <c r="AK2724" i="1"/>
  <c r="AK2618" i="1"/>
  <c r="AJ2507" i="1"/>
  <c r="AJ2447" i="1"/>
  <c r="AJ2383" i="1"/>
  <c r="AJ2335" i="1"/>
  <c r="AK2285" i="1"/>
  <c r="AK2237" i="1"/>
  <c r="AK2182" i="1"/>
  <c r="AK2124" i="1"/>
  <c r="AK2069" i="1"/>
  <c r="AJ2014" i="1"/>
  <c r="AJ1968" i="1"/>
  <c r="AJ1926" i="1"/>
  <c r="AJ1883" i="1"/>
  <c r="AK1836" i="1"/>
  <c r="AK1780" i="1"/>
  <c r="AK1734" i="1"/>
  <c r="AK1692" i="1"/>
  <c r="AK1648" i="1"/>
  <c r="AJ1607" i="1"/>
  <c r="AK2555" i="1"/>
  <c r="AK2375" i="1"/>
  <c r="AJ2226" i="1"/>
  <c r="AK2058" i="1"/>
  <c r="AK1954" i="1"/>
  <c r="AK1849" i="1"/>
  <c r="AK1773" i="1"/>
  <c r="AJ1718" i="1"/>
  <c r="AJ1647" i="1"/>
  <c r="AJ1601" i="1"/>
  <c r="AJ684" i="1"/>
  <c r="AJ3011" i="1"/>
  <c r="AK2522" i="1"/>
  <c r="AJ2372" i="1"/>
  <c r="AJ2239" i="1"/>
  <c r="AJ2058" i="1"/>
  <c r="AJ1954" i="1"/>
  <c r="AK1841" i="1"/>
  <c r="AK1772" i="1"/>
  <c r="AK1710" i="1"/>
  <c r="AK1646" i="1"/>
  <c r="AK1600" i="1"/>
  <c r="AJ1555" i="1"/>
  <c r="AK804" i="1"/>
  <c r="AK788" i="1"/>
  <c r="AK768" i="1"/>
  <c r="AK750" i="1"/>
  <c r="AK2701" i="1"/>
  <c r="AJ2464" i="1"/>
  <c r="AK2327" i="1"/>
  <c r="AJ2154" i="1"/>
  <c r="AK2029" i="1"/>
  <c r="AJ1943" i="1"/>
  <c r="AJ1848" i="1"/>
  <c r="AK1777" i="1"/>
  <c r="AK1716" i="1"/>
  <c r="AK1652" i="1"/>
  <c r="AJ1600" i="1"/>
  <c r="AK1554" i="1"/>
  <c r="AJ804" i="1"/>
  <c r="AJ788" i="1"/>
  <c r="AJ768" i="1"/>
  <c r="AJ750" i="1"/>
  <c r="AK2534" i="1"/>
  <c r="AJ2126" i="1"/>
  <c r="AJ2027" i="1"/>
  <c r="AJ1951" i="1"/>
  <c r="AK1874" i="1"/>
  <c r="AK1790" i="1"/>
  <c r="AK1736" i="1"/>
  <c r="AK1682" i="1"/>
  <c r="AJ1620" i="1"/>
  <c r="AK1558" i="1"/>
  <c r="AK806" i="1"/>
  <c r="AK2496" i="1"/>
  <c r="AJ2306" i="1"/>
  <c r="AJ2182" i="1"/>
  <c r="AJ2078" i="1"/>
  <c r="AK1981" i="1"/>
  <c r="AK1890" i="1"/>
  <c r="AJ1790" i="1"/>
  <c r="AJ1722" i="1"/>
  <c r="AJ1666" i="1"/>
  <c r="AK1613" i="1"/>
  <c r="AK1579" i="1"/>
  <c r="AK1544" i="1"/>
  <c r="AJ2636" i="1"/>
  <c r="AJ2426" i="1"/>
  <c r="AK2260" i="1"/>
  <c r="AK2105" i="1"/>
  <c r="AK1980" i="1"/>
  <c r="AJ1890" i="1"/>
  <c r="AJ1798" i="1"/>
  <c r="AJ1728" i="1"/>
  <c r="AJ1664" i="1"/>
  <c r="AJ1613" i="1"/>
  <c r="AJ1576" i="1"/>
  <c r="AJ1530" i="1"/>
  <c r="AK793" i="1"/>
  <c r="AK2913" i="1"/>
  <c r="AJ2448" i="1"/>
  <c r="AJ2312" i="1"/>
  <c r="AJ2102" i="1"/>
  <c r="AK1990" i="1"/>
  <c r="AK1909" i="1"/>
  <c r="AJ1828" i="1"/>
  <c r="AJ1762" i="1"/>
  <c r="AJ1699" i="1"/>
  <c r="AJ1636" i="1"/>
  <c r="AK1588" i="1"/>
  <c r="AJ1543" i="1"/>
  <c r="AJ797" i="1"/>
  <c r="AJ781" i="1"/>
  <c r="AJ2563" i="1"/>
  <c r="AJ2318" i="1"/>
  <c r="AK2186" i="1"/>
  <c r="AJ2031" i="1"/>
  <c r="AJ1946" i="1"/>
  <c r="AJ1851" i="1"/>
  <c r="AJ1774" i="1"/>
  <c r="AJ1712" i="1"/>
  <c r="AJ1648" i="1"/>
  <c r="AK1601" i="1"/>
  <c r="AJ1570" i="1"/>
  <c r="AK1533" i="1"/>
  <c r="AK751" i="1"/>
  <c r="AK710" i="1"/>
  <c r="AJ669" i="1"/>
  <c r="AJ652" i="1"/>
  <c r="AK749" i="1"/>
  <c r="AJ709" i="1"/>
  <c r="AK700" i="1"/>
  <c r="AK677" i="1"/>
  <c r="AJ702" i="1"/>
  <c r="AJ694" i="1"/>
  <c r="AJ660" i="1"/>
  <c r="AJ583" i="1"/>
  <c r="AJ565" i="1"/>
  <c r="AK737" i="1"/>
  <c r="AK729" i="1"/>
  <c r="AJ691" i="1"/>
  <c r="AK666" i="1"/>
  <c r="AK647" i="1"/>
  <c r="AJ745" i="1"/>
  <c r="AJ732" i="1"/>
  <c r="AJ724" i="1"/>
  <c r="AJ664" i="1"/>
  <c r="AJ645" i="1"/>
  <c r="AJ763" i="1"/>
  <c r="AK767" i="1"/>
  <c r="AK669" i="1"/>
  <c r="AK636" i="1"/>
  <c r="AJ608" i="1"/>
  <c r="AK565" i="1"/>
  <c r="AJ545" i="1"/>
  <c r="AJ525" i="1"/>
  <c r="AJ509" i="1"/>
  <c r="AJ491" i="1"/>
  <c r="AK620" i="1"/>
  <c r="AJ580" i="1"/>
  <c r="AK476" i="1"/>
  <c r="AK458" i="1"/>
  <c r="AK632" i="1"/>
  <c r="AK570" i="1"/>
  <c r="AK610" i="1"/>
  <c r="AJ570" i="1"/>
  <c r="AK548" i="1"/>
  <c r="AK530" i="1"/>
  <c r="AK512" i="1"/>
  <c r="AK490" i="1"/>
  <c r="AK624" i="1"/>
  <c r="AK605" i="1"/>
  <c r="AJ576" i="1"/>
  <c r="AJ550" i="1"/>
  <c r="AJ534" i="1"/>
  <c r="AJ514" i="1"/>
  <c r="AJ492" i="1"/>
  <c r="AJ624" i="1"/>
  <c r="AK572" i="1"/>
  <c r="AK475" i="1"/>
  <c r="AK455" i="1"/>
  <c r="AK439" i="1"/>
  <c r="AK628" i="1"/>
  <c r="AK562" i="1"/>
  <c r="AJ471" i="1"/>
  <c r="AJ451" i="1"/>
  <c r="AJ435" i="1"/>
  <c r="AJ413" i="1"/>
  <c r="AJ621" i="1"/>
  <c r="AK581" i="1"/>
  <c r="AK551" i="1"/>
  <c r="AK533" i="1"/>
  <c r="AK515" i="1"/>
  <c r="AK499" i="1"/>
  <c r="AJ456" i="1"/>
  <c r="AJ464" i="1"/>
  <c r="AK400" i="1"/>
  <c r="AJ404" i="1"/>
  <c r="AK385" i="1"/>
  <c r="AK367" i="1"/>
  <c r="AK351" i="1"/>
  <c r="AJ416" i="1"/>
  <c r="AJ385" i="1"/>
  <c r="AJ367" i="1"/>
  <c r="AJ351" i="1"/>
  <c r="AJ335" i="1"/>
  <c r="AK444" i="1"/>
  <c r="AK417" i="1"/>
  <c r="AJ444" i="1"/>
  <c r="AJ408" i="1"/>
  <c r="AJ386" i="1"/>
  <c r="AJ370" i="1"/>
  <c r="AJ354" i="1"/>
  <c r="AJ338" i="1"/>
  <c r="AK335" i="1"/>
  <c r="AK320" i="1"/>
  <c r="AK312" i="1"/>
  <c r="AK388" i="1"/>
  <c r="AK3550" i="1"/>
  <c r="AJ3512" i="1"/>
  <c r="AJ3350" i="1"/>
  <c r="AK3530" i="1"/>
  <c r="AK3340" i="1"/>
  <c r="AK3375" i="1"/>
  <c r="AJ3503" i="1"/>
  <c r="AK3245" i="1"/>
  <c r="AJ3017" i="1"/>
  <c r="AJ3251" i="1"/>
  <c r="AJ2999" i="1"/>
  <c r="AK2843" i="1"/>
  <c r="AK3238" i="1"/>
  <c r="AK3002" i="1"/>
  <c r="AJ3421" i="1"/>
  <c r="AJ3085" i="1"/>
  <c r="AJ3040" i="1"/>
  <c r="AK3291" i="1"/>
  <c r="AJ2998" i="1"/>
  <c r="AJ3295" i="1"/>
  <c r="AK2946" i="1"/>
  <c r="AK2778" i="1"/>
  <c r="AK2521" i="1"/>
  <c r="AJ2845" i="1"/>
  <c r="AJ2623" i="1"/>
  <c r="AK2866" i="1"/>
  <c r="AJ2621" i="1"/>
  <c r="AK2334" i="1"/>
  <c r="AJ2089" i="1"/>
  <c r="AJ1821" i="1"/>
  <c r="AK3135" i="1"/>
  <c r="AK2770" i="1"/>
  <c r="AJ2721" i="1"/>
  <c r="AJ2272" i="1"/>
  <c r="AJ2112" i="1"/>
  <c r="AJ2794" i="1"/>
  <c r="AJ2638" i="1"/>
  <c r="AJ2471" i="1"/>
  <c r="AJ2341" i="1"/>
  <c r="AK2211" i="1"/>
  <c r="AK2075" i="1"/>
  <c r="AK1931" i="1"/>
  <c r="AK1787" i="1"/>
  <c r="AK1655" i="1"/>
  <c r="AK1531" i="1"/>
  <c r="AK2928" i="1"/>
  <c r="AK2538" i="1"/>
  <c r="AJ2259" i="1"/>
  <c r="AK2054" i="1"/>
  <c r="AK1821" i="1"/>
  <c r="AK2685" i="1"/>
  <c r="AK2456" i="1"/>
  <c r="AK2319" i="1"/>
  <c r="AK2228" i="1"/>
  <c r="AK2149" i="1"/>
  <c r="AK2073" i="1"/>
  <c r="AK2006" i="1"/>
  <c r="AJ1950" i="1"/>
  <c r="AK1886" i="1"/>
  <c r="AK1825" i="1"/>
  <c r="AK2729" i="1"/>
  <c r="AJ2560" i="1"/>
  <c r="AJ2450" i="1"/>
  <c r="AK2372" i="1"/>
  <c r="AK2288" i="1"/>
  <c r="AK2214" i="1"/>
  <c r="AJ2142" i="1"/>
  <c r="AJ2881" i="1"/>
  <c r="AK2617" i="1"/>
  <c r="AJ2894" i="1"/>
  <c r="AJ2555" i="1"/>
  <c r="AJ2459" i="1"/>
  <c r="AK2383" i="1"/>
  <c r="AJ2323" i="1"/>
  <c r="AJ2255" i="1"/>
  <c r="AK2170" i="1"/>
  <c r="AK2106" i="1"/>
  <c r="AK2041" i="1"/>
  <c r="AK1984" i="1"/>
  <c r="AK1936" i="1"/>
  <c r="AK1873" i="1"/>
  <c r="AK1813" i="1"/>
  <c r="AJ1771" i="1"/>
  <c r="AK1730" i="1"/>
  <c r="AJ1688" i="1"/>
  <c r="AK2896" i="1"/>
  <c r="AK2722" i="1"/>
  <c r="AJ2604" i="1"/>
  <c r="AK2501" i="1"/>
  <c r="AJ2440" i="1"/>
  <c r="AJ2376" i="1"/>
  <c r="AJ2328" i="1"/>
  <c r="AJ2279" i="1"/>
  <c r="AK2230" i="1"/>
  <c r="AK2176" i="1"/>
  <c r="AK2118" i="1"/>
  <c r="AK2062" i="1"/>
  <c r="AK2008" i="1"/>
  <c r="AK1962" i="1"/>
  <c r="AK1920" i="1"/>
  <c r="AK1872" i="1"/>
  <c r="AK1817" i="1"/>
  <c r="AK1770" i="1"/>
  <c r="AJ1730" i="1"/>
  <c r="AJ1687" i="1"/>
  <c r="AJ1643" i="1"/>
  <c r="AK2539" i="1"/>
  <c r="AJ2343" i="1"/>
  <c r="AJ2207" i="1"/>
  <c r="AK2050" i="1"/>
  <c r="AJ1928" i="1"/>
  <c r="AJ1843" i="1"/>
  <c r="AJ1767" i="1"/>
  <c r="AJ1711" i="1"/>
  <c r="AK1640" i="1"/>
  <c r="AJ1596" i="1"/>
  <c r="AJ1542" i="1"/>
  <c r="AJ682" i="1"/>
  <c r="AK2865" i="1"/>
  <c r="AK2469" i="1"/>
  <c r="AJ2364" i="1"/>
  <c r="AJ2223" i="1"/>
  <c r="AK2048" i="1"/>
  <c r="AJ1927" i="1"/>
  <c r="AK1826" i="1"/>
  <c r="AK1765" i="1"/>
  <c r="AK1702" i="1"/>
  <c r="AJ1640" i="1"/>
  <c r="AJ1595" i="1"/>
  <c r="AK1550" i="1"/>
  <c r="AK786" i="1"/>
  <c r="AK766" i="1"/>
  <c r="AK2696" i="1"/>
  <c r="AK2439" i="1"/>
  <c r="AJ2316" i="1"/>
  <c r="AK2126" i="1"/>
  <c r="AK2018" i="1"/>
  <c r="AJ1934" i="1"/>
  <c r="AJ1839" i="1"/>
  <c r="AJ1772" i="1"/>
  <c r="AJ1710" i="1"/>
  <c r="AJ1646" i="1"/>
  <c r="AK1590" i="1"/>
  <c r="AJ1550" i="1"/>
  <c r="AJ786" i="1"/>
  <c r="AJ766" i="1"/>
  <c r="AJ2430" i="1"/>
  <c r="AK2236" i="1"/>
  <c r="AK2108" i="1"/>
  <c r="AK2016" i="1"/>
  <c r="AK1856" i="1"/>
  <c r="AJ1783" i="1"/>
  <c r="AK1729" i="1"/>
  <c r="AK1666" i="1"/>
  <c r="AJ1609" i="1"/>
  <c r="AJ1554" i="1"/>
  <c r="AJ2997" i="1"/>
  <c r="AJ2452" i="1"/>
  <c r="AJ2294" i="1"/>
  <c r="AK2165" i="1"/>
  <c r="AK2065" i="1"/>
  <c r="AK1970" i="1"/>
  <c r="AK1880" i="1"/>
  <c r="AK1782" i="1"/>
  <c r="AJ1715" i="1"/>
  <c r="AJ1658" i="1"/>
  <c r="AK1608" i="1"/>
  <c r="AK1576" i="1"/>
  <c r="AJ1540" i="1"/>
  <c r="AK2583" i="1"/>
  <c r="AJ2418" i="1"/>
  <c r="AK2249" i="1"/>
  <c r="AJ2094" i="1"/>
  <c r="AJ1970" i="1"/>
  <c r="AJ1880" i="1"/>
  <c r="AK1788" i="1"/>
  <c r="AK1721" i="1"/>
  <c r="AK1657" i="1"/>
  <c r="AJ1608" i="1"/>
  <c r="AJ1571" i="1"/>
  <c r="AK1525" i="1"/>
  <c r="AK791" i="1"/>
  <c r="AJ2722" i="1"/>
  <c r="AJ2435" i="1"/>
  <c r="AK2290" i="1"/>
  <c r="AK2090" i="1"/>
  <c r="AJ1980" i="1"/>
  <c r="AK1898" i="1"/>
  <c r="AK1814" i="1"/>
  <c r="AJ1754" i="1"/>
  <c r="AJ1691" i="1"/>
  <c r="AJ1630" i="1"/>
  <c r="AK1584" i="1"/>
  <c r="AK1538" i="1"/>
  <c r="AJ795" i="1"/>
  <c r="AJ779" i="1"/>
  <c r="AJ2535" i="1"/>
  <c r="AJ2287" i="1"/>
  <c r="AJ2175" i="1"/>
  <c r="AJ2022" i="1"/>
  <c r="AK1937" i="1"/>
  <c r="AJ1844" i="1"/>
  <c r="AJ1768" i="1"/>
  <c r="AK1705" i="1"/>
  <c r="AK1641" i="1"/>
  <c r="AK1596" i="1"/>
  <c r="AK1565" i="1"/>
  <c r="AJ1529" i="1"/>
  <c r="AJ742" i="1"/>
  <c r="AK709" i="1"/>
  <c r="AJ667" i="1"/>
  <c r="AJ646" i="1"/>
  <c r="AK743" i="1"/>
  <c r="AJ708" i="1"/>
  <c r="AK699" i="1"/>
  <c r="AJ671" i="1"/>
  <c r="AJ701" i="1"/>
  <c r="AK692" i="1"/>
  <c r="AJ601" i="1"/>
  <c r="AJ581" i="1"/>
  <c r="AJ563" i="1"/>
  <c r="AK736" i="1"/>
  <c r="AK728" i="1"/>
  <c r="AJ690" i="1"/>
  <c r="AK664" i="1"/>
  <c r="AK645" i="1"/>
  <c r="AJ731" i="1"/>
  <c r="AJ723" i="1"/>
  <c r="AJ662" i="1"/>
  <c r="AK773" i="1"/>
  <c r="AK755" i="1"/>
  <c r="AJ765" i="1"/>
  <c r="AK667" i="1"/>
  <c r="AK634" i="1"/>
  <c r="AJ604" i="1"/>
  <c r="AJ559" i="1"/>
  <c r="AJ543" i="1"/>
  <c r="AJ523" i="1"/>
  <c r="AJ507" i="1"/>
  <c r="AJ489" i="1"/>
  <c r="AJ619" i="1"/>
  <c r="AJ574" i="1"/>
  <c r="AK474" i="1"/>
  <c r="AK456" i="1"/>
  <c r="AJ631" i="1"/>
  <c r="AJ564" i="1"/>
  <c r="AK606" i="1"/>
  <c r="AK567" i="1"/>
  <c r="AK546" i="1"/>
  <c r="AK528" i="1"/>
  <c r="AK510" i="1"/>
  <c r="AK488" i="1"/>
  <c r="AJ623" i="1"/>
  <c r="AJ602" i="1"/>
  <c r="AK573" i="1"/>
  <c r="AJ548" i="1"/>
  <c r="AJ530" i="1"/>
  <c r="AJ512" i="1"/>
  <c r="AJ490" i="1"/>
  <c r="AJ617" i="1"/>
  <c r="AJ566" i="1"/>
  <c r="AK453" i="1"/>
  <c r="AK437" i="1"/>
  <c r="AJ627" i="1"/>
  <c r="AJ485" i="1"/>
  <c r="AJ469" i="1"/>
  <c r="AJ449" i="1"/>
  <c r="AJ427" i="1"/>
  <c r="AJ411" i="1"/>
  <c r="AK616" i="1"/>
  <c r="AK575" i="1"/>
  <c r="AK549" i="1"/>
  <c r="AK531" i="1"/>
  <c r="AK513" i="1"/>
  <c r="AK495" i="1"/>
  <c r="AJ452" i="1"/>
  <c r="AK426" i="1"/>
  <c r="AJ480" i="1"/>
  <c r="AJ400" i="1"/>
  <c r="AK383" i="1"/>
  <c r="AK365" i="1"/>
  <c r="AK349" i="1"/>
  <c r="AK414" i="1"/>
  <c r="AJ383" i="1"/>
  <c r="AJ365" i="1"/>
  <c r="AJ349" i="1"/>
  <c r="AJ333" i="1"/>
  <c r="AK442" i="1"/>
  <c r="AJ414" i="1"/>
  <c r="AJ442" i="1"/>
  <c r="AK410" i="1"/>
  <c r="AK406" i="1"/>
  <c r="AJ384" i="1"/>
  <c r="AJ368" i="1"/>
  <c r="AJ352" i="1"/>
  <c r="AJ468" i="1"/>
  <c r="AK332" i="1"/>
  <c r="AK319" i="1"/>
  <c r="AK311" i="1"/>
  <c r="AK384" i="1"/>
  <c r="AJ323" i="1"/>
  <c r="AJ315" i="1"/>
  <c r="AK304" i="1"/>
  <c r="AK272" i="1"/>
  <c r="AK243" i="1"/>
  <c r="AK218" i="1"/>
  <c r="AK202" i="1"/>
  <c r="AK184" i="1"/>
  <c r="AK358" i="1"/>
  <c r="AJ304" i="1"/>
  <c r="AJ288" i="1"/>
  <c r="AJ272" i="1"/>
  <c r="AJ256" i="1"/>
  <c r="AJ241" i="1"/>
  <c r="AJ216" i="1"/>
  <c r="AJ200" i="1"/>
  <c r="AJ182" i="1"/>
  <c r="AJ162" i="1"/>
  <c r="AK333" i="1"/>
  <c r="AJ283" i="1"/>
  <c r="AJ251" i="1"/>
  <c r="AK364" i="1"/>
  <c r="AK382" i="1"/>
  <c r="AK286" i="1"/>
  <c r="AK254" i="1"/>
  <c r="AK227" i="1"/>
  <c r="AK211" i="1"/>
  <c r="AK191" i="1"/>
  <c r="AK173" i="1"/>
  <c r="AK155" i="1"/>
  <c r="AJ306" i="1"/>
  <c r="AJ290" i="1"/>
  <c r="AJ274" i="1"/>
  <c r="AJ258" i="1"/>
  <c r="AJ242" i="1"/>
  <c r="AK424" i="1"/>
  <c r="AJ289" i="1"/>
  <c r="AJ257" i="1"/>
  <c r="AK142" i="1"/>
  <c r="AJ114" i="1"/>
  <c r="AJ96" i="1"/>
  <c r="AJ80" i="1"/>
  <c r="AJ3515" i="1"/>
  <c r="AJ3310" i="1"/>
  <c r="AJ3490" i="1"/>
  <c r="AK3300" i="1"/>
  <c r="AK3343" i="1"/>
  <c r="AJ3466" i="1"/>
  <c r="AK3213" i="1"/>
  <c r="AJ2640" i="1"/>
  <c r="AK3206" i="1"/>
  <c r="AJ2964" i="1"/>
  <c r="AJ2803" i="1"/>
  <c r="AJ2627" i="1"/>
  <c r="AJ3335" i="1"/>
  <c r="AK3035" i="1"/>
  <c r="AJ3511" i="1"/>
  <c r="AK3003" i="1"/>
  <c r="AJ2868" i="1"/>
  <c r="AJ3237" i="1"/>
  <c r="AJ3568" i="1"/>
  <c r="AJ3275" i="1"/>
  <c r="AK2917" i="1"/>
  <c r="AK2483" i="1"/>
  <c r="AK2812" i="1"/>
  <c r="AJ2586" i="1"/>
  <c r="AJ2791" i="1"/>
  <c r="AJ2579" i="1"/>
  <c r="AJ2301" i="1"/>
  <c r="AJ2057" i="1"/>
  <c r="AJ1789" i="1"/>
  <c r="AK2721" i="1"/>
  <c r="AJ2677" i="1"/>
  <c r="AK2449" i="1"/>
  <c r="AJ2260" i="1"/>
  <c r="AJ2096" i="1"/>
  <c r="AJ3056" i="1"/>
  <c r="AK2768" i="1"/>
  <c r="AJ2622" i="1"/>
  <c r="AJ2321" i="1"/>
  <c r="AK2063" i="1"/>
  <c r="AK1919" i="1"/>
  <c r="AK1771" i="1"/>
  <c r="AK1635" i="1"/>
  <c r="AJ3444" i="1"/>
  <c r="AK2468" i="1"/>
  <c r="AJ2242" i="1"/>
  <c r="AJ2039" i="1"/>
  <c r="AJ1919" i="1"/>
  <c r="AJ1816" i="1"/>
  <c r="AJ2428" i="1"/>
  <c r="AJ2302" i="1"/>
  <c r="AJ2222" i="1"/>
  <c r="AK2142" i="1"/>
  <c r="AK2066" i="1"/>
  <c r="AK1997" i="1"/>
  <c r="AJ1939" i="1"/>
  <c r="AK1881" i="1"/>
  <c r="AK1820" i="1"/>
  <c r="AK2727" i="1"/>
  <c r="AK2558" i="1"/>
  <c r="AK2443" i="1"/>
  <c r="AJ2362" i="1"/>
  <c r="AJ2282" i="1"/>
  <c r="AK2208" i="1"/>
  <c r="AK2132" i="1"/>
  <c r="AJ2861" i="1"/>
  <c r="AJ2609" i="1"/>
  <c r="AJ2865" i="1"/>
  <c r="AJ2528" i="1"/>
  <c r="AK2447" i="1"/>
  <c r="AK2376" i="1"/>
  <c r="AK2309" i="1"/>
  <c r="AK2244" i="1"/>
  <c r="AK2164" i="1"/>
  <c r="AJ2095" i="1"/>
  <c r="AJ2036" i="1"/>
  <c r="AJ1979" i="1"/>
  <c r="AK1926" i="1"/>
  <c r="AJ1868" i="1"/>
  <c r="AJ1808" i="1"/>
  <c r="AK1766" i="1"/>
  <c r="AK1725" i="1"/>
  <c r="AK1670" i="1"/>
  <c r="AK2849" i="1"/>
  <c r="AJ2694" i="1"/>
  <c r="AK2602" i="1"/>
  <c r="AK2493" i="1"/>
  <c r="AK2435" i="1"/>
  <c r="AJ2370" i="1"/>
  <c r="AJ2322" i="1"/>
  <c r="AJ2274" i="1"/>
  <c r="AK2224" i="1"/>
  <c r="AJ2170" i="1"/>
  <c r="AK2112" i="1"/>
  <c r="AK2056" i="1"/>
  <c r="AJ2003" i="1"/>
  <c r="AK1957" i="1"/>
  <c r="AJ1915" i="1"/>
  <c r="AJ1867" i="1"/>
  <c r="AK1812" i="1"/>
  <c r="AJ1766" i="1"/>
  <c r="AK1724" i="1"/>
  <c r="AK1678" i="1"/>
  <c r="AJ1638" i="1"/>
  <c r="AJ2941" i="1"/>
  <c r="AJ2520" i="1"/>
  <c r="AJ2331" i="1"/>
  <c r="AJ2040" i="1"/>
  <c r="AK1917" i="1"/>
  <c r="AJ1820" i="1"/>
  <c r="AJ1759" i="1"/>
  <c r="AK1704" i="1"/>
  <c r="AK1634" i="1"/>
  <c r="AJ1574" i="1"/>
  <c r="AK1537" i="1"/>
  <c r="AK2820" i="1"/>
  <c r="AJ2467" i="1"/>
  <c r="AJ2342" i="1"/>
  <c r="AK2206" i="1"/>
  <c r="AJ2038" i="1"/>
  <c r="AK1916" i="1"/>
  <c r="AJ1819" i="1"/>
  <c r="AK1758" i="1"/>
  <c r="AJ1696" i="1"/>
  <c r="AJ1634" i="1"/>
  <c r="AK1583" i="1"/>
  <c r="AK800" i="1"/>
  <c r="AK784" i="1"/>
  <c r="AK764" i="1"/>
  <c r="AK746" i="1"/>
  <c r="AK2608" i="1"/>
  <c r="AJ2432" i="1"/>
  <c r="AJ2299" i="1"/>
  <c r="AJ2111" i="1"/>
  <c r="AK2010" i="1"/>
  <c r="AK1824" i="1"/>
  <c r="AK1764" i="1"/>
  <c r="AJ1702" i="1"/>
  <c r="AJ1639" i="1"/>
  <c r="AJ1583" i="1"/>
  <c r="AK1545" i="1"/>
  <c r="AJ800" i="1"/>
  <c r="AJ784" i="1"/>
  <c r="AJ764" i="1"/>
  <c r="AJ746" i="1"/>
  <c r="AJ2410" i="1"/>
  <c r="AJ2219" i="1"/>
  <c r="AK2097" i="1"/>
  <c r="AJ2010" i="1"/>
  <c r="AK1933" i="1"/>
  <c r="AJ1846" i="1"/>
  <c r="AK1776" i="1"/>
  <c r="AK1722" i="1"/>
  <c r="AK3465" i="1"/>
  <c r="AK3273" i="1"/>
  <c r="AK3453" i="1"/>
  <c r="AK3268" i="1"/>
  <c r="AK3311" i="1"/>
  <c r="AJ3178" i="1"/>
  <c r="AK2982" i="1"/>
  <c r="AK3194" i="1"/>
  <c r="AK2969" i="1"/>
  <c r="AK2811" i="1"/>
  <c r="AK2603" i="1"/>
  <c r="AK3146" i="1"/>
  <c r="AK3298" i="1"/>
  <c r="AJ3452" i="1"/>
  <c r="AK2831" i="1"/>
  <c r="AJ3200" i="1"/>
  <c r="AK3442" i="1"/>
  <c r="AK3219" i="1"/>
  <c r="AJ2727" i="1"/>
  <c r="AK3524" i="1"/>
  <c r="AJ2753" i="1"/>
  <c r="AJ2025" i="1"/>
  <c r="AJ1753" i="1"/>
  <c r="AJ2984" i="1"/>
  <c r="AK2677" i="1"/>
  <c r="AK2405" i="1"/>
  <c r="AJ2236" i="1"/>
  <c r="AJ2076" i="1"/>
  <c r="AK2957" i="1"/>
  <c r="AK2743" i="1"/>
  <c r="AK2580" i="1"/>
  <c r="AJ2453" i="1"/>
  <c r="AK2303" i="1"/>
  <c r="AK2171" i="1"/>
  <c r="AK2039" i="1"/>
  <c r="AK1899" i="1"/>
  <c r="AK1623" i="1"/>
  <c r="AK3132" i="1"/>
  <c r="AK2428" i="1"/>
  <c r="AJ2210" i="1"/>
  <c r="AJ2007" i="1"/>
  <c r="AJ1903" i="1"/>
  <c r="AJ2977" i="1"/>
  <c r="AJ2613" i="1"/>
  <c r="AJ2416" i="1"/>
  <c r="AJ2295" i="1"/>
  <c r="AK2209" i="1"/>
  <c r="AJ2122" i="1"/>
  <c r="AJ2054" i="1"/>
  <c r="AJ1992" i="1"/>
  <c r="AK1929" i="1"/>
  <c r="AK1870" i="1"/>
  <c r="AK1810" i="1"/>
  <c r="AJ2687" i="1"/>
  <c r="AJ2543" i="1"/>
  <c r="AK2427" i="1"/>
  <c r="AK2343" i="1"/>
  <c r="AK2270" i="1"/>
  <c r="AJ2202" i="1"/>
  <c r="AK2121" i="1"/>
  <c r="AJ2790" i="1"/>
  <c r="AK2607" i="1"/>
  <c r="AK2762" i="1"/>
  <c r="AK2515" i="1"/>
  <c r="AK2440" i="1"/>
  <c r="AJ2371" i="1"/>
  <c r="AK2292" i="1"/>
  <c r="AJ2238" i="1"/>
  <c r="AK2158" i="1"/>
  <c r="AK2089" i="1"/>
  <c r="AK2025" i="1"/>
  <c r="AJ1974" i="1"/>
  <c r="AK1921" i="1"/>
  <c r="AJ1858" i="1"/>
  <c r="AK1802" i="1"/>
  <c r="AK1761" i="1"/>
  <c r="AJ1720" i="1"/>
  <c r="AK1665" i="1"/>
  <c r="AK2824" i="1"/>
  <c r="AK2641" i="1"/>
  <c r="AK2563" i="1"/>
  <c r="AJ2485" i="1"/>
  <c r="AJ2431" i="1"/>
  <c r="AK2364" i="1"/>
  <c r="AK2316" i="1"/>
  <c r="AJ2267" i="1"/>
  <c r="AJ2218" i="1"/>
  <c r="AJ2163" i="1"/>
  <c r="AJ2106" i="1"/>
  <c r="AJ2046" i="1"/>
  <c r="AJ1994" i="1"/>
  <c r="AJ1952" i="1"/>
  <c r="AJ1910" i="1"/>
  <c r="AJ1862" i="1"/>
  <c r="AJ1807" i="1"/>
  <c r="AK1760" i="1"/>
  <c r="AJ1719" i="1"/>
  <c r="AK1674" i="1"/>
  <c r="AK1632" i="1"/>
  <c r="AJ2863" i="1"/>
  <c r="AK2518" i="1"/>
  <c r="AJ2303" i="1"/>
  <c r="AK2172" i="1"/>
  <c r="AK2021" i="1"/>
  <c r="AK1906" i="1"/>
  <c r="AJ1812" i="1"/>
  <c r="AK1752" i="1"/>
  <c r="AK1696" i="1"/>
  <c r="AK1628" i="1"/>
  <c r="AK1569" i="1"/>
  <c r="AJ1533" i="1"/>
  <c r="AJ678" i="1"/>
  <c r="AJ2786" i="1"/>
  <c r="AJ2455" i="1"/>
  <c r="AJ2330" i="1"/>
  <c r="AJ2171" i="1"/>
  <c r="AK2020" i="1"/>
  <c r="AJ1906" i="1"/>
  <c r="AJ1810" i="1"/>
  <c r="AJ1752" i="1"/>
  <c r="AK1689" i="1"/>
  <c r="AJ1628" i="1"/>
  <c r="AK1577" i="1"/>
  <c r="AK1541" i="1"/>
  <c r="AK798" i="1"/>
  <c r="AK782" i="1"/>
  <c r="AK762" i="1"/>
  <c r="AK742" i="1"/>
  <c r="AJ2589" i="1"/>
  <c r="AK2412" i="1"/>
  <c r="AK2266" i="1"/>
  <c r="AJ2083" i="1"/>
  <c r="AJ1995" i="1"/>
  <c r="AK1914" i="1"/>
  <c r="AK1818" i="1"/>
  <c r="AJ1758" i="1"/>
  <c r="AJ1695" i="1"/>
  <c r="AK1633" i="1"/>
  <c r="AJ1577" i="1"/>
  <c r="AJ1541" i="1"/>
  <c r="AJ798" i="1"/>
  <c r="AJ782" i="1"/>
  <c r="AJ762" i="1"/>
  <c r="AK2792" i="1"/>
  <c r="AJ2394" i="1"/>
  <c r="AK2201" i="1"/>
  <c r="AK2081" i="1"/>
  <c r="AK2000" i="1"/>
  <c r="AJ1923" i="1"/>
  <c r="AK1838" i="1"/>
  <c r="AJ1770" i="1"/>
  <c r="AJ1716" i="1"/>
  <c r="AJ1652" i="1"/>
  <c r="AJ1599" i="1"/>
  <c r="AJ1545" i="1"/>
  <c r="AJ2869" i="1"/>
  <c r="AK2408" i="1"/>
  <c r="AK2262" i="1"/>
  <c r="AJ2139" i="1"/>
  <c r="AK2034" i="1"/>
  <c r="AK1949" i="1"/>
  <c r="AK1854" i="1"/>
  <c r="AK1756" i="1"/>
  <c r="AK1700" i="1"/>
  <c r="AK1644" i="1"/>
  <c r="AJ1567" i="1"/>
  <c r="AK1530" i="1"/>
  <c r="AJ2551" i="1"/>
  <c r="AJ2360" i="1"/>
  <c r="AJ2214" i="1"/>
  <c r="AK2064" i="1"/>
  <c r="AK1948" i="1"/>
  <c r="AJ1863" i="1"/>
  <c r="AK1762" i="1"/>
  <c r="AK1706" i="1"/>
  <c r="AK1642" i="1"/>
  <c r="AJ1593" i="1"/>
  <c r="AJ1562" i="1"/>
  <c r="AK805" i="1"/>
  <c r="AK787" i="1"/>
  <c r="AK2568" i="1"/>
  <c r="AK2403" i="1"/>
  <c r="AJ2246" i="1"/>
  <c r="AJ2062" i="1"/>
  <c r="AK1958" i="1"/>
  <c r="AJ1879" i="1"/>
  <c r="AJ1796" i="1"/>
  <c r="AK1733" i="1"/>
  <c r="AJ1671" i="1"/>
  <c r="AJ1618" i="1"/>
  <c r="AK1570" i="1"/>
  <c r="AJ1525" i="1"/>
  <c r="AJ791" i="1"/>
  <c r="AJ2961" i="1"/>
  <c r="AJ2414" i="1"/>
  <c r="AK2256" i="1"/>
  <c r="AJ2118" i="1"/>
  <c r="AK1998" i="1"/>
  <c r="AJ1918" i="1"/>
  <c r="AJ1814" i="1"/>
  <c r="AK1753" i="1"/>
  <c r="AK1690" i="1"/>
  <c r="AK1629" i="1"/>
  <c r="AJ1588" i="1"/>
  <c r="AK1556" i="1"/>
  <c r="AK807" i="1"/>
  <c r="AK715" i="1"/>
  <c r="AK707" i="1"/>
  <c r="AJ663" i="1"/>
  <c r="AJ640" i="1"/>
  <c r="AJ714" i="1"/>
  <c r="AJ706" i="1"/>
  <c r="AK697" i="1"/>
  <c r="AJ749" i="1"/>
  <c r="AJ699" i="1"/>
  <c r="AK690" i="1"/>
  <c r="AJ597" i="1"/>
  <c r="AJ575" i="1"/>
  <c r="AK779" i="1"/>
  <c r="AK734" i="1"/>
  <c r="AK726" i="1"/>
  <c r="AK687" i="1"/>
  <c r="AK659" i="1"/>
  <c r="AK641" i="1"/>
  <c r="AJ737" i="1"/>
  <c r="AJ729" i="1"/>
  <c r="AJ657" i="1"/>
  <c r="AJ761" i="1"/>
  <c r="AJ720" i="1"/>
  <c r="AK753" i="1"/>
  <c r="AK663" i="1"/>
  <c r="AK619" i="1"/>
  <c r="AK599" i="1"/>
  <c r="AJ555" i="1"/>
  <c r="AJ539" i="1"/>
  <c r="AJ519" i="1"/>
  <c r="AJ503" i="1"/>
  <c r="AK654" i="1"/>
  <c r="AJ611" i="1"/>
  <c r="AK564" i="1"/>
  <c r="AK470" i="1"/>
  <c r="AK452" i="1"/>
  <c r="AJ620" i="1"/>
  <c r="AJ632" i="1"/>
  <c r="AK601" i="1"/>
  <c r="AK558" i="1"/>
  <c r="AK542" i="1"/>
  <c r="AK522" i="1"/>
  <c r="AK502" i="1"/>
  <c r="AK676" i="1"/>
  <c r="AK617" i="1"/>
  <c r="AJ594" i="1"/>
  <c r="AJ560" i="1"/>
  <c r="AJ544" i="1"/>
  <c r="AJ526" i="1"/>
  <c r="AJ504" i="1"/>
  <c r="AJ486" i="1"/>
  <c r="AJ605" i="1"/>
  <c r="AK485" i="1"/>
  <c r="AK469" i="1"/>
  <c r="AK449" i="1"/>
  <c r="AK427" i="1"/>
  <c r="AK596" i="1"/>
  <c r="AJ481" i="1"/>
  <c r="AJ463" i="1"/>
  <c r="AJ445" i="1"/>
  <c r="AJ423" i="1"/>
  <c r="AJ407" i="1"/>
  <c r="AK608" i="1"/>
  <c r="AJ562" i="1"/>
  <c r="AK545" i="1"/>
  <c r="AK525" i="1"/>
  <c r="AK509" i="1"/>
  <c r="AK491" i="1"/>
  <c r="AJ422" i="1"/>
  <c r="AJ420" i="1"/>
  <c r="AJ426" i="1"/>
  <c r="AK395" i="1"/>
  <c r="AK377" i="1"/>
  <c r="AK361" i="1"/>
  <c r="AK345" i="1"/>
  <c r="AJ395" i="1"/>
  <c r="AJ377" i="1"/>
  <c r="AJ361" i="1"/>
  <c r="AJ345" i="1"/>
  <c r="AJ478" i="1"/>
  <c r="AK438" i="1"/>
  <c r="AK403" i="1"/>
  <c r="AJ438" i="1"/>
  <c r="AK402" i="1"/>
  <c r="AJ396" i="1"/>
  <c r="AJ380" i="1"/>
  <c r="AJ364" i="1"/>
  <c r="AJ348" i="1"/>
  <c r="AK374" i="1"/>
  <c r="AK325" i="1"/>
  <c r="AK317" i="1"/>
  <c r="AK309" i="1"/>
  <c r="AJ332" i="1"/>
  <c r="AJ321" i="1"/>
  <c r="AJ313" i="1"/>
  <c r="AK296" i="1"/>
  <c r="AK264" i="1"/>
  <c r="AK232" i="1"/>
  <c r="AK214" i="1"/>
  <c r="AK198" i="1"/>
  <c r="AK178" i="1"/>
  <c r="AK160" i="1"/>
  <c r="AK339" i="1"/>
  <c r="AJ300" i="1"/>
  <c r="AJ284" i="1"/>
  <c r="AJ268" i="1"/>
  <c r="AJ252" i="1"/>
  <c r="AJ230" i="1"/>
  <c r="AJ212" i="1"/>
  <c r="AJ196" i="1"/>
  <c r="AJ176" i="1"/>
  <c r="AJ158" i="1"/>
  <c r="AJ307" i="1"/>
  <c r="AJ275" i="1"/>
  <c r="AJ484" i="1"/>
  <c r="AK354" i="1"/>
  <c r="AK334" i="1"/>
  <c r="AK278" i="1"/>
  <c r="AK246" i="1"/>
  <c r="AK223" i="1"/>
  <c r="AK207" i="1"/>
  <c r="AK185" i="1"/>
  <c r="AK169" i="1"/>
  <c r="AK151" i="1"/>
  <c r="AJ302" i="1"/>
  <c r="AJ286" i="1"/>
  <c r="AJ270" i="1"/>
  <c r="AJ254" i="1"/>
  <c r="AJ231" i="1"/>
  <c r="AK340" i="1"/>
  <c r="AJ281" i="1"/>
  <c r="AJ249" i="1"/>
  <c r="AJ126" i="1"/>
  <c r="AJ110" i="1"/>
  <c r="AJ92" i="1"/>
  <c r="X668" i="1"/>
  <c r="W668" i="1" s="1"/>
  <c r="M504" i="1"/>
  <c r="H504" i="1"/>
  <c r="X223" i="1"/>
  <c r="W223" i="1" s="1"/>
  <c r="X188" i="1"/>
  <c r="W188" i="1" s="1"/>
  <c r="X145" i="1"/>
  <c r="W145" i="1" s="1"/>
  <c r="M109" i="1"/>
  <c r="H109" i="1"/>
  <c r="X169" i="1"/>
  <c r="W169" i="1" s="1"/>
  <c r="N161" i="1"/>
  <c r="O161" i="1" s="1"/>
  <c r="N680" i="1"/>
  <c r="O680" i="1" s="1"/>
  <c r="X480" i="1"/>
  <c r="W480" i="1" s="1"/>
  <c r="X103" i="1"/>
  <c r="W103" i="1" s="1"/>
  <c r="M97" i="1"/>
  <c r="H97" i="1"/>
  <c r="H23" i="1"/>
  <c r="M23" i="1"/>
  <c r="AK14" i="1"/>
  <c r="AK54" i="1"/>
  <c r="AK82" i="1"/>
  <c r="AK98" i="1"/>
  <c r="AK116" i="1"/>
  <c r="AJ144" i="1"/>
  <c r="AK30" i="1"/>
  <c r="AK62" i="1"/>
  <c r="AJ181" i="1"/>
  <c r="AJ201" i="1"/>
  <c r="AJ27" i="1"/>
  <c r="AJ53" i="1"/>
  <c r="AJ69" i="1"/>
  <c r="AJ85" i="1"/>
  <c r="AJ101" i="1"/>
  <c r="AJ119" i="1"/>
  <c r="AJ153" i="1"/>
  <c r="AJ15" i="1"/>
  <c r="AK29" i="1"/>
  <c r="AK71" i="1"/>
  <c r="AK101" i="1"/>
  <c r="AK119" i="1"/>
  <c r="AJ137" i="1"/>
  <c r="AJ19" i="1"/>
  <c r="AK27" i="1"/>
  <c r="AK67" i="1"/>
  <c r="AK133" i="1"/>
  <c r="AJ187" i="1"/>
  <c r="AJ191" i="1"/>
  <c r="AJ38" i="1"/>
  <c r="AJ58" i="1"/>
  <c r="AJ78" i="1"/>
  <c r="AJ106" i="1"/>
  <c r="AJ161" i="1"/>
  <c r="AJ277" i="1"/>
  <c r="AJ225" i="1"/>
  <c r="AK257" i="1"/>
  <c r="AJ282" i="1"/>
  <c r="AK331" i="1"/>
  <c r="AK167" i="1"/>
  <c r="AK201" i="1"/>
  <c r="AK221" i="1"/>
  <c r="AK266" i="1"/>
  <c r="AK344" i="1"/>
  <c r="AK380" i="1"/>
  <c r="AJ287" i="1"/>
  <c r="AJ156" i="1"/>
  <c r="AJ190" i="1"/>
  <c r="AJ214" i="1"/>
  <c r="AJ248" i="1"/>
  <c r="AK275" i="1"/>
  <c r="AK299" i="1"/>
  <c r="AK154" i="1"/>
  <c r="AK176" i="1"/>
  <c r="AK208" i="1"/>
  <c r="AK241" i="1"/>
  <c r="AK288" i="1"/>
  <c r="AJ316" i="1"/>
  <c r="AK329" i="1"/>
  <c r="AK316" i="1"/>
  <c r="AJ344" i="1"/>
  <c r="AJ382" i="1"/>
  <c r="AJ434" i="1"/>
  <c r="AK436" i="1"/>
  <c r="AJ357" i="1"/>
  <c r="AJ397" i="1"/>
  <c r="AK373" i="1"/>
  <c r="AJ472" i="1"/>
  <c r="AK489" i="1"/>
  <c r="AK541" i="1"/>
  <c r="AK612" i="1"/>
  <c r="AJ443" i="1"/>
  <c r="AJ483" i="1"/>
  <c r="AK447" i="1"/>
  <c r="AK563" i="1"/>
  <c r="AJ502" i="1"/>
  <c r="AJ556" i="1"/>
  <c r="AJ618" i="1"/>
  <c r="AK520" i="1"/>
  <c r="AK588" i="1"/>
  <c r="AJ625" i="1"/>
  <c r="AK484" i="1"/>
  <c r="AJ499" i="1"/>
  <c r="AJ537" i="1"/>
  <c r="AK717" i="1"/>
  <c r="AJ653" i="1"/>
  <c r="AJ728" i="1"/>
  <c r="AK643" i="1"/>
  <c r="AK725" i="1"/>
  <c r="AJ561" i="1"/>
  <c r="AK689" i="1"/>
  <c r="AK695" i="1"/>
  <c r="AJ715" i="1"/>
  <c r="AK706" i="1"/>
  <c r="AK810" i="1"/>
  <c r="AJ1623" i="1"/>
  <c r="AJ1795" i="1"/>
  <c r="AK2004" i="1"/>
  <c r="AJ2403" i="1"/>
  <c r="AJ805" i="1"/>
  <c r="AK1612" i="1"/>
  <c r="AJ1780" i="1"/>
  <c r="AK1969" i="1"/>
  <c r="AJ2379" i="1"/>
  <c r="AK799" i="1"/>
  <c r="AK1754" i="1"/>
  <c r="AJ2026" i="1"/>
  <c r="AJ2407" i="1"/>
  <c r="AK1593" i="1"/>
  <c r="AK2150" i="1"/>
  <c r="AK1549" i="1"/>
  <c r="AK1912" i="1"/>
  <c r="AK1626" i="1"/>
  <c r="AK2068" i="1"/>
  <c r="M597" i="1"/>
  <c r="H597" i="1"/>
  <c r="M279" i="1"/>
  <c r="H279" i="1"/>
  <c r="X10" i="1"/>
  <c r="W10" i="1" s="1"/>
  <c r="M55" i="1"/>
  <c r="H55" i="1"/>
  <c r="M647" i="1"/>
  <c r="H647" i="1"/>
  <c r="H472" i="1"/>
  <c r="M472" i="1"/>
  <c r="M138" i="1"/>
  <c r="H138" i="1"/>
  <c r="M38" i="1"/>
  <c r="H38" i="1"/>
  <c r="X160" i="1"/>
  <c r="W160" i="1" s="1"/>
  <c r="M63" i="1"/>
  <c r="H63" i="1"/>
  <c r="X212" i="1"/>
  <c r="W212" i="1" s="1"/>
  <c r="M443" i="1"/>
  <c r="H443" i="1"/>
  <c r="X449" i="1"/>
  <c r="W449" i="1" s="1"/>
  <c r="M218" i="1"/>
  <c r="H218" i="1"/>
  <c r="M47" i="1"/>
  <c r="H47" i="1"/>
  <c r="X713" i="1"/>
  <c r="W713" i="1" s="1"/>
  <c r="X571" i="1"/>
  <c r="W571" i="1" s="1"/>
  <c r="M552" i="1"/>
  <c r="H552" i="1"/>
  <c r="X414" i="1"/>
  <c r="W414" i="1" s="1"/>
  <c r="M167" i="1"/>
  <c r="H167" i="1"/>
  <c r="X125" i="1"/>
  <c r="W125" i="1" s="1"/>
  <c r="H29" i="1"/>
  <c r="M29" i="1"/>
  <c r="X185" i="1"/>
  <c r="W185" i="1" s="1"/>
  <c r="X99" i="1"/>
  <c r="W99" i="1" s="1"/>
  <c r="M95" i="1"/>
  <c r="H95" i="1"/>
  <c r="M21" i="1"/>
  <c r="H21" i="1"/>
  <c r="M616" i="1"/>
  <c r="H616" i="1"/>
  <c r="X477" i="1"/>
  <c r="W477" i="1" s="1"/>
  <c r="X118" i="1"/>
  <c r="W118" i="1" s="1"/>
  <c r="X71" i="1"/>
  <c r="W71" i="1" s="1"/>
  <c r="M87" i="1"/>
  <c r="H87" i="1"/>
  <c r="M13" i="1"/>
  <c r="H13" i="1"/>
  <c r="X354" i="1"/>
  <c r="W354" i="1" s="1"/>
  <c r="M259" i="1"/>
  <c r="H259" i="1"/>
  <c r="M79" i="1"/>
  <c r="H79" i="1"/>
  <c r="M5" i="1"/>
  <c r="H5" i="1"/>
  <c r="N105" i="1"/>
  <c r="O105" i="1" s="1"/>
  <c r="X446" i="1"/>
  <c r="W446" i="1" s="1"/>
  <c r="M84" i="1"/>
  <c r="H84" i="1"/>
  <c r="H209" i="1"/>
  <c r="M209" i="1"/>
  <c r="M71" i="1"/>
  <c r="H71" i="1"/>
  <c r="B15" i="19" l="1"/>
  <c r="D14" i="19"/>
  <c r="D13" i="20"/>
  <c r="E12" i="20"/>
  <c r="N209" i="1"/>
  <c r="O209" i="1" s="1"/>
  <c r="N478" i="1"/>
  <c r="O478" i="1" s="1"/>
  <c r="N701" i="1"/>
  <c r="O701" i="1" s="1"/>
  <c r="N25" i="1"/>
  <c r="O25" i="1" s="1"/>
  <c r="N145" i="1"/>
  <c r="O145" i="1" s="1"/>
  <c r="N699" i="1"/>
  <c r="O699" i="1" s="1"/>
  <c r="N374" i="1"/>
  <c r="O374" i="1" s="1"/>
  <c r="N205" i="1"/>
  <c r="O205" i="1" s="1"/>
  <c r="N49" i="1"/>
  <c r="O49" i="1" s="1"/>
  <c r="N411" i="1"/>
  <c r="O411" i="1" s="1"/>
  <c r="N108" i="1"/>
  <c r="O108" i="1" s="1"/>
  <c r="N551" i="1"/>
  <c r="O551" i="1" s="1"/>
  <c r="N687" i="1"/>
  <c r="O687" i="1" s="1"/>
  <c r="N556" i="1"/>
  <c r="O556" i="1" s="1"/>
  <c r="N309" i="1"/>
  <c r="O309" i="1" s="1"/>
  <c r="N763" i="1"/>
  <c r="O763" i="1" s="1"/>
  <c r="N304" i="1"/>
  <c r="O304" i="1" s="1"/>
  <c r="N221" i="1"/>
  <c r="O221" i="1" s="1"/>
  <c r="N128" i="1"/>
  <c r="O128" i="1" s="1"/>
  <c r="N263" i="1"/>
  <c r="O263" i="1" s="1"/>
  <c r="N539" i="1"/>
  <c r="O539" i="1" s="1"/>
  <c r="N294" i="1"/>
  <c r="O294" i="1" s="1"/>
  <c r="N776" i="1"/>
  <c r="O776" i="1" s="1"/>
  <c r="N201" i="1"/>
  <c r="O201" i="1" s="1"/>
  <c r="N173" i="1"/>
  <c r="O173" i="1" s="1"/>
  <c r="N461" i="1"/>
  <c r="O461" i="1" s="1"/>
  <c r="N656" i="1"/>
  <c r="O656" i="1" s="1"/>
  <c r="N502" i="1"/>
  <c r="O502" i="1" s="1"/>
  <c r="N737" i="1"/>
  <c r="O737" i="1" s="1"/>
  <c r="N665" i="1"/>
  <c r="O665" i="1" s="1"/>
  <c r="N627" i="1"/>
  <c r="O627" i="1" s="1"/>
  <c r="N274" i="1"/>
  <c r="O274" i="1" s="1"/>
  <c r="N595" i="1"/>
  <c r="O595" i="1" s="1"/>
  <c r="N540" i="1"/>
  <c r="O540" i="1" s="1"/>
  <c r="N277" i="1"/>
  <c r="O277" i="1" s="1"/>
  <c r="N188" i="1"/>
  <c r="O188" i="1" s="1"/>
  <c r="N637" i="1"/>
  <c r="O637" i="1" s="1"/>
  <c r="N226" i="1"/>
  <c r="O226" i="1" s="1"/>
  <c r="N44" i="1"/>
  <c r="O44" i="1" s="1"/>
  <c r="N519" i="1"/>
  <c r="O519" i="1" s="1"/>
  <c r="N177" i="1"/>
  <c r="O177" i="1" s="1"/>
  <c r="N564" i="1"/>
  <c r="O564" i="1" s="1"/>
  <c r="N284" i="1"/>
  <c r="O284" i="1" s="1"/>
  <c r="N59" i="1"/>
  <c r="O59" i="1" s="1"/>
  <c r="N155" i="1"/>
  <c r="O155" i="1" s="1"/>
  <c r="N230" i="1"/>
  <c r="O230" i="1" s="1"/>
  <c r="N135" i="1"/>
  <c r="O135" i="1" s="1"/>
  <c r="N690" i="1"/>
  <c r="O690" i="1" s="1"/>
  <c r="N395" i="1"/>
  <c r="O395" i="1" s="1"/>
  <c r="N271" i="1"/>
  <c r="O271" i="1" s="1"/>
  <c r="N663" i="1"/>
  <c r="O663" i="1" s="1"/>
  <c r="N343" i="1"/>
  <c r="O343" i="1" s="1"/>
  <c r="N402" i="1"/>
  <c r="O402" i="1" s="1"/>
  <c r="N723" i="1"/>
  <c r="O723" i="1" s="1"/>
  <c r="N118" i="1"/>
  <c r="O118" i="1" s="1"/>
  <c r="N449" i="1"/>
  <c r="O449" i="1" s="1"/>
  <c r="N719" i="1"/>
  <c r="O719" i="1" s="1"/>
  <c r="N581" i="1"/>
  <c r="O581" i="1" s="1"/>
  <c r="N809" i="1"/>
  <c r="O809" i="1" s="1"/>
  <c r="N580" i="1"/>
  <c r="O580" i="1" s="1"/>
  <c r="N520" i="1"/>
  <c r="O520" i="1" s="1"/>
  <c r="N762" i="1"/>
  <c r="O762" i="1" s="1"/>
  <c r="N272" i="1"/>
  <c r="O272" i="1" s="1"/>
  <c r="N20" i="1"/>
  <c r="O20" i="1" s="1"/>
  <c r="N783" i="1"/>
  <c r="O783" i="1" s="1"/>
  <c r="N676" i="1"/>
  <c r="O676" i="1" s="1"/>
  <c r="N326" i="1"/>
  <c r="O326" i="1" s="1"/>
  <c r="N797" i="1"/>
  <c r="O797" i="1" s="1"/>
  <c r="N339" i="1"/>
  <c r="O339" i="1" s="1"/>
  <c r="N75" i="1"/>
  <c r="O75" i="1" s="1"/>
  <c r="N68" i="1"/>
  <c r="O68" i="1" s="1"/>
  <c r="N175" i="1"/>
  <c r="O175" i="1" s="1"/>
  <c r="N143" i="1"/>
  <c r="O143" i="1" s="1"/>
  <c r="N441" i="1"/>
  <c r="O441" i="1" s="1"/>
  <c r="N66" i="1"/>
  <c r="O66" i="1" s="1"/>
  <c r="N377" i="1"/>
  <c r="O377" i="1" s="1"/>
  <c r="N604" i="1"/>
  <c r="O604" i="1" s="1"/>
  <c r="N512" i="1"/>
  <c r="O512" i="1" s="1"/>
  <c r="N437" i="1"/>
  <c r="O437" i="1" s="1"/>
  <c r="N86" i="1"/>
  <c r="O86" i="1" s="1"/>
  <c r="N804" i="1"/>
  <c r="O804" i="1" s="1"/>
  <c r="N565" i="1"/>
  <c r="O565" i="1" s="1"/>
  <c r="N617" i="1"/>
  <c r="O617" i="1" s="1"/>
  <c r="N397" i="1"/>
  <c r="O397" i="1" s="1"/>
  <c r="N83" i="1"/>
  <c r="O83" i="1" s="1"/>
  <c r="N658" i="1"/>
  <c r="O658" i="1" s="1"/>
  <c r="N3" i="1"/>
  <c r="O3" i="1" s="1"/>
  <c r="N28" i="1"/>
  <c r="O28" i="1" s="1"/>
  <c r="N11" i="1"/>
  <c r="O11" i="1" s="1"/>
  <c r="N5" i="1"/>
  <c r="O5" i="1" s="1"/>
  <c r="N614" i="1"/>
  <c r="O614" i="1" s="1"/>
  <c r="N427" i="1"/>
  <c r="O427" i="1" s="1"/>
  <c r="N542" i="1"/>
  <c r="O542" i="1" s="1"/>
  <c r="N136" i="1"/>
  <c r="O136" i="1" s="1"/>
  <c r="N56" i="1"/>
  <c r="O56" i="1" s="1"/>
  <c r="N736" i="1"/>
  <c r="O736" i="1" s="1"/>
  <c r="N192" i="1"/>
  <c r="O192" i="1" s="1"/>
  <c r="N674" i="1"/>
  <c r="O674" i="1" s="1"/>
  <c r="N122" i="1"/>
  <c r="O122" i="1" s="1"/>
  <c r="N224" i="1"/>
  <c r="O224" i="1" s="1"/>
  <c r="N742" i="1"/>
  <c r="O742" i="1" s="1"/>
  <c r="N256" i="1"/>
  <c r="O256" i="1" s="1"/>
  <c r="N160" i="1"/>
  <c r="O160" i="1" s="1"/>
  <c r="N625" i="1"/>
  <c r="O625" i="1" s="1"/>
  <c r="N538" i="1"/>
  <c r="O538" i="1" s="1"/>
  <c r="N178" i="1"/>
  <c r="O178" i="1" s="1"/>
  <c r="N117" i="1"/>
  <c r="O117" i="1" s="1"/>
  <c r="N373" i="1"/>
  <c r="O373" i="1" s="1"/>
  <c r="N781" i="1"/>
  <c r="O781" i="1" s="1"/>
  <c r="N609" i="1"/>
  <c r="O609" i="1" s="1"/>
  <c r="N252" i="1"/>
  <c r="O252" i="1" s="1"/>
  <c r="N91" i="1"/>
  <c r="O91" i="1" s="1"/>
  <c r="N85" i="1"/>
  <c r="O85" i="1" s="1"/>
  <c r="N76" i="1"/>
  <c r="O76" i="1" s="1"/>
  <c r="N347" i="1"/>
  <c r="O347" i="1" s="1"/>
  <c r="N636" i="1"/>
  <c r="O636" i="1" s="1"/>
  <c r="N664" i="1"/>
  <c r="O664" i="1" s="1"/>
  <c r="N800" i="1"/>
  <c r="O800" i="1" s="1"/>
  <c r="N361" i="1"/>
  <c r="O361" i="1" s="1"/>
  <c r="N643" i="1"/>
  <c r="O643" i="1" s="1"/>
  <c r="N385" i="1"/>
  <c r="O385" i="1" s="1"/>
  <c r="N590" i="1"/>
  <c r="O590" i="1" s="1"/>
  <c r="N404" i="1"/>
  <c r="O404" i="1" s="1"/>
  <c r="N710" i="1"/>
  <c r="O710" i="1" s="1"/>
  <c r="N151" i="1"/>
  <c r="O151" i="1" s="1"/>
  <c r="N545" i="1"/>
  <c r="O545" i="1" s="1"/>
  <c r="N308" i="1"/>
  <c r="O308" i="1" s="1"/>
  <c r="N313" i="1"/>
  <c r="O313" i="1" s="1"/>
  <c r="N153" i="1"/>
  <c r="O153" i="1" s="1"/>
  <c r="N19" i="1"/>
  <c r="O19" i="1" s="1"/>
  <c r="N536" i="1"/>
  <c r="O536" i="1" s="1"/>
  <c r="N27" i="1"/>
  <c r="O27" i="1" s="1"/>
  <c r="N366" i="1"/>
  <c r="O366" i="1" s="1"/>
  <c r="N684" i="1"/>
  <c r="O684" i="1" s="1"/>
  <c r="N403" i="1"/>
  <c r="O403" i="1" s="1"/>
  <c r="N807" i="1"/>
  <c r="O807" i="1" s="1"/>
  <c r="N245" i="1"/>
  <c r="O245" i="1" s="1"/>
  <c r="N541" i="1"/>
  <c r="O541" i="1" s="1"/>
  <c r="N610" i="1"/>
  <c r="O610" i="1" s="1"/>
  <c r="N510" i="1"/>
  <c r="O510" i="1" s="1"/>
  <c r="N635" i="1"/>
  <c r="O635" i="1" s="1"/>
  <c r="N749" i="1"/>
  <c r="O749" i="1" s="1"/>
  <c r="N363" i="1"/>
  <c r="O363" i="1" s="1"/>
  <c r="N440" i="1"/>
  <c r="O440" i="1" s="1"/>
  <c r="N344" i="1"/>
  <c r="O344" i="1" s="1"/>
  <c r="N436" i="1"/>
  <c r="O436" i="1" s="1"/>
  <c r="N396" i="1"/>
  <c r="O396" i="1" s="1"/>
  <c r="N258" i="1"/>
  <c r="O258" i="1" s="1"/>
  <c r="N675" i="1"/>
  <c r="O675" i="1" s="1"/>
  <c r="N332" i="1"/>
  <c r="O332" i="1" s="1"/>
  <c r="N15" i="1"/>
  <c r="O15" i="1" s="1"/>
  <c r="N146" i="1"/>
  <c r="O146" i="1" s="1"/>
  <c r="N380" i="1"/>
  <c r="O380" i="1" s="1"/>
  <c r="N562" i="1"/>
  <c r="O562" i="1" s="1"/>
  <c r="N422" i="1"/>
  <c r="O422" i="1" s="1"/>
  <c r="N254" i="1"/>
  <c r="O254" i="1" s="1"/>
  <c r="N703" i="1"/>
  <c r="O703" i="1" s="1"/>
  <c r="N390" i="1"/>
  <c r="O390" i="1" s="1"/>
  <c r="N342" i="1"/>
  <c r="O342" i="1" s="1"/>
  <c r="N376" i="1"/>
  <c r="O376" i="1" s="1"/>
  <c r="N464" i="1"/>
  <c r="O464" i="1" s="1"/>
  <c r="N806" i="1"/>
  <c r="O806" i="1" s="1"/>
  <c r="N466" i="1"/>
  <c r="O466" i="1" s="1"/>
  <c r="N700" i="1"/>
  <c r="O700" i="1" s="1"/>
  <c r="N438" i="1"/>
  <c r="O438" i="1" s="1"/>
  <c r="N454" i="1"/>
  <c r="O454" i="1" s="1"/>
  <c r="N334" i="1"/>
  <c r="O334" i="1" s="1"/>
  <c r="N507" i="1"/>
  <c r="O507" i="1" s="1"/>
  <c r="N36" i="1"/>
  <c r="O36" i="1" s="1"/>
  <c r="N755" i="1"/>
  <c r="O755" i="1" s="1"/>
  <c r="N353" i="1"/>
  <c r="O353" i="1" s="1"/>
  <c r="N465" i="1"/>
  <c r="O465" i="1" s="1"/>
  <c r="N106" i="1"/>
  <c r="O106" i="1" s="1"/>
  <c r="N798" i="1"/>
  <c r="O798" i="1" s="1"/>
  <c r="N582" i="1"/>
  <c r="O582" i="1" s="1"/>
  <c r="N668" i="1"/>
  <c r="O668" i="1" s="1"/>
  <c r="N574" i="1"/>
  <c r="O574" i="1" s="1"/>
  <c r="N244" i="1"/>
  <c r="O244" i="1" s="1"/>
  <c r="N62" i="1"/>
  <c r="O62" i="1" s="1"/>
  <c r="N743" i="1"/>
  <c r="O743" i="1" s="1"/>
  <c r="N669" i="1"/>
  <c r="O669" i="1" s="1"/>
  <c r="N692" i="1"/>
  <c r="O692" i="1" s="1"/>
  <c r="N537" i="1"/>
  <c r="O537" i="1" s="1"/>
  <c r="N300" i="1"/>
  <c r="O300" i="1" s="1"/>
  <c r="N225" i="1"/>
  <c r="O225" i="1" s="1"/>
  <c r="N200" i="1"/>
  <c r="O200" i="1" s="1"/>
  <c r="N452" i="1"/>
  <c r="O452" i="1" s="1"/>
  <c r="N747" i="1"/>
  <c r="O747" i="1" s="1"/>
  <c r="N704" i="1"/>
  <c r="O704" i="1" s="1"/>
  <c r="N362" i="1"/>
  <c r="O362" i="1" s="1"/>
  <c r="N694" i="1"/>
  <c r="O694" i="1" s="1"/>
  <c r="N446" i="1"/>
  <c r="O446" i="1" s="1"/>
  <c r="N110" i="1"/>
  <c r="O110" i="1" s="1"/>
  <c r="N774" i="1"/>
  <c r="O774" i="1" s="1"/>
  <c r="N337" i="1"/>
  <c r="O337" i="1" s="1"/>
  <c r="N631" i="1"/>
  <c r="O631" i="1" s="1"/>
  <c r="N88" i="1"/>
  <c r="O88" i="1" s="1"/>
  <c r="N745" i="1"/>
  <c r="O745" i="1" s="1"/>
  <c r="N351" i="1"/>
  <c r="O351" i="1" s="1"/>
  <c r="N181" i="1"/>
  <c r="O181" i="1" s="1"/>
  <c r="N651" i="1"/>
  <c r="O651" i="1" s="1"/>
  <c r="N760" i="1"/>
  <c r="O760" i="1" s="1"/>
  <c r="N278" i="1"/>
  <c r="O278" i="1" s="1"/>
  <c r="N501" i="1"/>
  <c r="O501" i="1" s="1"/>
  <c r="N731" i="1"/>
  <c r="O731" i="1" s="1"/>
  <c r="N571" i="1"/>
  <c r="O571" i="1" s="1"/>
  <c r="N646" i="1"/>
  <c r="O646" i="1" s="1"/>
  <c r="N644" i="1"/>
  <c r="O644" i="1" s="1"/>
  <c r="N805" i="1"/>
  <c r="O805" i="1" s="1"/>
  <c r="N158" i="1"/>
  <c r="O158" i="1" s="1"/>
  <c r="N488" i="1"/>
  <c r="O488" i="1" s="1"/>
  <c r="N104" i="1"/>
  <c r="O104" i="1" s="1"/>
  <c r="N169" i="1"/>
  <c r="O169" i="1" s="1"/>
  <c r="N750" i="1"/>
  <c r="O750" i="1" s="1"/>
  <c r="N600" i="1"/>
  <c r="O600" i="1" s="1"/>
  <c r="N216" i="1"/>
  <c r="O216" i="1" s="1"/>
  <c r="N7" i="1"/>
  <c r="O7" i="1" s="1"/>
  <c r="N666" i="1"/>
  <c r="O666" i="1" s="1"/>
  <c r="N579" i="1"/>
  <c r="O579" i="1" s="1"/>
  <c r="N297" i="1"/>
  <c r="O297" i="1" s="1"/>
  <c r="N515" i="1"/>
  <c r="O515" i="1" s="1"/>
  <c r="N670" i="1"/>
  <c r="O670" i="1" s="1"/>
  <c r="N803" i="1"/>
  <c r="O803" i="1" s="1"/>
  <c r="N593" i="1"/>
  <c r="O593" i="1" s="1"/>
  <c r="N335" i="1"/>
  <c r="O335" i="1" s="1"/>
  <c r="N243" i="1"/>
  <c r="O243" i="1" s="1"/>
  <c r="N445" i="1"/>
  <c r="O445" i="1" s="1"/>
  <c r="N299" i="1"/>
  <c r="O299" i="1" s="1"/>
  <c r="N154" i="1"/>
  <c r="O154" i="1" s="1"/>
  <c r="N707" i="1"/>
  <c r="O707" i="1" s="1"/>
  <c r="N713" i="1"/>
  <c r="O713" i="1" s="1"/>
  <c r="N268" i="1"/>
  <c r="O268" i="1" s="1"/>
  <c r="N247" i="1"/>
  <c r="O247" i="1" s="1"/>
  <c r="N491" i="1"/>
  <c r="O491" i="1" s="1"/>
  <c r="N255" i="1"/>
  <c r="O255" i="1" s="1"/>
  <c r="N212" i="1"/>
  <c r="O212" i="1" s="1"/>
  <c r="N89" i="1"/>
  <c r="O89" i="1" s="1"/>
  <c r="N275" i="1"/>
  <c r="O275" i="1" s="1"/>
  <c r="N746" i="1"/>
  <c r="O746" i="1" s="1"/>
  <c r="N314" i="1"/>
  <c r="O314" i="1" s="1"/>
  <c r="N311" i="1"/>
  <c r="O311" i="1" s="1"/>
  <c r="N752" i="1"/>
  <c r="O752" i="1" s="1"/>
  <c r="N325" i="1"/>
  <c r="O325" i="1" s="1"/>
  <c r="N289" i="1"/>
  <c r="O289" i="1" s="1"/>
  <c r="N125" i="1"/>
  <c r="O125" i="1" s="1"/>
  <c r="N732" i="1"/>
  <c r="O732" i="1" s="1"/>
  <c r="N324" i="1"/>
  <c r="O324" i="1" s="1"/>
  <c r="N331" i="1"/>
  <c r="O331" i="1" s="1"/>
  <c r="N204" i="1"/>
  <c r="O204" i="1" s="1"/>
  <c r="N77" i="1"/>
  <c r="O77" i="1" s="1"/>
  <c r="N608" i="1"/>
  <c r="O608" i="1" s="1"/>
  <c r="N109" i="1"/>
  <c r="O109" i="1" s="1"/>
  <c r="N504" i="1"/>
  <c r="O504" i="1" s="1"/>
  <c r="N259" i="1"/>
  <c r="O259" i="1" s="1"/>
  <c r="N21" i="1"/>
  <c r="O21" i="1" s="1"/>
  <c r="N552" i="1"/>
  <c r="O552" i="1" s="1"/>
  <c r="N218" i="1"/>
  <c r="O218" i="1" s="1"/>
  <c r="N63" i="1"/>
  <c r="O63" i="1" s="1"/>
  <c r="N279" i="1"/>
  <c r="O279" i="1" s="1"/>
  <c r="N97" i="1"/>
  <c r="O97" i="1" s="1"/>
  <c r="N223" i="1"/>
  <c r="O223" i="1" s="1"/>
  <c r="N653" i="1"/>
  <c r="O653" i="1" s="1"/>
  <c r="N46" i="1"/>
  <c r="O46" i="1" s="1"/>
  <c r="N785" i="1"/>
  <c r="O785" i="1" s="1"/>
  <c r="N568" i="1"/>
  <c r="O568" i="1" s="1"/>
  <c r="N638" i="1"/>
  <c r="O638" i="1" s="1"/>
  <c r="N78" i="1"/>
  <c r="O78" i="1" s="1"/>
  <c r="N761" i="1"/>
  <c r="O761" i="1" s="1"/>
  <c r="N310" i="1"/>
  <c r="O310" i="1" s="1"/>
  <c r="N493" i="1"/>
  <c r="O493" i="1" s="1"/>
  <c r="N553" i="1"/>
  <c r="O553" i="1" s="1"/>
  <c r="N389" i="1"/>
  <c r="O389" i="1" s="1"/>
  <c r="N198" i="1"/>
  <c r="O198" i="1" s="1"/>
  <c r="N544" i="1"/>
  <c r="O544" i="1" s="1"/>
  <c r="N419" i="1"/>
  <c r="O419" i="1" s="1"/>
  <c r="N418" i="1"/>
  <c r="O418" i="1" s="1"/>
  <c r="N728" i="1"/>
  <c r="O728" i="1" s="1"/>
  <c r="N572" i="1"/>
  <c r="O572" i="1" s="1"/>
  <c r="N410" i="1"/>
  <c r="O410" i="1" s="1"/>
  <c r="N475" i="1"/>
  <c r="O475" i="1" s="1"/>
  <c r="N569" i="1"/>
  <c r="O569" i="1" s="1"/>
  <c r="N206" i="1"/>
  <c r="O206" i="1" s="1"/>
  <c r="N734" i="1"/>
  <c r="O734" i="1" s="1"/>
  <c r="N557" i="1"/>
  <c r="O557" i="1" s="1"/>
  <c r="N509" i="1"/>
  <c r="O509" i="1" s="1"/>
  <c r="N415" i="1"/>
  <c r="O415" i="1" s="1"/>
  <c r="N528" i="1"/>
  <c r="O528" i="1" s="1"/>
  <c r="N257" i="1"/>
  <c r="O257" i="1" s="1"/>
  <c r="N107" i="1"/>
  <c r="O107" i="1" s="1"/>
  <c r="N365" i="1"/>
  <c r="O365" i="1" s="1"/>
  <c r="N426" i="1"/>
  <c r="O426" i="1" s="1"/>
  <c r="N93" i="1"/>
  <c r="O93" i="1" s="1"/>
  <c r="N479" i="1"/>
  <c r="O479" i="1" s="1"/>
  <c r="N435" i="1"/>
  <c r="O435" i="1" s="1"/>
  <c r="N253" i="1"/>
  <c r="O253" i="1" s="1"/>
  <c r="N207" i="1"/>
  <c r="O207" i="1" s="1"/>
  <c r="N174" i="1"/>
  <c r="O174" i="1" s="1"/>
  <c r="N677" i="1"/>
  <c r="O677" i="1" s="1"/>
  <c r="N98" i="1"/>
  <c r="O98" i="1" s="1"/>
  <c r="N784" i="1"/>
  <c r="O784" i="1" s="1"/>
  <c r="N345" i="1"/>
  <c r="O345" i="1" s="1"/>
  <c r="N640" i="1"/>
  <c r="O640" i="1" s="1"/>
  <c r="N293" i="1"/>
  <c r="O293" i="1" s="1"/>
  <c r="N296" i="1"/>
  <c r="O296" i="1" s="1"/>
  <c r="N120" i="1"/>
  <c r="O120" i="1" s="1"/>
  <c r="N349" i="1"/>
  <c r="O349" i="1" s="1"/>
  <c r="N766" i="1"/>
  <c r="O766" i="1" s="1"/>
  <c r="N270" i="1"/>
  <c r="O270" i="1" s="1"/>
  <c r="N241" i="1"/>
  <c r="O241" i="1" s="1"/>
  <c r="N171" i="1"/>
  <c r="O171" i="1" s="1"/>
  <c r="N444" i="1"/>
  <c r="O444" i="1" s="1"/>
  <c r="N330" i="1"/>
  <c r="O330" i="1" s="1"/>
  <c r="N329" i="1"/>
  <c r="O329" i="1" s="1"/>
  <c r="N620" i="1"/>
  <c r="O620" i="1" s="1"/>
  <c r="N468" i="1"/>
  <c r="O468" i="1" s="1"/>
  <c r="N346" i="1"/>
  <c r="O346" i="1" s="1"/>
  <c r="N262" i="1"/>
  <c r="O262" i="1" s="1"/>
  <c r="N624" i="1"/>
  <c r="O624" i="1" s="1"/>
  <c r="N185" i="1"/>
  <c r="O185" i="1" s="1"/>
  <c r="N450" i="1"/>
  <c r="O450" i="1" s="1"/>
  <c r="N394" i="1"/>
  <c r="O394" i="1" s="1"/>
  <c r="N482" i="1"/>
  <c r="O482" i="1" s="1"/>
  <c r="N10" i="1"/>
  <c r="O10" i="1" s="1"/>
  <c r="N23" i="1"/>
  <c r="O23" i="1" s="1"/>
  <c r="N29" i="1"/>
  <c r="O29" i="1" s="1"/>
  <c r="N472" i="1"/>
  <c r="O472" i="1" s="1"/>
  <c r="N372" i="1"/>
  <c r="O372" i="1" s="1"/>
  <c r="N442" i="1"/>
  <c r="O442" i="1" s="1"/>
  <c r="N157" i="1"/>
  <c r="O157" i="1" s="1"/>
  <c r="N142" i="1"/>
  <c r="O142" i="1" s="1"/>
  <c r="N695" i="1"/>
  <c r="O695" i="1" s="1"/>
  <c r="N162" i="1"/>
  <c r="O162" i="1" s="1"/>
  <c r="N121" i="1"/>
  <c r="O121" i="1" s="1"/>
  <c r="N471" i="1"/>
  <c r="O471" i="1" s="1"/>
  <c r="N470" i="1"/>
  <c r="O470" i="1" s="1"/>
  <c r="N378" i="1"/>
  <c r="O378" i="1" s="1"/>
  <c r="N33" i="1"/>
  <c r="O33" i="1" s="1"/>
  <c r="N102" i="1"/>
  <c r="O102" i="1" s="1"/>
  <c r="N655" i="1"/>
  <c r="O655" i="1" s="1"/>
  <c r="N522" i="1"/>
  <c r="O522" i="1" s="1"/>
  <c r="N214" i="1"/>
  <c r="O214" i="1" s="1"/>
  <c r="N792" i="1"/>
  <c r="O792" i="1" s="1"/>
  <c r="N22" i="1"/>
  <c r="O22" i="1" s="1"/>
  <c r="N726" i="1"/>
  <c r="O726" i="1" s="1"/>
  <c r="N375" i="1"/>
  <c r="O375" i="1" s="1"/>
  <c r="N683" i="1"/>
  <c r="O683" i="1" s="1"/>
  <c r="N518" i="1"/>
  <c r="O518" i="1" s="1"/>
  <c r="N780" i="1"/>
  <c r="O780" i="1" s="1"/>
  <c r="N357" i="1"/>
  <c r="O357" i="1" s="1"/>
  <c r="N416" i="1"/>
  <c r="O416" i="1" s="1"/>
  <c r="N598" i="1"/>
  <c r="O598" i="1" s="1"/>
  <c r="N484" i="1"/>
  <c r="O484" i="1" s="1"/>
  <c r="N358" i="1"/>
  <c r="O358" i="1" s="1"/>
  <c r="N217" i="1"/>
  <c r="O217" i="1" s="1"/>
  <c r="N65" i="1"/>
  <c r="O65" i="1" s="1"/>
  <c r="N495" i="1"/>
  <c r="O495" i="1" s="1"/>
  <c r="N469" i="1"/>
  <c r="O469" i="1" s="1"/>
  <c r="N90" i="1"/>
  <c r="O90" i="1" s="1"/>
  <c r="N533" i="1"/>
  <c r="O533" i="1" s="1"/>
  <c r="N447" i="1"/>
  <c r="O447" i="1" s="1"/>
  <c r="N782" i="1"/>
  <c r="O782" i="1" s="1"/>
  <c r="N463" i="1"/>
  <c r="O463" i="1" s="1"/>
  <c r="N496" i="1"/>
  <c r="O496" i="1" s="1"/>
  <c r="N799" i="1"/>
  <c r="O799" i="1" s="1"/>
  <c r="N341" i="1"/>
  <c r="O341" i="1" s="1"/>
  <c r="N758" i="1"/>
  <c r="O758" i="1" s="1"/>
  <c r="N355" i="1"/>
  <c r="O355" i="1" s="1"/>
  <c r="N196" i="1"/>
  <c r="O196" i="1" s="1"/>
  <c r="N681" i="1"/>
  <c r="O681" i="1" s="1"/>
  <c r="N686" i="1"/>
  <c r="O686" i="1" s="1"/>
  <c r="N73" i="1"/>
  <c r="O73" i="1" s="1"/>
  <c r="N621" i="1"/>
  <c r="O621" i="1" s="1"/>
  <c r="N672" i="1"/>
  <c r="O672" i="1" s="1"/>
  <c r="N492" i="1"/>
  <c r="O492" i="1" s="1"/>
  <c r="N82" i="1"/>
  <c r="O82" i="1" s="1"/>
  <c r="N729" i="1"/>
  <c r="O729" i="1" s="1"/>
  <c r="N266" i="1"/>
  <c r="O266" i="1" s="1"/>
  <c r="N163" i="1"/>
  <c r="O163" i="1" s="1"/>
  <c r="N439" i="1"/>
  <c r="O439" i="1" s="1"/>
  <c r="N570" i="1"/>
  <c r="O570" i="1" s="1"/>
  <c r="N261" i="1"/>
  <c r="O261" i="1" s="1"/>
  <c r="N80" i="1"/>
  <c r="O80" i="1" s="1"/>
  <c r="N735" i="1"/>
  <c r="O735" i="1" s="1"/>
  <c r="N521" i="1"/>
  <c r="O521" i="1" s="1"/>
  <c r="N280" i="1"/>
  <c r="O280" i="1" s="1"/>
  <c r="N208" i="1"/>
  <c r="O208" i="1" s="1"/>
  <c r="N586" i="1"/>
  <c r="O586" i="1" s="1"/>
  <c r="N30" i="1"/>
  <c r="O30" i="1" s="1"/>
  <c r="N791" i="1"/>
  <c r="O791" i="1" s="1"/>
  <c r="N81" i="1"/>
  <c r="O81" i="1" s="1"/>
  <c r="N603" i="1"/>
  <c r="O603" i="1" s="1"/>
  <c r="N558" i="1"/>
  <c r="O558" i="1" s="1"/>
  <c r="N74" i="1"/>
  <c r="O74" i="1" s="1"/>
  <c r="N754" i="1"/>
  <c r="O754" i="1" s="1"/>
  <c r="N387" i="1"/>
  <c r="O387" i="1" s="1"/>
  <c r="N425" i="1"/>
  <c r="O425" i="1" s="1"/>
  <c r="N246" i="1"/>
  <c r="O246" i="1" s="1"/>
  <c r="N72" i="1"/>
  <c r="O72" i="1" s="1"/>
  <c r="N727" i="1"/>
  <c r="O727" i="1" s="1"/>
  <c r="N391" i="1"/>
  <c r="O391" i="1" s="1"/>
  <c r="N513" i="1"/>
  <c r="O513" i="1" s="1"/>
  <c r="N516" i="1"/>
  <c r="O516" i="1" s="1"/>
  <c r="N69" i="1"/>
  <c r="O69" i="1" s="1"/>
  <c r="N115" i="1"/>
  <c r="O115" i="1" s="1"/>
  <c r="N242" i="1"/>
  <c r="O242" i="1" s="1"/>
  <c r="N619" i="1"/>
  <c r="O619" i="1" s="1"/>
  <c r="N281" i="1"/>
  <c r="O281" i="1" s="1"/>
  <c r="N787" i="1"/>
  <c r="O787" i="1" s="1"/>
  <c r="N231" i="1"/>
  <c r="O231" i="1" s="1"/>
  <c r="N662" i="1"/>
  <c r="O662" i="1" s="1"/>
  <c r="N499" i="1"/>
  <c r="O499" i="1" s="1"/>
  <c r="N54" i="1"/>
  <c r="O54" i="1" s="1"/>
  <c r="N793" i="1"/>
  <c r="O793" i="1" s="1"/>
  <c r="N611" i="1"/>
  <c r="O611" i="1" s="1"/>
  <c r="N546" i="1"/>
  <c r="O546" i="1" s="1"/>
  <c r="N141" i="1"/>
  <c r="O141" i="1" s="1"/>
  <c r="N769" i="1"/>
  <c r="O769" i="1" s="1"/>
  <c r="N383" i="1"/>
  <c r="O383" i="1" s="1"/>
  <c r="N720" i="1"/>
  <c r="O720" i="1" s="1"/>
  <c r="N260" i="1"/>
  <c r="O260" i="1" s="1"/>
  <c r="N251" i="1"/>
  <c r="O251" i="1" s="1"/>
  <c r="N127" i="1"/>
  <c r="O127" i="1" s="1"/>
  <c r="N526" i="1"/>
  <c r="O526" i="1" s="1"/>
  <c r="N563" i="1"/>
  <c r="O563" i="1" s="1"/>
  <c r="N176" i="1"/>
  <c r="O176" i="1" s="1"/>
  <c r="N61" i="1"/>
  <c r="O61" i="1" s="1"/>
  <c r="N84" i="1"/>
  <c r="O84" i="1" s="1"/>
  <c r="N79" i="1"/>
  <c r="O79" i="1" s="1"/>
  <c r="N87" i="1"/>
  <c r="O87" i="1" s="1"/>
  <c r="N616" i="1"/>
  <c r="O616" i="1" s="1"/>
  <c r="N47" i="1"/>
  <c r="O47" i="1" s="1"/>
  <c r="N138" i="1"/>
  <c r="O138" i="1" s="1"/>
  <c r="N71" i="1"/>
  <c r="O71" i="1" s="1"/>
  <c r="N95" i="1"/>
  <c r="O95" i="1" s="1"/>
  <c r="N647" i="1"/>
  <c r="O647" i="1" s="1"/>
  <c r="N597" i="1"/>
  <c r="O597" i="1" s="1"/>
  <c r="N673" i="1"/>
  <c r="O673" i="1" s="1"/>
  <c r="N265" i="1"/>
  <c r="O265" i="1" s="1"/>
  <c r="N779" i="1"/>
  <c r="O779" i="1" s="1"/>
  <c r="N306" i="1"/>
  <c r="O306" i="1" s="1"/>
  <c r="N483" i="1"/>
  <c r="O483" i="1" s="1"/>
  <c r="N709" i="1"/>
  <c r="O709" i="1" s="1"/>
  <c r="N393" i="1"/>
  <c r="O393" i="1" s="1"/>
  <c r="N184" i="1"/>
  <c r="O184" i="1" s="1"/>
  <c r="N423" i="1"/>
  <c r="O423" i="1" s="1"/>
  <c r="N267" i="1"/>
  <c r="O267" i="1" s="1"/>
  <c r="N133" i="1"/>
  <c r="O133" i="1" s="1"/>
  <c r="N796" i="1"/>
  <c r="O796" i="1" s="1"/>
  <c r="N594" i="1"/>
  <c r="O594" i="1" s="1"/>
  <c r="N505" i="1"/>
  <c r="O505" i="1" s="1"/>
  <c r="N227" i="1"/>
  <c r="O227" i="1" s="1"/>
  <c r="N794" i="1"/>
  <c r="O794" i="1" s="1"/>
  <c r="N321" i="1"/>
  <c r="O321" i="1" s="1"/>
  <c r="N421" i="1"/>
  <c r="O421" i="1" s="1"/>
  <c r="N35" i="1"/>
  <c r="O35" i="1" s="1"/>
  <c r="N738" i="1"/>
  <c r="O738" i="1" s="1"/>
  <c r="N126" i="1"/>
  <c r="O126" i="1" s="1"/>
  <c r="N606" i="1"/>
  <c r="O606" i="1" s="1"/>
  <c r="N534" i="1"/>
  <c r="O534" i="1" s="1"/>
  <c r="N249" i="1"/>
  <c r="O249" i="1" s="1"/>
  <c r="N116" i="1"/>
  <c r="O116" i="1" s="1"/>
  <c r="N765" i="1"/>
  <c r="O765" i="1" s="1"/>
  <c r="N490" i="1"/>
  <c r="O490" i="1" s="1"/>
  <c r="N114" i="1"/>
  <c r="O114" i="1" s="1"/>
  <c r="N773" i="1"/>
  <c r="O773" i="1" s="1"/>
  <c r="N312" i="1"/>
  <c r="O312" i="1" s="1"/>
  <c r="N229" i="1"/>
  <c r="O229" i="1" s="1"/>
  <c r="N575" i="1"/>
  <c r="O575" i="1" s="1"/>
  <c r="N130" i="1"/>
  <c r="O130" i="1" s="1"/>
  <c r="N70" i="1"/>
  <c r="O70" i="1" s="1"/>
  <c r="N751" i="1"/>
  <c r="O751" i="1" s="1"/>
  <c r="N767" i="1"/>
  <c r="O767" i="1" s="1"/>
  <c r="N667" i="1"/>
  <c r="O667" i="1" s="1"/>
  <c r="N434" i="1"/>
  <c r="O434" i="1" s="1"/>
  <c r="N99" i="1"/>
  <c r="O99" i="1" s="1"/>
  <c r="N101" i="1"/>
  <c r="O101" i="1" s="1"/>
  <c r="N356" i="1"/>
  <c r="O356" i="1" s="1"/>
  <c r="N58" i="1"/>
  <c r="O58" i="1" s="1"/>
  <c r="N645" i="1"/>
  <c r="O645" i="1" s="1"/>
  <c r="N567" i="1"/>
  <c r="O567" i="1" s="1"/>
  <c r="N24" i="1"/>
  <c r="O24" i="1" s="1"/>
  <c r="N706" i="1"/>
  <c r="O706" i="1" s="1"/>
  <c r="N671" i="1"/>
  <c r="O671" i="1" s="1"/>
  <c r="N548" i="1"/>
  <c r="O548" i="1" s="1"/>
  <c r="N96" i="1"/>
  <c r="O96" i="1" s="1"/>
  <c r="N753" i="1"/>
  <c r="O753" i="1" s="1"/>
  <c r="N659" i="1"/>
  <c r="O659" i="1" s="1"/>
  <c r="N420" i="1"/>
  <c r="O420" i="1" s="1"/>
  <c r="N52" i="1"/>
  <c r="O52" i="1" s="1"/>
  <c r="N733" i="1"/>
  <c r="O733" i="1" s="1"/>
  <c r="N529" i="1"/>
  <c r="O529" i="1" s="1"/>
  <c r="N172" i="1"/>
  <c r="O172" i="1" s="1"/>
  <c r="N525" i="1"/>
  <c r="O525" i="1" s="1"/>
  <c r="N292" i="1"/>
  <c r="O292" i="1" s="1"/>
  <c r="N698" i="1"/>
  <c r="O698" i="1" s="1"/>
  <c r="N406" i="1"/>
  <c r="O406" i="1" s="1"/>
  <c r="N2" i="1"/>
  <c r="O2" i="1" s="1"/>
  <c r="N354" i="1"/>
  <c r="O354" i="1" s="1"/>
  <c r="N183" i="1"/>
  <c r="O183" i="1" s="1"/>
  <c r="N8" i="1"/>
  <c r="O8" i="1" s="1"/>
  <c r="N203" i="1"/>
  <c r="O203" i="1" s="1"/>
  <c r="N388" i="1"/>
  <c r="O388" i="1" s="1"/>
  <c r="N458" i="1"/>
  <c r="O458" i="1" s="1"/>
  <c r="N408" i="1"/>
  <c r="O408" i="1" s="1"/>
  <c r="N424" i="1"/>
  <c r="O424" i="1" s="1"/>
  <c r="N18" i="1"/>
  <c r="O18" i="1" s="1"/>
  <c r="N250" i="1"/>
  <c r="O250" i="1" s="1"/>
  <c r="N328" i="1"/>
  <c r="O328" i="1" s="1"/>
  <c r="N384" i="1"/>
  <c r="O384" i="1" s="1"/>
  <c r="N211" i="1"/>
  <c r="O211" i="1" s="1"/>
  <c r="N213" i="1"/>
  <c r="O213" i="1" s="1"/>
  <c r="N386" i="1"/>
  <c r="O386" i="1" s="1"/>
  <c r="N474" i="1"/>
  <c r="O474" i="1" s="1"/>
  <c r="N382" i="1"/>
  <c r="O382" i="1" s="1"/>
  <c r="N31" i="1"/>
  <c r="O31" i="1" s="1"/>
  <c r="N583" i="1"/>
  <c r="O583" i="1" s="1"/>
  <c r="N194" i="1"/>
  <c r="O194" i="1" s="1"/>
  <c r="N364" i="1"/>
  <c r="O364" i="1" s="1"/>
  <c r="N401" i="1"/>
  <c r="O401" i="1" s="1"/>
  <c r="N630" i="1"/>
  <c r="O630" i="1" s="1"/>
  <c r="N368" i="1"/>
  <c r="O368" i="1" s="1"/>
  <c r="N219" i="1"/>
  <c r="O219" i="1" s="1"/>
  <c r="N193" i="1"/>
  <c r="O193" i="1" s="1"/>
  <c r="N485" i="1"/>
  <c r="O485" i="1" s="1"/>
  <c r="N566" i="1"/>
  <c r="O566" i="1" s="1"/>
  <c r="N202" i="1"/>
  <c r="O202" i="1" s="1"/>
  <c r="N714" i="1"/>
  <c r="O714" i="1" s="1"/>
  <c r="N290" i="1"/>
  <c r="O290" i="1" s="1"/>
  <c r="N654" i="1"/>
  <c r="O654" i="1" s="1"/>
  <c r="N629" i="1"/>
  <c r="O629" i="1" s="1"/>
  <c r="N678" i="1"/>
  <c r="O678" i="1" s="1"/>
  <c r="N549" i="1"/>
  <c r="O549" i="1" s="1"/>
  <c r="N618" i="1"/>
  <c r="O618" i="1" s="1"/>
  <c r="N407" i="1"/>
  <c r="O407" i="1" s="1"/>
  <c r="N757" i="1"/>
  <c r="O757" i="1" s="1"/>
  <c r="N371" i="1"/>
  <c r="O371" i="1" s="1"/>
  <c r="N113" i="1"/>
  <c r="O113" i="1" s="1"/>
  <c r="N348" i="1"/>
  <c r="O348" i="1" s="1"/>
  <c r="N448" i="1"/>
  <c r="O448" i="1" s="1"/>
  <c r="N352" i="1"/>
  <c r="O352" i="1" s="1"/>
  <c r="N576" i="1"/>
  <c r="O576" i="1" s="1"/>
  <c r="N588" i="1"/>
  <c r="O588" i="1" s="1"/>
  <c r="N428" i="1"/>
  <c r="O428" i="1" s="1"/>
  <c r="N287" i="1"/>
  <c r="O287" i="1" s="1"/>
  <c r="N147" i="1"/>
  <c r="O147" i="1" s="1"/>
  <c r="N531" i="1"/>
  <c r="O531" i="1" s="1"/>
  <c r="N288" i="1"/>
  <c r="O288" i="1" s="1"/>
  <c r="N112" i="1"/>
  <c r="O112" i="1" s="1"/>
  <c r="N725" i="1"/>
  <c r="O725" i="1" s="1"/>
  <c r="N517" i="1"/>
  <c r="O517" i="1" s="1"/>
  <c r="N53" i="1"/>
  <c r="O53" i="1" s="1"/>
  <c r="N453" i="1"/>
  <c r="O453" i="1" s="1"/>
  <c r="N459" i="1"/>
  <c r="O459" i="1" s="1"/>
  <c r="N307" i="1"/>
  <c r="O307" i="1" s="1"/>
  <c r="N4" i="1"/>
  <c r="O4" i="1" s="1"/>
  <c r="N764" i="1"/>
  <c r="O764" i="1" s="1"/>
  <c r="N523" i="1"/>
  <c r="O523" i="1" s="1"/>
  <c r="N489" i="1"/>
  <c r="O489" i="1" s="1"/>
  <c r="N601" i="1"/>
  <c r="O601" i="1" s="1"/>
  <c r="N530" i="1"/>
  <c r="O530" i="1" s="1"/>
  <c r="N137" i="1"/>
  <c r="O137" i="1" s="1"/>
  <c r="N770" i="1"/>
  <c r="O770" i="1" s="1"/>
  <c r="N573" i="1"/>
  <c r="O573" i="1" s="1"/>
  <c r="N152" i="1"/>
  <c r="O152" i="1" s="1"/>
  <c r="N715" i="1"/>
  <c r="O715" i="1" s="1"/>
  <c r="N399" i="1"/>
  <c r="O399" i="1" s="1"/>
  <c r="N291" i="1"/>
  <c r="O291" i="1" s="1"/>
  <c r="N795" i="1"/>
  <c r="O795" i="1" s="1"/>
  <c r="N322" i="1"/>
  <c r="O322" i="1" s="1"/>
  <c r="N319" i="1"/>
  <c r="O319" i="1" s="1"/>
  <c r="N612" i="1"/>
  <c r="O612" i="1" s="1"/>
  <c r="N134" i="1"/>
  <c r="O134" i="1" s="1"/>
  <c r="N170" i="1"/>
  <c r="O170" i="1" s="1"/>
  <c r="N554" i="1"/>
  <c r="O554" i="1" s="1"/>
  <c r="N305" i="1"/>
  <c r="O305" i="1" s="1"/>
  <c r="N94" i="1"/>
  <c r="O94" i="1" s="1"/>
  <c r="N740" i="1"/>
  <c r="O740" i="1" s="1"/>
  <c r="N323" i="1"/>
  <c r="O323" i="1" s="1"/>
  <c r="N730" i="1"/>
  <c r="O730" i="1" s="1"/>
  <c r="N414" i="1"/>
  <c r="O414" i="1" s="1"/>
  <c r="N269" i="1"/>
  <c r="O269" i="1" s="1"/>
  <c r="N550" i="1"/>
  <c r="O550" i="1" s="1"/>
  <c r="N711" i="1"/>
  <c r="O711" i="1" s="1"/>
  <c r="N503" i="1"/>
  <c r="O503" i="1" s="1"/>
  <c r="N417" i="1"/>
  <c r="O417" i="1" s="1"/>
  <c r="N717" i="1"/>
  <c r="O717" i="1" s="1"/>
  <c r="N264" i="1"/>
  <c r="O264" i="1" s="1"/>
  <c r="N652" i="1"/>
  <c r="O652" i="1" s="1"/>
  <c r="N283" i="1"/>
  <c r="O283" i="1" s="1"/>
  <c r="N159" i="1"/>
  <c r="O159" i="1" s="1"/>
  <c r="N318" i="1"/>
  <c r="O318" i="1" s="1"/>
  <c r="N315" i="1"/>
  <c r="O315" i="1" s="1"/>
  <c r="N789" i="1"/>
  <c r="O789" i="1" s="1"/>
  <c r="N685" i="1"/>
  <c r="O685" i="1" s="1"/>
  <c r="N561" i="1"/>
  <c r="O561" i="1" s="1"/>
  <c r="N285" i="1"/>
  <c r="O285" i="1" s="1"/>
  <c r="N301" i="1"/>
  <c r="O301" i="1" s="1"/>
  <c r="N67" i="1"/>
  <c r="O67" i="1" s="1"/>
  <c r="N103" i="1"/>
  <c r="O103" i="1" s="1"/>
  <c r="N13" i="1"/>
  <c r="O13" i="1" s="1"/>
  <c r="N167" i="1"/>
  <c r="O167" i="1" s="1"/>
  <c r="N443" i="1"/>
  <c r="O443" i="1" s="1"/>
  <c r="N38" i="1"/>
  <c r="O38" i="1" s="1"/>
  <c r="N55" i="1"/>
  <c r="O55" i="1" s="1"/>
  <c r="N599" i="1"/>
  <c r="O599" i="1" s="1"/>
  <c r="N124" i="1"/>
  <c r="O124" i="1" s="1"/>
  <c r="N605" i="1"/>
  <c r="O605" i="1" s="1"/>
  <c r="N369" i="1"/>
  <c r="O369" i="1" s="1"/>
  <c r="N409" i="1"/>
  <c r="O409" i="1" s="1"/>
  <c r="N498" i="1"/>
  <c r="O498" i="1" s="1"/>
  <c r="N182" i="1"/>
  <c r="O182" i="1" s="1"/>
  <c r="N320" i="1"/>
  <c r="O320" i="1" s="1"/>
  <c r="N317" i="1"/>
  <c r="O317" i="1" s="1"/>
  <c r="N585" i="1"/>
  <c r="O585" i="1" s="1"/>
  <c r="N273" i="1"/>
  <c r="O273" i="1" s="1"/>
  <c r="N724" i="1"/>
  <c r="O724" i="1" s="1"/>
  <c r="N555" i="1"/>
  <c r="O555" i="1" s="1"/>
  <c r="N708" i="1"/>
  <c r="O708" i="1" s="1"/>
  <c r="N316" i="1"/>
  <c r="O316" i="1" s="1"/>
  <c r="N413" i="1"/>
  <c r="O413" i="1" s="1"/>
  <c r="N333" i="1"/>
  <c r="O333" i="1" s="1"/>
  <c r="N276" i="1"/>
  <c r="O276" i="1" s="1"/>
  <c r="N156" i="1"/>
  <c r="O156" i="1" s="1"/>
  <c r="N48" i="1"/>
  <c r="O48" i="1" s="1"/>
  <c r="N691" i="1"/>
  <c r="O691" i="1" s="1"/>
  <c r="N559" i="1"/>
  <c r="O559" i="1" s="1"/>
  <c r="N298" i="1"/>
  <c r="O298" i="1" s="1"/>
  <c r="N591" i="1"/>
  <c r="O591" i="1" s="1"/>
  <c r="N32" i="1"/>
  <c r="O32" i="1" s="1"/>
  <c r="N248" i="1"/>
  <c r="O248" i="1" s="1"/>
  <c r="N682" i="1"/>
  <c r="O682" i="1" s="1"/>
  <c r="N788" i="1"/>
  <c r="O788" i="1" s="1"/>
  <c r="N547" i="1"/>
  <c r="O547" i="1" s="1"/>
  <c r="N302" i="1"/>
  <c r="O302" i="1" s="1"/>
  <c r="N786" i="1"/>
  <c r="O786" i="1" s="1"/>
  <c r="N379" i="1"/>
  <c r="O379" i="1" s="1"/>
  <c r="N187" i="1"/>
  <c r="O187" i="1" s="1"/>
  <c r="N462" i="1"/>
  <c r="O462" i="1" s="1"/>
  <c r="N370" i="1"/>
  <c r="O370" i="1" s="1"/>
  <c r="N456" i="1"/>
  <c r="O456" i="1" s="1"/>
  <c r="N199" i="1"/>
  <c r="O199" i="1" s="1"/>
  <c r="N702" i="1"/>
  <c r="O702" i="1" s="1"/>
  <c r="N633" i="1"/>
  <c r="O633" i="1" s="1"/>
  <c r="N360" i="1"/>
  <c r="O360" i="1" s="1"/>
  <c r="N57" i="1"/>
  <c r="O57" i="1" s="1"/>
  <c r="N494" i="1"/>
  <c r="O494" i="1" s="1"/>
  <c r="N477" i="1"/>
  <c r="O477" i="1" s="1"/>
  <c r="N639" i="1"/>
  <c r="O639" i="1" s="1"/>
  <c r="N514" i="1"/>
  <c r="O514" i="1" s="1"/>
  <c r="N228" i="1"/>
  <c r="O228" i="1" s="1"/>
  <c r="N190" i="1"/>
  <c r="O190" i="1" s="1"/>
  <c r="N543" i="1"/>
  <c r="O543" i="1" s="1"/>
  <c r="N282" i="1"/>
  <c r="O282" i="1" s="1"/>
  <c r="N232" i="1"/>
  <c r="O232" i="1" s="1"/>
  <c r="N455" i="1"/>
  <c r="O455" i="1" s="1"/>
  <c r="N303" i="1"/>
  <c r="O303" i="1" s="1"/>
  <c r="N14" i="1"/>
  <c r="O14" i="1" s="1"/>
  <c r="N790" i="1"/>
  <c r="O790" i="1" s="1"/>
  <c r="N367" i="1"/>
  <c r="O367" i="1" s="1"/>
  <c r="N481" i="1"/>
  <c r="O481" i="1" s="1"/>
  <c r="N210" i="1"/>
  <c r="O210" i="1" s="1"/>
  <c r="N179" i="1"/>
  <c r="O179" i="1" s="1"/>
  <c r="N768" i="1"/>
  <c r="O768" i="1" s="1"/>
  <c r="N286" i="1"/>
  <c r="O286" i="1" s="1"/>
  <c r="N123" i="1"/>
  <c r="O123" i="1" s="1"/>
  <c r="N641" i="1"/>
  <c r="O641" i="1" s="1"/>
  <c r="N16" i="1"/>
  <c r="O16" i="1" s="1"/>
  <c r="N340" i="1"/>
  <c r="O340" i="1" s="1"/>
  <c r="N632" i="1"/>
  <c r="O632" i="1" s="1"/>
  <c r="N584" i="1"/>
  <c r="O584" i="1" s="1"/>
  <c r="N476" i="1"/>
  <c r="O476" i="1" s="1"/>
  <c r="N696" i="1"/>
  <c r="O696" i="1" s="1"/>
  <c r="N350" i="1"/>
  <c r="O350" i="1" s="1"/>
  <c r="N405" i="1"/>
  <c r="O405" i="1" s="1"/>
  <c r="N808" i="1"/>
  <c r="O808" i="1" s="1"/>
  <c r="N144" i="1"/>
  <c r="O144" i="1" s="1"/>
  <c r="N634" i="1"/>
  <c r="O634" i="1" s="1"/>
  <c r="N338" i="1"/>
  <c r="O338" i="1" s="1"/>
  <c r="N392" i="1"/>
  <c r="O392" i="1" s="1"/>
  <c r="N398" i="1"/>
  <c r="O398" i="1" s="1"/>
  <c r="N9" i="1"/>
  <c r="O9" i="1" s="1"/>
  <c r="N191" i="1"/>
  <c r="O191" i="1" s="1"/>
  <c r="N697" i="1"/>
  <c r="O697" i="1" s="1"/>
  <c r="N17" i="1"/>
  <c r="O17" i="1" s="1"/>
  <c r="N810" i="1"/>
  <c r="O810" i="1" s="1"/>
  <c r="B16" i="19" l="1"/>
  <c r="D15" i="19"/>
  <c r="D14" i="20"/>
  <c r="E13" i="20"/>
  <c r="B17" i="19" l="1"/>
  <c r="D16" i="19"/>
  <c r="D15" i="20"/>
  <c r="E14" i="20"/>
  <c r="B18" i="19" l="1"/>
  <c r="D17" i="19"/>
  <c r="D16" i="20"/>
  <c r="E15" i="20"/>
  <c r="B19" i="19" l="1"/>
  <c r="D18" i="19"/>
  <c r="D17" i="20"/>
  <c r="E16" i="20"/>
  <c r="B20" i="19" l="1"/>
  <c r="D19" i="19"/>
  <c r="D18" i="20"/>
  <c r="E17" i="20"/>
  <c r="B21" i="19" l="1"/>
  <c r="D20" i="19"/>
  <c r="D19" i="20"/>
  <c r="E18" i="20"/>
  <c r="B22" i="19" l="1"/>
  <c r="D21" i="19"/>
  <c r="E19" i="20"/>
  <c r="D20" i="20"/>
  <c r="B23" i="19" l="1"/>
  <c r="D22" i="19"/>
  <c r="D21" i="20"/>
  <c r="E20" i="20"/>
  <c r="B24" i="19" l="1"/>
  <c r="D23" i="19"/>
  <c r="D22" i="20"/>
  <c r="E21" i="20"/>
  <c r="B25" i="19" l="1"/>
  <c r="D24" i="19"/>
  <c r="D23" i="20"/>
  <c r="E22" i="20"/>
  <c r="B26" i="19" l="1"/>
  <c r="D25" i="19"/>
  <c r="D24" i="20"/>
  <c r="E23" i="20"/>
  <c r="B27" i="19" l="1"/>
  <c r="D26" i="19"/>
  <c r="D25" i="20"/>
  <c r="E24" i="20"/>
  <c r="B28" i="19" l="1"/>
  <c r="D27" i="19"/>
  <c r="E25" i="20"/>
  <c r="D26" i="20"/>
  <c r="B29" i="19" l="1"/>
  <c r="D28" i="19"/>
  <c r="D27" i="20"/>
  <c r="E26" i="20"/>
  <c r="B30" i="19" l="1"/>
  <c r="D29" i="19"/>
  <c r="D28" i="20"/>
  <c r="E27" i="20"/>
  <c r="B31" i="19" l="1"/>
  <c r="D30" i="19"/>
  <c r="D29" i="20"/>
  <c r="E28" i="20"/>
  <c r="B32" i="19" l="1"/>
  <c r="D31" i="19"/>
  <c r="D30" i="20"/>
  <c r="E29" i="20"/>
  <c r="B33" i="19" l="1"/>
  <c r="D32" i="19"/>
  <c r="D31" i="20"/>
  <c r="E30" i="20"/>
  <c r="B34" i="19" l="1"/>
  <c r="D33" i="19"/>
  <c r="D32" i="20"/>
  <c r="E31" i="20"/>
  <c r="B35" i="19" l="1"/>
  <c r="D34" i="19"/>
  <c r="D33" i="20"/>
  <c r="E32" i="20"/>
  <c r="B36" i="19" l="1"/>
  <c r="D35" i="19"/>
  <c r="E33" i="20"/>
  <c r="D34" i="20"/>
  <c r="B37" i="19" l="1"/>
  <c r="D36" i="19"/>
  <c r="D35" i="20"/>
  <c r="E34" i="20"/>
  <c r="B38" i="19" l="1"/>
  <c r="D37" i="19"/>
  <c r="D36" i="20"/>
  <c r="E35" i="20"/>
  <c r="B39" i="19" l="1"/>
  <c r="D38" i="19"/>
  <c r="D37" i="20"/>
  <c r="E36" i="20"/>
  <c r="B40" i="19" l="1"/>
  <c r="D39" i="19"/>
  <c r="E37" i="20"/>
  <c r="D38" i="20"/>
  <c r="B41" i="19" l="1"/>
  <c r="D40" i="19"/>
  <c r="E38" i="20"/>
  <c r="D39" i="20"/>
  <c r="B42" i="19" l="1"/>
  <c r="D41" i="19"/>
  <c r="D40" i="20"/>
  <c r="E39" i="20"/>
  <c r="B43" i="19" l="1"/>
  <c r="D42" i="19"/>
  <c r="D41" i="20"/>
  <c r="E40" i="20"/>
  <c r="B44" i="19" l="1"/>
  <c r="D43" i="19"/>
  <c r="D42" i="20"/>
  <c r="E41" i="20"/>
  <c r="B45" i="19" l="1"/>
  <c r="D44" i="19"/>
  <c r="D43" i="20"/>
  <c r="E42" i="20"/>
  <c r="B46" i="19" l="1"/>
  <c r="D45" i="19"/>
  <c r="D44" i="20"/>
  <c r="E43" i="20"/>
  <c r="B47" i="19" l="1"/>
  <c r="D46" i="19"/>
  <c r="D45" i="20"/>
  <c r="E44" i="20"/>
  <c r="B48" i="19" l="1"/>
  <c r="D47" i="19"/>
  <c r="D46" i="20"/>
  <c r="E45" i="20"/>
  <c r="B49" i="19" l="1"/>
  <c r="D48" i="19"/>
  <c r="E46" i="20"/>
  <c r="D47" i="20"/>
  <c r="B50" i="19" l="1"/>
  <c r="D49" i="19"/>
  <c r="D48" i="20"/>
  <c r="E47" i="20"/>
  <c r="B51" i="19" l="1"/>
  <c r="D50" i="19"/>
  <c r="D49" i="20"/>
  <c r="E48" i="20"/>
  <c r="B52" i="19" l="1"/>
  <c r="D51" i="19"/>
  <c r="D50" i="20"/>
  <c r="E49" i="20"/>
  <c r="B53" i="19" l="1"/>
  <c r="D52" i="19"/>
  <c r="D51" i="20"/>
  <c r="E50" i="20"/>
  <c r="B54" i="19" l="1"/>
  <c r="D53" i="19"/>
  <c r="D52" i="20"/>
  <c r="E51" i="20"/>
  <c r="B55" i="19" l="1"/>
  <c r="D54" i="19"/>
  <c r="D53" i="20"/>
  <c r="E52" i="20"/>
  <c r="B56" i="19" l="1"/>
  <c r="D55" i="19"/>
  <c r="E53" i="20"/>
  <c r="D54" i="20"/>
  <c r="B57" i="19" l="1"/>
  <c r="D56" i="19"/>
  <c r="D55" i="20"/>
  <c r="E54" i="20"/>
  <c r="B58" i="19" l="1"/>
  <c r="D57" i="19"/>
  <c r="D56" i="20"/>
  <c r="E55" i="20"/>
  <c r="B59" i="19" l="1"/>
  <c r="D58" i="19"/>
  <c r="D57" i="20"/>
  <c r="E56" i="20"/>
  <c r="B60" i="19" l="1"/>
  <c r="D59" i="19"/>
  <c r="D58" i="20"/>
  <c r="E57" i="20"/>
  <c r="B61" i="19" l="1"/>
  <c r="D60" i="19"/>
  <c r="E58" i="20"/>
  <c r="D59" i="20"/>
  <c r="B62" i="19" l="1"/>
  <c r="D61" i="19"/>
  <c r="D60" i="20"/>
  <c r="E59" i="20"/>
  <c r="B63" i="19" l="1"/>
  <c r="D62" i="19"/>
  <c r="D61" i="20"/>
  <c r="E60" i="20"/>
  <c r="B64" i="19" l="1"/>
  <c r="D63" i="19"/>
  <c r="D62" i="20"/>
  <c r="E61" i="20"/>
  <c r="B65" i="19" l="1"/>
  <c r="D64" i="19"/>
  <c r="D63" i="20"/>
  <c r="E62" i="20"/>
  <c r="B66" i="19" l="1"/>
  <c r="D65" i="19"/>
  <c r="D64" i="20"/>
  <c r="E63" i="20"/>
  <c r="B67" i="19" l="1"/>
  <c r="D66" i="19"/>
  <c r="D65" i="20"/>
  <c r="E64" i="20"/>
  <c r="B68" i="19" l="1"/>
  <c r="D67" i="19"/>
  <c r="D66" i="20"/>
  <c r="E65" i="20"/>
  <c r="B69" i="19" l="1"/>
  <c r="D68" i="19"/>
  <c r="D67" i="20"/>
  <c r="E66" i="20"/>
  <c r="B70" i="19" l="1"/>
  <c r="D69" i="19"/>
  <c r="D68" i="20"/>
  <c r="E67" i="20"/>
  <c r="B71" i="19" l="1"/>
  <c r="D70" i="19"/>
  <c r="D69" i="20"/>
  <c r="E68" i="20"/>
  <c r="B72" i="19" l="1"/>
  <c r="D71" i="19"/>
  <c r="D70" i="20"/>
  <c r="E69" i="20"/>
  <c r="B73" i="19" l="1"/>
  <c r="D72" i="19"/>
  <c r="D71" i="20"/>
  <c r="E70" i="20"/>
  <c r="B74" i="19" l="1"/>
  <c r="D73" i="19"/>
  <c r="D72" i="20"/>
  <c r="E71" i="20"/>
  <c r="B75" i="19" l="1"/>
  <c r="D74" i="19"/>
  <c r="D73" i="20"/>
  <c r="E72" i="20"/>
  <c r="B76" i="19" l="1"/>
  <c r="D75" i="19"/>
  <c r="D74" i="20"/>
  <c r="E73" i="20"/>
  <c r="B77" i="19" l="1"/>
  <c r="D76" i="19"/>
  <c r="E74" i="20"/>
  <c r="D75" i="20"/>
  <c r="B78" i="19" l="1"/>
  <c r="D77" i="19"/>
  <c r="D76" i="20"/>
  <c r="E75" i="20"/>
  <c r="B79" i="19" l="1"/>
  <c r="D78" i="19"/>
  <c r="D77" i="20"/>
  <c r="E76" i="20"/>
  <c r="B80" i="19" l="1"/>
  <c r="D79" i="19"/>
  <c r="D78" i="20"/>
  <c r="E77" i="20"/>
  <c r="B81" i="19" l="1"/>
  <c r="D80" i="19"/>
  <c r="D79" i="20"/>
  <c r="E78" i="20"/>
  <c r="B82" i="19" l="1"/>
  <c r="D81" i="19"/>
  <c r="D80" i="20"/>
  <c r="E79" i="20"/>
  <c r="B83" i="19" l="1"/>
  <c r="D82" i="19"/>
  <c r="D81" i="20"/>
  <c r="E80" i="20"/>
  <c r="B84" i="19" l="1"/>
  <c r="D83" i="19"/>
  <c r="D82" i="20"/>
  <c r="E81" i="20"/>
  <c r="B85" i="19" l="1"/>
  <c r="D84" i="19"/>
  <c r="D83" i="20"/>
  <c r="E82" i="20"/>
  <c r="B86" i="19" l="1"/>
  <c r="D85" i="19"/>
  <c r="D84" i="20"/>
  <c r="E83" i="20"/>
  <c r="B87" i="19" l="1"/>
  <c r="D86" i="19"/>
  <c r="D85" i="20"/>
  <c r="E84" i="20"/>
  <c r="B88" i="19" l="1"/>
  <c r="D87" i="19"/>
  <c r="D86" i="20"/>
  <c r="E85" i="20"/>
  <c r="B89" i="19" l="1"/>
  <c r="D88" i="19"/>
  <c r="D87" i="20"/>
  <c r="E86" i="20"/>
  <c r="B90" i="19" l="1"/>
  <c r="D89" i="19"/>
  <c r="D88" i="20"/>
  <c r="E87" i="20"/>
  <c r="B91" i="19" l="1"/>
  <c r="D90" i="19"/>
  <c r="D89" i="20"/>
  <c r="E88" i="20"/>
  <c r="B92" i="19" l="1"/>
  <c r="D91" i="19"/>
  <c r="D90" i="20"/>
  <c r="E89" i="20"/>
  <c r="B93" i="19" l="1"/>
  <c r="D92" i="19"/>
  <c r="D91" i="20"/>
  <c r="E90" i="20"/>
  <c r="B94" i="19" l="1"/>
  <c r="D93" i="19"/>
  <c r="D92" i="20"/>
  <c r="E91" i="20"/>
  <c r="B95" i="19" l="1"/>
  <c r="D94" i="19"/>
  <c r="D93" i="20"/>
  <c r="E92" i="20"/>
  <c r="B96" i="19" l="1"/>
  <c r="D95" i="19"/>
  <c r="D94" i="20"/>
  <c r="E93" i="20"/>
  <c r="B97" i="19" l="1"/>
  <c r="D96" i="19"/>
  <c r="D95" i="20"/>
  <c r="E94" i="20"/>
  <c r="B98" i="19" l="1"/>
  <c r="D97" i="19"/>
  <c r="E95" i="20"/>
  <c r="D96" i="20"/>
  <c r="B99" i="19" l="1"/>
  <c r="D98" i="19"/>
  <c r="D97" i="20"/>
  <c r="E96" i="20"/>
  <c r="B100" i="19" l="1"/>
  <c r="D99" i="19"/>
  <c r="E97" i="20"/>
  <c r="D98" i="20"/>
  <c r="B101" i="19" l="1"/>
  <c r="D100" i="19"/>
  <c r="D99" i="20"/>
  <c r="E98" i="20"/>
  <c r="B102" i="19" l="1"/>
  <c r="D101" i="19"/>
  <c r="D100" i="20"/>
  <c r="E99" i="20"/>
  <c r="B103" i="19" l="1"/>
  <c r="D102" i="19"/>
  <c r="D101" i="20"/>
  <c r="E100" i="20"/>
  <c r="B104" i="19" l="1"/>
  <c r="D103" i="19"/>
  <c r="D102" i="20"/>
  <c r="E101" i="20"/>
  <c r="B105" i="19" l="1"/>
  <c r="D104" i="19"/>
  <c r="D103" i="20"/>
  <c r="E102" i="20"/>
  <c r="B106" i="19" l="1"/>
  <c r="D105" i="19"/>
  <c r="D104" i="20"/>
  <c r="E103" i="20"/>
  <c r="B107" i="19" l="1"/>
  <c r="D106" i="19"/>
  <c r="D105" i="20"/>
  <c r="E104" i="20"/>
  <c r="B108" i="19" l="1"/>
  <c r="D107" i="19"/>
  <c r="D106" i="20"/>
  <c r="E105" i="20"/>
  <c r="B109" i="19" l="1"/>
  <c r="D108" i="19"/>
  <c r="D107" i="20"/>
  <c r="E106" i="20"/>
  <c r="B110" i="19" l="1"/>
  <c r="D109" i="19"/>
  <c r="D108" i="20"/>
  <c r="E107" i="20"/>
  <c r="B111" i="19" l="1"/>
  <c r="D110" i="19"/>
  <c r="D109" i="20"/>
  <c r="E108" i="20"/>
  <c r="B112" i="19" l="1"/>
  <c r="D111" i="19"/>
  <c r="D110" i="20"/>
  <c r="E109" i="20"/>
  <c r="B113" i="19" l="1"/>
  <c r="D112" i="19"/>
  <c r="D111" i="20"/>
  <c r="E110" i="20"/>
  <c r="B114" i="19" l="1"/>
  <c r="D113" i="19"/>
  <c r="E111" i="20"/>
  <c r="D112" i="20"/>
  <c r="B115" i="19" l="1"/>
  <c r="D114" i="19"/>
  <c r="D113" i="20"/>
  <c r="E112" i="20"/>
  <c r="B116" i="19" l="1"/>
  <c r="D115" i="19"/>
  <c r="D114" i="20"/>
  <c r="E113" i="20"/>
  <c r="B117" i="19" l="1"/>
  <c r="D116" i="19"/>
  <c r="D115" i="20"/>
  <c r="E114" i="20"/>
  <c r="B118" i="19" l="1"/>
  <c r="D117" i="19"/>
  <c r="D116" i="20"/>
  <c r="E115" i="20"/>
  <c r="B119" i="19" l="1"/>
  <c r="D118" i="19"/>
  <c r="D117" i="20"/>
  <c r="E116" i="20"/>
  <c r="B120" i="19" l="1"/>
  <c r="D119" i="19"/>
  <c r="D118" i="20"/>
  <c r="E117" i="20"/>
  <c r="B121" i="19" l="1"/>
  <c r="D120" i="19"/>
  <c r="D119" i="20"/>
  <c r="E118" i="20"/>
  <c r="B122" i="19" l="1"/>
  <c r="D121" i="19"/>
  <c r="D120" i="20"/>
  <c r="E119" i="20"/>
  <c r="B123" i="19" l="1"/>
  <c r="D122" i="19"/>
  <c r="D121" i="20"/>
  <c r="E120" i="20"/>
  <c r="B124" i="19" l="1"/>
  <c r="D123" i="19"/>
  <c r="D122" i="20"/>
  <c r="E121" i="20"/>
  <c r="B125" i="19" l="1"/>
  <c r="D124" i="19"/>
  <c r="D123" i="20"/>
  <c r="E122" i="20"/>
  <c r="B126" i="19" l="1"/>
  <c r="D125" i="19"/>
  <c r="D124" i="20"/>
  <c r="E123" i="20"/>
  <c r="B127" i="19" l="1"/>
  <c r="D126" i="19"/>
  <c r="D125" i="20"/>
  <c r="E124" i="20"/>
  <c r="B128" i="19" l="1"/>
  <c r="D127" i="19"/>
  <c r="D126" i="20"/>
  <c r="E125" i="20"/>
  <c r="B129" i="19" l="1"/>
  <c r="D128" i="19"/>
  <c r="D127" i="20"/>
  <c r="E126" i="20"/>
  <c r="B130" i="19" l="1"/>
  <c r="D129" i="19"/>
  <c r="D128" i="20"/>
  <c r="E127" i="20"/>
  <c r="B131" i="19" l="1"/>
  <c r="D130" i="19"/>
  <c r="D129" i="20"/>
  <c r="E128" i="20"/>
  <c r="B132" i="19" l="1"/>
  <c r="D131" i="19"/>
  <c r="D130" i="20"/>
  <c r="E129" i="20"/>
  <c r="B133" i="19" l="1"/>
  <c r="D132" i="19"/>
  <c r="D131" i="20"/>
  <c r="E130" i="20"/>
  <c r="B134" i="19" l="1"/>
  <c r="D133" i="19"/>
  <c r="E131" i="20"/>
  <c r="D132" i="20"/>
  <c r="B135" i="19" l="1"/>
  <c r="D134" i="19"/>
  <c r="D133" i="20"/>
  <c r="E132" i="20"/>
  <c r="B136" i="19" l="1"/>
  <c r="D135" i="19"/>
  <c r="D134" i="20"/>
  <c r="E133" i="20"/>
  <c r="B137" i="19" l="1"/>
  <c r="D136" i="19"/>
  <c r="D135" i="20"/>
  <c r="E134" i="20"/>
  <c r="B138" i="19" l="1"/>
  <c r="D137" i="19"/>
  <c r="D136" i="20"/>
  <c r="E135" i="20"/>
  <c r="B139" i="19" l="1"/>
  <c r="D138" i="19"/>
  <c r="D137" i="20"/>
  <c r="E136" i="20"/>
  <c r="B140" i="19" l="1"/>
  <c r="D139" i="19"/>
  <c r="D138" i="20"/>
  <c r="E137" i="20"/>
  <c r="B141" i="19" l="1"/>
  <c r="D140" i="19"/>
  <c r="E138" i="20"/>
  <c r="D139" i="20"/>
  <c r="B142" i="19" l="1"/>
  <c r="D141" i="19"/>
  <c r="D140" i="20"/>
  <c r="E139" i="20"/>
  <c r="B143" i="19" l="1"/>
  <c r="D142" i="19"/>
  <c r="D141" i="20"/>
  <c r="E140" i="20"/>
  <c r="B144" i="19" l="1"/>
  <c r="D143" i="19"/>
  <c r="D142" i="20"/>
  <c r="E141" i="20"/>
  <c r="B145" i="19" l="1"/>
  <c r="D144" i="19"/>
  <c r="D143" i="20"/>
  <c r="E142" i="20"/>
  <c r="B146" i="19" l="1"/>
  <c r="D145" i="19"/>
  <c r="D144" i="20"/>
  <c r="E143" i="20"/>
  <c r="B147" i="19" l="1"/>
  <c r="D146" i="19"/>
  <c r="D145" i="20"/>
  <c r="E144" i="20"/>
  <c r="B148" i="19" l="1"/>
  <c r="D147" i="19"/>
  <c r="E145" i="20"/>
  <c r="D146" i="20"/>
  <c r="B149" i="19" l="1"/>
  <c r="D148" i="19"/>
  <c r="D147" i="20"/>
  <c r="E146" i="20"/>
  <c r="B150" i="19" l="1"/>
  <c r="D149" i="19"/>
  <c r="D148" i="20"/>
  <c r="E147" i="20"/>
  <c r="B151" i="19" l="1"/>
  <c r="D150" i="19"/>
  <c r="D149" i="20"/>
  <c r="E148" i="20"/>
  <c r="B152" i="19" l="1"/>
  <c r="D151" i="19"/>
  <c r="D150" i="20"/>
  <c r="E149" i="20"/>
  <c r="B153" i="19" l="1"/>
  <c r="D152" i="19"/>
  <c r="E150" i="20"/>
  <c r="D151" i="20"/>
  <c r="B154" i="19" l="1"/>
  <c r="D153" i="19"/>
  <c r="D152" i="20"/>
  <c r="E151" i="20"/>
  <c r="B155" i="19" l="1"/>
  <c r="D154" i="19"/>
  <c r="D153" i="20"/>
  <c r="E152" i="20"/>
  <c r="B156" i="19" l="1"/>
  <c r="D155" i="19"/>
  <c r="D154" i="20"/>
  <c r="E153" i="20"/>
  <c r="B157" i="19" l="1"/>
  <c r="D156" i="19"/>
  <c r="D155" i="20"/>
  <c r="E154" i="20"/>
  <c r="B158" i="19" l="1"/>
  <c r="D157" i="19"/>
  <c r="D156" i="20"/>
  <c r="E155" i="20"/>
  <c r="B159" i="19" l="1"/>
  <c r="D158" i="19"/>
  <c r="E156" i="20"/>
  <c r="D157" i="20"/>
  <c r="B160" i="19" l="1"/>
  <c r="D159" i="19"/>
  <c r="D158" i="20"/>
  <c r="E157" i="20"/>
  <c r="B161" i="19" l="1"/>
  <c r="D160" i="19"/>
  <c r="E158" i="20"/>
  <c r="D159" i="20"/>
  <c r="B162" i="19" l="1"/>
  <c r="D161" i="19"/>
  <c r="D160" i="20"/>
  <c r="E159" i="20"/>
  <c r="B163" i="19" l="1"/>
  <c r="D162" i="19"/>
  <c r="D161" i="20"/>
  <c r="E160" i="20"/>
  <c r="B164" i="19" l="1"/>
  <c r="D163" i="19"/>
  <c r="D162" i="20"/>
  <c r="E161" i="20"/>
  <c r="B165" i="19" l="1"/>
  <c r="D164" i="19"/>
  <c r="E162" i="20"/>
  <c r="D163" i="20"/>
  <c r="B166" i="19" l="1"/>
  <c r="D165" i="19"/>
  <c r="D164" i="20"/>
  <c r="E163" i="20"/>
  <c r="B167" i="19" l="1"/>
  <c r="D166" i="19"/>
  <c r="D165" i="20"/>
  <c r="E164" i="20"/>
  <c r="B168" i="19" l="1"/>
  <c r="D167" i="19"/>
  <c r="D166" i="20"/>
  <c r="E165" i="20"/>
  <c r="B169" i="19" l="1"/>
  <c r="D168" i="19"/>
  <c r="D167" i="20"/>
  <c r="E166" i="20"/>
  <c r="B170" i="19" l="1"/>
  <c r="D169" i="19"/>
  <c r="D168" i="20"/>
  <c r="E167" i="20"/>
  <c r="B171" i="19" l="1"/>
  <c r="D170" i="19"/>
  <c r="D169" i="20"/>
  <c r="E168" i="20"/>
  <c r="B172" i="19" l="1"/>
  <c r="D171" i="19"/>
  <c r="D170" i="20"/>
  <c r="E169" i="20"/>
  <c r="B173" i="19" l="1"/>
  <c r="D172" i="19"/>
  <c r="D171" i="20"/>
  <c r="E170" i="20"/>
  <c r="B174" i="19" l="1"/>
  <c r="D173" i="19"/>
  <c r="D172" i="20"/>
  <c r="E171" i="20"/>
  <c r="B175" i="19" l="1"/>
  <c r="D174" i="19"/>
  <c r="D173" i="20"/>
  <c r="E172" i="20"/>
  <c r="B176" i="19" l="1"/>
  <c r="D175" i="19"/>
  <c r="D174" i="20"/>
  <c r="E173" i="20"/>
  <c r="B177" i="19" l="1"/>
  <c r="D176" i="19"/>
  <c r="D175" i="20"/>
  <c r="E174" i="20"/>
  <c r="B178" i="19" l="1"/>
  <c r="D177" i="19"/>
  <c r="D176" i="20"/>
  <c r="E175" i="20"/>
  <c r="B179" i="19" l="1"/>
  <c r="D178" i="19"/>
  <c r="D177" i="20"/>
  <c r="E176" i="20"/>
  <c r="B180" i="19" l="1"/>
  <c r="D179" i="19"/>
  <c r="D178" i="20"/>
  <c r="E177" i="20"/>
  <c r="B181" i="19" l="1"/>
  <c r="D180" i="19"/>
  <c r="D179" i="20"/>
  <c r="E178" i="20"/>
  <c r="B182" i="19" l="1"/>
  <c r="D181" i="19"/>
  <c r="D180" i="20"/>
  <c r="E179" i="20"/>
  <c r="B183" i="19" l="1"/>
  <c r="D182" i="19"/>
  <c r="D181" i="20"/>
  <c r="E180" i="20"/>
  <c r="B184" i="19" l="1"/>
  <c r="D183" i="19"/>
  <c r="D182" i="20"/>
  <c r="E181" i="20"/>
  <c r="B185" i="19" l="1"/>
  <c r="D184" i="19"/>
  <c r="D183" i="20"/>
  <c r="E182" i="20"/>
  <c r="B186" i="19" l="1"/>
  <c r="D185" i="19"/>
  <c r="D184" i="20"/>
  <c r="E183" i="20"/>
  <c r="B187" i="19" l="1"/>
  <c r="D186" i="19"/>
  <c r="D185" i="20"/>
  <c r="E184" i="20"/>
  <c r="B188" i="19" l="1"/>
  <c r="D187" i="19"/>
  <c r="D186" i="20"/>
  <c r="E185" i="20"/>
  <c r="B189" i="19" l="1"/>
  <c r="D188" i="19"/>
  <c r="D187" i="20"/>
  <c r="E186" i="20"/>
  <c r="B190" i="19" l="1"/>
  <c r="D189" i="19"/>
  <c r="D188" i="20"/>
  <c r="E187" i="20"/>
  <c r="B191" i="19" l="1"/>
  <c r="D190" i="19"/>
  <c r="D189" i="20"/>
  <c r="E188" i="20"/>
  <c r="B192" i="19" l="1"/>
  <c r="D191" i="19"/>
  <c r="D190" i="20"/>
  <c r="E189" i="20"/>
  <c r="B193" i="19" l="1"/>
  <c r="D192" i="19"/>
  <c r="D191" i="20"/>
  <c r="E190" i="20"/>
  <c r="B194" i="19" l="1"/>
  <c r="D193" i="19"/>
  <c r="D192" i="20"/>
  <c r="E191" i="20"/>
  <c r="B195" i="19" l="1"/>
  <c r="D194" i="19"/>
  <c r="D193" i="20"/>
  <c r="E192" i="20"/>
  <c r="B196" i="19" l="1"/>
  <c r="D195" i="19"/>
  <c r="D194" i="20"/>
  <c r="E193" i="20"/>
  <c r="B197" i="19" l="1"/>
  <c r="D196" i="19"/>
  <c r="D195" i="20"/>
  <c r="E194" i="20"/>
  <c r="B198" i="19" l="1"/>
  <c r="D197" i="19"/>
  <c r="D196" i="20"/>
  <c r="E195" i="20"/>
  <c r="B199" i="19" l="1"/>
  <c r="D198" i="19"/>
  <c r="D197" i="20"/>
  <c r="E196" i="20"/>
  <c r="B200" i="19" l="1"/>
  <c r="D199" i="19"/>
  <c r="D198" i="20"/>
  <c r="E197" i="20"/>
  <c r="B201" i="19" l="1"/>
  <c r="D200" i="19"/>
  <c r="D199" i="20"/>
  <c r="E198" i="20"/>
  <c r="B202" i="19" l="1"/>
  <c r="D201" i="19"/>
  <c r="D200" i="20"/>
  <c r="E199" i="20"/>
  <c r="B203" i="19" l="1"/>
  <c r="D202" i="19"/>
  <c r="D201" i="20"/>
  <c r="E200" i="20"/>
  <c r="B204" i="19" l="1"/>
  <c r="D203" i="19"/>
  <c r="D202" i="20"/>
  <c r="E201" i="20"/>
  <c r="B205" i="19" l="1"/>
  <c r="D204" i="19"/>
  <c r="D203" i="20"/>
  <c r="E202" i="20"/>
  <c r="B206" i="19" l="1"/>
  <c r="D205" i="19"/>
  <c r="D204" i="20"/>
  <c r="E203" i="20"/>
  <c r="B207" i="19" l="1"/>
  <c r="D206" i="19"/>
  <c r="D205" i="20"/>
  <c r="E204" i="20"/>
  <c r="B208" i="19" l="1"/>
  <c r="D207" i="19"/>
  <c r="D206" i="20"/>
  <c r="E205" i="20"/>
  <c r="B209" i="19" l="1"/>
  <c r="D208" i="19"/>
  <c r="D207" i="20"/>
  <c r="E206" i="20"/>
  <c r="B210" i="19" l="1"/>
  <c r="D209" i="19"/>
  <c r="E207" i="20"/>
  <c r="D208" i="20"/>
  <c r="B211" i="19" l="1"/>
  <c r="D210" i="19"/>
  <c r="D209" i="20"/>
  <c r="E208" i="20"/>
  <c r="B212" i="19" l="1"/>
  <c r="D211" i="19"/>
  <c r="D210" i="20"/>
  <c r="E209" i="20"/>
  <c r="B213" i="19" l="1"/>
  <c r="D212" i="19"/>
  <c r="D211" i="20"/>
  <c r="E210" i="20"/>
  <c r="B214" i="19" l="1"/>
  <c r="D213" i="19"/>
  <c r="D212" i="20"/>
  <c r="E211" i="20"/>
  <c r="B215" i="19" l="1"/>
  <c r="D214" i="19"/>
  <c r="D213" i="20"/>
  <c r="E212" i="20"/>
  <c r="B216" i="19" l="1"/>
  <c r="D215" i="19"/>
  <c r="D214" i="20"/>
  <c r="E213" i="20"/>
  <c r="B217" i="19" l="1"/>
  <c r="D216" i="19"/>
  <c r="D215" i="20"/>
  <c r="E214" i="20"/>
  <c r="B218" i="19" l="1"/>
  <c r="D217" i="19"/>
  <c r="D216" i="20"/>
  <c r="E215" i="20"/>
  <c r="B219" i="19" l="1"/>
  <c r="D218" i="19"/>
  <c r="D217" i="20"/>
  <c r="E216" i="20"/>
  <c r="B220" i="19" l="1"/>
  <c r="D219" i="19"/>
  <c r="D218" i="20"/>
  <c r="E217" i="20"/>
  <c r="B221" i="19" l="1"/>
  <c r="D220" i="19"/>
  <c r="D219" i="20"/>
  <c r="E218" i="20"/>
  <c r="B222" i="19" l="1"/>
  <c r="D221" i="19"/>
  <c r="D220" i="20"/>
  <c r="E219" i="20"/>
  <c r="B223" i="19" l="1"/>
  <c r="D222" i="19"/>
  <c r="D221" i="20"/>
  <c r="E220" i="20"/>
  <c r="B224" i="19" l="1"/>
  <c r="D223" i="19"/>
  <c r="D222" i="20"/>
  <c r="E221" i="20"/>
  <c r="B225" i="19" l="1"/>
  <c r="D224" i="19"/>
  <c r="D223" i="20"/>
  <c r="E222" i="20"/>
  <c r="B226" i="19" l="1"/>
  <c r="D225" i="19"/>
  <c r="D224" i="20"/>
  <c r="E223" i="20"/>
  <c r="B227" i="19" l="1"/>
  <c r="D226" i="19"/>
  <c r="D225" i="20"/>
  <c r="E224" i="20"/>
  <c r="B228" i="19" l="1"/>
  <c r="D227" i="19"/>
  <c r="D226" i="20"/>
  <c r="E225" i="20"/>
  <c r="B229" i="19" l="1"/>
  <c r="D228" i="19"/>
  <c r="D227" i="20"/>
  <c r="E226" i="20"/>
  <c r="B230" i="19" l="1"/>
  <c r="D229" i="19"/>
  <c r="D228" i="20"/>
  <c r="E227" i="20"/>
  <c r="B231" i="19" l="1"/>
  <c r="D230" i="19"/>
  <c r="D229" i="20"/>
  <c r="E228" i="20"/>
  <c r="B232" i="19" l="1"/>
  <c r="D231" i="19"/>
  <c r="D230" i="20"/>
  <c r="E229" i="20"/>
  <c r="B233" i="19" l="1"/>
  <c r="D232" i="19"/>
  <c r="D231" i="20"/>
  <c r="E230" i="20"/>
  <c r="B234" i="19" l="1"/>
  <c r="D233" i="19"/>
  <c r="D232" i="20"/>
  <c r="E231" i="20"/>
  <c r="B235" i="19" l="1"/>
  <c r="D234" i="19"/>
  <c r="D233" i="20"/>
  <c r="E232" i="20"/>
  <c r="B236" i="19" l="1"/>
  <c r="D235" i="19"/>
  <c r="D234" i="20"/>
  <c r="E233" i="20"/>
  <c r="B237" i="19" l="1"/>
  <c r="D236" i="19"/>
  <c r="D235" i="20"/>
  <c r="E234" i="20"/>
  <c r="B238" i="19" l="1"/>
  <c r="D237" i="19"/>
  <c r="D236" i="20"/>
  <c r="E235" i="20"/>
  <c r="B239" i="19" l="1"/>
  <c r="D238" i="19"/>
  <c r="D237" i="20"/>
  <c r="E236" i="20"/>
  <c r="B240" i="19" l="1"/>
  <c r="D239" i="19"/>
  <c r="E237" i="20"/>
  <c r="D238" i="20"/>
  <c r="B241" i="19" l="1"/>
  <c r="D240" i="19"/>
  <c r="D239" i="20"/>
  <c r="E238" i="20"/>
  <c r="B242" i="19" l="1"/>
  <c r="D241" i="19"/>
  <c r="D240" i="20"/>
  <c r="E239" i="20"/>
  <c r="B243" i="19" l="1"/>
  <c r="D242" i="19"/>
  <c r="D241" i="20"/>
  <c r="E240" i="20"/>
  <c r="B244" i="19" l="1"/>
  <c r="D243" i="19"/>
  <c r="D242" i="20"/>
  <c r="E241" i="20"/>
  <c r="B245" i="19" l="1"/>
  <c r="D244" i="19"/>
  <c r="D243" i="20"/>
  <c r="E242" i="20"/>
  <c r="B246" i="19" l="1"/>
  <c r="D245" i="19"/>
  <c r="D244" i="20"/>
  <c r="E243" i="20"/>
  <c r="B247" i="19" l="1"/>
  <c r="D246" i="19"/>
  <c r="D245" i="20"/>
  <c r="E244" i="20"/>
  <c r="B248" i="19" l="1"/>
  <c r="D247" i="19"/>
  <c r="D246" i="20"/>
  <c r="E245" i="20"/>
  <c r="B249" i="19" l="1"/>
  <c r="D248" i="19"/>
  <c r="D247" i="20"/>
  <c r="E246" i="20"/>
  <c r="B250" i="19" l="1"/>
  <c r="D249" i="19"/>
  <c r="D248" i="20"/>
  <c r="E247" i="20"/>
  <c r="B251" i="19" l="1"/>
  <c r="D250" i="19"/>
  <c r="D249" i="20"/>
  <c r="E248" i="20"/>
  <c r="B252" i="19" l="1"/>
  <c r="D251" i="19"/>
  <c r="D250" i="20"/>
  <c r="E249" i="20"/>
  <c r="B253" i="19" l="1"/>
  <c r="D252" i="19"/>
  <c r="D251" i="20"/>
  <c r="E250" i="20"/>
  <c r="B254" i="19" l="1"/>
  <c r="D253" i="19"/>
  <c r="D252" i="20"/>
  <c r="E251" i="20"/>
  <c r="B255" i="19" l="1"/>
  <c r="D254" i="19"/>
  <c r="D253" i="20"/>
  <c r="E252" i="20"/>
  <c r="B256" i="19" l="1"/>
  <c r="D255" i="19"/>
  <c r="D254" i="20"/>
  <c r="E253" i="20"/>
  <c r="B257" i="19" l="1"/>
  <c r="D256" i="19"/>
  <c r="D255" i="20"/>
  <c r="E254" i="20"/>
  <c r="B258" i="19" l="1"/>
  <c r="D257" i="19"/>
  <c r="E255" i="20"/>
  <c r="D256" i="20"/>
  <c r="B259" i="19" l="1"/>
  <c r="D258" i="19"/>
  <c r="D257" i="20"/>
  <c r="E256" i="20"/>
  <c r="B260" i="19" l="1"/>
  <c r="D259" i="19"/>
  <c r="E257" i="20"/>
  <c r="D258" i="20"/>
  <c r="B261" i="19" l="1"/>
  <c r="D260" i="19"/>
  <c r="D259" i="20"/>
  <c r="E258" i="20"/>
  <c r="B262" i="19" l="1"/>
  <c r="D261" i="19"/>
  <c r="D260" i="20"/>
  <c r="E259" i="20"/>
  <c r="B263" i="19" l="1"/>
  <c r="D262" i="19"/>
  <c r="D261" i="20"/>
  <c r="E260" i="20"/>
  <c r="B264" i="19" l="1"/>
  <c r="D263" i="19"/>
  <c r="D262" i="20"/>
  <c r="E261" i="20"/>
  <c r="B265" i="19" l="1"/>
  <c r="D264" i="19"/>
  <c r="D263" i="20"/>
  <c r="E262" i="20"/>
  <c r="B266" i="19" l="1"/>
  <c r="D265" i="19"/>
  <c r="D264" i="20"/>
  <c r="E263" i="20"/>
  <c r="B267" i="19" l="1"/>
  <c r="D266" i="19"/>
  <c r="D265" i="20"/>
  <c r="E264" i="20"/>
  <c r="B268" i="19" l="1"/>
  <c r="D267" i="19"/>
  <c r="D266" i="20"/>
  <c r="E265" i="20"/>
  <c r="B269" i="19" l="1"/>
  <c r="D268" i="19"/>
  <c r="D267" i="20"/>
  <c r="E266" i="20"/>
  <c r="B270" i="19" l="1"/>
  <c r="D269" i="19"/>
  <c r="D268" i="20"/>
  <c r="E267" i="20"/>
  <c r="B271" i="19" l="1"/>
  <c r="D270" i="19"/>
  <c r="D269" i="20"/>
  <c r="E268" i="20"/>
  <c r="B272" i="19" l="1"/>
  <c r="D271" i="19"/>
  <c r="D270" i="20"/>
  <c r="E269" i="20"/>
  <c r="B273" i="19" l="1"/>
  <c r="D272" i="19"/>
  <c r="D271" i="20"/>
  <c r="E270" i="20"/>
  <c r="B274" i="19" l="1"/>
  <c r="D273" i="19"/>
  <c r="D272" i="20"/>
  <c r="E271" i="20"/>
  <c r="B275" i="19" l="1"/>
  <c r="D274" i="19"/>
  <c r="D273" i="20"/>
  <c r="E272" i="20"/>
  <c r="B276" i="19" l="1"/>
  <c r="D275" i="19"/>
  <c r="D274" i="20"/>
  <c r="E273" i="20"/>
  <c r="B277" i="19" l="1"/>
  <c r="D276" i="19"/>
  <c r="D275" i="20"/>
  <c r="E274" i="20"/>
  <c r="B278" i="19" l="1"/>
  <c r="D277" i="19"/>
  <c r="D276" i="20"/>
  <c r="E275" i="20"/>
  <c r="B279" i="19" l="1"/>
  <c r="D278" i="19"/>
  <c r="D277" i="20"/>
  <c r="E276" i="20"/>
  <c r="B280" i="19" l="1"/>
  <c r="D279" i="19"/>
  <c r="D278" i="20"/>
  <c r="E277" i="20"/>
  <c r="B281" i="19" l="1"/>
  <c r="D280" i="19"/>
  <c r="D279" i="20"/>
  <c r="E278" i="20"/>
  <c r="B282" i="19" l="1"/>
  <c r="D281" i="19"/>
  <c r="D280" i="20"/>
  <c r="E279" i="20"/>
  <c r="B283" i="19" l="1"/>
  <c r="D282" i="19"/>
  <c r="D281" i="20"/>
  <c r="E280" i="20"/>
  <c r="B284" i="19" l="1"/>
  <c r="D283" i="19"/>
  <c r="D282" i="20"/>
  <c r="E281" i="20"/>
  <c r="B285" i="19" l="1"/>
  <c r="D284" i="19"/>
  <c r="D283" i="20"/>
  <c r="E282" i="20"/>
  <c r="B286" i="19" l="1"/>
  <c r="D285" i="19"/>
  <c r="D284" i="20"/>
  <c r="E283" i="20"/>
  <c r="B287" i="19" l="1"/>
  <c r="D286" i="19"/>
  <c r="D285" i="20"/>
  <c r="E284" i="20"/>
  <c r="B288" i="19" l="1"/>
  <c r="D287" i="19"/>
  <c r="D286" i="20"/>
  <c r="E285" i="20"/>
  <c r="B289" i="19" l="1"/>
  <c r="D288" i="19"/>
  <c r="D287" i="20"/>
  <c r="E286" i="20"/>
  <c r="B290" i="19" l="1"/>
  <c r="D289" i="19"/>
  <c r="D288" i="20"/>
  <c r="E287" i="20"/>
  <c r="B291" i="19" l="1"/>
  <c r="D290" i="19"/>
  <c r="D289" i="20"/>
  <c r="E288" i="20"/>
  <c r="B292" i="19" l="1"/>
  <c r="D291" i="19"/>
  <c r="D290" i="20"/>
  <c r="E289" i="20"/>
  <c r="B293" i="19" l="1"/>
  <c r="D292" i="19"/>
  <c r="D291" i="20"/>
  <c r="E290" i="20"/>
  <c r="B294" i="19" l="1"/>
  <c r="D293" i="19"/>
  <c r="D292" i="20"/>
  <c r="E291" i="20"/>
  <c r="B295" i="19" l="1"/>
  <c r="D294" i="19"/>
  <c r="D293" i="20"/>
  <c r="E292" i="20"/>
  <c r="B296" i="19" l="1"/>
  <c r="D295" i="19"/>
  <c r="D294" i="20"/>
  <c r="E293" i="20"/>
  <c r="B297" i="19" l="1"/>
  <c r="D296" i="19"/>
  <c r="D295" i="20"/>
  <c r="E294" i="20"/>
  <c r="B298" i="19" l="1"/>
  <c r="D297" i="19"/>
  <c r="D296" i="20"/>
  <c r="E295" i="20"/>
  <c r="B299" i="19" l="1"/>
  <c r="D298" i="19"/>
  <c r="D297" i="20"/>
  <c r="E296" i="20"/>
  <c r="B300" i="19" l="1"/>
  <c r="D299" i="19"/>
  <c r="D298" i="20"/>
  <c r="E297" i="20"/>
  <c r="B301" i="19" l="1"/>
  <c r="D300" i="19"/>
  <c r="D299" i="20"/>
  <c r="E298" i="20"/>
  <c r="B302" i="19" l="1"/>
  <c r="D301" i="19"/>
  <c r="D300" i="20"/>
  <c r="E299" i="20"/>
  <c r="B303" i="19" l="1"/>
  <c r="D302" i="19"/>
  <c r="E300" i="20"/>
  <c r="D301" i="20"/>
  <c r="B304" i="19" l="1"/>
  <c r="D303" i="19"/>
  <c r="D302" i="20"/>
  <c r="E301" i="20"/>
  <c r="B305" i="19" l="1"/>
  <c r="D304" i="19"/>
  <c r="D303" i="20"/>
  <c r="E302" i="20"/>
  <c r="B306" i="19" l="1"/>
  <c r="D305" i="19"/>
  <c r="D304" i="20"/>
  <c r="E303" i="20"/>
  <c r="B307" i="19" l="1"/>
  <c r="D306" i="19"/>
  <c r="D305" i="20"/>
  <c r="E304" i="20"/>
  <c r="B308" i="19" l="1"/>
  <c r="D307" i="19"/>
  <c r="D306" i="20"/>
  <c r="E305" i="20"/>
  <c r="B309" i="19" l="1"/>
  <c r="D308" i="19"/>
  <c r="D307" i="20"/>
  <c r="E306" i="20"/>
  <c r="B310" i="19" l="1"/>
  <c r="D309" i="19"/>
  <c r="D308" i="20"/>
  <c r="E307" i="20"/>
  <c r="B311" i="19" l="1"/>
  <c r="D310" i="19"/>
  <c r="D309" i="20"/>
  <c r="E308" i="20"/>
  <c r="B312" i="19" l="1"/>
  <c r="D311" i="19"/>
  <c r="D310" i="20"/>
  <c r="E309" i="20"/>
  <c r="B313" i="19" l="1"/>
  <c r="D312" i="19"/>
  <c r="D311" i="20"/>
  <c r="E310" i="20"/>
  <c r="B314" i="19" l="1"/>
  <c r="D313" i="19"/>
  <c r="D312" i="20"/>
  <c r="E311" i="20"/>
  <c r="B315" i="19" l="1"/>
  <c r="D314" i="19"/>
  <c r="D313" i="20"/>
  <c r="E312" i="20"/>
  <c r="B316" i="19" l="1"/>
  <c r="D315" i="19"/>
  <c r="D314" i="20"/>
  <c r="E313" i="20"/>
  <c r="B317" i="19" l="1"/>
  <c r="D316" i="19"/>
  <c r="D315" i="20"/>
  <c r="E314" i="20"/>
  <c r="B318" i="19" l="1"/>
  <c r="D317" i="19"/>
  <c r="D316" i="20"/>
  <c r="E315" i="20"/>
  <c r="B319" i="19" l="1"/>
  <c r="D318" i="19"/>
  <c r="D317" i="20"/>
  <c r="E316" i="20"/>
  <c r="B320" i="19" l="1"/>
  <c r="D319" i="19"/>
  <c r="E317" i="20"/>
  <c r="D318" i="20"/>
  <c r="B321" i="19" l="1"/>
  <c r="D320" i="19"/>
  <c r="E318" i="20"/>
  <c r="D319" i="20"/>
  <c r="B322" i="19" l="1"/>
  <c r="D321" i="19"/>
  <c r="D320" i="20"/>
  <c r="E319" i="20"/>
  <c r="B323" i="19" l="1"/>
  <c r="D322" i="19"/>
  <c r="D321" i="20"/>
  <c r="E320" i="20"/>
  <c r="B324" i="19" l="1"/>
  <c r="D323" i="19"/>
  <c r="D322" i="20"/>
  <c r="E321" i="20"/>
  <c r="B325" i="19" l="1"/>
  <c r="D324" i="19"/>
  <c r="D323" i="20"/>
  <c r="E322" i="20"/>
  <c r="B326" i="19" l="1"/>
  <c r="D325" i="19"/>
  <c r="D324" i="20"/>
  <c r="E323" i="20"/>
  <c r="B327" i="19" l="1"/>
  <c r="D326" i="19"/>
  <c r="D325" i="20"/>
  <c r="E324" i="20"/>
  <c r="B328" i="19" l="1"/>
  <c r="D327" i="19"/>
  <c r="D326" i="20"/>
  <c r="E325" i="20"/>
  <c r="B329" i="19" l="1"/>
  <c r="D328" i="19"/>
  <c r="D327" i="20"/>
  <c r="E326" i="20"/>
  <c r="B330" i="19" l="1"/>
  <c r="D329" i="19"/>
  <c r="D328" i="20"/>
  <c r="E327" i="20"/>
  <c r="B331" i="19" l="1"/>
  <c r="D330" i="19"/>
  <c r="D329" i="20"/>
  <c r="E328" i="20"/>
  <c r="B332" i="19" l="1"/>
  <c r="D331" i="19"/>
  <c r="D330" i="20"/>
  <c r="E329" i="20"/>
  <c r="B333" i="19" l="1"/>
  <c r="D332" i="19"/>
  <c r="D331" i="20"/>
  <c r="E330" i="20"/>
  <c r="B334" i="19" l="1"/>
  <c r="D333" i="19"/>
  <c r="D332" i="20"/>
  <c r="E331" i="20"/>
  <c r="B335" i="19" l="1"/>
  <c r="D334" i="19"/>
  <c r="D333" i="20"/>
  <c r="E332" i="20"/>
  <c r="B336" i="19" l="1"/>
  <c r="D335" i="19"/>
  <c r="D334" i="20"/>
  <c r="E333" i="20"/>
  <c r="B337" i="19" l="1"/>
  <c r="D336" i="19"/>
  <c r="D335" i="20"/>
  <c r="E334" i="20"/>
  <c r="B338" i="19" l="1"/>
  <c r="D337" i="19"/>
  <c r="D336" i="20"/>
  <c r="E335" i="20"/>
  <c r="B339" i="19" l="1"/>
  <c r="D338" i="19"/>
  <c r="D337" i="20"/>
  <c r="E336" i="20"/>
  <c r="B340" i="19" l="1"/>
  <c r="D339" i="19"/>
  <c r="E337" i="20"/>
  <c r="D338" i="20"/>
  <c r="B341" i="19" l="1"/>
  <c r="D340" i="19"/>
  <c r="D339" i="20"/>
  <c r="E338" i="20"/>
  <c r="B342" i="19" l="1"/>
  <c r="D341" i="19"/>
  <c r="D340" i="20"/>
  <c r="E339" i="20"/>
  <c r="B343" i="19" l="1"/>
  <c r="D342" i="19"/>
  <c r="D341" i="20"/>
  <c r="E340" i="20"/>
  <c r="B344" i="19" l="1"/>
  <c r="D343" i="19"/>
  <c r="D342" i="20"/>
  <c r="E341" i="20"/>
  <c r="B345" i="19" l="1"/>
  <c r="D344" i="19"/>
  <c r="D343" i="20"/>
  <c r="E342" i="20"/>
  <c r="B346" i="19" l="1"/>
  <c r="D345" i="19"/>
  <c r="D344" i="20"/>
  <c r="E343" i="20"/>
  <c r="B347" i="19" l="1"/>
  <c r="D346" i="19"/>
  <c r="D345" i="20"/>
  <c r="E344" i="20"/>
  <c r="B348" i="19" l="1"/>
  <c r="D347" i="19"/>
  <c r="D346" i="20"/>
  <c r="E345" i="20"/>
  <c r="B349" i="19" l="1"/>
  <c r="D348" i="19"/>
  <c r="D347" i="20"/>
  <c r="E346" i="20"/>
  <c r="B350" i="19" l="1"/>
  <c r="D349" i="19"/>
  <c r="E347" i="20"/>
  <c r="D348" i="20"/>
  <c r="B351" i="19" l="1"/>
  <c r="D350" i="19"/>
  <c r="D349" i="20"/>
  <c r="E348" i="20"/>
  <c r="B352" i="19" l="1"/>
  <c r="D351" i="19"/>
  <c r="D350" i="20"/>
  <c r="E349" i="20"/>
  <c r="B353" i="19" l="1"/>
  <c r="D352" i="19"/>
  <c r="D351" i="20"/>
  <c r="E350" i="20"/>
  <c r="B354" i="19" l="1"/>
  <c r="D353" i="19"/>
  <c r="E351" i="20"/>
  <c r="D352" i="20"/>
  <c r="B355" i="19" l="1"/>
  <c r="D354" i="19"/>
  <c r="E352" i="20"/>
  <c r="D353" i="20"/>
  <c r="B356" i="19" l="1"/>
  <c r="D355" i="19"/>
  <c r="D354" i="20"/>
  <c r="E353" i="20"/>
  <c r="B357" i="19" l="1"/>
  <c r="D356" i="19"/>
  <c r="D355" i="20"/>
  <c r="E354" i="20"/>
  <c r="B358" i="19" l="1"/>
  <c r="D357" i="19"/>
  <c r="E355" i="20"/>
  <c r="D356" i="20"/>
  <c r="B359" i="19" l="1"/>
  <c r="D358" i="19"/>
  <c r="D357" i="20"/>
  <c r="E356" i="20"/>
  <c r="B360" i="19" l="1"/>
  <c r="D359" i="19"/>
  <c r="D358" i="20"/>
  <c r="E357" i="20"/>
  <c r="B361" i="19" l="1"/>
  <c r="D360" i="19"/>
  <c r="D359" i="20"/>
  <c r="E358" i="20"/>
  <c r="B362" i="19" l="1"/>
  <c r="D361" i="19"/>
  <c r="D360" i="20"/>
  <c r="E359" i="20"/>
  <c r="B363" i="19" l="1"/>
  <c r="D362" i="19"/>
  <c r="D361" i="20"/>
  <c r="E360" i="20"/>
  <c r="B364" i="19" l="1"/>
  <c r="D363" i="19"/>
  <c r="D362" i="20"/>
  <c r="E361" i="20"/>
  <c r="B365" i="19" l="1"/>
  <c r="D364" i="19"/>
  <c r="D363" i="20"/>
  <c r="E362" i="20"/>
  <c r="B366" i="19" l="1"/>
  <c r="D365" i="19"/>
  <c r="D364" i="20"/>
  <c r="E363" i="20"/>
  <c r="B367" i="19" l="1"/>
  <c r="D366" i="19"/>
  <c r="D365" i="20"/>
  <c r="E364" i="20"/>
  <c r="B368" i="19" l="1"/>
  <c r="D367" i="19"/>
  <c r="D366" i="20"/>
  <c r="E365" i="20"/>
  <c r="B369" i="19" l="1"/>
  <c r="D368" i="19"/>
  <c r="D367" i="20"/>
  <c r="E366" i="20"/>
  <c r="B370" i="19" l="1"/>
  <c r="D369" i="19"/>
  <c r="D368" i="20"/>
  <c r="E367" i="20"/>
  <c r="B371" i="19" l="1"/>
  <c r="D370" i="19"/>
  <c r="D369" i="20"/>
  <c r="E368" i="20"/>
  <c r="B372" i="19" l="1"/>
  <c r="D371" i="19"/>
  <c r="D370" i="20"/>
  <c r="E369" i="20"/>
  <c r="B373" i="19" l="1"/>
  <c r="D372" i="19"/>
  <c r="D371" i="20"/>
  <c r="E370" i="20"/>
  <c r="B374" i="19" l="1"/>
  <c r="D373" i="19"/>
  <c r="D372" i="20"/>
  <c r="E371" i="20"/>
  <c r="B375" i="19" l="1"/>
  <c r="D374" i="19"/>
  <c r="D373" i="20"/>
  <c r="E372" i="20"/>
  <c r="B376" i="19" l="1"/>
  <c r="D375" i="19"/>
  <c r="D374" i="20"/>
  <c r="E373" i="20"/>
  <c r="B377" i="19" l="1"/>
  <c r="D376" i="19"/>
  <c r="D375" i="20"/>
  <c r="E374" i="20"/>
  <c r="B378" i="19" l="1"/>
  <c r="D377" i="19"/>
  <c r="D376" i="20"/>
  <c r="E375" i="20"/>
  <c r="B379" i="19" l="1"/>
  <c r="D378" i="19"/>
  <c r="D377" i="20"/>
  <c r="E376" i="20"/>
  <c r="B380" i="19" l="1"/>
  <c r="D379" i="19"/>
  <c r="D378" i="20"/>
  <c r="E377" i="20"/>
  <c r="B381" i="19" l="1"/>
  <c r="D380" i="19"/>
  <c r="D379" i="20"/>
  <c r="E378" i="20"/>
  <c r="B382" i="19" l="1"/>
  <c r="D381" i="19"/>
  <c r="D380" i="20"/>
  <c r="E379" i="20"/>
  <c r="B383" i="19" l="1"/>
  <c r="D382" i="19"/>
  <c r="D381" i="20"/>
  <c r="E380" i="20"/>
  <c r="B384" i="19" l="1"/>
  <c r="D383" i="19"/>
  <c r="D382" i="20"/>
  <c r="E381" i="20"/>
  <c r="B385" i="19" l="1"/>
  <c r="D384" i="19"/>
  <c r="D383" i="20"/>
  <c r="E382" i="20"/>
  <c r="B386" i="19" l="1"/>
  <c r="D385" i="19"/>
  <c r="D384" i="20"/>
  <c r="E383" i="20"/>
  <c r="B387" i="19" l="1"/>
  <c r="D386" i="19"/>
  <c r="D385" i="20"/>
  <c r="E384" i="20"/>
  <c r="B388" i="19" l="1"/>
  <c r="D387" i="19"/>
  <c r="D386" i="20"/>
  <c r="E385" i="20"/>
  <c r="D388" i="19" l="1"/>
  <c r="D387" i="20"/>
  <c r="E386" i="20"/>
  <c r="D388" i="20" l="1"/>
  <c r="E388" i="20" s="1"/>
  <c r="E387" i="20"/>
</calcChain>
</file>

<file path=xl/comments1.xml><?xml version="1.0" encoding="utf-8"?>
<comments xmlns="http://schemas.openxmlformats.org/spreadsheetml/2006/main">
  <authors>
    <author/>
  </authors>
  <commentList>
    <comment ref="A1" authorId="0" shapeId="0">
      <text>
        <r>
          <rPr>
            <sz val="10"/>
            <color rgb="FF000000"/>
            <rFont val="Arial"/>
            <family val="2"/>
            <scheme val="minor"/>
          </rPr>
          <t>Incluye todo
1  mes de contabilidad
	-Alvaro Herrera
----
Promoción 6x
	-Alvaro Herrera
----
Promoción 12 x
	-Alvaro Herrera
----
Promoción 2x
	-Alvaro Herrera</t>
        </r>
      </text>
    </comment>
    <comment ref="G1279" authorId="0" shapeId="0">
      <text>
        <r>
          <rPr>
            <sz val="10"/>
            <color rgb="FF000000"/>
            <rFont val="Arial"/>
            <family val="2"/>
            <scheme val="minor"/>
          </rPr>
          <t>Es la toalla de 100mts pero naranja que vale 3200
	-Claudia Alejandra Herrera</t>
        </r>
      </text>
    </comment>
    <comment ref="J1612" authorId="0" shapeId="0">
      <text>
        <r>
          <rPr>
            <sz val="10"/>
            <color rgb="FF000000"/>
            <rFont val="Arial"/>
            <family val="2"/>
            <scheme val="minor"/>
          </rPr>
          <t>Abono $15.000
	-Alvaro Herrera</t>
        </r>
      </text>
    </comment>
    <comment ref="J1724" authorId="0" shapeId="0">
      <text>
        <r>
          <rPr>
            <sz val="10"/>
            <color rgb="FF000000"/>
            <rFont val="Arial"/>
            <family val="2"/>
            <scheme val="minor"/>
          </rPr>
          <t>Debe $1.000
	-Alvaro Herrera</t>
        </r>
      </text>
    </comment>
    <comment ref="J2579" authorId="0" shapeId="0">
      <text>
        <r>
          <rPr>
            <sz val="10"/>
            <color rgb="FF000000"/>
            <rFont val="Arial"/>
            <family val="2"/>
            <scheme val="minor"/>
          </rPr>
          <t>son $8.000 el queso
	-Alvaro Herrera</t>
        </r>
      </text>
    </comment>
    <comment ref="J2770" authorId="0" shapeId="0">
      <text>
        <r>
          <rPr>
            <sz val="10"/>
            <color rgb="FF000000"/>
            <rFont val="Arial"/>
            <family val="2"/>
            <scheme val="minor"/>
          </rPr>
          <t>Abono $20.400
	-Alvaro Herrera</t>
        </r>
      </text>
    </comment>
    <comment ref="H2829" authorId="0" shapeId="0">
      <text>
        <r>
          <rPr>
            <sz val="10"/>
            <color rgb="FF000000"/>
            <rFont val="Arial"/>
            <family val="2"/>
            <scheme val="minor"/>
          </rPr>
          <t>Quedaron a favor $2.400
	-Alvaro Herrera</t>
        </r>
      </text>
    </comment>
    <comment ref="J2860" authorId="0" shapeId="0">
      <text>
        <r>
          <rPr>
            <sz val="10"/>
            <color rgb="FF000000"/>
            <rFont val="Arial"/>
            <family val="2"/>
            <scheme val="minor"/>
          </rPr>
          <t>Hay una diferencia de $4.090 ya que se realizó un deposito por $52.480)
	-Alvaro Herrera</t>
        </r>
      </text>
    </comment>
    <comment ref="I3483" authorId="0" shapeId="0">
      <text>
        <r>
          <rPr>
            <sz val="10"/>
            <color rgb="FF000000"/>
            <rFont val="Arial"/>
            <family val="2"/>
            <scheme val="minor"/>
          </rPr>
          <t>Abono $10.000
	-Alvaro Herrera</t>
        </r>
      </text>
    </comment>
  </commentList>
</comments>
</file>

<file path=xl/comments2.xml><?xml version="1.0" encoding="utf-8"?>
<comments xmlns="http://schemas.openxmlformats.org/spreadsheetml/2006/main">
  <authors>
    <author/>
  </authors>
  <commentList>
    <comment ref="B6" authorId="0" shapeId="0">
      <text>
        <r>
          <rPr>
            <sz val="10"/>
            <color rgb="FF000000"/>
            <rFont val="Arial"/>
            <family val="2"/>
            <scheme val="minor"/>
          </rPr>
          <t>Paulina $300.000
	-Alvaro Herrera</t>
        </r>
      </text>
    </comment>
  </commentList>
</comments>
</file>

<file path=xl/sharedStrings.xml><?xml version="1.0" encoding="utf-8"?>
<sst xmlns="http://schemas.openxmlformats.org/spreadsheetml/2006/main" count="64377" uniqueCount="2443">
  <si>
    <t>Negocio</t>
  </si>
  <si>
    <t>Vendedor</t>
  </si>
  <si>
    <t>Fecha Venta</t>
  </si>
  <si>
    <t>Cliente(a)</t>
  </si>
  <si>
    <t>Lista Producto</t>
  </si>
  <si>
    <t>Cantidad</t>
  </si>
  <si>
    <t>Precio Venta</t>
  </si>
  <si>
    <t>Total</t>
  </si>
  <si>
    <t>Status Entrega</t>
  </si>
  <si>
    <t>Status Pago</t>
  </si>
  <si>
    <t>Tipo Documento</t>
  </si>
  <si>
    <t>Número Documento</t>
  </si>
  <si>
    <t>Precio Neto</t>
  </si>
  <si>
    <t>Total Venta Neto</t>
  </si>
  <si>
    <t>Iva</t>
  </si>
  <si>
    <t>Observacion</t>
  </si>
  <si>
    <t>Año</t>
  </si>
  <si>
    <t>Periodo</t>
  </si>
  <si>
    <t>Producto Real</t>
  </si>
  <si>
    <t>Peso Real</t>
  </si>
  <si>
    <t xml:space="preserve"> </t>
  </si>
  <si>
    <t>Utilidad Bruta</t>
  </si>
  <si>
    <t>Utilidad Neta</t>
  </si>
  <si>
    <t>Comision</t>
  </si>
  <si>
    <t>Semana</t>
  </si>
  <si>
    <t>Dia Venta</t>
  </si>
  <si>
    <t>Clasificacion Cliente</t>
  </si>
  <si>
    <t>Tipo Cliente</t>
  </si>
  <si>
    <t>Sector Cliente</t>
  </si>
  <si>
    <t>Comision Pagada</t>
  </si>
  <si>
    <t>Medio Pago Comision</t>
  </si>
  <si>
    <t>Inventario</t>
  </si>
  <si>
    <t>Mes</t>
  </si>
  <si>
    <t>Tipo Registro</t>
  </si>
  <si>
    <t>Producto</t>
  </si>
  <si>
    <t>Quesos</t>
  </si>
  <si>
    <t>Alvaro Herrera</t>
  </si>
  <si>
    <t>Queso Mantecoso / 1000 gramos</t>
  </si>
  <si>
    <t>Pendiente</t>
  </si>
  <si>
    <t>|</t>
  </si>
  <si>
    <t>Si</t>
  </si>
  <si>
    <t>Ventas</t>
  </si>
  <si>
    <t>Fresia Denebola 1064</t>
  </si>
  <si>
    <t>Huevos</t>
  </si>
  <si>
    <t>Carolina Aros</t>
  </si>
  <si>
    <t>HUEVOS EXTRA 30 Huevos</t>
  </si>
  <si>
    <t>Queso Mantecoso / 500 gramos</t>
  </si>
  <si>
    <t>Articulos de Aseo</t>
  </si>
  <si>
    <t>5 Esponja Escalonada</t>
  </si>
  <si>
    <t>Pack 3 Jabon  Ballerina - 750 ml</t>
  </si>
  <si>
    <t>Licores</t>
  </si>
  <si>
    <t>Hielo 1 Kilo</t>
  </si>
  <si>
    <t>Entregado</t>
  </si>
  <si>
    <t>Papeleria</t>
  </si>
  <si>
    <t>Juan Carlos Perez</t>
  </si>
  <si>
    <t xml:space="preserve">OFERTA Papel Higiénico ELITE 32 rollos </t>
  </si>
  <si>
    <t>Derivados</t>
  </si>
  <si>
    <t>Provoleta Parrillera / 135 gramos)</t>
  </si>
  <si>
    <t>Hector Sepulveda</t>
  </si>
  <si>
    <t>Judith Pons</t>
  </si>
  <si>
    <t>2 x Queso Rueda Sabores / 200 gramos)</t>
  </si>
  <si>
    <t>Pagado</t>
  </si>
  <si>
    <t>Queso Rueda Sabores / 200 gramos)</t>
  </si>
  <si>
    <t>Cecilia Valderrama</t>
  </si>
  <si>
    <t>Longanizas</t>
  </si>
  <si>
    <t>Longanizas VILLABLANCA / 1 Kilo</t>
  </si>
  <si>
    <t>Liliana Russ</t>
  </si>
  <si>
    <t>Pack 3 Mantequilla RUMAY / 200 gramos)</t>
  </si>
  <si>
    <t>INAM TOUR EIRL</t>
  </si>
  <si>
    <t>Toalla NOVA 70 mts</t>
  </si>
  <si>
    <t>Pack 3 Servilleta / 300 unidades c/u</t>
  </si>
  <si>
    <t>Toalla desinfectantes 50 Unidades</t>
  </si>
  <si>
    <t>Trapero Húmedo VIRGINIA</t>
  </si>
  <si>
    <t>Articulos de Sanidad</t>
  </si>
  <si>
    <t>Caja 100 Guantes NITRILO Talla S</t>
  </si>
  <si>
    <t>Esponja Escalonada</t>
  </si>
  <si>
    <t>Detergentes</t>
  </si>
  <si>
    <t>Cloro Gel IGENIX 900 ml</t>
  </si>
  <si>
    <t>Magistral 500 cc</t>
  </si>
  <si>
    <t>Sergio Edmundo Araya</t>
  </si>
  <si>
    <t>Susan Black</t>
  </si>
  <si>
    <t>Detergente Premium / 5 Litros</t>
  </si>
  <si>
    <t>Limpiapiso / 5 Litros</t>
  </si>
  <si>
    <t>Carla Liebsch</t>
  </si>
  <si>
    <t>NIDO DEL CARPINTERIO SPA</t>
  </si>
  <si>
    <t>6 x Bolsa Basura Teddy 45x55 c/asas</t>
  </si>
  <si>
    <t>Factura</t>
  </si>
  <si>
    <t>Maria José Espinoza</t>
  </si>
  <si>
    <t>Pack 2 Toalla NOVA 26 mts</t>
  </si>
  <si>
    <t>Pastillas Estanque WC (3 unidades)</t>
  </si>
  <si>
    <t>Caja 100 Guantes NITRILO Talla M</t>
  </si>
  <si>
    <t>Cofias</t>
  </si>
  <si>
    <t>3 x Bolsa Basura Teddy 70x90</t>
  </si>
  <si>
    <t>Rodrigo Toloza</t>
  </si>
  <si>
    <t>Jabon  Ballerina - 750 ml</t>
  </si>
  <si>
    <t>Pasta Diente Pepsodent 3x2</t>
  </si>
  <si>
    <t>Amanda Pacheco</t>
  </si>
  <si>
    <t xml:space="preserve">OFERTA Papel Higiénico ELITE 24 rollos </t>
  </si>
  <si>
    <t>Quix 750 cc</t>
  </si>
  <si>
    <t>Bolsa Basura Teddy 70x90</t>
  </si>
  <si>
    <t>Bolsa Basura Teddy 50x70</t>
  </si>
  <si>
    <t>Detergente Bio Frescura Desierto Florido (Naranjo) / 800 gramos</t>
  </si>
  <si>
    <t>Detergente Bio Frescura Campos de Hielo (Azul) / 800 gramos</t>
  </si>
  <si>
    <t>Pilar Ortiz</t>
  </si>
  <si>
    <t>Robert Kerkhoff</t>
  </si>
  <si>
    <t>Paños esponja Teddy (3)</t>
  </si>
  <si>
    <t>Maria de los Angeles J-Viña</t>
  </si>
  <si>
    <t>Bolsa Basura Teddy 90x120</t>
  </si>
  <si>
    <t>Rafael Castro</t>
  </si>
  <si>
    <t>Pack 4 Toalla Jumbo SPUM D/H / 400 metros</t>
  </si>
  <si>
    <t>Cloro / 5 Litros</t>
  </si>
  <si>
    <t>Marcelo Clerc</t>
  </si>
  <si>
    <t>Pack 3 Provoleta Parrillera / 135 gramos)</t>
  </si>
  <si>
    <t>Patricia Flores</t>
  </si>
  <si>
    <t xml:space="preserve">Toalla NOVA MANGA 24 rollos </t>
  </si>
  <si>
    <t>Victor Ojeda</t>
  </si>
  <si>
    <t>Rebeca Traslaviña</t>
  </si>
  <si>
    <t>Queso Mantecoso Laminado / 750 gramos</t>
  </si>
  <si>
    <t>Elizabeth Leyton</t>
  </si>
  <si>
    <t>M.Soledad - Lancaster 9452</t>
  </si>
  <si>
    <t>Pilar Consuelo Hudson</t>
  </si>
  <si>
    <t>Hernan Ureta</t>
  </si>
  <si>
    <t>Pamela Rojas</t>
  </si>
  <si>
    <t>Beatriz Bredes</t>
  </si>
  <si>
    <t>Ignacio Martinez</t>
  </si>
  <si>
    <t>Sonia Noche</t>
  </si>
  <si>
    <t>Maria Angelica Vera</t>
  </si>
  <si>
    <t>Lorena - Quilpolemu 7170</t>
  </si>
  <si>
    <t>Carmen Vaccaro</t>
  </si>
  <si>
    <t>Victor Hevia</t>
  </si>
  <si>
    <t>Pack 5 Provoleta Parrillera / 135 gramos)</t>
  </si>
  <si>
    <t>Paola Encina</t>
  </si>
  <si>
    <t>Cecilia Gomez</t>
  </si>
  <si>
    <t>Claudia Flores</t>
  </si>
  <si>
    <t>Tableta Cloro envase 1K (200 g c/tableta)</t>
  </si>
  <si>
    <t>Katty Letelier</t>
  </si>
  <si>
    <t>Pack 16 Toalla NOVA 26 mts</t>
  </si>
  <si>
    <t>Detergente Piel Sensible / 5 Litros</t>
  </si>
  <si>
    <t>Maritza Herrera</t>
  </si>
  <si>
    <t>Frutos Secos</t>
  </si>
  <si>
    <t>Pasas Rubias / 1000 gramos</t>
  </si>
  <si>
    <t>Juan Carlos Herrera</t>
  </si>
  <si>
    <t>Mabel Romero</t>
  </si>
  <si>
    <t>Toalla desinfectantes 80 Unidades</t>
  </si>
  <si>
    <t>Patricia Friz</t>
  </si>
  <si>
    <t>Gisela Olea</t>
  </si>
  <si>
    <t>Nicole Guzman</t>
  </si>
  <si>
    <t>Film Plastico-Aluminio</t>
  </si>
  <si>
    <t>Papel Aluminio 7.5 Metros</t>
  </si>
  <si>
    <t>Film Plástico 30 Metros</t>
  </si>
  <si>
    <t>Servilleta / 300 unidades</t>
  </si>
  <si>
    <t>Meike Bolados</t>
  </si>
  <si>
    <t>Claudia Escalona</t>
  </si>
  <si>
    <t>Escobillon</t>
  </si>
  <si>
    <t>LYSOFORM 360 ML</t>
  </si>
  <si>
    <t>6 x Bolsa Basura Teddy 50x70</t>
  </si>
  <si>
    <t>Pack 2 Quix 750 cc</t>
  </si>
  <si>
    <t>Pack 4 Toalla NOVA 70 mts</t>
  </si>
  <si>
    <t>Restaurante Los Naranjos</t>
  </si>
  <si>
    <t>Film Plástico 1.400 Metros</t>
  </si>
  <si>
    <t>Descuentos</t>
  </si>
  <si>
    <t>Caja 100 Guantes NITRILO Talla L</t>
  </si>
  <si>
    <t>Toalla Papel Jumbo 250 mts (Pack 2)</t>
  </si>
  <si>
    <t>OFERTA Papel Higiénico SWAN 50 mts d/h 32 rollos</t>
  </si>
  <si>
    <t>Sandra Arriagada</t>
  </si>
  <si>
    <t>Jabon  Popeye- 170 g</t>
  </si>
  <si>
    <t>Cloro Gel / 5 Litros</t>
  </si>
  <si>
    <t>Pack 3 Toalla Jumbo SWAN D/H / 100 metros</t>
  </si>
  <si>
    <t>Loreto Zambrano</t>
  </si>
  <si>
    <t>3 x Bolsa Basura Teddy 45x55 c/asas</t>
  </si>
  <si>
    <t>3 x Bolsa Basura Teddy 50x70</t>
  </si>
  <si>
    <t>Cera con Tierra Color 340 cc</t>
  </si>
  <si>
    <t>Angela Neira Fritz</t>
  </si>
  <si>
    <t>OFERTA 3 Longanizas VILLABLANCA / 3 Kilos</t>
  </si>
  <si>
    <t>Pamela Medina - Palena 2656</t>
  </si>
  <si>
    <t>Yoli - Palena 2953</t>
  </si>
  <si>
    <t>Geraldine Espinoza</t>
  </si>
  <si>
    <t>Boleta</t>
  </si>
  <si>
    <t>Rene Rodriguez</t>
  </si>
  <si>
    <t>Johaniss Cocteleria</t>
  </si>
  <si>
    <t>Patricia Saavedra</t>
  </si>
  <si>
    <t>Pack 2 Ambiental cono Lavanda</t>
  </si>
  <si>
    <t>Ambiental cono Lavanda</t>
  </si>
  <si>
    <t>CranBerry / 500 gramos</t>
  </si>
  <si>
    <t>Claudia Zuleta</t>
  </si>
  <si>
    <t>LImpia Vidrio / 5 Litros</t>
  </si>
  <si>
    <t>Monica - Chapihue 7123</t>
  </si>
  <si>
    <t>Wyn 1.5 lt</t>
  </si>
  <si>
    <t>Jacqueline Puente</t>
  </si>
  <si>
    <t>Marcela Erazo</t>
  </si>
  <si>
    <t>Mantequilla RUMAY / 200 gramos)</t>
  </si>
  <si>
    <t>Isadora Andrea Fuentealba</t>
  </si>
  <si>
    <t xml:space="preserve">OFERTA Papel Higiénico SWAN 400 d/h 32 rollos </t>
  </si>
  <si>
    <t>Tamara Pino</t>
  </si>
  <si>
    <t>Cif 750 cc</t>
  </si>
  <si>
    <t>Stephie Ibañez</t>
  </si>
  <si>
    <t>Nancy Diaz Castro</t>
  </si>
  <si>
    <t>OFERTA 4 Longanizas VILLABLANCA / 4 Kilos</t>
  </si>
  <si>
    <t>Marcela Neira</t>
  </si>
  <si>
    <t>TRAVEL ABROAD EXPERIENCE S.P.A</t>
  </si>
  <si>
    <t>Ambiental Tubo AROM</t>
  </si>
  <si>
    <t>Wyn 750 cc</t>
  </si>
  <si>
    <t>Cloro Gel EXCELL 900 ml</t>
  </si>
  <si>
    <t xml:space="preserve">Papel Higiénico ELITE 12 rollos </t>
  </si>
  <si>
    <t>Trapero Algodón TEDDY (con Ojal)</t>
  </si>
  <si>
    <t>Paños MultiUso</t>
  </si>
  <si>
    <t>Pack 3 Paños Cocina Fibra (30x50 cm)</t>
  </si>
  <si>
    <t>Guantes Latex Talle M</t>
  </si>
  <si>
    <t>Abarrotes</t>
  </si>
  <si>
    <t>TE CEYLAN PREMIUN 100 bolsas</t>
  </si>
  <si>
    <t>Natura List Alulosa 90ml</t>
  </si>
  <si>
    <t>Transporte</t>
  </si>
  <si>
    <t>Suavizante / 5 Litros</t>
  </si>
  <si>
    <t>Blanca Zenteno</t>
  </si>
  <si>
    <t>Fyrma Grafica Limitada</t>
  </si>
  <si>
    <t>Esteban Huilquehue 2783</t>
  </si>
  <si>
    <t>Lavaloza / 5 Litros</t>
  </si>
  <si>
    <t>Lustra Mueble 240 ml</t>
  </si>
  <si>
    <t>LImpia Vidrio / 500 ml</t>
  </si>
  <si>
    <t>Vecina Villa sin datos</t>
  </si>
  <si>
    <t>Catalina Sanchez</t>
  </si>
  <si>
    <t xml:space="preserve">OFERTA Papel Higiénico SWAN 400 d/h 40 rollos </t>
  </si>
  <si>
    <t>Juana Ester Rojas Alarcon</t>
  </si>
  <si>
    <t>Pamela Navarro</t>
  </si>
  <si>
    <t>Veronica Velasquez</t>
  </si>
  <si>
    <t>Priscy - Las Lomas 7815</t>
  </si>
  <si>
    <t>Trapero Húmedo Piso Flotante TEDDY</t>
  </si>
  <si>
    <t>Javiera Santa Amalia</t>
  </si>
  <si>
    <t>Soledad Padilla</t>
  </si>
  <si>
    <t>Monica Godoy</t>
  </si>
  <si>
    <t>Viviana - Hualle Sur 9362</t>
  </si>
  <si>
    <t>Paulina Swinburn Y.</t>
  </si>
  <si>
    <t>Marcela Galvez</t>
  </si>
  <si>
    <t>Vanessa Brevis</t>
  </si>
  <si>
    <t>Mariela Lagos</t>
  </si>
  <si>
    <t>Paulina Saavedra</t>
  </si>
  <si>
    <t>Clemira Riffo</t>
  </si>
  <si>
    <t>Cecilia de los Angeles Cerna</t>
  </si>
  <si>
    <t xml:space="preserve">Romi-Huanque </t>
  </si>
  <si>
    <t>Oscar Leiva</t>
  </si>
  <si>
    <t>Camila Muñoz - Guardia</t>
  </si>
  <si>
    <t>Elizabeth Yevenez</t>
  </si>
  <si>
    <t>Paula Andrea - Macul</t>
  </si>
  <si>
    <t xml:space="preserve">OFERTA Papel Higiénico SWAN 50 mts d/h 24 rollos </t>
  </si>
  <si>
    <t>Hemaly Cornejo Chacon</t>
  </si>
  <si>
    <t>Nathaly Gajardo</t>
  </si>
  <si>
    <t>Evelyn Cortes</t>
  </si>
  <si>
    <t>Ximena Oyarse</t>
  </si>
  <si>
    <t>Film Plástico 300 Metros</t>
  </si>
  <si>
    <t>Papel Aluminio 100 Metros</t>
  </si>
  <si>
    <t>Mopa Repuesto</t>
  </si>
  <si>
    <t>Insecticida RAID 360 cc Casa Jardin (Naranjo)</t>
  </si>
  <si>
    <t>Limpiapiso POETT 900ml</t>
  </si>
  <si>
    <t>OFERTA Pack 6 Toalla Jumbo OVELLA D/H / 100 metros</t>
  </si>
  <si>
    <t>OFERTA Pack 6 Toalla Jumbo SWAN D/H / 100 metros</t>
  </si>
  <si>
    <t>Toalla desinfectantes 30 Unidades</t>
  </si>
  <si>
    <t>Gino Suarez Fuentes</t>
  </si>
  <si>
    <t>Film Plástico 100 Metros</t>
  </si>
  <si>
    <t>Daisy Contreras</t>
  </si>
  <si>
    <t>Victor Herrera</t>
  </si>
  <si>
    <t>Papel Aluminio 300 Metros</t>
  </si>
  <si>
    <t>OFERTA 6 Toalla Jumbo AZUL SWAN 100 mts</t>
  </si>
  <si>
    <t>Mario Abarca</t>
  </si>
  <si>
    <t>Pack 3 Toalla Jumbo AZUL SWAN 100 mts</t>
  </si>
  <si>
    <t>Cera Roja Brillina 340 cc</t>
  </si>
  <si>
    <t>Esteban Michea</t>
  </si>
  <si>
    <t>Jeannette Olguin (vecina Marcia)</t>
  </si>
  <si>
    <t>Pack 3 Trapero Húmedo EXCELL</t>
  </si>
  <si>
    <t>Pamela Ruiz</t>
  </si>
  <si>
    <t>Arcoprime</t>
  </si>
  <si>
    <t>Lorena Herrera</t>
  </si>
  <si>
    <t>Danna C Vidal</t>
  </si>
  <si>
    <t>Giselle Rojas</t>
  </si>
  <si>
    <t xml:space="preserve">Soledad Gingko Amarillo 8807 </t>
  </si>
  <si>
    <t>OFERTA 8 Toalla NOVA 70 mts</t>
  </si>
  <si>
    <t>Luisa - Bosque Chileno 2418</t>
  </si>
  <si>
    <t>Mauricio Aguirre</t>
  </si>
  <si>
    <t>Diana Grudechut</t>
  </si>
  <si>
    <t>Loreto - Perpetua Freira 250</t>
  </si>
  <si>
    <t>Guido Araya</t>
  </si>
  <si>
    <t>OFERTA CAJA 10 Pack Servilleta / 300 unidades</t>
  </si>
  <si>
    <t>Ma José Ferreira</t>
  </si>
  <si>
    <t>Soledad Valdebenito</t>
  </si>
  <si>
    <t>Poli Azocar</t>
  </si>
  <si>
    <t>Estefania Iglesias</t>
  </si>
  <si>
    <t>Raul Acosta</t>
  </si>
  <si>
    <t>Juan 8:12</t>
  </si>
  <si>
    <t xml:space="preserve">Papel Higiénico ELITE 50 Metros 4 rollos </t>
  </si>
  <si>
    <t>Stefi - Huilquehue 7298</t>
  </si>
  <si>
    <t>Pack 3 x Velas Grandes (4 unidades)</t>
  </si>
  <si>
    <t>Guantes Latex Talle S</t>
  </si>
  <si>
    <t>Anita - Tuliperos 3402</t>
  </si>
  <si>
    <t>Andrea Rubio</t>
  </si>
  <si>
    <t>Veronica Montenegro</t>
  </si>
  <si>
    <t>Insecticida RAID 360 cc Todo Insecto (Morado)</t>
  </si>
  <si>
    <t>Trapero Húmedo EXCELL</t>
  </si>
  <si>
    <t>Film Embalaje 1,7kg (1,4kg Neto/350 Metros aprox.)</t>
  </si>
  <si>
    <t>Catalina Abarca</t>
  </si>
  <si>
    <t>Claudia Rojas Parra</t>
  </si>
  <si>
    <t>Veronica Estay</t>
  </si>
  <si>
    <t>Caja 50 Mascarillas Triple Pliegue</t>
  </si>
  <si>
    <t>Paula - Rojas Magallanes</t>
  </si>
  <si>
    <t>Andrea - Azahares 8470</t>
  </si>
  <si>
    <t>Trapero Fibra EXCELL 50x60 (con Ojal)</t>
  </si>
  <si>
    <t>Pack 3 Jabon  Popeye- 170 g</t>
  </si>
  <si>
    <t>Pack 2 Toallitas Húmedas Bebe Teddy 80 Unidades</t>
  </si>
  <si>
    <t>Pack 3 Trapero Húmedo VIRGINIA</t>
  </si>
  <si>
    <t>COMITE DE ADELANTO BELLOTO AZUCENA II</t>
  </si>
  <si>
    <t>Vivi - Paicavi 2880 (Casa E)</t>
  </si>
  <si>
    <t>Marylen Ximena Salinas</t>
  </si>
  <si>
    <t>Soledad Saavedra</t>
  </si>
  <si>
    <t>Queso Mantecoso / 250 gramos</t>
  </si>
  <si>
    <t>Queso Mantecoso / 417 gramos</t>
  </si>
  <si>
    <t>Roxana Villegas</t>
  </si>
  <si>
    <t>Pack 2 Toallitas Húmedas Adulto Teddy 50 Unidades</t>
  </si>
  <si>
    <t>Marcela Guerrero</t>
  </si>
  <si>
    <t>Toalla Jumbo SWAN D/H / 100 metros</t>
  </si>
  <si>
    <t xml:space="preserve">OFERTA Papel Higiénico SWAN 400 d/h 24 rollos </t>
  </si>
  <si>
    <t>Lauri Yulie</t>
  </si>
  <si>
    <t>Cammy Sinai 9774</t>
  </si>
  <si>
    <t xml:space="preserve">Papel Higiénico SWAN 400 d/h 12 rollos </t>
  </si>
  <si>
    <t>Carla Gonzalez</t>
  </si>
  <si>
    <t>Pack 2 Cif 750 cc</t>
  </si>
  <si>
    <t>Michael Evans</t>
  </si>
  <si>
    <t>Gestica SpA</t>
  </si>
  <si>
    <t>Pack 2 Magistral 500 cc</t>
  </si>
  <si>
    <t>Pack 8 Toalla NOVA 26 mts</t>
  </si>
  <si>
    <t>Pack 6 x Virutilla Plateada</t>
  </si>
  <si>
    <t>Jabon  Teddy - 750 ml</t>
  </si>
  <si>
    <t>Luisa - Enrique Olivares</t>
  </si>
  <si>
    <t>Marcela Cabezas</t>
  </si>
  <si>
    <t>Taty Contador</t>
  </si>
  <si>
    <t>Maca Marticorena</t>
  </si>
  <si>
    <t>Ingrid Maldonado</t>
  </si>
  <si>
    <t>Pack 3 x Pastillas Estanque WC (3 unidades)</t>
  </si>
  <si>
    <t>3 x Paños MultiUso</t>
  </si>
  <si>
    <t>Pack 2 Ambiental Tubo</t>
  </si>
  <si>
    <t>Limpia Inodoro 500 ml</t>
  </si>
  <si>
    <t>Kata Herrera</t>
  </si>
  <si>
    <t xml:space="preserve">Toalla NOVA MANGA 9 rollos </t>
  </si>
  <si>
    <t>Rosanna Contreras</t>
  </si>
  <si>
    <t>Manuel Cavero</t>
  </si>
  <si>
    <t>Felipe Severino</t>
  </si>
  <si>
    <t>Toalla desinfectantes Tubo 50 Unidades</t>
  </si>
  <si>
    <t>Trapero Húmedo TEDDY</t>
  </si>
  <si>
    <t>Vanesa Acosta</t>
  </si>
  <si>
    <t>Pamela Santa Delia</t>
  </si>
  <si>
    <t>Lucia Saucedo</t>
  </si>
  <si>
    <t>Claudia Castillo</t>
  </si>
  <si>
    <t>Antigrasa / 5 Litros</t>
  </si>
  <si>
    <t>Alexandra Gallardo</t>
  </si>
  <si>
    <t>Maria Jose Rojas Magallanes</t>
  </si>
  <si>
    <t>Sandra Gallardo</t>
  </si>
  <si>
    <t>Evelyn Arroyo</t>
  </si>
  <si>
    <t>Paulina Schwarze</t>
  </si>
  <si>
    <t>Huevos EXTRA</t>
  </si>
  <si>
    <t>Regular</t>
  </si>
  <si>
    <t>Persona Natural</t>
  </si>
  <si>
    <t>Colegio Antilhue</t>
  </si>
  <si>
    <t>Bandeja Huevos EXTRA</t>
  </si>
  <si>
    <t>Papel Aluminio</t>
  </si>
  <si>
    <t>Frecuente</t>
  </si>
  <si>
    <t>Jardines de la Viña</t>
  </si>
  <si>
    <t>Papel Aluminio 7.5 metros</t>
  </si>
  <si>
    <t>Queso Mantecoso</t>
  </si>
  <si>
    <t>Queso RUNCA Mantecoso</t>
  </si>
  <si>
    <t>Papel Higiénico ELITE</t>
  </si>
  <si>
    <t>Familiar</t>
  </si>
  <si>
    <t>Papel Higienico ELITE 50 metros</t>
  </si>
  <si>
    <t>Toalla Nova 3 rollos</t>
  </si>
  <si>
    <t>Toalla Papel NOVA 12 metros</t>
  </si>
  <si>
    <t>Paños Esponja TEDDY</t>
  </si>
  <si>
    <t>Trapero Húmedo</t>
  </si>
  <si>
    <t>Ocacional</t>
  </si>
  <si>
    <t>Jardin del eden</t>
  </si>
  <si>
    <t>Traperos Humedos EXCELL</t>
  </si>
  <si>
    <t>Toalla Nova 70 mts</t>
  </si>
  <si>
    <t>Toalla Papel NOVA 70 metros</t>
  </si>
  <si>
    <t>Cloro</t>
  </si>
  <si>
    <t>Cloro SPUM 5 Litros</t>
  </si>
  <si>
    <t>Sector Santa Delia</t>
  </si>
  <si>
    <t>Servilletas</t>
  </si>
  <si>
    <t>Servilletas SOFTQUALITY 300 unidades</t>
  </si>
  <si>
    <t>Jardines de la viña</t>
  </si>
  <si>
    <t>Jabon Liquido</t>
  </si>
  <si>
    <t>Jabón Lìquido BALLERINA</t>
  </si>
  <si>
    <t>Virutilla Dorada</t>
  </si>
  <si>
    <t>Virutilla</t>
  </si>
  <si>
    <t>Virutilla Plateada</t>
  </si>
  <si>
    <t>Walker Martinez</t>
  </si>
  <si>
    <t>Queso RUNCA Laminado Mantecoso</t>
  </si>
  <si>
    <t>Andrea Salas</t>
  </si>
  <si>
    <t>Santa Ines</t>
  </si>
  <si>
    <t>Sector Santa Amalia</t>
  </si>
  <si>
    <t>Empresa</t>
  </si>
  <si>
    <t>Toalla Jumbo D/H</t>
  </si>
  <si>
    <t>Toalla Papel SPUM D/H 100 metros</t>
  </si>
  <si>
    <t>Detergente Premium</t>
  </si>
  <si>
    <t>Detergente SPUM 5 Litros (Verde)</t>
  </si>
  <si>
    <t>Rojas Magallanes</t>
  </si>
  <si>
    <t>Trapero Algodon</t>
  </si>
  <si>
    <t>Trapero Algodón TEDDY</t>
  </si>
  <si>
    <t>Paños Cocina</t>
  </si>
  <si>
    <t>Paños Cocina Teddy</t>
  </si>
  <si>
    <t>Jabón Líquido TEDDY</t>
  </si>
  <si>
    <t>Jardin del Eden</t>
  </si>
  <si>
    <t>Detergente Piel Sensible</t>
  </si>
  <si>
    <t>Detergente SPUM 5 Litros (Blanco)</t>
  </si>
  <si>
    <t>Toalla Papel SWAN</t>
  </si>
  <si>
    <t>Toalla Papel SWAN D/H NARANJA 100 metros</t>
  </si>
  <si>
    <t>Toalla Nova 26 mts</t>
  </si>
  <si>
    <t>Toalla Papel NOVA 26 metros</t>
  </si>
  <si>
    <t>Film Plastico</t>
  </si>
  <si>
    <t>Film Plástico 300 metros</t>
  </si>
  <si>
    <t>Toalla desinfectantes</t>
  </si>
  <si>
    <t>Toalla desinfectante IGENIX 50 unidades</t>
  </si>
  <si>
    <t>Esponjas</t>
  </si>
  <si>
    <t>Esponja Acanalada TEDDY</t>
  </si>
  <si>
    <t>Pinzas de Ropa (24 unidades)</t>
  </si>
  <si>
    <t>Pinzas de Ropa</t>
  </si>
  <si>
    <t>Guantes LATEX</t>
  </si>
  <si>
    <t>Guantes de Latex Talla M</t>
  </si>
  <si>
    <t>Jabon POPEYE</t>
  </si>
  <si>
    <t>Millaray Anais</t>
  </si>
  <si>
    <t>Guantes NITRILO</t>
  </si>
  <si>
    <t>Antilhue</t>
  </si>
  <si>
    <t>Guante NITRILO Talla M</t>
  </si>
  <si>
    <t>Provoleta</t>
  </si>
  <si>
    <t>Provoleta Parrillera</t>
  </si>
  <si>
    <t xml:space="preserve">Queso Rueda Sabores </t>
  </si>
  <si>
    <t>Queso Sabores</t>
  </si>
  <si>
    <t>Corporacion Educacional Dame la Mano</t>
  </si>
  <si>
    <t>Escobillon TEDDY</t>
  </si>
  <si>
    <t>Trapero Fibra</t>
  </si>
  <si>
    <t>Trapero Microfibra EXCELL</t>
  </si>
  <si>
    <t>Papel Higiénico SWAN</t>
  </si>
  <si>
    <t>Papel Higienico SWAN 400 hojas</t>
  </si>
  <si>
    <t>Toalla Papel Soft Quality</t>
  </si>
  <si>
    <t>Toalla Papel 250 metros dipensador</t>
  </si>
  <si>
    <t>Mopa</t>
  </si>
  <si>
    <t>WC</t>
  </si>
  <si>
    <t>Pastilla para estanque WC</t>
  </si>
  <si>
    <t>Cif</t>
  </si>
  <si>
    <t>CIF 750 cc</t>
  </si>
  <si>
    <t>LImpia Vidrio</t>
  </si>
  <si>
    <t>Limpia Vidrio SPUM 5 litros</t>
  </si>
  <si>
    <t>Suavizante</t>
  </si>
  <si>
    <t>Suavizante SPUM 5 Litros</t>
  </si>
  <si>
    <t>Cloro Gel</t>
  </si>
  <si>
    <t>Cloro GEL SPUM 5 Litros</t>
  </si>
  <si>
    <t>Velas Grandes (4 Unidades)</t>
  </si>
  <si>
    <t>Velas</t>
  </si>
  <si>
    <t>Velas Grandes</t>
  </si>
  <si>
    <t>Bolsa Basura</t>
  </si>
  <si>
    <t xml:space="preserve">Bolsas Basura TEDDY 50x70 </t>
  </si>
  <si>
    <t>Film Embalaje</t>
  </si>
  <si>
    <t>Film Plástico 100 metros</t>
  </si>
  <si>
    <t>Cloro GEL IGENIX 900ml</t>
  </si>
  <si>
    <t>Traperos Humedos VIRGINIA</t>
  </si>
  <si>
    <t>Constanza - Macarena</t>
  </si>
  <si>
    <t xml:space="preserve">Bolsas Basura TEDDY 90x120 </t>
  </si>
  <si>
    <t>Hurtado Mendoza</t>
  </si>
  <si>
    <t>El Domo</t>
  </si>
  <si>
    <t>Limpiapiso</t>
  </si>
  <si>
    <t>Limpiapiso SPUM 5 Litros</t>
  </si>
  <si>
    <t>Palena</t>
  </si>
  <si>
    <t>Sonia Martinez</t>
  </si>
  <si>
    <t>Santa Amalia</t>
  </si>
  <si>
    <t>CranBerry</t>
  </si>
  <si>
    <t>Eugenia Trujillo Navarro</t>
  </si>
  <si>
    <t>Sector Araucania</t>
  </si>
  <si>
    <t>Sector Las Clarisas</t>
  </si>
  <si>
    <t>Sector Palena</t>
  </si>
  <si>
    <t>Paulina -Av Tobalaba 7321</t>
  </si>
  <si>
    <t>Avenida Tobalaba</t>
  </si>
  <si>
    <t>Ambiental Tubo</t>
  </si>
  <si>
    <t xml:space="preserve">Ambiental </t>
  </si>
  <si>
    <t>Ambiental Tubo TEDDY</t>
  </si>
  <si>
    <t>Perpetua Freira</t>
  </si>
  <si>
    <t>Lavaloza</t>
  </si>
  <si>
    <t>Lavaloza QUIX 750 cc</t>
  </si>
  <si>
    <t>Detergente Bio Frescura Bosque Nativo (Verde) / 800 gramos</t>
  </si>
  <si>
    <t>Detergente en Polvo</t>
  </si>
  <si>
    <t>Detergente BIO FRESCURA Bosque Nativo (Verde)</t>
  </si>
  <si>
    <t>Detergente BIO FRESCURA Campos de Hielo (Azul)</t>
  </si>
  <si>
    <t>Detergente BIO FRESCURA Desierto Florido (Naranjo)</t>
  </si>
  <si>
    <t>Limpiapiso POETT 900 ml</t>
  </si>
  <si>
    <t xml:space="preserve">Bolsas Basura TEDDY 70x90 </t>
  </si>
  <si>
    <t>Colombia</t>
  </si>
  <si>
    <t>Curso Amalia</t>
  </si>
  <si>
    <t>Pack 6 x Virutilla Dorada</t>
  </si>
  <si>
    <t xml:space="preserve">Bolsas Basura TEDDY 45x55 con Asas </t>
  </si>
  <si>
    <t>Mantequilla</t>
  </si>
  <si>
    <t>Mantequilla RUMAY</t>
  </si>
  <si>
    <t>Cera Incolora Brillina 340 cc</t>
  </si>
  <si>
    <t>Cera</t>
  </si>
  <si>
    <t>Cera Incolora Brillina</t>
  </si>
  <si>
    <t>domingo</t>
  </si>
  <si>
    <t>Maria Jesus Hualle Sur 9526</t>
  </si>
  <si>
    <t>2 x Film Embalaje 1,7kg (1,4kg Neto/350 Metros aprox.)</t>
  </si>
  <si>
    <t>Hualle Sur</t>
  </si>
  <si>
    <t>sábado</t>
  </si>
  <si>
    <t>Guante NITRILO Talla S</t>
  </si>
  <si>
    <t>viernes</t>
  </si>
  <si>
    <t>Paños esponja Teddy (Pack 3)</t>
  </si>
  <si>
    <t>jueves</t>
  </si>
  <si>
    <t>Sector Diego Portales</t>
  </si>
  <si>
    <t>Rodrigo Arredondo</t>
  </si>
  <si>
    <t>Claudia Urrutia Muñoz</t>
  </si>
  <si>
    <t>Departamental</t>
  </si>
  <si>
    <t>Film Plástico 1400 metros</t>
  </si>
  <si>
    <t>Desinfectante IGENIX 360 ml</t>
  </si>
  <si>
    <t>Desinfectantes</t>
  </si>
  <si>
    <t>Desinfectante IGENIX</t>
  </si>
  <si>
    <t>Maria Isabel Osorio</t>
  </si>
  <si>
    <t>miércoles</t>
  </si>
  <si>
    <t>martes</t>
  </si>
  <si>
    <t>Lavaloza WYN 750 ml</t>
  </si>
  <si>
    <t xml:space="preserve">Papel Higiénico SWAN 400 d/h 4 rollos </t>
  </si>
  <si>
    <t>Yoli - Sándalo Poniente 8391</t>
  </si>
  <si>
    <t>Cumbres</t>
  </si>
  <si>
    <t>Bolsa Basura Teddy 45x55 c/asas</t>
  </si>
  <si>
    <t>Sector Delia</t>
  </si>
  <si>
    <t>lunes</t>
  </si>
  <si>
    <t>Queso Rueda Cabra / 200 gramos)</t>
  </si>
  <si>
    <t>Queso Cabra</t>
  </si>
  <si>
    <t>Alejandra Paz Muñoz</t>
  </si>
  <si>
    <t>Las Cumbres</t>
  </si>
  <si>
    <t>Pack 5 Bolsas Hielo 1 Kilo</t>
  </si>
  <si>
    <t>Limpia Inodoro</t>
  </si>
  <si>
    <t>Limpia Inodoro TEDDY</t>
  </si>
  <si>
    <t>3 x Bolsa Basura Teddy 90x120</t>
  </si>
  <si>
    <t>Sector Enrique Olivares</t>
  </si>
  <si>
    <t>Araucana</t>
  </si>
  <si>
    <t>Jardin Alto</t>
  </si>
  <si>
    <t>Jardin de la viña</t>
  </si>
  <si>
    <t>Toalla Papel SWAN D/H AZUL 100 metros</t>
  </si>
  <si>
    <t>Tía - Katty Letelier</t>
  </si>
  <si>
    <t>Ex 4to Antilhue</t>
  </si>
  <si>
    <t>Cyinthia Fraser</t>
  </si>
  <si>
    <t>Toallitas Húmedas Adulto</t>
  </si>
  <si>
    <t>Toallas Humedas Adultos TEDDY 50 unidades</t>
  </si>
  <si>
    <t>Paño Multiuso</t>
  </si>
  <si>
    <t>Longanizas VILLABLANCA</t>
  </si>
  <si>
    <t>Lustra Mueble</t>
  </si>
  <si>
    <t>Lustra Mueble TEDDY</t>
  </si>
  <si>
    <t>Lavaloza SPUM 5 Litros</t>
  </si>
  <si>
    <t>Gloria Zavala</t>
  </si>
  <si>
    <t>Anita Sandoval</t>
  </si>
  <si>
    <t>Geronimo</t>
  </si>
  <si>
    <t>Antigrasa</t>
  </si>
  <si>
    <t>Antigrasa SPUM 5 Litros</t>
  </si>
  <si>
    <t>Mercedes Sanchez</t>
  </si>
  <si>
    <t>Diego Portales</t>
  </si>
  <si>
    <t>Sector Colombia</t>
  </si>
  <si>
    <t>Lavaloza WYN 1.5 Litros (recarga)</t>
  </si>
  <si>
    <t>Pack 3 x Virutilla Dorada</t>
  </si>
  <si>
    <t>Pack 3 x Pinzas de Ropa (24 unidades)</t>
  </si>
  <si>
    <t>Amalia Herrera</t>
  </si>
  <si>
    <t>Mascarillas</t>
  </si>
  <si>
    <t>Transferencia</t>
  </si>
  <si>
    <t>Mascarillas Triple Pliegue</t>
  </si>
  <si>
    <t>6 x Bolsa Basura Teddy 70x90</t>
  </si>
  <si>
    <t>Cera Roja Brillina</t>
  </si>
  <si>
    <t>ClauMery - Galilea 7707</t>
  </si>
  <si>
    <t>Pack 3 Trapero Húmedo TEDDY</t>
  </si>
  <si>
    <t>Traperos Humedos TEDDY</t>
  </si>
  <si>
    <t>Carolina Gonzalez Morris</t>
  </si>
  <si>
    <t>Enrique Olivares</t>
  </si>
  <si>
    <t>Araucania</t>
  </si>
  <si>
    <t>Claudia Herrera</t>
  </si>
  <si>
    <t>Cloro GEL EXCELL 900ml</t>
  </si>
  <si>
    <t>Abuelita Lorenzo</t>
  </si>
  <si>
    <t>Marcela Paz</t>
  </si>
  <si>
    <t>Daca Pastelería</t>
  </si>
  <si>
    <t>Metro Rojas Magallanes</t>
  </si>
  <si>
    <t>Alejandra Labraña</t>
  </si>
  <si>
    <t>San Miguel</t>
  </si>
  <si>
    <t>Pudahuel</t>
  </si>
  <si>
    <t>Guante NITRILO Talla L</t>
  </si>
  <si>
    <t>CAJA 10 Pack Servilleta / 300 unidades</t>
  </si>
  <si>
    <t>Vania Salinas</t>
  </si>
  <si>
    <t>Maria Jose Oriente 9402</t>
  </si>
  <si>
    <t>Oriente</t>
  </si>
  <si>
    <t>Andrea - El Arrayan 8453</t>
  </si>
  <si>
    <t>Alexis Deliz</t>
  </si>
  <si>
    <t>Vanessa Portuguez</t>
  </si>
  <si>
    <t>Toalla Jumbo AZUL SWAN 100 mts</t>
  </si>
  <si>
    <t>Ivan Herrera</t>
  </si>
  <si>
    <t>Queso Mantecoso Laminado / 1000 gramos</t>
  </si>
  <si>
    <t>Queso Mantecoso Laminado / 250 gramos</t>
  </si>
  <si>
    <t>Daniela Ramirez</t>
  </si>
  <si>
    <t>Sector Araucana</t>
  </si>
  <si>
    <t>jumpmanexclusive2 - Santa Ema 2445</t>
  </si>
  <si>
    <t>3 x Film Embalaje 1,7kg (1,4kg Neto/350 Metros aprox.)</t>
  </si>
  <si>
    <t>Santa Delia</t>
  </si>
  <si>
    <t>Alejandra Gacitua</t>
  </si>
  <si>
    <t xml:space="preserve">Papel Higiénico ELITE 32 rollos </t>
  </si>
  <si>
    <t>Katherine Orellana</t>
  </si>
  <si>
    <t>Sector Ongolmo</t>
  </si>
  <si>
    <t>Toallitas Húmedas Bebe</t>
  </si>
  <si>
    <t>Toallas Humedas Bebé TEDDY 80 unidades</t>
  </si>
  <si>
    <t>Toalla desinfectante TEDDY 80 unidades</t>
  </si>
  <si>
    <t>Limpia Vidrio SPUM 500 ml</t>
  </si>
  <si>
    <t>Yosslian Arancibia</t>
  </si>
  <si>
    <t>Carla Espinoza</t>
  </si>
  <si>
    <t>Dr Sotero del rio</t>
  </si>
  <si>
    <t>Papel Aluminio 100 metros</t>
  </si>
  <si>
    <t>Toalla desinfectante VIRUTEX 30 unidades</t>
  </si>
  <si>
    <t>Ricardo Alarcon - Jardin Alto 8525</t>
  </si>
  <si>
    <t>Toallitas Húmedas Bebe Teddy 80 Unidades</t>
  </si>
  <si>
    <t>Joaquin Mascaró</t>
  </si>
  <si>
    <t>Paicavi</t>
  </si>
  <si>
    <t>Macul</t>
  </si>
  <si>
    <t>Nora - Dante</t>
  </si>
  <si>
    <t xml:space="preserve">Condominio Lo Cañas
</t>
  </si>
  <si>
    <t>Santa Adriana</t>
  </si>
  <si>
    <t>2 x Queso Rueda Cabra / 200 gramos)</t>
  </si>
  <si>
    <t>Junta Vecinal 20</t>
  </si>
  <si>
    <t xml:space="preserve">Ines - HM 7550 A </t>
  </si>
  <si>
    <t>Ambiental</t>
  </si>
  <si>
    <t>Insecticida</t>
  </si>
  <si>
    <t>Marcia Quiroga</t>
  </si>
  <si>
    <t>Domo</t>
  </si>
  <si>
    <t>Jenny Contreras (Hermana Rossana)</t>
  </si>
  <si>
    <t>Veronica Vergara</t>
  </si>
  <si>
    <t>Barrio Ingles</t>
  </si>
  <si>
    <t>Karen Reyes</t>
  </si>
  <si>
    <t>Vicuña Mackena</t>
  </si>
  <si>
    <t>Conjunto Ingles</t>
  </si>
  <si>
    <t>Erika Torres</t>
  </si>
  <si>
    <t>Condominio Lo Cañas</t>
  </si>
  <si>
    <t>N-N Villa Alemana 7870</t>
  </si>
  <si>
    <t>Villa Alemana</t>
  </si>
  <si>
    <t>Suilan Leighton</t>
  </si>
  <si>
    <t>Fran - Negrillo 9507</t>
  </si>
  <si>
    <t>Negrillo</t>
  </si>
  <si>
    <t>Pablo León</t>
  </si>
  <si>
    <t>Gonzalo Dawson</t>
  </si>
  <si>
    <t>Sofia Carrillo</t>
  </si>
  <si>
    <t>Vecinal</t>
  </si>
  <si>
    <t>Pack 2 LYSOFORM 420 ML</t>
  </si>
  <si>
    <t>*</t>
  </si>
  <si>
    <t>Mady - Las Nalcas Sur 9365</t>
  </si>
  <si>
    <t>Las Nalcas</t>
  </si>
  <si>
    <t>Centro Terapia WILUF SPA</t>
  </si>
  <si>
    <t>Maria Jose Vargas</t>
  </si>
  <si>
    <t>Maria Constanza Vergara</t>
  </si>
  <si>
    <t xml:space="preserve">Papel Higiénico SWAN 50 mts 4 rollos </t>
  </si>
  <si>
    <t>Cynthia Pereira</t>
  </si>
  <si>
    <t>Queso Mantecoso / 950 gramos</t>
  </si>
  <si>
    <t>Susana Aguilar</t>
  </si>
  <si>
    <t>Elizabeth Martinez</t>
  </si>
  <si>
    <t>Carolina Jauregui</t>
  </si>
  <si>
    <t>Cumbres de la Viña</t>
  </si>
  <si>
    <t>Alicachue</t>
  </si>
  <si>
    <t>Ursula- Santa Delia 7721</t>
  </si>
  <si>
    <t>Kafremontt by Katherine</t>
  </si>
  <si>
    <t>San Luis</t>
  </si>
  <si>
    <t>Rodrigo Black</t>
  </si>
  <si>
    <t>Stefany - Santa Delia</t>
  </si>
  <si>
    <t>Cesar Donoso</t>
  </si>
  <si>
    <t>Efectivo</t>
  </si>
  <si>
    <t>Alejandra - Jardín del edén 3410</t>
  </si>
  <si>
    <t>Inexsol Spa</t>
  </si>
  <si>
    <t>Sector Concepcion</t>
  </si>
  <si>
    <t>Cristina Olivero</t>
  </si>
  <si>
    <t>persona Natural</t>
  </si>
  <si>
    <t>Sector Marcela Paz</t>
  </si>
  <si>
    <t>Sector Chilcas</t>
  </si>
  <si>
    <t>Cristian Segura</t>
  </si>
  <si>
    <t>Susana Pizarro</t>
  </si>
  <si>
    <t>Daniela Beiza</t>
  </si>
  <si>
    <t>HUEVOS EXTRA 12 Huevos</t>
  </si>
  <si>
    <t xml:space="preserve">Edith - Ñique </t>
  </si>
  <si>
    <t>Froilan Roa</t>
  </si>
  <si>
    <t>Pack  3 Jabon  Teddy - 750 ml</t>
  </si>
  <si>
    <t>Sandra Narvaez</t>
  </si>
  <si>
    <t>Sector Tottus</t>
  </si>
  <si>
    <t>Rodrigo Salinas</t>
  </si>
  <si>
    <t>Fernanda Fuentes</t>
  </si>
  <si>
    <t>El llaverio</t>
  </si>
  <si>
    <t>Karen - Hualle SUR</t>
  </si>
  <si>
    <t>Fanny  Lincoqueo</t>
  </si>
  <si>
    <t>Voz de arauco</t>
  </si>
  <si>
    <t>Los Ceibos</t>
  </si>
  <si>
    <t>Amigos Claudia Herrera</t>
  </si>
  <si>
    <t>Marcos Vergara</t>
  </si>
  <si>
    <t>HUEVOS EXTRA 20 Huevos</t>
  </si>
  <si>
    <t>Magaly Valenzuela</t>
  </si>
  <si>
    <t>Mackusha - Huilquehue 2773</t>
  </si>
  <si>
    <t>Caja 100 Guantes NITRILO Talla XL</t>
  </si>
  <si>
    <t>Lorena - Santa Julia 3323</t>
  </si>
  <si>
    <t>LYSOFORM 420 ML</t>
  </si>
  <si>
    <t>LYSOFORM</t>
  </si>
  <si>
    <t>Ingrid Maturana</t>
  </si>
  <si>
    <t>Peru</t>
  </si>
  <si>
    <t>Claudia  Sepulveda - Jardin Alto</t>
  </si>
  <si>
    <t>Sector Jardin Alto</t>
  </si>
  <si>
    <t>Maria Isabel Muñoz</t>
  </si>
  <si>
    <t>Julieta Monge</t>
  </si>
  <si>
    <t>Daniela - La Montura 4577</t>
  </si>
  <si>
    <t>Chilcas Sur</t>
  </si>
  <si>
    <t>Yazmin Torres</t>
  </si>
  <si>
    <t xml:space="preserve">Papel Higiénico SWAN 50 mts d/h 12 rollos </t>
  </si>
  <si>
    <t>Gaby - Hualle 8312</t>
  </si>
  <si>
    <t>La Foresta</t>
  </si>
  <si>
    <t>Constanza - Ecuador 8952</t>
  </si>
  <si>
    <t>Ecuador</t>
  </si>
  <si>
    <t>Vicente Valdez</t>
  </si>
  <si>
    <t>Mirsa  Penalillo</t>
  </si>
  <si>
    <t>Geronimo Alderete</t>
  </si>
  <si>
    <t>Katherine Zambrano</t>
  </si>
  <si>
    <t>Garcia Hurtado Mendoza</t>
  </si>
  <si>
    <t>Octavio Puertas</t>
  </si>
  <si>
    <t>Claudia Valenzuela</t>
  </si>
  <si>
    <t>Toalla Papel OVELLA</t>
  </si>
  <si>
    <t>Cynthia - Huilquehue 7228</t>
  </si>
  <si>
    <t>Dinka - Fukui 6853</t>
  </si>
  <si>
    <t>Vecina Monica</t>
  </si>
  <si>
    <t>Avena / 1000 gramos</t>
  </si>
  <si>
    <t>Avena</t>
  </si>
  <si>
    <t>Karem Pozo</t>
  </si>
  <si>
    <t>Carolina Moya</t>
  </si>
  <si>
    <t>Insecticida RAID 360 cc Mata en 10 seg (Azul)</t>
  </si>
  <si>
    <t>Dani Vidal</t>
  </si>
  <si>
    <t>Toalla Papel SWAN 3 rollos</t>
  </si>
  <si>
    <t>Toalla SWAN 3 rollos</t>
  </si>
  <si>
    <t>Claudia - Tomas de Aquino 7995</t>
  </si>
  <si>
    <t>Felipe Cajas</t>
  </si>
  <si>
    <t>Claudia Leyton</t>
  </si>
  <si>
    <t>Tabita - Jardin Alto</t>
  </si>
  <si>
    <t>Andrea Arelis Troncoso</t>
  </si>
  <si>
    <t>Ingrid - Niebla 413</t>
  </si>
  <si>
    <t>Carolina Rojas</t>
  </si>
  <si>
    <t>Perla - Gingko Amarillo 8779</t>
  </si>
  <si>
    <t>Andrea - Volcan Hornopiren 5853</t>
  </si>
  <si>
    <t>Any - Los Robles 8572</t>
  </si>
  <si>
    <t>Gems NDT Spa</t>
  </si>
  <si>
    <t>Romina Diaz</t>
  </si>
  <si>
    <t>Marcela - Fray Jorge</t>
  </si>
  <si>
    <t>Gary Roa</t>
  </si>
  <si>
    <t>Ruth Gomez</t>
  </si>
  <si>
    <t>Toallitas Húmedas Adulto Teddy 50 Unidades</t>
  </si>
  <si>
    <t>Grace Huentel</t>
  </si>
  <si>
    <t>Marcela- Santa Julia 3287</t>
  </si>
  <si>
    <t>Paola - 21 Enero 7901</t>
  </si>
  <si>
    <t>CranBerry / 250 gramos</t>
  </si>
  <si>
    <t>Semillas Zapallo / 250 gramos</t>
  </si>
  <si>
    <t>Semillas Zapallo</t>
  </si>
  <si>
    <t>Rosa - Pellahuen 7216</t>
  </si>
  <si>
    <t>Andres Ramis</t>
  </si>
  <si>
    <t>Débora Garrido</t>
  </si>
  <si>
    <t>Oscar Martinez</t>
  </si>
  <si>
    <t>Transfrencia</t>
  </si>
  <si>
    <t>Marcela Diaz</t>
  </si>
  <si>
    <t>Jaki Alarcon</t>
  </si>
  <si>
    <t>HUEVOS JUMBO 20 Huevos</t>
  </si>
  <si>
    <t>Huevos JUMBO</t>
  </si>
  <si>
    <t>Eliabeth Soto</t>
  </si>
  <si>
    <t>Andrea Bravo</t>
  </si>
  <si>
    <t>MaeMuki</t>
  </si>
  <si>
    <t>Mani - New / 1000 gramos</t>
  </si>
  <si>
    <t>Mani</t>
  </si>
  <si>
    <t>Pasas Rubias / 250 gramos</t>
  </si>
  <si>
    <t>Pasas Rubias</t>
  </si>
  <si>
    <t>Pedro Orellana</t>
  </si>
  <si>
    <t>Liki Star</t>
  </si>
  <si>
    <t>Andrea Marin</t>
  </si>
  <si>
    <t>Anita Vecina JC</t>
  </si>
  <si>
    <t>Cera Amarilla Brillina 340 cc</t>
  </si>
  <si>
    <t>Mily - Diamelos 8562</t>
  </si>
  <si>
    <t>Claudia Contreras</t>
  </si>
  <si>
    <t>Toalla Papel SWAN 9 rollos</t>
  </si>
  <si>
    <t>Sergio Peralta</t>
  </si>
  <si>
    <t>Cristian Tsutsumi</t>
  </si>
  <si>
    <t>2 Bandeja HUEVOS EXTRA 30 Huevos</t>
  </si>
  <si>
    <t>Patricia Rojas (Mama Martina)</t>
  </si>
  <si>
    <t>3 Bandeja HUEVOS EXTRA 30 Huevos</t>
  </si>
  <si>
    <t>Julio Romero</t>
  </si>
  <si>
    <t>Ursula Villouta</t>
  </si>
  <si>
    <t>Natalia - Las Cumbres</t>
  </si>
  <si>
    <t>No</t>
  </si>
  <si>
    <t>Mama Laura</t>
  </si>
  <si>
    <t>HUEVOS JUMBO 30 Huevos</t>
  </si>
  <si>
    <t>Magaly Araneda</t>
  </si>
  <si>
    <t>Fabiola Campos</t>
  </si>
  <si>
    <t>Pola Guzman</t>
  </si>
  <si>
    <t>Luis - Santa Ema 2478</t>
  </si>
  <si>
    <t>Pilar Jara</t>
  </si>
  <si>
    <t>Magdalena - Tiendita online</t>
  </si>
  <si>
    <t>Lauren Cuello</t>
  </si>
  <si>
    <t>Ruben Moreno</t>
  </si>
  <si>
    <t>Andrea Alvarez</t>
  </si>
  <si>
    <t>OFERTA Toalla Papel SWAN MANGA 24 rollos</t>
  </si>
  <si>
    <t>Marcela Fredes</t>
  </si>
  <si>
    <t>Fernando Valenzuela</t>
  </si>
  <si>
    <t>Huesillos</t>
  </si>
  <si>
    <t>Manuel Peñaloza</t>
  </si>
  <si>
    <t>HUEVOS EXTRA 15 Huevos</t>
  </si>
  <si>
    <t>Claudia Ugarte</t>
  </si>
  <si>
    <t>Paula Medina</t>
  </si>
  <si>
    <t xml:space="preserve">Mantención e Infraestructura German Muñoz Diet EIRL </t>
  </si>
  <si>
    <t>Nuez Partida</t>
  </si>
  <si>
    <t>Eduardo Gonzalez</t>
  </si>
  <si>
    <t>Mamá Isi</t>
  </si>
  <si>
    <t>Patricia - Mama de Tomas Castillo</t>
  </si>
  <si>
    <t>Claudia - Los ñirres 2112</t>
  </si>
  <si>
    <t>Karina Hernandez</t>
  </si>
  <si>
    <t>Thermival Refrigeración ltda.</t>
  </si>
  <si>
    <t>Andres Gonzalez</t>
  </si>
  <si>
    <t>Bolsa Basura 70x90</t>
  </si>
  <si>
    <t>Claudio Saldias</t>
  </si>
  <si>
    <t>Magdalena - Jorge Robledo</t>
  </si>
  <si>
    <t>Estefania Vergara</t>
  </si>
  <si>
    <t>Luis Acuña</t>
  </si>
  <si>
    <t>Hector Boza</t>
  </si>
  <si>
    <t>Rodrigo Mendez</t>
  </si>
  <si>
    <t>Anita Maria Rifo</t>
  </si>
  <si>
    <t>Felipe Acevedo</t>
  </si>
  <si>
    <t>Gladys - Ayudante Valeria</t>
  </si>
  <si>
    <t>Macarena Lopez</t>
  </si>
  <si>
    <t>Gloria Pereira</t>
  </si>
  <si>
    <t>Jessica Marchese</t>
  </si>
  <si>
    <t>Sandra - Santa Estela 2437</t>
  </si>
  <si>
    <t>Alejandra  Rosales</t>
  </si>
  <si>
    <t>Carmen Diaz Torrea</t>
  </si>
  <si>
    <t>Toalla Jumbo UH</t>
  </si>
  <si>
    <t>Adriana  Ascencio</t>
  </si>
  <si>
    <t>Roberto Jimenez</t>
  </si>
  <si>
    <t>Luis - Antilhue</t>
  </si>
  <si>
    <t>Maria Provoste</t>
  </si>
  <si>
    <t>Alejandra Pino - Almuerzos</t>
  </si>
  <si>
    <t>Ibis - Bristol 9431</t>
  </si>
  <si>
    <t>Maria Jose Marambio Muñoz</t>
  </si>
  <si>
    <t>Toalla Papel SWAN MANGA 24 rollos</t>
  </si>
  <si>
    <t>Nicole - San Luis</t>
  </si>
  <si>
    <t>Maria Carola Pinochet Alcaino</t>
  </si>
  <si>
    <t>Carmen Martinez</t>
  </si>
  <si>
    <t>Cecilia Marifil</t>
  </si>
  <si>
    <t>Lisita Jimenez</t>
  </si>
  <si>
    <t>Toalla Jumbo U/H</t>
  </si>
  <si>
    <t>Javiera Abigail Maldonado</t>
  </si>
  <si>
    <t>Tia Mina</t>
  </si>
  <si>
    <t>B Nicolas Diaz I.</t>
  </si>
  <si>
    <t>Paola - Jardin del Eden</t>
  </si>
  <si>
    <t>Romi - Pasteles</t>
  </si>
  <si>
    <t>Rodrigo Fonseca</t>
  </si>
  <si>
    <t>Toalla Jumbo ECONOMIX U/H</t>
  </si>
  <si>
    <t>Alonso</t>
  </si>
  <si>
    <t>Semillas Chia</t>
  </si>
  <si>
    <t>Susana Zuñiga</t>
  </si>
  <si>
    <t>Viviana Saavedra</t>
  </si>
  <si>
    <t>Fernanda Veliz</t>
  </si>
  <si>
    <t>Ivania Leal Campos</t>
  </si>
  <si>
    <t>Erica- capernaum</t>
  </si>
  <si>
    <t>Maritza Villablanca</t>
  </si>
  <si>
    <t>Karen Tello</t>
  </si>
  <si>
    <t>Pack 3 Papel Aluminio 7.5 Metros</t>
  </si>
  <si>
    <t>Bolsa Basura 50x70</t>
  </si>
  <si>
    <t>Ximena Catalan</t>
  </si>
  <si>
    <t>Legumbres</t>
  </si>
  <si>
    <t>Porotos</t>
  </si>
  <si>
    <t>Karina Cornejo</t>
  </si>
  <si>
    <t>Garbanzos</t>
  </si>
  <si>
    <t>Cristy Palena 2985</t>
  </si>
  <si>
    <t>HUEVOS PRIMERA 30 Huevos</t>
  </si>
  <si>
    <t>Huevos PRIMERA</t>
  </si>
  <si>
    <t>Marcia Ballara</t>
  </si>
  <si>
    <t>Hielo</t>
  </si>
  <si>
    <t>Cesar Eduardo Gutierrez</t>
  </si>
  <si>
    <t>Pamela-Leonardo</t>
  </si>
  <si>
    <t>Profe Zumba</t>
  </si>
  <si>
    <t>Maria Cecilia Vargas</t>
  </si>
  <si>
    <t>Eve Colegio Antilhue</t>
  </si>
  <si>
    <t>HUEVOS PRIMERA 12 Huevos</t>
  </si>
  <si>
    <t>Jose de Grez Pavez</t>
  </si>
  <si>
    <t>Bebida 1.5 Litros</t>
  </si>
  <si>
    <t>Bebidas</t>
  </si>
  <si>
    <t>Licores Pack 2: Mistral + Coca Zero + Hielo</t>
  </si>
  <si>
    <t>Marisol Toro</t>
  </si>
  <si>
    <t>Lilian Valdes</t>
  </si>
  <si>
    <t>HUEVOS PRIMERA 20 Huevos</t>
  </si>
  <si>
    <t>Mauro - Geronimo 760</t>
  </si>
  <si>
    <t>Gladys - Condominio Las Cumbres</t>
  </si>
  <si>
    <t>Marcela Inostroza</t>
  </si>
  <si>
    <t>Carolina Verdugo</t>
  </si>
  <si>
    <t>Nancy - Ceibos</t>
  </si>
  <si>
    <t>Pedro Lavin</t>
  </si>
  <si>
    <t>Valeria Mesina</t>
  </si>
  <si>
    <t>Pamela - Las Chilcas Poniente</t>
  </si>
  <si>
    <t>Angela Navarrete</t>
  </si>
  <si>
    <t>Carlos Alberto Valenzuela Soto</t>
  </si>
  <si>
    <t>Nicole - Jardin del Eden</t>
  </si>
  <si>
    <t>Jeanette Santa Delia</t>
  </si>
  <si>
    <t>Denisse Martel (Niss Calusari)</t>
  </si>
  <si>
    <t>Alejandra Rios</t>
  </si>
  <si>
    <t>Pack 3 Film Plástico 30 Metros</t>
  </si>
  <si>
    <t>Licores Pack 4: 6 cervezas</t>
  </si>
  <si>
    <t>Pamela Droguet</t>
  </si>
  <si>
    <t>Franco Rodriguez</t>
  </si>
  <si>
    <t>Jessica Delgado</t>
  </si>
  <si>
    <t>Milena MIHOVILOVIC - Hualle Sur</t>
  </si>
  <si>
    <t>Amanda Godoy</t>
  </si>
  <si>
    <t>Antonio - oxford 9438</t>
  </si>
  <si>
    <t>Myrian Fernandez</t>
  </si>
  <si>
    <t>Angela - Colegio Concepcion</t>
  </si>
  <si>
    <t>Isolina Colegio Antilhue</t>
  </si>
  <si>
    <t>Ahorro y Calidad</t>
  </si>
  <si>
    <t>Isabel Margarita</t>
  </si>
  <si>
    <t>Irene Santa Delia</t>
  </si>
  <si>
    <t>Katherine Irribarra</t>
  </si>
  <si>
    <t>Tia Mary Antilhue</t>
  </si>
  <si>
    <t>Maria Jose Parada Mirador</t>
  </si>
  <si>
    <t>Alvaro Saez</t>
  </si>
  <si>
    <t>Fabiola Rojas</t>
  </si>
  <si>
    <t>Paola Mr</t>
  </si>
  <si>
    <t>Caballero Bicicletas</t>
  </si>
  <si>
    <t>Ricardo Contreras</t>
  </si>
  <si>
    <t>Carolina  Jardin de la viña</t>
  </si>
  <si>
    <t>Feria Las pulgas colegio Concepción</t>
  </si>
  <si>
    <t>Cristian Kuramix</t>
  </si>
  <si>
    <t>Luis Uribe</t>
  </si>
  <si>
    <t>Daniela Torres</t>
  </si>
  <si>
    <t>Leyla Guerra</t>
  </si>
  <si>
    <t>Adrian Jardin del Eden</t>
  </si>
  <si>
    <t>Patty Jardin del Eden</t>
  </si>
  <si>
    <t>Fernanda Peralta</t>
  </si>
  <si>
    <t>Cristian Arriagada</t>
  </si>
  <si>
    <t>Patricio Ortiz</t>
  </si>
  <si>
    <t>Cecilia Bustos</t>
  </si>
  <si>
    <t>HUEVOS PRIMERA 15 Huevos</t>
  </si>
  <si>
    <t>Mama Marcia</t>
  </si>
  <si>
    <t>Daniela Alejandra J.Eden</t>
  </si>
  <si>
    <t>Juan Luis Quezada</t>
  </si>
  <si>
    <t>OFERTA 2x Detergente Premium</t>
  </si>
  <si>
    <t>Paula Ramírez</t>
  </si>
  <si>
    <t>Catherine Enrique Olivares</t>
  </si>
  <si>
    <t>Licores Pack 3: Alto del Camen + Mistral + 2 Coca Zero + Hielo</t>
  </si>
  <si>
    <t>Katherine Valenzuela Colipi</t>
  </si>
  <si>
    <t>Maria Teresa</t>
  </si>
  <si>
    <t>Paola Araya Lopez</t>
  </si>
  <si>
    <t>Samuel Zuñiga</t>
  </si>
  <si>
    <t>Marisel Bolbaran</t>
  </si>
  <si>
    <t>Mama Javi</t>
  </si>
  <si>
    <t>Marisol Ramirez</t>
  </si>
  <si>
    <t>OFERTA 2x Cloro</t>
  </si>
  <si>
    <t>Dulces</t>
  </si>
  <si>
    <t>Chubis</t>
  </si>
  <si>
    <t>OFERTA 2x Lavaloza</t>
  </si>
  <si>
    <t>OFERTA 2x Limpiapiso</t>
  </si>
  <si>
    <t>Enzo Basso</t>
  </si>
  <si>
    <t>OFERTA 3 Pack Servilleta SPUM</t>
  </si>
  <si>
    <t>Carolina Olivares</t>
  </si>
  <si>
    <t>Pamela Romero</t>
  </si>
  <si>
    <t>Lorena Contreras Rojas</t>
  </si>
  <si>
    <t>Vivian Amiiiiga</t>
  </si>
  <si>
    <t>Cholitos</t>
  </si>
  <si>
    <t>REMATE: Toalla Nova Doble hoja(4)</t>
  </si>
  <si>
    <t>Mote</t>
  </si>
  <si>
    <t>Aceituna Negra - Grande</t>
  </si>
  <si>
    <t>REMATE: Manga Toalla Nova (24)</t>
  </si>
  <si>
    <t>REMATE: Manga Papel Higienico (48)</t>
  </si>
  <si>
    <t>Camila Herrera</t>
  </si>
  <si>
    <t>Semillas Linaza</t>
  </si>
  <si>
    <t>Mani - New</t>
  </si>
  <si>
    <t>REMATE: Toalla Nova 1 hoja(4)</t>
  </si>
  <si>
    <t>REMATE: Caja Servilletas</t>
  </si>
  <si>
    <t>Nuez Mariposa</t>
  </si>
  <si>
    <t>Almendra Entera</t>
  </si>
  <si>
    <t>Mama Dany</t>
  </si>
  <si>
    <t>Rodrigo Sepúlveda</t>
  </si>
  <si>
    <t>Claudia - Sofia</t>
  </si>
  <si>
    <t>Pack 2: 48 PH Spum</t>
  </si>
  <si>
    <t>Mani Japones</t>
  </si>
  <si>
    <t>Mix (Pistachos-Pasas-Cran-Zapallo-Mani)</t>
  </si>
  <si>
    <t>Papel Higènico Spum Pack 6 rollos</t>
  </si>
  <si>
    <t>Pack 1: 3 Toalla  Spum/ 12 PH Spum / 1 servilleta</t>
  </si>
  <si>
    <t>Pistachos</t>
  </si>
  <si>
    <t>Pack 0: 3 Toalla  Spum/ 12 PH Regio/ 1 servilleta</t>
  </si>
  <si>
    <t>Semillas Maravilla</t>
  </si>
  <si>
    <t>Lidia Marlene Rojas</t>
  </si>
  <si>
    <t>Sofia Godoy</t>
  </si>
  <si>
    <t>Marcela Herrera</t>
  </si>
  <si>
    <t>Aceituna Negra</t>
  </si>
  <si>
    <t>Marcus Berrios</t>
  </si>
  <si>
    <t>Tatan</t>
  </si>
  <si>
    <t>Papel Higènico Regio Pack 4 rollos</t>
  </si>
  <si>
    <t>Utilidad RIFA</t>
  </si>
  <si>
    <t>Coco Chips</t>
  </si>
  <si>
    <t>Sesamo</t>
  </si>
  <si>
    <t>Detergente Azul</t>
  </si>
  <si>
    <t>Maiz Curagua (Pop Corn)</t>
  </si>
  <si>
    <t>Greici Huentel</t>
  </si>
  <si>
    <t>Castañas Cajú</t>
  </si>
  <si>
    <t>Platanos</t>
  </si>
  <si>
    <t>Caja - Mix - 02 Premium</t>
  </si>
  <si>
    <t>Marcela Valdebenito</t>
  </si>
  <si>
    <t>Mix Dulces</t>
  </si>
  <si>
    <t>Mix</t>
  </si>
  <si>
    <t>Guaguitas</t>
  </si>
  <si>
    <t>Mix (Almendra-varios)</t>
  </si>
  <si>
    <t>Pamela Bahamondes</t>
  </si>
  <si>
    <t>Catalina Cataldo</t>
  </si>
  <si>
    <t>Alejandra Araya Herrera</t>
  </si>
  <si>
    <t>Bolitas rojas</t>
  </si>
  <si>
    <t>Chocolates</t>
  </si>
  <si>
    <t>Dulces varios</t>
  </si>
  <si>
    <t>Gomitas azucaradas</t>
  </si>
  <si>
    <t>Rocklets</t>
  </si>
  <si>
    <t>Gomas - trufas</t>
  </si>
  <si>
    <t>Mani confitado</t>
  </si>
  <si>
    <t>Caja - Mix - 01 Normal</t>
  </si>
  <si>
    <t>Luz Maria Gonzalez Maggi</t>
  </si>
  <si>
    <t>Aceituna Verde</t>
  </si>
  <si>
    <t>Papa Fabiola Rojas</t>
  </si>
  <si>
    <t>Denisse Castro</t>
  </si>
  <si>
    <t>Sra Eugenia</t>
  </si>
  <si>
    <t>Sandra</t>
  </si>
  <si>
    <t>Ciruelas</t>
  </si>
  <si>
    <t>Isabel Briseño</t>
  </si>
  <si>
    <t>Andrea</t>
  </si>
  <si>
    <t>Gina</t>
  </si>
  <si>
    <t>Macarena</t>
  </si>
  <si>
    <t>Katherine Julissa Illanes</t>
  </si>
  <si>
    <t>Yu Chu Chen</t>
  </si>
  <si>
    <t>Aceituna Grandes Remate</t>
  </si>
  <si>
    <t>Marcia Jara</t>
  </si>
  <si>
    <t>Marcelo Acuña</t>
  </si>
  <si>
    <t>Aceituna Verde - Grande</t>
  </si>
  <si>
    <t>Mix Pasas - Mani</t>
  </si>
  <si>
    <t>Leonora Espinoza</t>
  </si>
  <si>
    <t>Rodrigo Muñoz</t>
  </si>
  <si>
    <t>Wendys Arianiz Sanchez</t>
  </si>
  <si>
    <t>Aceituna Rellena Pimentón</t>
  </si>
  <si>
    <t>Caja - Dulzura</t>
  </si>
  <si>
    <t>Mary Isabel de Martino</t>
  </si>
  <si>
    <t>Natalia Zamora Orellana</t>
  </si>
  <si>
    <t>Diana Carolina Ramirez</t>
  </si>
  <si>
    <t>Faviara Aleska Quintana</t>
  </si>
  <si>
    <t>Mario Vecino</t>
  </si>
  <si>
    <t>Barbara Bahamondes</t>
  </si>
  <si>
    <t>Iva Venta</t>
  </si>
  <si>
    <t>Utilidad</t>
  </si>
  <si>
    <t>Papel Higienico SWAN 50 metros</t>
  </si>
  <si>
    <t>Toalla Papel OVELLA D/H 100 metros</t>
  </si>
  <si>
    <t>Film Plástico 30 metros</t>
  </si>
  <si>
    <t>Lavaloza MAGISTRAL 500 ml</t>
  </si>
  <si>
    <t>Aromatizante Cono TEDDY Gel LAVANDA</t>
  </si>
  <si>
    <t>Bandeja Huevos JUMBO</t>
  </si>
  <si>
    <t>Cera Tierra Color Brillina</t>
  </si>
  <si>
    <t>Lysoform 420 cc</t>
  </si>
  <si>
    <t>Toalla Papel SWAN 12 metros</t>
  </si>
  <si>
    <t>Lysoform 360 cc</t>
  </si>
  <si>
    <t>Papel Aluminio 300 metros</t>
  </si>
  <si>
    <t>Pasta de Dientes</t>
  </si>
  <si>
    <t>Cera Amarilla Brillina</t>
  </si>
  <si>
    <t>Guante NITRILO Talla XL</t>
  </si>
  <si>
    <t>Guantes de Latex Talla S</t>
  </si>
  <si>
    <t>Pastilla Cloro 200 gr</t>
  </si>
  <si>
    <t>Traperos Humedos Piso Flotante TEDDY</t>
  </si>
  <si>
    <t>Hola xx, cómo estás?
Quería contarte que la oferta del papel higiénico he decidido mantenerla para algunas(os) clientas(es), independiente que la oferta no esté vigente.  Cuándo necesites comprarla me envía un msg y la activamos.
Te envío el flayer para que la tengas presente.
Te aviso si en el correr del tiempo, pudiese sufrir algún ajuste en el precio.</t>
  </si>
  <si>
    <t>Cliente</t>
  </si>
  <si>
    <t>Dirección</t>
  </si>
  <si>
    <t>Telefono</t>
  </si>
  <si>
    <t>Rut</t>
  </si>
  <si>
    <t>Fecha Creación</t>
  </si>
  <si>
    <t>Campaña  Confort Activada</t>
  </si>
  <si>
    <t>Rut Empresa</t>
  </si>
  <si>
    <t>Razón Social</t>
  </si>
  <si>
    <t>Giro</t>
  </si>
  <si>
    <t>Dirección Facturación</t>
  </si>
  <si>
    <t>Correo</t>
  </si>
  <si>
    <t>Rut Contacto</t>
  </si>
  <si>
    <t>Nombre Contacto</t>
  </si>
  <si>
    <t>Marcela Paz 8334</t>
  </si>
  <si>
    <t>No Aplica</t>
  </si>
  <si>
    <t>San Vicente de Paul 8186 la florida jardín alto</t>
  </si>
  <si>
    <t>Rungue 8615 / Doblar en Santa Julia a mano derecha</t>
  </si>
  <si>
    <t>Quilpolemu 7170</t>
  </si>
  <si>
    <t>Tacora 9421</t>
  </si>
  <si>
    <t>Palena 2953</t>
  </si>
  <si>
    <t>Palena 2656</t>
  </si>
  <si>
    <t>San agustin 8165</t>
  </si>
  <si>
    <t>Las Condes</t>
  </si>
  <si>
    <t>Avenida Suecia 0155, oficina 304, Providencia</t>
  </si>
  <si>
    <t xml:space="preserve">TRAVEL ABROAD EXPERIENCE S.P.A
</t>
  </si>
  <si>
    <t>Sebastian Romero</t>
  </si>
  <si>
    <t>Garcia Huidobro</t>
  </si>
  <si>
    <t>Vicente Huidobro 8268 la florida</t>
  </si>
  <si>
    <t>Gingko Amarillo #8807</t>
  </si>
  <si>
    <t>Bosque Chileno 2418</t>
  </si>
  <si>
    <t>Los toros</t>
  </si>
  <si>
    <t>Portezuelo de colina 0870</t>
  </si>
  <si>
    <t>Trinidad</t>
  </si>
  <si>
    <t>Río Nilahue 4637</t>
  </si>
  <si>
    <t>Avenida la Florida 10671, depto 307.</t>
  </si>
  <si>
    <t>parque Coordillera</t>
  </si>
  <si>
    <t>Santa Rosa del Peral 4624.( problemas en numeracion de calle, está entre 4608 y 4620)</t>
  </si>
  <si>
    <t>Ecuador 8857 depto 32</t>
  </si>
  <si>
    <t>Alonso de Ercilla</t>
  </si>
  <si>
    <t>Húsares 1281</t>
  </si>
  <si>
    <t>Del huerto norte 3523</t>
  </si>
  <si>
    <t>Los tulipanes 8537</t>
  </si>
  <si>
    <t>Salón de belleza Romina</t>
  </si>
  <si>
    <t>Otras actividades ventas al por menor</t>
  </si>
  <si>
    <t>Santa Cruz 7966  / sector Geronimo Alderete con Vicuña Mackena</t>
  </si>
  <si>
    <t>Caseta de Guardias</t>
  </si>
  <si>
    <t>regular</t>
  </si>
  <si>
    <t>65210252-2</t>
  </si>
  <si>
    <t xml:space="preserve">COMITE DE ADELANTO BELLOTO AZUCENA II 
</t>
  </si>
  <si>
    <t>Villa Santa Maria</t>
  </si>
  <si>
    <t>Pellahuén 7184</t>
  </si>
  <si>
    <t>Av Tobalaba 7321,dept 102 torre 4</t>
  </si>
  <si>
    <t>Perpetua Freire 250 casa 18, condominio Jardines de Freire</t>
  </si>
  <si>
    <t>Azahares 8470</t>
  </si>
  <si>
    <t>Galilea 7707</t>
  </si>
  <si>
    <t xml:space="preserve">Santa Ema  2445 </t>
  </si>
  <si>
    <t>Sinai 9774</t>
  </si>
  <si>
    <t>Pitosporo 8628</t>
  </si>
  <si>
    <t>5to C</t>
  </si>
  <si>
    <t>Pasaje Generosidad 0667. Puente Alto</t>
  </si>
  <si>
    <t>Sector Santa Julia</t>
  </si>
  <si>
    <t>Santa julia 2402</t>
  </si>
  <si>
    <t>Las Lomas 7860</t>
  </si>
  <si>
    <t>Jardín del edén 3410</t>
  </si>
  <si>
    <t>Santa estela 2425</t>
  </si>
  <si>
    <t>Universidad Autonoma Chile /Ramón Subercaseaux 1404, San Miguel (Metro San Miguel, Línea 2)</t>
  </si>
  <si>
    <t>Rojas magallanes 2312, dpto 433</t>
  </si>
  <si>
    <t>Coligual 2472</t>
  </si>
  <si>
    <t>Azucena 9239</t>
  </si>
  <si>
    <t>OK</t>
  </si>
  <si>
    <t>Walker Martínez 1612 , depto 78B</t>
  </si>
  <si>
    <t>San Venancio 2819</t>
  </si>
  <si>
    <t>Por definir</t>
  </si>
  <si>
    <t>Garcia hurtado de Mendoza 7620</t>
  </si>
  <si>
    <t>Diamelos 8556</t>
  </si>
  <si>
    <t>El Arrayan 8453</t>
  </si>
  <si>
    <t>Volcan Hornopiren 5853</t>
  </si>
  <si>
    <t>Diamelos 8453</t>
  </si>
  <si>
    <t>Diamelos 8465</t>
  </si>
  <si>
    <t>Pasaje Negrillo 9586</t>
  </si>
  <si>
    <t>Azucena 9393 Villa Jardines de la viña</t>
  </si>
  <si>
    <t>Belloto del norte oriente 9357</t>
  </si>
  <si>
    <t>Inés de Suarez 7990 depto 312</t>
  </si>
  <si>
    <t>Yokohama 6916, La Florida</t>
  </si>
  <si>
    <t>Belloto del norte oriente 9286</t>
  </si>
  <si>
    <t>Colegio Concepción</t>
  </si>
  <si>
    <t>Santa Amalia 3500 depto 21G</t>
  </si>
  <si>
    <t>Pasaje pitosporo 8581</t>
  </si>
  <si>
    <t>Tuliperos 3402</t>
  </si>
  <si>
    <t>Medellín 9797</t>
  </si>
  <si>
    <t>oxford 9438</t>
  </si>
  <si>
    <t>Los Robles 8572</t>
  </si>
  <si>
    <t>Vicente Valdés 87 dpto 126 torre las violetas</t>
  </si>
  <si>
    <t>77215640-5</t>
  </si>
  <si>
    <t xml:space="preserve">ADM DE VENTAS AL DETALLE
</t>
  </si>
  <si>
    <t>Av la florida 8220 Local 20</t>
  </si>
  <si>
    <t>17.962.525-3</t>
  </si>
  <si>
    <t>MACARENA IGNACIA BENAVIDES CORDOVA</t>
  </si>
  <si>
    <t>VENTAS AL POR MAYOR DE FRUTAS Y VERDURAS</t>
  </si>
  <si>
    <t>Amigas Soledad</t>
  </si>
  <si>
    <t>Belloto del norte Oriente 9369</t>
  </si>
  <si>
    <t>Arrayan 3358</t>
  </si>
  <si>
    <t>Doctor Sotero del rio 250 casa 1</t>
  </si>
  <si>
    <t>Lantana 8477</t>
  </si>
  <si>
    <t>Jardin del eden 3462</t>
  </si>
  <si>
    <t>Ines de Suarez</t>
  </si>
  <si>
    <t>Inés de Suárez 7763 depto 705</t>
  </si>
  <si>
    <t>Los tuliperos 3371</t>
  </si>
  <si>
    <t>Belloto del norte oriente 9366</t>
  </si>
  <si>
    <t>Enrique Olivares 3319</t>
  </si>
  <si>
    <t>Los Algarrobos 5065</t>
  </si>
  <si>
    <t xml:space="preserve">Sector Santa Delia </t>
  </si>
  <si>
    <t>Santa Adela 2463</t>
  </si>
  <si>
    <t>Gerónimo de Alderete 3447 / Jardin Alto con Geronimo Alderete</t>
  </si>
  <si>
    <t>Sector Las Mercedes</t>
  </si>
  <si>
    <t>Quilpoco 2026</t>
  </si>
  <si>
    <t>Caseta Guardias</t>
  </si>
  <si>
    <t>Guardias</t>
  </si>
  <si>
    <t>Belloto del norte oriente 9381</t>
  </si>
  <si>
    <t>Santa Estela 2461</t>
  </si>
  <si>
    <t>Pasaje Nuestra Señora de Los Dolores 1859</t>
  </si>
  <si>
    <t>Santa Julia 3384</t>
  </si>
  <si>
    <t>Belloto del norte Oriente 9298</t>
  </si>
  <si>
    <t>Walker Martinez 3611 Casa 120 (Frente tottus)</t>
  </si>
  <si>
    <t>Antofagasta 3450</t>
  </si>
  <si>
    <t>Mexico con rojas magallanes</t>
  </si>
  <si>
    <t>Rojas Magallanes 1121</t>
  </si>
  <si>
    <t xml:space="preserve">LOS ROBLES 8626
</t>
  </si>
  <si>
    <t>78122545-2</t>
  </si>
  <si>
    <t xml:space="preserve">CENTRO DE TERAPIAS WILUF SPA
</t>
  </si>
  <si>
    <t xml:space="preserve">contacto@centrowiluf.cl </t>
  </si>
  <si>
    <t>Romina Mella</t>
  </si>
  <si>
    <t>Los Alerces 8426</t>
  </si>
  <si>
    <t>Las Mercedes</t>
  </si>
  <si>
    <t>Las Mercedes 7655</t>
  </si>
  <si>
    <t>Jardín alto 8994</t>
  </si>
  <si>
    <t>Los ñirres 2112, La florida</t>
  </si>
  <si>
    <t>Tomas de Aquino 7995</t>
  </si>
  <si>
    <t>Señora del Carmen 9710, la florida</t>
  </si>
  <si>
    <t>Belloto del norte oriente 9225</t>
  </si>
  <si>
    <t>14 Vicuña</t>
  </si>
  <si>
    <t>Calle Nueva 120 depto 403</t>
  </si>
  <si>
    <t>Del huerto norte 3553</t>
  </si>
  <si>
    <t>Pasaje El Coihue 8578</t>
  </si>
  <si>
    <t>Azucena del campo Oriente 9415</t>
  </si>
  <si>
    <t>El hualle sur 9469.</t>
  </si>
  <si>
    <t>Sector Domo</t>
  </si>
  <si>
    <t>Azahares 8549</t>
  </si>
  <si>
    <t>Claudio Castro Urrutia</t>
  </si>
  <si>
    <t>Antofagasta 3404</t>
  </si>
  <si>
    <t>Ecuador 8952</t>
  </si>
  <si>
    <t>Azucena del campo poniente 9427</t>
  </si>
  <si>
    <t>Antofagasta 3341</t>
  </si>
  <si>
    <t>65146417-K</t>
  </si>
  <si>
    <t xml:space="preserve">CORPORACION EDUCACIONAL DAME LA MANO
</t>
  </si>
  <si>
    <t xml:space="preserve">ENSEÑANZA PREESCOLAR PRIVADA
</t>
  </si>
  <si>
    <t xml:space="preserve">GENERAL SILVA 12059 EL ALMENDRO, EL BOSQUE
</t>
  </si>
  <si>
    <t>12857897-8</t>
  </si>
  <si>
    <t>Santa Delia 8927</t>
  </si>
  <si>
    <t>Sector Vicente Valdez</t>
  </si>
  <si>
    <t>Vicente valdes 87.  Departamento 141 las violetas</t>
  </si>
  <si>
    <t>Azucena del Campo Poniente 3964 (Plaza)</t>
  </si>
  <si>
    <t>Antilhue Emprende</t>
  </si>
  <si>
    <t>Selva Oscura 1921</t>
  </si>
  <si>
    <t>Los tulipanes 8501</t>
  </si>
  <si>
    <t>Palena 2985</t>
  </si>
  <si>
    <t>Belloto del norte oriente 9384</t>
  </si>
  <si>
    <t>Huilquehue 7228</t>
  </si>
  <si>
    <t>Colombia 7000 - depto 87</t>
  </si>
  <si>
    <t>Pasaje Noviciado 850 / Valentina Lepe con Sta Amalia</t>
  </si>
  <si>
    <t>Vicente Valdes</t>
  </si>
  <si>
    <t>Vicente Valdez 89 / Casillero Depto 32 Camelia</t>
  </si>
  <si>
    <t>La Montura 4577</t>
  </si>
  <si>
    <t>Magnolio 3366</t>
  </si>
  <si>
    <t>Lantana 8599</t>
  </si>
  <si>
    <t>Cumelen Bajo 8948 entrar por loma oriente</t>
  </si>
  <si>
    <t>Sector Walker Martinez</t>
  </si>
  <si>
    <t>Walker Martínez 3142 depto. 404</t>
  </si>
  <si>
    <t>Sector Nalcas Sur</t>
  </si>
  <si>
    <t>Ginko amarillo 8840</t>
  </si>
  <si>
    <t>Rojas Magallanes 2085 Depto 401</t>
  </si>
  <si>
    <t>Fukui 6853</t>
  </si>
  <si>
    <t>Ñipa 1087 villa areas verdes  la Florida</t>
  </si>
  <si>
    <t>Ex-LATAM</t>
  </si>
  <si>
    <t>Belloto del norte (vecina al lado izquierdo)</t>
  </si>
  <si>
    <t>Alonso Ercilla</t>
  </si>
  <si>
    <t>Alonso de Ercilla 8689 depto C401</t>
  </si>
  <si>
    <t>Santa Elvira 8445</t>
  </si>
  <si>
    <t>Sándalo Poniente # 8391</t>
  </si>
  <si>
    <t>capernaum 3473 con Jardin Alto</t>
  </si>
  <si>
    <t>Huilquehue 2783, La Florida</t>
  </si>
  <si>
    <t>San Iñigo 3319</t>
  </si>
  <si>
    <t>Azucena 9227</t>
  </si>
  <si>
    <t xml:space="preserve">Antofagasta 3490 </t>
  </si>
  <si>
    <t>Walker Martinez 2991 Torre A Depto 1204</t>
  </si>
  <si>
    <t>Belloto del norte oriente 9358</t>
  </si>
  <si>
    <t>Voz de arauco 7155</t>
  </si>
  <si>
    <t>Felipe</t>
  </si>
  <si>
    <t>Santa Julia</t>
  </si>
  <si>
    <t>Geronimo Alderete 8061</t>
  </si>
  <si>
    <t>Diagonal Santa Irene 3053 B</t>
  </si>
  <si>
    <t>El Llaverio 7373 la Florida</t>
  </si>
  <si>
    <t>Azucena del campo poniente 9369</t>
  </si>
  <si>
    <t>Amiga Vane</t>
  </si>
  <si>
    <t>Negrillo 9507</t>
  </si>
  <si>
    <t>Sector Geronimo Alderete</t>
  </si>
  <si>
    <t>Geronimo de Alderete 1800</t>
  </si>
  <si>
    <t>Denebola 1064</t>
  </si>
  <si>
    <t>Evaluar</t>
  </si>
  <si>
    <t>Salar de Atacama 1287, Pudahuel</t>
  </si>
  <si>
    <t xml:space="preserve">Fyrma Grafica Limitada
</t>
  </si>
  <si>
    <t>imprenta</t>
  </si>
  <si>
    <t xml:space="preserve">Salar de Atacama 1287, Pudahuel
</t>
  </si>
  <si>
    <t>Patricia Saavedra Riffo</t>
  </si>
  <si>
    <t>Hualle Sur 8312</t>
  </si>
  <si>
    <t>Jardin del Eden 3367</t>
  </si>
  <si>
    <t>Rojas Magallanes 416, la Florida</t>
  </si>
  <si>
    <t>76258505-7</t>
  </si>
  <si>
    <t xml:space="preserve">Servicio de inspección y control de calidad
</t>
  </si>
  <si>
    <t xml:space="preserve">Rojas Magallanes 416, la Florida 
</t>
  </si>
  <si>
    <t>Azucena 9356  (Mamá Panda)</t>
  </si>
  <si>
    <t>Azucena 9382 Villa Jardines de la viña</t>
  </si>
  <si>
    <t>76278132-8</t>
  </si>
  <si>
    <t>Los ceibos oriente 9277</t>
  </si>
  <si>
    <t>Estela 2417</t>
  </si>
  <si>
    <t>Condominio Las Cumbres</t>
  </si>
  <si>
    <t>Rojas Magallanes 2312(Condominio Las Cumbres departamento 154 Torre 5)</t>
  </si>
  <si>
    <t>cuñada Rosanna Contreras</t>
  </si>
  <si>
    <t>Belloto del norte oriente 9395</t>
  </si>
  <si>
    <t>Walker Martinez 3491</t>
  </si>
  <si>
    <t>Fyrma Grafica</t>
  </si>
  <si>
    <t>Santa Julia 3468, esquina Diamelos</t>
  </si>
  <si>
    <t>Perdices</t>
  </si>
  <si>
    <t>Lapihue 7222</t>
  </si>
  <si>
    <t>Psje. Toconay 7698</t>
  </si>
  <si>
    <t>Bristol 9431  /  Por Enrique Olivares doblar en Oxford/ cerca de AvLaflorida</t>
  </si>
  <si>
    <t>76134158-8</t>
  </si>
  <si>
    <t>agencia de viajes</t>
  </si>
  <si>
    <t>Ahumada 11 of 107, comuna santiago</t>
  </si>
  <si>
    <t>operaciones@turismoinam.cl</t>
  </si>
  <si>
    <t>Hurtado Mendoza 7550 A</t>
  </si>
  <si>
    <t>La Concepción 7633 dpto 38</t>
  </si>
  <si>
    <t>77334103-6</t>
  </si>
  <si>
    <t>Niebla 413</t>
  </si>
  <si>
    <t>Walker Martínez 3142 depto. 804</t>
  </si>
  <si>
    <t>Perú 8389</t>
  </si>
  <si>
    <t>Santa NeLly 8931</t>
  </si>
  <si>
    <t>Belloto del norte oriente 9407</t>
  </si>
  <si>
    <t>El Arrayán 3346</t>
  </si>
  <si>
    <t>Mexico</t>
  </si>
  <si>
    <t>Las campanulas 8487 (México con perpetúa Freire Aprox)</t>
  </si>
  <si>
    <t>Santa Delia 8858</t>
  </si>
  <si>
    <t>Huichahue 2790</t>
  </si>
  <si>
    <t>La concepción 7633, depto 23</t>
  </si>
  <si>
    <t>Alicahue 9633</t>
  </si>
  <si>
    <t>JavierZuñiga</t>
  </si>
  <si>
    <t>Palena 2632 /  Trabajo:  Av. central 4321</t>
  </si>
  <si>
    <t>Santa Nelly 8871</t>
  </si>
  <si>
    <t>Santa Isidora 2435 Villa Santa Delia</t>
  </si>
  <si>
    <t>Enrique olivares 536</t>
  </si>
  <si>
    <t>Pasaje los tuliperos 3378</t>
  </si>
  <si>
    <t>Pitosporo 8494</t>
  </si>
  <si>
    <t>Jorge robledo 3069</t>
  </si>
  <si>
    <t xml:space="preserve">Sector Rojas M / Alicahue </t>
  </si>
  <si>
    <t>El Pastizal 1621</t>
  </si>
  <si>
    <t>Santa Adriana 1631</t>
  </si>
  <si>
    <t>Santa Lidia 8872, La Florida</t>
  </si>
  <si>
    <t>Juan Farfan</t>
  </si>
  <si>
    <t>Azucena del campo poniente 9375</t>
  </si>
  <si>
    <t>Pitosporo 8500</t>
  </si>
  <si>
    <t>Juaquin Mascaso</t>
  </si>
  <si>
    <t>Santa Estela 2445</t>
  </si>
  <si>
    <t>Rojas Magallanes 2312 Depto 327 t3</t>
  </si>
  <si>
    <t>Azahares 8566</t>
  </si>
  <si>
    <t>Los Instaladores 5664-5626, Peñalolén</t>
  </si>
  <si>
    <t>Pasaje Tulipanes 8579</t>
  </si>
  <si>
    <t>Hualle Sur 8852</t>
  </si>
  <si>
    <t>Av vicuña poniente 6839 la florida depto 1912</t>
  </si>
  <si>
    <t>El Fenal 7006, la Florida (referencia Walker Martínez, Chacón Zamora, los ararios) al final del pasaje</t>
  </si>
  <si>
    <t>Sector Mercedes</t>
  </si>
  <si>
    <t>Nueva Aldea 1917</t>
  </si>
  <si>
    <t>Jardin del eden 3437</t>
  </si>
  <si>
    <t>Kata Inostroza</t>
  </si>
  <si>
    <t>Colegio Patrona</t>
  </si>
  <si>
    <t>Ongolmo 7471 torre g depto 203</t>
  </si>
  <si>
    <t>Sector Quillay</t>
  </si>
  <si>
    <t>El quillay 8345, La Florida (subir por Santa Julia)</t>
  </si>
  <si>
    <t>Garcia Hurtado de mendoza 8293 Depto 206D</t>
  </si>
  <si>
    <t>Mall Tobalaba</t>
  </si>
  <si>
    <t>Antofagasta 3367</t>
  </si>
  <si>
    <t>Leonardo Tapia</t>
  </si>
  <si>
    <t>Sector Trinidad</t>
  </si>
  <si>
    <t>Trinidad Oriente 8633</t>
  </si>
  <si>
    <t>Mirador</t>
  </si>
  <si>
    <t>Vicuña Mackenna Oriente 6187 depto 1002 torre D</t>
  </si>
  <si>
    <t>Los Barbechos Sur 9041</t>
  </si>
  <si>
    <t>El arrayan 3365</t>
  </si>
  <si>
    <t>Santa Julia 3323</t>
  </si>
  <si>
    <t>Pasaje Argentina</t>
  </si>
  <si>
    <t>Los Tulipanes 8573</t>
  </si>
  <si>
    <t>Santa Ema 2478</t>
  </si>
  <si>
    <t>El Hualle Sur 9487</t>
  </si>
  <si>
    <t>Luis Fernando Concha</t>
  </si>
  <si>
    <t xml:space="preserve">Nuestra Señora Fatima 9506  </t>
  </si>
  <si>
    <t>Lancaster 9452</t>
  </si>
  <si>
    <t>Santa Cristina 2161</t>
  </si>
  <si>
    <t>Lo.alamos poniente 9310, Condominio los Robles</t>
  </si>
  <si>
    <t>Sector Hualle Sur</t>
  </si>
  <si>
    <t>El hualle sur 9622</t>
  </si>
  <si>
    <t>Huilquehue 2773</t>
  </si>
  <si>
    <t>Madeleanne Cabrera</t>
  </si>
  <si>
    <t>Las Nalcas Sur 9365</t>
  </si>
  <si>
    <t>Jardín del edén 3498</t>
  </si>
  <si>
    <t>Antofagasta 3426</t>
  </si>
  <si>
    <t>jorge robledo 3084 con Carlos witting</t>
  </si>
  <si>
    <t>San Bernabé 3302 la florida</t>
  </si>
  <si>
    <t>76875935-9</t>
  </si>
  <si>
    <t xml:space="preserve">Mantención e Infraestructura German Muñoz Diet EIRL   </t>
  </si>
  <si>
    <t>Fray Jorge</t>
  </si>
  <si>
    <t>Fray Jorge 6863, la florida</t>
  </si>
  <si>
    <t>Parina 9583</t>
  </si>
  <si>
    <t>Santa Ema 2442</t>
  </si>
  <si>
    <t>Azucena 9250</t>
  </si>
  <si>
    <t>14 Vickuña</t>
  </si>
  <si>
    <t>Los carrera 7373</t>
  </si>
  <si>
    <t>Walker Martinez 750 depto 85 (walker con colombia)</t>
  </si>
  <si>
    <t>Azucena 9226</t>
  </si>
  <si>
    <t>Lientur</t>
  </si>
  <si>
    <t>Lientur 7386 departamento 407</t>
  </si>
  <si>
    <t>Santa Julia 3287, Hacia la costa</t>
  </si>
  <si>
    <t>Sector Maipu</t>
  </si>
  <si>
    <t>Wule 9469</t>
  </si>
  <si>
    <t>Palena 2815 casa J / Alicahue</t>
  </si>
  <si>
    <t>Hurtado Mendoza 8111 - Depto 201</t>
  </si>
  <si>
    <t>Huinganes  2615 con Vecinal  / Villa Santa María de la florida</t>
  </si>
  <si>
    <t>Neto</t>
  </si>
  <si>
    <t>Huilqueco 7351</t>
  </si>
  <si>
    <t>Belloto del norte oriente 9246</t>
  </si>
  <si>
    <t>Azucena 9251</t>
  </si>
  <si>
    <t>Entrega en Colegio Antilhue</t>
  </si>
  <si>
    <t>Hualle Sur 9526</t>
  </si>
  <si>
    <t>Azucena Sur 9397</t>
  </si>
  <si>
    <t>Ciudad del Este</t>
  </si>
  <si>
    <t>Pasaje Piedra Blanca 4348, Puente Alto</t>
  </si>
  <si>
    <t>Oriente 9402</t>
  </si>
  <si>
    <t>Sector Mirador</t>
  </si>
  <si>
    <t>Liverpool 6428, La Florida. Metro Mirador, cerca Unimarc</t>
  </si>
  <si>
    <t>Los Ceibos 4190</t>
  </si>
  <si>
    <t xml:space="preserve">DANIELA JOSEFA RIFFO CHACON
</t>
  </si>
  <si>
    <t>PELUQUERIA Y OTROS TRATAMIENTOS DE BELLEZA</t>
  </si>
  <si>
    <t>W MARTINEZ 2051 LC 8 LAS MERCEDES</t>
  </si>
  <si>
    <t>Maria Jose GUINDOS</t>
  </si>
  <si>
    <t>Andalien 7273</t>
  </si>
  <si>
    <t>Mariela Garin</t>
  </si>
  <si>
    <t>Diamelos 8447, Jardin del Eden</t>
  </si>
  <si>
    <t>Quipulco 7191 villa santa María</t>
  </si>
  <si>
    <t>Azucena del campo poniente 9239</t>
  </si>
  <si>
    <t>Abedul plateado central 9202. Jardines de la viña</t>
  </si>
  <si>
    <t>Jardín del Edén 3452</t>
  </si>
  <si>
    <t>Geronimo de alderete 790 Depto 207 Torre C</t>
  </si>
  <si>
    <t>Kutral 9493</t>
  </si>
  <si>
    <t>Laguna del Inca 4309</t>
  </si>
  <si>
    <t>Pasaje Andromeda 0652 esquina de Rio Claro</t>
  </si>
  <si>
    <t>El Hualle Sur 9074</t>
  </si>
  <si>
    <t>San René 1962</t>
  </si>
  <si>
    <t>Diamelos 8562</t>
  </si>
  <si>
    <t>Geronimo de alderete 790 dpto 505 t3</t>
  </si>
  <si>
    <t>Chapihue 7123</t>
  </si>
  <si>
    <t>Santa Nelly 8927</t>
  </si>
  <si>
    <t>La Loma</t>
  </si>
  <si>
    <t>Villa Alemana 7870</t>
  </si>
  <si>
    <t>Condominio Las cumbres Torre 5 dpto. 651</t>
  </si>
  <si>
    <t>Depto 703</t>
  </si>
  <si>
    <t>Plaza el Lingue 3477</t>
  </si>
  <si>
    <t>Sector San Luis</t>
  </si>
  <si>
    <t>Pasaje 403 casa 5761 Peñalolén</t>
  </si>
  <si>
    <t>Jardin del eden 3316</t>
  </si>
  <si>
    <t>Canquen 8826 / en araucania llegando a rojas magallanes</t>
  </si>
  <si>
    <t>78084059-5</t>
  </si>
  <si>
    <t>NIDO DEL CARPINTERO SPA</t>
  </si>
  <si>
    <t>CANQUEN 8826, LA FLORIDA</t>
  </si>
  <si>
    <t>17680326-6</t>
  </si>
  <si>
    <t>Catalina Guzman Ahumada</t>
  </si>
  <si>
    <t>Sandalo sur 3429</t>
  </si>
  <si>
    <t>Del Bosque 3555</t>
  </si>
  <si>
    <t>Alicahue 7377 casa 20</t>
  </si>
  <si>
    <t>Santa Isidora 2458</t>
  </si>
  <si>
    <t>Trukur 9536</t>
  </si>
  <si>
    <t>Las Chilcas</t>
  </si>
  <si>
    <t>Rojas Magallanes 4210</t>
  </si>
  <si>
    <t>Rojas Magallenes 2312, Depto 147</t>
  </si>
  <si>
    <t>Santa aurora 2452. Frente a la plaza queda ..santa aurora</t>
  </si>
  <si>
    <t>tbd</t>
  </si>
  <si>
    <t>21 Enero 7901 / Geronimo Alderete</t>
  </si>
  <si>
    <t>Azucena del campo poniente 9262</t>
  </si>
  <si>
    <t>Belloto del norte oriente 9324</t>
  </si>
  <si>
    <t>Alicahue 9266 / Rojas Magallanes</t>
  </si>
  <si>
    <t>Patricio Castro</t>
  </si>
  <si>
    <t>Sector Mexico</t>
  </si>
  <si>
    <t>México 9375</t>
  </si>
  <si>
    <t xml:space="preserve">Plaza El Lingue 3468 </t>
  </si>
  <si>
    <t>Avenida Rojas Magallanes 4237 </t>
  </si>
  <si>
    <t>Gregorio de la fuente 3267</t>
  </si>
  <si>
    <t>Huilquehue 7311</t>
  </si>
  <si>
    <t>Santa Estela 2453</t>
  </si>
  <si>
    <t>Lantana 8459 ,villa Jardín del Edén</t>
  </si>
  <si>
    <t>Uva de la Cordillera 9057</t>
  </si>
  <si>
    <t>Gingko Amarillo 8779</t>
  </si>
  <si>
    <t>Azucena del campo poniente 9215</t>
  </si>
  <si>
    <t>Santa ema 2417</t>
  </si>
  <si>
    <t>San Jose de la Estrella</t>
  </si>
  <si>
    <t>El Mármol 10562</t>
  </si>
  <si>
    <t>Las Lomas 7815 / Las Clarisas</t>
  </si>
  <si>
    <t>Zumba</t>
  </si>
  <si>
    <t>Belloto del norte oriente 9245</t>
  </si>
  <si>
    <t>Raul Fredes</t>
  </si>
  <si>
    <t>Av departamental 4141 (restaurante Los Naranjos)</t>
  </si>
  <si>
    <t>19681280-6</t>
  </si>
  <si>
    <t>CRISTOBAL IGNACIO FREDES CARO</t>
  </si>
  <si>
    <t>ACTIVIDADES DE RESTAURANTES Y DE SERVICI</t>
  </si>
  <si>
    <t>AVDA DEPARTAMENTAL 4141</t>
  </si>
  <si>
    <t>Rebeca</t>
  </si>
  <si>
    <t xml:space="preserve">Belloto del norte oriente 9263 </t>
  </si>
  <si>
    <t>El arrayan 3359</t>
  </si>
  <si>
    <t>Jardin Alto 8525</t>
  </si>
  <si>
    <t>Belloto del norte oriente 9298</t>
  </si>
  <si>
    <t>Azucena del campo poniente 9409</t>
  </si>
  <si>
    <t>Garcia Hurtado de Mendoza 8608</t>
  </si>
  <si>
    <t>tdb</t>
  </si>
  <si>
    <t>Capernaum</t>
  </si>
  <si>
    <t>Huanque 2494 la Florida</t>
  </si>
  <si>
    <t>Vecinal 7164</t>
  </si>
  <si>
    <t>Pellahuen 7216  / 2 pasajes antes de Vecinal</t>
  </si>
  <si>
    <t>Santa isidora 2418</t>
  </si>
  <si>
    <t>Hualle Sur 9432</t>
  </si>
  <si>
    <t>Diamelos 8568</t>
  </si>
  <si>
    <t>Sector santa delia</t>
  </si>
  <si>
    <t>Santa Estela 2437</t>
  </si>
  <si>
    <t>México 8960 depto 304</t>
  </si>
  <si>
    <t>Walker Martínez 3350 Depto 91</t>
  </si>
  <si>
    <t>Santa Estela 2441</t>
  </si>
  <si>
    <t>Palhuen 2620</t>
  </si>
  <si>
    <t>Las lilas 1681, La Florida</t>
  </si>
  <si>
    <t>Pasaje El Arrayán , 3361, Villa Jardín del Edén.</t>
  </si>
  <si>
    <t>Santa Amalia 3500, depto 23B</t>
  </si>
  <si>
    <t>Belloto del norte 9378</t>
  </si>
  <si>
    <t>Santa nelly 8931, la Florida</t>
  </si>
  <si>
    <t>Huilquehue 7298</t>
  </si>
  <si>
    <t xml:space="preserve">casa 3958 </t>
  </si>
  <si>
    <t>Azucena 9409</t>
  </si>
  <si>
    <t>Jardín Alto 7921</t>
  </si>
  <si>
    <t>Lago Cochrane 9650</t>
  </si>
  <si>
    <t>San Agustín 7872</t>
  </si>
  <si>
    <t>Antilco 7340</t>
  </si>
  <si>
    <t>76099911-3</t>
  </si>
  <si>
    <t xml:space="preserve">Thermival Refrigeración ltda.
</t>
  </si>
  <si>
    <t>veronicayevi@hotmail.com</t>
  </si>
  <si>
    <t>Sanchez Fontecilla</t>
  </si>
  <si>
    <t>Sánchez Fontecilla 9150</t>
  </si>
  <si>
    <t>Rucapequen poniente 9661</t>
  </si>
  <si>
    <t>Santa Delia 7721</t>
  </si>
  <si>
    <t>Las palmas norte 4853</t>
  </si>
  <si>
    <t>Azucena 9383</t>
  </si>
  <si>
    <t>Pitosporo 8459</t>
  </si>
  <si>
    <t>Britania 1770</t>
  </si>
  <si>
    <t>Rojas Magallanes 4080</t>
  </si>
  <si>
    <t>Tromen 7301 la florida</t>
  </si>
  <si>
    <t>Belloto del norte oriente 9262</t>
  </si>
  <si>
    <t>Paicavi 2880 (Casa E)</t>
  </si>
  <si>
    <t>Hualle Sur 9362</t>
  </si>
  <si>
    <t>Volcán Lonquimay 5899-5911, La Florida, Región Metropolitana</t>
  </si>
  <si>
    <t>Los tulipanes 8615</t>
  </si>
  <si>
    <t>Santa Lidia 8904</t>
  </si>
  <si>
    <t>Sándalo Poniente 8391</t>
  </si>
  <si>
    <t>El Llaverio 7332</t>
  </si>
  <si>
    <t>Amigas Paulina</t>
  </si>
  <si>
    <t>Rojas Magallanes 055 frente a la estación</t>
  </si>
  <si>
    <t>77588015-5</t>
  </si>
  <si>
    <t>Cacao Pastry limitada</t>
  </si>
  <si>
    <t>Grupo</t>
  </si>
  <si>
    <t>Glosa - Productos</t>
  </si>
  <si>
    <t>Grupo Producto</t>
  </si>
  <si>
    <t>Peso gramos</t>
  </si>
  <si>
    <t>Costo Neto Producto</t>
  </si>
  <si>
    <t>Costo Neto Insumos</t>
  </si>
  <si>
    <t>Costo Neto Total Producto</t>
  </si>
  <si>
    <t>Iva Compra</t>
  </si>
  <si>
    <t>% Utilidad</t>
  </si>
  <si>
    <t>Precio Venta Neto</t>
  </si>
  <si>
    <t>Precio Venta Bruto</t>
  </si>
  <si>
    <t>dif</t>
  </si>
  <si>
    <t>xx</t>
  </si>
  <si>
    <t>%xx</t>
  </si>
  <si>
    <t>Valor Venta</t>
  </si>
  <si>
    <t>Costo Kilo</t>
  </si>
  <si>
    <t>Costo gramos</t>
  </si>
  <si>
    <t>Insumos</t>
  </si>
  <si>
    <t>Costo Real</t>
  </si>
  <si>
    <t>Flag</t>
  </si>
  <si>
    <t>Producto Venta</t>
  </si>
  <si>
    <t>Producto Inventario</t>
  </si>
  <si>
    <t>Cantidad a Rebajar</t>
  </si>
  <si>
    <t>Mercaderia</t>
  </si>
  <si>
    <t>Te</t>
  </si>
  <si>
    <t>Endulsante</t>
  </si>
  <si>
    <t>Cafe</t>
  </si>
  <si>
    <t>2 x Queso Rueda Cabra</t>
  </si>
  <si>
    <t>2 x Queso Rueda Sabores</t>
  </si>
  <si>
    <t>3 Toalla Jumbo OVELLA D/H</t>
  </si>
  <si>
    <t>Paños Cocina Fibra (30x50 cm)</t>
  </si>
  <si>
    <t>Tableta Cloro</t>
  </si>
  <si>
    <t>Pasta de dientes</t>
  </si>
  <si>
    <t>Velas Pequeñas (4 unidades)</t>
  </si>
  <si>
    <t>Velas Pequeñas</t>
  </si>
  <si>
    <t>Pack 3 x Velas Pequeñas (4 unidades)</t>
  </si>
  <si>
    <t>6 x Bolsa Basura Teddy 90x120</t>
  </si>
  <si>
    <t>Aceituna Grandes</t>
  </si>
  <si>
    <t>x</t>
  </si>
  <si>
    <t>10 Cajas 100 Guantes NITRILO Talla XL</t>
  </si>
  <si>
    <t>10 Cajas Guantes NITRILO Talla L</t>
  </si>
  <si>
    <t>10 Cajas Guantes NITRILO Talla M</t>
  </si>
  <si>
    <t>10 Cajas Guantes NITRILO Talla S</t>
  </si>
  <si>
    <t>Bolsas Basura 50x70</t>
  </si>
  <si>
    <t>Bolsas Basura 70x90</t>
  </si>
  <si>
    <t>Cafe trigo</t>
  </si>
  <si>
    <t>Cafe Trigo</t>
  </si>
  <si>
    <t>CAJA 10 Pack Servilleta</t>
  </si>
  <si>
    <t>Detergente Bio Frescura Bosque Nativo (Verde)</t>
  </si>
  <si>
    <t>Detergente Bio Frescura Campos de Hielo (Azul)</t>
  </si>
  <si>
    <t>Detergente Bio Frescura Desierto Florido (Naranjo)</t>
  </si>
  <si>
    <t>Bandejas Huevos PRIMERA</t>
  </si>
  <si>
    <t>Licores Pack 1: Alto del Carmen+ Coca Zero + Hielo</t>
  </si>
  <si>
    <t>Mantequilla COLUN</t>
  </si>
  <si>
    <t>Mix Normal</t>
  </si>
  <si>
    <t>OFERTA 2x Suavizante</t>
  </si>
  <si>
    <t>OFERTA 4 Longanizas VILLABLANCA</t>
  </si>
  <si>
    <t>OFERTA 3 Longanizas VILLABLANCA</t>
  </si>
  <si>
    <t>OFERTA CAJA 10 Pack Servilleta</t>
  </si>
  <si>
    <t>OFERTA Pack 6 Toalla Jumbo OVELLA D/H</t>
  </si>
  <si>
    <t>OFERTA Pack 6 Toalla Jumbo SWAN D/H</t>
  </si>
  <si>
    <t xml:space="preserve">OFERTA Toalla NOVA MANGA 12 rollos </t>
  </si>
  <si>
    <t xml:space="preserve">OFERTA Toalla NOVA MANGA 24 rollos </t>
  </si>
  <si>
    <t xml:space="preserve">OFERTA Toalla NOVA MANGA 9 rollos </t>
  </si>
  <si>
    <t>Pack 2 Toalla Jumbo ECONOMIX U/H</t>
  </si>
  <si>
    <t>Pack 3 Mantequilla COLUN</t>
  </si>
  <si>
    <t>Pack 3 Mantequilla RUMAY</t>
  </si>
  <si>
    <t>Pack 3 Provoleta Parrillera</t>
  </si>
  <si>
    <t>Pack 3 Servilleta</t>
  </si>
  <si>
    <t>Pack 3 Toalla Jumbo SWAN D/H</t>
  </si>
  <si>
    <t>Pack 3 x Virutilla Plateada</t>
  </si>
  <si>
    <t>Pack 4 Toalla Jumbo SPUM D/H</t>
  </si>
  <si>
    <t>Pack 5 Film Plástico 30 Metros</t>
  </si>
  <si>
    <t>Pack 5 Papel Aluminio 7.5 Metros</t>
  </si>
  <si>
    <t>Pack 5 Provoleta Parrillera</t>
  </si>
  <si>
    <t>Pack 6 Toalla Jumbo SWAN U/H</t>
  </si>
  <si>
    <t>Papel Higiénico REGIO</t>
  </si>
  <si>
    <t>Papel Higiénico SPUM</t>
  </si>
  <si>
    <t xml:space="preserve">Papel Higiénico ELITE 24 rollos </t>
  </si>
  <si>
    <t>Queso Mantecoso Laminado</t>
  </si>
  <si>
    <t>Queso Rueda Cabra</t>
  </si>
  <si>
    <t>Queso Rueda Sabores</t>
  </si>
  <si>
    <t>Papel Higiénico</t>
  </si>
  <si>
    <t>Toalla Nova</t>
  </si>
  <si>
    <t>Servilleta</t>
  </si>
  <si>
    <t>Toalla Jumbo OVELLA D/H</t>
  </si>
  <si>
    <t>Toalla Jumbo SPUM D/H</t>
  </si>
  <si>
    <t>Toalla Jumbo SWAN D/H</t>
  </si>
  <si>
    <t>Toalla Jumbo SWAN U/H</t>
  </si>
  <si>
    <t>Toalla SPUM</t>
  </si>
  <si>
    <t>Pack 3 Trapero Húmedo Piso Flotante TEDDY</t>
  </si>
  <si>
    <t>Trapero Húmedo Piso Flotante</t>
  </si>
  <si>
    <t>Proveedores</t>
  </si>
  <si>
    <t>Vendedores(as)</t>
  </si>
  <si>
    <t>Unidades</t>
  </si>
  <si>
    <t>Pesos</t>
  </si>
  <si>
    <t>Descripcion</t>
  </si>
  <si>
    <t>Negocios</t>
  </si>
  <si>
    <t>Emporio Casero</t>
  </si>
  <si>
    <t>Kilos</t>
  </si>
  <si>
    <t>Otros Productos</t>
  </si>
  <si>
    <t>La Vega</t>
  </si>
  <si>
    <t>Alimentos4m</t>
  </si>
  <si>
    <t>Aceituna Rellena Pimenton</t>
  </si>
  <si>
    <t>Wish</t>
  </si>
  <si>
    <t>Aguilar Hermanos</t>
  </si>
  <si>
    <t>Cereales y Harinas</t>
  </si>
  <si>
    <t>Bencina</t>
  </si>
  <si>
    <t>Gastos</t>
  </si>
  <si>
    <t>Bolsas - con Transparencia 1/2</t>
  </si>
  <si>
    <t>Bolsas - con Transparencia 1/4</t>
  </si>
  <si>
    <t>Bolsas - con Transparencia 1K</t>
  </si>
  <si>
    <t>Bolsas - con Transparencia Chicas</t>
  </si>
  <si>
    <t>Cajas</t>
  </si>
  <si>
    <t>Calabaza</t>
  </si>
  <si>
    <t>Semillas</t>
  </si>
  <si>
    <t>Chia</t>
  </si>
  <si>
    <t>Cran Berries</t>
  </si>
  <si>
    <t>Frutos Deshidratados</t>
  </si>
  <si>
    <t>Estacionamiento</t>
  </si>
  <si>
    <t>Linaza</t>
  </si>
  <si>
    <t>Locomocion</t>
  </si>
  <si>
    <t>Maiz Corugua (Pop Corn)</t>
  </si>
  <si>
    <t>Mani confitado frutilla</t>
  </si>
  <si>
    <t>Máquina selladora</t>
  </si>
  <si>
    <t>Activos Fijos</t>
  </si>
  <si>
    <t>Maravilla</t>
  </si>
  <si>
    <t xml:space="preserve">Rocler </t>
  </si>
  <si>
    <t>Rollos Bolsas gruesas</t>
  </si>
  <si>
    <t>Ticket - Articulos Artesanales</t>
  </si>
  <si>
    <t>Bolsas Medianas Papel</t>
  </si>
  <si>
    <t>Mani confitado arandano</t>
  </si>
  <si>
    <t>Cuenta RUT</t>
  </si>
  <si>
    <t>Cuenta Empresa</t>
  </si>
  <si>
    <t>Mercaderia por cobrar</t>
  </si>
  <si>
    <t>Prestamos</t>
  </si>
  <si>
    <t>Mercaderia por llegar</t>
  </si>
  <si>
    <t>Bebidas 1,5 cc</t>
  </si>
  <si>
    <t>Alto del carmen</t>
  </si>
  <si>
    <t>Pisco Mistral</t>
  </si>
  <si>
    <t>Cerveza Patagonia</t>
  </si>
  <si>
    <t>Queso Sabores Albhaca</t>
  </si>
  <si>
    <t>Queso Sabores Oregano</t>
  </si>
  <si>
    <t>Queso Sabores Ahumado</t>
  </si>
  <si>
    <t>Queso Sabores Merken</t>
  </si>
  <si>
    <t>Toalla Papel SWAN U/H 100 metros</t>
  </si>
  <si>
    <t>Toalla Papel SPUM U/H 100 metros</t>
  </si>
  <si>
    <t>Toalla desinfectante TEDDY Tubo 50 unidades</t>
  </si>
  <si>
    <t>Jabón POPEYE BEBE</t>
  </si>
  <si>
    <t>Jabón POPEYE</t>
  </si>
  <si>
    <t>ºº</t>
  </si>
  <si>
    <t>Fernando Figueroa</t>
  </si>
  <si>
    <t>Id_Region</t>
  </si>
  <si>
    <t>Nombre</t>
  </si>
  <si>
    <t>Script</t>
  </si>
  <si>
    <t>Región de Tarapacá</t>
  </si>
  <si>
    <t>Región de Antofagasta</t>
  </si>
  <si>
    <t>Región de Atacama</t>
  </si>
  <si>
    <t>Región de Coquimbo</t>
  </si>
  <si>
    <t>Región de Valparaíso</t>
  </si>
  <si>
    <t>Región del Libertador General Bernardo OHiggins</t>
  </si>
  <si>
    <t>Región del Maule</t>
  </si>
  <si>
    <t>Región del Biobío</t>
  </si>
  <si>
    <t>Región de La Araucanía</t>
  </si>
  <si>
    <t>Región de Los Lagos</t>
  </si>
  <si>
    <t>Región de Aysén del General Carlos Ibáñez del Campo</t>
  </si>
  <si>
    <t>Región de Magallanes y de la Antártica Chilena</t>
  </si>
  <si>
    <t>Región Metropolitana de Santiago</t>
  </si>
  <si>
    <t>Región de Los Ríos</t>
  </si>
  <si>
    <t>Región de Arica y Parinacota</t>
  </si>
  <si>
    <t>Región de Ñuble </t>
  </si>
  <si>
    <t>Iquique</t>
  </si>
  <si>
    <t>Alto Hospicio</t>
  </si>
  <si>
    <t>Pozo Almonte</t>
  </si>
  <si>
    <t>Camiña</t>
  </si>
  <si>
    <t>Colchane</t>
  </si>
  <si>
    <t>Huara</t>
  </si>
  <si>
    <t>Pica</t>
  </si>
  <si>
    <t>Antofagasta</t>
  </si>
  <si>
    <t>Mejillones</t>
  </si>
  <si>
    <t>Sierra Gorda</t>
  </si>
  <si>
    <t>Taltal</t>
  </si>
  <si>
    <t>Calama</t>
  </si>
  <si>
    <t>Ollague</t>
  </si>
  <si>
    <t>San Pedro de Atacama</t>
  </si>
  <si>
    <t>Tocopilla</t>
  </si>
  <si>
    <t>María Elena</t>
  </si>
  <si>
    <t>Copiapó</t>
  </si>
  <si>
    <t>Caldera</t>
  </si>
  <si>
    <t>Tierra Amarilla</t>
  </si>
  <si>
    <t>Chañaral</t>
  </si>
  <si>
    <t>Diego de Almagro</t>
  </si>
  <si>
    <t>Vallenar</t>
  </si>
  <si>
    <t>Alto del Carmen</t>
  </si>
  <si>
    <t>Freirina</t>
  </si>
  <si>
    <t>Huasco</t>
  </si>
  <si>
    <t>La Serena</t>
  </si>
  <si>
    <t>Coquimbo</t>
  </si>
  <si>
    <t>Andacollo</t>
  </si>
  <si>
    <t>La Higuera</t>
  </si>
  <si>
    <t>Paihuano</t>
  </si>
  <si>
    <t>Vicuña</t>
  </si>
  <si>
    <t>Illapel</t>
  </si>
  <si>
    <t>Canela</t>
  </si>
  <si>
    <t>Los Vilos</t>
  </si>
  <si>
    <t>Salamanca</t>
  </si>
  <si>
    <t>Ovalle</t>
  </si>
  <si>
    <t>Combarbalá</t>
  </si>
  <si>
    <t>Monte Patria</t>
  </si>
  <si>
    <t>Punitaqui</t>
  </si>
  <si>
    <t>Río Hurtado</t>
  </si>
  <si>
    <t>Valparaíso</t>
  </si>
  <si>
    <t>Casablanca</t>
  </si>
  <si>
    <t>Concón</t>
  </si>
  <si>
    <t>Juan Fernández</t>
  </si>
  <si>
    <t>Puchuncaví</t>
  </si>
  <si>
    <t>Quintero</t>
  </si>
  <si>
    <t>Viña del Mar</t>
  </si>
  <si>
    <t>Isla de Pascua</t>
  </si>
  <si>
    <t>Los Andes</t>
  </si>
  <si>
    <t>Calle Larga</t>
  </si>
  <si>
    <t>Rinconada</t>
  </si>
  <si>
    <t>San Esteban</t>
  </si>
  <si>
    <t>La Ligua</t>
  </si>
  <si>
    <t>Cabildo</t>
  </si>
  <si>
    <t>Papudo</t>
  </si>
  <si>
    <t>Petorca</t>
  </si>
  <si>
    <t>Zapallar</t>
  </si>
  <si>
    <t>Quillota</t>
  </si>
  <si>
    <t>Calera</t>
  </si>
  <si>
    <t>Hijuelas</t>
  </si>
  <si>
    <t>La Cruz</t>
  </si>
  <si>
    <t>Nogales</t>
  </si>
  <si>
    <t>San Antonio</t>
  </si>
  <si>
    <t>Algarrobo</t>
  </si>
  <si>
    <t>Cartagena</t>
  </si>
  <si>
    <t>El Quisco</t>
  </si>
  <si>
    <t>El Tabo</t>
  </si>
  <si>
    <t>Santo Domingo</t>
  </si>
  <si>
    <t>San Felipe</t>
  </si>
  <si>
    <t>Catemu</t>
  </si>
  <si>
    <t>Llay Llay</t>
  </si>
  <si>
    <t>Panquehue</t>
  </si>
  <si>
    <t>Putaendo</t>
  </si>
  <si>
    <t>Santa María</t>
  </si>
  <si>
    <t>Quilpué</t>
  </si>
  <si>
    <t>Limache</t>
  </si>
  <si>
    <t>Olmué</t>
  </si>
  <si>
    <t>Rancagua</t>
  </si>
  <si>
    <t>Codegua</t>
  </si>
  <si>
    <t>Coinco</t>
  </si>
  <si>
    <t>Coltauco</t>
  </si>
  <si>
    <t>Doñihue</t>
  </si>
  <si>
    <t>Graneros</t>
  </si>
  <si>
    <t>Las Cabras</t>
  </si>
  <si>
    <t>Machalí</t>
  </si>
  <si>
    <t>Malloa</t>
  </si>
  <si>
    <t>Mostazal</t>
  </si>
  <si>
    <t>Olivar</t>
  </si>
  <si>
    <t>Peumo</t>
  </si>
  <si>
    <t>Pichidegua</t>
  </si>
  <si>
    <t>Quinta de Tilcoco</t>
  </si>
  <si>
    <t>Rengo</t>
  </si>
  <si>
    <t>Requinoa</t>
  </si>
  <si>
    <t>San Vicente</t>
  </si>
  <si>
    <t>Pichilemu</t>
  </si>
  <si>
    <t>La Estrella</t>
  </si>
  <si>
    <t>Litueche</t>
  </si>
  <si>
    <t>Marchihue</t>
  </si>
  <si>
    <t>Navidad</t>
  </si>
  <si>
    <t>Paredones</t>
  </si>
  <si>
    <t>San Fernando</t>
  </si>
  <si>
    <t>Chépica</t>
  </si>
  <si>
    <t>Chimbarongo</t>
  </si>
  <si>
    <t>Lolol</t>
  </si>
  <si>
    <t>Nancagua</t>
  </si>
  <si>
    <t>Palmilla</t>
  </si>
  <si>
    <t>Peralillo</t>
  </si>
  <si>
    <t>Placilla</t>
  </si>
  <si>
    <t>Pumanque</t>
  </si>
  <si>
    <t>Santa Cruz</t>
  </si>
  <si>
    <t>Talca</t>
  </si>
  <si>
    <t>Constitución</t>
  </si>
  <si>
    <t>Curepto</t>
  </si>
  <si>
    <t>Empedrado</t>
  </si>
  <si>
    <t>Maule</t>
  </si>
  <si>
    <t>Pelarco</t>
  </si>
  <si>
    <t>Pencahue</t>
  </si>
  <si>
    <t>Río Claro</t>
  </si>
  <si>
    <t>San Clemente</t>
  </si>
  <si>
    <t>San Rafael</t>
  </si>
  <si>
    <t>Cauquenes</t>
  </si>
  <si>
    <t>Chanco</t>
  </si>
  <si>
    <t>Pelluhue</t>
  </si>
  <si>
    <t>Curicó</t>
  </si>
  <si>
    <t>Hualañe</t>
  </si>
  <si>
    <t>Licantén</t>
  </si>
  <si>
    <t>Molina</t>
  </si>
  <si>
    <t>Rauco</t>
  </si>
  <si>
    <t>Romeral</t>
  </si>
  <si>
    <t>Sagrada Familia</t>
  </si>
  <si>
    <t>Teno</t>
  </si>
  <si>
    <t>Vichuquén</t>
  </si>
  <si>
    <t>Linares</t>
  </si>
  <si>
    <t>Colbún</t>
  </si>
  <si>
    <t>Longaví</t>
  </si>
  <si>
    <t>Parral</t>
  </si>
  <si>
    <t>Retiro</t>
  </si>
  <si>
    <t>San Javier</t>
  </si>
  <si>
    <t>Villa Alegre</t>
  </si>
  <si>
    <t>Yerbas Buenas</t>
  </si>
  <si>
    <t>Concepción</t>
  </si>
  <si>
    <t>Coronel</t>
  </si>
  <si>
    <t>Chiguayante</t>
  </si>
  <si>
    <t>Florida</t>
  </si>
  <si>
    <t>Hualqui</t>
  </si>
  <si>
    <t>Lota</t>
  </si>
  <si>
    <t>Penco</t>
  </si>
  <si>
    <t>San Pedro De La Paz</t>
  </si>
  <si>
    <t>Santa Juana</t>
  </si>
  <si>
    <t>Talcahuano</t>
  </si>
  <si>
    <t>Tomé</t>
  </si>
  <si>
    <t>Hualpén</t>
  </si>
  <si>
    <t>Lebu</t>
  </si>
  <si>
    <t>Arauco</t>
  </si>
  <si>
    <t>Cañete</t>
  </si>
  <si>
    <t>Contulmo</t>
  </si>
  <si>
    <t>Curanilahue</t>
  </si>
  <si>
    <t>Los Alamos</t>
  </si>
  <si>
    <t>Tirua</t>
  </si>
  <si>
    <t>Los Angeles</t>
  </si>
  <si>
    <t>Antuco</t>
  </si>
  <si>
    <t>Cabrero</t>
  </si>
  <si>
    <t>Laja</t>
  </si>
  <si>
    <t>Mulchén</t>
  </si>
  <si>
    <t>Nacimiento</t>
  </si>
  <si>
    <t>Negrete</t>
  </si>
  <si>
    <t>Quilaco</t>
  </si>
  <si>
    <t>Quilleco</t>
  </si>
  <si>
    <t>San Rosendo</t>
  </si>
  <si>
    <t>Santa Bárbara</t>
  </si>
  <si>
    <t>Tucapel</t>
  </si>
  <si>
    <t>Yumbel</t>
  </si>
  <si>
    <t>Alto Biobío</t>
  </si>
  <si>
    <t>Chillán</t>
  </si>
  <si>
    <t>Bulnes</t>
  </si>
  <si>
    <t>Cobquecura</t>
  </si>
  <si>
    <t>Coelemu</t>
  </si>
  <si>
    <t>Coihueco</t>
  </si>
  <si>
    <t>Chillán Viejo</t>
  </si>
  <si>
    <t>El Carmen</t>
  </si>
  <si>
    <t>Ninhue</t>
  </si>
  <si>
    <t>Ñiquén</t>
  </si>
  <si>
    <t>Pemuco</t>
  </si>
  <si>
    <t>Pinto</t>
  </si>
  <si>
    <t>Portezuelo</t>
  </si>
  <si>
    <t>Quillón</t>
  </si>
  <si>
    <t>Quirihue</t>
  </si>
  <si>
    <t>Ranquil</t>
  </si>
  <si>
    <t>San Carlos</t>
  </si>
  <si>
    <t>San Fabián</t>
  </si>
  <si>
    <t>San Ignacio</t>
  </si>
  <si>
    <t>San Nicolás</t>
  </si>
  <si>
    <t>Trehuaco</t>
  </si>
  <si>
    <t>Yungay</t>
  </si>
  <si>
    <t>Temuco</t>
  </si>
  <si>
    <t>Carahue</t>
  </si>
  <si>
    <t>Cunco</t>
  </si>
  <si>
    <t>Curarrehue</t>
  </si>
  <si>
    <t>Freire</t>
  </si>
  <si>
    <t>Galvarino</t>
  </si>
  <si>
    <t>Gorbea</t>
  </si>
  <si>
    <t>Lautaro</t>
  </si>
  <si>
    <t>Loncoche</t>
  </si>
  <si>
    <t>Melipeuco</t>
  </si>
  <si>
    <t>Nueva Imperial</t>
  </si>
  <si>
    <t>Padre Las Casas</t>
  </si>
  <si>
    <t>Perquenco</t>
  </si>
  <si>
    <t>Pitrufquén</t>
  </si>
  <si>
    <t>Pucón</t>
  </si>
  <si>
    <t>Puerto Saavedra</t>
  </si>
  <si>
    <t>Teodoro Schmidt</t>
  </si>
  <si>
    <t>Toltén</t>
  </si>
  <si>
    <t>Vilcún</t>
  </si>
  <si>
    <t>Villarrica</t>
  </si>
  <si>
    <t>Cholchol</t>
  </si>
  <si>
    <t>Angol</t>
  </si>
  <si>
    <t>Collipulli</t>
  </si>
  <si>
    <t>Curacautín</t>
  </si>
  <si>
    <t>Ercilla</t>
  </si>
  <si>
    <t>Lonquimay</t>
  </si>
  <si>
    <t>Los Sauces</t>
  </si>
  <si>
    <t>Lumaco</t>
  </si>
  <si>
    <t>Purén</t>
  </si>
  <si>
    <t>Renaico</t>
  </si>
  <si>
    <t>Traiguén</t>
  </si>
  <si>
    <t>Victoria</t>
  </si>
  <si>
    <t>Puerto Montt</t>
  </si>
  <si>
    <t>Calbuco</t>
  </si>
  <si>
    <t>Cochamó</t>
  </si>
  <si>
    <t>Fresia</t>
  </si>
  <si>
    <t>Frutillar</t>
  </si>
  <si>
    <t>Los Muermos</t>
  </si>
  <si>
    <t>Llanquihue</t>
  </si>
  <si>
    <t>Maullín</t>
  </si>
  <si>
    <t>Puerto Varas</t>
  </si>
  <si>
    <t>Castro</t>
  </si>
  <si>
    <t>Ancud</t>
  </si>
  <si>
    <t>Chonchi</t>
  </si>
  <si>
    <t>Curaco de Vélez</t>
  </si>
  <si>
    <t>Dalcahue</t>
  </si>
  <si>
    <t>Puqueldón</t>
  </si>
  <si>
    <t>Queilén</t>
  </si>
  <si>
    <t>Quellón</t>
  </si>
  <si>
    <t>Quemchi</t>
  </si>
  <si>
    <t>Quinchao</t>
  </si>
  <si>
    <t>Osorno</t>
  </si>
  <si>
    <t>Puerto Octay</t>
  </si>
  <si>
    <t>Purranque</t>
  </si>
  <si>
    <t>Puyehue</t>
  </si>
  <si>
    <t>Río Negro</t>
  </si>
  <si>
    <t>San Juan de la Costa</t>
  </si>
  <si>
    <t>San Pablo</t>
  </si>
  <si>
    <t>Chaitén</t>
  </si>
  <si>
    <t>Futaleufú</t>
  </si>
  <si>
    <t>Hualaihue</t>
  </si>
  <si>
    <t>Coihaique</t>
  </si>
  <si>
    <t>Lago Verde</t>
  </si>
  <si>
    <t>Aisén</t>
  </si>
  <si>
    <t>Puerto Cisnes</t>
  </si>
  <si>
    <t>Guaitecas</t>
  </si>
  <si>
    <t>Cochrane</t>
  </si>
  <si>
    <t>Ohiggins</t>
  </si>
  <si>
    <t>Tortel</t>
  </si>
  <si>
    <t>Chile Chico</t>
  </si>
  <si>
    <t>Río Ibáñez</t>
  </si>
  <si>
    <t>Punta Arenas</t>
  </si>
  <si>
    <t>Laguna Blanca</t>
  </si>
  <si>
    <t>Río Verde</t>
  </si>
  <si>
    <t>San Gregorio</t>
  </si>
  <si>
    <t>Cabo de Hornos</t>
  </si>
  <si>
    <t>Porvenir</t>
  </si>
  <si>
    <t>Primavera</t>
  </si>
  <si>
    <t>Timaukel</t>
  </si>
  <si>
    <t>Puerto Natales</t>
  </si>
  <si>
    <t>Torres del Paine</t>
  </si>
  <si>
    <t>Santiago</t>
  </si>
  <si>
    <t>Cerrillos</t>
  </si>
  <si>
    <t>Cerro Navia</t>
  </si>
  <si>
    <t>Conchalí</t>
  </si>
  <si>
    <t>El Bosque</t>
  </si>
  <si>
    <t>Estación Central</t>
  </si>
  <si>
    <t>Huechuraba</t>
  </si>
  <si>
    <t>Independencia</t>
  </si>
  <si>
    <t>La Cisterna</t>
  </si>
  <si>
    <t>La Florida</t>
  </si>
  <si>
    <t>La Granja</t>
  </si>
  <si>
    <t>La Pintana</t>
  </si>
  <si>
    <t>La Reina</t>
  </si>
  <si>
    <t>Lo Barnechea</t>
  </si>
  <si>
    <t>Lo Espejo</t>
  </si>
  <si>
    <t>Lo Prado</t>
  </si>
  <si>
    <t>Maipú</t>
  </si>
  <si>
    <t>Ñuñoa</t>
  </si>
  <si>
    <t>Pedro Aguirre Cerda</t>
  </si>
  <si>
    <t>Peñalolén</t>
  </si>
  <si>
    <t>Providencia</t>
  </si>
  <si>
    <t>Quilicura</t>
  </si>
  <si>
    <t>Quinta Normal</t>
  </si>
  <si>
    <t>Recoleta</t>
  </si>
  <si>
    <t>Renca</t>
  </si>
  <si>
    <t>San Joaquín</t>
  </si>
  <si>
    <t>San Ramón</t>
  </si>
  <si>
    <t>Vitacura</t>
  </si>
  <si>
    <t>Puente Alto</t>
  </si>
  <si>
    <t>Pirque</t>
  </si>
  <si>
    <t>San José de Maipo</t>
  </si>
  <si>
    <t>Colina</t>
  </si>
  <si>
    <t>Lampa</t>
  </si>
  <si>
    <t>Til til</t>
  </si>
  <si>
    <t>San Bernardo</t>
  </si>
  <si>
    <t>Buin</t>
  </si>
  <si>
    <t>Calera de Tango</t>
  </si>
  <si>
    <t>Paine</t>
  </si>
  <si>
    <t>Melipilla</t>
  </si>
  <si>
    <t>Alhué</t>
  </si>
  <si>
    <t>Curacaví</t>
  </si>
  <si>
    <t>María Pinto</t>
  </si>
  <si>
    <t>San Pedro</t>
  </si>
  <si>
    <t>Talagante</t>
  </si>
  <si>
    <t>El Monte</t>
  </si>
  <si>
    <t>Isla de Maipo</t>
  </si>
  <si>
    <t>Padre Hurtado</t>
  </si>
  <si>
    <t>Peñaflor</t>
  </si>
  <si>
    <t>Valdivia</t>
  </si>
  <si>
    <t>Corral</t>
  </si>
  <si>
    <t>Lanco</t>
  </si>
  <si>
    <t>Los Lagos</t>
  </si>
  <si>
    <t>Máfil</t>
  </si>
  <si>
    <t>Mariquina</t>
  </si>
  <si>
    <t>Paillaco</t>
  </si>
  <si>
    <t>Panguipulli</t>
  </si>
  <si>
    <t>La Unión</t>
  </si>
  <si>
    <t>Futrono</t>
  </si>
  <si>
    <t>Lago Ranco</t>
  </si>
  <si>
    <t>Río Bueno</t>
  </si>
  <si>
    <t>Arica</t>
  </si>
  <si>
    <t>Camarones</t>
  </si>
  <si>
    <t>Putre</t>
  </si>
  <si>
    <t>General Lagos</t>
  </si>
  <si>
    <t>Id_Comuna</t>
  </si>
  <si>
    <t>COMMIT;</t>
  </si>
  <si>
    <t>Id_Tipo</t>
  </si>
  <si>
    <t>Boleta de Venta</t>
  </si>
  <si>
    <t>Factura de Venta</t>
  </si>
  <si>
    <t>Nota de Crédito</t>
  </si>
  <si>
    <t>Rut_Empleado</t>
  </si>
  <si>
    <t>Primer_Nombre</t>
  </si>
  <si>
    <t>Segundo_Nombre</t>
  </si>
  <si>
    <t>Apellido_Paterno</t>
  </si>
  <si>
    <t>Apellido_Materno</t>
  </si>
  <si>
    <t>Direccion</t>
  </si>
  <si>
    <t>Fecha_Nacimiento</t>
  </si>
  <si>
    <t>Fernando</t>
  </si>
  <si>
    <t>Figueroa</t>
  </si>
  <si>
    <t>Amalia</t>
  </si>
  <si>
    <t>Camila</t>
  </si>
  <si>
    <t>Herrera</t>
  </si>
  <si>
    <t>Claudia</t>
  </si>
  <si>
    <t>Soledad</t>
  </si>
  <si>
    <t>Saavedra</t>
  </si>
  <si>
    <t>Amaro</t>
  </si>
  <si>
    <t>Elena</t>
  </si>
  <si>
    <t>Alejandra</t>
  </si>
  <si>
    <t>Juan</t>
  </si>
  <si>
    <t>Carlos</t>
  </si>
  <si>
    <t>Ester</t>
  </si>
  <si>
    <t>Aguirre</t>
  </si>
  <si>
    <t>Santelices</t>
  </si>
  <si>
    <t>Parra</t>
  </si>
  <si>
    <t>Nuñez</t>
  </si>
  <si>
    <t>Fernandez</t>
  </si>
  <si>
    <t>Gonzalez</t>
  </si>
  <si>
    <t>Fernando.Figueroa@cayrap.cl</t>
  </si>
  <si>
    <t>Amalia.Herrera@cayrap.cl</t>
  </si>
  <si>
    <t>Camila.Herrera@cayrap.cl</t>
  </si>
  <si>
    <t>Claudia.Herrera@cayrap.cl</t>
  </si>
  <si>
    <t>Juan.Herrera@cayrap.cl</t>
  </si>
  <si>
    <t>Soledad.Saavedra@cayrap.cl</t>
  </si>
  <si>
    <t>14526149-K</t>
  </si>
  <si>
    <t>19145461-8</t>
  </si>
  <si>
    <t>10554261-5</t>
  </si>
  <si>
    <t>13748252-5</t>
  </si>
  <si>
    <t>17866360-7</t>
  </si>
  <si>
    <t>11383327-0</t>
  </si>
  <si>
    <t>Avenida Departamental 111</t>
  </si>
  <si>
    <t>Diagonal Santa Irene 3015</t>
  </si>
  <si>
    <t>Los Plátanos 3130</t>
  </si>
  <si>
    <t>Avenida Concha y Toro 3452</t>
  </si>
  <si>
    <t>Calle Nonato Coo 345</t>
  </si>
  <si>
    <t>Avenida Santa Rosa 2606</t>
  </si>
  <si>
    <t>05-07-1981</t>
  </si>
  <si>
    <t>24-02-1992</t>
  </si>
  <si>
    <t>17-04-1996</t>
  </si>
  <si>
    <t>07-04-1969</t>
  </si>
  <si>
    <t>11-09-1968</t>
  </si>
  <si>
    <t>11-08-1974</t>
  </si>
  <si>
    <t>Rut_Cliente</t>
  </si>
  <si>
    <t>Razon_Social</t>
  </si>
  <si>
    <t>Elementos a Considerar</t>
  </si>
  <si>
    <t>1)</t>
  </si>
  <si>
    <t>2)</t>
  </si>
  <si>
    <t>Ajustar el atributo RUT_CLIENTE para que sea opcional</t>
  </si>
  <si>
    <t>Borrar la relación (FK) con la tabla DOCUMENTOS</t>
  </si>
  <si>
    <t>3)</t>
  </si>
  <si>
    <t>4)</t>
  </si>
  <si>
    <t>Crear la relacion(FK) con la tabla DOCUMENTOS</t>
  </si>
  <si>
    <t>Eliminar el campo RUT_CLIENTE de la tabla DOCUMENTOS</t>
  </si>
  <si>
    <t>5)</t>
  </si>
  <si>
    <t>6)</t>
  </si>
  <si>
    <t>Utilizar el campo ID_CLIENTE como PK de la tabla CLIENTES</t>
  </si>
  <si>
    <t>Crear el campo ID_CLIENTE en la tabla DOCUMENTOS</t>
  </si>
  <si>
    <t>7)</t>
  </si>
  <si>
    <t>8)</t>
  </si>
  <si>
    <t>Crear los registros en la tabla CLIENTES</t>
  </si>
  <si>
    <t>Id_Cliente</t>
  </si>
  <si>
    <t>En la empresa CayRAP, los clientes que tienen rut son EMPRESAS y si no tiene rut es persona natural, por lo tanto ,no sirve la actual PK de la tabla CLIENTES.
Es por ello que se realizaran lo siguientes ajustes en el Modelo</t>
  </si>
  <si>
    <t>Eliminar actual PK de la tabla CLIENTES</t>
  </si>
  <si>
    <t>9)</t>
  </si>
  <si>
    <t>ALTER TABLE DOCUMENTOS DROP CONSTRAINT CLIENTE_FK_DOCUMENTO;</t>
  </si>
  <si>
    <t>ALTER TABLE CLIENTES ADD ID_CLIENTE NUMBER(10) GENERATED ALWAYS AS IDENTITY MINVALUE 1 MAXVALUE 9999999999;</t>
  </si>
  <si>
    <t>ALTER TABLE CLIENTES MODIFY RUT_CLIENTE VARCHAR2(15) NULL;</t>
  </si>
  <si>
    <t>ALTER TABLE DOCUMENTOS DROP COLUMN RUT_CLIENTE ;</t>
  </si>
  <si>
    <t>ALTER TABLE DOCUMENTOS ADD ID_CLIENTE NUMBER(10) NOT NULL;</t>
  </si>
  <si>
    <t>ALTER TABLE CLIENTES ADD PRIMARY KEY (ID_CLIENTE);</t>
  </si>
  <si>
    <t>ALTER TABLE DOCUMENTOS ADD CONSTRAINT CLIENTE_FK_DOCUMENTO FOREIGN KEY (ID_CLIENTE) REFERENCES CLIENTES (ID_CLIENTE);</t>
  </si>
  <si>
    <t>29-11-1967</t>
  </si>
  <si>
    <t>77890961-8</t>
  </si>
  <si>
    <t>10172790-4</t>
  </si>
  <si>
    <t>89046600-1</t>
  </si>
  <si>
    <t>21937208-6</t>
  </si>
  <si>
    <t>LOS ROBLES 8626</t>
  </si>
  <si>
    <t>Garcia Hurtado de Mendoza 7958 B</t>
  </si>
  <si>
    <t>Asignacion Automatica</t>
  </si>
  <si>
    <t>Crear el campo ID_CLIENTE en la tabla CLIENTES</t>
  </si>
  <si>
    <t>Ejecutar script de creación de registros</t>
  </si>
  <si>
    <t>ALTER TABLE CLIENTES DROP PRIMARY KEY;</t>
  </si>
  <si>
    <t>Id_Producto</t>
  </si>
  <si>
    <t>Recarga Nescafé 130grs</t>
  </si>
  <si>
    <t>Fecha_Inicio</t>
  </si>
  <si>
    <t>Fecha_Fin</t>
  </si>
  <si>
    <t>Precio</t>
  </si>
  <si>
    <t>01-01-2025</t>
  </si>
  <si>
    <t>31-12-2025</t>
  </si>
  <si>
    <t>Fecha_Emision</t>
  </si>
  <si>
    <t>Valor Bruto</t>
  </si>
  <si>
    <t>Valor Neto</t>
  </si>
  <si>
    <t>Valor Iva</t>
  </si>
  <si>
    <t>Total general</t>
  </si>
  <si>
    <t>Valores</t>
  </si>
  <si>
    <t>Nro_Documento</t>
  </si>
  <si>
    <t>Total Bruto</t>
  </si>
  <si>
    <t>Total Neto</t>
  </si>
  <si>
    <t>Total Iva</t>
  </si>
  <si>
    <t>02-01-2025</t>
  </si>
  <si>
    <t>03-01-2025</t>
  </si>
  <si>
    <t>04-01-2025</t>
  </si>
  <si>
    <t>05-01-2025</t>
  </si>
  <si>
    <t>06-01-2025</t>
  </si>
  <si>
    <t>07-01-2025</t>
  </si>
  <si>
    <t>08-01-2025</t>
  </si>
  <si>
    <t>09-01-2025</t>
  </si>
  <si>
    <t>10-01-2025</t>
  </si>
  <si>
    <t>11-01-2025</t>
  </si>
  <si>
    <t>12-01-2025</t>
  </si>
  <si>
    <t>13-01-2025</t>
  </si>
  <si>
    <t>14-01-2025</t>
  </si>
  <si>
    <t>15-01-2025</t>
  </si>
  <si>
    <t>16-01-2025</t>
  </si>
  <si>
    <t>17-01-2025</t>
  </si>
  <si>
    <t>18-01-2025</t>
  </si>
  <si>
    <t>19-01-2025</t>
  </si>
  <si>
    <t>20-01-2025</t>
  </si>
  <si>
    <t>21-01-2025</t>
  </si>
  <si>
    <t>22-01-2025</t>
  </si>
  <si>
    <t>23-01-2025</t>
  </si>
  <si>
    <t>24-01-2025</t>
  </si>
  <si>
    <t>25-01-2025</t>
  </si>
  <si>
    <t>26-01-2025</t>
  </si>
  <si>
    <t>27-01-2025</t>
  </si>
  <si>
    <t>28-01-2025</t>
  </si>
  <si>
    <t>29-01-2025</t>
  </si>
  <si>
    <t>30-01-2025</t>
  </si>
  <si>
    <t>31-01-2025</t>
  </si>
  <si>
    <t>01-02-2025</t>
  </si>
  <si>
    <t>02-02-2025</t>
  </si>
  <si>
    <t>03-02-2025</t>
  </si>
  <si>
    <t>04-02-2025</t>
  </si>
  <si>
    <t>05-02-2025</t>
  </si>
  <si>
    <t>06-02-2025</t>
  </si>
  <si>
    <t>07-02-2025</t>
  </si>
  <si>
    <t>08-02-2025</t>
  </si>
  <si>
    <t>09-02-2025</t>
  </si>
  <si>
    <t>10-02-2025</t>
  </si>
  <si>
    <t>11-02-2025</t>
  </si>
  <si>
    <t>12-02-2025</t>
  </si>
  <si>
    <t>13-02-2025</t>
  </si>
  <si>
    <t>14-02-2025</t>
  </si>
  <si>
    <t>15-02-2025</t>
  </si>
  <si>
    <t>16-02-2025</t>
  </si>
  <si>
    <t>17-02-2025</t>
  </si>
  <si>
    <t>18-02-2025</t>
  </si>
  <si>
    <t>19-02-2025</t>
  </si>
  <si>
    <t>20-02-2025</t>
  </si>
  <si>
    <t>21-02-2025</t>
  </si>
  <si>
    <t>22-02-2025</t>
  </si>
  <si>
    <t>23-02-2025</t>
  </si>
  <si>
    <t>24-02-2025</t>
  </si>
  <si>
    <t>25-02-2025</t>
  </si>
  <si>
    <t>26-02-2025</t>
  </si>
  <si>
    <t>27-02-2025</t>
  </si>
  <si>
    <t>28-02-2025</t>
  </si>
  <si>
    <t>01-03-2025</t>
  </si>
  <si>
    <t>02-03-2025</t>
  </si>
  <si>
    <t>03-03-2025</t>
  </si>
  <si>
    <t>04-03-2025</t>
  </si>
  <si>
    <t>05-03-2025</t>
  </si>
  <si>
    <t>06-03-2025</t>
  </si>
  <si>
    <t>07-03-2025</t>
  </si>
  <si>
    <t>08-03-2025</t>
  </si>
  <si>
    <t>09-03-2025</t>
  </si>
  <si>
    <t>10-03-2025</t>
  </si>
  <si>
    <t>11-03-2025</t>
  </si>
  <si>
    <t>12-03-2025</t>
  </si>
  <si>
    <t>13-03-2025</t>
  </si>
  <si>
    <t>14-03-2025</t>
  </si>
  <si>
    <t>15-03-2025</t>
  </si>
  <si>
    <t>16-03-2025</t>
  </si>
  <si>
    <t>17-03-2025</t>
  </si>
  <si>
    <t>18-03-2025</t>
  </si>
  <si>
    <t>19-03-2025</t>
  </si>
  <si>
    <t>20-03-2025</t>
  </si>
  <si>
    <t>21-03-2025</t>
  </si>
  <si>
    <t>22-03-2025</t>
  </si>
  <si>
    <t>23-03-2025</t>
  </si>
  <si>
    <t>24-03-2025</t>
  </si>
  <si>
    <t>25-03-2025</t>
  </si>
  <si>
    <t>26-03-2025</t>
  </si>
  <si>
    <t>27-03-2025</t>
  </si>
  <si>
    <t>28-03-2025</t>
  </si>
  <si>
    <t>29-03-2025</t>
  </si>
  <si>
    <t>30-03-2025</t>
  </si>
  <si>
    <t>31-03-2025</t>
  </si>
  <si>
    <t>01-04-2025</t>
  </si>
  <si>
    <t>02-04-2025</t>
  </si>
  <si>
    <t>03-04-2025</t>
  </si>
  <si>
    <t>04-04-2025</t>
  </si>
  <si>
    <t>05-04-2025</t>
  </si>
  <si>
    <t>06-04-2025</t>
  </si>
  <si>
    <t>07-04-2025</t>
  </si>
  <si>
    <t>08-04-2025</t>
  </si>
  <si>
    <t>09-04-2025</t>
  </si>
  <si>
    <t>10-04-2025</t>
  </si>
  <si>
    <t>11-04-2025</t>
  </si>
  <si>
    <t>12-04-2025</t>
  </si>
  <si>
    <t>13-04-2025</t>
  </si>
  <si>
    <t>14-04-2025</t>
  </si>
  <si>
    <t>15-04-2025</t>
  </si>
  <si>
    <t>16-04-2025</t>
  </si>
  <si>
    <t>17-04-2025</t>
  </si>
  <si>
    <t>18-04-2025</t>
  </si>
  <si>
    <t>19-04-2025</t>
  </si>
  <si>
    <t>20-04-2025</t>
  </si>
  <si>
    <t>21-04-2025</t>
  </si>
  <si>
    <t>22-04-2025</t>
  </si>
  <si>
    <t>23-04-2025</t>
  </si>
  <si>
    <t>24-04-2025</t>
  </si>
  <si>
    <t>25-04-2025</t>
  </si>
  <si>
    <t>26-04-2025</t>
  </si>
  <si>
    <t>27-04-2025</t>
  </si>
  <si>
    <t>28-04-2025</t>
  </si>
  <si>
    <t>29-04-2025</t>
  </si>
  <si>
    <t>30-04-2025</t>
  </si>
  <si>
    <t>01-05-2025</t>
  </si>
  <si>
    <t>02-05-2025</t>
  </si>
  <si>
    <t>03-05-2025</t>
  </si>
  <si>
    <t>04-05-2025</t>
  </si>
  <si>
    <t>05-05-2025</t>
  </si>
  <si>
    <t>06-05-2025</t>
  </si>
  <si>
    <t>07-05-2025</t>
  </si>
  <si>
    <t>08-05-2025</t>
  </si>
  <si>
    <t>09-05-2025</t>
  </si>
  <si>
    <t>10-05-2025</t>
  </si>
  <si>
    <t>11-05-2025</t>
  </si>
  <si>
    <t>12-05-2025</t>
  </si>
  <si>
    <t>13-05-2025</t>
  </si>
  <si>
    <t>14-05-2025</t>
  </si>
  <si>
    <t>15-05-2025</t>
  </si>
  <si>
    <t>16-05-2025</t>
  </si>
  <si>
    <t>17-05-2025</t>
  </si>
  <si>
    <t>18-05-2025</t>
  </si>
  <si>
    <t>19-05-2025</t>
  </si>
  <si>
    <t>20-05-2025</t>
  </si>
  <si>
    <t>21-05-2025</t>
  </si>
  <si>
    <t>22-05-2025</t>
  </si>
  <si>
    <t>23-05-2025</t>
  </si>
  <si>
    <t>24-05-2025</t>
  </si>
  <si>
    <t>25-05-2025</t>
  </si>
  <si>
    <t>26-05-2025</t>
  </si>
  <si>
    <t>27-05-2025</t>
  </si>
  <si>
    <t>28-05-2025</t>
  </si>
  <si>
    <t>29-05-2025</t>
  </si>
  <si>
    <t>30-05-2025</t>
  </si>
  <si>
    <t>31-05-2025</t>
  </si>
  <si>
    <t>01-06-2025</t>
  </si>
  <si>
    <t>02-06-2025</t>
  </si>
  <si>
    <t>03-06-2025</t>
  </si>
  <si>
    <t>04-06-2025</t>
  </si>
  <si>
    <t>05-06-2025</t>
  </si>
  <si>
    <t>06-06-2025</t>
  </si>
  <si>
    <t>08-06-2025</t>
  </si>
  <si>
    <t>09-06-2025</t>
  </si>
  <si>
    <t>10-06-2025</t>
  </si>
  <si>
    <t>11-06-2025</t>
  </si>
  <si>
    <t>12-06-2025</t>
  </si>
  <si>
    <t>13-06-2025</t>
  </si>
  <si>
    <t>14-06-2025</t>
  </si>
  <si>
    <t>15-06-2025</t>
  </si>
  <si>
    <t>16-06-2025</t>
  </si>
  <si>
    <t>17-06-2025</t>
  </si>
  <si>
    <t>18-06-2025</t>
  </si>
  <si>
    <t>19-06-2025</t>
  </si>
  <si>
    <t>20-06-2025</t>
  </si>
  <si>
    <t>21-06-2025</t>
  </si>
  <si>
    <t>22-06-2025</t>
  </si>
  <si>
    <t>23-06-2025</t>
  </si>
  <si>
    <t>24-06-2025</t>
  </si>
  <si>
    <t>25-06-2025</t>
  </si>
  <si>
    <t>26-06-2025</t>
  </si>
  <si>
    <t>27-06-2025</t>
  </si>
  <si>
    <t>28-06-2025</t>
  </si>
  <si>
    <t>29-06-2025</t>
  </si>
  <si>
    <t>30-06-2025</t>
  </si>
  <si>
    <t>01-07-2025</t>
  </si>
  <si>
    <t>02-07-2025</t>
  </si>
  <si>
    <t>03-07-2025</t>
  </si>
  <si>
    <t>04-07-2025</t>
  </si>
  <si>
    <t>05-07-2025</t>
  </si>
  <si>
    <t>06-07-2025</t>
  </si>
  <si>
    <t>07-07-2025</t>
  </si>
  <si>
    <t>08-07-2025</t>
  </si>
  <si>
    <t>09-07-2025</t>
  </si>
  <si>
    <t>10-07-2025</t>
  </si>
  <si>
    <t>11-07-2025</t>
  </si>
  <si>
    <t>12-07-2025</t>
  </si>
  <si>
    <t>13-07-2025</t>
  </si>
  <si>
    <t>14-07-2025</t>
  </si>
  <si>
    <t>15-07-2025</t>
  </si>
  <si>
    <t>16-07-2025</t>
  </si>
  <si>
    <t>17-07-2025</t>
  </si>
  <si>
    <t>18-07-2025</t>
  </si>
  <si>
    <t>19-07-2025</t>
  </si>
  <si>
    <t>20-07-2025</t>
  </si>
  <si>
    <t>21-07-2025</t>
  </si>
  <si>
    <t>22-07-2025</t>
  </si>
  <si>
    <t>23-07-2025</t>
  </si>
  <si>
    <t>24-07-2025</t>
  </si>
  <si>
    <t>25-07-2025</t>
  </si>
  <si>
    <t>26-07-2025</t>
  </si>
  <si>
    <t>27-07-2025</t>
  </si>
  <si>
    <t>28-07-2025</t>
  </si>
  <si>
    <t>29-07-2025</t>
  </si>
  <si>
    <t>30-07-2025</t>
  </si>
  <si>
    <t>31-07-2025</t>
  </si>
  <si>
    <t>01-08-2025</t>
  </si>
  <si>
    <t>02-08-2025</t>
  </si>
  <si>
    <t>03-08-2025</t>
  </si>
  <si>
    <t>04-08-2025</t>
  </si>
  <si>
    <t>05-08-2025</t>
  </si>
  <si>
    <t>06-08-2025</t>
  </si>
  <si>
    <t>07-08-2025</t>
  </si>
  <si>
    <t>08-08-2025</t>
  </si>
  <si>
    <t>09-08-2025</t>
  </si>
  <si>
    <t>10-08-2025</t>
  </si>
  <si>
    <t>11-08-2025</t>
  </si>
  <si>
    <t>12-08-2025</t>
  </si>
  <si>
    <t>13-08-2025</t>
  </si>
  <si>
    <t>14-08-2025</t>
  </si>
  <si>
    <t>15-08-2025</t>
  </si>
  <si>
    <t>16-08-2025</t>
  </si>
  <si>
    <t>17-08-2025</t>
  </si>
  <si>
    <t>18-08-2025</t>
  </si>
  <si>
    <t>19-08-2025</t>
  </si>
  <si>
    <t>20-08-2025</t>
  </si>
  <si>
    <t>21-08-2025</t>
  </si>
  <si>
    <t>22-08-2025</t>
  </si>
  <si>
    <t>23-08-2025</t>
  </si>
  <si>
    <t>24-08-2025</t>
  </si>
  <si>
    <t>25-08-2025</t>
  </si>
  <si>
    <t>26-08-2025</t>
  </si>
  <si>
    <t>27-08-2025</t>
  </si>
  <si>
    <t>28-08-2025</t>
  </si>
  <si>
    <t>29-08-2025</t>
  </si>
  <si>
    <t>30-08-2025</t>
  </si>
  <si>
    <t>31-08-2025</t>
  </si>
  <si>
    <t>01-09-2025</t>
  </si>
  <si>
    <t>02-09-2025</t>
  </si>
  <si>
    <t>03-09-2025</t>
  </si>
  <si>
    <t>04-09-2025</t>
  </si>
  <si>
    <t>05-09-2025</t>
  </si>
  <si>
    <t>06-09-2025</t>
  </si>
  <si>
    <t>07-09-2025</t>
  </si>
  <si>
    <t>08-09-2025</t>
  </si>
  <si>
    <t>09-09-2025</t>
  </si>
  <si>
    <t>10-09-2025</t>
  </si>
  <si>
    <t>12-09-2025</t>
  </si>
  <si>
    <t>13-09-2025</t>
  </si>
  <si>
    <t>14-09-2025</t>
  </si>
  <si>
    <t>15-09-2025</t>
  </si>
  <si>
    <t>16-09-2025</t>
  </si>
  <si>
    <t>17-09-2025</t>
  </si>
  <si>
    <t>18-09-2025</t>
  </si>
  <si>
    <t>DROP TABLE CLIENTES CASCADE CONSTRAINTS;</t>
  </si>
  <si>
    <t>DROP TABLE COMUNAS CASCADE CONSTRAINTS;</t>
  </si>
  <si>
    <t>DROP TABLE DETALLES_DOCUMENTO CASCADE CONSTRAINTS;</t>
  </si>
  <si>
    <t>DROP TABLE DOCUMENTOS CASCADE CONSTRAINTS;</t>
  </si>
  <si>
    <t>DROP TABLE EMPLEADOS CASCADE CONSTRAINTS;</t>
  </si>
  <si>
    <t>DROP TABLE PRECIOS CASCADE CONSTRAINTS;</t>
  </si>
  <si>
    <t>DROP TABLE PRODUCTOS CASCADE CONSTRAINTS;</t>
  </si>
  <si>
    <t>DROP TABLE REGIONES CASCADE CONSTRAINTS;</t>
  </si>
  <si>
    <t>DROP TABLE TIPOS_DOCUMENTO CASCADE CONSTRAINTS;</t>
  </si>
  <si>
    <t>Estructura</t>
  </si>
  <si>
    <t>Datos</t>
  </si>
  <si>
    <t>TRUNCATE TABLE DETALLES_DOCUMENTO;</t>
  </si>
  <si>
    <t>TRUNCATE TABLE DOCUMENTOS;</t>
  </si>
  <si>
    <t>TRUNCATE TABLE CLIENTES;</t>
  </si>
  <si>
    <t>TRUNCATE TABLE EMPLEADOS;</t>
  </si>
  <si>
    <t>TRUNCATE TABLE PRECIOS;</t>
  </si>
  <si>
    <t>TRUNCATE TABLE PRODUCTOS;</t>
  </si>
  <si>
    <t>TRUNCATE TABLE COMUNAS;</t>
  </si>
  <si>
    <t>TRUNCATE TABLE REGIONES;</t>
  </si>
  <si>
    <t>TRUNCATE TABLE TIPOS_DOCUMENTO;</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</si>
</sst>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quot; &quot;mmmm"/>
    <numFmt numFmtId="165" formatCode="d\-m\-yyyy"/>
    <numFmt numFmtId="166" formatCode="dd\-mm\-yyyy"/>
    <numFmt numFmtId="167" formatCode="&quot; &quot;mmmmyy"/>
    <numFmt numFmtId="168" formatCode="dd\-mm"/>
    <numFmt numFmtId="169" formatCode="00000"/>
    <numFmt numFmtId="170" formatCode="dd/mm/yyyy;@"/>
  </numFmts>
  <fonts count="19">
    <font>
      <sz val="10"/>
      <color rgb="FF000000"/>
      <name val="Arial"/>
      <scheme val="minor"/>
    </font>
    <font>
      <b/>
      <sz val="10"/>
      <color rgb="FFFFFFFF"/>
      <name val="Arial"/>
      <family val="2"/>
    </font>
    <font>
      <sz val="10"/>
      <color theme="1"/>
      <name val="Arial"/>
      <family val="2"/>
      <scheme val="minor"/>
    </font>
    <font>
      <b/>
      <sz val="10"/>
      <color rgb="FFFFFFFF"/>
      <name val="Arial"/>
      <family val="2"/>
      <scheme val="minor"/>
    </font>
    <font>
      <b/>
      <sz val="10"/>
      <color theme="1"/>
      <name val="Arial"/>
      <family val="2"/>
      <scheme val="minor"/>
    </font>
    <font>
      <sz val="10"/>
      <color theme="1"/>
      <name val="Arial"/>
      <family val="2"/>
    </font>
    <font>
      <sz val="10"/>
      <color rgb="FFFFFFFF"/>
      <name val="Arial"/>
      <family val="2"/>
    </font>
    <font>
      <b/>
      <sz val="10"/>
      <color theme="1"/>
      <name val="Arial"/>
      <family val="2"/>
    </font>
    <font>
      <sz val="10"/>
      <color rgb="FF073763"/>
      <name val="Arial"/>
      <family val="2"/>
      <scheme val="minor"/>
    </font>
    <font>
      <sz val="10"/>
      <color rgb="FF073763"/>
      <name val="Arial"/>
      <family val="2"/>
    </font>
    <font>
      <b/>
      <sz val="10"/>
      <color rgb="FF073763"/>
      <name val="Arial"/>
      <family val="2"/>
      <scheme val="minor"/>
    </font>
    <font>
      <sz val="10"/>
      <color rgb="FF000000"/>
      <name val="Roboto"/>
    </font>
    <font>
      <u/>
      <sz val="10"/>
      <color rgb="FF0000FF"/>
      <name val="Arial"/>
      <family val="2"/>
    </font>
    <font>
      <b/>
      <sz val="10"/>
      <color rgb="FF0A0A0A"/>
      <name val="Arial"/>
      <family val="2"/>
      <scheme val="minor"/>
    </font>
    <font>
      <sz val="10"/>
      <color rgb="FF000000"/>
      <name val="Arial"/>
      <family val="2"/>
      <scheme val="minor"/>
    </font>
    <font>
      <b/>
      <sz val="10"/>
      <color rgb="FF000000"/>
      <name val="Arial"/>
      <family val="2"/>
      <scheme val="minor"/>
    </font>
    <font>
      <u/>
      <sz val="10"/>
      <color theme="10"/>
      <name val="Arial"/>
      <family val="2"/>
      <scheme val="minor"/>
    </font>
    <font>
      <b/>
      <sz val="10"/>
      <name val="Arial"/>
      <family val="2"/>
      <scheme val="minor"/>
    </font>
    <font>
      <sz val="10"/>
      <color theme="1"/>
      <name val="Arial"/>
      <family val="2"/>
      <scheme val="minor"/>
    </font>
  </fonts>
  <fills count="11">
    <fill>
      <patternFill patternType="none"/>
    </fill>
    <fill>
      <patternFill patternType="gray125"/>
    </fill>
    <fill>
      <patternFill patternType="solid">
        <fgColor rgb="FF073763"/>
        <bgColor rgb="FF073763"/>
      </patternFill>
    </fill>
    <fill>
      <patternFill patternType="solid">
        <fgColor rgb="FF980000"/>
        <bgColor rgb="FF980000"/>
      </patternFill>
    </fill>
    <fill>
      <patternFill patternType="solid">
        <fgColor rgb="FFFFFFFF"/>
        <bgColor rgb="FFFFFFFF"/>
      </patternFill>
    </fill>
    <fill>
      <patternFill patternType="solid">
        <fgColor rgb="FFFCE5CD"/>
        <bgColor rgb="FFFCE5CD"/>
      </patternFill>
    </fill>
    <fill>
      <patternFill patternType="solid">
        <fgColor rgb="FFB6D7A8"/>
        <bgColor rgb="FFB6D7A8"/>
      </patternFill>
    </fill>
    <fill>
      <patternFill patternType="solid">
        <fgColor rgb="FFFF9900"/>
        <bgColor rgb="FFFF9900"/>
      </patternFill>
    </fill>
    <fill>
      <patternFill patternType="solid">
        <fgColor rgb="FFFFFF00"/>
        <bgColor rgb="FFFFFF00"/>
      </patternFill>
    </fill>
    <fill>
      <patternFill patternType="solid">
        <fgColor rgb="FF1C4587"/>
        <bgColor rgb="FF1C4587"/>
      </patternFill>
    </fill>
    <fill>
      <patternFill patternType="solid">
        <fgColor theme="0" tint="-0.14999847407452621"/>
        <bgColor indexed="64"/>
      </patternFill>
    </fill>
  </fills>
  <borders count="15">
    <border>
      <left/>
      <right/>
      <top/>
      <bottom/>
      <diagonal/>
    </border>
    <border>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6" fillId="0" borderId="0" applyNumberFormat="0" applyFill="0" applyBorder="0" applyAlignment="0" applyProtection="0"/>
  </cellStyleXfs>
  <cellXfs count="156">
    <xf numFmtId="0" fontId="0" fillId="0" borderId="0" xfId="0" applyFont="1" applyAlignment="1"/>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2" xfId="0" applyFont="1" applyFill="1" applyBorder="1" applyAlignment="1">
      <alignment horizontal="center" wrapText="1"/>
    </xf>
    <xf numFmtId="3" fontId="1" fillId="2" borderId="2" xfId="0" applyNumberFormat="1" applyFont="1" applyFill="1" applyBorder="1" applyAlignment="1">
      <alignment horizontal="center" wrapText="1"/>
    </xf>
    <xf numFmtId="3" fontId="1" fillId="2" borderId="2" xfId="0" applyNumberFormat="1" applyFont="1" applyFill="1" applyBorder="1" applyAlignment="1">
      <alignment horizontal="center"/>
    </xf>
    <xf numFmtId="3" fontId="1" fillId="2" borderId="2" xfId="0" applyNumberFormat="1" applyFont="1" applyFill="1" applyBorder="1" applyAlignment="1">
      <alignment horizontal="center"/>
    </xf>
    <xf numFmtId="164" fontId="1" fillId="2" borderId="2" xfId="0" applyNumberFormat="1" applyFont="1" applyFill="1" applyBorder="1" applyAlignment="1">
      <alignment horizontal="center"/>
    </xf>
    <xf numFmtId="0" fontId="2" fillId="0" borderId="0" xfId="0" applyFont="1"/>
    <xf numFmtId="3" fontId="3" fillId="2" borderId="3" xfId="0" applyNumberFormat="1" applyFont="1" applyFill="1" applyBorder="1" applyAlignment="1">
      <alignment horizontal="center"/>
    </xf>
    <xf numFmtId="0" fontId="4" fillId="0" borderId="0" xfId="0" applyFont="1" applyAlignment="1">
      <alignment horizontal="center"/>
    </xf>
    <xf numFmtId="3" fontId="5" fillId="0" borderId="0" xfId="0" applyNumberFormat="1" applyFont="1" applyAlignment="1"/>
    <xf numFmtId="3" fontId="5" fillId="0" borderId="0" xfId="0" applyNumberFormat="1" applyFont="1" applyAlignment="1">
      <alignment horizontal="right"/>
    </xf>
    <xf numFmtId="0" fontId="5" fillId="0" borderId="0" xfId="0" applyFont="1" applyAlignment="1"/>
    <xf numFmtId="0" fontId="5" fillId="0" borderId="0" xfId="0" applyFont="1" applyAlignment="1">
      <alignment horizontal="right"/>
    </xf>
    <xf numFmtId="164" fontId="5" fillId="0" borderId="0" xfId="0" applyNumberFormat="1" applyFont="1" applyAlignment="1">
      <alignment horizontal="right"/>
    </xf>
    <xf numFmtId="0" fontId="5" fillId="0" borderId="0" xfId="0" applyFont="1" applyAlignment="1">
      <alignment horizontal="right"/>
    </xf>
    <xf numFmtId="0" fontId="5" fillId="0" borderId="0" xfId="0" applyFont="1" applyAlignment="1"/>
    <xf numFmtId="166" fontId="5" fillId="0" borderId="0" xfId="0" applyNumberFormat="1" applyFont="1" applyAlignment="1">
      <alignment horizontal="right"/>
    </xf>
    <xf numFmtId="167" fontId="5" fillId="0" borderId="0" xfId="0" applyNumberFormat="1" applyFont="1" applyAlignment="1"/>
    <xf numFmtId="0" fontId="5" fillId="5" borderId="0" xfId="0" applyFont="1" applyFill="1" applyAlignment="1"/>
    <xf numFmtId="0" fontId="5" fillId="0" borderId="0" xfId="0" applyFont="1" applyAlignment="1">
      <alignment horizontal="right"/>
    </xf>
    <xf numFmtId="165" fontId="5" fillId="0" borderId="0" xfId="0" applyNumberFormat="1" applyFont="1" applyAlignment="1">
      <alignment horizontal="right"/>
    </xf>
    <xf numFmtId="0" fontId="5" fillId="0" borderId="0" xfId="0" applyFont="1" applyAlignment="1"/>
    <xf numFmtId="3" fontId="5" fillId="0" borderId="0" xfId="0" applyNumberFormat="1" applyFont="1" applyAlignment="1"/>
    <xf numFmtId="165" fontId="5" fillId="0" borderId="0" xfId="0" applyNumberFormat="1" applyFont="1" applyAlignment="1">
      <alignment horizontal="right"/>
    </xf>
    <xf numFmtId="3" fontId="5" fillId="0" borderId="0" xfId="0" applyNumberFormat="1" applyFont="1" applyAlignment="1">
      <alignment horizontal="right"/>
    </xf>
    <xf numFmtId="3" fontId="6" fillId="3" borderId="0" xfId="0" applyNumberFormat="1" applyFont="1" applyFill="1" applyAlignment="1">
      <alignment horizontal="right"/>
    </xf>
    <xf numFmtId="0" fontId="6" fillId="3" borderId="0" xfId="0" applyFont="1" applyFill="1" applyAlignment="1">
      <alignment horizontal="right"/>
    </xf>
    <xf numFmtId="0" fontId="5" fillId="6" borderId="0" xfId="0" applyFont="1" applyFill="1" applyAlignment="1"/>
    <xf numFmtId="0" fontId="5" fillId="5" borderId="0" xfId="0" applyFont="1" applyFill="1" applyAlignment="1"/>
    <xf numFmtId="0" fontId="2" fillId="0" borderId="0" xfId="0" applyFont="1" applyAlignment="1"/>
    <xf numFmtId="167" fontId="5" fillId="0" borderId="0" xfId="0" applyNumberFormat="1" applyFont="1" applyAlignment="1">
      <alignment horizontal="center"/>
    </xf>
    <xf numFmtId="0" fontId="5" fillId="0" borderId="0" xfId="0" applyFont="1" applyAlignment="1">
      <alignment horizontal="center"/>
    </xf>
    <xf numFmtId="3" fontId="5" fillId="7" borderId="0" xfId="0" applyNumberFormat="1" applyFont="1" applyFill="1" applyAlignment="1">
      <alignment horizontal="right"/>
    </xf>
    <xf numFmtId="3" fontId="7" fillId="0" borderId="0" xfId="0" applyNumberFormat="1" applyFont="1" applyAlignment="1"/>
    <xf numFmtId="3" fontId="5" fillId="0" borderId="0" xfId="0" applyNumberFormat="1" applyFont="1" applyAlignment="1">
      <alignment horizontal="center"/>
    </xf>
    <xf numFmtId="3" fontId="5" fillId="8" borderId="0" xfId="0" applyNumberFormat="1" applyFont="1" applyFill="1" applyAlignment="1">
      <alignment horizontal="right"/>
    </xf>
    <xf numFmtId="164" fontId="5" fillId="0" borderId="0" xfId="0" applyNumberFormat="1" applyFont="1" applyAlignment="1"/>
    <xf numFmtId="166" fontId="2" fillId="0" borderId="0" xfId="0" applyNumberFormat="1" applyFont="1" applyAlignment="1"/>
    <xf numFmtId="3" fontId="2" fillId="0" borderId="0" xfId="0" applyNumberFormat="1" applyFont="1"/>
    <xf numFmtId="3" fontId="2" fillId="0" borderId="0" xfId="0" applyNumberFormat="1" applyFont="1" applyAlignment="1"/>
    <xf numFmtId="164" fontId="2" fillId="0" borderId="0" xfId="0" applyNumberFormat="1" applyFont="1"/>
    <xf numFmtId="0" fontId="4" fillId="0" borderId="0" xfId="0" applyFont="1" applyAlignment="1">
      <alignment horizontal="center"/>
    </xf>
    <xf numFmtId="9" fontId="2" fillId="0" borderId="0" xfId="0" applyNumberFormat="1" applyFont="1" applyAlignment="1"/>
    <xf numFmtId="10" fontId="2" fillId="0" borderId="0" xfId="0" applyNumberFormat="1" applyFont="1"/>
    <xf numFmtId="0" fontId="4" fillId="0" borderId="0" xfId="0" applyFont="1" applyAlignment="1">
      <alignment horizontal="center" wrapText="1"/>
    </xf>
    <xf numFmtId="164" fontId="2" fillId="0" borderId="0" xfId="0" applyNumberFormat="1" applyFont="1" applyAlignment="1"/>
    <xf numFmtId="0" fontId="3" fillId="9" borderId="0" xfId="0" applyFont="1" applyFill="1" applyAlignment="1">
      <alignment horizontal="center"/>
    </xf>
    <xf numFmtId="0" fontId="3" fillId="9" borderId="0" xfId="0" applyFont="1" applyFill="1" applyAlignment="1">
      <alignment horizontal="center" wrapText="1"/>
    </xf>
    <xf numFmtId="167" fontId="3" fillId="9" borderId="0" xfId="0" applyNumberFormat="1" applyFont="1" applyFill="1" applyAlignment="1">
      <alignment horizontal="center" wrapText="1"/>
    </xf>
    <xf numFmtId="167" fontId="2" fillId="0" borderId="0" xfId="0" applyNumberFormat="1" applyFont="1"/>
    <xf numFmtId="0" fontId="3" fillId="2" borderId="0" xfId="0" applyFont="1" applyFill="1" applyAlignment="1">
      <alignment horizontal="center"/>
    </xf>
    <xf numFmtId="3" fontId="3" fillId="2" borderId="2" xfId="0" applyNumberFormat="1" applyFont="1" applyFill="1" applyBorder="1" applyAlignment="1">
      <alignment horizontal="center"/>
    </xf>
    <xf numFmtId="0" fontId="3" fillId="2" borderId="3" xfId="0" applyFont="1" applyFill="1" applyBorder="1" applyAlignment="1">
      <alignment horizontal="center"/>
    </xf>
    <xf numFmtId="3" fontId="3" fillId="2" borderId="4" xfId="0" applyNumberFormat="1" applyFont="1" applyFill="1" applyBorder="1" applyAlignment="1">
      <alignment horizontal="center"/>
    </xf>
    <xf numFmtId="3" fontId="3" fillId="2" borderId="4" xfId="0" applyNumberFormat="1" applyFont="1" applyFill="1" applyBorder="1" applyAlignment="1">
      <alignment horizontal="center" wrapText="1"/>
    </xf>
    <xf numFmtId="0" fontId="3" fillId="2" borderId="4" xfId="0" applyFont="1" applyFill="1" applyBorder="1" applyAlignment="1">
      <alignment horizontal="center" wrapText="1"/>
    </xf>
    <xf numFmtId="10" fontId="3" fillId="2" borderId="4" xfId="0" applyNumberFormat="1" applyFont="1" applyFill="1" applyBorder="1" applyAlignment="1">
      <alignment horizontal="center"/>
    </xf>
    <xf numFmtId="0" fontId="4" fillId="0" borderId="0" xfId="0" applyFont="1" applyAlignment="1"/>
    <xf numFmtId="0" fontId="2" fillId="0" borderId="5" xfId="0" applyFont="1" applyBorder="1" applyAlignment="1"/>
    <xf numFmtId="3" fontId="8" fillId="0" borderId="0" xfId="0" applyNumberFormat="1" applyFont="1" applyAlignment="1"/>
    <xf numFmtId="3" fontId="8" fillId="0" borderId="0" xfId="0" applyNumberFormat="1" applyFont="1" applyAlignment="1">
      <alignment wrapText="1"/>
    </xf>
    <xf numFmtId="10" fontId="8" fillId="0" borderId="0" xfId="0" applyNumberFormat="1" applyFont="1" applyAlignment="1">
      <alignment wrapText="1"/>
    </xf>
    <xf numFmtId="10" fontId="8" fillId="0" borderId="0" xfId="0" applyNumberFormat="1" applyFont="1" applyAlignment="1"/>
    <xf numFmtId="3" fontId="2" fillId="0" borderId="1" xfId="0" applyNumberFormat="1" applyFont="1" applyBorder="1" applyAlignment="1"/>
    <xf numFmtId="0" fontId="7" fillId="0" borderId="0" xfId="0" applyFont="1" applyAlignment="1"/>
    <xf numFmtId="0" fontId="5" fillId="0" borderId="5" xfId="0" applyFont="1" applyBorder="1" applyAlignment="1"/>
    <xf numFmtId="3" fontId="9" fillId="0" borderId="0" xfId="0" applyNumberFormat="1" applyFont="1" applyAlignment="1"/>
    <xf numFmtId="3" fontId="9" fillId="0" borderId="0" xfId="0" applyNumberFormat="1" applyFont="1" applyAlignment="1">
      <alignment horizontal="right" wrapText="1"/>
    </xf>
    <xf numFmtId="10" fontId="9" fillId="0" borderId="0" xfId="0" applyNumberFormat="1" applyFont="1" applyAlignment="1">
      <alignment horizontal="right" wrapText="1"/>
    </xf>
    <xf numFmtId="3" fontId="9" fillId="0" borderId="0" xfId="0" applyNumberFormat="1" applyFont="1" applyAlignment="1">
      <alignment horizontal="right"/>
    </xf>
    <xf numFmtId="10" fontId="9" fillId="0" borderId="0" xfId="0" applyNumberFormat="1" applyFont="1" applyAlignment="1">
      <alignment horizontal="right"/>
    </xf>
    <xf numFmtId="3" fontId="5" fillId="0" borderId="1" xfId="0" applyNumberFormat="1" applyFont="1" applyBorder="1" applyAlignment="1">
      <alignment horizontal="right"/>
    </xf>
    <xf numFmtId="3" fontId="2" fillId="0" borderId="0" xfId="0" applyNumberFormat="1" applyFont="1" applyAlignment="1">
      <alignment wrapText="1"/>
    </xf>
    <xf numFmtId="3" fontId="2" fillId="0" borderId="0" xfId="0" applyNumberFormat="1" applyFont="1" applyAlignment="1">
      <alignment wrapText="1"/>
    </xf>
    <xf numFmtId="0" fontId="2" fillId="0" borderId="0" xfId="0" applyFont="1" applyAlignment="1">
      <alignment wrapText="1"/>
    </xf>
    <xf numFmtId="3" fontId="5" fillId="0" borderId="1" xfId="0" applyNumberFormat="1" applyFont="1" applyBorder="1" applyAlignment="1">
      <alignment horizontal="right"/>
    </xf>
    <xf numFmtId="0" fontId="10" fillId="0" borderId="0" xfId="0" applyFont="1" applyAlignment="1"/>
    <xf numFmtId="0" fontId="8" fillId="0" borderId="5" xfId="0" applyFont="1" applyBorder="1" applyAlignment="1"/>
    <xf numFmtId="0" fontId="8" fillId="0" borderId="0" xfId="0" applyFont="1" applyAlignment="1"/>
    <xf numFmtId="3" fontId="8" fillId="0" borderId="1" xfId="0" applyNumberFormat="1" applyFont="1" applyBorder="1" applyAlignment="1"/>
    <xf numFmtId="0" fontId="2" fillId="0" borderId="0" xfId="0" applyFont="1" applyAlignment="1">
      <alignment wrapText="1"/>
    </xf>
    <xf numFmtId="3" fontId="8" fillId="0" borderId="5" xfId="0" applyNumberFormat="1" applyFont="1" applyBorder="1" applyAlignment="1"/>
    <xf numFmtId="0" fontId="5" fillId="0" borderId="5" xfId="0" applyFont="1" applyBorder="1" applyAlignment="1"/>
    <xf numFmtId="9" fontId="2" fillId="0" borderId="0" xfId="0" applyNumberFormat="1" applyFont="1"/>
    <xf numFmtId="0" fontId="7" fillId="0" borderId="0" xfId="0" applyFont="1" applyAlignment="1"/>
    <xf numFmtId="3" fontId="9" fillId="0" borderId="0" xfId="0" applyNumberFormat="1" applyFont="1" applyAlignment="1"/>
    <xf numFmtId="0" fontId="9" fillId="0" borderId="0" xfId="0" applyFont="1" applyAlignment="1"/>
    <xf numFmtId="3" fontId="9" fillId="0" borderId="0" xfId="0" applyNumberFormat="1" applyFont="1" applyAlignment="1">
      <alignment horizontal="right"/>
    </xf>
    <xf numFmtId="10" fontId="2" fillId="0" borderId="0" xfId="0" applyNumberFormat="1" applyFont="1" applyAlignment="1">
      <alignment wrapText="1"/>
    </xf>
    <xf numFmtId="10" fontId="2" fillId="0" borderId="0" xfId="0" applyNumberFormat="1" applyFont="1" applyAlignment="1">
      <alignment wrapText="1"/>
    </xf>
    <xf numFmtId="3" fontId="3" fillId="2" borderId="2" xfId="0" applyNumberFormat="1" applyFont="1" applyFill="1" applyBorder="1" applyAlignment="1">
      <alignment horizontal="center" wrapText="1"/>
    </xf>
    <xf numFmtId="0" fontId="11" fillId="4" borderId="0" xfId="0" applyFont="1" applyFill="1" applyAlignment="1"/>
    <xf numFmtId="168" fontId="2" fillId="0" borderId="0" xfId="0" applyNumberFormat="1" applyFont="1" applyAlignment="1"/>
    <xf numFmtId="0" fontId="12" fillId="0" borderId="0" xfId="0" applyFont="1" applyAlignment="1"/>
    <xf numFmtId="0" fontId="5" fillId="0" borderId="0" xfId="0" applyFont="1" applyFill="1" applyAlignment="1">
      <alignment horizontal="right"/>
    </xf>
    <xf numFmtId="0" fontId="5" fillId="0" borderId="0" xfId="0" applyFont="1" applyFill="1" applyAlignment="1"/>
    <xf numFmtId="165" fontId="5" fillId="0" borderId="0" xfId="0" applyNumberFormat="1" applyFont="1" applyFill="1" applyAlignment="1">
      <alignment horizontal="right"/>
    </xf>
    <xf numFmtId="3" fontId="5" fillId="0" borderId="0" xfId="0" applyNumberFormat="1" applyFont="1" applyFill="1" applyAlignment="1">
      <alignment horizontal="right"/>
    </xf>
    <xf numFmtId="3" fontId="5" fillId="0" borderId="0" xfId="0" applyNumberFormat="1" applyFont="1" applyFill="1" applyAlignment="1"/>
    <xf numFmtId="164" fontId="5" fillId="0" borderId="0" xfId="0" applyNumberFormat="1" applyFont="1" applyFill="1" applyAlignment="1">
      <alignment horizontal="right"/>
    </xf>
    <xf numFmtId="166" fontId="5" fillId="0" borderId="0" xfId="0" applyNumberFormat="1" applyFont="1" applyFill="1" applyAlignment="1">
      <alignment horizontal="right"/>
    </xf>
    <xf numFmtId="167" fontId="5" fillId="0" borderId="0" xfId="0" applyNumberFormat="1" applyFont="1" applyFill="1" applyAlignment="1"/>
    <xf numFmtId="0" fontId="0" fillId="0" borderId="0" xfId="0" applyFont="1" applyFill="1" applyAlignment="1"/>
    <xf numFmtId="0" fontId="15" fillId="0" borderId="0" xfId="0" applyFont="1" applyAlignment="1"/>
    <xf numFmtId="1" fontId="0" fillId="0" borderId="0" xfId="0" applyNumberFormat="1" applyFont="1" applyAlignment="1"/>
    <xf numFmtId="0" fontId="14" fillId="0" borderId="0" xfId="0" applyFont="1" applyAlignment="1"/>
    <xf numFmtId="0" fontId="17" fillId="10" borderId="6" xfId="0" applyFont="1" applyFill="1" applyBorder="1" applyAlignment="1">
      <alignment horizontal="center"/>
    </xf>
    <xf numFmtId="169" fontId="18" fillId="0" borderId="7" xfId="0" applyNumberFormat="1" applyFont="1" applyBorder="1" applyAlignment="1">
      <alignment horizontal="center"/>
    </xf>
    <xf numFmtId="0" fontId="18" fillId="0" borderId="7" xfId="0" applyFont="1" applyBorder="1" applyAlignment="1">
      <alignment horizontal="left"/>
    </xf>
    <xf numFmtId="0" fontId="17" fillId="10" borderId="8" xfId="0" applyFont="1" applyFill="1" applyBorder="1" applyAlignment="1">
      <alignment horizontal="center"/>
    </xf>
    <xf numFmtId="0" fontId="17" fillId="10" borderId="7" xfId="0" applyFont="1" applyFill="1" applyBorder="1" applyAlignment="1">
      <alignment horizontal="center"/>
    </xf>
    <xf numFmtId="1" fontId="13" fillId="0" borderId="7" xfId="0" applyNumberFormat="1" applyFont="1" applyBorder="1" applyAlignment="1">
      <alignment horizontal="left" vertical="center" wrapText="1" indent="1"/>
    </xf>
    <xf numFmtId="0" fontId="0" fillId="0" borderId="7" xfId="0" applyFont="1" applyBorder="1" applyAlignment="1"/>
    <xf numFmtId="0" fontId="14" fillId="0" borderId="7" xfId="0" applyFont="1" applyBorder="1" applyAlignment="1"/>
    <xf numFmtId="0" fontId="18" fillId="0" borderId="7" xfId="0" applyFont="1" applyBorder="1"/>
    <xf numFmtId="170" fontId="17" fillId="10" borderId="7" xfId="0" applyNumberFormat="1" applyFont="1" applyFill="1" applyBorder="1" applyAlignment="1">
      <alignment horizontal="center"/>
    </xf>
    <xf numFmtId="170" fontId="0" fillId="0" borderId="0" xfId="0" applyNumberFormat="1" applyFont="1" applyAlignment="1"/>
    <xf numFmtId="0" fontId="18" fillId="0" borderId="7" xfId="0" applyFont="1" applyBorder="1" applyAlignment="1"/>
    <xf numFmtId="0" fontId="16" fillId="0" borderId="7" xfId="1" applyBorder="1" applyAlignment="1"/>
    <xf numFmtId="0" fontId="14" fillId="0" borderId="7" xfId="0" applyFont="1" applyFill="1" applyBorder="1" applyAlignment="1"/>
    <xf numFmtId="0" fontId="0" fillId="0" borderId="7" xfId="0" applyFont="1" applyBorder="1" applyAlignment="1">
      <alignment wrapText="1"/>
    </xf>
    <xf numFmtId="170" fontId="14" fillId="0" borderId="7" xfId="0" quotePrefix="1" applyNumberFormat="1" applyFont="1" applyBorder="1" applyAlignment="1"/>
    <xf numFmtId="0" fontId="14" fillId="0" borderId="0" xfId="0" applyFont="1" applyAlignment="1">
      <alignment horizontal="left" wrapText="1"/>
    </xf>
    <xf numFmtId="0" fontId="14" fillId="0" borderId="0" xfId="0" applyFont="1" applyAlignment="1">
      <alignment horizontal="right" wrapText="1"/>
    </xf>
    <xf numFmtId="0" fontId="14" fillId="0" borderId="0" xfId="0" applyFont="1" applyAlignment="1">
      <alignment horizontal="right"/>
    </xf>
    <xf numFmtId="0" fontId="0" fillId="0" borderId="0" xfId="0" applyNumberFormat="1" applyFont="1" applyAlignment="1"/>
    <xf numFmtId="0" fontId="15" fillId="0" borderId="0" xfId="0" applyNumberFormat="1" applyFont="1" applyAlignment="1"/>
    <xf numFmtId="0" fontId="17" fillId="10" borderId="7" xfId="0" applyNumberFormat="1" applyFont="1" applyFill="1" applyBorder="1" applyAlignment="1">
      <alignment horizontal="center"/>
    </xf>
    <xf numFmtId="0" fontId="4" fillId="0" borderId="0" xfId="0" applyNumberFormat="1" applyFont="1" applyAlignment="1">
      <alignment horizontal="center"/>
    </xf>
    <xf numFmtId="0" fontId="2" fillId="0" borderId="0" xfId="0" applyNumberFormat="1" applyFont="1" applyAlignment="1"/>
    <xf numFmtId="0" fontId="2" fillId="0" borderId="0" xfId="0" applyNumberFormat="1" applyFont="1"/>
    <xf numFmtId="0" fontId="14" fillId="0" borderId="0" xfId="0" applyFont="1" applyAlignment="1">
      <alignment wrapText="1"/>
    </xf>
    <xf numFmtId="0" fontId="14" fillId="0" borderId="7" xfId="0" applyNumberFormat="1" applyFont="1" applyBorder="1" applyAlignment="1"/>
    <xf numFmtId="14" fontId="0" fillId="0" borderId="7" xfId="0" applyNumberFormat="1" applyFont="1" applyBorder="1" applyAlignment="1"/>
    <xf numFmtId="0" fontId="14" fillId="0" borderId="7" xfId="0" quotePrefix="1" applyFont="1" applyBorder="1" applyAlignment="1"/>
    <xf numFmtId="3" fontId="0" fillId="0" borderId="7" xfId="0" applyNumberFormat="1" applyFont="1" applyBorder="1" applyAlignment="1"/>
    <xf numFmtId="0" fontId="0" fillId="0" borderId="0" xfId="0" pivotButton="1" applyFont="1" applyAlignment="1"/>
    <xf numFmtId="170" fontId="0" fillId="0" borderId="7" xfId="0" applyNumberFormat="1" applyFont="1" applyBorder="1" applyAlignment="1"/>
    <xf numFmtId="0" fontId="0" fillId="0" borderId="7" xfId="0" applyNumberFormat="1" applyFont="1" applyBorder="1" applyAlignment="1"/>
    <xf numFmtId="0" fontId="17" fillId="10" borderId="7" xfId="0" applyFont="1" applyFill="1" applyBorder="1" applyAlignment="1">
      <alignment horizontal="left"/>
    </xf>
    <xf numFmtId="0" fontId="0" fillId="0" borderId="10" xfId="0" applyNumberFormat="1" applyFont="1" applyBorder="1" applyAlignment="1"/>
    <xf numFmtId="0" fontId="0" fillId="0" borderId="0" xfId="0" applyNumberFormat="1" applyFont="1" applyBorder="1" applyAlignment="1"/>
    <xf numFmtId="0" fontId="0" fillId="0" borderId="11" xfId="0" applyNumberFormat="1" applyFont="1" applyBorder="1" applyAlignment="1"/>
    <xf numFmtId="0" fontId="0" fillId="0" borderId="12" xfId="0" applyNumberFormat="1" applyFont="1" applyBorder="1" applyAlignment="1"/>
    <xf numFmtId="0" fontId="0" fillId="0" borderId="13" xfId="0" applyNumberFormat="1" applyFont="1" applyBorder="1" applyAlignment="1"/>
    <xf numFmtId="0" fontId="0" fillId="0" borderId="14" xfId="0" applyNumberFormat="1" applyFont="1" applyBorder="1" applyAlignment="1"/>
    <xf numFmtId="0" fontId="0" fillId="0" borderId="9" xfId="0" pivotButton="1" applyFont="1" applyBorder="1" applyAlignment="1"/>
    <xf numFmtId="0" fontId="0" fillId="0" borderId="8" xfId="0" applyFont="1" applyBorder="1" applyAlignment="1"/>
    <xf numFmtId="0" fontId="0" fillId="0" borderId="9" xfId="0" applyFont="1" applyBorder="1" applyAlignment="1"/>
    <xf numFmtId="170" fontId="0" fillId="0" borderId="9" xfId="0" applyNumberFormat="1" applyFont="1" applyBorder="1" applyAlignment="1"/>
    <xf numFmtId="0" fontId="17" fillId="10" borderId="12" xfId="0" applyFont="1" applyFill="1" applyBorder="1" applyAlignment="1">
      <alignment horizontal="center"/>
    </xf>
    <xf numFmtId="0" fontId="17" fillId="10" borderId="13" xfId="0" applyFont="1" applyFill="1" applyBorder="1" applyAlignment="1">
      <alignment horizontal="center"/>
    </xf>
    <xf numFmtId="0" fontId="17" fillId="10" borderId="14" xfId="0" applyFont="1" applyFill="1" applyBorder="1" applyAlignment="1">
      <alignment horizontal="center"/>
    </xf>
    <xf numFmtId="0" fontId="14" fillId="0" borderId="0" xfId="0" applyFont="1" applyAlignment="1">
      <alignment horizontal="left" wrapText="1"/>
    </xf>
  </cellXfs>
  <cellStyles count="2">
    <cellStyle name="Hipervínculo" xfId="1" builtinId="8"/>
    <cellStyle name="Normal" xfId="0" builtinId="0"/>
  </cellStyles>
  <dxfs count="2039">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color auto="1"/>
      </font>
      <fill>
        <patternFill patternType="solid">
          <fgColor indexed="64"/>
          <bgColor theme="0" tint="-0.14999847407452621"/>
        </patternFill>
      </fill>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C" refreshedDate="45976.073926967591" createdVersion="5" refreshedVersion="5" minRefreshableVersion="3" recordCount="3616">
  <cacheSource type="worksheet">
    <worksheetSource ref="A1:K3617" sheet="DETALLE_DOCUMENTOS"/>
  </cacheSource>
  <cacheFields count="11">
    <cacheField name="Id_Tipo" numFmtId="0">
      <sharedItems containsSemiMixedTypes="0" containsString="0" containsNumber="1" containsInteger="1" minValue="1" maxValue="2" count="2">
        <n v="1"/>
        <n v="2"/>
      </sharedItems>
    </cacheField>
    <cacheField name="Nro_Documento" numFmtId="0">
      <sharedItems containsSemiMixedTypes="0" containsString="0" containsNumber="1" containsInteger="1" minValue="1" maxValue="1630" count="163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72" u="1"/>
        <n v="1574" u="1"/>
        <n v="1576" u="1"/>
        <n v="1578" u="1"/>
        <n v="1580" u="1"/>
        <n v="1582" u="1"/>
        <n v="1584" u="1"/>
        <n v="1586" u="1"/>
        <n v="1588" u="1"/>
        <n v="1590" u="1"/>
        <n v="1592" u="1"/>
        <n v="1594" u="1"/>
        <n v="1596" u="1"/>
        <n v="1598" u="1"/>
        <n v="1600" u="1"/>
        <n v="1602" u="1"/>
        <n v="1604" u="1"/>
        <n v="1606" u="1"/>
        <n v="1608" u="1"/>
        <n v="1610" u="1"/>
        <n v="1612" u="1"/>
        <n v="1614" u="1"/>
        <n v="1616" u="1"/>
        <n v="1618" u="1"/>
        <n v="1620" u="1"/>
        <n v="1622" u="1"/>
        <n v="1557" u="1"/>
        <n v="1624" u="1"/>
        <n v="1559" u="1"/>
        <n v="1626" u="1"/>
        <n v="1561" u="1"/>
        <n v="1628" u="1"/>
        <n v="1563" u="1"/>
        <n v="1630" u="1"/>
        <n v="1565" u="1"/>
        <n v="1567" u="1"/>
        <n v="1569" u="1"/>
        <n v="1571" u="1"/>
        <n v="1573" u="1"/>
        <n v="1575" u="1"/>
        <n v="1577" u="1"/>
        <n v="1579" u="1"/>
        <n v="1581" u="1"/>
        <n v="1583" u="1"/>
        <n v="1585" u="1"/>
        <n v="1587" u="1"/>
        <n v="1589" u="1"/>
        <n v="1591" u="1"/>
        <n v="1593" u="1"/>
        <n v="1595" u="1"/>
        <n v="1597" u="1"/>
        <n v="1599" u="1"/>
        <n v="1601" u="1"/>
        <n v="1603" u="1"/>
        <n v="1605" u="1"/>
        <n v="1607" u="1"/>
        <n v="1609" u="1"/>
        <n v="1611" u="1"/>
        <n v="1613" u="1"/>
        <n v="1615" u="1"/>
        <n v="1617" u="1"/>
        <n v="1619" u="1"/>
        <n v="1621" u="1"/>
        <n v="1556" u="1"/>
        <n v="1623" u="1"/>
        <n v="1558" u="1"/>
        <n v="1625" u="1"/>
        <n v="1560" u="1"/>
        <n v="1627" u="1"/>
        <n v="1562" u="1"/>
        <n v="1629" u="1"/>
        <n v="1564" u="1"/>
        <n v="1566" u="1"/>
        <n v="1568" u="1"/>
        <n v="1570" u="1"/>
      </sharedItems>
    </cacheField>
    <cacheField name="Fecha_Emision" numFmtId="170">
      <sharedItems containsDate="1" containsMixedTypes="1" minDate="2025-01-02T00:00:00" maxDate="2025-09-19T00:00:00" count="516">
        <s v="02-01-2025"/>
        <s v="03-01-2025"/>
        <s v="04-01-2025"/>
        <s v="05-01-2025"/>
        <s v="06-01-2025"/>
        <s v="07-01-2025"/>
        <s v="08-01-2025"/>
        <s v="09-01-2025"/>
        <s v="10-01-2025"/>
        <s v="11-01-2025"/>
        <s v="12-01-2025"/>
        <s v="13-01-2025"/>
        <s v="14-01-2025"/>
        <s v="15-01-2025"/>
        <s v="16-01-2025"/>
        <s v="17-01-2025"/>
        <s v="18-01-2025"/>
        <s v="19-01-2025"/>
        <s v="20-01-2025"/>
        <s v="21-01-2025"/>
        <s v="22-01-2025"/>
        <s v="23-01-2025"/>
        <s v="24-01-2025"/>
        <s v="25-01-2025"/>
        <s v="26-01-2025"/>
        <s v="27-01-2025"/>
        <s v="28-01-2025"/>
        <s v="29-01-2025"/>
        <s v="30-01-2025"/>
        <s v="31-01-2025"/>
        <s v="01-02-2025"/>
        <s v="02-02-2025"/>
        <s v="03-02-2025"/>
        <s v="04-02-2025"/>
        <s v="05-02-2025"/>
        <s v="06-02-2025"/>
        <s v="07-02-2025"/>
        <s v="08-02-2025"/>
        <s v="09-02-2025"/>
        <s v="10-02-2025"/>
        <s v="11-02-2025"/>
        <s v="12-02-2025"/>
        <s v="13-02-2025"/>
        <s v="14-02-2025"/>
        <s v="15-02-2025"/>
        <s v="16-02-2025"/>
        <s v="17-02-2025"/>
        <s v="18-02-2025"/>
        <s v="19-02-2025"/>
        <s v="20-02-2025"/>
        <s v="21-02-2025"/>
        <s v="22-02-2025"/>
        <s v="23-02-2025"/>
        <s v="24-02-2025"/>
        <s v="25-02-2025"/>
        <s v="26-02-2025"/>
        <s v="27-02-2025"/>
        <s v="28-02-2025"/>
        <s v="01-03-2025"/>
        <s v="02-03-2025"/>
        <s v="03-03-2025"/>
        <s v="04-03-2025"/>
        <s v="05-03-2025"/>
        <s v="06-03-2025"/>
        <s v="07-03-2025"/>
        <s v="08-03-2025"/>
        <s v="09-03-2025"/>
        <s v="10-03-2025"/>
        <s v="11-03-2025"/>
        <s v="12-03-2025"/>
        <s v="13-03-2025"/>
        <s v="14-03-2025"/>
        <s v="15-03-2025"/>
        <s v="16-03-2025"/>
        <s v="17-03-2025"/>
        <s v="18-03-2025"/>
        <s v="19-03-2025"/>
        <s v="20-03-2025"/>
        <s v="21-03-2025"/>
        <s v="22-03-2025"/>
        <s v="23-03-2025"/>
        <s v="24-03-2025"/>
        <s v="25-03-2025"/>
        <s v="26-03-2025"/>
        <s v="27-03-2025"/>
        <s v="28-03-2025"/>
        <s v="29-03-2025"/>
        <s v="30-03-2025"/>
        <s v="31-03-2025"/>
        <s v="01-04-2025"/>
        <s v="02-04-2025"/>
        <s v="03-04-2025"/>
        <s v="04-04-2025"/>
        <s v="05-04-2025"/>
        <s v="06-04-2025"/>
        <s v="07-04-2025"/>
        <s v="08-04-2025"/>
        <s v="09-04-2025"/>
        <s v="10-04-2025"/>
        <s v="11-04-2025"/>
        <s v="12-04-2025"/>
        <s v="13-04-2025"/>
        <s v="14-04-2025"/>
        <s v="15-04-2025"/>
        <s v="16-04-2025"/>
        <s v="17-04-2025"/>
        <s v="18-04-2025"/>
        <s v="19-04-2025"/>
        <s v="20-04-2025"/>
        <s v="21-04-2025"/>
        <s v="22-04-2025"/>
        <s v="23-04-2025"/>
        <s v="24-04-2025"/>
        <s v="25-04-2025"/>
        <s v="26-04-2025"/>
        <s v="27-04-2025"/>
        <s v="28-04-2025"/>
        <s v="29-04-2025"/>
        <s v="30-04-2025"/>
        <s v="01-05-2025"/>
        <s v="02-05-2025"/>
        <s v="03-05-2025"/>
        <s v="04-05-2025"/>
        <s v="05-05-2025"/>
        <s v="06-05-2025"/>
        <s v="07-05-2025"/>
        <s v="08-05-2025"/>
        <s v="09-05-2025"/>
        <s v="10-05-2025"/>
        <s v="11-05-2025"/>
        <s v="12-05-2025"/>
        <s v="13-05-2025"/>
        <s v="14-05-2025"/>
        <s v="15-05-2025"/>
        <s v="16-05-2025"/>
        <s v="17-05-2025"/>
        <s v="18-05-2025"/>
        <s v="19-05-2025"/>
        <s v="20-05-2025"/>
        <s v="21-05-2025"/>
        <s v="22-05-2025"/>
        <s v="23-05-2025"/>
        <s v="24-05-2025"/>
        <s v="25-05-2025"/>
        <s v="26-05-2025"/>
        <s v="27-05-2025"/>
        <s v="28-05-2025"/>
        <s v="29-05-2025"/>
        <s v="30-05-2025"/>
        <s v="31-05-2025"/>
        <s v="01-06-2025"/>
        <s v="02-06-2025"/>
        <s v="03-06-2025"/>
        <s v="04-06-2025"/>
        <s v="05-06-2025"/>
        <s v="06-06-2025"/>
        <s v="08-06-2025"/>
        <s v="09-06-2025"/>
        <s v="10-06-2025"/>
        <s v="11-06-2025"/>
        <s v="12-06-2025"/>
        <s v="13-06-2025"/>
        <s v="14-06-2025"/>
        <s v="15-06-2025"/>
        <s v="16-06-2025"/>
        <s v="17-06-2025"/>
        <s v="18-06-2025"/>
        <s v="19-06-2025"/>
        <s v="20-06-2025"/>
        <s v="21-06-2025"/>
        <s v="22-06-2025"/>
        <s v="23-06-2025"/>
        <s v="24-06-2025"/>
        <s v="25-06-2025"/>
        <s v="26-06-2025"/>
        <s v="27-06-2025"/>
        <s v="28-06-2025"/>
        <s v="29-06-2025"/>
        <s v="30-06-2025"/>
        <s v="01-07-2025"/>
        <s v="02-07-2025"/>
        <s v="03-07-2025"/>
        <s v="04-07-2025"/>
        <s v="05-07-2025"/>
        <s v="06-07-2025"/>
        <s v="07-07-2025"/>
        <s v="08-07-2025"/>
        <s v="09-07-2025"/>
        <s v="10-07-2025"/>
        <s v="11-07-2025"/>
        <s v="12-07-2025"/>
        <s v="13-07-2025"/>
        <s v="14-07-2025"/>
        <s v="15-07-2025"/>
        <s v="16-07-2025"/>
        <s v="17-07-2025"/>
        <s v="18-07-2025"/>
        <s v="19-07-2025"/>
        <s v="20-07-2025"/>
        <s v="21-07-2025"/>
        <s v="22-07-2025"/>
        <s v="23-07-2025"/>
        <s v="24-07-2025"/>
        <s v="25-07-2025"/>
        <s v="26-07-2025"/>
        <s v="27-07-2025"/>
        <s v="28-07-2025"/>
        <s v="29-07-2025"/>
        <s v="30-07-2025"/>
        <s v="31-07-2025"/>
        <s v="01-08-2025"/>
        <s v="02-08-2025"/>
        <s v="03-08-2025"/>
        <s v="04-08-2025"/>
        <s v="05-08-2025"/>
        <s v="06-08-2025"/>
        <s v="07-08-2025"/>
        <s v="08-08-2025"/>
        <s v="09-08-2025"/>
        <s v="10-08-2025"/>
        <s v="11-08-2025"/>
        <s v="12-08-2025"/>
        <s v="13-08-2025"/>
        <s v="14-08-2025"/>
        <s v="15-08-2025"/>
        <s v="16-08-2025"/>
        <s v="17-08-2025"/>
        <s v="18-08-2025"/>
        <s v="19-08-2025"/>
        <s v="20-08-2025"/>
        <s v="21-08-2025"/>
        <s v="22-08-2025"/>
        <s v="23-08-2025"/>
        <s v="24-08-2025"/>
        <s v="25-08-2025"/>
        <s v="26-08-2025"/>
        <s v="27-08-2025"/>
        <s v="28-08-2025"/>
        <s v="29-08-2025"/>
        <s v="30-08-2025"/>
        <s v="31-08-2025"/>
        <s v="01-09-2025"/>
        <s v="02-09-2025"/>
        <s v="03-09-2025"/>
        <s v="04-09-2025"/>
        <s v="05-09-2025"/>
        <s v="06-09-2025"/>
        <s v="07-09-2025"/>
        <s v="08-09-2025"/>
        <s v="09-09-2025"/>
        <s v="10-09-2025"/>
        <s v="12-09-2025"/>
        <s v="13-09-2025"/>
        <s v="14-09-2025"/>
        <s v="15-09-2025"/>
        <s v="16-09-2025"/>
        <s v="17-09-2025"/>
        <s v="18-09-2025"/>
        <d v="2025-01-02T00:00:00" u="1"/>
        <d v="2025-01-04T00:00:00" u="1"/>
        <d v="2025-01-06T00:00:00" u="1"/>
        <d v="2025-02-02T00:00:00" u="1"/>
        <d v="2025-01-08T00:00:00" u="1"/>
        <d v="2025-02-04T00:00:00" u="1"/>
        <d v="2025-01-10T00:00:00" u="1"/>
        <d v="2025-02-06T00:00:00" u="1"/>
        <d v="2025-03-02T00:00:00" u="1"/>
        <d v="2025-01-12T00:00:00" u="1"/>
        <d v="2025-02-08T00:00:00" u="1"/>
        <d v="2025-03-04T00:00:00" u="1"/>
        <d v="2025-01-14T00:00:00" u="1"/>
        <d v="2025-02-10T00:00:00" u="1"/>
        <d v="2025-03-06T00:00:00" u="1"/>
        <d v="2025-04-02T00:00:00" u="1"/>
        <d v="2025-01-16T00:00:00" u="1"/>
        <d v="2025-02-12T00:00:00" u="1"/>
        <d v="2025-03-08T00:00:00" u="1"/>
        <d v="2025-04-04T00:00:00" u="1"/>
        <d v="2025-01-18T00:00:00" u="1"/>
        <d v="2025-02-14T00:00:00" u="1"/>
        <d v="2025-03-10T00:00:00" u="1"/>
        <d v="2025-04-06T00:00:00" u="1"/>
        <d v="2025-05-02T00:00:00" u="1"/>
        <d v="2025-01-20T00:00:00" u="1"/>
        <d v="2025-02-16T00:00:00" u="1"/>
        <d v="2025-03-12T00:00:00" u="1"/>
        <d v="2025-04-08T00:00:00" u="1"/>
        <d v="2025-05-04T00:00:00" u="1"/>
        <d v="2025-01-22T00:00:00" u="1"/>
        <d v="2025-02-18T00:00:00" u="1"/>
        <d v="2025-03-14T00:00:00" u="1"/>
        <d v="2025-04-10T00:00:00" u="1"/>
        <d v="2025-05-06T00:00:00" u="1"/>
        <d v="2025-06-02T00:00:00" u="1"/>
        <d v="2025-01-24T00:00:00" u="1"/>
        <d v="2025-02-20T00:00:00" u="1"/>
        <d v="2025-03-16T00:00:00" u="1"/>
        <d v="2025-04-12T00:00:00" u="1"/>
        <d v="2025-05-08T00:00:00" u="1"/>
        <d v="2025-06-04T00:00:00" u="1"/>
        <d v="2025-01-26T00:00:00" u="1"/>
        <d v="2025-02-22T00:00:00" u="1"/>
        <d v="2025-03-18T00:00:00" u="1"/>
        <d v="2025-04-14T00:00:00" u="1"/>
        <d v="2025-05-10T00:00:00" u="1"/>
        <d v="2025-06-06T00:00:00" u="1"/>
        <d v="2025-07-02T00:00:00" u="1"/>
        <d v="2025-01-28T00:00:00" u="1"/>
        <d v="2025-02-24T00:00:00" u="1"/>
        <d v="2025-03-20T00:00:00" u="1"/>
        <d v="2025-04-16T00:00:00" u="1"/>
        <d v="2025-05-12T00:00:00" u="1"/>
        <d v="2025-06-08T00:00:00" u="1"/>
        <d v="2025-07-04T00:00:00" u="1"/>
        <d v="2025-01-30T00:00:00" u="1"/>
        <d v="2025-02-26T00:00:00" u="1"/>
        <d v="2025-03-22T00:00:00" u="1"/>
        <d v="2025-04-18T00:00:00" u="1"/>
        <d v="2025-05-14T00:00:00" u="1"/>
        <d v="2025-06-10T00:00:00" u="1"/>
        <d v="2025-07-06T00:00:00" u="1"/>
        <d v="2025-08-02T00:00:00" u="1"/>
        <d v="2025-02-28T00:00:00" u="1"/>
        <d v="2025-03-24T00:00:00" u="1"/>
        <d v="2025-04-20T00:00:00" u="1"/>
        <d v="2025-05-16T00:00:00" u="1"/>
        <d v="2025-06-12T00:00:00" u="1"/>
        <d v="2025-07-08T00:00:00" u="1"/>
        <d v="2025-08-04T00:00:00" u="1"/>
        <d v="2025-03-26T00:00:00" u="1"/>
        <d v="2025-04-22T00:00:00" u="1"/>
        <d v="2025-05-18T00:00:00" u="1"/>
        <d v="2025-06-14T00:00:00" u="1"/>
        <d v="2025-07-10T00:00:00" u="1"/>
        <d v="2025-08-06T00:00:00" u="1"/>
        <d v="2025-09-02T00:00:00" u="1"/>
        <d v="2025-03-28T00:00:00" u="1"/>
        <d v="2025-04-24T00:00:00" u="1"/>
        <d v="2025-05-20T00:00:00" u="1"/>
        <d v="2025-06-16T00:00:00" u="1"/>
        <d v="2025-07-12T00:00:00" u="1"/>
        <d v="2025-08-08T00:00:00" u="1"/>
        <d v="2025-09-04T00:00:00" u="1"/>
        <d v="2025-03-30T00:00:00" u="1"/>
        <d v="2025-04-26T00:00:00" u="1"/>
        <d v="2025-05-22T00:00:00" u="1"/>
        <d v="2025-06-18T00:00:00" u="1"/>
        <d v="2025-07-14T00:00:00" u="1"/>
        <d v="2025-08-10T00:00:00" u="1"/>
        <d v="2025-09-06T00:00:00" u="1"/>
        <d v="2025-04-28T00:00:00" u="1"/>
        <d v="2025-05-24T00:00:00" u="1"/>
        <d v="2025-06-20T00:00:00" u="1"/>
        <d v="2025-07-16T00:00:00" u="1"/>
        <d v="2025-08-12T00:00:00" u="1"/>
        <d v="2025-09-08T00:00:00" u="1"/>
        <d v="2025-04-30T00:00:00" u="1"/>
        <d v="2025-05-26T00:00:00" u="1"/>
        <d v="2025-06-22T00:00:00" u="1"/>
        <d v="2025-07-18T00:00:00" u="1"/>
        <d v="2025-08-14T00:00:00" u="1"/>
        <d v="2025-09-10T00:00:00" u="1"/>
        <d v="2025-05-28T00:00:00" u="1"/>
        <d v="2025-06-24T00:00:00" u="1"/>
        <d v="2025-07-20T00:00:00" u="1"/>
        <d v="2025-08-16T00:00:00" u="1"/>
        <d v="2025-09-12T00:00:00" u="1"/>
        <d v="2025-05-30T00:00:00" u="1"/>
        <d v="2025-06-26T00:00:00" u="1"/>
        <d v="2025-07-22T00:00:00" u="1"/>
        <d v="2025-08-18T00:00:00" u="1"/>
        <d v="2025-09-14T00:00:00" u="1"/>
        <d v="2025-06-28T00:00:00" u="1"/>
        <d v="2025-07-24T00:00:00" u="1"/>
        <d v="2025-08-20T00:00:00" u="1"/>
        <d v="2025-09-16T00:00:00" u="1"/>
        <d v="2025-06-30T00:00:00" u="1"/>
        <d v="2025-07-26T00:00:00" u="1"/>
        <d v="2025-08-22T00:00:00" u="1"/>
        <d v="2025-09-18T00:00:00" u="1"/>
        <d v="2025-07-28T00:00:00" u="1"/>
        <d v="2025-08-24T00:00:00" u="1"/>
        <d v="2025-07-30T00:00:00" u="1"/>
        <d v="2025-08-26T00:00:00" u="1"/>
        <d v="2025-08-28T00:00:00" u="1"/>
        <d v="2025-08-30T00:00:00" u="1"/>
        <d v="2025-01-03T00:00:00" u="1"/>
        <d v="2025-01-05T00:00:00" u="1"/>
        <d v="2025-02-01T00:00:00" u="1"/>
        <d v="2025-01-07T00:00:00" u="1"/>
        <d v="2025-02-03T00:00:00" u="1"/>
        <d v="2025-01-09T00:00:00" u="1"/>
        <d v="2025-02-05T00:00:00" u="1"/>
        <d v="2025-03-01T00:00:00" u="1"/>
        <d v="2025-01-11T00:00:00" u="1"/>
        <d v="2025-02-07T00:00:00" u="1"/>
        <d v="2025-03-03T00:00:00" u="1"/>
        <d v="2025-01-13T00:00:00" u="1"/>
        <d v="2025-02-09T00:00:00" u="1"/>
        <d v="2025-03-05T00:00:00" u="1"/>
        <d v="2025-04-01T00:00:00" u="1"/>
        <d v="2025-01-15T00:00:00" u="1"/>
        <d v="2025-02-11T00:00:00" u="1"/>
        <d v="2025-03-07T00:00:00" u="1"/>
        <d v="2025-04-03T00:00:00" u="1"/>
        <d v="2025-01-17T00:00:00" u="1"/>
        <d v="2025-02-13T00:00:00" u="1"/>
        <d v="2025-03-09T00:00:00" u="1"/>
        <d v="2025-04-05T00:00:00" u="1"/>
        <d v="2025-05-01T00:00:00" u="1"/>
        <d v="2025-01-19T00:00:00" u="1"/>
        <d v="2025-02-15T00:00:00" u="1"/>
        <d v="2025-03-11T00:00:00" u="1"/>
        <d v="2025-04-07T00:00:00" u="1"/>
        <d v="2025-05-03T00:00:00" u="1"/>
        <d v="2025-01-21T00:00:00" u="1"/>
        <d v="2025-02-17T00:00:00" u="1"/>
        <d v="2025-03-13T00:00:00" u="1"/>
        <d v="2025-04-09T00:00:00" u="1"/>
        <d v="2025-05-05T00:00:00" u="1"/>
        <d v="2025-06-01T00:00:00" u="1"/>
        <d v="2025-01-23T00:00:00" u="1"/>
        <d v="2025-02-19T00:00:00" u="1"/>
        <d v="2025-03-15T00:00:00" u="1"/>
        <d v="2025-04-11T00:00:00" u="1"/>
        <d v="2025-05-07T00:00:00" u="1"/>
        <d v="2025-06-03T00:00:00" u="1"/>
        <d v="2025-01-25T00:00:00" u="1"/>
        <d v="2025-02-21T00:00:00" u="1"/>
        <d v="2025-03-17T00:00:00" u="1"/>
        <d v="2025-04-13T00:00:00" u="1"/>
        <d v="2025-05-09T00:00:00" u="1"/>
        <d v="2025-06-05T00:00:00" u="1"/>
        <d v="2025-07-01T00:00:00" u="1"/>
        <d v="2025-01-27T00:00:00" u="1"/>
        <d v="2025-02-23T00:00:00" u="1"/>
        <d v="2025-03-19T00:00:00" u="1"/>
        <d v="2025-04-15T00:00:00" u="1"/>
        <d v="2025-05-11T00:00:00" u="1"/>
        <d v="2025-07-03T00:00:00" u="1"/>
        <d v="2025-01-29T00:00:00" u="1"/>
        <d v="2025-02-25T00:00:00" u="1"/>
        <d v="2025-03-21T00:00:00" u="1"/>
        <d v="2025-04-17T00:00:00" u="1"/>
        <d v="2025-05-13T00:00:00" u="1"/>
        <d v="2025-06-09T00:00:00" u="1"/>
        <d v="2025-07-05T00:00:00" u="1"/>
        <d v="2025-08-01T00:00:00" u="1"/>
        <d v="2025-01-31T00:00:00" u="1"/>
        <d v="2025-02-27T00:00:00" u="1"/>
        <d v="2025-03-23T00:00:00" u="1"/>
        <d v="2025-04-19T00:00:00" u="1"/>
        <d v="2025-05-15T00:00:00" u="1"/>
        <d v="2025-06-11T00:00:00" u="1"/>
        <d v="2025-07-07T00:00:00" u="1"/>
        <d v="2025-08-03T00:00:00" u="1"/>
        <d v="2025-03-25T00:00:00" u="1"/>
        <d v="2025-04-21T00:00:00" u="1"/>
        <d v="2025-05-17T00:00:00" u="1"/>
        <d v="2025-06-13T00:00:00" u="1"/>
        <d v="2025-07-09T00:00:00" u="1"/>
        <d v="2025-08-05T00:00:00" u="1"/>
        <d v="2025-09-01T00:00:00" u="1"/>
        <d v="2025-03-27T00:00:00" u="1"/>
        <d v="2025-04-23T00:00:00" u="1"/>
        <d v="2025-05-19T00:00:00" u="1"/>
        <d v="2025-06-15T00:00:00" u="1"/>
        <d v="2025-07-11T00:00:00" u="1"/>
        <d v="2025-08-07T00:00:00" u="1"/>
        <d v="2025-09-03T00:00:00" u="1"/>
        <d v="2025-03-29T00:00:00" u="1"/>
        <d v="2025-04-25T00:00:00" u="1"/>
        <d v="2025-05-21T00:00:00" u="1"/>
        <d v="2025-06-17T00:00:00" u="1"/>
        <d v="2025-07-13T00:00:00" u="1"/>
        <d v="2025-08-09T00:00:00" u="1"/>
        <d v="2025-09-05T00:00:00" u="1"/>
        <d v="2025-03-31T00:00:00" u="1"/>
        <d v="2025-04-27T00:00:00" u="1"/>
        <d v="2025-05-23T00:00:00" u="1"/>
        <d v="2025-06-19T00:00:00" u="1"/>
        <d v="2025-07-15T00:00:00" u="1"/>
        <d v="2025-08-11T00:00:00" u="1"/>
        <d v="2025-09-07T00:00:00" u="1"/>
        <d v="2025-04-29T00:00:00" u="1"/>
        <d v="2025-05-25T00:00:00" u="1"/>
        <d v="2025-06-21T00:00:00" u="1"/>
        <d v="2025-07-17T00:00:00" u="1"/>
        <d v="2025-08-13T00:00:00" u="1"/>
        <d v="2025-09-09T00:00:00" u="1"/>
        <d v="2025-05-27T00:00:00" u="1"/>
        <d v="2025-06-23T00:00:00" u="1"/>
        <d v="2025-07-19T00:00:00" u="1"/>
        <d v="2025-08-15T00:00:00" u="1"/>
        <d v="2025-05-29T00:00:00" u="1"/>
        <d v="2025-06-25T00:00:00" u="1"/>
        <d v="2025-07-21T00:00:00" u="1"/>
        <d v="2025-08-17T00:00:00" u="1"/>
        <d v="2025-09-13T00:00:00" u="1"/>
        <d v="2025-05-31T00:00:00" u="1"/>
        <d v="2025-06-27T00:00:00" u="1"/>
        <d v="2025-07-23T00:00:00" u="1"/>
        <d v="2025-08-19T00:00:00" u="1"/>
        <d v="2025-09-15T00:00:00" u="1"/>
        <d v="2025-06-29T00:00:00" u="1"/>
        <d v="2025-07-25T00:00:00" u="1"/>
        <d v="2025-08-21T00:00:00" u="1"/>
        <d v="2025-09-17T00:00:00" u="1"/>
        <d v="2025-07-27T00:00:00" u="1"/>
        <d v="2025-08-23T00:00:00" u="1"/>
        <d v="2025-07-29T00:00:00" u="1"/>
        <d v="2025-08-25T00:00:00" u="1"/>
        <d v="2025-07-31T00:00:00" u="1"/>
        <d v="2025-08-27T00:00:00" u="1"/>
        <d v="2025-08-29T00:00:00" u="1"/>
        <d v="2025-08-31T00:00:00" u="1"/>
      </sharedItems>
    </cacheField>
    <cacheField name="Rut_Empleado" numFmtId="0">
      <sharedItems count="4">
        <s v="14526149-K"/>
        <s v="17866360-7"/>
        <s v="13748252-5"/>
        <s v="11383327-0"/>
      </sharedItems>
    </cacheField>
    <cacheField name="Id_Cliente" numFmtId="0">
      <sharedItems containsSemiMixedTypes="0" containsString="0" containsNumber="1" containsInteger="1" minValue="1" maxValue="488" count="296">
        <n v="108"/>
        <n v="110"/>
        <n v="111"/>
        <n v="116"/>
        <n v="119"/>
        <n v="166"/>
        <n v="219"/>
        <n v="353"/>
        <n v="374"/>
        <n v="446"/>
        <n v="457"/>
        <n v="469"/>
        <n v="470"/>
        <n v="22"/>
        <n v="65"/>
        <n v="73"/>
        <n v="342"/>
        <n v="76"/>
        <n v="98"/>
        <n v="152"/>
        <n v="171"/>
        <n v="202"/>
        <n v="405"/>
        <n v="334"/>
        <n v="360"/>
        <n v="397"/>
        <n v="407"/>
        <n v="402"/>
        <n v="412"/>
        <n v="411"/>
        <n v="62"/>
        <n v="212"/>
        <n v="298"/>
        <n v="254"/>
        <n v="315"/>
        <n v="68"/>
        <n v="122"/>
        <n v="155"/>
        <n v="198"/>
        <n v="268"/>
        <n v="358"/>
        <n v="56"/>
        <n v="85"/>
        <n v="89"/>
        <n v="238"/>
        <n v="302"/>
        <n v="345"/>
        <n v="386"/>
        <n v="462"/>
        <n v="164"/>
        <n v="388"/>
        <n v="78"/>
        <n v="92"/>
        <n v="130"/>
        <n v="135"/>
        <n v="57"/>
        <n v="159"/>
        <n v="223"/>
        <n v="427"/>
        <n v="300"/>
        <n v="365"/>
        <n v="451"/>
        <n v="129"/>
        <n v="393"/>
        <n v="476"/>
        <n v="38"/>
        <n v="109"/>
        <n v="222"/>
        <n v="350"/>
        <n v="439"/>
        <n v="128"/>
        <n v="196"/>
        <n v="207"/>
        <n v="230"/>
        <n v="278"/>
        <n v="66"/>
        <n v="276"/>
        <n v="54"/>
        <n v="274"/>
        <n v="251"/>
        <n v="389"/>
        <n v="408"/>
        <n v="445"/>
        <n v="55"/>
        <n v="82"/>
        <n v="382"/>
        <n v="261"/>
        <n v="312"/>
        <n v="97"/>
        <n v="167"/>
        <n v="287"/>
        <n v="306"/>
        <n v="400"/>
        <n v="443"/>
        <n v="187"/>
        <n v="285"/>
        <n v="277"/>
        <n v="72"/>
        <n v="179"/>
        <n v="320"/>
        <n v="151"/>
        <n v="36"/>
        <n v="154"/>
        <n v="217"/>
        <n v="237"/>
        <n v="267"/>
        <n v="299"/>
        <n v="303"/>
        <n v="474"/>
        <n v="477"/>
        <n v="483"/>
        <n v="418"/>
        <n v="436"/>
        <n v="247"/>
        <n v="368"/>
        <n v="398"/>
        <n v="425"/>
        <n v="143"/>
        <n v="387"/>
        <n v="416"/>
        <n v="59"/>
        <n v="429"/>
        <n v="466"/>
        <n v="485"/>
        <n v="63"/>
        <n v="308"/>
        <n v="379"/>
        <n v="467"/>
        <n v="194"/>
        <n v="343"/>
        <n v="351"/>
        <n v="86"/>
        <n v="432"/>
        <n v="51"/>
        <n v="102"/>
        <n v="182"/>
        <n v="227"/>
        <n v="231"/>
        <n v="297"/>
        <n v="428"/>
        <n v="100"/>
        <n v="112"/>
        <n v="163"/>
        <n v="401"/>
        <n v="53"/>
        <n v="84"/>
        <n v="206"/>
        <n v="242"/>
        <n v="414"/>
        <n v="113"/>
        <n v="455"/>
        <n v="472"/>
        <n v="352"/>
        <n v="319"/>
        <n v="377"/>
        <n v="442"/>
        <n v="107"/>
        <n v="124"/>
        <n v="148"/>
        <n v="367"/>
        <n v="136"/>
        <n v="430"/>
        <n v="87"/>
        <n v="104"/>
        <n v="239"/>
        <n v="41"/>
        <n v="419"/>
        <n v="1"/>
        <n v="241"/>
        <n v="226"/>
        <n v="133"/>
        <n v="321"/>
        <n v="346"/>
        <n v="479"/>
        <n v="214"/>
        <n v="349"/>
        <n v="450"/>
        <n v="322"/>
        <n v="117"/>
        <n v="253"/>
        <n v="366"/>
        <n v="48"/>
        <n v="123"/>
        <n v="114"/>
        <n v="142"/>
        <n v="234"/>
        <n v="444"/>
        <n v="181"/>
        <n v="484"/>
        <n v="438"/>
        <n v="158"/>
        <n v="137"/>
        <n v="333"/>
        <n v="184"/>
        <n v="200"/>
        <n v="208"/>
        <n v="236"/>
        <n v="265"/>
        <n v="282"/>
        <n v="313"/>
        <n v="323"/>
        <n v="173"/>
        <n v="423"/>
        <n v="50"/>
        <n v="149"/>
        <n v="437"/>
        <n v="139"/>
        <n v="240"/>
        <n v="363"/>
        <n v="199"/>
        <n v="453"/>
        <n v="140"/>
        <n v="486"/>
        <n v="34"/>
        <n v="37"/>
        <n v="449"/>
        <n v="448"/>
        <n v="369"/>
        <n v="463"/>
        <n v="256"/>
        <n v="161"/>
        <n v="376"/>
        <n v="452"/>
        <n v="134"/>
        <n v="216"/>
        <n v="318"/>
        <n v="147"/>
        <n v="328"/>
        <n v="284"/>
        <n v="193"/>
        <n v="440"/>
        <n v="177"/>
        <n v="229"/>
        <n v="243"/>
        <n v="355"/>
        <n v="263"/>
        <n v="473"/>
        <n v="204"/>
        <n v="347"/>
        <n v="394"/>
        <n v="459"/>
        <n v="77"/>
        <n v="465"/>
        <n v="279"/>
        <n v="29"/>
        <n v="28"/>
        <n v="188"/>
        <n v="42"/>
        <n v="325"/>
        <n v="468"/>
        <n v="26"/>
        <n v="27"/>
        <n v="153"/>
        <n v="192"/>
        <n v="132"/>
        <n v="24"/>
        <n v="25"/>
        <n v="23"/>
        <n v="21"/>
        <n v="19"/>
        <n v="18"/>
        <n v="471"/>
        <n v="17"/>
        <n v="16"/>
        <n v="15"/>
        <n v="13"/>
        <n v="14"/>
        <n v="10"/>
        <n v="11"/>
        <n v="12"/>
        <n v="69"/>
        <n v="357"/>
        <n v="94"/>
        <n v="373"/>
        <n v="9"/>
        <n v="8"/>
        <n v="6"/>
        <n v="7"/>
        <n v="5"/>
        <n v="2"/>
        <n v="339"/>
        <n v="4"/>
        <n v="475"/>
        <n v="3"/>
        <n v="413"/>
        <n v="185"/>
        <n v="125"/>
        <n v="203"/>
        <n v="180"/>
        <n v="183"/>
        <n v="364"/>
        <n v="327"/>
        <n v="205"/>
        <n v="101"/>
        <n v="488"/>
        <n v="20"/>
      </sharedItems>
    </cacheField>
    <cacheField name="Id_Producto" numFmtId="0">
      <sharedItems containsSemiMixedTypes="0" containsString="0" containsNumber="1" containsInteger="1" minValue="1" maxValue="387"/>
    </cacheField>
    <cacheField name="Cantidad" numFmtId="0">
      <sharedItems containsSemiMixedTypes="0" containsString="0" containsNumber="1" containsInteger="1" minValue="-2" maxValue="10"/>
    </cacheField>
    <cacheField name="Precio" numFmtId="0">
      <sharedItems containsSemiMixedTypes="0" containsString="0" containsNumber="1" containsInteger="1" minValue="-24000" maxValue="57000"/>
    </cacheField>
    <cacheField name="Valor Bruto" numFmtId="0">
      <sharedItems containsSemiMixedTypes="0" containsString="0" containsNumber="1" containsInteger="1" minValue="-2200" maxValue="342000"/>
    </cacheField>
    <cacheField name="Valor Neto" numFmtId="0">
      <sharedItems containsSemiMixedTypes="0" containsString="0" containsNumber="1" containsInteger="1" minValue="-1849" maxValue="287395"/>
    </cacheField>
    <cacheField name="Valor Iva" numFmtId="0">
      <sharedItems containsSemiMixedTypes="0" containsString="0" containsNumber="1" containsInteger="1" minValue="-351" maxValue="546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616">
  <r>
    <x v="0"/>
    <x v="0"/>
    <x v="0"/>
    <x v="0"/>
    <x v="0"/>
    <n v="329"/>
    <n v="1"/>
    <n v="5500"/>
    <n v="5500"/>
    <n v="4622"/>
    <n v="878"/>
  </r>
  <r>
    <x v="0"/>
    <x v="0"/>
    <x v="0"/>
    <x v="0"/>
    <x v="0"/>
    <n v="382"/>
    <n v="1"/>
    <n v="2600"/>
    <n v="2600"/>
    <n v="2185"/>
    <n v="415"/>
  </r>
  <r>
    <x v="0"/>
    <x v="0"/>
    <x v="0"/>
    <x v="0"/>
    <x v="0"/>
    <n v="191"/>
    <n v="1"/>
    <n v="2500"/>
    <n v="2500"/>
    <n v="2101"/>
    <n v="399"/>
  </r>
  <r>
    <x v="0"/>
    <x v="1"/>
    <x v="0"/>
    <x v="0"/>
    <x v="1"/>
    <n v="296"/>
    <n v="2"/>
    <n v="7000"/>
    <n v="14000"/>
    <n v="11765"/>
    <n v="2235"/>
  </r>
  <r>
    <x v="0"/>
    <x v="2"/>
    <x v="0"/>
    <x v="0"/>
    <x v="2"/>
    <n v="230"/>
    <n v="1"/>
    <n v="15500"/>
    <n v="15500"/>
    <n v="13025"/>
    <n v="2475"/>
  </r>
  <r>
    <x v="0"/>
    <x v="3"/>
    <x v="0"/>
    <x v="0"/>
    <x v="3"/>
    <n v="370"/>
    <n v="1"/>
    <n v="4000"/>
    <n v="4000"/>
    <n v="3361"/>
    <n v="639"/>
  </r>
  <r>
    <x v="0"/>
    <x v="3"/>
    <x v="0"/>
    <x v="0"/>
    <x v="3"/>
    <n v="383"/>
    <n v="2"/>
    <n v="4800"/>
    <n v="9600"/>
    <n v="8067"/>
    <n v="1533"/>
  </r>
  <r>
    <x v="0"/>
    <x v="3"/>
    <x v="0"/>
    <x v="0"/>
    <x v="3"/>
    <n v="165"/>
    <n v="1"/>
    <n v="2000"/>
    <n v="2000"/>
    <n v="1681"/>
    <n v="319"/>
  </r>
  <r>
    <x v="0"/>
    <x v="3"/>
    <x v="0"/>
    <x v="0"/>
    <x v="3"/>
    <n v="157"/>
    <n v="1"/>
    <n v="4300"/>
    <n v="4300"/>
    <n v="3613"/>
    <n v="687"/>
  </r>
  <r>
    <x v="0"/>
    <x v="3"/>
    <x v="0"/>
    <x v="0"/>
    <x v="3"/>
    <n v="29"/>
    <n v="1"/>
    <n v="1000"/>
    <n v="1000"/>
    <n v="840"/>
    <n v="160"/>
  </r>
  <r>
    <x v="0"/>
    <x v="4"/>
    <x v="0"/>
    <x v="0"/>
    <x v="4"/>
    <n v="329"/>
    <n v="1"/>
    <n v="5500"/>
    <n v="5500"/>
    <n v="4622"/>
    <n v="878"/>
  </r>
  <r>
    <x v="0"/>
    <x v="4"/>
    <x v="0"/>
    <x v="0"/>
    <x v="4"/>
    <n v="143"/>
    <n v="1"/>
    <n v="6500"/>
    <n v="6500"/>
    <n v="5462"/>
    <n v="1038"/>
  </r>
  <r>
    <x v="0"/>
    <x v="5"/>
    <x v="0"/>
    <x v="0"/>
    <x v="5"/>
    <n v="150"/>
    <n v="1"/>
    <n v="4200"/>
    <n v="4200"/>
    <n v="3529"/>
    <n v="671"/>
  </r>
  <r>
    <x v="0"/>
    <x v="5"/>
    <x v="0"/>
    <x v="0"/>
    <x v="5"/>
    <n v="155"/>
    <n v="1"/>
    <n v="1650"/>
    <n v="1650"/>
    <n v="1387"/>
    <n v="263"/>
  </r>
  <r>
    <x v="0"/>
    <x v="5"/>
    <x v="0"/>
    <x v="0"/>
    <x v="5"/>
    <n v="156"/>
    <n v="1"/>
    <n v="1400"/>
    <n v="1400"/>
    <n v="1176"/>
    <n v="224"/>
  </r>
  <r>
    <x v="0"/>
    <x v="6"/>
    <x v="0"/>
    <x v="0"/>
    <x v="6"/>
    <n v="143"/>
    <n v="1"/>
    <n v="6500"/>
    <n v="6500"/>
    <n v="5462"/>
    <n v="1038"/>
  </r>
  <r>
    <x v="0"/>
    <x v="6"/>
    <x v="0"/>
    <x v="0"/>
    <x v="6"/>
    <n v="231"/>
    <n v="1"/>
    <n v="19990"/>
    <n v="19990"/>
    <n v="16798"/>
    <n v="3192"/>
  </r>
  <r>
    <x v="0"/>
    <x v="7"/>
    <x v="0"/>
    <x v="0"/>
    <x v="7"/>
    <n v="231"/>
    <n v="1"/>
    <n v="19990"/>
    <n v="19990"/>
    <n v="16798"/>
    <n v="3192"/>
  </r>
  <r>
    <x v="0"/>
    <x v="8"/>
    <x v="0"/>
    <x v="0"/>
    <x v="8"/>
    <n v="324"/>
    <n v="1"/>
    <n v="10500"/>
    <n v="10500"/>
    <n v="8824"/>
    <n v="1676"/>
  </r>
  <r>
    <x v="0"/>
    <x v="9"/>
    <x v="0"/>
    <x v="0"/>
    <x v="9"/>
    <n v="329"/>
    <n v="1"/>
    <n v="5500"/>
    <n v="5500"/>
    <n v="4622"/>
    <n v="878"/>
  </r>
  <r>
    <x v="0"/>
    <x v="9"/>
    <x v="0"/>
    <x v="0"/>
    <x v="9"/>
    <n v="69"/>
    <n v="1"/>
    <n v="3000"/>
    <n v="3000"/>
    <n v="2521"/>
    <n v="479"/>
  </r>
  <r>
    <x v="0"/>
    <x v="9"/>
    <x v="0"/>
    <x v="0"/>
    <x v="9"/>
    <n v="368"/>
    <n v="1"/>
    <n v="3000"/>
    <n v="3000"/>
    <n v="2521"/>
    <n v="479"/>
  </r>
  <r>
    <x v="0"/>
    <x v="10"/>
    <x v="0"/>
    <x v="0"/>
    <x v="10"/>
    <n v="230"/>
    <n v="1"/>
    <n v="15500"/>
    <n v="15500"/>
    <n v="13025"/>
    <n v="2475"/>
  </r>
  <r>
    <x v="0"/>
    <x v="11"/>
    <x v="0"/>
    <x v="0"/>
    <x v="11"/>
    <n v="143"/>
    <n v="1"/>
    <n v="6500"/>
    <n v="6500"/>
    <n v="5462"/>
    <n v="1038"/>
  </r>
  <r>
    <x v="0"/>
    <x v="12"/>
    <x v="0"/>
    <x v="0"/>
    <x v="12"/>
    <n v="144"/>
    <n v="1"/>
    <n v="6900"/>
    <n v="6900"/>
    <n v="5798"/>
    <n v="1102"/>
  </r>
  <r>
    <x v="0"/>
    <x v="13"/>
    <x v="1"/>
    <x v="0"/>
    <x v="13"/>
    <n v="98"/>
    <n v="1"/>
    <n v="3500"/>
    <n v="3500"/>
    <n v="2941"/>
    <n v="559"/>
  </r>
  <r>
    <x v="0"/>
    <x v="13"/>
    <x v="1"/>
    <x v="0"/>
    <x v="13"/>
    <n v="275"/>
    <n v="1"/>
    <n v="6900"/>
    <n v="6900"/>
    <n v="5798"/>
    <n v="1102"/>
  </r>
  <r>
    <x v="0"/>
    <x v="13"/>
    <x v="1"/>
    <x v="0"/>
    <x v="13"/>
    <n v="293"/>
    <n v="1"/>
    <n v="9500"/>
    <n v="9500"/>
    <n v="7983"/>
    <n v="1517"/>
  </r>
  <r>
    <x v="0"/>
    <x v="13"/>
    <x v="1"/>
    <x v="0"/>
    <x v="13"/>
    <n v="25"/>
    <n v="1"/>
    <n v="1800"/>
    <n v="1800"/>
    <n v="1513"/>
    <n v="287"/>
  </r>
  <r>
    <x v="0"/>
    <x v="13"/>
    <x v="1"/>
    <x v="0"/>
    <x v="13"/>
    <n v="26"/>
    <n v="1"/>
    <n v="3400"/>
    <n v="3400"/>
    <n v="2857"/>
    <n v="543"/>
  </r>
  <r>
    <x v="0"/>
    <x v="13"/>
    <x v="1"/>
    <x v="0"/>
    <x v="13"/>
    <n v="165"/>
    <n v="1"/>
    <n v="2000"/>
    <n v="2000"/>
    <n v="1681"/>
    <n v="319"/>
  </r>
  <r>
    <x v="0"/>
    <x v="13"/>
    <x v="1"/>
    <x v="0"/>
    <x v="13"/>
    <n v="156"/>
    <n v="1"/>
    <n v="1400"/>
    <n v="1400"/>
    <n v="1176"/>
    <n v="224"/>
  </r>
  <r>
    <x v="0"/>
    <x v="14"/>
    <x v="1"/>
    <x v="0"/>
    <x v="14"/>
    <n v="8"/>
    <n v="1"/>
    <n v="18500"/>
    <n v="18500"/>
    <n v="15546"/>
    <n v="2954"/>
  </r>
  <r>
    <x v="0"/>
    <x v="15"/>
    <x v="1"/>
    <x v="0"/>
    <x v="15"/>
    <n v="167"/>
    <n v="2"/>
    <n v="16400"/>
    <n v="32800"/>
    <n v="27563"/>
    <n v="5237"/>
  </r>
  <r>
    <x v="0"/>
    <x v="15"/>
    <x v="1"/>
    <x v="0"/>
    <x v="15"/>
    <n v="6"/>
    <n v="1"/>
    <n v="8200"/>
    <n v="8200"/>
    <n v="6891"/>
    <n v="1309"/>
  </r>
  <r>
    <x v="0"/>
    <x v="16"/>
    <x v="1"/>
    <x v="0"/>
    <x v="16"/>
    <n v="233"/>
    <n v="2"/>
    <n v="31980"/>
    <n v="63960"/>
    <n v="53748"/>
    <n v="10212"/>
  </r>
  <r>
    <x v="0"/>
    <x v="17"/>
    <x v="1"/>
    <x v="0"/>
    <x v="8"/>
    <n v="230"/>
    <n v="1"/>
    <n v="15500"/>
    <n v="15500"/>
    <n v="13025"/>
    <n v="2475"/>
  </r>
  <r>
    <x v="0"/>
    <x v="17"/>
    <x v="1"/>
    <x v="0"/>
    <x v="8"/>
    <n v="229"/>
    <n v="1"/>
    <n v="18500"/>
    <n v="18500"/>
    <n v="15546"/>
    <n v="2954"/>
  </r>
  <r>
    <x v="0"/>
    <x v="17"/>
    <x v="1"/>
    <x v="0"/>
    <x v="8"/>
    <n v="259"/>
    <n v="1"/>
    <n v="4500"/>
    <n v="4500"/>
    <n v="3782"/>
    <n v="718"/>
  </r>
  <r>
    <x v="0"/>
    <x v="17"/>
    <x v="1"/>
    <x v="0"/>
    <x v="8"/>
    <n v="324"/>
    <n v="1"/>
    <n v="10500"/>
    <n v="10500"/>
    <n v="8824"/>
    <n v="1676"/>
  </r>
  <r>
    <x v="0"/>
    <x v="18"/>
    <x v="2"/>
    <x v="0"/>
    <x v="17"/>
    <n v="324"/>
    <n v="1"/>
    <n v="10500"/>
    <n v="10500"/>
    <n v="8824"/>
    <n v="1676"/>
  </r>
  <r>
    <x v="0"/>
    <x v="19"/>
    <x v="2"/>
    <x v="0"/>
    <x v="18"/>
    <n v="329"/>
    <n v="1"/>
    <n v="5500"/>
    <n v="5500"/>
    <n v="4622"/>
    <n v="878"/>
  </r>
  <r>
    <x v="0"/>
    <x v="20"/>
    <x v="2"/>
    <x v="0"/>
    <x v="19"/>
    <n v="69"/>
    <n v="1"/>
    <n v="3000"/>
    <n v="3000"/>
    <n v="2521"/>
    <n v="479"/>
  </r>
  <r>
    <x v="0"/>
    <x v="20"/>
    <x v="2"/>
    <x v="0"/>
    <x v="19"/>
    <n v="117"/>
    <n v="1"/>
    <n v="3500"/>
    <n v="3500"/>
    <n v="2941"/>
    <n v="559"/>
  </r>
  <r>
    <x v="0"/>
    <x v="21"/>
    <x v="2"/>
    <x v="0"/>
    <x v="20"/>
    <n v="143"/>
    <n v="1"/>
    <n v="6500"/>
    <n v="6500"/>
    <n v="5462"/>
    <n v="1038"/>
  </r>
  <r>
    <x v="0"/>
    <x v="22"/>
    <x v="2"/>
    <x v="0"/>
    <x v="21"/>
    <n v="143"/>
    <n v="1"/>
    <n v="6500"/>
    <n v="6500"/>
    <n v="5462"/>
    <n v="1038"/>
  </r>
  <r>
    <x v="0"/>
    <x v="23"/>
    <x v="2"/>
    <x v="0"/>
    <x v="22"/>
    <n v="233"/>
    <n v="1"/>
    <n v="15990"/>
    <n v="15990"/>
    <n v="13437"/>
    <n v="2553"/>
  </r>
  <r>
    <x v="0"/>
    <x v="24"/>
    <x v="3"/>
    <x v="0"/>
    <x v="23"/>
    <n v="165"/>
    <n v="1"/>
    <n v="2000"/>
    <n v="2000"/>
    <n v="1681"/>
    <n v="319"/>
  </r>
  <r>
    <x v="0"/>
    <x v="25"/>
    <x v="3"/>
    <x v="0"/>
    <x v="24"/>
    <n v="230"/>
    <n v="1"/>
    <n v="15500"/>
    <n v="15500"/>
    <n v="13025"/>
    <n v="2475"/>
  </r>
  <r>
    <x v="0"/>
    <x v="25"/>
    <x v="3"/>
    <x v="0"/>
    <x v="24"/>
    <n v="165"/>
    <n v="1"/>
    <n v="2000"/>
    <n v="2000"/>
    <n v="1681"/>
    <n v="319"/>
  </r>
  <r>
    <x v="0"/>
    <x v="26"/>
    <x v="3"/>
    <x v="0"/>
    <x v="25"/>
    <n v="324"/>
    <n v="1"/>
    <n v="10500"/>
    <n v="10500"/>
    <n v="8824"/>
    <n v="1676"/>
  </r>
  <r>
    <x v="0"/>
    <x v="27"/>
    <x v="3"/>
    <x v="0"/>
    <x v="26"/>
    <n v="118"/>
    <n v="1"/>
    <n v="3500"/>
    <n v="3500"/>
    <n v="2941"/>
    <n v="559"/>
  </r>
  <r>
    <x v="0"/>
    <x v="28"/>
    <x v="4"/>
    <x v="0"/>
    <x v="27"/>
    <n v="1"/>
    <n v="1"/>
    <n v="12500"/>
    <n v="12500"/>
    <n v="10504"/>
    <n v="1996"/>
  </r>
  <r>
    <x v="0"/>
    <x v="29"/>
    <x v="4"/>
    <x v="0"/>
    <x v="28"/>
    <n v="143"/>
    <n v="1"/>
    <n v="6500"/>
    <n v="6500"/>
    <n v="5462"/>
    <n v="1038"/>
  </r>
  <r>
    <x v="0"/>
    <x v="30"/>
    <x v="5"/>
    <x v="0"/>
    <x v="5"/>
    <n v="117"/>
    <n v="1"/>
    <n v="3500"/>
    <n v="3500"/>
    <n v="2941"/>
    <n v="559"/>
  </r>
  <r>
    <x v="0"/>
    <x v="30"/>
    <x v="5"/>
    <x v="0"/>
    <x v="5"/>
    <n v="118"/>
    <n v="1"/>
    <n v="3500"/>
    <n v="3500"/>
    <n v="2941"/>
    <n v="559"/>
  </r>
  <r>
    <x v="0"/>
    <x v="30"/>
    <x v="5"/>
    <x v="0"/>
    <x v="5"/>
    <n v="256"/>
    <n v="1"/>
    <n v="3000"/>
    <n v="3000"/>
    <n v="2521"/>
    <n v="479"/>
  </r>
  <r>
    <x v="0"/>
    <x v="30"/>
    <x v="5"/>
    <x v="0"/>
    <x v="5"/>
    <n v="167"/>
    <n v="1"/>
    <n v="8200"/>
    <n v="8200"/>
    <n v="6891"/>
    <n v="1309"/>
  </r>
  <r>
    <x v="0"/>
    <x v="31"/>
    <x v="5"/>
    <x v="0"/>
    <x v="29"/>
    <n v="191"/>
    <n v="2"/>
    <n v="5000"/>
    <n v="10000"/>
    <n v="8403"/>
    <n v="1597"/>
  </r>
  <r>
    <x v="0"/>
    <x v="31"/>
    <x v="5"/>
    <x v="0"/>
    <x v="29"/>
    <n v="329"/>
    <n v="1"/>
    <n v="5500"/>
    <n v="5500"/>
    <n v="4622"/>
    <n v="878"/>
  </r>
  <r>
    <x v="0"/>
    <x v="31"/>
    <x v="5"/>
    <x v="0"/>
    <x v="29"/>
    <n v="368"/>
    <n v="1"/>
    <n v="3000"/>
    <n v="3000"/>
    <n v="2521"/>
    <n v="479"/>
  </r>
  <r>
    <x v="0"/>
    <x v="32"/>
    <x v="6"/>
    <x v="0"/>
    <x v="30"/>
    <n v="378"/>
    <n v="1"/>
    <n v="1200"/>
    <n v="1200"/>
    <n v="1008"/>
    <n v="192"/>
  </r>
  <r>
    <x v="0"/>
    <x v="32"/>
    <x v="6"/>
    <x v="0"/>
    <x v="30"/>
    <n v="117"/>
    <n v="4"/>
    <n v="14000"/>
    <n v="56000"/>
    <n v="47059"/>
    <n v="8941"/>
  </r>
  <r>
    <x v="0"/>
    <x v="32"/>
    <x v="6"/>
    <x v="0"/>
    <x v="30"/>
    <n v="97"/>
    <n v="1"/>
    <n v="2000"/>
    <n v="2000"/>
    <n v="1681"/>
    <n v="319"/>
  </r>
  <r>
    <x v="0"/>
    <x v="32"/>
    <x v="6"/>
    <x v="0"/>
    <x v="30"/>
    <n v="231"/>
    <n v="1"/>
    <n v="19990"/>
    <n v="19990"/>
    <n v="16798"/>
    <n v="3192"/>
  </r>
  <r>
    <x v="0"/>
    <x v="32"/>
    <x v="6"/>
    <x v="0"/>
    <x v="30"/>
    <n v="356"/>
    <n v="1"/>
    <n v="3000"/>
    <n v="3000"/>
    <n v="2521"/>
    <n v="479"/>
  </r>
  <r>
    <x v="0"/>
    <x v="32"/>
    <x v="6"/>
    <x v="0"/>
    <x v="30"/>
    <n v="162"/>
    <n v="2"/>
    <n v="3200"/>
    <n v="6400"/>
    <n v="5378"/>
    <n v="1022"/>
  </r>
  <r>
    <x v="0"/>
    <x v="32"/>
    <x v="6"/>
    <x v="0"/>
    <x v="30"/>
    <n v="247"/>
    <n v="1"/>
    <n v="2800"/>
    <n v="2800"/>
    <n v="2353"/>
    <n v="447"/>
  </r>
  <r>
    <x v="0"/>
    <x v="32"/>
    <x v="6"/>
    <x v="0"/>
    <x v="30"/>
    <n v="81"/>
    <n v="1"/>
    <n v="1600"/>
    <n v="1600"/>
    <n v="1345"/>
    <n v="255"/>
  </r>
  <r>
    <x v="0"/>
    <x v="32"/>
    <x v="6"/>
    <x v="0"/>
    <x v="30"/>
    <n v="386"/>
    <n v="3"/>
    <n v="8100"/>
    <n v="24300"/>
    <n v="20420"/>
    <n v="3880"/>
  </r>
  <r>
    <x v="0"/>
    <x v="32"/>
    <x v="6"/>
    <x v="0"/>
    <x v="30"/>
    <n v="67"/>
    <n v="2"/>
    <n v="1300"/>
    <n v="2600"/>
    <n v="2185"/>
    <n v="415"/>
  </r>
  <r>
    <x v="0"/>
    <x v="32"/>
    <x v="6"/>
    <x v="0"/>
    <x v="30"/>
    <n v="69"/>
    <n v="1"/>
    <n v="3000"/>
    <n v="3000"/>
    <n v="2521"/>
    <n v="479"/>
  </r>
  <r>
    <x v="0"/>
    <x v="32"/>
    <x v="6"/>
    <x v="0"/>
    <x v="30"/>
    <n v="368"/>
    <n v="3"/>
    <n v="9000"/>
    <n v="27000"/>
    <n v="22689"/>
    <n v="4311"/>
  </r>
  <r>
    <x v="0"/>
    <x v="33"/>
    <x v="6"/>
    <x v="0"/>
    <x v="31"/>
    <n v="226"/>
    <n v="1"/>
    <n v="22500"/>
    <n v="22500"/>
    <n v="18908"/>
    <n v="3592"/>
  </r>
  <r>
    <x v="0"/>
    <x v="34"/>
    <x v="6"/>
    <x v="0"/>
    <x v="32"/>
    <n v="57"/>
    <n v="1"/>
    <n v="4000"/>
    <n v="4000"/>
    <n v="3361"/>
    <n v="639"/>
  </r>
  <r>
    <x v="0"/>
    <x v="34"/>
    <x v="6"/>
    <x v="0"/>
    <x v="32"/>
    <n v="164"/>
    <n v="1"/>
    <n v="3200"/>
    <n v="3200"/>
    <n v="2689"/>
    <n v="511"/>
  </r>
  <r>
    <x v="0"/>
    <x v="34"/>
    <x v="6"/>
    <x v="0"/>
    <x v="32"/>
    <n v="276"/>
    <n v="1"/>
    <n v="8000"/>
    <n v="8000"/>
    <n v="6723"/>
    <n v="1277"/>
  </r>
  <r>
    <x v="0"/>
    <x v="34"/>
    <x v="6"/>
    <x v="0"/>
    <x v="32"/>
    <n v="230"/>
    <n v="1"/>
    <n v="15500"/>
    <n v="15500"/>
    <n v="13025"/>
    <n v="2475"/>
  </r>
  <r>
    <x v="0"/>
    <x v="34"/>
    <x v="6"/>
    <x v="0"/>
    <x v="32"/>
    <n v="290"/>
    <n v="1"/>
    <n v="1200"/>
    <n v="1200"/>
    <n v="1008"/>
    <n v="192"/>
  </r>
  <r>
    <x v="0"/>
    <x v="34"/>
    <x v="6"/>
    <x v="0"/>
    <x v="32"/>
    <n v="125"/>
    <n v="1"/>
    <n v="1700"/>
    <n v="1700"/>
    <n v="1429"/>
    <n v="271"/>
  </r>
  <r>
    <x v="0"/>
    <x v="34"/>
    <x v="6"/>
    <x v="0"/>
    <x v="32"/>
    <n v="354"/>
    <n v="1"/>
    <n v="1800"/>
    <n v="1800"/>
    <n v="1513"/>
    <n v="287"/>
  </r>
  <r>
    <x v="0"/>
    <x v="34"/>
    <x v="6"/>
    <x v="0"/>
    <x v="32"/>
    <n v="372"/>
    <n v="1"/>
    <n v="1300"/>
    <n v="1300"/>
    <n v="1092"/>
    <n v="208"/>
  </r>
  <r>
    <x v="0"/>
    <x v="35"/>
    <x v="7"/>
    <x v="0"/>
    <x v="0"/>
    <n v="69"/>
    <n v="1"/>
    <n v="3000"/>
    <n v="3000"/>
    <n v="2521"/>
    <n v="479"/>
  </r>
  <r>
    <x v="0"/>
    <x v="35"/>
    <x v="7"/>
    <x v="0"/>
    <x v="0"/>
    <n v="143"/>
    <n v="1"/>
    <n v="6500"/>
    <n v="6500"/>
    <n v="5462"/>
    <n v="1038"/>
  </r>
  <r>
    <x v="0"/>
    <x v="35"/>
    <x v="7"/>
    <x v="0"/>
    <x v="0"/>
    <n v="247"/>
    <n v="1"/>
    <n v="2800"/>
    <n v="2800"/>
    <n v="2353"/>
    <n v="447"/>
  </r>
  <r>
    <x v="0"/>
    <x v="36"/>
    <x v="7"/>
    <x v="0"/>
    <x v="33"/>
    <n v="230"/>
    <n v="1"/>
    <n v="15500"/>
    <n v="15500"/>
    <n v="13025"/>
    <n v="2475"/>
  </r>
  <r>
    <x v="0"/>
    <x v="36"/>
    <x v="7"/>
    <x v="0"/>
    <x v="33"/>
    <n v="368"/>
    <n v="1"/>
    <n v="3000"/>
    <n v="3000"/>
    <n v="2521"/>
    <n v="479"/>
  </r>
  <r>
    <x v="0"/>
    <x v="36"/>
    <x v="7"/>
    <x v="0"/>
    <x v="33"/>
    <n v="165"/>
    <n v="1"/>
    <n v="2000"/>
    <n v="2000"/>
    <n v="1681"/>
    <n v="319"/>
  </r>
  <r>
    <x v="0"/>
    <x v="37"/>
    <x v="7"/>
    <x v="0"/>
    <x v="34"/>
    <n v="329"/>
    <n v="1"/>
    <n v="5500"/>
    <n v="5500"/>
    <n v="4622"/>
    <n v="878"/>
  </r>
  <r>
    <x v="0"/>
    <x v="38"/>
    <x v="8"/>
    <x v="0"/>
    <x v="35"/>
    <n v="28"/>
    <n v="1"/>
    <n v="16000"/>
    <n v="16000"/>
    <n v="13445"/>
    <n v="2555"/>
  </r>
  <r>
    <x v="0"/>
    <x v="39"/>
    <x v="8"/>
    <x v="0"/>
    <x v="36"/>
    <n v="83"/>
    <n v="2"/>
    <n v="3200"/>
    <n v="6400"/>
    <n v="5378"/>
    <n v="1022"/>
  </r>
  <r>
    <x v="0"/>
    <x v="39"/>
    <x v="8"/>
    <x v="0"/>
    <x v="36"/>
    <n v="157"/>
    <n v="1"/>
    <n v="4300"/>
    <n v="4300"/>
    <n v="3613"/>
    <n v="687"/>
  </r>
  <r>
    <x v="0"/>
    <x v="39"/>
    <x v="8"/>
    <x v="0"/>
    <x v="36"/>
    <n v="95"/>
    <n v="1"/>
    <n v="2400"/>
    <n v="2400"/>
    <n v="2017"/>
    <n v="383"/>
  </r>
  <r>
    <x v="0"/>
    <x v="39"/>
    <x v="8"/>
    <x v="0"/>
    <x v="36"/>
    <n v="97"/>
    <n v="1"/>
    <n v="2000"/>
    <n v="2000"/>
    <n v="1681"/>
    <n v="319"/>
  </r>
  <r>
    <x v="0"/>
    <x v="39"/>
    <x v="8"/>
    <x v="0"/>
    <x v="36"/>
    <n v="261"/>
    <n v="1"/>
    <n v="7000"/>
    <n v="7000"/>
    <n v="5882"/>
    <n v="1118"/>
  </r>
  <r>
    <x v="0"/>
    <x v="40"/>
    <x v="8"/>
    <x v="0"/>
    <x v="37"/>
    <n v="143"/>
    <n v="1"/>
    <n v="6500"/>
    <n v="6500"/>
    <n v="5462"/>
    <n v="1038"/>
  </r>
  <r>
    <x v="0"/>
    <x v="41"/>
    <x v="8"/>
    <x v="0"/>
    <x v="38"/>
    <n v="324"/>
    <n v="1"/>
    <n v="10500"/>
    <n v="10500"/>
    <n v="8824"/>
    <n v="1676"/>
  </r>
  <r>
    <x v="0"/>
    <x v="42"/>
    <x v="8"/>
    <x v="0"/>
    <x v="39"/>
    <n v="231"/>
    <n v="2"/>
    <n v="39979"/>
    <n v="79958"/>
    <n v="67192"/>
    <n v="12766"/>
  </r>
  <r>
    <x v="0"/>
    <x v="42"/>
    <x v="8"/>
    <x v="0"/>
    <x v="39"/>
    <n v="368"/>
    <n v="2"/>
    <n v="6000"/>
    <n v="12000"/>
    <n v="10084"/>
    <n v="1916"/>
  </r>
  <r>
    <x v="0"/>
    <x v="42"/>
    <x v="8"/>
    <x v="0"/>
    <x v="39"/>
    <n v="264"/>
    <n v="1"/>
    <n v="5000"/>
    <n v="5000"/>
    <n v="4202"/>
    <n v="798"/>
  </r>
  <r>
    <x v="0"/>
    <x v="42"/>
    <x v="8"/>
    <x v="0"/>
    <x v="39"/>
    <n v="359"/>
    <n v="1"/>
    <n v="2500"/>
    <n v="2500"/>
    <n v="2101"/>
    <n v="399"/>
  </r>
  <r>
    <x v="0"/>
    <x v="42"/>
    <x v="8"/>
    <x v="0"/>
    <x v="39"/>
    <n v="384"/>
    <n v="1"/>
    <n v="2750"/>
    <n v="2750"/>
    <n v="2311"/>
    <n v="439"/>
  </r>
  <r>
    <x v="0"/>
    <x v="42"/>
    <x v="8"/>
    <x v="0"/>
    <x v="39"/>
    <n v="170"/>
    <n v="1"/>
    <n v="3600"/>
    <n v="3600"/>
    <n v="3025"/>
    <n v="575"/>
  </r>
  <r>
    <x v="0"/>
    <x v="43"/>
    <x v="8"/>
    <x v="0"/>
    <x v="40"/>
    <n v="143"/>
    <n v="1"/>
    <n v="6500"/>
    <n v="6500"/>
    <n v="5462"/>
    <n v="1038"/>
  </r>
  <r>
    <x v="0"/>
    <x v="43"/>
    <x v="8"/>
    <x v="0"/>
    <x v="40"/>
    <n v="329"/>
    <n v="1"/>
    <n v="5500"/>
    <n v="5500"/>
    <n v="4622"/>
    <n v="878"/>
  </r>
  <r>
    <x v="0"/>
    <x v="44"/>
    <x v="8"/>
    <x v="0"/>
    <x v="9"/>
    <n v="122"/>
    <n v="1"/>
    <n v="6000"/>
    <n v="6000"/>
    <n v="5042"/>
    <n v="958"/>
  </r>
  <r>
    <x v="0"/>
    <x v="44"/>
    <x v="8"/>
    <x v="0"/>
    <x v="9"/>
    <n v="329"/>
    <n v="1"/>
    <n v="5500"/>
    <n v="5500"/>
    <n v="4622"/>
    <n v="878"/>
  </r>
  <r>
    <x v="0"/>
    <x v="45"/>
    <x v="9"/>
    <x v="0"/>
    <x v="41"/>
    <n v="231"/>
    <n v="1"/>
    <n v="19990"/>
    <n v="19990"/>
    <n v="16798"/>
    <n v="3192"/>
  </r>
  <r>
    <x v="0"/>
    <x v="46"/>
    <x v="9"/>
    <x v="0"/>
    <x v="42"/>
    <n v="143"/>
    <n v="1"/>
    <n v="6500"/>
    <n v="6500"/>
    <n v="5462"/>
    <n v="1038"/>
  </r>
  <r>
    <x v="0"/>
    <x v="47"/>
    <x v="9"/>
    <x v="0"/>
    <x v="43"/>
    <n v="231"/>
    <n v="1"/>
    <n v="19990"/>
    <n v="19990"/>
    <n v="16798"/>
    <n v="3192"/>
  </r>
  <r>
    <x v="0"/>
    <x v="47"/>
    <x v="9"/>
    <x v="0"/>
    <x v="43"/>
    <n v="368"/>
    <n v="2"/>
    <n v="6000"/>
    <n v="12000"/>
    <n v="10084"/>
    <n v="1916"/>
  </r>
  <r>
    <x v="0"/>
    <x v="48"/>
    <x v="9"/>
    <x v="0"/>
    <x v="0"/>
    <n v="296"/>
    <n v="2"/>
    <n v="7000"/>
    <n v="14000"/>
    <n v="11765"/>
    <n v="2235"/>
  </r>
  <r>
    <x v="0"/>
    <x v="49"/>
    <x v="9"/>
    <x v="0"/>
    <x v="36"/>
    <n v="1"/>
    <n v="1"/>
    <n v="12500"/>
    <n v="12500"/>
    <n v="10504"/>
    <n v="1996"/>
  </r>
  <r>
    <x v="0"/>
    <x v="50"/>
    <x v="9"/>
    <x v="0"/>
    <x v="5"/>
    <n v="155"/>
    <n v="1"/>
    <n v="1650"/>
    <n v="1650"/>
    <n v="1387"/>
    <n v="263"/>
  </r>
  <r>
    <x v="0"/>
    <x v="50"/>
    <x v="9"/>
    <x v="0"/>
    <x v="5"/>
    <n v="95"/>
    <n v="1"/>
    <n v="2400"/>
    <n v="2400"/>
    <n v="2017"/>
    <n v="383"/>
  </r>
  <r>
    <x v="0"/>
    <x v="50"/>
    <x v="9"/>
    <x v="0"/>
    <x v="5"/>
    <n v="24"/>
    <n v="1"/>
    <n v="1650"/>
    <n v="1650"/>
    <n v="1387"/>
    <n v="263"/>
  </r>
  <r>
    <x v="0"/>
    <x v="51"/>
    <x v="9"/>
    <x v="0"/>
    <x v="44"/>
    <n v="124"/>
    <n v="1"/>
    <n v="4000"/>
    <n v="4000"/>
    <n v="3361"/>
    <n v="639"/>
  </r>
  <r>
    <x v="0"/>
    <x v="51"/>
    <x v="9"/>
    <x v="0"/>
    <x v="44"/>
    <n v="288"/>
    <n v="1"/>
    <n v="8000"/>
    <n v="8000"/>
    <n v="6723"/>
    <n v="1277"/>
  </r>
  <r>
    <x v="0"/>
    <x v="52"/>
    <x v="9"/>
    <x v="0"/>
    <x v="45"/>
    <n v="324"/>
    <n v="1"/>
    <n v="10500"/>
    <n v="10500"/>
    <n v="8824"/>
    <n v="1676"/>
  </r>
  <r>
    <x v="0"/>
    <x v="53"/>
    <x v="9"/>
    <x v="0"/>
    <x v="34"/>
    <n v="332"/>
    <n v="1"/>
    <n v="2600"/>
    <n v="2600"/>
    <n v="2185"/>
    <n v="415"/>
  </r>
  <r>
    <x v="0"/>
    <x v="54"/>
    <x v="9"/>
    <x v="0"/>
    <x v="46"/>
    <n v="231"/>
    <n v="1"/>
    <n v="19990"/>
    <n v="19990"/>
    <n v="16798"/>
    <n v="3192"/>
  </r>
  <r>
    <x v="0"/>
    <x v="55"/>
    <x v="9"/>
    <x v="0"/>
    <x v="47"/>
    <n v="231"/>
    <n v="1"/>
    <n v="19990"/>
    <n v="19990"/>
    <n v="16798"/>
    <n v="3192"/>
  </r>
  <r>
    <x v="0"/>
    <x v="55"/>
    <x v="9"/>
    <x v="0"/>
    <x v="47"/>
    <n v="126"/>
    <n v="1"/>
    <n v="9000"/>
    <n v="9000"/>
    <n v="7563"/>
    <n v="1437"/>
  </r>
  <r>
    <x v="0"/>
    <x v="56"/>
    <x v="9"/>
    <x v="0"/>
    <x v="48"/>
    <n v="122"/>
    <n v="1"/>
    <n v="6000"/>
    <n v="6000"/>
    <n v="5042"/>
    <n v="958"/>
  </r>
  <r>
    <x v="0"/>
    <x v="57"/>
    <x v="10"/>
    <x v="0"/>
    <x v="49"/>
    <n v="231"/>
    <n v="1"/>
    <n v="19990"/>
    <n v="19990"/>
    <n v="16798"/>
    <n v="3192"/>
  </r>
  <r>
    <x v="0"/>
    <x v="58"/>
    <x v="10"/>
    <x v="0"/>
    <x v="5"/>
    <n v="8"/>
    <n v="1"/>
    <n v="18500"/>
    <n v="18500"/>
    <n v="15546"/>
    <n v="2954"/>
  </r>
  <r>
    <x v="0"/>
    <x v="59"/>
    <x v="10"/>
    <x v="0"/>
    <x v="50"/>
    <n v="235"/>
    <n v="1"/>
    <n v="14500"/>
    <n v="14500"/>
    <n v="12185"/>
    <n v="2315"/>
  </r>
  <r>
    <x v="0"/>
    <x v="60"/>
    <x v="11"/>
    <x v="0"/>
    <x v="51"/>
    <n v="230"/>
    <n v="1"/>
    <n v="15500"/>
    <n v="15500"/>
    <n v="13025"/>
    <n v="2475"/>
  </r>
  <r>
    <x v="0"/>
    <x v="60"/>
    <x v="11"/>
    <x v="0"/>
    <x v="51"/>
    <n v="118"/>
    <n v="1"/>
    <n v="3500"/>
    <n v="3500"/>
    <n v="2941"/>
    <n v="559"/>
  </r>
  <r>
    <x v="0"/>
    <x v="60"/>
    <x v="11"/>
    <x v="0"/>
    <x v="51"/>
    <n v="99"/>
    <n v="1"/>
    <n v="1500"/>
    <n v="1500"/>
    <n v="1261"/>
    <n v="239"/>
  </r>
  <r>
    <x v="0"/>
    <x v="61"/>
    <x v="11"/>
    <x v="0"/>
    <x v="5"/>
    <n v="329"/>
    <n v="1"/>
    <n v="5500"/>
    <n v="5500"/>
    <n v="4622"/>
    <n v="878"/>
  </r>
  <r>
    <x v="0"/>
    <x v="62"/>
    <x v="12"/>
    <x v="0"/>
    <x v="52"/>
    <n v="124"/>
    <n v="1"/>
    <n v="4000"/>
    <n v="4000"/>
    <n v="3361"/>
    <n v="639"/>
  </r>
  <r>
    <x v="0"/>
    <x v="63"/>
    <x v="12"/>
    <x v="0"/>
    <x v="4"/>
    <n v="143"/>
    <n v="1"/>
    <n v="6500"/>
    <n v="6500"/>
    <n v="5462"/>
    <n v="1038"/>
  </r>
  <r>
    <x v="0"/>
    <x v="63"/>
    <x v="12"/>
    <x v="0"/>
    <x v="4"/>
    <n v="264"/>
    <n v="1"/>
    <n v="5000"/>
    <n v="5000"/>
    <n v="4202"/>
    <n v="798"/>
  </r>
  <r>
    <x v="0"/>
    <x v="63"/>
    <x v="12"/>
    <x v="0"/>
    <x v="4"/>
    <n v="117"/>
    <n v="2"/>
    <n v="7000"/>
    <n v="14000"/>
    <n v="11765"/>
    <n v="2235"/>
  </r>
  <r>
    <x v="0"/>
    <x v="63"/>
    <x v="12"/>
    <x v="0"/>
    <x v="4"/>
    <n v="26"/>
    <n v="1"/>
    <n v="3400"/>
    <n v="3400"/>
    <n v="2857"/>
    <n v="543"/>
  </r>
  <r>
    <x v="0"/>
    <x v="63"/>
    <x v="12"/>
    <x v="0"/>
    <x v="4"/>
    <n v="167"/>
    <n v="1"/>
    <n v="8200"/>
    <n v="8200"/>
    <n v="6891"/>
    <n v="1309"/>
  </r>
  <r>
    <x v="0"/>
    <x v="64"/>
    <x v="12"/>
    <x v="0"/>
    <x v="53"/>
    <n v="143"/>
    <n v="1"/>
    <n v="6500"/>
    <n v="6500"/>
    <n v="5462"/>
    <n v="1038"/>
  </r>
  <r>
    <x v="0"/>
    <x v="65"/>
    <x v="12"/>
    <x v="0"/>
    <x v="54"/>
    <n v="1"/>
    <n v="1"/>
    <n v="12500"/>
    <n v="12500"/>
    <n v="10504"/>
    <n v="1996"/>
  </r>
  <r>
    <x v="0"/>
    <x v="65"/>
    <x v="12"/>
    <x v="0"/>
    <x v="54"/>
    <n v="7"/>
    <n v="1"/>
    <n v="7000"/>
    <n v="7000"/>
    <n v="5882"/>
    <n v="1118"/>
  </r>
  <r>
    <x v="0"/>
    <x v="65"/>
    <x v="12"/>
    <x v="0"/>
    <x v="54"/>
    <n v="164"/>
    <n v="1"/>
    <n v="3200"/>
    <n v="3200"/>
    <n v="2689"/>
    <n v="511"/>
  </r>
  <r>
    <x v="0"/>
    <x v="66"/>
    <x v="12"/>
    <x v="0"/>
    <x v="5"/>
    <n v="191"/>
    <n v="1"/>
    <n v="2500"/>
    <n v="2500"/>
    <n v="2101"/>
    <n v="399"/>
  </r>
  <r>
    <x v="0"/>
    <x v="67"/>
    <x v="12"/>
    <x v="0"/>
    <x v="26"/>
    <n v="143"/>
    <n v="1"/>
    <n v="6500"/>
    <n v="6500"/>
    <n v="5462"/>
    <n v="1038"/>
  </r>
  <r>
    <x v="0"/>
    <x v="67"/>
    <x v="12"/>
    <x v="0"/>
    <x v="26"/>
    <n v="118"/>
    <n v="1"/>
    <n v="3500"/>
    <n v="3500"/>
    <n v="2941"/>
    <n v="559"/>
  </r>
  <r>
    <x v="0"/>
    <x v="68"/>
    <x v="13"/>
    <x v="0"/>
    <x v="55"/>
    <n v="143"/>
    <n v="1"/>
    <n v="6500"/>
    <n v="6500"/>
    <n v="5462"/>
    <n v="1038"/>
  </r>
  <r>
    <x v="0"/>
    <x v="69"/>
    <x v="13"/>
    <x v="0"/>
    <x v="56"/>
    <n v="1"/>
    <n v="1"/>
    <n v="12500"/>
    <n v="12500"/>
    <n v="10504"/>
    <n v="1996"/>
  </r>
  <r>
    <x v="0"/>
    <x v="70"/>
    <x v="13"/>
    <x v="0"/>
    <x v="5"/>
    <n v="68"/>
    <n v="1"/>
    <n v="1200"/>
    <n v="1200"/>
    <n v="1008"/>
    <n v="192"/>
  </r>
  <r>
    <x v="0"/>
    <x v="70"/>
    <x v="13"/>
    <x v="0"/>
    <x v="5"/>
    <n v="256"/>
    <n v="1"/>
    <n v="3000"/>
    <n v="3000"/>
    <n v="2521"/>
    <n v="479"/>
  </r>
  <r>
    <x v="0"/>
    <x v="70"/>
    <x v="13"/>
    <x v="0"/>
    <x v="5"/>
    <n v="324"/>
    <n v="1"/>
    <n v="10500"/>
    <n v="10500"/>
    <n v="8824"/>
    <n v="1676"/>
  </r>
  <r>
    <x v="0"/>
    <x v="71"/>
    <x v="13"/>
    <x v="0"/>
    <x v="57"/>
    <n v="324"/>
    <n v="1"/>
    <n v="10500"/>
    <n v="10500"/>
    <n v="8824"/>
    <n v="1676"/>
  </r>
  <r>
    <x v="0"/>
    <x v="71"/>
    <x v="13"/>
    <x v="0"/>
    <x v="57"/>
    <n v="99"/>
    <n v="1"/>
    <n v="1500"/>
    <n v="1500"/>
    <n v="1261"/>
    <n v="239"/>
  </r>
  <r>
    <x v="0"/>
    <x v="71"/>
    <x v="13"/>
    <x v="0"/>
    <x v="57"/>
    <n v="143"/>
    <n v="1"/>
    <n v="6500"/>
    <n v="6500"/>
    <n v="5462"/>
    <n v="1038"/>
  </r>
  <r>
    <x v="0"/>
    <x v="72"/>
    <x v="13"/>
    <x v="0"/>
    <x v="58"/>
    <n v="230"/>
    <n v="1"/>
    <n v="15500"/>
    <n v="15500"/>
    <n v="13025"/>
    <n v="2475"/>
  </r>
  <r>
    <x v="0"/>
    <x v="72"/>
    <x v="13"/>
    <x v="0"/>
    <x v="58"/>
    <n v="254"/>
    <n v="1"/>
    <n v="2000"/>
    <n v="2000"/>
    <n v="1681"/>
    <n v="319"/>
  </r>
  <r>
    <x v="0"/>
    <x v="72"/>
    <x v="13"/>
    <x v="0"/>
    <x v="58"/>
    <n v="329"/>
    <n v="1"/>
    <n v="5500"/>
    <n v="5500"/>
    <n v="4622"/>
    <n v="878"/>
  </r>
  <r>
    <x v="0"/>
    <x v="73"/>
    <x v="14"/>
    <x v="0"/>
    <x v="5"/>
    <n v="254"/>
    <n v="2"/>
    <n v="4000"/>
    <n v="8000"/>
    <n v="6723"/>
    <n v="1277"/>
  </r>
  <r>
    <x v="0"/>
    <x v="74"/>
    <x v="14"/>
    <x v="0"/>
    <x v="59"/>
    <n v="144"/>
    <n v="1"/>
    <n v="6000"/>
    <n v="6000"/>
    <n v="5042"/>
    <n v="958"/>
  </r>
  <r>
    <x v="0"/>
    <x v="74"/>
    <x v="14"/>
    <x v="0"/>
    <x v="59"/>
    <n v="361"/>
    <n v="2"/>
    <n v="7000"/>
    <n v="14000"/>
    <n v="11765"/>
    <n v="2235"/>
  </r>
  <r>
    <x v="0"/>
    <x v="74"/>
    <x v="14"/>
    <x v="0"/>
    <x v="59"/>
    <n v="293"/>
    <n v="1"/>
    <n v="9500"/>
    <n v="9500"/>
    <n v="7983"/>
    <n v="1517"/>
  </r>
  <r>
    <x v="0"/>
    <x v="74"/>
    <x v="14"/>
    <x v="0"/>
    <x v="59"/>
    <n v="155"/>
    <n v="2"/>
    <n v="3301"/>
    <n v="6602"/>
    <n v="5548"/>
    <n v="1054"/>
  </r>
  <r>
    <x v="0"/>
    <x v="74"/>
    <x v="14"/>
    <x v="0"/>
    <x v="59"/>
    <n v="97"/>
    <n v="1"/>
    <n v="2000"/>
    <n v="2000"/>
    <n v="1681"/>
    <n v="319"/>
  </r>
  <r>
    <x v="0"/>
    <x v="75"/>
    <x v="14"/>
    <x v="0"/>
    <x v="60"/>
    <n v="293"/>
    <n v="1"/>
    <n v="9500"/>
    <n v="9500"/>
    <n v="7983"/>
    <n v="1517"/>
  </r>
  <r>
    <x v="0"/>
    <x v="75"/>
    <x v="14"/>
    <x v="0"/>
    <x v="60"/>
    <n v="283"/>
    <n v="1"/>
    <n v="7600"/>
    <n v="7600"/>
    <n v="6387"/>
    <n v="1213"/>
  </r>
  <r>
    <x v="0"/>
    <x v="75"/>
    <x v="14"/>
    <x v="0"/>
    <x v="60"/>
    <n v="264"/>
    <n v="1"/>
    <n v="5000"/>
    <n v="5000"/>
    <n v="4202"/>
    <n v="798"/>
  </r>
  <r>
    <x v="0"/>
    <x v="75"/>
    <x v="14"/>
    <x v="0"/>
    <x v="60"/>
    <n v="259"/>
    <n v="1"/>
    <n v="4500"/>
    <n v="4500"/>
    <n v="3782"/>
    <n v="718"/>
  </r>
  <r>
    <x v="0"/>
    <x v="75"/>
    <x v="14"/>
    <x v="0"/>
    <x v="60"/>
    <n v="288"/>
    <n v="1"/>
    <n v="8000"/>
    <n v="8000"/>
    <n v="6723"/>
    <n v="1277"/>
  </r>
  <r>
    <x v="0"/>
    <x v="75"/>
    <x v="14"/>
    <x v="0"/>
    <x v="60"/>
    <n v="287"/>
    <n v="1"/>
    <n v="3000"/>
    <n v="3000"/>
    <n v="2521"/>
    <n v="479"/>
  </r>
  <r>
    <x v="0"/>
    <x v="75"/>
    <x v="14"/>
    <x v="0"/>
    <x v="60"/>
    <n v="29"/>
    <n v="1"/>
    <n v="1000"/>
    <n v="1000"/>
    <n v="840"/>
    <n v="160"/>
  </r>
  <r>
    <x v="0"/>
    <x v="75"/>
    <x v="14"/>
    <x v="0"/>
    <x v="60"/>
    <n v="31"/>
    <n v="1"/>
    <n v="3400"/>
    <n v="3400"/>
    <n v="2857"/>
    <n v="543"/>
  </r>
  <r>
    <x v="0"/>
    <x v="76"/>
    <x v="14"/>
    <x v="0"/>
    <x v="61"/>
    <n v="118"/>
    <n v="1"/>
    <n v="3500"/>
    <n v="3500"/>
    <n v="2941"/>
    <n v="559"/>
  </r>
  <r>
    <x v="0"/>
    <x v="77"/>
    <x v="15"/>
    <x v="0"/>
    <x v="41"/>
    <n v="143"/>
    <n v="1"/>
    <n v="6200"/>
    <n v="6200"/>
    <n v="5210"/>
    <n v="990"/>
  </r>
  <r>
    <x v="0"/>
    <x v="78"/>
    <x v="15"/>
    <x v="0"/>
    <x v="62"/>
    <n v="235"/>
    <n v="1"/>
    <n v="14500"/>
    <n v="14500"/>
    <n v="12185"/>
    <n v="2315"/>
  </r>
  <r>
    <x v="0"/>
    <x v="78"/>
    <x v="15"/>
    <x v="0"/>
    <x v="62"/>
    <n v="368"/>
    <n v="1"/>
    <n v="3000"/>
    <n v="3000"/>
    <n v="2521"/>
    <n v="479"/>
  </r>
  <r>
    <x v="0"/>
    <x v="78"/>
    <x v="15"/>
    <x v="0"/>
    <x v="62"/>
    <n v="155"/>
    <n v="2"/>
    <n v="3301"/>
    <n v="6602"/>
    <n v="5548"/>
    <n v="1054"/>
  </r>
  <r>
    <x v="0"/>
    <x v="78"/>
    <x v="15"/>
    <x v="0"/>
    <x v="62"/>
    <n v="57"/>
    <n v="1"/>
    <n v="4000"/>
    <n v="4000"/>
    <n v="3361"/>
    <n v="639"/>
  </r>
  <r>
    <x v="0"/>
    <x v="79"/>
    <x v="15"/>
    <x v="0"/>
    <x v="59"/>
    <n v="191"/>
    <n v="2"/>
    <n v="5000"/>
    <n v="10000"/>
    <n v="8403"/>
    <n v="1597"/>
  </r>
  <r>
    <x v="0"/>
    <x v="79"/>
    <x v="15"/>
    <x v="0"/>
    <x v="59"/>
    <n v="329"/>
    <n v="1"/>
    <n v="5500"/>
    <n v="5500"/>
    <n v="4622"/>
    <n v="878"/>
  </r>
  <r>
    <x v="0"/>
    <x v="80"/>
    <x v="15"/>
    <x v="0"/>
    <x v="63"/>
    <n v="117"/>
    <n v="1"/>
    <n v="3500"/>
    <n v="3500"/>
    <n v="2941"/>
    <n v="559"/>
  </r>
  <r>
    <x v="0"/>
    <x v="80"/>
    <x v="15"/>
    <x v="0"/>
    <x v="63"/>
    <n v="165"/>
    <n v="1"/>
    <n v="2000"/>
    <n v="2000"/>
    <n v="1681"/>
    <n v="319"/>
  </r>
  <r>
    <x v="0"/>
    <x v="81"/>
    <x v="15"/>
    <x v="0"/>
    <x v="9"/>
    <n v="329"/>
    <n v="1"/>
    <n v="5500"/>
    <n v="5500"/>
    <n v="4622"/>
    <n v="878"/>
  </r>
  <r>
    <x v="0"/>
    <x v="82"/>
    <x v="15"/>
    <x v="0"/>
    <x v="61"/>
    <n v="57"/>
    <n v="2"/>
    <n v="8000"/>
    <n v="16000"/>
    <n v="13445"/>
    <n v="2555"/>
  </r>
  <r>
    <x v="0"/>
    <x v="83"/>
    <x v="15"/>
    <x v="0"/>
    <x v="64"/>
    <n v="143"/>
    <n v="1"/>
    <n v="6200"/>
    <n v="6200"/>
    <n v="5210"/>
    <n v="990"/>
  </r>
  <r>
    <x v="0"/>
    <x v="84"/>
    <x v="16"/>
    <x v="0"/>
    <x v="65"/>
    <n v="231"/>
    <n v="1"/>
    <n v="19990"/>
    <n v="19990"/>
    <n v="16798"/>
    <n v="3192"/>
  </r>
  <r>
    <x v="0"/>
    <x v="85"/>
    <x v="16"/>
    <x v="0"/>
    <x v="66"/>
    <n v="24"/>
    <n v="1"/>
    <n v="1650"/>
    <n v="1650"/>
    <n v="1387"/>
    <n v="263"/>
  </r>
  <r>
    <x v="0"/>
    <x v="85"/>
    <x v="16"/>
    <x v="0"/>
    <x v="66"/>
    <n v="69"/>
    <n v="2"/>
    <n v="6000"/>
    <n v="12000"/>
    <n v="10084"/>
    <n v="1916"/>
  </r>
  <r>
    <x v="0"/>
    <x v="85"/>
    <x v="16"/>
    <x v="0"/>
    <x v="66"/>
    <n v="26"/>
    <n v="1"/>
    <n v="3400"/>
    <n v="3400"/>
    <n v="2857"/>
    <n v="543"/>
  </r>
  <r>
    <x v="0"/>
    <x v="85"/>
    <x v="16"/>
    <x v="0"/>
    <x v="66"/>
    <n v="150"/>
    <n v="2"/>
    <n v="8400"/>
    <n v="16800"/>
    <n v="14118"/>
    <n v="2682"/>
  </r>
  <r>
    <x v="0"/>
    <x v="85"/>
    <x v="16"/>
    <x v="0"/>
    <x v="66"/>
    <n v="250"/>
    <n v="1"/>
    <n v="6800"/>
    <n v="6800"/>
    <n v="5714"/>
    <n v="1086"/>
  </r>
  <r>
    <x v="0"/>
    <x v="85"/>
    <x v="16"/>
    <x v="0"/>
    <x v="66"/>
    <n v="163"/>
    <n v="1"/>
    <n v="1500"/>
    <n v="1500"/>
    <n v="1261"/>
    <n v="239"/>
  </r>
  <r>
    <x v="0"/>
    <x v="85"/>
    <x v="16"/>
    <x v="0"/>
    <x v="66"/>
    <n v="98"/>
    <n v="1"/>
    <n v="3500"/>
    <n v="3500"/>
    <n v="2941"/>
    <n v="559"/>
  </r>
  <r>
    <x v="0"/>
    <x v="85"/>
    <x v="16"/>
    <x v="0"/>
    <x v="66"/>
    <n v="117"/>
    <n v="2"/>
    <n v="7000"/>
    <n v="14000"/>
    <n v="11765"/>
    <n v="2235"/>
  </r>
  <r>
    <x v="0"/>
    <x v="85"/>
    <x v="16"/>
    <x v="0"/>
    <x v="66"/>
    <n v="247"/>
    <n v="1"/>
    <n v="2800"/>
    <n v="2800"/>
    <n v="2353"/>
    <n v="447"/>
  </r>
  <r>
    <x v="0"/>
    <x v="85"/>
    <x v="16"/>
    <x v="0"/>
    <x v="66"/>
    <n v="235"/>
    <n v="1"/>
    <n v="14500"/>
    <n v="14500"/>
    <n v="12185"/>
    <n v="2315"/>
  </r>
  <r>
    <x v="0"/>
    <x v="85"/>
    <x v="16"/>
    <x v="0"/>
    <x v="66"/>
    <n v="373"/>
    <n v="1"/>
    <n v="3500"/>
    <n v="3500"/>
    <n v="2941"/>
    <n v="559"/>
  </r>
  <r>
    <x v="0"/>
    <x v="85"/>
    <x v="16"/>
    <x v="0"/>
    <x v="66"/>
    <n v="124"/>
    <n v="1"/>
    <n v="4000"/>
    <n v="4000"/>
    <n v="3361"/>
    <n v="639"/>
  </r>
  <r>
    <x v="0"/>
    <x v="85"/>
    <x v="16"/>
    <x v="0"/>
    <x v="66"/>
    <n v="275"/>
    <n v="1"/>
    <n v="6900"/>
    <n v="6900"/>
    <n v="5798"/>
    <n v="1102"/>
  </r>
  <r>
    <x v="0"/>
    <x v="85"/>
    <x v="16"/>
    <x v="0"/>
    <x v="66"/>
    <n v="357"/>
    <n v="2"/>
    <n v="3600"/>
    <n v="7200"/>
    <n v="6050"/>
    <n v="1150"/>
  </r>
  <r>
    <x v="0"/>
    <x v="85"/>
    <x v="16"/>
    <x v="0"/>
    <x v="66"/>
    <n v="82"/>
    <n v="2"/>
    <n v="3200"/>
    <n v="6400"/>
    <n v="5378"/>
    <n v="1022"/>
  </r>
  <r>
    <x v="0"/>
    <x v="86"/>
    <x v="16"/>
    <x v="0"/>
    <x v="67"/>
    <n v="163"/>
    <n v="1"/>
    <n v="1500"/>
    <n v="1500"/>
    <n v="1261"/>
    <n v="239"/>
  </r>
  <r>
    <x v="0"/>
    <x v="87"/>
    <x v="16"/>
    <x v="0"/>
    <x v="68"/>
    <n v="124"/>
    <n v="1"/>
    <n v="4000"/>
    <n v="4000"/>
    <n v="3361"/>
    <n v="639"/>
  </r>
  <r>
    <x v="0"/>
    <x v="87"/>
    <x v="16"/>
    <x v="0"/>
    <x v="68"/>
    <n v="300"/>
    <n v="1"/>
    <n v="9000"/>
    <n v="9000"/>
    <n v="7563"/>
    <n v="1437"/>
  </r>
  <r>
    <x v="0"/>
    <x v="87"/>
    <x v="16"/>
    <x v="0"/>
    <x v="68"/>
    <n v="157"/>
    <n v="1"/>
    <n v="4300"/>
    <n v="4300"/>
    <n v="3613"/>
    <n v="687"/>
  </r>
  <r>
    <x v="0"/>
    <x v="88"/>
    <x v="16"/>
    <x v="0"/>
    <x v="69"/>
    <n v="143"/>
    <n v="1"/>
    <n v="6200"/>
    <n v="6200"/>
    <n v="5210"/>
    <n v="990"/>
  </r>
  <r>
    <x v="0"/>
    <x v="89"/>
    <x v="17"/>
    <x v="0"/>
    <x v="42"/>
    <n v="143"/>
    <n v="1"/>
    <n v="6200"/>
    <n v="6200"/>
    <n v="5210"/>
    <n v="990"/>
  </r>
  <r>
    <x v="0"/>
    <x v="89"/>
    <x v="17"/>
    <x v="0"/>
    <x v="42"/>
    <n v="290"/>
    <n v="1"/>
    <n v="1200"/>
    <n v="1200"/>
    <n v="1008"/>
    <n v="192"/>
  </r>
  <r>
    <x v="0"/>
    <x v="89"/>
    <x v="17"/>
    <x v="0"/>
    <x v="42"/>
    <n v="124"/>
    <n v="1"/>
    <n v="4000"/>
    <n v="4000"/>
    <n v="3361"/>
    <n v="639"/>
  </r>
  <r>
    <x v="0"/>
    <x v="90"/>
    <x v="17"/>
    <x v="0"/>
    <x v="70"/>
    <n v="293"/>
    <n v="1"/>
    <n v="9500"/>
    <n v="9500"/>
    <n v="7983"/>
    <n v="1517"/>
  </r>
  <r>
    <x v="0"/>
    <x v="91"/>
    <x v="17"/>
    <x v="0"/>
    <x v="5"/>
    <n v="67"/>
    <n v="1"/>
    <n v="650"/>
    <n v="650"/>
    <n v="546"/>
    <n v="104"/>
  </r>
  <r>
    <x v="0"/>
    <x v="91"/>
    <x v="17"/>
    <x v="0"/>
    <x v="5"/>
    <n v="386"/>
    <n v="1"/>
    <n v="2700"/>
    <n v="2700"/>
    <n v="2269"/>
    <n v="431"/>
  </r>
  <r>
    <x v="0"/>
    <x v="91"/>
    <x v="17"/>
    <x v="0"/>
    <x v="5"/>
    <n v="165"/>
    <n v="1"/>
    <n v="2000"/>
    <n v="2000"/>
    <n v="1681"/>
    <n v="319"/>
  </r>
  <r>
    <x v="0"/>
    <x v="92"/>
    <x v="17"/>
    <x v="0"/>
    <x v="71"/>
    <n v="361"/>
    <n v="1"/>
    <n v="3500"/>
    <n v="3500"/>
    <n v="2941"/>
    <n v="559"/>
  </r>
  <r>
    <x v="0"/>
    <x v="92"/>
    <x v="17"/>
    <x v="0"/>
    <x v="71"/>
    <n v="241"/>
    <n v="1"/>
    <n v="4000"/>
    <n v="4000"/>
    <n v="3361"/>
    <n v="639"/>
  </r>
  <r>
    <x v="0"/>
    <x v="92"/>
    <x v="17"/>
    <x v="0"/>
    <x v="71"/>
    <n v="97"/>
    <n v="1"/>
    <n v="2000"/>
    <n v="2000"/>
    <n v="1681"/>
    <n v="319"/>
  </r>
  <r>
    <x v="0"/>
    <x v="92"/>
    <x v="17"/>
    <x v="0"/>
    <x v="71"/>
    <n v="275"/>
    <n v="1"/>
    <n v="6900"/>
    <n v="6900"/>
    <n v="5798"/>
    <n v="1102"/>
  </r>
  <r>
    <x v="0"/>
    <x v="92"/>
    <x v="17"/>
    <x v="0"/>
    <x v="71"/>
    <n v="236"/>
    <n v="1"/>
    <n v="18990"/>
    <n v="18990"/>
    <n v="15958"/>
    <n v="3032"/>
  </r>
  <r>
    <x v="0"/>
    <x v="92"/>
    <x v="17"/>
    <x v="0"/>
    <x v="71"/>
    <n v="143"/>
    <n v="1"/>
    <n v="6200"/>
    <n v="6200"/>
    <n v="5210"/>
    <n v="990"/>
  </r>
  <r>
    <x v="0"/>
    <x v="93"/>
    <x v="17"/>
    <x v="0"/>
    <x v="12"/>
    <n v="143"/>
    <n v="1"/>
    <n v="6200"/>
    <n v="6200"/>
    <n v="5210"/>
    <n v="990"/>
  </r>
  <r>
    <x v="0"/>
    <x v="94"/>
    <x v="18"/>
    <x v="0"/>
    <x v="5"/>
    <n v="329"/>
    <n v="1"/>
    <n v="5500"/>
    <n v="5500"/>
    <n v="4622"/>
    <n v="878"/>
  </r>
  <r>
    <x v="0"/>
    <x v="95"/>
    <x v="18"/>
    <x v="0"/>
    <x v="20"/>
    <n v="143"/>
    <n v="1"/>
    <n v="6200"/>
    <n v="6200"/>
    <n v="5210"/>
    <n v="990"/>
  </r>
  <r>
    <x v="0"/>
    <x v="96"/>
    <x v="18"/>
    <x v="0"/>
    <x v="72"/>
    <n v="118"/>
    <n v="2"/>
    <n v="7000"/>
    <n v="14000"/>
    <n v="11765"/>
    <n v="2235"/>
  </r>
  <r>
    <x v="0"/>
    <x v="97"/>
    <x v="18"/>
    <x v="0"/>
    <x v="73"/>
    <n v="118"/>
    <n v="1"/>
    <n v="3500"/>
    <n v="3500"/>
    <n v="2941"/>
    <n v="559"/>
  </r>
  <r>
    <x v="0"/>
    <x v="97"/>
    <x v="18"/>
    <x v="0"/>
    <x v="73"/>
    <n v="367"/>
    <n v="2"/>
    <n v="3000"/>
    <n v="6000"/>
    <n v="5042"/>
    <n v="958"/>
  </r>
  <r>
    <x v="0"/>
    <x v="97"/>
    <x v="18"/>
    <x v="0"/>
    <x v="73"/>
    <n v="296"/>
    <n v="2"/>
    <n v="7000"/>
    <n v="14000"/>
    <n v="11765"/>
    <n v="2235"/>
  </r>
  <r>
    <x v="0"/>
    <x v="97"/>
    <x v="18"/>
    <x v="0"/>
    <x v="73"/>
    <n v="383"/>
    <n v="2"/>
    <n v="4800"/>
    <n v="9600"/>
    <n v="8067"/>
    <n v="1533"/>
  </r>
  <r>
    <x v="0"/>
    <x v="98"/>
    <x v="18"/>
    <x v="0"/>
    <x v="74"/>
    <n v="300"/>
    <n v="1"/>
    <n v="9000"/>
    <n v="9000"/>
    <n v="7563"/>
    <n v="1437"/>
  </r>
  <r>
    <x v="0"/>
    <x v="98"/>
    <x v="18"/>
    <x v="0"/>
    <x v="74"/>
    <n v="370"/>
    <n v="1"/>
    <n v="4000"/>
    <n v="4000"/>
    <n v="3361"/>
    <n v="639"/>
  </r>
  <r>
    <x v="0"/>
    <x v="98"/>
    <x v="18"/>
    <x v="0"/>
    <x v="74"/>
    <n v="125"/>
    <n v="1"/>
    <n v="1700"/>
    <n v="1700"/>
    <n v="1429"/>
    <n v="271"/>
  </r>
  <r>
    <x v="0"/>
    <x v="98"/>
    <x v="18"/>
    <x v="0"/>
    <x v="74"/>
    <n v="359"/>
    <n v="1"/>
    <n v="2500"/>
    <n v="2500"/>
    <n v="2101"/>
    <n v="399"/>
  </r>
  <r>
    <x v="0"/>
    <x v="98"/>
    <x v="18"/>
    <x v="0"/>
    <x v="74"/>
    <n v="259"/>
    <n v="1"/>
    <n v="4500"/>
    <n v="4500"/>
    <n v="3782"/>
    <n v="718"/>
  </r>
  <r>
    <x v="0"/>
    <x v="98"/>
    <x v="18"/>
    <x v="0"/>
    <x v="74"/>
    <n v="150"/>
    <n v="1"/>
    <n v="4200"/>
    <n v="4200"/>
    <n v="3529"/>
    <n v="671"/>
  </r>
  <r>
    <x v="0"/>
    <x v="98"/>
    <x v="18"/>
    <x v="0"/>
    <x v="74"/>
    <n v="252"/>
    <n v="1"/>
    <n v="4800"/>
    <n v="4800"/>
    <n v="4034"/>
    <n v="766"/>
  </r>
  <r>
    <x v="0"/>
    <x v="98"/>
    <x v="18"/>
    <x v="0"/>
    <x v="74"/>
    <n v="100"/>
    <n v="2"/>
    <n v="3000"/>
    <n v="6000"/>
    <n v="5042"/>
    <n v="958"/>
  </r>
  <r>
    <x v="0"/>
    <x v="98"/>
    <x v="18"/>
    <x v="0"/>
    <x v="74"/>
    <n v="165"/>
    <n v="2"/>
    <n v="4000"/>
    <n v="8000"/>
    <n v="6723"/>
    <n v="1277"/>
  </r>
  <r>
    <x v="0"/>
    <x v="98"/>
    <x v="18"/>
    <x v="0"/>
    <x v="74"/>
    <n v="117"/>
    <n v="2"/>
    <n v="7000"/>
    <n v="14000"/>
    <n v="11765"/>
    <n v="2235"/>
  </r>
  <r>
    <x v="0"/>
    <x v="99"/>
    <x v="19"/>
    <x v="0"/>
    <x v="75"/>
    <n v="233"/>
    <n v="1"/>
    <n v="15990"/>
    <n v="15990"/>
    <n v="13437"/>
    <n v="2553"/>
  </r>
  <r>
    <x v="0"/>
    <x v="99"/>
    <x v="19"/>
    <x v="0"/>
    <x v="75"/>
    <n v="100"/>
    <n v="2"/>
    <n v="3000"/>
    <n v="6000"/>
    <n v="5042"/>
    <n v="958"/>
  </r>
  <r>
    <x v="0"/>
    <x v="99"/>
    <x v="19"/>
    <x v="0"/>
    <x v="75"/>
    <n v="165"/>
    <n v="1"/>
    <n v="2000"/>
    <n v="2000"/>
    <n v="1681"/>
    <n v="319"/>
  </r>
  <r>
    <x v="0"/>
    <x v="99"/>
    <x v="19"/>
    <x v="0"/>
    <x v="75"/>
    <n v="57"/>
    <n v="1"/>
    <n v="4000"/>
    <n v="4000"/>
    <n v="3361"/>
    <n v="639"/>
  </r>
  <r>
    <x v="0"/>
    <x v="99"/>
    <x v="19"/>
    <x v="0"/>
    <x v="75"/>
    <n v="118"/>
    <n v="1"/>
    <n v="3500"/>
    <n v="3500"/>
    <n v="2941"/>
    <n v="559"/>
  </r>
  <r>
    <x v="0"/>
    <x v="99"/>
    <x v="19"/>
    <x v="0"/>
    <x v="75"/>
    <n v="117"/>
    <n v="1"/>
    <n v="3500"/>
    <n v="3500"/>
    <n v="2941"/>
    <n v="559"/>
  </r>
  <r>
    <x v="0"/>
    <x v="99"/>
    <x v="19"/>
    <x v="0"/>
    <x v="75"/>
    <n v="254"/>
    <n v="2"/>
    <n v="4000"/>
    <n v="8000"/>
    <n v="6723"/>
    <n v="1277"/>
  </r>
  <r>
    <x v="0"/>
    <x v="99"/>
    <x v="19"/>
    <x v="0"/>
    <x v="75"/>
    <n v="356"/>
    <n v="1"/>
    <n v="3000"/>
    <n v="3000"/>
    <n v="2521"/>
    <n v="479"/>
  </r>
  <r>
    <x v="0"/>
    <x v="99"/>
    <x v="19"/>
    <x v="0"/>
    <x v="75"/>
    <n v="157"/>
    <n v="1"/>
    <n v="4300"/>
    <n v="4300"/>
    <n v="3613"/>
    <n v="687"/>
  </r>
  <r>
    <x v="0"/>
    <x v="99"/>
    <x v="19"/>
    <x v="0"/>
    <x v="75"/>
    <n v="287"/>
    <n v="1"/>
    <n v="3000"/>
    <n v="3000"/>
    <n v="2521"/>
    <n v="479"/>
  </r>
  <r>
    <x v="0"/>
    <x v="99"/>
    <x v="19"/>
    <x v="0"/>
    <x v="75"/>
    <n v="29"/>
    <n v="1"/>
    <n v="1000"/>
    <n v="1000"/>
    <n v="840"/>
    <n v="160"/>
  </r>
  <r>
    <x v="0"/>
    <x v="99"/>
    <x v="19"/>
    <x v="0"/>
    <x v="75"/>
    <n v="69"/>
    <n v="1"/>
    <n v="3000"/>
    <n v="3000"/>
    <n v="2521"/>
    <n v="479"/>
  </r>
  <r>
    <x v="0"/>
    <x v="99"/>
    <x v="19"/>
    <x v="0"/>
    <x v="75"/>
    <n v="30"/>
    <n v="1"/>
    <n v="3000"/>
    <n v="3000"/>
    <n v="2521"/>
    <n v="479"/>
  </r>
  <r>
    <x v="0"/>
    <x v="99"/>
    <x v="19"/>
    <x v="0"/>
    <x v="75"/>
    <n v="150"/>
    <n v="1"/>
    <n v="4200"/>
    <n v="4200"/>
    <n v="3529"/>
    <n v="671"/>
  </r>
  <r>
    <x v="0"/>
    <x v="99"/>
    <x v="19"/>
    <x v="0"/>
    <x v="75"/>
    <n v="151"/>
    <n v="1"/>
    <n v="4200"/>
    <n v="4200"/>
    <n v="3529"/>
    <n v="671"/>
  </r>
  <r>
    <x v="0"/>
    <x v="99"/>
    <x v="19"/>
    <x v="0"/>
    <x v="75"/>
    <n v="246"/>
    <n v="1"/>
    <n v="3000"/>
    <n v="3000"/>
    <n v="2521"/>
    <n v="479"/>
  </r>
  <r>
    <x v="0"/>
    <x v="99"/>
    <x v="19"/>
    <x v="0"/>
    <x v="75"/>
    <n v="80"/>
    <n v="1"/>
    <n v="1600"/>
    <n v="1600"/>
    <n v="1345"/>
    <n v="255"/>
  </r>
  <r>
    <x v="0"/>
    <x v="99"/>
    <x v="19"/>
    <x v="0"/>
    <x v="75"/>
    <n v="155"/>
    <n v="1"/>
    <n v="1650"/>
    <n v="1650"/>
    <n v="1387"/>
    <n v="263"/>
  </r>
  <r>
    <x v="0"/>
    <x v="99"/>
    <x v="19"/>
    <x v="0"/>
    <x v="75"/>
    <n v="290"/>
    <n v="1"/>
    <n v="1200"/>
    <n v="1200"/>
    <n v="1008"/>
    <n v="192"/>
  </r>
  <r>
    <x v="0"/>
    <x v="99"/>
    <x v="19"/>
    <x v="0"/>
    <x v="75"/>
    <n v="125"/>
    <n v="1"/>
    <n v="1700"/>
    <n v="1700"/>
    <n v="1429"/>
    <n v="271"/>
  </r>
  <r>
    <x v="0"/>
    <x v="100"/>
    <x v="19"/>
    <x v="0"/>
    <x v="36"/>
    <n v="386"/>
    <n v="1"/>
    <n v="2700"/>
    <n v="2700"/>
    <n v="2269"/>
    <n v="431"/>
  </r>
  <r>
    <x v="0"/>
    <x v="100"/>
    <x v="19"/>
    <x v="0"/>
    <x v="36"/>
    <n v="24"/>
    <n v="1"/>
    <n v="1650"/>
    <n v="1650"/>
    <n v="1387"/>
    <n v="263"/>
  </r>
  <r>
    <x v="0"/>
    <x v="101"/>
    <x v="19"/>
    <x v="0"/>
    <x v="76"/>
    <n v="324"/>
    <n v="1"/>
    <n v="10500"/>
    <n v="10500"/>
    <n v="8824"/>
    <n v="1676"/>
  </r>
  <r>
    <x v="0"/>
    <x v="102"/>
    <x v="19"/>
    <x v="0"/>
    <x v="7"/>
    <n v="135"/>
    <n v="3"/>
    <n v="3000"/>
    <n v="9000"/>
    <n v="7563"/>
    <n v="1437"/>
  </r>
  <r>
    <x v="0"/>
    <x v="103"/>
    <x v="20"/>
    <x v="0"/>
    <x v="77"/>
    <n v="67"/>
    <n v="1"/>
    <n v="650"/>
    <n v="650"/>
    <n v="546"/>
    <n v="104"/>
  </r>
  <r>
    <x v="0"/>
    <x v="103"/>
    <x v="20"/>
    <x v="0"/>
    <x v="77"/>
    <n v="155"/>
    <n v="1"/>
    <n v="1650"/>
    <n v="1650"/>
    <n v="1387"/>
    <n v="263"/>
  </r>
  <r>
    <x v="0"/>
    <x v="103"/>
    <x v="20"/>
    <x v="0"/>
    <x v="77"/>
    <n v="99"/>
    <n v="1"/>
    <n v="1500"/>
    <n v="1500"/>
    <n v="1261"/>
    <n v="239"/>
  </r>
  <r>
    <x v="0"/>
    <x v="103"/>
    <x v="20"/>
    <x v="0"/>
    <x v="77"/>
    <n v="387"/>
    <n v="1"/>
    <n v="1500"/>
    <n v="1500"/>
    <n v="1261"/>
    <n v="239"/>
  </r>
  <r>
    <x v="0"/>
    <x v="104"/>
    <x v="20"/>
    <x v="0"/>
    <x v="36"/>
    <n v="26"/>
    <n v="1"/>
    <n v="3400"/>
    <n v="3400"/>
    <n v="2857"/>
    <n v="543"/>
  </r>
  <r>
    <x v="0"/>
    <x v="105"/>
    <x v="20"/>
    <x v="0"/>
    <x v="5"/>
    <n v="191"/>
    <n v="1"/>
    <n v="2500"/>
    <n v="2500"/>
    <n v="2101"/>
    <n v="399"/>
  </r>
  <r>
    <x v="0"/>
    <x v="106"/>
    <x v="20"/>
    <x v="0"/>
    <x v="78"/>
    <n v="231"/>
    <n v="1"/>
    <n v="19990"/>
    <n v="19990"/>
    <n v="16798"/>
    <n v="3192"/>
  </r>
  <r>
    <x v="0"/>
    <x v="106"/>
    <x v="20"/>
    <x v="0"/>
    <x v="78"/>
    <n v="264"/>
    <n v="1"/>
    <n v="5000"/>
    <n v="5000"/>
    <n v="4202"/>
    <n v="798"/>
  </r>
  <r>
    <x v="0"/>
    <x v="107"/>
    <x v="20"/>
    <x v="0"/>
    <x v="26"/>
    <n v="143"/>
    <n v="1"/>
    <n v="6200"/>
    <n v="6200"/>
    <n v="5210"/>
    <n v="990"/>
  </r>
  <r>
    <x v="0"/>
    <x v="108"/>
    <x v="20"/>
    <x v="0"/>
    <x v="29"/>
    <n v="191"/>
    <n v="2"/>
    <n v="5000"/>
    <n v="10000"/>
    <n v="8403"/>
    <n v="1597"/>
  </r>
  <r>
    <x v="0"/>
    <x v="108"/>
    <x v="20"/>
    <x v="0"/>
    <x v="29"/>
    <n v="329"/>
    <n v="1"/>
    <n v="5500"/>
    <n v="5500"/>
    <n v="4622"/>
    <n v="878"/>
  </r>
  <r>
    <x v="0"/>
    <x v="108"/>
    <x v="20"/>
    <x v="0"/>
    <x v="29"/>
    <n v="368"/>
    <n v="1"/>
    <n v="3000"/>
    <n v="3000"/>
    <n v="2521"/>
    <n v="479"/>
  </r>
  <r>
    <x v="0"/>
    <x v="109"/>
    <x v="20"/>
    <x v="0"/>
    <x v="10"/>
    <n v="143"/>
    <n v="1"/>
    <n v="6200"/>
    <n v="6200"/>
    <n v="5210"/>
    <n v="990"/>
  </r>
  <r>
    <x v="0"/>
    <x v="110"/>
    <x v="21"/>
    <x v="0"/>
    <x v="14"/>
    <n v="143"/>
    <n v="1"/>
    <n v="6200"/>
    <n v="6200"/>
    <n v="5210"/>
    <n v="990"/>
  </r>
  <r>
    <x v="0"/>
    <x v="111"/>
    <x v="21"/>
    <x v="0"/>
    <x v="79"/>
    <n v="144"/>
    <n v="1"/>
    <n v="6000"/>
    <n v="6000"/>
    <n v="5042"/>
    <n v="958"/>
  </r>
  <r>
    <x v="0"/>
    <x v="112"/>
    <x v="21"/>
    <x v="0"/>
    <x v="80"/>
    <n v="230"/>
    <n v="1"/>
    <n v="15500"/>
    <n v="15500"/>
    <n v="13025"/>
    <n v="2475"/>
  </r>
  <r>
    <x v="0"/>
    <x v="112"/>
    <x v="21"/>
    <x v="0"/>
    <x v="80"/>
    <n v="332"/>
    <n v="1"/>
    <n v="2600"/>
    <n v="2600"/>
    <n v="2185"/>
    <n v="415"/>
  </r>
  <r>
    <x v="0"/>
    <x v="113"/>
    <x v="21"/>
    <x v="0"/>
    <x v="63"/>
    <n v="98"/>
    <n v="1"/>
    <n v="3500"/>
    <n v="3500"/>
    <n v="2941"/>
    <n v="559"/>
  </r>
  <r>
    <x v="0"/>
    <x v="113"/>
    <x v="21"/>
    <x v="0"/>
    <x v="63"/>
    <n v="382"/>
    <n v="1"/>
    <n v="2600"/>
    <n v="2600"/>
    <n v="2185"/>
    <n v="415"/>
  </r>
  <r>
    <x v="0"/>
    <x v="114"/>
    <x v="21"/>
    <x v="0"/>
    <x v="9"/>
    <n v="117"/>
    <n v="1"/>
    <n v="3500"/>
    <n v="3500"/>
    <n v="2941"/>
    <n v="559"/>
  </r>
  <r>
    <x v="0"/>
    <x v="114"/>
    <x v="21"/>
    <x v="0"/>
    <x v="9"/>
    <n v="368"/>
    <n v="1"/>
    <n v="3000"/>
    <n v="3000"/>
    <n v="2521"/>
    <n v="479"/>
  </r>
  <r>
    <x v="0"/>
    <x v="114"/>
    <x v="21"/>
    <x v="0"/>
    <x v="9"/>
    <n v="69"/>
    <n v="1"/>
    <n v="3000"/>
    <n v="3000"/>
    <n v="2521"/>
    <n v="479"/>
  </r>
  <r>
    <x v="0"/>
    <x v="115"/>
    <x v="22"/>
    <x v="0"/>
    <x v="1"/>
    <n v="118"/>
    <n v="1"/>
    <n v="3500"/>
    <n v="3500"/>
    <n v="2941"/>
    <n v="559"/>
  </r>
  <r>
    <x v="0"/>
    <x v="115"/>
    <x v="22"/>
    <x v="0"/>
    <x v="1"/>
    <n v="233"/>
    <n v="1"/>
    <n v="15990"/>
    <n v="15990"/>
    <n v="13437"/>
    <n v="2553"/>
  </r>
  <r>
    <x v="0"/>
    <x v="116"/>
    <x v="22"/>
    <x v="0"/>
    <x v="5"/>
    <n v="117"/>
    <n v="1"/>
    <n v="3500"/>
    <n v="3500"/>
    <n v="2941"/>
    <n v="559"/>
  </r>
  <r>
    <x v="0"/>
    <x v="117"/>
    <x v="23"/>
    <x v="0"/>
    <x v="17"/>
    <n v="324"/>
    <n v="1"/>
    <n v="10500"/>
    <n v="10500"/>
    <n v="8824"/>
    <n v="1676"/>
  </r>
  <r>
    <x v="0"/>
    <x v="118"/>
    <x v="23"/>
    <x v="0"/>
    <x v="59"/>
    <n v="144"/>
    <n v="1"/>
    <n v="6000"/>
    <n v="6000"/>
    <n v="5042"/>
    <n v="958"/>
  </r>
  <r>
    <x v="0"/>
    <x v="118"/>
    <x v="23"/>
    <x v="0"/>
    <x v="59"/>
    <n v="329"/>
    <n v="1"/>
    <n v="5500"/>
    <n v="5500"/>
    <n v="4622"/>
    <n v="878"/>
  </r>
  <r>
    <x v="0"/>
    <x v="118"/>
    <x v="23"/>
    <x v="0"/>
    <x v="59"/>
    <n v="354"/>
    <n v="1"/>
    <n v="1800"/>
    <n v="1800"/>
    <n v="1513"/>
    <n v="287"/>
  </r>
  <r>
    <x v="0"/>
    <x v="118"/>
    <x v="23"/>
    <x v="0"/>
    <x v="59"/>
    <n v="68"/>
    <n v="2"/>
    <n v="2200"/>
    <n v="4400"/>
    <n v="3697"/>
    <n v="703"/>
  </r>
  <r>
    <x v="0"/>
    <x v="119"/>
    <x v="24"/>
    <x v="0"/>
    <x v="36"/>
    <n v="144"/>
    <n v="1"/>
    <n v="6000"/>
    <n v="6000"/>
    <n v="5042"/>
    <n v="958"/>
  </r>
  <r>
    <x v="0"/>
    <x v="120"/>
    <x v="24"/>
    <x v="0"/>
    <x v="5"/>
    <n v="6"/>
    <n v="2"/>
    <n v="16400"/>
    <n v="32800"/>
    <n v="27563"/>
    <n v="5237"/>
  </r>
  <r>
    <x v="0"/>
    <x v="121"/>
    <x v="24"/>
    <x v="0"/>
    <x v="73"/>
    <n v="26"/>
    <n v="1"/>
    <n v="3400"/>
    <n v="3400"/>
    <n v="2857"/>
    <n v="543"/>
  </r>
  <r>
    <x v="0"/>
    <x v="122"/>
    <x v="24"/>
    <x v="0"/>
    <x v="8"/>
    <n v="144"/>
    <n v="1"/>
    <n v="6000"/>
    <n v="6000"/>
    <n v="5042"/>
    <n v="958"/>
  </r>
  <r>
    <x v="0"/>
    <x v="123"/>
    <x v="24"/>
    <x v="0"/>
    <x v="81"/>
    <n v="329"/>
    <n v="1"/>
    <n v="5500"/>
    <n v="5500"/>
    <n v="4622"/>
    <n v="878"/>
  </r>
  <r>
    <x v="0"/>
    <x v="123"/>
    <x v="24"/>
    <x v="0"/>
    <x v="81"/>
    <n v="261"/>
    <n v="1"/>
    <n v="7000"/>
    <n v="7000"/>
    <n v="5882"/>
    <n v="1118"/>
  </r>
  <r>
    <x v="0"/>
    <x v="124"/>
    <x v="25"/>
    <x v="0"/>
    <x v="7"/>
    <n v="135"/>
    <n v="3"/>
    <n v="3000"/>
    <n v="9000"/>
    <n v="7563"/>
    <n v="1437"/>
  </r>
  <r>
    <x v="0"/>
    <x v="125"/>
    <x v="25"/>
    <x v="0"/>
    <x v="82"/>
    <n v="144"/>
    <n v="1"/>
    <n v="6000"/>
    <n v="6000"/>
    <n v="5042"/>
    <n v="958"/>
  </r>
  <r>
    <x v="0"/>
    <x v="126"/>
    <x v="25"/>
    <x v="0"/>
    <x v="12"/>
    <n v="369"/>
    <n v="2"/>
    <n v="21000"/>
    <n v="42000"/>
    <n v="35294"/>
    <n v="6706"/>
  </r>
  <r>
    <x v="0"/>
    <x v="127"/>
    <x v="26"/>
    <x v="0"/>
    <x v="83"/>
    <n v="144"/>
    <n v="1"/>
    <n v="6000"/>
    <n v="6000"/>
    <n v="5042"/>
    <n v="958"/>
  </r>
  <r>
    <x v="0"/>
    <x v="127"/>
    <x v="26"/>
    <x v="0"/>
    <x v="83"/>
    <n v="329"/>
    <n v="1"/>
    <n v="5500"/>
    <n v="5500"/>
    <n v="4622"/>
    <n v="878"/>
  </r>
  <r>
    <x v="0"/>
    <x v="128"/>
    <x v="26"/>
    <x v="0"/>
    <x v="84"/>
    <n v="324"/>
    <n v="1"/>
    <n v="10500"/>
    <n v="10500"/>
    <n v="8824"/>
    <n v="1676"/>
  </r>
  <r>
    <x v="0"/>
    <x v="128"/>
    <x v="26"/>
    <x v="0"/>
    <x v="84"/>
    <n v="135"/>
    <n v="2"/>
    <n v="2000"/>
    <n v="4000"/>
    <n v="3361"/>
    <n v="639"/>
  </r>
  <r>
    <x v="0"/>
    <x v="129"/>
    <x v="26"/>
    <x v="0"/>
    <x v="0"/>
    <n v="97"/>
    <n v="1"/>
    <n v="2000"/>
    <n v="2000"/>
    <n v="1681"/>
    <n v="319"/>
  </r>
  <r>
    <x v="0"/>
    <x v="129"/>
    <x v="26"/>
    <x v="0"/>
    <x v="0"/>
    <n v="124"/>
    <n v="1"/>
    <n v="4000"/>
    <n v="4000"/>
    <n v="3361"/>
    <n v="639"/>
  </r>
  <r>
    <x v="0"/>
    <x v="130"/>
    <x v="26"/>
    <x v="0"/>
    <x v="1"/>
    <n v="265"/>
    <n v="1"/>
    <n v="10000"/>
    <n v="10000"/>
    <n v="8403"/>
    <n v="1597"/>
  </r>
  <r>
    <x v="0"/>
    <x v="130"/>
    <x v="26"/>
    <x v="0"/>
    <x v="1"/>
    <n v="361"/>
    <n v="1"/>
    <n v="3500"/>
    <n v="3500"/>
    <n v="2941"/>
    <n v="559"/>
  </r>
  <r>
    <x v="0"/>
    <x v="131"/>
    <x v="26"/>
    <x v="0"/>
    <x v="3"/>
    <n v="230"/>
    <n v="1"/>
    <n v="15500"/>
    <n v="15500"/>
    <n v="13025"/>
    <n v="2475"/>
  </r>
  <r>
    <x v="0"/>
    <x v="131"/>
    <x v="26"/>
    <x v="0"/>
    <x v="3"/>
    <n v="275"/>
    <n v="1"/>
    <n v="6900"/>
    <n v="6900"/>
    <n v="5798"/>
    <n v="1102"/>
  </r>
  <r>
    <x v="0"/>
    <x v="131"/>
    <x v="26"/>
    <x v="0"/>
    <x v="3"/>
    <n v="259"/>
    <n v="1"/>
    <n v="4500"/>
    <n v="4500"/>
    <n v="3782"/>
    <n v="718"/>
  </r>
  <r>
    <x v="0"/>
    <x v="131"/>
    <x v="26"/>
    <x v="0"/>
    <x v="3"/>
    <n v="369"/>
    <n v="1"/>
    <n v="10500"/>
    <n v="10500"/>
    <n v="8824"/>
    <n v="1676"/>
  </r>
  <r>
    <x v="0"/>
    <x v="132"/>
    <x v="26"/>
    <x v="0"/>
    <x v="4"/>
    <n v="231"/>
    <n v="1"/>
    <n v="19990"/>
    <n v="19990"/>
    <n v="16798"/>
    <n v="3192"/>
  </r>
  <r>
    <x v="0"/>
    <x v="132"/>
    <x v="26"/>
    <x v="0"/>
    <x v="4"/>
    <n v="225"/>
    <n v="1"/>
    <n v="19500"/>
    <n v="19500"/>
    <n v="16387"/>
    <n v="3113"/>
  </r>
  <r>
    <x v="0"/>
    <x v="132"/>
    <x v="26"/>
    <x v="0"/>
    <x v="4"/>
    <n v="168"/>
    <n v="1"/>
    <n v="1500"/>
    <n v="1500"/>
    <n v="1261"/>
    <n v="239"/>
  </r>
  <r>
    <x v="0"/>
    <x v="132"/>
    <x v="26"/>
    <x v="0"/>
    <x v="4"/>
    <n v="98"/>
    <n v="1"/>
    <n v="3500"/>
    <n v="3500"/>
    <n v="2941"/>
    <n v="559"/>
  </r>
  <r>
    <x v="0"/>
    <x v="132"/>
    <x v="26"/>
    <x v="0"/>
    <x v="4"/>
    <n v="165"/>
    <n v="1"/>
    <n v="2000"/>
    <n v="2000"/>
    <n v="1681"/>
    <n v="319"/>
  </r>
  <r>
    <x v="0"/>
    <x v="132"/>
    <x v="26"/>
    <x v="0"/>
    <x v="4"/>
    <n v="155"/>
    <n v="1"/>
    <n v="1650"/>
    <n v="1650"/>
    <n v="1387"/>
    <n v="263"/>
  </r>
  <r>
    <x v="0"/>
    <x v="132"/>
    <x v="26"/>
    <x v="0"/>
    <x v="4"/>
    <n v="144"/>
    <n v="1"/>
    <n v="6000"/>
    <n v="6000"/>
    <n v="5042"/>
    <n v="958"/>
  </r>
  <r>
    <x v="0"/>
    <x v="132"/>
    <x v="26"/>
    <x v="0"/>
    <x v="4"/>
    <n v="117"/>
    <n v="1"/>
    <n v="3500"/>
    <n v="3500"/>
    <n v="2941"/>
    <n v="559"/>
  </r>
  <r>
    <x v="0"/>
    <x v="133"/>
    <x v="26"/>
    <x v="0"/>
    <x v="74"/>
    <n v="144"/>
    <n v="1"/>
    <n v="6000"/>
    <n v="6000"/>
    <n v="5042"/>
    <n v="958"/>
  </r>
  <r>
    <x v="0"/>
    <x v="134"/>
    <x v="26"/>
    <x v="0"/>
    <x v="24"/>
    <n v="230"/>
    <n v="1"/>
    <n v="15500"/>
    <n v="15500"/>
    <n v="13025"/>
    <n v="2475"/>
  </r>
  <r>
    <x v="0"/>
    <x v="135"/>
    <x v="26"/>
    <x v="0"/>
    <x v="85"/>
    <n v="144"/>
    <n v="1"/>
    <n v="6000"/>
    <n v="6000"/>
    <n v="5042"/>
    <n v="958"/>
  </r>
  <r>
    <x v="0"/>
    <x v="136"/>
    <x v="26"/>
    <x v="0"/>
    <x v="64"/>
    <n v="144"/>
    <n v="1"/>
    <n v="6000"/>
    <n v="6000"/>
    <n v="5042"/>
    <n v="958"/>
  </r>
  <r>
    <x v="0"/>
    <x v="136"/>
    <x v="26"/>
    <x v="0"/>
    <x v="64"/>
    <n v="329"/>
    <n v="1"/>
    <n v="5500"/>
    <n v="5500"/>
    <n v="4622"/>
    <n v="878"/>
  </r>
  <r>
    <x v="0"/>
    <x v="137"/>
    <x v="27"/>
    <x v="0"/>
    <x v="5"/>
    <n v="191"/>
    <n v="1"/>
    <n v="2500"/>
    <n v="2500"/>
    <n v="2101"/>
    <n v="399"/>
  </r>
  <r>
    <x v="0"/>
    <x v="138"/>
    <x v="27"/>
    <x v="0"/>
    <x v="86"/>
    <n v="120"/>
    <n v="2"/>
    <n v="3400"/>
    <n v="6800"/>
    <n v="5714"/>
    <n v="1086"/>
  </r>
  <r>
    <x v="0"/>
    <x v="139"/>
    <x v="27"/>
    <x v="0"/>
    <x v="87"/>
    <n v="144"/>
    <n v="1"/>
    <n v="6000"/>
    <n v="6000"/>
    <n v="5042"/>
    <n v="958"/>
  </r>
  <r>
    <x v="0"/>
    <x v="140"/>
    <x v="27"/>
    <x v="0"/>
    <x v="63"/>
    <n v="117"/>
    <n v="1"/>
    <n v="3500"/>
    <n v="3500"/>
    <n v="2941"/>
    <n v="559"/>
  </r>
  <r>
    <x v="0"/>
    <x v="141"/>
    <x v="27"/>
    <x v="0"/>
    <x v="9"/>
    <n v="329"/>
    <n v="1"/>
    <n v="5500"/>
    <n v="5500"/>
    <n v="4622"/>
    <n v="878"/>
  </r>
  <r>
    <x v="0"/>
    <x v="141"/>
    <x v="27"/>
    <x v="0"/>
    <x v="9"/>
    <n v="383"/>
    <n v="1"/>
    <n v="2400"/>
    <n v="2400"/>
    <n v="2017"/>
    <n v="383"/>
  </r>
  <r>
    <x v="0"/>
    <x v="141"/>
    <x v="27"/>
    <x v="0"/>
    <x v="9"/>
    <n v="377"/>
    <n v="1"/>
    <n v="1600"/>
    <n v="1600"/>
    <n v="1345"/>
    <n v="255"/>
  </r>
  <r>
    <x v="0"/>
    <x v="142"/>
    <x v="28"/>
    <x v="0"/>
    <x v="88"/>
    <n v="143"/>
    <n v="1"/>
    <n v="6300"/>
    <n v="6300"/>
    <n v="5294"/>
    <n v="1006"/>
  </r>
  <r>
    <x v="0"/>
    <x v="143"/>
    <x v="28"/>
    <x v="0"/>
    <x v="36"/>
    <n v="143"/>
    <n v="1"/>
    <n v="6300"/>
    <n v="6300"/>
    <n v="5294"/>
    <n v="1006"/>
  </r>
  <r>
    <x v="0"/>
    <x v="143"/>
    <x v="28"/>
    <x v="0"/>
    <x v="36"/>
    <n v="259"/>
    <n v="1"/>
    <n v="4500"/>
    <n v="4500"/>
    <n v="3782"/>
    <n v="718"/>
  </r>
  <r>
    <x v="0"/>
    <x v="144"/>
    <x v="28"/>
    <x v="0"/>
    <x v="89"/>
    <n v="230"/>
    <n v="1"/>
    <n v="15500"/>
    <n v="15500"/>
    <n v="13025"/>
    <n v="2475"/>
  </r>
  <r>
    <x v="0"/>
    <x v="144"/>
    <x v="28"/>
    <x v="0"/>
    <x v="89"/>
    <n v="370"/>
    <n v="1"/>
    <n v="4000"/>
    <n v="4000"/>
    <n v="3361"/>
    <n v="639"/>
  </r>
  <r>
    <x v="0"/>
    <x v="144"/>
    <x v="28"/>
    <x v="0"/>
    <x v="89"/>
    <n v="274"/>
    <n v="1"/>
    <n v="7500"/>
    <n v="7500"/>
    <n v="6303"/>
    <n v="1197"/>
  </r>
  <r>
    <x v="0"/>
    <x v="144"/>
    <x v="28"/>
    <x v="0"/>
    <x v="89"/>
    <n v="98"/>
    <n v="1"/>
    <n v="3500"/>
    <n v="3500"/>
    <n v="2941"/>
    <n v="559"/>
  </r>
  <r>
    <x v="0"/>
    <x v="145"/>
    <x v="28"/>
    <x v="0"/>
    <x v="90"/>
    <n v="126"/>
    <n v="1"/>
    <n v="9000"/>
    <n v="9000"/>
    <n v="7563"/>
    <n v="1437"/>
  </r>
  <r>
    <x v="0"/>
    <x v="145"/>
    <x v="28"/>
    <x v="0"/>
    <x v="90"/>
    <n v="288"/>
    <n v="1"/>
    <n v="8000"/>
    <n v="8000"/>
    <n v="6723"/>
    <n v="1277"/>
  </r>
  <r>
    <x v="0"/>
    <x v="146"/>
    <x v="28"/>
    <x v="0"/>
    <x v="91"/>
    <n v="324"/>
    <n v="2"/>
    <n v="21000"/>
    <n v="42000"/>
    <n v="35294"/>
    <n v="6706"/>
  </r>
  <r>
    <x v="0"/>
    <x v="146"/>
    <x v="28"/>
    <x v="0"/>
    <x v="91"/>
    <n v="263"/>
    <n v="1"/>
    <n v="8000"/>
    <n v="8000"/>
    <n v="6723"/>
    <n v="1277"/>
  </r>
  <r>
    <x v="0"/>
    <x v="146"/>
    <x v="28"/>
    <x v="0"/>
    <x v="91"/>
    <n v="7"/>
    <n v="1"/>
    <n v="7000"/>
    <n v="7000"/>
    <n v="5882"/>
    <n v="1118"/>
  </r>
  <r>
    <x v="0"/>
    <x v="147"/>
    <x v="28"/>
    <x v="0"/>
    <x v="34"/>
    <n v="143"/>
    <n v="1"/>
    <n v="6300"/>
    <n v="6300"/>
    <n v="5294"/>
    <n v="1006"/>
  </r>
  <r>
    <x v="0"/>
    <x v="147"/>
    <x v="28"/>
    <x v="0"/>
    <x v="34"/>
    <n v="329"/>
    <n v="1"/>
    <n v="5500"/>
    <n v="5500"/>
    <n v="4622"/>
    <n v="878"/>
  </r>
  <r>
    <x v="0"/>
    <x v="148"/>
    <x v="28"/>
    <x v="0"/>
    <x v="8"/>
    <n v="324"/>
    <n v="1"/>
    <n v="10500"/>
    <n v="10500"/>
    <n v="8824"/>
    <n v="1676"/>
  </r>
  <r>
    <x v="0"/>
    <x v="148"/>
    <x v="28"/>
    <x v="0"/>
    <x v="8"/>
    <n v="180"/>
    <n v="1"/>
    <n v="4000"/>
    <n v="4000"/>
    <n v="3361"/>
    <n v="639"/>
  </r>
  <r>
    <x v="0"/>
    <x v="149"/>
    <x v="28"/>
    <x v="0"/>
    <x v="92"/>
    <n v="122"/>
    <n v="1"/>
    <n v="6000"/>
    <n v="6000"/>
    <n v="5042"/>
    <n v="958"/>
  </r>
  <r>
    <x v="0"/>
    <x v="150"/>
    <x v="28"/>
    <x v="0"/>
    <x v="93"/>
    <n v="303"/>
    <n v="1"/>
    <n v="2400"/>
    <n v="2400"/>
    <n v="2017"/>
    <n v="383"/>
  </r>
  <r>
    <x v="0"/>
    <x v="151"/>
    <x v="29"/>
    <x v="0"/>
    <x v="77"/>
    <n v="367"/>
    <n v="2"/>
    <n v="3000"/>
    <n v="6000"/>
    <n v="5042"/>
    <n v="958"/>
  </r>
  <r>
    <x v="0"/>
    <x v="151"/>
    <x v="29"/>
    <x v="0"/>
    <x v="77"/>
    <n v="118"/>
    <n v="1"/>
    <n v="3500"/>
    <n v="3500"/>
    <n v="2941"/>
    <n v="559"/>
  </r>
  <r>
    <x v="0"/>
    <x v="151"/>
    <x v="29"/>
    <x v="0"/>
    <x v="77"/>
    <n v="125"/>
    <n v="1"/>
    <n v="1700"/>
    <n v="1700"/>
    <n v="1429"/>
    <n v="271"/>
  </r>
  <r>
    <x v="0"/>
    <x v="152"/>
    <x v="29"/>
    <x v="0"/>
    <x v="19"/>
    <n v="120"/>
    <n v="2"/>
    <n v="3400"/>
    <n v="6800"/>
    <n v="5714"/>
    <n v="1086"/>
  </r>
  <r>
    <x v="0"/>
    <x v="153"/>
    <x v="29"/>
    <x v="0"/>
    <x v="94"/>
    <n v="167"/>
    <n v="2"/>
    <n v="16400"/>
    <n v="32800"/>
    <n v="27563"/>
    <n v="5237"/>
  </r>
  <r>
    <x v="0"/>
    <x v="154"/>
    <x v="29"/>
    <x v="0"/>
    <x v="74"/>
    <n v="324"/>
    <n v="2"/>
    <n v="21000"/>
    <n v="42000"/>
    <n v="35294"/>
    <n v="6706"/>
  </r>
  <r>
    <x v="0"/>
    <x v="154"/>
    <x v="29"/>
    <x v="0"/>
    <x v="74"/>
    <n v="120"/>
    <n v="1"/>
    <n v="1700"/>
    <n v="1700"/>
    <n v="1429"/>
    <n v="271"/>
  </r>
  <r>
    <x v="0"/>
    <x v="154"/>
    <x v="29"/>
    <x v="0"/>
    <x v="74"/>
    <n v="379"/>
    <n v="2"/>
    <n v="4000"/>
    <n v="8000"/>
    <n v="6723"/>
    <n v="1277"/>
  </r>
  <r>
    <x v="0"/>
    <x v="154"/>
    <x v="29"/>
    <x v="0"/>
    <x v="74"/>
    <n v="125"/>
    <n v="1"/>
    <n v="1700"/>
    <n v="1700"/>
    <n v="1429"/>
    <n v="271"/>
  </r>
  <r>
    <x v="0"/>
    <x v="154"/>
    <x v="29"/>
    <x v="0"/>
    <x v="74"/>
    <n v="25"/>
    <n v="1"/>
    <n v="1800"/>
    <n v="1800"/>
    <n v="1513"/>
    <n v="287"/>
  </r>
  <r>
    <x v="0"/>
    <x v="154"/>
    <x v="29"/>
    <x v="0"/>
    <x v="74"/>
    <n v="354"/>
    <n v="1"/>
    <n v="1800"/>
    <n v="1800"/>
    <n v="1513"/>
    <n v="287"/>
  </r>
  <r>
    <x v="0"/>
    <x v="155"/>
    <x v="29"/>
    <x v="0"/>
    <x v="95"/>
    <n v="230"/>
    <n v="1"/>
    <n v="15500"/>
    <n v="15500"/>
    <n v="13025"/>
    <n v="2475"/>
  </r>
  <r>
    <x v="0"/>
    <x v="155"/>
    <x v="29"/>
    <x v="0"/>
    <x v="95"/>
    <n v="368"/>
    <n v="1"/>
    <n v="3000"/>
    <n v="3000"/>
    <n v="2521"/>
    <n v="479"/>
  </r>
  <r>
    <x v="0"/>
    <x v="155"/>
    <x v="29"/>
    <x v="0"/>
    <x v="95"/>
    <n v="367"/>
    <n v="1"/>
    <n v="1500"/>
    <n v="1500"/>
    <n v="1261"/>
    <n v="239"/>
  </r>
  <r>
    <x v="0"/>
    <x v="155"/>
    <x v="29"/>
    <x v="0"/>
    <x v="95"/>
    <n v="274"/>
    <n v="1"/>
    <n v="7500"/>
    <n v="7500"/>
    <n v="6303"/>
    <n v="1197"/>
  </r>
  <r>
    <x v="0"/>
    <x v="156"/>
    <x v="29"/>
    <x v="0"/>
    <x v="45"/>
    <n v="324"/>
    <n v="1"/>
    <n v="10500"/>
    <n v="10500"/>
    <n v="8824"/>
    <n v="1676"/>
  </r>
  <r>
    <x v="0"/>
    <x v="156"/>
    <x v="29"/>
    <x v="0"/>
    <x v="45"/>
    <n v="143"/>
    <n v="1"/>
    <n v="6300"/>
    <n v="6300"/>
    <n v="5294"/>
    <n v="1006"/>
  </r>
  <r>
    <x v="0"/>
    <x v="157"/>
    <x v="29"/>
    <x v="0"/>
    <x v="87"/>
    <n v="143"/>
    <n v="1"/>
    <n v="6300"/>
    <n v="6300"/>
    <n v="5294"/>
    <n v="1006"/>
  </r>
  <r>
    <x v="0"/>
    <x v="157"/>
    <x v="29"/>
    <x v="0"/>
    <x v="87"/>
    <n v="112"/>
    <n v="1"/>
    <n v="300"/>
    <n v="300"/>
    <n v="252"/>
    <n v="48"/>
  </r>
  <r>
    <x v="0"/>
    <x v="157"/>
    <x v="29"/>
    <x v="0"/>
    <x v="87"/>
    <n v="144"/>
    <n v="-1"/>
    <n v="-6000"/>
    <n v="6000"/>
    <n v="5042"/>
    <n v="958"/>
  </r>
  <r>
    <x v="0"/>
    <x v="158"/>
    <x v="29"/>
    <x v="0"/>
    <x v="25"/>
    <n v="324"/>
    <n v="1"/>
    <n v="10500"/>
    <n v="10500"/>
    <n v="8824"/>
    <n v="1676"/>
  </r>
  <r>
    <x v="0"/>
    <x v="158"/>
    <x v="29"/>
    <x v="0"/>
    <x v="25"/>
    <n v="276"/>
    <n v="1"/>
    <n v="8000"/>
    <n v="8000"/>
    <n v="6723"/>
    <n v="1277"/>
  </r>
  <r>
    <x v="0"/>
    <x v="158"/>
    <x v="29"/>
    <x v="0"/>
    <x v="25"/>
    <n v="162"/>
    <n v="1"/>
    <n v="1600"/>
    <n v="1600"/>
    <n v="1345"/>
    <n v="255"/>
  </r>
  <r>
    <x v="0"/>
    <x v="159"/>
    <x v="29"/>
    <x v="0"/>
    <x v="9"/>
    <n v="332"/>
    <n v="1"/>
    <n v="2600"/>
    <n v="2600"/>
    <n v="2185"/>
    <n v="415"/>
  </r>
  <r>
    <x v="0"/>
    <x v="159"/>
    <x v="29"/>
    <x v="0"/>
    <x v="9"/>
    <n v="114"/>
    <n v="1"/>
    <n v="1600"/>
    <n v="1600"/>
    <n v="1345"/>
    <n v="255"/>
  </r>
  <r>
    <x v="0"/>
    <x v="159"/>
    <x v="29"/>
    <x v="0"/>
    <x v="9"/>
    <n v="69"/>
    <n v="1"/>
    <n v="3000"/>
    <n v="3000"/>
    <n v="2521"/>
    <n v="479"/>
  </r>
  <r>
    <x v="0"/>
    <x v="160"/>
    <x v="30"/>
    <x v="0"/>
    <x v="88"/>
    <n v="263"/>
    <n v="1"/>
    <n v="8000"/>
    <n v="8000"/>
    <n v="6723"/>
    <n v="1277"/>
  </r>
  <r>
    <x v="0"/>
    <x v="161"/>
    <x v="30"/>
    <x v="0"/>
    <x v="2"/>
    <n v="230"/>
    <n v="1"/>
    <n v="15500"/>
    <n v="15500"/>
    <n v="13025"/>
    <n v="2475"/>
  </r>
  <r>
    <x v="0"/>
    <x v="162"/>
    <x v="30"/>
    <x v="0"/>
    <x v="5"/>
    <n v="324"/>
    <n v="1"/>
    <n v="10500"/>
    <n v="10500"/>
    <n v="8824"/>
    <n v="1676"/>
  </r>
  <r>
    <x v="0"/>
    <x v="163"/>
    <x v="30"/>
    <x v="0"/>
    <x v="96"/>
    <n v="143"/>
    <n v="1"/>
    <n v="6300"/>
    <n v="6300"/>
    <n v="5294"/>
    <n v="1006"/>
  </r>
  <r>
    <x v="0"/>
    <x v="164"/>
    <x v="30"/>
    <x v="0"/>
    <x v="59"/>
    <n v="143"/>
    <n v="1"/>
    <n v="6300"/>
    <n v="6300"/>
    <n v="5294"/>
    <n v="1006"/>
  </r>
  <r>
    <x v="0"/>
    <x v="164"/>
    <x v="30"/>
    <x v="0"/>
    <x v="59"/>
    <n v="230"/>
    <n v="1"/>
    <n v="15500"/>
    <n v="15500"/>
    <n v="13025"/>
    <n v="2475"/>
  </r>
  <r>
    <x v="0"/>
    <x v="164"/>
    <x v="30"/>
    <x v="0"/>
    <x v="59"/>
    <n v="361"/>
    <n v="1"/>
    <n v="3500"/>
    <n v="3500"/>
    <n v="2941"/>
    <n v="559"/>
  </r>
  <r>
    <x v="0"/>
    <x v="164"/>
    <x v="30"/>
    <x v="0"/>
    <x v="59"/>
    <n v="329"/>
    <n v="1"/>
    <n v="5500"/>
    <n v="5500"/>
    <n v="4622"/>
    <n v="878"/>
  </r>
  <r>
    <x v="0"/>
    <x v="164"/>
    <x v="30"/>
    <x v="0"/>
    <x v="59"/>
    <n v="118"/>
    <n v="1"/>
    <n v="3500"/>
    <n v="3500"/>
    <n v="2941"/>
    <n v="559"/>
  </r>
  <r>
    <x v="0"/>
    <x v="164"/>
    <x v="30"/>
    <x v="0"/>
    <x v="59"/>
    <n v="356"/>
    <n v="1"/>
    <n v="3000"/>
    <n v="3000"/>
    <n v="2521"/>
    <n v="479"/>
  </r>
  <r>
    <x v="0"/>
    <x v="165"/>
    <x v="30"/>
    <x v="0"/>
    <x v="34"/>
    <n v="379"/>
    <n v="2"/>
    <n v="4000"/>
    <n v="8000"/>
    <n v="6723"/>
    <n v="1277"/>
  </r>
  <r>
    <x v="0"/>
    <x v="165"/>
    <x v="30"/>
    <x v="0"/>
    <x v="34"/>
    <n v="31"/>
    <n v="1"/>
    <n v="3400"/>
    <n v="3400"/>
    <n v="2857"/>
    <n v="543"/>
  </r>
  <r>
    <x v="0"/>
    <x v="166"/>
    <x v="30"/>
    <x v="0"/>
    <x v="25"/>
    <n v="122"/>
    <n v="1"/>
    <n v="6000"/>
    <n v="6000"/>
    <n v="5042"/>
    <n v="958"/>
  </r>
  <r>
    <x v="0"/>
    <x v="167"/>
    <x v="30"/>
    <x v="0"/>
    <x v="26"/>
    <n v="97"/>
    <n v="1"/>
    <n v="2000"/>
    <n v="2000"/>
    <n v="1681"/>
    <n v="319"/>
  </r>
  <r>
    <x v="0"/>
    <x v="167"/>
    <x v="30"/>
    <x v="0"/>
    <x v="26"/>
    <n v="118"/>
    <n v="1"/>
    <n v="3500"/>
    <n v="3500"/>
    <n v="2941"/>
    <n v="559"/>
  </r>
  <r>
    <x v="0"/>
    <x v="167"/>
    <x v="30"/>
    <x v="0"/>
    <x v="26"/>
    <n v="165"/>
    <n v="1"/>
    <n v="2000"/>
    <n v="2000"/>
    <n v="1681"/>
    <n v="319"/>
  </r>
  <r>
    <x v="0"/>
    <x v="167"/>
    <x v="30"/>
    <x v="0"/>
    <x v="26"/>
    <n v="329"/>
    <n v="1"/>
    <n v="5500"/>
    <n v="5500"/>
    <n v="4622"/>
    <n v="878"/>
  </r>
  <r>
    <x v="0"/>
    <x v="167"/>
    <x v="30"/>
    <x v="0"/>
    <x v="26"/>
    <n v="167"/>
    <n v="1"/>
    <n v="8200"/>
    <n v="8200"/>
    <n v="6891"/>
    <n v="1309"/>
  </r>
  <r>
    <x v="0"/>
    <x v="168"/>
    <x v="31"/>
    <x v="0"/>
    <x v="41"/>
    <n v="143"/>
    <n v="1"/>
    <n v="6300"/>
    <n v="6300"/>
    <n v="5294"/>
    <n v="1006"/>
  </r>
  <r>
    <x v="0"/>
    <x v="168"/>
    <x v="31"/>
    <x v="0"/>
    <x v="41"/>
    <n v="135"/>
    <n v="1"/>
    <n v="1000"/>
    <n v="1000"/>
    <n v="840"/>
    <n v="160"/>
  </r>
  <r>
    <x v="0"/>
    <x v="169"/>
    <x v="31"/>
    <x v="0"/>
    <x v="97"/>
    <n v="329"/>
    <n v="1"/>
    <n v="5500"/>
    <n v="5500"/>
    <n v="4622"/>
    <n v="878"/>
  </r>
  <r>
    <x v="0"/>
    <x v="169"/>
    <x v="31"/>
    <x v="0"/>
    <x v="97"/>
    <n v="120"/>
    <n v="1"/>
    <n v="1700"/>
    <n v="1700"/>
    <n v="1429"/>
    <n v="271"/>
  </r>
  <r>
    <x v="0"/>
    <x v="170"/>
    <x v="31"/>
    <x v="0"/>
    <x v="5"/>
    <n v="324"/>
    <n v="1"/>
    <n v="10500"/>
    <n v="10500"/>
    <n v="8824"/>
    <n v="1676"/>
  </r>
  <r>
    <x v="0"/>
    <x v="171"/>
    <x v="31"/>
    <x v="0"/>
    <x v="98"/>
    <n v="324"/>
    <n v="1"/>
    <n v="10500"/>
    <n v="10500"/>
    <n v="8824"/>
    <n v="1676"/>
  </r>
  <r>
    <x v="0"/>
    <x v="171"/>
    <x v="31"/>
    <x v="0"/>
    <x v="98"/>
    <n v="97"/>
    <n v="1"/>
    <n v="2000"/>
    <n v="2000"/>
    <n v="1681"/>
    <n v="319"/>
  </r>
  <r>
    <x v="0"/>
    <x v="172"/>
    <x v="31"/>
    <x v="0"/>
    <x v="99"/>
    <n v="143"/>
    <n v="1"/>
    <n v="6300"/>
    <n v="6300"/>
    <n v="5294"/>
    <n v="1006"/>
  </r>
  <r>
    <x v="0"/>
    <x v="173"/>
    <x v="31"/>
    <x v="0"/>
    <x v="7"/>
    <n v="231"/>
    <n v="1"/>
    <n v="19990"/>
    <n v="19990"/>
    <n v="16798"/>
    <n v="3192"/>
  </r>
  <r>
    <x v="0"/>
    <x v="173"/>
    <x v="31"/>
    <x v="0"/>
    <x v="7"/>
    <n v="57"/>
    <n v="1"/>
    <n v="4000"/>
    <n v="4000"/>
    <n v="3361"/>
    <n v="639"/>
  </r>
  <r>
    <x v="0"/>
    <x v="174"/>
    <x v="31"/>
    <x v="0"/>
    <x v="29"/>
    <n v="329"/>
    <n v="1"/>
    <n v="5500"/>
    <n v="5500"/>
    <n v="4622"/>
    <n v="878"/>
  </r>
  <r>
    <x v="0"/>
    <x v="174"/>
    <x v="31"/>
    <x v="0"/>
    <x v="29"/>
    <n v="191"/>
    <n v="2"/>
    <n v="5000"/>
    <n v="10000"/>
    <n v="8403"/>
    <n v="1597"/>
  </r>
  <r>
    <x v="0"/>
    <x v="174"/>
    <x v="31"/>
    <x v="0"/>
    <x v="29"/>
    <n v="368"/>
    <n v="2"/>
    <n v="6000"/>
    <n v="12000"/>
    <n v="10084"/>
    <n v="1916"/>
  </r>
  <r>
    <x v="0"/>
    <x v="175"/>
    <x v="32"/>
    <x v="0"/>
    <x v="100"/>
    <n v="165"/>
    <n v="1"/>
    <n v="2000"/>
    <n v="2000"/>
    <n v="1681"/>
    <n v="319"/>
  </r>
  <r>
    <x v="0"/>
    <x v="176"/>
    <x v="32"/>
    <x v="0"/>
    <x v="20"/>
    <n v="143"/>
    <n v="1"/>
    <n v="6300"/>
    <n v="6300"/>
    <n v="5294"/>
    <n v="1006"/>
  </r>
  <r>
    <x v="0"/>
    <x v="177"/>
    <x v="32"/>
    <x v="0"/>
    <x v="73"/>
    <n v="143"/>
    <n v="1"/>
    <n v="6300"/>
    <n v="6300"/>
    <n v="5294"/>
    <n v="1006"/>
  </r>
  <r>
    <x v="0"/>
    <x v="178"/>
    <x v="32"/>
    <x v="0"/>
    <x v="7"/>
    <n v="135"/>
    <n v="4"/>
    <n v="4000"/>
    <n v="16000"/>
    <n v="13445"/>
    <n v="2555"/>
  </r>
  <r>
    <x v="0"/>
    <x v="179"/>
    <x v="32"/>
    <x v="0"/>
    <x v="25"/>
    <n v="324"/>
    <n v="1"/>
    <n v="10500"/>
    <n v="10500"/>
    <n v="8824"/>
    <n v="1676"/>
  </r>
  <r>
    <x v="0"/>
    <x v="180"/>
    <x v="32"/>
    <x v="0"/>
    <x v="10"/>
    <n v="143"/>
    <n v="1"/>
    <n v="6300"/>
    <n v="6300"/>
    <n v="5294"/>
    <n v="1006"/>
  </r>
  <r>
    <x v="0"/>
    <x v="181"/>
    <x v="33"/>
    <x v="0"/>
    <x v="13"/>
    <n v="300"/>
    <n v="1"/>
    <n v="9000"/>
    <n v="9000"/>
    <n v="7563"/>
    <n v="1437"/>
  </r>
  <r>
    <x v="0"/>
    <x v="181"/>
    <x v="33"/>
    <x v="0"/>
    <x v="13"/>
    <n v="365"/>
    <n v="1"/>
    <n v="3200"/>
    <n v="3200"/>
    <n v="2689"/>
    <n v="511"/>
  </r>
  <r>
    <x v="0"/>
    <x v="181"/>
    <x v="33"/>
    <x v="0"/>
    <x v="13"/>
    <n v="97"/>
    <n v="1"/>
    <n v="2000"/>
    <n v="2000"/>
    <n v="1681"/>
    <n v="319"/>
  </r>
  <r>
    <x v="0"/>
    <x v="181"/>
    <x v="33"/>
    <x v="0"/>
    <x v="13"/>
    <n v="378"/>
    <n v="1"/>
    <n v="1200"/>
    <n v="1200"/>
    <n v="1008"/>
    <n v="192"/>
  </r>
  <r>
    <x v="0"/>
    <x v="182"/>
    <x v="33"/>
    <x v="0"/>
    <x v="26"/>
    <n v="31"/>
    <n v="1"/>
    <n v="3400"/>
    <n v="3400"/>
    <n v="2857"/>
    <n v="543"/>
  </r>
  <r>
    <x v="0"/>
    <x v="183"/>
    <x v="33"/>
    <x v="0"/>
    <x v="93"/>
    <n v="135"/>
    <n v="1"/>
    <n v="1000"/>
    <n v="1000"/>
    <n v="840"/>
    <n v="160"/>
  </r>
  <r>
    <x v="0"/>
    <x v="184"/>
    <x v="34"/>
    <x v="0"/>
    <x v="101"/>
    <n v="231"/>
    <n v="1"/>
    <n v="19990"/>
    <n v="19990"/>
    <n v="16798"/>
    <n v="3192"/>
  </r>
  <r>
    <x v="0"/>
    <x v="185"/>
    <x v="34"/>
    <x v="0"/>
    <x v="42"/>
    <n v="143"/>
    <n v="1"/>
    <n v="6300"/>
    <n v="6300"/>
    <n v="5294"/>
    <n v="1006"/>
  </r>
  <r>
    <x v="0"/>
    <x v="186"/>
    <x v="34"/>
    <x v="0"/>
    <x v="102"/>
    <n v="231"/>
    <n v="1"/>
    <n v="19990"/>
    <n v="19990"/>
    <n v="16798"/>
    <n v="3192"/>
  </r>
  <r>
    <x v="0"/>
    <x v="186"/>
    <x v="34"/>
    <x v="0"/>
    <x v="102"/>
    <n v="118"/>
    <n v="1"/>
    <n v="3500"/>
    <n v="3500"/>
    <n v="2941"/>
    <n v="559"/>
  </r>
  <r>
    <x v="0"/>
    <x v="187"/>
    <x v="34"/>
    <x v="0"/>
    <x v="37"/>
    <n v="143"/>
    <n v="1"/>
    <n v="6300"/>
    <n v="6300"/>
    <n v="5294"/>
    <n v="1006"/>
  </r>
  <r>
    <x v="0"/>
    <x v="188"/>
    <x v="34"/>
    <x v="0"/>
    <x v="5"/>
    <n v="236"/>
    <n v="1"/>
    <n v="18990"/>
    <n v="18990"/>
    <n v="15958"/>
    <n v="3032"/>
  </r>
  <r>
    <x v="0"/>
    <x v="189"/>
    <x v="34"/>
    <x v="0"/>
    <x v="103"/>
    <n v="293"/>
    <n v="1"/>
    <n v="9500"/>
    <n v="9500"/>
    <n v="7983"/>
    <n v="1517"/>
  </r>
  <r>
    <x v="0"/>
    <x v="189"/>
    <x v="34"/>
    <x v="0"/>
    <x v="103"/>
    <n v="365"/>
    <n v="1"/>
    <n v="3200"/>
    <n v="3200"/>
    <n v="2689"/>
    <n v="511"/>
  </r>
  <r>
    <x v="0"/>
    <x v="189"/>
    <x v="34"/>
    <x v="0"/>
    <x v="103"/>
    <n v="166"/>
    <n v="2"/>
    <n v="3200"/>
    <n v="6400"/>
    <n v="5378"/>
    <n v="1022"/>
  </r>
  <r>
    <x v="0"/>
    <x v="189"/>
    <x v="34"/>
    <x v="0"/>
    <x v="103"/>
    <n v="125"/>
    <n v="1"/>
    <n v="1700"/>
    <n v="1700"/>
    <n v="1429"/>
    <n v="271"/>
  </r>
  <r>
    <x v="0"/>
    <x v="190"/>
    <x v="34"/>
    <x v="0"/>
    <x v="104"/>
    <n v="143"/>
    <n v="2"/>
    <n v="12600"/>
    <n v="25200"/>
    <n v="21176"/>
    <n v="4024"/>
  </r>
  <r>
    <x v="0"/>
    <x v="191"/>
    <x v="34"/>
    <x v="0"/>
    <x v="105"/>
    <n v="120"/>
    <n v="1"/>
    <n v="1700"/>
    <n v="1700"/>
    <n v="1429"/>
    <n v="271"/>
  </r>
  <r>
    <x v="0"/>
    <x v="192"/>
    <x v="34"/>
    <x v="0"/>
    <x v="106"/>
    <n v="143"/>
    <n v="1"/>
    <n v="6300"/>
    <n v="6300"/>
    <n v="5294"/>
    <n v="1006"/>
  </r>
  <r>
    <x v="0"/>
    <x v="193"/>
    <x v="34"/>
    <x v="0"/>
    <x v="107"/>
    <n v="230"/>
    <n v="1"/>
    <n v="15500"/>
    <n v="15500"/>
    <n v="13025"/>
    <n v="2475"/>
  </r>
  <r>
    <x v="0"/>
    <x v="193"/>
    <x v="34"/>
    <x v="0"/>
    <x v="107"/>
    <n v="369"/>
    <n v="1"/>
    <n v="10500"/>
    <n v="10500"/>
    <n v="8824"/>
    <n v="1676"/>
  </r>
  <r>
    <x v="0"/>
    <x v="194"/>
    <x v="34"/>
    <x v="0"/>
    <x v="27"/>
    <n v="143"/>
    <n v="1"/>
    <n v="6300"/>
    <n v="6300"/>
    <n v="5294"/>
    <n v="1006"/>
  </r>
  <r>
    <x v="0"/>
    <x v="195"/>
    <x v="34"/>
    <x v="0"/>
    <x v="61"/>
    <n v="383"/>
    <n v="1"/>
    <n v="2400"/>
    <n v="2400"/>
    <n v="2017"/>
    <n v="383"/>
  </r>
  <r>
    <x v="0"/>
    <x v="195"/>
    <x v="34"/>
    <x v="0"/>
    <x v="61"/>
    <n v="118"/>
    <n v="1"/>
    <n v="3500"/>
    <n v="3500"/>
    <n v="2941"/>
    <n v="559"/>
  </r>
  <r>
    <x v="0"/>
    <x v="196"/>
    <x v="34"/>
    <x v="0"/>
    <x v="108"/>
    <n v="288"/>
    <n v="1"/>
    <n v="8000"/>
    <n v="8000"/>
    <n v="6723"/>
    <n v="1277"/>
  </r>
  <r>
    <x v="0"/>
    <x v="197"/>
    <x v="35"/>
    <x v="1"/>
    <x v="17"/>
    <n v="324"/>
    <n v="1"/>
    <n v="10500"/>
    <n v="10500"/>
    <n v="8824"/>
    <n v="1676"/>
  </r>
  <r>
    <x v="0"/>
    <x v="198"/>
    <x v="35"/>
    <x v="0"/>
    <x v="56"/>
    <n v="143"/>
    <n v="2"/>
    <n v="12600"/>
    <n v="25200"/>
    <n v="21176"/>
    <n v="4024"/>
  </r>
  <r>
    <x v="0"/>
    <x v="199"/>
    <x v="35"/>
    <x v="0"/>
    <x v="109"/>
    <n v="231"/>
    <n v="1"/>
    <n v="19990"/>
    <n v="19990"/>
    <n v="16798"/>
    <n v="3192"/>
  </r>
  <r>
    <x v="0"/>
    <x v="200"/>
    <x v="35"/>
    <x v="1"/>
    <x v="110"/>
    <n v="99"/>
    <n v="2"/>
    <n v="3000"/>
    <n v="6000"/>
    <n v="5042"/>
    <n v="958"/>
  </r>
  <r>
    <x v="0"/>
    <x v="200"/>
    <x v="35"/>
    <x v="1"/>
    <x v="110"/>
    <n v="24"/>
    <n v="1"/>
    <n v="1650"/>
    <n v="1650"/>
    <n v="1387"/>
    <n v="263"/>
  </r>
  <r>
    <x v="0"/>
    <x v="200"/>
    <x v="35"/>
    <x v="1"/>
    <x v="110"/>
    <n v="32"/>
    <n v="1"/>
    <n v="6500"/>
    <n v="6500"/>
    <n v="5462"/>
    <n v="1038"/>
  </r>
  <r>
    <x v="0"/>
    <x v="200"/>
    <x v="35"/>
    <x v="1"/>
    <x v="110"/>
    <n v="152"/>
    <n v="2"/>
    <n v="8400"/>
    <n v="16800"/>
    <n v="14118"/>
    <n v="2682"/>
  </r>
  <r>
    <x v="0"/>
    <x v="200"/>
    <x v="35"/>
    <x v="1"/>
    <x v="110"/>
    <n v="288"/>
    <n v="1"/>
    <n v="8000"/>
    <n v="8000"/>
    <n v="6723"/>
    <n v="1277"/>
  </r>
  <r>
    <x v="0"/>
    <x v="200"/>
    <x v="35"/>
    <x v="1"/>
    <x v="110"/>
    <n v="126"/>
    <n v="1"/>
    <n v="9000"/>
    <n v="9000"/>
    <n v="7563"/>
    <n v="1437"/>
  </r>
  <r>
    <x v="0"/>
    <x v="200"/>
    <x v="35"/>
    <x v="1"/>
    <x v="110"/>
    <n v="120"/>
    <n v="1"/>
    <n v="1700"/>
    <n v="1700"/>
    <n v="1429"/>
    <n v="271"/>
  </r>
  <r>
    <x v="0"/>
    <x v="200"/>
    <x v="35"/>
    <x v="1"/>
    <x v="110"/>
    <n v="259"/>
    <n v="2"/>
    <n v="9000"/>
    <n v="18000"/>
    <n v="15126"/>
    <n v="2874"/>
  </r>
  <r>
    <x v="0"/>
    <x v="200"/>
    <x v="35"/>
    <x v="1"/>
    <x v="110"/>
    <n v="228"/>
    <n v="1"/>
    <n v="21500"/>
    <n v="21500"/>
    <n v="18067"/>
    <n v="3433"/>
  </r>
  <r>
    <x v="0"/>
    <x v="200"/>
    <x v="35"/>
    <x v="1"/>
    <x v="110"/>
    <n v="231"/>
    <n v="1"/>
    <n v="19990"/>
    <n v="19990"/>
    <n v="16798"/>
    <n v="3192"/>
  </r>
  <r>
    <x v="0"/>
    <x v="201"/>
    <x v="36"/>
    <x v="0"/>
    <x v="30"/>
    <n v="117"/>
    <n v="5"/>
    <n v="17500"/>
    <n v="87500"/>
    <n v="73529"/>
    <n v="13971"/>
  </r>
  <r>
    <x v="0"/>
    <x v="201"/>
    <x v="36"/>
    <x v="0"/>
    <x v="30"/>
    <n v="67"/>
    <n v="2"/>
    <n v="1300"/>
    <n v="2600"/>
    <n v="2185"/>
    <n v="415"/>
  </r>
  <r>
    <x v="0"/>
    <x v="201"/>
    <x v="36"/>
    <x v="0"/>
    <x v="30"/>
    <n v="69"/>
    <n v="2"/>
    <n v="6000"/>
    <n v="12000"/>
    <n v="10084"/>
    <n v="1916"/>
  </r>
  <r>
    <x v="0"/>
    <x v="201"/>
    <x v="36"/>
    <x v="0"/>
    <x v="30"/>
    <n v="231"/>
    <n v="1"/>
    <n v="19990"/>
    <n v="19990"/>
    <n v="16798"/>
    <n v="3192"/>
  </r>
  <r>
    <x v="0"/>
    <x v="201"/>
    <x v="36"/>
    <x v="0"/>
    <x v="30"/>
    <n v="368"/>
    <n v="2"/>
    <n v="6000"/>
    <n v="12000"/>
    <n v="10084"/>
    <n v="1916"/>
  </r>
  <r>
    <x v="0"/>
    <x v="201"/>
    <x v="36"/>
    <x v="0"/>
    <x v="30"/>
    <n v="95"/>
    <n v="1"/>
    <n v="2400"/>
    <n v="2400"/>
    <n v="2017"/>
    <n v="383"/>
  </r>
  <r>
    <x v="0"/>
    <x v="202"/>
    <x v="36"/>
    <x v="0"/>
    <x v="15"/>
    <n v="223"/>
    <n v="1"/>
    <n v="24000"/>
    <n v="24000"/>
    <n v="20168"/>
    <n v="3832"/>
  </r>
  <r>
    <x v="0"/>
    <x v="203"/>
    <x v="36"/>
    <x v="0"/>
    <x v="5"/>
    <n v="117"/>
    <n v="1"/>
    <n v="3500"/>
    <n v="3500"/>
    <n v="2941"/>
    <n v="559"/>
  </r>
  <r>
    <x v="0"/>
    <x v="204"/>
    <x v="36"/>
    <x v="0"/>
    <x v="21"/>
    <n v="143"/>
    <n v="1"/>
    <n v="6900"/>
    <n v="6900"/>
    <n v="5798"/>
    <n v="1102"/>
  </r>
  <r>
    <x v="0"/>
    <x v="205"/>
    <x v="36"/>
    <x v="0"/>
    <x v="26"/>
    <n v="143"/>
    <n v="1"/>
    <n v="6900"/>
    <n v="6900"/>
    <n v="5798"/>
    <n v="1102"/>
  </r>
  <r>
    <x v="0"/>
    <x v="206"/>
    <x v="36"/>
    <x v="0"/>
    <x v="111"/>
    <n v="329"/>
    <n v="1"/>
    <n v="5500"/>
    <n v="5500"/>
    <n v="4622"/>
    <n v="878"/>
  </r>
  <r>
    <x v="0"/>
    <x v="206"/>
    <x v="36"/>
    <x v="0"/>
    <x v="111"/>
    <n v="143"/>
    <n v="1"/>
    <n v="6300"/>
    <n v="6300"/>
    <n v="5294"/>
    <n v="1006"/>
  </r>
  <r>
    <x v="0"/>
    <x v="207"/>
    <x v="36"/>
    <x v="0"/>
    <x v="112"/>
    <n v="230"/>
    <n v="1"/>
    <n v="15500"/>
    <n v="15500"/>
    <n v="13025"/>
    <n v="2475"/>
  </r>
  <r>
    <x v="0"/>
    <x v="207"/>
    <x v="36"/>
    <x v="0"/>
    <x v="112"/>
    <n v="143"/>
    <n v="1"/>
    <n v="6900"/>
    <n v="6900"/>
    <n v="5798"/>
    <n v="1102"/>
  </r>
  <r>
    <x v="0"/>
    <x v="208"/>
    <x v="37"/>
    <x v="0"/>
    <x v="53"/>
    <n v="143"/>
    <n v="1"/>
    <n v="6300"/>
    <n v="6300"/>
    <n v="5294"/>
    <n v="1006"/>
  </r>
  <r>
    <x v="0"/>
    <x v="209"/>
    <x v="37"/>
    <x v="0"/>
    <x v="113"/>
    <n v="97"/>
    <n v="1"/>
    <n v="2000"/>
    <n v="2000"/>
    <n v="1681"/>
    <n v="319"/>
  </r>
  <r>
    <x v="0"/>
    <x v="209"/>
    <x v="37"/>
    <x v="0"/>
    <x v="113"/>
    <n v="117"/>
    <n v="2"/>
    <n v="7000"/>
    <n v="14000"/>
    <n v="11765"/>
    <n v="2235"/>
  </r>
  <r>
    <x v="0"/>
    <x v="209"/>
    <x v="37"/>
    <x v="0"/>
    <x v="113"/>
    <n v="382"/>
    <n v="2"/>
    <n v="5200"/>
    <n v="10400"/>
    <n v="8739"/>
    <n v="1661"/>
  </r>
  <r>
    <x v="0"/>
    <x v="209"/>
    <x v="37"/>
    <x v="0"/>
    <x v="113"/>
    <n v="370"/>
    <n v="1"/>
    <n v="4000"/>
    <n v="4000"/>
    <n v="3361"/>
    <n v="639"/>
  </r>
  <r>
    <x v="0"/>
    <x v="209"/>
    <x v="37"/>
    <x v="0"/>
    <x v="113"/>
    <n v="170"/>
    <n v="1"/>
    <n v="3600"/>
    <n v="3600"/>
    <n v="3025"/>
    <n v="575"/>
  </r>
  <r>
    <x v="0"/>
    <x v="210"/>
    <x v="37"/>
    <x v="0"/>
    <x v="114"/>
    <n v="167"/>
    <n v="1"/>
    <n v="8200"/>
    <n v="8200"/>
    <n v="6891"/>
    <n v="1309"/>
  </r>
  <r>
    <x v="0"/>
    <x v="211"/>
    <x v="37"/>
    <x v="0"/>
    <x v="115"/>
    <n v="167"/>
    <n v="2"/>
    <n v="16400"/>
    <n v="32800"/>
    <n v="27563"/>
    <n v="5237"/>
  </r>
  <r>
    <x v="0"/>
    <x v="212"/>
    <x v="37"/>
    <x v="0"/>
    <x v="116"/>
    <n v="386"/>
    <n v="1"/>
    <n v="2700"/>
    <n v="2700"/>
    <n v="2269"/>
    <n v="431"/>
  </r>
  <r>
    <x v="0"/>
    <x v="213"/>
    <x v="38"/>
    <x v="0"/>
    <x v="55"/>
    <n v="143"/>
    <n v="1"/>
    <n v="6900"/>
    <n v="6900"/>
    <n v="5798"/>
    <n v="1102"/>
  </r>
  <r>
    <x v="0"/>
    <x v="214"/>
    <x v="38"/>
    <x v="0"/>
    <x v="117"/>
    <n v="329"/>
    <n v="1"/>
    <n v="5500"/>
    <n v="5500"/>
    <n v="4622"/>
    <n v="878"/>
  </r>
  <r>
    <x v="0"/>
    <x v="214"/>
    <x v="38"/>
    <x v="0"/>
    <x v="117"/>
    <n v="143"/>
    <n v="2"/>
    <n v="13800"/>
    <n v="27600"/>
    <n v="23193"/>
    <n v="4407"/>
  </r>
  <r>
    <x v="0"/>
    <x v="214"/>
    <x v="38"/>
    <x v="0"/>
    <x v="117"/>
    <n v="118"/>
    <n v="1"/>
    <n v="3500"/>
    <n v="3500"/>
    <n v="2941"/>
    <n v="559"/>
  </r>
  <r>
    <x v="0"/>
    <x v="214"/>
    <x v="38"/>
    <x v="0"/>
    <x v="117"/>
    <n v="120"/>
    <n v="1"/>
    <n v="1700"/>
    <n v="1700"/>
    <n v="1429"/>
    <n v="271"/>
  </r>
  <r>
    <x v="0"/>
    <x v="215"/>
    <x v="38"/>
    <x v="0"/>
    <x v="118"/>
    <n v="369"/>
    <n v="1"/>
    <n v="10500"/>
    <n v="10500"/>
    <n v="8824"/>
    <n v="1676"/>
  </r>
  <r>
    <x v="0"/>
    <x v="216"/>
    <x v="38"/>
    <x v="0"/>
    <x v="119"/>
    <n v="263"/>
    <n v="1"/>
    <n v="8000"/>
    <n v="8000"/>
    <n v="6723"/>
    <n v="1277"/>
  </r>
  <r>
    <x v="0"/>
    <x v="217"/>
    <x v="38"/>
    <x v="0"/>
    <x v="9"/>
    <n v="329"/>
    <n v="1"/>
    <n v="5500"/>
    <n v="5500"/>
    <n v="4622"/>
    <n v="878"/>
  </r>
  <r>
    <x v="0"/>
    <x v="217"/>
    <x v="38"/>
    <x v="0"/>
    <x v="9"/>
    <n v="69"/>
    <n v="1"/>
    <n v="3000"/>
    <n v="3000"/>
    <n v="2521"/>
    <n v="479"/>
  </r>
  <r>
    <x v="0"/>
    <x v="218"/>
    <x v="39"/>
    <x v="0"/>
    <x v="120"/>
    <n v="143"/>
    <n v="1"/>
    <n v="6900"/>
    <n v="6900"/>
    <n v="5798"/>
    <n v="1102"/>
  </r>
  <r>
    <x v="0"/>
    <x v="219"/>
    <x v="39"/>
    <x v="0"/>
    <x v="5"/>
    <n v="191"/>
    <n v="3"/>
    <n v="7500"/>
    <n v="22500"/>
    <n v="18908"/>
    <n v="3592"/>
  </r>
  <r>
    <x v="0"/>
    <x v="219"/>
    <x v="39"/>
    <x v="0"/>
    <x v="5"/>
    <n v="329"/>
    <n v="1"/>
    <n v="5500"/>
    <n v="5500"/>
    <n v="4622"/>
    <n v="878"/>
  </r>
  <r>
    <x v="0"/>
    <x v="220"/>
    <x v="39"/>
    <x v="0"/>
    <x v="7"/>
    <n v="136"/>
    <n v="1"/>
    <n v="4500"/>
    <n v="4500"/>
    <n v="3782"/>
    <n v="718"/>
  </r>
  <r>
    <x v="0"/>
    <x v="221"/>
    <x v="39"/>
    <x v="0"/>
    <x v="47"/>
    <n v="143"/>
    <n v="1"/>
    <n v="6900"/>
    <n v="6900"/>
    <n v="5798"/>
    <n v="1102"/>
  </r>
  <r>
    <x v="0"/>
    <x v="222"/>
    <x v="39"/>
    <x v="0"/>
    <x v="121"/>
    <n v="143"/>
    <n v="1"/>
    <n v="6900"/>
    <n v="6900"/>
    <n v="5798"/>
    <n v="1102"/>
  </r>
  <r>
    <x v="0"/>
    <x v="223"/>
    <x v="40"/>
    <x v="0"/>
    <x v="4"/>
    <n v="143"/>
    <n v="1"/>
    <n v="6900"/>
    <n v="6900"/>
    <n v="5798"/>
    <n v="1102"/>
  </r>
  <r>
    <x v="0"/>
    <x v="223"/>
    <x v="40"/>
    <x v="0"/>
    <x v="4"/>
    <n v="117"/>
    <n v="4"/>
    <n v="14000"/>
    <n v="56000"/>
    <n v="47059"/>
    <n v="8941"/>
  </r>
  <r>
    <x v="0"/>
    <x v="223"/>
    <x v="40"/>
    <x v="0"/>
    <x v="4"/>
    <n v="152"/>
    <n v="1"/>
    <n v="4200"/>
    <n v="4200"/>
    <n v="3529"/>
    <n v="671"/>
  </r>
  <r>
    <x v="0"/>
    <x v="223"/>
    <x v="40"/>
    <x v="0"/>
    <x v="4"/>
    <n v="275"/>
    <n v="1"/>
    <n v="6900"/>
    <n v="6900"/>
    <n v="5798"/>
    <n v="1102"/>
  </r>
  <r>
    <x v="0"/>
    <x v="224"/>
    <x v="40"/>
    <x v="0"/>
    <x v="20"/>
    <n v="143"/>
    <n v="1"/>
    <n v="6900"/>
    <n v="6900"/>
    <n v="5798"/>
    <n v="1102"/>
  </r>
  <r>
    <x v="0"/>
    <x v="225"/>
    <x v="40"/>
    <x v="0"/>
    <x v="29"/>
    <n v="329"/>
    <n v="1"/>
    <n v="5500"/>
    <n v="5500"/>
    <n v="4622"/>
    <n v="878"/>
  </r>
  <r>
    <x v="0"/>
    <x v="226"/>
    <x v="40"/>
    <x v="0"/>
    <x v="116"/>
    <n v="107"/>
    <n v="1"/>
    <n v="2500"/>
    <n v="2500"/>
    <n v="2101"/>
    <n v="399"/>
  </r>
  <r>
    <x v="0"/>
    <x v="226"/>
    <x v="40"/>
    <x v="0"/>
    <x v="116"/>
    <n v="351"/>
    <n v="1"/>
    <n v="2300"/>
    <n v="2300"/>
    <n v="1933"/>
    <n v="367"/>
  </r>
  <r>
    <x v="0"/>
    <x v="227"/>
    <x v="40"/>
    <x v="0"/>
    <x v="122"/>
    <n v="136"/>
    <n v="1"/>
    <n v="4500"/>
    <n v="4500"/>
    <n v="3782"/>
    <n v="718"/>
  </r>
  <r>
    <x v="0"/>
    <x v="228"/>
    <x v="40"/>
    <x v="0"/>
    <x v="123"/>
    <n v="354"/>
    <n v="1"/>
    <n v="1800"/>
    <n v="1800"/>
    <n v="1513"/>
    <n v="287"/>
  </r>
  <r>
    <x v="0"/>
    <x v="228"/>
    <x v="40"/>
    <x v="0"/>
    <x v="123"/>
    <n v="155"/>
    <n v="1"/>
    <n v="1650"/>
    <n v="1650"/>
    <n v="1387"/>
    <n v="263"/>
  </r>
  <r>
    <x v="0"/>
    <x v="228"/>
    <x v="40"/>
    <x v="0"/>
    <x v="123"/>
    <n v="29"/>
    <n v="1"/>
    <n v="1000"/>
    <n v="1000"/>
    <n v="840"/>
    <n v="160"/>
  </r>
  <r>
    <x v="0"/>
    <x v="228"/>
    <x v="40"/>
    <x v="0"/>
    <x v="123"/>
    <n v="166"/>
    <n v="1"/>
    <n v="1600"/>
    <n v="1600"/>
    <n v="1345"/>
    <n v="255"/>
  </r>
  <r>
    <x v="0"/>
    <x v="228"/>
    <x v="40"/>
    <x v="0"/>
    <x v="123"/>
    <n v="254"/>
    <n v="1"/>
    <n v="2000"/>
    <n v="2000"/>
    <n v="1681"/>
    <n v="319"/>
  </r>
  <r>
    <x v="0"/>
    <x v="228"/>
    <x v="40"/>
    <x v="0"/>
    <x v="123"/>
    <n v="164"/>
    <n v="1"/>
    <n v="3200"/>
    <n v="3200"/>
    <n v="2689"/>
    <n v="511"/>
  </r>
  <r>
    <x v="0"/>
    <x v="228"/>
    <x v="40"/>
    <x v="0"/>
    <x v="123"/>
    <n v="143"/>
    <n v="1"/>
    <n v="6900"/>
    <n v="6900"/>
    <n v="5798"/>
    <n v="1102"/>
  </r>
  <r>
    <x v="0"/>
    <x v="229"/>
    <x v="41"/>
    <x v="0"/>
    <x v="124"/>
    <n v="231"/>
    <n v="1"/>
    <n v="19990"/>
    <n v="19990"/>
    <n v="16798"/>
    <n v="3192"/>
  </r>
  <r>
    <x v="0"/>
    <x v="230"/>
    <x v="41"/>
    <x v="0"/>
    <x v="56"/>
    <n v="143"/>
    <n v="1"/>
    <n v="6900"/>
    <n v="6900"/>
    <n v="5798"/>
    <n v="1102"/>
  </r>
  <r>
    <x v="0"/>
    <x v="231"/>
    <x v="41"/>
    <x v="0"/>
    <x v="5"/>
    <n v="329"/>
    <n v="1"/>
    <n v="5500"/>
    <n v="5500"/>
    <n v="4622"/>
    <n v="878"/>
  </r>
  <r>
    <x v="0"/>
    <x v="232"/>
    <x v="41"/>
    <x v="0"/>
    <x v="125"/>
    <n v="232"/>
    <n v="1"/>
    <n v="12500"/>
    <n v="12500"/>
    <n v="10504"/>
    <n v="1996"/>
  </r>
  <r>
    <x v="0"/>
    <x v="233"/>
    <x v="41"/>
    <x v="0"/>
    <x v="34"/>
    <n v="143"/>
    <n v="1"/>
    <n v="6900"/>
    <n v="6900"/>
    <n v="5798"/>
    <n v="1102"/>
  </r>
  <r>
    <x v="0"/>
    <x v="234"/>
    <x v="41"/>
    <x v="0"/>
    <x v="126"/>
    <n v="126"/>
    <n v="1"/>
    <n v="9000"/>
    <n v="9000"/>
    <n v="7563"/>
    <n v="1437"/>
  </r>
  <r>
    <x v="0"/>
    <x v="235"/>
    <x v="41"/>
    <x v="0"/>
    <x v="80"/>
    <n v="329"/>
    <n v="1"/>
    <n v="5500"/>
    <n v="5500"/>
    <n v="4622"/>
    <n v="878"/>
  </r>
  <r>
    <x v="0"/>
    <x v="235"/>
    <x v="41"/>
    <x v="0"/>
    <x v="80"/>
    <n v="135"/>
    <n v="1"/>
    <n v="1000"/>
    <n v="1000"/>
    <n v="840"/>
    <n v="160"/>
  </r>
  <r>
    <x v="0"/>
    <x v="236"/>
    <x v="41"/>
    <x v="0"/>
    <x v="127"/>
    <n v="329"/>
    <n v="1"/>
    <n v="5500"/>
    <n v="5500"/>
    <n v="4622"/>
    <n v="878"/>
  </r>
  <r>
    <x v="0"/>
    <x v="236"/>
    <x v="41"/>
    <x v="0"/>
    <x v="127"/>
    <n v="100"/>
    <n v="1"/>
    <n v="1500"/>
    <n v="1500"/>
    <n v="1261"/>
    <n v="239"/>
  </r>
  <r>
    <x v="0"/>
    <x v="237"/>
    <x v="42"/>
    <x v="0"/>
    <x v="1"/>
    <n v="233"/>
    <n v="1"/>
    <n v="15990"/>
    <n v="15990"/>
    <n v="13437"/>
    <n v="2553"/>
  </r>
  <r>
    <x v="0"/>
    <x v="238"/>
    <x v="42"/>
    <x v="0"/>
    <x v="5"/>
    <n v="191"/>
    <n v="1"/>
    <n v="2500"/>
    <n v="2500"/>
    <n v="2101"/>
    <n v="399"/>
  </r>
  <r>
    <x v="0"/>
    <x v="239"/>
    <x v="42"/>
    <x v="0"/>
    <x v="128"/>
    <n v="31"/>
    <n v="1"/>
    <n v="3400"/>
    <n v="3400"/>
    <n v="2857"/>
    <n v="543"/>
  </r>
  <r>
    <x v="0"/>
    <x v="239"/>
    <x v="42"/>
    <x v="0"/>
    <x v="128"/>
    <n v="29"/>
    <n v="1"/>
    <n v="1000"/>
    <n v="1000"/>
    <n v="840"/>
    <n v="160"/>
  </r>
  <r>
    <x v="0"/>
    <x v="239"/>
    <x v="42"/>
    <x v="0"/>
    <x v="128"/>
    <n v="124"/>
    <n v="1"/>
    <n v="4000"/>
    <n v="4000"/>
    <n v="3361"/>
    <n v="639"/>
  </r>
  <r>
    <x v="0"/>
    <x v="240"/>
    <x v="43"/>
    <x v="0"/>
    <x v="5"/>
    <n v="376"/>
    <n v="1"/>
    <n v="2200"/>
    <n v="2200"/>
    <n v="1849"/>
    <n v="351"/>
  </r>
  <r>
    <x v="0"/>
    <x v="241"/>
    <x v="43"/>
    <x v="0"/>
    <x v="20"/>
    <n v="143"/>
    <n v="1"/>
    <n v="6900"/>
    <n v="6900"/>
    <n v="5798"/>
    <n v="1102"/>
  </r>
  <r>
    <x v="0"/>
    <x v="241"/>
    <x v="43"/>
    <x v="0"/>
    <x v="20"/>
    <n v="367"/>
    <n v="2"/>
    <n v="3000"/>
    <n v="6000"/>
    <n v="5042"/>
    <n v="958"/>
  </r>
  <r>
    <x v="0"/>
    <x v="242"/>
    <x v="43"/>
    <x v="0"/>
    <x v="67"/>
    <n v="135"/>
    <n v="1"/>
    <n v="1000"/>
    <n v="1000"/>
    <n v="840"/>
    <n v="160"/>
  </r>
  <r>
    <x v="0"/>
    <x v="242"/>
    <x v="43"/>
    <x v="0"/>
    <x v="67"/>
    <n v="167"/>
    <n v="2"/>
    <n v="16400"/>
    <n v="32800"/>
    <n v="27563"/>
    <n v="5237"/>
  </r>
  <r>
    <x v="0"/>
    <x v="242"/>
    <x v="43"/>
    <x v="0"/>
    <x v="67"/>
    <n v="165"/>
    <n v="1"/>
    <n v="2000"/>
    <n v="2000"/>
    <n v="1681"/>
    <n v="319"/>
  </r>
  <r>
    <x v="0"/>
    <x v="243"/>
    <x v="43"/>
    <x v="0"/>
    <x v="33"/>
    <n v="230"/>
    <n v="1"/>
    <n v="15500"/>
    <n v="15500"/>
    <n v="13025"/>
    <n v="2475"/>
  </r>
  <r>
    <x v="0"/>
    <x v="243"/>
    <x v="43"/>
    <x v="0"/>
    <x v="33"/>
    <n v="165"/>
    <n v="2"/>
    <n v="4000"/>
    <n v="8000"/>
    <n v="6723"/>
    <n v="1277"/>
  </r>
  <r>
    <x v="0"/>
    <x v="243"/>
    <x v="43"/>
    <x v="0"/>
    <x v="33"/>
    <n v="117"/>
    <n v="2"/>
    <n v="7000"/>
    <n v="14000"/>
    <n v="11765"/>
    <n v="2235"/>
  </r>
  <r>
    <x v="0"/>
    <x v="244"/>
    <x v="43"/>
    <x v="0"/>
    <x v="129"/>
    <n v="143"/>
    <n v="1"/>
    <n v="6900"/>
    <n v="6900"/>
    <n v="5798"/>
    <n v="1102"/>
  </r>
  <r>
    <x v="0"/>
    <x v="245"/>
    <x v="44"/>
    <x v="0"/>
    <x v="88"/>
    <n v="143"/>
    <n v="1"/>
    <n v="6900"/>
    <n v="6900"/>
    <n v="5798"/>
    <n v="1102"/>
  </r>
  <r>
    <x v="0"/>
    <x v="246"/>
    <x v="44"/>
    <x v="0"/>
    <x v="21"/>
    <n v="135"/>
    <n v="2"/>
    <n v="2000"/>
    <n v="4000"/>
    <n v="3361"/>
    <n v="639"/>
  </r>
  <r>
    <x v="0"/>
    <x v="247"/>
    <x v="44"/>
    <x v="0"/>
    <x v="129"/>
    <n v="136"/>
    <n v="1"/>
    <n v="4500"/>
    <n v="4500"/>
    <n v="3782"/>
    <n v="718"/>
  </r>
  <r>
    <x v="0"/>
    <x v="248"/>
    <x v="45"/>
    <x v="0"/>
    <x v="98"/>
    <n v="324"/>
    <n v="2"/>
    <n v="21000"/>
    <n v="42000"/>
    <n v="35294"/>
    <n v="6706"/>
  </r>
  <r>
    <x v="0"/>
    <x v="249"/>
    <x v="45"/>
    <x v="0"/>
    <x v="130"/>
    <n v="244"/>
    <n v="1"/>
    <n v="14900"/>
    <n v="14900"/>
    <n v="12521"/>
    <n v="2379"/>
  </r>
  <r>
    <x v="0"/>
    <x v="250"/>
    <x v="45"/>
    <x v="0"/>
    <x v="26"/>
    <n v="118"/>
    <n v="1"/>
    <n v="3500"/>
    <n v="3500"/>
    <n v="2941"/>
    <n v="559"/>
  </r>
  <r>
    <x v="0"/>
    <x v="251"/>
    <x v="45"/>
    <x v="0"/>
    <x v="119"/>
    <n v="231"/>
    <n v="1"/>
    <n v="19990"/>
    <n v="19990"/>
    <n v="16798"/>
    <n v="3192"/>
  </r>
  <r>
    <x v="0"/>
    <x v="252"/>
    <x v="46"/>
    <x v="0"/>
    <x v="131"/>
    <n v="125"/>
    <n v="1"/>
    <n v="1700"/>
    <n v="1700"/>
    <n v="1429"/>
    <n v="271"/>
  </r>
  <r>
    <x v="0"/>
    <x v="252"/>
    <x v="46"/>
    <x v="0"/>
    <x v="131"/>
    <n v="143"/>
    <n v="1"/>
    <n v="7500"/>
    <n v="7500"/>
    <n v="6303"/>
    <n v="1197"/>
  </r>
  <r>
    <x v="0"/>
    <x v="253"/>
    <x v="46"/>
    <x v="0"/>
    <x v="4"/>
    <n v="57"/>
    <n v="1"/>
    <n v="4000"/>
    <n v="4000"/>
    <n v="3361"/>
    <n v="639"/>
  </r>
  <r>
    <x v="0"/>
    <x v="253"/>
    <x v="46"/>
    <x v="0"/>
    <x v="4"/>
    <n v="143"/>
    <n v="1"/>
    <n v="6900"/>
    <n v="6900"/>
    <n v="5798"/>
    <n v="1102"/>
  </r>
  <r>
    <x v="0"/>
    <x v="254"/>
    <x v="46"/>
    <x v="0"/>
    <x v="111"/>
    <n v="143"/>
    <n v="1"/>
    <n v="6900"/>
    <n v="6900"/>
    <n v="5798"/>
    <n v="1102"/>
  </r>
  <r>
    <x v="0"/>
    <x v="254"/>
    <x v="46"/>
    <x v="0"/>
    <x v="111"/>
    <n v="329"/>
    <n v="1"/>
    <n v="5500"/>
    <n v="5500"/>
    <n v="4622"/>
    <n v="878"/>
  </r>
  <r>
    <x v="0"/>
    <x v="255"/>
    <x v="46"/>
    <x v="0"/>
    <x v="61"/>
    <n v="118"/>
    <n v="1"/>
    <n v="3500"/>
    <n v="3500"/>
    <n v="2941"/>
    <n v="559"/>
  </r>
  <r>
    <x v="0"/>
    <x v="256"/>
    <x v="46"/>
    <x v="0"/>
    <x v="10"/>
    <n v="143"/>
    <n v="1"/>
    <n v="6900"/>
    <n v="6900"/>
    <n v="5798"/>
    <n v="1102"/>
  </r>
  <r>
    <x v="0"/>
    <x v="257"/>
    <x v="47"/>
    <x v="0"/>
    <x v="5"/>
    <n v="331"/>
    <n v="1"/>
    <n v="3700"/>
    <n v="3700"/>
    <n v="3109"/>
    <n v="591"/>
  </r>
  <r>
    <x v="0"/>
    <x v="258"/>
    <x v="47"/>
    <x v="0"/>
    <x v="74"/>
    <n v="236"/>
    <n v="1"/>
    <n v="18990"/>
    <n v="18990"/>
    <n v="15958"/>
    <n v="3032"/>
  </r>
  <r>
    <x v="0"/>
    <x v="258"/>
    <x v="47"/>
    <x v="0"/>
    <x v="74"/>
    <n v="369"/>
    <n v="1"/>
    <n v="10500"/>
    <n v="10500"/>
    <n v="8824"/>
    <n v="1676"/>
  </r>
  <r>
    <x v="0"/>
    <x v="258"/>
    <x v="47"/>
    <x v="0"/>
    <x v="74"/>
    <n v="31"/>
    <n v="1"/>
    <n v="3400"/>
    <n v="3400"/>
    <n v="2857"/>
    <n v="543"/>
  </r>
  <r>
    <x v="0"/>
    <x v="258"/>
    <x v="47"/>
    <x v="0"/>
    <x v="74"/>
    <n v="354"/>
    <n v="1"/>
    <n v="1800"/>
    <n v="1800"/>
    <n v="1513"/>
    <n v="287"/>
  </r>
  <r>
    <x v="0"/>
    <x v="258"/>
    <x v="47"/>
    <x v="0"/>
    <x v="74"/>
    <n v="259"/>
    <n v="1"/>
    <n v="4500"/>
    <n v="4500"/>
    <n v="3782"/>
    <n v="718"/>
  </r>
  <r>
    <x v="0"/>
    <x v="258"/>
    <x v="47"/>
    <x v="0"/>
    <x v="74"/>
    <n v="100"/>
    <n v="1"/>
    <n v="1500"/>
    <n v="1500"/>
    <n v="1261"/>
    <n v="239"/>
  </r>
  <r>
    <x v="0"/>
    <x v="258"/>
    <x v="47"/>
    <x v="0"/>
    <x v="74"/>
    <n v="165"/>
    <n v="1"/>
    <n v="2000"/>
    <n v="2000"/>
    <n v="1681"/>
    <n v="319"/>
  </r>
  <r>
    <x v="0"/>
    <x v="258"/>
    <x v="47"/>
    <x v="0"/>
    <x v="74"/>
    <n v="324"/>
    <n v="2"/>
    <n v="21000"/>
    <n v="42000"/>
    <n v="35294"/>
    <n v="6706"/>
  </r>
  <r>
    <x v="0"/>
    <x v="259"/>
    <x v="47"/>
    <x v="0"/>
    <x v="29"/>
    <n v="191"/>
    <n v="1"/>
    <n v="2500"/>
    <n v="2500"/>
    <n v="2101"/>
    <n v="399"/>
  </r>
  <r>
    <x v="0"/>
    <x v="260"/>
    <x v="47"/>
    <x v="0"/>
    <x v="132"/>
    <n v="143"/>
    <n v="1"/>
    <n v="6900"/>
    <n v="6900"/>
    <n v="5798"/>
    <n v="1102"/>
  </r>
  <r>
    <x v="0"/>
    <x v="261"/>
    <x v="48"/>
    <x v="0"/>
    <x v="32"/>
    <n v="230"/>
    <n v="1"/>
    <n v="15500"/>
    <n v="15500"/>
    <n v="13025"/>
    <n v="2475"/>
  </r>
  <r>
    <x v="0"/>
    <x v="261"/>
    <x v="48"/>
    <x v="0"/>
    <x v="32"/>
    <n v="369"/>
    <n v="1"/>
    <n v="10500"/>
    <n v="10500"/>
    <n v="8824"/>
    <n v="1676"/>
  </r>
  <r>
    <x v="0"/>
    <x v="261"/>
    <x v="48"/>
    <x v="0"/>
    <x v="32"/>
    <n v="354"/>
    <n v="2"/>
    <n v="3600"/>
    <n v="7200"/>
    <n v="6050"/>
    <n v="1150"/>
  </r>
  <r>
    <x v="0"/>
    <x v="261"/>
    <x v="48"/>
    <x v="0"/>
    <x v="32"/>
    <n v="290"/>
    <n v="2"/>
    <n v="2400"/>
    <n v="4800"/>
    <n v="4034"/>
    <n v="766"/>
  </r>
  <r>
    <x v="0"/>
    <x v="262"/>
    <x v="48"/>
    <x v="0"/>
    <x v="8"/>
    <n v="324"/>
    <n v="1"/>
    <n v="10500"/>
    <n v="10500"/>
    <n v="8824"/>
    <n v="1676"/>
  </r>
  <r>
    <x v="0"/>
    <x v="263"/>
    <x v="49"/>
    <x v="0"/>
    <x v="13"/>
    <n v="68"/>
    <n v="2"/>
    <n v="2400"/>
    <n v="4800"/>
    <n v="4034"/>
    <n v="766"/>
  </r>
  <r>
    <x v="0"/>
    <x v="263"/>
    <x v="49"/>
    <x v="0"/>
    <x v="13"/>
    <n v="97"/>
    <n v="1"/>
    <n v="2000"/>
    <n v="2000"/>
    <n v="1681"/>
    <n v="319"/>
  </r>
  <r>
    <x v="0"/>
    <x v="263"/>
    <x v="49"/>
    <x v="0"/>
    <x v="13"/>
    <n v="166"/>
    <n v="1"/>
    <n v="1600"/>
    <n v="1600"/>
    <n v="1345"/>
    <n v="255"/>
  </r>
  <r>
    <x v="0"/>
    <x v="263"/>
    <x v="49"/>
    <x v="0"/>
    <x v="13"/>
    <n v="368"/>
    <n v="1"/>
    <n v="3000"/>
    <n v="3000"/>
    <n v="2521"/>
    <n v="479"/>
  </r>
  <r>
    <x v="0"/>
    <x v="263"/>
    <x v="49"/>
    <x v="0"/>
    <x v="13"/>
    <n v="157"/>
    <n v="1"/>
    <n v="4300"/>
    <n v="4300"/>
    <n v="3613"/>
    <n v="687"/>
  </r>
  <r>
    <x v="0"/>
    <x v="264"/>
    <x v="49"/>
    <x v="0"/>
    <x v="14"/>
    <n v="143"/>
    <n v="1"/>
    <n v="7500"/>
    <n v="7500"/>
    <n v="6303"/>
    <n v="1197"/>
  </r>
  <r>
    <x v="0"/>
    <x v="265"/>
    <x v="49"/>
    <x v="0"/>
    <x v="5"/>
    <n v="247"/>
    <n v="1"/>
    <n v="2800"/>
    <n v="2800"/>
    <n v="2353"/>
    <n v="447"/>
  </r>
  <r>
    <x v="0"/>
    <x v="266"/>
    <x v="49"/>
    <x v="0"/>
    <x v="74"/>
    <n v="143"/>
    <n v="1"/>
    <n v="7500"/>
    <n v="7500"/>
    <n v="6303"/>
    <n v="1197"/>
  </r>
  <r>
    <x v="0"/>
    <x v="267"/>
    <x v="50"/>
    <x v="0"/>
    <x v="5"/>
    <n v="191"/>
    <n v="1"/>
    <n v="2500"/>
    <n v="2500"/>
    <n v="2101"/>
    <n v="399"/>
  </r>
  <r>
    <x v="0"/>
    <x v="268"/>
    <x v="50"/>
    <x v="0"/>
    <x v="73"/>
    <n v="118"/>
    <n v="1"/>
    <n v="3500"/>
    <n v="3500"/>
    <n v="2941"/>
    <n v="559"/>
  </r>
  <r>
    <x v="0"/>
    <x v="268"/>
    <x v="50"/>
    <x v="0"/>
    <x v="73"/>
    <n v="68"/>
    <n v="2"/>
    <n v="2400"/>
    <n v="4800"/>
    <n v="4034"/>
    <n v="766"/>
  </r>
  <r>
    <x v="0"/>
    <x v="268"/>
    <x v="50"/>
    <x v="0"/>
    <x v="73"/>
    <n v="83"/>
    <n v="1"/>
    <n v="1600"/>
    <n v="1600"/>
    <n v="1345"/>
    <n v="255"/>
  </r>
  <r>
    <x v="0"/>
    <x v="268"/>
    <x v="50"/>
    <x v="0"/>
    <x v="73"/>
    <n v="327"/>
    <n v="1"/>
    <n v="3000"/>
    <n v="3000"/>
    <n v="2521"/>
    <n v="479"/>
  </r>
  <r>
    <x v="0"/>
    <x v="268"/>
    <x v="50"/>
    <x v="0"/>
    <x v="73"/>
    <n v="367"/>
    <n v="1"/>
    <n v="1500"/>
    <n v="1500"/>
    <n v="1261"/>
    <n v="239"/>
  </r>
  <r>
    <x v="0"/>
    <x v="268"/>
    <x v="50"/>
    <x v="0"/>
    <x v="73"/>
    <n v="296"/>
    <n v="2"/>
    <n v="7000"/>
    <n v="14000"/>
    <n v="11765"/>
    <n v="2235"/>
  </r>
  <r>
    <x v="0"/>
    <x v="269"/>
    <x v="50"/>
    <x v="0"/>
    <x v="10"/>
    <n v="233"/>
    <n v="1"/>
    <n v="15990"/>
    <n v="15990"/>
    <n v="13437"/>
    <n v="2553"/>
  </r>
  <r>
    <x v="0"/>
    <x v="270"/>
    <x v="50"/>
    <x v="0"/>
    <x v="12"/>
    <n v="236"/>
    <n v="1"/>
    <n v="18990"/>
    <n v="18990"/>
    <n v="15958"/>
    <n v="3032"/>
  </r>
  <r>
    <x v="0"/>
    <x v="271"/>
    <x v="50"/>
    <x v="0"/>
    <x v="123"/>
    <n v="290"/>
    <n v="1"/>
    <n v="1200"/>
    <n v="1200"/>
    <n v="1008"/>
    <n v="192"/>
  </r>
  <r>
    <x v="0"/>
    <x v="271"/>
    <x v="50"/>
    <x v="0"/>
    <x v="123"/>
    <n v="125"/>
    <n v="1"/>
    <n v="1700"/>
    <n v="1700"/>
    <n v="1429"/>
    <n v="271"/>
  </r>
  <r>
    <x v="0"/>
    <x v="272"/>
    <x v="51"/>
    <x v="0"/>
    <x v="133"/>
    <n v="136"/>
    <n v="2"/>
    <n v="9000"/>
    <n v="18000"/>
    <n v="15126"/>
    <n v="2874"/>
  </r>
  <r>
    <x v="0"/>
    <x v="272"/>
    <x v="51"/>
    <x v="0"/>
    <x v="133"/>
    <n v="167"/>
    <n v="1"/>
    <n v="8200"/>
    <n v="8200"/>
    <n v="6891"/>
    <n v="1309"/>
  </r>
  <r>
    <x v="0"/>
    <x v="273"/>
    <x v="51"/>
    <x v="0"/>
    <x v="124"/>
    <n v="143"/>
    <n v="1"/>
    <n v="7500"/>
    <n v="7500"/>
    <n v="6303"/>
    <n v="1197"/>
  </r>
  <r>
    <x v="0"/>
    <x v="274"/>
    <x v="51"/>
    <x v="0"/>
    <x v="17"/>
    <n v="324"/>
    <n v="1"/>
    <n v="10500"/>
    <n v="10500"/>
    <n v="8824"/>
    <n v="1676"/>
  </r>
  <r>
    <x v="0"/>
    <x v="275"/>
    <x v="51"/>
    <x v="0"/>
    <x v="134"/>
    <n v="167"/>
    <n v="1"/>
    <n v="8200"/>
    <n v="8200"/>
    <n v="6891"/>
    <n v="1309"/>
  </r>
  <r>
    <x v="0"/>
    <x v="276"/>
    <x v="51"/>
    <x v="0"/>
    <x v="2"/>
    <n v="278"/>
    <n v="1"/>
    <n v="11500"/>
    <n v="11500"/>
    <n v="9664"/>
    <n v="1836"/>
  </r>
  <r>
    <x v="0"/>
    <x v="277"/>
    <x v="51"/>
    <x v="0"/>
    <x v="5"/>
    <n v="324"/>
    <n v="1"/>
    <n v="10500"/>
    <n v="10500"/>
    <n v="8824"/>
    <n v="1676"/>
  </r>
  <r>
    <x v="0"/>
    <x v="277"/>
    <x v="51"/>
    <x v="0"/>
    <x v="5"/>
    <n v="26"/>
    <n v="1"/>
    <n v="3400"/>
    <n v="3400"/>
    <n v="2857"/>
    <n v="543"/>
  </r>
  <r>
    <x v="0"/>
    <x v="278"/>
    <x v="51"/>
    <x v="0"/>
    <x v="135"/>
    <n v="5"/>
    <n v="1"/>
    <n v="11000"/>
    <n v="11000"/>
    <n v="9244"/>
    <n v="1756"/>
  </r>
  <r>
    <x v="0"/>
    <x v="279"/>
    <x v="51"/>
    <x v="0"/>
    <x v="136"/>
    <n v="143"/>
    <n v="1"/>
    <n v="7500"/>
    <n v="7500"/>
    <n v="6303"/>
    <n v="1197"/>
  </r>
  <r>
    <x v="0"/>
    <x v="280"/>
    <x v="51"/>
    <x v="0"/>
    <x v="73"/>
    <n v="26"/>
    <n v="1"/>
    <n v="3400"/>
    <n v="3400"/>
    <n v="2857"/>
    <n v="543"/>
  </r>
  <r>
    <x v="0"/>
    <x v="280"/>
    <x v="51"/>
    <x v="0"/>
    <x v="73"/>
    <n v="324"/>
    <n v="1"/>
    <n v="10500"/>
    <n v="10500"/>
    <n v="8824"/>
    <n v="1676"/>
  </r>
  <r>
    <x v="0"/>
    <x v="280"/>
    <x v="51"/>
    <x v="0"/>
    <x v="73"/>
    <n v="293"/>
    <n v="1"/>
    <n v="9500"/>
    <n v="9500"/>
    <n v="7983"/>
    <n v="1517"/>
  </r>
  <r>
    <x v="0"/>
    <x v="280"/>
    <x v="51"/>
    <x v="0"/>
    <x v="73"/>
    <n v="143"/>
    <n v="1"/>
    <n v="7500"/>
    <n v="7500"/>
    <n v="6303"/>
    <n v="1197"/>
  </r>
  <r>
    <x v="0"/>
    <x v="280"/>
    <x v="51"/>
    <x v="0"/>
    <x v="73"/>
    <n v="95"/>
    <n v="1"/>
    <n v="2400"/>
    <n v="2400"/>
    <n v="2017"/>
    <n v="383"/>
  </r>
  <r>
    <x v="0"/>
    <x v="280"/>
    <x v="51"/>
    <x v="0"/>
    <x v="73"/>
    <n v="162"/>
    <n v="1"/>
    <n v="1600"/>
    <n v="1600"/>
    <n v="1345"/>
    <n v="255"/>
  </r>
  <r>
    <x v="0"/>
    <x v="280"/>
    <x v="51"/>
    <x v="0"/>
    <x v="73"/>
    <n v="287"/>
    <n v="1"/>
    <n v="3000"/>
    <n v="3000"/>
    <n v="2521"/>
    <n v="479"/>
  </r>
  <r>
    <x v="0"/>
    <x v="280"/>
    <x v="51"/>
    <x v="0"/>
    <x v="73"/>
    <n v="379"/>
    <n v="1"/>
    <n v="2000"/>
    <n v="2000"/>
    <n v="1681"/>
    <n v="319"/>
  </r>
  <r>
    <x v="0"/>
    <x v="280"/>
    <x v="51"/>
    <x v="0"/>
    <x v="73"/>
    <n v="125"/>
    <n v="1"/>
    <n v="1700"/>
    <n v="1700"/>
    <n v="1429"/>
    <n v="271"/>
  </r>
  <r>
    <x v="0"/>
    <x v="280"/>
    <x v="51"/>
    <x v="0"/>
    <x v="73"/>
    <n v="68"/>
    <n v="-2"/>
    <n v="-2400"/>
    <n v="4800"/>
    <n v="4034"/>
    <n v="766"/>
  </r>
  <r>
    <x v="0"/>
    <x v="280"/>
    <x v="51"/>
    <x v="0"/>
    <x v="73"/>
    <n v="327"/>
    <n v="-1"/>
    <n v="-3000"/>
    <n v="3000"/>
    <n v="2521"/>
    <n v="479"/>
  </r>
  <r>
    <x v="0"/>
    <x v="280"/>
    <x v="51"/>
    <x v="0"/>
    <x v="73"/>
    <n v="296"/>
    <n v="-2"/>
    <n v="-7000"/>
    <n v="14000"/>
    <n v="11765"/>
    <n v="2235"/>
  </r>
  <r>
    <x v="0"/>
    <x v="281"/>
    <x v="51"/>
    <x v="0"/>
    <x v="76"/>
    <n v="324"/>
    <n v="1"/>
    <n v="10500"/>
    <n v="10500"/>
    <n v="8824"/>
    <n v="1676"/>
  </r>
  <r>
    <x v="0"/>
    <x v="282"/>
    <x v="51"/>
    <x v="0"/>
    <x v="87"/>
    <n v="143"/>
    <n v="1"/>
    <n v="7500"/>
    <n v="7500"/>
    <n v="6303"/>
    <n v="1197"/>
  </r>
  <r>
    <x v="0"/>
    <x v="283"/>
    <x v="51"/>
    <x v="0"/>
    <x v="29"/>
    <n v="191"/>
    <n v="2"/>
    <n v="5000"/>
    <n v="10000"/>
    <n v="8403"/>
    <n v="1597"/>
  </r>
  <r>
    <x v="0"/>
    <x v="283"/>
    <x v="51"/>
    <x v="0"/>
    <x v="29"/>
    <n v="324"/>
    <n v="1"/>
    <n v="10500"/>
    <n v="10500"/>
    <n v="8824"/>
    <n v="1676"/>
  </r>
  <r>
    <x v="0"/>
    <x v="283"/>
    <x v="51"/>
    <x v="0"/>
    <x v="29"/>
    <n v="368"/>
    <n v="1"/>
    <n v="3000"/>
    <n v="3000"/>
    <n v="2521"/>
    <n v="479"/>
  </r>
  <r>
    <x v="0"/>
    <x v="284"/>
    <x v="51"/>
    <x v="0"/>
    <x v="9"/>
    <n v="368"/>
    <n v="1"/>
    <n v="3000"/>
    <n v="3000"/>
    <n v="2521"/>
    <n v="479"/>
  </r>
  <r>
    <x v="0"/>
    <x v="284"/>
    <x v="51"/>
    <x v="0"/>
    <x v="9"/>
    <n v="117"/>
    <n v="1"/>
    <n v="3500"/>
    <n v="3500"/>
    <n v="2941"/>
    <n v="559"/>
  </r>
  <r>
    <x v="0"/>
    <x v="285"/>
    <x v="51"/>
    <x v="0"/>
    <x v="64"/>
    <n v="143"/>
    <n v="1"/>
    <n v="7500"/>
    <n v="7500"/>
    <n v="6303"/>
    <n v="1197"/>
  </r>
  <r>
    <x v="0"/>
    <x v="286"/>
    <x v="52"/>
    <x v="0"/>
    <x v="54"/>
    <n v="143"/>
    <n v="2"/>
    <n v="15000"/>
    <n v="30000"/>
    <n v="25210"/>
    <n v="4790"/>
  </r>
  <r>
    <x v="0"/>
    <x v="287"/>
    <x v="52"/>
    <x v="0"/>
    <x v="73"/>
    <n v="136"/>
    <n v="2"/>
    <n v="9000"/>
    <n v="18000"/>
    <n v="15126"/>
    <n v="2874"/>
  </r>
  <r>
    <x v="0"/>
    <x v="288"/>
    <x v="52"/>
    <x v="0"/>
    <x v="137"/>
    <n v="231"/>
    <n v="1"/>
    <n v="19990"/>
    <n v="19990"/>
    <n v="16798"/>
    <n v="3192"/>
  </r>
  <r>
    <x v="0"/>
    <x v="289"/>
    <x v="52"/>
    <x v="0"/>
    <x v="59"/>
    <n v="155"/>
    <n v="2"/>
    <n v="3301"/>
    <n v="6602"/>
    <n v="5548"/>
    <n v="1054"/>
  </r>
  <r>
    <x v="0"/>
    <x v="289"/>
    <x v="52"/>
    <x v="0"/>
    <x v="59"/>
    <n v="29"/>
    <n v="1"/>
    <n v="1000"/>
    <n v="1000"/>
    <n v="840"/>
    <n v="160"/>
  </r>
  <r>
    <x v="0"/>
    <x v="289"/>
    <x v="52"/>
    <x v="0"/>
    <x v="59"/>
    <n v="286"/>
    <n v="1"/>
    <n v="1100"/>
    <n v="1100"/>
    <n v="924"/>
    <n v="176"/>
  </r>
  <r>
    <x v="0"/>
    <x v="289"/>
    <x v="52"/>
    <x v="0"/>
    <x v="59"/>
    <n v="329"/>
    <n v="1"/>
    <n v="5500"/>
    <n v="5500"/>
    <n v="4622"/>
    <n v="878"/>
  </r>
  <r>
    <x v="0"/>
    <x v="290"/>
    <x v="53"/>
    <x v="0"/>
    <x v="0"/>
    <n v="97"/>
    <n v="1"/>
    <n v="2000"/>
    <n v="2000"/>
    <n v="1681"/>
    <n v="319"/>
  </r>
  <r>
    <x v="0"/>
    <x v="290"/>
    <x v="53"/>
    <x v="0"/>
    <x v="0"/>
    <n v="95"/>
    <n v="1"/>
    <n v="2400"/>
    <n v="2400"/>
    <n v="2017"/>
    <n v="383"/>
  </r>
  <r>
    <x v="0"/>
    <x v="290"/>
    <x v="53"/>
    <x v="0"/>
    <x v="0"/>
    <n v="332"/>
    <n v="1"/>
    <n v="2600"/>
    <n v="2600"/>
    <n v="2185"/>
    <n v="415"/>
  </r>
  <r>
    <x v="0"/>
    <x v="290"/>
    <x v="53"/>
    <x v="0"/>
    <x v="0"/>
    <n v="143"/>
    <n v="1"/>
    <n v="7500"/>
    <n v="7500"/>
    <n v="6303"/>
    <n v="1197"/>
  </r>
  <r>
    <x v="0"/>
    <x v="290"/>
    <x v="53"/>
    <x v="0"/>
    <x v="0"/>
    <n v="191"/>
    <n v="1"/>
    <n v="2500"/>
    <n v="2500"/>
    <n v="2101"/>
    <n v="399"/>
  </r>
  <r>
    <x v="0"/>
    <x v="290"/>
    <x v="53"/>
    <x v="0"/>
    <x v="0"/>
    <n v="118"/>
    <n v="1"/>
    <n v="3500"/>
    <n v="3500"/>
    <n v="2941"/>
    <n v="559"/>
  </r>
  <r>
    <x v="0"/>
    <x v="290"/>
    <x v="53"/>
    <x v="0"/>
    <x v="0"/>
    <n v="296"/>
    <n v="2"/>
    <n v="7000"/>
    <n v="14000"/>
    <n v="11765"/>
    <n v="2235"/>
  </r>
  <r>
    <x v="0"/>
    <x v="290"/>
    <x v="53"/>
    <x v="0"/>
    <x v="0"/>
    <n v="367"/>
    <n v="2"/>
    <n v="3000"/>
    <n v="6000"/>
    <n v="5042"/>
    <n v="958"/>
  </r>
  <r>
    <x v="0"/>
    <x v="290"/>
    <x v="53"/>
    <x v="0"/>
    <x v="0"/>
    <n v="247"/>
    <n v="1"/>
    <n v="2800"/>
    <n v="2800"/>
    <n v="2353"/>
    <n v="447"/>
  </r>
  <r>
    <x v="0"/>
    <x v="290"/>
    <x v="53"/>
    <x v="0"/>
    <x v="0"/>
    <n v="155"/>
    <n v="2"/>
    <n v="3301"/>
    <n v="6602"/>
    <n v="5548"/>
    <n v="1054"/>
  </r>
  <r>
    <x v="0"/>
    <x v="290"/>
    <x v="53"/>
    <x v="0"/>
    <x v="0"/>
    <n v="329"/>
    <n v="1"/>
    <n v="5500"/>
    <n v="5500"/>
    <n v="4622"/>
    <n v="878"/>
  </r>
  <r>
    <x v="0"/>
    <x v="290"/>
    <x v="53"/>
    <x v="0"/>
    <x v="0"/>
    <n v="82"/>
    <n v="1"/>
    <n v="1600"/>
    <n v="1600"/>
    <n v="1345"/>
    <n v="255"/>
  </r>
  <r>
    <x v="0"/>
    <x v="290"/>
    <x v="53"/>
    <x v="0"/>
    <x v="0"/>
    <n v="379"/>
    <n v="1"/>
    <n v="2000"/>
    <n v="2000"/>
    <n v="1681"/>
    <n v="319"/>
  </r>
  <r>
    <x v="0"/>
    <x v="291"/>
    <x v="53"/>
    <x v="0"/>
    <x v="56"/>
    <n v="143"/>
    <n v="1"/>
    <n v="7500"/>
    <n v="7500"/>
    <n v="6303"/>
    <n v="1197"/>
  </r>
  <r>
    <x v="0"/>
    <x v="291"/>
    <x v="53"/>
    <x v="0"/>
    <x v="56"/>
    <n v="69"/>
    <n v="1"/>
    <n v="3000"/>
    <n v="3000"/>
    <n v="2521"/>
    <n v="479"/>
  </r>
  <r>
    <x v="0"/>
    <x v="292"/>
    <x v="53"/>
    <x v="0"/>
    <x v="21"/>
    <n v="143"/>
    <n v="1"/>
    <n v="7500"/>
    <n v="7500"/>
    <n v="6303"/>
    <n v="1197"/>
  </r>
  <r>
    <x v="0"/>
    <x v="293"/>
    <x v="53"/>
    <x v="0"/>
    <x v="104"/>
    <n v="143"/>
    <n v="2"/>
    <n v="15000"/>
    <n v="30000"/>
    <n v="25210"/>
    <n v="4790"/>
  </r>
  <r>
    <x v="0"/>
    <x v="294"/>
    <x v="53"/>
    <x v="0"/>
    <x v="138"/>
    <n v="236"/>
    <n v="1"/>
    <n v="18990"/>
    <n v="18990"/>
    <n v="15958"/>
    <n v="3032"/>
  </r>
  <r>
    <x v="0"/>
    <x v="294"/>
    <x v="53"/>
    <x v="0"/>
    <x v="138"/>
    <n v="265"/>
    <n v="1"/>
    <n v="10000"/>
    <n v="10000"/>
    <n v="8403"/>
    <n v="1597"/>
  </r>
  <r>
    <x v="0"/>
    <x v="294"/>
    <x v="53"/>
    <x v="0"/>
    <x v="138"/>
    <n v="378"/>
    <n v="2"/>
    <n v="2400"/>
    <n v="4800"/>
    <n v="4034"/>
    <n v="766"/>
  </r>
  <r>
    <x v="0"/>
    <x v="295"/>
    <x v="53"/>
    <x v="0"/>
    <x v="119"/>
    <n v="143"/>
    <n v="1"/>
    <n v="7500"/>
    <n v="7500"/>
    <n v="6303"/>
    <n v="1197"/>
  </r>
  <r>
    <x v="0"/>
    <x v="296"/>
    <x v="53"/>
    <x v="0"/>
    <x v="139"/>
    <n v="143"/>
    <n v="1"/>
    <n v="7500"/>
    <n v="7500"/>
    <n v="6303"/>
    <n v="1197"/>
  </r>
  <r>
    <x v="0"/>
    <x v="297"/>
    <x v="54"/>
    <x v="0"/>
    <x v="35"/>
    <n v="69"/>
    <n v="1"/>
    <n v="3000"/>
    <n v="3000"/>
    <n v="2521"/>
    <n v="479"/>
  </r>
  <r>
    <x v="0"/>
    <x v="297"/>
    <x v="54"/>
    <x v="0"/>
    <x v="35"/>
    <n v="155"/>
    <n v="1"/>
    <n v="1650"/>
    <n v="1650"/>
    <n v="1387"/>
    <n v="263"/>
  </r>
  <r>
    <x v="0"/>
    <x v="298"/>
    <x v="54"/>
    <x v="0"/>
    <x v="37"/>
    <n v="143"/>
    <n v="1"/>
    <n v="7500"/>
    <n v="7500"/>
    <n v="6303"/>
    <n v="1197"/>
  </r>
  <r>
    <x v="0"/>
    <x v="299"/>
    <x v="54"/>
    <x v="0"/>
    <x v="5"/>
    <n v="135"/>
    <n v="1"/>
    <n v="1000"/>
    <n v="1000"/>
    <n v="840"/>
    <n v="160"/>
  </r>
  <r>
    <x v="0"/>
    <x v="299"/>
    <x v="54"/>
    <x v="0"/>
    <x v="5"/>
    <n v="118"/>
    <n v="1"/>
    <n v="3500"/>
    <n v="3500"/>
    <n v="2941"/>
    <n v="559"/>
  </r>
  <r>
    <x v="0"/>
    <x v="300"/>
    <x v="54"/>
    <x v="0"/>
    <x v="122"/>
    <n v="136"/>
    <n v="2"/>
    <n v="9000"/>
    <n v="18000"/>
    <n v="15126"/>
    <n v="2874"/>
  </r>
  <r>
    <x v="0"/>
    <x v="301"/>
    <x v="55"/>
    <x v="0"/>
    <x v="133"/>
    <n v="143"/>
    <n v="1"/>
    <n v="7500"/>
    <n v="7500"/>
    <n v="6303"/>
    <n v="1197"/>
  </r>
  <r>
    <x v="0"/>
    <x v="301"/>
    <x v="55"/>
    <x v="0"/>
    <x v="133"/>
    <n v="277"/>
    <n v="1"/>
    <n v="10000"/>
    <n v="10000"/>
    <n v="8403"/>
    <n v="1597"/>
  </r>
  <r>
    <x v="0"/>
    <x v="301"/>
    <x v="55"/>
    <x v="0"/>
    <x v="133"/>
    <n v="236"/>
    <n v="1"/>
    <n v="18990"/>
    <n v="18990"/>
    <n v="15958"/>
    <n v="3032"/>
  </r>
  <r>
    <x v="0"/>
    <x v="302"/>
    <x v="55"/>
    <x v="0"/>
    <x v="30"/>
    <n v="117"/>
    <n v="4"/>
    <n v="14000"/>
    <n v="56000"/>
    <n v="47059"/>
    <n v="8941"/>
  </r>
  <r>
    <x v="0"/>
    <x v="302"/>
    <x v="55"/>
    <x v="0"/>
    <x v="30"/>
    <n v="356"/>
    <n v="1"/>
    <n v="3000"/>
    <n v="3000"/>
    <n v="2521"/>
    <n v="479"/>
  </r>
  <r>
    <x v="0"/>
    <x v="302"/>
    <x v="55"/>
    <x v="0"/>
    <x v="30"/>
    <n v="97"/>
    <n v="1"/>
    <n v="2000"/>
    <n v="2000"/>
    <n v="1681"/>
    <n v="319"/>
  </r>
  <r>
    <x v="0"/>
    <x v="302"/>
    <x v="55"/>
    <x v="0"/>
    <x v="30"/>
    <n v="162"/>
    <n v="2"/>
    <n v="3200"/>
    <n v="6400"/>
    <n v="5378"/>
    <n v="1022"/>
  </r>
  <r>
    <x v="0"/>
    <x v="302"/>
    <x v="55"/>
    <x v="0"/>
    <x v="30"/>
    <n v="368"/>
    <n v="3"/>
    <n v="9000"/>
    <n v="27000"/>
    <n v="22689"/>
    <n v="4311"/>
  </r>
  <r>
    <x v="0"/>
    <x v="302"/>
    <x v="55"/>
    <x v="0"/>
    <x v="30"/>
    <n v="231"/>
    <n v="1"/>
    <n v="19990"/>
    <n v="19990"/>
    <n v="16798"/>
    <n v="3192"/>
  </r>
  <r>
    <x v="0"/>
    <x v="302"/>
    <x v="55"/>
    <x v="0"/>
    <x v="30"/>
    <n v="69"/>
    <n v="1"/>
    <n v="3000"/>
    <n v="3000"/>
    <n v="2521"/>
    <n v="479"/>
  </r>
  <r>
    <x v="0"/>
    <x v="302"/>
    <x v="55"/>
    <x v="0"/>
    <x v="30"/>
    <n v="67"/>
    <n v="1"/>
    <n v="650"/>
    <n v="650"/>
    <n v="546"/>
    <n v="104"/>
  </r>
  <r>
    <x v="0"/>
    <x v="302"/>
    <x v="55"/>
    <x v="0"/>
    <x v="30"/>
    <n v="386"/>
    <n v="2"/>
    <n v="5400"/>
    <n v="10800"/>
    <n v="9076"/>
    <n v="1724"/>
  </r>
  <r>
    <x v="0"/>
    <x v="303"/>
    <x v="55"/>
    <x v="0"/>
    <x v="1"/>
    <n v="118"/>
    <n v="1"/>
    <n v="3500"/>
    <n v="3500"/>
    <n v="2941"/>
    <n v="559"/>
  </r>
  <r>
    <x v="0"/>
    <x v="304"/>
    <x v="55"/>
    <x v="0"/>
    <x v="7"/>
    <n v="136"/>
    <n v="1"/>
    <n v="4500"/>
    <n v="4500"/>
    <n v="3782"/>
    <n v="718"/>
  </r>
  <r>
    <x v="0"/>
    <x v="305"/>
    <x v="55"/>
    <x v="0"/>
    <x v="27"/>
    <n v="143"/>
    <n v="1"/>
    <n v="7500"/>
    <n v="7500"/>
    <n v="6303"/>
    <n v="1197"/>
  </r>
  <r>
    <x v="0"/>
    <x v="306"/>
    <x v="55"/>
    <x v="0"/>
    <x v="26"/>
    <n v="143"/>
    <n v="1"/>
    <n v="7500"/>
    <n v="7500"/>
    <n v="6303"/>
    <n v="1197"/>
  </r>
  <r>
    <x v="0"/>
    <x v="307"/>
    <x v="55"/>
    <x v="0"/>
    <x v="61"/>
    <n v="383"/>
    <n v="1"/>
    <n v="2400"/>
    <n v="2400"/>
    <n v="2017"/>
    <n v="383"/>
  </r>
  <r>
    <x v="0"/>
    <x v="307"/>
    <x v="55"/>
    <x v="0"/>
    <x v="61"/>
    <n v="165"/>
    <n v="1"/>
    <n v="2000"/>
    <n v="2000"/>
    <n v="1681"/>
    <n v="319"/>
  </r>
  <r>
    <x v="0"/>
    <x v="308"/>
    <x v="56"/>
    <x v="0"/>
    <x v="84"/>
    <n v="324"/>
    <n v="1"/>
    <n v="10500"/>
    <n v="10500"/>
    <n v="8824"/>
    <n v="1676"/>
  </r>
  <r>
    <x v="0"/>
    <x v="309"/>
    <x v="56"/>
    <x v="0"/>
    <x v="131"/>
    <n v="143"/>
    <n v="2"/>
    <n v="15000"/>
    <n v="30000"/>
    <n v="25210"/>
    <n v="4790"/>
  </r>
  <r>
    <x v="0"/>
    <x v="310"/>
    <x v="56"/>
    <x v="0"/>
    <x v="5"/>
    <n v="55"/>
    <n v="1"/>
    <n v="1600"/>
    <n v="1600"/>
    <n v="1345"/>
    <n v="255"/>
  </r>
  <r>
    <x v="0"/>
    <x v="311"/>
    <x v="56"/>
    <x v="0"/>
    <x v="45"/>
    <n v="143"/>
    <n v="1"/>
    <n v="7500"/>
    <n v="7500"/>
    <n v="6303"/>
    <n v="1197"/>
  </r>
  <r>
    <x v="0"/>
    <x v="311"/>
    <x v="56"/>
    <x v="0"/>
    <x v="45"/>
    <n v="324"/>
    <n v="1"/>
    <n v="10500"/>
    <n v="10500"/>
    <n v="8824"/>
    <n v="1676"/>
  </r>
  <r>
    <x v="0"/>
    <x v="312"/>
    <x v="57"/>
    <x v="0"/>
    <x v="140"/>
    <n v="361"/>
    <n v="1"/>
    <n v="3500"/>
    <n v="3500"/>
    <n v="2941"/>
    <n v="559"/>
  </r>
  <r>
    <x v="0"/>
    <x v="312"/>
    <x v="57"/>
    <x v="0"/>
    <x v="140"/>
    <n v="354"/>
    <n v="1"/>
    <n v="1800"/>
    <n v="1800"/>
    <n v="1513"/>
    <n v="287"/>
  </r>
  <r>
    <x v="0"/>
    <x v="313"/>
    <x v="57"/>
    <x v="0"/>
    <x v="141"/>
    <n v="329"/>
    <n v="1"/>
    <n v="5500"/>
    <n v="5500"/>
    <n v="4622"/>
    <n v="878"/>
  </r>
  <r>
    <x v="0"/>
    <x v="314"/>
    <x v="57"/>
    <x v="0"/>
    <x v="36"/>
    <n v="143"/>
    <n v="2"/>
    <n v="15200"/>
    <n v="30400"/>
    <n v="25546"/>
    <n v="4854"/>
  </r>
  <r>
    <x v="0"/>
    <x v="315"/>
    <x v="57"/>
    <x v="0"/>
    <x v="70"/>
    <n v="293"/>
    <n v="1"/>
    <n v="9500"/>
    <n v="9500"/>
    <n v="7983"/>
    <n v="1517"/>
  </r>
  <r>
    <x v="0"/>
    <x v="316"/>
    <x v="57"/>
    <x v="0"/>
    <x v="142"/>
    <n v="231"/>
    <n v="1"/>
    <n v="19990"/>
    <n v="19990"/>
    <n v="16798"/>
    <n v="3192"/>
  </r>
  <r>
    <x v="0"/>
    <x v="317"/>
    <x v="57"/>
    <x v="0"/>
    <x v="143"/>
    <n v="25"/>
    <n v="1"/>
    <n v="1800"/>
    <n v="1800"/>
    <n v="1513"/>
    <n v="287"/>
  </r>
  <r>
    <x v="0"/>
    <x v="317"/>
    <x v="57"/>
    <x v="0"/>
    <x v="143"/>
    <n v="377"/>
    <n v="1"/>
    <n v="1600"/>
    <n v="1600"/>
    <n v="1345"/>
    <n v="255"/>
  </r>
  <r>
    <x v="0"/>
    <x v="317"/>
    <x v="57"/>
    <x v="0"/>
    <x v="143"/>
    <n v="286"/>
    <n v="1"/>
    <n v="1100"/>
    <n v="1100"/>
    <n v="924"/>
    <n v="176"/>
  </r>
  <r>
    <x v="0"/>
    <x v="317"/>
    <x v="57"/>
    <x v="0"/>
    <x v="143"/>
    <n v="378"/>
    <n v="2"/>
    <n v="2400"/>
    <n v="4800"/>
    <n v="4034"/>
    <n v="766"/>
  </r>
  <r>
    <x v="0"/>
    <x v="317"/>
    <x v="57"/>
    <x v="0"/>
    <x v="143"/>
    <n v="168"/>
    <n v="1"/>
    <n v="1500"/>
    <n v="1500"/>
    <n v="1261"/>
    <n v="239"/>
  </r>
  <r>
    <x v="0"/>
    <x v="317"/>
    <x v="57"/>
    <x v="0"/>
    <x v="143"/>
    <n v="55"/>
    <n v="1"/>
    <n v="1600"/>
    <n v="1600"/>
    <n v="1345"/>
    <n v="255"/>
  </r>
  <r>
    <x v="0"/>
    <x v="317"/>
    <x v="57"/>
    <x v="0"/>
    <x v="143"/>
    <n v="126"/>
    <n v="1"/>
    <n v="9000"/>
    <n v="9000"/>
    <n v="7563"/>
    <n v="1437"/>
  </r>
  <r>
    <x v="0"/>
    <x v="318"/>
    <x v="57"/>
    <x v="0"/>
    <x v="28"/>
    <n v="143"/>
    <n v="1"/>
    <n v="7500"/>
    <n v="7500"/>
    <n v="6303"/>
    <n v="1197"/>
  </r>
  <r>
    <x v="0"/>
    <x v="319"/>
    <x v="58"/>
    <x v="0"/>
    <x v="4"/>
    <n v="143"/>
    <n v="1"/>
    <n v="7600"/>
    <n v="7600"/>
    <n v="6387"/>
    <n v="1213"/>
  </r>
  <r>
    <x v="0"/>
    <x v="319"/>
    <x v="58"/>
    <x v="0"/>
    <x v="4"/>
    <n v="164"/>
    <n v="1"/>
    <n v="3200"/>
    <n v="3200"/>
    <n v="2689"/>
    <n v="511"/>
  </r>
  <r>
    <x v="0"/>
    <x v="319"/>
    <x v="58"/>
    <x v="0"/>
    <x v="4"/>
    <n v="97"/>
    <n v="1"/>
    <n v="2000"/>
    <n v="2000"/>
    <n v="1681"/>
    <n v="319"/>
  </r>
  <r>
    <x v="0"/>
    <x v="319"/>
    <x v="58"/>
    <x v="0"/>
    <x v="4"/>
    <n v="117"/>
    <n v="2"/>
    <n v="7000"/>
    <n v="14000"/>
    <n v="11765"/>
    <n v="2235"/>
  </r>
  <r>
    <x v="0"/>
    <x v="319"/>
    <x v="58"/>
    <x v="0"/>
    <x v="4"/>
    <n v="66"/>
    <n v="1"/>
    <n v="600"/>
    <n v="600"/>
    <n v="504"/>
    <n v="96"/>
  </r>
  <r>
    <x v="0"/>
    <x v="319"/>
    <x v="58"/>
    <x v="0"/>
    <x v="4"/>
    <n v="67"/>
    <n v="1"/>
    <n v="650"/>
    <n v="650"/>
    <n v="546"/>
    <n v="104"/>
  </r>
  <r>
    <x v="0"/>
    <x v="319"/>
    <x v="58"/>
    <x v="0"/>
    <x v="4"/>
    <n v="68"/>
    <n v="1"/>
    <n v="1200"/>
    <n v="1200"/>
    <n v="1008"/>
    <n v="192"/>
  </r>
  <r>
    <x v="0"/>
    <x v="319"/>
    <x v="58"/>
    <x v="0"/>
    <x v="4"/>
    <n v="69"/>
    <n v="1"/>
    <n v="3000"/>
    <n v="3000"/>
    <n v="2521"/>
    <n v="479"/>
  </r>
  <r>
    <x v="0"/>
    <x v="319"/>
    <x v="58"/>
    <x v="0"/>
    <x v="4"/>
    <n v="29"/>
    <n v="1"/>
    <n v="1000"/>
    <n v="1000"/>
    <n v="840"/>
    <n v="160"/>
  </r>
  <r>
    <x v="0"/>
    <x v="320"/>
    <x v="58"/>
    <x v="0"/>
    <x v="36"/>
    <n v="29"/>
    <n v="1"/>
    <n v="1000"/>
    <n v="1000"/>
    <n v="840"/>
    <n v="160"/>
  </r>
  <r>
    <x v="0"/>
    <x v="321"/>
    <x v="58"/>
    <x v="0"/>
    <x v="5"/>
    <n v="329"/>
    <n v="1"/>
    <n v="5500"/>
    <n v="5500"/>
    <n v="4622"/>
    <n v="878"/>
  </r>
  <r>
    <x v="0"/>
    <x v="322"/>
    <x v="58"/>
    <x v="0"/>
    <x v="38"/>
    <n v="329"/>
    <n v="1"/>
    <n v="5500"/>
    <n v="5500"/>
    <n v="4622"/>
    <n v="878"/>
  </r>
  <r>
    <x v="0"/>
    <x v="323"/>
    <x v="58"/>
    <x v="0"/>
    <x v="136"/>
    <n v="135"/>
    <n v="1"/>
    <n v="1000"/>
    <n v="1000"/>
    <n v="840"/>
    <n v="160"/>
  </r>
  <r>
    <x v="0"/>
    <x v="323"/>
    <x v="58"/>
    <x v="0"/>
    <x v="136"/>
    <n v="136"/>
    <n v="1"/>
    <n v="4500"/>
    <n v="4500"/>
    <n v="3782"/>
    <n v="718"/>
  </r>
  <r>
    <x v="0"/>
    <x v="324"/>
    <x v="58"/>
    <x v="0"/>
    <x v="87"/>
    <n v="143"/>
    <n v="1"/>
    <n v="7600"/>
    <n v="7600"/>
    <n v="6387"/>
    <n v="1213"/>
  </r>
  <r>
    <x v="0"/>
    <x v="325"/>
    <x v="58"/>
    <x v="0"/>
    <x v="46"/>
    <n v="231"/>
    <n v="1"/>
    <n v="19990"/>
    <n v="19990"/>
    <n v="16798"/>
    <n v="3192"/>
  </r>
  <r>
    <x v="0"/>
    <x v="325"/>
    <x v="58"/>
    <x v="0"/>
    <x v="46"/>
    <n v="244"/>
    <n v="1"/>
    <n v="14900"/>
    <n v="14900"/>
    <n v="12521"/>
    <n v="2379"/>
  </r>
  <r>
    <x v="0"/>
    <x v="325"/>
    <x v="58"/>
    <x v="0"/>
    <x v="46"/>
    <n v="227"/>
    <n v="1"/>
    <n v="13500"/>
    <n v="13500"/>
    <n v="11345"/>
    <n v="2155"/>
  </r>
  <r>
    <x v="0"/>
    <x v="326"/>
    <x v="58"/>
    <x v="0"/>
    <x v="24"/>
    <n v="230"/>
    <n v="1"/>
    <n v="15500"/>
    <n v="15500"/>
    <n v="13025"/>
    <n v="2475"/>
  </r>
  <r>
    <x v="0"/>
    <x v="326"/>
    <x v="58"/>
    <x v="0"/>
    <x v="24"/>
    <n v="165"/>
    <n v="1"/>
    <n v="2000"/>
    <n v="2000"/>
    <n v="1681"/>
    <n v="319"/>
  </r>
  <r>
    <x v="0"/>
    <x v="327"/>
    <x v="58"/>
    <x v="0"/>
    <x v="63"/>
    <n v="165"/>
    <n v="1"/>
    <n v="2000"/>
    <n v="2000"/>
    <n v="1681"/>
    <n v="319"/>
  </r>
  <r>
    <x v="0"/>
    <x v="328"/>
    <x v="58"/>
    <x v="0"/>
    <x v="26"/>
    <n v="118"/>
    <n v="1"/>
    <n v="3500"/>
    <n v="3500"/>
    <n v="2941"/>
    <n v="559"/>
  </r>
  <r>
    <x v="0"/>
    <x v="328"/>
    <x v="58"/>
    <x v="0"/>
    <x v="26"/>
    <n v="97"/>
    <n v="1"/>
    <n v="2000"/>
    <n v="2000"/>
    <n v="1681"/>
    <n v="319"/>
  </r>
  <r>
    <x v="0"/>
    <x v="328"/>
    <x v="58"/>
    <x v="0"/>
    <x v="26"/>
    <n v="329"/>
    <n v="1"/>
    <n v="5500"/>
    <n v="5500"/>
    <n v="4622"/>
    <n v="878"/>
  </r>
  <r>
    <x v="0"/>
    <x v="328"/>
    <x v="58"/>
    <x v="0"/>
    <x v="26"/>
    <n v="247"/>
    <n v="1"/>
    <n v="2800"/>
    <n v="2800"/>
    <n v="2353"/>
    <n v="447"/>
  </r>
  <r>
    <x v="0"/>
    <x v="328"/>
    <x v="58"/>
    <x v="0"/>
    <x v="26"/>
    <n v="259"/>
    <n v="1"/>
    <n v="4500"/>
    <n v="4500"/>
    <n v="3782"/>
    <n v="718"/>
  </r>
  <r>
    <x v="0"/>
    <x v="329"/>
    <x v="58"/>
    <x v="0"/>
    <x v="58"/>
    <n v="230"/>
    <n v="1"/>
    <n v="15500"/>
    <n v="15500"/>
    <n v="13025"/>
    <n v="2475"/>
  </r>
  <r>
    <x v="0"/>
    <x v="329"/>
    <x v="58"/>
    <x v="0"/>
    <x v="58"/>
    <n v="329"/>
    <n v="1"/>
    <n v="5500"/>
    <n v="5500"/>
    <n v="4622"/>
    <n v="878"/>
  </r>
  <r>
    <x v="0"/>
    <x v="330"/>
    <x v="58"/>
    <x v="0"/>
    <x v="9"/>
    <n v="69"/>
    <n v="1"/>
    <n v="3000"/>
    <n v="3000"/>
    <n v="2521"/>
    <n v="479"/>
  </r>
  <r>
    <x v="0"/>
    <x v="330"/>
    <x v="58"/>
    <x v="0"/>
    <x v="9"/>
    <n v="329"/>
    <n v="1"/>
    <n v="5500"/>
    <n v="5500"/>
    <n v="4622"/>
    <n v="878"/>
  </r>
  <r>
    <x v="0"/>
    <x v="331"/>
    <x v="58"/>
    <x v="0"/>
    <x v="61"/>
    <n v="329"/>
    <n v="1"/>
    <n v="5500"/>
    <n v="5500"/>
    <n v="4622"/>
    <n v="878"/>
  </r>
  <r>
    <x v="0"/>
    <x v="332"/>
    <x v="59"/>
    <x v="0"/>
    <x v="51"/>
    <n v="230"/>
    <n v="1"/>
    <n v="15500"/>
    <n v="15500"/>
    <n v="13025"/>
    <n v="2475"/>
  </r>
  <r>
    <x v="0"/>
    <x v="332"/>
    <x v="59"/>
    <x v="0"/>
    <x v="51"/>
    <n v="369"/>
    <n v="1"/>
    <n v="10500"/>
    <n v="10500"/>
    <n v="8824"/>
    <n v="1676"/>
  </r>
  <r>
    <x v="0"/>
    <x v="332"/>
    <x v="59"/>
    <x v="0"/>
    <x v="51"/>
    <n v="118"/>
    <n v="1"/>
    <n v="3500"/>
    <n v="3500"/>
    <n v="2941"/>
    <n v="559"/>
  </r>
  <r>
    <x v="0"/>
    <x v="332"/>
    <x v="59"/>
    <x v="0"/>
    <x v="51"/>
    <n v="25"/>
    <n v="1"/>
    <n v="1800"/>
    <n v="1800"/>
    <n v="1513"/>
    <n v="287"/>
  </r>
  <r>
    <x v="0"/>
    <x v="333"/>
    <x v="59"/>
    <x v="0"/>
    <x v="73"/>
    <n v="356"/>
    <n v="1"/>
    <n v="3000"/>
    <n v="3000"/>
    <n v="2521"/>
    <n v="479"/>
  </r>
  <r>
    <x v="0"/>
    <x v="334"/>
    <x v="59"/>
    <x v="0"/>
    <x v="61"/>
    <n v="118"/>
    <n v="1"/>
    <n v="3500"/>
    <n v="3500"/>
    <n v="2941"/>
    <n v="559"/>
  </r>
  <r>
    <x v="0"/>
    <x v="334"/>
    <x v="59"/>
    <x v="0"/>
    <x v="61"/>
    <n v="368"/>
    <n v="1"/>
    <n v="3000"/>
    <n v="3000"/>
    <n v="2521"/>
    <n v="479"/>
  </r>
  <r>
    <x v="0"/>
    <x v="335"/>
    <x v="60"/>
    <x v="0"/>
    <x v="124"/>
    <n v="143"/>
    <n v="1"/>
    <n v="7600"/>
    <n v="7600"/>
    <n v="6387"/>
    <n v="1213"/>
  </r>
  <r>
    <x v="0"/>
    <x v="336"/>
    <x v="60"/>
    <x v="0"/>
    <x v="36"/>
    <n v="167"/>
    <n v="1"/>
    <n v="8200"/>
    <n v="8200"/>
    <n v="6891"/>
    <n v="1309"/>
  </r>
  <r>
    <x v="0"/>
    <x v="337"/>
    <x v="60"/>
    <x v="0"/>
    <x v="21"/>
    <n v="135"/>
    <n v="2"/>
    <n v="2000"/>
    <n v="4000"/>
    <n v="3361"/>
    <n v="639"/>
  </r>
  <r>
    <x v="0"/>
    <x v="338"/>
    <x v="60"/>
    <x v="0"/>
    <x v="72"/>
    <n v="117"/>
    <n v="2"/>
    <n v="7000"/>
    <n v="14000"/>
    <n v="11765"/>
    <n v="2235"/>
  </r>
  <r>
    <x v="0"/>
    <x v="338"/>
    <x v="60"/>
    <x v="0"/>
    <x v="72"/>
    <n v="57"/>
    <n v="1"/>
    <n v="4000"/>
    <n v="4000"/>
    <n v="3361"/>
    <n v="639"/>
  </r>
  <r>
    <x v="0"/>
    <x v="339"/>
    <x v="60"/>
    <x v="0"/>
    <x v="59"/>
    <n v="143"/>
    <n v="1"/>
    <n v="7600"/>
    <n v="7600"/>
    <n v="6387"/>
    <n v="1213"/>
  </r>
  <r>
    <x v="0"/>
    <x v="339"/>
    <x v="60"/>
    <x v="0"/>
    <x v="59"/>
    <n v="368"/>
    <n v="1"/>
    <n v="3000"/>
    <n v="3000"/>
    <n v="2521"/>
    <n v="479"/>
  </r>
  <r>
    <x v="0"/>
    <x v="340"/>
    <x v="60"/>
    <x v="0"/>
    <x v="7"/>
    <n v="230"/>
    <n v="1"/>
    <n v="15500"/>
    <n v="15500"/>
    <n v="13025"/>
    <n v="2475"/>
  </r>
  <r>
    <x v="0"/>
    <x v="340"/>
    <x v="60"/>
    <x v="0"/>
    <x v="7"/>
    <n v="118"/>
    <n v="1"/>
    <n v="3500"/>
    <n v="3500"/>
    <n v="2941"/>
    <n v="559"/>
  </r>
  <r>
    <x v="0"/>
    <x v="341"/>
    <x v="60"/>
    <x v="0"/>
    <x v="85"/>
    <n v="143"/>
    <n v="1"/>
    <n v="7600"/>
    <n v="7600"/>
    <n v="6387"/>
    <n v="1213"/>
  </r>
  <r>
    <x v="0"/>
    <x v="342"/>
    <x v="60"/>
    <x v="0"/>
    <x v="27"/>
    <n v="143"/>
    <n v="1"/>
    <n v="7600"/>
    <n v="7600"/>
    <n v="6387"/>
    <n v="1213"/>
  </r>
  <r>
    <x v="0"/>
    <x v="343"/>
    <x v="61"/>
    <x v="0"/>
    <x v="5"/>
    <n v="117"/>
    <n v="1"/>
    <n v="3500"/>
    <n v="3500"/>
    <n v="2941"/>
    <n v="559"/>
  </r>
  <r>
    <x v="0"/>
    <x v="344"/>
    <x v="61"/>
    <x v="0"/>
    <x v="6"/>
    <n v="231"/>
    <n v="1"/>
    <n v="19990"/>
    <n v="19990"/>
    <n v="16798"/>
    <n v="3192"/>
  </r>
  <r>
    <x v="0"/>
    <x v="345"/>
    <x v="61"/>
    <x v="0"/>
    <x v="34"/>
    <n v="143"/>
    <n v="1"/>
    <n v="7600"/>
    <n v="7600"/>
    <n v="6387"/>
    <n v="1213"/>
  </r>
  <r>
    <x v="0"/>
    <x v="346"/>
    <x v="61"/>
    <x v="0"/>
    <x v="63"/>
    <n v="98"/>
    <n v="1"/>
    <n v="3500"/>
    <n v="3500"/>
    <n v="2941"/>
    <n v="559"/>
  </r>
  <r>
    <x v="0"/>
    <x v="347"/>
    <x v="61"/>
    <x v="0"/>
    <x v="111"/>
    <n v="143"/>
    <n v="1"/>
    <n v="7600"/>
    <n v="7600"/>
    <n v="6387"/>
    <n v="1213"/>
  </r>
  <r>
    <x v="0"/>
    <x v="348"/>
    <x v="62"/>
    <x v="0"/>
    <x v="43"/>
    <n v="126"/>
    <n v="2"/>
    <n v="18000"/>
    <n v="36000"/>
    <n v="30252"/>
    <n v="5748"/>
  </r>
  <r>
    <x v="0"/>
    <x v="349"/>
    <x v="62"/>
    <x v="0"/>
    <x v="2"/>
    <n v="230"/>
    <n v="1"/>
    <n v="15500"/>
    <n v="15500"/>
    <n v="13025"/>
    <n v="2475"/>
  </r>
  <r>
    <x v="0"/>
    <x v="350"/>
    <x v="62"/>
    <x v="0"/>
    <x v="22"/>
    <n v="371"/>
    <n v="1"/>
    <n v="9500"/>
    <n v="9500"/>
    <n v="7983"/>
    <n v="1517"/>
  </r>
  <r>
    <x v="0"/>
    <x v="350"/>
    <x v="62"/>
    <x v="0"/>
    <x v="22"/>
    <n v="233"/>
    <n v="1"/>
    <n v="15990"/>
    <n v="15990"/>
    <n v="13437"/>
    <n v="2553"/>
  </r>
  <r>
    <x v="0"/>
    <x v="351"/>
    <x v="62"/>
    <x v="0"/>
    <x v="29"/>
    <n v="191"/>
    <n v="2"/>
    <n v="5000"/>
    <n v="10000"/>
    <n v="8403"/>
    <n v="1597"/>
  </r>
  <r>
    <x v="0"/>
    <x v="352"/>
    <x v="63"/>
    <x v="0"/>
    <x v="144"/>
    <n v="290"/>
    <n v="1"/>
    <n v="1200"/>
    <n v="1200"/>
    <n v="1008"/>
    <n v="192"/>
  </r>
  <r>
    <x v="0"/>
    <x v="352"/>
    <x v="63"/>
    <x v="0"/>
    <x v="144"/>
    <n v="124"/>
    <n v="1"/>
    <n v="4000"/>
    <n v="4000"/>
    <n v="3361"/>
    <n v="639"/>
  </r>
  <r>
    <x v="0"/>
    <x v="353"/>
    <x v="63"/>
    <x v="0"/>
    <x v="145"/>
    <n v="140"/>
    <n v="1"/>
    <n v="3500"/>
    <n v="3500"/>
    <n v="2941"/>
    <n v="559"/>
  </r>
  <r>
    <x v="0"/>
    <x v="354"/>
    <x v="63"/>
    <x v="0"/>
    <x v="5"/>
    <n v="329"/>
    <n v="1"/>
    <n v="5500"/>
    <n v="5500"/>
    <n v="4622"/>
    <n v="878"/>
  </r>
  <r>
    <x v="0"/>
    <x v="355"/>
    <x v="63"/>
    <x v="0"/>
    <x v="21"/>
    <n v="143"/>
    <n v="1"/>
    <n v="7600"/>
    <n v="7600"/>
    <n v="6387"/>
    <n v="1213"/>
  </r>
  <r>
    <x v="0"/>
    <x v="356"/>
    <x v="63"/>
    <x v="0"/>
    <x v="146"/>
    <n v="143"/>
    <n v="1"/>
    <n v="7600"/>
    <n v="7600"/>
    <n v="6387"/>
    <n v="1213"/>
  </r>
  <r>
    <x v="0"/>
    <x v="357"/>
    <x v="63"/>
    <x v="0"/>
    <x v="147"/>
    <n v="143"/>
    <n v="1"/>
    <n v="7600"/>
    <n v="7600"/>
    <n v="6387"/>
    <n v="1213"/>
  </r>
  <r>
    <x v="0"/>
    <x v="358"/>
    <x v="63"/>
    <x v="0"/>
    <x v="148"/>
    <n v="143"/>
    <n v="1"/>
    <n v="7600"/>
    <n v="7600"/>
    <n v="6387"/>
    <n v="1213"/>
  </r>
  <r>
    <x v="0"/>
    <x v="359"/>
    <x v="64"/>
    <x v="0"/>
    <x v="1"/>
    <n v="227"/>
    <n v="1"/>
    <n v="13500"/>
    <n v="13500"/>
    <n v="11345"/>
    <n v="2155"/>
  </r>
  <r>
    <x v="0"/>
    <x v="360"/>
    <x v="64"/>
    <x v="0"/>
    <x v="149"/>
    <n v="126"/>
    <n v="1"/>
    <n v="9000"/>
    <n v="9000"/>
    <n v="7563"/>
    <n v="1437"/>
  </r>
  <r>
    <x v="0"/>
    <x v="360"/>
    <x v="64"/>
    <x v="0"/>
    <x v="149"/>
    <n v="124"/>
    <n v="1"/>
    <n v="4000"/>
    <n v="4000"/>
    <n v="3361"/>
    <n v="639"/>
  </r>
  <r>
    <x v="0"/>
    <x v="361"/>
    <x v="64"/>
    <x v="0"/>
    <x v="8"/>
    <n v="324"/>
    <n v="1"/>
    <n v="10500"/>
    <n v="10500"/>
    <n v="8824"/>
    <n v="1676"/>
  </r>
  <r>
    <x v="0"/>
    <x v="362"/>
    <x v="64"/>
    <x v="0"/>
    <x v="47"/>
    <n v="143"/>
    <n v="1"/>
    <n v="7600"/>
    <n v="7600"/>
    <n v="6387"/>
    <n v="1213"/>
  </r>
  <r>
    <x v="0"/>
    <x v="363"/>
    <x v="64"/>
    <x v="0"/>
    <x v="80"/>
    <n v="324"/>
    <n v="1"/>
    <n v="10500"/>
    <n v="10500"/>
    <n v="8824"/>
    <n v="1676"/>
  </r>
  <r>
    <x v="0"/>
    <x v="364"/>
    <x v="64"/>
    <x v="0"/>
    <x v="26"/>
    <n v="165"/>
    <n v="1"/>
    <n v="2000"/>
    <n v="2000"/>
    <n v="1681"/>
    <n v="319"/>
  </r>
  <r>
    <x v="0"/>
    <x v="364"/>
    <x v="64"/>
    <x v="0"/>
    <x v="26"/>
    <n v="277"/>
    <n v="1"/>
    <n v="10000"/>
    <n v="10000"/>
    <n v="8403"/>
    <n v="1597"/>
  </r>
  <r>
    <x v="0"/>
    <x v="364"/>
    <x v="64"/>
    <x v="0"/>
    <x v="26"/>
    <n v="29"/>
    <n v="2"/>
    <n v="2000"/>
    <n v="4000"/>
    <n v="3361"/>
    <n v="639"/>
  </r>
  <r>
    <x v="0"/>
    <x v="365"/>
    <x v="64"/>
    <x v="0"/>
    <x v="150"/>
    <n v="233"/>
    <n v="1"/>
    <n v="15990"/>
    <n v="15990"/>
    <n v="13437"/>
    <n v="2553"/>
  </r>
  <r>
    <x v="0"/>
    <x v="365"/>
    <x v="64"/>
    <x v="0"/>
    <x v="150"/>
    <n v="369"/>
    <n v="1"/>
    <n v="10500"/>
    <n v="10500"/>
    <n v="8824"/>
    <n v="1676"/>
  </r>
  <r>
    <x v="0"/>
    <x v="365"/>
    <x v="64"/>
    <x v="0"/>
    <x v="150"/>
    <n v="264"/>
    <n v="1"/>
    <n v="5000"/>
    <n v="5000"/>
    <n v="4202"/>
    <n v="798"/>
  </r>
  <r>
    <x v="0"/>
    <x v="365"/>
    <x v="64"/>
    <x v="0"/>
    <x v="150"/>
    <n v="356"/>
    <n v="2"/>
    <n v="6000"/>
    <n v="12000"/>
    <n v="10084"/>
    <n v="1916"/>
  </r>
  <r>
    <x v="0"/>
    <x v="365"/>
    <x v="64"/>
    <x v="0"/>
    <x v="150"/>
    <n v="360"/>
    <n v="2"/>
    <n v="6000"/>
    <n v="12000"/>
    <n v="10084"/>
    <n v="1916"/>
  </r>
  <r>
    <x v="0"/>
    <x v="365"/>
    <x v="64"/>
    <x v="0"/>
    <x v="150"/>
    <n v="29"/>
    <n v="2"/>
    <n v="2000"/>
    <n v="4000"/>
    <n v="3361"/>
    <n v="639"/>
  </r>
  <r>
    <x v="0"/>
    <x v="365"/>
    <x v="64"/>
    <x v="0"/>
    <x v="150"/>
    <n v="124"/>
    <n v="1"/>
    <n v="4000"/>
    <n v="4000"/>
    <n v="3361"/>
    <n v="639"/>
  </r>
  <r>
    <x v="0"/>
    <x v="366"/>
    <x v="64"/>
    <x v="0"/>
    <x v="10"/>
    <n v="143"/>
    <n v="2"/>
    <n v="15200"/>
    <n v="30400"/>
    <n v="25546"/>
    <n v="4854"/>
  </r>
  <r>
    <x v="0"/>
    <x v="367"/>
    <x v="64"/>
    <x v="0"/>
    <x v="151"/>
    <n v="135"/>
    <n v="3"/>
    <n v="3000"/>
    <n v="9000"/>
    <n v="7563"/>
    <n v="1437"/>
  </r>
  <r>
    <x v="0"/>
    <x v="368"/>
    <x v="64"/>
    <x v="0"/>
    <x v="64"/>
    <n v="143"/>
    <n v="1"/>
    <n v="7600"/>
    <n v="7600"/>
    <n v="6387"/>
    <n v="1213"/>
  </r>
  <r>
    <x v="0"/>
    <x v="369"/>
    <x v="65"/>
    <x v="0"/>
    <x v="17"/>
    <n v="324"/>
    <n v="1"/>
    <n v="10500"/>
    <n v="10500"/>
    <n v="8824"/>
    <n v="1676"/>
  </r>
  <r>
    <x v="0"/>
    <x v="370"/>
    <x v="65"/>
    <x v="0"/>
    <x v="18"/>
    <n v="329"/>
    <n v="1"/>
    <n v="5500"/>
    <n v="5500"/>
    <n v="4622"/>
    <n v="878"/>
  </r>
  <r>
    <x v="0"/>
    <x v="371"/>
    <x v="65"/>
    <x v="0"/>
    <x v="141"/>
    <n v="329"/>
    <n v="1"/>
    <n v="5500"/>
    <n v="5500"/>
    <n v="4622"/>
    <n v="878"/>
  </r>
  <r>
    <x v="0"/>
    <x v="372"/>
    <x v="65"/>
    <x v="0"/>
    <x v="36"/>
    <n v="324"/>
    <n v="1"/>
    <n v="10500"/>
    <n v="10500"/>
    <n v="8824"/>
    <n v="1676"/>
  </r>
  <r>
    <x v="0"/>
    <x v="372"/>
    <x v="65"/>
    <x v="0"/>
    <x v="36"/>
    <n v="276"/>
    <n v="1"/>
    <n v="8000"/>
    <n v="8000"/>
    <n v="6723"/>
    <n v="1277"/>
  </r>
  <r>
    <x v="0"/>
    <x v="372"/>
    <x v="65"/>
    <x v="0"/>
    <x v="36"/>
    <n v="26"/>
    <n v="1"/>
    <n v="3400"/>
    <n v="3400"/>
    <n v="2857"/>
    <n v="543"/>
  </r>
  <r>
    <x v="0"/>
    <x v="372"/>
    <x v="65"/>
    <x v="0"/>
    <x v="36"/>
    <n v="247"/>
    <n v="1"/>
    <n v="2800"/>
    <n v="2800"/>
    <n v="2353"/>
    <n v="447"/>
  </r>
  <r>
    <x v="0"/>
    <x v="372"/>
    <x v="65"/>
    <x v="0"/>
    <x v="36"/>
    <n v="82"/>
    <n v="1"/>
    <n v="1600"/>
    <n v="1600"/>
    <n v="1345"/>
    <n v="255"/>
  </r>
  <r>
    <x v="0"/>
    <x v="372"/>
    <x v="65"/>
    <x v="0"/>
    <x v="36"/>
    <n v="83"/>
    <n v="1"/>
    <n v="1600"/>
    <n v="1600"/>
    <n v="1345"/>
    <n v="255"/>
  </r>
  <r>
    <x v="0"/>
    <x v="372"/>
    <x v="65"/>
    <x v="0"/>
    <x v="36"/>
    <n v="378"/>
    <n v="2"/>
    <n v="2400"/>
    <n v="4800"/>
    <n v="4034"/>
    <n v="766"/>
  </r>
  <r>
    <x v="0"/>
    <x v="372"/>
    <x v="65"/>
    <x v="0"/>
    <x v="36"/>
    <n v="114"/>
    <n v="1"/>
    <n v="1600"/>
    <n v="1600"/>
    <n v="1345"/>
    <n v="255"/>
  </r>
  <r>
    <x v="0"/>
    <x v="372"/>
    <x v="65"/>
    <x v="0"/>
    <x v="36"/>
    <n v="100"/>
    <n v="1"/>
    <n v="1500"/>
    <n v="1500"/>
    <n v="1261"/>
    <n v="239"/>
  </r>
  <r>
    <x v="0"/>
    <x v="373"/>
    <x v="65"/>
    <x v="0"/>
    <x v="38"/>
    <n v="324"/>
    <n v="1"/>
    <n v="10500"/>
    <n v="10500"/>
    <n v="8824"/>
    <n v="1676"/>
  </r>
  <r>
    <x v="0"/>
    <x v="374"/>
    <x v="65"/>
    <x v="0"/>
    <x v="76"/>
    <n v="324"/>
    <n v="1"/>
    <n v="10500"/>
    <n v="10500"/>
    <n v="8824"/>
    <n v="1676"/>
  </r>
  <r>
    <x v="0"/>
    <x v="375"/>
    <x v="65"/>
    <x v="0"/>
    <x v="152"/>
    <n v="125"/>
    <n v="1"/>
    <n v="1700"/>
    <n v="1700"/>
    <n v="1429"/>
    <n v="271"/>
  </r>
  <r>
    <x v="0"/>
    <x v="375"/>
    <x v="65"/>
    <x v="0"/>
    <x v="152"/>
    <n v="230"/>
    <n v="1"/>
    <n v="15500"/>
    <n v="15500"/>
    <n v="13025"/>
    <n v="2475"/>
  </r>
  <r>
    <x v="0"/>
    <x v="375"/>
    <x v="65"/>
    <x v="0"/>
    <x v="152"/>
    <n v="143"/>
    <n v="1"/>
    <n v="7600"/>
    <n v="7600"/>
    <n v="6387"/>
    <n v="1213"/>
  </r>
  <r>
    <x v="0"/>
    <x v="376"/>
    <x v="65"/>
    <x v="0"/>
    <x v="80"/>
    <n v="83"/>
    <n v="1"/>
    <n v="1600"/>
    <n v="1600"/>
    <n v="1345"/>
    <n v="255"/>
  </r>
  <r>
    <x v="0"/>
    <x v="376"/>
    <x v="65"/>
    <x v="0"/>
    <x v="80"/>
    <n v="261"/>
    <n v="1"/>
    <n v="7000"/>
    <n v="7000"/>
    <n v="5882"/>
    <n v="1118"/>
  </r>
  <r>
    <x v="0"/>
    <x v="376"/>
    <x v="65"/>
    <x v="0"/>
    <x v="80"/>
    <n v="276"/>
    <n v="1"/>
    <n v="8000"/>
    <n v="8000"/>
    <n v="6723"/>
    <n v="1277"/>
  </r>
  <r>
    <x v="0"/>
    <x v="376"/>
    <x v="65"/>
    <x v="0"/>
    <x v="80"/>
    <n v="378"/>
    <n v="1"/>
    <n v="1200"/>
    <n v="1200"/>
    <n v="1008"/>
    <n v="192"/>
  </r>
  <r>
    <x v="0"/>
    <x v="376"/>
    <x v="65"/>
    <x v="0"/>
    <x v="80"/>
    <n v="248"/>
    <n v="1"/>
    <n v="4500"/>
    <n v="4500"/>
    <n v="3782"/>
    <n v="718"/>
  </r>
  <r>
    <x v="0"/>
    <x v="376"/>
    <x v="65"/>
    <x v="0"/>
    <x v="80"/>
    <n v="143"/>
    <n v="1"/>
    <n v="7600"/>
    <n v="7600"/>
    <n v="6387"/>
    <n v="1213"/>
  </r>
  <r>
    <x v="0"/>
    <x v="377"/>
    <x v="66"/>
    <x v="0"/>
    <x v="18"/>
    <n v="324"/>
    <n v="1"/>
    <n v="10500"/>
    <n v="10500"/>
    <n v="8824"/>
    <n v="1676"/>
  </r>
  <r>
    <x v="0"/>
    <x v="378"/>
    <x v="66"/>
    <x v="0"/>
    <x v="5"/>
    <n v="324"/>
    <n v="1"/>
    <n v="10500"/>
    <n v="10500"/>
    <n v="8824"/>
    <n v="1676"/>
  </r>
  <r>
    <x v="0"/>
    <x v="379"/>
    <x v="66"/>
    <x v="0"/>
    <x v="59"/>
    <n v="118"/>
    <n v="1"/>
    <n v="3500"/>
    <n v="3500"/>
    <n v="2941"/>
    <n v="559"/>
  </r>
  <r>
    <x v="0"/>
    <x v="379"/>
    <x v="66"/>
    <x v="0"/>
    <x v="59"/>
    <n v="117"/>
    <n v="1"/>
    <n v="3500"/>
    <n v="3500"/>
    <n v="2941"/>
    <n v="559"/>
  </r>
  <r>
    <x v="0"/>
    <x v="379"/>
    <x v="66"/>
    <x v="0"/>
    <x v="59"/>
    <n v="368"/>
    <n v="1"/>
    <n v="3000"/>
    <n v="3000"/>
    <n v="2521"/>
    <n v="479"/>
  </r>
  <r>
    <x v="0"/>
    <x v="379"/>
    <x v="66"/>
    <x v="0"/>
    <x v="59"/>
    <n v="230"/>
    <n v="1"/>
    <n v="15500"/>
    <n v="15500"/>
    <n v="13025"/>
    <n v="2475"/>
  </r>
  <r>
    <x v="0"/>
    <x v="379"/>
    <x v="66"/>
    <x v="0"/>
    <x v="59"/>
    <n v="125"/>
    <n v="1"/>
    <n v="1700"/>
    <n v="1700"/>
    <n v="1429"/>
    <n v="271"/>
  </r>
  <r>
    <x v="0"/>
    <x v="379"/>
    <x v="66"/>
    <x v="0"/>
    <x v="59"/>
    <n v="290"/>
    <n v="1"/>
    <n v="1200"/>
    <n v="1200"/>
    <n v="1008"/>
    <n v="192"/>
  </r>
  <r>
    <x v="0"/>
    <x v="379"/>
    <x v="66"/>
    <x v="0"/>
    <x v="59"/>
    <n v="68"/>
    <n v="2"/>
    <n v="2200"/>
    <n v="4400"/>
    <n v="3697"/>
    <n v="703"/>
  </r>
  <r>
    <x v="0"/>
    <x v="380"/>
    <x v="66"/>
    <x v="0"/>
    <x v="153"/>
    <n v="230"/>
    <n v="1"/>
    <n v="15500"/>
    <n v="15500"/>
    <n v="13025"/>
    <n v="2475"/>
  </r>
  <r>
    <x v="0"/>
    <x v="380"/>
    <x v="66"/>
    <x v="0"/>
    <x v="153"/>
    <n v="371"/>
    <n v="1"/>
    <n v="9500"/>
    <n v="9500"/>
    <n v="7983"/>
    <n v="1517"/>
  </r>
  <r>
    <x v="0"/>
    <x v="381"/>
    <x v="66"/>
    <x v="0"/>
    <x v="154"/>
    <n v="231"/>
    <n v="1"/>
    <n v="19990"/>
    <n v="19990"/>
    <n v="16798"/>
    <n v="3192"/>
  </r>
  <r>
    <x v="0"/>
    <x v="381"/>
    <x v="66"/>
    <x v="0"/>
    <x v="154"/>
    <n v="254"/>
    <n v="2"/>
    <n v="4000"/>
    <n v="8000"/>
    <n v="6723"/>
    <n v="1277"/>
  </r>
  <r>
    <x v="0"/>
    <x v="382"/>
    <x v="66"/>
    <x v="0"/>
    <x v="119"/>
    <n v="143"/>
    <n v="1"/>
    <n v="7600"/>
    <n v="7600"/>
    <n v="6387"/>
    <n v="1213"/>
  </r>
  <r>
    <x v="0"/>
    <x v="383"/>
    <x v="67"/>
    <x v="0"/>
    <x v="0"/>
    <n v="329"/>
    <n v="1"/>
    <n v="5500"/>
    <n v="5500"/>
    <n v="4622"/>
    <n v="878"/>
  </r>
  <r>
    <x v="0"/>
    <x v="383"/>
    <x v="67"/>
    <x v="0"/>
    <x v="0"/>
    <n v="191"/>
    <n v="1"/>
    <n v="2500"/>
    <n v="2500"/>
    <n v="2101"/>
    <n v="399"/>
  </r>
  <r>
    <x v="0"/>
    <x v="383"/>
    <x v="67"/>
    <x v="0"/>
    <x v="0"/>
    <n v="140"/>
    <n v="1"/>
    <n v="3500"/>
    <n v="3500"/>
    <n v="2941"/>
    <n v="559"/>
  </r>
  <r>
    <x v="0"/>
    <x v="383"/>
    <x v="67"/>
    <x v="0"/>
    <x v="0"/>
    <n v="361"/>
    <n v="1"/>
    <n v="3500"/>
    <n v="3500"/>
    <n v="2941"/>
    <n v="559"/>
  </r>
  <r>
    <x v="0"/>
    <x v="383"/>
    <x v="67"/>
    <x v="0"/>
    <x v="0"/>
    <n v="56"/>
    <n v="1"/>
    <n v="1500"/>
    <n v="1500"/>
    <n v="1261"/>
    <n v="239"/>
  </r>
  <r>
    <x v="0"/>
    <x v="384"/>
    <x v="67"/>
    <x v="0"/>
    <x v="149"/>
    <n v="288"/>
    <n v="1"/>
    <n v="8000"/>
    <n v="8000"/>
    <n v="6723"/>
    <n v="1277"/>
  </r>
  <r>
    <x v="0"/>
    <x v="384"/>
    <x v="67"/>
    <x v="0"/>
    <x v="149"/>
    <n v="49"/>
    <n v="1"/>
    <n v="4200"/>
    <n v="4200"/>
    <n v="3529"/>
    <n v="671"/>
  </r>
  <r>
    <x v="0"/>
    <x v="385"/>
    <x v="67"/>
    <x v="0"/>
    <x v="20"/>
    <n v="143"/>
    <n v="1"/>
    <n v="7600"/>
    <n v="7600"/>
    <n v="6387"/>
    <n v="1213"/>
  </r>
  <r>
    <x v="0"/>
    <x v="385"/>
    <x v="67"/>
    <x v="0"/>
    <x v="20"/>
    <n v="117"/>
    <n v="1"/>
    <n v="3500"/>
    <n v="3500"/>
    <n v="2941"/>
    <n v="559"/>
  </r>
  <r>
    <x v="0"/>
    <x v="386"/>
    <x v="67"/>
    <x v="0"/>
    <x v="155"/>
    <n v="118"/>
    <n v="1"/>
    <n v="3500"/>
    <n v="3500"/>
    <n v="2941"/>
    <n v="559"/>
  </r>
  <r>
    <x v="0"/>
    <x v="386"/>
    <x v="67"/>
    <x v="0"/>
    <x v="155"/>
    <n v="120"/>
    <n v="1"/>
    <n v="1700"/>
    <n v="1700"/>
    <n v="1429"/>
    <n v="271"/>
  </r>
  <r>
    <x v="0"/>
    <x v="386"/>
    <x v="67"/>
    <x v="0"/>
    <x v="155"/>
    <n v="66"/>
    <n v="1"/>
    <n v="600"/>
    <n v="600"/>
    <n v="504"/>
    <n v="96"/>
  </r>
  <r>
    <x v="0"/>
    <x v="386"/>
    <x v="67"/>
    <x v="0"/>
    <x v="155"/>
    <n v="67"/>
    <n v="1"/>
    <n v="650"/>
    <n v="650"/>
    <n v="546"/>
    <n v="104"/>
  </r>
  <r>
    <x v="0"/>
    <x v="386"/>
    <x v="67"/>
    <x v="0"/>
    <x v="155"/>
    <n v="57"/>
    <n v="1"/>
    <n v="4000"/>
    <n v="4000"/>
    <n v="3361"/>
    <n v="639"/>
  </r>
  <r>
    <x v="0"/>
    <x v="387"/>
    <x v="68"/>
    <x v="0"/>
    <x v="5"/>
    <n v="191"/>
    <n v="1"/>
    <n v="2500"/>
    <n v="2500"/>
    <n v="2101"/>
    <n v="399"/>
  </r>
  <r>
    <x v="0"/>
    <x v="387"/>
    <x v="68"/>
    <x v="0"/>
    <x v="5"/>
    <n v="275"/>
    <n v="1"/>
    <n v="6900"/>
    <n v="6900"/>
    <n v="5798"/>
    <n v="1102"/>
  </r>
  <r>
    <x v="0"/>
    <x v="388"/>
    <x v="68"/>
    <x v="0"/>
    <x v="74"/>
    <n v="143"/>
    <n v="1"/>
    <n v="8000"/>
    <n v="8000"/>
    <n v="6723"/>
    <n v="1277"/>
  </r>
  <r>
    <x v="0"/>
    <x v="389"/>
    <x v="68"/>
    <x v="0"/>
    <x v="91"/>
    <n v="324"/>
    <n v="2"/>
    <n v="21000"/>
    <n v="42000"/>
    <n v="35294"/>
    <n v="6706"/>
  </r>
  <r>
    <x v="0"/>
    <x v="389"/>
    <x v="68"/>
    <x v="0"/>
    <x v="91"/>
    <n v="7"/>
    <n v="1"/>
    <n v="7000"/>
    <n v="7000"/>
    <n v="5882"/>
    <n v="1118"/>
  </r>
  <r>
    <x v="0"/>
    <x v="389"/>
    <x v="68"/>
    <x v="0"/>
    <x v="91"/>
    <n v="263"/>
    <n v="1"/>
    <n v="8000"/>
    <n v="8000"/>
    <n v="6723"/>
    <n v="1277"/>
  </r>
  <r>
    <x v="0"/>
    <x v="390"/>
    <x v="69"/>
    <x v="0"/>
    <x v="124"/>
    <n v="143"/>
    <n v="1"/>
    <n v="8000"/>
    <n v="8000"/>
    <n v="6723"/>
    <n v="1277"/>
  </r>
  <r>
    <x v="0"/>
    <x v="391"/>
    <x v="69"/>
    <x v="0"/>
    <x v="131"/>
    <n v="143"/>
    <n v="1"/>
    <n v="8000"/>
    <n v="8000"/>
    <n v="6723"/>
    <n v="1277"/>
  </r>
  <r>
    <x v="0"/>
    <x v="392"/>
    <x v="69"/>
    <x v="0"/>
    <x v="156"/>
    <n v="143"/>
    <n v="1"/>
    <n v="8000"/>
    <n v="8000"/>
    <n v="6723"/>
    <n v="1277"/>
  </r>
  <r>
    <x v="0"/>
    <x v="393"/>
    <x v="69"/>
    <x v="0"/>
    <x v="157"/>
    <n v="125"/>
    <n v="1"/>
    <n v="1700"/>
    <n v="1700"/>
    <n v="1429"/>
    <n v="271"/>
  </r>
  <r>
    <x v="0"/>
    <x v="393"/>
    <x v="69"/>
    <x v="0"/>
    <x v="157"/>
    <n v="383"/>
    <n v="1"/>
    <n v="2400"/>
    <n v="2400"/>
    <n v="2017"/>
    <n v="383"/>
  </r>
  <r>
    <x v="0"/>
    <x v="393"/>
    <x v="69"/>
    <x v="0"/>
    <x v="157"/>
    <n v="69"/>
    <n v="1"/>
    <n v="3000"/>
    <n v="3000"/>
    <n v="2521"/>
    <n v="479"/>
  </r>
  <r>
    <x v="0"/>
    <x v="394"/>
    <x v="69"/>
    <x v="0"/>
    <x v="158"/>
    <n v="143"/>
    <n v="1"/>
    <n v="8000"/>
    <n v="8000"/>
    <n v="6723"/>
    <n v="1277"/>
  </r>
  <r>
    <x v="0"/>
    <x v="394"/>
    <x v="69"/>
    <x v="0"/>
    <x v="158"/>
    <n v="329"/>
    <n v="1"/>
    <n v="5500"/>
    <n v="5500"/>
    <n v="4622"/>
    <n v="878"/>
  </r>
  <r>
    <x v="0"/>
    <x v="395"/>
    <x v="69"/>
    <x v="0"/>
    <x v="37"/>
    <n v="143"/>
    <n v="1"/>
    <n v="8000"/>
    <n v="8000"/>
    <n v="6723"/>
    <n v="1277"/>
  </r>
  <r>
    <x v="0"/>
    <x v="396"/>
    <x v="69"/>
    <x v="0"/>
    <x v="5"/>
    <n v="324"/>
    <n v="1"/>
    <n v="10500"/>
    <n v="10500"/>
    <n v="8824"/>
    <n v="1676"/>
  </r>
  <r>
    <x v="0"/>
    <x v="396"/>
    <x v="69"/>
    <x v="0"/>
    <x v="5"/>
    <n v="357"/>
    <n v="1"/>
    <n v="1800"/>
    <n v="1800"/>
    <n v="1513"/>
    <n v="287"/>
  </r>
  <r>
    <x v="0"/>
    <x v="396"/>
    <x v="69"/>
    <x v="0"/>
    <x v="5"/>
    <n v="372"/>
    <n v="1"/>
    <n v="1300"/>
    <n v="1300"/>
    <n v="1092"/>
    <n v="208"/>
  </r>
  <r>
    <x v="0"/>
    <x v="397"/>
    <x v="69"/>
    <x v="0"/>
    <x v="136"/>
    <n v="143"/>
    <n v="1"/>
    <n v="8000"/>
    <n v="8000"/>
    <n v="6723"/>
    <n v="1277"/>
  </r>
  <r>
    <x v="0"/>
    <x v="398"/>
    <x v="69"/>
    <x v="0"/>
    <x v="113"/>
    <n v="117"/>
    <n v="1"/>
    <n v="3500"/>
    <n v="3500"/>
    <n v="2941"/>
    <n v="559"/>
  </r>
  <r>
    <x v="0"/>
    <x v="399"/>
    <x v="69"/>
    <x v="0"/>
    <x v="153"/>
    <n v="143"/>
    <n v="1"/>
    <n v="8000"/>
    <n v="8000"/>
    <n v="6723"/>
    <n v="1277"/>
  </r>
  <r>
    <x v="0"/>
    <x v="400"/>
    <x v="69"/>
    <x v="0"/>
    <x v="159"/>
    <n v="143"/>
    <n v="2"/>
    <n v="16001"/>
    <n v="32002"/>
    <n v="26892"/>
    <n v="5110"/>
  </r>
  <r>
    <x v="0"/>
    <x v="401"/>
    <x v="69"/>
    <x v="0"/>
    <x v="85"/>
    <n v="143"/>
    <n v="1"/>
    <n v="8000"/>
    <n v="8000"/>
    <n v="6723"/>
    <n v="1277"/>
  </r>
  <r>
    <x v="0"/>
    <x v="402"/>
    <x v="69"/>
    <x v="0"/>
    <x v="47"/>
    <n v="143"/>
    <n v="1"/>
    <n v="8000"/>
    <n v="8000"/>
    <n v="6723"/>
    <n v="1277"/>
  </r>
  <r>
    <x v="0"/>
    <x v="402"/>
    <x v="69"/>
    <x v="0"/>
    <x v="47"/>
    <n v="231"/>
    <n v="1"/>
    <n v="19990"/>
    <n v="19990"/>
    <n v="16798"/>
    <n v="3192"/>
  </r>
  <r>
    <x v="0"/>
    <x v="403"/>
    <x v="70"/>
    <x v="0"/>
    <x v="13"/>
    <n v="300"/>
    <n v="1"/>
    <n v="9000"/>
    <n v="9000"/>
    <n v="7563"/>
    <n v="1437"/>
  </r>
  <r>
    <x v="0"/>
    <x v="403"/>
    <x v="70"/>
    <x v="0"/>
    <x v="13"/>
    <n v="98"/>
    <n v="1"/>
    <n v="3500"/>
    <n v="3500"/>
    <n v="2941"/>
    <n v="559"/>
  </r>
  <r>
    <x v="0"/>
    <x v="403"/>
    <x v="70"/>
    <x v="0"/>
    <x v="13"/>
    <n v="165"/>
    <n v="1"/>
    <n v="2000"/>
    <n v="2000"/>
    <n v="1681"/>
    <n v="319"/>
  </r>
  <r>
    <x v="0"/>
    <x v="403"/>
    <x v="70"/>
    <x v="0"/>
    <x v="13"/>
    <n v="378"/>
    <n v="2"/>
    <n v="2400"/>
    <n v="4800"/>
    <n v="4034"/>
    <n v="766"/>
  </r>
  <r>
    <x v="0"/>
    <x v="403"/>
    <x v="70"/>
    <x v="0"/>
    <x v="13"/>
    <n v="31"/>
    <n v="1"/>
    <n v="3400"/>
    <n v="3400"/>
    <n v="2857"/>
    <n v="543"/>
  </r>
  <r>
    <x v="0"/>
    <x v="403"/>
    <x v="70"/>
    <x v="0"/>
    <x v="13"/>
    <n v="27"/>
    <n v="1"/>
    <n v="8700"/>
    <n v="8700"/>
    <n v="7311"/>
    <n v="1389"/>
  </r>
  <r>
    <x v="0"/>
    <x v="404"/>
    <x v="70"/>
    <x v="0"/>
    <x v="160"/>
    <n v="124"/>
    <n v="1"/>
    <n v="4000"/>
    <n v="4000"/>
    <n v="3361"/>
    <n v="639"/>
  </r>
  <r>
    <x v="0"/>
    <x v="404"/>
    <x v="70"/>
    <x v="0"/>
    <x v="160"/>
    <n v="288"/>
    <n v="1"/>
    <n v="8000"/>
    <n v="8000"/>
    <n v="6723"/>
    <n v="1277"/>
  </r>
  <r>
    <x v="0"/>
    <x v="405"/>
    <x v="71"/>
    <x v="0"/>
    <x v="100"/>
    <n v="68"/>
    <n v="1"/>
    <n v="1100"/>
    <n v="1100"/>
    <n v="924"/>
    <n v="176"/>
  </r>
  <r>
    <x v="0"/>
    <x v="405"/>
    <x v="71"/>
    <x v="0"/>
    <x v="100"/>
    <n v="99"/>
    <n v="1"/>
    <n v="1500"/>
    <n v="1500"/>
    <n v="1261"/>
    <n v="239"/>
  </r>
  <r>
    <x v="0"/>
    <x v="405"/>
    <x v="71"/>
    <x v="0"/>
    <x v="100"/>
    <n v="165"/>
    <n v="1"/>
    <n v="2000"/>
    <n v="2000"/>
    <n v="1681"/>
    <n v="319"/>
  </r>
  <r>
    <x v="0"/>
    <x v="405"/>
    <x v="71"/>
    <x v="0"/>
    <x v="100"/>
    <n v="151"/>
    <n v="1"/>
    <n v="4200"/>
    <n v="4200"/>
    <n v="3529"/>
    <n v="671"/>
  </r>
  <r>
    <x v="0"/>
    <x v="406"/>
    <x v="71"/>
    <x v="0"/>
    <x v="5"/>
    <n v="329"/>
    <n v="1"/>
    <n v="5500"/>
    <n v="5500"/>
    <n v="4622"/>
    <n v="878"/>
  </r>
  <r>
    <x v="0"/>
    <x v="406"/>
    <x v="71"/>
    <x v="0"/>
    <x v="5"/>
    <n v="168"/>
    <n v="1"/>
    <n v="1500"/>
    <n v="1500"/>
    <n v="1261"/>
    <n v="239"/>
  </r>
  <r>
    <x v="0"/>
    <x v="406"/>
    <x v="71"/>
    <x v="0"/>
    <x v="5"/>
    <n v="143"/>
    <n v="1"/>
    <n v="8000"/>
    <n v="8000"/>
    <n v="6723"/>
    <n v="1277"/>
  </r>
  <r>
    <x v="0"/>
    <x v="406"/>
    <x v="71"/>
    <x v="0"/>
    <x v="5"/>
    <n v="165"/>
    <n v="1"/>
    <n v="2000"/>
    <n v="2000"/>
    <n v="1681"/>
    <n v="319"/>
  </r>
  <r>
    <x v="0"/>
    <x v="407"/>
    <x v="71"/>
    <x v="0"/>
    <x v="74"/>
    <n v="165"/>
    <n v="1"/>
    <n v="2000"/>
    <n v="2000"/>
    <n v="1681"/>
    <n v="319"/>
  </r>
  <r>
    <x v="0"/>
    <x v="407"/>
    <x v="71"/>
    <x v="0"/>
    <x v="74"/>
    <n v="99"/>
    <n v="1"/>
    <n v="1500"/>
    <n v="1500"/>
    <n v="1261"/>
    <n v="239"/>
  </r>
  <r>
    <x v="0"/>
    <x v="407"/>
    <x v="71"/>
    <x v="0"/>
    <x v="74"/>
    <n v="117"/>
    <n v="1"/>
    <n v="3500"/>
    <n v="3500"/>
    <n v="2941"/>
    <n v="559"/>
  </r>
  <r>
    <x v="0"/>
    <x v="407"/>
    <x v="71"/>
    <x v="0"/>
    <x v="74"/>
    <n v="332"/>
    <n v="1"/>
    <n v="2600"/>
    <n v="2600"/>
    <n v="2185"/>
    <n v="415"/>
  </r>
  <r>
    <x v="0"/>
    <x v="407"/>
    <x v="71"/>
    <x v="0"/>
    <x v="74"/>
    <n v="324"/>
    <n v="1"/>
    <n v="10500"/>
    <n v="10500"/>
    <n v="8824"/>
    <n v="1676"/>
  </r>
  <r>
    <x v="0"/>
    <x v="407"/>
    <x v="71"/>
    <x v="0"/>
    <x v="74"/>
    <n v="7"/>
    <n v="1"/>
    <n v="7000"/>
    <n v="7000"/>
    <n v="5882"/>
    <n v="1118"/>
  </r>
  <r>
    <x v="0"/>
    <x v="407"/>
    <x v="71"/>
    <x v="0"/>
    <x v="74"/>
    <n v="360"/>
    <n v="1"/>
    <n v="3000"/>
    <n v="3000"/>
    <n v="2521"/>
    <n v="479"/>
  </r>
  <r>
    <x v="0"/>
    <x v="408"/>
    <x v="71"/>
    <x v="0"/>
    <x v="129"/>
    <n v="143"/>
    <n v="2"/>
    <n v="16001"/>
    <n v="32002"/>
    <n v="26892"/>
    <n v="5110"/>
  </r>
  <r>
    <x v="0"/>
    <x v="409"/>
    <x v="71"/>
    <x v="0"/>
    <x v="161"/>
    <n v="124"/>
    <n v="1"/>
    <n v="4000"/>
    <n v="4000"/>
    <n v="3361"/>
    <n v="639"/>
  </r>
  <r>
    <x v="0"/>
    <x v="409"/>
    <x v="71"/>
    <x v="0"/>
    <x v="161"/>
    <n v="329"/>
    <n v="1"/>
    <n v="5500"/>
    <n v="5500"/>
    <n v="4622"/>
    <n v="878"/>
  </r>
  <r>
    <x v="0"/>
    <x v="409"/>
    <x v="71"/>
    <x v="0"/>
    <x v="161"/>
    <n v="327"/>
    <n v="1"/>
    <n v="3000"/>
    <n v="3000"/>
    <n v="2521"/>
    <n v="479"/>
  </r>
  <r>
    <x v="0"/>
    <x v="409"/>
    <x v="71"/>
    <x v="0"/>
    <x v="161"/>
    <n v="112"/>
    <n v="1"/>
    <n v="-500"/>
    <n v="-500"/>
    <n v="-420"/>
    <n v="-80"/>
  </r>
  <r>
    <x v="0"/>
    <x v="410"/>
    <x v="71"/>
    <x v="0"/>
    <x v="93"/>
    <n v="324"/>
    <n v="1"/>
    <n v="10500"/>
    <n v="10500"/>
    <n v="8824"/>
    <n v="1676"/>
  </r>
  <r>
    <x v="0"/>
    <x v="411"/>
    <x v="72"/>
    <x v="0"/>
    <x v="5"/>
    <n v="143"/>
    <n v="1"/>
    <n v="8000"/>
    <n v="8000"/>
    <n v="6723"/>
    <n v="1277"/>
  </r>
  <r>
    <x v="0"/>
    <x v="412"/>
    <x v="72"/>
    <x v="0"/>
    <x v="8"/>
    <n v="324"/>
    <n v="1"/>
    <n v="10500"/>
    <n v="10500"/>
    <n v="8824"/>
    <n v="1676"/>
  </r>
  <r>
    <x v="0"/>
    <x v="413"/>
    <x v="72"/>
    <x v="0"/>
    <x v="61"/>
    <n v="118"/>
    <n v="1"/>
    <n v="3500"/>
    <n v="3500"/>
    <n v="2941"/>
    <n v="559"/>
  </r>
  <r>
    <x v="0"/>
    <x v="413"/>
    <x v="72"/>
    <x v="0"/>
    <x v="61"/>
    <n v="143"/>
    <n v="1"/>
    <n v="8000"/>
    <n v="8000"/>
    <n v="6723"/>
    <n v="1277"/>
  </r>
  <r>
    <x v="0"/>
    <x v="413"/>
    <x v="72"/>
    <x v="0"/>
    <x v="61"/>
    <n v="383"/>
    <n v="1"/>
    <n v="2400"/>
    <n v="2400"/>
    <n v="2017"/>
    <n v="383"/>
  </r>
  <r>
    <x v="0"/>
    <x v="414"/>
    <x v="73"/>
    <x v="0"/>
    <x v="162"/>
    <n v="143"/>
    <n v="1"/>
    <n v="8000"/>
    <n v="8000"/>
    <n v="6723"/>
    <n v="1277"/>
  </r>
  <r>
    <x v="0"/>
    <x v="415"/>
    <x v="73"/>
    <x v="0"/>
    <x v="163"/>
    <n v="143"/>
    <n v="1"/>
    <n v="8000"/>
    <n v="8000"/>
    <n v="6723"/>
    <n v="1277"/>
  </r>
  <r>
    <x v="0"/>
    <x v="416"/>
    <x v="73"/>
    <x v="0"/>
    <x v="4"/>
    <n v="120"/>
    <n v="1"/>
    <n v="1700"/>
    <n v="1700"/>
    <n v="1429"/>
    <n v="271"/>
  </r>
  <r>
    <x v="0"/>
    <x v="416"/>
    <x v="73"/>
    <x v="0"/>
    <x v="4"/>
    <n v="143"/>
    <n v="1"/>
    <n v="8000"/>
    <n v="8000"/>
    <n v="6723"/>
    <n v="1277"/>
  </r>
  <r>
    <x v="0"/>
    <x v="416"/>
    <x v="73"/>
    <x v="0"/>
    <x v="4"/>
    <n v="117"/>
    <n v="2"/>
    <n v="7000"/>
    <n v="14000"/>
    <n v="11765"/>
    <n v="2235"/>
  </r>
  <r>
    <x v="0"/>
    <x v="416"/>
    <x v="73"/>
    <x v="0"/>
    <x v="4"/>
    <n v="361"/>
    <n v="2"/>
    <n v="7000"/>
    <n v="14000"/>
    <n v="11765"/>
    <n v="2235"/>
  </r>
  <r>
    <x v="0"/>
    <x v="416"/>
    <x v="73"/>
    <x v="0"/>
    <x v="4"/>
    <n v="66"/>
    <n v="1"/>
    <n v="600"/>
    <n v="600"/>
    <n v="504"/>
    <n v="96"/>
  </r>
  <r>
    <x v="0"/>
    <x v="416"/>
    <x v="73"/>
    <x v="0"/>
    <x v="4"/>
    <n v="67"/>
    <n v="1"/>
    <n v="650"/>
    <n v="650"/>
    <n v="546"/>
    <n v="104"/>
  </r>
  <r>
    <x v="0"/>
    <x v="416"/>
    <x v="73"/>
    <x v="0"/>
    <x v="4"/>
    <n v="68"/>
    <n v="1"/>
    <n v="1100"/>
    <n v="1100"/>
    <n v="924"/>
    <n v="176"/>
  </r>
  <r>
    <x v="0"/>
    <x v="416"/>
    <x v="73"/>
    <x v="0"/>
    <x v="4"/>
    <n v="69"/>
    <n v="1"/>
    <n v="3000"/>
    <n v="3000"/>
    <n v="2521"/>
    <n v="479"/>
  </r>
  <r>
    <x v="0"/>
    <x v="417"/>
    <x v="73"/>
    <x v="0"/>
    <x v="67"/>
    <n v="329"/>
    <n v="1"/>
    <n v="5500"/>
    <n v="5500"/>
    <n v="4622"/>
    <n v="878"/>
  </r>
  <r>
    <x v="0"/>
    <x v="417"/>
    <x v="73"/>
    <x v="0"/>
    <x v="67"/>
    <n v="98"/>
    <n v="1"/>
    <n v="3500"/>
    <n v="3500"/>
    <n v="2941"/>
    <n v="559"/>
  </r>
  <r>
    <x v="0"/>
    <x v="418"/>
    <x v="73"/>
    <x v="0"/>
    <x v="39"/>
    <n v="231"/>
    <n v="1"/>
    <n v="19990"/>
    <n v="19990"/>
    <n v="16798"/>
    <n v="3192"/>
  </r>
  <r>
    <x v="0"/>
    <x v="418"/>
    <x v="73"/>
    <x v="0"/>
    <x v="39"/>
    <n v="227"/>
    <n v="1"/>
    <n v="13500"/>
    <n v="13500"/>
    <n v="11345"/>
    <n v="2155"/>
  </r>
  <r>
    <x v="0"/>
    <x v="418"/>
    <x v="73"/>
    <x v="0"/>
    <x v="39"/>
    <n v="226"/>
    <n v="1"/>
    <n v="22500"/>
    <n v="22500"/>
    <n v="18908"/>
    <n v="3592"/>
  </r>
  <r>
    <x v="0"/>
    <x v="418"/>
    <x v="73"/>
    <x v="0"/>
    <x v="39"/>
    <n v="382"/>
    <n v="1"/>
    <n v="2600"/>
    <n v="2600"/>
    <n v="2185"/>
    <n v="415"/>
  </r>
  <r>
    <x v="0"/>
    <x v="418"/>
    <x v="73"/>
    <x v="0"/>
    <x v="39"/>
    <n v="299"/>
    <n v="1"/>
    <n v="3200"/>
    <n v="3200"/>
    <n v="2689"/>
    <n v="511"/>
  </r>
  <r>
    <x v="0"/>
    <x v="419"/>
    <x v="73"/>
    <x v="0"/>
    <x v="26"/>
    <n v="143"/>
    <n v="1"/>
    <n v="8000"/>
    <n v="8000"/>
    <n v="6723"/>
    <n v="1277"/>
  </r>
  <r>
    <x v="0"/>
    <x v="420"/>
    <x v="73"/>
    <x v="0"/>
    <x v="12"/>
    <n v="143"/>
    <n v="1"/>
    <n v="8000"/>
    <n v="8000"/>
    <n v="6723"/>
    <n v="1277"/>
  </r>
  <r>
    <x v="0"/>
    <x v="421"/>
    <x v="74"/>
    <x v="0"/>
    <x v="119"/>
    <n v="278"/>
    <n v="1"/>
    <n v="11500"/>
    <n v="11500"/>
    <n v="9664"/>
    <n v="1836"/>
  </r>
  <r>
    <x v="0"/>
    <x v="421"/>
    <x v="74"/>
    <x v="0"/>
    <x v="119"/>
    <n v="143"/>
    <n v="1"/>
    <n v="8000"/>
    <n v="8000"/>
    <n v="6723"/>
    <n v="1277"/>
  </r>
  <r>
    <x v="0"/>
    <x v="422"/>
    <x v="75"/>
    <x v="0"/>
    <x v="131"/>
    <n v="143"/>
    <n v="2"/>
    <n v="16600"/>
    <n v="33200"/>
    <n v="27899"/>
    <n v="5301"/>
  </r>
  <r>
    <x v="0"/>
    <x v="423"/>
    <x v="75"/>
    <x v="0"/>
    <x v="70"/>
    <n v="143"/>
    <n v="1"/>
    <n v="8300"/>
    <n v="8300"/>
    <n v="6975"/>
    <n v="1325"/>
  </r>
  <r>
    <x v="0"/>
    <x v="424"/>
    <x v="75"/>
    <x v="0"/>
    <x v="89"/>
    <n v="230"/>
    <n v="1"/>
    <n v="15500"/>
    <n v="15500"/>
    <n v="13025"/>
    <n v="2475"/>
  </r>
  <r>
    <x v="0"/>
    <x v="425"/>
    <x v="75"/>
    <x v="0"/>
    <x v="98"/>
    <n v="324"/>
    <n v="1"/>
    <n v="10500"/>
    <n v="10500"/>
    <n v="8824"/>
    <n v="1676"/>
  </r>
  <r>
    <x v="0"/>
    <x v="425"/>
    <x v="75"/>
    <x v="0"/>
    <x v="98"/>
    <n v="261"/>
    <n v="1"/>
    <n v="7000"/>
    <n v="7000"/>
    <n v="5882"/>
    <n v="1118"/>
  </r>
  <r>
    <x v="0"/>
    <x v="426"/>
    <x v="75"/>
    <x v="0"/>
    <x v="136"/>
    <n v="143"/>
    <n v="1"/>
    <n v="8300"/>
    <n v="8300"/>
    <n v="6975"/>
    <n v="1325"/>
  </r>
  <r>
    <x v="0"/>
    <x v="427"/>
    <x v="75"/>
    <x v="0"/>
    <x v="164"/>
    <n v="324"/>
    <n v="1"/>
    <n v="10500"/>
    <n v="10500"/>
    <n v="8824"/>
    <n v="1676"/>
  </r>
  <r>
    <x v="0"/>
    <x v="427"/>
    <x v="75"/>
    <x v="0"/>
    <x v="164"/>
    <n v="327"/>
    <n v="1"/>
    <n v="3000"/>
    <n v="3000"/>
    <n v="2521"/>
    <n v="479"/>
  </r>
  <r>
    <x v="0"/>
    <x v="427"/>
    <x v="75"/>
    <x v="0"/>
    <x v="164"/>
    <n v="191"/>
    <n v="4"/>
    <n v="10000"/>
    <n v="40000"/>
    <n v="33613"/>
    <n v="6387"/>
  </r>
  <r>
    <x v="0"/>
    <x v="428"/>
    <x v="75"/>
    <x v="0"/>
    <x v="78"/>
    <n v="231"/>
    <n v="1"/>
    <n v="19990"/>
    <n v="19990"/>
    <n v="16798"/>
    <n v="3192"/>
  </r>
  <r>
    <x v="0"/>
    <x v="429"/>
    <x v="75"/>
    <x v="0"/>
    <x v="47"/>
    <n v="143"/>
    <n v="1"/>
    <n v="8300"/>
    <n v="8300"/>
    <n v="6975"/>
    <n v="1325"/>
  </r>
  <r>
    <x v="0"/>
    <x v="429"/>
    <x v="75"/>
    <x v="0"/>
    <x v="47"/>
    <n v="244"/>
    <n v="1"/>
    <n v="14900"/>
    <n v="14900"/>
    <n v="12521"/>
    <n v="2379"/>
  </r>
  <r>
    <x v="0"/>
    <x v="430"/>
    <x v="75"/>
    <x v="0"/>
    <x v="29"/>
    <n v="368"/>
    <n v="2"/>
    <n v="6000"/>
    <n v="12000"/>
    <n v="10084"/>
    <n v="1916"/>
  </r>
  <r>
    <x v="0"/>
    <x v="430"/>
    <x v="75"/>
    <x v="0"/>
    <x v="29"/>
    <n v="383"/>
    <n v="1"/>
    <n v="2400"/>
    <n v="2400"/>
    <n v="2017"/>
    <n v="383"/>
  </r>
  <r>
    <x v="0"/>
    <x v="430"/>
    <x v="75"/>
    <x v="0"/>
    <x v="29"/>
    <n v="191"/>
    <n v="1"/>
    <n v="2500"/>
    <n v="2500"/>
    <n v="2101"/>
    <n v="399"/>
  </r>
  <r>
    <x v="0"/>
    <x v="431"/>
    <x v="75"/>
    <x v="0"/>
    <x v="9"/>
    <n v="368"/>
    <n v="1"/>
    <n v="3000"/>
    <n v="3000"/>
    <n v="2521"/>
    <n v="479"/>
  </r>
  <r>
    <x v="0"/>
    <x v="431"/>
    <x v="75"/>
    <x v="0"/>
    <x v="9"/>
    <n v="170"/>
    <n v="1"/>
    <n v="3600"/>
    <n v="3600"/>
    <n v="3025"/>
    <n v="575"/>
  </r>
  <r>
    <x v="0"/>
    <x v="432"/>
    <x v="76"/>
    <x v="0"/>
    <x v="165"/>
    <n v="143"/>
    <n v="2"/>
    <n v="16600"/>
    <n v="33200"/>
    <n v="27899"/>
    <n v="5301"/>
  </r>
  <r>
    <x v="0"/>
    <x v="433"/>
    <x v="76"/>
    <x v="0"/>
    <x v="52"/>
    <n v="124"/>
    <n v="1"/>
    <n v="4000"/>
    <n v="4000"/>
    <n v="3361"/>
    <n v="639"/>
  </r>
  <r>
    <x v="0"/>
    <x v="434"/>
    <x v="76"/>
    <x v="0"/>
    <x v="0"/>
    <n v="329"/>
    <n v="1"/>
    <n v="5500"/>
    <n v="5500"/>
    <n v="4622"/>
    <n v="878"/>
  </r>
  <r>
    <x v="0"/>
    <x v="434"/>
    <x v="76"/>
    <x v="0"/>
    <x v="0"/>
    <n v="143"/>
    <n v="1"/>
    <n v="8300"/>
    <n v="8300"/>
    <n v="6975"/>
    <n v="1325"/>
  </r>
  <r>
    <x v="0"/>
    <x v="435"/>
    <x v="76"/>
    <x v="0"/>
    <x v="5"/>
    <n v="330"/>
    <n v="1"/>
    <n v="4300"/>
    <n v="4300"/>
    <n v="3613"/>
    <n v="687"/>
  </r>
  <r>
    <x v="0"/>
    <x v="435"/>
    <x v="76"/>
    <x v="0"/>
    <x v="5"/>
    <n v="368"/>
    <n v="1"/>
    <n v="3000"/>
    <n v="3000"/>
    <n v="2521"/>
    <n v="479"/>
  </r>
  <r>
    <x v="0"/>
    <x v="436"/>
    <x v="76"/>
    <x v="0"/>
    <x v="67"/>
    <n v="167"/>
    <n v="1"/>
    <n v="8200"/>
    <n v="8200"/>
    <n v="6891"/>
    <n v="1309"/>
  </r>
  <r>
    <x v="0"/>
    <x v="436"/>
    <x v="76"/>
    <x v="0"/>
    <x v="67"/>
    <n v="329"/>
    <n v="1"/>
    <n v="5500"/>
    <n v="5500"/>
    <n v="4622"/>
    <n v="878"/>
  </r>
  <r>
    <x v="0"/>
    <x v="437"/>
    <x v="76"/>
    <x v="0"/>
    <x v="16"/>
    <n v="233"/>
    <n v="2"/>
    <n v="31980"/>
    <n v="63960"/>
    <n v="53748"/>
    <n v="10212"/>
  </r>
  <r>
    <x v="0"/>
    <x v="437"/>
    <x v="76"/>
    <x v="0"/>
    <x v="16"/>
    <n v="97"/>
    <n v="2"/>
    <n v="4000"/>
    <n v="8000"/>
    <n v="6723"/>
    <n v="1277"/>
  </r>
  <r>
    <x v="0"/>
    <x v="437"/>
    <x v="76"/>
    <x v="0"/>
    <x v="16"/>
    <n v="7"/>
    <n v="1"/>
    <n v="7000"/>
    <n v="7000"/>
    <n v="5882"/>
    <n v="1118"/>
  </r>
  <r>
    <x v="0"/>
    <x v="437"/>
    <x v="76"/>
    <x v="0"/>
    <x v="16"/>
    <n v="49"/>
    <n v="1"/>
    <n v="4200"/>
    <n v="4200"/>
    <n v="3529"/>
    <n v="671"/>
  </r>
  <r>
    <x v="0"/>
    <x v="438"/>
    <x v="76"/>
    <x v="0"/>
    <x v="166"/>
    <n v="329"/>
    <n v="1"/>
    <n v="5500"/>
    <n v="5500"/>
    <n v="4622"/>
    <n v="878"/>
  </r>
  <r>
    <x v="0"/>
    <x v="439"/>
    <x v="77"/>
    <x v="0"/>
    <x v="124"/>
    <n v="143"/>
    <n v="1"/>
    <n v="8300"/>
    <n v="8300"/>
    <n v="6975"/>
    <n v="1325"/>
  </r>
  <r>
    <x v="0"/>
    <x v="440"/>
    <x v="77"/>
    <x v="0"/>
    <x v="37"/>
    <n v="143"/>
    <n v="1"/>
    <n v="8300"/>
    <n v="8300"/>
    <n v="6975"/>
    <n v="1325"/>
  </r>
  <r>
    <x v="0"/>
    <x v="441"/>
    <x v="77"/>
    <x v="0"/>
    <x v="31"/>
    <n v="29"/>
    <n v="1"/>
    <n v="1000"/>
    <n v="1000"/>
    <n v="840"/>
    <n v="160"/>
  </r>
  <r>
    <x v="0"/>
    <x v="441"/>
    <x v="77"/>
    <x v="0"/>
    <x v="31"/>
    <n v="163"/>
    <n v="1"/>
    <n v="1500"/>
    <n v="1500"/>
    <n v="1261"/>
    <n v="239"/>
  </r>
  <r>
    <x v="0"/>
    <x v="442"/>
    <x v="77"/>
    <x v="0"/>
    <x v="33"/>
    <n v="230"/>
    <n v="1"/>
    <n v="15500"/>
    <n v="15500"/>
    <n v="13025"/>
    <n v="2475"/>
  </r>
  <r>
    <x v="0"/>
    <x v="442"/>
    <x v="77"/>
    <x v="0"/>
    <x v="33"/>
    <n v="368"/>
    <n v="1"/>
    <n v="3000"/>
    <n v="3000"/>
    <n v="2521"/>
    <n v="479"/>
  </r>
  <r>
    <x v="0"/>
    <x v="442"/>
    <x v="77"/>
    <x v="0"/>
    <x v="33"/>
    <n v="165"/>
    <n v="2"/>
    <n v="4000"/>
    <n v="8000"/>
    <n v="6723"/>
    <n v="1277"/>
  </r>
  <r>
    <x v="0"/>
    <x v="443"/>
    <x v="77"/>
    <x v="0"/>
    <x v="27"/>
    <n v="143"/>
    <n v="1"/>
    <n v="8300"/>
    <n v="8300"/>
    <n v="6975"/>
    <n v="1325"/>
  </r>
  <r>
    <x v="0"/>
    <x v="444"/>
    <x v="77"/>
    <x v="0"/>
    <x v="61"/>
    <n v="231"/>
    <n v="1"/>
    <n v="19990"/>
    <n v="19990"/>
    <n v="16798"/>
    <n v="3192"/>
  </r>
  <r>
    <x v="0"/>
    <x v="444"/>
    <x v="77"/>
    <x v="0"/>
    <x v="61"/>
    <n v="368"/>
    <n v="1"/>
    <n v="3000"/>
    <n v="3000"/>
    <n v="2521"/>
    <n v="479"/>
  </r>
  <r>
    <x v="0"/>
    <x v="445"/>
    <x v="77"/>
    <x v="0"/>
    <x v="64"/>
    <n v="143"/>
    <n v="1"/>
    <n v="8300"/>
    <n v="8300"/>
    <n v="6975"/>
    <n v="1325"/>
  </r>
  <r>
    <x v="0"/>
    <x v="446"/>
    <x v="78"/>
    <x v="0"/>
    <x v="167"/>
    <n v="325"/>
    <n v="1"/>
    <n v="10000"/>
    <n v="10000"/>
    <n v="8403"/>
    <n v="1597"/>
  </r>
  <r>
    <x v="0"/>
    <x v="446"/>
    <x v="78"/>
    <x v="0"/>
    <x v="167"/>
    <n v="112"/>
    <n v="1"/>
    <n v="-200"/>
    <n v="-200"/>
    <n v="-168"/>
    <n v="-32"/>
  </r>
  <r>
    <x v="0"/>
    <x v="447"/>
    <x v="78"/>
    <x v="0"/>
    <x v="18"/>
    <n v="329"/>
    <n v="1"/>
    <n v="5500"/>
    <n v="5500"/>
    <n v="4622"/>
    <n v="878"/>
  </r>
  <r>
    <x v="0"/>
    <x v="448"/>
    <x v="78"/>
    <x v="0"/>
    <x v="36"/>
    <n v="58"/>
    <n v="1"/>
    <n v="2200"/>
    <n v="2200"/>
    <n v="1849"/>
    <n v="351"/>
  </r>
  <r>
    <x v="0"/>
    <x v="448"/>
    <x v="78"/>
    <x v="0"/>
    <x v="36"/>
    <n v="112"/>
    <n v="1"/>
    <n v="-200"/>
    <n v="-200"/>
    <n v="-168"/>
    <n v="-32"/>
  </r>
  <r>
    <x v="0"/>
    <x v="448"/>
    <x v="78"/>
    <x v="0"/>
    <x v="36"/>
    <n v="233"/>
    <n v="1"/>
    <n v="15990"/>
    <n v="15990"/>
    <n v="13437"/>
    <n v="2553"/>
  </r>
  <r>
    <x v="0"/>
    <x v="449"/>
    <x v="78"/>
    <x v="0"/>
    <x v="73"/>
    <n v="143"/>
    <n v="2"/>
    <n v="16600"/>
    <n v="33200"/>
    <n v="27899"/>
    <n v="5301"/>
  </r>
  <r>
    <x v="0"/>
    <x v="450"/>
    <x v="78"/>
    <x v="0"/>
    <x v="168"/>
    <n v="263"/>
    <n v="1"/>
    <n v="8000"/>
    <n v="8000"/>
    <n v="6723"/>
    <n v="1277"/>
  </r>
  <r>
    <x v="0"/>
    <x v="451"/>
    <x v="78"/>
    <x v="0"/>
    <x v="59"/>
    <n v="143"/>
    <n v="1"/>
    <n v="8300"/>
    <n v="8300"/>
    <n v="6975"/>
    <n v="1325"/>
  </r>
  <r>
    <x v="0"/>
    <x v="452"/>
    <x v="78"/>
    <x v="0"/>
    <x v="34"/>
    <n v="143"/>
    <n v="1"/>
    <n v="8300"/>
    <n v="8300"/>
    <n v="6975"/>
    <n v="1325"/>
  </r>
  <r>
    <x v="0"/>
    <x v="452"/>
    <x v="78"/>
    <x v="0"/>
    <x v="34"/>
    <n v="368"/>
    <n v="1"/>
    <n v="3000"/>
    <n v="3000"/>
    <n v="2521"/>
    <n v="479"/>
  </r>
  <r>
    <x v="0"/>
    <x v="452"/>
    <x v="78"/>
    <x v="0"/>
    <x v="34"/>
    <n v="166"/>
    <n v="1"/>
    <n v="1600"/>
    <n v="1600"/>
    <n v="1345"/>
    <n v="255"/>
  </r>
  <r>
    <x v="0"/>
    <x v="453"/>
    <x v="78"/>
    <x v="0"/>
    <x v="23"/>
    <n v="49"/>
    <n v="1"/>
    <n v="4200"/>
    <n v="4200"/>
    <n v="3529"/>
    <n v="671"/>
  </r>
  <r>
    <x v="0"/>
    <x v="453"/>
    <x v="78"/>
    <x v="0"/>
    <x v="23"/>
    <n v="126"/>
    <n v="1"/>
    <n v="9000"/>
    <n v="9000"/>
    <n v="7563"/>
    <n v="1437"/>
  </r>
  <r>
    <x v="0"/>
    <x v="454"/>
    <x v="78"/>
    <x v="0"/>
    <x v="25"/>
    <n v="329"/>
    <n v="1"/>
    <n v="5500"/>
    <n v="5500"/>
    <n v="4622"/>
    <n v="878"/>
  </r>
  <r>
    <x v="0"/>
    <x v="454"/>
    <x v="78"/>
    <x v="0"/>
    <x v="25"/>
    <n v="327"/>
    <n v="1"/>
    <n v="3000"/>
    <n v="3000"/>
    <n v="2521"/>
    <n v="479"/>
  </r>
  <r>
    <x v="0"/>
    <x v="454"/>
    <x v="78"/>
    <x v="0"/>
    <x v="25"/>
    <n v="112"/>
    <n v="1"/>
    <n v="-500"/>
    <n v="-500"/>
    <n v="-420"/>
    <n v="-80"/>
  </r>
  <r>
    <x v="0"/>
    <x v="454"/>
    <x v="78"/>
    <x v="0"/>
    <x v="25"/>
    <n v="330"/>
    <n v="1"/>
    <n v="4300"/>
    <n v="4300"/>
    <n v="3613"/>
    <n v="687"/>
  </r>
  <r>
    <x v="0"/>
    <x v="455"/>
    <x v="78"/>
    <x v="0"/>
    <x v="161"/>
    <n v="329"/>
    <n v="1"/>
    <n v="5500"/>
    <n v="5500"/>
    <n v="4622"/>
    <n v="878"/>
  </r>
  <r>
    <x v="0"/>
    <x v="456"/>
    <x v="79"/>
    <x v="0"/>
    <x v="17"/>
    <n v="324"/>
    <n v="1"/>
    <n v="10500"/>
    <n v="10500"/>
    <n v="8824"/>
    <n v="1676"/>
  </r>
  <r>
    <x v="0"/>
    <x v="457"/>
    <x v="79"/>
    <x v="0"/>
    <x v="21"/>
    <n v="143"/>
    <n v="1"/>
    <n v="8300"/>
    <n v="8300"/>
    <n v="6975"/>
    <n v="1325"/>
  </r>
  <r>
    <x v="0"/>
    <x v="457"/>
    <x v="79"/>
    <x v="0"/>
    <x v="21"/>
    <n v="167"/>
    <n v="1"/>
    <n v="8200"/>
    <n v="8200"/>
    <n v="6891"/>
    <n v="1309"/>
  </r>
  <r>
    <x v="0"/>
    <x v="458"/>
    <x v="79"/>
    <x v="0"/>
    <x v="59"/>
    <n v="368"/>
    <n v="2"/>
    <n v="6000"/>
    <n v="12000"/>
    <n v="10084"/>
    <n v="1916"/>
  </r>
  <r>
    <x v="0"/>
    <x v="458"/>
    <x v="79"/>
    <x v="0"/>
    <x v="59"/>
    <n v="354"/>
    <n v="1"/>
    <n v="1800"/>
    <n v="1800"/>
    <n v="1513"/>
    <n v="287"/>
  </r>
  <r>
    <x v="0"/>
    <x v="458"/>
    <x v="79"/>
    <x v="0"/>
    <x v="59"/>
    <n v="191"/>
    <n v="2"/>
    <n v="5000"/>
    <n v="10000"/>
    <n v="8403"/>
    <n v="1597"/>
  </r>
  <r>
    <x v="0"/>
    <x v="459"/>
    <x v="80"/>
    <x v="0"/>
    <x v="55"/>
    <n v="143"/>
    <n v="1"/>
    <n v="8300"/>
    <n v="8300"/>
    <n v="6975"/>
    <n v="1325"/>
  </r>
  <r>
    <x v="0"/>
    <x v="460"/>
    <x v="80"/>
    <x v="0"/>
    <x v="158"/>
    <n v="143"/>
    <n v="1"/>
    <n v="8300"/>
    <n v="8300"/>
    <n v="6975"/>
    <n v="1325"/>
  </r>
  <r>
    <x v="0"/>
    <x v="460"/>
    <x v="80"/>
    <x v="0"/>
    <x v="158"/>
    <n v="324"/>
    <n v="1"/>
    <n v="10500"/>
    <n v="10500"/>
    <n v="8824"/>
    <n v="1676"/>
  </r>
  <r>
    <x v="0"/>
    <x v="461"/>
    <x v="80"/>
    <x v="0"/>
    <x v="56"/>
    <n v="157"/>
    <n v="1"/>
    <n v="4300"/>
    <n v="4300"/>
    <n v="3613"/>
    <n v="687"/>
  </r>
  <r>
    <x v="0"/>
    <x v="461"/>
    <x v="80"/>
    <x v="0"/>
    <x v="56"/>
    <n v="296"/>
    <n v="1"/>
    <n v="3500"/>
    <n v="3500"/>
    <n v="2941"/>
    <n v="559"/>
  </r>
  <r>
    <x v="0"/>
    <x v="462"/>
    <x v="80"/>
    <x v="0"/>
    <x v="49"/>
    <n v="231"/>
    <n v="1"/>
    <n v="19990"/>
    <n v="19990"/>
    <n v="16798"/>
    <n v="3192"/>
  </r>
  <r>
    <x v="0"/>
    <x v="463"/>
    <x v="80"/>
    <x v="0"/>
    <x v="5"/>
    <n v="329"/>
    <n v="1"/>
    <n v="5500"/>
    <n v="5500"/>
    <n v="4622"/>
    <n v="878"/>
  </r>
  <r>
    <x v="0"/>
    <x v="464"/>
    <x v="80"/>
    <x v="0"/>
    <x v="76"/>
    <n v="324"/>
    <n v="1"/>
    <n v="10500"/>
    <n v="10500"/>
    <n v="8824"/>
    <n v="1676"/>
  </r>
  <r>
    <x v="0"/>
    <x v="465"/>
    <x v="80"/>
    <x v="0"/>
    <x v="87"/>
    <n v="143"/>
    <n v="1"/>
    <n v="8300"/>
    <n v="8300"/>
    <n v="6975"/>
    <n v="1325"/>
  </r>
  <r>
    <x v="0"/>
    <x v="466"/>
    <x v="80"/>
    <x v="0"/>
    <x v="81"/>
    <n v="256"/>
    <n v="3"/>
    <n v="9000"/>
    <n v="27000"/>
    <n v="22689"/>
    <n v="4311"/>
  </r>
  <r>
    <x v="0"/>
    <x v="467"/>
    <x v="80"/>
    <x v="0"/>
    <x v="166"/>
    <n v="293"/>
    <n v="1"/>
    <n v="9500"/>
    <n v="9500"/>
    <n v="7983"/>
    <n v="1517"/>
  </r>
  <r>
    <x v="0"/>
    <x v="467"/>
    <x v="80"/>
    <x v="0"/>
    <x v="166"/>
    <n v="368"/>
    <n v="2"/>
    <n v="6000"/>
    <n v="12000"/>
    <n v="10084"/>
    <n v="1916"/>
  </r>
  <r>
    <x v="0"/>
    <x v="467"/>
    <x v="80"/>
    <x v="0"/>
    <x v="166"/>
    <n v="329"/>
    <n v="1"/>
    <n v="5500"/>
    <n v="5500"/>
    <n v="4622"/>
    <n v="878"/>
  </r>
  <r>
    <x v="0"/>
    <x v="468"/>
    <x v="81"/>
    <x v="0"/>
    <x v="30"/>
    <n v="117"/>
    <n v="5"/>
    <n v="17500"/>
    <n v="87500"/>
    <n v="73529"/>
    <n v="13971"/>
  </r>
  <r>
    <x v="0"/>
    <x v="468"/>
    <x v="81"/>
    <x v="0"/>
    <x v="30"/>
    <n v="231"/>
    <n v="1"/>
    <n v="19990"/>
    <n v="19990"/>
    <n v="16798"/>
    <n v="3192"/>
  </r>
  <r>
    <x v="0"/>
    <x v="468"/>
    <x v="81"/>
    <x v="0"/>
    <x v="30"/>
    <n v="67"/>
    <n v="2"/>
    <n v="1300"/>
    <n v="2600"/>
    <n v="2185"/>
    <n v="415"/>
  </r>
  <r>
    <x v="0"/>
    <x v="468"/>
    <x v="81"/>
    <x v="0"/>
    <x v="30"/>
    <n v="386"/>
    <n v="1"/>
    <n v="2700"/>
    <n v="2700"/>
    <n v="2269"/>
    <n v="431"/>
  </r>
  <r>
    <x v="0"/>
    <x v="468"/>
    <x v="81"/>
    <x v="0"/>
    <x v="30"/>
    <n v="368"/>
    <n v="3"/>
    <n v="9000"/>
    <n v="27000"/>
    <n v="22689"/>
    <n v="4311"/>
  </r>
  <r>
    <x v="0"/>
    <x v="468"/>
    <x v="81"/>
    <x v="0"/>
    <x v="30"/>
    <n v="247"/>
    <n v="1"/>
    <n v="2800"/>
    <n v="2800"/>
    <n v="2353"/>
    <n v="447"/>
  </r>
  <r>
    <x v="0"/>
    <x v="468"/>
    <x v="81"/>
    <x v="0"/>
    <x v="30"/>
    <n v="356"/>
    <n v="1"/>
    <n v="3000"/>
    <n v="3000"/>
    <n v="2521"/>
    <n v="479"/>
  </r>
  <r>
    <x v="0"/>
    <x v="469"/>
    <x v="82"/>
    <x v="0"/>
    <x v="70"/>
    <n v="26"/>
    <n v="1"/>
    <n v="3400"/>
    <n v="3400"/>
    <n v="2857"/>
    <n v="543"/>
  </r>
  <r>
    <x v="0"/>
    <x v="469"/>
    <x v="82"/>
    <x v="0"/>
    <x v="70"/>
    <n v="27"/>
    <n v="1"/>
    <n v="8700"/>
    <n v="8700"/>
    <n v="7311"/>
    <n v="1389"/>
  </r>
  <r>
    <x v="0"/>
    <x v="470"/>
    <x v="83"/>
    <x v="0"/>
    <x v="167"/>
    <n v="143"/>
    <n v="1"/>
    <n v="8300"/>
    <n v="8300"/>
    <n v="6975"/>
    <n v="1325"/>
  </r>
  <r>
    <x v="0"/>
    <x v="471"/>
    <x v="83"/>
    <x v="0"/>
    <x v="5"/>
    <n v="143"/>
    <n v="1"/>
    <n v="8300"/>
    <n v="8300"/>
    <n v="6975"/>
    <n v="1325"/>
  </r>
  <r>
    <x v="0"/>
    <x v="471"/>
    <x v="83"/>
    <x v="0"/>
    <x v="5"/>
    <n v="324"/>
    <n v="1"/>
    <n v="10500"/>
    <n v="10500"/>
    <n v="8824"/>
    <n v="1676"/>
  </r>
  <r>
    <x v="0"/>
    <x v="472"/>
    <x v="83"/>
    <x v="0"/>
    <x v="8"/>
    <n v="324"/>
    <n v="1"/>
    <n v="10500"/>
    <n v="10500"/>
    <n v="8824"/>
    <n v="1676"/>
  </r>
  <r>
    <x v="0"/>
    <x v="473"/>
    <x v="83"/>
    <x v="0"/>
    <x v="111"/>
    <n v="261"/>
    <n v="1"/>
    <n v="7000"/>
    <n v="7000"/>
    <n v="5882"/>
    <n v="1118"/>
  </r>
  <r>
    <x v="0"/>
    <x v="473"/>
    <x v="83"/>
    <x v="0"/>
    <x v="111"/>
    <n v="329"/>
    <n v="1"/>
    <n v="5500"/>
    <n v="5500"/>
    <n v="4622"/>
    <n v="878"/>
  </r>
  <r>
    <x v="0"/>
    <x v="474"/>
    <x v="83"/>
    <x v="0"/>
    <x v="11"/>
    <n v="143"/>
    <n v="1"/>
    <n v="8300"/>
    <n v="8300"/>
    <n v="6975"/>
    <n v="1325"/>
  </r>
  <r>
    <x v="0"/>
    <x v="475"/>
    <x v="84"/>
    <x v="0"/>
    <x v="131"/>
    <n v="143"/>
    <n v="1"/>
    <n v="8300"/>
    <n v="8300"/>
    <n v="6975"/>
    <n v="1325"/>
  </r>
  <r>
    <x v="0"/>
    <x v="476"/>
    <x v="84"/>
    <x v="0"/>
    <x v="5"/>
    <n v="329"/>
    <n v="1"/>
    <n v="5500"/>
    <n v="5500"/>
    <n v="4622"/>
    <n v="878"/>
  </r>
  <r>
    <x v="0"/>
    <x v="476"/>
    <x v="84"/>
    <x v="0"/>
    <x v="5"/>
    <n v="117"/>
    <n v="1"/>
    <n v="3500"/>
    <n v="3500"/>
    <n v="2941"/>
    <n v="559"/>
  </r>
  <r>
    <x v="0"/>
    <x v="476"/>
    <x v="84"/>
    <x v="0"/>
    <x v="5"/>
    <n v="155"/>
    <n v="1"/>
    <n v="1650"/>
    <n v="1650"/>
    <n v="1387"/>
    <n v="263"/>
  </r>
  <r>
    <x v="0"/>
    <x v="477"/>
    <x v="84"/>
    <x v="0"/>
    <x v="45"/>
    <n v="324"/>
    <n v="1"/>
    <n v="10500"/>
    <n v="10500"/>
    <n v="8824"/>
    <n v="1676"/>
  </r>
  <r>
    <x v="0"/>
    <x v="477"/>
    <x v="84"/>
    <x v="0"/>
    <x v="45"/>
    <n v="143"/>
    <n v="1"/>
    <n v="8300"/>
    <n v="8300"/>
    <n v="6975"/>
    <n v="1325"/>
  </r>
  <r>
    <x v="0"/>
    <x v="478"/>
    <x v="84"/>
    <x v="0"/>
    <x v="91"/>
    <n v="324"/>
    <n v="1"/>
    <n v="10500"/>
    <n v="10500"/>
    <n v="8824"/>
    <n v="1676"/>
  </r>
  <r>
    <x v="0"/>
    <x v="479"/>
    <x v="84"/>
    <x v="0"/>
    <x v="47"/>
    <n v="143"/>
    <n v="2"/>
    <n v="16600"/>
    <n v="33200"/>
    <n v="27899"/>
    <n v="5301"/>
  </r>
  <r>
    <x v="0"/>
    <x v="480"/>
    <x v="84"/>
    <x v="0"/>
    <x v="63"/>
    <n v="165"/>
    <n v="1"/>
    <n v="2000"/>
    <n v="2000"/>
    <n v="1681"/>
    <n v="319"/>
  </r>
  <r>
    <x v="0"/>
    <x v="481"/>
    <x v="85"/>
    <x v="0"/>
    <x v="124"/>
    <n v="143"/>
    <n v="1"/>
    <n v="8300"/>
    <n v="8300"/>
    <n v="6975"/>
    <n v="1325"/>
  </r>
  <r>
    <x v="0"/>
    <x v="482"/>
    <x v="85"/>
    <x v="0"/>
    <x v="72"/>
    <n v="117"/>
    <n v="2"/>
    <n v="7000"/>
    <n v="14000"/>
    <n v="11765"/>
    <n v="2235"/>
  </r>
  <r>
    <x v="0"/>
    <x v="483"/>
    <x v="85"/>
    <x v="0"/>
    <x v="113"/>
    <n v="117"/>
    <n v="1"/>
    <n v="3500"/>
    <n v="3500"/>
    <n v="2941"/>
    <n v="559"/>
  </r>
  <r>
    <x v="0"/>
    <x v="483"/>
    <x v="85"/>
    <x v="0"/>
    <x v="113"/>
    <n v="165"/>
    <n v="1"/>
    <n v="2000"/>
    <n v="2000"/>
    <n v="1681"/>
    <n v="319"/>
  </r>
  <r>
    <x v="0"/>
    <x v="483"/>
    <x v="85"/>
    <x v="0"/>
    <x v="113"/>
    <n v="367"/>
    <n v="2"/>
    <n v="3000"/>
    <n v="6000"/>
    <n v="5042"/>
    <n v="958"/>
  </r>
  <r>
    <x v="0"/>
    <x v="483"/>
    <x v="85"/>
    <x v="0"/>
    <x v="113"/>
    <n v="274"/>
    <n v="1"/>
    <n v="7500"/>
    <n v="7500"/>
    <n v="6303"/>
    <n v="1197"/>
  </r>
  <r>
    <x v="0"/>
    <x v="484"/>
    <x v="85"/>
    <x v="0"/>
    <x v="91"/>
    <n v="324"/>
    <n v="1"/>
    <n v="10500"/>
    <n v="10500"/>
    <n v="8824"/>
    <n v="1676"/>
  </r>
  <r>
    <x v="0"/>
    <x v="485"/>
    <x v="85"/>
    <x v="0"/>
    <x v="26"/>
    <n v="118"/>
    <n v="1"/>
    <n v="3500"/>
    <n v="3500"/>
    <n v="2941"/>
    <n v="559"/>
  </r>
  <r>
    <x v="0"/>
    <x v="485"/>
    <x v="85"/>
    <x v="0"/>
    <x v="26"/>
    <n v="157"/>
    <n v="1"/>
    <n v="4300"/>
    <n v="4300"/>
    <n v="3613"/>
    <n v="687"/>
  </r>
  <r>
    <x v="0"/>
    <x v="485"/>
    <x v="85"/>
    <x v="0"/>
    <x v="26"/>
    <n v="143"/>
    <n v="1"/>
    <n v="8300"/>
    <n v="8300"/>
    <n v="6975"/>
    <n v="1325"/>
  </r>
  <r>
    <x v="0"/>
    <x v="485"/>
    <x v="85"/>
    <x v="0"/>
    <x v="26"/>
    <n v="329"/>
    <n v="1"/>
    <n v="5500"/>
    <n v="5500"/>
    <n v="4622"/>
    <n v="878"/>
  </r>
  <r>
    <x v="0"/>
    <x v="486"/>
    <x v="85"/>
    <x v="0"/>
    <x v="29"/>
    <n v="329"/>
    <n v="1"/>
    <n v="5500"/>
    <n v="5500"/>
    <n v="4622"/>
    <n v="878"/>
  </r>
  <r>
    <x v="0"/>
    <x v="487"/>
    <x v="86"/>
    <x v="0"/>
    <x v="5"/>
    <n v="354"/>
    <n v="1"/>
    <n v="1800"/>
    <n v="1800"/>
    <n v="1513"/>
    <n v="287"/>
  </r>
  <r>
    <x v="0"/>
    <x v="487"/>
    <x v="86"/>
    <x v="0"/>
    <x v="5"/>
    <n v="135"/>
    <n v="1"/>
    <n v="1000"/>
    <n v="1000"/>
    <n v="840"/>
    <n v="160"/>
  </r>
  <r>
    <x v="0"/>
    <x v="487"/>
    <x v="86"/>
    <x v="0"/>
    <x v="5"/>
    <n v="7"/>
    <n v="1"/>
    <n v="7000"/>
    <n v="7000"/>
    <n v="5882"/>
    <n v="1118"/>
  </r>
  <r>
    <x v="0"/>
    <x v="487"/>
    <x v="86"/>
    <x v="0"/>
    <x v="5"/>
    <n v="167"/>
    <n v="2"/>
    <n v="16400"/>
    <n v="32800"/>
    <n v="27563"/>
    <n v="5237"/>
  </r>
  <r>
    <x v="0"/>
    <x v="488"/>
    <x v="86"/>
    <x v="0"/>
    <x v="21"/>
    <n v="143"/>
    <n v="1"/>
    <n v="8300"/>
    <n v="8300"/>
    <n v="6975"/>
    <n v="1325"/>
  </r>
  <r>
    <x v="0"/>
    <x v="488"/>
    <x v="86"/>
    <x v="0"/>
    <x v="21"/>
    <n v="135"/>
    <n v="2"/>
    <n v="2000"/>
    <n v="4000"/>
    <n v="3361"/>
    <n v="639"/>
  </r>
  <r>
    <x v="0"/>
    <x v="489"/>
    <x v="86"/>
    <x v="0"/>
    <x v="169"/>
    <n v="331"/>
    <n v="1"/>
    <n v="3700"/>
    <n v="3700"/>
    <n v="3109"/>
    <n v="591"/>
  </r>
  <r>
    <x v="0"/>
    <x v="490"/>
    <x v="86"/>
    <x v="0"/>
    <x v="24"/>
    <n v="230"/>
    <n v="1"/>
    <n v="15500"/>
    <n v="15500"/>
    <n v="13025"/>
    <n v="2475"/>
  </r>
  <r>
    <x v="0"/>
    <x v="491"/>
    <x v="86"/>
    <x v="0"/>
    <x v="12"/>
    <n v="125"/>
    <n v="2"/>
    <n v="3400"/>
    <n v="6800"/>
    <n v="5714"/>
    <n v="1086"/>
  </r>
  <r>
    <x v="0"/>
    <x v="492"/>
    <x v="87"/>
    <x v="0"/>
    <x v="165"/>
    <n v="143"/>
    <n v="2"/>
    <n v="16600"/>
    <n v="33200"/>
    <n v="27899"/>
    <n v="5301"/>
  </r>
  <r>
    <x v="0"/>
    <x v="493"/>
    <x v="87"/>
    <x v="0"/>
    <x v="158"/>
    <n v="324"/>
    <n v="1"/>
    <n v="10500"/>
    <n v="10500"/>
    <n v="8824"/>
    <n v="1676"/>
  </r>
  <r>
    <x v="0"/>
    <x v="494"/>
    <x v="87"/>
    <x v="0"/>
    <x v="5"/>
    <n v="118"/>
    <n v="1"/>
    <n v="3500"/>
    <n v="3500"/>
    <n v="2941"/>
    <n v="559"/>
  </r>
  <r>
    <x v="0"/>
    <x v="494"/>
    <x v="87"/>
    <x v="0"/>
    <x v="5"/>
    <n v="143"/>
    <n v="1"/>
    <n v="8300"/>
    <n v="8300"/>
    <n v="6975"/>
    <n v="1325"/>
  </r>
  <r>
    <x v="0"/>
    <x v="495"/>
    <x v="87"/>
    <x v="0"/>
    <x v="107"/>
    <n v="230"/>
    <n v="1"/>
    <n v="15500"/>
    <n v="15500"/>
    <n v="13025"/>
    <n v="2475"/>
  </r>
  <r>
    <x v="0"/>
    <x v="496"/>
    <x v="87"/>
    <x v="0"/>
    <x v="81"/>
    <n v="27"/>
    <n v="1"/>
    <n v="8700"/>
    <n v="8700"/>
    <n v="7311"/>
    <n v="1389"/>
  </r>
  <r>
    <x v="0"/>
    <x v="496"/>
    <x v="87"/>
    <x v="0"/>
    <x v="81"/>
    <n v="324"/>
    <n v="1"/>
    <n v="10500"/>
    <n v="10500"/>
    <n v="8824"/>
    <n v="1676"/>
  </r>
  <r>
    <x v="0"/>
    <x v="497"/>
    <x v="87"/>
    <x v="0"/>
    <x v="111"/>
    <n v="329"/>
    <n v="1"/>
    <n v="5500"/>
    <n v="5500"/>
    <n v="4622"/>
    <n v="878"/>
  </r>
  <r>
    <x v="0"/>
    <x v="498"/>
    <x v="87"/>
    <x v="0"/>
    <x v="123"/>
    <n v="118"/>
    <n v="1"/>
    <n v="3500"/>
    <n v="3500"/>
    <n v="2941"/>
    <n v="559"/>
  </r>
  <r>
    <x v="0"/>
    <x v="498"/>
    <x v="87"/>
    <x v="0"/>
    <x v="123"/>
    <n v="354"/>
    <n v="1"/>
    <n v="1800"/>
    <n v="1800"/>
    <n v="1513"/>
    <n v="287"/>
  </r>
  <r>
    <x v="0"/>
    <x v="499"/>
    <x v="88"/>
    <x v="0"/>
    <x v="52"/>
    <n v="143"/>
    <n v="1"/>
    <n v="8300"/>
    <n v="8300"/>
    <n v="6975"/>
    <n v="1325"/>
  </r>
  <r>
    <x v="0"/>
    <x v="499"/>
    <x v="88"/>
    <x v="0"/>
    <x v="52"/>
    <n v="329"/>
    <n v="1"/>
    <n v="5500"/>
    <n v="5500"/>
    <n v="4622"/>
    <n v="878"/>
  </r>
  <r>
    <x v="0"/>
    <x v="500"/>
    <x v="88"/>
    <x v="0"/>
    <x v="1"/>
    <n v="233"/>
    <n v="1"/>
    <n v="15990"/>
    <n v="15990"/>
    <n v="13437"/>
    <n v="2553"/>
  </r>
  <r>
    <x v="0"/>
    <x v="500"/>
    <x v="88"/>
    <x v="0"/>
    <x v="1"/>
    <n v="118"/>
    <n v="1"/>
    <n v="3500"/>
    <n v="3500"/>
    <n v="2941"/>
    <n v="559"/>
  </r>
  <r>
    <x v="0"/>
    <x v="500"/>
    <x v="88"/>
    <x v="0"/>
    <x v="1"/>
    <n v="99"/>
    <n v="1"/>
    <n v="1500"/>
    <n v="1500"/>
    <n v="1261"/>
    <n v="239"/>
  </r>
  <r>
    <x v="0"/>
    <x v="500"/>
    <x v="88"/>
    <x v="0"/>
    <x v="1"/>
    <n v="56"/>
    <n v="1"/>
    <n v="1500"/>
    <n v="1500"/>
    <n v="1261"/>
    <n v="239"/>
  </r>
  <r>
    <x v="0"/>
    <x v="501"/>
    <x v="88"/>
    <x v="0"/>
    <x v="170"/>
    <n v="143"/>
    <n v="1"/>
    <n v="8300"/>
    <n v="8300"/>
    <n v="6975"/>
    <n v="1325"/>
  </r>
  <r>
    <x v="0"/>
    <x v="502"/>
    <x v="88"/>
    <x v="0"/>
    <x v="54"/>
    <n v="143"/>
    <n v="2"/>
    <n v="16600"/>
    <n v="33200"/>
    <n v="27899"/>
    <n v="5301"/>
  </r>
  <r>
    <x v="0"/>
    <x v="503"/>
    <x v="88"/>
    <x v="0"/>
    <x v="67"/>
    <n v="117"/>
    <n v="1"/>
    <n v="3500"/>
    <n v="3500"/>
    <n v="2941"/>
    <n v="559"/>
  </r>
  <r>
    <x v="0"/>
    <x v="503"/>
    <x v="88"/>
    <x v="0"/>
    <x v="67"/>
    <n v="329"/>
    <n v="1"/>
    <n v="5500"/>
    <n v="5500"/>
    <n v="4622"/>
    <n v="878"/>
  </r>
  <r>
    <x v="0"/>
    <x v="504"/>
    <x v="88"/>
    <x v="0"/>
    <x v="33"/>
    <n v="230"/>
    <n v="1"/>
    <n v="15500"/>
    <n v="15500"/>
    <n v="13025"/>
    <n v="2475"/>
  </r>
  <r>
    <x v="0"/>
    <x v="505"/>
    <x v="88"/>
    <x v="0"/>
    <x v="34"/>
    <n v="329"/>
    <n v="1"/>
    <n v="5500"/>
    <n v="5500"/>
    <n v="4622"/>
    <n v="878"/>
  </r>
  <r>
    <x v="0"/>
    <x v="505"/>
    <x v="88"/>
    <x v="0"/>
    <x v="34"/>
    <n v="299"/>
    <n v="1"/>
    <n v="3200"/>
    <n v="3200"/>
    <n v="2689"/>
    <n v="511"/>
  </r>
  <r>
    <x v="0"/>
    <x v="506"/>
    <x v="88"/>
    <x v="0"/>
    <x v="171"/>
    <n v="51"/>
    <n v="2"/>
    <n v="8400"/>
    <n v="16800"/>
    <n v="14118"/>
    <n v="2682"/>
  </r>
  <r>
    <x v="0"/>
    <x v="507"/>
    <x v="88"/>
    <x v="0"/>
    <x v="172"/>
    <n v="118"/>
    <n v="3"/>
    <n v="10500"/>
    <n v="31500"/>
    <n v="26471"/>
    <n v="5029"/>
  </r>
  <r>
    <x v="0"/>
    <x v="507"/>
    <x v="88"/>
    <x v="0"/>
    <x v="172"/>
    <n v="356"/>
    <n v="1"/>
    <n v="3000"/>
    <n v="3000"/>
    <n v="2521"/>
    <n v="479"/>
  </r>
  <r>
    <x v="0"/>
    <x v="507"/>
    <x v="88"/>
    <x v="0"/>
    <x v="172"/>
    <n v="165"/>
    <n v="1"/>
    <n v="2000"/>
    <n v="2000"/>
    <n v="1681"/>
    <n v="319"/>
  </r>
  <r>
    <x v="0"/>
    <x v="507"/>
    <x v="88"/>
    <x v="0"/>
    <x v="172"/>
    <n v="29"/>
    <n v="2"/>
    <n v="2000"/>
    <n v="4000"/>
    <n v="3361"/>
    <n v="639"/>
  </r>
  <r>
    <x v="0"/>
    <x v="508"/>
    <x v="88"/>
    <x v="0"/>
    <x v="159"/>
    <n v="143"/>
    <n v="2"/>
    <n v="16600"/>
    <n v="33200"/>
    <n v="27899"/>
    <n v="5301"/>
  </r>
  <r>
    <x v="0"/>
    <x v="509"/>
    <x v="88"/>
    <x v="0"/>
    <x v="29"/>
    <n v="329"/>
    <n v="1"/>
    <n v="5500"/>
    <n v="5500"/>
    <n v="4622"/>
    <n v="878"/>
  </r>
  <r>
    <x v="0"/>
    <x v="510"/>
    <x v="88"/>
    <x v="0"/>
    <x v="119"/>
    <n v="143"/>
    <n v="1"/>
    <n v="8300"/>
    <n v="8300"/>
    <n v="6975"/>
    <n v="1325"/>
  </r>
  <r>
    <x v="0"/>
    <x v="511"/>
    <x v="88"/>
    <x v="0"/>
    <x v="58"/>
    <n v="329"/>
    <n v="1"/>
    <n v="5500"/>
    <n v="5500"/>
    <n v="4622"/>
    <n v="878"/>
  </r>
  <r>
    <x v="0"/>
    <x v="511"/>
    <x v="88"/>
    <x v="0"/>
    <x v="58"/>
    <n v="230"/>
    <n v="1"/>
    <n v="15500"/>
    <n v="15500"/>
    <n v="13025"/>
    <n v="2475"/>
  </r>
  <r>
    <x v="0"/>
    <x v="512"/>
    <x v="88"/>
    <x v="0"/>
    <x v="61"/>
    <n v="118"/>
    <n v="1"/>
    <n v="3500"/>
    <n v="3500"/>
    <n v="2941"/>
    <n v="559"/>
  </r>
  <r>
    <x v="0"/>
    <x v="513"/>
    <x v="88"/>
    <x v="0"/>
    <x v="173"/>
    <n v="369"/>
    <n v="2"/>
    <n v="21000"/>
    <n v="42000"/>
    <n v="35294"/>
    <n v="6706"/>
  </r>
  <r>
    <x v="0"/>
    <x v="513"/>
    <x v="88"/>
    <x v="0"/>
    <x v="173"/>
    <n v="298"/>
    <n v="1"/>
    <n v="2500"/>
    <n v="2500"/>
    <n v="2101"/>
    <n v="399"/>
  </r>
  <r>
    <x v="0"/>
    <x v="514"/>
    <x v="89"/>
    <x v="0"/>
    <x v="37"/>
    <n v="143"/>
    <n v="1"/>
    <n v="8300"/>
    <n v="8300"/>
    <n v="6975"/>
    <n v="1325"/>
  </r>
  <r>
    <x v="0"/>
    <x v="515"/>
    <x v="89"/>
    <x v="0"/>
    <x v="5"/>
    <n v="191"/>
    <n v="3"/>
    <n v="7500"/>
    <n v="22500"/>
    <n v="18908"/>
    <n v="3592"/>
  </r>
  <r>
    <x v="0"/>
    <x v="516"/>
    <x v="89"/>
    <x v="0"/>
    <x v="174"/>
    <n v="118"/>
    <n v="1"/>
    <n v="3500"/>
    <n v="3500"/>
    <n v="2941"/>
    <n v="559"/>
  </r>
  <r>
    <x v="0"/>
    <x v="516"/>
    <x v="89"/>
    <x v="0"/>
    <x v="174"/>
    <n v="143"/>
    <n v="2"/>
    <n v="16600"/>
    <n v="33200"/>
    <n v="27899"/>
    <n v="5301"/>
  </r>
  <r>
    <x v="0"/>
    <x v="517"/>
    <x v="89"/>
    <x v="0"/>
    <x v="105"/>
    <n v="140"/>
    <n v="1"/>
    <n v="3700"/>
    <n v="3700"/>
    <n v="3109"/>
    <n v="591"/>
  </r>
  <r>
    <x v="0"/>
    <x v="518"/>
    <x v="89"/>
    <x v="0"/>
    <x v="175"/>
    <n v="51"/>
    <n v="1"/>
    <n v="4200"/>
    <n v="4200"/>
    <n v="3529"/>
    <n v="671"/>
  </r>
  <r>
    <x v="0"/>
    <x v="519"/>
    <x v="89"/>
    <x v="0"/>
    <x v="176"/>
    <n v="143"/>
    <n v="2"/>
    <n v="16600"/>
    <n v="33200"/>
    <n v="27899"/>
    <n v="5301"/>
  </r>
  <r>
    <x v="0"/>
    <x v="519"/>
    <x v="89"/>
    <x v="0"/>
    <x v="176"/>
    <n v="247"/>
    <n v="1"/>
    <n v="2800"/>
    <n v="2800"/>
    <n v="2353"/>
    <n v="447"/>
  </r>
  <r>
    <x v="0"/>
    <x v="519"/>
    <x v="89"/>
    <x v="0"/>
    <x v="176"/>
    <n v="29"/>
    <n v="1"/>
    <n v="1000"/>
    <n v="1000"/>
    <n v="840"/>
    <n v="160"/>
  </r>
  <r>
    <x v="0"/>
    <x v="519"/>
    <x v="89"/>
    <x v="0"/>
    <x v="176"/>
    <n v="68"/>
    <n v="1"/>
    <n v="1100"/>
    <n v="1100"/>
    <n v="924"/>
    <n v="176"/>
  </r>
  <r>
    <x v="0"/>
    <x v="519"/>
    <x v="89"/>
    <x v="0"/>
    <x v="176"/>
    <n v="125"/>
    <n v="1"/>
    <n v="1700"/>
    <n v="1700"/>
    <n v="1429"/>
    <n v="271"/>
  </r>
  <r>
    <x v="0"/>
    <x v="519"/>
    <x v="89"/>
    <x v="0"/>
    <x v="176"/>
    <n v="51"/>
    <n v="1"/>
    <n v="4200"/>
    <n v="4200"/>
    <n v="3529"/>
    <n v="671"/>
  </r>
  <r>
    <x v="0"/>
    <x v="520"/>
    <x v="90"/>
    <x v="0"/>
    <x v="21"/>
    <n v="324"/>
    <n v="1"/>
    <n v="10500"/>
    <n v="10500"/>
    <n v="8824"/>
    <n v="1676"/>
  </r>
  <r>
    <x v="0"/>
    <x v="521"/>
    <x v="90"/>
    <x v="0"/>
    <x v="87"/>
    <n v="143"/>
    <n v="1"/>
    <n v="8300"/>
    <n v="8300"/>
    <n v="6975"/>
    <n v="1325"/>
  </r>
  <r>
    <x v="0"/>
    <x v="522"/>
    <x v="90"/>
    <x v="0"/>
    <x v="177"/>
    <n v="369"/>
    <n v="1"/>
    <n v="10500"/>
    <n v="10500"/>
    <n v="8824"/>
    <n v="1676"/>
  </r>
  <r>
    <x v="0"/>
    <x v="522"/>
    <x v="90"/>
    <x v="0"/>
    <x v="177"/>
    <n v="231"/>
    <n v="1"/>
    <n v="19990"/>
    <n v="19990"/>
    <n v="16798"/>
    <n v="3192"/>
  </r>
  <r>
    <x v="0"/>
    <x v="523"/>
    <x v="90"/>
    <x v="0"/>
    <x v="7"/>
    <n v="230"/>
    <n v="1"/>
    <n v="15500"/>
    <n v="15500"/>
    <n v="13025"/>
    <n v="2475"/>
  </r>
  <r>
    <x v="0"/>
    <x v="524"/>
    <x v="91"/>
    <x v="2"/>
    <x v="97"/>
    <n v="143"/>
    <n v="1"/>
    <n v="8300"/>
    <n v="8300"/>
    <n v="6975"/>
    <n v="1325"/>
  </r>
  <r>
    <x v="0"/>
    <x v="524"/>
    <x v="91"/>
    <x v="2"/>
    <x v="97"/>
    <n v="329"/>
    <n v="1"/>
    <n v="5500"/>
    <n v="5500"/>
    <n v="4622"/>
    <n v="878"/>
  </r>
  <r>
    <x v="0"/>
    <x v="525"/>
    <x v="91"/>
    <x v="0"/>
    <x v="2"/>
    <n v="230"/>
    <n v="1"/>
    <n v="15500"/>
    <n v="15500"/>
    <n v="13025"/>
    <n v="2475"/>
  </r>
  <r>
    <x v="0"/>
    <x v="526"/>
    <x v="91"/>
    <x v="0"/>
    <x v="178"/>
    <n v="164"/>
    <n v="1"/>
    <n v="3200"/>
    <n v="3200"/>
    <n v="2689"/>
    <n v="511"/>
  </r>
  <r>
    <x v="0"/>
    <x v="526"/>
    <x v="91"/>
    <x v="0"/>
    <x v="178"/>
    <n v="162"/>
    <n v="1"/>
    <n v="1600"/>
    <n v="1600"/>
    <n v="1345"/>
    <n v="255"/>
  </r>
  <r>
    <x v="0"/>
    <x v="526"/>
    <x v="91"/>
    <x v="0"/>
    <x v="178"/>
    <n v="99"/>
    <n v="1"/>
    <n v="1500"/>
    <n v="1500"/>
    <n v="1261"/>
    <n v="239"/>
  </r>
  <r>
    <x v="0"/>
    <x v="526"/>
    <x v="91"/>
    <x v="0"/>
    <x v="178"/>
    <n v="252"/>
    <n v="1"/>
    <n v="4800"/>
    <n v="4800"/>
    <n v="4034"/>
    <n v="766"/>
  </r>
  <r>
    <x v="0"/>
    <x v="526"/>
    <x v="91"/>
    <x v="0"/>
    <x v="178"/>
    <n v="24"/>
    <n v="1"/>
    <n v="1650"/>
    <n v="1650"/>
    <n v="1387"/>
    <n v="263"/>
  </r>
  <r>
    <x v="0"/>
    <x v="527"/>
    <x v="91"/>
    <x v="0"/>
    <x v="36"/>
    <n v="143"/>
    <n v="2"/>
    <n v="16600"/>
    <n v="33200"/>
    <n v="27899"/>
    <n v="5301"/>
  </r>
  <r>
    <x v="0"/>
    <x v="527"/>
    <x v="91"/>
    <x v="0"/>
    <x v="36"/>
    <n v="30"/>
    <n v="1"/>
    <n v="3000"/>
    <n v="3000"/>
    <n v="2521"/>
    <n v="479"/>
  </r>
  <r>
    <x v="0"/>
    <x v="528"/>
    <x v="91"/>
    <x v="0"/>
    <x v="5"/>
    <n v="236"/>
    <n v="1"/>
    <n v="18990"/>
    <n v="18990"/>
    <n v="15958"/>
    <n v="3032"/>
  </r>
  <r>
    <x v="0"/>
    <x v="528"/>
    <x v="91"/>
    <x v="0"/>
    <x v="5"/>
    <n v="171"/>
    <n v="1"/>
    <n v="3700"/>
    <n v="3700"/>
    <n v="3109"/>
    <n v="591"/>
  </r>
  <r>
    <x v="0"/>
    <x v="529"/>
    <x v="91"/>
    <x v="0"/>
    <x v="21"/>
    <n v="143"/>
    <n v="1"/>
    <n v="8300"/>
    <n v="8300"/>
    <n v="6975"/>
    <n v="1325"/>
  </r>
  <r>
    <x v="0"/>
    <x v="529"/>
    <x v="91"/>
    <x v="0"/>
    <x v="21"/>
    <n v="135"/>
    <n v="2"/>
    <n v="2000"/>
    <n v="4000"/>
    <n v="3361"/>
    <n v="639"/>
  </r>
  <r>
    <x v="0"/>
    <x v="530"/>
    <x v="91"/>
    <x v="0"/>
    <x v="169"/>
    <n v="7"/>
    <n v="1"/>
    <n v="7000"/>
    <n v="7000"/>
    <n v="5882"/>
    <n v="1118"/>
  </r>
  <r>
    <x v="0"/>
    <x v="531"/>
    <x v="91"/>
    <x v="0"/>
    <x v="137"/>
    <n v="231"/>
    <n v="1"/>
    <n v="19990"/>
    <n v="19990"/>
    <n v="16798"/>
    <n v="3192"/>
  </r>
  <r>
    <x v="0"/>
    <x v="532"/>
    <x v="91"/>
    <x v="0"/>
    <x v="91"/>
    <n v="263"/>
    <n v="1"/>
    <n v="8000"/>
    <n v="8000"/>
    <n v="6723"/>
    <n v="1277"/>
  </r>
  <r>
    <x v="0"/>
    <x v="532"/>
    <x v="91"/>
    <x v="0"/>
    <x v="91"/>
    <n v="7"/>
    <n v="1"/>
    <n v="7000"/>
    <n v="7000"/>
    <n v="5882"/>
    <n v="1118"/>
  </r>
  <r>
    <x v="0"/>
    <x v="532"/>
    <x v="91"/>
    <x v="0"/>
    <x v="91"/>
    <n v="324"/>
    <n v="1"/>
    <n v="10500"/>
    <n v="10500"/>
    <n v="8824"/>
    <n v="1676"/>
  </r>
  <r>
    <x v="0"/>
    <x v="533"/>
    <x v="91"/>
    <x v="0"/>
    <x v="154"/>
    <n v="231"/>
    <n v="1"/>
    <n v="19990"/>
    <n v="19990"/>
    <n v="16798"/>
    <n v="3192"/>
  </r>
  <r>
    <x v="0"/>
    <x v="533"/>
    <x v="91"/>
    <x v="0"/>
    <x v="154"/>
    <n v="244"/>
    <n v="1"/>
    <n v="14900"/>
    <n v="14900"/>
    <n v="12521"/>
    <n v="2379"/>
  </r>
  <r>
    <x v="0"/>
    <x v="534"/>
    <x v="91"/>
    <x v="0"/>
    <x v="110"/>
    <n v="231"/>
    <n v="1"/>
    <n v="19990"/>
    <n v="19990"/>
    <n v="16798"/>
    <n v="3192"/>
  </r>
  <r>
    <x v="0"/>
    <x v="534"/>
    <x v="91"/>
    <x v="0"/>
    <x v="110"/>
    <n v="228"/>
    <n v="1"/>
    <n v="21500"/>
    <n v="21500"/>
    <n v="18067"/>
    <n v="3433"/>
  </r>
  <r>
    <x v="0"/>
    <x v="534"/>
    <x v="91"/>
    <x v="0"/>
    <x v="110"/>
    <n v="259"/>
    <n v="1"/>
    <n v="4500"/>
    <n v="4500"/>
    <n v="3782"/>
    <n v="718"/>
  </r>
  <r>
    <x v="0"/>
    <x v="534"/>
    <x v="91"/>
    <x v="0"/>
    <x v="110"/>
    <n v="32"/>
    <n v="1"/>
    <n v="6500"/>
    <n v="6500"/>
    <n v="5462"/>
    <n v="1038"/>
  </r>
  <r>
    <x v="0"/>
    <x v="534"/>
    <x v="91"/>
    <x v="0"/>
    <x v="110"/>
    <n v="99"/>
    <n v="2"/>
    <n v="3000"/>
    <n v="6000"/>
    <n v="5042"/>
    <n v="958"/>
  </r>
  <r>
    <x v="0"/>
    <x v="534"/>
    <x v="91"/>
    <x v="0"/>
    <x v="110"/>
    <n v="170"/>
    <n v="1"/>
    <n v="3600"/>
    <n v="3600"/>
    <n v="3025"/>
    <n v="575"/>
  </r>
  <r>
    <x v="0"/>
    <x v="534"/>
    <x v="91"/>
    <x v="0"/>
    <x v="110"/>
    <n v="150"/>
    <n v="1"/>
    <n v="4200"/>
    <n v="4200"/>
    <n v="3529"/>
    <n v="671"/>
  </r>
  <r>
    <x v="0"/>
    <x v="534"/>
    <x v="91"/>
    <x v="0"/>
    <x v="110"/>
    <n v="357"/>
    <n v="3"/>
    <n v="5400"/>
    <n v="16200"/>
    <n v="13613"/>
    <n v="2587"/>
  </r>
  <r>
    <x v="0"/>
    <x v="535"/>
    <x v="92"/>
    <x v="0"/>
    <x v="124"/>
    <n v="143"/>
    <n v="1"/>
    <n v="8300"/>
    <n v="8300"/>
    <n v="6975"/>
    <n v="1325"/>
  </r>
  <r>
    <x v="0"/>
    <x v="536"/>
    <x v="92"/>
    <x v="0"/>
    <x v="4"/>
    <n v="143"/>
    <n v="1"/>
    <n v="8300"/>
    <n v="8300"/>
    <n v="6975"/>
    <n v="1325"/>
  </r>
  <r>
    <x v="0"/>
    <x v="537"/>
    <x v="92"/>
    <x v="0"/>
    <x v="5"/>
    <n v="142"/>
    <n v="1"/>
    <n v="6200"/>
    <n v="6200"/>
    <n v="5210"/>
    <n v="990"/>
  </r>
  <r>
    <x v="0"/>
    <x v="538"/>
    <x v="92"/>
    <x v="0"/>
    <x v="94"/>
    <n v="167"/>
    <n v="2"/>
    <n v="16400"/>
    <n v="32800"/>
    <n v="27563"/>
    <n v="5237"/>
  </r>
  <r>
    <x v="0"/>
    <x v="539"/>
    <x v="92"/>
    <x v="0"/>
    <x v="179"/>
    <n v="124"/>
    <n v="1"/>
    <n v="4000"/>
    <n v="4000"/>
    <n v="3361"/>
    <n v="639"/>
  </r>
  <r>
    <x v="0"/>
    <x v="539"/>
    <x v="92"/>
    <x v="0"/>
    <x v="179"/>
    <n v="288"/>
    <n v="1"/>
    <n v="8000"/>
    <n v="8000"/>
    <n v="6723"/>
    <n v="1277"/>
  </r>
  <r>
    <x v="0"/>
    <x v="540"/>
    <x v="92"/>
    <x v="0"/>
    <x v="74"/>
    <n v="236"/>
    <n v="1"/>
    <n v="18990"/>
    <n v="18990"/>
    <n v="15958"/>
    <n v="3032"/>
  </r>
  <r>
    <x v="0"/>
    <x v="540"/>
    <x v="92"/>
    <x v="0"/>
    <x v="74"/>
    <n v="369"/>
    <n v="1"/>
    <n v="10500"/>
    <n v="10500"/>
    <n v="8824"/>
    <n v="1676"/>
  </r>
  <r>
    <x v="0"/>
    <x v="540"/>
    <x v="92"/>
    <x v="0"/>
    <x v="74"/>
    <n v="354"/>
    <n v="1"/>
    <n v="1800"/>
    <n v="1800"/>
    <n v="1513"/>
    <n v="287"/>
  </r>
  <r>
    <x v="0"/>
    <x v="540"/>
    <x v="92"/>
    <x v="0"/>
    <x v="74"/>
    <n v="360"/>
    <n v="1"/>
    <n v="3000"/>
    <n v="3000"/>
    <n v="2521"/>
    <n v="479"/>
  </r>
  <r>
    <x v="0"/>
    <x v="540"/>
    <x v="92"/>
    <x v="0"/>
    <x v="74"/>
    <n v="25"/>
    <n v="1"/>
    <n v="1800"/>
    <n v="1800"/>
    <n v="1513"/>
    <n v="287"/>
  </r>
  <r>
    <x v="0"/>
    <x v="540"/>
    <x v="92"/>
    <x v="0"/>
    <x v="74"/>
    <n v="259"/>
    <n v="1"/>
    <n v="4500"/>
    <n v="4500"/>
    <n v="3782"/>
    <n v="718"/>
  </r>
  <r>
    <x v="0"/>
    <x v="540"/>
    <x v="92"/>
    <x v="0"/>
    <x v="74"/>
    <n v="29"/>
    <n v="1"/>
    <n v="1000"/>
    <n v="1000"/>
    <n v="840"/>
    <n v="160"/>
  </r>
  <r>
    <x v="0"/>
    <x v="540"/>
    <x v="92"/>
    <x v="0"/>
    <x v="74"/>
    <n v="287"/>
    <n v="1"/>
    <n v="3000"/>
    <n v="3000"/>
    <n v="2521"/>
    <n v="479"/>
  </r>
  <r>
    <x v="0"/>
    <x v="540"/>
    <x v="92"/>
    <x v="0"/>
    <x v="74"/>
    <n v="99"/>
    <n v="1"/>
    <n v="1500"/>
    <n v="1500"/>
    <n v="1261"/>
    <n v="239"/>
  </r>
  <r>
    <x v="0"/>
    <x v="540"/>
    <x v="92"/>
    <x v="0"/>
    <x v="74"/>
    <n v="165"/>
    <n v="1"/>
    <n v="2000"/>
    <n v="2000"/>
    <n v="1681"/>
    <n v="319"/>
  </r>
  <r>
    <x v="0"/>
    <x v="540"/>
    <x v="92"/>
    <x v="0"/>
    <x v="74"/>
    <n v="117"/>
    <n v="1"/>
    <n v="3500"/>
    <n v="3500"/>
    <n v="2941"/>
    <n v="559"/>
  </r>
  <r>
    <x v="0"/>
    <x v="540"/>
    <x v="92"/>
    <x v="0"/>
    <x v="74"/>
    <n v="143"/>
    <n v="1"/>
    <n v="8300"/>
    <n v="8300"/>
    <n v="6975"/>
    <n v="1325"/>
  </r>
  <r>
    <x v="0"/>
    <x v="540"/>
    <x v="92"/>
    <x v="0"/>
    <x v="74"/>
    <n v="324"/>
    <n v="1"/>
    <n v="10500"/>
    <n v="10500"/>
    <n v="8824"/>
    <n v="1676"/>
  </r>
  <r>
    <x v="0"/>
    <x v="541"/>
    <x v="92"/>
    <x v="0"/>
    <x v="7"/>
    <n v="361"/>
    <n v="1"/>
    <n v="3500"/>
    <n v="3500"/>
    <n v="2941"/>
    <n v="559"/>
  </r>
  <r>
    <x v="0"/>
    <x v="541"/>
    <x v="92"/>
    <x v="0"/>
    <x v="7"/>
    <n v="155"/>
    <n v="1"/>
    <n v="1650"/>
    <n v="1650"/>
    <n v="1387"/>
    <n v="263"/>
  </r>
  <r>
    <x v="0"/>
    <x v="541"/>
    <x v="92"/>
    <x v="0"/>
    <x v="7"/>
    <n v="95"/>
    <n v="1"/>
    <n v="2400"/>
    <n v="2400"/>
    <n v="2017"/>
    <n v="383"/>
  </r>
  <r>
    <x v="0"/>
    <x v="541"/>
    <x v="92"/>
    <x v="0"/>
    <x v="7"/>
    <n v="98"/>
    <n v="1"/>
    <n v="3500"/>
    <n v="3500"/>
    <n v="2941"/>
    <n v="559"/>
  </r>
  <r>
    <x v="0"/>
    <x v="541"/>
    <x v="92"/>
    <x v="0"/>
    <x v="7"/>
    <n v="165"/>
    <n v="1"/>
    <n v="2000"/>
    <n v="2000"/>
    <n v="1681"/>
    <n v="319"/>
  </r>
  <r>
    <x v="0"/>
    <x v="542"/>
    <x v="92"/>
    <x v="0"/>
    <x v="180"/>
    <n v="230"/>
    <n v="1"/>
    <n v="15500"/>
    <n v="15500"/>
    <n v="13025"/>
    <n v="2475"/>
  </r>
  <r>
    <x v="0"/>
    <x v="542"/>
    <x v="92"/>
    <x v="0"/>
    <x v="180"/>
    <n v="369"/>
    <n v="1"/>
    <n v="10500"/>
    <n v="10500"/>
    <n v="8824"/>
    <n v="1676"/>
  </r>
  <r>
    <x v="0"/>
    <x v="542"/>
    <x v="92"/>
    <x v="0"/>
    <x v="180"/>
    <n v="288"/>
    <n v="1"/>
    <n v="8000"/>
    <n v="8000"/>
    <n v="6723"/>
    <n v="1277"/>
  </r>
  <r>
    <x v="0"/>
    <x v="542"/>
    <x v="92"/>
    <x v="0"/>
    <x v="180"/>
    <n v="125"/>
    <n v="1"/>
    <n v="1700"/>
    <n v="1700"/>
    <n v="1429"/>
    <n v="271"/>
  </r>
  <r>
    <x v="0"/>
    <x v="542"/>
    <x v="92"/>
    <x v="0"/>
    <x v="180"/>
    <n v="162"/>
    <n v="3"/>
    <n v="4800"/>
    <n v="14400"/>
    <n v="12101"/>
    <n v="2299"/>
  </r>
  <r>
    <x v="0"/>
    <x v="542"/>
    <x v="92"/>
    <x v="0"/>
    <x v="180"/>
    <n v="165"/>
    <n v="2"/>
    <n v="4000"/>
    <n v="8000"/>
    <n v="6723"/>
    <n v="1277"/>
  </r>
  <r>
    <x v="0"/>
    <x v="542"/>
    <x v="92"/>
    <x v="0"/>
    <x v="180"/>
    <n v="118"/>
    <n v="1"/>
    <n v="3500"/>
    <n v="3500"/>
    <n v="2941"/>
    <n v="559"/>
  </r>
  <r>
    <x v="0"/>
    <x v="542"/>
    <x v="92"/>
    <x v="0"/>
    <x v="180"/>
    <n v="7"/>
    <n v="1"/>
    <n v="7000"/>
    <n v="7000"/>
    <n v="5882"/>
    <n v="1118"/>
  </r>
  <r>
    <x v="0"/>
    <x v="542"/>
    <x v="92"/>
    <x v="0"/>
    <x v="180"/>
    <n v="167"/>
    <n v="1"/>
    <n v="8200"/>
    <n v="8200"/>
    <n v="6891"/>
    <n v="1309"/>
  </r>
  <r>
    <x v="0"/>
    <x v="543"/>
    <x v="92"/>
    <x v="0"/>
    <x v="85"/>
    <n v="263"/>
    <n v="1"/>
    <n v="8000"/>
    <n v="8000"/>
    <n v="6723"/>
    <n v="1277"/>
  </r>
  <r>
    <x v="0"/>
    <x v="544"/>
    <x v="92"/>
    <x v="0"/>
    <x v="93"/>
    <n v="6"/>
    <n v="1"/>
    <n v="9400"/>
    <n v="9400"/>
    <n v="7899"/>
    <n v="1501"/>
  </r>
  <r>
    <x v="0"/>
    <x v="545"/>
    <x v="93"/>
    <x v="0"/>
    <x v="17"/>
    <n v="324"/>
    <n v="1"/>
    <n v="10500"/>
    <n v="10500"/>
    <n v="8824"/>
    <n v="1676"/>
  </r>
  <r>
    <x v="0"/>
    <x v="546"/>
    <x v="93"/>
    <x v="0"/>
    <x v="0"/>
    <n v="167"/>
    <n v="1"/>
    <n v="8200"/>
    <n v="8200"/>
    <n v="6891"/>
    <n v="1309"/>
  </r>
  <r>
    <x v="0"/>
    <x v="547"/>
    <x v="93"/>
    <x v="0"/>
    <x v="59"/>
    <n v="143"/>
    <n v="1"/>
    <n v="8300"/>
    <n v="8300"/>
    <n v="6975"/>
    <n v="1325"/>
  </r>
  <r>
    <x v="0"/>
    <x v="547"/>
    <x v="93"/>
    <x v="0"/>
    <x v="59"/>
    <n v="329"/>
    <n v="1"/>
    <n v="5500"/>
    <n v="5500"/>
    <n v="4622"/>
    <n v="878"/>
  </r>
  <r>
    <x v="0"/>
    <x v="548"/>
    <x v="93"/>
    <x v="0"/>
    <x v="27"/>
    <n v="143"/>
    <n v="2"/>
    <n v="16600"/>
    <n v="33200"/>
    <n v="27899"/>
    <n v="5301"/>
  </r>
  <r>
    <x v="0"/>
    <x v="549"/>
    <x v="94"/>
    <x v="0"/>
    <x v="181"/>
    <n v="324"/>
    <n v="1"/>
    <n v="10500"/>
    <n v="10500"/>
    <n v="8824"/>
    <n v="1676"/>
  </r>
  <r>
    <x v="0"/>
    <x v="549"/>
    <x v="94"/>
    <x v="0"/>
    <x v="181"/>
    <n v="167"/>
    <n v="1"/>
    <n v="8200"/>
    <n v="8200"/>
    <n v="6891"/>
    <n v="1309"/>
  </r>
  <r>
    <x v="0"/>
    <x v="549"/>
    <x v="94"/>
    <x v="0"/>
    <x v="181"/>
    <n v="191"/>
    <n v="1"/>
    <n v="2500"/>
    <n v="2500"/>
    <n v="2101"/>
    <n v="399"/>
  </r>
  <r>
    <x v="0"/>
    <x v="550"/>
    <x v="94"/>
    <x v="0"/>
    <x v="130"/>
    <n v="164"/>
    <n v="2"/>
    <n v="6400"/>
    <n v="12800"/>
    <n v="10756"/>
    <n v="2044"/>
  </r>
  <r>
    <x v="0"/>
    <x v="551"/>
    <x v="94"/>
    <x v="0"/>
    <x v="80"/>
    <n v="143"/>
    <n v="1"/>
    <n v="8300"/>
    <n v="8300"/>
    <n v="6975"/>
    <n v="1325"/>
  </r>
  <r>
    <x v="0"/>
    <x v="551"/>
    <x v="94"/>
    <x v="0"/>
    <x v="80"/>
    <n v="369"/>
    <n v="1"/>
    <n v="10500"/>
    <n v="10500"/>
    <n v="8824"/>
    <n v="1676"/>
  </r>
  <r>
    <x v="0"/>
    <x v="552"/>
    <x v="95"/>
    <x v="0"/>
    <x v="182"/>
    <n v="122"/>
    <n v="1"/>
    <n v="6000"/>
    <n v="6000"/>
    <n v="5042"/>
    <n v="958"/>
  </r>
  <r>
    <x v="0"/>
    <x v="553"/>
    <x v="95"/>
    <x v="0"/>
    <x v="56"/>
    <n v="231"/>
    <n v="1"/>
    <n v="20900"/>
    <n v="20900"/>
    <n v="17563"/>
    <n v="3337"/>
  </r>
  <r>
    <x v="0"/>
    <x v="554"/>
    <x v="96"/>
    <x v="0"/>
    <x v="183"/>
    <n v="49"/>
    <n v="2"/>
    <n v="8400"/>
    <n v="16800"/>
    <n v="14118"/>
    <n v="2682"/>
  </r>
  <r>
    <x v="0"/>
    <x v="555"/>
    <x v="96"/>
    <x v="0"/>
    <x v="184"/>
    <n v="235"/>
    <n v="1"/>
    <n v="14500"/>
    <n v="14500"/>
    <n v="12185"/>
    <n v="2315"/>
  </r>
  <r>
    <x v="0"/>
    <x v="556"/>
    <x v="96"/>
    <x v="0"/>
    <x v="5"/>
    <n v="324"/>
    <n v="1"/>
    <n v="10500"/>
    <n v="10500"/>
    <n v="8824"/>
    <n v="1676"/>
  </r>
  <r>
    <x v="0"/>
    <x v="556"/>
    <x v="96"/>
    <x v="0"/>
    <x v="5"/>
    <n v="143"/>
    <n v="1"/>
    <n v="8300"/>
    <n v="8300"/>
    <n v="6975"/>
    <n v="1325"/>
  </r>
  <r>
    <x v="0"/>
    <x v="556"/>
    <x v="96"/>
    <x v="0"/>
    <x v="5"/>
    <n v="287"/>
    <n v="1"/>
    <n v="3000"/>
    <n v="3000"/>
    <n v="2521"/>
    <n v="479"/>
  </r>
  <r>
    <x v="0"/>
    <x v="557"/>
    <x v="96"/>
    <x v="0"/>
    <x v="98"/>
    <n v="324"/>
    <n v="1"/>
    <n v="10500"/>
    <n v="10500"/>
    <n v="8824"/>
    <n v="1676"/>
  </r>
  <r>
    <x v="0"/>
    <x v="557"/>
    <x v="96"/>
    <x v="0"/>
    <x v="98"/>
    <n v="261"/>
    <n v="1"/>
    <n v="7000"/>
    <n v="7000"/>
    <n v="5882"/>
    <n v="1118"/>
  </r>
  <r>
    <x v="0"/>
    <x v="557"/>
    <x v="96"/>
    <x v="0"/>
    <x v="98"/>
    <n v="167"/>
    <n v="1"/>
    <n v="8200"/>
    <n v="8200"/>
    <n v="6891"/>
    <n v="1309"/>
  </r>
  <r>
    <x v="0"/>
    <x v="558"/>
    <x v="96"/>
    <x v="0"/>
    <x v="185"/>
    <n v="167"/>
    <n v="1"/>
    <n v="8200"/>
    <n v="8200"/>
    <n v="6891"/>
    <n v="1309"/>
  </r>
  <r>
    <x v="0"/>
    <x v="559"/>
    <x v="96"/>
    <x v="0"/>
    <x v="164"/>
    <n v="143"/>
    <n v="1"/>
    <n v="8300"/>
    <n v="8300"/>
    <n v="6975"/>
    <n v="1325"/>
  </r>
  <r>
    <x v="0"/>
    <x v="559"/>
    <x v="96"/>
    <x v="0"/>
    <x v="164"/>
    <n v="324"/>
    <n v="1"/>
    <n v="10500"/>
    <n v="10500"/>
    <n v="8824"/>
    <n v="1676"/>
  </r>
  <r>
    <x v="0"/>
    <x v="559"/>
    <x v="96"/>
    <x v="0"/>
    <x v="164"/>
    <n v="325"/>
    <n v="1"/>
    <n v="10000"/>
    <n v="10000"/>
    <n v="8403"/>
    <n v="1597"/>
  </r>
  <r>
    <x v="0"/>
    <x v="559"/>
    <x v="96"/>
    <x v="0"/>
    <x v="164"/>
    <n v="167"/>
    <n v="2"/>
    <n v="16400"/>
    <n v="32800"/>
    <n v="27563"/>
    <n v="5237"/>
  </r>
  <r>
    <x v="0"/>
    <x v="559"/>
    <x v="96"/>
    <x v="0"/>
    <x v="164"/>
    <n v="191"/>
    <n v="1"/>
    <n v="2500"/>
    <n v="2500"/>
    <n v="2101"/>
    <n v="399"/>
  </r>
  <r>
    <x v="0"/>
    <x v="559"/>
    <x v="96"/>
    <x v="0"/>
    <x v="164"/>
    <n v="261"/>
    <n v="1"/>
    <n v="7000"/>
    <n v="7000"/>
    <n v="5882"/>
    <n v="1118"/>
  </r>
  <r>
    <x v="0"/>
    <x v="560"/>
    <x v="96"/>
    <x v="0"/>
    <x v="147"/>
    <n v="143"/>
    <n v="1"/>
    <n v="8300"/>
    <n v="8300"/>
    <n v="6975"/>
    <n v="1325"/>
  </r>
  <r>
    <x v="0"/>
    <x v="561"/>
    <x v="96"/>
    <x v="0"/>
    <x v="186"/>
    <n v="143"/>
    <n v="1"/>
    <n v="8300"/>
    <n v="8300"/>
    <n v="6975"/>
    <n v="1325"/>
  </r>
  <r>
    <x v="0"/>
    <x v="562"/>
    <x v="97"/>
    <x v="0"/>
    <x v="163"/>
    <n v="143"/>
    <n v="2"/>
    <n v="16600"/>
    <n v="33200"/>
    <n v="27899"/>
    <n v="5301"/>
  </r>
  <r>
    <x v="0"/>
    <x v="563"/>
    <x v="97"/>
    <x v="0"/>
    <x v="184"/>
    <n v="277"/>
    <n v="1"/>
    <n v="10000"/>
    <n v="10000"/>
    <n v="8403"/>
    <n v="1597"/>
  </r>
  <r>
    <x v="0"/>
    <x v="564"/>
    <x v="97"/>
    <x v="0"/>
    <x v="5"/>
    <n v="256"/>
    <n v="1"/>
    <n v="3000"/>
    <n v="3000"/>
    <n v="2521"/>
    <n v="479"/>
  </r>
  <r>
    <x v="0"/>
    <x v="564"/>
    <x v="97"/>
    <x v="0"/>
    <x v="5"/>
    <n v="360"/>
    <n v="1"/>
    <n v="3000"/>
    <n v="3000"/>
    <n v="2521"/>
    <n v="479"/>
  </r>
  <r>
    <x v="0"/>
    <x v="564"/>
    <x v="97"/>
    <x v="0"/>
    <x v="5"/>
    <n v="117"/>
    <n v="1"/>
    <n v="3500"/>
    <n v="3500"/>
    <n v="2941"/>
    <n v="559"/>
  </r>
  <r>
    <x v="0"/>
    <x v="565"/>
    <x v="97"/>
    <x v="0"/>
    <x v="59"/>
    <n v="97"/>
    <n v="1"/>
    <n v="2000"/>
    <n v="2000"/>
    <n v="1681"/>
    <n v="319"/>
  </r>
  <r>
    <x v="0"/>
    <x v="565"/>
    <x v="97"/>
    <x v="0"/>
    <x v="59"/>
    <n v="165"/>
    <n v="1"/>
    <n v="2000"/>
    <n v="2000"/>
    <n v="1681"/>
    <n v="319"/>
  </r>
  <r>
    <x v="0"/>
    <x v="565"/>
    <x v="97"/>
    <x v="0"/>
    <x v="59"/>
    <n v="164"/>
    <n v="1"/>
    <n v="3200"/>
    <n v="3200"/>
    <n v="2689"/>
    <n v="511"/>
  </r>
  <r>
    <x v="0"/>
    <x v="565"/>
    <x v="97"/>
    <x v="0"/>
    <x v="59"/>
    <n v="368"/>
    <n v="1"/>
    <n v="3000"/>
    <n v="3000"/>
    <n v="2521"/>
    <n v="479"/>
  </r>
  <r>
    <x v="0"/>
    <x v="565"/>
    <x v="97"/>
    <x v="0"/>
    <x v="59"/>
    <n v="354"/>
    <n v="1"/>
    <n v="1800"/>
    <n v="1800"/>
    <n v="1513"/>
    <n v="287"/>
  </r>
  <r>
    <x v="0"/>
    <x v="566"/>
    <x v="97"/>
    <x v="0"/>
    <x v="87"/>
    <n v="143"/>
    <n v="1"/>
    <n v="8300"/>
    <n v="8300"/>
    <n v="6975"/>
    <n v="1325"/>
  </r>
  <r>
    <x v="0"/>
    <x v="567"/>
    <x v="98"/>
    <x v="0"/>
    <x v="13"/>
    <n v="300"/>
    <n v="1"/>
    <n v="9000"/>
    <n v="9000"/>
    <n v="7563"/>
    <n v="1437"/>
  </r>
  <r>
    <x v="0"/>
    <x v="567"/>
    <x v="98"/>
    <x v="0"/>
    <x v="13"/>
    <n v="97"/>
    <n v="1"/>
    <n v="2000"/>
    <n v="2000"/>
    <n v="1681"/>
    <n v="319"/>
  </r>
  <r>
    <x v="0"/>
    <x v="567"/>
    <x v="98"/>
    <x v="0"/>
    <x v="13"/>
    <n v="368"/>
    <n v="1"/>
    <n v="3000"/>
    <n v="3000"/>
    <n v="2521"/>
    <n v="479"/>
  </r>
  <r>
    <x v="0"/>
    <x v="567"/>
    <x v="98"/>
    <x v="0"/>
    <x v="13"/>
    <n v="165"/>
    <n v="1"/>
    <n v="2000"/>
    <n v="2000"/>
    <n v="1681"/>
    <n v="319"/>
  </r>
  <r>
    <x v="0"/>
    <x v="567"/>
    <x v="98"/>
    <x v="0"/>
    <x v="13"/>
    <n v="25"/>
    <n v="1"/>
    <n v="1800"/>
    <n v="1800"/>
    <n v="1513"/>
    <n v="287"/>
  </r>
  <r>
    <x v="0"/>
    <x v="568"/>
    <x v="98"/>
    <x v="0"/>
    <x v="131"/>
    <n v="143"/>
    <n v="1"/>
    <n v="8300"/>
    <n v="8300"/>
    <n v="6975"/>
    <n v="1325"/>
  </r>
  <r>
    <x v="0"/>
    <x v="569"/>
    <x v="98"/>
    <x v="0"/>
    <x v="36"/>
    <n v="114"/>
    <n v="2"/>
    <n v="3200"/>
    <n v="6400"/>
    <n v="5378"/>
    <n v="1022"/>
  </r>
  <r>
    <x v="0"/>
    <x v="569"/>
    <x v="98"/>
    <x v="0"/>
    <x v="36"/>
    <n v="256"/>
    <n v="1"/>
    <n v="3000"/>
    <n v="3000"/>
    <n v="2521"/>
    <n v="479"/>
  </r>
  <r>
    <x v="0"/>
    <x v="569"/>
    <x v="98"/>
    <x v="0"/>
    <x v="36"/>
    <n v="26"/>
    <n v="1"/>
    <n v="3400"/>
    <n v="3400"/>
    <n v="2857"/>
    <n v="543"/>
  </r>
  <r>
    <x v="0"/>
    <x v="569"/>
    <x v="98"/>
    <x v="0"/>
    <x v="36"/>
    <n v="248"/>
    <n v="1"/>
    <n v="4500"/>
    <n v="4500"/>
    <n v="3782"/>
    <n v="718"/>
  </r>
  <r>
    <x v="0"/>
    <x v="570"/>
    <x v="98"/>
    <x v="0"/>
    <x v="5"/>
    <n v="325"/>
    <n v="1"/>
    <n v="10000"/>
    <n v="10000"/>
    <n v="8403"/>
    <n v="1597"/>
  </r>
  <r>
    <x v="0"/>
    <x v="571"/>
    <x v="98"/>
    <x v="0"/>
    <x v="187"/>
    <n v="53"/>
    <n v="1"/>
    <n v="4200"/>
    <n v="4200"/>
    <n v="3529"/>
    <n v="671"/>
  </r>
  <r>
    <x v="0"/>
    <x v="572"/>
    <x v="98"/>
    <x v="0"/>
    <x v="172"/>
    <n v="143"/>
    <n v="1"/>
    <n v="8300"/>
    <n v="8300"/>
    <n v="6975"/>
    <n v="1325"/>
  </r>
  <r>
    <x v="0"/>
    <x v="573"/>
    <x v="98"/>
    <x v="0"/>
    <x v="188"/>
    <n v="231"/>
    <n v="1"/>
    <n v="20900"/>
    <n v="20900"/>
    <n v="17563"/>
    <n v="3337"/>
  </r>
  <r>
    <x v="0"/>
    <x v="574"/>
    <x v="99"/>
    <x v="0"/>
    <x v="97"/>
    <n v="329"/>
    <n v="1"/>
    <n v="5500"/>
    <n v="5500"/>
    <n v="4622"/>
    <n v="878"/>
  </r>
  <r>
    <x v="0"/>
    <x v="574"/>
    <x v="99"/>
    <x v="0"/>
    <x v="97"/>
    <n v="143"/>
    <n v="1"/>
    <n v="8300"/>
    <n v="8300"/>
    <n v="6975"/>
    <n v="1325"/>
  </r>
  <r>
    <x v="0"/>
    <x v="575"/>
    <x v="99"/>
    <x v="0"/>
    <x v="37"/>
    <n v="143"/>
    <n v="1"/>
    <n v="8300"/>
    <n v="8300"/>
    <n v="6975"/>
    <n v="1325"/>
  </r>
  <r>
    <x v="0"/>
    <x v="576"/>
    <x v="99"/>
    <x v="0"/>
    <x v="59"/>
    <n v="191"/>
    <n v="2"/>
    <n v="5000"/>
    <n v="10000"/>
    <n v="8403"/>
    <n v="1597"/>
  </r>
  <r>
    <x v="0"/>
    <x v="577"/>
    <x v="99"/>
    <x v="0"/>
    <x v="8"/>
    <n v="324"/>
    <n v="1"/>
    <n v="10500"/>
    <n v="10500"/>
    <n v="8824"/>
    <n v="1676"/>
  </r>
  <r>
    <x v="0"/>
    <x v="577"/>
    <x v="99"/>
    <x v="0"/>
    <x v="8"/>
    <n v="230"/>
    <n v="1"/>
    <n v="16500"/>
    <n v="16500"/>
    <n v="13866"/>
    <n v="2634"/>
  </r>
  <r>
    <x v="0"/>
    <x v="577"/>
    <x v="99"/>
    <x v="0"/>
    <x v="8"/>
    <n v="229"/>
    <n v="1"/>
    <n v="18500"/>
    <n v="18500"/>
    <n v="15546"/>
    <n v="2954"/>
  </r>
  <r>
    <x v="0"/>
    <x v="578"/>
    <x v="99"/>
    <x v="0"/>
    <x v="81"/>
    <n v="324"/>
    <n v="1"/>
    <n v="10500"/>
    <n v="10500"/>
    <n v="8824"/>
    <n v="1676"/>
  </r>
  <r>
    <x v="0"/>
    <x v="578"/>
    <x v="99"/>
    <x v="0"/>
    <x v="81"/>
    <n v="29"/>
    <n v="1"/>
    <n v="1000"/>
    <n v="1000"/>
    <n v="840"/>
    <n v="160"/>
  </r>
  <r>
    <x v="0"/>
    <x v="578"/>
    <x v="99"/>
    <x v="0"/>
    <x v="81"/>
    <n v="165"/>
    <n v="1"/>
    <n v="2000"/>
    <n v="2000"/>
    <n v="1681"/>
    <n v="319"/>
  </r>
  <r>
    <x v="0"/>
    <x v="578"/>
    <x v="99"/>
    <x v="0"/>
    <x v="81"/>
    <n v="261"/>
    <n v="1"/>
    <n v="7000"/>
    <n v="7000"/>
    <n v="5882"/>
    <n v="1118"/>
  </r>
  <r>
    <x v="0"/>
    <x v="579"/>
    <x v="99"/>
    <x v="0"/>
    <x v="189"/>
    <n v="122"/>
    <n v="1"/>
    <n v="6000"/>
    <n v="6000"/>
    <n v="5042"/>
    <n v="958"/>
  </r>
  <r>
    <x v="0"/>
    <x v="580"/>
    <x v="99"/>
    <x v="0"/>
    <x v="10"/>
    <n v="233"/>
    <n v="1"/>
    <n v="15990"/>
    <n v="15990"/>
    <n v="13437"/>
    <n v="2553"/>
  </r>
  <r>
    <x v="0"/>
    <x v="581"/>
    <x v="99"/>
    <x v="0"/>
    <x v="12"/>
    <n v="143"/>
    <n v="1"/>
    <n v="8300"/>
    <n v="8300"/>
    <n v="6975"/>
    <n v="1325"/>
  </r>
  <r>
    <x v="0"/>
    <x v="582"/>
    <x v="100"/>
    <x v="0"/>
    <x v="145"/>
    <n v="136"/>
    <n v="1"/>
    <n v="4500"/>
    <n v="4500"/>
    <n v="3782"/>
    <n v="718"/>
  </r>
  <r>
    <x v="0"/>
    <x v="583"/>
    <x v="101"/>
    <x v="0"/>
    <x v="18"/>
    <n v="329"/>
    <n v="1"/>
    <n v="5500"/>
    <n v="5500"/>
    <n v="4622"/>
    <n v="878"/>
  </r>
  <r>
    <x v="0"/>
    <x v="584"/>
    <x v="101"/>
    <x v="0"/>
    <x v="29"/>
    <n v="261"/>
    <n v="1"/>
    <n v="7000"/>
    <n v="7000"/>
    <n v="5882"/>
    <n v="1118"/>
  </r>
  <r>
    <x v="0"/>
    <x v="585"/>
    <x v="101"/>
    <x v="0"/>
    <x v="166"/>
    <n v="329"/>
    <n v="1"/>
    <n v="5500"/>
    <n v="5500"/>
    <n v="4622"/>
    <n v="878"/>
  </r>
  <r>
    <x v="0"/>
    <x v="586"/>
    <x v="101"/>
    <x v="0"/>
    <x v="9"/>
    <n v="117"/>
    <n v="1"/>
    <n v="3500"/>
    <n v="3500"/>
    <n v="2941"/>
    <n v="559"/>
  </r>
  <r>
    <x v="0"/>
    <x v="586"/>
    <x v="101"/>
    <x v="0"/>
    <x v="9"/>
    <n v="329"/>
    <n v="1"/>
    <n v="5500"/>
    <n v="5500"/>
    <n v="4622"/>
    <n v="878"/>
  </r>
  <r>
    <x v="0"/>
    <x v="586"/>
    <x v="101"/>
    <x v="0"/>
    <x v="9"/>
    <n v="368"/>
    <n v="1"/>
    <n v="3000"/>
    <n v="3000"/>
    <n v="2521"/>
    <n v="479"/>
  </r>
  <r>
    <x v="0"/>
    <x v="587"/>
    <x v="101"/>
    <x v="0"/>
    <x v="61"/>
    <n v="329"/>
    <n v="1"/>
    <n v="5500"/>
    <n v="5500"/>
    <n v="4622"/>
    <n v="878"/>
  </r>
  <r>
    <x v="0"/>
    <x v="587"/>
    <x v="101"/>
    <x v="0"/>
    <x v="61"/>
    <n v="261"/>
    <n v="1"/>
    <n v="7000"/>
    <n v="7000"/>
    <n v="5882"/>
    <n v="1118"/>
  </r>
  <r>
    <x v="0"/>
    <x v="587"/>
    <x v="101"/>
    <x v="0"/>
    <x v="61"/>
    <n v="118"/>
    <n v="1"/>
    <n v="3500"/>
    <n v="3500"/>
    <n v="2941"/>
    <n v="559"/>
  </r>
  <r>
    <x v="0"/>
    <x v="588"/>
    <x v="101"/>
    <x v="0"/>
    <x v="109"/>
    <n v="231"/>
    <n v="1"/>
    <n v="20900"/>
    <n v="20900"/>
    <n v="17563"/>
    <n v="3337"/>
  </r>
  <r>
    <x v="0"/>
    <x v="589"/>
    <x v="102"/>
    <x v="0"/>
    <x v="181"/>
    <n v="324"/>
    <n v="1"/>
    <n v="10500"/>
    <n v="10500"/>
    <n v="8824"/>
    <n v="1676"/>
  </r>
  <r>
    <x v="0"/>
    <x v="590"/>
    <x v="102"/>
    <x v="0"/>
    <x v="30"/>
    <n v="168"/>
    <n v="1"/>
    <n v="1500"/>
    <n v="1500"/>
    <n v="1261"/>
    <n v="239"/>
  </r>
  <r>
    <x v="0"/>
    <x v="590"/>
    <x v="102"/>
    <x v="0"/>
    <x v="30"/>
    <n v="81"/>
    <n v="1"/>
    <n v="1600"/>
    <n v="1600"/>
    <n v="1345"/>
    <n v="255"/>
  </r>
  <r>
    <x v="0"/>
    <x v="590"/>
    <x v="102"/>
    <x v="0"/>
    <x v="30"/>
    <n v="117"/>
    <n v="4"/>
    <n v="14000"/>
    <n v="56000"/>
    <n v="47059"/>
    <n v="8941"/>
  </r>
  <r>
    <x v="0"/>
    <x v="590"/>
    <x v="102"/>
    <x v="0"/>
    <x v="30"/>
    <n v="356"/>
    <n v="1"/>
    <n v="3000"/>
    <n v="3000"/>
    <n v="2521"/>
    <n v="479"/>
  </r>
  <r>
    <x v="0"/>
    <x v="590"/>
    <x v="102"/>
    <x v="0"/>
    <x v="30"/>
    <n v="97"/>
    <n v="1"/>
    <n v="2000"/>
    <n v="2000"/>
    <n v="1681"/>
    <n v="319"/>
  </r>
  <r>
    <x v="0"/>
    <x v="590"/>
    <x v="102"/>
    <x v="0"/>
    <x v="30"/>
    <n v="386"/>
    <n v="1"/>
    <n v="2700"/>
    <n v="2700"/>
    <n v="2269"/>
    <n v="431"/>
  </r>
  <r>
    <x v="0"/>
    <x v="590"/>
    <x v="102"/>
    <x v="0"/>
    <x v="30"/>
    <n v="368"/>
    <n v="2"/>
    <n v="6000"/>
    <n v="12000"/>
    <n v="10084"/>
    <n v="1916"/>
  </r>
  <r>
    <x v="0"/>
    <x v="590"/>
    <x v="102"/>
    <x v="0"/>
    <x v="30"/>
    <n v="67"/>
    <n v="2"/>
    <n v="1300"/>
    <n v="2600"/>
    <n v="2185"/>
    <n v="415"/>
  </r>
  <r>
    <x v="0"/>
    <x v="590"/>
    <x v="102"/>
    <x v="0"/>
    <x v="30"/>
    <n v="124"/>
    <n v="1"/>
    <n v="4000"/>
    <n v="4000"/>
    <n v="3361"/>
    <n v="639"/>
  </r>
  <r>
    <x v="0"/>
    <x v="590"/>
    <x v="102"/>
    <x v="0"/>
    <x v="30"/>
    <n v="143"/>
    <n v="1"/>
    <n v="8300"/>
    <n v="8300"/>
    <n v="6975"/>
    <n v="1325"/>
  </r>
  <r>
    <x v="0"/>
    <x v="590"/>
    <x v="102"/>
    <x v="0"/>
    <x v="30"/>
    <n v="293"/>
    <n v="1"/>
    <n v="10000"/>
    <n v="10000"/>
    <n v="8403"/>
    <n v="1597"/>
  </r>
  <r>
    <x v="0"/>
    <x v="591"/>
    <x v="102"/>
    <x v="0"/>
    <x v="124"/>
    <n v="143"/>
    <n v="1"/>
    <n v="8300"/>
    <n v="8300"/>
    <n v="6975"/>
    <n v="1325"/>
  </r>
  <r>
    <x v="0"/>
    <x v="592"/>
    <x v="102"/>
    <x v="0"/>
    <x v="0"/>
    <n v="191"/>
    <n v="1"/>
    <n v="2500"/>
    <n v="2500"/>
    <n v="2101"/>
    <n v="399"/>
  </r>
  <r>
    <x v="0"/>
    <x v="592"/>
    <x v="102"/>
    <x v="0"/>
    <x v="0"/>
    <n v="95"/>
    <n v="1"/>
    <n v="2400"/>
    <n v="2400"/>
    <n v="2017"/>
    <n v="383"/>
  </r>
  <r>
    <x v="0"/>
    <x v="593"/>
    <x v="102"/>
    <x v="0"/>
    <x v="54"/>
    <n v="329"/>
    <n v="1"/>
    <n v="5500"/>
    <n v="5500"/>
    <n v="4622"/>
    <n v="878"/>
  </r>
  <r>
    <x v="0"/>
    <x v="593"/>
    <x v="102"/>
    <x v="0"/>
    <x v="54"/>
    <n v="143"/>
    <n v="2"/>
    <n v="16600"/>
    <n v="33200"/>
    <n v="27899"/>
    <n v="5301"/>
  </r>
  <r>
    <x v="0"/>
    <x v="594"/>
    <x v="102"/>
    <x v="0"/>
    <x v="190"/>
    <n v="324"/>
    <n v="1"/>
    <n v="10500"/>
    <n v="10500"/>
    <n v="8824"/>
    <n v="1676"/>
  </r>
  <r>
    <x v="0"/>
    <x v="594"/>
    <x v="102"/>
    <x v="0"/>
    <x v="190"/>
    <n v="29"/>
    <n v="1"/>
    <n v="1000"/>
    <n v="1000"/>
    <n v="840"/>
    <n v="160"/>
  </r>
  <r>
    <x v="0"/>
    <x v="595"/>
    <x v="102"/>
    <x v="0"/>
    <x v="5"/>
    <n v="324"/>
    <n v="1"/>
    <n v="10500"/>
    <n v="10500"/>
    <n v="8824"/>
    <n v="1676"/>
  </r>
  <r>
    <x v="0"/>
    <x v="596"/>
    <x v="102"/>
    <x v="0"/>
    <x v="91"/>
    <n v="324"/>
    <n v="5"/>
    <n v="52500"/>
    <n v="262500"/>
    <n v="220588"/>
    <n v="41912"/>
  </r>
  <r>
    <x v="0"/>
    <x v="597"/>
    <x v="102"/>
    <x v="0"/>
    <x v="171"/>
    <n v="51"/>
    <n v="2"/>
    <n v="8400"/>
    <n v="16800"/>
    <n v="14118"/>
    <n v="2682"/>
  </r>
  <r>
    <x v="0"/>
    <x v="598"/>
    <x v="103"/>
    <x v="0"/>
    <x v="30"/>
    <n v="324"/>
    <n v="1"/>
    <n v="10500"/>
    <n v="10500"/>
    <n v="8824"/>
    <n v="1676"/>
  </r>
  <r>
    <x v="0"/>
    <x v="599"/>
    <x v="103"/>
    <x v="0"/>
    <x v="84"/>
    <n v="324"/>
    <n v="4"/>
    <n v="42000"/>
    <n v="168000"/>
    <n v="141176"/>
    <n v="26824"/>
  </r>
  <r>
    <x v="0"/>
    <x v="600"/>
    <x v="103"/>
    <x v="0"/>
    <x v="131"/>
    <n v="143"/>
    <n v="1"/>
    <n v="8300"/>
    <n v="8300"/>
    <n v="6975"/>
    <n v="1325"/>
  </r>
  <r>
    <x v="0"/>
    <x v="601"/>
    <x v="103"/>
    <x v="0"/>
    <x v="4"/>
    <n v="143"/>
    <n v="1"/>
    <n v="8300"/>
    <n v="8300"/>
    <n v="6975"/>
    <n v="1325"/>
  </r>
  <r>
    <x v="0"/>
    <x v="601"/>
    <x v="103"/>
    <x v="0"/>
    <x v="4"/>
    <n v="265"/>
    <n v="1"/>
    <n v="10000"/>
    <n v="10000"/>
    <n v="8403"/>
    <n v="1597"/>
  </r>
  <r>
    <x v="0"/>
    <x v="601"/>
    <x v="103"/>
    <x v="0"/>
    <x v="4"/>
    <n v="293"/>
    <n v="1"/>
    <n v="10000"/>
    <n v="10000"/>
    <n v="8403"/>
    <n v="1597"/>
  </r>
  <r>
    <x v="0"/>
    <x v="601"/>
    <x v="103"/>
    <x v="0"/>
    <x v="4"/>
    <n v="117"/>
    <n v="2"/>
    <n v="7000"/>
    <n v="14000"/>
    <n v="11765"/>
    <n v="2235"/>
  </r>
  <r>
    <x v="0"/>
    <x v="601"/>
    <x v="103"/>
    <x v="0"/>
    <x v="4"/>
    <n v="26"/>
    <n v="1"/>
    <n v="3400"/>
    <n v="3400"/>
    <n v="2857"/>
    <n v="543"/>
  </r>
  <r>
    <x v="0"/>
    <x v="601"/>
    <x v="103"/>
    <x v="0"/>
    <x v="4"/>
    <n v="27"/>
    <n v="1"/>
    <n v="8700"/>
    <n v="8700"/>
    <n v="7311"/>
    <n v="1389"/>
  </r>
  <r>
    <x v="0"/>
    <x v="601"/>
    <x v="103"/>
    <x v="0"/>
    <x v="4"/>
    <n v="354"/>
    <n v="1"/>
    <n v="1800"/>
    <n v="1800"/>
    <n v="1513"/>
    <n v="287"/>
  </r>
  <r>
    <x v="0"/>
    <x v="601"/>
    <x v="103"/>
    <x v="0"/>
    <x v="4"/>
    <n v="274"/>
    <n v="1"/>
    <n v="7500"/>
    <n v="7500"/>
    <n v="6303"/>
    <n v="1197"/>
  </r>
  <r>
    <x v="0"/>
    <x v="602"/>
    <x v="103"/>
    <x v="0"/>
    <x v="129"/>
    <n v="143"/>
    <n v="2"/>
    <n v="16600"/>
    <n v="33200"/>
    <n v="27899"/>
    <n v="5301"/>
  </r>
  <r>
    <x v="0"/>
    <x v="602"/>
    <x v="103"/>
    <x v="0"/>
    <x v="129"/>
    <n v="329"/>
    <n v="1"/>
    <n v="5500"/>
    <n v="5500"/>
    <n v="4622"/>
    <n v="878"/>
  </r>
  <r>
    <x v="0"/>
    <x v="603"/>
    <x v="103"/>
    <x v="0"/>
    <x v="25"/>
    <n v="324"/>
    <n v="2"/>
    <n v="21000"/>
    <n v="42000"/>
    <n v="35294"/>
    <n v="6706"/>
  </r>
  <r>
    <x v="0"/>
    <x v="604"/>
    <x v="104"/>
    <x v="0"/>
    <x v="15"/>
    <n v="324"/>
    <n v="2"/>
    <n v="21000"/>
    <n v="42000"/>
    <n v="35294"/>
    <n v="6706"/>
  </r>
  <r>
    <x v="0"/>
    <x v="605"/>
    <x v="104"/>
    <x v="0"/>
    <x v="18"/>
    <n v="329"/>
    <n v="1"/>
    <n v="5500"/>
    <n v="5500"/>
    <n v="4622"/>
    <n v="878"/>
  </r>
  <r>
    <x v="0"/>
    <x v="606"/>
    <x v="104"/>
    <x v="0"/>
    <x v="191"/>
    <n v="324"/>
    <n v="1"/>
    <n v="10500"/>
    <n v="10500"/>
    <n v="8824"/>
    <n v="1676"/>
  </r>
  <r>
    <x v="0"/>
    <x v="607"/>
    <x v="104"/>
    <x v="0"/>
    <x v="136"/>
    <n v="143"/>
    <n v="1"/>
    <n v="8300"/>
    <n v="8300"/>
    <n v="6975"/>
    <n v="1325"/>
  </r>
  <r>
    <x v="0"/>
    <x v="608"/>
    <x v="104"/>
    <x v="0"/>
    <x v="147"/>
    <n v="324"/>
    <n v="1"/>
    <n v="10500"/>
    <n v="10500"/>
    <n v="8824"/>
    <n v="1676"/>
  </r>
  <r>
    <x v="0"/>
    <x v="609"/>
    <x v="104"/>
    <x v="0"/>
    <x v="33"/>
    <n v="324"/>
    <n v="1"/>
    <n v="10500"/>
    <n v="10500"/>
    <n v="8824"/>
    <n v="1676"/>
  </r>
  <r>
    <x v="0"/>
    <x v="610"/>
    <x v="104"/>
    <x v="0"/>
    <x v="76"/>
    <n v="324"/>
    <n v="1"/>
    <n v="10500"/>
    <n v="10500"/>
    <n v="8824"/>
    <n v="1676"/>
  </r>
  <r>
    <x v="0"/>
    <x v="611"/>
    <x v="104"/>
    <x v="0"/>
    <x v="74"/>
    <n v="143"/>
    <n v="1"/>
    <n v="8300"/>
    <n v="8300"/>
    <n v="6975"/>
    <n v="1325"/>
  </r>
  <r>
    <x v="0"/>
    <x v="611"/>
    <x v="104"/>
    <x v="0"/>
    <x v="74"/>
    <n v="324"/>
    <n v="2"/>
    <n v="21000"/>
    <n v="42000"/>
    <n v="35294"/>
    <n v="6706"/>
  </r>
  <r>
    <x v="0"/>
    <x v="612"/>
    <x v="104"/>
    <x v="0"/>
    <x v="45"/>
    <n v="324"/>
    <n v="1"/>
    <n v="10500"/>
    <n v="10500"/>
    <n v="8824"/>
    <n v="1676"/>
  </r>
  <r>
    <x v="0"/>
    <x v="613"/>
    <x v="104"/>
    <x v="0"/>
    <x v="107"/>
    <n v="329"/>
    <n v="1"/>
    <n v="5500"/>
    <n v="5500"/>
    <n v="4622"/>
    <n v="878"/>
  </r>
  <r>
    <x v="0"/>
    <x v="614"/>
    <x v="104"/>
    <x v="0"/>
    <x v="192"/>
    <n v="324"/>
    <n v="1"/>
    <n v="10500"/>
    <n v="10500"/>
    <n v="8824"/>
    <n v="1676"/>
  </r>
  <r>
    <x v="0"/>
    <x v="615"/>
    <x v="104"/>
    <x v="0"/>
    <x v="8"/>
    <n v="324"/>
    <n v="1"/>
    <n v="10500"/>
    <n v="10500"/>
    <n v="8824"/>
    <n v="1676"/>
  </r>
  <r>
    <x v="0"/>
    <x v="616"/>
    <x v="104"/>
    <x v="0"/>
    <x v="85"/>
    <n v="324"/>
    <n v="1"/>
    <n v="10500"/>
    <n v="10500"/>
    <n v="8824"/>
    <n v="1676"/>
  </r>
  <r>
    <x v="0"/>
    <x v="616"/>
    <x v="104"/>
    <x v="0"/>
    <x v="85"/>
    <n v="143"/>
    <n v="1"/>
    <n v="8300"/>
    <n v="8300"/>
    <n v="6975"/>
    <n v="1325"/>
  </r>
  <r>
    <x v="0"/>
    <x v="617"/>
    <x v="104"/>
    <x v="0"/>
    <x v="22"/>
    <n v="324"/>
    <n v="1"/>
    <n v="10500"/>
    <n v="10500"/>
    <n v="8824"/>
    <n v="1676"/>
  </r>
  <r>
    <x v="0"/>
    <x v="618"/>
    <x v="105"/>
    <x v="0"/>
    <x v="65"/>
    <n v="324"/>
    <n v="1"/>
    <n v="10500"/>
    <n v="10500"/>
    <n v="8824"/>
    <n v="1676"/>
  </r>
  <r>
    <x v="0"/>
    <x v="618"/>
    <x v="105"/>
    <x v="0"/>
    <x v="65"/>
    <n v="231"/>
    <n v="1"/>
    <n v="20900"/>
    <n v="20900"/>
    <n v="17563"/>
    <n v="3337"/>
  </r>
  <r>
    <x v="0"/>
    <x v="619"/>
    <x v="105"/>
    <x v="0"/>
    <x v="14"/>
    <n v="324"/>
    <n v="1"/>
    <n v="10500"/>
    <n v="10500"/>
    <n v="8824"/>
    <n v="1676"/>
  </r>
  <r>
    <x v="0"/>
    <x v="620"/>
    <x v="105"/>
    <x v="0"/>
    <x v="97"/>
    <n v="329"/>
    <n v="1"/>
    <n v="5500"/>
    <n v="5500"/>
    <n v="4622"/>
    <n v="878"/>
  </r>
  <r>
    <x v="0"/>
    <x v="621"/>
    <x v="105"/>
    <x v="0"/>
    <x v="145"/>
    <n v="329"/>
    <n v="1"/>
    <n v="5500"/>
    <n v="5500"/>
    <n v="4622"/>
    <n v="878"/>
  </r>
  <r>
    <x v="0"/>
    <x v="621"/>
    <x v="105"/>
    <x v="0"/>
    <x v="145"/>
    <n v="143"/>
    <n v="1"/>
    <n v="8300"/>
    <n v="8300"/>
    <n v="6975"/>
    <n v="1325"/>
  </r>
  <r>
    <x v="0"/>
    <x v="622"/>
    <x v="105"/>
    <x v="0"/>
    <x v="42"/>
    <n v="324"/>
    <n v="1"/>
    <n v="10500"/>
    <n v="10500"/>
    <n v="8824"/>
    <n v="1676"/>
  </r>
  <r>
    <x v="0"/>
    <x v="623"/>
    <x v="105"/>
    <x v="0"/>
    <x v="131"/>
    <n v="324"/>
    <n v="1"/>
    <n v="10500"/>
    <n v="10500"/>
    <n v="8824"/>
    <n v="1676"/>
  </r>
  <r>
    <x v="0"/>
    <x v="624"/>
    <x v="105"/>
    <x v="0"/>
    <x v="163"/>
    <n v="324"/>
    <n v="1"/>
    <n v="10500"/>
    <n v="10500"/>
    <n v="8824"/>
    <n v="1676"/>
  </r>
  <r>
    <x v="0"/>
    <x v="625"/>
    <x v="105"/>
    <x v="0"/>
    <x v="0"/>
    <n v="324"/>
    <n v="1"/>
    <n v="10500"/>
    <n v="10500"/>
    <n v="8824"/>
    <n v="1676"/>
  </r>
  <r>
    <x v="0"/>
    <x v="626"/>
    <x v="105"/>
    <x v="0"/>
    <x v="157"/>
    <n v="142"/>
    <n v="1"/>
    <n v="6300"/>
    <n v="6300"/>
    <n v="5294"/>
    <n v="1006"/>
  </r>
  <r>
    <x v="0"/>
    <x v="627"/>
    <x v="105"/>
    <x v="0"/>
    <x v="184"/>
    <n v="329"/>
    <n v="1"/>
    <n v="5500"/>
    <n v="5500"/>
    <n v="4622"/>
    <n v="878"/>
  </r>
  <r>
    <x v="0"/>
    <x v="628"/>
    <x v="105"/>
    <x v="0"/>
    <x v="49"/>
    <n v="324"/>
    <n v="1"/>
    <n v="10500"/>
    <n v="10500"/>
    <n v="8824"/>
    <n v="1676"/>
  </r>
  <r>
    <x v="0"/>
    <x v="629"/>
    <x v="105"/>
    <x v="0"/>
    <x v="5"/>
    <n v="371"/>
    <n v="1"/>
    <n v="9500"/>
    <n v="9500"/>
    <n v="7983"/>
    <n v="1517"/>
  </r>
  <r>
    <x v="0"/>
    <x v="630"/>
    <x v="105"/>
    <x v="0"/>
    <x v="98"/>
    <n v="324"/>
    <n v="1"/>
    <n v="10500"/>
    <n v="10500"/>
    <n v="8824"/>
    <n v="1676"/>
  </r>
  <r>
    <x v="0"/>
    <x v="630"/>
    <x v="105"/>
    <x v="0"/>
    <x v="98"/>
    <n v="356"/>
    <n v="1"/>
    <n v="3000"/>
    <n v="3000"/>
    <n v="2521"/>
    <n v="479"/>
  </r>
  <r>
    <x v="0"/>
    <x v="631"/>
    <x v="105"/>
    <x v="0"/>
    <x v="193"/>
    <n v="324"/>
    <n v="1"/>
    <n v="10500"/>
    <n v="10500"/>
    <n v="8824"/>
    <n v="1676"/>
  </r>
  <r>
    <x v="0"/>
    <x v="632"/>
    <x v="105"/>
    <x v="0"/>
    <x v="194"/>
    <n v="288"/>
    <n v="1"/>
    <n v="8500"/>
    <n v="8500"/>
    <n v="7143"/>
    <n v="1357"/>
  </r>
  <r>
    <x v="0"/>
    <x v="632"/>
    <x v="105"/>
    <x v="0"/>
    <x v="194"/>
    <n v="49"/>
    <n v="1"/>
    <n v="4200"/>
    <n v="4200"/>
    <n v="3529"/>
    <n v="671"/>
  </r>
  <r>
    <x v="0"/>
    <x v="632"/>
    <x v="105"/>
    <x v="0"/>
    <x v="194"/>
    <n v="47"/>
    <n v="1"/>
    <n v="4200"/>
    <n v="4200"/>
    <n v="3529"/>
    <n v="671"/>
  </r>
  <r>
    <x v="0"/>
    <x v="632"/>
    <x v="105"/>
    <x v="0"/>
    <x v="194"/>
    <n v="324"/>
    <n v="1"/>
    <n v="10500"/>
    <n v="10500"/>
    <n v="8824"/>
    <n v="1676"/>
  </r>
  <r>
    <x v="0"/>
    <x v="633"/>
    <x v="105"/>
    <x v="0"/>
    <x v="195"/>
    <n v="49"/>
    <n v="1"/>
    <n v="4200"/>
    <n v="4200"/>
    <n v="3529"/>
    <n v="671"/>
  </r>
  <r>
    <x v="0"/>
    <x v="634"/>
    <x v="105"/>
    <x v="0"/>
    <x v="6"/>
    <n v="324"/>
    <n v="1"/>
    <n v="10500"/>
    <n v="10500"/>
    <n v="8824"/>
    <n v="1676"/>
  </r>
  <r>
    <x v="0"/>
    <x v="635"/>
    <x v="105"/>
    <x v="0"/>
    <x v="57"/>
    <n v="324"/>
    <n v="1"/>
    <n v="10500"/>
    <n v="10500"/>
    <n v="8824"/>
    <n v="1676"/>
  </r>
  <r>
    <x v="0"/>
    <x v="635"/>
    <x v="105"/>
    <x v="0"/>
    <x v="57"/>
    <n v="162"/>
    <n v="1"/>
    <n v="1600"/>
    <n v="1600"/>
    <n v="1345"/>
    <n v="255"/>
  </r>
  <r>
    <x v="0"/>
    <x v="635"/>
    <x v="105"/>
    <x v="0"/>
    <x v="57"/>
    <n v="99"/>
    <n v="1"/>
    <n v="1500"/>
    <n v="1500"/>
    <n v="1261"/>
    <n v="239"/>
  </r>
  <r>
    <x v="0"/>
    <x v="636"/>
    <x v="105"/>
    <x v="0"/>
    <x v="169"/>
    <n v="329"/>
    <n v="1"/>
    <n v="5500"/>
    <n v="5500"/>
    <n v="4622"/>
    <n v="878"/>
  </r>
  <r>
    <x v="0"/>
    <x v="637"/>
    <x v="105"/>
    <x v="0"/>
    <x v="196"/>
    <n v="324"/>
    <n v="1"/>
    <n v="10500"/>
    <n v="10500"/>
    <n v="8824"/>
    <n v="1676"/>
  </r>
  <r>
    <x v="0"/>
    <x v="638"/>
    <x v="105"/>
    <x v="0"/>
    <x v="104"/>
    <n v="324"/>
    <n v="1"/>
    <n v="10500"/>
    <n v="10500"/>
    <n v="8824"/>
    <n v="1676"/>
  </r>
  <r>
    <x v="0"/>
    <x v="639"/>
    <x v="105"/>
    <x v="0"/>
    <x v="197"/>
    <n v="53"/>
    <n v="1"/>
    <n v="4200"/>
    <n v="4200"/>
    <n v="3529"/>
    <n v="671"/>
  </r>
  <r>
    <x v="0"/>
    <x v="639"/>
    <x v="105"/>
    <x v="0"/>
    <x v="197"/>
    <n v="120"/>
    <n v="2"/>
    <n v="3400"/>
    <n v="6800"/>
    <n v="5714"/>
    <n v="1086"/>
  </r>
  <r>
    <x v="0"/>
    <x v="639"/>
    <x v="105"/>
    <x v="0"/>
    <x v="197"/>
    <n v="170"/>
    <n v="1"/>
    <n v="3600"/>
    <n v="3600"/>
    <n v="3025"/>
    <n v="575"/>
  </r>
  <r>
    <x v="0"/>
    <x v="639"/>
    <x v="105"/>
    <x v="0"/>
    <x v="197"/>
    <n v="379"/>
    <n v="1"/>
    <n v="2000"/>
    <n v="2000"/>
    <n v="1681"/>
    <n v="319"/>
  </r>
  <r>
    <x v="0"/>
    <x v="639"/>
    <x v="105"/>
    <x v="0"/>
    <x v="197"/>
    <n v="378"/>
    <n v="1"/>
    <n v="1200"/>
    <n v="1200"/>
    <n v="1008"/>
    <n v="192"/>
  </r>
  <r>
    <x v="0"/>
    <x v="639"/>
    <x v="105"/>
    <x v="0"/>
    <x v="197"/>
    <n v="166"/>
    <n v="1"/>
    <n v="1600"/>
    <n v="1600"/>
    <n v="1345"/>
    <n v="255"/>
  </r>
  <r>
    <x v="0"/>
    <x v="640"/>
    <x v="105"/>
    <x v="0"/>
    <x v="78"/>
    <n v="231"/>
    <n v="1"/>
    <n v="20900"/>
    <n v="20900"/>
    <n v="17563"/>
    <n v="3337"/>
  </r>
  <r>
    <x v="0"/>
    <x v="640"/>
    <x v="105"/>
    <x v="0"/>
    <x v="78"/>
    <n v="264"/>
    <n v="1"/>
    <n v="5000"/>
    <n v="5000"/>
    <n v="4202"/>
    <n v="798"/>
  </r>
  <r>
    <x v="0"/>
    <x v="641"/>
    <x v="105"/>
    <x v="0"/>
    <x v="198"/>
    <n v="324"/>
    <n v="1"/>
    <n v="10500"/>
    <n v="10500"/>
    <n v="8824"/>
    <n v="1676"/>
  </r>
  <r>
    <x v="0"/>
    <x v="642"/>
    <x v="105"/>
    <x v="0"/>
    <x v="90"/>
    <n v="324"/>
    <n v="1"/>
    <n v="10500"/>
    <n v="10500"/>
    <n v="8824"/>
    <n v="1676"/>
  </r>
  <r>
    <x v="0"/>
    <x v="643"/>
    <x v="105"/>
    <x v="0"/>
    <x v="199"/>
    <n v="324"/>
    <n v="1"/>
    <n v="10500"/>
    <n v="10500"/>
    <n v="8824"/>
    <n v="1676"/>
  </r>
  <r>
    <x v="0"/>
    <x v="644"/>
    <x v="105"/>
    <x v="0"/>
    <x v="34"/>
    <n v="329"/>
    <n v="1"/>
    <n v="5500"/>
    <n v="5500"/>
    <n v="4622"/>
    <n v="878"/>
  </r>
  <r>
    <x v="0"/>
    <x v="645"/>
    <x v="105"/>
    <x v="0"/>
    <x v="99"/>
    <n v="324"/>
    <n v="1"/>
    <n v="10500"/>
    <n v="10500"/>
    <n v="8824"/>
    <n v="1676"/>
  </r>
  <r>
    <x v="0"/>
    <x v="645"/>
    <x v="105"/>
    <x v="0"/>
    <x v="99"/>
    <n v="143"/>
    <n v="1"/>
    <n v="8300"/>
    <n v="8300"/>
    <n v="6975"/>
    <n v="1325"/>
  </r>
  <r>
    <x v="0"/>
    <x v="646"/>
    <x v="105"/>
    <x v="0"/>
    <x v="200"/>
    <n v="324"/>
    <n v="1"/>
    <n v="10500"/>
    <n v="10500"/>
    <n v="8824"/>
    <n v="1676"/>
  </r>
  <r>
    <x v="0"/>
    <x v="647"/>
    <x v="105"/>
    <x v="0"/>
    <x v="24"/>
    <n v="329"/>
    <n v="1"/>
    <n v="5500"/>
    <n v="5500"/>
    <n v="4622"/>
    <n v="878"/>
  </r>
  <r>
    <x v="0"/>
    <x v="648"/>
    <x v="105"/>
    <x v="0"/>
    <x v="63"/>
    <n v="329"/>
    <n v="1"/>
    <n v="5500"/>
    <n v="5500"/>
    <n v="4622"/>
    <n v="878"/>
  </r>
  <r>
    <x v="0"/>
    <x v="648"/>
    <x v="105"/>
    <x v="0"/>
    <x v="63"/>
    <n v="382"/>
    <n v="1"/>
    <n v="2600"/>
    <n v="2600"/>
    <n v="2185"/>
    <n v="415"/>
  </r>
  <r>
    <x v="0"/>
    <x v="649"/>
    <x v="105"/>
    <x v="0"/>
    <x v="27"/>
    <n v="324"/>
    <n v="1"/>
    <n v="10500"/>
    <n v="10500"/>
    <n v="8824"/>
    <n v="1676"/>
  </r>
  <r>
    <x v="0"/>
    <x v="650"/>
    <x v="105"/>
    <x v="0"/>
    <x v="26"/>
    <n v="118"/>
    <n v="1"/>
    <n v="3500"/>
    <n v="3500"/>
    <n v="2941"/>
    <n v="559"/>
  </r>
  <r>
    <x v="0"/>
    <x v="650"/>
    <x v="105"/>
    <x v="0"/>
    <x v="26"/>
    <n v="329"/>
    <n v="1"/>
    <n v="5500"/>
    <n v="5500"/>
    <n v="4622"/>
    <n v="878"/>
  </r>
  <r>
    <x v="0"/>
    <x v="651"/>
    <x v="105"/>
    <x v="0"/>
    <x v="29"/>
    <n v="324"/>
    <n v="1"/>
    <n v="10500"/>
    <n v="10500"/>
    <n v="8824"/>
    <n v="1676"/>
  </r>
  <r>
    <x v="0"/>
    <x v="652"/>
    <x v="105"/>
    <x v="0"/>
    <x v="111"/>
    <n v="324"/>
    <n v="1"/>
    <n v="10500"/>
    <n v="10500"/>
    <n v="8824"/>
    <n v="1676"/>
  </r>
  <r>
    <x v="0"/>
    <x v="653"/>
    <x v="105"/>
    <x v="0"/>
    <x v="58"/>
    <n v="329"/>
    <n v="1"/>
    <n v="5500"/>
    <n v="5500"/>
    <n v="4622"/>
    <n v="878"/>
  </r>
  <r>
    <x v="0"/>
    <x v="654"/>
    <x v="105"/>
    <x v="0"/>
    <x v="161"/>
    <n v="324"/>
    <n v="1"/>
    <n v="10500"/>
    <n v="10500"/>
    <n v="8824"/>
    <n v="1676"/>
  </r>
  <r>
    <x v="0"/>
    <x v="654"/>
    <x v="105"/>
    <x v="0"/>
    <x v="161"/>
    <n v="329"/>
    <n v="1"/>
    <n v="5500"/>
    <n v="5500"/>
    <n v="4622"/>
    <n v="878"/>
  </r>
  <r>
    <x v="0"/>
    <x v="655"/>
    <x v="105"/>
    <x v="0"/>
    <x v="176"/>
    <n v="324"/>
    <n v="1"/>
    <n v="10500"/>
    <n v="10500"/>
    <n v="8824"/>
    <n v="1676"/>
  </r>
  <r>
    <x v="0"/>
    <x v="655"/>
    <x v="105"/>
    <x v="0"/>
    <x v="176"/>
    <n v="125"/>
    <n v="1"/>
    <n v="1700"/>
    <n v="1700"/>
    <n v="1429"/>
    <n v="271"/>
  </r>
  <r>
    <x v="0"/>
    <x v="656"/>
    <x v="105"/>
    <x v="0"/>
    <x v="10"/>
    <n v="324"/>
    <n v="1"/>
    <n v="10500"/>
    <n v="10500"/>
    <n v="8824"/>
    <n v="1676"/>
  </r>
  <r>
    <x v="0"/>
    <x v="657"/>
    <x v="105"/>
    <x v="0"/>
    <x v="122"/>
    <n v="324"/>
    <n v="1"/>
    <n v="10500"/>
    <n v="10500"/>
    <n v="8824"/>
    <n v="1676"/>
  </r>
  <r>
    <x v="0"/>
    <x v="658"/>
    <x v="105"/>
    <x v="0"/>
    <x v="109"/>
    <n v="324"/>
    <n v="1"/>
    <n v="10500"/>
    <n v="10500"/>
    <n v="8824"/>
    <n v="1676"/>
  </r>
  <r>
    <x v="0"/>
    <x v="659"/>
    <x v="106"/>
    <x v="0"/>
    <x v="116"/>
    <n v="7"/>
    <n v="1"/>
    <n v="7000"/>
    <n v="7000"/>
    <n v="5882"/>
    <n v="1118"/>
  </r>
  <r>
    <x v="0"/>
    <x v="660"/>
    <x v="106"/>
    <x v="0"/>
    <x v="93"/>
    <n v="135"/>
    <n v="3"/>
    <n v="3000"/>
    <n v="9000"/>
    <n v="7563"/>
    <n v="1437"/>
  </r>
  <r>
    <x v="0"/>
    <x v="660"/>
    <x v="106"/>
    <x v="0"/>
    <x v="93"/>
    <n v="324"/>
    <n v="1"/>
    <n v="10500"/>
    <n v="10500"/>
    <n v="8824"/>
    <n v="1676"/>
  </r>
  <r>
    <x v="0"/>
    <x v="660"/>
    <x v="106"/>
    <x v="0"/>
    <x v="93"/>
    <n v="143"/>
    <n v="1"/>
    <n v="8300"/>
    <n v="8300"/>
    <n v="6975"/>
    <n v="1325"/>
  </r>
  <r>
    <x v="0"/>
    <x v="661"/>
    <x v="107"/>
    <x v="0"/>
    <x v="165"/>
    <n v="143"/>
    <n v="2"/>
    <n v="16600"/>
    <n v="33200"/>
    <n v="27899"/>
    <n v="5301"/>
  </r>
  <r>
    <x v="0"/>
    <x v="662"/>
    <x v="107"/>
    <x v="0"/>
    <x v="100"/>
    <n v="165"/>
    <n v="1"/>
    <n v="2000"/>
    <n v="2000"/>
    <n v="1681"/>
    <n v="319"/>
  </r>
  <r>
    <x v="0"/>
    <x v="663"/>
    <x v="107"/>
    <x v="0"/>
    <x v="89"/>
    <n v="231"/>
    <n v="1"/>
    <n v="20900"/>
    <n v="20900"/>
    <n v="17563"/>
    <n v="3337"/>
  </r>
  <r>
    <x v="0"/>
    <x v="663"/>
    <x v="107"/>
    <x v="0"/>
    <x v="89"/>
    <n v="124"/>
    <n v="1"/>
    <n v="4000"/>
    <n v="4000"/>
    <n v="3361"/>
    <n v="639"/>
  </r>
  <r>
    <x v="0"/>
    <x v="664"/>
    <x v="107"/>
    <x v="0"/>
    <x v="193"/>
    <n v="324"/>
    <n v="2"/>
    <n v="21000"/>
    <n v="42000"/>
    <n v="35294"/>
    <n v="6706"/>
  </r>
  <r>
    <x v="0"/>
    <x v="665"/>
    <x v="107"/>
    <x v="0"/>
    <x v="94"/>
    <n v="324"/>
    <n v="1"/>
    <n v="10500"/>
    <n v="10500"/>
    <n v="8824"/>
    <n v="1676"/>
  </r>
  <r>
    <x v="0"/>
    <x v="665"/>
    <x v="107"/>
    <x v="0"/>
    <x v="94"/>
    <n v="143"/>
    <n v="1"/>
    <n v="8300"/>
    <n v="8300"/>
    <n v="6975"/>
    <n v="1325"/>
  </r>
  <r>
    <x v="0"/>
    <x v="666"/>
    <x v="107"/>
    <x v="0"/>
    <x v="147"/>
    <n v="143"/>
    <n v="1"/>
    <n v="8300"/>
    <n v="8300"/>
    <n v="6975"/>
    <n v="1325"/>
  </r>
  <r>
    <x v="0"/>
    <x v="667"/>
    <x v="107"/>
    <x v="0"/>
    <x v="59"/>
    <n v="143"/>
    <n v="1"/>
    <n v="8300"/>
    <n v="8300"/>
    <n v="6975"/>
    <n v="1325"/>
  </r>
  <r>
    <x v="0"/>
    <x v="668"/>
    <x v="108"/>
    <x v="0"/>
    <x v="5"/>
    <n v="327"/>
    <n v="1"/>
    <n v="3000"/>
    <n v="3000"/>
    <n v="2521"/>
    <n v="479"/>
  </r>
  <r>
    <x v="0"/>
    <x v="669"/>
    <x v="108"/>
    <x v="0"/>
    <x v="46"/>
    <n v="324"/>
    <n v="1"/>
    <n v="10500"/>
    <n v="10500"/>
    <n v="8824"/>
    <n v="1676"/>
  </r>
  <r>
    <x v="0"/>
    <x v="670"/>
    <x v="108"/>
    <x v="0"/>
    <x v="27"/>
    <n v="324"/>
    <n v="1"/>
    <n v="10500"/>
    <n v="10500"/>
    <n v="8824"/>
    <n v="1676"/>
  </r>
  <r>
    <x v="0"/>
    <x v="671"/>
    <x v="108"/>
    <x v="0"/>
    <x v="122"/>
    <n v="324"/>
    <n v="1"/>
    <n v="10500"/>
    <n v="10500"/>
    <n v="8824"/>
    <n v="1676"/>
  </r>
  <r>
    <x v="0"/>
    <x v="672"/>
    <x v="109"/>
    <x v="0"/>
    <x v="41"/>
    <n v="143"/>
    <n v="1"/>
    <n v="8300"/>
    <n v="8300"/>
    <n v="6975"/>
    <n v="1325"/>
  </r>
  <r>
    <x v="0"/>
    <x v="673"/>
    <x v="109"/>
    <x v="0"/>
    <x v="201"/>
    <n v="330"/>
    <n v="1"/>
    <n v="4800"/>
    <n v="4800"/>
    <n v="4034"/>
    <n v="766"/>
  </r>
  <r>
    <x v="0"/>
    <x v="674"/>
    <x v="109"/>
    <x v="0"/>
    <x v="202"/>
    <n v="236"/>
    <n v="1"/>
    <n v="18990"/>
    <n v="18990"/>
    <n v="15958"/>
    <n v="3032"/>
  </r>
  <r>
    <x v="0"/>
    <x v="675"/>
    <x v="110"/>
    <x v="0"/>
    <x v="203"/>
    <n v="51"/>
    <n v="1"/>
    <n v="4200"/>
    <n v="4200"/>
    <n v="3529"/>
    <n v="671"/>
  </r>
  <r>
    <x v="0"/>
    <x v="675"/>
    <x v="110"/>
    <x v="0"/>
    <x v="203"/>
    <n v="45"/>
    <n v="1"/>
    <n v="1600"/>
    <n v="1600"/>
    <n v="1345"/>
    <n v="255"/>
  </r>
  <r>
    <x v="0"/>
    <x v="676"/>
    <x v="110"/>
    <x v="0"/>
    <x v="3"/>
    <n v="230"/>
    <n v="1"/>
    <n v="16500"/>
    <n v="16500"/>
    <n v="13866"/>
    <n v="2634"/>
  </r>
  <r>
    <x v="0"/>
    <x v="676"/>
    <x v="110"/>
    <x v="0"/>
    <x v="3"/>
    <n v="275"/>
    <n v="1"/>
    <n v="6900"/>
    <n v="6900"/>
    <n v="5798"/>
    <n v="1102"/>
  </r>
  <r>
    <x v="0"/>
    <x v="676"/>
    <x v="110"/>
    <x v="0"/>
    <x v="3"/>
    <n v="241"/>
    <n v="1"/>
    <n v="4000"/>
    <n v="4000"/>
    <n v="3361"/>
    <n v="639"/>
  </r>
  <r>
    <x v="0"/>
    <x v="676"/>
    <x v="110"/>
    <x v="0"/>
    <x v="3"/>
    <n v="369"/>
    <n v="1"/>
    <n v="10500"/>
    <n v="10500"/>
    <n v="8824"/>
    <n v="1676"/>
  </r>
  <r>
    <x v="0"/>
    <x v="676"/>
    <x v="110"/>
    <x v="0"/>
    <x v="3"/>
    <n v="53"/>
    <n v="1"/>
    <n v="4200"/>
    <n v="4200"/>
    <n v="3529"/>
    <n v="671"/>
  </r>
  <r>
    <x v="0"/>
    <x v="676"/>
    <x v="110"/>
    <x v="0"/>
    <x v="3"/>
    <n v="46"/>
    <n v="1"/>
    <n v="2500"/>
    <n v="2500"/>
    <n v="2101"/>
    <n v="399"/>
  </r>
  <r>
    <x v="0"/>
    <x v="677"/>
    <x v="110"/>
    <x v="0"/>
    <x v="4"/>
    <n v="143"/>
    <n v="1"/>
    <n v="8300"/>
    <n v="8300"/>
    <n v="6975"/>
    <n v="1325"/>
  </r>
  <r>
    <x v="0"/>
    <x v="677"/>
    <x v="110"/>
    <x v="0"/>
    <x v="4"/>
    <n v="329"/>
    <n v="1"/>
    <n v="5500"/>
    <n v="5500"/>
    <n v="4622"/>
    <n v="878"/>
  </r>
  <r>
    <x v="0"/>
    <x v="678"/>
    <x v="110"/>
    <x v="0"/>
    <x v="204"/>
    <n v="49"/>
    <n v="2"/>
    <n v="8400"/>
    <n v="16800"/>
    <n v="14118"/>
    <n v="2682"/>
  </r>
  <r>
    <x v="0"/>
    <x v="678"/>
    <x v="110"/>
    <x v="0"/>
    <x v="204"/>
    <n v="46"/>
    <n v="1"/>
    <n v="2500"/>
    <n v="2500"/>
    <n v="2101"/>
    <n v="399"/>
  </r>
  <r>
    <x v="0"/>
    <x v="679"/>
    <x v="110"/>
    <x v="0"/>
    <x v="5"/>
    <n v="140"/>
    <n v="1"/>
    <n v="3700"/>
    <n v="3700"/>
    <n v="3109"/>
    <n v="591"/>
  </r>
  <r>
    <x v="0"/>
    <x v="680"/>
    <x v="110"/>
    <x v="0"/>
    <x v="71"/>
    <n v="232"/>
    <n v="1"/>
    <n v="12500"/>
    <n v="12500"/>
    <n v="10504"/>
    <n v="1996"/>
  </r>
  <r>
    <x v="0"/>
    <x v="680"/>
    <x v="110"/>
    <x v="0"/>
    <x v="71"/>
    <n v="227"/>
    <n v="1"/>
    <n v="13500"/>
    <n v="13500"/>
    <n v="11345"/>
    <n v="2155"/>
  </r>
  <r>
    <x v="0"/>
    <x v="681"/>
    <x v="110"/>
    <x v="0"/>
    <x v="33"/>
    <n v="230"/>
    <n v="1"/>
    <n v="16500"/>
    <n v="16500"/>
    <n v="13866"/>
    <n v="2634"/>
  </r>
  <r>
    <x v="0"/>
    <x v="681"/>
    <x v="110"/>
    <x v="0"/>
    <x v="33"/>
    <n v="117"/>
    <n v="1"/>
    <n v="3500"/>
    <n v="3500"/>
    <n v="2941"/>
    <n v="559"/>
  </r>
  <r>
    <x v="0"/>
    <x v="681"/>
    <x v="110"/>
    <x v="0"/>
    <x v="33"/>
    <n v="165"/>
    <n v="1"/>
    <n v="2000"/>
    <n v="2000"/>
    <n v="1681"/>
    <n v="319"/>
  </r>
  <r>
    <x v="0"/>
    <x v="682"/>
    <x v="110"/>
    <x v="0"/>
    <x v="87"/>
    <n v="143"/>
    <n v="1"/>
    <n v="8300"/>
    <n v="8300"/>
    <n v="6975"/>
    <n v="1325"/>
  </r>
  <r>
    <x v="0"/>
    <x v="683"/>
    <x v="110"/>
    <x v="0"/>
    <x v="205"/>
    <n v="49"/>
    <n v="3"/>
    <n v="12600"/>
    <n v="37800"/>
    <n v="31765"/>
    <n v="6035"/>
  </r>
  <r>
    <x v="0"/>
    <x v="684"/>
    <x v="111"/>
    <x v="0"/>
    <x v="131"/>
    <n v="143"/>
    <n v="1"/>
    <n v="8300"/>
    <n v="8300"/>
    <n v="6975"/>
    <n v="1325"/>
  </r>
  <r>
    <x v="0"/>
    <x v="685"/>
    <x v="111"/>
    <x v="0"/>
    <x v="206"/>
    <n v="231"/>
    <n v="1"/>
    <n v="20900"/>
    <n v="20900"/>
    <n v="17563"/>
    <n v="3337"/>
  </r>
  <r>
    <x v="0"/>
    <x v="686"/>
    <x v="111"/>
    <x v="0"/>
    <x v="5"/>
    <n v="118"/>
    <n v="1"/>
    <n v="3500"/>
    <n v="3500"/>
    <n v="2941"/>
    <n v="559"/>
  </r>
  <r>
    <x v="0"/>
    <x v="686"/>
    <x v="111"/>
    <x v="0"/>
    <x v="5"/>
    <n v="117"/>
    <n v="1"/>
    <n v="3500"/>
    <n v="3500"/>
    <n v="2941"/>
    <n v="559"/>
  </r>
  <r>
    <x v="0"/>
    <x v="686"/>
    <x v="111"/>
    <x v="0"/>
    <x v="5"/>
    <n v="143"/>
    <n v="1"/>
    <n v="8300"/>
    <n v="8300"/>
    <n v="6975"/>
    <n v="1325"/>
  </r>
  <r>
    <x v="0"/>
    <x v="687"/>
    <x v="111"/>
    <x v="0"/>
    <x v="207"/>
    <n v="53"/>
    <n v="2"/>
    <n v="8400"/>
    <n v="16800"/>
    <n v="14118"/>
    <n v="2682"/>
  </r>
  <r>
    <x v="0"/>
    <x v="688"/>
    <x v="112"/>
    <x v="0"/>
    <x v="84"/>
    <n v="324"/>
    <n v="4"/>
    <n v="42000"/>
    <n v="168000"/>
    <n v="141176"/>
    <n v="26824"/>
  </r>
  <r>
    <x v="0"/>
    <x v="688"/>
    <x v="112"/>
    <x v="0"/>
    <x v="84"/>
    <n v="329"/>
    <n v="1"/>
    <n v="5500"/>
    <n v="5500"/>
    <n v="4622"/>
    <n v="878"/>
  </r>
  <r>
    <x v="0"/>
    <x v="689"/>
    <x v="112"/>
    <x v="0"/>
    <x v="39"/>
    <n v="236"/>
    <n v="1"/>
    <n v="18990"/>
    <n v="18990"/>
    <n v="15958"/>
    <n v="3032"/>
  </r>
  <r>
    <x v="0"/>
    <x v="689"/>
    <x v="112"/>
    <x v="0"/>
    <x v="39"/>
    <n v="264"/>
    <n v="1"/>
    <n v="5000"/>
    <n v="5000"/>
    <n v="4202"/>
    <n v="798"/>
  </r>
  <r>
    <x v="0"/>
    <x v="689"/>
    <x v="112"/>
    <x v="0"/>
    <x v="39"/>
    <n v="368"/>
    <n v="1"/>
    <n v="3000"/>
    <n v="3000"/>
    <n v="2521"/>
    <n v="479"/>
  </r>
  <r>
    <x v="0"/>
    <x v="689"/>
    <x v="112"/>
    <x v="0"/>
    <x v="39"/>
    <n v="324"/>
    <n v="1"/>
    <n v="10500"/>
    <n v="10500"/>
    <n v="8824"/>
    <n v="1676"/>
  </r>
  <r>
    <x v="0"/>
    <x v="690"/>
    <x v="112"/>
    <x v="0"/>
    <x v="76"/>
    <n v="167"/>
    <n v="1"/>
    <n v="8200"/>
    <n v="8200"/>
    <n v="6891"/>
    <n v="1309"/>
  </r>
  <r>
    <x v="0"/>
    <x v="691"/>
    <x v="112"/>
    <x v="0"/>
    <x v="208"/>
    <n v="143"/>
    <n v="1"/>
    <n v="8300"/>
    <n v="8300"/>
    <n v="6975"/>
    <n v="1325"/>
  </r>
  <r>
    <x v="0"/>
    <x v="692"/>
    <x v="112"/>
    <x v="0"/>
    <x v="61"/>
    <n v="118"/>
    <n v="1"/>
    <n v="3500"/>
    <n v="3500"/>
    <n v="2941"/>
    <n v="559"/>
  </r>
  <r>
    <x v="0"/>
    <x v="693"/>
    <x v="113"/>
    <x v="0"/>
    <x v="37"/>
    <n v="143"/>
    <n v="1"/>
    <n v="8300"/>
    <n v="8300"/>
    <n v="6975"/>
    <n v="1325"/>
  </r>
  <r>
    <x v="0"/>
    <x v="693"/>
    <x v="113"/>
    <x v="0"/>
    <x v="37"/>
    <n v="324"/>
    <n v="1"/>
    <n v="10500"/>
    <n v="10500"/>
    <n v="8824"/>
    <n v="1676"/>
  </r>
  <r>
    <x v="0"/>
    <x v="694"/>
    <x v="113"/>
    <x v="0"/>
    <x v="209"/>
    <n v="51"/>
    <n v="4"/>
    <n v="16800"/>
    <n v="67200"/>
    <n v="56471"/>
    <n v="10729"/>
  </r>
  <r>
    <x v="0"/>
    <x v="695"/>
    <x v="113"/>
    <x v="0"/>
    <x v="6"/>
    <n v="231"/>
    <n v="1"/>
    <n v="20900"/>
    <n v="20900"/>
    <n v="17563"/>
    <n v="3337"/>
  </r>
  <r>
    <x v="0"/>
    <x v="696"/>
    <x v="113"/>
    <x v="0"/>
    <x v="136"/>
    <n v="329"/>
    <n v="1"/>
    <n v="5500"/>
    <n v="5500"/>
    <n v="4622"/>
    <n v="878"/>
  </r>
  <r>
    <x v="0"/>
    <x v="697"/>
    <x v="113"/>
    <x v="0"/>
    <x v="210"/>
    <n v="46"/>
    <n v="1"/>
    <n v="2500"/>
    <n v="2500"/>
    <n v="2101"/>
    <n v="399"/>
  </r>
  <r>
    <x v="0"/>
    <x v="698"/>
    <x v="114"/>
    <x v="0"/>
    <x v="17"/>
    <n v="324"/>
    <n v="1"/>
    <n v="10500"/>
    <n v="10500"/>
    <n v="8824"/>
    <n v="1676"/>
  </r>
  <r>
    <x v="0"/>
    <x v="699"/>
    <x v="114"/>
    <x v="0"/>
    <x v="70"/>
    <n v="293"/>
    <n v="1"/>
    <n v="10000"/>
    <n v="10000"/>
    <n v="8403"/>
    <n v="1597"/>
  </r>
  <r>
    <x v="0"/>
    <x v="699"/>
    <x v="114"/>
    <x v="0"/>
    <x v="70"/>
    <n v="370"/>
    <n v="1"/>
    <n v="4000"/>
    <n v="4000"/>
    <n v="3361"/>
    <n v="639"/>
  </r>
  <r>
    <x v="0"/>
    <x v="699"/>
    <x v="114"/>
    <x v="0"/>
    <x v="70"/>
    <n v="264"/>
    <n v="1"/>
    <n v="5000"/>
    <n v="5000"/>
    <n v="4202"/>
    <n v="798"/>
  </r>
  <r>
    <x v="0"/>
    <x v="700"/>
    <x v="114"/>
    <x v="0"/>
    <x v="211"/>
    <n v="235"/>
    <n v="1"/>
    <n v="14500"/>
    <n v="14500"/>
    <n v="12185"/>
    <n v="2315"/>
  </r>
  <r>
    <x v="0"/>
    <x v="701"/>
    <x v="114"/>
    <x v="0"/>
    <x v="72"/>
    <n v="117"/>
    <n v="2"/>
    <n v="7000"/>
    <n v="14000"/>
    <n v="11765"/>
    <n v="2235"/>
  </r>
  <r>
    <x v="0"/>
    <x v="701"/>
    <x v="114"/>
    <x v="0"/>
    <x v="72"/>
    <n v="99"/>
    <n v="2"/>
    <n v="3000"/>
    <n v="6000"/>
    <n v="5042"/>
    <n v="958"/>
  </r>
  <r>
    <x v="0"/>
    <x v="702"/>
    <x v="114"/>
    <x v="0"/>
    <x v="79"/>
    <n v="329"/>
    <n v="1"/>
    <n v="5500"/>
    <n v="5500"/>
    <n v="4622"/>
    <n v="878"/>
  </r>
  <r>
    <x v="0"/>
    <x v="702"/>
    <x v="114"/>
    <x v="0"/>
    <x v="79"/>
    <n v="143"/>
    <n v="1"/>
    <n v="8300"/>
    <n v="8300"/>
    <n v="6975"/>
    <n v="1325"/>
  </r>
  <r>
    <x v="0"/>
    <x v="703"/>
    <x v="114"/>
    <x v="0"/>
    <x v="59"/>
    <n v="368"/>
    <n v="1"/>
    <n v="3000"/>
    <n v="3000"/>
    <n v="2521"/>
    <n v="479"/>
  </r>
  <r>
    <x v="0"/>
    <x v="703"/>
    <x v="114"/>
    <x v="0"/>
    <x v="59"/>
    <n v="354"/>
    <n v="1"/>
    <n v="1800"/>
    <n v="1800"/>
    <n v="1513"/>
    <n v="287"/>
  </r>
  <r>
    <x v="0"/>
    <x v="703"/>
    <x v="114"/>
    <x v="0"/>
    <x v="59"/>
    <n v="384"/>
    <n v="1"/>
    <n v="2750"/>
    <n v="2750"/>
    <n v="2311"/>
    <n v="439"/>
  </r>
  <r>
    <x v="0"/>
    <x v="703"/>
    <x v="114"/>
    <x v="0"/>
    <x v="59"/>
    <n v="329"/>
    <n v="1"/>
    <n v="5500"/>
    <n v="5500"/>
    <n v="4622"/>
    <n v="878"/>
  </r>
  <r>
    <x v="0"/>
    <x v="703"/>
    <x v="114"/>
    <x v="0"/>
    <x v="59"/>
    <n v="143"/>
    <n v="1"/>
    <n v="8300"/>
    <n v="8300"/>
    <n v="6975"/>
    <n v="1325"/>
  </r>
  <r>
    <x v="0"/>
    <x v="704"/>
    <x v="114"/>
    <x v="0"/>
    <x v="81"/>
    <n v="261"/>
    <n v="1"/>
    <n v="7000"/>
    <n v="7000"/>
    <n v="5882"/>
    <n v="1118"/>
  </r>
  <r>
    <x v="0"/>
    <x v="705"/>
    <x v="114"/>
    <x v="0"/>
    <x v="29"/>
    <n v="191"/>
    <n v="1"/>
    <n v="2500"/>
    <n v="2500"/>
    <n v="2101"/>
    <n v="399"/>
  </r>
  <r>
    <x v="0"/>
    <x v="705"/>
    <x v="114"/>
    <x v="0"/>
    <x v="29"/>
    <n v="329"/>
    <n v="1"/>
    <n v="5500"/>
    <n v="5500"/>
    <n v="4622"/>
    <n v="878"/>
  </r>
  <r>
    <x v="0"/>
    <x v="705"/>
    <x v="114"/>
    <x v="0"/>
    <x v="29"/>
    <n v="368"/>
    <n v="1"/>
    <n v="3000"/>
    <n v="3000"/>
    <n v="2521"/>
    <n v="479"/>
  </r>
  <r>
    <x v="0"/>
    <x v="705"/>
    <x v="114"/>
    <x v="0"/>
    <x v="29"/>
    <n v="296"/>
    <n v="1"/>
    <n v="3500"/>
    <n v="3500"/>
    <n v="2941"/>
    <n v="559"/>
  </r>
  <r>
    <x v="0"/>
    <x v="706"/>
    <x v="114"/>
    <x v="0"/>
    <x v="111"/>
    <n v="329"/>
    <n v="1"/>
    <n v="5500"/>
    <n v="5500"/>
    <n v="4622"/>
    <n v="878"/>
  </r>
  <r>
    <x v="0"/>
    <x v="707"/>
    <x v="114"/>
    <x v="0"/>
    <x v="212"/>
    <n v="143"/>
    <n v="1"/>
    <n v="8300"/>
    <n v="8300"/>
    <n v="6975"/>
    <n v="1325"/>
  </r>
  <r>
    <x v="0"/>
    <x v="708"/>
    <x v="115"/>
    <x v="0"/>
    <x v="124"/>
    <n v="143"/>
    <n v="1"/>
    <n v="8300"/>
    <n v="8300"/>
    <n v="6975"/>
    <n v="1325"/>
  </r>
  <r>
    <x v="0"/>
    <x v="709"/>
    <x v="115"/>
    <x v="0"/>
    <x v="97"/>
    <n v="143"/>
    <n v="1"/>
    <n v="8300"/>
    <n v="8300"/>
    <n v="6975"/>
    <n v="1325"/>
  </r>
  <r>
    <x v="0"/>
    <x v="710"/>
    <x v="115"/>
    <x v="0"/>
    <x v="53"/>
    <n v="126"/>
    <n v="1"/>
    <n v="9000"/>
    <n v="9000"/>
    <n v="7563"/>
    <n v="1437"/>
  </r>
  <r>
    <x v="0"/>
    <x v="710"/>
    <x v="115"/>
    <x v="0"/>
    <x v="53"/>
    <n v="288"/>
    <n v="1"/>
    <n v="8500"/>
    <n v="8500"/>
    <n v="7143"/>
    <n v="1357"/>
  </r>
  <r>
    <x v="0"/>
    <x v="711"/>
    <x v="115"/>
    <x v="0"/>
    <x v="5"/>
    <n v="324"/>
    <n v="1"/>
    <n v="10500"/>
    <n v="10500"/>
    <n v="8824"/>
    <n v="1676"/>
  </r>
  <r>
    <x v="0"/>
    <x v="712"/>
    <x v="115"/>
    <x v="0"/>
    <x v="193"/>
    <n v="324"/>
    <n v="1"/>
    <n v="10500"/>
    <n v="10500"/>
    <n v="8824"/>
    <n v="1676"/>
  </r>
  <r>
    <x v="0"/>
    <x v="713"/>
    <x v="115"/>
    <x v="0"/>
    <x v="192"/>
    <n v="98"/>
    <n v="1"/>
    <n v="3500"/>
    <n v="3500"/>
    <n v="2941"/>
    <n v="559"/>
  </r>
  <r>
    <x v="0"/>
    <x v="713"/>
    <x v="115"/>
    <x v="0"/>
    <x v="192"/>
    <n v="324"/>
    <n v="1"/>
    <n v="10500"/>
    <n v="10500"/>
    <n v="8824"/>
    <n v="1676"/>
  </r>
  <r>
    <x v="0"/>
    <x v="714"/>
    <x v="115"/>
    <x v="0"/>
    <x v="63"/>
    <n v="98"/>
    <n v="1"/>
    <n v="3500"/>
    <n v="3500"/>
    <n v="2941"/>
    <n v="559"/>
  </r>
  <r>
    <x v="0"/>
    <x v="714"/>
    <x v="115"/>
    <x v="0"/>
    <x v="63"/>
    <n v="165"/>
    <n v="1"/>
    <n v="2000"/>
    <n v="2000"/>
    <n v="1681"/>
    <n v="319"/>
  </r>
  <r>
    <x v="0"/>
    <x v="715"/>
    <x v="116"/>
    <x v="0"/>
    <x v="2"/>
    <n v="230"/>
    <n v="1"/>
    <n v="16500"/>
    <n v="16500"/>
    <n v="13866"/>
    <n v="2634"/>
  </r>
  <r>
    <x v="0"/>
    <x v="715"/>
    <x v="116"/>
    <x v="0"/>
    <x v="2"/>
    <n v="329"/>
    <n v="1"/>
    <n v="5500"/>
    <n v="5500"/>
    <n v="4622"/>
    <n v="878"/>
  </r>
  <r>
    <x v="0"/>
    <x v="716"/>
    <x v="116"/>
    <x v="0"/>
    <x v="137"/>
    <n v="244"/>
    <n v="1"/>
    <n v="14900"/>
    <n v="14900"/>
    <n v="12521"/>
    <n v="2379"/>
  </r>
  <r>
    <x v="0"/>
    <x v="717"/>
    <x v="116"/>
    <x v="0"/>
    <x v="46"/>
    <n v="324"/>
    <n v="1"/>
    <n v="10500"/>
    <n v="10500"/>
    <n v="8824"/>
    <n v="1676"/>
  </r>
  <r>
    <x v="0"/>
    <x v="717"/>
    <x v="116"/>
    <x v="0"/>
    <x v="46"/>
    <n v="329"/>
    <n v="1"/>
    <n v="5500"/>
    <n v="5500"/>
    <n v="4622"/>
    <n v="878"/>
  </r>
  <r>
    <x v="0"/>
    <x v="717"/>
    <x v="116"/>
    <x v="0"/>
    <x v="46"/>
    <n v="231"/>
    <n v="1"/>
    <n v="20900"/>
    <n v="20900"/>
    <n v="17563"/>
    <n v="3337"/>
  </r>
  <r>
    <x v="0"/>
    <x v="718"/>
    <x v="116"/>
    <x v="0"/>
    <x v="7"/>
    <n v="230"/>
    <n v="1"/>
    <n v="16500"/>
    <n v="16500"/>
    <n v="13866"/>
    <n v="2634"/>
  </r>
  <r>
    <x v="0"/>
    <x v="718"/>
    <x v="116"/>
    <x v="0"/>
    <x v="7"/>
    <n v="354"/>
    <n v="1"/>
    <n v="1800"/>
    <n v="1800"/>
    <n v="1513"/>
    <n v="287"/>
  </r>
  <r>
    <x v="0"/>
    <x v="718"/>
    <x v="116"/>
    <x v="0"/>
    <x v="7"/>
    <n v="143"/>
    <n v="1"/>
    <n v="8300"/>
    <n v="8300"/>
    <n v="6975"/>
    <n v="1325"/>
  </r>
  <r>
    <x v="0"/>
    <x v="719"/>
    <x v="116"/>
    <x v="0"/>
    <x v="64"/>
    <n v="143"/>
    <n v="1"/>
    <n v="8300"/>
    <n v="8300"/>
    <n v="6975"/>
    <n v="1325"/>
  </r>
  <r>
    <x v="0"/>
    <x v="719"/>
    <x v="116"/>
    <x v="0"/>
    <x v="64"/>
    <n v="329"/>
    <n v="1"/>
    <n v="5500"/>
    <n v="5500"/>
    <n v="4622"/>
    <n v="878"/>
  </r>
  <r>
    <x v="0"/>
    <x v="720"/>
    <x v="116"/>
    <x v="0"/>
    <x v="109"/>
    <n v="324"/>
    <n v="1"/>
    <n v="10500"/>
    <n v="10500"/>
    <n v="8824"/>
    <n v="1676"/>
  </r>
  <r>
    <x v="0"/>
    <x v="720"/>
    <x v="116"/>
    <x v="0"/>
    <x v="109"/>
    <n v="329"/>
    <n v="1"/>
    <n v="5500"/>
    <n v="5500"/>
    <n v="4622"/>
    <n v="878"/>
  </r>
  <r>
    <x v="0"/>
    <x v="721"/>
    <x v="117"/>
    <x v="0"/>
    <x v="213"/>
    <n v="231"/>
    <n v="1"/>
    <n v="20900"/>
    <n v="20900"/>
    <n v="17563"/>
    <n v="3337"/>
  </r>
  <r>
    <x v="0"/>
    <x v="721"/>
    <x v="117"/>
    <x v="0"/>
    <x v="213"/>
    <n v="244"/>
    <n v="1"/>
    <n v="14900"/>
    <n v="14900"/>
    <n v="12521"/>
    <n v="2379"/>
  </r>
  <r>
    <x v="0"/>
    <x v="722"/>
    <x v="117"/>
    <x v="0"/>
    <x v="214"/>
    <n v="324"/>
    <n v="4"/>
    <n v="42000"/>
    <n v="168000"/>
    <n v="141176"/>
    <n v="26824"/>
  </r>
  <r>
    <x v="0"/>
    <x v="722"/>
    <x v="117"/>
    <x v="0"/>
    <x v="214"/>
    <n v="7"/>
    <n v="5"/>
    <n v="35000"/>
    <n v="175000"/>
    <n v="147059"/>
    <n v="27941"/>
  </r>
  <r>
    <x v="0"/>
    <x v="723"/>
    <x v="117"/>
    <x v="0"/>
    <x v="41"/>
    <n v="329"/>
    <n v="1"/>
    <n v="5500"/>
    <n v="5500"/>
    <n v="4622"/>
    <n v="878"/>
  </r>
  <r>
    <x v="0"/>
    <x v="723"/>
    <x v="117"/>
    <x v="0"/>
    <x v="41"/>
    <n v="143"/>
    <n v="1"/>
    <n v="8300"/>
    <n v="8300"/>
    <n v="6975"/>
    <n v="1325"/>
  </r>
  <r>
    <x v="0"/>
    <x v="724"/>
    <x v="117"/>
    <x v="0"/>
    <x v="124"/>
    <n v="231"/>
    <n v="1"/>
    <n v="20900"/>
    <n v="20900"/>
    <n v="17563"/>
    <n v="3337"/>
  </r>
  <r>
    <x v="0"/>
    <x v="725"/>
    <x v="117"/>
    <x v="0"/>
    <x v="15"/>
    <n v="324"/>
    <n v="1"/>
    <n v="10500"/>
    <n v="10500"/>
    <n v="8824"/>
    <n v="1676"/>
  </r>
  <r>
    <x v="0"/>
    <x v="726"/>
    <x v="117"/>
    <x v="0"/>
    <x v="42"/>
    <n v="251"/>
    <n v="1"/>
    <n v="7000"/>
    <n v="7000"/>
    <n v="5882"/>
    <n v="1118"/>
  </r>
  <r>
    <x v="0"/>
    <x v="726"/>
    <x v="117"/>
    <x v="0"/>
    <x v="42"/>
    <n v="356"/>
    <n v="1"/>
    <n v="3000"/>
    <n v="3000"/>
    <n v="2521"/>
    <n v="479"/>
  </r>
  <r>
    <x v="0"/>
    <x v="726"/>
    <x v="117"/>
    <x v="0"/>
    <x v="42"/>
    <n v="125"/>
    <n v="1"/>
    <n v="1700"/>
    <n v="1700"/>
    <n v="1429"/>
    <n v="271"/>
  </r>
  <r>
    <x v="0"/>
    <x v="726"/>
    <x v="117"/>
    <x v="0"/>
    <x v="42"/>
    <n v="290"/>
    <n v="1"/>
    <n v="1200"/>
    <n v="1200"/>
    <n v="1008"/>
    <n v="192"/>
  </r>
  <r>
    <x v="0"/>
    <x v="727"/>
    <x v="117"/>
    <x v="0"/>
    <x v="131"/>
    <n v="143"/>
    <n v="1"/>
    <n v="8300"/>
    <n v="8300"/>
    <n v="6975"/>
    <n v="1325"/>
  </r>
  <r>
    <x v="0"/>
    <x v="728"/>
    <x v="117"/>
    <x v="0"/>
    <x v="200"/>
    <n v="324"/>
    <n v="1"/>
    <n v="10500"/>
    <n v="10500"/>
    <n v="8824"/>
    <n v="1676"/>
  </r>
  <r>
    <x v="0"/>
    <x v="729"/>
    <x v="117"/>
    <x v="0"/>
    <x v="108"/>
    <n v="126"/>
    <n v="1"/>
    <n v="9000"/>
    <n v="9000"/>
    <n v="7563"/>
    <n v="1437"/>
  </r>
  <r>
    <x v="0"/>
    <x v="729"/>
    <x v="117"/>
    <x v="0"/>
    <x v="108"/>
    <n v="265"/>
    <n v="1"/>
    <n v="10000"/>
    <n v="10000"/>
    <n v="8403"/>
    <n v="1597"/>
  </r>
  <r>
    <x v="0"/>
    <x v="730"/>
    <x v="118"/>
    <x v="0"/>
    <x v="14"/>
    <n v="324"/>
    <n v="3"/>
    <n v="31500"/>
    <n v="94500"/>
    <n v="79412"/>
    <n v="15088"/>
  </r>
  <r>
    <x v="0"/>
    <x v="731"/>
    <x v="118"/>
    <x v="0"/>
    <x v="97"/>
    <n v="329"/>
    <n v="1"/>
    <n v="5500"/>
    <n v="5500"/>
    <n v="4622"/>
    <n v="878"/>
  </r>
  <r>
    <x v="0"/>
    <x v="732"/>
    <x v="118"/>
    <x v="0"/>
    <x v="98"/>
    <n v="236"/>
    <n v="1"/>
    <n v="18990"/>
    <n v="18990"/>
    <n v="15958"/>
    <n v="3032"/>
  </r>
  <r>
    <x v="0"/>
    <x v="732"/>
    <x v="118"/>
    <x v="0"/>
    <x v="98"/>
    <n v="324"/>
    <n v="1"/>
    <n v="10500"/>
    <n v="10500"/>
    <n v="8824"/>
    <n v="1676"/>
  </r>
  <r>
    <x v="0"/>
    <x v="733"/>
    <x v="118"/>
    <x v="1"/>
    <x v="74"/>
    <n v="143"/>
    <n v="1"/>
    <n v="8300"/>
    <n v="8300"/>
    <n v="6975"/>
    <n v="1325"/>
  </r>
  <r>
    <x v="0"/>
    <x v="733"/>
    <x v="118"/>
    <x v="1"/>
    <x v="74"/>
    <n v="165"/>
    <n v="1"/>
    <n v="2000"/>
    <n v="2000"/>
    <n v="1681"/>
    <n v="319"/>
  </r>
  <r>
    <x v="0"/>
    <x v="733"/>
    <x v="118"/>
    <x v="1"/>
    <x v="74"/>
    <n v="354"/>
    <n v="1"/>
    <n v="1800"/>
    <n v="1800"/>
    <n v="1513"/>
    <n v="287"/>
  </r>
  <r>
    <x v="0"/>
    <x v="733"/>
    <x v="118"/>
    <x v="1"/>
    <x v="74"/>
    <n v="117"/>
    <n v="1"/>
    <n v="3500"/>
    <n v="3500"/>
    <n v="2941"/>
    <n v="559"/>
  </r>
  <r>
    <x v="0"/>
    <x v="734"/>
    <x v="118"/>
    <x v="0"/>
    <x v="8"/>
    <n v="324"/>
    <n v="1"/>
    <n v="10500"/>
    <n v="10500"/>
    <n v="8824"/>
    <n v="1676"/>
  </r>
  <r>
    <x v="0"/>
    <x v="735"/>
    <x v="118"/>
    <x v="0"/>
    <x v="119"/>
    <n v="329"/>
    <n v="1"/>
    <n v="5500"/>
    <n v="5500"/>
    <n v="4622"/>
    <n v="878"/>
  </r>
  <r>
    <x v="0"/>
    <x v="735"/>
    <x v="118"/>
    <x v="0"/>
    <x v="119"/>
    <n v="143"/>
    <n v="1"/>
    <n v="8300"/>
    <n v="8300"/>
    <n v="6975"/>
    <n v="1325"/>
  </r>
  <r>
    <x v="0"/>
    <x v="736"/>
    <x v="118"/>
    <x v="0"/>
    <x v="215"/>
    <n v="231"/>
    <n v="1"/>
    <n v="20900"/>
    <n v="20900"/>
    <n v="17563"/>
    <n v="3337"/>
  </r>
  <r>
    <x v="0"/>
    <x v="736"/>
    <x v="118"/>
    <x v="0"/>
    <x v="215"/>
    <n v="226"/>
    <n v="1"/>
    <n v="22500"/>
    <n v="22500"/>
    <n v="18908"/>
    <n v="3592"/>
  </r>
  <r>
    <x v="0"/>
    <x v="736"/>
    <x v="118"/>
    <x v="0"/>
    <x v="215"/>
    <n v="164"/>
    <n v="1"/>
    <n v="3200"/>
    <n v="3200"/>
    <n v="2689"/>
    <n v="511"/>
  </r>
  <r>
    <x v="0"/>
    <x v="736"/>
    <x v="118"/>
    <x v="0"/>
    <x v="215"/>
    <n v="98"/>
    <n v="1"/>
    <n v="3500"/>
    <n v="3500"/>
    <n v="2941"/>
    <n v="559"/>
  </r>
  <r>
    <x v="0"/>
    <x v="737"/>
    <x v="118"/>
    <x v="0"/>
    <x v="109"/>
    <n v="117"/>
    <n v="1"/>
    <n v="3500"/>
    <n v="3500"/>
    <n v="2941"/>
    <n v="559"/>
  </r>
  <r>
    <x v="0"/>
    <x v="737"/>
    <x v="118"/>
    <x v="0"/>
    <x v="109"/>
    <n v="29"/>
    <n v="1"/>
    <n v="1000"/>
    <n v="1000"/>
    <n v="840"/>
    <n v="160"/>
  </r>
  <r>
    <x v="0"/>
    <x v="737"/>
    <x v="118"/>
    <x v="0"/>
    <x v="109"/>
    <n v="263"/>
    <n v="1"/>
    <n v="8000"/>
    <n v="8000"/>
    <n v="6723"/>
    <n v="1277"/>
  </r>
  <r>
    <x v="0"/>
    <x v="737"/>
    <x v="118"/>
    <x v="0"/>
    <x v="109"/>
    <n v="7"/>
    <n v="1"/>
    <n v="7000"/>
    <n v="7000"/>
    <n v="5882"/>
    <n v="1118"/>
  </r>
  <r>
    <x v="0"/>
    <x v="738"/>
    <x v="119"/>
    <x v="0"/>
    <x v="18"/>
    <n v="329"/>
    <n v="1"/>
    <n v="5500"/>
    <n v="5500"/>
    <n v="4622"/>
    <n v="878"/>
  </r>
  <r>
    <x v="0"/>
    <x v="739"/>
    <x v="119"/>
    <x v="0"/>
    <x v="134"/>
    <n v="167"/>
    <n v="1"/>
    <n v="8200"/>
    <n v="8200"/>
    <n v="6891"/>
    <n v="1309"/>
  </r>
  <r>
    <x v="0"/>
    <x v="740"/>
    <x v="119"/>
    <x v="0"/>
    <x v="23"/>
    <n v="165"/>
    <n v="1"/>
    <n v="2000"/>
    <n v="2000"/>
    <n v="1681"/>
    <n v="319"/>
  </r>
  <r>
    <x v="0"/>
    <x v="741"/>
    <x v="119"/>
    <x v="0"/>
    <x v="216"/>
    <n v="5"/>
    <n v="1"/>
    <n v="11000"/>
    <n v="11000"/>
    <n v="9244"/>
    <n v="1756"/>
  </r>
  <r>
    <x v="0"/>
    <x v="742"/>
    <x v="120"/>
    <x v="0"/>
    <x v="167"/>
    <n v="324"/>
    <n v="1"/>
    <n v="10500"/>
    <n v="10500"/>
    <n v="8824"/>
    <n v="1676"/>
  </r>
  <r>
    <x v="0"/>
    <x v="742"/>
    <x v="120"/>
    <x v="0"/>
    <x v="167"/>
    <n v="143"/>
    <n v="1"/>
    <n v="8300"/>
    <n v="8300"/>
    <n v="6975"/>
    <n v="1325"/>
  </r>
  <r>
    <x v="0"/>
    <x v="743"/>
    <x v="120"/>
    <x v="0"/>
    <x v="181"/>
    <n v="324"/>
    <n v="1"/>
    <n v="10500"/>
    <n v="10500"/>
    <n v="8824"/>
    <n v="1676"/>
  </r>
  <r>
    <x v="0"/>
    <x v="744"/>
    <x v="120"/>
    <x v="0"/>
    <x v="51"/>
    <n v="230"/>
    <n v="1"/>
    <n v="16500"/>
    <n v="16500"/>
    <n v="13866"/>
    <n v="2634"/>
  </r>
  <r>
    <x v="0"/>
    <x v="744"/>
    <x v="120"/>
    <x v="0"/>
    <x v="51"/>
    <n v="369"/>
    <n v="1"/>
    <n v="10500"/>
    <n v="10500"/>
    <n v="8824"/>
    <n v="1676"/>
  </r>
  <r>
    <x v="0"/>
    <x v="744"/>
    <x v="120"/>
    <x v="0"/>
    <x v="51"/>
    <n v="118"/>
    <n v="1"/>
    <n v="3500"/>
    <n v="3500"/>
    <n v="2941"/>
    <n v="559"/>
  </r>
  <r>
    <x v="0"/>
    <x v="744"/>
    <x v="120"/>
    <x v="0"/>
    <x v="51"/>
    <n v="31"/>
    <n v="1"/>
    <n v="3400"/>
    <n v="3400"/>
    <n v="2857"/>
    <n v="543"/>
  </r>
  <r>
    <x v="0"/>
    <x v="744"/>
    <x v="120"/>
    <x v="0"/>
    <x v="51"/>
    <n v="95"/>
    <n v="1"/>
    <n v="2400"/>
    <n v="2400"/>
    <n v="2017"/>
    <n v="383"/>
  </r>
  <r>
    <x v="0"/>
    <x v="744"/>
    <x v="120"/>
    <x v="0"/>
    <x v="51"/>
    <n v="30"/>
    <n v="1"/>
    <n v="3000"/>
    <n v="3000"/>
    <n v="2521"/>
    <n v="479"/>
  </r>
  <r>
    <x v="0"/>
    <x v="744"/>
    <x v="120"/>
    <x v="0"/>
    <x v="51"/>
    <n v="156"/>
    <n v="1"/>
    <n v="1400"/>
    <n v="1400"/>
    <n v="1176"/>
    <n v="224"/>
  </r>
  <r>
    <x v="0"/>
    <x v="744"/>
    <x v="120"/>
    <x v="0"/>
    <x v="51"/>
    <n v="274"/>
    <n v="1"/>
    <n v="7500"/>
    <n v="7500"/>
    <n v="6303"/>
    <n v="1197"/>
  </r>
  <r>
    <x v="0"/>
    <x v="744"/>
    <x v="120"/>
    <x v="0"/>
    <x v="51"/>
    <n v="360"/>
    <n v="1"/>
    <n v="3000"/>
    <n v="3000"/>
    <n v="2521"/>
    <n v="479"/>
  </r>
  <r>
    <x v="0"/>
    <x v="745"/>
    <x v="120"/>
    <x v="0"/>
    <x v="1"/>
    <n v="118"/>
    <n v="1"/>
    <n v="3500"/>
    <n v="3500"/>
    <n v="2941"/>
    <n v="559"/>
  </r>
  <r>
    <x v="0"/>
    <x v="746"/>
    <x v="120"/>
    <x v="0"/>
    <x v="4"/>
    <n v="143"/>
    <n v="1"/>
    <n v="8300"/>
    <n v="8300"/>
    <n v="6975"/>
    <n v="1325"/>
  </r>
  <r>
    <x v="0"/>
    <x v="747"/>
    <x v="120"/>
    <x v="0"/>
    <x v="37"/>
    <n v="143"/>
    <n v="1"/>
    <n v="8300"/>
    <n v="8300"/>
    <n v="6975"/>
    <n v="1325"/>
  </r>
  <r>
    <x v="0"/>
    <x v="748"/>
    <x v="120"/>
    <x v="0"/>
    <x v="5"/>
    <n v="191"/>
    <n v="1"/>
    <n v="2500"/>
    <n v="2500"/>
    <n v="2101"/>
    <n v="399"/>
  </r>
  <r>
    <x v="0"/>
    <x v="749"/>
    <x v="120"/>
    <x v="0"/>
    <x v="21"/>
    <n v="324"/>
    <n v="1"/>
    <n v="10500"/>
    <n v="10500"/>
    <n v="8824"/>
    <n v="1676"/>
  </r>
  <r>
    <x v="0"/>
    <x v="749"/>
    <x v="120"/>
    <x v="0"/>
    <x v="21"/>
    <n v="135"/>
    <n v="2"/>
    <n v="2000"/>
    <n v="4000"/>
    <n v="3361"/>
    <n v="639"/>
  </r>
  <r>
    <x v="0"/>
    <x v="750"/>
    <x v="120"/>
    <x v="0"/>
    <x v="207"/>
    <n v="45"/>
    <n v="3"/>
    <n v="4800"/>
    <n v="14400"/>
    <n v="12101"/>
    <n v="2299"/>
  </r>
  <r>
    <x v="0"/>
    <x v="751"/>
    <x v="120"/>
    <x v="0"/>
    <x v="154"/>
    <n v="231"/>
    <n v="1"/>
    <n v="20900"/>
    <n v="20900"/>
    <n v="17563"/>
    <n v="3337"/>
  </r>
  <r>
    <x v="0"/>
    <x v="751"/>
    <x v="120"/>
    <x v="0"/>
    <x v="154"/>
    <n v="244"/>
    <n v="1"/>
    <n v="14900"/>
    <n v="14900"/>
    <n v="12521"/>
    <n v="2379"/>
  </r>
  <r>
    <x v="0"/>
    <x v="752"/>
    <x v="120"/>
    <x v="0"/>
    <x v="25"/>
    <n v="324"/>
    <n v="1"/>
    <n v="10500"/>
    <n v="10500"/>
    <n v="8824"/>
    <n v="1676"/>
  </r>
  <r>
    <x v="0"/>
    <x v="752"/>
    <x v="120"/>
    <x v="0"/>
    <x v="25"/>
    <n v="143"/>
    <n v="2"/>
    <n v="16600"/>
    <n v="33200"/>
    <n v="27899"/>
    <n v="5301"/>
  </r>
  <r>
    <x v="0"/>
    <x v="753"/>
    <x v="120"/>
    <x v="0"/>
    <x v="115"/>
    <n v="167"/>
    <n v="1"/>
    <n v="8200"/>
    <n v="8200"/>
    <n v="6891"/>
    <n v="1309"/>
  </r>
  <r>
    <x v="0"/>
    <x v="753"/>
    <x v="120"/>
    <x v="0"/>
    <x v="115"/>
    <n v="329"/>
    <n v="1"/>
    <n v="5500"/>
    <n v="5500"/>
    <n v="4622"/>
    <n v="878"/>
  </r>
  <r>
    <x v="0"/>
    <x v="754"/>
    <x v="120"/>
    <x v="0"/>
    <x v="26"/>
    <n v="274"/>
    <n v="1"/>
    <n v="7500"/>
    <n v="7500"/>
    <n v="6303"/>
    <n v="1197"/>
  </r>
  <r>
    <x v="0"/>
    <x v="754"/>
    <x v="120"/>
    <x v="0"/>
    <x v="26"/>
    <n v="165"/>
    <n v="1"/>
    <n v="2000"/>
    <n v="2000"/>
    <n v="1681"/>
    <n v="319"/>
  </r>
  <r>
    <x v="0"/>
    <x v="754"/>
    <x v="120"/>
    <x v="0"/>
    <x v="26"/>
    <n v="118"/>
    <n v="1"/>
    <n v="3500"/>
    <n v="3500"/>
    <n v="2941"/>
    <n v="559"/>
  </r>
  <r>
    <x v="0"/>
    <x v="754"/>
    <x v="120"/>
    <x v="0"/>
    <x v="26"/>
    <n v="329"/>
    <n v="1"/>
    <n v="5500"/>
    <n v="5500"/>
    <n v="4622"/>
    <n v="878"/>
  </r>
  <r>
    <x v="0"/>
    <x v="754"/>
    <x v="120"/>
    <x v="0"/>
    <x v="26"/>
    <n v="29"/>
    <n v="1"/>
    <n v="1000"/>
    <n v="1000"/>
    <n v="840"/>
    <n v="160"/>
  </r>
  <r>
    <x v="0"/>
    <x v="754"/>
    <x v="120"/>
    <x v="0"/>
    <x v="26"/>
    <n v="143"/>
    <n v="1"/>
    <n v="8300"/>
    <n v="8300"/>
    <n v="6975"/>
    <n v="1325"/>
  </r>
  <r>
    <x v="0"/>
    <x v="755"/>
    <x v="120"/>
    <x v="0"/>
    <x v="166"/>
    <n v="329"/>
    <n v="1"/>
    <n v="5500"/>
    <n v="5500"/>
    <n v="4622"/>
    <n v="878"/>
  </r>
  <r>
    <x v="0"/>
    <x v="756"/>
    <x v="120"/>
    <x v="0"/>
    <x v="58"/>
    <n v="231"/>
    <n v="1"/>
    <n v="20900"/>
    <n v="20900"/>
    <n v="17563"/>
    <n v="3337"/>
  </r>
  <r>
    <x v="0"/>
    <x v="756"/>
    <x v="120"/>
    <x v="0"/>
    <x v="58"/>
    <n v="329"/>
    <n v="1"/>
    <n v="5500"/>
    <n v="5500"/>
    <n v="4622"/>
    <n v="878"/>
  </r>
  <r>
    <x v="0"/>
    <x v="757"/>
    <x v="120"/>
    <x v="0"/>
    <x v="61"/>
    <n v="231"/>
    <n v="1"/>
    <n v="20900"/>
    <n v="20900"/>
    <n v="17563"/>
    <n v="3337"/>
  </r>
  <r>
    <x v="0"/>
    <x v="758"/>
    <x v="120"/>
    <x v="0"/>
    <x v="10"/>
    <n v="143"/>
    <n v="2"/>
    <n v="16600"/>
    <n v="33200"/>
    <n v="27899"/>
    <n v="5301"/>
  </r>
  <r>
    <x v="0"/>
    <x v="759"/>
    <x v="121"/>
    <x v="0"/>
    <x v="5"/>
    <n v="324"/>
    <n v="1"/>
    <n v="10500"/>
    <n v="10500"/>
    <n v="8824"/>
    <n v="1676"/>
  </r>
  <r>
    <x v="0"/>
    <x v="759"/>
    <x v="121"/>
    <x v="0"/>
    <x v="5"/>
    <n v="167"/>
    <n v="1"/>
    <n v="8200"/>
    <n v="8200"/>
    <n v="6891"/>
    <n v="1309"/>
  </r>
  <r>
    <x v="0"/>
    <x v="760"/>
    <x v="121"/>
    <x v="0"/>
    <x v="169"/>
    <n v="319"/>
    <n v="1"/>
    <n v="3000"/>
    <n v="3000"/>
    <n v="2521"/>
    <n v="479"/>
  </r>
  <r>
    <x v="0"/>
    <x v="760"/>
    <x v="121"/>
    <x v="0"/>
    <x v="169"/>
    <n v="330"/>
    <n v="1"/>
    <n v="4800"/>
    <n v="4800"/>
    <n v="4034"/>
    <n v="766"/>
  </r>
  <r>
    <x v="0"/>
    <x v="761"/>
    <x v="121"/>
    <x v="0"/>
    <x v="76"/>
    <n v="324"/>
    <n v="1"/>
    <n v="10500"/>
    <n v="10500"/>
    <n v="8824"/>
    <n v="1676"/>
  </r>
  <r>
    <x v="0"/>
    <x v="762"/>
    <x v="121"/>
    <x v="0"/>
    <x v="217"/>
    <n v="236"/>
    <n v="3"/>
    <n v="56970"/>
    <n v="170910"/>
    <n v="143622"/>
    <n v="27288"/>
  </r>
  <r>
    <x v="0"/>
    <x v="762"/>
    <x v="121"/>
    <x v="0"/>
    <x v="217"/>
    <n v="277"/>
    <n v="2"/>
    <n v="20000"/>
    <n v="40000"/>
    <n v="33613"/>
    <n v="6387"/>
  </r>
  <r>
    <x v="0"/>
    <x v="763"/>
    <x v="121"/>
    <x v="0"/>
    <x v="161"/>
    <n v="329"/>
    <n v="1"/>
    <n v="5500"/>
    <n v="5500"/>
    <n v="4622"/>
    <n v="878"/>
  </r>
  <r>
    <x v="0"/>
    <x v="764"/>
    <x v="121"/>
    <x v="0"/>
    <x v="61"/>
    <n v="329"/>
    <n v="1"/>
    <n v="5500"/>
    <n v="5500"/>
    <n v="4622"/>
    <n v="878"/>
  </r>
  <r>
    <x v="0"/>
    <x v="765"/>
    <x v="122"/>
    <x v="0"/>
    <x v="73"/>
    <n v="143"/>
    <n v="1"/>
    <n v="8300"/>
    <n v="8300"/>
    <n v="6975"/>
    <n v="1325"/>
  </r>
  <r>
    <x v="0"/>
    <x v="765"/>
    <x v="122"/>
    <x v="0"/>
    <x v="73"/>
    <n v="293"/>
    <n v="1"/>
    <n v="10000"/>
    <n v="10000"/>
    <n v="8403"/>
    <n v="1597"/>
  </r>
  <r>
    <x v="0"/>
    <x v="765"/>
    <x v="122"/>
    <x v="0"/>
    <x v="73"/>
    <n v="370"/>
    <n v="1"/>
    <n v="4000"/>
    <n v="4000"/>
    <n v="3361"/>
    <n v="639"/>
  </r>
  <r>
    <x v="0"/>
    <x v="765"/>
    <x v="122"/>
    <x v="0"/>
    <x v="73"/>
    <n v="165"/>
    <n v="1"/>
    <n v="2000"/>
    <n v="2000"/>
    <n v="1681"/>
    <n v="319"/>
  </r>
  <r>
    <x v="0"/>
    <x v="765"/>
    <x v="122"/>
    <x v="0"/>
    <x v="73"/>
    <n v="324"/>
    <n v="1"/>
    <n v="10500"/>
    <n v="10500"/>
    <n v="8824"/>
    <n v="1676"/>
  </r>
  <r>
    <x v="0"/>
    <x v="766"/>
    <x v="122"/>
    <x v="0"/>
    <x v="59"/>
    <n v="329"/>
    <n v="1"/>
    <n v="5500"/>
    <n v="5500"/>
    <n v="4622"/>
    <n v="878"/>
  </r>
  <r>
    <x v="0"/>
    <x v="767"/>
    <x v="122"/>
    <x v="0"/>
    <x v="118"/>
    <n v="230"/>
    <n v="1"/>
    <n v="16500"/>
    <n v="16500"/>
    <n v="13866"/>
    <n v="2634"/>
  </r>
  <r>
    <x v="0"/>
    <x v="768"/>
    <x v="122"/>
    <x v="0"/>
    <x v="80"/>
    <n v="324"/>
    <n v="1"/>
    <n v="10500"/>
    <n v="10500"/>
    <n v="8824"/>
    <n v="1676"/>
  </r>
  <r>
    <x v="0"/>
    <x v="768"/>
    <x v="122"/>
    <x v="0"/>
    <x v="80"/>
    <n v="143"/>
    <n v="1"/>
    <n v="8300"/>
    <n v="8300"/>
    <n v="6975"/>
    <n v="1325"/>
  </r>
  <r>
    <x v="0"/>
    <x v="768"/>
    <x v="122"/>
    <x v="0"/>
    <x v="80"/>
    <n v="230"/>
    <n v="1"/>
    <n v="16500"/>
    <n v="16500"/>
    <n v="13866"/>
    <n v="2634"/>
  </r>
  <r>
    <x v="0"/>
    <x v="769"/>
    <x v="122"/>
    <x v="0"/>
    <x v="27"/>
    <n v="324"/>
    <n v="1"/>
    <n v="10500"/>
    <n v="10500"/>
    <n v="8824"/>
    <n v="1676"/>
  </r>
  <r>
    <x v="0"/>
    <x v="769"/>
    <x v="122"/>
    <x v="0"/>
    <x v="27"/>
    <n v="143"/>
    <n v="1"/>
    <n v="8300"/>
    <n v="8300"/>
    <n v="6975"/>
    <n v="1325"/>
  </r>
  <r>
    <x v="0"/>
    <x v="770"/>
    <x v="122"/>
    <x v="0"/>
    <x v="81"/>
    <n v="261"/>
    <n v="1"/>
    <n v="7000"/>
    <n v="7000"/>
    <n v="5882"/>
    <n v="1118"/>
  </r>
  <r>
    <x v="0"/>
    <x v="771"/>
    <x v="122"/>
    <x v="0"/>
    <x v="218"/>
    <n v="143"/>
    <n v="1"/>
    <n v="8300"/>
    <n v="8300"/>
    <n v="6975"/>
    <n v="1325"/>
  </r>
  <r>
    <x v="0"/>
    <x v="771"/>
    <x v="122"/>
    <x v="0"/>
    <x v="218"/>
    <n v="167"/>
    <n v="2"/>
    <n v="16400"/>
    <n v="32800"/>
    <n v="27563"/>
    <n v="5237"/>
  </r>
  <r>
    <x v="0"/>
    <x v="772"/>
    <x v="123"/>
    <x v="0"/>
    <x v="17"/>
    <n v="117"/>
    <n v="1"/>
    <n v="3500"/>
    <n v="3500"/>
    <n v="2941"/>
    <n v="559"/>
  </r>
  <r>
    <x v="0"/>
    <x v="772"/>
    <x v="123"/>
    <x v="0"/>
    <x v="17"/>
    <n v="99"/>
    <n v="1"/>
    <n v="1500"/>
    <n v="1500"/>
    <n v="1261"/>
    <n v="239"/>
  </r>
  <r>
    <x v="0"/>
    <x v="772"/>
    <x v="123"/>
    <x v="0"/>
    <x v="17"/>
    <n v="286"/>
    <n v="1"/>
    <n v="1100"/>
    <n v="1100"/>
    <n v="924"/>
    <n v="176"/>
  </r>
  <r>
    <x v="0"/>
    <x v="773"/>
    <x v="123"/>
    <x v="0"/>
    <x v="4"/>
    <n v="143"/>
    <n v="1"/>
    <n v="8000"/>
    <n v="8000"/>
    <n v="6723"/>
    <n v="1277"/>
  </r>
  <r>
    <x v="0"/>
    <x v="773"/>
    <x v="123"/>
    <x v="0"/>
    <x v="4"/>
    <n v="354"/>
    <n v="1"/>
    <n v="1800"/>
    <n v="1800"/>
    <n v="1513"/>
    <n v="287"/>
  </r>
  <r>
    <x v="0"/>
    <x v="774"/>
    <x v="123"/>
    <x v="0"/>
    <x v="219"/>
    <n v="45"/>
    <n v="10"/>
    <n v="16000"/>
    <n v="160000"/>
    <n v="134454"/>
    <n v="25546"/>
  </r>
  <r>
    <x v="0"/>
    <x v="775"/>
    <x v="123"/>
    <x v="0"/>
    <x v="87"/>
    <n v="143"/>
    <n v="1"/>
    <n v="8000"/>
    <n v="8000"/>
    <n v="6723"/>
    <n v="1277"/>
  </r>
  <r>
    <x v="0"/>
    <x v="776"/>
    <x v="123"/>
    <x v="0"/>
    <x v="29"/>
    <n v="261"/>
    <n v="1"/>
    <n v="7000"/>
    <n v="7000"/>
    <n v="5882"/>
    <n v="1118"/>
  </r>
  <r>
    <x v="0"/>
    <x v="777"/>
    <x v="123"/>
    <x v="0"/>
    <x v="9"/>
    <n v="368"/>
    <n v="1"/>
    <n v="3000"/>
    <n v="3000"/>
    <n v="2521"/>
    <n v="479"/>
  </r>
  <r>
    <x v="0"/>
    <x v="777"/>
    <x v="123"/>
    <x v="0"/>
    <x v="9"/>
    <n v="97"/>
    <n v="1"/>
    <n v="2000"/>
    <n v="2000"/>
    <n v="1681"/>
    <n v="319"/>
  </r>
  <r>
    <x v="0"/>
    <x v="777"/>
    <x v="123"/>
    <x v="0"/>
    <x v="9"/>
    <n v="69"/>
    <n v="1"/>
    <n v="3000"/>
    <n v="3000"/>
    <n v="2521"/>
    <n v="479"/>
  </r>
  <r>
    <x v="0"/>
    <x v="778"/>
    <x v="123"/>
    <x v="0"/>
    <x v="12"/>
    <n v="143"/>
    <n v="2"/>
    <n v="16000"/>
    <n v="32000"/>
    <n v="26891"/>
    <n v="5109"/>
  </r>
  <r>
    <x v="0"/>
    <x v="779"/>
    <x v="124"/>
    <x v="0"/>
    <x v="181"/>
    <n v="143"/>
    <n v="1"/>
    <n v="8000"/>
    <n v="8000"/>
    <n v="6723"/>
    <n v="1277"/>
  </r>
  <r>
    <x v="0"/>
    <x v="780"/>
    <x v="124"/>
    <x v="0"/>
    <x v="30"/>
    <n v="356"/>
    <n v="1"/>
    <n v="3000"/>
    <n v="3000"/>
    <n v="2521"/>
    <n v="479"/>
  </r>
  <r>
    <x v="0"/>
    <x v="780"/>
    <x v="124"/>
    <x v="0"/>
    <x v="30"/>
    <n v="117"/>
    <n v="4"/>
    <n v="14000"/>
    <n v="56000"/>
    <n v="47059"/>
    <n v="8941"/>
  </r>
  <r>
    <x v="0"/>
    <x v="780"/>
    <x v="124"/>
    <x v="0"/>
    <x v="30"/>
    <n v="81"/>
    <n v="2"/>
    <n v="3200"/>
    <n v="6400"/>
    <n v="5378"/>
    <n v="1022"/>
  </r>
  <r>
    <x v="0"/>
    <x v="780"/>
    <x v="124"/>
    <x v="0"/>
    <x v="30"/>
    <n v="69"/>
    <n v="1"/>
    <n v="3000"/>
    <n v="3000"/>
    <n v="2521"/>
    <n v="479"/>
  </r>
  <r>
    <x v="0"/>
    <x v="780"/>
    <x v="124"/>
    <x v="0"/>
    <x v="30"/>
    <n v="324"/>
    <n v="1"/>
    <n v="10500"/>
    <n v="10500"/>
    <n v="8824"/>
    <n v="1676"/>
  </r>
  <r>
    <x v="0"/>
    <x v="781"/>
    <x v="124"/>
    <x v="0"/>
    <x v="131"/>
    <n v="143"/>
    <n v="1"/>
    <n v="8000"/>
    <n v="8000"/>
    <n v="6723"/>
    <n v="1277"/>
  </r>
  <r>
    <x v="0"/>
    <x v="782"/>
    <x v="124"/>
    <x v="0"/>
    <x v="0"/>
    <n v="143"/>
    <n v="1"/>
    <n v="8000"/>
    <n v="8000"/>
    <n v="6723"/>
    <n v="1277"/>
  </r>
  <r>
    <x v="0"/>
    <x v="782"/>
    <x v="124"/>
    <x v="0"/>
    <x v="0"/>
    <n v="191"/>
    <n v="1"/>
    <n v="2500"/>
    <n v="2500"/>
    <n v="2101"/>
    <n v="399"/>
  </r>
  <r>
    <x v="0"/>
    <x v="782"/>
    <x v="124"/>
    <x v="0"/>
    <x v="0"/>
    <n v="324"/>
    <n v="1"/>
    <n v="10500"/>
    <n v="10500"/>
    <n v="8824"/>
    <n v="1676"/>
  </r>
  <r>
    <x v="0"/>
    <x v="783"/>
    <x v="124"/>
    <x v="0"/>
    <x v="5"/>
    <n v="325"/>
    <n v="1"/>
    <n v="10000"/>
    <n v="10000"/>
    <n v="8403"/>
    <n v="1597"/>
  </r>
  <r>
    <x v="0"/>
    <x v="783"/>
    <x v="124"/>
    <x v="0"/>
    <x v="5"/>
    <n v="143"/>
    <n v="1"/>
    <n v="8000"/>
    <n v="8000"/>
    <n v="6723"/>
    <n v="1277"/>
  </r>
  <r>
    <x v="0"/>
    <x v="784"/>
    <x v="124"/>
    <x v="0"/>
    <x v="6"/>
    <n v="143"/>
    <n v="1"/>
    <n v="8000"/>
    <n v="8000"/>
    <n v="6723"/>
    <n v="1277"/>
  </r>
  <r>
    <x v="0"/>
    <x v="784"/>
    <x v="124"/>
    <x v="0"/>
    <x v="6"/>
    <n v="329"/>
    <n v="1"/>
    <n v="5500"/>
    <n v="5500"/>
    <n v="4622"/>
    <n v="878"/>
  </r>
  <r>
    <x v="0"/>
    <x v="785"/>
    <x v="124"/>
    <x v="0"/>
    <x v="185"/>
    <n v="97"/>
    <n v="1"/>
    <n v="2000"/>
    <n v="2000"/>
    <n v="1681"/>
    <n v="319"/>
  </r>
  <r>
    <x v="0"/>
    <x v="786"/>
    <x v="124"/>
    <x v="0"/>
    <x v="33"/>
    <n v="368"/>
    <n v="2"/>
    <n v="6000"/>
    <n v="12000"/>
    <n v="10084"/>
    <n v="1916"/>
  </r>
  <r>
    <x v="0"/>
    <x v="786"/>
    <x v="124"/>
    <x v="0"/>
    <x v="33"/>
    <n v="230"/>
    <n v="1"/>
    <n v="16500"/>
    <n v="16500"/>
    <n v="13866"/>
    <n v="2634"/>
  </r>
  <r>
    <x v="0"/>
    <x v="786"/>
    <x v="124"/>
    <x v="0"/>
    <x v="33"/>
    <n v="354"/>
    <n v="1"/>
    <n v="1800"/>
    <n v="1800"/>
    <n v="1513"/>
    <n v="287"/>
  </r>
  <r>
    <x v="0"/>
    <x v="786"/>
    <x v="124"/>
    <x v="0"/>
    <x v="33"/>
    <n v="97"/>
    <n v="1"/>
    <n v="2000"/>
    <n v="2000"/>
    <n v="1681"/>
    <n v="319"/>
  </r>
  <r>
    <x v="0"/>
    <x v="786"/>
    <x v="124"/>
    <x v="0"/>
    <x v="33"/>
    <n v="117"/>
    <n v="1"/>
    <n v="3500"/>
    <n v="3500"/>
    <n v="2941"/>
    <n v="559"/>
  </r>
  <r>
    <x v="0"/>
    <x v="786"/>
    <x v="124"/>
    <x v="0"/>
    <x v="33"/>
    <n v="57"/>
    <n v="1"/>
    <n v="4000"/>
    <n v="4000"/>
    <n v="3361"/>
    <n v="639"/>
  </r>
  <r>
    <x v="0"/>
    <x v="786"/>
    <x v="124"/>
    <x v="0"/>
    <x v="33"/>
    <n v="356"/>
    <n v="1"/>
    <n v="3000"/>
    <n v="3000"/>
    <n v="2521"/>
    <n v="479"/>
  </r>
  <r>
    <x v="0"/>
    <x v="786"/>
    <x v="124"/>
    <x v="0"/>
    <x v="33"/>
    <n v="286"/>
    <n v="1"/>
    <n v="1100"/>
    <n v="1100"/>
    <n v="924"/>
    <n v="176"/>
  </r>
  <r>
    <x v="0"/>
    <x v="786"/>
    <x v="124"/>
    <x v="0"/>
    <x v="33"/>
    <n v="29"/>
    <n v="1"/>
    <n v="1000"/>
    <n v="1000"/>
    <n v="840"/>
    <n v="160"/>
  </r>
  <r>
    <x v="0"/>
    <x v="787"/>
    <x v="124"/>
    <x v="0"/>
    <x v="129"/>
    <n v="143"/>
    <n v="2"/>
    <n v="16000"/>
    <n v="32000"/>
    <n v="26891"/>
    <n v="5109"/>
  </r>
  <r>
    <x v="0"/>
    <x v="787"/>
    <x v="124"/>
    <x v="0"/>
    <x v="129"/>
    <n v="167"/>
    <n v="1"/>
    <n v="8200"/>
    <n v="8200"/>
    <n v="6891"/>
    <n v="1309"/>
  </r>
  <r>
    <x v="0"/>
    <x v="788"/>
    <x v="124"/>
    <x v="0"/>
    <x v="9"/>
    <n v="293"/>
    <n v="1"/>
    <n v="10000"/>
    <n v="10000"/>
    <n v="8403"/>
    <n v="1597"/>
  </r>
  <r>
    <x v="0"/>
    <x v="789"/>
    <x v="125"/>
    <x v="0"/>
    <x v="41"/>
    <n v="143"/>
    <n v="1"/>
    <n v="8000"/>
    <n v="8000"/>
    <n v="6723"/>
    <n v="1277"/>
  </r>
  <r>
    <x v="0"/>
    <x v="789"/>
    <x v="125"/>
    <x v="0"/>
    <x v="41"/>
    <n v="126"/>
    <n v="1"/>
    <n v="9000"/>
    <n v="9000"/>
    <n v="7563"/>
    <n v="1437"/>
  </r>
  <r>
    <x v="0"/>
    <x v="790"/>
    <x v="125"/>
    <x v="0"/>
    <x v="220"/>
    <n v="324"/>
    <n v="1"/>
    <n v="10500"/>
    <n v="10500"/>
    <n v="8824"/>
    <n v="1676"/>
  </r>
  <r>
    <x v="0"/>
    <x v="790"/>
    <x v="125"/>
    <x v="0"/>
    <x v="220"/>
    <n v="143"/>
    <n v="1"/>
    <n v="8000"/>
    <n v="8000"/>
    <n v="6723"/>
    <n v="1277"/>
  </r>
  <r>
    <x v="0"/>
    <x v="791"/>
    <x v="126"/>
    <x v="0"/>
    <x v="102"/>
    <n v="231"/>
    <n v="1"/>
    <n v="20900"/>
    <n v="20900"/>
    <n v="17563"/>
    <n v="3337"/>
  </r>
  <r>
    <x v="0"/>
    <x v="792"/>
    <x v="126"/>
    <x v="0"/>
    <x v="193"/>
    <n v="324"/>
    <n v="1"/>
    <n v="10500"/>
    <n v="10500"/>
    <n v="8824"/>
    <n v="1676"/>
  </r>
  <r>
    <x v="0"/>
    <x v="792"/>
    <x v="126"/>
    <x v="0"/>
    <x v="193"/>
    <n v="143"/>
    <n v="1"/>
    <n v="8000"/>
    <n v="8000"/>
    <n v="6723"/>
    <n v="1277"/>
  </r>
  <r>
    <x v="0"/>
    <x v="793"/>
    <x v="126"/>
    <x v="0"/>
    <x v="194"/>
    <n v="324"/>
    <n v="1"/>
    <n v="10500"/>
    <n v="10500"/>
    <n v="8824"/>
    <n v="1676"/>
  </r>
  <r>
    <x v="0"/>
    <x v="794"/>
    <x v="127"/>
    <x v="0"/>
    <x v="97"/>
    <n v="143"/>
    <n v="1"/>
    <n v="8000"/>
    <n v="8000"/>
    <n v="6723"/>
    <n v="1277"/>
  </r>
  <r>
    <x v="0"/>
    <x v="795"/>
    <x v="127"/>
    <x v="0"/>
    <x v="15"/>
    <n v="324"/>
    <n v="1"/>
    <n v="10500"/>
    <n v="10500"/>
    <n v="8824"/>
    <n v="1676"/>
  </r>
  <r>
    <x v="0"/>
    <x v="796"/>
    <x v="127"/>
    <x v="0"/>
    <x v="37"/>
    <n v="143"/>
    <n v="1"/>
    <n v="8000"/>
    <n v="8000"/>
    <n v="6723"/>
    <n v="1277"/>
  </r>
  <r>
    <x v="0"/>
    <x v="797"/>
    <x v="127"/>
    <x v="0"/>
    <x v="21"/>
    <n v="324"/>
    <n v="1"/>
    <n v="10500"/>
    <n v="10500"/>
    <n v="8824"/>
    <n v="1676"/>
  </r>
  <r>
    <x v="0"/>
    <x v="797"/>
    <x v="127"/>
    <x v="0"/>
    <x v="21"/>
    <n v="231"/>
    <n v="1"/>
    <n v="20900"/>
    <n v="20900"/>
    <n v="17563"/>
    <n v="3337"/>
  </r>
  <r>
    <x v="0"/>
    <x v="798"/>
    <x v="127"/>
    <x v="0"/>
    <x v="76"/>
    <n v="324"/>
    <n v="1"/>
    <n v="10500"/>
    <n v="10500"/>
    <n v="8824"/>
    <n v="1676"/>
  </r>
  <r>
    <x v="0"/>
    <x v="799"/>
    <x v="127"/>
    <x v="0"/>
    <x v="152"/>
    <n v="231"/>
    <n v="1"/>
    <n v="20900"/>
    <n v="20900"/>
    <n v="17563"/>
    <n v="3337"/>
  </r>
  <r>
    <x v="0"/>
    <x v="799"/>
    <x v="127"/>
    <x v="0"/>
    <x v="152"/>
    <n v="386"/>
    <n v="1"/>
    <n v="2700"/>
    <n v="2700"/>
    <n v="2269"/>
    <n v="431"/>
  </r>
  <r>
    <x v="0"/>
    <x v="799"/>
    <x v="127"/>
    <x v="0"/>
    <x v="152"/>
    <n v="97"/>
    <n v="1"/>
    <n v="2000"/>
    <n v="2000"/>
    <n v="1681"/>
    <n v="319"/>
  </r>
  <r>
    <x v="0"/>
    <x v="800"/>
    <x v="127"/>
    <x v="0"/>
    <x v="7"/>
    <n v="368"/>
    <n v="1"/>
    <n v="3000"/>
    <n v="3000"/>
    <n v="2521"/>
    <n v="479"/>
  </r>
  <r>
    <x v="0"/>
    <x v="800"/>
    <x v="127"/>
    <x v="0"/>
    <x v="7"/>
    <n v="97"/>
    <n v="1"/>
    <n v="2000"/>
    <n v="2000"/>
    <n v="1681"/>
    <n v="319"/>
  </r>
  <r>
    <x v="0"/>
    <x v="800"/>
    <x v="127"/>
    <x v="0"/>
    <x v="7"/>
    <n v="118"/>
    <n v="1"/>
    <n v="3500"/>
    <n v="3500"/>
    <n v="2941"/>
    <n v="559"/>
  </r>
  <r>
    <x v="0"/>
    <x v="800"/>
    <x v="127"/>
    <x v="0"/>
    <x v="7"/>
    <n v="143"/>
    <n v="1"/>
    <n v="8000"/>
    <n v="8000"/>
    <n v="6723"/>
    <n v="1277"/>
  </r>
  <r>
    <x v="0"/>
    <x v="801"/>
    <x v="127"/>
    <x v="0"/>
    <x v="221"/>
    <n v="143"/>
    <n v="1"/>
    <n v="8000"/>
    <n v="8000"/>
    <n v="6723"/>
    <n v="1277"/>
  </r>
  <r>
    <x v="0"/>
    <x v="802"/>
    <x v="127"/>
    <x v="0"/>
    <x v="119"/>
    <n v="117"/>
    <n v="1"/>
    <n v="3500"/>
    <n v="3500"/>
    <n v="2941"/>
    <n v="559"/>
  </r>
  <r>
    <x v="0"/>
    <x v="803"/>
    <x v="127"/>
    <x v="0"/>
    <x v="58"/>
    <n v="329"/>
    <n v="1"/>
    <n v="5500"/>
    <n v="5500"/>
    <n v="4622"/>
    <n v="878"/>
  </r>
  <r>
    <x v="0"/>
    <x v="804"/>
    <x v="128"/>
    <x v="0"/>
    <x v="46"/>
    <n v="324"/>
    <n v="1"/>
    <n v="10500"/>
    <n v="10500"/>
    <n v="8824"/>
    <n v="1676"/>
  </r>
  <r>
    <x v="0"/>
    <x v="805"/>
    <x v="129"/>
    <x v="0"/>
    <x v="181"/>
    <n v="324"/>
    <n v="1"/>
    <n v="10500"/>
    <n v="10500"/>
    <n v="8824"/>
    <n v="1676"/>
  </r>
  <r>
    <x v="0"/>
    <x v="806"/>
    <x v="129"/>
    <x v="0"/>
    <x v="67"/>
    <n v="157"/>
    <n v="1"/>
    <n v="4300"/>
    <n v="4300"/>
    <n v="3613"/>
    <n v="687"/>
  </r>
  <r>
    <x v="0"/>
    <x v="806"/>
    <x v="129"/>
    <x v="0"/>
    <x v="67"/>
    <n v="98"/>
    <n v="1"/>
    <n v="3500"/>
    <n v="3500"/>
    <n v="2941"/>
    <n v="559"/>
  </r>
  <r>
    <x v="0"/>
    <x v="806"/>
    <x v="129"/>
    <x v="0"/>
    <x v="67"/>
    <n v="165"/>
    <n v="1"/>
    <n v="2000"/>
    <n v="2000"/>
    <n v="1681"/>
    <n v="319"/>
  </r>
  <r>
    <x v="0"/>
    <x v="806"/>
    <x v="129"/>
    <x v="0"/>
    <x v="67"/>
    <n v="117"/>
    <n v="1"/>
    <n v="3500"/>
    <n v="3500"/>
    <n v="2941"/>
    <n v="559"/>
  </r>
  <r>
    <x v="0"/>
    <x v="807"/>
    <x v="129"/>
    <x v="0"/>
    <x v="59"/>
    <n v="230"/>
    <n v="1"/>
    <n v="16500"/>
    <n v="16500"/>
    <n v="13866"/>
    <n v="2634"/>
  </r>
  <r>
    <x v="0"/>
    <x v="807"/>
    <x v="129"/>
    <x v="0"/>
    <x v="59"/>
    <n v="368"/>
    <n v="1"/>
    <n v="3000"/>
    <n v="3000"/>
    <n v="2521"/>
    <n v="479"/>
  </r>
  <r>
    <x v="0"/>
    <x v="807"/>
    <x v="129"/>
    <x v="0"/>
    <x v="59"/>
    <n v="329"/>
    <n v="1"/>
    <n v="5500"/>
    <n v="5500"/>
    <n v="4622"/>
    <n v="878"/>
  </r>
  <r>
    <x v="0"/>
    <x v="808"/>
    <x v="129"/>
    <x v="0"/>
    <x v="23"/>
    <n v="266"/>
    <n v="1"/>
    <n v="9500"/>
    <n v="9500"/>
    <n v="7983"/>
    <n v="1517"/>
  </r>
  <r>
    <x v="0"/>
    <x v="808"/>
    <x v="129"/>
    <x v="0"/>
    <x v="23"/>
    <n v="45"/>
    <n v="1"/>
    <n v="1600"/>
    <n v="1600"/>
    <n v="1345"/>
    <n v="255"/>
  </r>
  <r>
    <x v="0"/>
    <x v="809"/>
    <x v="129"/>
    <x v="0"/>
    <x v="80"/>
    <n v="324"/>
    <n v="1"/>
    <n v="10500"/>
    <n v="10500"/>
    <n v="8824"/>
    <n v="1676"/>
  </r>
  <r>
    <x v="0"/>
    <x v="810"/>
    <x v="129"/>
    <x v="0"/>
    <x v="222"/>
    <n v="135"/>
    <n v="3"/>
    <n v="3000"/>
    <n v="9000"/>
    <n v="7563"/>
    <n v="1437"/>
  </r>
  <r>
    <x v="0"/>
    <x v="811"/>
    <x v="130"/>
    <x v="0"/>
    <x v="124"/>
    <n v="143"/>
    <n v="1"/>
    <n v="8000"/>
    <n v="8000"/>
    <n v="6723"/>
    <n v="1277"/>
  </r>
  <r>
    <x v="0"/>
    <x v="812"/>
    <x v="130"/>
    <x v="0"/>
    <x v="223"/>
    <n v="143"/>
    <n v="1"/>
    <n v="8000"/>
    <n v="8000"/>
    <n v="6723"/>
    <n v="1277"/>
  </r>
  <r>
    <x v="0"/>
    <x v="813"/>
    <x v="130"/>
    <x v="0"/>
    <x v="5"/>
    <n v="325"/>
    <n v="1"/>
    <n v="10000"/>
    <n v="10000"/>
    <n v="8403"/>
    <n v="1597"/>
  </r>
  <r>
    <x v="0"/>
    <x v="814"/>
    <x v="130"/>
    <x v="0"/>
    <x v="224"/>
    <n v="226"/>
    <n v="1"/>
    <n v="22500"/>
    <n v="22500"/>
    <n v="18908"/>
    <n v="3592"/>
  </r>
  <r>
    <x v="0"/>
    <x v="814"/>
    <x v="130"/>
    <x v="0"/>
    <x v="224"/>
    <n v="231"/>
    <n v="2"/>
    <n v="41799"/>
    <n v="83598"/>
    <n v="70250"/>
    <n v="13348"/>
  </r>
  <r>
    <x v="0"/>
    <x v="815"/>
    <x v="130"/>
    <x v="0"/>
    <x v="6"/>
    <n v="143"/>
    <n v="2"/>
    <n v="16000"/>
    <n v="32000"/>
    <n v="26891"/>
    <n v="5109"/>
  </r>
  <r>
    <x v="0"/>
    <x v="816"/>
    <x v="130"/>
    <x v="0"/>
    <x v="137"/>
    <n v="231"/>
    <n v="1"/>
    <n v="20900"/>
    <n v="20900"/>
    <n v="17563"/>
    <n v="3337"/>
  </r>
  <r>
    <x v="0"/>
    <x v="817"/>
    <x v="131"/>
    <x v="2"/>
    <x v="41"/>
    <n v="143"/>
    <n v="1"/>
    <n v="8000"/>
    <n v="8000"/>
    <n v="6723"/>
    <n v="1277"/>
  </r>
  <r>
    <x v="0"/>
    <x v="817"/>
    <x v="131"/>
    <x v="2"/>
    <x v="41"/>
    <n v="324"/>
    <n v="1"/>
    <n v="10500"/>
    <n v="10500"/>
    <n v="8824"/>
    <n v="1676"/>
  </r>
  <r>
    <x v="0"/>
    <x v="818"/>
    <x v="131"/>
    <x v="0"/>
    <x v="49"/>
    <n v="231"/>
    <n v="1"/>
    <n v="20900"/>
    <n v="20900"/>
    <n v="17563"/>
    <n v="3337"/>
  </r>
  <r>
    <x v="0"/>
    <x v="819"/>
    <x v="131"/>
    <x v="0"/>
    <x v="5"/>
    <n v="299"/>
    <n v="1"/>
    <n v="3200"/>
    <n v="3200"/>
    <n v="2689"/>
    <n v="511"/>
  </r>
  <r>
    <x v="0"/>
    <x v="820"/>
    <x v="131"/>
    <x v="0"/>
    <x v="73"/>
    <n v="118"/>
    <n v="1"/>
    <n v="3500"/>
    <n v="3500"/>
    <n v="2941"/>
    <n v="559"/>
  </r>
  <r>
    <x v="0"/>
    <x v="821"/>
    <x v="131"/>
    <x v="0"/>
    <x v="33"/>
    <n v="230"/>
    <n v="3"/>
    <n v="49500"/>
    <n v="148500"/>
    <n v="124790"/>
    <n v="23710"/>
  </r>
  <r>
    <x v="0"/>
    <x v="822"/>
    <x v="131"/>
    <x v="0"/>
    <x v="74"/>
    <n v="231"/>
    <n v="1"/>
    <n v="20900"/>
    <n v="20900"/>
    <n v="17563"/>
    <n v="3337"/>
  </r>
  <r>
    <x v="0"/>
    <x v="822"/>
    <x v="131"/>
    <x v="0"/>
    <x v="74"/>
    <n v="226"/>
    <n v="1"/>
    <n v="22500"/>
    <n v="22500"/>
    <n v="18908"/>
    <n v="3592"/>
  </r>
  <r>
    <x v="0"/>
    <x v="822"/>
    <x v="131"/>
    <x v="0"/>
    <x v="74"/>
    <n v="264"/>
    <n v="1"/>
    <n v="5000"/>
    <n v="5000"/>
    <n v="4202"/>
    <n v="798"/>
  </r>
  <r>
    <x v="0"/>
    <x v="822"/>
    <x v="131"/>
    <x v="0"/>
    <x v="74"/>
    <n v="31"/>
    <n v="1"/>
    <n v="3400"/>
    <n v="3400"/>
    <n v="2857"/>
    <n v="543"/>
  </r>
  <r>
    <x v="0"/>
    <x v="822"/>
    <x v="131"/>
    <x v="0"/>
    <x v="74"/>
    <n v="259"/>
    <n v="1"/>
    <n v="4500"/>
    <n v="4500"/>
    <n v="3782"/>
    <n v="718"/>
  </r>
  <r>
    <x v="0"/>
    <x v="822"/>
    <x v="131"/>
    <x v="0"/>
    <x v="74"/>
    <n v="332"/>
    <n v="1"/>
    <n v="2600"/>
    <n v="2600"/>
    <n v="2185"/>
    <n v="415"/>
  </r>
  <r>
    <x v="0"/>
    <x v="822"/>
    <x v="131"/>
    <x v="0"/>
    <x v="74"/>
    <n v="99"/>
    <n v="1"/>
    <n v="1500"/>
    <n v="1500"/>
    <n v="1261"/>
    <n v="239"/>
  </r>
  <r>
    <x v="0"/>
    <x v="822"/>
    <x v="131"/>
    <x v="0"/>
    <x v="74"/>
    <n v="165"/>
    <n v="1"/>
    <n v="2000"/>
    <n v="2000"/>
    <n v="1681"/>
    <n v="319"/>
  </r>
  <r>
    <x v="0"/>
    <x v="822"/>
    <x v="131"/>
    <x v="0"/>
    <x v="74"/>
    <n v="143"/>
    <n v="1"/>
    <n v="8000"/>
    <n v="8000"/>
    <n v="6723"/>
    <n v="1277"/>
  </r>
  <r>
    <x v="0"/>
    <x v="823"/>
    <x v="131"/>
    <x v="0"/>
    <x v="225"/>
    <n v="143"/>
    <n v="1"/>
    <n v="8000"/>
    <n v="8000"/>
    <n v="6723"/>
    <n v="1277"/>
  </r>
  <r>
    <x v="0"/>
    <x v="824"/>
    <x v="131"/>
    <x v="2"/>
    <x v="61"/>
    <n v="143"/>
    <n v="1"/>
    <n v="8000"/>
    <n v="8000"/>
    <n v="6723"/>
    <n v="1277"/>
  </r>
  <r>
    <x v="0"/>
    <x v="824"/>
    <x v="131"/>
    <x v="2"/>
    <x v="61"/>
    <n v="329"/>
    <n v="1"/>
    <n v="5500"/>
    <n v="5500"/>
    <n v="4622"/>
    <n v="878"/>
  </r>
  <r>
    <x v="0"/>
    <x v="825"/>
    <x v="132"/>
    <x v="0"/>
    <x v="226"/>
    <n v="143"/>
    <n v="1"/>
    <n v="8000"/>
    <n v="8000"/>
    <n v="6723"/>
    <n v="1277"/>
  </r>
  <r>
    <x v="0"/>
    <x v="826"/>
    <x v="132"/>
    <x v="0"/>
    <x v="5"/>
    <n v="233"/>
    <n v="1"/>
    <n v="15990"/>
    <n v="15990"/>
    <n v="13437"/>
    <n v="2553"/>
  </r>
  <r>
    <x v="0"/>
    <x v="826"/>
    <x v="132"/>
    <x v="0"/>
    <x v="5"/>
    <n v="29"/>
    <n v="1"/>
    <n v="1000"/>
    <n v="1000"/>
    <n v="840"/>
    <n v="160"/>
  </r>
  <r>
    <x v="0"/>
    <x v="826"/>
    <x v="132"/>
    <x v="0"/>
    <x v="5"/>
    <n v="32"/>
    <n v="1"/>
    <n v="6500"/>
    <n v="6500"/>
    <n v="5462"/>
    <n v="1038"/>
  </r>
  <r>
    <x v="0"/>
    <x v="827"/>
    <x v="132"/>
    <x v="0"/>
    <x v="177"/>
    <n v="124"/>
    <n v="1"/>
    <n v="4000"/>
    <n v="4000"/>
    <n v="3361"/>
    <n v="639"/>
  </r>
  <r>
    <x v="0"/>
    <x v="827"/>
    <x v="132"/>
    <x v="0"/>
    <x v="177"/>
    <n v="288"/>
    <n v="1"/>
    <n v="8500"/>
    <n v="8500"/>
    <n v="7143"/>
    <n v="1357"/>
  </r>
  <r>
    <x v="0"/>
    <x v="828"/>
    <x v="132"/>
    <x v="0"/>
    <x v="227"/>
    <n v="230"/>
    <n v="1"/>
    <n v="16500"/>
    <n v="16500"/>
    <n v="13866"/>
    <n v="2634"/>
  </r>
  <r>
    <x v="0"/>
    <x v="828"/>
    <x v="132"/>
    <x v="0"/>
    <x v="227"/>
    <n v="126"/>
    <n v="1"/>
    <n v="9000"/>
    <n v="9000"/>
    <n v="7563"/>
    <n v="1437"/>
  </r>
  <r>
    <x v="0"/>
    <x v="829"/>
    <x v="132"/>
    <x v="0"/>
    <x v="23"/>
    <n v="167"/>
    <n v="1"/>
    <n v="8200"/>
    <n v="8200"/>
    <n v="6891"/>
    <n v="1309"/>
  </r>
  <r>
    <x v="0"/>
    <x v="830"/>
    <x v="132"/>
    <x v="0"/>
    <x v="208"/>
    <n v="143"/>
    <n v="1"/>
    <n v="8000"/>
    <n v="8000"/>
    <n v="6723"/>
    <n v="1277"/>
  </r>
  <r>
    <x v="0"/>
    <x v="831"/>
    <x v="132"/>
    <x v="0"/>
    <x v="27"/>
    <n v="143"/>
    <n v="1"/>
    <n v="8000"/>
    <n v="8000"/>
    <n v="6723"/>
    <n v="1277"/>
  </r>
  <r>
    <x v="0"/>
    <x v="832"/>
    <x v="132"/>
    <x v="0"/>
    <x v="22"/>
    <n v="233"/>
    <n v="1"/>
    <n v="15990"/>
    <n v="15990"/>
    <n v="13437"/>
    <n v="2553"/>
  </r>
  <r>
    <x v="0"/>
    <x v="833"/>
    <x v="133"/>
    <x v="0"/>
    <x v="190"/>
    <n v="231"/>
    <n v="1"/>
    <n v="20900"/>
    <n v="20900"/>
    <n v="17563"/>
    <n v="3337"/>
  </r>
  <r>
    <x v="0"/>
    <x v="833"/>
    <x v="133"/>
    <x v="0"/>
    <x v="190"/>
    <n v="324"/>
    <n v="1"/>
    <n v="10500"/>
    <n v="10500"/>
    <n v="8824"/>
    <n v="1676"/>
  </r>
  <r>
    <x v="0"/>
    <x v="834"/>
    <x v="133"/>
    <x v="0"/>
    <x v="56"/>
    <n v="231"/>
    <n v="1"/>
    <n v="20900"/>
    <n v="20900"/>
    <n v="17563"/>
    <n v="3337"/>
  </r>
  <r>
    <x v="0"/>
    <x v="834"/>
    <x v="133"/>
    <x v="0"/>
    <x v="56"/>
    <n v="157"/>
    <n v="1"/>
    <n v="4300"/>
    <n v="4300"/>
    <n v="3613"/>
    <n v="687"/>
  </r>
  <r>
    <x v="0"/>
    <x v="835"/>
    <x v="133"/>
    <x v="1"/>
    <x v="193"/>
    <n v="143"/>
    <n v="1"/>
    <n v="8000"/>
    <n v="8000"/>
    <n v="6723"/>
    <n v="1277"/>
  </r>
  <r>
    <x v="0"/>
    <x v="836"/>
    <x v="133"/>
    <x v="0"/>
    <x v="228"/>
    <n v="51"/>
    <n v="2"/>
    <n v="8400"/>
    <n v="16800"/>
    <n v="14118"/>
    <n v="2682"/>
  </r>
  <r>
    <x v="0"/>
    <x v="837"/>
    <x v="133"/>
    <x v="0"/>
    <x v="45"/>
    <n v="324"/>
    <n v="1"/>
    <n v="10500"/>
    <n v="10500"/>
    <n v="8824"/>
    <n v="1676"/>
  </r>
  <r>
    <x v="0"/>
    <x v="838"/>
    <x v="133"/>
    <x v="0"/>
    <x v="47"/>
    <n v="231"/>
    <n v="1"/>
    <n v="20900"/>
    <n v="20900"/>
    <n v="17563"/>
    <n v="3337"/>
  </r>
  <r>
    <x v="0"/>
    <x v="838"/>
    <x v="133"/>
    <x v="0"/>
    <x v="47"/>
    <n v="244"/>
    <n v="1"/>
    <n v="14900"/>
    <n v="14900"/>
    <n v="12521"/>
    <n v="2379"/>
  </r>
  <r>
    <x v="0"/>
    <x v="838"/>
    <x v="133"/>
    <x v="0"/>
    <x v="47"/>
    <n v="126"/>
    <n v="1"/>
    <n v="9000"/>
    <n v="9000"/>
    <n v="7563"/>
    <n v="1437"/>
  </r>
  <r>
    <x v="0"/>
    <x v="839"/>
    <x v="134"/>
    <x v="0"/>
    <x v="165"/>
    <n v="143"/>
    <n v="2"/>
    <n v="16000"/>
    <n v="32000"/>
    <n v="26891"/>
    <n v="5109"/>
  </r>
  <r>
    <x v="0"/>
    <x v="840"/>
    <x v="134"/>
    <x v="0"/>
    <x v="84"/>
    <n v="324"/>
    <n v="1"/>
    <n v="10500"/>
    <n v="10500"/>
    <n v="8824"/>
    <n v="1676"/>
  </r>
  <r>
    <x v="0"/>
    <x v="840"/>
    <x v="134"/>
    <x v="0"/>
    <x v="84"/>
    <n v="329"/>
    <n v="1"/>
    <n v="5500"/>
    <n v="5500"/>
    <n v="4622"/>
    <n v="878"/>
  </r>
  <r>
    <x v="0"/>
    <x v="841"/>
    <x v="134"/>
    <x v="0"/>
    <x v="5"/>
    <n v="324"/>
    <n v="1"/>
    <n v="10500"/>
    <n v="10500"/>
    <n v="8824"/>
    <n v="1676"/>
  </r>
  <r>
    <x v="0"/>
    <x v="841"/>
    <x v="134"/>
    <x v="0"/>
    <x v="5"/>
    <n v="331"/>
    <n v="1"/>
    <n v="3700"/>
    <n v="3700"/>
    <n v="3109"/>
    <n v="591"/>
  </r>
  <r>
    <x v="0"/>
    <x v="841"/>
    <x v="134"/>
    <x v="0"/>
    <x v="5"/>
    <n v="254"/>
    <n v="1"/>
    <n v="2000"/>
    <n v="2000"/>
    <n v="1681"/>
    <n v="319"/>
  </r>
  <r>
    <x v="0"/>
    <x v="842"/>
    <x v="134"/>
    <x v="0"/>
    <x v="113"/>
    <n v="117"/>
    <n v="2"/>
    <n v="7000"/>
    <n v="14000"/>
    <n v="11765"/>
    <n v="2235"/>
  </r>
  <r>
    <x v="0"/>
    <x v="843"/>
    <x v="134"/>
    <x v="0"/>
    <x v="45"/>
    <n v="143"/>
    <n v="1"/>
    <n v="8000"/>
    <n v="8000"/>
    <n v="6723"/>
    <n v="1277"/>
  </r>
  <r>
    <x v="0"/>
    <x v="844"/>
    <x v="134"/>
    <x v="0"/>
    <x v="8"/>
    <n v="324"/>
    <n v="1"/>
    <n v="10500"/>
    <n v="10500"/>
    <n v="8824"/>
    <n v="1676"/>
  </r>
  <r>
    <x v="0"/>
    <x v="845"/>
    <x v="134"/>
    <x v="0"/>
    <x v="27"/>
    <n v="143"/>
    <n v="1"/>
    <n v="8000"/>
    <n v="8000"/>
    <n v="6723"/>
    <n v="1277"/>
  </r>
  <r>
    <x v="0"/>
    <x v="845"/>
    <x v="134"/>
    <x v="0"/>
    <x v="27"/>
    <n v="324"/>
    <n v="1"/>
    <n v="10500"/>
    <n v="10500"/>
    <n v="8824"/>
    <n v="1676"/>
  </r>
  <r>
    <x v="0"/>
    <x v="846"/>
    <x v="134"/>
    <x v="0"/>
    <x v="119"/>
    <n v="329"/>
    <n v="1"/>
    <n v="5500"/>
    <n v="5500"/>
    <n v="4622"/>
    <n v="878"/>
  </r>
  <r>
    <x v="0"/>
    <x v="846"/>
    <x v="134"/>
    <x v="0"/>
    <x v="119"/>
    <n v="331"/>
    <n v="1"/>
    <n v="3700"/>
    <n v="3700"/>
    <n v="3109"/>
    <n v="591"/>
  </r>
  <r>
    <x v="0"/>
    <x v="846"/>
    <x v="134"/>
    <x v="0"/>
    <x v="119"/>
    <n v="143"/>
    <n v="1"/>
    <n v="8000"/>
    <n v="8000"/>
    <n v="6723"/>
    <n v="1277"/>
  </r>
  <r>
    <x v="0"/>
    <x v="846"/>
    <x v="134"/>
    <x v="0"/>
    <x v="119"/>
    <n v="231"/>
    <n v="1"/>
    <n v="20900"/>
    <n v="20900"/>
    <n v="17563"/>
    <n v="3337"/>
  </r>
  <r>
    <x v="0"/>
    <x v="847"/>
    <x v="135"/>
    <x v="0"/>
    <x v="17"/>
    <n v="324"/>
    <n v="1"/>
    <n v="10500"/>
    <n v="10500"/>
    <n v="8824"/>
    <n v="1676"/>
  </r>
  <r>
    <x v="0"/>
    <x v="848"/>
    <x v="135"/>
    <x v="0"/>
    <x v="4"/>
    <n v="143"/>
    <n v="1"/>
    <n v="8000"/>
    <n v="8000"/>
    <n v="6723"/>
    <n v="1277"/>
  </r>
  <r>
    <x v="0"/>
    <x v="848"/>
    <x v="135"/>
    <x v="0"/>
    <x v="4"/>
    <n v="354"/>
    <n v="1"/>
    <n v="1800"/>
    <n v="1800"/>
    <n v="1513"/>
    <n v="287"/>
  </r>
  <r>
    <x v="0"/>
    <x v="848"/>
    <x v="135"/>
    <x v="0"/>
    <x v="4"/>
    <n v="368"/>
    <n v="1"/>
    <n v="3000"/>
    <n v="3000"/>
    <n v="2521"/>
    <n v="479"/>
  </r>
  <r>
    <x v="0"/>
    <x v="849"/>
    <x v="135"/>
    <x v="0"/>
    <x v="59"/>
    <n v="143"/>
    <n v="1"/>
    <n v="8000"/>
    <n v="8000"/>
    <n v="6723"/>
    <n v="1277"/>
  </r>
  <r>
    <x v="0"/>
    <x v="849"/>
    <x v="135"/>
    <x v="0"/>
    <x v="59"/>
    <n v="354"/>
    <n v="1"/>
    <n v="1800"/>
    <n v="1800"/>
    <n v="1513"/>
    <n v="287"/>
  </r>
  <r>
    <x v="0"/>
    <x v="850"/>
    <x v="135"/>
    <x v="0"/>
    <x v="87"/>
    <n v="143"/>
    <n v="1"/>
    <n v="8000"/>
    <n v="8000"/>
    <n v="6723"/>
    <n v="1277"/>
  </r>
  <r>
    <x v="0"/>
    <x v="851"/>
    <x v="136"/>
    <x v="0"/>
    <x v="55"/>
    <n v="143"/>
    <n v="1"/>
    <n v="8000"/>
    <n v="8000"/>
    <n v="6723"/>
    <n v="1277"/>
  </r>
  <r>
    <x v="0"/>
    <x v="852"/>
    <x v="136"/>
    <x v="0"/>
    <x v="37"/>
    <n v="143"/>
    <n v="1"/>
    <n v="8000"/>
    <n v="8000"/>
    <n v="6723"/>
    <n v="1277"/>
  </r>
  <r>
    <x v="0"/>
    <x v="853"/>
    <x v="137"/>
    <x v="0"/>
    <x v="145"/>
    <n v="329"/>
    <n v="1"/>
    <n v="6000"/>
    <n v="6000"/>
    <n v="5042"/>
    <n v="958"/>
  </r>
  <r>
    <x v="0"/>
    <x v="853"/>
    <x v="137"/>
    <x v="0"/>
    <x v="145"/>
    <n v="143"/>
    <n v="1"/>
    <n v="8000"/>
    <n v="8000"/>
    <n v="6723"/>
    <n v="1277"/>
  </r>
  <r>
    <x v="0"/>
    <x v="853"/>
    <x v="137"/>
    <x v="0"/>
    <x v="145"/>
    <n v="191"/>
    <n v="1"/>
    <n v="2500"/>
    <n v="2500"/>
    <n v="2101"/>
    <n v="399"/>
  </r>
  <r>
    <x v="0"/>
    <x v="854"/>
    <x v="137"/>
    <x v="0"/>
    <x v="5"/>
    <n v="155"/>
    <n v="1"/>
    <n v="1650"/>
    <n v="1650"/>
    <n v="1387"/>
    <n v="263"/>
  </r>
  <r>
    <x v="0"/>
    <x v="855"/>
    <x v="137"/>
    <x v="0"/>
    <x v="73"/>
    <n v="143"/>
    <n v="1"/>
    <n v="8000"/>
    <n v="8000"/>
    <n v="6723"/>
    <n v="1277"/>
  </r>
  <r>
    <x v="0"/>
    <x v="856"/>
    <x v="137"/>
    <x v="0"/>
    <x v="33"/>
    <n v="165"/>
    <n v="2"/>
    <n v="4000"/>
    <n v="8000"/>
    <n v="6723"/>
    <n v="1277"/>
  </r>
  <r>
    <x v="0"/>
    <x v="857"/>
    <x v="137"/>
    <x v="0"/>
    <x v="32"/>
    <n v="231"/>
    <n v="1"/>
    <n v="20900"/>
    <n v="20900"/>
    <n v="17563"/>
    <n v="3337"/>
  </r>
  <r>
    <x v="0"/>
    <x v="857"/>
    <x v="137"/>
    <x v="0"/>
    <x v="32"/>
    <n v="369"/>
    <n v="1"/>
    <n v="10500"/>
    <n v="10500"/>
    <n v="8824"/>
    <n v="1676"/>
  </r>
  <r>
    <x v="0"/>
    <x v="857"/>
    <x v="137"/>
    <x v="0"/>
    <x v="32"/>
    <n v="264"/>
    <n v="1"/>
    <n v="5000"/>
    <n v="5000"/>
    <n v="4202"/>
    <n v="798"/>
  </r>
  <r>
    <x v="0"/>
    <x v="857"/>
    <x v="137"/>
    <x v="0"/>
    <x v="32"/>
    <n v="30"/>
    <n v="1"/>
    <n v="3000"/>
    <n v="3000"/>
    <n v="2521"/>
    <n v="479"/>
  </r>
  <r>
    <x v="0"/>
    <x v="857"/>
    <x v="137"/>
    <x v="0"/>
    <x v="32"/>
    <n v="156"/>
    <n v="1"/>
    <n v="1400"/>
    <n v="1400"/>
    <n v="1176"/>
    <n v="224"/>
  </r>
  <r>
    <x v="0"/>
    <x v="857"/>
    <x v="137"/>
    <x v="0"/>
    <x v="32"/>
    <n v="250"/>
    <n v="1"/>
    <n v="6800"/>
    <n v="6800"/>
    <n v="5714"/>
    <n v="1086"/>
  </r>
  <r>
    <x v="0"/>
    <x v="858"/>
    <x v="137"/>
    <x v="0"/>
    <x v="91"/>
    <n v="324"/>
    <n v="4"/>
    <n v="44000"/>
    <n v="176000"/>
    <n v="147899"/>
    <n v="28101"/>
  </r>
  <r>
    <x v="0"/>
    <x v="858"/>
    <x v="137"/>
    <x v="0"/>
    <x v="91"/>
    <n v="329"/>
    <n v="1"/>
    <n v="6000"/>
    <n v="6000"/>
    <n v="5042"/>
    <n v="958"/>
  </r>
  <r>
    <x v="0"/>
    <x v="858"/>
    <x v="137"/>
    <x v="0"/>
    <x v="91"/>
    <n v="263"/>
    <n v="1"/>
    <n v="8000"/>
    <n v="8000"/>
    <n v="6723"/>
    <n v="1277"/>
  </r>
  <r>
    <x v="0"/>
    <x v="858"/>
    <x v="137"/>
    <x v="0"/>
    <x v="91"/>
    <n v="7"/>
    <n v="1"/>
    <n v="7000"/>
    <n v="7000"/>
    <n v="5882"/>
    <n v="1118"/>
  </r>
  <r>
    <x v="0"/>
    <x v="858"/>
    <x v="137"/>
    <x v="0"/>
    <x v="91"/>
    <n v="330"/>
    <n v="1"/>
    <n v="4800"/>
    <n v="4800"/>
    <n v="4034"/>
    <n v="766"/>
  </r>
  <r>
    <x v="0"/>
    <x v="858"/>
    <x v="137"/>
    <x v="0"/>
    <x v="91"/>
    <n v="191"/>
    <n v="1"/>
    <n v="2500"/>
    <n v="2500"/>
    <n v="2101"/>
    <n v="399"/>
  </r>
  <r>
    <x v="0"/>
    <x v="859"/>
    <x v="137"/>
    <x v="0"/>
    <x v="24"/>
    <n v="230"/>
    <n v="1"/>
    <n v="16500"/>
    <n v="16500"/>
    <n v="13866"/>
    <n v="2634"/>
  </r>
  <r>
    <x v="0"/>
    <x v="860"/>
    <x v="138"/>
    <x v="0"/>
    <x v="229"/>
    <n v="231"/>
    <n v="1"/>
    <n v="20900"/>
    <n v="20900"/>
    <n v="17563"/>
    <n v="3337"/>
  </r>
  <r>
    <x v="0"/>
    <x v="860"/>
    <x v="138"/>
    <x v="0"/>
    <x v="229"/>
    <n v="368"/>
    <n v="1"/>
    <n v="3000"/>
    <n v="3000"/>
    <n v="2521"/>
    <n v="479"/>
  </r>
  <r>
    <x v="0"/>
    <x v="860"/>
    <x v="138"/>
    <x v="0"/>
    <x v="229"/>
    <n v="156"/>
    <n v="1"/>
    <n v="1400"/>
    <n v="1400"/>
    <n v="1176"/>
    <n v="224"/>
  </r>
  <r>
    <x v="0"/>
    <x v="861"/>
    <x v="138"/>
    <x v="0"/>
    <x v="200"/>
    <n v="231"/>
    <n v="1"/>
    <n v="20900"/>
    <n v="20900"/>
    <n v="17563"/>
    <n v="3337"/>
  </r>
  <r>
    <x v="0"/>
    <x v="861"/>
    <x v="138"/>
    <x v="0"/>
    <x v="200"/>
    <n v="98"/>
    <n v="1"/>
    <n v="3500"/>
    <n v="3500"/>
    <n v="2941"/>
    <n v="559"/>
  </r>
  <r>
    <x v="0"/>
    <x v="861"/>
    <x v="138"/>
    <x v="0"/>
    <x v="200"/>
    <n v="191"/>
    <n v="1"/>
    <n v="2500"/>
    <n v="2500"/>
    <n v="2101"/>
    <n v="399"/>
  </r>
  <r>
    <x v="0"/>
    <x v="861"/>
    <x v="138"/>
    <x v="0"/>
    <x v="200"/>
    <n v="25"/>
    <n v="1"/>
    <n v="1800"/>
    <n v="1800"/>
    <n v="1513"/>
    <n v="287"/>
  </r>
  <r>
    <x v="0"/>
    <x v="861"/>
    <x v="138"/>
    <x v="0"/>
    <x v="200"/>
    <n v="274"/>
    <n v="1"/>
    <n v="7500"/>
    <n v="7500"/>
    <n v="6303"/>
    <n v="1197"/>
  </r>
  <r>
    <x v="0"/>
    <x v="861"/>
    <x v="138"/>
    <x v="0"/>
    <x v="200"/>
    <n v="97"/>
    <n v="1"/>
    <n v="2000"/>
    <n v="2000"/>
    <n v="1681"/>
    <n v="319"/>
  </r>
  <r>
    <x v="0"/>
    <x v="861"/>
    <x v="138"/>
    <x v="0"/>
    <x v="200"/>
    <n v="254"/>
    <n v="1"/>
    <n v="2000"/>
    <n v="2000"/>
    <n v="1681"/>
    <n v="319"/>
  </r>
  <r>
    <x v="0"/>
    <x v="862"/>
    <x v="138"/>
    <x v="0"/>
    <x v="112"/>
    <n v="230"/>
    <n v="1"/>
    <n v="16500"/>
    <n v="16500"/>
    <n v="13866"/>
    <n v="2634"/>
  </r>
  <r>
    <x v="0"/>
    <x v="862"/>
    <x v="138"/>
    <x v="0"/>
    <x v="112"/>
    <n v="261"/>
    <n v="1"/>
    <n v="7000"/>
    <n v="7000"/>
    <n v="5882"/>
    <n v="1118"/>
  </r>
  <r>
    <x v="0"/>
    <x v="862"/>
    <x v="138"/>
    <x v="0"/>
    <x v="112"/>
    <n v="359"/>
    <n v="1"/>
    <n v="2500"/>
    <n v="2500"/>
    <n v="2101"/>
    <n v="399"/>
  </r>
  <r>
    <x v="0"/>
    <x v="863"/>
    <x v="138"/>
    <x v="0"/>
    <x v="230"/>
    <n v="143"/>
    <n v="1"/>
    <n v="8000"/>
    <n v="8000"/>
    <n v="6723"/>
    <n v="1277"/>
  </r>
  <r>
    <x v="0"/>
    <x v="864"/>
    <x v="138"/>
    <x v="0"/>
    <x v="212"/>
    <n v="143"/>
    <n v="1"/>
    <n v="8000"/>
    <n v="8000"/>
    <n v="6723"/>
    <n v="1277"/>
  </r>
  <r>
    <x v="0"/>
    <x v="865"/>
    <x v="139"/>
    <x v="0"/>
    <x v="41"/>
    <n v="324"/>
    <n v="1"/>
    <n v="11000"/>
    <n v="11000"/>
    <n v="9244"/>
    <n v="1756"/>
  </r>
  <r>
    <x v="0"/>
    <x v="865"/>
    <x v="139"/>
    <x v="0"/>
    <x v="41"/>
    <n v="143"/>
    <n v="1"/>
    <n v="8000"/>
    <n v="8000"/>
    <n v="6723"/>
    <n v="1277"/>
  </r>
  <r>
    <x v="0"/>
    <x v="866"/>
    <x v="139"/>
    <x v="0"/>
    <x v="1"/>
    <n v="118"/>
    <n v="1"/>
    <n v="3500"/>
    <n v="3500"/>
    <n v="2941"/>
    <n v="559"/>
  </r>
  <r>
    <x v="0"/>
    <x v="866"/>
    <x v="139"/>
    <x v="0"/>
    <x v="1"/>
    <n v="329"/>
    <n v="1"/>
    <n v="6000"/>
    <n v="6000"/>
    <n v="5042"/>
    <n v="958"/>
  </r>
  <r>
    <x v="0"/>
    <x v="867"/>
    <x v="139"/>
    <x v="0"/>
    <x v="190"/>
    <n v="57"/>
    <n v="1"/>
    <n v="4000"/>
    <n v="4000"/>
    <n v="3361"/>
    <n v="639"/>
  </r>
  <r>
    <x v="0"/>
    <x v="868"/>
    <x v="139"/>
    <x v="0"/>
    <x v="5"/>
    <n v="324"/>
    <n v="1"/>
    <n v="11000"/>
    <n v="11000"/>
    <n v="9244"/>
    <n v="1756"/>
  </r>
  <r>
    <x v="0"/>
    <x v="869"/>
    <x v="139"/>
    <x v="0"/>
    <x v="231"/>
    <n v="324"/>
    <n v="1"/>
    <n v="11000"/>
    <n v="11000"/>
    <n v="9244"/>
    <n v="1756"/>
  </r>
  <r>
    <x v="0"/>
    <x v="870"/>
    <x v="139"/>
    <x v="0"/>
    <x v="232"/>
    <n v="143"/>
    <n v="2"/>
    <n v="16000"/>
    <n v="32000"/>
    <n v="26891"/>
    <n v="5109"/>
  </r>
  <r>
    <x v="0"/>
    <x v="871"/>
    <x v="139"/>
    <x v="0"/>
    <x v="233"/>
    <n v="324"/>
    <n v="1"/>
    <n v="11000"/>
    <n v="11000"/>
    <n v="9244"/>
    <n v="1756"/>
  </r>
  <r>
    <x v="0"/>
    <x v="872"/>
    <x v="139"/>
    <x v="0"/>
    <x v="76"/>
    <n v="324"/>
    <n v="1"/>
    <n v="11000"/>
    <n v="11000"/>
    <n v="9244"/>
    <n v="1756"/>
  </r>
  <r>
    <x v="0"/>
    <x v="873"/>
    <x v="139"/>
    <x v="0"/>
    <x v="234"/>
    <n v="165"/>
    <n v="1"/>
    <n v="2000"/>
    <n v="2000"/>
    <n v="1681"/>
    <n v="319"/>
  </r>
  <r>
    <x v="0"/>
    <x v="873"/>
    <x v="139"/>
    <x v="0"/>
    <x v="234"/>
    <n v="143"/>
    <n v="2"/>
    <n v="16000"/>
    <n v="32000"/>
    <n v="26891"/>
    <n v="5109"/>
  </r>
  <r>
    <x v="0"/>
    <x v="874"/>
    <x v="139"/>
    <x v="0"/>
    <x v="217"/>
    <n v="143"/>
    <n v="2"/>
    <n v="16000"/>
    <n v="32000"/>
    <n v="26891"/>
    <n v="5109"/>
  </r>
  <r>
    <x v="0"/>
    <x v="875"/>
    <x v="139"/>
    <x v="0"/>
    <x v="176"/>
    <n v="143"/>
    <n v="1"/>
    <n v="8000"/>
    <n v="8000"/>
    <n v="6723"/>
    <n v="1277"/>
  </r>
  <r>
    <x v="0"/>
    <x v="875"/>
    <x v="139"/>
    <x v="0"/>
    <x v="176"/>
    <n v="293"/>
    <n v="1"/>
    <n v="10000"/>
    <n v="10000"/>
    <n v="8403"/>
    <n v="1597"/>
  </r>
  <r>
    <x v="0"/>
    <x v="875"/>
    <x v="139"/>
    <x v="0"/>
    <x v="176"/>
    <n v="254"/>
    <n v="1"/>
    <n v="2000"/>
    <n v="2000"/>
    <n v="1681"/>
    <n v="319"/>
  </r>
  <r>
    <x v="0"/>
    <x v="875"/>
    <x v="139"/>
    <x v="0"/>
    <x v="176"/>
    <n v="99"/>
    <n v="1"/>
    <n v="1500"/>
    <n v="1500"/>
    <n v="1261"/>
    <n v="239"/>
  </r>
  <r>
    <x v="0"/>
    <x v="876"/>
    <x v="139"/>
    <x v="0"/>
    <x v="64"/>
    <n v="324"/>
    <n v="1"/>
    <n v="11000"/>
    <n v="11000"/>
    <n v="9244"/>
    <n v="1756"/>
  </r>
  <r>
    <x v="0"/>
    <x v="876"/>
    <x v="139"/>
    <x v="0"/>
    <x v="64"/>
    <n v="143"/>
    <n v="1"/>
    <n v="8000"/>
    <n v="8000"/>
    <n v="6723"/>
    <n v="1277"/>
  </r>
  <r>
    <x v="0"/>
    <x v="877"/>
    <x v="140"/>
    <x v="0"/>
    <x v="14"/>
    <n v="324"/>
    <n v="1"/>
    <n v="11000"/>
    <n v="11000"/>
    <n v="9244"/>
    <n v="1756"/>
  </r>
  <r>
    <x v="0"/>
    <x v="878"/>
    <x v="140"/>
    <x v="0"/>
    <x v="184"/>
    <n v="329"/>
    <n v="1"/>
    <n v="6000"/>
    <n v="6000"/>
    <n v="5042"/>
    <n v="958"/>
  </r>
  <r>
    <x v="0"/>
    <x v="879"/>
    <x v="140"/>
    <x v="0"/>
    <x v="37"/>
    <n v="143"/>
    <n v="1"/>
    <n v="8000"/>
    <n v="8000"/>
    <n v="6723"/>
    <n v="1277"/>
  </r>
  <r>
    <x v="0"/>
    <x v="880"/>
    <x v="140"/>
    <x v="0"/>
    <x v="5"/>
    <n v="288"/>
    <n v="1"/>
    <n v="8500"/>
    <n v="8500"/>
    <n v="7143"/>
    <n v="1357"/>
  </r>
  <r>
    <x v="0"/>
    <x v="880"/>
    <x v="140"/>
    <x v="0"/>
    <x v="5"/>
    <n v="251"/>
    <n v="1"/>
    <n v="7000"/>
    <n v="7000"/>
    <n v="5882"/>
    <n v="1118"/>
  </r>
  <r>
    <x v="0"/>
    <x v="881"/>
    <x v="140"/>
    <x v="0"/>
    <x v="193"/>
    <n v="143"/>
    <n v="1"/>
    <n v="8000"/>
    <n v="8000"/>
    <n v="6723"/>
    <n v="1277"/>
  </r>
  <r>
    <x v="0"/>
    <x v="881"/>
    <x v="140"/>
    <x v="0"/>
    <x v="193"/>
    <n v="324"/>
    <n v="1"/>
    <n v="11000"/>
    <n v="11000"/>
    <n v="9244"/>
    <n v="1756"/>
  </r>
  <r>
    <x v="0"/>
    <x v="882"/>
    <x v="140"/>
    <x v="0"/>
    <x v="72"/>
    <n v="117"/>
    <n v="2"/>
    <n v="7000"/>
    <n v="14000"/>
    <n v="11765"/>
    <n v="2235"/>
  </r>
  <r>
    <x v="0"/>
    <x v="883"/>
    <x v="140"/>
    <x v="0"/>
    <x v="235"/>
    <n v="143"/>
    <n v="1"/>
    <n v="8000"/>
    <n v="8000"/>
    <n v="6723"/>
    <n v="1277"/>
  </r>
  <r>
    <x v="0"/>
    <x v="884"/>
    <x v="140"/>
    <x v="0"/>
    <x v="161"/>
    <n v="329"/>
    <n v="1"/>
    <n v="6000"/>
    <n v="6000"/>
    <n v="5042"/>
    <n v="958"/>
  </r>
  <r>
    <x v="0"/>
    <x v="885"/>
    <x v="140"/>
    <x v="0"/>
    <x v="236"/>
    <n v="290"/>
    <n v="2"/>
    <n v="2400"/>
    <n v="4800"/>
    <n v="4034"/>
    <n v="766"/>
  </r>
  <r>
    <x v="0"/>
    <x v="885"/>
    <x v="140"/>
    <x v="0"/>
    <x v="236"/>
    <n v="125"/>
    <n v="1"/>
    <n v="1700"/>
    <n v="1700"/>
    <n v="1429"/>
    <n v="271"/>
  </r>
  <r>
    <x v="0"/>
    <x v="886"/>
    <x v="141"/>
    <x v="0"/>
    <x v="54"/>
    <n v="143"/>
    <n v="2"/>
    <n v="16000"/>
    <n v="32000"/>
    <n v="26891"/>
    <n v="5109"/>
  </r>
  <r>
    <x v="0"/>
    <x v="887"/>
    <x v="141"/>
    <x v="0"/>
    <x v="6"/>
    <n v="143"/>
    <n v="2"/>
    <n v="16000"/>
    <n v="32000"/>
    <n v="26891"/>
    <n v="5109"/>
  </r>
  <r>
    <x v="0"/>
    <x v="888"/>
    <x v="141"/>
    <x v="0"/>
    <x v="57"/>
    <n v="324"/>
    <n v="1"/>
    <n v="11000"/>
    <n v="11000"/>
    <n v="9244"/>
    <n v="1756"/>
  </r>
  <r>
    <x v="0"/>
    <x v="888"/>
    <x v="141"/>
    <x v="0"/>
    <x v="57"/>
    <n v="99"/>
    <n v="1"/>
    <n v="1500"/>
    <n v="1500"/>
    <n v="1261"/>
    <n v="239"/>
  </r>
  <r>
    <x v="0"/>
    <x v="888"/>
    <x v="141"/>
    <x v="0"/>
    <x v="57"/>
    <n v="164"/>
    <n v="1"/>
    <n v="3200"/>
    <n v="3200"/>
    <n v="2689"/>
    <n v="511"/>
  </r>
  <r>
    <x v="0"/>
    <x v="889"/>
    <x v="141"/>
    <x v="0"/>
    <x v="46"/>
    <n v="324"/>
    <n v="1"/>
    <n v="11000"/>
    <n v="11000"/>
    <n v="9244"/>
    <n v="1756"/>
  </r>
  <r>
    <x v="0"/>
    <x v="890"/>
    <x v="141"/>
    <x v="0"/>
    <x v="221"/>
    <n v="143"/>
    <n v="1"/>
    <n v="8000"/>
    <n v="8000"/>
    <n v="6723"/>
    <n v="1277"/>
  </r>
  <r>
    <x v="0"/>
    <x v="891"/>
    <x v="141"/>
    <x v="0"/>
    <x v="26"/>
    <n v="231"/>
    <n v="1"/>
    <n v="20900"/>
    <n v="20900"/>
    <n v="17563"/>
    <n v="3337"/>
  </r>
  <r>
    <x v="0"/>
    <x v="891"/>
    <x v="141"/>
    <x v="0"/>
    <x v="26"/>
    <n v="277"/>
    <n v="1"/>
    <n v="10000"/>
    <n v="10000"/>
    <n v="8403"/>
    <n v="1597"/>
  </r>
  <r>
    <x v="0"/>
    <x v="891"/>
    <x v="141"/>
    <x v="0"/>
    <x v="26"/>
    <n v="354"/>
    <n v="2"/>
    <n v="3600"/>
    <n v="7200"/>
    <n v="6050"/>
    <n v="1150"/>
  </r>
  <r>
    <x v="0"/>
    <x v="891"/>
    <x v="141"/>
    <x v="0"/>
    <x v="26"/>
    <n v="143"/>
    <n v="1"/>
    <n v="8000"/>
    <n v="8000"/>
    <n v="6723"/>
    <n v="1277"/>
  </r>
  <r>
    <x v="0"/>
    <x v="892"/>
    <x v="141"/>
    <x v="0"/>
    <x v="111"/>
    <n v="329"/>
    <n v="1"/>
    <n v="6000"/>
    <n v="6000"/>
    <n v="5042"/>
    <n v="958"/>
  </r>
  <r>
    <x v="0"/>
    <x v="893"/>
    <x v="141"/>
    <x v="0"/>
    <x v="9"/>
    <n v="368"/>
    <n v="1"/>
    <n v="3000"/>
    <n v="3000"/>
    <n v="2521"/>
    <n v="479"/>
  </r>
  <r>
    <x v="0"/>
    <x v="893"/>
    <x v="141"/>
    <x v="0"/>
    <x v="9"/>
    <n v="233"/>
    <n v="1"/>
    <n v="15990"/>
    <n v="15990"/>
    <n v="13437"/>
    <n v="2553"/>
  </r>
  <r>
    <x v="0"/>
    <x v="894"/>
    <x v="141"/>
    <x v="0"/>
    <x v="10"/>
    <n v="233"/>
    <n v="1"/>
    <n v="15990"/>
    <n v="15990"/>
    <n v="13437"/>
    <n v="2553"/>
  </r>
  <r>
    <x v="0"/>
    <x v="895"/>
    <x v="142"/>
    <x v="0"/>
    <x v="0"/>
    <n v="324"/>
    <n v="1"/>
    <n v="11000"/>
    <n v="11000"/>
    <n v="9244"/>
    <n v="1756"/>
  </r>
  <r>
    <x v="0"/>
    <x v="895"/>
    <x v="142"/>
    <x v="0"/>
    <x v="0"/>
    <n v="27"/>
    <n v="1"/>
    <n v="8700"/>
    <n v="8700"/>
    <n v="7311"/>
    <n v="1389"/>
  </r>
  <r>
    <x v="0"/>
    <x v="895"/>
    <x v="142"/>
    <x v="0"/>
    <x v="0"/>
    <n v="24"/>
    <n v="1"/>
    <n v="1650"/>
    <n v="1650"/>
    <n v="1387"/>
    <n v="263"/>
  </r>
  <r>
    <x v="0"/>
    <x v="895"/>
    <x v="142"/>
    <x v="0"/>
    <x v="0"/>
    <n v="56"/>
    <n v="1"/>
    <n v="1500"/>
    <n v="1500"/>
    <n v="1261"/>
    <n v="239"/>
  </r>
  <r>
    <x v="0"/>
    <x v="895"/>
    <x v="142"/>
    <x v="0"/>
    <x v="0"/>
    <n v="167"/>
    <n v="1"/>
    <n v="8200"/>
    <n v="8200"/>
    <n v="6891"/>
    <n v="1309"/>
  </r>
  <r>
    <x v="0"/>
    <x v="895"/>
    <x v="142"/>
    <x v="0"/>
    <x v="0"/>
    <n v="26"/>
    <n v="1"/>
    <n v="3400"/>
    <n v="3400"/>
    <n v="2857"/>
    <n v="543"/>
  </r>
  <r>
    <x v="0"/>
    <x v="896"/>
    <x v="142"/>
    <x v="0"/>
    <x v="1"/>
    <n v="233"/>
    <n v="1"/>
    <n v="15990"/>
    <n v="15990"/>
    <n v="13437"/>
    <n v="2553"/>
  </r>
  <r>
    <x v="0"/>
    <x v="896"/>
    <x v="142"/>
    <x v="0"/>
    <x v="1"/>
    <n v="265"/>
    <n v="1"/>
    <n v="10000"/>
    <n v="10000"/>
    <n v="8403"/>
    <n v="1597"/>
  </r>
  <r>
    <x v="0"/>
    <x v="896"/>
    <x v="142"/>
    <x v="0"/>
    <x v="1"/>
    <n v="152"/>
    <n v="1"/>
    <n v="4200"/>
    <n v="4200"/>
    <n v="3529"/>
    <n v="671"/>
  </r>
  <r>
    <x v="0"/>
    <x v="897"/>
    <x v="142"/>
    <x v="0"/>
    <x v="4"/>
    <n v="117"/>
    <n v="2"/>
    <n v="7000"/>
    <n v="14000"/>
    <n v="11765"/>
    <n v="2235"/>
  </r>
  <r>
    <x v="0"/>
    <x v="897"/>
    <x v="142"/>
    <x v="0"/>
    <x v="4"/>
    <n v="230"/>
    <n v="1"/>
    <n v="16500"/>
    <n v="16500"/>
    <n v="13866"/>
    <n v="2634"/>
  </r>
  <r>
    <x v="0"/>
    <x v="897"/>
    <x v="142"/>
    <x v="0"/>
    <x v="4"/>
    <n v="225"/>
    <n v="1"/>
    <n v="19500"/>
    <n v="19500"/>
    <n v="16387"/>
    <n v="3113"/>
  </r>
  <r>
    <x v="0"/>
    <x v="897"/>
    <x v="142"/>
    <x v="0"/>
    <x v="4"/>
    <n v="55"/>
    <n v="1"/>
    <n v="1600"/>
    <n v="1600"/>
    <n v="1345"/>
    <n v="255"/>
  </r>
  <r>
    <x v="0"/>
    <x v="897"/>
    <x v="142"/>
    <x v="0"/>
    <x v="4"/>
    <n v="29"/>
    <n v="1"/>
    <n v="1000"/>
    <n v="1000"/>
    <n v="840"/>
    <n v="160"/>
  </r>
  <r>
    <x v="0"/>
    <x v="897"/>
    <x v="142"/>
    <x v="0"/>
    <x v="4"/>
    <n v="26"/>
    <n v="1"/>
    <n v="3400"/>
    <n v="3400"/>
    <n v="2857"/>
    <n v="543"/>
  </r>
  <r>
    <x v="0"/>
    <x v="897"/>
    <x v="142"/>
    <x v="0"/>
    <x v="4"/>
    <n v="162"/>
    <n v="1"/>
    <n v="1600"/>
    <n v="1600"/>
    <n v="1345"/>
    <n v="255"/>
  </r>
  <r>
    <x v="0"/>
    <x v="898"/>
    <x v="142"/>
    <x v="0"/>
    <x v="59"/>
    <n v="143"/>
    <n v="1"/>
    <n v="8000"/>
    <n v="8000"/>
    <n v="6723"/>
    <n v="1277"/>
  </r>
  <r>
    <x v="0"/>
    <x v="898"/>
    <x v="142"/>
    <x v="0"/>
    <x v="59"/>
    <n v="329"/>
    <n v="1"/>
    <n v="6000"/>
    <n v="6000"/>
    <n v="5042"/>
    <n v="958"/>
  </r>
  <r>
    <x v="0"/>
    <x v="899"/>
    <x v="142"/>
    <x v="0"/>
    <x v="87"/>
    <n v="143"/>
    <n v="1"/>
    <n v="8000"/>
    <n v="8000"/>
    <n v="6723"/>
    <n v="1277"/>
  </r>
  <r>
    <x v="0"/>
    <x v="900"/>
    <x v="142"/>
    <x v="0"/>
    <x v="25"/>
    <n v="324"/>
    <n v="1"/>
    <n v="11000"/>
    <n v="11000"/>
    <n v="9244"/>
    <n v="1756"/>
  </r>
  <r>
    <x v="0"/>
    <x v="900"/>
    <x v="142"/>
    <x v="0"/>
    <x v="25"/>
    <n v="7"/>
    <n v="1"/>
    <n v="7000"/>
    <n v="7000"/>
    <n v="5882"/>
    <n v="1118"/>
  </r>
  <r>
    <x v="0"/>
    <x v="901"/>
    <x v="143"/>
    <x v="0"/>
    <x v="30"/>
    <n v="117"/>
    <n v="4"/>
    <n v="14000"/>
    <n v="56000"/>
    <n v="47059"/>
    <n v="8941"/>
  </r>
  <r>
    <x v="0"/>
    <x v="901"/>
    <x v="143"/>
    <x v="0"/>
    <x v="30"/>
    <n v="356"/>
    <n v="1"/>
    <n v="3000"/>
    <n v="3000"/>
    <n v="2521"/>
    <n v="479"/>
  </r>
  <r>
    <x v="0"/>
    <x v="901"/>
    <x v="143"/>
    <x v="0"/>
    <x v="30"/>
    <n v="95"/>
    <n v="1"/>
    <n v="2400"/>
    <n v="2400"/>
    <n v="2017"/>
    <n v="383"/>
  </r>
  <r>
    <x v="0"/>
    <x v="901"/>
    <x v="143"/>
    <x v="0"/>
    <x v="30"/>
    <n v="386"/>
    <n v="1"/>
    <n v="2700"/>
    <n v="2700"/>
    <n v="2269"/>
    <n v="431"/>
  </r>
  <r>
    <x v="0"/>
    <x v="901"/>
    <x v="143"/>
    <x v="0"/>
    <x v="30"/>
    <n v="69"/>
    <n v="1"/>
    <n v="3000"/>
    <n v="3000"/>
    <n v="2521"/>
    <n v="479"/>
  </r>
  <r>
    <x v="0"/>
    <x v="901"/>
    <x v="143"/>
    <x v="0"/>
    <x v="30"/>
    <n v="67"/>
    <n v="1"/>
    <n v="650"/>
    <n v="650"/>
    <n v="546"/>
    <n v="104"/>
  </r>
  <r>
    <x v="0"/>
    <x v="901"/>
    <x v="143"/>
    <x v="0"/>
    <x v="30"/>
    <n v="293"/>
    <n v="1"/>
    <n v="10000"/>
    <n v="10000"/>
    <n v="8403"/>
    <n v="1597"/>
  </r>
  <r>
    <x v="0"/>
    <x v="901"/>
    <x v="143"/>
    <x v="0"/>
    <x v="30"/>
    <n v="368"/>
    <n v="2"/>
    <n v="6000"/>
    <n v="12000"/>
    <n v="10084"/>
    <n v="1916"/>
  </r>
  <r>
    <x v="0"/>
    <x v="902"/>
    <x v="143"/>
    <x v="0"/>
    <x v="4"/>
    <n v="143"/>
    <n v="1"/>
    <n v="8000"/>
    <n v="8000"/>
    <n v="6723"/>
    <n v="1277"/>
  </r>
  <r>
    <x v="0"/>
    <x v="903"/>
    <x v="143"/>
    <x v="0"/>
    <x v="5"/>
    <n v="331"/>
    <n v="1"/>
    <n v="3700"/>
    <n v="3700"/>
    <n v="3109"/>
    <n v="591"/>
  </r>
  <r>
    <x v="0"/>
    <x v="903"/>
    <x v="143"/>
    <x v="0"/>
    <x v="5"/>
    <n v="261"/>
    <n v="1"/>
    <n v="7000"/>
    <n v="7000"/>
    <n v="5882"/>
    <n v="1118"/>
  </r>
  <r>
    <x v="0"/>
    <x v="904"/>
    <x v="143"/>
    <x v="0"/>
    <x v="39"/>
    <n v="231"/>
    <n v="2"/>
    <n v="41800"/>
    <n v="83600"/>
    <n v="70252"/>
    <n v="13348"/>
  </r>
  <r>
    <x v="0"/>
    <x v="904"/>
    <x v="143"/>
    <x v="0"/>
    <x v="39"/>
    <n v="227"/>
    <n v="1"/>
    <n v="13500"/>
    <n v="13500"/>
    <n v="11345"/>
    <n v="2155"/>
  </r>
  <r>
    <x v="0"/>
    <x v="904"/>
    <x v="143"/>
    <x v="0"/>
    <x v="39"/>
    <n v="226"/>
    <n v="1"/>
    <n v="22500"/>
    <n v="22500"/>
    <n v="18908"/>
    <n v="3592"/>
  </r>
  <r>
    <x v="0"/>
    <x v="904"/>
    <x v="143"/>
    <x v="0"/>
    <x v="39"/>
    <n v="99"/>
    <n v="1"/>
    <n v="1500"/>
    <n v="1500"/>
    <n v="1261"/>
    <n v="239"/>
  </r>
  <r>
    <x v="0"/>
    <x v="905"/>
    <x v="143"/>
    <x v="0"/>
    <x v="107"/>
    <n v="230"/>
    <n v="1"/>
    <n v="16500"/>
    <n v="16500"/>
    <n v="13866"/>
    <n v="2634"/>
  </r>
  <r>
    <x v="0"/>
    <x v="906"/>
    <x v="143"/>
    <x v="0"/>
    <x v="108"/>
    <n v="288"/>
    <n v="1"/>
    <n v="8500"/>
    <n v="8500"/>
    <n v="7143"/>
    <n v="1357"/>
  </r>
  <r>
    <x v="0"/>
    <x v="906"/>
    <x v="143"/>
    <x v="0"/>
    <x v="108"/>
    <n v="265"/>
    <n v="1"/>
    <n v="10000"/>
    <n v="10000"/>
    <n v="8403"/>
    <n v="1597"/>
  </r>
  <r>
    <x v="0"/>
    <x v="906"/>
    <x v="143"/>
    <x v="0"/>
    <x v="108"/>
    <n v="245"/>
    <n v="2"/>
    <n v="3600"/>
    <n v="7200"/>
    <n v="6050"/>
    <n v="1150"/>
  </r>
  <r>
    <x v="0"/>
    <x v="907"/>
    <x v="144"/>
    <x v="0"/>
    <x v="181"/>
    <n v="324"/>
    <n v="1"/>
    <n v="11000"/>
    <n v="11000"/>
    <n v="9244"/>
    <n v="1756"/>
  </r>
  <r>
    <x v="0"/>
    <x v="907"/>
    <x v="144"/>
    <x v="0"/>
    <x v="181"/>
    <n v="124"/>
    <n v="1"/>
    <n v="4000"/>
    <n v="4000"/>
    <n v="3361"/>
    <n v="639"/>
  </r>
  <r>
    <x v="0"/>
    <x v="907"/>
    <x v="144"/>
    <x v="0"/>
    <x v="181"/>
    <n v="290"/>
    <n v="1"/>
    <n v="1200"/>
    <n v="1200"/>
    <n v="1008"/>
    <n v="192"/>
  </r>
  <r>
    <x v="0"/>
    <x v="907"/>
    <x v="144"/>
    <x v="0"/>
    <x v="181"/>
    <n v="274"/>
    <n v="1"/>
    <n v="7500"/>
    <n v="7500"/>
    <n v="6303"/>
    <n v="1197"/>
  </r>
  <r>
    <x v="0"/>
    <x v="907"/>
    <x v="144"/>
    <x v="0"/>
    <x v="181"/>
    <n v="332"/>
    <n v="1"/>
    <n v="2600"/>
    <n v="2600"/>
    <n v="2185"/>
    <n v="415"/>
  </r>
  <r>
    <x v="0"/>
    <x v="907"/>
    <x v="144"/>
    <x v="0"/>
    <x v="181"/>
    <n v="114"/>
    <n v="1"/>
    <n v="1600"/>
    <n v="1600"/>
    <n v="1345"/>
    <n v="255"/>
  </r>
  <r>
    <x v="0"/>
    <x v="907"/>
    <x v="144"/>
    <x v="0"/>
    <x v="181"/>
    <n v="116"/>
    <n v="1"/>
    <n v="1600"/>
    <n v="1600"/>
    <n v="1345"/>
    <n v="255"/>
  </r>
  <r>
    <x v="0"/>
    <x v="907"/>
    <x v="144"/>
    <x v="0"/>
    <x v="181"/>
    <n v="368"/>
    <n v="1"/>
    <n v="3000"/>
    <n v="3000"/>
    <n v="2521"/>
    <n v="479"/>
  </r>
  <r>
    <x v="0"/>
    <x v="907"/>
    <x v="144"/>
    <x v="0"/>
    <x v="181"/>
    <n v="293"/>
    <n v="1"/>
    <n v="10000"/>
    <n v="10000"/>
    <n v="8403"/>
    <n v="1597"/>
  </r>
  <r>
    <x v="0"/>
    <x v="908"/>
    <x v="144"/>
    <x v="0"/>
    <x v="0"/>
    <n v="293"/>
    <n v="1"/>
    <n v="1500"/>
    <n v="1500"/>
    <n v="1261"/>
    <n v="239"/>
  </r>
  <r>
    <x v="0"/>
    <x v="908"/>
    <x v="144"/>
    <x v="0"/>
    <x v="0"/>
    <n v="367"/>
    <n v="1"/>
    <n v="1500"/>
    <n v="1500"/>
    <n v="1261"/>
    <n v="239"/>
  </r>
  <r>
    <x v="0"/>
    <x v="908"/>
    <x v="144"/>
    <x v="0"/>
    <x v="0"/>
    <n v="368"/>
    <n v="1"/>
    <n v="3000"/>
    <n v="3000"/>
    <n v="2521"/>
    <n v="479"/>
  </r>
  <r>
    <x v="0"/>
    <x v="908"/>
    <x v="144"/>
    <x v="0"/>
    <x v="0"/>
    <n v="191"/>
    <n v="2"/>
    <n v="2500"/>
    <n v="5000"/>
    <n v="4202"/>
    <n v="798"/>
  </r>
  <r>
    <x v="0"/>
    <x v="908"/>
    <x v="144"/>
    <x v="0"/>
    <x v="0"/>
    <n v="97"/>
    <n v="1"/>
    <n v="2000"/>
    <n v="2000"/>
    <n v="1681"/>
    <n v="319"/>
  </r>
  <r>
    <x v="0"/>
    <x v="909"/>
    <x v="144"/>
    <x v="0"/>
    <x v="220"/>
    <n v="329"/>
    <n v="1"/>
    <n v="6000"/>
    <n v="6000"/>
    <n v="5042"/>
    <n v="958"/>
  </r>
  <r>
    <x v="0"/>
    <x v="910"/>
    <x v="144"/>
    <x v="0"/>
    <x v="5"/>
    <n v="329"/>
    <n v="1"/>
    <n v="6000"/>
    <n v="6000"/>
    <n v="5042"/>
    <n v="958"/>
  </r>
  <r>
    <x v="0"/>
    <x v="911"/>
    <x v="144"/>
    <x v="0"/>
    <x v="194"/>
    <n v="324"/>
    <n v="2"/>
    <n v="22000"/>
    <n v="44000"/>
    <n v="36975"/>
    <n v="7025"/>
  </r>
  <r>
    <x v="0"/>
    <x v="912"/>
    <x v="144"/>
    <x v="0"/>
    <x v="29"/>
    <n v="261"/>
    <n v="1"/>
    <n v="7000"/>
    <n v="7000"/>
    <n v="5882"/>
    <n v="1118"/>
  </r>
  <r>
    <x v="0"/>
    <x v="912"/>
    <x v="144"/>
    <x v="0"/>
    <x v="29"/>
    <n v="329"/>
    <n v="1"/>
    <n v="6000"/>
    <n v="6000"/>
    <n v="5042"/>
    <n v="958"/>
  </r>
  <r>
    <x v="0"/>
    <x v="913"/>
    <x v="145"/>
    <x v="0"/>
    <x v="181"/>
    <n v="143"/>
    <n v="1"/>
    <n v="8200"/>
    <n v="8200"/>
    <n v="6891"/>
    <n v="1309"/>
  </r>
  <r>
    <x v="0"/>
    <x v="914"/>
    <x v="145"/>
    <x v="0"/>
    <x v="124"/>
    <n v="143"/>
    <n v="1"/>
    <n v="8200"/>
    <n v="8200"/>
    <n v="6891"/>
    <n v="1309"/>
  </r>
  <r>
    <x v="0"/>
    <x v="915"/>
    <x v="145"/>
    <x v="0"/>
    <x v="220"/>
    <n v="143"/>
    <n v="1"/>
    <n v="8200"/>
    <n v="8200"/>
    <n v="6891"/>
    <n v="1309"/>
  </r>
  <r>
    <x v="0"/>
    <x v="916"/>
    <x v="145"/>
    <x v="0"/>
    <x v="49"/>
    <n v="143"/>
    <n v="1"/>
    <n v="8200"/>
    <n v="8200"/>
    <n v="6891"/>
    <n v="1309"/>
  </r>
  <r>
    <x v="0"/>
    <x v="917"/>
    <x v="145"/>
    <x v="0"/>
    <x v="5"/>
    <n v="330"/>
    <n v="1"/>
    <n v="4800"/>
    <n v="4800"/>
    <n v="4034"/>
    <n v="766"/>
  </r>
  <r>
    <x v="0"/>
    <x v="917"/>
    <x v="145"/>
    <x v="0"/>
    <x v="5"/>
    <n v="117"/>
    <n v="1"/>
    <n v="3500"/>
    <n v="3500"/>
    <n v="2941"/>
    <n v="559"/>
  </r>
  <r>
    <x v="0"/>
    <x v="918"/>
    <x v="145"/>
    <x v="0"/>
    <x v="98"/>
    <n v="324"/>
    <n v="1"/>
    <n v="11000"/>
    <n v="11000"/>
    <n v="9244"/>
    <n v="1756"/>
  </r>
  <r>
    <x v="0"/>
    <x v="918"/>
    <x v="145"/>
    <x v="0"/>
    <x v="98"/>
    <n v="261"/>
    <n v="1"/>
    <n v="7000"/>
    <n v="7000"/>
    <n v="5882"/>
    <n v="1118"/>
  </r>
  <r>
    <x v="0"/>
    <x v="918"/>
    <x v="145"/>
    <x v="0"/>
    <x v="98"/>
    <n v="6"/>
    <n v="1"/>
    <n v="9400"/>
    <n v="9400"/>
    <n v="7899"/>
    <n v="1501"/>
  </r>
  <r>
    <x v="0"/>
    <x v="919"/>
    <x v="145"/>
    <x v="0"/>
    <x v="237"/>
    <n v="329"/>
    <n v="1"/>
    <n v="6000"/>
    <n v="6000"/>
    <n v="5042"/>
    <n v="958"/>
  </r>
  <r>
    <x v="0"/>
    <x v="919"/>
    <x v="145"/>
    <x v="0"/>
    <x v="237"/>
    <n v="120"/>
    <n v="1"/>
    <n v="1700"/>
    <n v="1700"/>
    <n v="1429"/>
    <n v="271"/>
  </r>
  <r>
    <x v="0"/>
    <x v="919"/>
    <x v="145"/>
    <x v="0"/>
    <x v="237"/>
    <n v="99"/>
    <n v="1"/>
    <n v="1700"/>
    <n v="1700"/>
    <n v="1429"/>
    <n v="271"/>
  </r>
  <r>
    <x v="0"/>
    <x v="919"/>
    <x v="145"/>
    <x v="0"/>
    <x v="237"/>
    <n v="171"/>
    <n v="1"/>
    <n v="3700"/>
    <n v="3700"/>
    <n v="3109"/>
    <n v="591"/>
  </r>
  <r>
    <x v="0"/>
    <x v="919"/>
    <x v="145"/>
    <x v="0"/>
    <x v="237"/>
    <n v="297"/>
    <n v="1"/>
    <n v="7000"/>
    <n v="7000"/>
    <n v="5882"/>
    <n v="1118"/>
  </r>
  <r>
    <x v="0"/>
    <x v="920"/>
    <x v="145"/>
    <x v="0"/>
    <x v="164"/>
    <n v="261"/>
    <n v="1"/>
    <n v="7000"/>
    <n v="7000"/>
    <n v="5882"/>
    <n v="1118"/>
  </r>
  <r>
    <x v="0"/>
    <x v="920"/>
    <x v="145"/>
    <x v="0"/>
    <x v="164"/>
    <n v="191"/>
    <n v="1"/>
    <n v="2500"/>
    <n v="2500"/>
    <n v="2101"/>
    <n v="399"/>
  </r>
  <r>
    <x v="0"/>
    <x v="921"/>
    <x v="145"/>
    <x v="0"/>
    <x v="74"/>
    <n v="143"/>
    <n v="1"/>
    <n v="8200"/>
    <n v="8200"/>
    <n v="6891"/>
    <n v="1309"/>
  </r>
  <r>
    <x v="0"/>
    <x v="921"/>
    <x v="145"/>
    <x v="0"/>
    <x v="74"/>
    <n v="117"/>
    <n v="1"/>
    <n v="3500"/>
    <n v="3500"/>
    <n v="2941"/>
    <n v="559"/>
  </r>
  <r>
    <x v="0"/>
    <x v="921"/>
    <x v="145"/>
    <x v="0"/>
    <x v="74"/>
    <n v="324"/>
    <n v="2"/>
    <n v="22000"/>
    <n v="44000"/>
    <n v="36975"/>
    <n v="7025"/>
  </r>
  <r>
    <x v="0"/>
    <x v="921"/>
    <x v="145"/>
    <x v="0"/>
    <x v="74"/>
    <n v="120"/>
    <n v="1"/>
    <n v="1700"/>
    <n v="1700"/>
    <n v="1429"/>
    <n v="271"/>
  </r>
  <r>
    <x v="0"/>
    <x v="921"/>
    <x v="145"/>
    <x v="0"/>
    <x v="74"/>
    <n v="125"/>
    <n v="1"/>
    <n v="1700"/>
    <n v="1700"/>
    <n v="1429"/>
    <n v="271"/>
  </r>
  <r>
    <x v="0"/>
    <x v="921"/>
    <x v="145"/>
    <x v="0"/>
    <x v="74"/>
    <n v="191"/>
    <n v="1"/>
    <n v="2500"/>
    <n v="2500"/>
    <n v="2101"/>
    <n v="399"/>
  </r>
  <r>
    <x v="0"/>
    <x v="922"/>
    <x v="145"/>
    <x v="0"/>
    <x v="238"/>
    <n v="143"/>
    <n v="1"/>
    <n v="8200"/>
    <n v="8200"/>
    <n v="6891"/>
    <n v="1309"/>
  </r>
  <r>
    <x v="0"/>
    <x v="922"/>
    <x v="145"/>
    <x v="0"/>
    <x v="238"/>
    <n v="324"/>
    <n v="1"/>
    <n v="11000"/>
    <n v="11000"/>
    <n v="9244"/>
    <n v="1756"/>
  </r>
  <r>
    <x v="0"/>
    <x v="922"/>
    <x v="145"/>
    <x v="0"/>
    <x v="238"/>
    <n v="261"/>
    <n v="1"/>
    <n v="7000"/>
    <n v="7000"/>
    <n v="5882"/>
    <n v="1118"/>
  </r>
  <r>
    <x v="0"/>
    <x v="923"/>
    <x v="146"/>
    <x v="0"/>
    <x v="13"/>
    <n v="297"/>
    <n v="1"/>
    <n v="7000"/>
    <n v="7000"/>
    <n v="5882"/>
    <n v="1118"/>
  </r>
  <r>
    <x v="0"/>
    <x v="923"/>
    <x v="146"/>
    <x v="0"/>
    <x v="13"/>
    <n v="165"/>
    <n v="1"/>
    <n v="2000"/>
    <n v="2000"/>
    <n v="1681"/>
    <n v="319"/>
  </r>
  <r>
    <x v="0"/>
    <x v="923"/>
    <x v="146"/>
    <x v="0"/>
    <x v="13"/>
    <n v="98"/>
    <n v="1"/>
    <n v="3500"/>
    <n v="3500"/>
    <n v="2941"/>
    <n v="559"/>
  </r>
  <r>
    <x v="0"/>
    <x v="923"/>
    <x v="146"/>
    <x v="0"/>
    <x v="13"/>
    <n v="31"/>
    <n v="1"/>
    <n v="3400"/>
    <n v="3400"/>
    <n v="2857"/>
    <n v="543"/>
  </r>
  <r>
    <x v="0"/>
    <x v="923"/>
    <x v="146"/>
    <x v="0"/>
    <x v="13"/>
    <n v="69"/>
    <n v="1"/>
    <n v="3000"/>
    <n v="3000"/>
    <n v="2521"/>
    <n v="479"/>
  </r>
  <r>
    <x v="0"/>
    <x v="923"/>
    <x v="146"/>
    <x v="0"/>
    <x v="13"/>
    <n v="378"/>
    <n v="1"/>
    <n v="1200"/>
    <n v="1200"/>
    <n v="1008"/>
    <n v="192"/>
  </r>
  <r>
    <x v="0"/>
    <x v="923"/>
    <x v="146"/>
    <x v="0"/>
    <x v="13"/>
    <n v="361"/>
    <n v="1"/>
    <n v="3500"/>
    <n v="3500"/>
    <n v="2941"/>
    <n v="559"/>
  </r>
  <r>
    <x v="0"/>
    <x v="923"/>
    <x v="146"/>
    <x v="0"/>
    <x v="13"/>
    <n v="169"/>
    <n v="1"/>
    <n v="2700"/>
    <n v="2700"/>
    <n v="2269"/>
    <n v="431"/>
  </r>
  <r>
    <x v="0"/>
    <x v="924"/>
    <x v="146"/>
    <x v="0"/>
    <x v="97"/>
    <n v="143"/>
    <n v="1"/>
    <n v="8200"/>
    <n v="8200"/>
    <n v="6891"/>
    <n v="1309"/>
  </r>
  <r>
    <x v="0"/>
    <x v="924"/>
    <x v="146"/>
    <x v="0"/>
    <x v="97"/>
    <n v="329"/>
    <n v="1"/>
    <n v="6000"/>
    <n v="6000"/>
    <n v="5042"/>
    <n v="958"/>
  </r>
  <r>
    <x v="0"/>
    <x v="925"/>
    <x v="146"/>
    <x v="0"/>
    <x v="36"/>
    <n v="81"/>
    <n v="1"/>
    <n v="1600"/>
    <n v="1600"/>
    <n v="1345"/>
    <n v="255"/>
  </r>
  <r>
    <x v="0"/>
    <x v="925"/>
    <x v="146"/>
    <x v="0"/>
    <x v="36"/>
    <n v="82"/>
    <n v="1"/>
    <n v="1600"/>
    <n v="1600"/>
    <n v="1345"/>
    <n v="255"/>
  </r>
  <r>
    <x v="0"/>
    <x v="925"/>
    <x v="146"/>
    <x v="0"/>
    <x v="36"/>
    <n v="259"/>
    <n v="1"/>
    <n v="4500"/>
    <n v="4500"/>
    <n v="3782"/>
    <n v="718"/>
  </r>
  <r>
    <x v="0"/>
    <x v="925"/>
    <x v="146"/>
    <x v="0"/>
    <x v="36"/>
    <n v="370"/>
    <n v="1"/>
    <n v="4000"/>
    <n v="4000"/>
    <n v="3361"/>
    <n v="639"/>
  </r>
  <r>
    <x v="0"/>
    <x v="925"/>
    <x v="146"/>
    <x v="0"/>
    <x v="36"/>
    <n v="99"/>
    <n v="1"/>
    <n v="1700"/>
    <n v="1700"/>
    <n v="1429"/>
    <n v="271"/>
  </r>
  <r>
    <x v="0"/>
    <x v="925"/>
    <x v="146"/>
    <x v="0"/>
    <x v="36"/>
    <n v="26"/>
    <n v="1"/>
    <n v="3400"/>
    <n v="3400"/>
    <n v="2857"/>
    <n v="543"/>
  </r>
  <r>
    <x v="0"/>
    <x v="925"/>
    <x v="146"/>
    <x v="0"/>
    <x v="36"/>
    <n v="276"/>
    <n v="1"/>
    <n v="8000"/>
    <n v="8000"/>
    <n v="6723"/>
    <n v="1277"/>
  </r>
  <r>
    <x v="0"/>
    <x v="925"/>
    <x v="146"/>
    <x v="0"/>
    <x v="36"/>
    <n v="120"/>
    <n v="2"/>
    <n v="3400"/>
    <n v="6800"/>
    <n v="5714"/>
    <n v="1086"/>
  </r>
  <r>
    <x v="0"/>
    <x v="926"/>
    <x v="146"/>
    <x v="0"/>
    <x v="232"/>
    <n v="53"/>
    <n v="1"/>
    <n v="4200"/>
    <n v="4200"/>
    <n v="3529"/>
    <n v="671"/>
  </r>
  <r>
    <x v="0"/>
    <x v="926"/>
    <x v="146"/>
    <x v="0"/>
    <x v="232"/>
    <n v="45"/>
    <n v="1"/>
    <n v="1600"/>
    <n v="1600"/>
    <n v="1345"/>
    <n v="255"/>
  </r>
  <r>
    <x v="0"/>
    <x v="927"/>
    <x v="146"/>
    <x v="0"/>
    <x v="235"/>
    <n v="143"/>
    <n v="1"/>
    <n v="8200"/>
    <n v="8200"/>
    <n v="6891"/>
    <n v="1309"/>
  </r>
  <r>
    <x v="0"/>
    <x v="928"/>
    <x v="146"/>
    <x v="0"/>
    <x v="60"/>
    <n v="230"/>
    <n v="1"/>
    <n v="16500"/>
    <n v="16500"/>
    <n v="13866"/>
    <n v="2634"/>
  </r>
  <r>
    <x v="0"/>
    <x v="928"/>
    <x v="146"/>
    <x v="0"/>
    <x v="60"/>
    <n v="97"/>
    <n v="1"/>
    <n v="2000"/>
    <n v="2000"/>
    <n v="1681"/>
    <n v="319"/>
  </r>
  <r>
    <x v="0"/>
    <x v="928"/>
    <x v="146"/>
    <x v="0"/>
    <x v="60"/>
    <n v="154"/>
    <n v="1"/>
    <n v="3200"/>
    <n v="3200"/>
    <n v="2689"/>
    <n v="511"/>
  </r>
  <r>
    <x v="0"/>
    <x v="928"/>
    <x v="146"/>
    <x v="0"/>
    <x v="60"/>
    <n v="31"/>
    <n v="1"/>
    <n v="3400"/>
    <n v="3400"/>
    <n v="2857"/>
    <n v="543"/>
  </r>
  <r>
    <x v="0"/>
    <x v="928"/>
    <x v="146"/>
    <x v="0"/>
    <x v="60"/>
    <n v="384"/>
    <n v="1"/>
    <n v="2750"/>
    <n v="2750"/>
    <n v="2311"/>
    <n v="439"/>
  </r>
  <r>
    <x v="0"/>
    <x v="928"/>
    <x v="146"/>
    <x v="0"/>
    <x v="60"/>
    <n v="360"/>
    <n v="1"/>
    <n v="3000"/>
    <n v="3000"/>
    <n v="2521"/>
    <n v="479"/>
  </r>
  <r>
    <x v="0"/>
    <x v="928"/>
    <x v="146"/>
    <x v="0"/>
    <x v="60"/>
    <n v="29"/>
    <n v="1"/>
    <n v="1000"/>
    <n v="1000"/>
    <n v="840"/>
    <n v="160"/>
  </r>
  <r>
    <x v="0"/>
    <x v="928"/>
    <x v="146"/>
    <x v="0"/>
    <x v="60"/>
    <n v="287"/>
    <n v="1"/>
    <n v="3000"/>
    <n v="3000"/>
    <n v="2521"/>
    <n v="479"/>
  </r>
  <r>
    <x v="0"/>
    <x v="928"/>
    <x v="146"/>
    <x v="0"/>
    <x v="60"/>
    <n v="120"/>
    <n v="1"/>
    <n v="1700"/>
    <n v="1700"/>
    <n v="1429"/>
    <n v="271"/>
  </r>
  <r>
    <x v="0"/>
    <x v="929"/>
    <x v="146"/>
    <x v="0"/>
    <x v="81"/>
    <n v="143"/>
    <n v="1"/>
    <n v="8200"/>
    <n v="8200"/>
    <n v="6891"/>
    <n v="1309"/>
  </r>
  <r>
    <x v="0"/>
    <x v="929"/>
    <x v="146"/>
    <x v="0"/>
    <x v="81"/>
    <n v="256"/>
    <n v="3"/>
    <n v="9000"/>
    <n v="27000"/>
    <n v="22689"/>
    <n v="4311"/>
  </r>
  <r>
    <x v="0"/>
    <x v="929"/>
    <x v="146"/>
    <x v="0"/>
    <x v="81"/>
    <n v="252"/>
    <n v="1"/>
    <n v="4800"/>
    <n v="4800"/>
    <n v="4034"/>
    <n v="766"/>
  </r>
  <r>
    <x v="0"/>
    <x v="929"/>
    <x v="146"/>
    <x v="0"/>
    <x v="81"/>
    <n v="378"/>
    <n v="4"/>
    <n v="4800"/>
    <n v="19200"/>
    <n v="16134"/>
    <n v="3066"/>
  </r>
  <r>
    <x v="0"/>
    <x v="930"/>
    <x v="146"/>
    <x v="0"/>
    <x v="173"/>
    <n v="369"/>
    <n v="1"/>
    <n v="10500"/>
    <n v="10500"/>
    <n v="8824"/>
    <n v="1676"/>
  </r>
  <r>
    <x v="0"/>
    <x v="931"/>
    <x v="147"/>
    <x v="0"/>
    <x v="0"/>
    <n v="284"/>
    <n v="1"/>
    <n v="1100"/>
    <n v="1100"/>
    <n v="924"/>
    <n v="176"/>
  </r>
  <r>
    <x v="0"/>
    <x v="932"/>
    <x v="147"/>
    <x v="0"/>
    <x v="2"/>
    <n v="230"/>
    <n v="1"/>
    <n v="16500"/>
    <n v="16500"/>
    <n v="13866"/>
    <n v="2634"/>
  </r>
  <r>
    <x v="0"/>
    <x v="933"/>
    <x v="147"/>
    <x v="0"/>
    <x v="36"/>
    <n v="143"/>
    <n v="2"/>
    <n v="16400"/>
    <n v="32800"/>
    <n v="27563"/>
    <n v="5237"/>
  </r>
  <r>
    <x v="0"/>
    <x v="933"/>
    <x v="147"/>
    <x v="0"/>
    <x v="36"/>
    <n v="167"/>
    <n v="1"/>
    <n v="8200"/>
    <n v="8200"/>
    <n v="6891"/>
    <n v="1309"/>
  </r>
  <r>
    <x v="0"/>
    <x v="933"/>
    <x v="147"/>
    <x v="0"/>
    <x v="36"/>
    <n v="191"/>
    <n v="2"/>
    <n v="5000"/>
    <n v="10000"/>
    <n v="8403"/>
    <n v="1597"/>
  </r>
  <r>
    <x v="0"/>
    <x v="933"/>
    <x v="147"/>
    <x v="0"/>
    <x v="36"/>
    <n v="233"/>
    <n v="1"/>
    <n v="15990"/>
    <n v="15990"/>
    <n v="13437"/>
    <n v="2553"/>
  </r>
  <r>
    <x v="0"/>
    <x v="934"/>
    <x v="147"/>
    <x v="0"/>
    <x v="98"/>
    <n v="378"/>
    <n v="4"/>
    <n v="4800"/>
    <n v="19200"/>
    <n v="16134"/>
    <n v="3066"/>
  </r>
  <r>
    <x v="0"/>
    <x v="934"/>
    <x v="147"/>
    <x v="0"/>
    <x v="98"/>
    <n v="120"/>
    <n v="2"/>
    <n v="3400"/>
    <n v="6800"/>
    <n v="5714"/>
    <n v="1086"/>
  </r>
  <r>
    <x v="0"/>
    <x v="934"/>
    <x v="147"/>
    <x v="0"/>
    <x v="98"/>
    <n v="251"/>
    <n v="1"/>
    <n v="7000"/>
    <n v="7000"/>
    <n v="5882"/>
    <n v="1118"/>
  </r>
  <r>
    <x v="0"/>
    <x v="935"/>
    <x v="147"/>
    <x v="0"/>
    <x v="172"/>
    <n v="143"/>
    <n v="1"/>
    <n v="8200"/>
    <n v="8200"/>
    <n v="6891"/>
    <n v="1309"/>
  </r>
  <r>
    <x v="0"/>
    <x v="936"/>
    <x v="147"/>
    <x v="0"/>
    <x v="7"/>
    <n v="143"/>
    <n v="1"/>
    <n v="8200"/>
    <n v="8200"/>
    <n v="6891"/>
    <n v="1309"/>
  </r>
  <r>
    <x v="0"/>
    <x v="936"/>
    <x v="147"/>
    <x v="0"/>
    <x v="7"/>
    <n v="230"/>
    <n v="1"/>
    <n v="16500"/>
    <n v="16500"/>
    <n v="13866"/>
    <n v="2634"/>
  </r>
  <r>
    <x v="0"/>
    <x v="937"/>
    <x v="147"/>
    <x v="0"/>
    <x v="60"/>
    <n v="120"/>
    <n v="1"/>
    <n v="1700"/>
    <n v="1700"/>
    <n v="1429"/>
    <n v="271"/>
  </r>
  <r>
    <x v="0"/>
    <x v="938"/>
    <x v="147"/>
    <x v="0"/>
    <x v="154"/>
    <n v="231"/>
    <n v="1"/>
    <n v="20900"/>
    <n v="20900"/>
    <n v="17563"/>
    <n v="3337"/>
  </r>
  <r>
    <x v="0"/>
    <x v="939"/>
    <x v="147"/>
    <x v="0"/>
    <x v="161"/>
    <n v="329"/>
    <n v="1"/>
    <n v="6000"/>
    <n v="6000"/>
    <n v="5042"/>
    <n v="958"/>
  </r>
  <r>
    <x v="0"/>
    <x v="940"/>
    <x v="147"/>
    <x v="0"/>
    <x v="12"/>
    <n v="143"/>
    <n v="1"/>
    <n v="8200"/>
    <n v="8200"/>
    <n v="6891"/>
    <n v="1309"/>
  </r>
  <r>
    <x v="0"/>
    <x v="941"/>
    <x v="148"/>
    <x v="0"/>
    <x v="0"/>
    <n v="67"/>
    <n v="2"/>
    <n v="1300"/>
    <n v="2600"/>
    <n v="2185"/>
    <n v="415"/>
  </r>
  <r>
    <x v="0"/>
    <x v="941"/>
    <x v="148"/>
    <x v="0"/>
    <x v="0"/>
    <n v="68"/>
    <n v="1"/>
    <n v="1200"/>
    <n v="1200"/>
    <n v="1008"/>
    <n v="192"/>
  </r>
  <r>
    <x v="0"/>
    <x v="941"/>
    <x v="148"/>
    <x v="0"/>
    <x v="0"/>
    <n v="26"/>
    <n v="-1"/>
    <n v="-3400"/>
    <n v="3400"/>
    <n v="2857"/>
    <n v="543"/>
  </r>
  <r>
    <x v="0"/>
    <x v="942"/>
    <x v="148"/>
    <x v="0"/>
    <x v="142"/>
    <n v="231"/>
    <n v="1"/>
    <n v="20900"/>
    <n v="20900"/>
    <n v="17563"/>
    <n v="3337"/>
  </r>
  <r>
    <x v="0"/>
    <x v="943"/>
    <x v="148"/>
    <x v="0"/>
    <x v="59"/>
    <n v="261"/>
    <n v="1"/>
    <n v="7000"/>
    <n v="7000"/>
    <n v="5882"/>
    <n v="1118"/>
  </r>
  <r>
    <x v="0"/>
    <x v="943"/>
    <x v="148"/>
    <x v="0"/>
    <x v="59"/>
    <n v="368"/>
    <n v="2"/>
    <n v="6000"/>
    <n v="12000"/>
    <n v="10084"/>
    <n v="1916"/>
  </r>
  <r>
    <x v="0"/>
    <x v="943"/>
    <x v="148"/>
    <x v="0"/>
    <x v="59"/>
    <n v="354"/>
    <n v="2"/>
    <n v="3600"/>
    <n v="7200"/>
    <n v="6050"/>
    <n v="1150"/>
  </r>
  <r>
    <x v="0"/>
    <x v="943"/>
    <x v="148"/>
    <x v="0"/>
    <x v="59"/>
    <n v="118"/>
    <n v="1"/>
    <n v="3500"/>
    <n v="3500"/>
    <n v="2941"/>
    <n v="559"/>
  </r>
  <r>
    <x v="0"/>
    <x v="943"/>
    <x v="148"/>
    <x v="0"/>
    <x v="59"/>
    <n v="117"/>
    <n v="1"/>
    <n v="3500"/>
    <n v="3500"/>
    <n v="2941"/>
    <n v="559"/>
  </r>
  <r>
    <x v="0"/>
    <x v="944"/>
    <x v="148"/>
    <x v="0"/>
    <x v="23"/>
    <n v="143"/>
    <n v="1"/>
    <n v="8200"/>
    <n v="8200"/>
    <n v="6891"/>
    <n v="1309"/>
  </r>
  <r>
    <x v="0"/>
    <x v="945"/>
    <x v="148"/>
    <x v="0"/>
    <x v="239"/>
    <n v="230"/>
    <n v="1"/>
    <n v="16500"/>
    <n v="16500"/>
    <n v="13866"/>
    <n v="2634"/>
  </r>
  <r>
    <x v="0"/>
    <x v="945"/>
    <x v="148"/>
    <x v="0"/>
    <x v="239"/>
    <n v="265"/>
    <n v="1"/>
    <n v="10000"/>
    <n v="10000"/>
    <n v="8403"/>
    <n v="1597"/>
  </r>
  <r>
    <x v="0"/>
    <x v="945"/>
    <x v="148"/>
    <x v="0"/>
    <x v="239"/>
    <n v="360"/>
    <n v="1"/>
    <n v="3000"/>
    <n v="3000"/>
    <n v="2521"/>
    <n v="479"/>
  </r>
  <r>
    <x v="0"/>
    <x v="945"/>
    <x v="148"/>
    <x v="0"/>
    <x v="239"/>
    <n v="120"/>
    <n v="1"/>
    <n v="1700"/>
    <n v="1700"/>
    <n v="1429"/>
    <n v="271"/>
  </r>
  <r>
    <x v="0"/>
    <x v="946"/>
    <x v="148"/>
    <x v="0"/>
    <x v="111"/>
    <n v="329"/>
    <n v="1"/>
    <n v="6000"/>
    <n v="6000"/>
    <n v="5042"/>
    <n v="958"/>
  </r>
  <r>
    <x v="0"/>
    <x v="947"/>
    <x v="148"/>
    <x v="0"/>
    <x v="61"/>
    <n v="329"/>
    <n v="1"/>
    <n v="6000"/>
    <n v="6000"/>
    <n v="5042"/>
    <n v="958"/>
  </r>
  <r>
    <x v="0"/>
    <x v="947"/>
    <x v="148"/>
    <x v="0"/>
    <x v="61"/>
    <n v="191"/>
    <n v="1"/>
    <n v="2500"/>
    <n v="2500"/>
    <n v="2101"/>
    <n v="399"/>
  </r>
  <r>
    <x v="0"/>
    <x v="947"/>
    <x v="148"/>
    <x v="0"/>
    <x v="61"/>
    <n v="377"/>
    <n v="1"/>
    <n v="1600"/>
    <n v="1600"/>
    <n v="1345"/>
    <n v="255"/>
  </r>
  <r>
    <x v="0"/>
    <x v="948"/>
    <x v="149"/>
    <x v="0"/>
    <x v="17"/>
    <n v="324"/>
    <n v="1"/>
    <n v="11000"/>
    <n v="11000"/>
    <n v="9244"/>
    <n v="1756"/>
  </r>
  <r>
    <x v="0"/>
    <x v="948"/>
    <x v="149"/>
    <x v="0"/>
    <x v="17"/>
    <n v="53"/>
    <n v="1"/>
    <n v="4200"/>
    <n v="4200"/>
    <n v="3529"/>
    <n v="671"/>
  </r>
  <r>
    <x v="0"/>
    <x v="949"/>
    <x v="149"/>
    <x v="0"/>
    <x v="169"/>
    <n v="263"/>
    <n v="1"/>
    <n v="8000"/>
    <n v="8000"/>
    <n v="6723"/>
    <n v="1277"/>
  </r>
  <r>
    <x v="0"/>
    <x v="950"/>
    <x v="149"/>
    <x v="0"/>
    <x v="25"/>
    <n v="276"/>
    <n v="1"/>
    <n v="8000"/>
    <n v="8000"/>
    <n v="6723"/>
    <n v="1277"/>
  </r>
  <r>
    <x v="0"/>
    <x v="951"/>
    <x v="149"/>
    <x v="0"/>
    <x v="9"/>
    <n v="126"/>
    <n v="1"/>
    <n v="9000"/>
    <n v="9000"/>
    <n v="7563"/>
    <n v="1437"/>
  </r>
  <r>
    <x v="0"/>
    <x v="952"/>
    <x v="149"/>
    <x v="0"/>
    <x v="109"/>
    <n v="324"/>
    <n v="1"/>
    <n v="11000"/>
    <n v="11000"/>
    <n v="9244"/>
    <n v="1756"/>
  </r>
  <r>
    <x v="0"/>
    <x v="952"/>
    <x v="149"/>
    <x v="0"/>
    <x v="109"/>
    <n v="164"/>
    <n v="1"/>
    <n v="3200"/>
    <n v="3200"/>
    <n v="2689"/>
    <n v="511"/>
  </r>
  <r>
    <x v="0"/>
    <x v="952"/>
    <x v="149"/>
    <x v="0"/>
    <x v="109"/>
    <n v="165"/>
    <n v="1"/>
    <n v="2000"/>
    <n v="2000"/>
    <n v="1681"/>
    <n v="319"/>
  </r>
  <r>
    <x v="0"/>
    <x v="952"/>
    <x v="149"/>
    <x v="0"/>
    <x v="109"/>
    <n v="98"/>
    <n v="1"/>
    <n v="3500"/>
    <n v="3500"/>
    <n v="2941"/>
    <n v="559"/>
  </r>
  <r>
    <x v="0"/>
    <x v="952"/>
    <x v="149"/>
    <x v="0"/>
    <x v="109"/>
    <n v="231"/>
    <n v="1"/>
    <n v="20900"/>
    <n v="20900"/>
    <n v="17563"/>
    <n v="3337"/>
  </r>
  <r>
    <x v="0"/>
    <x v="952"/>
    <x v="149"/>
    <x v="0"/>
    <x v="109"/>
    <n v="117"/>
    <n v="1"/>
    <n v="3500"/>
    <n v="3500"/>
    <n v="2941"/>
    <n v="559"/>
  </r>
  <r>
    <x v="0"/>
    <x v="953"/>
    <x v="150"/>
    <x v="0"/>
    <x v="41"/>
    <n v="143"/>
    <n v="1"/>
    <n v="8200"/>
    <n v="8200"/>
    <n v="6891"/>
    <n v="1309"/>
  </r>
  <r>
    <x v="0"/>
    <x v="953"/>
    <x v="150"/>
    <x v="0"/>
    <x v="41"/>
    <n v="324"/>
    <n v="1"/>
    <n v="11000"/>
    <n v="11000"/>
    <n v="9244"/>
    <n v="1756"/>
  </r>
  <r>
    <x v="0"/>
    <x v="954"/>
    <x v="150"/>
    <x v="0"/>
    <x v="97"/>
    <n v="329"/>
    <n v="1"/>
    <n v="6000"/>
    <n v="6000"/>
    <n v="5042"/>
    <n v="958"/>
  </r>
  <r>
    <x v="0"/>
    <x v="955"/>
    <x v="150"/>
    <x v="0"/>
    <x v="5"/>
    <n v="329"/>
    <n v="1"/>
    <n v="6000"/>
    <n v="6000"/>
    <n v="5042"/>
    <n v="958"/>
  </r>
  <r>
    <x v="0"/>
    <x v="956"/>
    <x v="150"/>
    <x v="0"/>
    <x v="7"/>
    <n v="368"/>
    <n v="1"/>
    <n v="3000"/>
    <n v="3000"/>
    <n v="2521"/>
    <n v="479"/>
  </r>
  <r>
    <x v="0"/>
    <x v="957"/>
    <x v="150"/>
    <x v="0"/>
    <x v="25"/>
    <n v="154"/>
    <n v="1"/>
    <n v="3200"/>
    <n v="3200"/>
    <n v="2689"/>
    <n v="511"/>
  </r>
  <r>
    <x v="0"/>
    <x v="957"/>
    <x v="150"/>
    <x v="0"/>
    <x v="25"/>
    <n v="377"/>
    <n v="1"/>
    <n v="1600"/>
    <n v="1600"/>
    <n v="1345"/>
    <n v="255"/>
  </r>
  <r>
    <x v="0"/>
    <x v="957"/>
    <x v="150"/>
    <x v="0"/>
    <x v="25"/>
    <n v="284"/>
    <n v="1"/>
    <n v="1100"/>
    <n v="1100"/>
    <n v="924"/>
    <n v="176"/>
  </r>
  <r>
    <x v="0"/>
    <x v="958"/>
    <x v="150"/>
    <x v="0"/>
    <x v="58"/>
    <n v="329"/>
    <n v="1"/>
    <n v="6000"/>
    <n v="6000"/>
    <n v="5042"/>
    <n v="958"/>
  </r>
  <r>
    <x v="0"/>
    <x v="958"/>
    <x v="150"/>
    <x v="0"/>
    <x v="58"/>
    <n v="120"/>
    <n v="1"/>
    <n v="1700"/>
    <n v="1700"/>
    <n v="1429"/>
    <n v="271"/>
  </r>
  <r>
    <x v="0"/>
    <x v="958"/>
    <x v="150"/>
    <x v="0"/>
    <x v="58"/>
    <n v="368"/>
    <n v="1"/>
    <n v="3000"/>
    <n v="3000"/>
    <n v="2521"/>
    <n v="479"/>
  </r>
  <r>
    <x v="0"/>
    <x v="958"/>
    <x v="150"/>
    <x v="0"/>
    <x v="58"/>
    <n v="387"/>
    <n v="1"/>
    <n v="1500"/>
    <n v="1500"/>
    <n v="1261"/>
    <n v="239"/>
  </r>
  <r>
    <x v="0"/>
    <x v="959"/>
    <x v="151"/>
    <x v="0"/>
    <x v="181"/>
    <n v="324"/>
    <n v="1"/>
    <n v="11000"/>
    <n v="11000"/>
    <n v="9244"/>
    <n v="1756"/>
  </r>
  <r>
    <x v="0"/>
    <x v="959"/>
    <x v="151"/>
    <x v="0"/>
    <x v="181"/>
    <n v="293"/>
    <n v="1"/>
    <n v="10000"/>
    <n v="10000"/>
    <n v="8403"/>
    <n v="1597"/>
  </r>
  <r>
    <x v="0"/>
    <x v="960"/>
    <x v="151"/>
    <x v="0"/>
    <x v="56"/>
    <n v="143"/>
    <n v="2"/>
    <n v="16400"/>
    <n v="32800"/>
    <n v="27563"/>
    <n v="5237"/>
  </r>
  <r>
    <x v="0"/>
    <x v="961"/>
    <x v="151"/>
    <x v="0"/>
    <x v="33"/>
    <n v="230"/>
    <n v="1"/>
    <n v="16500"/>
    <n v="16500"/>
    <n v="13866"/>
    <n v="2634"/>
  </r>
  <r>
    <x v="0"/>
    <x v="961"/>
    <x v="151"/>
    <x v="0"/>
    <x v="33"/>
    <n v="117"/>
    <n v="2"/>
    <n v="7000"/>
    <n v="14000"/>
    <n v="11765"/>
    <n v="2235"/>
  </r>
  <r>
    <x v="0"/>
    <x v="962"/>
    <x v="151"/>
    <x v="0"/>
    <x v="148"/>
    <n v="324"/>
    <n v="1"/>
    <n v="11000"/>
    <n v="11000"/>
    <n v="9244"/>
    <n v="1756"/>
  </r>
  <r>
    <x v="0"/>
    <x v="962"/>
    <x v="151"/>
    <x v="0"/>
    <x v="148"/>
    <n v="143"/>
    <n v="1"/>
    <n v="8200"/>
    <n v="8200"/>
    <n v="6891"/>
    <n v="1309"/>
  </r>
  <r>
    <x v="0"/>
    <x v="963"/>
    <x v="151"/>
    <x v="0"/>
    <x v="240"/>
    <n v="97"/>
    <n v="1"/>
    <n v="2000"/>
    <n v="2000"/>
    <n v="1681"/>
    <n v="319"/>
  </r>
  <r>
    <x v="0"/>
    <x v="963"/>
    <x v="151"/>
    <x v="0"/>
    <x v="240"/>
    <n v="230"/>
    <n v="1"/>
    <n v="16500"/>
    <n v="16500"/>
    <n v="13866"/>
    <n v="2634"/>
  </r>
  <r>
    <x v="0"/>
    <x v="963"/>
    <x v="151"/>
    <x v="0"/>
    <x v="240"/>
    <n v="264"/>
    <n v="1"/>
    <n v="5000"/>
    <n v="5000"/>
    <n v="4202"/>
    <n v="798"/>
  </r>
  <r>
    <x v="0"/>
    <x v="963"/>
    <x v="151"/>
    <x v="0"/>
    <x v="240"/>
    <n v="368"/>
    <n v="2"/>
    <n v="6000"/>
    <n v="12000"/>
    <n v="10084"/>
    <n v="1916"/>
  </r>
  <r>
    <x v="0"/>
    <x v="963"/>
    <x v="151"/>
    <x v="0"/>
    <x v="240"/>
    <n v="117"/>
    <n v="1"/>
    <n v="3500"/>
    <n v="3500"/>
    <n v="2941"/>
    <n v="559"/>
  </r>
  <r>
    <x v="0"/>
    <x v="964"/>
    <x v="152"/>
    <x v="0"/>
    <x v="241"/>
    <n v="329"/>
    <n v="1"/>
    <n v="6000"/>
    <n v="6000"/>
    <n v="5042"/>
    <n v="958"/>
  </r>
  <r>
    <x v="0"/>
    <x v="964"/>
    <x v="152"/>
    <x v="0"/>
    <x v="241"/>
    <n v="191"/>
    <n v="1"/>
    <n v="2500"/>
    <n v="2500"/>
    <n v="2101"/>
    <n v="399"/>
  </r>
  <r>
    <x v="0"/>
    <x v="964"/>
    <x v="152"/>
    <x v="0"/>
    <x v="241"/>
    <n v="379"/>
    <n v="2"/>
    <n v="4000"/>
    <n v="8000"/>
    <n v="6723"/>
    <n v="1277"/>
  </r>
  <r>
    <x v="0"/>
    <x v="964"/>
    <x v="152"/>
    <x v="0"/>
    <x v="241"/>
    <n v="169"/>
    <n v="1"/>
    <n v="2700"/>
    <n v="2700"/>
    <n v="2269"/>
    <n v="431"/>
  </r>
  <r>
    <x v="0"/>
    <x v="964"/>
    <x v="152"/>
    <x v="0"/>
    <x v="241"/>
    <n v="166"/>
    <n v="1"/>
    <n v="1600"/>
    <n v="1600"/>
    <n v="1345"/>
    <n v="255"/>
  </r>
  <r>
    <x v="0"/>
    <x v="964"/>
    <x v="152"/>
    <x v="0"/>
    <x v="241"/>
    <n v="231"/>
    <n v="1"/>
    <n v="20900"/>
    <n v="20900"/>
    <n v="17563"/>
    <n v="3337"/>
  </r>
  <r>
    <x v="0"/>
    <x v="965"/>
    <x v="152"/>
    <x v="0"/>
    <x v="145"/>
    <n v="329"/>
    <n v="1"/>
    <n v="6000"/>
    <n v="6000"/>
    <n v="5042"/>
    <n v="958"/>
  </r>
  <r>
    <x v="0"/>
    <x v="966"/>
    <x v="152"/>
    <x v="0"/>
    <x v="4"/>
    <n v="143"/>
    <n v="1"/>
    <n v="8200"/>
    <n v="8200"/>
    <n v="6891"/>
    <n v="1309"/>
  </r>
  <r>
    <x v="0"/>
    <x v="967"/>
    <x v="152"/>
    <x v="0"/>
    <x v="36"/>
    <n v="29"/>
    <n v="2"/>
    <n v="2000"/>
    <n v="4000"/>
    <n v="3361"/>
    <n v="639"/>
  </r>
  <r>
    <x v="0"/>
    <x v="968"/>
    <x v="152"/>
    <x v="0"/>
    <x v="5"/>
    <n v="329"/>
    <n v="1"/>
    <n v="6000"/>
    <n v="6000"/>
    <n v="5042"/>
    <n v="958"/>
  </r>
  <r>
    <x v="0"/>
    <x v="969"/>
    <x v="152"/>
    <x v="0"/>
    <x v="61"/>
    <n v="231"/>
    <n v="1"/>
    <n v="20900"/>
    <n v="20900"/>
    <n v="17563"/>
    <n v="3337"/>
  </r>
  <r>
    <x v="0"/>
    <x v="970"/>
    <x v="152"/>
    <x v="0"/>
    <x v="110"/>
    <n v="45"/>
    <n v="2"/>
    <n v="3200"/>
    <n v="6400"/>
    <n v="5378"/>
    <n v="1022"/>
  </r>
  <r>
    <x v="0"/>
    <x v="970"/>
    <x v="152"/>
    <x v="0"/>
    <x v="110"/>
    <n v="124"/>
    <n v="1"/>
    <n v="4000"/>
    <n v="4000"/>
    <n v="3361"/>
    <n v="639"/>
  </r>
  <r>
    <x v="0"/>
    <x v="970"/>
    <x v="152"/>
    <x v="0"/>
    <x v="110"/>
    <n v="290"/>
    <n v="1"/>
    <n v="1200"/>
    <n v="1200"/>
    <n v="1008"/>
    <n v="192"/>
  </r>
  <r>
    <x v="0"/>
    <x v="970"/>
    <x v="152"/>
    <x v="0"/>
    <x v="110"/>
    <n v="288"/>
    <n v="1"/>
    <n v="8500"/>
    <n v="8500"/>
    <n v="7143"/>
    <n v="1357"/>
  </r>
  <r>
    <x v="0"/>
    <x v="970"/>
    <x v="152"/>
    <x v="0"/>
    <x v="110"/>
    <n v="32"/>
    <n v="1"/>
    <n v="6500"/>
    <n v="6500"/>
    <n v="5462"/>
    <n v="1038"/>
  </r>
  <r>
    <x v="0"/>
    <x v="970"/>
    <x v="152"/>
    <x v="0"/>
    <x v="110"/>
    <n v="24"/>
    <n v="1"/>
    <n v="1650"/>
    <n v="1650"/>
    <n v="1387"/>
    <n v="263"/>
  </r>
  <r>
    <x v="0"/>
    <x v="970"/>
    <x v="152"/>
    <x v="0"/>
    <x v="110"/>
    <n v="259"/>
    <n v="1"/>
    <n v="4500"/>
    <n v="4500"/>
    <n v="3782"/>
    <n v="718"/>
  </r>
  <r>
    <x v="0"/>
    <x v="970"/>
    <x v="152"/>
    <x v="0"/>
    <x v="110"/>
    <n v="357"/>
    <n v="4"/>
    <n v="7200"/>
    <n v="28800"/>
    <n v="24202"/>
    <n v="4598"/>
  </r>
  <r>
    <x v="0"/>
    <x v="970"/>
    <x v="152"/>
    <x v="0"/>
    <x v="110"/>
    <n v="166"/>
    <n v="2"/>
    <n v="3200"/>
    <n v="6400"/>
    <n v="5378"/>
    <n v="1022"/>
  </r>
  <r>
    <x v="0"/>
    <x v="970"/>
    <x v="152"/>
    <x v="0"/>
    <x v="110"/>
    <n v="231"/>
    <n v="1"/>
    <n v="20900"/>
    <n v="20900"/>
    <n v="17563"/>
    <n v="3337"/>
  </r>
  <r>
    <x v="0"/>
    <x v="970"/>
    <x v="152"/>
    <x v="0"/>
    <x v="110"/>
    <n v="225"/>
    <n v="1"/>
    <n v="19500"/>
    <n v="19500"/>
    <n v="16387"/>
    <n v="3113"/>
  </r>
  <r>
    <x v="0"/>
    <x v="970"/>
    <x v="152"/>
    <x v="0"/>
    <x v="110"/>
    <n v="227"/>
    <n v="1"/>
    <n v="13500"/>
    <n v="13500"/>
    <n v="11345"/>
    <n v="2155"/>
  </r>
  <r>
    <x v="0"/>
    <x v="971"/>
    <x v="153"/>
    <x v="0"/>
    <x v="41"/>
    <n v="143"/>
    <n v="1"/>
    <n v="8200"/>
    <n v="8200"/>
    <n v="6891"/>
    <n v="1309"/>
  </r>
  <r>
    <x v="0"/>
    <x v="971"/>
    <x v="153"/>
    <x v="0"/>
    <x v="41"/>
    <n v="324"/>
    <n v="1"/>
    <n v="11000"/>
    <n v="11000"/>
    <n v="9244"/>
    <n v="1756"/>
  </r>
  <r>
    <x v="0"/>
    <x v="972"/>
    <x v="153"/>
    <x v="0"/>
    <x v="105"/>
    <n v="231"/>
    <n v="1"/>
    <n v="20900"/>
    <n v="20900"/>
    <n v="17563"/>
    <n v="3337"/>
  </r>
  <r>
    <x v="0"/>
    <x v="972"/>
    <x v="153"/>
    <x v="0"/>
    <x v="105"/>
    <n v="118"/>
    <n v="1"/>
    <n v="3500"/>
    <n v="3500"/>
    <n v="2941"/>
    <n v="559"/>
  </r>
  <r>
    <x v="0"/>
    <x v="973"/>
    <x v="154"/>
    <x v="3"/>
    <x v="124"/>
    <n v="143"/>
    <n v="1"/>
    <n v="8200"/>
    <n v="8200"/>
    <n v="6891"/>
    <n v="1309"/>
  </r>
  <r>
    <x v="0"/>
    <x v="974"/>
    <x v="154"/>
    <x v="3"/>
    <x v="18"/>
    <n v="329"/>
    <n v="1"/>
    <n v="6000"/>
    <n v="6000"/>
    <n v="5042"/>
    <n v="958"/>
  </r>
  <r>
    <x v="0"/>
    <x v="975"/>
    <x v="154"/>
    <x v="3"/>
    <x v="29"/>
    <n v="329"/>
    <n v="1"/>
    <n v="6000"/>
    <n v="6000"/>
    <n v="5042"/>
    <n v="958"/>
  </r>
  <r>
    <x v="0"/>
    <x v="976"/>
    <x v="154"/>
    <x v="3"/>
    <x v="212"/>
    <n v="143"/>
    <n v="1"/>
    <n v="8200"/>
    <n v="8200"/>
    <n v="6891"/>
    <n v="1309"/>
  </r>
  <r>
    <x v="0"/>
    <x v="977"/>
    <x v="155"/>
    <x v="0"/>
    <x v="5"/>
    <n v="143"/>
    <n v="1"/>
    <n v="8200"/>
    <n v="8200"/>
    <n v="6891"/>
    <n v="1309"/>
  </r>
  <r>
    <x v="0"/>
    <x v="977"/>
    <x v="155"/>
    <x v="0"/>
    <x v="5"/>
    <n v="329"/>
    <n v="1"/>
    <n v="6000"/>
    <n v="6000"/>
    <n v="5042"/>
    <n v="958"/>
  </r>
  <r>
    <x v="0"/>
    <x v="978"/>
    <x v="155"/>
    <x v="0"/>
    <x v="6"/>
    <n v="231"/>
    <n v="1"/>
    <n v="20900"/>
    <n v="20900"/>
    <n v="17563"/>
    <n v="3337"/>
  </r>
  <r>
    <x v="0"/>
    <x v="979"/>
    <x v="155"/>
    <x v="0"/>
    <x v="105"/>
    <n v="143"/>
    <n v="1"/>
    <n v="8200"/>
    <n v="8200"/>
    <n v="6891"/>
    <n v="1309"/>
  </r>
  <r>
    <x v="0"/>
    <x v="980"/>
    <x v="155"/>
    <x v="0"/>
    <x v="78"/>
    <n v="277"/>
    <n v="1"/>
    <n v="10000"/>
    <n v="10000"/>
    <n v="8403"/>
    <n v="1597"/>
  </r>
  <r>
    <x v="0"/>
    <x v="980"/>
    <x v="155"/>
    <x v="0"/>
    <x v="78"/>
    <n v="143"/>
    <n v="1"/>
    <n v="8200"/>
    <n v="8200"/>
    <n v="6891"/>
    <n v="1309"/>
  </r>
  <r>
    <x v="0"/>
    <x v="981"/>
    <x v="155"/>
    <x v="0"/>
    <x v="46"/>
    <n v="45"/>
    <n v="1"/>
    <n v="1600"/>
    <n v="1600"/>
    <n v="1345"/>
    <n v="255"/>
  </r>
  <r>
    <x v="0"/>
    <x v="981"/>
    <x v="155"/>
    <x v="0"/>
    <x v="46"/>
    <n v="165"/>
    <n v="1"/>
    <n v="2000"/>
    <n v="2000"/>
    <n v="1681"/>
    <n v="319"/>
  </r>
  <r>
    <x v="0"/>
    <x v="981"/>
    <x v="155"/>
    <x v="0"/>
    <x v="46"/>
    <n v="256"/>
    <n v="1"/>
    <n v="3000"/>
    <n v="3000"/>
    <n v="2521"/>
    <n v="479"/>
  </r>
  <r>
    <x v="0"/>
    <x v="981"/>
    <x v="155"/>
    <x v="0"/>
    <x v="46"/>
    <n v="360"/>
    <n v="1"/>
    <n v="3000"/>
    <n v="3000"/>
    <n v="2521"/>
    <n v="479"/>
  </r>
  <r>
    <x v="0"/>
    <x v="981"/>
    <x v="155"/>
    <x v="0"/>
    <x v="46"/>
    <n v="163"/>
    <n v="1"/>
    <n v="1500"/>
    <n v="1500"/>
    <n v="1261"/>
    <n v="239"/>
  </r>
  <r>
    <x v="0"/>
    <x v="981"/>
    <x v="155"/>
    <x v="0"/>
    <x v="46"/>
    <n v="162"/>
    <n v="1"/>
    <n v="1600"/>
    <n v="1600"/>
    <n v="1345"/>
    <n v="255"/>
  </r>
  <r>
    <x v="0"/>
    <x v="981"/>
    <x v="155"/>
    <x v="0"/>
    <x v="46"/>
    <n v="274"/>
    <n v="1"/>
    <n v="7500"/>
    <n v="7500"/>
    <n v="6303"/>
    <n v="1197"/>
  </r>
  <r>
    <x v="0"/>
    <x v="982"/>
    <x v="155"/>
    <x v="0"/>
    <x v="242"/>
    <n v="324"/>
    <n v="1"/>
    <n v="11000"/>
    <n v="11000"/>
    <n v="9244"/>
    <n v="1756"/>
  </r>
  <r>
    <x v="0"/>
    <x v="983"/>
    <x v="156"/>
    <x v="3"/>
    <x v="5"/>
    <n v="330"/>
    <n v="1"/>
    <n v="4800"/>
    <n v="4800"/>
    <n v="4034"/>
    <n v="766"/>
  </r>
  <r>
    <x v="0"/>
    <x v="983"/>
    <x v="156"/>
    <x v="3"/>
    <x v="5"/>
    <n v="7"/>
    <n v="1"/>
    <n v="7000"/>
    <n v="7000"/>
    <n v="5882"/>
    <n v="1118"/>
  </r>
  <r>
    <x v="0"/>
    <x v="983"/>
    <x v="156"/>
    <x v="3"/>
    <x v="5"/>
    <n v="329"/>
    <n v="1"/>
    <n v="6000"/>
    <n v="6000"/>
    <n v="5042"/>
    <n v="958"/>
  </r>
  <r>
    <x v="0"/>
    <x v="984"/>
    <x v="156"/>
    <x v="3"/>
    <x v="79"/>
    <n v="329"/>
    <n v="1"/>
    <n v="6000"/>
    <n v="6000"/>
    <n v="5042"/>
    <n v="958"/>
  </r>
  <r>
    <x v="0"/>
    <x v="984"/>
    <x v="156"/>
    <x v="3"/>
    <x v="79"/>
    <n v="143"/>
    <n v="1"/>
    <n v="8200"/>
    <n v="8200"/>
    <n v="6891"/>
    <n v="1309"/>
  </r>
  <r>
    <x v="0"/>
    <x v="985"/>
    <x v="156"/>
    <x v="3"/>
    <x v="243"/>
    <n v="354"/>
    <n v="1"/>
    <n v="1800"/>
    <n v="1800"/>
    <n v="1513"/>
    <n v="287"/>
  </r>
  <r>
    <x v="0"/>
    <x v="985"/>
    <x v="156"/>
    <x v="3"/>
    <x v="243"/>
    <n v="295"/>
    <n v="2"/>
    <n v="41799"/>
    <n v="83598"/>
    <n v="70250"/>
    <n v="13348"/>
  </r>
  <r>
    <x v="0"/>
    <x v="985"/>
    <x v="156"/>
    <x v="3"/>
    <x v="243"/>
    <n v="112"/>
    <n v="2"/>
    <n v="-800"/>
    <n v="-1600"/>
    <n v="-1345"/>
    <n v="-255"/>
  </r>
  <r>
    <x v="0"/>
    <x v="985"/>
    <x v="156"/>
    <x v="3"/>
    <x v="243"/>
    <n v="283"/>
    <n v="1"/>
    <n v="7600"/>
    <n v="7600"/>
    <n v="6387"/>
    <n v="1213"/>
  </r>
  <r>
    <x v="0"/>
    <x v="986"/>
    <x v="156"/>
    <x v="3"/>
    <x v="45"/>
    <n v="329"/>
    <n v="1"/>
    <n v="6000"/>
    <n v="6000"/>
    <n v="5042"/>
    <n v="958"/>
  </r>
  <r>
    <x v="0"/>
    <x v="987"/>
    <x v="156"/>
    <x v="3"/>
    <x v="27"/>
    <n v="143"/>
    <n v="2"/>
    <n v="16400"/>
    <n v="32800"/>
    <n v="27563"/>
    <n v="5237"/>
  </r>
  <r>
    <x v="0"/>
    <x v="987"/>
    <x v="156"/>
    <x v="3"/>
    <x v="27"/>
    <n v="324"/>
    <n v="1"/>
    <n v="11000"/>
    <n v="11000"/>
    <n v="9244"/>
    <n v="1756"/>
  </r>
  <r>
    <x v="0"/>
    <x v="988"/>
    <x v="156"/>
    <x v="3"/>
    <x v="64"/>
    <n v="329"/>
    <n v="1"/>
    <n v="6000"/>
    <n v="6000"/>
    <n v="5042"/>
    <n v="958"/>
  </r>
  <r>
    <x v="0"/>
    <x v="988"/>
    <x v="156"/>
    <x v="3"/>
    <x v="64"/>
    <n v="143"/>
    <n v="1"/>
    <n v="8200"/>
    <n v="8200"/>
    <n v="6891"/>
    <n v="1309"/>
  </r>
  <r>
    <x v="0"/>
    <x v="989"/>
    <x v="157"/>
    <x v="0"/>
    <x v="244"/>
    <n v="122"/>
    <n v="1"/>
    <n v="6000"/>
    <n v="6000"/>
    <n v="5042"/>
    <n v="958"/>
  </r>
  <r>
    <x v="0"/>
    <x v="989"/>
    <x v="157"/>
    <x v="0"/>
    <x v="244"/>
    <n v="387"/>
    <n v="1"/>
    <n v="1500"/>
    <n v="1500"/>
    <n v="1261"/>
    <n v="239"/>
  </r>
  <r>
    <x v="0"/>
    <x v="989"/>
    <x v="157"/>
    <x v="0"/>
    <x v="244"/>
    <n v="298"/>
    <n v="1"/>
    <n v="2500"/>
    <n v="2500"/>
    <n v="2101"/>
    <n v="399"/>
  </r>
  <r>
    <x v="0"/>
    <x v="990"/>
    <x v="157"/>
    <x v="0"/>
    <x v="101"/>
    <n v="231"/>
    <n v="1"/>
    <n v="20900"/>
    <n v="20900"/>
    <n v="17563"/>
    <n v="3337"/>
  </r>
  <r>
    <x v="0"/>
    <x v="991"/>
    <x v="157"/>
    <x v="0"/>
    <x v="73"/>
    <n v="293"/>
    <n v="1"/>
    <n v="10000"/>
    <n v="10000"/>
    <n v="8403"/>
    <n v="1597"/>
  </r>
  <r>
    <x v="0"/>
    <x v="991"/>
    <x v="157"/>
    <x v="0"/>
    <x v="73"/>
    <n v="370"/>
    <n v="1"/>
    <n v="4000"/>
    <n v="4000"/>
    <n v="3361"/>
    <n v="639"/>
  </r>
  <r>
    <x v="0"/>
    <x v="991"/>
    <x v="157"/>
    <x v="0"/>
    <x v="73"/>
    <n v="118"/>
    <n v="1"/>
    <n v="3500"/>
    <n v="3500"/>
    <n v="2941"/>
    <n v="559"/>
  </r>
  <r>
    <x v="0"/>
    <x v="991"/>
    <x v="157"/>
    <x v="0"/>
    <x v="73"/>
    <n v="32"/>
    <n v="1"/>
    <n v="6500"/>
    <n v="6500"/>
    <n v="5462"/>
    <n v="1038"/>
  </r>
  <r>
    <x v="0"/>
    <x v="991"/>
    <x v="157"/>
    <x v="0"/>
    <x v="73"/>
    <n v="157"/>
    <n v="1"/>
    <n v="4300"/>
    <n v="4300"/>
    <n v="3613"/>
    <n v="687"/>
  </r>
  <r>
    <x v="0"/>
    <x v="991"/>
    <x v="157"/>
    <x v="0"/>
    <x v="73"/>
    <n v="143"/>
    <n v="1"/>
    <n v="8200"/>
    <n v="8200"/>
    <n v="6891"/>
    <n v="1309"/>
  </r>
  <r>
    <x v="0"/>
    <x v="991"/>
    <x v="157"/>
    <x v="0"/>
    <x v="73"/>
    <n v="324"/>
    <n v="1"/>
    <n v="11000"/>
    <n v="11000"/>
    <n v="9244"/>
    <n v="1756"/>
  </r>
  <r>
    <x v="0"/>
    <x v="991"/>
    <x v="157"/>
    <x v="0"/>
    <x v="73"/>
    <n v="29"/>
    <n v="2"/>
    <n v="2000"/>
    <n v="4000"/>
    <n v="3361"/>
    <n v="639"/>
  </r>
  <r>
    <x v="0"/>
    <x v="992"/>
    <x v="157"/>
    <x v="0"/>
    <x v="91"/>
    <n v="324"/>
    <n v="4"/>
    <n v="44000"/>
    <n v="176000"/>
    <n v="147899"/>
    <n v="28101"/>
  </r>
  <r>
    <x v="0"/>
    <x v="992"/>
    <x v="157"/>
    <x v="0"/>
    <x v="91"/>
    <n v="7"/>
    <n v="3"/>
    <n v="21000"/>
    <n v="63000"/>
    <n v="52941"/>
    <n v="10059"/>
  </r>
  <r>
    <x v="0"/>
    <x v="992"/>
    <x v="157"/>
    <x v="0"/>
    <x v="91"/>
    <n v="319"/>
    <n v="1"/>
    <n v="3000"/>
    <n v="3000"/>
    <n v="2521"/>
    <n v="479"/>
  </r>
  <r>
    <x v="0"/>
    <x v="992"/>
    <x v="157"/>
    <x v="0"/>
    <x v="91"/>
    <n v="261"/>
    <n v="3"/>
    <n v="21000"/>
    <n v="63000"/>
    <n v="52941"/>
    <n v="10059"/>
  </r>
  <r>
    <x v="0"/>
    <x v="992"/>
    <x v="157"/>
    <x v="0"/>
    <x v="91"/>
    <n v="143"/>
    <n v="1"/>
    <n v="8200"/>
    <n v="8200"/>
    <n v="6891"/>
    <n v="1309"/>
  </r>
  <r>
    <x v="0"/>
    <x v="993"/>
    <x v="158"/>
    <x v="0"/>
    <x v="245"/>
    <n v="28"/>
    <n v="1"/>
    <n v="16000"/>
    <n v="16000"/>
    <n v="13445"/>
    <n v="2555"/>
  </r>
  <r>
    <x v="0"/>
    <x v="994"/>
    <x v="158"/>
    <x v="0"/>
    <x v="15"/>
    <n v="324"/>
    <n v="1"/>
    <n v="11000"/>
    <n v="11000"/>
    <n v="9244"/>
    <n v="1756"/>
  </r>
  <r>
    <x v="0"/>
    <x v="994"/>
    <x v="158"/>
    <x v="0"/>
    <x v="15"/>
    <n v="329"/>
    <n v="1"/>
    <n v="6000"/>
    <n v="6000"/>
    <n v="5042"/>
    <n v="958"/>
  </r>
  <r>
    <x v="0"/>
    <x v="995"/>
    <x v="158"/>
    <x v="0"/>
    <x v="18"/>
    <n v="329"/>
    <n v="1"/>
    <n v="6000"/>
    <n v="6000"/>
    <n v="5042"/>
    <n v="958"/>
  </r>
  <r>
    <x v="0"/>
    <x v="996"/>
    <x v="158"/>
    <x v="0"/>
    <x v="211"/>
    <n v="232"/>
    <n v="1"/>
    <n v="12500"/>
    <n v="12500"/>
    <n v="10504"/>
    <n v="1996"/>
  </r>
  <r>
    <x v="0"/>
    <x v="996"/>
    <x v="158"/>
    <x v="0"/>
    <x v="211"/>
    <n v="368"/>
    <n v="1"/>
    <n v="3000"/>
    <n v="3000"/>
    <n v="2521"/>
    <n v="479"/>
  </r>
  <r>
    <x v="0"/>
    <x v="996"/>
    <x v="158"/>
    <x v="0"/>
    <x v="211"/>
    <n v="354"/>
    <n v="1"/>
    <n v="1800"/>
    <n v="1800"/>
    <n v="1513"/>
    <n v="287"/>
  </r>
  <r>
    <x v="0"/>
    <x v="997"/>
    <x v="158"/>
    <x v="0"/>
    <x v="5"/>
    <n v="117"/>
    <n v="1"/>
    <n v="3500"/>
    <n v="3500"/>
    <n v="2941"/>
    <n v="559"/>
  </r>
  <r>
    <x v="0"/>
    <x v="998"/>
    <x v="158"/>
    <x v="0"/>
    <x v="175"/>
    <n v="51"/>
    <n v="1"/>
    <n v="4200"/>
    <n v="4200"/>
    <n v="3529"/>
    <n v="671"/>
  </r>
  <r>
    <x v="0"/>
    <x v="999"/>
    <x v="158"/>
    <x v="0"/>
    <x v="26"/>
    <n v="118"/>
    <n v="1"/>
    <n v="3500"/>
    <n v="3500"/>
    <n v="2941"/>
    <n v="559"/>
  </r>
  <r>
    <x v="0"/>
    <x v="999"/>
    <x v="158"/>
    <x v="0"/>
    <x v="26"/>
    <n v="157"/>
    <n v="1"/>
    <n v="4300"/>
    <n v="4300"/>
    <n v="3613"/>
    <n v="687"/>
  </r>
  <r>
    <x v="0"/>
    <x v="999"/>
    <x v="158"/>
    <x v="0"/>
    <x v="26"/>
    <n v="31"/>
    <n v="2"/>
    <n v="6800"/>
    <n v="13600"/>
    <n v="11429"/>
    <n v="2171"/>
  </r>
  <r>
    <x v="0"/>
    <x v="999"/>
    <x v="158"/>
    <x v="0"/>
    <x v="26"/>
    <n v="143"/>
    <n v="1"/>
    <n v="8200"/>
    <n v="8200"/>
    <n v="6891"/>
    <n v="1309"/>
  </r>
  <r>
    <x v="0"/>
    <x v="1000"/>
    <x v="158"/>
    <x v="0"/>
    <x v="29"/>
    <n v="261"/>
    <n v="1"/>
    <n v="7000"/>
    <n v="7000"/>
    <n v="5882"/>
    <n v="1118"/>
  </r>
  <r>
    <x v="0"/>
    <x v="1001"/>
    <x v="159"/>
    <x v="0"/>
    <x v="174"/>
    <n v="320"/>
    <n v="2"/>
    <n v="24000"/>
    <n v="48000"/>
    <n v="40336"/>
    <n v="7664"/>
  </r>
  <r>
    <x v="0"/>
    <x v="1001"/>
    <x v="159"/>
    <x v="0"/>
    <x v="174"/>
    <n v="323"/>
    <n v="1"/>
    <n v="3250"/>
    <n v="3250"/>
    <n v="2731"/>
    <n v="519"/>
  </r>
  <r>
    <x v="0"/>
    <x v="1001"/>
    <x v="159"/>
    <x v="0"/>
    <x v="174"/>
    <n v="143"/>
    <n v="1"/>
    <n v="8200"/>
    <n v="8200"/>
    <n v="6891"/>
    <n v="1309"/>
  </r>
  <r>
    <x v="0"/>
    <x v="1002"/>
    <x v="159"/>
    <x v="0"/>
    <x v="105"/>
    <n v="329"/>
    <n v="1"/>
    <n v="6000"/>
    <n v="6000"/>
    <n v="5042"/>
    <n v="958"/>
  </r>
  <r>
    <x v="0"/>
    <x v="1002"/>
    <x v="159"/>
    <x v="0"/>
    <x v="105"/>
    <n v="354"/>
    <n v="1"/>
    <n v="1800"/>
    <n v="1800"/>
    <n v="1513"/>
    <n v="287"/>
  </r>
  <r>
    <x v="0"/>
    <x v="1003"/>
    <x v="160"/>
    <x v="0"/>
    <x v="84"/>
    <n v="324"/>
    <n v="1"/>
    <n v="11000"/>
    <n v="11000"/>
    <n v="9244"/>
    <n v="1756"/>
  </r>
  <r>
    <x v="0"/>
    <x v="1004"/>
    <x v="160"/>
    <x v="0"/>
    <x v="0"/>
    <n v="324"/>
    <n v="1"/>
    <n v="11000"/>
    <n v="11000"/>
    <n v="9244"/>
    <n v="1756"/>
  </r>
  <r>
    <x v="0"/>
    <x v="1004"/>
    <x v="160"/>
    <x v="0"/>
    <x v="0"/>
    <n v="143"/>
    <n v="1"/>
    <n v="8200"/>
    <n v="8200"/>
    <n v="6891"/>
    <n v="1309"/>
  </r>
  <r>
    <x v="0"/>
    <x v="1005"/>
    <x v="160"/>
    <x v="0"/>
    <x v="37"/>
    <n v="143"/>
    <n v="1"/>
    <n v="8200"/>
    <n v="8200"/>
    <n v="6891"/>
    <n v="1309"/>
  </r>
  <r>
    <x v="0"/>
    <x v="1006"/>
    <x v="160"/>
    <x v="0"/>
    <x v="5"/>
    <n v="259"/>
    <n v="1"/>
    <n v="4500"/>
    <n v="4500"/>
    <n v="3782"/>
    <n v="718"/>
  </r>
  <r>
    <x v="0"/>
    <x v="1007"/>
    <x v="160"/>
    <x v="0"/>
    <x v="246"/>
    <n v="231"/>
    <n v="1"/>
    <n v="20900"/>
    <n v="20900"/>
    <n v="17563"/>
    <n v="3337"/>
  </r>
  <r>
    <x v="0"/>
    <x v="1007"/>
    <x v="160"/>
    <x v="0"/>
    <x v="246"/>
    <n v="277"/>
    <n v="1"/>
    <n v="10000"/>
    <n v="10000"/>
    <n v="8403"/>
    <n v="1597"/>
  </r>
  <r>
    <x v="0"/>
    <x v="1008"/>
    <x v="160"/>
    <x v="0"/>
    <x v="21"/>
    <n v="143"/>
    <n v="1"/>
    <n v="8200"/>
    <n v="8200"/>
    <n v="6891"/>
    <n v="1309"/>
  </r>
  <r>
    <x v="0"/>
    <x v="1008"/>
    <x v="160"/>
    <x v="0"/>
    <x v="21"/>
    <n v="324"/>
    <n v="1"/>
    <n v="11000"/>
    <n v="11000"/>
    <n v="9244"/>
    <n v="1756"/>
  </r>
  <r>
    <x v="0"/>
    <x v="1009"/>
    <x v="160"/>
    <x v="0"/>
    <x v="72"/>
    <n v="117"/>
    <n v="4"/>
    <n v="14000"/>
    <n v="56000"/>
    <n v="47059"/>
    <n v="8941"/>
  </r>
  <r>
    <x v="0"/>
    <x v="1009"/>
    <x v="160"/>
    <x v="0"/>
    <x v="72"/>
    <n v="97"/>
    <n v="1"/>
    <n v="2000"/>
    <n v="2000"/>
    <n v="1681"/>
    <n v="319"/>
  </r>
  <r>
    <x v="0"/>
    <x v="1009"/>
    <x v="160"/>
    <x v="0"/>
    <x v="72"/>
    <n v="157"/>
    <n v="1"/>
    <n v="4300"/>
    <n v="4300"/>
    <n v="3613"/>
    <n v="687"/>
  </r>
  <r>
    <x v="0"/>
    <x v="1010"/>
    <x v="160"/>
    <x v="0"/>
    <x v="185"/>
    <n v="98"/>
    <n v="1"/>
    <n v="3500"/>
    <n v="3500"/>
    <n v="2941"/>
    <n v="559"/>
  </r>
  <r>
    <x v="0"/>
    <x v="1011"/>
    <x v="160"/>
    <x v="0"/>
    <x v="16"/>
    <n v="233"/>
    <n v="2"/>
    <n v="31980"/>
    <n v="63960"/>
    <n v="53748"/>
    <n v="10212"/>
  </r>
  <r>
    <x v="0"/>
    <x v="1011"/>
    <x v="160"/>
    <x v="0"/>
    <x v="16"/>
    <n v="7"/>
    <n v="1"/>
    <n v="7000"/>
    <n v="7000"/>
    <n v="5882"/>
    <n v="1118"/>
  </r>
  <r>
    <x v="0"/>
    <x v="1011"/>
    <x v="160"/>
    <x v="0"/>
    <x v="16"/>
    <n v="97"/>
    <n v="1"/>
    <n v="2000"/>
    <n v="2000"/>
    <n v="1681"/>
    <n v="319"/>
  </r>
  <r>
    <x v="0"/>
    <x v="1011"/>
    <x v="160"/>
    <x v="0"/>
    <x v="16"/>
    <n v="98"/>
    <n v="1"/>
    <n v="3500"/>
    <n v="3500"/>
    <n v="2941"/>
    <n v="559"/>
  </r>
  <r>
    <x v="0"/>
    <x v="1011"/>
    <x v="160"/>
    <x v="0"/>
    <x v="16"/>
    <n v="361"/>
    <n v="1"/>
    <n v="3500"/>
    <n v="3500"/>
    <n v="2941"/>
    <n v="559"/>
  </r>
  <r>
    <x v="0"/>
    <x v="1011"/>
    <x v="160"/>
    <x v="0"/>
    <x v="16"/>
    <n v="225"/>
    <n v="1"/>
    <n v="19500"/>
    <n v="19500"/>
    <n v="16387"/>
    <n v="3113"/>
  </r>
  <r>
    <x v="0"/>
    <x v="1012"/>
    <x v="160"/>
    <x v="0"/>
    <x v="208"/>
    <n v="143"/>
    <n v="1"/>
    <n v="8200"/>
    <n v="8200"/>
    <n v="6891"/>
    <n v="1309"/>
  </r>
  <r>
    <x v="0"/>
    <x v="1012"/>
    <x v="160"/>
    <x v="0"/>
    <x v="208"/>
    <n v="230"/>
    <n v="1"/>
    <n v="16500"/>
    <n v="16500"/>
    <n v="13866"/>
    <n v="2634"/>
  </r>
  <r>
    <x v="0"/>
    <x v="1013"/>
    <x v="160"/>
    <x v="0"/>
    <x v="127"/>
    <n v="167"/>
    <n v="1"/>
    <n v="8200"/>
    <n v="8200"/>
    <n v="6891"/>
    <n v="1309"/>
  </r>
  <r>
    <x v="0"/>
    <x v="1014"/>
    <x v="161"/>
    <x v="0"/>
    <x v="165"/>
    <n v="143"/>
    <n v="2"/>
    <n v="16400"/>
    <n v="32800"/>
    <n v="27563"/>
    <n v="5237"/>
  </r>
  <r>
    <x v="0"/>
    <x v="1015"/>
    <x v="161"/>
    <x v="0"/>
    <x v="247"/>
    <n v="324"/>
    <n v="1"/>
    <n v="11000"/>
    <n v="11000"/>
    <n v="9244"/>
    <n v="1756"/>
  </r>
  <r>
    <x v="0"/>
    <x v="1016"/>
    <x v="161"/>
    <x v="0"/>
    <x v="84"/>
    <n v="324"/>
    <n v="1"/>
    <n v="11000"/>
    <n v="11000"/>
    <n v="9244"/>
    <n v="1756"/>
  </r>
  <r>
    <x v="0"/>
    <x v="1016"/>
    <x v="161"/>
    <x v="0"/>
    <x v="84"/>
    <n v="329"/>
    <n v="1"/>
    <n v="6000"/>
    <n v="6000"/>
    <n v="5042"/>
    <n v="958"/>
  </r>
  <r>
    <x v="0"/>
    <x v="1017"/>
    <x v="161"/>
    <x v="0"/>
    <x v="184"/>
    <n v="324"/>
    <n v="1"/>
    <n v="11000"/>
    <n v="11000"/>
    <n v="9244"/>
    <n v="1756"/>
  </r>
  <r>
    <x v="0"/>
    <x v="1018"/>
    <x v="161"/>
    <x v="0"/>
    <x v="5"/>
    <n v="324"/>
    <n v="1"/>
    <n v="11000"/>
    <n v="11000"/>
    <n v="9244"/>
    <n v="1756"/>
  </r>
  <r>
    <x v="0"/>
    <x v="1019"/>
    <x v="161"/>
    <x v="0"/>
    <x v="246"/>
    <n v="290"/>
    <n v="1"/>
    <n v="1200"/>
    <n v="1200"/>
    <n v="1008"/>
    <n v="192"/>
  </r>
  <r>
    <x v="0"/>
    <x v="1020"/>
    <x v="161"/>
    <x v="0"/>
    <x v="38"/>
    <n v="324"/>
    <n v="1"/>
    <n v="11000"/>
    <n v="11000"/>
    <n v="9244"/>
    <n v="1756"/>
  </r>
  <r>
    <x v="0"/>
    <x v="1021"/>
    <x v="161"/>
    <x v="0"/>
    <x v="196"/>
    <n v="7"/>
    <n v="1"/>
    <n v="7000"/>
    <n v="7000"/>
    <n v="5882"/>
    <n v="1118"/>
  </r>
  <r>
    <x v="0"/>
    <x v="1021"/>
    <x v="161"/>
    <x v="0"/>
    <x v="196"/>
    <n v="331"/>
    <n v="1"/>
    <n v="3700"/>
    <n v="3700"/>
    <n v="3109"/>
    <n v="591"/>
  </r>
  <r>
    <x v="0"/>
    <x v="1021"/>
    <x v="161"/>
    <x v="0"/>
    <x v="196"/>
    <n v="263"/>
    <n v="1"/>
    <n v="8000"/>
    <n v="8000"/>
    <n v="6723"/>
    <n v="1277"/>
  </r>
  <r>
    <x v="0"/>
    <x v="1022"/>
    <x v="161"/>
    <x v="0"/>
    <x v="59"/>
    <n v="329"/>
    <n v="1"/>
    <n v="6000"/>
    <n v="6000"/>
    <n v="5042"/>
    <n v="958"/>
  </r>
  <r>
    <x v="0"/>
    <x v="1022"/>
    <x v="161"/>
    <x v="0"/>
    <x v="59"/>
    <n v="143"/>
    <n v="1"/>
    <n v="8200"/>
    <n v="8200"/>
    <n v="6891"/>
    <n v="1309"/>
  </r>
  <r>
    <x v="0"/>
    <x v="1023"/>
    <x v="162"/>
    <x v="0"/>
    <x v="203"/>
    <n v="143"/>
    <n v="1"/>
    <n v="8200"/>
    <n v="8200"/>
    <n v="6891"/>
    <n v="1309"/>
  </r>
  <r>
    <x v="0"/>
    <x v="1024"/>
    <x v="162"/>
    <x v="0"/>
    <x v="34"/>
    <n v="120"/>
    <n v="1"/>
    <n v="1700"/>
    <n v="1700"/>
    <n v="1429"/>
    <n v="271"/>
  </r>
  <r>
    <x v="0"/>
    <x v="1025"/>
    <x v="162"/>
    <x v="0"/>
    <x v="46"/>
    <n v="324"/>
    <n v="1"/>
    <n v="11000"/>
    <n v="11000"/>
    <n v="9244"/>
    <n v="1756"/>
  </r>
  <r>
    <x v="0"/>
    <x v="1026"/>
    <x v="162"/>
    <x v="1"/>
    <x v="119"/>
    <n v="329"/>
    <n v="1"/>
    <n v="6000"/>
    <n v="6000"/>
    <n v="5042"/>
    <n v="958"/>
  </r>
  <r>
    <x v="0"/>
    <x v="1027"/>
    <x v="162"/>
    <x v="0"/>
    <x v="58"/>
    <n v="231"/>
    <n v="1"/>
    <n v="20900"/>
    <n v="20900"/>
    <n v="17563"/>
    <n v="3337"/>
  </r>
  <r>
    <x v="0"/>
    <x v="1027"/>
    <x v="162"/>
    <x v="0"/>
    <x v="58"/>
    <n v="67"/>
    <n v="1"/>
    <n v="650"/>
    <n v="650"/>
    <n v="546"/>
    <n v="104"/>
  </r>
  <r>
    <x v="0"/>
    <x v="1028"/>
    <x v="163"/>
    <x v="0"/>
    <x v="41"/>
    <n v="231"/>
    <n v="1"/>
    <n v="20900"/>
    <n v="20900"/>
    <n v="17563"/>
    <n v="3337"/>
  </r>
  <r>
    <x v="0"/>
    <x v="1029"/>
    <x v="163"/>
    <x v="0"/>
    <x v="17"/>
    <n v="324"/>
    <n v="1"/>
    <n v="11000"/>
    <n v="11000"/>
    <n v="9244"/>
    <n v="1756"/>
  </r>
  <r>
    <x v="0"/>
    <x v="1030"/>
    <x v="163"/>
    <x v="0"/>
    <x v="4"/>
    <n v="143"/>
    <n v="1"/>
    <n v="8200"/>
    <n v="8200"/>
    <n v="6891"/>
    <n v="1309"/>
  </r>
  <r>
    <x v="0"/>
    <x v="1031"/>
    <x v="163"/>
    <x v="0"/>
    <x v="36"/>
    <n v="261"/>
    <n v="1"/>
    <n v="7000"/>
    <n v="7000"/>
    <n v="5882"/>
    <n v="1118"/>
  </r>
  <r>
    <x v="0"/>
    <x v="1031"/>
    <x v="163"/>
    <x v="0"/>
    <x v="36"/>
    <n v="143"/>
    <n v="2"/>
    <n v="16400"/>
    <n v="32800"/>
    <n v="27563"/>
    <n v="5237"/>
  </r>
  <r>
    <x v="0"/>
    <x v="1031"/>
    <x v="163"/>
    <x v="0"/>
    <x v="36"/>
    <n v="118"/>
    <n v="1"/>
    <n v="3500"/>
    <n v="3500"/>
    <n v="2941"/>
    <n v="559"/>
  </r>
  <r>
    <x v="0"/>
    <x v="1032"/>
    <x v="163"/>
    <x v="0"/>
    <x v="248"/>
    <n v="223"/>
    <n v="1"/>
    <n v="24000"/>
    <n v="24000"/>
    <n v="20168"/>
    <n v="3832"/>
  </r>
  <r>
    <x v="0"/>
    <x v="1033"/>
    <x v="163"/>
    <x v="0"/>
    <x v="25"/>
    <n v="261"/>
    <n v="1"/>
    <n v="7000"/>
    <n v="7000"/>
    <n v="5882"/>
    <n v="1118"/>
  </r>
  <r>
    <x v="0"/>
    <x v="1034"/>
    <x v="163"/>
    <x v="0"/>
    <x v="81"/>
    <n v="261"/>
    <n v="1"/>
    <n v="7000"/>
    <n v="7000"/>
    <n v="5882"/>
    <n v="1118"/>
  </r>
  <r>
    <x v="0"/>
    <x v="1035"/>
    <x v="163"/>
    <x v="0"/>
    <x v="249"/>
    <n v="329"/>
    <n v="1"/>
    <n v="6000"/>
    <n v="6000"/>
    <n v="5042"/>
    <n v="958"/>
  </r>
  <r>
    <x v="0"/>
    <x v="1036"/>
    <x v="164"/>
    <x v="0"/>
    <x v="181"/>
    <n v="324"/>
    <n v="1"/>
    <n v="11000"/>
    <n v="11000"/>
    <n v="9244"/>
    <n v="1756"/>
  </r>
  <r>
    <x v="0"/>
    <x v="1036"/>
    <x v="164"/>
    <x v="0"/>
    <x v="181"/>
    <n v="143"/>
    <n v="1"/>
    <n v="8200"/>
    <n v="8200"/>
    <n v="6891"/>
    <n v="1309"/>
  </r>
  <r>
    <x v="0"/>
    <x v="1036"/>
    <x v="164"/>
    <x v="0"/>
    <x v="181"/>
    <n v="382"/>
    <n v="2"/>
    <n v="5200"/>
    <n v="10400"/>
    <n v="8739"/>
    <n v="1661"/>
  </r>
  <r>
    <x v="0"/>
    <x v="1036"/>
    <x v="164"/>
    <x v="0"/>
    <x v="181"/>
    <n v="155"/>
    <n v="1"/>
    <n v="1650"/>
    <n v="1650"/>
    <n v="1387"/>
    <n v="263"/>
  </r>
  <r>
    <x v="0"/>
    <x v="1036"/>
    <x v="164"/>
    <x v="0"/>
    <x v="181"/>
    <n v="332"/>
    <n v="1"/>
    <n v="2600"/>
    <n v="2600"/>
    <n v="2185"/>
    <n v="415"/>
  </r>
  <r>
    <x v="0"/>
    <x v="1036"/>
    <x v="164"/>
    <x v="0"/>
    <x v="181"/>
    <n v="57"/>
    <n v="1"/>
    <n v="4000"/>
    <n v="4000"/>
    <n v="3361"/>
    <n v="639"/>
  </r>
  <r>
    <x v="0"/>
    <x v="1036"/>
    <x v="164"/>
    <x v="0"/>
    <x v="181"/>
    <n v="230"/>
    <n v="1"/>
    <n v="16500"/>
    <n v="16500"/>
    <n v="13866"/>
    <n v="2634"/>
  </r>
  <r>
    <x v="0"/>
    <x v="1036"/>
    <x v="164"/>
    <x v="0"/>
    <x v="181"/>
    <n v="368"/>
    <n v="1"/>
    <n v="3000"/>
    <n v="3000"/>
    <n v="2521"/>
    <n v="479"/>
  </r>
  <r>
    <x v="0"/>
    <x v="1036"/>
    <x v="164"/>
    <x v="0"/>
    <x v="181"/>
    <n v="354"/>
    <n v="1"/>
    <n v="1800"/>
    <n v="1800"/>
    <n v="1513"/>
    <n v="287"/>
  </r>
  <r>
    <x v="0"/>
    <x v="1036"/>
    <x v="164"/>
    <x v="0"/>
    <x v="181"/>
    <n v="116"/>
    <n v="1"/>
    <n v="1600"/>
    <n v="1600"/>
    <n v="1345"/>
    <n v="255"/>
  </r>
  <r>
    <x v="0"/>
    <x v="1036"/>
    <x v="164"/>
    <x v="0"/>
    <x v="181"/>
    <n v="115"/>
    <n v="1"/>
    <n v="1600"/>
    <n v="1600"/>
    <n v="1345"/>
    <n v="255"/>
  </r>
  <r>
    <x v="0"/>
    <x v="1036"/>
    <x v="164"/>
    <x v="0"/>
    <x v="181"/>
    <n v="29"/>
    <n v="1"/>
    <n v="1000"/>
    <n v="1000"/>
    <n v="840"/>
    <n v="160"/>
  </r>
  <r>
    <x v="0"/>
    <x v="1036"/>
    <x v="164"/>
    <x v="0"/>
    <x v="181"/>
    <n v="67"/>
    <n v="2"/>
    <n v="1300"/>
    <n v="2600"/>
    <n v="2185"/>
    <n v="415"/>
  </r>
  <r>
    <x v="0"/>
    <x v="1036"/>
    <x v="164"/>
    <x v="0"/>
    <x v="181"/>
    <n v="68"/>
    <n v="2"/>
    <n v="2400"/>
    <n v="4800"/>
    <n v="4034"/>
    <n v="766"/>
  </r>
  <r>
    <x v="0"/>
    <x v="1037"/>
    <x v="164"/>
    <x v="0"/>
    <x v="1"/>
    <n v="27"/>
    <n v="1"/>
    <n v="8700"/>
    <n v="8700"/>
    <n v="7311"/>
    <n v="1389"/>
  </r>
  <r>
    <x v="0"/>
    <x v="1038"/>
    <x v="164"/>
    <x v="0"/>
    <x v="24"/>
    <n v="230"/>
    <n v="1"/>
    <n v="16500"/>
    <n v="16500"/>
    <n v="13866"/>
    <n v="2634"/>
  </r>
  <r>
    <x v="0"/>
    <x v="1038"/>
    <x v="164"/>
    <x v="0"/>
    <x v="24"/>
    <n v="29"/>
    <n v="1"/>
    <n v="1000"/>
    <n v="1000"/>
    <n v="840"/>
    <n v="160"/>
  </r>
  <r>
    <x v="0"/>
    <x v="1038"/>
    <x v="164"/>
    <x v="0"/>
    <x v="24"/>
    <n v="120"/>
    <n v="2"/>
    <n v="3400"/>
    <n v="6800"/>
    <n v="5714"/>
    <n v="1086"/>
  </r>
  <r>
    <x v="0"/>
    <x v="1038"/>
    <x v="164"/>
    <x v="0"/>
    <x v="24"/>
    <n v="285"/>
    <n v="1"/>
    <n v="3000"/>
    <n v="3000"/>
    <n v="2521"/>
    <n v="479"/>
  </r>
  <r>
    <x v="0"/>
    <x v="1038"/>
    <x v="164"/>
    <x v="0"/>
    <x v="24"/>
    <n v="329"/>
    <n v="1"/>
    <n v="6000"/>
    <n v="6000"/>
    <n v="5042"/>
    <n v="958"/>
  </r>
  <r>
    <x v="0"/>
    <x v="1038"/>
    <x v="164"/>
    <x v="0"/>
    <x v="24"/>
    <n v="165"/>
    <n v="1"/>
    <n v="2000"/>
    <n v="2000"/>
    <n v="1681"/>
    <n v="319"/>
  </r>
  <r>
    <x v="0"/>
    <x v="1039"/>
    <x v="164"/>
    <x v="0"/>
    <x v="8"/>
    <n v="324"/>
    <n v="1"/>
    <n v="11000"/>
    <n v="11000"/>
    <n v="9244"/>
    <n v="1756"/>
  </r>
  <r>
    <x v="0"/>
    <x v="1040"/>
    <x v="164"/>
    <x v="0"/>
    <x v="119"/>
    <n v="167"/>
    <n v="1"/>
    <n v="8200"/>
    <n v="8200"/>
    <n v="6891"/>
    <n v="1309"/>
  </r>
  <r>
    <x v="0"/>
    <x v="1041"/>
    <x v="164"/>
    <x v="0"/>
    <x v="61"/>
    <n v="329"/>
    <n v="1"/>
    <n v="6000"/>
    <n v="6000"/>
    <n v="5042"/>
    <n v="958"/>
  </r>
  <r>
    <x v="0"/>
    <x v="1041"/>
    <x v="164"/>
    <x v="0"/>
    <x v="61"/>
    <n v="143"/>
    <n v="1"/>
    <n v="8200"/>
    <n v="8200"/>
    <n v="6891"/>
    <n v="1309"/>
  </r>
  <r>
    <x v="0"/>
    <x v="1042"/>
    <x v="165"/>
    <x v="0"/>
    <x v="41"/>
    <n v="324"/>
    <n v="1"/>
    <n v="11000"/>
    <n v="11000"/>
    <n v="9244"/>
    <n v="1756"/>
  </r>
  <r>
    <x v="0"/>
    <x v="1042"/>
    <x v="165"/>
    <x v="0"/>
    <x v="41"/>
    <n v="143"/>
    <n v="1"/>
    <n v="8200"/>
    <n v="8200"/>
    <n v="6891"/>
    <n v="1309"/>
  </r>
  <r>
    <x v="0"/>
    <x v="1043"/>
    <x v="165"/>
    <x v="0"/>
    <x v="29"/>
    <n v="143"/>
    <n v="1"/>
    <n v="8200"/>
    <n v="8200"/>
    <n v="6891"/>
    <n v="1309"/>
  </r>
  <r>
    <x v="0"/>
    <x v="1044"/>
    <x v="166"/>
    <x v="3"/>
    <x v="167"/>
    <n v="143"/>
    <n v="1"/>
    <n v="8200"/>
    <n v="8200"/>
    <n v="6891"/>
    <n v="1309"/>
  </r>
  <r>
    <x v="0"/>
    <x v="1045"/>
    <x v="166"/>
    <x v="3"/>
    <x v="13"/>
    <n v="368"/>
    <n v="2"/>
    <n v="6000"/>
    <n v="12000"/>
    <n v="10084"/>
    <n v="1916"/>
  </r>
  <r>
    <x v="0"/>
    <x v="1045"/>
    <x v="166"/>
    <x v="3"/>
    <x v="13"/>
    <n v="382"/>
    <n v="2"/>
    <n v="5200"/>
    <n v="10400"/>
    <n v="8739"/>
    <n v="1661"/>
  </r>
  <r>
    <x v="0"/>
    <x v="1045"/>
    <x v="166"/>
    <x v="3"/>
    <x v="13"/>
    <n v="230"/>
    <n v="1"/>
    <n v="16500"/>
    <n v="16500"/>
    <n v="13866"/>
    <n v="2634"/>
  </r>
  <r>
    <x v="0"/>
    <x v="1045"/>
    <x v="166"/>
    <x v="3"/>
    <x v="13"/>
    <n v="29"/>
    <n v="1"/>
    <n v="1000"/>
    <n v="1000"/>
    <n v="840"/>
    <n v="160"/>
  </r>
  <r>
    <x v="0"/>
    <x v="1046"/>
    <x v="166"/>
    <x v="0"/>
    <x v="214"/>
    <n v="324"/>
    <n v="1"/>
    <n v="11000"/>
    <n v="11000"/>
    <n v="9244"/>
    <n v="1756"/>
  </r>
  <r>
    <x v="0"/>
    <x v="1046"/>
    <x v="166"/>
    <x v="0"/>
    <x v="214"/>
    <n v="329"/>
    <n v="1"/>
    <n v="6000"/>
    <n v="6000"/>
    <n v="5042"/>
    <n v="958"/>
  </r>
  <r>
    <x v="0"/>
    <x v="1046"/>
    <x v="166"/>
    <x v="0"/>
    <x v="214"/>
    <n v="7"/>
    <n v="2"/>
    <n v="14000"/>
    <n v="28000"/>
    <n v="23529"/>
    <n v="4471"/>
  </r>
  <r>
    <x v="0"/>
    <x v="1047"/>
    <x v="166"/>
    <x v="3"/>
    <x v="113"/>
    <n v="117"/>
    <n v="2"/>
    <n v="7000"/>
    <n v="14000"/>
    <n v="11765"/>
    <n v="2235"/>
  </r>
  <r>
    <x v="0"/>
    <x v="1047"/>
    <x v="166"/>
    <x v="3"/>
    <x v="113"/>
    <n v="97"/>
    <n v="1"/>
    <n v="2000"/>
    <n v="2000"/>
    <n v="1681"/>
    <n v="319"/>
  </r>
  <r>
    <x v="0"/>
    <x v="1047"/>
    <x v="166"/>
    <x v="3"/>
    <x v="113"/>
    <n v="367"/>
    <n v="1"/>
    <n v="1500"/>
    <n v="1500"/>
    <n v="1261"/>
    <n v="239"/>
  </r>
  <r>
    <x v="0"/>
    <x v="1048"/>
    <x v="167"/>
    <x v="0"/>
    <x v="124"/>
    <n v="143"/>
    <n v="1"/>
    <n v="8200"/>
    <n v="8200"/>
    <n v="6891"/>
    <n v="1309"/>
  </r>
  <r>
    <x v="0"/>
    <x v="1049"/>
    <x v="167"/>
    <x v="0"/>
    <x v="9"/>
    <n v="69"/>
    <n v="1"/>
    <n v="3000"/>
    <n v="3000"/>
    <n v="2521"/>
    <n v="479"/>
  </r>
  <r>
    <x v="0"/>
    <x v="1049"/>
    <x v="167"/>
    <x v="0"/>
    <x v="9"/>
    <n v="368"/>
    <n v="1"/>
    <n v="3000"/>
    <n v="3000"/>
    <n v="2521"/>
    <n v="479"/>
  </r>
  <r>
    <x v="0"/>
    <x v="1049"/>
    <x v="167"/>
    <x v="0"/>
    <x v="9"/>
    <n v="100"/>
    <n v="1"/>
    <n v="1500"/>
    <n v="1500"/>
    <n v="1261"/>
    <n v="239"/>
  </r>
  <r>
    <x v="0"/>
    <x v="1050"/>
    <x v="167"/>
    <x v="0"/>
    <x v="215"/>
    <n v="231"/>
    <n v="1"/>
    <n v="20900"/>
    <n v="20900"/>
    <n v="17563"/>
    <n v="3337"/>
  </r>
  <r>
    <x v="0"/>
    <x v="1050"/>
    <x v="167"/>
    <x v="0"/>
    <x v="215"/>
    <n v="226"/>
    <n v="1"/>
    <n v="22500"/>
    <n v="22500"/>
    <n v="18908"/>
    <n v="3592"/>
  </r>
  <r>
    <x v="0"/>
    <x v="1051"/>
    <x v="168"/>
    <x v="1"/>
    <x v="4"/>
    <n v="164"/>
    <n v="1"/>
    <n v="3200"/>
    <n v="3200"/>
    <n v="2689"/>
    <n v="511"/>
  </r>
  <r>
    <x v="0"/>
    <x v="1051"/>
    <x v="168"/>
    <x v="1"/>
    <x v="4"/>
    <n v="157"/>
    <n v="1"/>
    <n v="4300"/>
    <n v="4300"/>
    <n v="3613"/>
    <n v="687"/>
  </r>
  <r>
    <x v="0"/>
    <x v="1051"/>
    <x v="168"/>
    <x v="1"/>
    <x v="4"/>
    <n v="162"/>
    <n v="1"/>
    <n v="1600"/>
    <n v="1600"/>
    <n v="1345"/>
    <n v="255"/>
  </r>
  <r>
    <x v="0"/>
    <x v="1051"/>
    <x v="168"/>
    <x v="1"/>
    <x v="4"/>
    <n v="276"/>
    <n v="1"/>
    <n v="8000"/>
    <n v="8000"/>
    <n v="6723"/>
    <n v="1277"/>
  </r>
  <r>
    <x v="0"/>
    <x v="1051"/>
    <x v="168"/>
    <x v="1"/>
    <x v="4"/>
    <n v="117"/>
    <n v="2"/>
    <n v="7000"/>
    <n v="14000"/>
    <n v="11765"/>
    <n v="2235"/>
  </r>
  <r>
    <x v="0"/>
    <x v="1052"/>
    <x v="168"/>
    <x v="3"/>
    <x v="4"/>
    <n v="143"/>
    <n v="1"/>
    <n v="8200"/>
    <n v="8200"/>
    <n v="6891"/>
    <n v="1309"/>
  </r>
  <r>
    <x v="0"/>
    <x v="1052"/>
    <x v="168"/>
    <x v="3"/>
    <x v="4"/>
    <n v="68"/>
    <n v="1"/>
    <n v="1200"/>
    <n v="1200"/>
    <n v="1008"/>
    <n v="192"/>
  </r>
  <r>
    <x v="0"/>
    <x v="1052"/>
    <x v="168"/>
    <x v="3"/>
    <x v="4"/>
    <n v="69"/>
    <n v="1"/>
    <n v="3000"/>
    <n v="3000"/>
    <n v="2521"/>
    <n v="479"/>
  </r>
  <r>
    <x v="0"/>
    <x v="1052"/>
    <x v="168"/>
    <x v="3"/>
    <x v="4"/>
    <n v="264"/>
    <n v="1"/>
    <n v="5000"/>
    <n v="5000"/>
    <n v="4202"/>
    <n v="798"/>
  </r>
  <r>
    <x v="0"/>
    <x v="1053"/>
    <x v="168"/>
    <x v="1"/>
    <x v="220"/>
    <n v="143"/>
    <n v="1"/>
    <n v="8200"/>
    <n v="8200"/>
    <n v="6891"/>
    <n v="1309"/>
  </r>
  <r>
    <x v="0"/>
    <x v="1053"/>
    <x v="168"/>
    <x v="1"/>
    <x v="220"/>
    <n v="329"/>
    <n v="1"/>
    <n v="6000"/>
    <n v="6000"/>
    <n v="5042"/>
    <n v="958"/>
  </r>
  <r>
    <x v="0"/>
    <x v="1054"/>
    <x v="168"/>
    <x v="1"/>
    <x v="5"/>
    <n v="261"/>
    <n v="1"/>
    <n v="7000"/>
    <n v="7000"/>
    <n v="5882"/>
    <n v="1118"/>
  </r>
  <r>
    <x v="0"/>
    <x v="1055"/>
    <x v="168"/>
    <x v="3"/>
    <x v="5"/>
    <n v="365"/>
    <n v="1"/>
    <n v="3200"/>
    <n v="3200"/>
    <n v="2689"/>
    <n v="511"/>
  </r>
  <r>
    <x v="0"/>
    <x v="1055"/>
    <x v="168"/>
    <x v="3"/>
    <x v="5"/>
    <n v="232"/>
    <n v="1"/>
    <n v="18000"/>
    <n v="18000"/>
    <n v="15126"/>
    <n v="2874"/>
  </r>
  <r>
    <x v="0"/>
    <x v="1056"/>
    <x v="168"/>
    <x v="3"/>
    <x v="193"/>
    <n v="324"/>
    <n v="1"/>
    <n v="11000"/>
    <n v="11000"/>
    <n v="9244"/>
    <n v="1756"/>
  </r>
  <r>
    <x v="0"/>
    <x v="1056"/>
    <x v="168"/>
    <x v="3"/>
    <x v="193"/>
    <n v="143"/>
    <n v="1"/>
    <n v="8200"/>
    <n v="8200"/>
    <n v="6891"/>
    <n v="1309"/>
  </r>
  <r>
    <x v="0"/>
    <x v="1057"/>
    <x v="168"/>
    <x v="3"/>
    <x v="45"/>
    <n v="324"/>
    <n v="1"/>
    <n v="11000"/>
    <n v="11000"/>
    <n v="9244"/>
    <n v="1756"/>
  </r>
  <r>
    <x v="0"/>
    <x v="1057"/>
    <x v="168"/>
    <x v="3"/>
    <x v="45"/>
    <n v="143"/>
    <n v="1"/>
    <n v="8200"/>
    <n v="8200"/>
    <n v="6891"/>
    <n v="1309"/>
  </r>
  <r>
    <x v="0"/>
    <x v="1058"/>
    <x v="169"/>
    <x v="1"/>
    <x v="42"/>
    <n v="329"/>
    <n v="1"/>
    <n v="6000"/>
    <n v="6000"/>
    <n v="5042"/>
    <n v="958"/>
  </r>
  <r>
    <x v="0"/>
    <x v="1058"/>
    <x v="169"/>
    <x v="1"/>
    <x v="42"/>
    <n v="143"/>
    <n v="1"/>
    <n v="8200"/>
    <n v="8200"/>
    <n v="6891"/>
    <n v="1309"/>
  </r>
  <r>
    <x v="0"/>
    <x v="1059"/>
    <x v="169"/>
    <x v="1"/>
    <x v="136"/>
    <n v="324"/>
    <n v="1"/>
    <n v="11000"/>
    <n v="11000"/>
    <n v="9244"/>
    <n v="1756"/>
  </r>
  <r>
    <x v="0"/>
    <x v="1060"/>
    <x v="169"/>
    <x v="1"/>
    <x v="7"/>
    <n v="230"/>
    <n v="1"/>
    <n v="16500"/>
    <n v="16500"/>
    <n v="13866"/>
    <n v="2634"/>
  </r>
  <r>
    <x v="0"/>
    <x v="1060"/>
    <x v="169"/>
    <x v="1"/>
    <x v="7"/>
    <n v="98"/>
    <n v="1"/>
    <n v="3500"/>
    <n v="3500"/>
    <n v="2941"/>
    <n v="559"/>
  </r>
  <r>
    <x v="0"/>
    <x v="1060"/>
    <x v="169"/>
    <x v="1"/>
    <x v="7"/>
    <n v="95"/>
    <n v="1"/>
    <n v="2400"/>
    <n v="2400"/>
    <n v="2017"/>
    <n v="383"/>
  </r>
  <r>
    <x v="0"/>
    <x v="1061"/>
    <x v="170"/>
    <x v="0"/>
    <x v="250"/>
    <n v="143"/>
    <n v="1"/>
    <n v="8200"/>
    <n v="8200"/>
    <n v="6891"/>
    <n v="1309"/>
  </r>
  <r>
    <x v="0"/>
    <x v="1062"/>
    <x v="170"/>
    <x v="0"/>
    <x v="251"/>
    <n v="379"/>
    <n v="3"/>
    <n v="6000"/>
    <n v="18000"/>
    <n v="15126"/>
    <n v="2874"/>
  </r>
  <r>
    <x v="0"/>
    <x v="1062"/>
    <x v="170"/>
    <x v="0"/>
    <x v="251"/>
    <n v="255"/>
    <n v="1"/>
    <n v="4000"/>
    <n v="4000"/>
    <n v="3361"/>
    <n v="639"/>
  </r>
  <r>
    <x v="0"/>
    <x v="1062"/>
    <x v="170"/>
    <x v="0"/>
    <x v="251"/>
    <n v="98"/>
    <n v="5"/>
    <n v="17500"/>
    <n v="87500"/>
    <n v="73529"/>
    <n v="13971"/>
  </r>
  <r>
    <x v="0"/>
    <x v="1062"/>
    <x v="170"/>
    <x v="0"/>
    <x v="251"/>
    <n v="356"/>
    <n v="5"/>
    <n v="15000"/>
    <n v="75000"/>
    <n v="63025"/>
    <n v="11975"/>
  </r>
  <r>
    <x v="0"/>
    <x v="1062"/>
    <x v="170"/>
    <x v="0"/>
    <x v="251"/>
    <n v="369"/>
    <n v="2"/>
    <n v="21000"/>
    <n v="42000"/>
    <n v="35294"/>
    <n v="6706"/>
  </r>
  <r>
    <x v="0"/>
    <x v="1062"/>
    <x v="170"/>
    <x v="0"/>
    <x v="251"/>
    <n v="231"/>
    <n v="1"/>
    <n v="20900"/>
    <n v="20900"/>
    <n v="17563"/>
    <n v="3337"/>
  </r>
  <r>
    <x v="0"/>
    <x v="1062"/>
    <x v="170"/>
    <x v="0"/>
    <x v="251"/>
    <n v="275"/>
    <n v="1"/>
    <n v="6900"/>
    <n v="6900"/>
    <n v="5798"/>
    <n v="1102"/>
  </r>
  <r>
    <x v="0"/>
    <x v="1062"/>
    <x v="170"/>
    <x v="0"/>
    <x v="251"/>
    <n v="112"/>
    <n v="1"/>
    <n v="-2200"/>
    <n v="-2200"/>
    <n v="-1849"/>
    <n v="-351"/>
  </r>
  <r>
    <x v="0"/>
    <x v="1063"/>
    <x v="170"/>
    <x v="0"/>
    <x v="1"/>
    <n v="232"/>
    <n v="1"/>
    <n v="12500"/>
    <n v="12500"/>
    <n v="10504"/>
    <n v="1996"/>
  </r>
  <r>
    <x v="0"/>
    <x v="1064"/>
    <x v="170"/>
    <x v="0"/>
    <x v="4"/>
    <n v="165"/>
    <n v="1"/>
    <n v="2000"/>
    <n v="2000"/>
    <n v="1681"/>
    <n v="319"/>
  </r>
  <r>
    <x v="0"/>
    <x v="1065"/>
    <x v="170"/>
    <x v="0"/>
    <x v="36"/>
    <n v="369"/>
    <n v="1"/>
    <n v="10500"/>
    <n v="10500"/>
    <n v="8824"/>
    <n v="1676"/>
  </r>
  <r>
    <x v="0"/>
    <x v="1065"/>
    <x v="170"/>
    <x v="0"/>
    <x v="36"/>
    <n v="269"/>
    <n v="1"/>
    <n v="1600"/>
    <n v="1600"/>
    <n v="1345"/>
    <n v="255"/>
  </r>
  <r>
    <x v="0"/>
    <x v="1065"/>
    <x v="170"/>
    <x v="0"/>
    <x v="36"/>
    <n v="165"/>
    <n v="1"/>
    <n v="2000"/>
    <n v="2000"/>
    <n v="1681"/>
    <n v="319"/>
  </r>
  <r>
    <x v="0"/>
    <x v="1066"/>
    <x v="170"/>
    <x v="0"/>
    <x v="5"/>
    <n v="143"/>
    <n v="1"/>
    <n v="8200"/>
    <n v="8200"/>
    <n v="6891"/>
    <n v="1309"/>
  </r>
  <r>
    <x v="0"/>
    <x v="1067"/>
    <x v="170"/>
    <x v="0"/>
    <x v="194"/>
    <n v="324"/>
    <n v="1"/>
    <n v="11000"/>
    <n v="11000"/>
    <n v="9244"/>
    <n v="1756"/>
  </r>
  <r>
    <x v="0"/>
    <x v="1067"/>
    <x v="170"/>
    <x v="0"/>
    <x v="194"/>
    <n v="143"/>
    <n v="1"/>
    <n v="8200"/>
    <n v="8200"/>
    <n v="6891"/>
    <n v="1309"/>
  </r>
  <r>
    <x v="0"/>
    <x v="1068"/>
    <x v="170"/>
    <x v="0"/>
    <x v="34"/>
    <n v="329"/>
    <n v="1"/>
    <n v="6000"/>
    <n v="6000"/>
    <n v="5042"/>
    <n v="958"/>
  </r>
  <r>
    <x v="0"/>
    <x v="1069"/>
    <x v="170"/>
    <x v="0"/>
    <x v="80"/>
    <n v="273"/>
    <n v="1"/>
    <n v="1300"/>
    <n v="1300"/>
    <n v="1092"/>
    <n v="208"/>
  </r>
  <r>
    <x v="0"/>
    <x v="1069"/>
    <x v="170"/>
    <x v="0"/>
    <x v="80"/>
    <n v="19"/>
    <n v="1"/>
    <n v="2600"/>
    <n v="2600"/>
    <n v="2185"/>
    <n v="415"/>
  </r>
  <r>
    <x v="0"/>
    <x v="1069"/>
    <x v="170"/>
    <x v="0"/>
    <x v="80"/>
    <n v="16"/>
    <n v="1"/>
    <n v="4200"/>
    <n v="4200"/>
    <n v="3529"/>
    <n v="671"/>
  </r>
  <r>
    <x v="0"/>
    <x v="1069"/>
    <x v="170"/>
    <x v="0"/>
    <x v="80"/>
    <n v="11"/>
    <n v="1"/>
    <n v="2500"/>
    <n v="2500"/>
    <n v="2101"/>
    <n v="399"/>
  </r>
  <r>
    <x v="0"/>
    <x v="1069"/>
    <x v="170"/>
    <x v="0"/>
    <x v="80"/>
    <n v="267"/>
    <n v="1"/>
    <n v="1600"/>
    <n v="1600"/>
    <n v="1345"/>
    <n v="255"/>
  </r>
  <r>
    <x v="0"/>
    <x v="1069"/>
    <x v="170"/>
    <x v="0"/>
    <x v="80"/>
    <n v="7"/>
    <n v="1"/>
    <n v="7000"/>
    <n v="7000"/>
    <n v="5882"/>
    <n v="1118"/>
  </r>
  <r>
    <x v="0"/>
    <x v="1070"/>
    <x v="170"/>
    <x v="1"/>
    <x v="80"/>
    <n v="45"/>
    <n v="1"/>
    <n v="1600"/>
    <n v="1600"/>
    <n v="1345"/>
    <n v="255"/>
  </r>
  <r>
    <x v="0"/>
    <x v="1070"/>
    <x v="170"/>
    <x v="1"/>
    <x v="80"/>
    <n v="32"/>
    <n v="1"/>
    <n v="6500"/>
    <n v="6500"/>
    <n v="5462"/>
    <n v="1038"/>
  </r>
  <r>
    <x v="0"/>
    <x v="1070"/>
    <x v="170"/>
    <x v="1"/>
    <x v="80"/>
    <n v="26"/>
    <n v="1"/>
    <n v="3400"/>
    <n v="3400"/>
    <n v="2857"/>
    <n v="543"/>
  </r>
  <r>
    <x v="0"/>
    <x v="1070"/>
    <x v="170"/>
    <x v="1"/>
    <x v="80"/>
    <n v="83"/>
    <n v="1"/>
    <n v="1600"/>
    <n v="1600"/>
    <n v="1345"/>
    <n v="255"/>
  </r>
  <r>
    <x v="0"/>
    <x v="1070"/>
    <x v="170"/>
    <x v="1"/>
    <x v="80"/>
    <n v="154"/>
    <n v="1"/>
    <n v="3200"/>
    <n v="3200"/>
    <n v="2689"/>
    <n v="511"/>
  </r>
  <r>
    <x v="0"/>
    <x v="1070"/>
    <x v="170"/>
    <x v="1"/>
    <x v="80"/>
    <n v="248"/>
    <n v="1"/>
    <n v="4500"/>
    <n v="4500"/>
    <n v="3782"/>
    <n v="718"/>
  </r>
  <r>
    <x v="0"/>
    <x v="1071"/>
    <x v="170"/>
    <x v="0"/>
    <x v="25"/>
    <n v="120"/>
    <n v="1"/>
    <n v="1900"/>
    <n v="1900"/>
    <n v="1597"/>
    <n v="303"/>
  </r>
  <r>
    <x v="0"/>
    <x v="1072"/>
    <x v="171"/>
    <x v="0"/>
    <x v="244"/>
    <n v="354"/>
    <n v="1"/>
    <n v="1800"/>
    <n v="1800"/>
    <n v="1513"/>
    <n v="287"/>
  </r>
  <r>
    <x v="0"/>
    <x v="1072"/>
    <x v="171"/>
    <x v="0"/>
    <x v="244"/>
    <n v="167"/>
    <n v="1"/>
    <n v="8200"/>
    <n v="8200"/>
    <n v="6891"/>
    <n v="1309"/>
  </r>
  <r>
    <x v="0"/>
    <x v="1072"/>
    <x v="171"/>
    <x v="0"/>
    <x v="244"/>
    <n v="284"/>
    <n v="1"/>
    <n v="1100"/>
    <n v="1100"/>
    <n v="924"/>
    <n v="176"/>
  </r>
  <r>
    <x v="0"/>
    <x v="1072"/>
    <x v="171"/>
    <x v="0"/>
    <x v="244"/>
    <n v="191"/>
    <n v="1"/>
    <n v="2500"/>
    <n v="2500"/>
    <n v="2101"/>
    <n v="399"/>
  </r>
  <r>
    <x v="0"/>
    <x v="1072"/>
    <x v="171"/>
    <x v="0"/>
    <x v="244"/>
    <n v="118"/>
    <n v="1"/>
    <n v="3500"/>
    <n v="3500"/>
    <n v="2941"/>
    <n v="559"/>
  </r>
  <r>
    <x v="0"/>
    <x v="1072"/>
    <x v="171"/>
    <x v="0"/>
    <x v="244"/>
    <n v="329"/>
    <n v="1"/>
    <n v="6000"/>
    <n v="6000"/>
    <n v="5042"/>
    <n v="958"/>
  </r>
  <r>
    <x v="0"/>
    <x v="1072"/>
    <x v="171"/>
    <x v="0"/>
    <x v="244"/>
    <n v="112"/>
    <n v="1"/>
    <n v="-1000"/>
    <n v="-1000"/>
    <n v="-840"/>
    <n v="-160"/>
  </r>
  <r>
    <x v="0"/>
    <x v="1073"/>
    <x v="171"/>
    <x v="0"/>
    <x v="30"/>
    <n v="117"/>
    <n v="4"/>
    <n v="14000"/>
    <n v="56000"/>
    <n v="47059"/>
    <n v="8941"/>
  </r>
  <r>
    <x v="0"/>
    <x v="1073"/>
    <x v="171"/>
    <x v="0"/>
    <x v="30"/>
    <n v="368"/>
    <n v="3"/>
    <n v="9000"/>
    <n v="27000"/>
    <n v="22689"/>
    <n v="4311"/>
  </r>
  <r>
    <x v="0"/>
    <x v="1073"/>
    <x v="171"/>
    <x v="0"/>
    <x v="30"/>
    <n v="386"/>
    <n v="2"/>
    <n v="5400"/>
    <n v="10800"/>
    <n v="9076"/>
    <n v="1724"/>
  </r>
  <r>
    <x v="0"/>
    <x v="1073"/>
    <x v="171"/>
    <x v="0"/>
    <x v="30"/>
    <n v="356"/>
    <n v="1"/>
    <n v="3000"/>
    <n v="3000"/>
    <n v="2521"/>
    <n v="479"/>
  </r>
  <r>
    <x v="0"/>
    <x v="1073"/>
    <x v="171"/>
    <x v="0"/>
    <x v="30"/>
    <n v="231"/>
    <n v="1"/>
    <n v="20900"/>
    <n v="20900"/>
    <n v="17563"/>
    <n v="3337"/>
  </r>
  <r>
    <x v="0"/>
    <x v="1073"/>
    <x v="171"/>
    <x v="0"/>
    <x v="30"/>
    <n v="25"/>
    <n v="1"/>
    <n v="1800"/>
    <n v="1800"/>
    <n v="1513"/>
    <n v="287"/>
  </r>
  <r>
    <x v="0"/>
    <x v="1073"/>
    <x v="171"/>
    <x v="0"/>
    <x v="30"/>
    <n v="97"/>
    <n v="1"/>
    <n v="2000"/>
    <n v="2000"/>
    <n v="1681"/>
    <n v="319"/>
  </r>
  <r>
    <x v="0"/>
    <x v="1073"/>
    <x v="171"/>
    <x v="0"/>
    <x v="30"/>
    <n v="69"/>
    <n v="1"/>
    <n v="3000"/>
    <n v="3000"/>
    <n v="2521"/>
    <n v="479"/>
  </r>
  <r>
    <x v="0"/>
    <x v="1073"/>
    <x v="171"/>
    <x v="0"/>
    <x v="30"/>
    <n v="329"/>
    <n v="1"/>
    <n v="6000"/>
    <n v="6000"/>
    <n v="5042"/>
    <n v="958"/>
  </r>
  <r>
    <x v="0"/>
    <x v="1073"/>
    <x v="171"/>
    <x v="0"/>
    <x v="30"/>
    <n v="143"/>
    <n v="1"/>
    <n v="8200"/>
    <n v="8200"/>
    <n v="6891"/>
    <n v="1309"/>
  </r>
  <r>
    <x v="0"/>
    <x v="1074"/>
    <x v="171"/>
    <x v="0"/>
    <x v="4"/>
    <n v="143"/>
    <n v="1"/>
    <n v="8200"/>
    <n v="8200"/>
    <n v="6891"/>
    <n v="1309"/>
  </r>
  <r>
    <x v="0"/>
    <x v="1075"/>
    <x v="171"/>
    <x v="0"/>
    <x v="5"/>
    <n v="324"/>
    <n v="1"/>
    <n v="11000"/>
    <n v="11000"/>
    <n v="9244"/>
    <n v="1756"/>
  </r>
  <r>
    <x v="0"/>
    <x v="1076"/>
    <x v="172"/>
    <x v="0"/>
    <x v="145"/>
    <n v="143"/>
    <n v="1"/>
    <n v="8200"/>
    <n v="8200"/>
    <n v="6891"/>
    <n v="1309"/>
  </r>
  <r>
    <x v="0"/>
    <x v="1077"/>
    <x v="172"/>
    <x v="0"/>
    <x v="0"/>
    <n v="95"/>
    <n v="1"/>
    <n v="2400"/>
    <n v="2400"/>
    <n v="2017"/>
    <n v="383"/>
  </r>
  <r>
    <x v="0"/>
    <x v="1077"/>
    <x v="172"/>
    <x v="0"/>
    <x v="0"/>
    <n v="247"/>
    <n v="1"/>
    <n v="2800"/>
    <n v="2800"/>
    <n v="2353"/>
    <n v="447"/>
  </r>
  <r>
    <x v="0"/>
    <x v="1078"/>
    <x v="172"/>
    <x v="0"/>
    <x v="1"/>
    <n v="143"/>
    <n v="1"/>
    <n v="8200"/>
    <n v="8200"/>
    <n v="6891"/>
    <n v="1309"/>
  </r>
  <r>
    <x v="0"/>
    <x v="1079"/>
    <x v="172"/>
    <x v="0"/>
    <x v="98"/>
    <n v="324"/>
    <n v="1"/>
    <n v="11000"/>
    <n v="11000"/>
    <n v="9244"/>
    <n v="1756"/>
  </r>
  <r>
    <x v="0"/>
    <x v="1079"/>
    <x v="172"/>
    <x v="0"/>
    <x v="98"/>
    <n v="378"/>
    <n v="2"/>
    <n v="2400"/>
    <n v="4800"/>
    <n v="4034"/>
    <n v="766"/>
  </r>
  <r>
    <x v="0"/>
    <x v="1080"/>
    <x v="172"/>
    <x v="0"/>
    <x v="6"/>
    <n v="143"/>
    <n v="3"/>
    <n v="24600"/>
    <n v="73800"/>
    <n v="62017"/>
    <n v="11783"/>
  </r>
  <r>
    <x v="0"/>
    <x v="1081"/>
    <x v="172"/>
    <x v="0"/>
    <x v="235"/>
    <n v="143"/>
    <n v="1"/>
    <n v="8200"/>
    <n v="8200"/>
    <n v="6891"/>
    <n v="1309"/>
  </r>
  <r>
    <x v="0"/>
    <x v="1082"/>
    <x v="172"/>
    <x v="0"/>
    <x v="59"/>
    <n v="231"/>
    <n v="1"/>
    <n v="20900"/>
    <n v="20900"/>
    <n v="17563"/>
    <n v="3337"/>
  </r>
  <r>
    <x v="0"/>
    <x v="1082"/>
    <x v="172"/>
    <x v="0"/>
    <x v="59"/>
    <n v="368"/>
    <n v="1"/>
    <n v="3000"/>
    <n v="3000"/>
    <n v="2521"/>
    <n v="479"/>
  </r>
  <r>
    <x v="0"/>
    <x v="1082"/>
    <x v="172"/>
    <x v="0"/>
    <x v="59"/>
    <n v="354"/>
    <n v="1"/>
    <n v="1800"/>
    <n v="1800"/>
    <n v="1513"/>
    <n v="287"/>
  </r>
  <r>
    <x v="0"/>
    <x v="1083"/>
    <x v="172"/>
    <x v="0"/>
    <x v="172"/>
    <n v="322"/>
    <n v="1"/>
    <n v="9000"/>
    <n v="9000"/>
    <n v="7563"/>
    <n v="1437"/>
  </r>
  <r>
    <x v="0"/>
    <x v="1084"/>
    <x v="172"/>
    <x v="0"/>
    <x v="238"/>
    <n v="261"/>
    <n v="1"/>
    <n v="7000"/>
    <n v="7000"/>
    <n v="5882"/>
    <n v="1118"/>
  </r>
  <r>
    <x v="0"/>
    <x v="1084"/>
    <x v="172"/>
    <x v="0"/>
    <x v="238"/>
    <n v="97"/>
    <n v="1"/>
    <n v="2000"/>
    <n v="2000"/>
    <n v="1681"/>
    <n v="319"/>
  </r>
  <r>
    <x v="0"/>
    <x v="1084"/>
    <x v="172"/>
    <x v="0"/>
    <x v="238"/>
    <n v="324"/>
    <n v="1"/>
    <n v="11000"/>
    <n v="11000"/>
    <n v="9244"/>
    <n v="1756"/>
  </r>
  <r>
    <x v="0"/>
    <x v="1084"/>
    <x v="172"/>
    <x v="0"/>
    <x v="238"/>
    <n v="365"/>
    <n v="1"/>
    <n v="3200"/>
    <n v="3200"/>
    <n v="2689"/>
    <n v="511"/>
  </r>
  <r>
    <x v="0"/>
    <x v="1084"/>
    <x v="172"/>
    <x v="0"/>
    <x v="238"/>
    <n v="143"/>
    <n v="1"/>
    <n v="8200"/>
    <n v="8200"/>
    <n v="6891"/>
    <n v="1309"/>
  </r>
  <r>
    <x v="0"/>
    <x v="1085"/>
    <x v="173"/>
    <x v="0"/>
    <x v="14"/>
    <n v="324"/>
    <n v="1"/>
    <n v="11000"/>
    <n v="11000"/>
    <n v="9244"/>
    <n v="1756"/>
  </r>
  <r>
    <x v="0"/>
    <x v="1086"/>
    <x v="173"/>
    <x v="0"/>
    <x v="2"/>
    <n v="230"/>
    <n v="1"/>
    <n v="16500"/>
    <n v="16500"/>
    <n v="13866"/>
    <n v="2634"/>
  </r>
  <r>
    <x v="0"/>
    <x v="1087"/>
    <x v="173"/>
    <x v="0"/>
    <x v="252"/>
    <n v="230"/>
    <n v="1"/>
    <n v="16500"/>
    <n v="16500"/>
    <n v="13866"/>
    <n v="2634"/>
  </r>
  <r>
    <x v="0"/>
    <x v="1088"/>
    <x v="173"/>
    <x v="0"/>
    <x v="37"/>
    <n v="143"/>
    <n v="1"/>
    <n v="8200"/>
    <n v="8200"/>
    <n v="6891"/>
    <n v="1309"/>
  </r>
  <r>
    <x v="0"/>
    <x v="1089"/>
    <x v="173"/>
    <x v="0"/>
    <x v="56"/>
    <n v="143"/>
    <n v="1"/>
    <n v="8200"/>
    <n v="8200"/>
    <n v="6891"/>
    <n v="1309"/>
  </r>
  <r>
    <x v="0"/>
    <x v="1089"/>
    <x v="173"/>
    <x v="0"/>
    <x v="56"/>
    <n v="231"/>
    <n v="1"/>
    <n v="20900"/>
    <n v="20900"/>
    <n v="17563"/>
    <n v="3337"/>
  </r>
  <r>
    <x v="0"/>
    <x v="1089"/>
    <x v="173"/>
    <x v="0"/>
    <x v="56"/>
    <n v="157"/>
    <n v="1"/>
    <n v="4300"/>
    <n v="4300"/>
    <n v="3613"/>
    <n v="687"/>
  </r>
  <r>
    <x v="0"/>
    <x v="1089"/>
    <x v="173"/>
    <x v="0"/>
    <x v="56"/>
    <n v="57"/>
    <n v="1"/>
    <n v="4000"/>
    <n v="4000"/>
    <n v="3361"/>
    <n v="639"/>
  </r>
  <r>
    <x v="0"/>
    <x v="1089"/>
    <x v="173"/>
    <x v="0"/>
    <x v="56"/>
    <n v="98"/>
    <n v="1"/>
    <n v="3500"/>
    <n v="3500"/>
    <n v="2941"/>
    <n v="559"/>
  </r>
  <r>
    <x v="0"/>
    <x v="1089"/>
    <x v="173"/>
    <x v="0"/>
    <x v="56"/>
    <n v="97"/>
    <n v="1"/>
    <n v="2000"/>
    <n v="2000"/>
    <n v="1681"/>
    <n v="319"/>
  </r>
  <r>
    <x v="0"/>
    <x v="1089"/>
    <x v="173"/>
    <x v="0"/>
    <x v="56"/>
    <n v="165"/>
    <n v="1"/>
    <n v="2000"/>
    <n v="2000"/>
    <n v="1681"/>
    <n v="319"/>
  </r>
  <r>
    <x v="0"/>
    <x v="1089"/>
    <x v="173"/>
    <x v="0"/>
    <x v="56"/>
    <n v="31"/>
    <n v="1"/>
    <n v="3400"/>
    <n v="3400"/>
    <n v="2857"/>
    <n v="543"/>
  </r>
  <r>
    <x v="0"/>
    <x v="1089"/>
    <x v="173"/>
    <x v="0"/>
    <x v="56"/>
    <n v="29"/>
    <n v="1"/>
    <n v="1000"/>
    <n v="1000"/>
    <n v="840"/>
    <n v="160"/>
  </r>
  <r>
    <x v="0"/>
    <x v="1090"/>
    <x v="173"/>
    <x v="0"/>
    <x v="253"/>
    <n v="261"/>
    <n v="1"/>
    <n v="7000"/>
    <n v="7000"/>
    <n v="5882"/>
    <n v="1118"/>
  </r>
  <r>
    <x v="0"/>
    <x v="1091"/>
    <x v="173"/>
    <x v="0"/>
    <x v="74"/>
    <n v="143"/>
    <n v="1"/>
    <n v="8200"/>
    <n v="8200"/>
    <n v="6891"/>
    <n v="1309"/>
  </r>
  <r>
    <x v="0"/>
    <x v="1091"/>
    <x v="173"/>
    <x v="0"/>
    <x v="74"/>
    <n v="99"/>
    <n v="1"/>
    <n v="1700"/>
    <n v="1700"/>
    <n v="1429"/>
    <n v="271"/>
  </r>
  <r>
    <x v="0"/>
    <x v="1091"/>
    <x v="173"/>
    <x v="0"/>
    <x v="74"/>
    <n v="165"/>
    <n v="1"/>
    <n v="2000"/>
    <n v="2000"/>
    <n v="1681"/>
    <n v="319"/>
  </r>
  <r>
    <x v="0"/>
    <x v="1091"/>
    <x v="173"/>
    <x v="0"/>
    <x v="74"/>
    <n v="117"/>
    <n v="1"/>
    <n v="3500"/>
    <n v="3500"/>
    <n v="2941"/>
    <n v="559"/>
  </r>
  <r>
    <x v="0"/>
    <x v="1092"/>
    <x v="173"/>
    <x v="0"/>
    <x v="177"/>
    <n v="232"/>
    <n v="1"/>
    <n v="12500"/>
    <n v="12500"/>
    <n v="10504"/>
    <n v="1996"/>
  </r>
  <r>
    <x v="0"/>
    <x v="1093"/>
    <x v="173"/>
    <x v="0"/>
    <x v="25"/>
    <n v="69"/>
    <n v="1"/>
    <n v="3000"/>
    <n v="3000"/>
    <n v="2521"/>
    <n v="479"/>
  </r>
  <r>
    <x v="0"/>
    <x v="1094"/>
    <x v="173"/>
    <x v="0"/>
    <x v="22"/>
    <n v="233"/>
    <n v="1"/>
    <n v="15990"/>
    <n v="15990"/>
    <n v="13437"/>
    <n v="2553"/>
  </r>
  <r>
    <x v="0"/>
    <x v="1094"/>
    <x v="173"/>
    <x v="0"/>
    <x v="22"/>
    <n v="290"/>
    <n v="1"/>
    <n v="1200"/>
    <n v="1200"/>
    <n v="1008"/>
    <n v="192"/>
  </r>
  <r>
    <x v="0"/>
    <x v="1094"/>
    <x v="173"/>
    <x v="0"/>
    <x v="22"/>
    <n v="69"/>
    <n v="1"/>
    <n v="3000"/>
    <n v="3000"/>
    <n v="2521"/>
    <n v="479"/>
  </r>
  <r>
    <x v="0"/>
    <x v="1094"/>
    <x v="173"/>
    <x v="0"/>
    <x v="22"/>
    <n v="371"/>
    <n v="1"/>
    <n v="9500"/>
    <n v="9500"/>
    <n v="7983"/>
    <n v="1517"/>
  </r>
  <r>
    <x v="0"/>
    <x v="1095"/>
    <x v="173"/>
    <x v="0"/>
    <x v="29"/>
    <n v="261"/>
    <n v="1"/>
    <n v="7000"/>
    <n v="7000"/>
    <n v="5882"/>
    <n v="1118"/>
  </r>
  <r>
    <x v="0"/>
    <x v="1095"/>
    <x v="173"/>
    <x v="0"/>
    <x v="29"/>
    <n v="322"/>
    <n v="1"/>
    <n v="9000"/>
    <n v="9000"/>
    <n v="7563"/>
    <n v="1437"/>
  </r>
  <r>
    <x v="0"/>
    <x v="1095"/>
    <x v="173"/>
    <x v="0"/>
    <x v="29"/>
    <n v="368"/>
    <n v="1"/>
    <n v="3000"/>
    <n v="3000"/>
    <n v="2521"/>
    <n v="479"/>
  </r>
  <r>
    <x v="0"/>
    <x v="1095"/>
    <x v="173"/>
    <x v="0"/>
    <x v="29"/>
    <n v="99"/>
    <n v="1"/>
    <n v="1700"/>
    <n v="1700"/>
    <n v="1429"/>
    <n v="271"/>
  </r>
  <r>
    <x v="0"/>
    <x v="1095"/>
    <x v="173"/>
    <x v="0"/>
    <x v="29"/>
    <n v="384"/>
    <n v="1"/>
    <n v="2750"/>
    <n v="2750"/>
    <n v="2311"/>
    <n v="439"/>
  </r>
  <r>
    <x v="0"/>
    <x v="1096"/>
    <x v="174"/>
    <x v="0"/>
    <x v="137"/>
    <n v="231"/>
    <n v="1"/>
    <n v="20900"/>
    <n v="20900"/>
    <n v="17563"/>
    <n v="3337"/>
  </r>
  <r>
    <x v="0"/>
    <x v="1097"/>
    <x v="174"/>
    <x v="0"/>
    <x v="74"/>
    <n v="324"/>
    <n v="2"/>
    <n v="22000"/>
    <n v="44000"/>
    <n v="36975"/>
    <n v="7025"/>
  </r>
  <r>
    <x v="0"/>
    <x v="1097"/>
    <x v="174"/>
    <x v="0"/>
    <x v="74"/>
    <n v="97"/>
    <n v="1"/>
    <n v="2000"/>
    <n v="2000"/>
    <n v="1681"/>
    <n v="319"/>
  </r>
  <r>
    <x v="0"/>
    <x v="1097"/>
    <x v="174"/>
    <x v="0"/>
    <x v="74"/>
    <n v="168"/>
    <n v="1"/>
    <n v="1500"/>
    <n v="1500"/>
    <n v="1261"/>
    <n v="239"/>
  </r>
  <r>
    <x v="0"/>
    <x v="1097"/>
    <x v="174"/>
    <x v="0"/>
    <x v="74"/>
    <n v="157"/>
    <n v="1"/>
    <n v="4300"/>
    <n v="4300"/>
    <n v="3613"/>
    <n v="687"/>
  </r>
  <r>
    <x v="0"/>
    <x v="1097"/>
    <x v="174"/>
    <x v="0"/>
    <x v="74"/>
    <n v="354"/>
    <n v="1"/>
    <n v="1800"/>
    <n v="1800"/>
    <n v="1513"/>
    <n v="287"/>
  </r>
  <r>
    <x v="0"/>
    <x v="1098"/>
    <x v="175"/>
    <x v="0"/>
    <x v="41"/>
    <n v="322"/>
    <n v="1"/>
    <n v="9000"/>
    <n v="9000"/>
    <n v="7563"/>
    <n v="1437"/>
  </r>
  <r>
    <x v="0"/>
    <x v="1098"/>
    <x v="175"/>
    <x v="0"/>
    <x v="41"/>
    <n v="143"/>
    <n v="1"/>
    <n v="8200"/>
    <n v="8200"/>
    <n v="6891"/>
    <n v="1309"/>
  </r>
  <r>
    <x v="0"/>
    <x v="1099"/>
    <x v="175"/>
    <x v="0"/>
    <x v="5"/>
    <n v="167"/>
    <n v="1"/>
    <n v="8200"/>
    <n v="8200"/>
    <n v="6891"/>
    <n v="1309"/>
  </r>
  <r>
    <x v="0"/>
    <x v="1100"/>
    <x v="175"/>
    <x v="0"/>
    <x v="59"/>
    <n v="143"/>
    <n v="1"/>
    <n v="8200"/>
    <n v="8200"/>
    <n v="6891"/>
    <n v="1309"/>
  </r>
  <r>
    <x v="0"/>
    <x v="1100"/>
    <x v="175"/>
    <x v="0"/>
    <x v="59"/>
    <n v="191"/>
    <n v="2"/>
    <n v="5000"/>
    <n v="10000"/>
    <n v="8403"/>
    <n v="1597"/>
  </r>
  <r>
    <x v="0"/>
    <x v="1100"/>
    <x v="175"/>
    <x v="0"/>
    <x v="59"/>
    <n v="329"/>
    <n v="1"/>
    <n v="6000"/>
    <n v="6000"/>
    <n v="5042"/>
    <n v="958"/>
  </r>
  <r>
    <x v="0"/>
    <x v="1101"/>
    <x v="176"/>
    <x v="0"/>
    <x v="26"/>
    <n v="143"/>
    <n v="1"/>
    <n v="8200"/>
    <n v="8200"/>
    <n v="6891"/>
    <n v="1309"/>
  </r>
  <r>
    <x v="0"/>
    <x v="1101"/>
    <x v="176"/>
    <x v="0"/>
    <x v="26"/>
    <n v="118"/>
    <n v="1"/>
    <n v="3500"/>
    <n v="3500"/>
    <n v="2941"/>
    <n v="559"/>
  </r>
  <r>
    <x v="0"/>
    <x v="1101"/>
    <x v="176"/>
    <x v="0"/>
    <x v="26"/>
    <n v="97"/>
    <n v="1"/>
    <n v="2000"/>
    <n v="2000"/>
    <n v="1681"/>
    <n v="319"/>
  </r>
  <r>
    <x v="0"/>
    <x v="1101"/>
    <x v="176"/>
    <x v="0"/>
    <x v="26"/>
    <n v="329"/>
    <n v="1"/>
    <n v="6000"/>
    <n v="6000"/>
    <n v="5042"/>
    <n v="958"/>
  </r>
  <r>
    <x v="0"/>
    <x v="1101"/>
    <x v="176"/>
    <x v="0"/>
    <x v="26"/>
    <n v="354"/>
    <n v="2"/>
    <n v="3600"/>
    <n v="7200"/>
    <n v="6050"/>
    <n v="1150"/>
  </r>
  <r>
    <x v="0"/>
    <x v="1101"/>
    <x v="176"/>
    <x v="0"/>
    <x v="26"/>
    <n v="29"/>
    <n v="1"/>
    <n v="1000"/>
    <n v="1000"/>
    <n v="840"/>
    <n v="160"/>
  </r>
  <r>
    <x v="0"/>
    <x v="1101"/>
    <x v="176"/>
    <x v="0"/>
    <x v="26"/>
    <n v="284"/>
    <n v="1"/>
    <n v="1100"/>
    <n v="1100"/>
    <n v="924"/>
    <n v="176"/>
  </r>
  <r>
    <x v="0"/>
    <x v="1102"/>
    <x v="177"/>
    <x v="0"/>
    <x v="17"/>
    <n v="324"/>
    <n v="1"/>
    <n v="11000"/>
    <n v="11000"/>
    <n v="9244"/>
    <n v="1756"/>
  </r>
  <r>
    <x v="0"/>
    <x v="1103"/>
    <x v="177"/>
    <x v="0"/>
    <x v="18"/>
    <n v="329"/>
    <n v="1"/>
    <n v="6000"/>
    <n v="6000"/>
    <n v="5042"/>
    <n v="958"/>
  </r>
  <r>
    <x v="0"/>
    <x v="1104"/>
    <x v="177"/>
    <x v="0"/>
    <x v="254"/>
    <n v="230"/>
    <n v="1"/>
    <n v="16500"/>
    <n v="16500"/>
    <n v="13866"/>
    <n v="2634"/>
  </r>
  <r>
    <x v="0"/>
    <x v="1105"/>
    <x v="177"/>
    <x v="0"/>
    <x v="5"/>
    <n v="11"/>
    <n v="1"/>
    <n v="2500"/>
    <n v="2500"/>
    <n v="2101"/>
    <n v="399"/>
  </r>
  <r>
    <x v="0"/>
    <x v="1106"/>
    <x v="177"/>
    <x v="0"/>
    <x v="105"/>
    <n v="255"/>
    <n v="1"/>
    <n v="4000"/>
    <n v="4000"/>
    <n v="3361"/>
    <n v="639"/>
  </r>
  <r>
    <x v="0"/>
    <x v="1106"/>
    <x v="177"/>
    <x v="0"/>
    <x v="105"/>
    <n v="11"/>
    <n v="1"/>
    <n v="2500"/>
    <n v="2500"/>
    <n v="2101"/>
    <n v="399"/>
  </r>
  <r>
    <x v="0"/>
    <x v="1107"/>
    <x v="177"/>
    <x v="0"/>
    <x v="80"/>
    <n v="322"/>
    <n v="1"/>
    <n v="9000"/>
    <n v="9000"/>
    <n v="7563"/>
    <n v="1437"/>
  </r>
  <r>
    <x v="0"/>
    <x v="1108"/>
    <x v="178"/>
    <x v="0"/>
    <x v="5"/>
    <n v="277"/>
    <n v="1"/>
    <n v="10000"/>
    <n v="10000"/>
    <n v="8403"/>
    <n v="1597"/>
  </r>
  <r>
    <x v="0"/>
    <x v="1109"/>
    <x v="178"/>
    <x v="0"/>
    <x v="33"/>
    <n v="230"/>
    <n v="2"/>
    <n v="33000"/>
    <n v="66000"/>
    <n v="55462"/>
    <n v="10538"/>
  </r>
  <r>
    <x v="0"/>
    <x v="1109"/>
    <x v="178"/>
    <x v="0"/>
    <x v="33"/>
    <n v="117"/>
    <n v="1"/>
    <n v="3500"/>
    <n v="3500"/>
    <n v="2941"/>
    <n v="559"/>
  </r>
  <r>
    <x v="0"/>
    <x v="1109"/>
    <x v="178"/>
    <x v="0"/>
    <x v="33"/>
    <n v="165"/>
    <n v="1"/>
    <n v="2000"/>
    <n v="2000"/>
    <n v="1681"/>
    <n v="319"/>
  </r>
  <r>
    <x v="0"/>
    <x v="1110"/>
    <x v="178"/>
    <x v="0"/>
    <x v="208"/>
    <n v="143"/>
    <n v="1"/>
    <n v="8200"/>
    <n v="8200"/>
    <n v="6891"/>
    <n v="1309"/>
  </r>
  <r>
    <x v="0"/>
    <x v="1111"/>
    <x v="178"/>
    <x v="0"/>
    <x v="61"/>
    <n v="329"/>
    <n v="1"/>
    <n v="6000"/>
    <n v="6000"/>
    <n v="5042"/>
    <n v="958"/>
  </r>
  <r>
    <x v="0"/>
    <x v="1111"/>
    <x v="178"/>
    <x v="0"/>
    <x v="61"/>
    <n v="118"/>
    <n v="1"/>
    <n v="3500"/>
    <n v="3500"/>
    <n v="2941"/>
    <n v="559"/>
  </r>
  <r>
    <x v="0"/>
    <x v="1111"/>
    <x v="178"/>
    <x v="0"/>
    <x v="61"/>
    <n v="165"/>
    <n v="1"/>
    <n v="2000"/>
    <n v="2000"/>
    <n v="1681"/>
    <n v="319"/>
  </r>
  <r>
    <x v="0"/>
    <x v="1112"/>
    <x v="178"/>
    <x v="0"/>
    <x v="240"/>
    <n v="230"/>
    <n v="1"/>
    <n v="16500"/>
    <n v="16500"/>
    <n v="13866"/>
    <n v="2634"/>
  </r>
  <r>
    <x v="0"/>
    <x v="1112"/>
    <x v="178"/>
    <x v="0"/>
    <x v="240"/>
    <n v="117"/>
    <n v="1"/>
    <n v="3500"/>
    <n v="3500"/>
    <n v="2941"/>
    <n v="559"/>
  </r>
  <r>
    <x v="0"/>
    <x v="1113"/>
    <x v="178"/>
    <x v="0"/>
    <x v="64"/>
    <n v="329"/>
    <n v="1"/>
    <n v="6000"/>
    <n v="6000"/>
    <n v="5042"/>
    <n v="958"/>
  </r>
  <r>
    <x v="0"/>
    <x v="1113"/>
    <x v="178"/>
    <x v="0"/>
    <x v="64"/>
    <n v="143"/>
    <n v="1"/>
    <n v="8200"/>
    <n v="8200"/>
    <n v="6891"/>
    <n v="1309"/>
  </r>
  <r>
    <x v="0"/>
    <x v="1114"/>
    <x v="179"/>
    <x v="0"/>
    <x v="175"/>
    <n v="290"/>
    <n v="2"/>
    <n v="2400"/>
    <n v="4800"/>
    <n v="4034"/>
    <n v="766"/>
  </r>
  <r>
    <x v="0"/>
    <x v="1115"/>
    <x v="180"/>
    <x v="0"/>
    <x v="27"/>
    <n v="143"/>
    <n v="1"/>
    <n v="8200"/>
    <n v="8200"/>
    <n v="6891"/>
    <n v="1309"/>
  </r>
  <r>
    <x v="0"/>
    <x v="1116"/>
    <x v="181"/>
    <x v="0"/>
    <x v="21"/>
    <n v="143"/>
    <n v="1"/>
    <n v="8200"/>
    <n v="8200"/>
    <n v="6891"/>
    <n v="1309"/>
  </r>
  <r>
    <x v="0"/>
    <x v="1116"/>
    <x v="181"/>
    <x v="0"/>
    <x v="21"/>
    <n v="324"/>
    <n v="1"/>
    <n v="11000"/>
    <n v="11000"/>
    <n v="9244"/>
    <n v="1756"/>
  </r>
  <r>
    <x v="0"/>
    <x v="1117"/>
    <x v="181"/>
    <x v="0"/>
    <x v="31"/>
    <n v="233"/>
    <n v="1"/>
    <n v="15990"/>
    <n v="15990"/>
    <n v="13437"/>
    <n v="2553"/>
  </r>
  <r>
    <x v="0"/>
    <x v="1117"/>
    <x v="181"/>
    <x v="0"/>
    <x v="31"/>
    <n v="118"/>
    <n v="1"/>
    <n v="3500"/>
    <n v="3500"/>
    <n v="2941"/>
    <n v="559"/>
  </r>
  <r>
    <x v="0"/>
    <x v="1118"/>
    <x v="181"/>
    <x v="0"/>
    <x v="235"/>
    <n v="143"/>
    <n v="1"/>
    <n v="8200"/>
    <n v="8200"/>
    <n v="6891"/>
    <n v="1309"/>
  </r>
  <r>
    <x v="0"/>
    <x v="1119"/>
    <x v="181"/>
    <x v="0"/>
    <x v="107"/>
    <n v="230"/>
    <n v="1"/>
    <n v="16500"/>
    <n v="16500"/>
    <n v="13866"/>
    <n v="2634"/>
  </r>
  <r>
    <x v="0"/>
    <x v="1119"/>
    <x v="181"/>
    <x v="0"/>
    <x v="107"/>
    <n v="244"/>
    <n v="1"/>
    <n v="14900"/>
    <n v="14900"/>
    <n v="12521"/>
    <n v="2379"/>
  </r>
  <r>
    <x v="0"/>
    <x v="1119"/>
    <x v="181"/>
    <x v="0"/>
    <x v="107"/>
    <n v="354"/>
    <n v="1"/>
    <n v="1800"/>
    <n v="1800"/>
    <n v="1513"/>
    <n v="287"/>
  </r>
  <r>
    <x v="0"/>
    <x v="1120"/>
    <x v="181"/>
    <x v="0"/>
    <x v="129"/>
    <n v="143"/>
    <n v="2"/>
    <n v="16400"/>
    <n v="32800"/>
    <n v="27563"/>
    <n v="5237"/>
  </r>
  <r>
    <x v="0"/>
    <x v="1121"/>
    <x v="181"/>
    <x v="0"/>
    <x v="8"/>
    <n v="324"/>
    <n v="1"/>
    <n v="11000"/>
    <n v="11000"/>
    <n v="9244"/>
    <n v="1756"/>
  </r>
  <r>
    <x v="0"/>
    <x v="1122"/>
    <x v="181"/>
    <x v="0"/>
    <x v="85"/>
    <n v="143"/>
    <n v="1"/>
    <n v="8200"/>
    <n v="8200"/>
    <n v="6891"/>
    <n v="1309"/>
  </r>
  <r>
    <x v="0"/>
    <x v="1123"/>
    <x v="182"/>
    <x v="0"/>
    <x v="124"/>
    <n v="143"/>
    <n v="1"/>
    <n v="8200"/>
    <n v="8200"/>
    <n v="6891"/>
    <n v="1309"/>
  </r>
  <r>
    <x v="0"/>
    <x v="1124"/>
    <x v="182"/>
    <x v="0"/>
    <x v="37"/>
    <n v="143"/>
    <n v="1"/>
    <n v="8200"/>
    <n v="8200"/>
    <n v="6891"/>
    <n v="1309"/>
  </r>
  <r>
    <x v="0"/>
    <x v="1125"/>
    <x v="182"/>
    <x v="0"/>
    <x v="194"/>
    <n v="143"/>
    <n v="1"/>
    <n v="8200"/>
    <n v="8200"/>
    <n v="6891"/>
    <n v="1309"/>
  </r>
  <r>
    <x v="0"/>
    <x v="1126"/>
    <x v="183"/>
    <x v="0"/>
    <x v="55"/>
    <n v="143"/>
    <n v="1"/>
    <n v="8200"/>
    <n v="8200"/>
    <n v="6891"/>
    <n v="1309"/>
  </r>
  <r>
    <x v="0"/>
    <x v="1127"/>
    <x v="183"/>
    <x v="0"/>
    <x v="18"/>
    <n v="329"/>
    <n v="1"/>
    <n v="6000"/>
    <n v="6000"/>
    <n v="5042"/>
    <n v="958"/>
  </r>
  <r>
    <x v="0"/>
    <x v="1128"/>
    <x v="183"/>
    <x v="0"/>
    <x v="49"/>
    <n v="231"/>
    <n v="1"/>
    <n v="20900"/>
    <n v="20900"/>
    <n v="17563"/>
    <n v="3337"/>
  </r>
  <r>
    <x v="0"/>
    <x v="1129"/>
    <x v="183"/>
    <x v="0"/>
    <x v="46"/>
    <n v="231"/>
    <n v="1"/>
    <n v="20900"/>
    <n v="20900"/>
    <n v="17563"/>
    <n v="3337"/>
  </r>
  <r>
    <x v="0"/>
    <x v="1130"/>
    <x v="183"/>
    <x v="0"/>
    <x v="80"/>
    <n v="322"/>
    <n v="1"/>
    <n v="9000"/>
    <n v="9000"/>
    <n v="7563"/>
    <n v="1437"/>
  </r>
  <r>
    <x v="0"/>
    <x v="1130"/>
    <x v="183"/>
    <x v="0"/>
    <x v="80"/>
    <n v="143"/>
    <n v="1"/>
    <n v="8200"/>
    <n v="8200"/>
    <n v="6891"/>
    <n v="1309"/>
  </r>
  <r>
    <x v="0"/>
    <x v="1131"/>
    <x v="183"/>
    <x v="0"/>
    <x v="58"/>
    <n v="368"/>
    <n v="1"/>
    <n v="3000"/>
    <n v="3000"/>
    <n v="2521"/>
    <n v="479"/>
  </r>
  <r>
    <x v="0"/>
    <x v="1131"/>
    <x v="183"/>
    <x v="0"/>
    <x v="58"/>
    <n v="387"/>
    <n v="1"/>
    <n v="1500"/>
    <n v="1500"/>
    <n v="1261"/>
    <n v="239"/>
  </r>
  <r>
    <x v="0"/>
    <x v="1132"/>
    <x v="184"/>
    <x v="0"/>
    <x v="65"/>
    <n v="231"/>
    <n v="1"/>
    <n v="20900"/>
    <n v="20900"/>
    <n v="17563"/>
    <n v="3337"/>
  </r>
  <r>
    <x v="0"/>
    <x v="1133"/>
    <x v="184"/>
    <x v="0"/>
    <x v="4"/>
    <n v="143"/>
    <n v="1"/>
    <n v="8200"/>
    <n v="8200"/>
    <n v="6891"/>
    <n v="1309"/>
  </r>
  <r>
    <x v="0"/>
    <x v="1133"/>
    <x v="184"/>
    <x v="0"/>
    <x v="4"/>
    <n v="365"/>
    <n v="2"/>
    <n v="6400"/>
    <n v="12800"/>
    <n v="10756"/>
    <n v="2044"/>
  </r>
  <r>
    <x v="0"/>
    <x v="1133"/>
    <x v="184"/>
    <x v="0"/>
    <x v="4"/>
    <n v="69"/>
    <n v="1"/>
    <n v="3000"/>
    <n v="3000"/>
    <n v="2521"/>
    <n v="479"/>
  </r>
  <r>
    <x v="0"/>
    <x v="1133"/>
    <x v="184"/>
    <x v="0"/>
    <x v="4"/>
    <n v="117"/>
    <n v="2"/>
    <n v="7000"/>
    <n v="14000"/>
    <n v="11765"/>
    <n v="2235"/>
  </r>
  <r>
    <x v="0"/>
    <x v="1134"/>
    <x v="184"/>
    <x v="0"/>
    <x v="252"/>
    <n v="162"/>
    <n v="1"/>
    <n v="1600"/>
    <n v="1600"/>
    <n v="1345"/>
    <n v="255"/>
  </r>
  <r>
    <x v="0"/>
    <x v="1134"/>
    <x v="184"/>
    <x v="0"/>
    <x v="252"/>
    <n v="169"/>
    <n v="1"/>
    <n v="2700"/>
    <n v="2700"/>
    <n v="2269"/>
    <n v="431"/>
  </r>
  <r>
    <x v="0"/>
    <x v="1134"/>
    <x v="184"/>
    <x v="0"/>
    <x v="252"/>
    <n v="155"/>
    <n v="1"/>
    <n v="1650"/>
    <n v="1650"/>
    <n v="1387"/>
    <n v="263"/>
  </r>
  <r>
    <x v="0"/>
    <x v="1134"/>
    <x v="184"/>
    <x v="0"/>
    <x v="252"/>
    <n v="25"/>
    <n v="1"/>
    <n v="1800"/>
    <n v="1800"/>
    <n v="1513"/>
    <n v="287"/>
  </r>
  <r>
    <x v="0"/>
    <x v="1134"/>
    <x v="184"/>
    <x v="0"/>
    <x v="252"/>
    <n v="27"/>
    <n v="1"/>
    <n v="8700"/>
    <n v="8700"/>
    <n v="7311"/>
    <n v="1389"/>
  </r>
  <r>
    <x v="0"/>
    <x v="1134"/>
    <x v="184"/>
    <x v="0"/>
    <x v="252"/>
    <n v="324"/>
    <n v="1"/>
    <n v="11000"/>
    <n v="11000"/>
    <n v="9244"/>
    <n v="1756"/>
  </r>
  <r>
    <x v="0"/>
    <x v="1135"/>
    <x v="184"/>
    <x v="0"/>
    <x v="5"/>
    <n v="118"/>
    <n v="1"/>
    <n v="3500"/>
    <n v="3500"/>
    <n v="2941"/>
    <n v="559"/>
  </r>
  <r>
    <x v="0"/>
    <x v="1135"/>
    <x v="184"/>
    <x v="0"/>
    <x v="5"/>
    <n v="330"/>
    <n v="1"/>
    <n v="4800"/>
    <n v="4800"/>
    <n v="4034"/>
    <n v="766"/>
  </r>
  <r>
    <x v="0"/>
    <x v="1135"/>
    <x v="184"/>
    <x v="0"/>
    <x v="5"/>
    <n v="324"/>
    <n v="1"/>
    <n v="11000"/>
    <n v="11000"/>
    <n v="9244"/>
    <n v="1756"/>
  </r>
  <r>
    <x v="0"/>
    <x v="1136"/>
    <x v="184"/>
    <x v="0"/>
    <x v="38"/>
    <n v="329"/>
    <n v="1"/>
    <n v="6000"/>
    <n v="6000"/>
    <n v="5042"/>
    <n v="958"/>
  </r>
  <r>
    <x v="0"/>
    <x v="1137"/>
    <x v="184"/>
    <x v="0"/>
    <x v="78"/>
    <n v="231"/>
    <n v="1"/>
    <n v="20900"/>
    <n v="20900"/>
    <n v="17563"/>
    <n v="3337"/>
  </r>
  <r>
    <x v="0"/>
    <x v="1137"/>
    <x v="184"/>
    <x v="0"/>
    <x v="78"/>
    <n v="264"/>
    <n v="1"/>
    <n v="5000"/>
    <n v="5000"/>
    <n v="4202"/>
    <n v="798"/>
  </r>
  <r>
    <x v="0"/>
    <x v="1138"/>
    <x v="184"/>
    <x v="0"/>
    <x v="46"/>
    <n v="329"/>
    <n v="1"/>
    <n v="6000"/>
    <n v="6000"/>
    <n v="5042"/>
    <n v="958"/>
  </r>
  <r>
    <x v="0"/>
    <x v="1139"/>
    <x v="184"/>
    <x v="0"/>
    <x v="81"/>
    <n v="261"/>
    <n v="2"/>
    <n v="14000"/>
    <n v="28000"/>
    <n v="23529"/>
    <n v="4471"/>
  </r>
  <r>
    <x v="0"/>
    <x v="1140"/>
    <x v="184"/>
    <x v="0"/>
    <x v="111"/>
    <n v="136"/>
    <n v="1"/>
    <n v="4500"/>
    <n v="4500"/>
    <n v="3782"/>
    <n v="718"/>
  </r>
  <r>
    <x v="0"/>
    <x v="1141"/>
    <x v="184"/>
    <x v="0"/>
    <x v="12"/>
    <n v="290"/>
    <n v="1"/>
    <n v="1200"/>
    <n v="1200"/>
    <n v="1008"/>
    <n v="192"/>
  </r>
  <r>
    <x v="0"/>
    <x v="1142"/>
    <x v="185"/>
    <x v="0"/>
    <x v="41"/>
    <n v="231"/>
    <n v="1"/>
    <n v="20900"/>
    <n v="20900"/>
    <n v="17563"/>
    <n v="3337"/>
  </r>
  <r>
    <x v="0"/>
    <x v="1143"/>
    <x v="185"/>
    <x v="0"/>
    <x v="5"/>
    <n v="143"/>
    <n v="1"/>
    <n v="8200"/>
    <n v="8200"/>
    <n v="6891"/>
    <n v="1309"/>
  </r>
  <r>
    <x v="0"/>
    <x v="1144"/>
    <x v="185"/>
    <x v="0"/>
    <x v="21"/>
    <n v="324"/>
    <n v="2"/>
    <n v="22000"/>
    <n v="44000"/>
    <n v="36975"/>
    <n v="7025"/>
  </r>
  <r>
    <x v="0"/>
    <x v="1144"/>
    <x v="185"/>
    <x v="0"/>
    <x v="21"/>
    <n v="143"/>
    <n v="1"/>
    <n v="8200"/>
    <n v="8200"/>
    <n v="6891"/>
    <n v="1309"/>
  </r>
  <r>
    <x v="0"/>
    <x v="1145"/>
    <x v="185"/>
    <x v="0"/>
    <x v="105"/>
    <n v="354"/>
    <n v="1"/>
    <n v="1800"/>
    <n v="1800"/>
    <n v="1513"/>
    <n v="287"/>
  </r>
  <r>
    <x v="0"/>
    <x v="1145"/>
    <x v="185"/>
    <x v="0"/>
    <x v="105"/>
    <n v="286"/>
    <n v="1"/>
    <n v="1100"/>
    <n v="1100"/>
    <n v="924"/>
    <n v="176"/>
  </r>
  <r>
    <x v="0"/>
    <x v="1146"/>
    <x v="185"/>
    <x v="0"/>
    <x v="29"/>
    <n v="143"/>
    <n v="1"/>
    <n v="8200"/>
    <n v="8200"/>
    <n v="6891"/>
    <n v="1309"/>
  </r>
  <r>
    <x v="0"/>
    <x v="1147"/>
    <x v="185"/>
    <x v="0"/>
    <x v="119"/>
    <n v="329"/>
    <n v="1"/>
    <n v="6000"/>
    <n v="6000"/>
    <n v="5042"/>
    <n v="958"/>
  </r>
  <r>
    <x v="0"/>
    <x v="1148"/>
    <x v="186"/>
    <x v="0"/>
    <x v="244"/>
    <n v="329"/>
    <n v="1"/>
    <n v="6000"/>
    <n v="6000"/>
    <n v="5042"/>
    <n v="958"/>
  </r>
  <r>
    <x v="0"/>
    <x v="1148"/>
    <x v="186"/>
    <x v="0"/>
    <x v="244"/>
    <n v="112"/>
    <n v="1"/>
    <n v="-1000"/>
    <n v="-1000"/>
    <n v="-840"/>
    <n v="-160"/>
  </r>
  <r>
    <x v="0"/>
    <x v="1148"/>
    <x v="186"/>
    <x v="0"/>
    <x v="244"/>
    <n v="191"/>
    <n v="1"/>
    <n v="2500"/>
    <n v="2500"/>
    <n v="2101"/>
    <n v="399"/>
  </r>
  <r>
    <x v="0"/>
    <x v="1148"/>
    <x v="186"/>
    <x v="0"/>
    <x v="244"/>
    <n v="143"/>
    <n v="1"/>
    <n v="8200"/>
    <n v="8200"/>
    <n v="6891"/>
    <n v="1309"/>
  </r>
  <r>
    <x v="0"/>
    <x v="1148"/>
    <x v="186"/>
    <x v="0"/>
    <x v="244"/>
    <n v="387"/>
    <n v="1"/>
    <n v="1500"/>
    <n v="1500"/>
    <n v="1261"/>
    <n v="239"/>
  </r>
  <r>
    <x v="0"/>
    <x v="1148"/>
    <x v="186"/>
    <x v="0"/>
    <x v="244"/>
    <n v="354"/>
    <n v="1"/>
    <n v="1800"/>
    <n v="1800"/>
    <n v="1513"/>
    <n v="287"/>
  </r>
  <r>
    <x v="0"/>
    <x v="1148"/>
    <x v="186"/>
    <x v="0"/>
    <x v="244"/>
    <n v="298"/>
    <n v="1"/>
    <n v="2500"/>
    <n v="2500"/>
    <n v="2101"/>
    <n v="399"/>
  </r>
  <r>
    <x v="0"/>
    <x v="1149"/>
    <x v="186"/>
    <x v="0"/>
    <x v="154"/>
    <n v="231"/>
    <n v="1"/>
    <n v="20900"/>
    <n v="20900"/>
    <n v="17563"/>
    <n v="3337"/>
  </r>
  <r>
    <x v="0"/>
    <x v="1149"/>
    <x v="186"/>
    <x v="0"/>
    <x v="154"/>
    <n v="244"/>
    <n v="1"/>
    <n v="14900"/>
    <n v="14900"/>
    <n v="12521"/>
    <n v="2379"/>
  </r>
  <r>
    <x v="0"/>
    <x v="1150"/>
    <x v="186"/>
    <x v="0"/>
    <x v="10"/>
    <n v="233"/>
    <n v="1"/>
    <n v="15990"/>
    <n v="15990"/>
    <n v="13437"/>
    <n v="2553"/>
  </r>
  <r>
    <x v="0"/>
    <x v="1150"/>
    <x v="186"/>
    <x v="0"/>
    <x v="10"/>
    <n v="143"/>
    <n v="1"/>
    <n v="8200"/>
    <n v="8200"/>
    <n v="6891"/>
    <n v="1309"/>
  </r>
  <r>
    <x v="0"/>
    <x v="1151"/>
    <x v="186"/>
    <x v="0"/>
    <x v="173"/>
    <n v="369"/>
    <n v="2"/>
    <n v="21000"/>
    <n v="42000"/>
    <n v="35294"/>
    <n v="6706"/>
  </r>
  <r>
    <x v="0"/>
    <x v="1152"/>
    <x v="186"/>
    <x v="0"/>
    <x v="123"/>
    <n v="118"/>
    <n v="1"/>
    <n v="3500"/>
    <n v="3500"/>
    <n v="2941"/>
    <n v="559"/>
  </r>
  <r>
    <x v="0"/>
    <x v="1152"/>
    <x v="186"/>
    <x v="0"/>
    <x v="123"/>
    <n v="165"/>
    <n v="1"/>
    <n v="2000"/>
    <n v="2000"/>
    <n v="1681"/>
    <n v="319"/>
  </r>
  <r>
    <x v="0"/>
    <x v="1152"/>
    <x v="186"/>
    <x v="0"/>
    <x v="123"/>
    <n v="66"/>
    <n v="1"/>
    <n v="600"/>
    <n v="600"/>
    <n v="504"/>
    <n v="96"/>
  </r>
  <r>
    <x v="0"/>
    <x v="1152"/>
    <x v="186"/>
    <x v="0"/>
    <x v="123"/>
    <n v="358"/>
    <n v="1"/>
    <n v="2500"/>
    <n v="2500"/>
    <n v="2101"/>
    <n v="399"/>
  </r>
  <r>
    <x v="0"/>
    <x v="1153"/>
    <x v="187"/>
    <x v="0"/>
    <x v="52"/>
    <n v="329"/>
    <n v="1"/>
    <n v="6000"/>
    <n v="6000"/>
    <n v="5042"/>
    <n v="958"/>
  </r>
  <r>
    <x v="0"/>
    <x v="1154"/>
    <x v="188"/>
    <x v="0"/>
    <x v="3"/>
    <n v="230"/>
    <n v="1"/>
    <n v="16500"/>
    <n v="16500"/>
    <n v="13866"/>
    <n v="2634"/>
  </r>
  <r>
    <x v="0"/>
    <x v="1154"/>
    <x v="188"/>
    <x v="0"/>
    <x v="3"/>
    <n v="369"/>
    <n v="1"/>
    <n v="10500"/>
    <n v="10500"/>
    <n v="8824"/>
    <n v="1676"/>
  </r>
  <r>
    <x v="0"/>
    <x v="1155"/>
    <x v="188"/>
    <x v="0"/>
    <x v="98"/>
    <n v="11"/>
    <n v="1"/>
    <n v="2500"/>
    <n v="2500"/>
    <n v="2101"/>
    <n v="399"/>
  </r>
  <r>
    <x v="0"/>
    <x v="1155"/>
    <x v="188"/>
    <x v="0"/>
    <x v="98"/>
    <n v="231"/>
    <n v="1"/>
    <n v="20900"/>
    <n v="20900"/>
    <n v="17563"/>
    <n v="3337"/>
  </r>
  <r>
    <x v="0"/>
    <x v="1155"/>
    <x v="188"/>
    <x v="0"/>
    <x v="98"/>
    <n v="378"/>
    <n v="4"/>
    <n v="4800"/>
    <n v="19200"/>
    <n v="16134"/>
    <n v="3066"/>
  </r>
  <r>
    <x v="0"/>
    <x v="1155"/>
    <x v="188"/>
    <x v="0"/>
    <x v="98"/>
    <n v="120"/>
    <n v="2"/>
    <n v="3800"/>
    <n v="7600"/>
    <n v="6387"/>
    <n v="1213"/>
  </r>
  <r>
    <x v="0"/>
    <x v="1155"/>
    <x v="188"/>
    <x v="0"/>
    <x v="98"/>
    <n v="324"/>
    <n v="1"/>
    <n v="11000"/>
    <n v="11000"/>
    <n v="9244"/>
    <n v="1756"/>
  </r>
  <r>
    <x v="0"/>
    <x v="1155"/>
    <x v="188"/>
    <x v="0"/>
    <x v="98"/>
    <n v="169"/>
    <n v="1"/>
    <n v="2700"/>
    <n v="2700"/>
    <n v="2269"/>
    <n v="431"/>
  </r>
  <r>
    <x v="0"/>
    <x v="1155"/>
    <x v="188"/>
    <x v="0"/>
    <x v="98"/>
    <n v="273"/>
    <n v="1"/>
    <n v="1300"/>
    <n v="1300"/>
    <n v="1092"/>
    <n v="208"/>
  </r>
  <r>
    <x v="0"/>
    <x v="1155"/>
    <x v="188"/>
    <x v="0"/>
    <x v="98"/>
    <n v="21"/>
    <n v="1"/>
    <n v="3200"/>
    <n v="3200"/>
    <n v="2689"/>
    <n v="511"/>
  </r>
  <r>
    <x v="0"/>
    <x v="1155"/>
    <x v="188"/>
    <x v="0"/>
    <x v="98"/>
    <n v="143"/>
    <n v="1"/>
    <n v="8200"/>
    <n v="8200"/>
    <n v="6891"/>
    <n v="1309"/>
  </r>
  <r>
    <x v="0"/>
    <x v="1156"/>
    <x v="188"/>
    <x v="0"/>
    <x v="171"/>
    <n v="51"/>
    <n v="4"/>
    <n v="16800"/>
    <n v="67200"/>
    <n v="56471"/>
    <n v="10729"/>
  </r>
  <r>
    <x v="0"/>
    <x v="1157"/>
    <x v="188"/>
    <x v="0"/>
    <x v="200"/>
    <n v="117"/>
    <n v="2"/>
    <n v="7000"/>
    <n v="14000"/>
    <n v="11765"/>
    <n v="2235"/>
  </r>
  <r>
    <x v="0"/>
    <x v="1157"/>
    <x v="188"/>
    <x v="0"/>
    <x v="200"/>
    <n v="264"/>
    <n v="1"/>
    <n v="5000"/>
    <n v="5000"/>
    <n v="4202"/>
    <n v="798"/>
  </r>
  <r>
    <x v="0"/>
    <x v="1158"/>
    <x v="188"/>
    <x v="0"/>
    <x v="152"/>
    <n v="231"/>
    <n v="1"/>
    <n v="20900"/>
    <n v="20900"/>
    <n v="17563"/>
    <n v="3337"/>
  </r>
  <r>
    <x v="0"/>
    <x v="1158"/>
    <x v="188"/>
    <x v="0"/>
    <x v="152"/>
    <n v="264"/>
    <n v="1"/>
    <n v="5000"/>
    <n v="5000"/>
    <n v="4202"/>
    <n v="798"/>
  </r>
  <r>
    <x v="0"/>
    <x v="1158"/>
    <x v="188"/>
    <x v="0"/>
    <x v="152"/>
    <n v="244"/>
    <n v="1"/>
    <n v="14900"/>
    <n v="14900"/>
    <n v="12521"/>
    <n v="2379"/>
  </r>
  <r>
    <x v="0"/>
    <x v="1158"/>
    <x v="188"/>
    <x v="0"/>
    <x v="152"/>
    <n v="120"/>
    <n v="1"/>
    <n v="1900"/>
    <n v="1900"/>
    <n v="1597"/>
    <n v="303"/>
  </r>
  <r>
    <x v="0"/>
    <x v="1159"/>
    <x v="188"/>
    <x v="0"/>
    <x v="111"/>
    <n v="143"/>
    <n v="1"/>
    <n v="8200"/>
    <n v="8200"/>
    <n v="6891"/>
    <n v="1309"/>
  </r>
  <r>
    <x v="0"/>
    <x v="1160"/>
    <x v="188"/>
    <x v="0"/>
    <x v="61"/>
    <n v="231"/>
    <n v="1"/>
    <n v="20900"/>
    <n v="20900"/>
    <n v="17563"/>
    <n v="3337"/>
  </r>
  <r>
    <x v="0"/>
    <x v="1161"/>
    <x v="189"/>
    <x v="0"/>
    <x v="18"/>
    <n v="329"/>
    <n v="1"/>
    <n v="6000"/>
    <n v="6000"/>
    <n v="5042"/>
    <n v="958"/>
  </r>
  <r>
    <x v="0"/>
    <x v="1162"/>
    <x v="189"/>
    <x v="0"/>
    <x v="72"/>
    <n v="117"/>
    <n v="2"/>
    <n v="7000"/>
    <n v="14000"/>
    <n v="11765"/>
    <n v="2235"/>
  </r>
  <r>
    <x v="0"/>
    <x v="1163"/>
    <x v="189"/>
    <x v="0"/>
    <x v="39"/>
    <n v="231"/>
    <n v="1"/>
    <n v="20900"/>
    <n v="20900"/>
    <n v="17563"/>
    <n v="3337"/>
  </r>
  <r>
    <x v="0"/>
    <x v="1163"/>
    <x v="189"/>
    <x v="0"/>
    <x v="39"/>
    <n v="278"/>
    <n v="1"/>
    <n v="11500"/>
    <n v="11500"/>
    <n v="9664"/>
    <n v="1836"/>
  </r>
  <r>
    <x v="0"/>
    <x v="1163"/>
    <x v="189"/>
    <x v="0"/>
    <x v="39"/>
    <n v="264"/>
    <n v="1"/>
    <n v="5000"/>
    <n v="5000"/>
    <n v="4202"/>
    <n v="798"/>
  </r>
  <r>
    <x v="0"/>
    <x v="1163"/>
    <x v="189"/>
    <x v="0"/>
    <x v="39"/>
    <n v="354"/>
    <n v="1"/>
    <n v="1800"/>
    <n v="1800"/>
    <n v="1513"/>
    <n v="287"/>
  </r>
  <r>
    <x v="0"/>
    <x v="1163"/>
    <x v="189"/>
    <x v="0"/>
    <x v="39"/>
    <n v="329"/>
    <n v="1"/>
    <n v="6000"/>
    <n v="6000"/>
    <n v="5042"/>
    <n v="958"/>
  </r>
  <r>
    <x v="0"/>
    <x v="1164"/>
    <x v="189"/>
    <x v="0"/>
    <x v="74"/>
    <n v="359"/>
    <n v="1"/>
    <n v="2700"/>
    <n v="2700"/>
    <n v="2269"/>
    <n v="431"/>
  </r>
  <r>
    <x v="0"/>
    <x v="1164"/>
    <x v="189"/>
    <x v="0"/>
    <x v="74"/>
    <n v="31"/>
    <n v="1"/>
    <n v="3400"/>
    <n v="3400"/>
    <n v="2857"/>
    <n v="543"/>
  </r>
  <r>
    <x v="0"/>
    <x v="1164"/>
    <x v="189"/>
    <x v="0"/>
    <x v="74"/>
    <n v="259"/>
    <n v="1"/>
    <n v="4500"/>
    <n v="4500"/>
    <n v="3782"/>
    <n v="718"/>
  </r>
  <r>
    <x v="0"/>
    <x v="1164"/>
    <x v="189"/>
    <x v="0"/>
    <x v="74"/>
    <n v="29"/>
    <n v="1"/>
    <n v="1000"/>
    <n v="1000"/>
    <n v="840"/>
    <n v="160"/>
  </r>
  <r>
    <x v="0"/>
    <x v="1164"/>
    <x v="189"/>
    <x v="0"/>
    <x v="74"/>
    <n v="287"/>
    <n v="1"/>
    <n v="3000"/>
    <n v="3000"/>
    <n v="2521"/>
    <n v="479"/>
  </r>
  <r>
    <x v="0"/>
    <x v="1164"/>
    <x v="189"/>
    <x v="0"/>
    <x v="74"/>
    <n v="332"/>
    <n v="1"/>
    <n v="2600"/>
    <n v="2600"/>
    <n v="2185"/>
    <n v="415"/>
  </r>
  <r>
    <x v="0"/>
    <x v="1164"/>
    <x v="189"/>
    <x v="0"/>
    <x v="74"/>
    <n v="99"/>
    <n v="1"/>
    <n v="1700"/>
    <n v="1700"/>
    <n v="1429"/>
    <n v="271"/>
  </r>
  <r>
    <x v="0"/>
    <x v="1164"/>
    <x v="189"/>
    <x v="0"/>
    <x v="74"/>
    <n v="165"/>
    <n v="1"/>
    <n v="2000"/>
    <n v="2000"/>
    <n v="1681"/>
    <n v="319"/>
  </r>
  <r>
    <x v="0"/>
    <x v="1164"/>
    <x v="189"/>
    <x v="0"/>
    <x v="74"/>
    <n v="143"/>
    <n v="1"/>
    <n v="8200"/>
    <n v="8200"/>
    <n v="6891"/>
    <n v="1309"/>
  </r>
  <r>
    <x v="0"/>
    <x v="1164"/>
    <x v="189"/>
    <x v="0"/>
    <x v="74"/>
    <n v="230"/>
    <n v="1"/>
    <n v="16500"/>
    <n v="16500"/>
    <n v="13866"/>
    <n v="2634"/>
  </r>
  <r>
    <x v="0"/>
    <x v="1164"/>
    <x v="189"/>
    <x v="0"/>
    <x v="74"/>
    <n v="278"/>
    <n v="1"/>
    <n v="11500"/>
    <n v="11500"/>
    <n v="9664"/>
    <n v="1836"/>
  </r>
  <r>
    <x v="0"/>
    <x v="1165"/>
    <x v="189"/>
    <x v="0"/>
    <x v="7"/>
    <n v="231"/>
    <n v="1"/>
    <n v="20900"/>
    <n v="20900"/>
    <n v="17563"/>
    <n v="3337"/>
  </r>
  <r>
    <x v="0"/>
    <x v="1166"/>
    <x v="190"/>
    <x v="0"/>
    <x v="17"/>
    <n v="324"/>
    <n v="1"/>
    <n v="11000"/>
    <n v="11000"/>
    <n v="9244"/>
    <n v="1756"/>
  </r>
  <r>
    <x v="0"/>
    <x v="1167"/>
    <x v="190"/>
    <x v="0"/>
    <x v="59"/>
    <n v="324"/>
    <n v="1"/>
    <n v="11000"/>
    <n v="11000"/>
    <n v="9244"/>
    <n v="1756"/>
  </r>
  <r>
    <x v="0"/>
    <x v="1167"/>
    <x v="190"/>
    <x v="0"/>
    <x v="59"/>
    <n v="143"/>
    <n v="1"/>
    <n v="7900"/>
    <n v="7900"/>
    <n v="6639"/>
    <n v="1261"/>
  </r>
  <r>
    <x v="0"/>
    <x v="1168"/>
    <x v="190"/>
    <x v="0"/>
    <x v="24"/>
    <n v="230"/>
    <n v="1"/>
    <n v="16500"/>
    <n v="16500"/>
    <n v="13866"/>
    <n v="2634"/>
  </r>
  <r>
    <x v="0"/>
    <x v="1168"/>
    <x v="190"/>
    <x v="0"/>
    <x v="24"/>
    <n v="53"/>
    <n v="1"/>
    <n v="4200"/>
    <n v="4200"/>
    <n v="3529"/>
    <n v="671"/>
  </r>
  <r>
    <x v="0"/>
    <x v="1168"/>
    <x v="190"/>
    <x v="0"/>
    <x v="24"/>
    <n v="117"/>
    <n v="1"/>
    <n v="3500"/>
    <n v="3500"/>
    <n v="2941"/>
    <n v="559"/>
  </r>
  <r>
    <x v="0"/>
    <x v="1169"/>
    <x v="191"/>
    <x v="0"/>
    <x v="0"/>
    <n v="324"/>
    <n v="1"/>
    <n v="11000"/>
    <n v="11000"/>
    <n v="9244"/>
    <n v="1756"/>
  </r>
  <r>
    <x v="0"/>
    <x v="1169"/>
    <x v="191"/>
    <x v="0"/>
    <x v="0"/>
    <n v="329"/>
    <n v="1"/>
    <n v="6000"/>
    <n v="6000"/>
    <n v="5042"/>
    <n v="958"/>
  </r>
  <r>
    <x v="0"/>
    <x v="1169"/>
    <x v="191"/>
    <x v="0"/>
    <x v="0"/>
    <n v="118"/>
    <n v="1"/>
    <n v="3500"/>
    <n v="3500"/>
    <n v="2941"/>
    <n v="559"/>
  </r>
  <r>
    <x v="0"/>
    <x v="1169"/>
    <x v="191"/>
    <x v="0"/>
    <x v="0"/>
    <n v="356"/>
    <n v="1"/>
    <n v="3000"/>
    <n v="3000"/>
    <n v="2521"/>
    <n v="479"/>
  </r>
  <r>
    <x v="0"/>
    <x v="1169"/>
    <x v="191"/>
    <x v="0"/>
    <x v="0"/>
    <n v="332"/>
    <n v="1"/>
    <n v="2600"/>
    <n v="2600"/>
    <n v="2185"/>
    <n v="415"/>
  </r>
  <r>
    <x v="0"/>
    <x v="1169"/>
    <x v="191"/>
    <x v="0"/>
    <x v="0"/>
    <n v="97"/>
    <n v="1"/>
    <n v="2000"/>
    <n v="2000"/>
    <n v="1681"/>
    <n v="319"/>
  </r>
  <r>
    <x v="0"/>
    <x v="1169"/>
    <x v="191"/>
    <x v="0"/>
    <x v="0"/>
    <n v="24"/>
    <n v="1"/>
    <n v="1650"/>
    <n v="1650"/>
    <n v="1387"/>
    <n v="263"/>
  </r>
  <r>
    <x v="0"/>
    <x v="1169"/>
    <x v="191"/>
    <x v="0"/>
    <x v="0"/>
    <n v="25"/>
    <n v="1"/>
    <n v="1800"/>
    <n v="1800"/>
    <n v="1513"/>
    <n v="287"/>
  </r>
  <r>
    <x v="0"/>
    <x v="1169"/>
    <x v="191"/>
    <x v="0"/>
    <x v="0"/>
    <n v="56"/>
    <n v="1"/>
    <n v="1500"/>
    <n v="1500"/>
    <n v="1261"/>
    <n v="239"/>
  </r>
  <r>
    <x v="0"/>
    <x v="1170"/>
    <x v="191"/>
    <x v="0"/>
    <x v="36"/>
    <n v="98"/>
    <n v="1"/>
    <n v="3500"/>
    <n v="3500"/>
    <n v="2941"/>
    <n v="559"/>
  </r>
  <r>
    <x v="0"/>
    <x v="1170"/>
    <x v="191"/>
    <x v="0"/>
    <x v="36"/>
    <n v="99"/>
    <n v="1"/>
    <n v="1700"/>
    <n v="1700"/>
    <n v="1429"/>
    <n v="271"/>
  </r>
  <r>
    <x v="0"/>
    <x v="1170"/>
    <x v="191"/>
    <x v="0"/>
    <x v="36"/>
    <n v="82"/>
    <n v="2"/>
    <n v="3200"/>
    <n v="6400"/>
    <n v="5378"/>
    <n v="1022"/>
  </r>
  <r>
    <x v="0"/>
    <x v="1171"/>
    <x v="191"/>
    <x v="0"/>
    <x v="5"/>
    <n v="270"/>
    <n v="1"/>
    <n v="3000"/>
    <n v="3000"/>
    <n v="2521"/>
    <n v="479"/>
  </r>
  <r>
    <x v="0"/>
    <x v="1171"/>
    <x v="191"/>
    <x v="0"/>
    <x v="5"/>
    <n v="30"/>
    <n v="1"/>
    <n v="3000"/>
    <n v="3000"/>
    <n v="2521"/>
    <n v="479"/>
  </r>
  <r>
    <x v="0"/>
    <x v="1171"/>
    <x v="191"/>
    <x v="0"/>
    <x v="5"/>
    <n v="274"/>
    <n v="1"/>
    <n v="7500"/>
    <n v="7500"/>
    <n v="6303"/>
    <n v="1197"/>
  </r>
  <r>
    <x v="0"/>
    <x v="1172"/>
    <x v="191"/>
    <x v="0"/>
    <x v="38"/>
    <n v="324"/>
    <n v="1"/>
    <n v="11000"/>
    <n v="11000"/>
    <n v="9244"/>
    <n v="1756"/>
  </r>
  <r>
    <x v="0"/>
    <x v="1173"/>
    <x v="191"/>
    <x v="0"/>
    <x v="177"/>
    <n v="5"/>
    <n v="1"/>
    <n v="11000"/>
    <n v="11000"/>
    <n v="9244"/>
    <n v="1756"/>
  </r>
  <r>
    <x v="0"/>
    <x v="1174"/>
    <x v="191"/>
    <x v="0"/>
    <x v="27"/>
    <n v="143"/>
    <n v="1"/>
    <n v="7900"/>
    <n v="7900"/>
    <n v="6639"/>
    <n v="1261"/>
  </r>
  <r>
    <x v="0"/>
    <x v="1174"/>
    <x v="191"/>
    <x v="0"/>
    <x v="27"/>
    <n v="324"/>
    <n v="1"/>
    <n v="11000"/>
    <n v="11000"/>
    <n v="9244"/>
    <n v="1756"/>
  </r>
  <r>
    <x v="0"/>
    <x v="1175"/>
    <x v="191"/>
    <x v="0"/>
    <x v="119"/>
    <n v="278"/>
    <n v="1"/>
    <n v="11500"/>
    <n v="11500"/>
    <n v="9664"/>
    <n v="1836"/>
  </r>
  <r>
    <x v="0"/>
    <x v="1175"/>
    <x v="191"/>
    <x v="0"/>
    <x v="119"/>
    <n v="264"/>
    <n v="1"/>
    <n v="5000"/>
    <n v="5000"/>
    <n v="4202"/>
    <n v="798"/>
  </r>
  <r>
    <x v="0"/>
    <x v="1176"/>
    <x v="191"/>
    <x v="0"/>
    <x v="186"/>
    <n v="143"/>
    <n v="1"/>
    <n v="7900"/>
    <n v="7900"/>
    <n v="6639"/>
    <n v="1261"/>
  </r>
  <r>
    <x v="0"/>
    <x v="1177"/>
    <x v="191"/>
    <x v="0"/>
    <x v="61"/>
    <n v="261"/>
    <n v="1"/>
    <n v="7000"/>
    <n v="7000"/>
    <n v="5882"/>
    <n v="1118"/>
  </r>
  <r>
    <x v="0"/>
    <x v="1178"/>
    <x v="192"/>
    <x v="0"/>
    <x v="0"/>
    <n v="368"/>
    <n v="1"/>
    <n v="3000"/>
    <n v="3000"/>
    <n v="2521"/>
    <n v="479"/>
  </r>
  <r>
    <x v="0"/>
    <x v="1179"/>
    <x v="192"/>
    <x v="0"/>
    <x v="37"/>
    <n v="143"/>
    <n v="1"/>
    <n v="7900"/>
    <n v="7900"/>
    <n v="6639"/>
    <n v="1261"/>
  </r>
  <r>
    <x v="0"/>
    <x v="1180"/>
    <x v="192"/>
    <x v="0"/>
    <x v="5"/>
    <n v="329"/>
    <n v="1"/>
    <n v="6000"/>
    <n v="6000"/>
    <n v="5042"/>
    <n v="958"/>
  </r>
  <r>
    <x v="0"/>
    <x v="1181"/>
    <x v="192"/>
    <x v="0"/>
    <x v="91"/>
    <n v="324"/>
    <n v="4"/>
    <n v="44000"/>
    <n v="176000"/>
    <n v="147899"/>
    <n v="28101"/>
  </r>
  <r>
    <x v="0"/>
    <x v="1181"/>
    <x v="192"/>
    <x v="0"/>
    <x v="91"/>
    <n v="263"/>
    <n v="2"/>
    <n v="16000"/>
    <n v="32000"/>
    <n v="26891"/>
    <n v="5109"/>
  </r>
  <r>
    <x v="0"/>
    <x v="1181"/>
    <x v="192"/>
    <x v="0"/>
    <x v="91"/>
    <n v="143"/>
    <n v="1"/>
    <n v="7900"/>
    <n v="7900"/>
    <n v="6639"/>
    <n v="1261"/>
  </r>
  <r>
    <x v="0"/>
    <x v="1182"/>
    <x v="193"/>
    <x v="0"/>
    <x v="255"/>
    <n v="18"/>
    <n v="1"/>
    <n v="1000"/>
    <n v="1000"/>
    <n v="840"/>
    <n v="160"/>
  </r>
  <r>
    <x v="0"/>
    <x v="1182"/>
    <x v="193"/>
    <x v="0"/>
    <x v="255"/>
    <n v="56"/>
    <n v="1"/>
    <n v="1500"/>
    <n v="1500"/>
    <n v="1261"/>
    <n v="239"/>
  </r>
  <r>
    <x v="0"/>
    <x v="1182"/>
    <x v="193"/>
    <x v="0"/>
    <x v="255"/>
    <n v="254"/>
    <n v="1"/>
    <n v="2000"/>
    <n v="2000"/>
    <n v="1681"/>
    <n v="319"/>
  </r>
  <r>
    <x v="0"/>
    <x v="1182"/>
    <x v="193"/>
    <x v="0"/>
    <x v="255"/>
    <n v="384"/>
    <n v="1"/>
    <n v="2750"/>
    <n v="2750"/>
    <n v="2311"/>
    <n v="439"/>
  </r>
  <r>
    <x v="0"/>
    <x v="1183"/>
    <x v="193"/>
    <x v="0"/>
    <x v="256"/>
    <n v="143"/>
    <n v="1"/>
    <n v="7900"/>
    <n v="7900"/>
    <n v="6639"/>
    <n v="1261"/>
  </r>
  <r>
    <x v="0"/>
    <x v="1184"/>
    <x v="193"/>
    <x v="0"/>
    <x v="181"/>
    <n v="324"/>
    <n v="1"/>
    <n v="11000"/>
    <n v="11000"/>
    <n v="9244"/>
    <n v="1756"/>
  </r>
  <r>
    <x v="0"/>
    <x v="1184"/>
    <x v="193"/>
    <x v="0"/>
    <x v="181"/>
    <n v="143"/>
    <n v="1"/>
    <n v="7900"/>
    <n v="7900"/>
    <n v="6639"/>
    <n v="1261"/>
  </r>
  <r>
    <x v="0"/>
    <x v="1184"/>
    <x v="193"/>
    <x v="0"/>
    <x v="181"/>
    <n v="382"/>
    <n v="1"/>
    <n v="2600"/>
    <n v="2600"/>
    <n v="2185"/>
    <n v="415"/>
  </r>
  <r>
    <x v="0"/>
    <x v="1184"/>
    <x v="193"/>
    <x v="0"/>
    <x v="181"/>
    <n v="332"/>
    <n v="1"/>
    <n v="2600"/>
    <n v="2600"/>
    <n v="2185"/>
    <n v="415"/>
  </r>
  <r>
    <x v="0"/>
    <x v="1184"/>
    <x v="193"/>
    <x v="0"/>
    <x v="181"/>
    <n v="99"/>
    <n v="1"/>
    <n v="1700"/>
    <n v="1700"/>
    <n v="1429"/>
    <n v="271"/>
  </r>
  <r>
    <x v="0"/>
    <x v="1184"/>
    <x v="193"/>
    <x v="0"/>
    <x v="181"/>
    <n v="114"/>
    <n v="1"/>
    <n v="1600"/>
    <n v="1600"/>
    <n v="1345"/>
    <n v="255"/>
  </r>
  <r>
    <x v="0"/>
    <x v="1184"/>
    <x v="193"/>
    <x v="0"/>
    <x v="181"/>
    <n v="115"/>
    <n v="1"/>
    <n v="1600"/>
    <n v="1600"/>
    <n v="1345"/>
    <n v="255"/>
  </r>
  <r>
    <x v="0"/>
    <x v="1184"/>
    <x v="193"/>
    <x v="0"/>
    <x v="181"/>
    <n v="116"/>
    <n v="1"/>
    <n v="1600"/>
    <n v="1600"/>
    <n v="1345"/>
    <n v="255"/>
  </r>
  <r>
    <x v="0"/>
    <x v="1184"/>
    <x v="193"/>
    <x v="0"/>
    <x v="181"/>
    <n v="230"/>
    <n v="1"/>
    <n v="16500"/>
    <n v="16500"/>
    <n v="13866"/>
    <n v="2634"/>
  </r>
  <r>
    <x v="0"/>
    <x v="1184"/>
    <x v="193"/>
    <x v="0"/>
    <x v="181"/>
    <n v="166"/>
    <n v="1"/>
    <n v="1600"/>
    <n v="1600"/>
    <n v="1345"/>
    <n v="255"/>
  </r>
  <r>
    <x v="0"/>
    <x v="1184"/>
    <x v="193"/>
    <x v="0"/>
    <x v="181"/>
    <n v="354"/>
    <n v="1"/>
    <n v="1800"/>
    <n v="1800"/>
    <n v="1513"/>
    <n v="287"/>
  </r>
  <r>
    <x v="0"/>
    <x v="1184"/>
    <x v="193"/>
    <x v="0"/>
    <x v="181"/>
    <n v="68"/>
    <n v="1"/>
    <n v="1200"/>
    <n v="1200"/>
    <n v="1008"/>
    <n v="192"/>
  </r>
  <r>
    <x v="0"/>
    <x v="1184"/>
    <x v="193"/>
    <x v="0"/>
    <x v="181"/>
    <n v="69"/>
    <n v="1"/>
    <n v="3000"/>
    <n v="3000"/>
    <n v="2521"/>
    <n v="479"/>
  </r>
  <r>
    <x v="0"/>
    <x v="1185"/>
    <x v="193"/>
    <x v="0"/>
    <x v="2"/>
    <n v="230"/>
    <n v="1"/>
    <n v="16500"/>
    <n v="16500"/>
    <n v="13866"/>
    <n v="2634"/>
  </r>
  <r>
    <x v="0"/>
    <x v="1186"/>
    <x v="193"/>
    <x v="0"/>
    <x v="4"/>
    <n v="143"/>
    <n v="1"/>
    <n v="7900"/>
    <n v="7900"/>
    <n v="6639"/>
    <n v="1261"/>
  </r>
  <r>
    <x v="0"/>
    <x v="1186"/>
    <x v="193"/>
    <x v="0"/>
    <x v="4"/>
    <n v="365"/>
    <n v="2"/>
    <n v="6400"/>
    <n v="12800"/>
    <n v="10756"/>
    <n v="2044"/>
  </r>
  <r>
    <x v="0"/>
    <x v="1187"/>
    <x v="193"/>
    <x v="0"/>
    <x v="54"/>
    <n v="143"/>
    <n v="2"/>
    <n v="15800"/>
    <n v="31600"/>
    <n v="26555"/>
    <n v="5045"/>
  </r>
  <r>
    <x v="0"/>
    <x v="1188"/>
    <x v="193"/>
    <x v="0"/>
    <x v="200"/>
    <n v="231"/>
    <n v="1"/>
    <n v="20900"/>
    <n v="20900"/>
    <n v="17563"/>
    <n v="3337"/>
  </r>
  <r>
    <x v="0"/>
    <x v="1189"/>
    <x v="193"/>
    <x v="0"/>
    <x v="208"/>
    <n v="143"/>
    <n v="1"/>
    <n v="7900"/>
    <n v="7900"/>
    <n v="6639"/>
    <n v="1261"/>
  </r>
  <r>
    <x v="0"/>
    <x v="1190"/>
    <x v="193"/>
    <x v="0"/>
    <x v="8"/>
    <n v="324"/>
    <n v="1"/>
    <n v="11000"/>
    <n v="11000"/>
    <n v="9244"/>
    <n v="1756"/>
  </r>
  <r>
    <x v="0"/>
    <x v="1191"/>
    <x v="193"/>
    <x v="0"/>
    <x v="9"/>
    <n v="117"/>
    <n v="1"/>
    <n v="3500"/>
    <n v="3500"/>
    <n v="2941"/>
    <n v="559"/>
  </r>
  <r>
    <x v="0"/>
    <x v="1191"/>
    <x v="193"/>
    <x v="0"/>
    <x v="9"/>
    <n v="368"/>
    <n v="1"/>
    <n v="3000"/>
    <n v="3000"/>
    <n v="2521"/>
    <n v="479"/>
  </r>
  <r>
    <x v="0"/>
    <x v="1192"/>
    <x v="193"/>
    <x v="0"/>
    <x v="64"/>
    <n v="143"/>
    <n v="1"/>
    <n v="7900"/>
    <n v="7900"/>
    <n v="6639"/>
    <n v="1261"/>
  </r>
  <r>
    <x v="0"/>
    <x v="1192"/>
    <x v="193"/>
    <x v="0"/>
    <x v="64"/>
    <n v="329"/>
    <n v="1"/>
    <n v="6000"/>
    <n v="6000"/>
    <n v="5042"/>
    <n v="958"/>
  </r>
  <r>
    <x v="0"/>
    <x v="1193"/>
    <x v="194"/>
    <x v="0"/>
    <x v="124"/>
    <n v="231"/>
    <n v="1"/>
    <n v="20900"/>
    <n v="20900"/>
    <n v="17563"/>
    <n v="3337"/>
  </r>
  <r>
    <x v="0"/>
    <x v="1194"/>
    <x v="194"/>
    <x v="0"/>
    <x v="5"/>
    <n v="329"/>
    <n v="1"/>
    <n v="6000"/>
    <n v="6000"/>
    <n v="5042"/>
    <n v="958"/>
  </r>
  <r>
    <x v="0"/>
    <x v="1195"/>
    <x v="194"/>
    <x v="0"/>
    <x v="10"/>
    <n v="143"/>
    <n v="1"/>
    <n v="7900"/>
    <n v="7900"/>
    <n v="6639"/>
    <n v="1261"/>
  </r>
  <r>
    <x v="0"/>
    <x v="1196"/>
    <x v="195"/>
    <x v="0"/>
    <x v="124"/>
    <n v="143"/>
    <n v="1"/>
    <n v="7900"/>
    <n v="7900"/>
    <n v="6639"/>
    <n v="1261"/>
  </r>
  <r>
    <x v="0"/>
    <x v="1197"/>
    <x v="195"/>
    <x v="0"/>
    <x v="88"/>
    <n v="329"/>
    <n v="1"/>
    <n v="6000"/>
    <n v="6000"/>
    <n v="5042"/>
    <n v="958"/>
  </r>
  <r>
    <x v="0"/>
    <x v="1198"/>
    <x v="195"/>
    <x v="0"/>
    <x v="36"/>
    <n v="143"/>
    <n v="2"/>
    <n v="15800"/>
    <n v="31600"/>
    <n v="26555"/>
    <n v="5045"/>
  </r>
  <r>
    <x v="0"/>
    <x v="1199"/>
    <x v="195"/>
    <x v="0"/>
    <x v="252"/>
    <n v="324"/>
    <n v="1"/>
    <n v="11000"/>
    <n v="11000"/>
    <n v="9244"/>
    <n v="1756"/>
  </r>
  <r>
    <x v="0"/>
    <x v="1200"/>
    <x v="195"/>
    <x v="0"/>
    <x v="220"/>
    <n v="143"/>
    <n v="1"/>
    <n v="7900"/>
    <n v="7900"/>
    <n v="6639"/>
    <n v="1261"/>
  </r>
  <r>
    <x v="0"/>
    <x v="1200"/>
    <x v="195"/>
    <x v="0"/>
    <x v="220"/>
    <n v="329"/>
    <n v="1"/>
    <n v="6000"/>
    <n v="6000"/>
    <n v="5042"/>
    <n v="958"/>
  </r>
  <r>
    <x v="0"/>
    <x v="1201"/>
    <x v="195"/>
    <x v="0"/>
    <x v="5"/>
    <n v="143"/>
    <n v="1"/>
    <n v="7900"/>
    <n v="7900"/>
    <n v="6639"/>
    <n v="1261"/>
  </r>
  <r>
    <x v="0"/>
    <x v="1202"/>
    <x v="195"/>
    <x v="0"/>
    <x v="194"/>
    <n v="324"/>
    <n v="1"/>
    <n v="11000"/>
    <n v="11000"/>
    <n v="9244"/>
    <n v="1756"/>
  </r>
  <r>
    <x v="0"/>
    <x v="1202"/>
    <x v="195"/>
    <x v="0"/>
    <x v="194"/>
    <n v="143"/>
    <n v="1"/>
    <n v="7900"/>
    <n v="7900"/>
    <n v="6639"/>
    <n v="1261"/>
  </r>
  <r>
    <x v="0"/>
    <x v="1203"/>
    <x v="195"/>
    <x v="0"/>
    <x v="80"/>
    <n v="110"/>
    <n v="1"/>
    <n v="4500"/>
    <n v="4500"/>
    <n v="3782"/>
    <n v="718"/>
  </r>
  <r>
    <x v="0"/>
    <x v="1203"/>
    <x v="195"/>
    <x v="0"/>
    <x v="80"/>
    <n v="322"/>
    <n v="1"/>
    <n v="9000"/>
    <n v="9000"/>
    <n v="7563"/>
    <n v="1437"/>
  </r>
  <r>
    <x v="0"/>
    <x v="1203"/>
    <x v="195"/>
    <x v="0"/>
    <x v="80"/>
    <n v="143"/>
    <n v="1"/>
    <n v="7900"/>
    <n v="7900"/>
    <n v="6639"/>
    <n v="1261"/>
  </r>
  <r>
    <x v="0"/>
    <x v="1204"/>
    <x v="195"/>
    <x v="0"/>
    <x v="25"/>
    <n v="322"/>
    <n v="1"/>
    <n v="9000"/>
    <n v="9000"/>
    <n v="7563"/>
    <n v="1437"/>
  </r>
  <r>
    <x v="0"/>
    <x v="1205"/>
    <x v="195"/>
    <x v="0"/>
    <x v="26"/>
    <n v="143"/>
    <n v="1"/>
    <n v="7900"/>
    <n v="7900"/>
    <n v="6639"/>
    <n v="1261"/>
  </r>
  <r>
    <x v="0"/>
    <x v="1205"/>
    <x v="195"/>
    <x v="0"/>
    <x v="26"/>
    <n v="277"/>
    <n v="1"/>
    <n v="10000"/>
    <n v="10000"/>
    <n v="8403"/>
    <n v="1597"/>
  </r>
  <r>
    <x v="0"/>
    <x v="1205"/>
    <x v="195"/>
    <x v="0"/>
    <x v="26"/>
    <n v="118"/>
    <n v="1"/>
    <n v="3500"/>
    <n v="3500"/>
    <n v="2941"/>
    <n v="559"/>
  </r>
  <r>
    <x v="0"/>
    <x v="1205"/>
    <x v="195"/>
    <x v="0"/>
    <x v="26"/>
    <n v="378"/>
    <n v="1"/>
    <n v="1200"/>
    <n v="1200"/>
    <n v="1008"/>
    <n v="192"/>
  </r>
  <r>
    <x v="0"/>
    <x v="1205"/>
    <x v="195"/>
    <x v="0"/>
    <x v="26"/>
    <n v="354"/>
    <n v="1"/>
    <n v="1800"/>
    <n v="1800"/>
    <n v="1513"/>
    <n v="287"/>
  </r>
  <r>
    <x v="0"/>
    <x v="1206"/>
    <x v="195"/>
    <x v="0"/>
    <x v="82"/>
    <n v="329"/>
    <n v="1"/>
    <n v="6000"/>
    <n v="6000"/>
    <n v="5042"/>
    <n v="958"/>
  </r>
  <r>
    <x v="0"/>
    <x v="1207"/>
    <x v="196"/>
    <x v="0"/>
    <x v="18"/>
    <n v="329"/>
    <n v="1"/>
    <n v="6000"/>
    <n v="6000"/>
    <n v="5042"/>
    <n v="958"/>
  </r>
  <r>
    <x v="0"/>
    <x v="1208"/>
    <x v="196"/>
    <x v="0"/>
    <x v="56"/>
    <n v="143"/>
    <n v="1"/>
    <n v="7900"/>
    <n v="7900"/>
    <n v="6639"/>
    <n v="1261"/>
  </r>
  <r>
    <x v="0"/>
    <x v="1209"/>
    <x v="197"/>
    <x v="0"/>
    <x v="41"/>
    <n v="143"/>
    <n v="1"/>
    <n v="7900"/>
    <n v="7900"/>
    <n v="6639"/>
    <n v="1261"/>
  </r>
  <r>
    <x v="0"/>
    <x v="1210"/>
    <x v="197"/>
    <x v="0"/>
    <x v="1"/>
    <n v="232"/>
    <n v="1"/>
    <n v="12500"/>
    <n v="12500"/>
    <n v="10504"/>
    <n v="1996"/>
  </r>
  <r>
    <x v="0"/>
    <x v="1210"/>
    <x v="197"/>
    <x v="0"/>
    <x v="1"/>
    <n v="118"/>
    <n v="1"/>
    <n v="3500"/>
    <n v="3500"/>
    <n v="2941"/>
    <n v="559"/>
  </r>
  <r>
    <x v="0"/>
    <x v="1210"/>
    <x v="197"/>
    <x v="0"/>
    <x v="1"/>
    <n v="283"/>
    <n v="1"/>
    <n v="7600"/>
    <n v="7600"/>
    <n v="6387"/>
    <n v="1213"/>
  </r>
  <r>
    <x v="0"/>
    <x v="1211"/>
    <x v="197"/>
    <x v="0"/>
    <x v="46"/>
    <n v="324"/>
    <n v="1"/>
    <n v="11000"/>
    <n v="11000"/>
    <n v="9244"/>
    <n v="1756"/>
  </r>
  <r>
    <x v="0"/>
    <x v="1211"/>
    <x v="197"/>
    <x v="0"/>
    <x v="46"/>
    <n v="165"/>
    <n v="1"/>
    <n v="2000"/>
    <n v="2000"/>
    <n v="1681"/>
    <n v="319"/>
  </r>
  <r>
    <x v="0"/>
    <x v="1212"/>
    <x v="197"/>
    <x v="0"/>
    <x v="29"/>
    <n v="329"/>
    <n v="1"/>
    <n v="6000"/>
    <n v="6000"/>
    <n v="5042"/>
    <n v="958"/>
  </r>
  <r>
    <x v="0"/>
    <x v="1212"/>
    <x v="197"/>
    <x v="0"/>
    <x v="29"/>
    <n v="368"/>
    <n v="1"/>
    <n v="3000"/>
    <n v="3000"/>
    <n v="2521"/>
    <n v="479"/>
  </r>
  <r>
    <x v="0"/>
    <x v="1213"/>
    <x v="198"/>
    <x v="0"/>
    <x v="157"/>
    <n v="143"/>
    <n v="1"/>
    <n v="7900"/>
    <n v="7900"/>
    <n v="6639"/>
    <n v="1261"/>
  </r>
  <r>
    <x v="0"/>
    <x v="1213"/>
    <x v="198"/>
    <x v="0"/>
    <x v="157"/>
    <n v="69"/>
    <n v="1"/>
    <n v="3000"/>
    <n v="3000"/>
    <n v="2521"/>
    <n v="479"/>
  </r>
  <r>
    <x v="0"/>
    <x v="1213"/>
    <x v="198"/>
    <x v="0"/>
    <x v="157"/>
    <n v="331"/>
    <n v="1"/>
    <n v="3700"/>
    <n v="3700"/>
    <n v="3109"/>
    <n v="591"/>
  </r>
  <r>
    <x v="0"/>
    <x v="1214"/>
    <x v="198"/>
    <x v="0"/>
    <x v="184"/>
    <n v="324"/>
    <n v="1"/>
    <n v="11000"/>
    <n v="11000"/>
    <n v="9244"/>
    <n v="1756"/>
  </r>
  <r>
    <x v="0"/>
    <x v="1215"/>
    <x v="198"/>
    <x v="0"/>
    <x v="25"/>
    <n v="324"/>
    <n v="1"/>
    <n v="11000"/>
    <n v="11000"/>
    <n v="9244"/>
    <n v="1756"/>
  </r>
  <r>
    <x v="0"/>
    <x v="1216"/>
    <x v="199"/>
    <x v="0"/>
    <x v="15"/>
    <n v="322"/>
    <n v="1"/>
    <n v="9000"/>
    <n v="9000"/>
    <n v="7563"/>
    <n v="1437"/>
  </r>
  <r>
    <x v="0"/>
    <x v="1217"/>
    <x v="199"/>
    <x v="0"/>
    <x v="52"/>
    <n v="124"/>
    <n v="1"/>
    <n v="4000"/>
    <n v="4000"/>
    <n v="3361"/>
    <n v="639"/>
  </r>
  <r>
    <x v="0"/>
    <x v="1218"/>
    <x v="199"/>
    <x v="0"/>
    <x v="200"/>
    <n v="231"/>
    <n v="1"/>
    <n v="20900"/>
    <n v="20900"/>
    <n v="17563"/>
    <n v="3337"/>
  </r>
  <r>
    <x v="0"/>
    <x v="1219"/>
    <x v="199"/>
    <x v="0"/>
    <x v="12"/>
    <n v="122"/>
    <n v="1"/>
    <n v="6000"/>
    <n v="6000"/>
    <n v="5042"/>
    <n v="958"/>
  </r>
  <r>
    <x v="0"/>
    <x v="1220"/>
    <x v="200"/>
    <x v="0"/>
    <x v="84"/>
    <n v="324"/>
    <n v="1"/>
    <n v="11000"/>
    <n v="11000"/>
    <n v="9244"/>
    <n v="1756"/>
  </r>
  <r>
    <x v="0"/>
    <x v="1221"/>
    <x v="200"/>
    <x v="0"/>
    <x v="67"/>
    <n v="117"/>
    <n v="2"/>
    <n v="7000"/>
    <n v="14000"/>
    <n v="11765"/>
    <n v="2235"/>
  </r>
  <r>
    <x v="0"/>
    <x v="1222"/>
    <x v="200"/>
    <x v="0"/>
    <x v="34"/>
    <n v="143"/>
    <n v="1"/>
    <n v="7900"/>
    <n v="7900"/>
    <n v="6639"/>
    <n v="1261"/>
  </r>
  <r>
    <x v="0"/>
    <x v="1223"/>
    <x v="200"/>
    <x v="0"/>
    <x v="119"/>
    <n v="7"/>
    <n v="1"/>
    <n v="7000"/>
    <n v="7000"/>
    <n v="5882"/>
    <n v="1118"/>
  </r>
  <r>
    <x v="0"/>
    <x v="1223"/>
    <x v="200"/>
    <x v="0"/>
    <x v="119"/>
    <n v="329"/>
    <n v="1"/>
    <n v="6000"/>
    <n v="6000"/>
    <n v="5042"/>
    <n v="958"/>
  </r>
  <r>
    <x v="0"/>
    <x v="1224"/>
    <x v="201"/>
    <x v="0"/>
    <x v="84"/>
    <n v="324"/>
    <n v="1"/>
    <n v="11000"/>
    <n v="11000"/>
    <n v="9244"/>
    <n v="1756"/>
  </r>
  <r>
    <x v="0"/>
    <x v="1224"/>
    <x v="201"/>
    <x v="0"/>
    <x v="84"/>
    <n v="329"/>
    <n v="1"/>
    <n v="6000"/>
    <n v="6000"/>
    <n v="5042"/>
    <n v="958"/>
  </r>
  <r>
    <x v="0"/>
    <x v="1225"/>
    <x v="201"/>
    <x v="0"/>
    <x v="196"/>
    <n v="329"/>
    <n v="1"/>
    <n v="6000"/>
    <n v="6000"/>
    <n v="5042"/>
    <n v="958"/>
  </r>
  <r>
    <x v="0"/>
    <x v="1225"/>
    <x v="201"/>
    <x v="0"/>
    <x v="196"/>
    <n v="263"/>
    <n v="1"/>
    <n v="8000"/>
    <n v="8000"/>
    <n v="6723"/>
    <n v="1277"/>
  </r>
  <r>
    <x v="0"/>
    <x v="1225"/>
    <x v="201"/>
    <x v="0"/>
    <x v="196"/>
    <n v="7"/>
    <n v="1"/>
    <n v="7000"/>
    <n v="7000"/>
    <n v="5882"/>
    <n v="1118"/>
  </r>
  <r>
    <x v="0"/>
    <x v="1226"/>
    <x v="201"/>
    <x v="0"/>
    <x v="175"/>
    <n v="51"/>
    <n v="2"/>
    <n v="8400"/>
    <n v="16800"/>
    <n v="14118"/>
    <n v="2682"/>
  </r>
  <r>
    <x v="0"/>
    <x v="1227"/>
    <x v="202"/>
    <x v="0"/>
    <x v="105"/>
    <n v="29"/>
    <n v="1"/>
    <n v="1000"/>
    <n v="1000"/>
    <n v="840"/>
    <n v="160"/>
  </r>
  <r>
    <x v="0"/>
    <x v="1227"/>
    <x v="202"/>
    <x v="0"/>
    <x v="105"/>
    <n v="290"/>
    <n v="1"/>
    <n v="1200"/>
    <n v="1200"/>
    <n v="1008"/>
    <n v="192"/>
  </r>
  <r>
    <x v="0"/>
    <x v="1227"/>
    <x v="202"/>
    <x v="0"/>
    <x v="105"/>
    <n v="273"/>
    <n v="1"/>
    <n v="1300"/>
    <n v="1300"/>
    <n v="1092"/>
    <n v="208"/>
  </r>
  <r>
    <x v="0"/>
    <x v="1227"/>
    <x v="202"/>
    <x v="0"/>
    <x v="105"/>
    <n v="18"/>
    <n v="1"/>
    <n v="1000"/>
    <n v="1000"/>
    <n v="840"/>
    <n v="160"/>
  </r>
  <r>
    <x v="0"/>
    <x v="1227"/>
    <x v="202"/>
    <x v="0"/>
    <x v="105"/>
    <n v="12"/>
    <n v="1"/>
    <n v="700"/>
    <n v="700"/>
    <n v="588"/>
    <n v="112"/>
  </r>
  <r>
    <x v="0"/>
    <x v="1227"/>
    <x v="202"/>
    <x v="0"/>
    <x v="105"/>
    <n v="286"/>
    <n v="1"/>
    <n v="1100"/>
    <n v="1100"/>
    <n v="924"/>
    <n v="176"/>
  </r>
  <r>
    <x v="0"/>
    <x v="1227"/>
    <x v="202"/>
    <x v="0"/>
    <x v="105"/>
    <n v="153"/>
    <n v="1"/>
    <n v="1200"/>
    <n v="1200"/>
    <n v="1008"/>
    <n v="192"/>
  </r>
  <r>
    <x v="0"/>
    <x v="1228"/>
    <x v="203"/>
    <x v="0"/>
    <x v="4"/>
    <n v="143"/>
    <n v="1"/>
    <n v="7900"/>
    <n v="7900"/>
    <n v="6639"/>
    <n v="1261"/>
  </r>
  <r>
    <x v="0"/>
    <x v="1228"/>
    <x v="203"/>
    <x v="0"/>
    <x v="4"/>
    <n v="117"/>
    <n v="2"/>
    <n v="7000"/>
    <n v="14000"/>
    <n v="11765"/>
    <n v="2235"/>
  </r>
  <r>
    <x v="0"/>
    <x v="1228"/>
    <x v="203"/>
    <x v="0"/>
    <x v="4"/>
    <n v="365"/>
    <n v="1"/>
    <n v="3200"/>
    <n v="3200"/>
    <n v="2689"/>
    <n v="511"/>
  </r>
  <r>
    <x v="0"/>
    <x v="1229"/>
    <x v="203"/>
    <x v="0"/>
    <x v="36"/>
    <n v="11"/>
    <n v="1"/>
    <n v="2500"/>
    <n v="2500"/>
    <n v="2101"/>
    <n v="399"/>
  </r>
  <r>
    <x v="0"/>
    <x v="1229"/>
    <x v="203"/>
    <x v="0"/>
    <x v="36"/>
    <n v="378"/>
    <n v="1"/>
    <n v="1200"/>
    <n v="1200"/>
    <n v="1008"/>
    <n v="192"/>
  </r>
  <r>
    <x v="0"/>
    <x v="1229"/>
    <x v="203"/>
    <x v="0"/>
    <x v="36"/>
    <n v="274"/>
    <n v="1"/>
    <n v="7500"/>
    <n v="7500"/>
    <n v="6303"/>
    <n v="1197"/>
  </r>
  <r>
    <x v="0"/>
    <x v="1230"/>
    <x v="203"/>
    <x v="0"/>
    <x v="226"/>
    <n v="143"/>
    <n v="1"/>
    <n v="7900"/>
    <n v="7900"/>
    <n v="6639"/>
    <n v="1261"/>
  </r>
  <r>
    <x v="0"/>
    <x v="1231"/>
    <x v="203"/>
    <x v="0"/>
    <x v="5"/>
    <n v="143"/>
    <n v="1"/>
    <n v="7900"/>
    <n v="7900"/>
    <n v="6639"/>
    <n v="1261"/>
  </r>
  <r>
    <x v="0"/>
    <x v="1232"/>
    <x v="203"/>
    <x v="0"/>
    <x v="73"/>
    <n v="143"/>
    <n v="1"/>
    <n v="7900"/>
    <n v="7900"/>
    <n v="6639"/>
    <n v="1261"/>
  </r>
  <r>
    <x v="0"/>
    <x v="1232"/>
    <x v="203"/>
    <x v="0"/>
    <x v="73"/>
    <n v="118"/>
    <n v="1"/>
    <n v="3500"/>
    <n v="3500"/>
    <n v="2941"/>
    <n v="559"/>
  </r>
  <r>
    <x v="0"/>
    <x v="1232"/>
    <x v="203"/>
    <x v="0"/>
    <x v="73"/>
    <n v="378"/>
    <n v="1"/>
    <n v="1200"/>
    <n v="1200"/>
    <n v="1008"/>
    <n v="192"/>
  </r>
  <r>
    <x v="0"/>
    <x v="1232"/>
    <x v="203"/>
    <x v="0"/>
    <x v="73"/>
    <n v="11"/>
    <n v="1"/>
    <n v="2500"/>
    <n v="2500"/>
    <n v="2101"/>
    <n v="399"/>
  </r>
  <r>
    <x v="0"/>
    <x v="1232"/>
    <x v="203"/>
    <x v="0"/>
    <x v="73"/>
    <n v="156"/>
    <n v="1"/>
    <n v="1400"/>
    <n v="1400"/>
    <n v="1176"/>
    <n v="224"/>
  </r>
  <r>
    <x v="0"/>
    <x v="1233"/>
    <x v="203"/>
    <x v="0"/>
    <x v="45"/>
    <n v="324"/>
    <n v="1"/>
    <n v="11000"/>
    <n v="11000"/>
    <n v="9244"/>
    <n v="1756"/>
  </r>
  <r>
    <x v="0"/>
    <x v="1234"/>
    <x v="203"/>
    <x v="0"/>
    <x v="47"/>
    <n v="231"/>
    <n v="1"/>
    <n v="20900"/>
    <n v="20900"/>
    <n v="17563"/>
    <n v="3337"/>
  </r>
  <r>
    <x v="0"/>
    <x v="1234"/>
    <x v="203"/>
    <x v="0"/>
    <x v="47"/>
    <n v="244"/>
    <n v="1"/>
    <n v="14900"/>
    <n v="14900"/>
    <n v="12521"/>
    <n v="2379"/>
  </r>
  <r>
    <x v="0"/>
    <x v="1234"/>
    <x v="203"/>
    <x v="0"/>
    <x v="47"/>
    <n v="126"/>
    <n v="1"/>
    <n v="9000"/>
    <n v="9000"/>
    <n v="7563"/>
    <n v="1437"/>
  </r>
  <r>
    <x v="0"/>
    <x v="1234"/>
    <x v="203"/>
    <x v="0"/>
    <x v="47"/>
    <n v="117"/>
    <n v="1"/>
    <n v="3500"/>
    <n v="3500"/>
    <n v="2941"/>
    <n v="559"/>
  </r>
  <r>
    <x v="0"/>
    <x v="1235"/>
    <x v="204"/>
    <x v="0"/>
    <x v="41"/>
    <n v="143"/>
    <n v="1"/>
    <n v="7900"/>
    <n v="7900"/>
    <n v="6639"/>
    <n v="1261"/>
  </r>
  <r>
    <x v="0"/>
    <x v="1235"/>
    <x v="204"/>
    <x v="0"/>
    <x v="41"/>
    <n v="322"/>
    <n v="1"/>
    <n v="9000"/>
    <n v="9000"/>
    <n v="7563"/>
    <n v="1437"/>
  </r>
  <r>
    <x v="0"/>
    <x v="1236"/>
    <x v="204"/>
    <x v="0"/>
    <x v="55"/>
    <n v="143"/>
    <n v="1"/>
    <n v="7900"/>
    <n v="7900"/>
    <n v="6639"/>
    <n v="1261"/>
  </r>
  <r>
    <x v="0"/>
    <x v="1237"/>
    <x v="204"/>
    <x v="0"/>
    <x v="17"/>
    <n v="324"/>
    <n v="1"/>
    <n v="11000"/>
    <n v="11000"/>
    <n v="9244"/>
    <n v="1756"/>
  </r>
  <r>
    <x v="0"/>
    <x v="1238"/>
    <x v="204"/>
    <x v="0"/>
    <x v="18"/>
    <n v="329"/>
    <n v="1"/>
    <n v="6000"/>
    <n v="6000"/>
    <n v="5042"/>
    <n v="958"/>
  </r>
  <r>
    <x v="0"/>
    <x v="1239"/>
    <x v="204"/>
    <x v="0"/>
    <x v="5"/>
    <n v="329"/>
    <n v="1"/>
    <n v="6000"/>
    <n v="6000"/>
    <n v="5042"/>
    <n v="958"/>
  </r>
  <r>
    <x v="0"/>
    <x v="1240"/>
    <x v="204"/>
    <x v="0"/>
    <x v="6"/>
    <n v="231"/>
    <n v="1"/>
    <n v="20900"/>
    <n v="20900"/>
    <n v="17563"/>
    <n v="3337"/>
  </r>
  <r>
    <x v="0"/>
    <x v="1241"/>
    <x v="205"/>
    <x v="0"/>
    <x v="0"/>
    <n v="259"/>
    <n v="1"/>
    <n v="4500"/>
    <n v="4500"/>
    <n v="3782"/>
    <n v="718"/>
  </r>
  <r>
    <x v="0"/>
    <x v="1241"/>
    <x v="205"/>
    <x v="0"/>
    <x v="0"/>
    <n v="155"/>
    <n v="1"/>
    <n v="1650"/>
    <n v="1650"/>
    <n v="1387"/>
    <n v="263"/>
  </r>
  <r>
    <x v="0"/>
    <x v="1241"/>
    <x v="205"/>
    <x v="0"/>
    <x v="0"/>
    <n v="268"/>
    <n v="1"/>
    <n v="600"/>
    <n v="600"/>
    <n v="504"/>
    <n v="96"/>
  </r>
  <r>
    <x v="0"/>
    <x v="1241"/>
    <x v="205"/>
    <x v="0"/>
    <x v="0"/>
    <n v="271"/>
    <n v="1"/>
    <n v="300"/>
    <n v="300"/>
    <n v="252"/>
    <n v="48"/>
  </r>
  <r>
    <x v="0"/>
    <x v="1241"/>
    <x v="205"/>
    <x v="0"/>
    <x v="0"/>
    <n v="367"/>
    <n v="1"/>
    <n v="1500"/>
    <n v="1500"/>
    <n v="1261"/>
    <n v="239"/>
  </r>
  <r>
    <x v="0"/>
    <x v="1242"/>
    <x v="205"/>
    <x v="0"/>
    <x v="119"/>
    <n v="329"/>
    <n v="1"/>
    <n v="6000"/>
    <n v="6000"/>
    <n v="5042"/>
    <n v="958"/>
  </r>
  <r>
    <x v="0"/>
    <x v="1243"/>
    <x v="206"/>
    <x v="0"/>
    <x v="181"/>
    <n v="382"/>
    <n v="1"/>
    <n v="2600"/>
    <n v="2600"/>
    <n v="2185"/>
    <n v="415"/>
  </r>
  <r>
    <x v="0"/>
    <x v="1243"/>
    <x v="206"/>
    <x v="0"/>
    <x v="181"/>
    <n v="293"/>
    <n v="1"/>
    <n v="10000"/>
    <n v="10000"/>
    <n v="8403"/>
    <n v="1597"/>
  </r>
  <r>
    <x v="0"/>
    <x v="1243"/>
    <x v="206"/>
    <x v="0"/>
    <x v="181"/>
    <n v="329"/>
    <n v="1"/>
    <n v="6000"/>
    <n v="6000"/>
    <n v="5042"/>
    <n v="958"/>
  </r>
  <r>
    <x v="0"/>
    <x v="1243"/>
    <x v="206"/>
    <x v="0"/>
    <x v="181"/>
    <n v="368"/>
    <n v="1"/>
    <n v="3000"/>
    <n v="3000"/>
    <n v="2521"/>
    <n v="479"/>
  </r>
  <r>
    <x v="0"/>
    <x v="1243"/>
    <x v="206"/>
    <x v="0"/>
    <x v="181"/>
    <n v="97"/>
    <n v="1"/>
    <n v="2000"/>
    <n v="2000"/>
    <n v="1681"/>
    <n v="319"/>
  </r>
  <r>
    <x v="0"/>
    <x v="1244"/>
    <x v="206"/>
    <x v="0"/>
    <x v="73"/>
    <n v="293"/>
    <n v="1"/>
    <n v="10000"/>
    <n v="10000"/>
    <n v="8403"/>
    <n v="1597"/>
  </r>
  <r>
    <x v="0"/>
    <x v="1244"/>
    <x v="206"/>
    <x v="0"/>
    <x v="73"/>
    <n v="370"/>
    <n v="1"/>
    <n v="4000"/>
    <n v="4000"/>
    <n v="3361"/>
    <n v="639"/>
  </r>
  <r>
    <x v="0"/>
    <x v="1244"/>
    <x v="206"/>
    <x v="0"/>
    <x v="73"/>
    <n v="143"/>
    <n v="1"/>
    <n v="7900"/>
    <n v="7900"/>
    <n v="6639"/>
    <n v="1261"/>
  </r>
  <r>
    <x v="0"/>
    <x v="1244"/>
    <x v="206"/>
    <x v="0"/>
    <x v="73"/>
    <n v="286"/>
    <n v="1"/>
    <n v="1100"/>
    <n v="1100"/>
    <n v="924"/>
    <n v="176"/>
  </r>
  <r>
    <x v="0"/>
    <x v="1245"/>
    <x v="206"/>
    <x v="0"/>
    <x v="105"/>
    <n v="354"/>
    <n v="1"/>
    <n v="1800"/>
    <n v="1800"/>
    <n v="1513"/>
    <n v="287"/>
  </r>
  <r>
    <x v="0"/>
    <x v="1246"/>
    <x v="206"/>
    <x v="0"/>
    <x v="7"/>
    <n v="143"/>
    <n v="1"/>
    <n v="7900"/>
    <n v="7900"/>
    <n v="6639"/>
    <n v="1261"/>
  </r>
  <r>
    <x v="0"/>
    <x v="1247"/>
    <x v="206"/>
    <x v="0"/>
    <x v="61"/>
    <n v="290"/>
    <n v="1"/>
    <n v="1200"/>
    <n v="1200"/>
    <n v="1008"/>
    <n v="192"/>
  </r>
  <r>
    <x v="0"/>
    <x v="1247"/>
    <x v="206"/>
    <x v="0"/>
    <x v="61"/>
    <n v="329"/>
    <n v="1"/>
    <n v="6000"/>
    <n v="6000"/>
    <n v="5042"/>
    <n v="958"/>
  </r>
  <r>
    <x v="0"/>
    <x v="1248"/>
    <x v="207"/>
    <x v="0"/>
    <x v="124"/>
    <n v="143"/>
    <n v="1"/>
    <n v="8000"/>
    <n v="8000"/>
    <n v="6723"/>
    <n v="1277"/>
  </r>
  <r>
    <x v="0"/>
    <x v="1249"/>
    <x v="207"/>
    <x v="0"/>
    <x v="97"/>
    <n v="329"/>
    <n v="1"/>
    <n v="6000"/>
    <n v="6000"/>
    <n v="5042"/>
    <n v="958"/>
  </r>
  <r>
    <x v="0"/>
    <x v="1250"/>
    <x v="207"/>
    <x v="0"/>
    <x v="54"/>
    <n v="143"/>
    <n v="2"/>
    <n v="15800"/>
    <n v="31600"/>
    <n v="26555"/>
    <n v="5045"/>
  </r>
  <r>
    <x v="0"/>
    <x v="1251"/>
    <x v="207"/>
    <x v="0"/>
    <x v="37"/>
    <n v="143"/>
    <n v="1"/>
    <n v="8000"/>
    <n v="8000"/>
    <n v="6723"/>
    <n v="1277"/>
  </r>
  <r>
    <x v="0"/>
    <x v="1252"/>
    <x v="207"/>
    <x v="0"/>
    <x v="33"/>
    <n v="230"/>
    <n v="1"/>
    <n v="16500"/>
    <n v="16500"/>
    <n v="13866"/>
    <n v="2634"/>
  </r>
  <r>
    <x v="0"/>
    <x v="1252"/>
    <x v="207"/>
    <x v="0"/>
    <x v="33"/>
    <n v="368"/>
    <n v="1"/>
    <n v="3000"/>
    <n v="3000"/>
    <n v="2521"/>
    <n v="479"/>
  </r>
  <r>
    <x v="0"/>
    <x v="1252"/>
    <x v="207"/>
    <x v="0"/>
    <x v="33"/>
    <n v="117"/>
    <n v="1"/>
    <n v="3500"/>
    <n v="3500"/>
    <n v="2941"/>
    <n v="559"/>
  </r>
  <r>
    <x v="0"/>
    <x v="1252"/>
    <x v="207"/>
    <x v="0"/>
    <x v="33"/>
    <n v="165"/>
    <n v="1"/>
    <n v="2000"/>
    <n v="2000"/>
    <n v="1681"/>
    <n v="319"/>
  </r>
  <r>
    <x v="0"/>
    <x v="1253"/>
    <x v="207"/>
    <x v="0"/>
    <x v="81"/>
    <n v="261"/>
    <n v="1"/>
    <n v="7000"/>
    <n v="7000"/>
    <n v="5882"/>
    <n v="1118"/>
  </r>
  <r>
    <x v="0"/>
    <x v="1253"/>
    <x v="207"/>
    <x v="0"/>
    <x v="81"/>
    <n v="369"/>
    <n v="1"/>
    <n v="10500"/>
    <n v="10500"/>
    <n v="8824"/>
    <n v="1676"/>
  </r>
  <r>
    <x v="0"/>
    <x v="1254"/>
    <x v="207"/>
    <x v="0"/>
    <x v="29"/>
    <n v="261"/>
    <n v="1"/>
    <n v="7000"/>
    <n v="7000"/>
    <n v="5882"/>
    <n v="1118"/>
  </r>
  <r>
    <x v="0"/>
    <x v="1254"/>
    <x v="207"/>
    <x v="0"/>
    <x v="29"/>
    <n v="322"/>
    <n v="1"/>
    <n v="9000"/>
    <n v="9000"/>
    <n v="7563"/>
    <n v="1437"/>
  </r>
  <r>
    <x v="0"/>
    <x v="1254"/>
    <x v="207"/>
    <x v="0"/>
    <x v="29"/>
    <n v="143"/>
    <n v="1"/>
    <n v="8000"/>
    <n v="8000"/>
    <n v="6723"/>
    <n v="1277"/>
  </r>
  <r>
    <x v="0"/>
    <x v="1255"/>
    <x v="208"/>
    <x v="0"/>
    <x v="257"/>
    <n v="143"/>
    <n v="1"/>
    <n v="8000"/>
    <n v="8000"/>
    <n v="6723"/>
    <n v="1277"/>
  </r>
  <r>
    <x v="0"/>
    <x v="1256"/>
    <x v="208"/>
    <x v="0"/>
    <x v="0"/>
    <n v="191"/>
    <n v="1"/>
    <n v="2500"/>
    <n v="2500"/>
    <n v="2101"/>
    <n v="399"/>
  </r>
  <r>
    <x v="0"/>
    <x v="1257"/>
    <x v="208"/>
    <x v="0"/>
    <x v="26"/>
    <n v="143"/>
    <n v="1"/>
    <n v="8000"/>
    <n v="8000"/>
    <n v="6723"/>
    <n v="1277"/>
  </r>
  <r>
    <x v="0"/>
    <x v="1258"/>
    <x v="208"/>
    <x v="0"/>
    <x v="58"/>
    <n v="231"/>
    <n v="1"/>
    <n v="20900"/>
    <n v="20900"/>
    <n v="17563"/>
    <n v="3337"/>
  </r>
  <r>
    <x v="0"/>
    <x v="1258"/>
    <x v="208"/>
    <x v="0"/>
    <x v="58"/>
    <n v="368"/>
    <n v="1"/>
    <n v="3000"/>
    <n v="3000"/>
    <n v="2521"/>
    <n v="479"/>
  </r>
  <r>
    <x v="0"/>
    <x v="1259"/>
    <x v="208"/>
    <x v="0"/>
    <x v="110"/>
    <n v="49"/>
    <n v="1"/>
    <n v="4200"/>
    <n v="4200"/>
    <n v="3529"/>
    <n v="671"/>
  </r>
  <r>
    <x v="0"/>
    <x v="1259"/>
    <x v="208"/>
    <x v="0"/>
    <x v="110"/>
    <n v="45"/>
    <n v="2"/>
    <n v="3200"/>
    <n v="6400"/>
    <n v="5378"/>
    <n v="1022"/>
  </r>
  <r>
    <x v="0"/>
    <x v="1259"/>
    <x v="208"/>
    <x v="0"/>
    <x v="110"/>
    <n v="124"/>
    <n v="1"/>
    <n v="4000"/>
    <n v="4000"/>
    <n v="3361"/>
    <n v="639"/>
  </r>
  <r>
    <x v="0"/>
    <x v="1259"/>
    <x v="208"/>
    <x v="0"/>
    <x v="110"/>
    <n v="288"/>
    <n v="1"/>
    <n v="8500"/>
    <n v="8500"/>
    <n v="7143"/>
    <n v="1357"/>
  </r>
  <r>
    <x v="0"/>
    <x v="1259"/>
    <x v="208"/>
    <x v="0"/>
    <x v="110"/>
    <n v="12"/>
    <n v="1"/>
    <n v="700"/>
    <n v="700"/>
    <n v="588"/>
    <n v="112"/>
  </r>
  <r>
    <x v="0"/>
    <x v="1259"/>
    <x v="208"/>
    <x v="0"/>
    <x v="110"/>
    <n v="267"/>
    <n v="2"/>
    <n v="3200"/>
    <n v="6400"/>
    <n v="5378"/>
    <n v="1022"/>
  </r>
  <r>
    <x v="0"/>
    <x v="1259"/>
    <x v="208"/>
    <x v="0"/>
    <x v="110"/>
    <n v="26"/>
    <n v="1"/>
    <n v="3400"/>
    <n v="3400"/>
    <n v="2857"/>
    <n v="543"/>
  </r>
  <r>
    <x v="0"/>
    <x v="1259"/>
    <x v="208"/>
    <x v="0"/>
    <x v="110"/>
    <n v="24"/>
    <n v="1"/>
    <n v="1650"/>
    <n v="1650"/>
    <n v="1387"/>
    <n v="263"/>
  </r>
  <r>
    <x v="0"/>
    <x v="1259"/>
    <x v="208"/>
    <x v="0"/>
    <x v="110"/>
    <n v="259"/>
    <n v="1"/>
    <n v="4500"/>
    <n v="4500"/>
    <n v="3782"/>
    <n v="718"/>
  </r>
  <r>
    <x v="0"/>
    <x v="1259"/>
    <x v="208"/>
    <x v="0"/>
    <x v="110"/>
    <n v="150"/>
    <n v="1"/>
    <n v="4200"/>
    <n v="4200"/>
    <n v="3529"/>
    <n v="671"/>
  </r>
  <r>
    <x v="0"/>
    <x v="1259"/>
    <x v="208"/>
    <x v="0"/>
    <x v="110"/>
    <n v="99"/>
    <n v="2"/>
    <n v="3400"/>
    <n v="6800"/>
    <n v="5714"/>
    <n v="1086"/>
  </r>
  <r>
    <x v="0"/>
    <x v="1259"/>
    <x v="208"/>
    <x v="0"/>
    <x v="110"/>
    <n v="231"/>
    <n v="1"/>
    <n v="20900"/>
    <n v="20900"/>
    <n v="17563"/>
    <n v="3337"/>
  </r>
  <r>
    <x v="0"/>
    <x v="1259"/>
    <x v="208"/>
    <x v="0"/>
    <x v="110"/>
    <n v="228"/>
    <n v="1"/>
    <n v="21500"/>
    <n v="21500"/>
    <n v="18067"/>
    <n v="3433"/>
  </r>
  <r>
    <x v="0"/>
    <x v="1259"/>
    <x v="208"/>
    <x v="0"/>
    <x v="110"/>
    <n v="166"/>
    <n v="2"/>
    <n v="3200"/>
    <n v="6400"/>
    <n v="5378"/>
    <n v="1022"/>
  </r>
  <r>
    <x v="0"/>
    <x v="1260"/>
    <x v="209"/>
    <x v="0"/>
    <x v="258"/>
    <n v="143"/>
    <n v="2"/>
    <n v="16000"/>
    <n v="32000"/>
    <n v="26891"/>
    <n v="5109"/>
  </r>
  <r>
    <x v="0"/>
    <x v="1261"/>
    <x v="209"/>
    <x v="0"/>
    <x v="165"/>
    <n v="143"/>
    <n v="2"/>
    <n v="16000"/>
    <n v="32000"/>
    <n v="26891"/>
    <n v="5109"/>
  </r>
  <r>
    <x v="0"/>
    <x v="1262"/>
    <x v="209"/>
    <x v="0"/>
    <x v="142"/>
    <n v="231"/>
    <n v="1"/>
    <n v="20900"/>
    <n v="20900"/>
    <n v="17563"/>
    <n v="3337"/>
  </r>
  <r>
    <x v="0"/>
    <x v="1263"/>
    <x v="209"/>
    <x v="0"/>
    <x v="31"/>
    <n v="143"/>
    <n v="1"/>
    <n v="8000"/>
    <n v="8000"/>
    <n v="6723"/>
    <n v="1277"/>
  </r>
  <r>
    <x v="0"/>
    <x v="1264"/>
    <x v="209"/>
    <x v="0"/>
    <x v="232"/>
    <n v="143"/>
    <n v="2"/>
    <n v="16000"/>
    <n v="32000"/>
    <n v="26891"/>
    <n v="5109"/>
  </r>
  <r>
    <x v="0"/>
    <x v="1265"/>
    <x v="209"/>
    <x v="0"/>
    <x v="91"/>
    <n v="324"/>
    <n v="2"/>
    <n v="22000"/>
    <n v="44000"/>
    <n v="36975"/>
    <n v="7025"/>
  </r>
  <r>
    <x v="0"/>
    <x v="1266"/>
    <x v="209"/>
    <x v="0"/>
    <x v="129"/>
    <n v="143"/>
    <n v="2"/>
    <n v="16000"/>
    <n v="32000"/>
    <n v="26891"/>
    <n v="5109"/>
  </r>
  <r>
    <x v="0"/>
    <x v="1267"/>
    <x v="209"/>
    <x v="0"/>
    <x v="221"/>
    <n v="143"/>
    <n v="1"/>
    <n v="8000"/>
    <n v="8000"/>
    <n v="6723"/>
    <n v="1277"/>
  </r>
  <r>
    <x v="0"/>
    <x v="1268"/>
    <x v="209"/>
    <x v="0"/>
    <x v="63"/>
    <n v="53"/>
    <n v="1"/>
    <n v="4200"/>
    <n v="4200"/>
    <n v="3529"/>
    <n v="671"/>
  </r>
  <r>
    <x v="0"/>
    <x v="1268"/>
    <x v="209"/>
    <x v="0"/>
    <x v="63"/>
    <n v="153"/>
    <n v="1"/>
    <n v="1200"/>
    <n v="1200"/>
    <n v="1008"/>
    <n v="192"/>
  </r>
  <r>
    <x v="0"/>
    <x v="1269"/>
    <x v="209"/>
    <x v="0"/>
    <x v="112"/>
    <n v="230"/>
    <n v="1"/>
    <n v="16500"/>
    <n v="16500"/>
    <n v="13866"/>
    <n v="2634"/>
  </r>
  <r>
    <x v="0"/>
    <x v="1269"/>
    <x v="209"/>
    <x v="0"/>
    <x v="112"/>
    <n v="358"/>
    <n v="1"/>
    <n v="2500"/>
    <n v="2500"/>
    <n v="2101"/>
    <n v="399"/>
  </r>
  <r>
    <x v="0"/>
    <x v="1269"/>
    <x v="209"/>
    <x v="0"/>
    <x v="112"/>
    <n v="143"/>
    <n v="1"/>
    <n v="8000"/>
    <n v="8000"/>
    <n v="6723"/>
    <n v="1277"/>
  </r>
  <r>
    <x v="0"/>
    <x v="1270"/>
    <x v="209"/>
    <x v="0"/>
    <x v="9"/>
    <n v="69"/>
    <n v="1"/>
    <n v="3000"/>
    <n v="3000"/>
    <n v="2521"/>
    <n v="479"/>
  </r>
  <r>
    <x v="0"/>
    <x v="1271"/>
    <x v="209"/>
    <x v="0"/>
    <x v="109"/>
    <n v="29"/>
    <n v="1"/>
    <n v="1000"/>
    <n v="1000"/>
    <n v="840"/>
    <n v="160"/>
  </r>
  <r>
    <x v="0"/>
    <x v="1271"/>
    <x v="209"/>
    <x v="0"/>
    <x v="109"/>
    <n v="165"/>
    <n v="1"/>
    <n v="2000"/>
    <n v="2000"/>
    <n v="1681"/>
    <n v="319"/>
  </r>
  <r>
    <x v="0"/>
    <x v="1271"/>
    <x v="209"/>
    <x v="0"/>
    <x v="109"/>
    <n v="117"/>
    <n v="1"/>
    <n v="3500"/>
    <n v="3500"/>
    <n v="2941"/>
    <n v="559"/>
  </r>
  <r>
    <x v="0"/>
    <x v="1271"/>
    <x v="209"/>
    <x v="0"/>
    <x v="109"/>
    <n v="57"/>
    <n v="1"/>
    <n v="4000"/>
    <n v="4000"/>
    <n v="3361"/>
    <n v="639"/>
  </r>
  <r>
    <x v="0"/>
    <x v="1271"/>
    <x v="209"/>
    <x v="0"/>
    <x v="109"/>
    <n v="231"/>
    <n v="1"/>
    <n v="20900"/>
    <n v="20900"/>
    <n v="17563"/>
    <n v="3337"/>
  </r>
  <r>
    <x v="0"/>
    <x v="1271"/>
    <x v="209"/>
    <x v="0"/>
    <x v="109"/>
    <n v="365"/>
    <n v="1"/>
    <n v="3200"/>
    <n v="3200"/>
    <n v="2689"/>
    <n v="511"/>
  </r>
  <r>
    <x v="0"/>
    <x v="1272"/>
    <x v="210"/>
    <x v="0"/>
    <x v="0"/>
    <n v="191"/>
    <n v="2"/>
    <n v="5000"/>
    <n v="10000"/>
    <n v="8403"/>
    <n v="1597"/>
  </r>
  <r>
    <x v="0"/>
    <x v="1273"/>
    <x v="210"/>
    <x v="0"/>
    <x v="208"/>
    <n v="329"/>
    <n v="1"/>
    <n v="6000"/>
    <n v="6000"/>
    <n v="5042"/>
    <n v="958"/>
  </r>
  <r>
    <x v="0"/>
    <x v="1273"/>
    <x v="210"/>
    <x v="0"/>
    <x v="208"/>
    <n v="143"/>
    <n v="1"/>
    <n v="8000"/>
    <n v="8000"/>
    <n v="6723"/>
    <n v="1277"/>
  </r>
  <r>
    <x v="0"/>
    <x v="1274"/>
    <x v="211"/>
    <x v="0"/>
    <x v="41"/>
    <n v="143"/>
    <n v="1"/>
    <n v="8000"/>
    <n v="8000"/>
    <n v="6723"/>
    <n v="1277"/>
  </r>
  <r>
    <x v="0"/>
    <x v="1275"/>
    <x v="212"/>
    <x v="0"/>
    <x v="41"/>
    <n v="231"/>
    <n v="1"/>
    <n v="20900"/>
    <n v="20900"/>
    <n v="17563"/>
    <n v="3337"/>
  </r>
  <r>
    <x v="0"/>
    <x v="1276"/>
    <x v="212"/>
    <x v="0"/>
    <x v="4"/>
    <n v="117"/>
    <n v="2"/>
    <n v="7000"/>
    <n v="14000"/>
    <n v="11765"/>
    <n v="2235"/>
  </r>
  <r>
    <x v="0"/>
    <x v="1276"/>
    <x v="212"/>
    <x v="0"/>
    <x v="4"/>
    <n v="97"/>
    <n v="1"/>
    <n v="2000"/>
    <n v="2000"/>
    <n v="1681"/>
    <n v="319"/>
  </r>
  <r>
    <x v="0"/>
    <x v="1276"/>
    <x v="212"/>
    <x v="0"/>
    <x v="4"/>
    <n v="98"/>
    <n v="1"/>
    <n v="3500"/>
    <n v="3500"/>
    <n v="2941"/>
    <n v="559"/>
  </r>
  <r>
    <x v="0"/>
    <x v="1276"/>
    <x v="212"/>
    <x v="0"/>
    <x v="4"/>
    <n v="143"/>
    <n v="1"/>
    <n v="8000"/>
    <n v="8000"/>
    <n v="6723"/>
    <n v="1277"/>
  </r>
  <r>
    <x v="0"/>
    <x v="1277"/>
    <x v="212"/>
    <x v="0"/>
    <x v="36"/>
    <n v="233"/>
    <n v="1"/>
    <n v="16000"/>
    <n v="16000"/>
    <n v="13445"/>
    <n v="2555"/>
  </r>
  <r>
    <x v="0"/>
    <x v="1277"/>
    <x v="212"/>
    <x v="0"/>
    <x v="36"/>
    <n v="369"/>
    <n v="1"/>
    <n v="10500"/>
    <n v="10500"/>
    <n v="8824"/>
    <n v="1676"/>
  </r>
  <r>
    <x v="0"/>
    <x v="1277"/>
    <x v="212"/>
    <x v="0"/>
    <x v="36"/>
    <n v="16"/>
    <n v="1"/>
    <n v="4200"/>
    <n v="4200"/>
    <n v="3529"/>
    <n v="671"/>
  </r>
  <r>
    <x v="0"/>
    <x v="1278"/>
    <x v="212"/>
    <x v="0"/>
    <x v="5"/>
    <n v="118"/>
    <n v="1"/>
    <n v="3500"/>
    <n v="3500"/>
    <n v="2941"/>
    <n v="559"/>
  </r>
  <r>
    <x v="0"/>
    <x v="1279"/>
    <x v="212"/>
    <x v="0"/>
    <x v="73"/>
    <n v="16"/>
    <n v="1"/>
    <n v="4200"/>
    <n v="4200"/>
    <n v="3529"/>
    <n v="671"/>
  </r>
  <r>
    <x v="0"/>
    <x v="1279"/>
    <x v="212"/>
    <x v="0"/>
    <x v="73"/>
    <n v="99"/>
    <n v="2"/>
    <n v="3400"/>
    <n v="6800"/>
    <n v="5714"/>
    <n v="1086"/>
  </r>
  <r>
    <x v="0"/>
    <x v="1279"/>
    <x v="212"/>
    <x v="0"/>
    <x v="73"/>
    <n v="324"/>
    <n v="1"/>
    <n v="11000"/>
    <n v="11000"/>
    <n v="9244"/>
    <n v="1756"/>
  </r>
  <r>
    <x v="0"/>
    <x v="1280"/>
    <x v="212"/>
    <x v="0"/>
    <x v="59"/>
    <n v="329"/>
    <n v="1"/>
    <n v="6000"/>
    <n v="6000"/>
    <n v="5042"/>
    <n v="958"/>
  </r>
  <r>
    <x v="0"/>
    <x v="1280"/>
    <x v="212"/>
    <x v="0"/>
    <x v="59"/>
    <n v="143"/>
    <n v="1"/>
    <n v="8000"/>
    <n v="8000"/>
    <n v="6723"/>
    <n v="1277"/>
  </r>
  <r>
    <x v="0"/>
    <x v="1280"/>
    <x v="212"/>
    <x v="0"/>
    <x v="59"/>
    <n v="191"/>
    <n v="2"/>
    <n v="5000"/>
    <n v="10000"/>
    <n v="8403"/>
    <n v="1597"/>
  </r>
  <r>
    <x v="0"/>
    <x v="1281"/>
    <x v="212"/>
    <x v="0"/>
    <x v="200"/>
    <n v="157"/>
    <n v="1"/>
    <n v="4300"/>
    <n v="4300"/>
    <n v="3613"/>
    <n v="687"/>
  </r>
  <r>
    <x v="0"/>
    <x v="1281"/>
    <x v="212"/>
    <x v="0"/>
    <x v="200"/>
    <n v="283"/>
    <n v="1"/>
    <n v="7600"/>
    <n v="7600"/>
    <n v="6387"/>
    <n v="1213"/>
  </r>
  <r>
    <x v="0"/>
    <x v="1281"/>
    <x v="212"/>
    <x v="0"/>
    <x v="200"/>
    <n v="29"/>
    <n v="2"/>
    <n v="2000"/>
    <n v="4000"/>
    <n v="3361"/>
    <n v="639"/>
  </r>
  <r>
    <x v="0"/>
    <x v="1282"/>
    <x v="212"/>
    <x v="0"/>
    <x v="7"/>
    <n v="230"/>
    <n v="1"/>
    <n v="16500"/>
    <n v="16500"/>
    <n v="13866"/>
    <n v="2634"/>
  </r>
  <r>
    <x v="0"/>
    <x v="1282"/>
    <x v="212"/>
    <x v="0"/>
    <x v="7"/>
    <n v="135"/>
    <n v="1"/>
    <n v="1000"/>
    <n v="1000"/>
    <n v="840"/>
    <n v="160"/>
  </r>
  <r>
    <x v="0"/>
    <x v="1283"/>
    <x v="212"/>
    <x v="0"/>
    <x v="154"/>
    <n v="231"/>
    <n v="1"/>
    <n v="20900"/>
    <n v="20900"/>
    <n v="17563"/>
    <n v="3337"/>
  </r>
  <r>
    <x v="0"/>
    <x v="1283"/>
    <x v="212"/>
    <x v="0"/>
    <x v="154"/>
    <n v="244"/>
    <n v="1"/>
    <n v="14900"/>
    <n v="14900"/>
    <n v="12521"/>
    <n v="2379"/>
  </r>
  <r>
    <x v="0"/>
    <x v="1284"/>
    <x v="212"/>
    <x v="0"/>
    <x v="81"/>
    <n v="117"/>
    <n v="4"/>
    <n v="14000"/>
    <n v="56000"/>
    <n v="47059"/>
    <n v="8941"/>
  </r>
  <r>
    <x v="0"/>
    <x v="1284"/>
    <x v="212"/>
    <x v="0"/>
    <x v="81"/>
    <n v="356"/>
    <n v="2"/>
    <n v="6000"/>
    <n v="12000"/>
    <n v="10084"/>
    <n v="1916"/>
  </r>
  <r>
    <x v="0"/>
    <x v="1285"/>
    <x v="212"/>
    <x v="0"/>
    <x v="155"/>
    <n v="143"/>
    <n v="1"/>
    <n v="8000"/>
    <n v="8000"/>
    <n v="6723"/>
    <n v="1277"/>
  </r>
  <r>
    <x v="0"/>
    <x v="1285"/>
    <x v="212"/>
    <x v="0"/>
    <x v="155"/>
    <n v="120"/>
    <n v="1"/>
    <n v="1900"/>
    <n v="1900"/>
    <n v="1597"/>
    <n v="303"/>
  </r>
  <r>
    <x v="0"/>
    <x v="1285"/>
    <x v="212"/>
    <x v="0"/>
    <x v="155"/>
    <n v="69"/>
    <n v="1"/>
    <n v="3000"/>
    <n v="3000"/>
    <n v="2521"/>
    <n v="479"/>
  </r>
  <r>
    <x v="0"/>
    <x v="1285"/>
    <x v="212"/>
    <x v="0"/>
    <x v="155"/>
    <n v="358"/>
    <n v="1"/>
    <n v="2500"/>
    <n v="2500"/>
    <n v="2101"/>
    <n v="399"/>
  </r>
  <r>
    <x v="0"/>
    <x v="1285"/>
    <x v="212"/>
    <x v="0"/>
    <x v="155"/>
    <n v="97"/>
    <n v="1"/>
    <n v="2000"/>
    <n v="2000"/>
    <n v="1681"/>
    <n v="319"/>
  </r>
  <r>
    <x v="0"/>
    <x v="1285"/>
    <x v="212"/>
    <x v="0"/>
    <x v="155"/>
    <n v="118"/>
    <n v="1"/>
    <n v="3500"/>
    <n v="3500"/>
    <n v="2941"/>
    <n v="559"/>
  </r>
  <r>
    <x v="0"/>
    <x v="1285"/>
    <x v="212"/>
    <x v="0"/>
    <x v="155"/>
    <n v="29"/>
    <n v="1"/>
    <n v="1000"/>
    <n v="1000"/>
    <n v="840"/>
    <n v="160"/>
  </r>
  <r>
    <x v="0"/>
    <x v="1285"/>
    <x v="212"/>
    <x v="0"/>
    <x v="155"/>
    <n v="383"/>
    <n v="1"/>
    <n v="2400"/>
    <n v="2400"/>
    <n v="2017"/>
    <n v="383"/>
  </r>
  <r>
    <x v="0"/>
    <x v="1286"/>
    <x v="212"/>
    <x v="0"/>
    <x v="93"/>
    <n v="7"/>
    <n v="1"/>
    <n v="7000"/>
    <n v="7000"/>
    <n v="5882"/>
    <n v="1118"/>
  </r>
  <r>
    <x v="0"/>
    <x v="1287"/>
    <x v="212"/>
    <x v="0"/>
    <x v="242"/>
    <n v="233"/>
    <n v="1"/>
    <n v="16000"/>
    <n v="16000"/>
    <n v="13445"/>
    <n v="2555"/>
  </r>
  <r>
    <x v="0"/>
    <x v="1287"/>
    <x v="212"/>
    <x v="0"/>
    <x v="242"/>
    <n v="256"/>
    <n v="2"/>
    <n v="6000"/>
    <n v="12000"/>
    <n v="10084"/>
    <n v="1916"/>
  </r>
  <r>
    <x v="0"/>
    <x v="1287"/>
    <x v="212"/>
    <x v="0"/>
    <x v="242"/>
    <n v="322"/>
    <n v="1"/>
    <n v="9000"/>
    <n v="9000"/>
    <n v="7563"/>
    <n v="1437"/>
  </r>
  <r>
    <x v="0"/>
    <x v="1288"/>
    <x v="213"/>
    <x v="0"/>
    <x v="259"/>
    <n v="49"/>
    <n v="1"/>
    <n v="4200"/>
    <n v="4200"/>
    <n v="3529"/>
    <n v="671"/>
  </r>
  <r>
    <x v="0"/>
    <x v="1288"/>
    <x v="213"/>
    <x v="0"/>
    <x v="259"/>
    <n v="118"/>
    <n v="1"/>
    <n v="3500"/>
    <n v="3500"/>
    <n v="2941"/>
    <n v="559"/>
  </r>
  <r>
    <x v="0"/>
    <x v="1288"/>
    <x v="213"/>
    <x v="0"/>
    <x v="259"/>
    <n v="120"/>
    <n v="1"/>
    <n v="1900"/>
    <n v="1900"/>
    <n v="1597"/>
    <n v="303"/>
  </r>
  <r>
    <x v="0"/>
    <x v="1289"/>
    <x v="213"/>
    <x v="0"/>
    <x v="88"/>
    <n v="143"/>
    <n v="1"/>
    <n v="8000"/>
    <n v="8000"/>
    <n v="6723"/>
    <n v="1277"/>
  </r>
  <r>
    <x v="0"/>
    <x v="1289"/>
    <x v="213"/>
    <x v="0"/>
    <x v="88"/>
    <n v="329"/>
    <n v="1"/>
    <n v="6000"/>
    <n v="6000"/>
    <n v="5042"/>
    <n v="958"/>
  </r>
  <r>
    <x v="0"/>
    <x v="1290"/>
    <x v="213"/>
    <x v="0"/>
    <x v="5"/>
    <n v="191"/>
    <n v="1"/>
    <n v="2500"/>
    <n v="2500"/>
    <n v="2101"/>
    <n v="399"/>
  </r>
  <r>
    <x v="0"/>
    <x v="1291"/>
    <x v="213"/>
    <x v="0"/>
    <x v="137"/>
    <n v="231"/>
    <n v="1"/>
    <n v="20900"/>
    <n v="20900"/>
    <n v="17563"/>
    <n v="3337"/>
  </r>
  <r>
    <x v="0"/>
    <x v="1291"/>
    <x v="213"/>
    <x v="0"/>
    <x v="137"/>
    <n v="244"/>
    <n v="1"/>
    <n v="14900"/>
    <n v="14900"/>
    <n v="12521"/>
    <n v="2379"/>
  </r>
  <r>
    <x v="0"/>
    <x v="1292"/>
    <x v="214"/>
    <x v="0"/>
    <x v="260"/>
    <n v="231"/>
    <n v="1"/>
    <n v="20900"/>
    <n v="20900"/>
    <n v="17563"/>
    <n v="3337"/>
  </r>
  <r>
    <x v="0"/>
    <x v="1293"/>
    <x v="214"/>
    <x v="0"/>
    <x v="30"/>
    <n v="231"/>
    <n v="1"/>
    <n v="20900"/>
    <n v="20900"/>
    <n v="17563"/>
    <n v="3337"/>
  </r>
  <r>
    <x v="0"/>
    <x v="1293"/>
    <x v="214"/>
    <x v="0"/>
    <x v="30"/>
    <n v="95"/>
    <n v="1"/>
    <n v="2400"/>
    <n v="2400"/>
    <n v="2017"/>
    <n v="383"/>
  </r>
  <r>
    <x v="0"/>
    <x v="1293"/>
    <x v="214"/>
    <x v="0"/>
    <x v="30"/>
    <n v="386"/>
    <n v="1"/>
    <n v="2700"/>
    <n v="2700"/>
    <n v="2269"/>
    <n v="431"/>
  </r>
  <r>
    <x v="0"/>
    <x v="1293"/>
    <x v="214"/>
    <x v="0"/>
    <x v="30"/>
    <n v="368"/>
    <n v="3"/>
    <n v="9000"/>
    <n v="27000"/>
    <n v="22689"/>
    <n v="4311"/>
  </r>
  <r>
    <x v="0"/>
    <x v="1293"/>
    <x v="214"/>
    <x v="0"/>
    <x v="30"/>
    <n v="69"/>
    <n v="1"/>
    <n v="3000"/>
    <n v="3000"/>
    <n v="2521"/>
    <n v="479"/>
  </r>
  <r>
    <x v="0"/>
    <x v="1293"/>
    <x v="214"/>
    <x v="0"/>
    <x v="30"/>
    <n v="67"/>
    <n v="1"/>
    <n v="650"/>
    <n v="650"/>
    <n v="546"/>
    <n v="104"/>
  </r>
  <r>
    <x v="0"/>
    <x v="1293"/>
    <x v="214"/>
    <x v="0"/>
    <x v="30"/>
    <n v="327"/>
    <n v="1"/>
    <n v="3500"/>
    <n v="3500"/>
    <n v="2941"/>
    <n v="559"/>
  </r>
  <r>
    <x v="0"/>
    <x v="1293"/>
    <x v="214"/>
    <x v="0"/>
    <x v="30"/>
    <n v="143"/>
    <n v="1"/>
    <n v="8000"/>
    <n v="8000"/>
    <n v="6723"/>
    <n v="1277"/>
  </r>
  <r>
    <x v="0"/>
    <x v="1294"/>
    <x v="214"/>
    <x v="0"/>
    <x v="5"/>
    <n v="143"/>
    <n v="1"/>
    <n v="8000"/>
    <n v="8000"/>
    <n v="6723"/>
    <n v="1277"/>
  </r>
  <r>
    <x v="0"/>
    <x v="1295"/>
    <x v="214"/>
    <x v="0"/>
    <x v="24"/>
    <n v="230"/>
    <n v="1"/>
    <n v="16500"/>
    <n v="16500"/>
    <n v="13866"/>
    <n v="2634"/>
  </r>
  <r>
    <x v="0"/>
    <x v="1295"/>
    <x v="214"/>
    <x v="0"/>
    <x v="24"/>
    <n v="284"/>
    <n v="1"/>
    <n v="1100"/>
    <n v="1100"/>
    <n v="924"/>
    <n v="176"/>
  </r>
  <r>
    <x v="0"/>
    <x v="1296"/>
    <x v="214"/>
    <x v="0"/>
    <x v="85"/>
    <n v="143"/>
    <n v="1"/>
    <n v="8000"/>
    <n v="8000"/>
    <n v="6723"/>
    <n v="1277"/>
  </r>
  <r>
    <x v="0"/>
    <x v="1297"/>
    <x v="215"/>
    <x v="0"/>
    <x v="21"/>
    <n v="324"/>
    <n v="1"/>
    <n v="11000"/>
    <n v="11000"/>
    <n v="9244"/>
    <n v="1756"/>
  </r>
  <r>
    <x v="0"/>
    <x v="1298"/>
    <x v="215"/>
    <x v="0"/>
    <x v="113"/>
    <n v="370"/>
    <n v="1"/>
    <n v="4000"/>
    <n v="4000"/>
    <n v="3361"/>
    <n v="639"/>
  </r>
  <r>
    <x v="0"/>
    <x v="1298"/>
    <x v="215"/>
    <x v="0"/>
    <x v="113"/>
    <n v="274"/>
    <n v="1"/>
    <n v="7500"/>
    <n v="7500"/>
    <n v="6303"/>
    <n v="1197"/>
  </r>
  <r>
    <x v="0"/>
    <x v="1298"/>
    <x v="215"/>
    <x v="0"/>
    <x v="113"/>
    <n v="97"/>
    <n v="1"/>
    <n v="2000"/>
    <n v="2000"/>
    <n v="1681"/>
    <n v="319"/>
  </r>
  <r>
    <x v="0"/>
    <x v="1298"/>
    <x v="215"/>
    <x v="0"/>
    <x v="113"/>
    <n v="117"/>
    <n v="2"/>
    <n v="7000"/>
    <n v="14000"/>
    <n v="11765"/>
    <n v="2235"/>
  </r>
  <r>
    <x v="0"/>
    <x v="1299"/>
    <x v="215"/>
    <x v="0"/>
    <x v="8"/>
    <n v="324"/>
    <n v="1"/>
    <n v="11000"/>
    <n v="11000"/>
    <n v="9244"/>
    <n v="1756"/>
  </r>
  <r>
    <x v="0"/>
    <x v="1300"/>
    <x v="215"/>
    <x v="0"/>
    <x v="27"/>
    <n v="143"/>
    <n v="1"/>
    <n v="8000"/>
    <n v="8000"/>
    <n v="6723"/>
    <n v="1277"/>
  </r>
  <r>
    <x v="0"/>
    <x v="1301"/>
    <x v="215"/>
    <x v="0"/>
    <x v="161"/>
    <n v="329"/>
    <n v="1"/>
    <n v="6000"/>
    <n v="6000"/>
    <n v="5042"/>
    <n v="958"/>
  </r>
  <r>
    <x v="0"/>
    <x v="1301"/>
    <x v="215"/>
    <x v="0"/>
    <x v="161"/>
    <n v="99"/>
    <n v="1"/>
    <n v="1700"/>
    <n v="1700"/>
    <n v="1429"/>
    <n v="271"/>
  </r>
  <r>
    <x v="0"/>
    <x v="1301"/>
    <x v="215"/>
    <x v="0"/>
    <x v="161"/>
    <n v="357"/>
    <n v="1"/>
    <n v="1800"/>
    <n v="1800"/>
    <n v="1513"/>
    <n v="287"/>
  </r>
  <r>
    <x v="0"/>
    <x v="1301"/>
    <x v="215"/>
    <x v="0"/>
    <x v="161"/>
    <n v="155"/>
    <n v="1"/>
    <n v="1650"/>
    <n v="1650"/>
    <n v="1387"/>
    <n v="263"/>
  </r>
  <r>
    <x v="0"/>
    <x v="1302"/>
    <x v="215"/>
    <x v="0"/>
    <x v="12"/>
    <n v="143"/>
    <n v="2"/>
    <n v="16000"/>
    <n v="32000"/>
    <n v="26891"/>
    <n v="5109"/>
  </r>
  <r>
    <x v="0"/>
    <x v="1303"/>
    <x v="216"/>
    <x v="0"/>
    <x v="18"/>
    <n v="324"/>
    <n v="1"/>
    <n v="11000"/>
    <n v="11000"/>
    <n v="9244"/>
    <n v="1756"/>
  </r>
  <r>
    <x v="0"/>
    <x v="1304"/>
    <x v="216"/>
    <x v="0"/>
    <x v="200"/>
    <n v="16"/>
    <n v="1"/>
    <n v="4200"/>
    <n v="4200"/>
    <n v="3529"/>
    <n v="671"/>
  </r>
  <r>
    <x v="0"/>
    <x v="1304"/>
    <x v="216"/>
    <x v="0"/>
    <x v="200"/>
    <n v="11"/>
    <n v="1"/>
    <n v="2500"/>
    <n v="2500"/>
    <n v="2101"/>
    <n v="399"/>
  </r>
  <r>
    <x v="0"/>
    <x v="1304"/>
    <x v="216"/>
    <x v="0"/>
    <x v="200"/>
    <n v="29"/>
    <n v="2"/>
    <n v="2000"/>
    <n v="4000"/>
    <n v="3361"/>
    <n v="639"/>
  </r>
  <r>
    <x v="0"/>
    <x v="1304"/>
    <x v="216"/>
    <x v="0"/>
    <x v="200"/>
    <n v="285"/>
    <n v="1"/>
    <n v="3000"/>
    <n v="3000"/>
    <n v="2521"/>
    <n v="479"/>
  </r>
  <r>
    <x v="0"/>
    <x v="1304"/>
    <x v="216"/>
    <x v="0"/>
    <x v="200"/>
    <n v="247"/>
    <n v="2"/>
    <n v="5599"/>
    <n v="11198"/>
    <n v="9410"/>
    <n v="1788"/>
  </r>
  <r>
    <x v="0"/>
    <x v="1304"/>
    <x v="216"/>
    <x v="0"/>
    <x v="200"/>
    <n v="157"/>
    <n v="1"/>
    <n v="4300"/>
    <n v="4300"/>
    <n v="3613"/>
    <n v="687"/>
  </r>
  <r>
    <x v="0"/>
    <x v="1304"/>
    <x v="216"/>
    <x v="0"/>
    <x v="200"/>
    <n v="248"/>
    <n v="1"/>
    <n v="4500"/>
    <n v="4500"/>
    <n v="3782"/>
    <n v="718"/>
  </r>
  <r>
    <x v="0"/>
    <x v="1304"/>
    <x v="216"/>
    <x v="0"/>
    <x v="200"/>
    <n v="162"/>
    <n v="3"/>
    <n v="4800"/>
    <n v="14400"/>
    <n v="12101"/>
    <n v="2299"/>
  </r>
  <r>
    <x v="0"/>
    <x v="1304"/>
    <x v="216"/>
    <x v="0"/>
    <x v="200"/>
    <n v="98"/>
    <n v="1"/>
    <n v="3500"/>
    <n v="3500"/>
    <n v="2941"/>
    <n v="559"/>
  </r>
  <r>
    <x v="0"/>
    <x v="1304"/>
    <x v="216"/>
    <x v="0"/>
    <x v="200"/>
    <n v="118"/>
    <n v="4"/>
    <n v="14000"/>
    <n v="56000"/>
    <n v="47059"/>
    <n v="8941"/>
  </r>
  <r>
    <x v="0"/>
    <x v="1304"/>
    <x v="216"/>
    <x v="0"/>
    <x v="200"/>
    <n v="356"/>
    <n v="2"/>
    <n v="6000"/>
    <n v="12000"/>
    <n v="10084"/>
    <n v="1916"/>
  </r>
  <r>
    <x v="0"/>
    <x v="1304"/>
    <x v="216"/>
    <x v="0"/>
    <x v="200"/>
    <n v="244"/>
    <n v="1"/>
    <n v="14900"/>
    <n v="14900"/>
    <n v="12521"/>
    <n v="2379"/>
  </r>
  <r>
    <x v="0"/>
    <x v="1304"/>
    <x v="216"/>
    <x v="0"/>
    <x v="200"/>
    <n v="111"/>
    <n v="1"/>
    <n v="1500"/>
    <n v="1500"/>
    <n v="1261"/>
    <n v="239"/>
  </r>
  <r>
    <x v="0"/>
    <x v="1305"/>
    <x v="217"/>
    <x v="0"/>
    <x v="72"/>
    <n v="117"/>
    <n v="2"/>
    <n v="7000"/>
    <n v="14000"/>
    <n v="11765"/>
    <n v="2235"/>
  </r>
  <r>
    <x v="0"/>
    <x v="1306"/>
    <x v="217"/>
    <x v="0"/>
    <x v="59"/>
    <n v="368"/>
    <n v="2"/>
    <n v="6000"/>
    <n v="12000"/>
    <n v="10084"/>
    <n v="1916"/>
  </r>
  <r>
    <x v="0"/>
    <x v="1306"/>
    <x v="217"/>
    <x v="0"/>
    <x v="59"/>
    <n v="354"/>
    <n v="1"/>
    <n v="1800"/>
    <n v="1800"/>
    <n v="1513"/>
    <n v="287"/>
  </r>
  <r>
    <x v="0"/>
    <x v="1307"/>
    <x v="218"/>
    <x v="0"/>
    <x v="124"/>
    <n v="143"/>
    <n v="1"/>
    <n v="8000"/>
    <n v="8000"/>
    <n v="6723"/>
    <n v="1277"/>
  </r>
  <r>
    <x v="0"/>
    <x v="1308"/>
    <x v="218"/>
    <x v="0"/>
    <x v="71"/>
    <n v="233"/>
    <n v="1"/>
    <n v="16000"/>
    <n v="16000"/>
    <n v="13445"/>
    <n v="2555"/>
  </r>
  <r>
    <x v="0"/>
    <x v="1308"/>
    <x v="218"/>
    <x v="0"/>
    <x v="71"/>
    <n v="143"/>
    <n v="1"/>
    <n v="8000"/>
    <n v="8000"/>
    <n v="6723"/>
    <n v="1277"/>
  </r>
  <r>
    <x v="0"/>
    <x v="1308"/>
    <x v="218"/>
    <x v="0"/>
    <x v="71"/>
    <n v="51"/>
    <n v="1"/>
    <n v="4200"/>
    <n v="4200"/>
    <n v="3529"/>
    <n v="671"/>
  </r>
  <r>
    <x v="0"/>
    <x v="1309"/>
    <x v="218"/>
    <x v="0"/>
    <x v="235"/>
    <n v="143"/>
    <n v="1"/>
    <n v="8000"/>
    <n v="8000"/>
    <n v="6723"/>
    <n v="1277"/>
  </r>
  <r>
    <x v="0"/>
    <x v="1310"/>
    <x v="218"/>
    <x v="0"/>
    <x v="243"/>
    <n v="143"/>
    <n v="1"/>
    <n v="8000"/>
    <n v="8000"/>
    <n v="6723"/>
    <n v="1277"/>
  </r>
  <r>
    <x v="0"/>
    <x v="1311"/>
    <x v="218"/>
    <x v="0"/>
    <x v="32"/>
    <n v="231"/>
    <n v="1"/>
    <n v="20900"/>
    <n v="20900"/>
    <n v="17563"/>
    <n v="3337"/>
  </r>
  <r>
    <x v="0"/>
    <x v="1311"/>
    <x v="218"/>
    <x v="0"/>
    <x v="32"/>
    <n v="369"/>
    <n v="1"/>
    <n v="10500"/>
    <n v="10500"/>
    <n v="8824"/>
    <n v="1676"/>
  </r>
  <r>
    <x v="0"/>
    <x v="1311"/>
    <x v="218"/>
    <x v="0"/>
    <x v="32"/>
    <n v="256"/>
    <n v="1"/>
    <n v="3000"/>
    <n v="3000"/>
    <n v="2521"/>
    <n v="479"/>
  </r>
  <r>
    <x v="0"/>
    <x v="1312"/>
    <x v="218"/>
    <x v="0"/>
    <x v="91"/>
    <n v="324"/>
    <n v="2"/>
    <n v="22000"/>
    <n v="44000"/>
    <n v="36975"/>
    <n v="7025"/>
  </r>
  <r>
    <x v="0"/>
    <x v="1313"/>
    <x v="218"/>
    <x v="0"/>
    <x v="80"/>
    <n v="324"/>
    <n v="1"/>
    <n v="11000"/>
    <n v="11000"/>
    <n v="9244"/>
    <n v="1756"/>
  </r>
  <r>
    <x v="0"/>
    <x v="1313"/>
    <x v="218"/>
    <x v="0"/>
    <x v="80"/>
    <n v="322"/>
    <n v="1"/>
    <n v="9000"/>
    <n v="9000"/>
    <n v="7563"/>
    <n v="1437"/>
  </r>
  <r>
    <x v="0"/>
    <x v="1314"/>
    <x v="218"/>
    <x v="0"/>
    <x v="10"/>
    <n v="143"/>
    <n v="2"/>
    <n v="16000"/>
    <n v="32000"/>
    <n v="26891"/>
    <n v="5109"/>
  </r>
  <r>
    <x v="0"/>
    <x v="1315"/>
    <x v="219"/>
    <x v="0"/>
    <x v="78"/>
    <n v="231"/>
    <n v="1"/>
    <n v="20900"/>
    <n v="20900"/>
    <n v="17563"/>
    <n v="3337"/>
  </r>
  <r>
    <x v="0"/>
    <x v="1315"/>
    <x v="219"/>
    <x v="0"/>
    <x v="78"/>
    <n v="99"/>
    <n v="2"/>
    <n v="3400"/>
    <n v="6800"/>
    <n v="5714"/>
    <n v="1086"/>
  </r>
  <r>
    <x v="0"/>
    <x v="1316"/>
    <x v="219"/>
    <x v="0"/>
    <x v="64"/>
    <n v="324"/>
    <n v="1"/>
    <n v="11000"/>
    <n v="11000"/>
    <n v="9244"/>
    <n v="1756"/>
  </r>
  <r>
    <x v="0"/>
    <x v="1317"/>
    <x v="220"/>
    <x v="0"/>
    <x v="4"/>
    <n v="143"/>
    <n v="1"/>
    <n v="8000"/>
    <n v="8000"/>
    <n v="6723"/>
    <n v="1277"/>
  </r>
  <r>
    <x v="0"/>
    <x v="1318"/>
    <x v="220"/>
    <x v="0"/>
    <x v="5"/>
    <n v="26"/>
    <n v="1"/>
    <n v="3400"/>
    <n v="3400"/>
    <n v="2857"/>
    <n v="543"/>
  </r>
  <r>
    <x v="0"/>
    <x v="1319"/>
    <x v="221"/>
    <x v="0"/>
    <x v="98"/>
    <n v="324"/>
    <n v="1"/>
    <n v="11000"/>
    <n v="11000"/>
    <n v="9244"/>
    <n v="1756"/>
  </r>
  <r>
    <x v="0"/>
    <x v="1320"/>
    <x v="221"/>
    <x v="0"/>
    <x v="6"/>
    <n v="143"/>
    <n v="1"/>
    <n v="8000"/>
    <n v="8000"/>
    <n v="6723"/>
    <n v="1277"/>
  </r>
  <r>
    <x v="0"/>
    <x v="1321"/>
    <x v="221"/>
    <x v="0"/>
    <x v="74"/>
    <n v="324"/>
    <n v="1"/>
    <n v="11000"/>
    <n v="11000"/>
    <n v="9244"/>
    <n v="1756"/>
  </r>
  <r>
    <x v="0"/>
    <x v="1321"/>
    <x v="221"/>
    <x v="0"/>
    <x v="74"/>
    <n v="143"/>
    <n v="1"/>
    <n v="8000"/>
    <n v="8000"/>
    <n v="6723"/>
    <n v="1277"/>
  </r>
  <r>
    <x v="0"/>
    <x v="1321"/>
    <x v="221"/>
    <x v="0"/>
    <x v="74"/>
    <n v="15"/>
    <n v="1"/>
    <n v="1500"/>
    <n v="1500"/>
    <n v="1261"/>
    <n v="239"/>
  </r>
  <r>
    <x v="0"/>
    <x v="1321"/>
    <x v="221"/>
    <x v="0"/>
    <x v="74"/>
    <n v="359"/>
    <n v="1"/>
    <n v="2700"/>
    <n v="2700"/>
    <n v="2269"/>
    <n v="431"/>
  </r>
  <r>
    <x v="0"/>
    <x v="1321"/>
    <x v="221"/>
    <x v="0"/>
    <x v="74"/>
    <n v="31"/>
    <n v="1"/>
    <n v="3400"/>
    <n v="3400"/>
    <n v="2857"/>
    <n v="543"/>
  </r>
  <r>
    <x v="0"/>
    <x v="1321"/>
    <x v="221"/>
    <x v="0"/>
    <x v="74"/>
    <n v="259"/>
    <n v="1"/>
    <n v="4500"/>
    <n v="4500"/>
    <n v="3782"/>
    <n v="718"/>
  </r>
  <r>
    <x v="0"/>
    <x v="1321"/>
    <x v="221"/>
    <x v="0"/>
    <x v="74"/>
    <n v="252"/>
    <n v="1"/>
    <n v="4800"/>
    <n v="4800"/>
    <n v="4034"/>
    <n v="766"/>
  </r>
  <r>
    <x v="0"/>
    <x v="1321"/>
    <x v="221"/>
    <x v="0"/>
    <x v="74"/>
    <n v="99"/>
    <n v="1"/>
    <n v="1700"/>
    <n v="1700"/>
    <n v="1429"/>
    <n v="271"/>
  </r>
  <r>
    <x v="0"/>
    <x v="1321"/>
    <x v="221"/>
    <x v="0"/>
    <x v="74"/>
    <n v="165"/>
    <n v="1"/>
    <n v="2000"/>
    <n v="2000"/>
    <n v="1681"/>
    <n v="319"/>
  </r>
  <r>
    <x v="0"/>
    <x v="1321"/>
    <x v="221"/>
    <x v="0"/>
    <x v="74"/>
    <n v="230"/>
    <n v="1"/>
    <n v="16500"/>
    <n v="16500"/>
    <n v="13866"/>
    <n v="2634"/>
  </r>
  <r>
    <x v="0"/>
    <x v="1321"/>
    <x v="221"/>
    <x v="0"/>
    <x v="74"/>
    <n v="278"/>
    <n v="1"/>
    <n v="11500"/>
    <n v="11500"/>
    <n v="9664"/>
    <n v="1836"/>
  </r>
  <r>
    <x v="0"/>
    <x v="1321"/>
    <x v="221"/>
    <x v="0"/>
    <x v="74"/>
    <n v="117"/>
    <n v="1"/>
    <n v="3500"/>
    <n v="3500"/>
    <n v="2941"/>
    <n v="559"/>
  </r>
  <r>
    <x v="0"/>
    <x v="1322"/>
    <x v="221"/>
    <x v="0"/>
    <x v="129"/>
    <n v="322"/>
    <n v="1"/>
    <n v="9000"/>
    <n v="9000"/>
    <n v="7563"/>
    <n v="1437"/>
  </r>
  <r>
    <x v="0"/>
    <x v="1322"/>
    <x v="221"/>
    <x v="0"/>
    <x v="129"/>
    <n v="15"/>
    <n v="1"/>
    <n v="1500"/>
    <n v="1500"/>
    <n v="1261"/>
    <n v="239"/>
  </r>
  <r>
    <x v="0"/>
    <x v="1322"/>
    <x v="221"/>
    <x v="0"/>
    <x v="129"/>
    <n v="273"/>
    <n v="1"/>
    <n v="1300"/>
    <n v="1300"/>
    <n v="1092"/>
    <n v="208"/>
  </r>
  <r>
    <x v="0"/>
    <x v="1322"/>
    <x v="221"/>
    <x v="0"/>
    <x v="129"/>
    <n v="81"/>
    <n v="1"/>
    <n v="1600"/>
    <n v="1600"/>
    <n v="1345"/>
    <n v="255"/>
  </r>
  <r>
    <x v="0"/>
    <x v="1322"/>
    <x v="221"/>
    <x v="0"/>
    <x v="129"/>
    <n v="156"/>
    <n v="1"/>
    <n v="1400"/>
    <n v="1400"/>
    <n v="1176"/>
    <n v="224"/>
  </r>
  <r>
    <x v="0"/>
    <x v="1322"/>
    <x v="221"/>
    <x v="0"/>
    <x v="129"/>
    <n v="154"/>
    <n v="1"/>
    <n v="3200"/>
    <n v="3200"/>
    <n v="2689"/>
    <n v="511"/>
  </r>
  <r>
    <x v="0"/>
    <x v="1322"/>
    <x v="221"/>
    <x v="0"/>
    <x v="129"/>
    <n v="97"/>
    <n v="1"/>
    <n v="2000"/>
    <n v="2000"/>
    <n v="1681"/>
    <n v="319"/>
  </r>
  <r>
    <x v="0"/>
    <x v="1322"/>
    <x v="221"/>
    <x v="0"/>
    <x v="129"/>
    <n v="165"/>
    <n v="1"/>
    <n v="2000"/>
    <n v="2000"/>
    <n v="1681"/>
    <n v="319"/>
  </r>
  <r>
    <x v="0"/>
    <x v="1322"/>
    <x v="221"/>
    <x v="0"/>
    <x v="129"/>
    <n v="244"/>
    <n v="1"/>
    <n v="14900"/>
    <n v="14900"/>
    <n v="12521"/>
    <n v="2379"/>
  </r>
  <r>
    <x v="0"/>
    <x v="1322"/>
    <x v="221"/>
    <x v="0"/>
    <x v="129"/>
    <n v="230"/>
    <n v="1"/>
    <n v="16500"/>
    <n v="16500"/>
    <n v="13866"/>
    <n v="2634"/>
  </r>
  <r>
    <x v="0"/>
    <x v="1322"/>
    <x v="221"/>
    <x v="0"/>
    <x v="129"/>
    <n v="21"/>
    <n v="1"/>
    <n v="3200"/>
    <n v="3200"/>
    <n v="2689"/>
    <n v="511"/>
  </r>
  <r>
    <x v="0"/>
    <x v="1322"/>
    <x v="221"/>
    <x v="0"/>
    <x v="129"/>
    <n v="143"/>
    <n v="1"/>
    <n v="8000"/>
    <n v="8000"/>
    <n v="6723"/>
    <n v="1277"/>
  </r>
  <r>
    <x v="0"/>
    <x v="1323"/>
    <x v="221"/>
    <x v="0"/>
    <x v="238"/>
    <n v="324"/>
    <n v="1"/>
    <n v="11000"/>
    <n v="11000"/>
    <n v="9244"/>
    <n v="1756"/>
  </r>
  <r>
    <x v="0"/>
    <x v="1323"/>
    <x v="221"/>
    <x v="0"/>
    <x v="238"/>
    <n v="261"/>
    <n v="1"/>
    <n v="7000"/>
    <n v="7000"/>
    <n v="5882"/>
    <n v="1118"/>
  </r>
  <r>
    <x v="0"/>
    <x v="1323"/>
    <x v="221"/>
    <x v="0"/>
    <x v="238"/>
    <n v="378"/>
    <n v="1"/>
    <n v="1200"/>
    <n v="1200"/>
    <n v="1008"/>
    <n v="192"/>
  </r>
  <r>
    <x v="0"/>
    <x v="1323"/>
    <x v="221"/>
    <x v="0"/>
    <x v="238"/>
    <n v="111"/>
    <n v="1"/>
    <n v="-1600"/>
    <n v="-1600"/>
    <n v="-1345"/>
    <n v="-255"/>
  </r>
  <r>
    <x v="0"/>
    <x v="1324"/>
    <x v="221"/>
    <x v="0"/>
    <x v="208"/>
    <n v="322"/>
    <n v="1"/>
    <n v="9000"/>
    <n v="9000"/>
    <n v="7563"/>
    <n v="1437"/>
  </r>
  <r>
    <x v="0"/>
    <x v="1324"/>
    <x v="221"/>
    <x v="0"/>
    <x v="208"/>
    <n v="230"/>
    <n v="1"/>
    <n v="16500"/>
    <n v="16500"/>
    <n v="13866"/>
    <n v="2634"/>
  </r>
  <r>
    <x v="0"/>
    <x v="1325"/>
    <x v="222"/>
    <x v="0"/>
    <x v="258"/>
    <n v="143"/>
    <n v="2"/>
    <n v="16000"/>
    <n v="32000"/>
    <n v="26891"/>
    <n v="5109"/>
  </r>
  <r>
    <x v="0"/>
    <x v="1326"/>
    <x v="222"/>
    <x v="0"/>
    <x v="244"/>
    <n v="191"/>
    <n v="1"/>
    <n v="2500"/>
    <n v="2500"/>
    <n v="2101"/>
    <n v="399"/>
  </r>
  <r>
    <x v="0"/>
    <x v="1326"/>
    <x v="222"/>
    <x v="0"/>
    <x v="244"/>
    <n v="328"/>
    <n v="1"/>
    <n v="5000"/>
    <n v="5000"/>
    <n v="4202"/>
    <n v="798"/>
  </r>
  <r>
    <x v="0"/>
    <x v="1326"/>
    <x v="222"/>
    <x v="0"/>
    <x v="244"/>
    <n v="143"/>
    <n v="1"/>
    <n v="8000"/>
    <n v="8000"/>
    <n v="6723"/>
    <n v="1277"/>
  </r>
  <r>
    <x v="0"/>
    <x v="1326"/>
    <x v="222"/>
    <x v="0"/>
    <x v="244"/>
    <n v="118"/>
    <n v="1"/>
    <n v="3500"/>
    <n v="3500"/>
    <n v="2941"/>
    <n v="559"/>
  </r>
  <r>
    <x v="0"/>
    <x v="1326"/>
    <x v="222"/>
    <x v="0"/>
    <x v="244"/>
    <n v="354"/>
    <n v="1"/>
    <n v="1800"/>
    <n v="1800"/>
    <n v="1513"/>
    <n v="287"/>
  </r>
  <r>
    <x v="0"/>
    <x v="1326"/>
    <x v="222"/>
    <x v="0"/>
    <x v="244"/>
    <n v="297"/>
    <n v="1"/>
    <n v="7000"/>
    <n v="7000"/>
    <n v="5882"/>
    <n v="1118"/>
  </r>
  <r>
    <x v="0"/>
    <x v="1327"/>
    <x v="222"/>
    <x v="0"/>
    <x v="51"/>
    <n v="230"/>
    <n v="1"/>
    <n v="16500"/>
    <n v="16500"/>
    <n v="13866"/>
    <n v="2634"/>
  </r>
  <r>
    <x v="0"/>
    <x v="1327"/>
    <x v="222"/>
    <x v="0"/>
    <x v="51"/>
    <n v="369"/>
    <n v="1"/>
    <n v="10500"/>
    <n v="10500"/>
    <n v="8824"/>
    <n v="1676"/>
  </r>
  <r>
    <x v="0"/>
    <x v="1327"/>
    <x v="222"/>
    <x v="0"/>
    <x v="51"/>
    <n v="118"/>
    <n v="1"/>
    <n v="3500"/>
    <n v="3500"/>
    <n v="2941"/>
    <n v="559"/>
  </r>
  <r>
    <x v="0"/>
    <x v="1327"/>
    <x v="222"/>
    <x v="0"/>
    <x v="51"/>
    <n v="31"/>
    <n v="1"/>
    <n v="3400"/>
    <n v="3400"/>
    <n v="2857"/>
    <n v="543"/>
  </r>
  <r>
    <x v="0"/>
    <x v="1327"/>
    <x v="222"/>
    <x v="0"/>
    <x v="51"/>
    <n v="30"/>
    <n v="1"/>
    <n v="3000"/>
    <n v="3000"/>
    <n v="2521"/>
    <n v="479"/>
  </r>
  <r>
    <x v="0"/>
    <x v="1327"/>
    <x v="222"/>
    <x v="0"/>
    <x v="51"/>
    <n v="248"/>
    <n v="1"/>
    <n v="4500"/>
    <n v="4500"/>
    <n v="3782"/>
    <n v="718"/>
  </r>
  <r>
    <x v="0"/>
    <x v="1327"/>
    <x v="222"/>
    <x v="0"/>
    <x v="51"/>
    <n v="157"/>
    <n v="1"/>
    <n v="4300"/>
    <n v="4300"/>
    <n v="3613"/>
    <n v="687"/>
  </r>
  <r>
    <x v="0"/>
    <x v="1327"/>
    <x v="222"/>
    <x v="0"/>
    <x v="51"/>
    <n v="274"/>
    <n v="1"/>
    <n v="7500"/>
    <n v="7500"/>
    <n v="6303"/>
    <n v="1197"/>
  </r>
  <r>
    <x v="0"/>
    <x v="1327"/>
    <x v="222"/>
    <x v="0"/>
    <x v="51"/>
    <n v="360"/>
    <n v="1"/>
    <n v="3000"/>
    <n v="3000"/>
    <n v="2521"/>
    <n v="479"/>
  </r>
  <r>
    <x v="0"/>
    <x v="1327"/>
    <x v="222"/>
    <x v="0"/>
    <x v="51"/>
    <n v="143"/>
    <n v="1"/>
    <n v="8000"/>
    <n v="8000"/>
    <n v="6723"/>
    <n v="1277"/>
  </r>
  <r>
    <x v="0"/>
    <x v="1328"/>
    <x v="222"/>
    <x v="0"/>
    <x v="6"/>
    <n v="143"/>
    <n v="2"/>
    <n v="16000"/>
    <n v="32000"/>
    <n v="26891"/>
    <n v="5109"/>
  </r>
  <r>
    <x v="0"/>
    <x v="1329"/>
    <x v="222"/>
    <x v="0"/>
    <x v="219"/>
    <n v="143"/>
    <n v="2"/>
    <n v="16000"/>
    <n v="32000"/>
    <n v="26891"/>
    <n v="5109"/>
  </r>
  <r>
    <x v="0"/>
    <x v="1330"/>
    <x v="222"/>
    <x v="0"/>
    <x v="39"/>
    <n v="231"/>
    <n v="2"/>
    <n v="41800"/>
    <n v="83600"/>
    <n v="70252"/>
    <n v="13348"/>
  </r>
  <r>
    <x v="0"/>
    <x v="1330"/>
    <x v="222"/>
    <x v="0"/>
    <x v="39"/>
    <n v="226"/>
    <n v="1"/>
    <n v="22500"/>
    <n v="22500"/>
    <n v="18908"/>
    <n v="3592"/>
  </r>
  <r>
    <x v="0"/>
    <x v="1330"/>
    <x v="222"/>
    <x v="0"/>
    <x v="39"/>
    <n v="227"/>
    <n v="1"/>
    <n v="13500"/>
    <n v="13500"/>
    <n v="11345"/>
    <n v="2155"/>
  </r>
  <r>
    <x v="0"/>
    <x v="1330"/>
    <x v="222"/>
    <x v="0"/>
    <x v="39"/>
    <n v="359"/>
    <n v="1"/>
    <n v="2700"/>
    <n v="2700"/>
    <n v="2269"/>
    <n v="431"/>
  </r>
  <r>
    <x v="0"/>
    <x v="1331"/>
    <x v="222"/>
    <x v="0"/>
    <x v="29"/>
    <n v="322"/>
    <n v="1"/>
    <n v="9000"/>
    <n v="9000"/>
    <n v="7563"/>
    <n v="1437"/>
  </r>
  <r>
    <x v="0"/>
    <x v="1331"/>
    <x v="222"/>
    <x v="0"/>
    <x v="29"/>
    <n v="143"/>
    <n v="1"/>
    <n v="8000"/>
    <n v="8000"/>
    <n v="6723"/>
    <n v="1277"/>
  </r>
  <r>
    <x v="0"/>
    <x v="1332"/>
    <x v="222"/>
    <x v="0"/>
    <x v="119"/>
    <n v="329"/>
    <n v="1"/>
    <n v="6000"/>
    <n v="6000"/>
    <n v="5042"/>
    <n v="958"/>
  </r>
  <r>
    <x v="0"/>
    <x v="1333"/>
    <x v="223"/>
    <x v="0"/>
    <x v="23"/>
    <n v="232"/>
    <n v="1"/>
    <n v="12500"/>
    <n v="12500"/>
    <n v="10504"/>
    <n v="1996"/>
  </r>
  <r>
    <x v="0"/>
    <x v="1334"/>
    <x v="223"/>
    <x v="0"/>
    <x v="261"/>
    <n v="124"/>
    <n v="1"/>
    <n v="4000"/>
    <n v="4000"/>
    <n v="3361"/>
    <n v="639"/>
  </r>
  <r>
    <x v="0"/>
    <x v="1334"/>
    <x v="223"/>
    <x v="0"/>
    <x v="261"/>
    <n v="288"/>
    <n v="1"/>
    <n v="8500"/>
    <n v="8500"/>
    <n v="7143"/>
    <n v="1357"/>
  </r>
  <r>
    <x v="0"/>
    <x v="1335"/>
    <x v="224"/>
    <x v="0"/>
    <x v="21"/>
    <n v="324"/>
    <n v="1"/>
    <n v="11000"/>
    <n v="11000"/>
    <n v="9244"/>
    <n v="1756"/>
  </r>
  <r>
    <x v="0"/>
    <x v="1335"/>
    <x v="224"/>
    <x v="0"/>
    <x v="21"/>
    <n v="143"/>
    <n v="1"/>
    <n v="8000"/>
    <n v="8000"/>
    <n v="6723"/>
    <n v="1277"/>
  </r>
  <r>
    <x v="0"/>
    <x v="1336"/>
    <x v="224"/>
    <x v="0"/>
    <x v="105"/>
    <n v="255"/>
    <n v="1"/>
    <n v="4000"/>
    <n v="4000"/>
    <n v="3361"/>
    <n v="639"/>
  </r>
  <r>
    <x v="0"/>
    <x v="1337"/>
    <x v="224"/>
    <x v="0"/>
    <x v="107"/>
    <n v="230"/>
    <n v="1"/>
    <n v="16500"/>
    <n v="16500"/>
    <n v="13866"/>
    <n v="2634"/>
  </r>
  <r>
    <x v="0"/>
    <x v="1338"/>
    <x v="224"/>
    <x v="0"/>
    <x v="34"/>
    <n v="365"/>
    <n v="1"/>
    <n v="3200"/>
    <n v="3200"/>
    <n v="2689"/>
    <n v="511"/>
  </r>
  <r>
    <x v="0"/>
    <x v="1339"/>
    <x v="225"/>
    <x v="0"/>
    <x v="262"/>
    <n v="143"/>
    <n v="1"/>
    <n v="8000"/>
    <n v="8000"/>
    <n v="6723"/>
    <n v="1277"/>
  </r>
  <r>
    <x v="0"/>
    <x v="1340"/>
    <x v="225"/>
    <x v="0"/>
    <x v="17"/>
    <n v="324"/>
    <n v="1"/>
    <n v="11000"/>
    <n v="11000"/>
    <n v="9244"/>
    <n v="1756"/>
  </r>
  <r>
    <x v="0"/>
    <x v="1341"/>
    <x v="225"/>
    <x v="0"/>
    <x v="84"/>
    <n v="324"/>
    <n v="1"/>
    <n v="11000"/>
    <n v="11000"/>
    <n v="9244"/>
    <n v="1756"/>
  </r>
  <r>
    <x v="0"/>
    <x v="1342"/>
    <x v="225"/>
    <x v="0"/>
    <x v="5"/>
    <n v="256"/>
    <n v="1"/>
    <n v="3000"/>
    <n v="3000"/>
    <n v="2521"/>
    <n v="479"/>
  </r>
  <r>
    <x v="0"/>
    <x v="1343"/>
    <x v="225"/>
    <x v="0"/>
    <x v="8"/>
    <n v="230"/>
    <n v="1"/>
    <n v="16500"/>
    <n v="16500"/>
    <n v="13866"/>
    <n v="2634"/>
  </r>
  <r>
    <x v="0"/>
    <x v="1343"/>
    <x v="225"/>
    <x v="0"/>
    <x v="8"/>
    <n v="226"/>
    <n v="1"/>
    <n v="22500"/>
    <n v="22500"/>
    <n v="18908"/>
    <n v="3592"/>
  </r>
  <r>
    <x v="0"/>
    <x v="1343"/>
    <x v="225"/>
    <x v="0"/>
    <x v="8"/>
    <n v="324"/>
    <n v="1"/>
    <n v="11000"/>
    <n v="11000"/>
    <n v="9244"/>
    <n v="1756"/>
  </r>
  <r>
    <x v="0"/>
    <x v="1344"/>
    <x v="225"/>
    <x v="0"/>
    <x v="93"/>
    <n v="327"/>
    <n v="1"/>
    <n v="3500"/>
    <n v="3500"/>
    <n v="2941"/>
    <n v="559"/>
  </r>
  <r>
    <x v="0"/>
    <x v="1344"/>
    <x v="225"/>
    <x v="0"/>
    <x v="93"/>
    <n v="328"/>
    <n v="1"/>
    <n v="5000"/>
    <n v="5000"/>
    <n v="4202"/>
    <n v="798"/>
  </r>
  <r>
    <x v="0"/>
    <x v="1344"/>
    <x v="225"/>
    <x v="0"/>
    <x v="93"/>
    <n v="7"/>
    <n v="1"/>
    <n v="7000"/>
    <n v="7000"/>
    <n v="5882"/>
    <n v="1118"/>
  </r>
  <r>
    <x v="0"/>
    <x v="1345"/>
    <x v="226"/>
    <x v="0"/>
    <x v="250"/>
    <n v="143"/>
    <n v="1"/>
    <n v="8000"/>
    <n v="8000"/>
    <n v="6723"/>
    <n v="1277"/>
  </r>
  <r>
    <x v="0"/>
    <x v="1346"/>
    <x v="226"/>
    <x v="0"/>
    <x v="36"/>
    <n v="118"/>
    <n v="1"/>
    <n v="3500"/>
    <n v="3500"/>
    <n v="2941"/>
    <n v="559"/>
  </r>
  <r>
    <x v="0"/>
    <x v="1347"/>
    <x v="226"/>
    <x v="0"/>
    <x v="73"/>
    <n v="118"/>
    <n v="1"/>
    <n v="3500"/>
    <n v="3500"/>
    <n v="2941"/>
    <n v="559"/>
  </r>
  <r>
    <x v="0"/>
    <x v="1347"/>
    <x v="226"/>
    <x v="0"/>
    <x v="73"/>
    <n v="293"/>
    <n v="1"/>
    <n v="10000"/>
    <n v="10000"/>
    <n v="8403"/>
    <n v="1597"/>
  </r>
  <r>
    <x v="0"/>
    <x v="1347"/>
    <x v="226"/>
    <x v="0"/>
    <x v="73"/>
    <n v="254"/>
    <n v="3"/>
    <n v="6000"/>
    <n v="18000"/>
    <n v="15126"/>
    <n v="2874"/>
  </r>
  <r>
    <x v="0"/>
    <x v="1348"/>
    <x v="226"/>
    <x v="0"/>
    <x v="235"/>
    <n v="143"/>
    <n v="1"/>
    <n v="8000"/>
    <n v="8000"/>
    <n v="6723"/>
    <n v="1277"/>
  </r>
  <r>
    <x v="0"/>
    <x v="1349"/>
    <x v="226"/>
    <x v="0"/>
    <x v="105"/>
    <n v="11"/>
    <n v="1"/>
    <n v="2500"/>
    <n v="2500"/>
    <n v="2101"/>
    <n v="399"/>
  </r>
  <r>
    <x v="0"/>
    <x v="1349"/>
    <x v="226"/>
    <x v="0"/>
    <x v="105"/>
    <n v="386"/>
    <n v="1"/>
    <n v="2700"/>
    <n v="2700"/>
    <n v="2269"/>
    <n v="431"/>
  </r>
  <r>
    <x v="0"/>
    <x v="1349"/>
    <x v="226"/>
    <x v="0"/>
    <x v="105"/>
    <n v="254"/>
    <n v="1"/>
    <n v="2000"/>
    <n v="2000"/>
    <n v="1681"/>
    <n v="319"/>
  </r>
  <r>
    <x v="0"/>
    <x v="1349"/>
    <x v="226"/>
    <x v="0"/>
    <x v="105"/>
    <n v="15"/>
    <n v="1"/>
    <n v="1500"/>
    <n v="1500"/>
    <n v="1261"/>
    <n v="239"/>
  </r>
  <r>
    <x v="0"/>
    <x v="1349"/>
    <x v="226"/>
    <x v="0"/>
    <x v="105"/>
    <n v="354"/>
    <n v="1"/>
    <n v="1800"/>
    <n v="1800"/>
    <n v="1513"/>
    <n v="287"/>
  </r>
  <r>
    <x v="0"/>
    <x v="1349"/>
    <x v="226"/>
    <x v="0"/>
    <x v="105"/>
    <n v="118"/>
    <n v="1"/>
    <n v="3500"/>
    <n v="3500"/>
    <n v="2941"/>
    <n v="559"/>
  </r>
  <r>
    <x v="0"/>
    <x v="1350"/>
    <x v="226"/>
    <x v="0"/>
    <x v="16"/>
    <n v="234"/>
    <n v="2"/>
    <n v="39000"/>
    <n v="78000"/>
    <n v="65546"/>
    <n v="12454"/>
  </r>
  <r>
    <x v="0"/>
    <x v="1350"/>
    <x v="226"/>
    <x v="0"/>
    <x v="16"/>
    <n v="7"/>
    <n v="1"/>
    <n v="7000"/>
    <n v="7000"/>
    <n v="5882"/>
    <n v="1118"/>
  </r>
  <r>
    <x v="0"/>
    <x v="1350"/>
    <x v="226"/>
    <x v="0"/>
    <x v="16"/>
    <n v="97"/>
    <n v="1"/>
    <n v="2000"/>
    <n v="2000"/>
    <n v="1681"/>
    <n v="319"/>
  </r>
  <r>
    <x v="0"/>
    <x v="1351"/>
    <x v="226"/>
    <x v="0"/>
    <x v="25"/>
    <n v="17"/>
    <n v="1"/>
    <n v="3400"/>
    <n v="3400"/>
    <n v="2857"/>
    <n v="543"/>
  </r>
  <r>
    <x v="0"/>
    <x v="1351"/>
    <x v="226"/>
    <x v="0"/>
    <x v="25"/>
    <n v="95"/>
    <n v="1"/>
    <n v="2400"/>
    <n v="2400"/>
    <n v="2017"/>
    <n v="383"/>
  </r>
  <r>
    <x v="0"/>
    <x v="1351"/>
    <x v="226"/>
    <x v="0"/>
    <x v="25"/>
    <n v="11"/>
    <n v="1"/>
    <n v="2500"/>
    <n v="2500"/>
    <n v="2101"/>
    <n v="399"/>
  </r>
  <r>
    <x v="0"/>
    <x v="1351"/>
    <x v="226"/>
    <x v="0"/>
    <x v="25"/>
    <n v="386"/>
    <n v="1"/>
    <n v="2700"/>
    <n v="2700"/>
    <n v="2269"/>
    <n v="431"/>
  </r>
  <r>
    <x v="0"/>
    <x v="1351"/>
    <x v="226"/>
    <x v="0"/>
    <x v="25"/>
    <n v="124"/>
    <n v="1"/>
    <n v="4000"/>
    <n v="4000"/>
    <n v="3361"/>
    <n v="639"/>
  </r>
  <r>
    <x v="0"/>
    <x v="1351"/>
    <x v="226"/>
    <x v="0"/>
    <x v="25"/>
    <n v="81"/>
    <n v="2"/>
    <n v="3200"/>
    <n v="6400"/>
    <n v="5378"/>
    <n v="1022"/>
  </r>
  <r>
    <x v="0"/>
    <x v="1351"/>
    <x v="226"/>
    <x v="0"/>
    <x v="25"/>
    <n v="379"/>
    <n v="1"/>
    <n v="2000"/>
    <n v="2000"/>
    <n v="1681"/>
    <n v="319"/>
  </r>
  <r>
    <x v="0"/>
    <x v="1351"/>
    <x v="226"/>
    <x v="0"/>
    <x v="25"/>
    <n v="154"/>
    <n v="1"/>
    <n v="3200"/>
    <n v="3200"/>
    <n v="2689"/>
    <n v="511"/>
  </r>
  <r>
    <x v="0"/>
    <x v="1351"/>
    <x v="226"/>
    <x v="0"/>
    <x v="25"/>
    <n v="97"/>
    <n v="1"/>
    <n v="2000"/>
    <n v="2000"/>
    <n v="1681"/>
    <n v="319"/>
  </r>
  <r>
    <x v="0"/>
    <x v="1351"/>
    <x v="226"/>
    <x v="0"/>
    <x v="25"/>
    <n v="164"/>
    <n v="1"/>
    <n v="3200"/>
    <n v="3200"/>
    <n v="2689"/>
    <n v="511"/>
  </r>
  <r>
    <x v="0"/>
    <x v="1351"/>
    <x v="226"/>
    <x v="0"/>
    <x v="25"/>
    <n v="256"/>
    <n v="1"/>
    <n v="3000"/>
    <n v="3000"/>
    <n v="2521"/>
    <n v="479"/>
  </r>
  <r>
    <x v="0"/>
    <x v="1351"/>
    <x v="226"/>
    <x v="0"/>
    <x v="25"/>
    <n v="322"/>
    <n v="1"/>
    <n v="9000"/>
    <n v="9000"/>
    <n v="7563"/>
    <n v="1437"/>
  </r>
  <r>
    <x v="0"/>
    <x v="1351"/>
    <x v="226"/>
    <x v="0"/>
    <x v="25"/>
    <n v="276"/>
    <n v="1"/>
    <n v="8000"/>
    <n v="8000"/>
    <n v="6723"/>
    <n v="1277"/>
  </r>
  <r>
    <x v="0"/>
    <x v="1351"/>
    <x v="226"/>
    <x v="0"/>
    <x v="25"/>
    <n v="284"/>
    <n v="1"/>
    <n v="1100"/>
    <n v="1100"/>
    <n v="924"/>
    <n v="176"/>
  </r>
  <r>
    <x v="0"/>
    <x v="1352"/>
    <x v="226"/>
    <x v="0"/>
    <x v="64"/>
    <n v="143"/>
    <n v="1"/>
    <n v="8000"/>
    <n v="8000"/>
    <n v="6723"/>
    <n v="1277"/>
  </r>
  <r>
    <x v="0"/>
    <x v="1353"/>
    <x v="226"/>
    <x v="0"/>
    <x v="109"/>
    <n v="7"/>
    <n v="1"/>
    <n v="7000"/>
    <n v="7000"/>
    <n v="5882"/>
    <n v="1118"/>
  </r>
  <r>
    <x v="0"/>
    <x v="1353"/>
    <x v="226"/>
    <x v="0"/>
    <x v="109"/>
    <n v="331"/>
    <n v="1"/>
    <n v="3700"/>
    <n v="3700"/>
    <n v="3109"/>
    <n v="591"/>
  </r>
  <r>
    <x v="0"/>
    <x v="1354"/>
    <x v="227"/>
    <x v="0"/>
    <x v="100"/>
    <n v="143"/>
    <n v="1"/>
    <n v="8000"/>
    <n v="8000"/>
    <n v="6723"/>
    <n v="1277"/>
  </r>
  <r>
    <x v="0"/>
    <x v="1355"/>
    <x v="227"/>
    <x v="0"/>
    <x v="33"/>
    <n v="230"/>
    <n v="1"/>
    <n v="16500"/>
    <n v="16500"/>
    <n v="13866"/>
    <n v="2634"/>
  </r>
  <r>
    <x v="0"/>
    <x v="1355"/>
    <x v="227"/>
    <x v="0"/>
    <x v="33"/>
    <n v="165"/>
    <n v="1"/>
    <n v="2000"/>
    <n v="2000"/>
    <n v="1681"/>
    <n v="319"/>
  </r>
  <r>
    <x v="0"/>
    <x v="1355"/>
    <x v="227"/>
    <x v="0"/>
    <x v="33"/>
    <n v="117"/>
    <n v="1"/>
    <n v="3500"/>
    <n v="3500"/>
    <n v="2941"/>
    <n v="559"/>
  </r>
  <r>
    <x v="0"/>
    <x v="1356"/>
    <x v="227"/>
    <x v="0"/>
    <x v="91"/>
    <n v="324"/>
    <n v="2"/>
    <n v="22000"/>
    <n v="44000"/>
    <n v="36975"/>
    <n v="7025"/>
  </r>
  <r>
    <x v="0"/>
    <x v="1356"/>
    <x v="227"/>
    <x v="0"/>
    <x v="91"/>
    <n v="143"/>
    <n v="1"/>
    <n v="8000"/>
    <n v="8000"/>
    <n v="6723"/>
    <n v="1277"/>
  </r>
  <r>
    <x v="0"/>
    <x v="1357"/>
    <x v="228"/>
    <x v="0"/>
    <x v="181"/>
    <n v="230"/>
    <n v="1"/>
    <n v="16500"/>
    <n v="16500"/>
    <n v="13866"/>
    <n v="2634"/>
  </r>
  <r>
    <x v="0"/>
    <x v="1357"/>
    <x v="228"/>
    <x v="0"/>
    <x v="181"/>
    <n v="324"/>
    <n v="1"/>
    <n v="11000"/>
    <n v="11000"/>
    <n v="9244"/>
    <n v="1756"/>
  </r>
  <r>
    <x v="0"/>
    <x v="1358"/>
    <x v="228"/>
    <x v="0"/>
    <x v="4"/>
    <n v="143"/>
    <n v="1"/>
    <n v="8000"/>
    <n v="8000"/>
    <n v="6723"/>
    <n v="1277"/>
  </r>
  <r>
    <x v="0"/>
    <x v="1359"/>
    <x v="228"/>
    <x v="0"/>
    <x v="54"/>
    <n v="143"/>
    <n v="2"/>
    <n v="16000"/>
    <n v="32000"/>
    <n v="26891"/>
    <n v="5109"/>
  </r>
  <r>
    <x v="0"/>
    <x v="1360"/>
    <x v="228"/>
    <x v="0"/>
    <x v="63"/>
    <n v="120"/>
    <n v="1"/>
    <n v="1900"/>
    <n v="1900"/>
    <n v="1597"/>
    <n v="303"/>
  </r>
  <r>
    <x v="0"/>
    <x v="1360"/>
    <x v="228"/>
    <x v="0"/>
    <x v="63"/>
    <n v="378"/>
    <n v="1"/>
    <n v="1200"/>
    <n v="1200"/>
    <n v="1008"/>
    <n v="192"/>
  </r>
  <r>
    <x v="0"/>
    <x v="1360"/>
    <x v="228"/>
    <x v="0"/>
    <x v="63"/>
    <n v="286"/>
    <n v="1"/>
    <n v="1100"/>
    <n v="1100"/>
    <n v="924"/>
    <n v="176"/>
  </r>
  <r>
    <x v="0"/>
    <x v="1360"/>
    <x v="228"/>
    <x v="0"/>
    <x v="63"/>
    <n v="382"/>
    <n v="1"/>
    <n v="2600"/>
    <n v="2600"/>
    <n v="2185"/>
    <n v="415"/>
  </r>
  <r>
    <x v="0"/>
    <x v="1360"/>
    <x v="228"/>
    <x v="0"/>
    <x v="63"/>
    <n v="98"/>
    <n v="1"/>
    <n v="3500"/>
    <n v="3500"/>
    <n v="2941"/>
    <n v="559"/>
  </r>
  <r>
    <x v="0"/>
    <x v="1360"/>
    <x v="228"/>
    <x v="0"/>
    <x v="63"/>
    <n v="165"/>
    <n v="1"/>
    <n v="2000"/>
    <n v="2000"/>
    <n v="1681"/>
    <n v="319"/>
  </r>
  <r>
    <x v="0"/>
    <x v="1360"/>
    <x v="228"/>
    <x v="0"/>
    <x v="63"/>
    <n v="354"/>
    <n v="1"/>
    <n v="1800"/>
    <n v="1800"/>
    <n v="1513"/>
    <n v="287"/>
  </r>
  <r>
    <x v="0"/>
    <x v="1361"/>
    <x v="228"/>
    <x v="0"/>
    <x v="26"/>
    <n v="143"/>
    <n v="1"/>
    <n v="8000"/>
    <n v="8000"/>
    <n v="6723"/>
    <n v="1277"/>
  </r>
  <r>
    <x v="0"/>
    <x v="1361"/>
    <x v="228"/>
    <x v="0"/>
    <x v="26"/>
    <n v="118"/>
    <n v="1"/>
    <n v="3500"/>
    <n v="3500"/>
    <n v="2941"/>
    <n v="559"/>
  </r>
  <r>
    <x v="0"/>
    <x v="1361"/>
    <x v="228"/>
    <x v="0"/>
    <x v="26"/>
    <n v="382"/>
    <n v="1"/>
    <n v="2600"/>
    <n v="2600"/>
    <n v="2185"/>
    <n v="415"/>
  </r>
  <r>
    <x v="0"/>
    <x v="1362"/>
    <x v="228"/>
    <x v="0"/>
    <x v="9"/>
    <n v="117"/>
    <n v="1"/>
    <n v="3500"/>
    <n v="3500"/>
    <n v="2941"/>
    <n v="559"/>
  </r>
  <r>
    <x v="0"/>
    <x v="1362"/>
    <x v="228"/>
    <x v="0"/>
    <x v="9"/>
    <n v="368"/>
    <n v="1"/>
    <n v="3000"/>
    <n v="3000"/>
    <n v="2521"/>
    <n v="479"/>
  </r>
  <r>
    <x v="0"/>
    <x v="1362"/>
    <x v="228"/>
    <x v="0"/>
    <x v="9"/>
    <n v="69"/>
    <n v="1"/>
    <n v="3000"/>
    <n v="3000"/>
    <n v="2521"/>
    <n v="479"/>
  </r>
  <r>
    <x v="0"/>
    <x v="1363"/>
    <x v="228"/>
    <x v="0"/>
    <x v="108"/>
    <n v="324"/>
    <n v="1"/>
    <n v="11000"/>
    <n v="11000"/>
    <n v="9244"/>
    <n v="1756"/>
  </r>
  <r>
    <x v="0"/>
    <x v="1363"/>
    <x v="228"/>
    <x v="0"/>
    <x v="108"/>
    <n v="26"/>
    <n v="1"/>
    <n v="3400"/>
    <n v="3400"/>
    <n v="2857"/>
    <n v="543"/>
  </r>
  <r>
    <x v="0"/>
    <x v="1364"/>
    <x v="229"/>
    <x v="0"/>
    <x v="263"/>
    <n v="45"/>
    <n v="1"/>
    <n v="1600"/>
    <n v="1600"/>
    <n v="1345"/>
    <n v="255"/>
  </r>
  <r>
    <x v="0"/>
    <x v="1364"/>
    <x v="229"/>
    <x v="0"/>
    <x v="263"/>
    <n v="230"/>
    <n v="1"/>
    <n v="16500"/>
    <n v="16500"/>
    <n v="13866"/>
    <n v="2634"/>
  </r>
  <r>
    <x v="0"/>
    <x v="1364"/>
    <x v="229"/>
    <x v="0"/>
    <x v="263"/>
    <n v="226"/>
    <n v="1"/>
    <n v="22500"/>
    <n v="22500"/>
    <n v="18908"/>
    <n v="3592"/>
  </r>
  <r>
    <x v="0"/>
    <x v="1364"/>
    <x v="229"/>
    <x v="0"/>
    <x v="263"/>
    <n v="264"/>
    <n v="1"/>
    <n v="5000"/>
    <n v="5000"/>
    <n v="4202"/>
    <n v="798"/>
  </r>
  <r>
    <x v="0"/>
    <x v="1364"/>
    <x v="229"/>
    <x v="0"/>
    <x v="263"/>
    <n v="171"/>
    <n v="1"/>
    <n v="3700"/>
    <n v="3700"/>
    <n v="3109"/>
    <n v="591"/>
  </r>
  <r>
    <x v="0"/>
    <x v="1364"/>
    <x v="229"/>
    <x v="0"/>
    <x v="263"/>
    <n v="331"/>
    <n v="1"/>
    <n v="3700"/>
    <n v="3700"/>
    <n v="3109"/>
    <n v="591"/>
  </r>
  <r>
    <x v="0"/>
    <x v="1365"/>
    <x v="229"/>
    <x v="0"/>
    <x v="52"/>
    <n v="124"/>
    <n v="1"/>
    <n v="4000"/>
    <n v="4000"/>
    <n v="3361"/>
    <n v="639"/>
  </r>
  <r>
    <x v="0"/>
    <x v="1366"/>
    <x v="229"/>
    <x v="0"/>
    <x v="183"/>
    <n v="49"/>
    <n v="2"/>
    <n v="8400"/>
    <n v="16800"/>
    <n v="14118"/>
    <n v="2682"/>
  </r>
  <r>
    <x v="0"/>
    <x v="1366"/>
    <x v="229"/>
    <x v="0"/>
    <x v="183"/>
    <n v="124"/>
    <n v="1"/>
    <n v="4000"/>
    <n v="4000"/>
    <n v="3361"/>
    <n v="639"/>
  </r>
  <r>
    <x v="0"/>
    <x v="1366"/>
    <x v="229"/>
    <x v="0"/>
    <x v="183"/>
    <n v="382"/>
    <n v="1"/>
    <n v="2600"/>
    <n v="2600"/>
    <n v="2185"/>
    <n v="415"/>
  </r>
  <r>
    <x v="0"/>
    <x v="1367"/>
    <x v="229"/>
    <x v="0"/>
    <x v="5"/>
    <n v="324"/>
    <n v="1"/>
    <n v="11000"/>
    <n v="11000"/>
    <n v="9244"/>
    <n v="1756"/>
  </r>
  <r>
    <x v="0"/>
    <x v="1368"/>
    <x v="229"/>
    <x v="0"/>
    <x v="208"/>
    <n v="143"/>
    <n v="1"/>
    <n v="8000"/>
    <n v="8000"/>
    <n v="6723"/>
    <n v="1277"/>
  </r>
  <r>
    <x v="0"/>
    <x v="1369"/>
    <x v="229"/>
    <x v="0"/>
    <x v="115"/>
    <n v="122"/>
    <n v="1"/>
    <n v="6000"/>
    <n v="6000"/>
    <n v="5042"/>
    <n v="958"/>
  </r>
  <r>
    <x v="0"/>
    <x v="1370"/>
    <x v="229"/>
    <x v="0"/>
    <x v="12"/>
    <n v="143"/>
    <n v="1"/>
    <n v="8000"/>
    <n v="8000"/>
    <n v="6723"/>
    <n v="1277"/>
  </r>
  <r>
    <x v="0"/>
    <x v="1371"/>
    <x v="230"/>
    <x v="0"/>
    <x v="264"/>
    <n v="324"/>
    <n v="1"/>
    <n v="11000"/>
    <n v="11000"/>
    <n v="9244"/>
    <n v="1756"/>
  </r>
  <r>
    <x v="0"/>
    <x v="1372"/>
    <x v="230"/>
    <x v="0"/>
    <x v="18"/>
    <n v="324"/>
    <n v="1"/>
    <n v="11000"/>
    <n v="11000"/>
    <n v="9244"/>
    <n v="1756"/>
  </r>
  <r>
    <x v="0"/>
    <x v="1373"/>
    <x v="230"/>
    <x v="0"/>
    <x v="122"/>
    <n v="324"/>
    <n v="1"/>
    <n v="11000"/>
    <n v="11000"/>
    <n v="9244"/>
    <n v="1756"/>
  </r>
  <r>
    <x v="0"/>
    <x v="1373"/>
    <x v="230"/>
    <x v="0"/>
    <x v="122"/>
    <n v="152"/>
    <n v="1"/>
    <n v="4200"/>
    <n v="4200"/>
    <n v="3529"/>
    <n v="671"/>
  </r>
  <r>
    <x v="0"/>
    <x v="1373"/>
    <x v="230"/>
    <x v="0"/>
    <x v="122"/>
    <n v="290"/>
    <n v="1"/>
    <n v="1200"/>
    <n v="1200"/>
    <n v="1008"/>
    <n v="192"/>
  </r>
  <r>
    <x v="0"/>
    <x v="1373"/>
    <x v="230"/>
    <x v="0"/>
    <x v="122"/>
    <n v="382"/>
    <n v="1"/>
    <n v="2600"/>
    <n v="2600"/>
    <n v="2185"/>
    <n v="415"/>
  </r>
  <r>
    <x v="0"/>
    <x v="1373"/>
    <x v="230"/>
    <x v="0"/>
    <x v="122"/>
    <n v="164"/>
    <n v="1"/>
    <n v="3200"/>
    <n v="3200"/>
    <n v="2689"/>
    <n v="511"/>
  </r>
  <r>
    <x v="0"/>
    <x v="1374"/>
    <x v="230"/>
    <x v="0"/>
    <x v="12"/>
    <n v="143"/>
    <n v="2"/>
    <n v="16000"/>
    <n v="32000"/>
    <n v="26891"/>
    <n v="5109"/>
  </r>
  <r>
    <x v="0"/>
    <x v="1375"/>
    <x v="230"/>
    <x v="0"/>
    <x v="261"/>
    <n v="143"/>
    <n v="1"/>
    <n v="8000"/>
    <n v="8000"/>
    <n v="6723"/>
    <n v="1277"/>
  </r>
  <r>
    <x v="0"/>
    <x v="1376"/>
    <x v="231"/>
    <x v="0"/>
    <x v="41"/>
    <n v="322"/>
    <n v="1"/>
    <n v="9000"/>
    <n v="9000"/>
    <n v="7563"/>
    <n v="1437"/>
  </r>
  <r>
    <x v="0"/>
    <x v="1376"/>
    <x v="231"/>
    <x v="0"/>
    <x v="41"/>
    <n v="143"/>
    <n v="1"/>
    <n v="8000"/>
    <n v="8000"/>
    <n v="6723"/>
    <n v="1277"/>
  </r>
  <r>
    <x v="0"/>
    <x v="1377"/>
    <x v="231"/>
    <x v="0"/>
    <x v="5"/>
    <n v="143"/>
    <n v="1"/>
    <n v="8000"/>
    <n v="8000"/>
    <n v="6723"/>
    <n v="1277"/>
  </r>
  <r>
    <x v="0"/>
    <x v="1378"/>
    <x v="232"/>
    <x v="0"/>
    <x v="124"/>
    <n v="143"/>
    <n v="1"/>
    <n v="8000"/>
    <n v="8000"/>
    <n v="6723"/>
    <n v="1277"/>
  </r>
  <r>
    <x v="0"/>
    <x v="1379"/>
    <x v="232"/>
    <x v="0"/>
    <x v="4"/>
    <n v="143"/>
    <n v="1"/>
    <n v="8000"/>
    <n v="8000"/>
    <n v="6723"/>
    <n v="1277"/>
  </r>
  <r>
    <x v="0"/>
    <x v="1379"/>
    <x v="232"/>
    <x v="0"/>
    <x v="4"/>
    <n v="21"/>
    <n v="1"/>
    <n v="3200"/>
    <n v="3200"/>
    <n v="2689"/>
    <n v="511"/>
  </r>
  <r>
    <x v="0"/>
    <x v="1379"/>
    <x v="232"/>
    <x v="0"/>
    <x v="4"/>
    <n v="12"/>
    <n v="1"/>
    <n v="700"/>
    <n v="700"/>
    <n v="588"/>
    <n v="112"/>
  </r>
  <r>
    <x v="0"/>
    <x v="1379"/>
    <x v="232"/>
    <x v="0"/>
    <x v="4"/>
    <n v="13"/>
    <n v="1"/>
    <n v="700"/>
    <n v="700"/>
    <n v="588"/>
    <n v="112"/>
  </r>
  <r>
    <x v="0"/>
    <x v="1379"/>
    <x v="232"/>
    <x v="0"/>
    <x v="4"/>
    <n v="69"/>
    <n v="1"/>
    <n v="3000"/>
    <n v="3000"/>
    <n v="2521"/>
    <n v="479"/>
  </r>
  <r>
    <x v="0"/>
    <x v="1379"/>
    <x v="232"/>
    <x v="0"/>
    <x v="4"/>
    <n v="29"/>
    <n v="1"/>
    <n v="1000"/>
    <n v="1000"/>
    <n v="840"/>
    <n v="160"/>
  </r>
  <r>
    <x v="0"/>
    <x v="1379"/>
    <x v="232"/>
    <x v="0"/>
    <x v="4"/>
    <n v="286"/>
    <n v="1"/>
    <n v="1100"/>
    <n v="1100"/>
    <n v="924"/>
    <n v="176"/>
  </r>
  <r>
    <x v="0"/>
    <x v="1379"/>
    <x v="232"/>
    <x v="0"/>
    <x v="4"/>
    <n v="155"/>
    <n v="1"/>
    <n v="1650"/>
    <n v="1650"/>
    <n v="1387"/>
    <n v="263"/>
  </r>
  <r>
    <x v="0"/>
    <x v="1379"/>
    <x v="232"/>
    <x v="0"/>
    <x v="4"/>
    <n v="230"/>
    <n v="1"/>
    <n v="16500"/>
    <n v="16500"/>
    <n v="13866"/>
    <n v="2634"/>
  </r>
  <r>
    <x v="0"/>
    <x v="1379"/>
    <x v="232"/>
    <x v="0"/>
    <x v="4"/>
    <n v="229"/>
    <n v="1"/>
    <n v="18500"/>
    <n v="18500"/>
    <n v="15546"/>
    <n v="2954"/>
  </r>
  <r>
    <x v="0"/>
    <x v="1380"/>
    <x v="232"/>
    <x v="0"/>
    <x v="36"/>
    <n v="118"/>
    <n v="1"/>
    <n v="3500"/>
    <n v="3500"/>
    <n v="2941"/>
    <n v="559"/>
  </r>
  <r>
    <x v="0"/>
    <x v="1381"/>
    <x v="232"/>
    <x v="0"/>
    <x v="37"/>
    <n v="143"/>
    <n v="2"/>
    <n v="16000"/>
    <n v="32000"/>
    <n v="26891"/>
    <n v="5109"/>
  </r>
  <r>
    <x v="0"/>
    <x v="1382"/>
    <x v="232"/>
    <x v="0"/>
    <x v="232"/>
    <n v="143"/>
    <n v="2"/>
    <n v="16000"/>
    <n v="32000"/>
    <n v="26891"/>
    <n v="5109"/>
  </r>
  <r>
    <x v="0"/>
    <x v="1383"/>
    <x v="232"/>
    <x v="0"/>
    <x v="59"/>
    <n v="143"/>
    <n v="1"/>
    <n v="8000"/>
    <n v="8000"/>
    <n v="6723"/>
    <n v="1277"/>
  </r>
  <r>
    <x v="0"/>
    <x v="1383"/>
    <x v="232"/>
    <x v="0"/>
    <x v="59"/>
    <n v="354"/>
    <n v="1"/>
    <n v="1800"/>
    <n v="1800"/>
    <n v="1513"/>
    <n v="287"/>
  </r>
  <r>
    <x v="0"/>
    <x v="1383"/>
    <x v="232"/>
    <x v="0"/>
    <x v="59"/>
    <n v="293"/>
    <n v="1"/>
    <n v="10000"/>
    <n v="10000"/>
    <n v="8403"/>
    <n v="1597"/>
  </r>
  <r>
    <x v="0"/>
    <x v="1383"/>
    <x v="232"/>
    <x v="0"/>
    <x v="59"/>
    <n v="296"/>
    <n v="1"/>
    <n v="3500"/>
    <n v="3500"/>
    <n v="2941"/>
    <n v="559"/>
  </r>
  <r>
    <x v="0"/>
    <x v="1383"/>
    <x v="232"/>
    <x v="0"/>
    <x v="59"/>
    <n v="368"/>
    <n v="2"/>
    <n v="6000"/>
    <n v="12000"/>
    <n v="10084"/>
    <n v="1916"/>
  </r>
  <r>
    <x v="0"/>
    <x v="1383"/>
    <x v="232"/>
    <x v="0"/>
    <x v="59"/>
    <n v="329"/>
    <n v="1"/>
    <n v="6000"/>
    <n v="6000"/>
    <n v="5042"/>
    <n v="958"/>
  </r>
  <r>
    <x v="0"/>
    <x v="1384"/>
    <x v="232"/>
    <x v="0"/>
    <x v="46"/>
    <n v="329"/>
    <n v="1"/>
    <n v="6000"/>
    <n v="6000"/>
    <n v="5042"/>
    <n v="958"/>
  </r>
  <r>
    <x v="0"/>
    <x v="1385"/>
    <x v="232"/>
    <x v="0"/>
    <x v="27"/>
    <n v="143"/>
    <n v="1"/>
    <n v="8000"/>
    <n v="8000"/>
    <n v="6723"/>
    <n v="1277"/>
  </r>
  <r>
    <x v="0"/>
    <x v="1386"/>
    <x v="232"/>
    <x v="0"/>
    <x v="81"/>
    <n v="261"/>
    <n v="1"/>
    <n v="7000"/>
    <n v="7000"/>
    <n v="5882"/>
    <n v="1118"/>
  </r>
  <r>
    <x v="0"/>
    <x v="1386"/>
    <x v="232"/>
    <x v="0"/>
    <x v="81"/>
    <n v="322"/>
    <n v="1"/>
    <n v="9000"/>
    <n v="9000"/>
    <n v="7563"/>
    <n v="1437"/>
  </r>
  <r>
    <x v="0"/>
    <x v="1387"/>
    <x v="232"/>
    <x v="0"/>
    <x v="119"/>
    <n v="231"/>
    <n v="1"/>
    <n v="20900"/>
    <n v="20900"/>
    <n v="17563"/>
    <n v="3337"/>
  </r>
  <r>
    <x v="0"/>
    <x v="1387"/>
    <x v="232"/>
    <x v="0"/>
    <x v="119"/>
    <n v="329"/>
    <n v="1"/>
    <n v="6000"/>
    <n v="6000"/>
    <n v="5042"/>
    <n v="958"/>
  </r>
  <r>
    <x v="0"/>
    <x v="1388"/>
    <x v="232"/>
    <x v="0"/>
    <x v="58"/>
    <n v="368"/>
    <n v="1"/>
    <n v="3000"/>
    <n v="3000"/>
    <n v="2521"/>
    <n v="479"/>
  </r>
  <r>
    <x v="0"/>
    <x v="1388"/>
    <x v="232"/>
    <x v="0"/>
    <x v="58"/>
    <n v="81"/>
    <n v="1"/>
    <n v="1600"/>
    <n v="1600"/>
    <n v="1345"/>
    <n v="255"/>
  </r>
  <r>
    <x v="0"/>
    <x v="1388"/>
    <x v="232"/>
    <x v="0"/>
    <x v="58"/>
    <n v="387"/>
    <n v="1"/>
    <n v="1500"/>
    <n v="1500"/>
    <n v="1261"/>
    <n v="239"/>
  </r>
  <r>
    <x v="0"/>
    <x v="1389"/>
    <x v="232"/>
    <x v="0"/>
    <x v="215"/>
    <n v="98"/>
    <n v="1"/>
    <n v="3500"/>
    <n v="3500"/>
    <n v="2941"/>
    <n v="559"/>
  </r>
  <r>
    <x v="0"/>
    <x v="1389"/>
    <x v="232"/>
    <x v="0"/>
    <x v="215"/>
    <n v="165"/>
    <n v="1"/>
    <n v="2000"/>
    <n v="2000"/>
    <n v="1681"/>
    <n v="319"/>
  </r>
  <r>
    <x v="0"/>
    <x v="1389"/>
    <x v="232"/>
    <x v="0"/>
    <x v="215"/>
    <n v="231"/>
    <n v="1"/>
    <n v="20900"/>
    <n v="20900"/>
    <n v="17563"/>
    <n v="3337"/>
  </r>
  <r>
    <x v="0"/>
    <x v="1389"/>
    <x v="232"/>
    <x v="0"/>
    <x v="215"/>
    <n v="226"/>
    <n v="1"/>
    <n v="22500"/>
    <n v="22500"/>
    <n v="18908"/>
    <n v="3592"/>
  </r>
  <r>
    <x v="0"/>
    <x v="1390"/>
    <x v="232"/>
    <x v="0"/>
    <x v="12"/>
    <n v="143"/>
    <n v="2"/>
    <n v="16000"/>
    <n v="32000"/>
    <n v="26891"/>
    <n v="5109"/>
  </r>
  <r>
    <x v="0"/>
    <x v="1391"/>
    <x v="233"/>
    <x v="0"/>
    <x v="265"/>
    <n v="126"/>
    <n v="1"/>
    <n v="9000"/>
    <n v="9000"/>
    <n v="7563"/>
    <n v="1437"/>
  </r>
  <r>
    <x v="0"/>
    <x v="1391"/>
    <x v="233"/>
    <x v="0"/>
    <x v="265"/>
    <n v="288"/>
    <n v="1"/>
    <n v="8500"/>
    <n v="8500"/>
    <n v="7143"/>
    <n v="1357"/>
  </r>
  <r>
    <x v="0"/>
    <x v="1392"/>
    <x v="233"/>
    <x v="0"/>
    <x v="266"/>
    <n v="289"/>
    <n v="1"/>
    <n v="19500"/>
    <n v="19500"/>
    <n v="16387"/>
    <n v="3113"/>
  </r>
  <r>
    <x v="0"/>
    <x v="1393"/>
    <x v="233"/>
    <x v="0"/>
    <x v="18"/>
    <n v="324"/>
    <n v="1"/>
    <n v="11000"/>
    <n v="11000"/>
    <n v="9244"/>
    <n v="1756"/>
  </r>
  <r>
    <x v="0"/>
    <x v="1394"/>
    <x v="233"/>
    <x v="0"/>
    <x v="71"/>
    <n v="227"/>
    <n v="1"/>
    <n v="13500"/>
    <n v="13500"/>
    <n v="11345"/>
    <n v="2155"/>
  </r>
  <r>
    <x v="0"/>
    <x v="1394"/>
    <x v="233"/>
    <x v="0"/>
    <x v="71"/>
    <n v="143"/>
    <n v="1"/>
    <n v="8000"/>
    <n v="8000"/>
    <n v="6723"/>
    <n v="1277"/>
  </r>
  <r>
    <x v="0"/>
    <x v="1395"/>
    <x v="233"/>
    <x v="0"/>
    <x v="21"/>
    <n v="322"/>
    <n v="1"/>
    <n v="9000"/>
    <n v="9000"/>
    <n v="7563"/>
    <n v="1437"/>
  </r>
  <r>
    <x v="0"/>
    <x v="1396"/>
    <x v="233"/>
    <x v="0"/>
    <x v="96"/>
    <n v="143"/>
    <n v="1"/>
    <n v="8000"/>
    <n v="8000"/>
    <n v="6723"/>
    <n v="1277"/>
  </r>
  <r>
    <x v="0"/>
    <x v="1397"/>
    <x v="233"/>
    <x v="0"/>
    <x v="118"/>
    <n v="231"/>
    <n v="1"/>
    <n v="20900"/>
    <n v="20900"/>
    <n v="17563"/>
    <n v="3337"/>
  </r>
  <r>
    <x v="0"/>
    <x v="1398"/>
    <x v="233"/>
    <x v="0"/>
    <x v="186"/>
    <n v="143"/>
    <n v="1"/>
    <n v="8000"/>
    <n v="8000"/>
    <n v="6723"/>
    <n v="1277"/>
  </r>
  <r>
    <x v="0"/>
    <x v="1399"/>
    <x v="234"/>
    <x v="0"/>
    <x v="258"/>
    <n v="143"/>
    <n v="3"/>
    <n v="24001"/>
    <n v="72003"/>
    <n v="60507"/>
    <n v="11496"/>
  </r>
  <r>
    <x v="0"/>
    <x v="1400"/>
    <x v="234"/>
    <x v="0"/>
    <x v="256"/>
    <n v="143"/>
    <n v="1"/>
    <n v="8000"/>
    <n v="8000"/>
    <n v="6723"/>
    <n v="1277"/>
  </r>
  <r>
    <x v="0"/>
    <x v="1401"/>
    <x v="234"/>
    <x v="0"/>
    <x v="226"/>
    <n v="143"/>
    <n v="1"/>
    <n v="8000"/>
    <n v="8000"/>
    <n v="6723"/>
    <n v="1277"/>
  </r>
  <r>
    <x v="0"/>
    <x v="1402"/>
    <x v="234"/>
    <x v="0"/>
    <x v="34"/>
    <n v="143"/>
    <n v="1"/>
    <n v="8000"/>
    <n v="8000"/>
    <n v="6723"/>
    <n v="1277"/>
  </r>
  <r>
    <x v="0"/>
    <x v="1403"/>
    <x v="234"/>
    <x v="0"/>
    <x v="129"/>
    <n v="143"/>
    <n v="2"/>
    <n v="16000"/>
    <n v="32000"/>
    <n v="26891"/>
    <n v="5109"/>
  </r>
  <r>
    <x v="0"/>
    <x v="1404"/>
    <x v="234"/>
    <x v="0"/>
    <x v="29"/>
    <n v="231"/>
    <n v="1"/>
    <n v="20900"/>
    <n v="20900"/>
    <n v="17563"/>
    <n v="3337"/>
  </r>
  <r>
    <x v="0"/>
    <x v="1404"/>
    <x v="234"/>
    <x v="0"/>
    <x v="29"/>
    <n v="261"/>
    <n v="1"/>
    <n v="7000"/>
    <n v="7000"/>
    <n v="5882"/>
    <n v="1118"/>
  </r>
  <r>
    <x v="0"/>
    <x v="1404"/>
    <x v="234"/>
    <x v="0"/>
    <x v="29"/>
    <n v="143"/>
    <n v="1"/>
    <n v="8000"/>
    <n v="8000"/>
    <n v="6723"/>
    <n v="1277"/>
  </r>
  <r>
    <x v="0"/>
    <x v="1404"/>
    <x v="234"/>
    <x v="0"/>
    <x v="29"/>
    <n v="322"/>
    <n v="1"/>
    <n v="9000"/>
    <n v="9000"/>
    <n v="7563"/>
    <n v="1437"/>
  </r>
  <r>
    <x v="0"/>
    <x v="1405"/>
    <x v="234"/>
    <x v="0"/>
    <x v="12"/>
    <n v="143"/>
    <n v="1"/>
    <n v="8000"/>
    <n v="8000"/>
    <n v="6723"/>
    <n v="1277"/>
  </r>
  <r>
    <x v="0"/>
    <x v="1406"/>
    <x v="235"/>
    <x v="0"/>
    <x v="267"/>
    <n v="143"/>
    <n v="1"/>
    <n v="8000"/>
    <n v="8000"/>
    <n v="6723"/>
    <n v="1277"/>
  </r>
  <r>
    <x v="0"/>
    <x v="1407"/>
    <x v="235"/>
    <x v="0"/>
    <x v="268"/>
    <n v="293"/>
    <n v="1"/>
    <n v="10000"/>
    <n v="10000"/>
    <n v="8403"/>
    <n v="1597"/>
  </r>
  <r>
    <x v="0"/>
    <x v="1407"/>
    <x v="235"/>
    <x v="0"/>
    <x v="268"/>
    <n v="226"/>
    <n v="1"/>
    <n v="22500"/>
    <n v="22500"/>
    <n v="18908"/>
    <n v="3592"/>
  </r>
  <r>
    <x v="0"/>
    <x v="1408"/>
    <x v="235"/>
    <x v="0"/>
    <x v="269"/>
    <n v="143"/>
    <n v="1"/>
    <n v="8000"/>
    <n v="8000"/>
    <n v="6723"/>
    <n v="1277"/>
  </r>
  <r>
    <x v="0"/>
    <x v="1409"/>
    <x v="235"/>
    <x v="0"/>
    <x v="184"/>
    <n v="51"/>
    <n v="1"/>
    <n v="4200"/>
    <n v="4200"/>
    <n v="3529"/>
    <n v="671"/>
  </r>
  <r>
    <x v="0"/>
    <x v="1410"/>
    <x v="235"/>
    <x v="0"/>
    <x v="5"/>
    <n v="387"/>
    <n v="1"/>
    <n v="1500"/>
    <n v="1500"/>
    <n v="1261"/>
    <n v="239"/>
  </r>
  <r>
    <x v="0"/>
    <x v="1411"/>
    <x v="235"/>
    <x v="0"/>
    <x v="235"/>
    <n v="261"/>
    <n v="1"/>
    <n v="7000"/>
    <n v="7000"/>
    <n v="5882"/>
    <n v="1118"/>
  </r>
  <r>
    <x v="0"/>
    <x v="1411"/>
    <x v="235"/>
    <x v="0"/>
    <x v="235"/>
    <n v="143"/>
    <n v="1"/>
    <n v="8000"/>
    <n v="8000"/>
    <n v="6723"/>
    <n v="1277"/>
  </r>
  <r>
    <x v="0"/>
    <x v="1412"/>
    <x v="236"/>
    <x v="0"/>
    <x v="270"/>
    <n v="324"/>
    <n v="1"/>
    <n v="11000"/>
    <n v="11000"/>
    <n v="9244"/>
    <n v="1756"/>
  </r>
  <r>
    <x v="0"/>
    <x v="1412"/>
    <x v="236"/>
    <x v="0"/>
    <x v="270"/>
    <n v="288"/>
    <n v="1"/>
    <n v="8500"/>
    <n v="8500"/>
    <n v="7143"/>
    <n v="1357"/>
  </r>
  <r>
    <x v="0"/>
    <x v="1412"/>
    <x v="236"/>
    <x v="0"/>
    <x v="270"/>
    <n v="371"/>
    <n v="1"/>
    <n v="9500"/>
    <n v="9500"/>
    <n v="7983"/>
    <n v="1517"/>
  </r>
  <r>
    <x v="0"/>
    <x v="1413"/>
    <x v="236"/>
    <x v="0"/>
    <x v="105"/>
    <n v="143"/>
    <n v="1"/>
    <n v="8000"/>
    <n v="8000"/>
    <n v="6723"/>
    <n v="1277"/>
  </r>
  <r>
    <x v="0"/>
    <x v="1414"/>
    <x v="237"/>
    <x v="0"/>
    <x v="18"/>
    <n v="324"/>
    <n v="1"/>
    <n v="11000"/>
    <n v="11000"/>
    <n v="9244"/>
    <n v="1756"/>
  </r>
  <r>
    <x v="0"/>
    <x v="1415"/>
    <x v="237"/>
    <x v="0"/>
    <x v="36"/>
    <n v="165"/>
    <n v="1"/>
    <n v="2000"/>
    <n v="2000"/>
    <n v="1681"/>
    <n v="319"/>
  </r>
  <r>
    <x v="0"/>
    <x v="1415"/>
    <x v="237"/>
    <x v="0"/>
    <x v="36"/>
    <n v="261"/>
    <n v="1"/>
    <n v="7000"/>
    <n v="7000"/>
    <n v="5882"/>
    <n v="1118"/>
  </r>
  <r>
    <x v="0"/>
    <x v="1415"/>
    <x v="237"/>
    <x v="0"/>
    <x v="36"/>
    <n v="83"/>
    <n v="2"/>
    <n v="3200"/>
    <n v="6400"/>
    <n v="5378"/>
    <n v="1022"/>
  </r>
  <r>
    <x v="0"/>
    <x v="1415"/>
    <x v="237"/>
    <x v="0"/>
    <x v="36"/>
    <n v="171"/>
    <n v="1"/>
    <n v="3700"/>
    <n v="3700"/>
    <n v="3109"/>
    <n v="591"/>
  </r>
  <r>
    <x v="0"/>
    <x v="1416"/>
    <x v="237"/>
    <x v="0"/>
    <x v="252"/>
    <n v="324"/>
    <n v="1"/>
    <n v="11000"/>
    <n v="11000"/>
    <n v="9244"/>
    <n v="1756"/>
  </r>
  <r>
    <x v="0"/>
    <x v="1416"/>
    <x v="237"/>
    <x v="0"/>
    <x v="252"/>
    <n v="286"/>
    <n v="1"/>
    <n v="1100"/>
    <n v="1100"/>
    <n v="924"/>
    <n v="176"/>
  </r>
  <r>
    <x v="0"/>
    <x v="1416"/>
    <x v="237"/>
    <x v="0"/>
    <x v="252"/>
    <n v="98"/>
    <n v="1"/>
    <n v="3500"/>
    <n v="3500"/>
    <n v="2941"/>
    <n v="559"/>
  </r>
  <r>
    <x v="0"/>
    <x v="1416"/>
    <x v="237"/>
    <x v="0"/>
    <x v="252"/>
    <n v="97"/>
    <n v="1"/>
    <n v="2000"/>
    <n v="2000"/>
    <n v="1681"/>
    <n v="319"/>
  </r>
  <r>
    <x v="0"/>
    <x v="1416"/>
    <x v="237"/>
    <x v="0"/>
    <x v="252"/>
    <n v="354"/>
    <n v="1"/>
    <n v="1800"/>
    <n v="1800"/>
    <n v="1513"/>
    <n v="287"/>
  </r>
  <r>
    <x v="0"/>
    <x v="1416"/>
    <x v="237"/>
    <x v="0"/>
    <x v="252"/>
    <n v="254"/>
    <n v="1"/>
    <n v="2000"/>
    <n v="2000"/>
    <n v="1681"/>
    <n v="319"/>
  </r>
  <r>
    <x v="0"/>
    <x v="1417"/>
    <x v="237"/>
    <x v="0"/>
    <x v="5"/>
    <n v="274"/>
    <n v="1"/>
    <n v="7500"/>
    <n v="7500"/>
    <n v="6303"/>
    <n v="1197"/>
  </r>
  <r>
    <x v="0"/>
    <x v="1418"/>
    <x v="237"/>
    <x v="0"/>
    <x v="67"/>
    <n v="167"/>
    <n v="2"/>
    <n v="16400"/>
    <n v="32800"/>
    <n v="27563"/>
    <n v="5237"/>
  </r>
  <r>
    <x v="0"/>
    <x v="1418"/>
    <x v="237"/>
    <x v="0"/>
    <x v="67"/>
    <n v="117"/>
    <n v="1"/>
    <n v="3500"/>
    <n v="3500"/>
    <n v="2941"/>
    <n v="559"/>
  </r>
  <r>
    <x v="0"/>
    <x v="1418"/>
    <x v="237"/>
    <x v="0"/>
    <x v="67"/>
    <n v="98"/>
    <n v="1"/>
    <n v="3500"/>
    <n v="3500"/>
    <n v="2941"/>
    <n v="559"/>
  </r>
  <r>
    <x v="0"/>
    <x v="1419"/>
    <x v="237"/>
    <x v="0"/>
    <x v="200"/>
    <n v="167"/>
    <n v="1"/>
    <n v="8200"/>
    <n v="8200"/>
    <n v="6891"/>
    <n v="1309"/>
  </r>
  <r>
    <x v="0"/>
    <x v="1419"/>
    <x v="237"/>
    <x v="0"/>
    <x v="200"/>
    <n v="264"/>
    <n v="1"/>
    <n v="5000"/>
    <n v="5000"/>
    <n v="4202"/>
    <n v="798"/>
  </r>
  <r>
    <x v="0"/>
    <x v="1420"/>
    <x v="237"/>
    <x v="0"/>
    <x v="23"/>
    <n v="223"/>
    <n v="1"/>
    <n v="24000"/>
    <n v="24000"/>
    <n v="20168"/>
    <n v="3832"/>
  </r>
  <r>
    <x v="0"/>
    <x v="1420"/>
    <x v="237"/>
    <x v="0"/>
    <x v="23"/>
    <n v="265"/>
    <n v="1"/>
    <n v="10000"/>
    <n v="10000"/>
    <n v="8403"/>
    <n v="1597"/>
  </r>
  <r>
    <x v="0"/>
    <x v="1421"/>
    <x v="237"/>
    <x v="0"/>
    <x v="221"/>
    <n v="143"/>
    <n v="1"/>
    <n v="8000"/>
    <n v="8000"/>
    <n v="6723"/>
    <n v="1277"/>
  </r>
  <r>
    <x v="0"/>
    <x v="1422"/>
    <x v="237"/>
    <x v="0"/>
    <x v="80"/>
    <n v="288"/>
    <n v="2"/>
    <n v="17000"/>
    <n v="34000"/>
    <n v="28571"/>
    <n v="5429"/>
  </r>
  <r>
    <x v="0"/>
    <x v="1423"/>
    <x v="237"/>
    <x v="0"/>
    <x v="108"/>
    <n v="289"/>
    <n v="1"/>
    <n v="19500"/>
    <n v="19500"/>
    <n v="16387"/>
    <n v="3113"/>
  </r>
  <r>
    <x v="0"/>
    <x v="1423"/>
    <x v="237"/>
    <x v="0"/>
    <x v="108"/>
    <n v="225"/>
    <n v="1"/>
    <n v="19500"/>
    <n v="19500"/>
    <n v="16387"/>
    <n v="3113"/>
  </r>
  <r>
    <x v="0"/>
    <x v="1424"/>
    <x v="237"/>
    <x v="0"/>
    <x v="110"/>
    <n v="322"/>
    <n v="2"/>
    <n v="18000"/>
    <n v="36000"/>
    <n v="30252"/>
    <n v="5748"/>
  </r>
  <r>
    <x v="0"/>
    <x v="1425"/>
    <x v="238"/>
    <x v="0"/>
    <x v="54"/>
    <n v="167"/>
    <n v="2"/>
    <n v="16400"/>
    <n v="32800"/>
    <n v="27563"/>
    <n v="5237"/>
  </r>
  <r>
    <x v="0"/>
    <x v="1426"/>
    <x v="238"/>
    <x v="0"/>
    <x v="100"/>
    <n v="117"/>
    <n v="1"/>
    <n v="3500"/>
    <n v="3500"/>
    <n v="2941"/>
    <n v="559"/>
  </r>
  <r>
    <x v="0"/>
    <x v="1426"/>
    <x v="238"/>
    <x v="0"/>
    <x v="100"/>
    <n v="165"/>
    <n v="1"/>
    <n v="2000"/>
    <n v="2000"/>
    <n v="1681"/>
    <n v="319"/>
  </r>
  <r>
    <x v="0"/>
    <x v="1426"/>
    <x v="238"/>
    <x v="0"/>
    <x v="100"/>
    <n v="143"/>
    <n v="1"/>
    <n v="8000"/>
    <n v="8000"/>
    <n v="6723"/>
    <n v="1277"/>
  </r>
  <r>
    <x v="0"/>
    <x v="1427"/>
    <x v="238"/>
    <x v="0"/>
    <x v="49"/>
    <n v="231"/>
    <n v="1"/>
    <n v="20900"/>
    <n v="20900"/>
    <n v="17563"/>
    <n v="3337"/>
  </r>
  <r>
    <x v="0"/>
    <x v="1428"/>
    <x v="238"/>
    <x v="0"/>
    <x v="94"/>
    <n v="167"/>
    <n v="1"/>
    <n v="8200"/>
    <n v="8200"/>
    <n v="6891"/>
    <n v="1309"/>
  </r>
  <r>
    <x v="0"/>
    <x v="1428"/>
    <x v="238"/>
    <x v="0"/>
    <x v="94"/>
    <n v="324"/>
    <n v="1"/>
    <n v="11000"/>
    <n v="11000"/>
    <n v="9244"/>
    <n v="1756"/>
  </r>
  <r>
    <x v="0"/>
    <x v="1428"/>
    <x v="238"/>
    <x v="0"/>
    <x v="94"/>
    <n v="124"/>
    <n v="1"/>
    <n v="4000"/>
    <n v="4000"/>
    <n v="3361"/>
    <n v="639"/>
  </r>
  <r>
    <x v="0"/>
    <x v="1429"/>
    <x v="238"/>
    <x v="0"/>
    <x v="73"/>
    <n v="143"/>
    <n v="2"/>
    <n v="16000"/>
    <n v="32000"/>
    <n v="26891"/>
    <n v="5109"/>
  </r>
  <r>
    <x v="0"/>
    <x v="1430"/>
    <x v="238"/>
    <x v="0"/>
    <x v="271"/>
    <n v="167"/>
    <n v="1"/>
    <n v="8200"/>
    <n v="8200"/>
    <n v="6891"/>
    <n v="1309"/>
  </r>
  <r>
    <x v="0"/>
    <x v="1431"/>
    <x v="238"/>
    <x v="0"/>
    <x v="24"/>
    <n v="230"/>
    <n v="1"/>
    <n v="16500"/>
    <n v="16500"/>
    <n v="13866"/>
    <n v="2634"/>
  </r>
  <r>
    <x v="0"/>
    <x v="1431"/>
    <x v="238"/>
    <x v="0"/>
    <x v="24"/>
    <n v="46"/>
    <n v="1"/>
    <n v="2500"/>
    <n v="2500"/>
    <n v="2101"/>
    <n v="399"/>
  </r>
  <r>
    <x v="0"/>
    <x v="1431"/>
    <x v="238"/>
    <x v="0"/>
    <x v="24"/>
    <n v="117"/>
    <n v="1"/>
    <n v="3500"/>
    <n v="3500"/>
    <n v="2941"/>
    <n v="559"/>
  </r>
  <r>
    <x v="0"/>
    <x v="1431"/>
    <x v="238"/>
    <x v="0"/>
    <x v="24"/>
    <n v="165"/>
    <n v="1"/>
    <n v="2000"/>
    <n v="2000"/>
    <n v="1681"/>
    <n v="319"/>
  </r>
  <r>
    <x v="0"/>
    <x v="1432"/>
    <x v="238"/>
    <x v="0"/>
    <x v="85"/>
    <n v="143"/>
    <n v="1"/>
    <n v="8000"/>
    <n v="8000"/>
    <n v="6723"/>
    <n v="1277"/>
  </r>
  <r>
    <x v="0"/>
    <x v="1433"/>
    <x v="238"/>
    <x v="0"/>
    <x v="110"/>
    <n v="126"/>
    <n v="1"/>
    <n v="9000"/>
    <n v="9000"/>
    <n v="7563"/>
    <n v="1437"/>
  </r>
  <r>
    <x v="0"/>
    <x v="1433"/>
    <x v="238"/>
    <x v="0"/>
    <x v="110"/>
    <n v="288"/>
    <n v="1"/>
    <n v="8500"/>
    <n v="8500"/>
    <n v="7143"/>
    <n v="1357"/>
  </r>
  <r>
    <x v="0"/>
    <x v="1433"/>
    <x v="238"/>
    <x v="0"/>
    <x v="110"/>
    <n v="11"/>
    <n v="2"/>
    <n v="5000"/>
    <n v="10000"/>
    <n v="8403"/>
    <n v="1597"/>
  </r>
  <r>
    <x v="0"/>
    <x v="1433"/>
    <x v="238"/>
    <x v="0"/>
    <x v="110"/>
    <n v="267"/>
    <n v="2"/>
    <n v="3200"/>
    <n v="6400"/>
    <n v="5378"/>
    <n v="1022"/>
  </r>
  <r>
    <x v="0"/>
    <x v="1433"/>
    <x v="238"/>
    <x v="0"/>
    <x v="110"/>
    <n v="259"/>
    <n v="1"/>
    <n v="4500"/>
    <n v="4500"/>
    <n v="3782"/>
    <n v="718"/>
  </r>
  <r>
    <x v="0"/>
    <x v="1433"/>
    <x v="238"/>
    <x v="0"/>
    <x v="110"/>
    <n v="150"/>
    <n v="1"/>
    <n v="4200"/>
    <n v="4200"/>
    <n v="3529"/>
    <n v="671"/>
  </r>
  <r>
    <x v="0"/>
    <x v="1433"/>
    <x v="238"/>
    <x v="0"/>
    <x v="110"/>
    <n v="99"/>
    <n v="2"/>
    <n v="3400"/>
    <n v="6800"/>
    <n v="5714"/>
    <n v="1086"/>
  </r>
  <r>
    <x v="0"/>
    <x v="1433"/>
    <x v="238"/>
    <x v="0"/>
    <x v="110"/>
    <n v="166"/>
    <n v="3"/>
    <n v="4800"/>
    <n v="14400"/>
    <n v="12101"/>
    <n v="2299"/>
  </r>
  <r>
    <x v="0"/>
    <x v="1433"/>
    <x v="238"/>
    <x v="0"/>
    <x v="110"/>
    <n v="231"/>
    <n v="1"/>
    <n v="20900"/>
    <n v="20900"/>
    <n v="17563"/>
    <n v="3337"/>
  </r>
  <r>
    <x v="0"/>
    <x v="1433"/>
    <x v="238"/>
    <x v="0"/>
    <x v="110"/>
    <n v="228"/>
    <n v="1"/>
    <n v="21500"/>
    <n v="21500"/>
    <n v="18067"/>
    <n v="3433"/>
  </r>
  <r>
    <x v="0"/>
    <x v="1433"/>
    <x v="238"/>
    <x v="0"/>
    <x v="110"/>
    <n v="229"/>
    <n v="1"/>
    <n v="18500"/>
    <n v="18500"/>
    <n v="15546"/>
    <n v="2954"/>
  </r>
  <r>
    <x v="0"/>
    <x v="1433"/>
    <x v="238"/>
    <x v="0"/>
    <x v="110"/>
    <n v="360"/>
    <n v="2"/>
    <n v="6000"/>
    <n v="12000"/>
    <n v="10084"/>
    <n v="1916"/>
  </r>
  <r>
    <x v="0"/>
    <x v="1433"/>
    <x v="238"/>
    <x v="0"/>
    <x v="110"/>
    <n v="357"/>
    <n v="1"/>
    <n v="1800"/>
    <n v="1800"/>
    <n v="1513"/>
    <n v="287"/>
  </r>
  <r>
    <x v="0"/>
    <x v="1434"/>
    <x v="239"/>
    <x v="0"/>
    <x v="17"/>
    <n v="324"/>
    <n v="1"/>
    <n v="11000"/>
    <n v="11000"/>
    <n v="9244"/>
    <n v="1756"/>
  </r>
  <r>
    <x v="0"/>
    <x v="1435"/>
    <x v="239"/>
    <x v="0"/>
    <x v="37"/>
    <n v="143"/>
    <n v="1"/>
    <n v="8000"/>
    <n v="8000"/>
    <n v="6723"/>
    <n v="1277"/>
  </r>
  <r>
    <x v="0"/>
    <x v="1436"/>
    <x v="239"/>
    <x v="0"/>
    <x v="209"/>
    <n v="143"/>
    <n v="1"/>
    <n v="8000"/>
    <n v="8000"/>
    <n v="6723"/>
    <n v="1277"/>
  </r>
  <r>
    <x v="0"/>
    <x v="1437"/>
    <x v="239"/>
    <x v="0"/>
    <x v="59"/>
    <n v="118"/>
    <n v="2"/>
    <n v="7000"/>
    <n v="14000"/>
    <n v="11765"/>
    <n v="2235"/>
  </r>
  <r>
    <x v="0"/>
    <x v="1438"/>
    <x v="239"/>
    <x v="0"/>
    <x v="239"/>
    <n v="235"/>
    <n v="1"/>
    <n v="15500"/>
    <n v="15500"/>
    <n v="13025"/>
    <n v="2475"/>
  </r>
  <r>
    <x v="0"/>
    <x v="1438"/>
    <x v="239"/>
    <x v="0"/>
    <x v="239"/>
    <n v="277"/>
    <n v="1"/>
    <n v="10000"/>
    <n v="10000"/>
    <n v="8403"/>
    <n v="1597"/>
  </r>
  <r>
    <x v="0"/>
    <x v="1439"/>
    <x v="239"/>
    <x v="0"/>
    <x v="26"/>
    <n v="143"/>
    <n v="1"/>
    <n v="8000"/>
    <n v="8000"/>
    <n v="6723"/>
    <n v="1277"/>
  </r>
  <r>
    <x v="0"/>
    <x v="1439"/>
    <x v="239"/>
    <x v="0"/>
    <x v="26"/>
    <n v="329"/>
    <n v="1"/>
    <n v="6000"/>
    <n v="6000"/>
    <n v="5042"/>
    <n v="958"/>
  </r>
  <r>
    <x v="0"/>
    <x v="1440"/>
    <x v="240"/>
    <x v="0"/>
    <x v="88"/>
    <n v="322"/>
    <n v="1"/>
    <n v="9000"/>
    <n v="9000"/>
    <n v="7563"/>
    <n v="1437"/>
  </r>
  <r>
    <x v="0"/>
    <x v="1440"/>
    <x v="240"/>
    <x v="0"/>
    <x v="88"/>
    <n v="143"/>
    <n v="1"/>
    <n v="8000"/>
    <n v="8000"/>
    <n v="6723"/>
    <n v="1277"/>
  </r>
  <r>
    <x v="0"/>
    <x v="1441"/>
    <x v="240"/>
    <x v="0"/>
    <x v="36"/>
    <n v="244"/>
    <n v="1"/>
    <n v="14900"/>
    <n v="14900"/>
    <n v="12521"/>
    <n v="2379"/>
  </r>
  <r>
    <x v="0"/>
    <x v="1442"/>
    <x v="240"/>
    <x v="0"/>
    <x v="192"/>
    <n v="167"/>
    <n v="1"/>
    <n v="8200"/>
    <n v="8200"/>
    <n v="6891"/>
    <n v="1309"/>
  </r>
  <r>
    <x v="0"/>
    <x v="1443"/>
    <x v="240"/>
    <x v="0"/>
    <x v="46"/>
    <n v="231"/>
    <n v="1"/>
    <n v="20900"/>
    <n v="20900"/>
    <n v="17563"/>
    <n v="3337"/>
  </r>
  <r>
    <x v="0"/>
    <x v="1444"/>
    <x v="240"/>
    <x v="0"/>
    <x v="159"/>
    <n v="223"/>
    <n v="1"/>
    <n v="24000"/>
    <n v="24000"/>
    <n v="20168"/>
    <n v="3832"/>
  </r>
  <r>
    <x v="0"/>
    <x v="1445"/>
    <x v="240"/>
    <x v="0"/>
    <x v="25"/>
    <n v="223"/>
    <n v="1"/>
    <n v="24000"/>
    <n v="24000"/>
    <n v="20168"/>
    <n v="3832"/>
  </r>
  <r>
    <x v="0"/>
    <x v="1446"/>
    <x v="240"/>
    <x v="0"/>
    <x v="58"/>
    <n v="231"/>
    <n v="1"/>
    <n v="20900"/>
    <n v="20900"/>
    <n v="17563"/>
    <n v="3337"/>
  </r>
  <r>
    <x v="0"/>
    <x v="1446"/>
    <x v="240"/>
    <x v="0"/>
    <x v="58"/>
    <n v="368"/>
    <n v="1"/>
    <n v="3000"/>
    <n v="3000"/>
    <n v="2521"/>
    <n v="479"/>
  </r>
  <r>
    <x v="0"/>
    <x v="1447"/>
    <x v="240"/>
    <x v="0"/>
    <x v="61"/>
    <n v="368"/>
    <n v="1"/>
    <n v="3000"/>
    <n v="3000"/>
    <n v="2521"/>
    <n v="479"/>
  </r>
  <r>
    <x v="0"/>
    <x v="1447"/>
    <x v="240"/>
    <x v="0"/>
    <x v="61"/>
    <n v="329"/>
    <n v="1"/>
    <n v="6000"/>
    <n v="6000"/>
    <n v="5042"/>
    <n v="958"/>
  </r>
  <r>
    <x v="0"/>
    <x v="1447"/>
    <x v="240"/>
    <x v="0"/>
    <x v="61"/>
    <n v="118"/>
    <n v="1"/>
    <n v="3500"/>
    <n v="3500"/>
    <n v="2941"/>
    <n v="559"/>
  </r>
  <r>
    <x v="0"/>
    <x v="1447"/>
    <x v="240"/>
    <x v="0"/>
    <x v="61"/>
    <n v="143"/>
    <n v="1"/>
    <n v="8000"/>
    <n v="8000"/>
    <n v="6723"/>
    <n v="1277"/>
  </r>
  <r>
    <x v="0"/>
    <x v="1448"/>
    <x v="240"/>
    <x v="0"/>
    <x v="122"/>
    <n v="322"/>
    <n v="1"/>
    <n v="9000"/>
    <n v="9000"/>
    <n v="7563"/>
    <n v="1437"/>
  </r>
  <r>
    <x v="0"/>
    <x v="1448"/>
    <x v="240"/>
    <x v="0"/>
    <x v="122"/>
    <n v="261"/>
    <n v="1"/>
    <n v="7000"/>
    <n v="7000"/>
    <n v="5882"/>
    <n v="1118"/>
  </r>
  <r>
    <x v="0"/>
    <x v="1448"/>
    <x v="240"/>
    <x v="0"/>
    <x v="122"/>
    <n v="167"/>
    <n v="1"/>
    <n v="8200"/>
    <n v="8200"/>
    <n v="6891"/>
    <n v="1309"/>
  </r>
  <r>
    <x v="0"/>
    <x v="1448"/>
    <x v="240"/>
    <x v="0"/>
    <x v="122"/>
    <n v="143"/>
    <n v="1"/>
    <n v="8000"/>
    <n v="8000"/>
    <n v="6723"/>
    <n v="1277"/>
  </r>
  <r>
    <x v="0"/>
    <x v="1448"/>
    <x v="240"/>
    <x v="0"/>
    <x v="122"/>
    <n v="171"/>
    <n v="1"/>
    <n v="3700"/>
    <n v="3700"/>
    <n v="3109"/>
    <n v="591"/>
  </r>
  <r>
    <x v="0"/>
    <x v="1449"/>
    <x v="240"/>
    <x v="0"/>
    <x v="64"/>
    <n v="143"/>
    <n v="1"/>
    <n v="8000"/>
    <n v="8000"/>
    <n v="6723"/>
    <n v="1277"/>
  </r>
  <r>
    <x v="0"/>
    <x v="1450"/>
    <x v="241"/>
    <x v="0"/>
    <x v="181"/>
    <n v="230"/>
    <n v="1"/>
    <n v="16500"/>
    <n v="16500"/>
    <n v="13866"/>
    <n v="2634"/>
  </r>
  <r>
    <x v="0"/>
    <x v="1450"/>
    <x v="241"/>
    <x v="0"/>
    <x v="181"/>
    <n v="329"/>
    <n v="1"/>
    <n v="6000"/>
    <n v="6000"/>
    <n v="5042"/>
    <n v="958"/>
  </r>
  <r>
    <x v="0"/>
    <x v="1451"/>
    <x v="241"/>
    <x v="0"/>
    <x v="4"/>
    <n v="143"/>
    <n v="1"/>
    <n v="8000"/>
    <n v="8000"/>
    <n v="6723"/>
    <n v="1277"/>
  </r>
  <r>
    <x v="0"/>
    <x v="1452"/>
    <x v="241"/>
    <x v="0"/>
    <x v="45"/>
    <n v="319"/>
    <n v="2"/>
    <n v="5999"/>
    <n v="11998"/>
    <n v="10082"/>
    <n v="1916"/>
  </r>
  <r>
    <x v="0"/>
    <x v="1452"/>
    <x v="241"/>
    <x v="0"/>
    <x v="45"/>
    <n v="324"/>
    <n v="1"/>
    <n v="11000"/>
    <n v="11000"/>
    <n v="9244"/>
    <n v="1756"/>
  </r>
  <r>
    <x v="0"/>
    <x v="1453"/>
    <x v="241"/>
    <x v="0"/>
    <x v="7"/>
    <n v="230"/>
    <n v="1"/>
    <n v="16500"/>
    <n v="16500"/>
    <n v="13866"/>
    <n v="2634"/>
  </r>
  <r>
    <x v="0"/>
    <x v="1454"/>
    <x v="241"/>
    <x v="0"/>
    <x v="115"/>
    <n v="223"/>
    <n v="1"/>
    <n v="24000"/>
    <n v="24000"/>
    <n v="20168"/>
    <n v="3832"/>
  </r>
  <r>
    <x v="0"/>
    <x v="1455"/>
    <x v="241"/>
    <x v="0"/>
    <x v="155"/>
    <n v="143"/>
    <n v="2"/>
    <n v="16000"/>
    <n v="32000"/>
    <n v="26891"/>
    <n v="5109"/>
  </r>
  <r>
    <x v="0"/>
    <x v="1456"/>
    <x v="241"/>
    <x v="0"/>
    <x v="12"/>
    <n v="143"/>
    <n v="1"/>
    <n v="8000"/>
    <n v="8000"/>
    <n v="6723"/>
    <n v="1277"/>
  </r>
  <r>
    <x v="0"/>
    <x v="1457"/>
    <x v="241"/>
    <x v="0"/>
    <x v="173"/>
    <n v="369"/>
    <n v="1"/>
    <n v="10500"/>
    <n v="10500"/>
    <n v="8824"/>
    <n v="1676"/>
  </r>
  <r>
    <x v="0"/>
    <x v="1458"/>
    <x v="242"/>
    <x v="0"/>
    <x v="6"/>
    <n v="143"/>
    <n v="3"/>
    <n v="24001"/>
    <n v="72003"/>
    <n v="60507"/>
    <n v="11496"/>
  </r>
  <r>
    <x v="0"/>
    <x v="1459"/>
    <x v="242"/>
    <x v="0"/>
    <x v="22"/>
    <n v="233"/>
    <n v="1"/>
    <n v="16000"/>
    <n v="16000"/>
    <n v="13445"/>
    <n v="2555"/>
  </r>
  <r>
    <x v="0"/>
    <x v="1459"/>
    <x v="242"/>
    <x v="0"/>
    <x v="22"/>
    <n v="322"/>
    <n v="1"/>
    <n v="9000"/>
    <n v="9000"/>
    <n v="7563"/>
    <n v="1437"/>
  </r>
  <r>
    <x v="0"/>
    <x v="1459"/>
    <x v="242"/>
    <x v="0"/>
    <x v="22"/>
    <n v="381"/>
    <n v="1"/>
    <n v="2400"/>
    <n v="2400"/>
    <n v="2017"/>
    <n v="383"/>
  </r>
  <r>
    <x v="0"/>
    <x v="1460"/>
    <x v="242"/>
    <x v="0"/>
    <x v="151"/>
    <n v="281"/>
    <n v="1"/>
    <n v="13000"/>
    <n v="13000"/>
    <n v="10924"/>
    <n v="2076"/>
  </r>
  <r>
    <x v="0"/>
    <x v="1461"/>
    <x v="243"/>
    <x v="0"/>
    <x v="272"/>
    <n v="143"/>
    <n v="1"/>
    <n v="8000"/>
    <n v="8000"/>
    <n v="6723"/>
    <n v="1277"/>
  </r>
  <r>
    <x v="0"/>
    <x v="1462"/>
    <x v="243"/>
    <x v="0"/>
    <x v="56"/>
    <n v="157"/>
    <n v="1"/>
    <n v="4300"/>
    <n v="4300"/>
    <n v="3613"/>
    <n v="687"/>
  </r>
  <r>
    <x v="0"/>
    <x v="1462"/>
    <x v="243"/>
    <x v="0"/>
    <x v="56"/>
    <n v="231"/>
    <n v="1"/>
    <n v="20900"/>
    <n v="20900"/>
    <n v="17563"/>
    <n v="3337"/>
  </r>
  <r>
    <x v="0"/>
    <x v="1463"/>
    <x v="243"/>
    <x v="0"/>
    <x v="5"/>
    <n v="234"/>
    <n v="1"/>
    <n v="19500"/>
    <n v="19500"/>
    <n v="16387"/>
    <n v="3113"/>
  </r>
  <r>
    <x v="0"/>
    <x v="1463"/>
    <x v="243"/>
    <x v="0"/>
    <x v="5"/>
    <n v="261"/>
    <n v="1"/>
    <n v="7000"/>
    <n v="7000"/>
    <n v="5882"/>
    <n v="1118"/>
  </r>
  <r>
    <x v="0"/>
    <x v="1464"/>
    <x v="243"/>
    <x v="0"/>
    <x v="21"/>
    <n v="322"/>
    <n v="1"/>
    <n v="9000"/>
    <n v="9000"/>
    <n v="7563"/>
    <n v="1437"/>
  </r>
  <r>
    <x v="0"/>
    <x v="1464"/>
    <x v="243"/>
    <x v="0"/>
    <x v="21"/>
    <n v="143"/>
    <n v="1"/>
    <n v="8000"/>
    <n v="8000"/>
    <n v="6723"/>
    <n v="1277"/>
  </r>
  <r>
    <x v="0"/>
    <x v="1465"/>
    <x v="243"/>
    <x v="0"/>
    <x v="185"/>
    <n v="143"/>
    <n v="1"/>
    <n v="8000"/>
    <n v="8000"/>
    <n v="6723"/>
    <n v="1277"/>
  </r>
  <r>
    <x v="0"/>
    <x v="1466"/>
    <x v="243"/>
    <x v="0"/>
    <x v="235"/>
    <n v="143"/>
    <n v="1"/>
    <n v="8000"/>
    <n v="8000"/>
    <n v="6723"/>
    <n v="1277"/>
  </r>
  <r>
    <x v="0"/>
    <x v="1467"/>
    <x v="243"/>
    <x v="0"/>
    <x v="34"/>
    <n v="329"/>
    <n v="1"/>
    <n v="6000"/>
    <n v="6000"/>
    <n v="5042"/>
    <n v="958"/>
  </r>
  <r>
    <x v="0"/>
    <x v="1468"/>
    <x v="243"/>
    <x v="0"/>
    <x v="273"/>
    <n v="118"/>
    <n v="1"/>
    <n v="3500"/>
    <n v="3500"/>
    <n v="2941"/>
    <n v="559"/>
  </r>
  <r>
    <x v="0"/>
    <x v="1468"/>
    <x v="243"/>
    <x v="0"/>
    <x v="273"/>
    <n v="117"/>
    <n v="1"/>
    <n v="3500"/>
    <n v="3500"/>
    <n v="2941"/>
    <n v="559"/>
  </r>
  <r>
    <x v="0"/>
    <x v="1468"/>
    <x v="243"/>
    <x v="0"/>
    <x v="273"/>
    <n v="165"/>
    <n v="1"/>
    <n v="2000"/>
    <n v="2000"/>
    <n v="1681"/>
    <n v="319"/>
  </r>
  <r>
    <x v="0"/>
    <x v="1468"/>
    <x v="243"/>
    <x v="0"/>
    <x v="273"/>
    <n v="97"/>
    <n v="1"/>
    <n v="2000"/>
    <n v="2000"/>
    <n v="1681"/>
    <n v="319"/>
  </r>
  <r>
    <x v="0"/>
    <x v="1468"/>
    <x v="243"/>
    <x v="0"/>
    <x v="273"/>
    <n v="157"/>
    <n v="1"/>
    <n v="4300"/>
    <n v="4300"/>
    <n v="3613"/>
    <n v="687"/>
  </r>
  <r>
    <x v="0"/>
    <x v="1469"/>
    <x v="243"/>
    <x v="0"/>
    <x v="9"/>
    <n v="329"/>
    <n v="1"/>
    <n v="6000"/>
    <n v="6000"/>
    <n v="5042"/>
    <n v="958"/>
  </r>
  <r>
    <x v="0"/>
    <x v="1470"/>
    <x v="243"/>
    <x v="0"/>
    <x v="12"/>
    <n v="143"/>
    <n v="1"/>
    <n v="8000"/>
    <n v="8000"/>
    <n v="6723"/>
    <n v="1277"/>
  </r>
  <r>
    <x v="0"/>
    <x v="1471"/>
    <x v="244"/>
    <x v="0"/>
    <x v="15"/>
    <n v="324"/>
    <n v="2"/>
    <n v="22000"/>
    <n v="44000"/>
    <n v="36975"/>
    <n v="7025"/>
  </r>
  <r>
    <x v="0"/>
    <x v="1471"/>
    <x v="244"/>
    <x v="0"/>
    <x v="15"/>
    <n v="223"/>
    <n v="1"/>
    <n v="24000"/>
    <n v="24000"/>
    <n v="20168"/>
    <n v="3832"/>
  </r>
  <r>
    <x v="0"/>
    <x v="1472"/>
    <x v="244"/>
    <x v="0"/>
    <x v="84"/>
    <n v="324"/>
    <n v="4"/>
    <n v="44000"/>
    <n v="176000"/>
    <n v="147899"/>
    <n v="28101"/>
  </r>
  <r>
    <x v="0"/>
    <x v="1472"/>
    <x v="244"/>
    <x v="0"/>
    <x v="84"/>
    <n v="167"/>
    <n v="2"/>
    <n v="16400"/>
    <n v="32800"/>
    <n v="27563"/>
    <n v="5237"/>
  </r>
  <r>
    <x v="0"/>
    <x v="1472"/>
    <x v="244"/>
    <x v="0"/>
    <x v="84"/>
    <n v="319"/>
    <n v="1"/>
    <n v="3000"/>
    <n v="3000"/>
    <n v="2521"/>
    <n v="479"/>
  </r>
  <r>
    <x v="0"/>
    <x v="1473"/>
    <x v="244"/>
    <x v="0"/>
    <x v="34"/>
    <n v="117"/>
    <n v="2"/>
    <n v="7000"/>
    <n v="14000"/>
    <n v="11765"/>
    <n v="2235"/>
  </r>
  <r>
    <x v="0"/>
    <x v="1474"/>
    <x v="244"/>
    <x v="0"/>
    <x v="8"/>
    <n v="324"/>
    <n v="1"/>
    <n v="11000"/>
    <n v="11000"/>
    <n v="9244"/>
    <n v="1756"/>
  </r>
  <r>
    <x v="0"/>
    <x v="1475"/>
    <x v="245"/>
    <x v="0"/>
    <x v="274"/>
    <n v="111"/>
    <n v="1"/>
    <n v="-1600"/>
    <n v="-1600"/>
    <n v="-1345"/>
    <n v="-255"/>
  </r>
  <r>
    <x v="0"/>
    <x v="1476"/>
    <x v="245"/>
    <x v="0"/>
    <x v="264"/>
    <n v="324"/>
    <n v="2"/>
    <n v="22000"/>
    <n v="44000"/>
    <n v="36975"/>
    <n v="7025"/>
  </r>
  <r>
    <x v="0"/>
    <x v="1477"/>
    <x v="245"/>
    <x v="0"/>
    <x v="30"/>
    <n v="223"/>
    <n v="1"/>
    <n v="24000"/>
    <n v="24000"/>
    <n v="20168"/>
    <n v="3832"/>
  </r>
  <r>
    <x v="0"/>
    <x v="1477"/>
    <x v="245"/>
    <x v="0"/>
    <x v="30"/>
    <n v="319"/>
    <n v="1"/>
    <n v="3000"/>
    <n v="3000"/>
    <n v="2521"/>
    <n v="479"/>
  </r>
  <r>
    <x v="0"/>
    <x v="1477"/>
    <x v="245"/>
    <x v="0"/>
    <x v="30"/>
    <n v="117"/>
    <n v="4"/>
    <n v="14000"/>
    <n v="56000"/>
    <n v="47059"/>
    <n v="8941"/>
  </r>
  <r>
    <x v="0"/>
    <x v="1477"/>
    <x v="245"/>
    <x v="0"/>
    <x v="30"/>
    <n v="356"/>
    <n v="1"/>
    <n v="3000"/>
    <n v="3000"/>
    <n v="2521"/>
    <n v="479"/>
  </r>
  <r>
    <x v="0"/>
    <x v="1477"/>
    <x v="245"/>
    <x v="0"/>
    <x v="30"/>
    <n v="97"/>
    <n v="1"/>
    <n v="2000"/>
    <n v="2000"/>
    <n v="1681"/>
    <n v="319"/>
  </r>
  <r>
    <x v="0"/>
    <x v="1477"/>
    <x v="245"/>
    <x v="0"/>
    <x v="30"/>
    <n v="98"/>
    <n v="1"/>
    <n v="3500"/>
    <n v="3500"/>
    <n v="2941"/>
    <n v="559"/>
  </r>
  <r>
    <x v="0"/>
    <x v="1477"/>
    <x v="245"/>
    <x v="0"/>
    <x v="30"/>
    <n v="386"/>
    <n v="1"/>
    <n v="2700"/>
    <n v="2700"/>
    <n v="2269"/>
    <n v="431"/>
  </r>
  <r>
    <x v="0"/>
    <x v="1477"/>
    <x v="245"/>
    <x v="0"/>
    <x v="30"/>
    <n v="230"/>
    <n v="1"/>
    <n v="16500"/>
    <n v="16500"/>
    <n v="13866"/>
    <n v="2634"/>
  </r>
  <r>
    <x v="0"/>
    <x v="1477"/>
    <x v="245"/>
    <x v="0"/>
    <x v="30"/>
    <n v="95"/>
    <n v="1"/>
    <n v="2400"/>
    <n v="2400"/>
    <n v="2017"/>
    <n v="383"/>
  </r>
  <r>
    <x v="0"/>
    <x v="1477"/>
    <x v="245"/>
    <x v="0"/>
    <x v="30"/>
    <n v="324"/>
    <n v="1"/>
    <n v="11000"/>
    <n v="11000"/>
    <n v="9244"/>
    <n v="1756"/>
  </r>
  <r>
    <x v="0"/>
    <x v="1477"/>
    <x v="245"/>
    <x v="0"/>
    <x v="30"/>
    <n v="143"/>
    <n v="1"/>
    <n v="8000"/>
    <n v="8000"/>
    <n v="6723"/>
    <n v="1277"/>
  </r>
  <r>
    <x v="0"/>
    <x v="1478"/>
    <x v="245"/>
    <x v="0"/>
    <x v="100"/>
    <n v="68"/>
    <n v="1"/>
    <n v="1200"/>
    <n v="1200"/>
    <n v="1008"/>
    <n v="192"/>
  </r>
  <r>
    <x v="0"/>
    <x v="1478"/>
    <x v="245"/>
    <x v="0"/>
    <x v="100"/>
    <n v="386"/>
    <n v="1"/>
    <n v="2700"/>
    <n v="2700"/>
    <n v="2269"/>
    <n v="431"/>
  </r>
  <r>
    <x v="0"/>
    <x v="1478"/>
    <x v="245"/>
    <x v="0"/>
    <x v="100"/>
    <n v="95"/>
    <n v="1"/>
    <n v="2400"/>
    <n v="2400"/>
    <n v="2017"/>
    <n v="383"/>
  </r>
  <r>
    <x v="0"/>
    <x v="1479"/>
    <x v="245"/>
    <x v="0"/>
    <x v="5"/>
    <n v="324"/>
    <n v="1"/>
    <n v="11000"/>
    <n v="11000"/>
    <n v="9244"/>
    <n v="1756"/>
  </r>
  <r>
    <x v="0"/>
    <x v="1480"/>
    <x v="245"/>
    <x v="0"/>
    <x v="31"/>
    <n v="233"/>
    <n v="1"/>
    <n v="16000"/>
    <n v="16000"/>
    <n v="13445"/>
    <n v="2555"/>
  </r>
  <r>
    <x v="0"/>
    <x v="1480"/>
    <x v="245"/>
    <x v="0"/>
    <x v="31"/>
    <n v="118"/>
    <n v="1"/>
    <n v="3500"/>
    <n v="3500"/>
    <n v="2941"/>
    <n v="559"/>
  </r>
  <r>
    <x v="0"/>
    <x v="1480"/>
    <x v="245"/>
    <x v="0"/>
    <x v="31"/>
    <n v="223"/>
    <n v="1"/>
    <n v="24000"/>
    <n v="24000"/>
    <n v="20168"/>
    <n v="3832"/>
  </r>
  <r>
    <x v="0"/>
    <x v="1481"/>
    <x v="245"/>
    <x v="0"/>
    <x v="91"/>
    <n v="324"/>
    <n v="3"/>
    <n v="33000"/>
    <n v="99000"/>
    <n v="83193"/>
    <n v="15807"/>
  </r>
  <r>
    <x v="0"/>
    <x v="1481"/>
    <x v="245"/>
    <x v="0"/>
    <x v="91"/>
    <n v="7"/>
    <n v="1"/>
    <n v="7000"/>
    <n v="7000"/>
    <n v="5882"/>
    <n v="1118"/>
  </r>
  <r>
    <x v="0"/>
    <x v="1481"/>
    <x v="245"/>
    <x v="0"/>
    <x v="91"/>
    <n v="319"/>
    <n v="1"/>
    <n v="3000"/>
    <n v="3000"/>
    <n v="2521"/>
    <n v="479"/>
  </r>
  <r>
    <x v="0"/>
    <x v="1482"/>
    <x v="245"/>
    <x v="0"/>
    <x v="271"/>
    <n v="222"/>
    <n v="1"/>
    <n v="32000"/>
    <n v="32000"/>
    <n v="26891"/>
    <n v="5109"/>
  </r>
  <r>
    <x v="0"/>
    <x v="1483"/>
    <x v="245"/>
    <x v="0"/>
    <x v="9"/>
    <n v="322"/>
    <n v="1"/>
    <n v="9000"/>
    <n v="9000"/>
    <n v="7563"/>
    <n v="1437"/>
  </r>
  <r>
    <x v="0"/>
    <x v="1484"/>
    <x v="246"/>
    <x v="0"/>
    <x v="275"/>
    <n v="167"/>
    <n v="1"/>
    <n v="8200"/>
    <n v="8200"/>
    <n v="6891"/>
    <n v="1309"/>
  </r>
  <r>
    <x v="0"/>
    <x v="1485"/>
    <x v="246"/>
    <x v="0"/>
    <x v="18"/>
    <n v="329"/>
    <n v="1"/>
    <n v="6000"/>
    <n v="6000"/>
    <n v="5042"/>
    <n v="958"/>
  </r>
  <r>
    <x v="0"/>
    <x v="1486"/>
    <x v="246"/>
    <x v="0"/>
    <x v="4"/>
    <n v="117"/>
    <n v="3"/>
    <n v="10500"/>
    <n v="31500"/>
    <n v="26471"/>
    <n v="5029"/>
  </r>
  <r>
    <x v="0"/>
    <x v="1486"/>
    <x v="246"/>
    <x v="0"/>
    <x v="4"/>
    <n v="98"/>
    <n v="1"/>
    <n v="3500"/>
    <n v="3500"/>
    <n v="2941"/>
    <n v="559"/>
  </r>
  <r>
    <x v="0"/>
    <x v="1486"/>
    <x v="246"/>
    <x v="0"/>
    <x v="4"/>
    <n v="164"/>
    <n v="1"/>
    <n v="3200"/>
    <n v="3200"/>
    <n v="2689"/>
    <n v="511"/>
  </r>
  <r>
    <x v="0"/>
    <x v="1486"/>
    <x v="246"/>
    <x v="0"/>
    <x v="4"/>
    <n v="24"/>
    <n v="1"/>
    <n v="1650"/>
    <n v="1650"/>
    <n v="1387"/>
    <n v="263"/>
  </r>
  <r>
    <x v="0"/>
    <x v="1487"/>
    <x v="246"/>
    <x v="0"/>
    <x v="224"/>
    <n v="231"/>
    <n v="1"/>
    <n v="20900"/>
    <n v="20900"/>
    <n v="17563"/>
    <n v="3337"/>
  </r>
  <r>
    <x v="0"/>
    <x v="1488"/>
    <x v="246"/>
    <x v="0"/>
    <x v="59"/>
    <n v="329"/>
    <n v="1"/>
    <n v="6000"/>
    <n v="6000"/>
    <n v="5042"/>
    <n v="958"/>
  </r>
  <r>
    <x v="0"/>
    <x v="1488"/>
    <x v="246"/>
    <x v="0"/>
    <x v="59"/>
    <n v="167"/>
    <n v="1"/>
    <n v="8200"/>
    <n v="8200"/>
    <n v="6891"/>
    <n v="1309"/>
  </r>
  <r>
    <x v="0"/>
    <x v="1488"/>
    <x v="246"/>
    <x v="0"/>
    <x v="59"/>
    <n v="143"/>
    <n v="1"/>
    <n v="8000"/>
    <n v="8000"/>
    <n v="6723"/>
    <n v="1277"/>
  </r>
  <r>
    <x v="0"/>
    <x v="1488"/>
    <x v="246"/>
    <x v="0"/>
    <x v="59"/>
    <n v="354"/>
    <n v="1"/>
    <n v="1800"/>
    <n v="1800"/>
    <n v="1513"/>
    <n v="287"/>
  </r>
  <r>
    <x v="0"/>
    <x v="1488"/>
    <x v="246"/>
    <x v="0"/>
    <x v="59"/>
    <n v="368"/>
    <n v="2"/>
    <n v="6000"/>
    <n v="12000"/>
    <n v="10084"/>
    <n v="1916"/>
  </r>
  <r>
    <x v="0"/>
    <x v="1488"/>
    <x v="246"/>
    <x v="0"/>
    <x v="59"/>
    <n v="191"/>
    <n v="2"/>
    <n v="5000"/>
    <n v="10000"/>
    <n v="8403"/>
    <n v="1597"/>
  </r>
  <r>
    <x v="0"/>
    <x v="1489"/>
    <x v="246"/>
    <x v="0"/>
    <x v="152"/>
    <n v="231"/>
    <n v="1"/>
    <n v="20900"/>
    <n v="20900"/>
    <n v="17563"/>
    <n v="3337"/>
  </r>
  <r>
    <x v="0"/>
    <x v="1489"/>
    <x v="246"/>
    <x v="0"/>
    <x v="152"/>
    <n v="98"/>
    <n v="1"/>
    <n v="3500"/>
    <n v="3500"/>
    <n v="2941"/>
    <n v="559"/>
  </r>
  <r>
    <x v="0"/>
    <x v="1489"/>
    <x v="246"/>
    <x v="0"/>
    <x v="152"/>
    <n v="386"/>
    <n v="1"/>
    <n v="2700"/>
    <n v="2700"/>
    <n v="2269"/>
    <n v="431"/>
  </r>
  <r>
    <x v="0"/>
    <x v="1489"/>
    <x v="246"/>
    <x v="0"/>
    <x v="152"/>
    <n v="249"/>
    <n v="1"/>
    <n v="4000"/>
    <n v="4000"/>
    <n v="3361"/>
    <n v="639"/>
  </r>
  <r>
    <x v="0"/>
    <x v="1489"/>
    <x v="246"/>
    <x v="0"/>
    <x v="152"/>
    <n v="360"/>
    <n v="1"/>
    <n v="3000"/>
    <n v="3000"/>
    <n v="2521"/>
    <n v="479"/>
  </r>
  <r>
    <x v="0"/>
    <x v="1490"/>
    <x v="246"/>
    <x v="0"/>
    <x v="80"/>
    <n v="26"/>
    <n v="1"/>
    <n v="3400"/>
    <n v="3400"/>
    <n v="2857"/>
    <n v="543"/>
  </r>
  <r>
    <x v="0"/>
    <x v="1490"/>
    <x v="246"/>
    <x v="0"/>
    <x v="80"/>
    <n v="135"/>
    <n v="2"/>
    <n v="2000"/>
    <n v="4000"/>
    <n v="3361"/>
    <n v="639"/>
  </r>
  <r>
    <x v="0"/>
    <x v="1490"/>
    <x v="246"/>
    <x v="0"/>
    <x v="80"/>
    <n v="246"/>
    <n v="1"/>
    <n v="3000"/>
    <n v="3000"/>
    <n v="2521"/>
    <n v="479"/>
  </r>
  <r>
    <x v="0"/>
    <x v="1490"/>
    <x v="246"/>
    <x v="0"/>
    <x v="80"/>
    <n v="55"/>
    <n v="1"/>
    <n v="1600"/>
    <n v="1600"/>
    <n v="1345"/>
    <n v="255"/>
  </r>
  <r>
    <x v="0"/>
    <x v="1490"/>
    <x v="246"/>
    <x v="0"/>
    <x v="80"/>
    <n v="110"/>
    <n v="1"/>
    <n v="4500"/>
    <n v="4500"/>
    <n v="3782"/>
    <n v="718"/>
  </r>
  <r>
    <x v="0"/>
    <x v="1490"/>
    <x v="246"/>
    <x v="0"/>
    <x v="80"/>
    <n v="324"/>
    <n v="1"/>
    <n v="11000"/>
    <n v="11000"/>
    <n v="9244"/>
    <n v="1756"/>
  </r>
  <r>
    <x v="0"/>
    <x v="1490"/>
    <x v="246"/>
    <x v="0"/>
    <x v="80"/>
    <n v="7"/>
    <n v="1"/>
    <n v="7000"/>
    <n v="7000"/>
    <n v="5882"/>
    <n v="1118"/>
  </r>
  <r>
    <x v="0"/>
    <x v="1490"/>
    <x v="246"/>
    <x v="0"/>
    <x v="80"/>
    <n v="261"/>
    <n v="1"/>
    <n v="7000"/>
    <n v="7000"/>
    <n v="5882"/>
    <n v="1118"/>
  </r>
  <r>
    <x v="0"/>
    <x v="1491"/>
    <x v="247"/>
    <x v="0"/>
    <x v="136"/>
    <n v="167"/>
    <n v="1"/>
    <n v="8200"/>
    <n v="8200"/>
    <n v="6891"/>
    <n v="1309"/>
  </r>
  <r>
    <x v="0"/>
    <x v="1492"/>
    <x v="247"/>
    <x v="0"/>
    <x v="34"/>
    <n v="143"/>
    <n v="1"/>
    <n v="8000"/>
    <n v="8000"/>
    <n v="6723"/>
    <n v="1277"/>
  </r>
  <r>
    <x v="0"/>
    <x v="1493"/>
    <x v="247"/>
    <x v="0"/>
    <x v="118"/>
    <n v="167"/>
    <n v="2"/>
    <n v="16400"/>
    <n v="32800"/>
    <n v="27563"/>
    <n v="5237"/>
  </r>
  <r>
    <x v="0"/>
    <x v="1494"/>
    <x v="247"/>
    <x v="0"/>
    <x v="28"/>
    <n v="143"/>
    <n v="1"/>
    <n v="8000"/>
    <n v="8000"/>
    <n v="6723"/>
    <n v="1277"/>
  </r>
  <r>
    <x v="0"/>
    <x v="1495"/>
    <x v="248"/>
    <x v="0"/>
    <x v="276"/>
    <n v="167"/>
    <n v="1"/>
    <n v="8200"/>
    <n v="8200"/>
    <n v="6891"/>
    <n v="1309"/>
  </r>
  <r>
    <x v="0"/>
    <x v="1496"/>
    <x v="248"/>
    <x v="0"/>
    <x v="277"/>
    <n v="143"/>
    <n v="1"/>
    <n v="8000"/>
    <n v="8000"/>
    <n v="6723"/>
    <n v="1277"/>
  </r>
  <r>
    <x v="0"/>
    <x v="1497"/>
    <x v="248"/>
    <x v="0"/>
    <x v="145"/>
    <n v="322"/>
    <n v="1"/>
    <n v="9000"/>
    <n v="9000"/>
    <n v="7563"/>
    <n v="1437"/>
  </r>
  <r>
    <x v="0"/>
    <x v="1498"/>
    <x v="248"/>
    <x v="0"/>
    <x v="193"/>
    <n v="143"/>
    <n v="1"/>
    <n v="8000"/>
    <n v="8000"/>
    <n v="6723"/>
    <n v="1277"/>
  </r>
  <r>
    <x v="0"/>
    <x v="1498"/>
    <x v="248"/>
    <x v="0"/>
    <x v="193"/>
    <n v="167"/>
    <n v="1"/>
    <n v="8200"/>
    <n v="8200"/>
    <n v="6891"/>
    <n v="1309"/>
  </r>
  <r>
    <x v="0"/>
    <x v="1498"/>
    <x v="248"/>
    <x v="0"/>
    <x v="193"/>
    <n v="324"/>
    <n v="1"/>
    <n v="11000"/>
    <n v="11000"/>
    <n v="9244"/>
    <n v="1756"/>
  </r>
  <r>
    <x v="0"/>
    <x v="1499"/>
    <x v="249"/>
    <x v="0"/>
    <x v="278"/>
    <n v="259"/>
    <n v="1"/>
    <n v="4500"/>
    <n v="4500"/>
    <n v="3782"/>
    <n v="718"/>
  </r>
  <r>
    <x v="0"/>
    <x v="1499"/>
    <x v="249"/>
    <x v="0"/>
    <x v="278"/>
    <n v="153"/>
    <n v="1"/>
    <n v="1200"/>
    <n v="1200"/>
    <n v="1008"/>
    <n v="192"/>
  </r>
  <r>
    <x v="0"/>
    <x v="1499"/>
    <x v="249"/>
    <x v="0"/>
    <x v="278"/>
    <n v="98"/>
    <n v="1"/>
    <n v="3500"/>
    <n v="3500"/>
    <n v="2941"/>
    <n v="559"/>
  </r>
  <r>
    <x v="0"/>
    <x v="1499"/>
    <x v="249"/>
    <x v="0"/>
    <x v="278"/>
    <n v="97"/>
    <n v="1"/>
    <n v="2000"/>
    <n v="2000"/>
    <n v="1681"/>
    <n v="319"/>
  </r>
  <r>
    <x v="0"/>
    <x v="1499"/>
    <x v="249"/>
    <x v="0"/>
    <x v="278"/>
    <n v="118"/>
    <n v="1"/>
    <n v="3500"/>
    <n v="3500"/>
    <n v="2941"/>
    <n v="559"/>
  </r>
  <r>
    <x v="0"/>
    <x v="1499"/>
    <x v="249"/>
    <x v="0"/>
    <x v="278"/>
    <n v="266"/>
    <n v="1"/>
    <n v="9500"/>
    <n v="9500"/>
    <n v="7983"/>
    <n v="1517"/>
  </r>
  <r>
    <x v="0"/>
    <x v="1499"/>
    <x v="249"/>
    <x v="0"/>
    <x v="278"/>
    <n v="254"/>
    <n v="3"/>
    <n v="6000"/>
    <n v="18000"/>
    <n v="15126"/>
    <n v="2874"/>
  </r>
  <r>
    <x v="0"/>
    <x v="1500"/>
    <x v="249"/>
    <x v="0"/>
    <x v="30"/>
    <n v="368"/>
    <n v="3"/>
    <n v="9000"/>
    <n v="27000"/>
    <n v="22689"/>
    <n v="4311"/>
  </r>
  <r>
    <x v="0"/>
    <x v="1500"/>
    <x v="249"/>
    <x v="0"/>
    <x v="30"/>
    <n v="167"/>
    <n v="1"/>
    <n v="8200"/>
    <n v="8200"/>
    <n v="6891"/>
    <n v="1309"/>
  </r>
  <r>
    <x v="0"/>
    <x v="1500"/>
    <x v="249"/>
    <x v="0"/>
    <x v="30"/>
    <n v="223"/>
    <n v="-1"/>
    <n v="-24000"/>
    <n v="24000"/>
    <n v="20168"/>
    <n v="3832"/>
  </r>
  <r>
    <x v="0"/>
    <x v="1501"/>
    <x v="249"/>
    <x v="0"/>
    <x v="1"/>
    <n v="118"/>
    <n v="1"/>
    <n v="3500"/>
    <n v="3500"/>
    <n v="2941"/>
    <n v="559"/>
  </r>
  <r>
    <x v="0"/>
    <x v="1502"/>
    <x v="249"/>
    <x v="0"/>
    <x v="5"/>
    <n v="277"/>
    <n v="1"/>
    <n v="10000"/>
    <n v="10000"/>
    <n v="8403"/>
    <n v="1597"/>
  </r>
  <r>
    <x v="0"/>
    <x v="1502"/>
    <x v="249"/>
    <x v="0"/>
    <x v="5"/>
    <n v="117"/>
    <n v="1"/>
    <n v="3500"/>
    <n v="3500"/>
    <n v="2941"/>
    <n v="559"/>
  </r>
  <r>
    <x v="0"/>
    <x v="1502"/>
    <x v="249"/>
    <x v="0"/>
    <x v="5"/>
    <n v="118"/>
    <n v="2"/>
    <n v="7000"/>
    <n v="14000"/>
    <n v="11765"/>
    <n v="2235"/>
  </r>
  <r>
    <x v="0"/>
    <x v="1502"/>
    <x v="249"/>
    <x v="0"/>
    <x v="5"/>
    <n v="26"/>
    <n v="1"/>
    <n v="3400"/>
    <n v="3400"/>
    <n v="2857"/>
    <n v="543"/>
  </r>
  <r>
    <x v="0"/>
    <x v="1502"/>
    <x v="249"/>
    <x v="0"/>
    <x v="5"/>
    <n v="29"/>
    <n v="1"/>
    <n v="1000"/>
    <n v="1000"/>
    <n v="840"/>
    <n v="160"/>
  </r>
  <r>
    <x v="0"/>
    <x v="1502"/>
    <x v="249"/>
    <x v="0"/>
    <x v="5"/>
    <n v="259"/>
    <n v="1"/>
    <n v="4500"/>
    <n v="4500"/>
    <n v="3782"/>
    <n v="718"/>
  </r>
  <r>
    <x v="0"/>
    <x v="1502"/>
    <x v="249"/>
    <x v="0"/>
    <x v="5"/>
    <n v="120"/>
    <n v="1"/>
    <n v="1900"/>
    <n v="1900"/>
    <n v="1597"/>
    <n v="303"/>
  </r>
  <r>
    <x v="0"/>
    <x v="1502"/>
    <x v="249"/>
    <x v="0"/>
    <x v="5"/>
    <n v="99"/>
    <n v="1"/>
    <n v="1700"/>
    <n v="1700"/>
    <n v="1429"/>
    <n v="271"/>
  </r>
  <r>
    <x v="0"/>
    <x v="1502"/>
    <x v="249"/>
    <x v="0"/>
    <x v="5"/>
    <n v="249"/>
    <n v="1"/>
    <n v="4000"/>
    <n v="4000"/>
    <n v="3361"/>
    <n v="639"/>
  </r>
  <r>
    <x v="0"/>
    <x v="1503"/>
    <x v="249"/>
    <x v="0"/>
    <x v="39"/>
    <n v="231"/>
    <n v="1"/>
    <n v="20900"/>
    <n v="20900"/>
    <n v="17563"/>
    <n v="3337"/>
  </r>
  <r>
    <x v="0"/>
    <x v="1503"/>
    <x v="249"/>
    <x v="0"/>
    <x v="39"/>
    <n v="278"/>
    <n v="1"/>
    <n v="11500"/>
    <n v="11500"/>
    <n v="9664"/>
    <n v="1836"/>
  </r>
  <r>
    <x v="0"/>
    <x v="1503"/>
    <x v="249"/>
    <x v="0"/>
    <x v="39"/>
    <n v="359"/>
    <n v="4"/>
    <n v="10800"/>
    <n v="43200"/>
    <n v="36303"/>
    <n v="6897"/>
  </r>
  <r>
    <x v="0"/>
    <x v="1503"/>
    <x v="249"/>
    <x v="0"/>
    <x v="39"/>
    <n v="264"/>
    <n v="1"/>
    <n v="5000"/>
    <n v="5000"/>
    <n v="4202"/>
    <n v="798"/>
  </r>
  <r>
    <x v="0"/>
    <x v="1503"/>
    <x v="249"/>
    <x v="0"/>
    <x v="39"/>
    <n v="24"/>
    <n v="1"/>
    <n v="1650"/>
    <n v="1650"/>
    <n v="1387"/>
    <n v="263"/>
  </r>
  <r>
    <x v="0"/>
    <x v="1503"/>
    <x v="249"/>
    <x v="0"/>
    <x v="39"/>
    <n v="25"/>
    <n v="1"/>
    <n v="1800"/>
    <n v="1800"/>
    <n v="1513"/>
    <n v="287"/>
  </r>
  <r>
    <x v="0"/>
    <x v="1503"/>
    <x v="249"/>
    <x v="0"/>
    <x v="39"/>
    <n v="81"/>
    <n v="1"/>
    <n v="1600"/>
    <n v="1600"/>
    <n v="1345"/>
    <n v="255"/>
  </r>
  <r>
    <x v="0"/>
    <x v="1504"/>
    <x v="249"/>
    <x v="0"/>
    <x v="74"/>
    <n v="324"/>
    <n v="2"/>
    <n v="22000"/>
    <n v="44000"/>
    <n v="36975"/>
    <n v="7025"/>
  </r>
  <r>
    <x v="0"/>
    <x v="1504"/>
    <x v="249"/>
    <x v="0"/>
    <x v="74"/>
    <n v="143"/>
    <n v="1"/>
    <n v="8000"/>
    <n v="8000"/>
    <n v="6723"/>
    <n v="1277"/>
  </r>
  <r>
    <x v="0"/>
    <x v="1504"/>
    <x v="249"/>
    <x v="0"/>
    <x v="74"/>
    <n v="15"/>
    <n v="1"/>
    <n v="1500"/>
    <n v="1500"/>
    <n v="1261"/>
    <n v="239"/>
  </r>
  <r>
    <x v="0"/>
    <x v="1504"/>
    <x v="249"/>
    <x v="0"/>
    <x v="74"/>
    <n v="31"/>
    <n v="1"/>
    <n v="3400"/>
    <n v="3400"/>
    <n v="2857"/>
    <n v="543"/>
  </r>
  <r>
    <x v="0"/>
    <x v="1504"/>
    <x v="249"/>
    <x v="0"/>
    <x v="74"/>
    <n v="259"/>
    <n v="1"/>
    <n v="4500"/>
    <n v="4500"/>
    <n v="3782"/>
    <n v="718"/>
  </r>
  <r>
    <x v="0"/>
    <x v="1504"/>
    <x v="249"/>
    <x v="0"/>
    <x v="74"/>
    <n v="252"/>
    <n v="1"/>
    <n v="4800"/>
    <n v="4800"/>
    <n v="4034"/>
    <n v="766"/>
  </r>
  <r>
    <x v="0"/>
    <x v="1504"/>
    <x v="249"/>
    <x v="0"/>
    <x v="74"/>
    <n v="99"/>
    <n v="1"/>
    <n v="1700"/>
    <n v="1700"/>
    <n v="1429"/>
    <n v="271"/>
  </r>
  <r>
    <x v="0"/>
    <x v="1504"/>
    <x v="249"/>
    <x v="0"/>
    <x v="74"/>
    <n v="165"/>
    <n v="2"/>
    <n v="4000"/>
    <n v="8000"/>
    <n v="6723"/>
    <n v="1277"/>
  </r>
  <r>
    <x v="0"/>
    <x v="1504"/>
    <x v="249"/>
    <x v="0"/>
    <x v="74"/>
    <n v="230"/>
    <n v="1"/>
    <n v="16500"/>
    <n v="16500"/>
    <n v="13866"/>
    <n v="2634"/>
  </r>
  <r>
    <x v="0"/>
    <x v="1504"/>
    <x v="249"/>
    <x v="0"/>
    <x v="74"/>
    <n v="278"/>
    <n v="1"/>
    <n v="11500"/>
    <n v="11500"/>
    <n v="9664"/>
    <n v="1836"/>
  </r>
  <r>
    <x v="0"/>
    <x v="1504"/>
    <x v="249"/>
    <x v="0"/>
    <x v="74"/>
    <n v="167"/>
    <n v="1"/>
    <n v="8200"/>
    <n v="8200"/>
    <n v="6891"/>
    <n v="1309"/>
  </r>
  <r>
    <x v="0"/>
    <x v="1505"/>
    <x v="249"/>
    <x v="0"/>
    <x v="64"/>
    <n v="329"/>
    <n v="1"/>
    <n v="6000"/>
    <n v="6000"/>
    <n v="5042"/>
    <n v="958"/>
  </r>
  <r>
    <x v="0"/>
    <x v="1506"/>
    <x v="250"/>
    <x v="0"/>
    <x v="279"/>
    <n v="261"/>
    <n v="1"/>
    <n v="7000"/>
    <n v="7000"/>
    <n v="5882"/>
    <n v="1118"/>
  </r>
  <r>
    <x v="0"/>
    <x v="1506"/>
    <x v="250"/>
    <x v="0"/>
    <x v="279"/>
    <n v="143"/>
    <n v="1"/>
    <n v="8000"/>
    <n v="8000"/>
    <n v="6723"/>
    <n v="1277"/>
  </r>
  <r>
    <x v="0"/>
    <x v="1507"/>
    <x v="250"/>
    <x v="0"/>
    <x v="246"/>
    <n v="231"/>
    <n v="1"/>
    <n v="20900"/>
    <n v="20900"/>
    <n v="17563"/>
    <n v="3337"/>
  </r>
  <r>
    <x v="0"/>
    <x v="1508"/>
    <x v="250"/>
    <x v="0"/>
    <x v="74"/>
    <n v="29"/>
    <n v="1"/>
    <n v="1000"/>
    <n v="1000"/>
    <n v="840"/>
    <n v="160"/>
  </r>
  <r>
    <x v="0"/>
    <x v="1508"/>
    <x v="250"/>
    <x v="0"/>
    <x v="74"/>
    <n v="286"/>
    <n v="1"/>
    <n v="1100"/>
    <n v="1100"/>
    <n v="924"/>
    <n v="176"/>
  </r>
  <r>
    <x v="0"/>
    <x v="1508"/>
    <x v="250"/>
    <x v="0"/>
    <x v="74"/>
    <n v="360"/>
    <n v="1"/>
    <n v="3000"/>
    <n v="3000"/>
    <n v="2521"/>
    <n v="479"/>
  </r>
  <r>
    <x v="0"/>
    <x v="1508"/>
    <x v="250"/>
    <x v="0"/>
    <x v="74"/>
    <n v="264"/>
    <n v="1"/>
    <n v="5000"/>
    <n v="5000"/>
    <n v="4202"/>
    <n v="798"/>
  </r>
  <r>
    <x v="0"/>
    <x v="1508"/>
    <x v="250"/>
    <x v="0"/>
    <x v="74"/>
    <n v="117"/>
    <n v="1"/>
    <n v="3500"/>
    <n v="3500"/>
    <n v="2941"/>
    <n v="559"/>
  </r>
  <r>
    <x v="0"/>
    <x v="1509"/>
    <x v="250"/>
    <x v="0"/>
    <x v="46"/>
    <n v="143"/>
    <n v="1"/>
    <n v="8000"/>
    <n v="8000"/>
    <n v="6723"/>
    <n v="1277"/>
  </r>
  <r>
    <x v="0"/>
    <x v="1509"/>
    <x v="250"/>
    <x v="0"/>
    <x v="46"/>
    <n v="329"/>
    <n v="1"/>
    <n v="6000"/>
    <n v="6000"/>
    <n v="5042"/>
    <n v="958"/>
  </r>
  <r>
    <x v="0"/>
    <x v="1510"/>
    <x v="250"/>
    <x v="0"/>
    <x v="208"/>
    <n v="143"/>
    <n v="1"/>
    <n v="8000"/>
    <n v="8000"/>
    <n v="6723"/>
    <n v="1277"/>
  </r>
  <r>
    <x v="0"/>
    <x v="1510"/>
    <x v="250"/>
    <x v="0"/>
    <x v="208"/>
    <n v="322"/>
    <n v="1"/>
    <n v="9000"/>
    <n v="9000"/>
    <n v="7563"/>
    <n v="1437"/>
  </r>
  <r>
    <x v="0"/>
    <x v="1510"/>
    <x v="250"/>
    <x v="0"/>
    <x v="208"/>
    <n v="290"/>
    <n v="1"/>
    <n v="1200"/>
    <n v="1200"/>
    <n v="1008"/>
    <n v="192"/>
  </r>
  <r>
    <x v="0"/>
    <x v="1510"/>
    <x v="250"/>
    <x v="0"/>
    <x v="208"/>
    <n v="125"/>
    <n v="1"/>
    <n v="1700"/>
    <n v="1700"/>
    <n v="1429"/>
    <n v="271"/>
  </r>
  <r>
    <x v="0"/>
    <x v="1510"/>
    <x v="250"/>
    <x v="0"/>
    <x v="208"/>
    <n v="354"/>
    <n v="1"/>
    <n v="1800"/>
    <n v="1800"/>
    <n v="1513"/>
    <n v="287"/>
  </r>
  <r>
    <x v="0"/>
    <x v="1511"/>
    <x v="250"/>
    <x v="0"/>
    <x v="118"/>
    <n v="167"/>
    <n v="1"/>
    <n v="8200"/>
    <n v="8200"/>
    <n v="6891"/>
    <n v="1309"/>
  </r>
  <r>
    <x v="0"/>
    <x v="1512"/>
    <x v="251"/>
    <x v="0"/>
    <x v="73"/>
    <n v="167"/>
    <n v="1"/>
    <n v="8200"/>
    <n v="8200"/>
    <n v="6891"/>
    <n v="1309"/>
  </r>
  <r>
    <x v="0"/>
    <x v="1513"/>
    <x v="251"/>
    <x v="0"/>
    <x v="280"/>
    <n v="324"/>
    <n v="1"/>
    <n v="11000"/>
    <n v="11000"/>
    <n v="9244"/>
    <n v="1756"/>
  </r>
  <r>
    <x v="0"/>
    <x v="1513"/>
    <x v="251"/>
    <x v="0"/>
    <x v="280"/>
    <n v="143"/>
    <n v="1"/>
    <n v="8000"/>
    <n v="8000"/>
    <n v="6723"/>
    <n v="1277"/>
  </r>
  <r>
    <x v="0"/>
    <x v="1513"/>
    <x v="251"/>
    <x v="0"/>
    <x v="280"/>
    <n v="302"/>
    <n v="1"/>
    <n v="8000"/>
    <n v="8000"/>
    <n v="6723"/>
    <n v="1277"/>
  </r>
  <r>
    <x v="0"/>
    <x v="1514"/>
    <x v="252"/>
    <x v="0"/>
    <x v="279"/>
    <n v="329"/>
    <n v="1"/>
    <n v="6000"/>
    <n v="6000"/>
    <n v="5042"/>
    <n v="958"/>
  </r>
  <r>
    <x v="0"/>
    <x v="1514"/>
    <x v="252"/>
    <x v="0"/>
    <x v="279"/>
    <n v="143"/>
    <n v="2"/>
    <n v="16000"/>
    <n v="32000"/>
    <n v="26891"/>
    <n v="5109"/>
  </r>
  <r>
    <x v="0"/>
    <x v="1515"/>
    <x v="252"/>
    <x v="0"/>
    <x v="281"/>
    <n v="167"/>
    <n v="1"/>
    <n v="8200"/>
    <n v="8200"/>
    <n v="6891"/>
    <n v="1309"/>
  </r>
  <r>
    <x v="0"/>
    <x v="1516"/>
    <x v="252"/>
    <x v="0"/>
    <x v="97"/>
    <n v="322"/>
    <n v="1"/>
    <n v="9000"/>
    <n v="9000"/>
    <n v="7563"/>
    <n v="1437"/>
  </r>
  <r>
    <x v="0"/>
    <x v="1517"/>
    <x v="252"/>
    <x v="0"/>
    <x v="84"/>
    <n v="324"/>
    <n v="1"/>
    <n v="11000"/>
    <n v="11000"/>
    <n v="9244"/>
    <n v="1756"/>
  </r>
  <r>
    <x v="0"/>
    <x v="1518"/>
    <x v="252"/>
    <x v="0"/>
    <x v="18"/>
    <n v="167"/>
    <n v="1"/>
    <n v="8200"/>
    <n v="8200"/>
    <n v="6891"/>
    <n v="1309"/>
  </r>
  <r>
    <x v="0"/>
    <x v="1518"/>
    <x v="252"/>
    <x v="0"/>
    <x v="18"/>
    <n v="324"/>
    <n v="1"/>
    <n v="11000"/>
    <n v="11000"/>
    <n v="9244"/>
    <n v="1756"/>
  </r>
  <r>
    <x v="0"/>
    <x v="1518"/>
    <x v="252"/>
    <x v="0"/>
    <x v="18"/>
    <n v="329"/>
    <n v="1"/>
    <n v="6000"/>
    <n v="6000"/>
    <n v="5042"/>
    <n v="958"/>
  </r>
  <r>
    <x v="0"/>
    <x v="1519"/>
    <x v="252"/>
    <x v="0"/>
    <x v="2"/>
    <n v="230"/>
    <n v="1"/>
    <n v="16500"/>
    <n v="16500"/>
    <n v="13866"/>
    <n v="2634"/>
  </r>
  <r>
    <x v="0"/>
    <x v="1519"/>
    <x v="252"/>
    <x v="0"/>
    <x v="2"/>
    <n v="14"/>
    <n v="1"/>
    <n v="4600"/>
    <n v="4600"/>
    <n v="3866"/>
    <n v="734"/>
  </r>
  <r>
    <x v="0"/>
    <x v="1520"/>
    <x v="252"/>
    <x v="0"/>
    <x v="38"/>
    <n v="324"/>
    <n v="1"/>
    <n v="11000"/>
    <n v="11000"/>
    <n v="9244"/>
    <n v="1756"/>
  </r>
  <r>
    <x v="0"/>
    <x v="1521"/>
    <x v="252"/>
    <x v="0"/>
    <x v="194"/>
    <n v="324"/>
    <n v="1"/>
    <n v="11000"/>
    <n v="11000"/>
    <n v="9244"/>
    <n v="1756"/>
  </r>
  <r>
    <x v="0"/>
    <x v="1521"/>
    <x v="252"/>
    <x v="0"/>
    <x v="194"/>
    <n v="143"/>
    <n v="1"/>
    <n v="8000"/>
    <n v="8000"/>
    <n v="6723"/>
    <n v="1277"/>
  </r>
  <r>
    <x v="0"/>
    <x v="1522"/>
    <x v="252"/>
    <x v="0"/>
    <x v="21"/>
    <n v="143"/>
    <n v="1"/>
    <n v="8000"/>
    <n v="8000"/>
    <n v="6723"/>
    <n v="1277"/>
  </r>
  <r>
    <x v="0"/>
    <x v="1522"/>
    <x v="252"/>
    <x v="0"/>
    <x v="21"/>
    <n v="322"/>
    <n v="1"/>
    <n v="9000"/>
    <n v="9000"/>
    <n v="7563"/>
    <n v="1437"/>
  </r>
  <r>
    <x v="0"/>
    <x v="1523"/>
    <x v="252"/>
    <x v="0"/>
    <x v="33"/>
    <n v="230"/>
    <n v="1"/>
    <n v="16500"/>
    <n v="16500"/>
    <n v="13866"/>
    <n v="2634"/>
  </r>
  <r>
    <x v="0"/>
    <x v="1523"/>
    <x v="252"/>
    <x v="0"/>
    <x v="33"/>
    <n v="368"/>
    <n v="1"/>
    <n v="3000"/>
    <n v="3000"/>
    <n v="2521"/>
    <n v="479"/>
  </r>
  <r>
    <x v="0"/>
    <x v="1523"/>
    <x v="252"/>
    <x v="0"/>
    <x v="33"/>
    <n v="244"/>
    <n v="1"/>
    <n v="14900"/>
    <n v="14900"/>
    <n v="12521"/>
    <n v="2379"/>
  </r>
  <r>
    <x v="0"/>
    <x v="1523"/>
    <x v="252"/>
    <x v="0"/>
    <x v="33"/>
    <n v="117"/>
    <n v="1"/>
    <n v="3500"/>
    <n v="3500"/>
    <n v="2941"/>
    <n v="559"/>
  </r>
  <r>
    <x v="0"/>
    <x v="1523"/>
    <x v="252"/>
    <x v="0"/>
    <x v="33"/>
    <n v="165"/>
    <n v="1"/>
    <n v="2000"/>
    <n v="2000"/>
    <n v="1681"/>
    <n v="319"/>
  </r>
  <r>
    <x v="0"/>
    <x v="1523"/>
    <x v="252"/>
    <x v="0"/>
    <x v="33"/>
    <n v="167"/>
    <n v="1"/>
    <n v="8200"/>
    <n v="8200"/>
    <n v="6891"/>
    <n v="1309"/>
  </r>
  <r>
    <x v="0"/>
    <x v="1524"/>
    <x v="252"/>
    <x v="0"/>
    <x v="76"/>
    <n v="167"/>
    <n v="1"/>
    <n v="8200"/>
    <n v="8200"/>
    <n v="6891"/>
    <n v="1309"/>
  </r>
  <r>
    <x v="0"/>
    <x v="1525"/>
    <x v="252"/>
    <x v="0"/>
    <x v="34"/>
    <n v="167"/>
    <n v="1"/>
    <n v="8200"/>
    <n v="8200"/>
    <n v="6891"/>
    <n v="1309"/>
  </r>
  <r>
    <x v="0"/>
    <x v="1526"/>
    <x v="252"/>
    <x v="0"/>
    <x v="8"/>
    <n v="324"/>
    <n v="1"/>
    <n v="11000"/>
    <n v="11000"/>
    <n v="9244"/>
    <n v="1756"/>
  </r>
  <r>
    <x v="0"/>
    <x v="1527"/>
    <x v="252"/>
    <x v="0"/>
    <x v="85"/>
    <n v="143"/>
    <n v="1"/>
    <n v="8000"/>
    <n v="8000"/>
    <n v="6723"/>
    <n v="1277"/>
  </r>
  <r>
    <x v="0"/>
    <x v="1528"/>
    <x v="252"/>
    <x v="0"/>
    <x v="27"/>
    <n v="165"/>
    <n v="1"/>
    <n v="2000"/>
    <n v="2000"/>
    <n v="1681"/>
    <n v="319"/>
  </r>
  <r>
    <x v="0"/>
    <x v="1528"/>
    <x v="252"/>
    <x v="0"/>
    <x v="27"/>
    <n v="97"/>
    <n v="1"/>
    <n v="2000"/>
    <n v="2000"/>
    <n v="1681"/>
    <n v="319"/>
  </r>
  <r>
    <x v="0"/>
    <x v="1529"/>
    <x v="252"/>
    <x v="0"/>
    <x v="29"/>
    <n v="322"/>
    <n v="1"/>
    <n v="9000"/>
    <n v="9000"/>
    <n v="7563"/>
    <n v="1437"/>
  </r>
  <r>
    <x v="0"/>
    <x v="1530"/>
    <x v="252"/>
    <x v="0"/>
    <x v="9"/>
    <n v="322"/>
    <n v="1"/>
    <n v="9000"/>
    <n v="9000"/>
    <n v="7563"/>
    <n v="1437"/>
  </r>
  <r>
    <x v="0"/>
    <x v="1530"/>
    <x v="252"/>
    <x v="0"/>
    <x v="9"/>
    <n v="368"/>
    <n v="1"/>
    <n v="3000"/>
    <n v="3000"/>
    <n v="2521"/>
    <n v="479"/>
  </r>
  <r>
    <x v="0"/>
    <x v="1531"/>
    <x v="252"/>
    <x v="0"/>
    <x v="282"/>
    <n v="281"/>
    <n v="1"/>
    <n v="13000"/>
    <n v="13000"/>
    <n v="10924"/>
    <n v="2076"/>
  </r>
  <r>
    <x v="0"/>
    <x v="1532"/>
    <x v="253"/>
    <x v="0"/>
    <x v="283"/>
    <n v="167"/>
    <n v="1"/>
    <n v="8200"/>
    <n v="8200"/>
    <n v="6891"/>
    <n v="1309"/>
  </r>
  <r>
    <x v="0"/>
    <x v="1532"/>
    <x v="253"/>
    <x v="0"/>
    <x v="283"/>
    <n v="263"/>
    <n v="1"/>
    <n v="8000"/>
    <n v="8000"/>
    <n v="6723"/>
    <n v="1277"/>
  </r>
  <r>
    <x v="0"/>
    <x v="1533"/>
    <x v="253"/>
    <x v="0"/>
    <x v="5"/>
    <n v="143"/>
    <n v="2"/>
    <n v="16000"/>
    <n v="32000"/>
    <n v="26891"/>
    <n v="5109"/>
  </r>
  <r>
    <x v="0"/>
    <x v="1533"/>
    <x v="253"/>
    <x v="0"/>
    <x v="5"/>
    <n v="324"/>
    <n v="1"/>
    <n v="11000"/>
    <n v="11000"/>
    <n v="9244"/>
    <n v="1756"/>
  </r>
  <r>
    <x v="0"/>
    <x v="1534"/>
    <x v="253"/>
    <x v="0"/>
    <x v="153"/>
    <n v="230"/>
    <n v="1"/>
    <n v="16500"/>
    <n v="16500"/>
    <n v="13866"/>
    <n v="2634"/>
  </r>
  <r>
    <x v="0"/>
    <x v="1534"/>
    <x v="253"/>
    <x v="0"/>
    <x v="153"/>
    <n v="368"/>
    <n v="2"/>
    <n v="6000"/>
    <n v="12000"/>
    <n v="10084"/>
    <n v="1916"/>
  </r>
  <r>
    <x v="0"/>
    <x v="1534"/>
    <x v="253"/>
    <x v="0"/>
    <x v="153"/>
    <n v="69"/>
    <n v="1"/>
    <n v="3000"/>
    <n v="3000"/>
    <n v="2521"/>
    <n v="479"/>
  </r>
  <r>
    <x v="0"/>
    <x v="1535"/>
    <x v="253"/>
    <x v="0"/>
    <x v="47"/>
    <n v="369"/>
    <n v="1"/>
    <n v="10500"/>
    <n v="10500"/>
    <n v="8824"/>
    <n v="1676"/>
  </r>
  <r>
    <x v="0"/>
    <x v="1535"/>
    <x v="253"/>
    <x v="0"/>
    <x v="47"/>
    <n v="118"/>
    <n v="1"/>
    <n v="3500"/>
    <n v="3500"/>
    <n v="2941"/>
    <n v="559"/>
  </r>
  <r>
    <x v="0"/>
    <x v="1536"/>
    <x v="253"/>
    <x v="0"/>
    <x v="26"/>
    <n v="277"/>
    <n v="1"/>
    <n v="10000"/>
    <n v="10000"/>
    <n v="8403"/>
    <n v="1597"/>
  </r>
  <r>
    <x v="0"/>
    <x v="1536"/>
    <x v="253"/>
    <x v="0"/>
    <x v="26"/>
    <n v="143"/>
    <n v="1"/>
    <n v="8000"/>
    <n v="8000"/>
    <n v="6723"/>
    <n v="1277"/>
  </r>
  <r>
    <x v="0"/>
    <x v="1536"/>
    <x v="253"/>
    <x v="0"/>
    <x v="26"/>
    <n v="97"/>
    <n v="1"/>
    <n v="2000"/>
    <n v="2000"/>
    <n v="1681"/>
    <n v="319"/>
  </r>
  <r>
    <x v="0"/>
    <x v="1536"/>
    <x v="253"/>
    <x v="0"/>
    <x v="26"/>
    <n v="118"/>
    <n v="1"/>
    <n v="3500"/>
    <n v="3500"/>
    <n v="2941"/>
    <n v="559"/>
  </r>
  <r>
    <x v="0"/>
    <x v="1537"/>
    <x v="253"/>
    <x v="0"/>
    <x v="119"/>
    <n v="329"/>
    <n v="1"/>
    <n v="6000"/>
    <n v="6000"/>
    <n v="5042"/>
    <n v="958"/>
  </r>
  <r>
    <x v="0"/>
    <x v="1537"/>
    <x v="253"/>
    <x v="0"/>
    <x v="119"/>
    <n v="29"/>
    <n v="1"/>
    <n v="1000"/>
    <n v="1000"/>
    <n v="840"/>
    <n v="160"/>
  </r>
  <r>
    <x v="0"/>
    <x v="1537"/>
    <x v="253"/>
    <x v="0"/>
    <x v="119"/>
    <n v="286"/>
    <n v="1"/>
    <n v="1100"/>
    <n v="1100"/>
    <n v="924"/>
    <n v="176"/>
  </r>
  <r>
    <x v="0"/>
    <x v="1538"/>
    <x v="253"/>
    <x v="0"/>
    <x v="64"/>
    <n v="143"/>
    <n v="1"/>
    <n v="8000"/>
    <n v="8000"/>
    <n v="6723"/>
    <n v="1277"/>
  </r>
  <r>
    <x v="0"/>
    <x v="1539"/>
    <x v="254"/>
    <x v="0"/>
    <x v="275"/>
    <n v="167"/>
    <n v="2"/>
    <n v="16400"/>
    <n v="32800"/>
    <n v="27563"/>
    <n v="5237"/>
  </r>
  <r>
    <x v="0"/>
    <x v="1540"/>
    <x v="254"/>
    <x v="0"/>
    <x v="258"/>
    <n v="143"/>
    <n v="3"/>
    <n v="24001"/>
    <n v="72003"/>
    <n v="60507"/>
    <n v="11496"/>
  </r>
  <r>
    <x v="0"/>
    <x v="1541"/>
    <x v="254"/>
    <x v="0"/>
    <x v="181"/>
    <n v="230"/>
    <n v="1"/>
    <n v="16500"/>
    <n v="16500"/>
    <n v="13866"/>
    <n v="2634"/>
  </r>
  <r>
    <x v="0"/>
    <x v="1541"/>
    <x v="254"/>
    <x v="0"/>
    <x v="181"/>
    <n v="324"/>
    <n v="1"/>
    <n v="11000"/>
    <n v="11000"/>
    <n v="9244"/>
    <n v="1756"/>
  </r>
  <r>
    <x v="0"/>
    <x v="1541"/>
    <x v="254"/>
    <x v="0"/>
    <x v="181"/>
    <n v="319"/>
    <n v="1"/>
    <n v="3000"/>
    <n v="3000"/>
    <n v="2521"/>
    <n v="479"/>
  </r>
  <r>
    <x v="0"/>
    <x v="1541"/>
    <x v="254"/>
    <x v="0"/>
    <x v="181"/>
    <n v="332"/>
    <n v="1"/>
    <n v="2600"/>
    <n v="2600"/>
    <n v="2185"/>
    <n v="415"/>
  </r>
  <r>
    <x v="0"/>
    <x v="1541"/>
    <x v="254"/>
    <x v="0"/>
    <x v="181"/>
    <n v="68"/>
    <n v="1"/>
    <n v="1200"/>
    <n v="1200"/>
    <n v="1008"/>
    <n v="192"/>
  </r>
  <r>
    <x v="0"/>
    <x v="1541"/>
    <x v="254"/>
    <x v="0"/>
    <x v="181"/>
    <n v="67"/>
    <n v="1"/>
    <n v="650"/>
    <n v="650"/>
    <n v="546"/>
    <n v="104"/>
  </r>
  <r>
    <x v="0"/>
    <x v="1541"/>
    <x v="254"/>
    <x v="0"/>
    <x v="181"/>
    <n v="165"/>
    <n v="1"/>
    <n v="2000"/>
    <n v="2000"/>
    <n v="1681"/>
    <n v="319"/>
  </r>
  <r>
    <x v="0"/>
    <x v="1541"/>
    <x v="254"/>
    <x v="0"/>
    <x v="181"/>
    <n v="116"/>
    <n v="1"/>
    <n v="1600"/>
    <n v="1600"/>
    <n v="1345"/>
    <n v="255"/>
  </r>
  <r>
    <x v="0"/>
    <x v="1541"/>
    <x v="254"/>
    <x v="0"/>
    <x v="181"/>
    <n v="115"/>
    <n v="2"/>
    <n v="3200"/>
    <n v="6400"/>
    <n v="5378"/>
    <n v="1022"/>
  </r>
  <r>
    <x v="0"/>
    <x v="1541"/>
    <x v="254"/>
    <x v="0"/>
    <x v="181"/>
    <n v="368"/>
    <n v="1"/>
    <n v="3000"/>
    <n v="3000"/>
    <n v="2521"/>
    <n v="479"/>
  </r>
  <r>
    <x v="0"/>
    <x v="1541"/>
    <x v="254"/>
    <x v="0"/>
    <x v="181"/>
    <n v="384"/>
    <n v="2"/>
    <n v="5500"/>
    <n v="11000"/>
    <n v="9244"/>
    <n v="1756"/>
  </r>
  <r>
    <x v="0"/>
    <x v="1541"/>
    <x v="254"/>
    <x v="0"/>
    <x v="181"/>
    <n v="143"/>
    <n v="1"/>
    <n v="8000"/>
    <n v="8000"/>
    <n v="6723"/>
    <n v="1277"/>
  </r>
  <r>
    <x v="0"/>
    <x v="1542"/>
    <x v="254"/>
    <x v="0"/>
    <x v="200"/>
    <n v="324"/>
    <n v="1"/>
    <n v="11000"/>
    <n v="11000"/>
    <n v="9244"/>
    <n v="1756"/>
  </r>
  <r>
    <x v="0"/>
    <x v="1542"/>
    <x v="254"/>
    <x v="0"/>
    <x v="200"/>
    <n v="254"/>
    <n v="2"/>
    <n v="4000"/>
    <n v="8000"/>
    <n v="6723"/>
    <n v="1277"/>
  </r>
  <r>
    <x v="0"/>
    <x v="1542"/>
    <x v="254"/>
    <x v="0"/>
    <x v="200"/>
    <n v="29"/>
    <n v="2"/>
    <n v="2000"/>
    <n v="4000"/>
    <n v="3361"/>
    <n v="639"/>
  </r>
  <r>
    <x v="0"/>
    <x v="1542"/>
    <x v="254"/>
    <x v="0"/>
    <x v="200"/>
    <n v="231"/>
    <n v="1"/>
    <n v="20900"/>
    <n v="20900"/>
    <n v="17563"/>
    <n v="3337"/>
  </r>
  <r>
    <x v="0"/>
    <x v="1542"/>
    <x v="254"/>
    <x v="0"/>
    <x v="200"/>
    <n v="15"/>
    <n v="1"/>
    <n v="1500"/>
    <n v="1500"/>
    <n v="1261"/>
    <n v="239"/>
  </r>
  <r>
    <x v="0"/>
    <x v="1542"/>
    <x v="254"/>
    <x v="0"/>
    <x v="200"/>
    <n v="51"/>
    <n v="1"/>
    <n v="4200"/>
    <n v="4200"/>
    <n v="3529"/>
    <n v="671"/>
  </r>
  <r>
    <x v="0"/>
    <x v="1542"/>
    <x v="254"/>
    <x v="0"/>
    <x v="200"/>
    <n v="46"/>
    <n v="1"/>
    <n v="2500"/>
    <n v="2500"/>
    <n v="2101"/>
    <n v="399"/>
  </r>
  <r>
    <x v="0"/>
    <x v="1542"/>
    <x v="254"/>
    <x v="0"/>
    <x v="200"/>
    <n v="26"/>
    <n v="1"/>
    <n v="3400"/>
    <n v="3400"/>
    <n v="2857"/>
    <n v="543"/>
  </r>
  <r>
    <x v="0"/>
    <x v="1543"/>
    <x v="254"/>
    <x v="0"/>
    <x v="116"/>
    <n v="29"/>
    <n v="1"/>
    <n v="1000"/>
    <n v="1000"/>
    <n v="840"/>
    <n v="160"/>
  </r>
  <r>
    <x v="0"/>
    <x v="1543"/>
    <x v="254"/>
    <x v="0"/>
    <x v="116"/>
    <n v="155"/>
    <n v="1"/>
    <n v="1650"/>
    <n v="1650"/>
    <n v="1387"/>
    <n v="263"/>
  </r>
  <r>
    <x v="0"/>
    <x v="1543"/>
    <x v="254"/>
    <x v="0"/>
    <x v="116"/>
    <n v="17"/>
    <n v="1"/>
    <n v="3400"/>
    <n v="3400"/>
    <n v="2857"/>
    <n v="543"/>
  </r>
  <r>
    <x v="0"/>
    <x v="1544"/>
    <x v="254"/>
    <x v="0"/>
    <x v="61"/>
    <n v="118"/>
    <n v="1"/>
    <n v="3500"/>
    <n v="3500"/>
    <n v="2941"/>
    <n v="559"/>
  </r>
  <r>
    <x v="0"/>
    <x v="1544"/>
    <x v="254"/>
    <x v="0"/>
    <x v="61"/>
    <n v="165"/>
    <n v="1"/>
    <n v="2000"/>
    <n v="2000"/>
    <n v="1681"/>
    <n v="319"/>
  </r>
  <r>
    <x v="0"/>
    <x v="1545"/>
    <x v="255"/>
    <x v="0"/>
    <x v="140"/>
    <n v="319"/>
    <n v="1"/>
    <n v="3000"/>
    <n v="3000"/>
    <n v="2521"/>
    <n v="479"/>
  </r>
  <r>
    <x v="0"/>
    <x v="1545"/>
    <x v="255"/>
    <x v="0"/>
    <x v="140"/>
    <n v="167"/>
    <n v="1"/>
    <n v="8200"/>
    <n v="8200"/>
    <n v="6891"/>
    <n v="1309"/>
  </r>
  <r>
    <x v="0"/>
    <x v="1545"/>
    <x v="255"/>
    <x v="0"/>
    <x v="140"/>
    <n v="329"/>
    <n v="1"/>
    <n v="6000"/>
    <n v="6000"/>
    <n v="5042"/>
    <n v="958"/>
  </r>
  <r>
    <x v="0"/>
    <x v="1546"/>
    <x v="255"/>
    <x v="0"/>
    <x v="5"/>
    <n v="135"/>
    <n v="2"/>
    <n v="2000"/>
    <n v="4000"/>
    <n v="3361"/>
    <n v="639"/>
  </r>
  <r>
    <x v="0"/>
    <x v="1547"/>
    <x v="255"/>
    <x v="0"/>
    <x v="38"/>
    <n v="324"/>
    <n v="1"/>
    <n v="11000"/>
    <n v="11000"/>
    <n v="9244"/>
    <n v="1756"/>
  </r>
  <r>
    <x v="0"/>
    <x v="1548"/>
    <x v="255"/>
    <x v="0"/>
    <x v="137"/>
    <n v="231"/>
    <n v="1"/>
    <n v="20900"/>
    <n v="20900"/>
    <n v="17563"/>
    <n v="3337"/>
  </r>
  <r>
    <x v="0"/>
    <x v="1548"/>
    <x v="255"/>
    <x v="0"/>
    <x v="137"/>
    <n v="319"/>
    <n v="1"/>
    <n v="3000"/>
    <n v="3000"/>
    <n v="2521"/>
    <n v="479"/>
  </r>
  <r>
    <x v="0"/>
    <x v="1549"/>
    <x v="255"/>
    <x v="0"/>
    <x v="196"/>
    <n v="7"/>
    <n v="1"/>
    <n v="7000"/>
    <n v="7000"/>
    <n v="5882"/>
    <n v="1118"/>
  </r>
  <r>
    <x v="0"/>
    <x v="1549"/>
    <x v="255"/>
    <x v="0"/>
    <x v="196"/>
    <n v="331"/>
    <n v="1"/>
    <n v="3700"/>
    <n v="3700"/>
    <n v="3109"/>
    <n v="591"/>
  </r>
  <r>
    <x v="0"/>
    <x v="1549"/>
    <x v="255"/>
    <x v="0"/>
    <x v="196"/>
    <n v="324"/>
    <n v="1"/>
    <n v="11000"/>
    <n v="11000"/>
    <n v="9244"/>
    <n v="1756"/>
  </r>
  <r>
    <x v="0"/>
    <x v="1550"/>
    <x v="255"/>
    <x v="0"/>
    <x v="235"/>
    <n v="143"/>
    <n v="1"/>
    <n v="8000"/>
    <n v="8000"/>
    <n v="6723"/>
    <n v="1277"/>
  </r>
  <r>
    <x v="0"/>
    <x v="1550"/>
    <x v="255"/>
    <x v="0"/>
    <x v="235"/>
    <n v="261"/>
    <n v="1"/>
    <n v="7000"/>
    <n v="7000"/>
    <n v="5882"/>
    <n v="1118"/>
  </r>
  <r>
    <x v="0"/>
    <x v="1550"/>
    <x v="255"/>
    <x v="0"/>
    <x v="235"/>
    <n v="167"/>
    <n v="1"/>
    <n v="8200"/>
    <n v="8200"/>
    <n v="6891"/>
    <n v="1309"/>
  </r>
  <r>
    <x v="0"/>
    <x v="1551"/>
    <x v="255"/>
    <x v="0"/>
    <x v="189"/>
    <n v="167"/>
    <n v="1"/>
    <n v="8200"/>
    <n v="8200"/>
    <n v="6891"/>
    <n v="1309"/>
  </r>
  <r>
    <x v="0"/>
    <x v="1552"/>
    <x v="256"/>
    <x v="0"/>
    <x v="145"/>
    <n v="143"/>
    <n v="1"/>
    <n v="8000"/>
    <n v="8000"/>
    <n v="6723"/>
    <n v="1277"/>
  </r>
  <r>
    <x v="0"/>
    <x v="1552"/>
    <x v="256"/>
    <x v="0"/>
    <x v="145"/>
    <n v="329"/>
    <n v="1"/>
    <n v="6000"/>
    <n v="6000"/>
    <n v="5042"/>
    <n v="958"/>
  </r>
  <r>
    <x v="0"/>
    <x v="1552"/>
    <x v="256"/>
    <x v="0"/>
    <x v="145"/>
    <n v="29"/>
    <n v="1"/>
    <n v="1000"/>
    <n v="1000"/>
    <n v="840"/>
    <n v="160"/>
  </r>
  <r>
    <x v="0"/>
    <x v="1552"/>
    <x v="256"/>
    <x v="0"/>
    <x v="145"/>
    <n v="259"/>
    <n v="1"/>
    <n v="4500"/>
    <n v="4500"/>
    <n v="3782"/>
    <n v="718"/>
  </r>
  <r>
    <x v="0"/>
    <x v="1553"/>
    <x v="256"/>
    <x v="0"/>
    <x v="98"/>
    <n v="324"/>
    <n v="1"/>
    <n v="11000"/>
    <n v="11000"/>
    <n v="9244"/>
    <n v="1756"/>
  </r>
  <r>
    <x v="0"/>
    <x v="1554"/>
    <x v="257"/>
    <x v="0"/>
    <x v="5"/>
    <n v="324"/>
    <n v="1"/>
    <n v="11000"/>
    <n v="11000"/>
    <n v="9244"/>
    <n v="1756"/>
  </r>
  <r>
    <x v="1"/>
    <x v="0"/>
    <x v="2"/>
    <x v="0"/>
    <x v="284"/>
    <n v="371"/>
    <n v="3"/>
    <n v="28500"/>
    <n v="85500"/>
    <n v="71849"/>
    <n v="13651"/>
  </r>
  <r>
    <x v="1"/>
    <x v="0"/>
    <x v="2"/>
    <x v="0"/>
    <x v="284"/>
    <n v="74"/>
    <n v="1"/>
    <n v="11500"/>
    <n v="11500"/>
    <n v="9664"/>
    <n v="1836"/>
  </r>
  <r>
    <x v="1"/>
    <x v="0"/>
    <x v="2"/>
    <x v="0"/>
    <x v="284"/>
    <n v="231"/>
    <n v="1"/>
    <n v="19990"/>
    <n v="19990"/>
    <n v="16798"/>
    <n v="3192"/>
  </r>
  <r>
    <x v="1"/>
    <x v="1"/>
    <x v="4"/>
    <x v="0"/>
    <x v="285"/>
    <n v="276"/>
    <n v="3"/>
    <n v="24000"/>
    <n v="72000"/>
    <n v="60504"/>
    <n v="11496"/>
  </r>
  <r>
    <x v="1"/>
    <x v="1"/>
    <x v="4"/>
    <x v="0"/>
    <x v="285"/>
    <n v="293"/>
    <n v="1"/>
    <n v="9500"/>
    <n v="9500"/>
    <n v="7983"/>
    <n v="1517"/>
  </r>
  <r>
    <x v="1"/>
    <x v="1"/>
    <x v="4"/>
    <x v="0"/>
    <x v="285"/>
    <n v="278"/>
    <n v="1"/>
    <n v="11500"/>
    <n v="11500"/>
    <n v="9664"/>
    <n v="1836"/>
  </r>
  <r>
    <x v="1"/>
    <x v="1"/>
    <x v="4"/>
    <x v="0"/>
    <x v="285"/>
    <n v="369"/>
    <n v="1"/>
    <n v="10500"/>
    <n v="10500"/>
    <n v="8824"/>
    <n v="1676"/>
  </r>
  <r>
    <x v="1"/>
    <x v="1"/>
    <x v="4"/>
    <x v="0"/>
    <x v="285"/>
    <n v="31"/>
    <n v="2"/>
    <n v="6800"/>
    <n v="13600"/>
    <n v="11429"/>
    <n v="2171"/>
  </r>
  <r>
    <x v="1"/>
    <x v="2"/>
    <x v="6"/>
    <x v="0"/>
    <x v="286"/>
    <n v="166"/>
    <n v="1"/>
    <n v="1600"/>
    <n v="1600"/>
    <n v="1345"/>
    <n v="255"/>
  </r>
  <r>
    <x v="1"/>
    <x v="2"/>
    <x v="6"/>
    <x v="0"/>
    <x v="286"/>
    <n v="248"/>
    <n v="1"/>
    <n v="4500"/>
    <n v="4500"/>
    <n v="3782"/>
    <n v="718"/>
  </r>
  <r>
    <x v="1"/>
    <x v="2"/>
    <x v="6"/>
    <x v="0"/>
    <x v="286"/>
    <n v="157"/>
    <n v="1"/>
    <n v="4300"/>
    <n v="4300"/>
    <n v="3613"/>
    <n v="687"/>
  </r>
  <r>
    <x v="1"/>
    <x v="2"/>
    <x v="6"/>
    <x v="0"/>
    <x v="286"/>
    <n v="117"/>
    <n v="1"/>
    <n v="3500"/>
    <n v="3500"/>
    <n v="2941"/>
    <n v="559"/>
  </r>
  <r>
    <x v="1"/>
    <x v="2"/>
    <x v="6"/>
    <x v="0"/>
    <x v="286"/>
    <n v="25"/>
    <n v="1"/>
    <n v="1800"/>
    <n v="1800"/>
    <n v="1513"/>
    <n v="287"/>
  </r>
  <r>
    <x v="1"/>
    <x v="2"/>
    <x v="6"/>
    <x v="0"/>
    <x v="286"/>
    <n v="67"/>
    <n v="1"/>
    <n v="650"/>
    <n v="650"/>
    <n v="546"/>
    <n v="104"/>
  </r>
  <r>
    <x v="1"/>
    <x v="2"/>
    <x v="6"/>
    <x v="0"/>
    <x v="286"/>
    <n v="356"/>
    <n v="1"/>
    <n v="3000"/>
    <n v="3000"/>
    <n v="2521"/>
    <n v="479"/>
  </r>
  <r>
    <x v="1"/>
    <x v="2"/>
    <x v="6"/>
    <x v="0"/>
    <x v="286"/>
    <n v="143"/>
    <n v="1"/>
    <n v="6500"/>
    <n v="6500"/>
    <n v="5462"/>
    <n v="1038"/>
  </r>
  <r>
    <x v="1"/>
    <x v="2"/>
    <x v="6"/>
    <x v="0"/>
    <x v="286"/>
    <n v="324"/>
    <n v="1"/>
    <n v="10500"/>
    <n v="10500"/>
    <n v="8824"/>
    <n v="1676"/>
  </r>
  <r>
    <x v="1"/>
    <x v="2"/>
    <x v="6"/>
    <x v="0"/>
    <x v="286"/>
    <n v="297"/>
    <n v="1"/>
    <n v="7000"/>
    <n v="7000"/>
    <n v="5882"/>
    <n v="1118"/>
  </r>
  <r>
    <x v="1"/>
    <x v="2"/>
    <x v="6"/>
    <x v="0"/>
    <x v="286"/>
    <n v="266"/>
    <n v="1"/>
    <n v="9500"/>
    <n v="9500"/>
    <n v="7983"/>
    <n v="1517"/>
  </r>
  <r>
    <x v="1"/>
    <x v="2"/>
    <x v="6"/>
    <x v="0"/>
    <x v="286"/>
    <n v="382"/>
    <n v="1"/>
    <n v="2600"/>
    <n v="2600"/>
    <n v="2185"/>
    <n v="415"/>
  </r>
  <r>
    <x v="1"/>
    <x v="2"/>
    <x v="6"/>
    <x v="0"/>
    <x v="286"/>
    <n v="155"/>
    <n v="2"/>
    <n v="3301"/>
    <n v="6602"/>
    <n v="5548"/>
    <n v="1054"/>
  </r>
  <r>
    <x v="1"/>
    <x v="2"/>
    <x v="6"/>
    <x v="0"/>
    <x v="286"/>
    <n v="354"/>
    <n v="1"/>
    <n v="1800"/>
    <n v="1800"/>
    <n v="1513"/>
    <n v="287"/>
  </r>
  <r>
    <x v="1"/>
    <x v="3"/>
    <x v="9"/>
    <x v="0"/>
    <x v="287"/>
    <n v="117"/>
    <n v="1"/>
    <n v="3500"/>
    <n v="3500"/>
    <n v="2941"/>
    <n v="559"/>
  </r>
  <r>
    <x v="1"/>
    <x v="3"/>
    <x v="9"/>
    <x v="0"/>
    <x v="287"/>
    <n v="359"/>
    <n v="1"/>
    <n v="2500"/>
    <n v="2500"/>
    <n v="2101"/>
    <n v="399"/>
  </r>
  <r>
    <x v="1"/>
    <x v="4"/>
    <x v="13"/>
    <x v="0"/>
    <x v="287"/>
    <n v="231"/>
    <n v="1"/>
    <n v="19990"/>
    <n v="19990"/>
    <n v="16798"/>
    <n v="3192"/>
  </r>
  <r>
    <x v="1"/>
    <x v="4"/>
    <x v="13"/>
    <x v="0"/>
    <x v="287"/>
    <n v="277"/>
    <n v="1"/>
    <n v="10000"/>
    <n v="10000"/>
    <n v="8403"/>
    <n v="1597"/>
  </r>
  <r>
    <x v="1"/>
    <x v="4"/>
    <x v="13"/>
    <x v="0"/>
    <x v="287"/>
    <n v="276"/>
    <n v="1"/>
    <n v="8000"/>
    <n v="8000"/>
    <n v="6723"/>
    <n v="1277"/>
  </r>
  <r>
    <x v="1"/>
    <x v="4"/>
    <x v="13"/>
    <x v="0"/>
    <x v="287"/>
    <n v="29"/>
    <n v="1"/>
    <n v="1000"/>
    <n v="1000"/>
    <n v="840"/>
    <n v="160"/>
  </r>
  <r>
    <x v="1"/>
    <x v="5"/>
    <x v="18"/>
    <x v="0"/>
    <x v="284"/>
    <n v="123"/>
    <n v="1"/>
    <n v="24000"/>
    <n v="24000"/>
    <n v="20168"/>
    <n v="3832"/>
  </r>
  <r>
    <x v="1"/>
    <x v="5"/>
    <x v="18"/>
    <x v="0"/>
    <x v="284"/>
    <n v="112"/>
    <n v="1"/>
    <n v="-500"/>
    <n v="-500"/>
    <n v="-420"/>
    <n v="-80"/>
  </r>
  <r>
    <x v="1"/>
    <x v="5"/>
    <x v="18"/>
    <x v="0"/>
    <x v="284"/>
    <n v="74"/>
    <n v="2"/>
    <n v="23000"/>
    <n v="46000"/>
    <n v="38655"/>
    <n v="7345"/>
  </r>
  <r>
    <x v="1"/>
    <x v="5"/>
    <x v="18"/>
    <x v="0"/>
    <x v="284"/>
    <n v="371"/>
    <n v="2"/>
    <n v="19000"/>
    <n v="38000"/>
    <n v="31933"/>
    <n v="6067"/>
  </r>
  <r>
    <x v="1"/>
    <x v="5"/>
    <x v="18"/>
    <x v="0"/>
    <x v="284"/>
    <n v="236"/>
    <n v="1"/>
    <n v="18990"/>
    <n v="18990"/>
    <n v="15958"/>
    <n v="3032"/>
  </r>
  <r>
    <x v="1"/>
    <x v="6"/>
    <x v="21"/>
    <x v="0"/>
    <x v="287"/>
    <n v="118"/>
    <n v="1"/>
    <n v="3500"/>
    <n v="3500"/>
    <n v="2941"/>
    <n v="559"/>
  </r>
  <r>
    <x v="1"/>
    <x v="7"/>
    <x v="36"/>
    <x v="0"/>
    <x v="287"/>
    <n v="277"/>
    <n v="1"/>
    <n v="10000"/>
    <n v="10000"/>
    <n v="8403"/>
    <n v="1597"/>
  </r>
  <r>
    <x v="1"/>
    <x v="7"/>
    <x v="36"/>
    <x v="0"/>
    <x v="287"/>
    <n v="359"/>
    <n v="2"/>
    <n v="5000"/>
    <n v="10000"/>
    <n v="8403"/>
    <n v="1597"/>
  </r>
  <r>
    <x v="1"/>
    <x v="7"/>
    <x v="36"/>
    <x v="0"/>
    <x v="287"/>
    <n v="143"/>
    <n v="1"/>
    <n v="6300"/>
    <n v="6300"/>
    <n v="5294"/>
    <n v="1006"/>
  </r>
  <r>
    <x v="1"/>
    <x v="7"/>
    <x v="36"/>
    <x v="0"/>
    <x v="287"/>
    <n v="264"/>
    <n v="1"/>
    <n v="5000"/>
    <n v="5000"/>
    <n v="4202"/>
    <n v="798"/>
  </r>
  <r>
    <x v="1"/>
    <x v="8"/>
    <x v="38"/>
    <x v="0"/>
    <x v="286"/>
    <n v="143"/>
    <n v="1"/>
    <n v="6900"/>
    <n v="6900"/>
    <n v="5798"/>
    <n v="1102"/>
  </r>
  <r>
    <x v="1"/>
    <x v="8"/>
    <x v="38"/>
    <x v="0"/>
    <x v="286"/>
    <n v="324"/>
    <n v="1"/>
    <n v="10500"/>
    <n v="10500"/>
    <n v="8824"/>
    <n v="1676"/>
  </r>
  <r>
    <x v="1"/>
    <x v="8"/>
    <x v="38"/>
    <x v="0"/>
    <x v="286"/>
    <n v="259"/>
    <n v="1"/>
    <n v="4500"/>
    <n v="4500"/>
    <n v="3782"/>
    <n v="718"/>
  </r>
  <r>
    <x v="1"/>
    <x v="8"/>
    <x v="38"/>
    <x v="0"/>
    <x v="286"/>
    <n v="25"/>
    <n v="1"/>
    <n v="1800"/>
    <n v="1800"/>
    <n v="1513"/>
    <n v="287"/>
  </r>
  <r>
    <x v="1"/>
    <x v="8"/>
    <x v="38"/>
    <x v="0"/>
    <x v="286"/>
    <n v="232"/>
    <n v="1"/>
    <n v="12500"/>
    <n v="12500"/>
    <n v="10504"/>
    <n v="1996"/>
  </r>
  <r>
    <x v="1"/>
    <x v="8"/>
    <x v="38"/>
    <x v="0"/>
    <x v="286"/>
    <n v="266"/>
    <n v="1"/>
    <n v="9500"/>
    <n v="9500"/>
    <n v="7983"/>
    <n v="1517"/>
  </r>
  <r>
    <x v="1"/>
    <x v="8"/>
    <x v="38"/>
    <x v="0"/>
    <x v="286"/>
    <n v="29"/>
    <n v="1"/>
    <n v="1000"/>
    <n v="1000"/>
    <n v="840"/>
    <n v="160"/>
  </r>
  <r>
    <x v="1"/>
    <x v="8"/>
    <x v="38"/>
    <x v="0"/>
    <x v="286"/>
    <n v="124"/>
    <n v="1"/>
    <n v="4000"/>
    <n v="4000"/>
    <n v="3361"/>
    <n v="639"/>
  </r>
  <r>
    <x v="1"/>
    <x v="8"/>
    <x v="38"/>
    <x v="0"/>
    <x v="286"/>
    <n v="371"/>
    <n v="4"/>
    <n v="38000"/>
    <n v="152000"/>
    <n v="127731"/>
    <n v="24269"/>
  </r>
  <r>
    <x v="1"/>
    <x v="8"/>
    <x v="38"/>
    <x v="0"/>
    <x v="286"/>
    <n v="276"/>
    <n v="1"/>
    <n v="8000"/>
    <n v="8000"/>
    <n v="6723"/>
    <n v="1277"/>
  </r>
  <r>
    <x v="1"/>
    <x v="8"/>
    <x v="38"/>
    <x v="0"/>
    <x v="286"/>
    <n v="360"/>
    <n v="2"/>
    <n v="6000"/>
    <n v="12000"/>
    <n v="10084"/>
    <n v="1916"/>
  </r>
  <r>
    <x v="1"/>
    <x v="8"/>
    <x v="38"/>
    <x v="0"/>
    <x v="286"/>
    <n v="379"/>
    <n v="2"/>
    <n v="4000"/>
    <n v="8000"/>
    <n v="6723"/>
    <n v="1277"/>
  </r>
  <r>
    <x v="1"/>
    <x v="8"/>
    <x v="38"/>
    <x v="0"/>
    <x v="286"/>
    <n v="162"/>
    <n v="1"/>
    <n v="1600"/>
    <n v="1600"/>
    <n v="1345"/>
    <n v="255"/>
  </r>
  <r>
    <x v="1"/>
    <x v="8"/>
    <x v="38"/>
    <x v="0"/>
    <x v="286"/>
    <n v="166"/>
    <n v="2"/>
    <n v="3200"/>
    <n v="6400"/>
    <n v="5378"/>
    <n v="1022"/>
  </r>
  <r>
    <x v="1"/>
    <x v="8"/>
    <x v="38"/>
    <x v="0"/>
    <x v="286"/>
    <n v="117"/>
    <n v="1"/>
    <n v="3500"/>
    <n v="3500"/>
    <n v="2941"/>
    <n v="559"/>
  </r>
  <r>
    <x v="1"/>
    <x v="8"/>
    <x v="38"/>
    <x v="0"/>
    <x v="286"/>
    <n v="356"/>
    <n v="1"/>
    <n v="3000"/>
    <n v="3000"/>
    <n v="2521"/>
    <n v="479"/>
  </r>
  <r>
    <x v="1"/>
    <x v="9"/>
    <x v="41"/>
    <x v="0"/>
    <x v="288"/>
    <n v="31"/>
    <n v="1"/>
    <n v="3400"/>
    <n v="3400"/>
    <n v="2857"/>
    <n v="543"/>
  </r>
  <r>
    <x v="1"/>
    <x v="9"/>
    <x v="41"/>
    <x v="0"/>
    <x v="288"/>
    <n v="29"/>
    <n v="1"/>
    <n v="1000"/>
    <n v="1000"/>
    <n v="840"/>
    <n v="160"/>
  </r>
  <r>
    <x v="1"/>
    <x v="10"/>
    <x v="41"/>
    <x v="0"/>
    <x v="284"/>
    <n v="123"/>
    <n v="1"/>
    <n v="24000"/>
    <n v="24000"/>
    <n v="20168"/>
    <n v="3832"/>
  </r>
  <r>
    <x v="1"/>
    <x v="10"/>
    <x v="41"/>
    <x v="0"/>
    <x v="284"/>
    <n v="112"/>
    <n v="1"/>
    <n v="-500"/>
    <n v="-500"/>
    <n v="-420"/>
    <n v="-80"/>
  </r>
  <r>
    <x v="1"/>
    <x v="10"/>
    <x v="41"/>
    <x v="0"/>
    <x v="284"/>
    <n v="74"/>
    <n v="1"/>
    <n v="11500"/>
    <n v="11500"/>
    <n v="9664"/>
    <n v="1836"/>
  </r>
  <r>
    <x v="1"/>
    <x v="10"/>
    <x v="41"/>
    <x v="0"/>
    <x v="284"/>
    <n v="236"/>
    <n v="1"/>
    <n v="18990"/>
    <n v="18990"/>
    <n v="15958"/>
    <n v="3032"/>
  </r>
  <r>
    <x v="1"/>
    <x v="10"/>
    <x v="41"/>
    <x v="0"/>
    <x v="284"/>
    <n v="371"/>
    <n v="2"/>
    <n v="19000"/>
    <n v="38000"/>
    <n v="31933"/>
    <n v="6067"/>
  </r>
  <r>
    <x v="1"/>
    <x v="11"/>
    <x v="43"/>
    <x v="0"/>
    <x v="287"/>
    <n v="276"/>
    <n v="1"/>
    <n v="8000"/>
    <n v="8000"/>
    <n v="6723"/>
    <n v="1277"/>
  </r>
  <r>
    <x v="1"/>
    <x v="11"/>
    <x v="43"/>
    <x v="0"/>
    <x v="287"/>
    <n v="359"/>
    <n v="2"/>
    <n v="5000"/>
    <n v="10000"/>
    <n v="8403"/>
    <n v="1597"/>
  </r>
  <r>
    <x v="1"/>
    <x v="11"/>
    <x v="43"/>
    <x v="0"/>
    <x v="287"/>
    <n v="118"/>
    <n v="1"/>
    <n v="3500"/>
    <n v="3500"/>
    <n v="2941"/>
    <n v="559"/>
  </r>
  <r>
    <x v="1"/>
    <x v="11"/>
    <x v="43"/>
    <x v="0"/>
    <x v="287"/>
    <n v="231"/>
    <n v="1"/>
    <n v="19990"/>
    <n v="19990"/>
    <n v="16798"/>
    <n v="3192"/>
  </r>
  <r>
    <x v="1"/>
    <x v="11"/>
    <x v="43"/>
    <x v="0"/>
    <x v="287"/>
    <n v="277"/>
    <n v="1"/>
    <n v="10000"/>
    <n v="10000"/>
    <n v="8403"/>
    <n v="1597"/>
  </r>
  <r>
    <x v="1"/>
    <x v="12"/>
    <x v="49"/>
    <x v="0"/>
    <x v="288"/>
    <n v="247"/>
    <n v="1"/>
    <n v="2800"/>
    <n v="2800"/>
    <n v="2353"/>
    <n v="447"/>
  </r>
  <r>
    <x v="1"/>
    <x v="12"/>
    <x v="49"/>
    <x v="0"/>
    <x v="288"/>
    <n v="163"/>
    <n v="1"/>
    <n v="1500"/>
    <n v="1500"/>
    <n v="1261"/>
    <n v="239"/>
  </r>
  <r>
    <x v="1"/>
    <x v="12"/>
    <x v="49"/>
    <x v="0"/>
    <x v="288"/>
    <n v="246"/>
    <n v="1"/>
    <n v="3000"/>
    <n v="3000"/>
    <n v="2521"/>
    <n v="479"/>
  </r>
  <r>
    <x v="1"/>
    <x v="13"/>
    <x v="53"/>
    <x v="0"/>
    <x v="289"/>
    <n v="118"/>
    <n v="3"/>
    <n v="10500"/>
    <n v="31500"/>
    <n v="26471"/>
    <n v="5029"/>
  </r>
  <r>
    <x v="1"/>
    <x v="14"/>
    <x v="55"/>
    <x v="0"/>
    <x v="287"/>
    <n v="276"/>
    <n v="1"/>
    <n v="8000"/>
    <n v="8000"/>
    <n v="6723"/>
    <n v="1277"/>
  </r>
  <r>
    <x v="1"/>
    <x v="15"/>
    <x v="60"/>
    <x v="0"/>
    <x v="284"/>
    <n v="123"/>
    <n v="1"/>
    <n v="24000"/>
    <n v="24000"/>
    <n v="20168"/>
    <n v="3832"/>
  </r>
  <r>
    <x v="1"/>
    <x v="15"/>
    <x v="60"/>
    <x v="0"/>
    <x v="284"/>
    <n v="112"/>
    <n v="1"/>
    <n v="-500"/>
    <n v="-500"/>
    <n v="-420"/>
    <n v="-80"/>
  </r>
  <r>
    <x v="1"/>
    <x v="15"/>
    <x v="60"/>
    <x v="0"/>
    <x v="284"/>
    <n v="74"/>
    <n v="1"/>
    <n v="11500"/>
    <n v="11500"/>
    <n v="9664"/>
    <n v="1836"/>
  </r>
  <r>
    <x v="1"/>
    <x v="15"/>
    <x v="60"/>
    <x v="0"/>
    <x v="284"/>
    <n v="371"/>
    <n v="1"/>
    <n v="9500"/>
    <n v="9500"/>
    <n v="7983"/>
    <n v="1517"/>
  </r>
  <r>
    <x v="1"/>
    <x v="15"/>
    <x v="60"/>
    <x v="0"/>
    <x v="284"/>
    <n v="236"/>
    <n v="1"/>
    <n v="18990"/>
    <n v="18990"/>
    <n v="15958"/>
    <n v="3032"/>
  </r>
  <r>
    <x v="1"/>
    <x v="16"/>
    <x v="62"/>
    <x v="0"/>
    <x v="285"/>
    <n v="276"/>
    <n v="3"/>
    <n v="24000"/>
    <n v="72000"/>
    <n v="60504"/>
    <n v="11496"/>
  </r>
  <r>
    <x v="1"/>
    <x v="16"/>
    <x v="62"/>
    <x v="0"/>
    <x v="285"/>
    <n v="293"/>
    <n v="1"/>
    <n v="9500"/>
    <n v="9500"/>
    <n v="7983"/>
    <n v="1517"/>
  </r>
  <r>
    <x v="1"/>
    <x v="16"/>
    <x v="62"/>
    <x v="0"/>
    <x v="285"/>
    <n v="278"/>
    <n v="1"/>
    <n v="11500"/>
    <n v="11500"/>
    <n v="9664"/>
    <n v="1836"/>
  </r>
  <r>
    <x v="1"/>
    <x v="16"/>
    <x v="62"/>
    <x v="0"/>
    <x v="285"/>
    <n v="244"/>
    <n v="1"/>
    <n v="14900"/>
    <n v="14900"/>
    <n v="12521"/>
    <n v="2379"/>
  </r>
  <r>
    <x v="1"/>
    <x v="16"/>
    <x v="62"/>
    <x v="0"/>
    <x v="285"/>
    <n v="31"/>
    <n v="1"/>
    <n v="3400"/>
    <n v="3400"/>
    <n v="2857"/>
    <n v="543"/>
  </r>
  <r>
    <x v="1"/>
    <x v="16"/>
    <x v="62"/>
    <x v="0"/>
    <x v="285"/>
    <n v="246"/>
    <n v="1"/>
    <n v="3000"/>
    <n v="3000"/>
    <n v="2521"/>
    <n v="479"/>
  </r>
  <r>
    <x v="1"/>
    <x v="17"/>
    <x v="63"/>
    <x v="0"/>
    <x v="287"/>
    <n v="231"/>
    <n v="1"/>
    <n v="19990"/>
    <n v="19990"/>
    <n v="16798"/>
    <n v="3192"/>
  </r>
  <r>
    <x v="1"/>
    <x v="17"/>
    <x v="63"/>
    <x v="0"/>
    <x v="287"/>
    <n v="277"/>
    <n v="1"/>
    <n v="10000"/>
    <n v="10000"/>
    <n v="8403"/>
    <n v="1597"/>
  </r>
  <r>
    <x v="1"/>
    <x v="17"/>
    <x v="63"/>
    <x v="0"/>
    <x v="287"/>
    <n v="359"/>
    <n v="2"/>
    <n v="5000"/>
    <n v="10000"/>
    <n v="8403"/>
    <n v="1597"/>
  </r>
  <r>
    <x v="1"/>
    <x v="18"/>
    <x v="65"/>
    <x v="0"/>
    <x v="287"/>
    <n v="163"/>
    <n v="1"/>
    <n v="1500"/>
    <n v="1500"/>
    <n v="1261"/>
    <n v="239"/>
  </r>
  <r>
    <x v="1"/>
    <x v="19"/>
    <x v="67"/>
    <x v="0"/>
    <x v="290"/>
    <n v="29"/>
    <n v="4"/>
    <n v="4000"/>
    <n v="16000"/>
    <n v="13445"/>
    <n v="2555"/>
  </r>
  <r>
    <x v="1"/>
    <x v="19"/>
    <x v="67"/>
    <x v="0"/>
    <x v="290"/>
    <n v="275"/>
    <n v="1"/>
    <n v="6900"/>
    <n v="6900"/>
    <n v="5798"/>
    <n v="1102"/>
  </r>
  <r>
    <x v="1"/>
    <x v="19"/>
    <x v="67"/>
    <x v="0"/>
    <x v="290"/>
    <n v="30"/>
    <n v="1"/>
    <n v="3000"/>
    <n v="3000"/>
    <n v="2521"/>
    <n v="479"/>
  </r>
  <r>
    <x v="1"/>
    <x v="19"/>
    <x v="67"/>
    <x v="0"/>
    <x v="290"/>
    <n v="226"/>
    <n v="1"/>
    <n v="22500"/>
    <n v="22500"/>
    <n v="18908"/>
    <n v="3592"/>
  </r>
  <r>
    <x v="1"/>
    <x v="19"/>
    <x v="67"/>
    <x v="0"/>
    <x v="290"/>
    <n v="230"/>
    <n v="1"/>
    <n v="15500"/>
    <n v="15500"/>
    <n v="13025"/>
    <n v="2475"/>
  </r>
  <r>
    <x v="1"/>
    <x v="20"/>
    <x v="68"/>
    <x v="0"/>
    <x v="287"/>
    <n v="166"/>
    <n v="2"/>
    <n v="3200"/>
    <n v="6400"/>
    <n v="5378"/>
    <n v="1022"/>
  </r>
  <r>
    <x v="1"/>
    <x v="20"/>
    <x v="68"/>
    <x v="0"/>
    <x v="287"/>
    <n v="95"/>
    <n v="1"/>
    <n v="2400"/>
    <n v="2400"/>
    <n v="2017"/>
    <n v="383"/>
  </r>
  <r>
    <x v="1"/>
    <x v="20"/>
    <x v="68"/>
    <x v="0"/>
    <x v="287"/>
    <n v="276"/>
    <n v="1"/>
    <n v="8000"/>
    <n v="8000"/>
    <n v="6723"/>
    <n v="1277"/>
  </r>
  <r>
    <x v="1"/>
    <x v="21"/>
    <x v="70"/>
    <x v="0"/>
    <x v="287"/>
    <n v="261"/>
    <n v="1"/>
    <n v="7000"/>
    <n v="7000"/>
    <n v="5882"/>
    <n v="1118"/>
  </r>
  <r>
    <x v="1"/>
    <x v="22"/>
    <x v="74"/>
    <x v="0"/>
    <x v="287"/>
    <n v="118"/>
    <n v="1"/>
    <n v="3500"/>
    <n v="3500"/>
    <n v="2941"/>
    <n v="559"/>
  </r>
  <r>
    <x v="1"/>
    <x v="23"/>
    <x v="80"/>
    <x v="0"/>
    <x v="287"/>
    <n v="264"/>
    <n v="1"/>
    <n v="5000"/>
    <n v="5000"/>
    <n v="4202"/>
    <n v="798"/>
  </r>
  <r>
    <x v="1"/>
    <x v="23"/>
    <x v="80"/>
    <x v="0"/>
    <x v="287"/>
    <n v="277"/>
    <n v="1"/>
    <n v="10000"/>
    <n v="10000"/>
    <n v="8403"/>
    <n v="1597"/>
  </r>
  <r>
    <x v="1"/>
    <x v="24"/>
    <x v="82"/>
    <x v="0"/>
    <x v="284"/>
    <n v="371"/>
    <n v="3"/>
    <n v="28500"/>
    <n v="85500"/>
    <n v="71849"/>
    <n v="13651"/>
  </r>
  <r>
    <x v="1"/>
    <x v="24"/>
    <x v="82"/>
    <x v="0"/>
    <x v="284"/>
    <n v="74"/>
    <n v="1"/>
    <n v="11500"/>
    <n v="11500"/>
    <n v="9664"/>
    <n v="1836"/>
  </r>
  <r>
    <x v="1"/>
    <x v="24"/>
    <x v="82"/>
    <x v="0"/>
    <x v="284"/>
    <n v="236"/>
    <n v="1"/>
    <n v="18990"/>
    <n v="18990"/>
    <n v="15958"/>
    <n v="3032"/>
  </r>
  <r>
    <x v="1"/>
    <x v="25"/>
    <x v="90"/>
    <x v="0"/>
    <x v="287"/>
    <n v="231"/>
    <n v="1"/>
    <n v="19990"/>
    <n v="19990"/>
    <n v="16798"/>
    <n v="3192"/>
  </r>
  <r>
    <x v="1"/>
    <x v="25"/>
    <x v="90"/>
    <x v="0"/>
    <x v="287"/>
    <n v="277"/>
    <n v="1"/>
    <n v="10000"/>
    <n v="10000"/>
    <n v="8403"/>
    <n v="1597"/>
  </r>
  <r>
    <x v="1"/>
    <x v="25"/>
    <x v="90"/>
    <x v="0"/>
    <x v="287"/>
    <n v="276"/>
    <n v="1"/>
    <n v="8000"/>
    <n v="8000"/>
    <n v="6723"/>
    <n v="1277"/>
  </r>
  <r>
    <x v="1"/>
    <x v="25"/>
    <x v="90"/>
    <x v="0"/>
    <x v="287"/>
    <n v="118"/>
    <n v="1"/>
    <n v="3500"/>
    <n v="3500"/>
    <n v="2941"/>
    <n v="559"/>
  </r>
  <r>
    <x v="1"/>
    <x v="25"/>
    <x v="90"/>
    <x v="0"/>
    <x v="287"/>
    <n v="359"/>
    <n v="2"/>
    <n v="5000"/>
    <n v="10000"/>
    <n v="8403"/>
    <n v="1597"/>
  </r>
  <r>
    <x v="1"/>
    <x v="25"/>
    <x v="90"/>
    <x v="0"/>
    <x v="287"/>
    <n v="53"/>
    <n v="1"/>
    <n v="4200"/>
    <n v="4200"/>
    <n v="3529"/>
    <n v="671"/>
  </r>
  <r>
    <x v="1"/>
    <x v="25"/>
    <x v="90"/>
    <x v="0"/>
    <x v="287"/>
    <n v="143"/>
    <n v="1"/>
    <n v="8300"/>
    <n v="8300"/>
    <n v="6975"/>
    <n v="1325"/>
  </r>
  <r>
    <x v="1"/>
    <x v="26"/>
    <x v="95"/>
    <x v="0"/>
    <x v="270"/>
    <n v="49"/>
    <n v="3"/>
    <n v="12600"/>
    <n v="37800"/>
    <n v="31765"/>
    <n v="6035"/>
  </r>
  <r>
    <x v="1"/>
    <x v="27"/>
    <x v="95"/>
    <x v="0"/>
    <x v="291"/>
    <n v="143"/>
    <n v="2"/>
    <n v="16600"/>
    <n v="33200"/>
    <n v="27899"/>
    <n v="5301"/>
  </r>
  <r>
    <x v="1"/>
    <x v="27"/>
    <x v="95"/>
    <x v="0"/>
    <x v="291"/>
    <n v="231"/>
    <n v="1"/>
    <n v="20900"/>
    <n v="20900"/>
    <n v="17563"/>
    <n v="3337"/>
  </r>
  <r>
    <x v="1"/>
    <x v="27"/>
    <x v="95"/>
    <x v="0"/>
    <x v="291"/>
    <n v="157"/>
    <n v="1"/>
    <n v="4300"/>
    <n v="4300"/>
    <n v="3613"/>
    <n v="687"/>
  </r>
  <r>
    <x v="1"/>
    <x v="27"/>
    <x v="95"/>
    <x v="0"/>
    <x v="291"/>
    <n v="360"/>
    <n v="1"/>
    <n v="3000"/>
    <n v="3000"/>
    <n v="2521"/>
    <n v="479"/>
  </r>
  <r>
    <x v="1"/>
    <x v="27"/>
    <x v="95"/>
    <x v="0"/>
    <x v="291"/>
    <n v="255"/>
    <n v="1"/>
    <n v="4000"/>
    <n v="4000"/>
    <n v="3361"/>
    <n v="639"/>
  </r>
  <r>
    <x v="1"/>
    <x v="27"/>
    <x v="95"/>
    <x v="0"/>
    <x v="291"/>
    <n v="31"/>
    <n v="1"/>
    <n v="3400"/>
    <n v="3400"/>
    <n v="2857"/>
    <n v="543"/>
  </r>
  <r>
    <x v="1"/>
    <x v="27"/>
    <x v="95"/>
    <x v="0"/>
    <x v="291"/>
    <n v="30"/>
    <n v="1"/>
    <n v="3000"/>
    <n v="3000"/>
    <n v="2521"/>
    <n v="479"/>
  </r>
  <r>
    <x v="1"/>
    <x v="27"/>
    <x v="95"/>
    <x v="0"/>
    <x v="291"/>
    <n v="259"/>
    <n v="1"/>
    <n v="4500"/>
    <n v="4500"/>
    <n v="3782"/>
    <n v="718"/>
  </r>
  <r>
    <x v="1"/>
    <x v="27"/>
    <x v="95"/>
    <x v="0"/>
    <x v="291"/>
    <n v="29"/>
    <n v="1"/>
    <n v="1000"/>
    <n v="1000"/>
    <n v="840"/>
    <n v="160"/>
  </r>
  <r>
    <x v="1"/>
    <x v="27"/>
    <x v="95"/>
    <x v="0"/>
    <x v="291"/>
    <n v="166"/>
    <n v="2"/>
    <n v="3200"/>
    <n v="6400"/>
    <n v="5378"/>
    <n v="1022"/>
  </r>
  <r>
    <x v="1"/>
    <x v="27"/>
    <x v="95"/>
    <x v="0"/>
    <x v="291"/>
    <n v="251"/>
    <n v="1"/>
    <n v="7000"/>
    <n v="7000"/>
    <n v="5882"/>
    <n v="1118"/>
  </r>
  <r>
    <x v="1"/>
    <x v="27"/>
    <x v="95"/>
    <x v="0"/>
    <x v="291"/>
    <n v="162"/>
    <n v="2"/>
    <n v="3200"/>
    <n v="6400"/>
    <n v="5378"/>
    <n v="1022"/>
  </r>
  <r>
    <x v="1"/>
    <x v="27"/>
    <x v="95"/>
    <x v="0"/>
    <x v="291"/>
    <n v="164"/>
    <n v="1"/>
    <n v="3200"/>
    <n v="3200"/>
    <n v="2689"/>
    <n v="511"/>
  </r>
  <r>
    <x v="1"/>
    <x v="27"/>
    <x v="95"/>
    <x v="0"/>
    <x v="291"/>
    <n v="57"/>
    <n v="1"/>
    <n v="4000"/>
    <n v="4000"/>
    <n v="3361"/>
    <n v="639"/>
  </r>
  <r>
    <x v="1"/>
    <x v="27"/>
    <x v="95"/>
    <x v="0"/>
    <x v="291"/>
    <n v="356"/>
    <n v="1"/>
    <n v="3000"/>
    <n v="3000"/>
    <n v="2521"/>
    <n v="479"/>
  </r>
  <r>
    <x v="1"/>
    <x v="27"/>
    <x v="95"/>
    <x v="0"/>
    <x v="291"/>
    <n v="49"/>
    <n v="1"/>
    <n v="4200"/>
    <n v="4200"/>
    <n v="3529"/>
    <n v="671"/>
  </r>
  <r>
    <x v="1"/>
    <x v="28"/>
    <x v="105"/>
    <x v="0"/>
    <x v="284"/>
    <n v="74"/>
    <n v="1"/>
    <n v="11500"/>
    <n v="11500"/>
    <n v="9664"/>
    <n v="1836"/>
  </r>
  <r>
    <x v="1"/>
    <x v="28"/>
    <x v="105"/>
    <x v="0"/>
    <x v="284"/>
    <n v="123"/>
    <n v="2"/>
    <n v="48000"/>
    <n v="96000"/>
    <n v="80672"/>
    <n v="15328"/>
  </r>
  <r>
    <x v="1"/>
    <x v="28"/>
    <x v="105"/>
    <x v="0"/>
    <x v="284"/>
    <n v="112"/>
    <n v="1"/>
    <n v="-1000"/>
    <n v="-1000"/>
    <n v="-840"/>
    <n v="-160"/>
  </r>
  <r>
    <x v="1"/>
    <x v="28"/>
    <x v="105"/>
    <x v="0"/>
    <x v="284"/>
    <n v="236"/>
    <n v="1"/>
    <n v="18990"/>
    <n v="18990"/>
    <n v="15958"/>
    <n v="3032"/>
  </r>
  <r>
    <x v="1"/>
    <x v="28"/>
    <x v="105"/>
    <x v="0"/>
    <x v="284"/>
    <n v="46"/>
    <n v="2"/>
    <n v="5000"/>
    <n v="10000"/>
    <n v="8403"/>
    <n v="1597"/>
  </r>
  <r>
    <x v="1"/>
    <x v="29"/>
    <x v="109"/>
    <x v="0"/>
    <x v="287"/>
    <n v="276"/>
    <n v="1"/>
    <n v="8000"/>
    <n v="8000"/>
    <n v="6723"/>
    <n v="1277"/>
  </r>
  <r>
    <x v="1"/>
    <x v="29"/>
    <x v="109"/>
    <x v="0"/>
    <x v="287"/>
    <n v="99"/>
    <n v="1"/>
    <n v="1500"/>
    <n v="1500"/>
    <n v="1261"/>
    <n v="239"/>
  </r>
  <r>
    <x v="1"/>
    <x v="30"/>
    <x v="113"/>
    <x v="0"/>
    <x v="287"/>
    <n v="118"/>
    <n v="1"/>
    <n v="3500"/>
    <n v="3500"/>
    <n v="2941"/>
    <n v="559"/>
  </r>
  <r>
    <x v="1"/>
    <x v="30"/>
    <x v="113"/>
    <x v="0"/>
    <x v="287"/>
    <n v="143"/>
    <n v="1"/>
    <n v="8300"/>
    <n v="8300"/>
    <n v="6975"/>
    <n v="1325"/>
  </r>
  <r>
    <x v="1"/>
    <x v="31"/>
    <x v="117"/>
    <x v="0"/>
    <x v="292"/>
    <n v="53"/>
    <n v="1"/>
    <n v="4200"/>
    <n v="4200"/>
    <n v="3529"/>
    <n v="671"/>
  </r>
  <r>
    <x v="1"/>
    <x v="32"/>
    <x v="118"/>
    <x v="0"/>
    <x v="287"/>
    <n v="231"/>
    <n v="1"/>
    <n v="20900"/>
    <n v="20900"/>
    <n v="17563"/>
    <n v="3337"/>
  </r>
  <r>
    <x v="1"/>
    <x v="32"/>
    <x v="118"/>
    <x v="0"/>
    <x v="287"/>
    <n v="277"/>
    <n v="1"/>
    <n v="10000"/>
    <n v="10000"/>
    <n v="8403"/>
    <n v="1597"/>
  </r>
  <r>
    <x v="1"/>
    <x v="33"/>
    <x v="120"/>
    <x v="0"/>
    <x v="287"/>
    <n v="332"/>
    <n v="1"/>
    <n v="2600"/>
    <n v="2600"/>
    <n v="2185"/>
    <n v="415"/>
  </r>
  <r>
    <x v="1"/>
    <x v="34"/>
    <x v="129"/>
    <x v="0"/>
    <x v="287"/>
    <n v="143"/>
    <n v="1"/>
    <n v="8000"/>
    <n v="8000"/>
    <n v="6723"/>
    <n v="1277"/>
  </r>
  <r>
    <x v="1"/>
    <x v="34"/>
    <x v="129"/>
    <x v="0"/>
    <x v="287"/>
    <n v="29"/>
    <n v="1"/>
    <n v="1000"/>
    <n v="1000"/>
    <n v="840"/>
    <n v="160"/>
  </r>
  <r>
    <x v="1"/>
    <x v="35"/>
    <x v="130"/>
    <x v="0"/>
    <x v="290"/>
    <n v="30"/>
    <n v="2"/>
    <n v="6001"/>
    <n v="12002"/>
    <n v="10086"/>
    <n v="1916"/>
  </r>
  <r>
    <x v="1"/>
    <x v="35"/>
    <x v="130"/>
    <x v="0"/>
    <x v="290"/>
    <n v="232"/>
    <n v="1"/>
    <n v="12500"/>
    <n v="12500"/>
    <n v="10504"/>
    <n v="1996"/>
  </r>
  <r>
    <x v="1"/>
    <x v="35"/>
    <x v="130"/>
    <x v="0"/>
    <x v="290"/>
    <n v="27"/>
    <n v="1"/>
    <n v="8700"/>
    <n v="8700"/>
    <n v="7311"/>
    <n v="1389"/>
  </r>
  <r>
    <x v="1"/>
    <x v="36"/>
    <x v="131"/>
    <x v="0"/>
    <x v="285"/>
    <n v="278"/>
    <n v="1"/>
    <n v="11500"/>
    <n v="11500"/>
    <n v="9664"/>
    <n v="1836"/>
  </r>
  <r>
    <x v="1"/>
    <x v="36"/>
    <x v="131"/>
    <x v="0"/>
    <x v="285"/>
    <n v="244"/>
    <n v="1"/>
    <n v="14900"/>
    <n v="14900"/>
    <n v="12521"/>
    <n v="2379"/>
  </r>
  <r>
    <x v="1"/>
    <x v="36"/>
    <x v="131"/>
    <x v="0"/>
    <x v="285"/>
    <n v="379"/>
    <n v="3"/>
    <n v="6000"/>
    <n v="18000"/>
    <n v="15126"/>
    <n v="2874"/>
  </r>
  <r>
    <x v="1"/>
    <x v="36"/>
    <x v="131"/>
    <x v="0"/>
    <x v="285"/>
    <n v="276"/>
    <n v="3"/>
    <n v="24000"/>
    <n v="72000"/>
    <n v="60504"/>
    <n v="11496"/>
  </r>
  <r>
    <x v="1"/>
    <x v="36"/>
    <x v="131"/>
    <x v="0"/>
    <x v="285"/>
    <n v="360"/>
    <n v="1"/>
    <n v="3000"/>
    <n v="3000"/>
    <n v="2521"/>
    <n v="479"/>
  </r>
  <r>
    <x v="1"/>
    <x v="36"/>
    <x v="131"/>
    <x v="0"/>
    <x v="285"/>
    <n v="293"/>
    <n v="1"/>
    <n v="10000"/>
    <n v="10000"/>
    <n v="8403"/>
    <n v="1597"/>
  </r>
  <r>
    <x v="1"/>
    <x v="36"/>
    <x v="131"/>
    <x v="0"/>
    <x v="285"/>
    <n v="31"/>
    <n v="1"/>
    <n v="3400"/>
    <n v="3400"/>
    <n v="2857"/>
    <n v="543"/>
  </r>
  <r>
    <x v="1"/>
    <x v="37"/>
    <x v="132"/>
    <x v="0"/>
    <x v="293"/>
    <n v="120"/>
    <n v="1"/>
    <n v="1700"/>
    <n v="1700"/>
    <n v="1429"/>
    <n v="271"/>
  </r>
  <r>
    <x v="1"/>
    <x v="37"/>
    <x v="132"/>
    <x v="0"/>
    <x v="293"/>
    <n v="53"/>
    <n v="1"/>
    <n v="4200"/>
    <n v="4200"/>
    <n v="3529"/>
    <n v="671"/>
  </r>
  <r>
    <x v="1"/>
    <x v="37"/>
    <x v="132"/>
    <x v="0"/>
    <x v="293"/>
    <n v="45"/>
    <n v="1"/>
    <n v="1600"/>
    <n v="1600"/>
    <n v="1345"/>
    <n v="255"/>
  </r>
  <r>
    <x v="1"/>
    <x v="37"/>
    <x v="132"/>
    <x v="0"/>
    <x v="293"/>
    <n v="378"/>
    <n v="2"/>
    <n v="2400"/>
    <n v="4800"/>
    <n v="4034"/>
    <n v="766"/>
  </r>
  <r>
    <x v="1"/>
    <x v="37"/>
    <x v="132"/>
    <x v="0"/>
    <x v="293"/>
    <n v="99"/>
    <n v="1"/>
    <n v="1500"/>
    <n v="1500"/>
    <n v="1261"/>
    <n v="239"/>
  </r>
  <r>
    <x v="1"/>
    <x v="37"/>
    <x v="132"/>
    <x v="0"/>
    <x v="293"/>
    <n v="254"/>
    <n v="1"/>
    <n v="2000"/>
    <n v="2000"/>
    <n v="1681"/>
    <n v="319"/>
  </r>
  <r>
    <x v="1"/>
    <x v="37"/>
    <x v="132"/>
    <x v="0"/>
    <x v="293"/>
    <n v="29"/>
    <n v="1"/>
    <n v="1000"/>
    <n v="1000"/>
    <n v="840"/>
    <n v="160"/>
  </r>
  <r>
    <x v="1"/>
    <x v="38"/>
    <x v="138"/>
    <x v="0"/>
    <x v="284"/>
    <n v="123"/>
    <n v="1"/>
    <n v="24000"/>
    <n v="24000"/>
    <n v="20168"/>
    <n v="3832"/>
  </r>
  <r>
    <x v="1"/>
    <x v="38"/>
    <x v="138"/>
    <x v="0"/>
    <x v="284"/>
    <n v="112"/>
    <n v="1"/>
    <n v="-500"/>
    <n v="-500"/>
    <n v="-420"/>
    <n v="-80"/>
  </r>
  <r>
    <x v="1"/>
    <x v="38"/>
    <x v="138"/>
    <x v="0"/>
    <x v="284"/>
    <n v="371"/>
    <n v="1"/>
    <n v="9500"/>
    <n v="9500"/>
    <n v="7983"/>
    <n v="1517"/>
  </r>
  <r>
    <x v="1"/>
    <x v="38"/>
    <x v="138"/>
    <x v="0"/>
    <x v="284"/>
    <n v="74"/>
    <n v="1"/>
    <n v="11500"/>
    <n v="11500"/>
    <n v="9664"/>
    <n v="1836"/>
  </r>
  <r>
    <x v="1"/>
    <x v="38"/>
    <x v="138"/>
    <x v="0"/>
    <x v="284"/>
    <n v="231"/>
    <n v="1"/>
    <n v="20900"/>
    <n v="20900"/>
    <n v="17563"/>
    <n v="3337"/>
  </r>
  <r>
    <x v="1"/>
    <x v="39"/>
    <x v="141"/>
    <x v="0"/>
    <x v="287"/>
    <n v="277"/>
    <n v="1"/>
    <n v="10000"/>
    <n v="10000"/>
    <n v="8403"/>
    <n v="1597"/>
  </r>
  <r>
    <x v="1"/>
    <x v="39"/>
    <x v="141"/>
    <x v="0"/>
    <x v="287"/>
    <n v="163"/>
    <n v="1"/>
    <n v="1500"/>
    <n v="1500"/>
    <n v="1261"/>
    <n v="239"/>
  </r>
  <r>
    <x v="1"/>
    <x v="39"/>
    <x v="141"/>
    <x v="0"/>
    <x v="287"/>
    <n v="384"/>
    <n v="2"/>
    <n v="5500"/>
    <n v="11000"/>
    <n v="9244"/>
    <n v="1756"/>
  </r>
  <r>
    <x v="1"/>
    <x v="39"/>
    <x v="141"/>
    <x v="0"/>
    <x v="287"/>
    <n v="118"/>
    <n v="1"/>
    <n v="3500"/>
    <n v="3500"/>
    <n v="2941"/>
    <n v="559"/>
  </r>
  <r>
    <x v="1"/>
    <x v="39"/>
    <x v="141"/>
    <x v="0"/>
    <x v="287"/>
    <n v="95"/>
    <n v="1"/>
    <n v="2400"/>
    <n v="2400"/>
    <n v="2017"/>
    <n v="383"/>
  </r>
  <r>
    <x v="1"/>
    <x v="39"/>
    <x v="141"/>
    <x v="0"/>
    <x v="287"/>
    <n v="99"/>
    <n v="1"/>
    <n v="1500"/>
    <n v="1500"/>
    <n v="1261"/>
    <n v="239"/>
  </r>
  <r>
    <x v="1"/>
    <x v="40"/>
    <x v="148"/>
    <x v="0"/>
    <x v="287"/>
    <n v="359"/>
    <n v="3"/>
    <n v="8101"/>
    <n v="24303"/>
    <n v="20423"/>
    <n v="3880"/>
  </r>
  <r>
    <x v="1"/>
    <x v="40"/>
    <x v="148"/>
    <x v="0"/>
    <x v="287"/>
    <n v="231"/>
    <n v="1"/>
    <n v="20900"/>
    <n v="20900"/>
    <n v="17563"/>
    <n v="3337"/>
  </r>
  <r>
    <x v="1"/>
    <x v="40"/>
    <x v="148"/>
    <x v="0"/>
    <x v="287"/>
    <n v="332"/>
    <n v="1"/>
    <n v="2600"/>
    <n v="2600"/>
    <n v="2185"/>
    <n v="415"/>
  </r>
  <r>
    <x v="1"/>
    <x v="40"/>
    <x v="148"/>
    <x v="0"/>
    <x v="287"/>
    <n v="143"/>
    <n v="1"/>
    <n v="8200"/>
    <n v="8200"/>
    <n v="6891"/>
    <n v="1309"/>
  </r>
  <r>
    <x v="1"/>
    <x v="41"/>
    <x v="156"/>
    <x v="3"/>
    <x v="284"/>
    <n v="123"/>
    <n v="1"/>
    <n v="24000"/>
    <n v="24000"/>
    <n v="20168"/>
    <n v="3832"/>
  </r>
  <r>
    <x v="1"/>
    <x v="41"/>
    <x v="156"/>
    <x v="3"/>
    <x v="284"/>
    <n v="112"/>
    <n v="1"/>
    <n v="-500"/>
    <n v="-500"/>
    <n v="-420"/>
    <n v="-80"/>
  </r>
  <r>
    <x v="1"/>
    <x v="42"/>
    <x v="157"/>
    <x v="0"/>
    <x v="290"/>
    <n v="371"/>
    <n v="3"/>
    <n v="28500"/>
    <n v="85500"/>
    <n v="71849"/>
    <n v="13651"/>
  </r>
  <r>
    <x v="1"/>
    <x v="43"/>
    <x v="161"/>
    <x v="0"/>
    <x v="287"/>
    <n v="231"/>
    <n v="1"/>
    <n v="20900"/>
    <n v="20900"/>
    <n v="17563"/>
    <n v="3337"/>
  </r>
  <r>
    <x v="1"/>
    <x v="43"/>
    <x v="161"/>
    <x v="0"/>
    <x v="287"/>
    <n v="277"/>
    <n v="1"/>
    <n v="10000"/>
    <n v="10000"/>
    <n v="8403"/>
    <n v="1597"/>
  </r>
  <r>
    <x v="1"/>
    <x v="43"/>
    <x v="161"/>
    <x v="0"/>
    <x v="287"/>
    <n v="264"/>
    <n v="1"/>
    <n v="5000"/>
    <n v="5000"/>
    <n v="4202"/>
    <n v="798"/>
  </r>
  <r>
    <x v="1"/>
    <x v="43"/>
    <x v="161"/>
    <x v="0"/>
    <x v="287"/>
    <n v="118"/>
    <n v="1"/>
    <n v="3500"/>
    <n v="3500"/>
    <n v="2941"/>
    <n v="559"/>
  </r>
  <r>
    <x v="1"/>
    <x v="43"/>
    <x v="161"/>
    <x v="0"/>
    <x v="287"/>
    <n v="29"/>
    <n v="1"/>
    <n v="1000"/>
    <n v="1000"/>
    <n v="840"/>
    <n v="160"/>
  </r>
  <r>
    <x v="1"/>
    <x v="43"/>
    <x v="161"/>
    <x v="0"/>
    <x v="287"/>
    <n v="99"/>
    <n v="1"/>
    <n v="1700"/>
    <n v="1700"/>
    <n v="1429"/>
    <n v="271"/>
  </r>
  <r>
    <x v="1"/>
    <x v="43"/>
    <x v="161"/>
    <x v="0"/>
    <x v="287"/>
    <n v="287"/>
    <n v="1"/>
    <n v="3000"/>
    <n v="3000"/>
    <n v="2521"/>
    <n v="479"/>
  </r>
  <r>
    <x v="1"/>
    <x v="44"/>
    <x v="164"/>
    <x v="0"/>
    <x v="288"/>
    <n v="169"/>
    <n v="5"/>
    <n v="13500"/>
    <n v="67500"/>
    <n v="56723"/>
    <n v="10777"/>
  </r>
  <r>
    <x v="1"/>
    <x v="45"/>
    <x v="164"/>
    <x v="0"/>
    <x v="284"/>
    <n v="49"/>
    <n v="3"/>
    <n v="12600"/>
    <n v="37800"/>
    <n v="31765"/>
    <n v="6035"/>
  </r>
  <r>
    <x v="1"/>
    <x v="45"/>
    <x v="164"/>
    <x v="0"/>
    <x v="284"/>
    <n v="74"/>
    <n v="1"/>
    <n v="11500"/>
    <n v="11500"/>
    <n v="9664"/>
    <n v="1836"/>
  </r>
  <r>
    <x v="1"/>
    <x v="45"/>
    <x v="164"/>
    <x v="0"/>
    <x v="284"/>
    <n v="231"/>
    <n v="1"/>
    <n v="20900"/>
    <n v="20900"/>
    <n v="17563"/>
    <n v="3337"/>
  </r>
  <r>
    <x v="1"/>
    <x v="45"/>
    <x v="164"/>
    <x v="0"/>
    <x v="284"/>
    <n v="123"/>
    <n v="1"/>
    <n v="24000"/>
    <n v="24000"/>
    <n v="20168"/>
    <n v="3832"/>
  </r>
  <r>
    <x v="1"/>
    <x v="45"/>
    <x v="164"/>
    <x v="0"/>
    <x v="284"/>
    <n v="112"/>
    <n v="1"/>
    <n v="-500"/>
    <n v="-500"/>
    <n v="-420"/>
    <n v="-80"/>
  </r>
  <r>
    <x v="1"/>
    <x v="45"/>
    <x v="164"/>
    <x v="0"/>
    <x v="284"/>
    <n v="371"/>
    <n v="2"/>
    <n v="19000"/>
    <n v="38000"/>
    <n v="31933"/>
    <n v="6067"/>
  </r>
  <r>
    <x v="1"/>
    <x v="46"/>
    <x v="166"/>
    <x v="3"/>
    <x v="294"/>
    <n v="165"/>
    <n v="1"/>
    <n v="2000"/>
    <n v="2000"/>
    <n v="1681"/>
    <n v="319"/>
  </r>
  <r>
    <x v="1"/>
    <x v="46"/>
    <x v="166"/>
    <x v="3"/>
    <x v="294"/>
    <n v="157"/>
    <n v="1"/>
    <n v="4300"/>
    <n v="4300"/>
    <n v="3613"/>
    <n v="687"/>
  </r>
  <r>
    <x v="1"/>
    <x v="46"/>
    <x v="166"/>
    <x v="3"/>
    <x v="294"/>
    <n v="53"/>
    <n v="1"/>
    <n v="4200"/>
    <n v="4200"/>
    <n v="3529"/>
    <n v="671"/>
  </r>
  <r>
    <x v="1"/>
    <x v="47"/>
    <x v="168"/>
    <x v="3"/>
    <x v="287"/>
    <n v="143"/>
    <n v="1"/>
    <n v="8200"/>
    <n v="8200"/>
    <n v="6891"/>
    <n v="1309"/>
  </r>
  <r>
    <x v="1"/>
    <x v="48"/>
    <x v="180"/>
    <x v="0"/>
    <x v="285"/>
    <n v="276"/>
    <n v="3"/>
    <n v="24000"/>
    <n v="72000"/>
    <n v="60504"/>
    <n v="11496"/>
  </r>
  <r>
    <x v="1"/>
    <x v="48"/>
    <x v="180"/>
    <x v="0"/>
    <x v="285"/>
    <n v="31"/>
    <n v="2"/>
    <n v="6800"/>
    <n v="13600"/>
    <n v="11429"/>
    <n v="2171"/>
  </r>
  <r>
    <x v="1"/>
    <x v="48"/>
    <x v="180"/>
    <x v="0"/>
    <x v="285"/>
    <n v="265"/>
    <n v="1"/>
    <n v="10000"/>
    <n v="10000"/>
    <n v="8403"/>
    <n v="1597"/>
  </r>
  <r>
    <x v="1"/>
    <x v="49"/>
    <x v="184"/>
    <x v="0"/>
    <x v="287"/>
    <n v="118"/>
    <n v="1"/>
    <n v="3500"/>
    <n v="3500"/>
    <n v="2941"/>
    <n v="559"/>
  </r>
  <r>
    <x v="1"/>
    <x v="49"/>
    <x v="184"/>
    <x v="0"/>
    <x v="287"/>
    <n v="277"/>
    <n v="1"/>
    <n v="10000"/>
    <n v="10000"/>
    <n v="8403"/>
    <n v="1597"/>
  </r>
  <r>
    <x v="1"/>
    <x v="49"/>
    <x v="184"/>
    <x v="0"/>
    <x v="287"/>
    <n v="384"/>
    <n v="2"/>
    <n v="5500"/>
    <n v="11000"/>
    <n v="9244"/>
    <n v="1756"/>
  </r>
  <r>
    <x v="1"/>
    <x v="49"/>
    <x v="184"/>
    <x v="0"/>
    <x v="287"/>
    <n v="359"/>
    <n v="2"/>
    <n v="5400"/>
    <n v="10800"/>
    <n v="9076"/>
    <n v="1724"/>
  </r>
  <r>
    <x v="1"/>
    <x v="49"/>
    <x v="184"/>
    <x v="0"/>
    <x v="287"/>
    <n v="53"/>
    <n v="1"/>
    <n v="4200"/>
    <n v="4200"/>
    <n v="3529"/>
    <n v="671"/>
  </r>
  <r>
    <x v="1"/>
    <x v="50"/>
    <x v="188"/>
    <x v="0"/>
    <x v="284"/>
    <n v="123"/>
    <n v="2"/>
    <n v="48000"/>
    <n v="96000"/>
    <n v="80672"/>
    <n v="15328"/>
  </r>
  <r>
    <x v="1"/>
    <x v="50"/>
    <x v="188"/>
    <x v="0"/>
    <x v="284"/>
    <n v="112"/>
    <n v="1"/>
    <n v="-1000"/>
    <n v="-1000"/>
    <n v="-840"/>
    <n v="-160"/>
  </r>
  <r>
    <x v="1"/>
    <x v="51"/>
    <x v="193"/>
    <x v="0"/>
    <x v="13"/>
    <n v="98"/>
    <n v="1"/>
    <n v="3500"/>
    <n v="3500"/>
    <n v="2941"/>
    <n v="559"/>
  </r>
  <r>
    <x v="1"/>
    <x v="51"/>
    <x v="193"/>
    <x v="0"/>
    <x v="13"/>
    <n v="156"/>
    <n v="1"/>
    <n v="1400"/>
    <n v="1400"/>
    <n v="1176"/>
    <n v="224"/>
  </r>
  <r>
    <x v="1"/>
    <x v="51"/>
    <x v="193"/>
    <x v="0"/>
    <x v="13"/>
    <n v="379"/>
    <n v="2"/>
    <n v="4000"/>
    <n v="8000"/>
    <n v="6723"/>
    <n v="1277"/>
  </r>
  <r>
    <x v="1"/>
    <x v="51"/>
    <x v="193"/>
    <x v="0"/>
    <x v="13"/>
    <n v="31"/>
    <n v="1"/>
    <n v="3400"/>
    <n v="3400"/>
    <n v="2857"/>
    <n v="543"/>
  </r>
  <r>
    <x v="1"/>
    <x v="52"/>
    <x v="199"/>
    <x v="0"/>
    <x v="287"/>
    <n v="97"/>
    <n v="1"/>
    <n v="2000"/>
    <n v="2000"/>
    <n v="1681"/>
    <n v="319"/>
  </r>
  <r>
    <x v="1"/>
    <x v="52"/>
    <x v="199"/>
    <x v="0"/>
    <x v="287"/>
    <n v="99"/>
    <n v="1"/>
    <n v="1700"/>
    <n v="1700"/>
    <n v="1429"/>
    <n v="271"/>
  </r>
  <r>
    <x v="1"/>
    <x v="52"/>
    <x v="199"/>
    <x v="0"/>
    <x v="287"/>
    <n v="384"/>
    <n v="2"/>
    <n v="5500"/>
    <n v="11000"/>
    <n v="9244"/>
    <n v="1756"/>
  </r>
  <r>
    <x v="1"/>
    <x v="53"/>
    <x v="200"/>
    <x v="0"/>
    <x v="286"/>
    <n v="120"/>
    <n v="3"/>
    <n v="5700"/>
    <n v="17100"/>
    <n v="14370"/>
    <n v="2730"/>
  </r>
  <r>
    <x v="1"/>
    <x v="53"/>
    <x v="200"/>
    <x v="0"/>
    <x v="286"/>
    <n v="379"/>
    <n v="2"/>
    <n v="4000"/>
    <n v="8000"/>
    <n v="6723"/>
    <n v="1277"/>
  </r>
  <r>
    <x v="1"/>
    <x v="53"/>
    <x v="200"/>
    <x v="0"/>
    <x v="286"/>
    <n v="233"/>
    <n v="3"/>
    <n v="47970"/>
    <n v="143910"/>
    <n v="120933"/>
    <n v="22977"/>
  </r>
  <r>
    <x v="1"/>
    <x v="53"/>
    <x v="200"/>
    <x v="0"/>
    <x v="286"/>
    <n v="297"/>
    <n v="1"/>
    <n v="7000"/>
    <n v="7000"/>
    <n v="5882"/>
    <n v="1118"/>
  </r>
  <r>
    <x v="1"/>
    <x v="53"/>
    <x v="200"/>
    <x v="0"/>
    <x v="286"/>
    <n v="371"/>
    <n v="6"/>
    <n v="57000"/>
    <n v="342000"/>
    <n v="287395"/>
    <n v="54605"/>
  </r>
  <r>
    <x v="1"/>
    <x v="53"/>
    <x v="200"/>
    <x v="0"/>
    <x v="286"/>
    <n v="267"/>
    <n v="2"/>
    <n v="3200"/>
    <n v="6400"/>
    <n v="5378"/>
    <n v="1022"/>
  </r>
  <r>
    <x v="1"/>
    <x v="53"/>
    <x v="200"/>
    <x v="0"/>
    <x v="286"/>
    <n v="12"/>
    <n v="2"/>
    <n v="1400"/>
    <n v="2800"/>
    <n v="2353"/>
    <n v="447"/>
  </r>
  <r>
    <x v="1"/>
    <x v="53"/>
    <x v="200"/>
    <x v="0"/>
    <x v="286"/>
    <n v="16"/>
    <n v="1"/>
    <n v="4200"/>
    <n v="4200"/>
    <n v="3529"/>
    <n v="671"/>
  </r>
  <r>
    <x v="1"/>
    <x v="53"/>
    <x v="200"/>
    <x v="0"/>
    <x v="286"/>
    <n v="254"/>
    <n v="1"/>
    <n v="2000"/>
    <n v="2000"/>
    <n v="1681"/>
    <n v="319"/>
  </r>
  <r>
    <x v="1"/>
    <x v="53"/>
    <x v="200"/>
    <x v="0"/>
    <x v="286"/>
    <n v="368"/>
    <n v="1"/>
    <n v="3000"/>
    <n v="3000"/>
    <n v="2521"/>
    <n v="479"/>
  </r>
  <r>
    <x v="1"/>
    <x v="53"/>
    <x v="200"/>
    <x v="0"/>
    <x v="286"/>
    <n v="354"/>
    <n v="1"/>
    <n v="1800"/>
    <n v="1800"/>
    <n v="1513"/>
    <n v="287"/>
  </r>
  <r>
    <x v="1"/>
    <x v="53"/>
    <x v="200"/>
    <x v="0"/>
    <x v="286"/>
    <n v="95"/>
    <n v="1"/>
    <n v="2400"/>
    <n v="2400"/>
    <n v="2017"/>
    <n v="383"/>
  </r>
  <r>
    <x v="1"/>
    <x v="53"/>
    <x v="200"/>
    <x v="0"/>
    <x v="286"/>
    <n v="164"/>
    <n v="1"/>
    <n v="3200"/>
    <n v="3200"/>
    <n v="2689"/>
    <n v="511"/>
  </r>
  <r>
    <x v="1"/>
    <x v="53"/>
    <x v="200"/>
    <x v="0"/>
    <x v="286"/>
    <n v="117"/>
    <n v="1"/>
    <n v="3500"/>
    <n v="3500"/>
    <n v="2941"/>
    <n v="559"/>
  </r>
  <r>
    <x v="1"/>
    <x v="53"/>
    <x v="200"/>
    <x v="0"/>
    <x v="286"/>
    <n v="356"/>
    <n v="1"/>
    <n v="3000"/>
    <n v="3000"/>
    <n v="2521"/>
    <n v="479"/>
  </r>
  <r>
    <x v="1"/>
    <x v="53"/>
    <x v="200"/>
    <x v="0"/>
    <x v="286"/>
    <n v="98"/>
    <n v="1"/>
    <n v="3500"/>
    <n v="3500"/>
    <n v="2941"/>
    <n v="559"/>
  </r>
  <r>
    <x v="1"/>
    <x v="53"/>
    <x v="200"/>
    <x v="0"/>
    <x v="286"/>
    <n v="268"/>
    <n v="1"/>
    <n v="600"/>
    <n v="600"/>
    <n v="504"/>
    <n v="96"/>
  </r>
  <r>
    <x v="1"/>
    <x v="53"/>
    <x v="200"/>
    <x v="0"/>
    <x v="286"/>
    <n v="29"/>
    <n v="1"/>
    <n v="1000"/>
    <n v="1000"/>
    <n v="840"/>
    <n v="160"/>
  </r>
  <r>
    <x v="1"/>
    <x v="53"/>
    <x v="200"/>
    <x v="0"/>
    <x v="286"/>
    <n v="20"/>
    <n v="1"/>
    <n v="1200"/>
    <n v="1200"/>
    <n v="1008"/>
    <n v="192"/>
  </r>
  <r>
    <x v="1"/>
    <x v="53"/>
    <x v="200"/>
    <x v="0"/>
    <x v="286"/>
    <n v="25"/>
    <n v="1"/>
    <n v="1800"/>
    <n v="1800"/>
    <n v="1513"/>
    <n v="287"/>
  </r>
  <r>
    <x v="1"/>
    <x v="54"/>
    <x v="203"/>
    <x v="0"/>
    <x v="287"/>
    <n v="359"/>
    <n v="2"/>
    <n v="5400"/>
    <n v="10800"/>
    <n v="9076"/>
    <n v="1724"/>
  </r>
  <r>
    <x v="1"/>
    <x v="55"/>
    <x v="204"/>
    <x v="0"/>
    <x v="287"/>
    <n v="231"/>
    <n v="1"/>
    <n v="20900"/>
    <n v="20900"/>
    <n v="17563"/>
    <n v="3337"/>
  </r>
  <r>
    <x v="1"/>
    <x v="55"/>
    <x v="204"/>
    <x v="0"/>
    <x v="287"/>
    <n v="277"/>
    <n v="1"/>
    <n v="10000"/>
    <n v="10000"/>
    <n v="8403"/>
    <n v="1597"/>
  </r>
  <r>
    <x v="1"/>
    <x v="55"/>
    <x v="204"/>
    <x v="0"/>
    <x v="287"/>
    <n v="118"/>
    <n v="1"/>
    <n v="3500"/>
    <n v="3500"/>
    <n v="2941"/>
    <n v="559"/>
  </r>
  <r>
    <x v="1"/>
    <x v="56"/>
    <x v="207"/>
    <x v="0"/>
    <x v="13"/>
    <n v="293"/>
    <n v="1"/>
    <n v="10000"/>
    <n v="10000"/>
    <n v="8403"/>
    <n v="1597"/>
  </r>
  <r>
    <x v="1"/>
    <x v="56"/>
    <x v="207"/>
    <x v="0"/>
    <x v="13"/>
    <n v="368"/>
    <n v="3"/>
    <n v="9000"/>
    <n v="27000"/>
    <n v="22689"/>
    <n v="4311"/>
  </r>
  <r>
    <x v="1"/>
    <x v="56"/>
    <x v="207"/>
    <x v="0"/>
    <x v="13"/>
    <n v="25"/>
    <n v="1"/>
    <n v="1800"/>
    <n v="1800"/>
    <n v="1513"/>
    <n v="287"/>
  </r>
  <r>
    <x v="1"/>
    <x v="56"/>
    <x v="207"/>
    <x v="0"/>
    <x v="13"/>
    <n v="67"/>
    <n v="1"/>
    <n v="650"/>
    <n v="650"/>
    <n v="546"/>
    <n v="104"/>
  </r>
  <r>
    <x v="1"/>
    <x v="56"/>
    <x v="207"/>
    <x v="0"/>
    <x v="13"/>
    <n v="165"/>
    <n v="1"/>
    <n v="2000"/>
    <n v="2000"/>
    <n v="1681"/>
    <n v="319"/>
  </r>
  <r>
    <x v="1"/>
    <x v="56"/>
    <x v="207"/>
    <x v="0"/>
    <x v="13"/>
    <n v="274"/>
    <n v="1"/>
    <n v="7500"/>
    <n v="7500"/>
    <n v="6303"/>
    <n v="1197"/>
  </r>
  <r>
    <x v="1"/>
    <x v="57"/>
    <x v="207"/>
    <x v="0"/>
    <x v="290"/>
    <n v="231"/>
    <n v="1"/>
    <n v="20900"/>
    <n v="20900"/>
    <n v="17563"/>
    <n v="3337"/>
  </r>
  <r>
    <x v="1"/>
    <x v="57"/>
    <x v="207"/>
    <x v="0"/>
    <x v="290"/>
    <n v="371"/>
    <n v="3"/>
    <n v="28500"/>
    <n v="85500"/>
    <n v="71849"/>
    <n v="13651"/>
  </r>
  <r>
    <x v="1"/>
    <x v="58"/>
    <x v="208"/>
    <x v="0"/>
    <x v="288"/>
    <n v="387"/>
    <n v="2"/>
    <n v="3000"/>
    <n v="6000"/>
    <n v="5042"/>
    <n v="958"/>
  </r>
  <r>
    <x v="1"/>
    <x v="58"/>
    <x v="208"/>
    <x v="0"/>
    <x v="288"/>
    <n v="249"/>
    <n v="2"/>
    <n v="8000"/>
    <n v="16000"/>
    <n v="13445"/>
    <n v="2555"/>
  </r>
  <r>
    <x v="1"/>
    <x v="59"/>
    <x v="209"/>
    <x v="0"/>
    <x v="291"/>
    <n v="143"/>
    <n v="1"/>
    <n v="8000"/>
    <n v="8000"/>
    <n v="6723"/>
    <n v="1277"/>
  </r>
  <r>
    <x v="1"/>
    <x v="59"/>
    <x v="209"/>
    <x v="0"/>
    <x v="291"/>
    <n v="261"/>
    <n v="1"/>
    <n v="7000"/>
    <n v="7000"/>
    <n v="5882"/>
    <n v="1118"/>
  </r>
  <r>
    <x v="1"/>
    <x v="59"/>
    <x v="209"/>
    <x v="0"/>
    <x v="291"/>
    <n v="256"/>
    <n v="1"/>
    <n v="3000"/>
    <n v="3000"/>
    <n v="2521"/>
    <n v="479"/>
  </r>
  <r>
    <x v="1"/>
    <x v="59"/>
    <x v="209"/>
    <x v="0"/>
    <x v="291"/>
    <n v="245"/>
    <n v="1"/>
    <n v="1800"/>
    <n v="1800"/>
    <n v="1513"/>
    <n v="287"/>
  </r>
  <r>
    <x v="1"/>
    <x v="59"/>
    <x v="209"/>
    <x v="0"/>
    <x v="291"/>
    <n v="98"/>
    <n v="1"/>
    <n v="3500"/>
    <n v="3500"/>
    <n v="2941"/>
    <n v="559"/>
  </r>
  <r>
    <x v="1"/>
    <x v="59"/>
    <x v="209"/>
    <x v="0"/>
    <x v="291"/>
    <n v="57"/>
    <n v="1"/>
    <n v="4000"/>
    <n v="4000"/>
    <n v="3361"/>
    <n v="639"/>
  </r>
  <r>
    <x v="1"/>
    <x v="59"/>
    <x v="209"/>
    <x v="0"/>
    <x v="291"/>
    <n v="118"/>
    <n v="1"/>
    <n v="3500"/>
    <n v="3500"/>
    <n v="2941"/>
    <n v="559"/>
  </r>
  <r>
    <x v="1"/>
    <x v="59"/>
    <x v="209"/>
    <x v="0"/>
    <x v="291"/>
    <n v="231"/>
    <n v="1"/>
    <n v="20900"/>
    <n v="20900"/>
    <n v="17563"/>
    <n v="3337"/>
  </r>
  <r>
    <x v="1"/>
    <x v="60"/>
    <x v="210"/>
    <x v="0"/>
    <x v="287"/>
    <n v="67"/>
    <n v="1"/>
    <n v="650"/>
    <n v="650"/>
    <n v="546"/>
    <n v="104"/>
  </r>
  <r>
    <x v="1"/>
    <x v="61"/>
    <x v="212"/>
    <x v="0"/>
    <x v="295"/>
    <n v="289"/>
    <n v="1"/>
    <n v="19500"/>
    <n v="19500"/>
    <n v="16387"/>
    <n v="3113"/>
  </r>
  <r>
    <x v="1"/>
    <x v="62"/>
    <x v="213"/>
    <x v="0"/>
    <x v="288"/>
    <n v="123"/>
    <n v="1"/>
    <n v="24000"/>
    <n v="24000"/>
    <n v="20168"/>
    <n v="3832"/>
  </r>
  <r>
    <x v="1"/>
    <x v="63"/>
    <x v="214"/>
    <x v="0"/>
    <x v="284"/>
    <n v="123"/>
    <n v="2"/>
    <n v="48000"/>
    <n v="96000"/>
    <n v="80672"/>
    <n v="15328"/>
  </r>
  <r>
    <x v="1"/>
    <x v="63"/>
    <x v="214"/>
    <x v="0"/>
    <x v="284"/>
    <n v="49"/>
    <n v="2"/>
    <n v="8400"/>
    <n v="16800"/>
    <n v="14118"/>
    <n v="2682"/>
  </r>
  <r>
    <x v="1"/>
    <x v="63"/>
    <x v="214"/>
    <x v="0"/>
    <x v="284"/>
    <n v="112"/>
    <n v="1"/>
    <n v="-1000"/>
    <n v="-1000"/>
    <n v="-840"/>
    <n v="-160"/>
  </r>
  <r>
    <x v="1"/>
    <x v="64"/>
    <x v="221"/>
    <x v="0"/>
    <x v="285"/>
    <n v="229"/>
    <n v="1"/>
    <n v="18500"/>
    <n v="18500"/>
    <n v="15546"/>
    <n v="2954"/>
  </r>
  <r>
    <x v="1"/>
    <x v="64"/>
    <x v="221"/>
    <x v="0"/>
    <x v="285"/>
    <n v="155"/>
    <n v="1"/>
    <n v="1650"/>
    <n v="1650"/>
    <n v="1387"/>
    <n v="263"/>
  </r>
  <r>
    <x v="1"/>
    <x v="64"/>
    <x v="221"/>
    <x v="0"/>
    <x v="285"/>
    <n v="251"/>
    <n v="1"/>
    <n v="7000"/>
    <n v="7000"/>
    <n v="5882"/>
    <n v="1118"/>
  </r>
  <r>
    <x v="1"/>
    <x v="64"/>
    <x v="221"/>
    <x v="0"/>
    <x v="285"/>
    <n v="276"/>
    <n v="4"/>
    <n v="32000"/>
    <n v="128000"/>
    <n v="107563"/>
    <n v="20437"/>
  </r>
  <r>
    <x v="1"/>
    <x v="64"/>
    <x v="221"/>
    <x v="0"/>
    <x v="285"/>
    <n v="31"/>
    <n v="2"/>
    <n v="6800"/>
    <n v="13600"/>
    <n v="11429"/>
    <n v="2171"/>
  </r>
  <r>
    <x v="1"/>
    <x v="64"/>
    <x v="221"/>
    <x v="0"/>
    <x v="285"/>
    <n v="231"/>
    <n v="1"/>
    <n v="20900"/>
    <n v="20900"/>
    <n v="17563"/>
    <n v="3337"/>
  </r>
  <r>
    <x v="1"/>
    <x v="64"/>
    <x v="221"/>
    <x v="0"/>
    <x v="285"/>
    <n v="125"/>
    <n v="1"/>
    <n v="1700"/>
    <n v="1700"/>
    <n v="1429"/>
    <n v="271"/>
  </r>
  <r>
    <x v="1"/>
    <x v="64"/>
    <x v="221"/>
    <x v="0"/>
    <x v="285"/>
    <n v="290"/>
    <n v="1"/>
    <n v="1200"/>
    <n v="1200"/>
    <n v="1008"/>
    <n v="192"/>
  </r>
  <r>
    <x v="1"/>
    <x v="64"/>
    <x v="221"/>
    <x v="0"/>
    <x v="285"/>
    <n v="283"/>
    <n v="1"/>
    <n v="7600"/>
    <n v="7600"/>
    <n v="6387"/>
    <n v="1213"/>
  </r>
  <r>
    <x v="1"/>
    <x v="65"/>
    <x v="225"/>
    <x v="0"/>
    <x v="287"/>
    <n v="53"/>
    <n v="2"/>
    <n v="8400"/>
    <n v="16800"/>
    <n v="14118"/>
    <n v="2682"/>
  </r>
  <r>
    <x v="1"/>
    <x v="65"/>
    <x v="225"/>
    <x v="0"/>
    <x v="287"/>
    <n v="359"/>
    <n v="2"/>
    <n v="5400"/>
    <n v="10800"/>
    <n v="9076"/>
    <n v="1724"/>
  </r>
  <r>
    <x v="1"/>
    <x v="65"/>
    <x v="225"/>
    <x v="0"/>
    <x v="287"/>
    <n v="226"/>
    <n v="1"/>
    <n v="22500"/>
    <n v="22500"/>
    <n v="18908"/>
    <n v="3592"/>
  </r>
  <r>
    <x v="1"/>
    <x v="65"/>
    <x v="225"/>
    <x v="0"/>
    <x v="287"/>
    <n v="231"/>
    <n v="1"/>
    <n v="20900"/>
    <n v="20900"/>
    <n v="17563"/>
    <n v="3337"/>
  </r>
  <r>
    <x v="1"/>
    <x v="65"/>
    <x v="225"/>
    <x v="0"/>
    <x v="287"/>
    <n v="118"/>
    <n v="1"/>
    <n v="3500"/>
    <n v="3500"/>
    <n v="2941"/>
    <n v="559"/>
  </r>
  <r>
    <x v="1"/>
    <x v="65"/>
    <x v="225"/>
    <x v="0"/>
    <x v="287"/>
    <n v="143"/>
    <n v="1"/>
    <n v="8000"/>
    <n v="8000"/>
    <n v="6723"/>
    <n v="1277"/>
  </r>
  <r>
    <x v="1"/>
    <x v="65"/>
    <x v="225"/>
    <x v="0"/>
    <x v="287"/>
    <n v="276"/>
    <n v="1"/>
    <n v="8000"/>
    <n v="8000"/>
    <n v="6723"/>
    <n v="1277"/>
  </r>
  <r>
    <x v="1"/>
    <x v="65"/>
    <x v="225"/>
    <x v="0"/>
    <x v="287"/>
    <n v="264"/>
    <n v="1"/>
    <n v="5000"/>
    <n v="5000"/>
    <n v="4202"/>
    <n v="798"/>
  </r>
  <r>
    <x v="1"/>
    <x v="65"/>
    <x v="225"/>
    <x v="0"/>
    <x v="287"/>
    <n v="286"/>
    <n v="1"/>
    <n v="1100"/>
    <n v="1100"/>
    <n v="924"/>
    <n v="176"/>
  </r>
  <r>
    <x v="1"/>
    <x v="65"/>
    <x v="225"/>
    <x v="0"/>
    <x v="287"/>
    <n v="332"/>
    <n v="1"/>
    <n v="2600"/>
    <n v="2600"/>
    <n v="2185"/>
    <n v="415"/>
  </r>
  <r>
    <x v="1"/>
    <x v="65"/>
    <x v="225"/>
    <x v="0"/>
    <x v="287"/>
    <n v="95"/>
    <n v="1"/>
    <n v="2400"/>
    <n v="2400"/>
    <n v="2017"/>
    <n v="383"/>
  </r>
  <r>
    <x v="1"/>
    <x v="65"/>
    <x v="225"/>
    <x v="0"/>
    <x v="287"/>
    <n v="99"/>
    <n v="1"/>
    <n v="1700"/>
    <n v="1700"/>
    <n v="1429"/>
    <n v="271"/>
  </r>
  <r>
    <x v="1"/>
    <x v="66"/>
    <x v="226"/>
    <x v="0"/>
    <x v="13"/>
    <n v="233"/>
    <n v="1"/>
    <n v="16000"/>
    <n v="16000"/>
    <n v="13445"/>
    <n v="2555"/>
  </r>
  <r>
    <x v="1"/>
    <x v="66"/>
    <x v="226"/>
    <x v="0"/>
    <x v="13"/>
    <n v="97"/>
    <n v="1"/>
    <n v="2000"/>
    <n v="2000"/>
    <n v="1681"/>
    <n v="319"/>
  </r>
  <r>
    <x v="1"/>
    <x v="67"/>
    <x v="227"/>
    <x v="0"/>
    <x v="284"/>
    <n v="123"/>
    <n v="1"/>
    <n v="24000"/>
    <n v="24000"/>
    <n v="20168"/>
    <n v="3832"/>
  </r>
  <r>
    <x v="1"/>
    <x v="67"/>
    <x v="227"/>
    <x v="0"/>
    <x v="284"/>
    <n v="112"/>
    <n v="1"/>
    <n v="-500"/>
    <n v="-500"/>
    <n v="-420"/>
    <n v="-80"/>
  </r>
  <r>
    <x v="1"/>
    <x v="67"/>
    <x v="227"/>
    <x v="0"/>
    <x v="284"/>
    <n v="49"/>
    <n v="3"/>
    <n v="12600"/>
    <n v="37800"/>
    <n v="31765"/>
    <n v="6035"/>
  </r>
  <r>
    <x v="1"/>
    <x v="67"/>
    <x v="227"/>
    <x v="0"/>
    <x v="284"/>
    <n v="371"/>
    <n v="3"/>
    <n v="28500"/>
    <n v="85500"/>
    <n v="71849"/>
    <n v="13651"/>
  </r>
  <r>
    <x v="1"/>
    <x v="68"/>
    <x v="243"/>
    <x v="0"/>
    <x v="288"/>
    <n v="168"/>
    <n v="2"/>
    <n v="3000"/>
    <n v="6000"/>
    <n v="5042"/>
    <n v="958"/>
  </r>
  <r>
    <x v="1"/>
    <x v="68"/>
    <x v="243"/>
    <x v="0"/>
    <x v="288"/>
    <n v="163"/>
    <n v="2"/>
    <n v="3000"/>
    <n v="6000"/>
    <n v="5042"/>
    <n v="958"/>
  </r>
  <r>
    <x v="1"/>
    <x v="68"/>
    <x v="243"/>
    <x v="0"/>
    <x v="288"/>
    <n v="264"/>
    <n v="1"/>
    <n v="5000"/>
    <n v="5000"/>
    <n v="4202"/>
    <n v="798"/>
  </r>
  <r>
    <x v="1"/>
    <x v="69"/>
    <x v="244"/>
    <x v="0"/>
    <x v="288"/>
    <n v="359"/>
    <n v="4"/>
    <n v="10800"/>
    <n v="43200"/>
    <n v="36303"/>
    <n v="6897"/>
  </r>
  <r>
    <x v="1"/>
    <x v="70"/>
    <x v="245"/>
    <x v="0"/>
    <x v="274"/>
    <n v="245"/>
    <n v="2"/>
    <n v="3600"/>
    <n v="7200"/>
    <n v="6050"/>
    <n v="1150"/>
  </r>
  <r>
    <x v="1"/>
    <x v="70"/>
    <x v="245"/>
    <x v="0"/>
    <x v="274"/>
    <n v="360"/>
    <n v="1"/>
    <n v="3000"/>
    <n v="3000"/>
    <n v="2521"/>
    <n v="479"/>
  </r>
  <r>
    <x v="1"/>
    <x v="70"/>
    <x v="245"/>
    <x v="0"/>
    <x v="274"/>
    <n v="155"/>
    <n v="1"/>
    <n v="1650"/>
    <n v="1650"/>
    <n v="1387"/>
    <n v="263"/>
  </r>
  <r>
    <x v="1"/>
    <x v="70"/>
    <x v="245"/>
    <x v="0"/>
    <x v="274"/>
    <n v="387"/>
    <n v="1"/>
    <n v="1500"/>
    <n v="1500"/>
    <n v="1261"/>
    <n v="239"/>
  </r>
  <r>
    <x v="1"/>
    <x v="70"/>
    <x v="245"/>
    <x v="0"/>
    <x v="274"/>
    <n v="100"/>
    <n v="1"/>
    <n v="1500"/>
    <n v="1500"/>
    <n v="1261"/>
    <n v="239"/>
  </r>
  <r>
    <x v="1"/>
    <x v="70"/>
    <x v="245"/>
    <x v="0"/>
    <x v="274"/>
    <n v="293"/>
    <n v="1"/>
    <n v="10000"/>
    <n v="10000"/>
    <n v="8403"/>
    <n v="1597"/>
  </r>
  <r>
    <x v="1"/>
    <x v="70"/>
    <x v="245"/>
    <x v="0"/>
    <x v="274"/>
    <n v="354"/>
    <n v="1"/>
    <n v="1800"/>
    <n v="1800"/>
    <n v="1513"/>
    <n v="287"/>
  </r>
  <r>
    <x v="1"/>
    <x v="70"/>
    <x v="245"/>
    <x v="0"/>
    <x v="274"/>
    <n v="378"/>
    <n v="1"/>
    <n v="1200"/>
    <n v="1200"/>
    <n v="1008"/>
    <n v="192"/>
  </r>
  <r>
    <x v="1"/>
    <x v="70"/>
    <x v="245"/>
    <x v="0"/>
    <x v="274"/>
    <n v="284"/>
    <n v="1"/>
    <n v="1100"/>
    <n v="1100"/>
    <n v="924"/>
    <n v="176"/>
  </r>
  <r>
    <x v="1"/>
    <x v="70"/>
    <x v="245"/>
    <x v="0"/>
    <x v="274"/>
    <n v="15"/>
    <n v="1"/>
    <n v="1500"/>
    <n v="1500"/>
    <n v="1261"/>
    <n v="239"/>
  </r>
  <r>
    <x v="1"/>
    <x v="70"/>
    <x v="245"/>
    <x v="0"/>
    <x v="274"/>
    <n v="11"/>
    <n v="1"/>
    <n v="2500"/>
    <n v="2500"/>
    <n v="2101"/>
    <n v="399"/>
  </r>
  <r>
    <x v="1"/>
    <x v="70"/>
    <x v="245"/>
    <x v="0"/>
    <x v="274"/>
    <n v="12"/>
    <n v="1"/>
    <n v="700"/>
    <n v="700"/>
    <n v="588"/>
    <n v="112"/>
  </r>
  <r>
    <x v="1"/>
    <x v="70"/>
    <x v="245"/>
    <x v="0"/>
    <x v="274"/>
    <n v="2"/>
    <n v="1"/>
    <n v="5000"/>
    <n v="5000"/>
    <n v="4202"/>
    <n v="798"/>
  </r>
  <r>
    <x v="1"/>
    <x v="70"/>
    <x v="245"/>
    <x v="0"/>
    <x v="274"/>
    <n v="3"/>
    <n v="1"/>
    <n v="2300"/>
    <n v="2300"/>
    <n v="1933"/>
    <n v="367"/>
  </r>
  <r>
    <x v="1"/>
    <x v="70"/>
    <x v="245"/>
    <x v="0"/>
    <x v="274"/>
    <n v="4"/>
    <n v="1"/>
    <n v="5000"/>
    <n v="5000"/>
    <n v="4202"/>
    <n v="798"/>
  </r>
  <r>
    <x v="1"/>
    <x v="70"/>
    <x v="245"/>
    <x v="0"/>
    <x v="274"/>
    <n v="111"/>
    <n v="1"/>
    <n v="1500"/>
    <n v="1500"/>
    <n v="1261"/>
    <n v="239"/>
  </r>
  <r>
    <x v="1"/>
    <x v="71"/>
    <x v="247"/>
    <x v="0"/>
    <x v="287"/>
    <n v="384"/>
    <n v="1"/>
    <n v="2750"/>
    <n v="2750"/>
    <n v="2311"/>
    <n v="439"/>
  </r>
  <r>
    <x v="1"/>
    <x v="71"/>
    <x v="247"/>
    <x v="0"/>
    <x v="287"/>
    <n v="359"/>
    <n v="1"/>
    <n v="2700"/>
    <n v="2700"/>
    <n v="2269"/>
    <n v="431"/>
  </r>
  <r>
    <x v="1"/>
    <x v="71"/>
    <x v="247"/>
    <x v="0"/>
    <x v="287"/>
    <n v="25"/>
    <n v="1"/>
    <n v="1800"/>
    <n v="1800"/>
    <n v="1513"/>
    <n v="287"/>
  </r>
  <r>
    <x v="1"/>
    <x v="71"/>
    <x v="247"/>
    <x v="0"/>
    <x v="287"/>
    <n v="118"/>
    <n v="1"/>
    <n v="3500"/>
    <n v="3500"/>
    <n v="2941"/>
    <n v="559"/>
  </r>
  <r>
    <x v="1"/>
    <x v="72"/>
    <x v="249"/>
    <x v="0"/>
    <x v="284"/>
    <n v="123"/>
    <n v="2"/>
    <n v="48000"/>
    <n v="96000"/>
    <n v="80672"/>
    <n v="15328"/>
  </r>
  <r>
    <x v="1"/>
    <x v="72"/>
    <x v="249"/>
    <x v="0"/>
    <x v="284"/>
    <n v="112"/>
    <n v="1"/>
    <n v="-1000"/>
    <n v="-1000"/>
    <n v="-840"/>
    <n v="-160"/>
  </r>
  <r>
    <x v="1"/>
    <x v="72"/>
    <x v="249"/>
    <x v="0"/>
    <x v="284"/>
    <n v="49"/>
    <n v="2"/>
    <n v="8400"/>
    <n v="16800"/>
    <n v="14118"/>
    <n v="2682"/>
  </r>
  <r>
    <x v="1"/>
    <x v="72"/>
    <x v="249"/>
    <x v="0"/>
    <x v="284"/>
    <n v="371"/>
    <n v="3"/>
    <n v="28500"/>
    <n v="85500"/>
    <n v="71849"/>
    <n v="13651"/>
  </r>
  <r>
    <x v="1"/>
    <x v="72"/>
    <x v="249"/>
    <x v="0"/>
    <x v="284"/>
    <n v="236"/>
    <n v="1"/>
    <n v="19900"/>
    <n v="19900"/>
    <n v="16723"/>
    <n v="3177"/>
  </r>
  <r>
    <x v="1"/>
    <x v="73"/>
    <x v="254"/>
    <x v="0"/>
    <x v="290"/>
    <n v="30"/>
    <n v="2"/>
    <n v="6001"/>
    <n v="12002"/>
    <n v="10086"/>
    <n v="1916"/>
  </r>
  <r>
    <x v="1"/>
    <x v="74"/>
    <x v="255"/>
    <x v="0"/>
    <x v="287"/>
    <n v="368"/>
    <n v="2"/>
    <n v="6000"/>
    <n v="12000"/>
    <n v="10084"/>
    <n v="1916"/>
  </r>
  <r>
    <x v="1"/>
    <x v="74"/>
    <x v="255"/>
    <x v="0"/>
    <x v="287"/>
    <n v="231"/>
    <n v="1"/>
    <n v="20900"/>
    <n v="20900"/>
    <n v="17563"/>
    <n v="3337"/>
  </r>
  <r>
    <x v="1"/>
    <x v="74"/>
    <x v="255"/>
    <x v="0"/>
    <x v="287"/>
    <n v="264"/>
    <n v="1"/>
    <n v="5000"/>
    <n v="5000"/>
    <n v="4202"/>
    <n v="798"/>
  </r>
  <r>
    <x v="1"/>
    <x v="74"/>
    <x v="255"/>
    <x v="0"/>
    <x v="287"/>
    <n v="359"/>
    <n v="1"/>
    <n v="2700"/>
    <n v="2700"/>
    <n v="2269"/>
    <n v="431"/>
  </r>
  <r>
    <x v="1"/>
    <x v="74"/>
    <x v="255"/>
    <x v="0"/>
    <x v="287"/>
    <n v="384"/>
    <n v="2"/>
    <n v="5500"/>
    <n v="11000"/>
    <n v="9244"/>
    <n v="1756"/>
  </r>
  <r>
    <x v="1"/>
    <x v="74"/>
    <x v="255"/>
    <x v="0"/>
    <x v="287"/>
    <n v="53"/>
    <n v="1"/>
    <n v="4200"/>
    <n v="4200"/>
    <n v="3529"/>
    <n v="671"/>
  </r>
  <r>
    <x v="1"/>
    <x v="74"/>
    <x v="255"/>
    <x v="0"/>
    <x v="287"/>
    <n v="121"/>
    <n v="3"/>
    <n v="750"/>
    <n v="2250"/>
    <n v="1891"/>
    <n v="359"/>
  </r>
  <r>
    <x v="1"/>
    <x v="74"/>
    <x v="255"/>
    <x v="0"/>
    <x v="287"/>
    <n v="99"/>
    <n v="1"/>
    <n v="1700"/>
    <n v="1700"/>
    <n v="1429"/>
    <n v="271"/>
  </r>
  <r>
    <x v="1"/>
    <x v="74"/>
    <x v="255"/>
    <x v="0"/>
    <x v="287"/>
    <n v="171"/>
    <n v="1"/>
    <n v="3700"/>
    <n v="3700"/>
    <n v="3109"/>
    <n v="5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1" cacheId="2" applyNumberFormats="0" applyBorderFormats="0" applyFontFormats="0" applyPatternFormats="0" applyAlignmentFormats="0" applyWidthHeightFormats="1" dataCaption="Valores" updatedVersion="5" minRefreshableVersion="3" useAutoFormatting="1" itemPrintTitles="1" createdVersion="5" indent="0" compact="0" compactData="0" gridDropZones="1" multipleFieldFilters="0">
  <location ref="A3:H1635" firstHeaderRow="1" firstDataRow="2" firstDataCol="5"/>
  <pivotFields count="11">
    <pivotField axis="axisRow" compact="0" outline="0" showAll="0" defaultSubtotal="0">
      <items count="2">
        <item x="0"/>
        <item x="1"/>
      </items>
    </pivotField>
    <pivotField axis="axisRow" compact="0" outline="0" showAll="0" defaultSubtotal="0">
      <items count="16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m="1" x="1618"/>
        <item m="1" x="1581"/>
        <item m="1" x="1620"/>
        <item m="1" x="1583"/>
        <item m="1" x="1622"/>
        <item m="1" x="1585"/>
        <item m="1" x="1624"/>
        <item m="1" x="1587"/>
        <item m="1" x="1626"/>
        <item m="1" x="1589"/>
        <item m="1" x="1627"/>
        <item m="1" x="1590"/>
        <item m="1" x="1628"/>
        <item m="1" x="1591"/>
        <item m="1" x="1629"/>
        <item m="1" x="1592"/>
        <item m="1" x="1555"/>
        <item m="1" x="1593"/>
        <item m="1" x="1556"/>
        <item m="1" x="1594"/>
        <item m="1" x="1557"/>
        <item m="1" x="1595"/>
        <item m="1" x="1558"/>
        <item m="1" x="1596"/>
        <item m="1" x="1559"/>
        <item m="1" x="1597"/>
        <item m="1" x="1560"/>
        <item m="1" x="1598"/>
        <item m="1" x="1561"/>
        <item m="1" x="1599"/>
        <item m="1" x="1562"/>
        <item m="1" x="1600"/>
        <item m="1" x="1563"/>
        <item m="1" x="1601"/>
        <item m="1" x="1564"/>
        <item m="1" x="1602"/>
        <item m="1" x="1565"/>
        <item m="1" x="1603"/>
        <item m="1" x="1566"/>
        <item m="1" x="1604"/>
        <item m="1" x="1567"/>
        <item m="1" x="1605"/>
        <item m="1" x="1568"/>
        <item m="1" x="1606"/>
        <item m="1" x="1569"/>
        <item m="1" x="1607"/>
        <item m="1" x="1570"/>
        <item m="1" x="1608"/>
        <item m="1" x="1571"/>
        <item m="1" x="1609"/>
        <item m="1" x="1572"/>
        <item m="1" x="1610"/>
        <item m="1" x="1573"/>
        <item m="1" x="1611"/>
        <item m="1" x="1574"/>
        <item m="1" x="1612"/>
        <item m="1" x="1575"/>
        <item m="1" x="1613"/>
        <item m="1" x="1576"/>
        <item m="1" x="1614"/>
        <item m="1" x="1577"/>
        <item m="1" x="1615"/>
        <item m="1" x="1578"/>
        <item m="1" x="1616"/>
        <item m="1" x="1579"/>
        <item m="1" x="1617"/>
        <item m="1" x="1580"/>
        <item m="1" x="1619"/>
        <item m="1" x="1582"/>
        <item m="1" x="1621"/>
        <item m="1" x="1584"/>
        <item m="1" x="1623"/>
        <item m="1" x="1586"/>
        <item m="1" x="1625"/>
        <item m="1" x="1588"/>
      </items>
    </pivotField>
    <pivotField axis="axisRow" compact="0" numFmtId="170" outline="0" showAll="0" defaultSubtotal="0">
      <items count="516">
        <item m="1" x="258"/>
        <item m="1" x="386"/>
        <item m="1" x="259"/>
        <item m="1" x="387"/>
        <item m="1" x="260"/>
        <item m="1" x="389"/>
        <item m="1" x="262"/>
        <item m="1" x="391"/>
        <item m="1" x="264"/>
        <item m="1" x="394"/>
        <item m="1" x="267"/>
        <item m="1" x="397"/>
        <item m="1" x="270"/>
        <item m="1" x="401"/>
        <item m="1" x="274"/>
        <item m="1" x="405"/>
        <item m="1" x="278"/>
        <item m="1" x="410"/>
        <item m="1" x="283"/>
        <item m="1" x="415"/>
        <item m="1" x="288"/>
        <item m="1" x="421"/>
        <item m="1" x="294"/>
        <item m="1" x="427"/>
        <item m="1" x="300"/>
        <item m="1" x="434"/>
        <item m="1" x="307"/>
        <item m="1" x="440"/>
        <item m="1" x="314"/>
        <item m="1" x="448"/>
        <item m="1" x="388"/>
        <item m="1" x="261"/>
        <item m="1" x="390"/>
        <item m="1" x="263"/>
        <item m="1" x="392"/>
        <item m="1" x="265"/>
        <item m="1" x="395"/>
        <item m="1" x="268"/>
        <item m="1" x="398"/>
        <item m="1" x="271"/>
        <item m="1" x="402"/>
        <item m="1" x="275"/>
        <item m="1" x="406"/>
        <item m="1" x="279"/>
        <item m="1" x="411"/>
        <item m="1" x="284"/>
        <item m="1" x="416"/>
        <item m="1" x="289"/>
        <item m="1" x="422"/>
        <item m="1" x="295"/>
        <item m="1" x="428"/>
        <item m="1" x="301"/>
        <item m="1" x="435"/>
        <item m="1" x="308"/>
        <item m="1" x="441"/>
        <item m="1" x="315"/>
        <item m="1" x="449"/>
        <item m="1" x="322"/>
        <item m="1" x="393"/>
        <item m="1" x="266"/>
        <item m="1" x="396"/>
        <item m="1" x="269"/>
        <item m="1" x="399"/>
        <item m="1" x="272"/>
        <item m="1" x="403"/>
        <item m="1" x="276"/>
        <item m="1" x="407"/>
        <item m="1" x="280"/>
        <item m="1" x="412"/>
        <item m="1" x="285"/>
        <item m="1" x="417"/>
        <item m="1" x="290"/>
        <item m="1" x="423"/>
        <item m="1" x="296"/>
        <item m="1" x="429"/>
        <item m="1" x="302"/>
        <item m="1" x="436"/>
        <item m="1" x="309"/>
        <item m="1" x="442"/>
        <item m="1" x="316"/>
        <item m="1" x="450"/>
        <item m="1" x="323"/>
        <item m="1" x="456"/>
        <item m="1" x="329"/>
        <item m="1" x="463"/>
        <item m="1" x="336"/>
        <item m="1" x="470"/>
        <item m="1" x="343"/>
        <item m="1" x="477"/>
        <item m="1" x="400"/>
        <item m="1" x="273"/>
        <item m="1" x="404"/>
        <item m="1" x="277"/>
        <item m="1" x="408"/>
        <item m="1" x="281"/>
        <item m="1" x="413"/>
        <item m="1" x="286"/>
        <item m="1" x="418"/>
        <item m="1" x="291"/>
        <item m="1" x="424"/>
        <item m="1" x="297"/>
        <item m="1" x="430"/>
        <item m="1" x="303"/>
        <item m="1" x="437"/>
        <item m="1" x="310"/>
        <item m="1" x="443"/>
        <item m="1" x="317"/>
        <item m="1" x="451"/>
        <item m="1" x="324"/>
        <item m="1" x="457"/>
        <item m="1" x="330"/>
        <item m="1" x="464"/>
        <item m="1" x="337"/>
        <item m="1" x="471"/>
        <item m="1" x="344"/>
        <item m="1" x="478"/>
        <item m="1" x="350"/>
        <item m="1" x="484"/>
        <item m="1" x="356"/>
        <item m="1" x="409"/>
        <item m="1" x="282"/>
        <item m="1" x="414"/>
        <item m="1" x="287"/>
        <item m="1" x="419"/>
        <item m="1" x="292"/>
        <item m="1" x="425"/>
        <item m="1" x="298"/>
        <item m="1" x="431"/>
        <item m="1" x="304"/>
        <item m="1" x="438"/>
        <item m="1" x="311"/>
        <item m="1" x="444"/>
        <item m="1" x="318"/>
        <item m="1" x="452"/>
        <item m="1" x="325"/>
        <item m="1" x="458"/>
        <item m="1" x="331"/>
        <item m="1" x="465"/>
        <item m="1" x="338"/>
        <item m="1" x="472"/>
        <item m="1" x="345"/>
        <item m="1" x="479"/>
        <item m="1" x="351"/>
        <item m="1" x="485"/>
        <item m="1" x="357"/>
        <item m="1" x="490"/>
        <item m="1" x="362"/>
        <item m="1" x="494"/>
        <item m="1" x="367"/>
        <item m="1" x="499"/>
        <item m="1" x="420"/>
        <item m="1" x="293"/>
        <item m="1" x="426"/>
        <item m="1" x="299"/>
        <item m="1" x="432"/>
        <item m="1" x="305"/>
        <item m="1" x="312"/>
        <item m="1" x="445"/>
        <item m="1" x="319"/>
        <item m="1" x="453"/>
        <item m="1" x="326"/>
        <item m="1" x="459"/>
        <item m="1" x="332"/>
        <item m="1" x="466"/>
        <item m="1" x="339"/>
        <item m="1" x="473"/>
        <item m="1" x="346"/>
        <item m="1" x="480"/>
        <item m="1" x="352"/>
        <item m="1" x="486"/>
        <item m="1" x="358"/>
        <item m="1" x="491"/>
        <item m="1" x="363"/>
        <item m="1" x="495"/>
        <item m="1" x="368"/>
        <item m="1" x="500"/>
        <item m="1" x="372"/>
        <item m="1" x="504"/>
        <item m="1" x="376"/>
        <item m="1" x="433"/>
        <item m="1" x="306"/>
        <item m="1" x="439"/>
        <item m="1" x="313"/>
        <item m="1" x="446"/>
        <item m="1" x="320"/>
        <item m="1" x="454"/>
        <item m="1" x="327"/>
        <item m="1" x="460"/>
        <item m="1" x="333"/>
        <item m="1" x="467"/>
        <item m="1" x="340"/>
        <item m="1" x="474"/>
        <item m="1" x="347"/>
        <item m="1" x="481"/>
        <item m="1" x="353"/>
        <item m="1" x="487"/>
        <item m="1" x="359"/>
        <item m="1" x="492"/>
        <item m="1" x="364"/>
        <item m="1" x="496"/>
        <item m="1" x="369"/>
        <item m="1" x="501"/>
        <item m="1" x="373"/>
        <item m="1" x="505"/>
        <item m="1" x="377"/>
        <item m="1" x="508"/>
        <item m="1" x="380"/>
        <item m="1" x="510"/>
        <item m="1" x="382"/>
        <item m="1" x="512"/>
        <item m="1" x="447"/>
        <item m="1" x="321"/>
        <item m="1" x="455"/>
        <item m="1" x="328"/>
        <item m="1" x="461"/>
        <item m="1" x="334"/>
        <item m="1" x="468"/>
        <item m="1" x="341"/>
        <item m="1" x="475"/>
        <item m="1" x="348"/>
        <item m="1" x="482"/>
        <item m="1" x="354"/>
        <item m="1" x="488"/>
        <item m="1" x="360"/>
        <item m="1" x="493"/>
        <item m="1" x="365"/>
        <item m="1" x="497"/>
        <item m="1" x="370"/>
        <item m="1" x="502"/>
        <item m="1" x="374"/>
        <item m="1" x="506"/>
        <item m="1" x="378"/>
        <item m="1" x="509"/>
        <item m="1" x="381"/>
        <item m="1" x="511"/>
        <item m="1" x="383"/>
        <item m="1" x="513"/>
        <item m="1" x="384"/>
        <item m="1" x="514"/>
        <item m="1" x="385"/>
        <item m="1" x="515"/>
        <item m="1" x="462"/>
        <item m="1" x="335"/>
        <item m="1" x="469"/>
        <item m="1" x="342"/>
        <item m="1" x="476"/>
        <item m="1" x="349"/>
        <item m="1" x="483"/>
        <item m="1" x="355"/>
        <item m="1" x="489"/>
        <item m="1" x="361"/>
        <item m="1" x="366"/>
        <item m="1" x="498"/>
        <item m="1" x="371"/>
        <item m="1" x="503"/>
        <item m="1" x="375"/>
        <item m="1" x="507"/>
        <item m="1" x="3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s>
    </pivotField>
    <pivotField axis="axisRow" compact="0" outline="0" showAll="0" defaultSubtotal="0">
      <items count="4">
        <item x="3"/>
        <item x="2"/>
        <item x="0"/>
        <item x="1"/>
      </items>
    </pivotField>
    <pivotField axis="axisRow" compact="0" outline="0" showAll="0" defaultSubtotal="0">
      <items count="296">
        <item x="167"/>
        <item x="279"/>
        <item x="283"/>
        <item x="281"/>
        <item x="278"/>
        <item x="276"/>
        <item x="277"/>
        <item x="275"/>
        <item x="274"/>
        <item x="267"/>
        <item x="268"/>
        <item x="269"/>
        <item x="265"/>
        <item x="266"/>
        <item x="264"/>
        <item x="263"/>
        <item x="262"/>
        <item x="260"/>
        <item x="259"/>
        <item x="295"/>
        <item x="258"/>
        <item x="13"/>
        <item x="257"/>
        <item x="255"/>
        <item x="256"/>
        <item x="250"/>
        <item x="251"/>
        <item x="245"/>
        <item x="244"/>
        <item x="213"/>
        <item x="101"/>
        <item x="214"/>
        <item x="65"/>
        <item x="165"/>
        <item x="247"/>
        <item x="181"/>
        <item x="203"/>
        <item x="133"/>
        <item x="144"/>
        <item x="77"/>
        <item x="83"/>
        <item x="41"/>
        <item x="55"/>
        <item x="120"/>
        <item x="30"/>
        <item x="124"/>
        <item x="14"/>
        <item x="75"/>
        <item x="35"/>
        <item x="270"/>
        <item x="97"/>
        <item x="15"/>
        <item x="17"/>
        <item x="241"/>
        <item x="51"/>
        <item x="84"/>
        <item x="145"/>
        <item x="42"/>
        <item x="131"/>
        <item x="162"/>
        <item x="43"/>
        <item x="52"/>
        <item x="272"/>
        <item x="88"/>
        <item x="18"/>
        <item x="140"/>
        <item x="293"/>
        <item x="134"/>
        <item x="163"/>
        <item x="156"/>
        <item x="0"/>
        <item x="66"/>
        <item x="1"/>
        <item x="2"/>
        <item x="141"/>
        <item x="149"/>
        <item x="183"/>
        <item x="3"/>
        <item x="178"/>
        <item x="4"/>
        <item x="36"/>
        <item x="182"/>
        <item x="157"/>
        <item x="286"/>
        <item x="70"/>
        <item x="62"/>
        <item x="53"/>
        <item x="254"/>
        <item x="170"/>
        <item x="223"/>
        <item x="54"/>
        <item x="160"/>
        <item x="191"/>
        <item x="206"/>
        <item x="211"/>
        <item x="184"/>
        <item x="117"/>
        <item x="226"/>
        <item x="158"/>
        <item x="204"/>
        <item x="100"/>
        <item x="19"/>
        <item x="252"/>
        <item x="102"/>
        <item x="37"/>
        <item x="190"/>
        <item x="56"/>
        <item x="220"/>
        <item x="142"/>
        <item x="49"/>
        <item x="5"/>
        <item x="89"/>
        <item x="20"/>
        <item x="201"/>
        <item x="231"/>
        <item x="98"/>
        <item x="288"/>
        <item x="187"/>
        <item x="135"/>
        <item x="289"/>
        <item x="193"/>
        <item x="285"/>
        <item x="94"/>
        <item x="246"/>
        <item x="253"/>
        <item x="229"/>
        <item x="128"/>
        <item x="71"/>
        <item x="38"/>
        <item x="209"/>
        <item x="194"/>
        <item x="21"/>
        <item x="287"/>
        <item x="237"/>
        <item x="292"/>
        <item x="146"/>
        <item x="72"/>
        <item x="195"/>
        <item x="31"/>
        <item x="174"/>
        <item x="224"/>
        <item x="103"/>
        <item x="6"/>
        <item x="67"/>
        <item x="57"/>
        <item x="169"/>
        <item x="136"/>
        <item x="232"/>
        <item x="73"/>
        <item x="137"/>
        <item x="185"/>
        <item x="196"/>
        <item x="104"/>
        <item x="44"/>
        <item x="164"/>
        <item x="207"/>
        <item x="168"/>
        <item x="147"/>
        <item x="233"/>
        <item x="113"/>
        <item x="79"/>
        <item x="179"/>
        <item x="33"/>
        <item x="219"/>
        <item x="86"/>
        <item x="235"/>
        <item x="197"/>
        <item x="105"/>
        <item x="39"/>
        <item x="78"/>
        <item x="76"/>
        <item x="96"/>
        <item x="74"/>
        <item x="243"/>
        <item x="198"/>
        <item x="228"/>
        <item x="95"/>
        <item x="90"/>
        <item x="138"/>
        <item x="32"/>
        <item x="106"/>
        <item x="59"/>
        <item x="45"/>
        <item x="107"/>
        <item x="91"/>
        <item x="125"/>
        <item x="87"/>
        <item x="199"/>
        <item x="34"/>
        <item x="225"/>
        <item x="153"/>
        <item x="99"/>
        <item x="171"/>
        <item x="177"/>
        <item x="200"/>
        <item x="248"/>
        <item x="291"/>
        <item x="227"/>
        <item x="192"/>
        <item x="23"/>
        <item x="280"/>
        <item x="16"/>
        <item x="129"/>
        <item x="46"/>
        <item x="172"/>
        <item x="238"/>
        <item x="175"/>
        <item x="68"/>
        <item x="130"/>
        <item x="152"/>
        <item x="7"/>
        <item x="234"/>
        <item x="271"/>
        <item x="40"/>
        <item x="24"/>
        <item x="208"/>
        <item x="290"/>
        <item x="60"/>
        <item x="180"/>
        <item x="159"/>
        <item x="114"/>
        <item x="217"/>
        <item x="273"/>
        <item x="8"/>
        <item x="221"/>
        <item x="154"/>
        <item x="126"/>
        <item x="85"/>
        <item x="47"/>
        <item x="118"/>
        <item x="50"/>
        <item x="80"/>
        <item x="63"/>
        <item x="239"/>
        <item x="25"/>
        <item x="115"/>
        <item x="92"/>
        <item x="143"/>
        <item x="27"/>
        <item x="22"/>
        <item x="26"/>
        <item x="81"/>
        <item x="29"/>
        <item x="28"/>
        <item x="284"/>
        <item x="148"/>
        <item x="119"/>
        <item x="111"/>
        <item x="166"/>
        <item x="202"/>
        <item x="116"/>
        <item x="58"/>
        <item x="139"/>
        <item x="121"/>
        <item x="161"/>
        <item x="132"/>
        <item x="112"/>
        <item x="205"/>
        <item x="189"/>
        <item x="69"/>
        <item x="230"/>
        <item x="155"/>
        <item x="93"/>
        <item x="186"/>
        <item x="82"/>
        <item x="9"/>
        <item x="216"/>
        <item x="215"/>
        <item x="176"/>
        <item x="61"/>
        <item x="222"/>
        <item x="210"/>
        <item x="150"/>
        <item x="10"/>
        <item x="240"/>
        <item x="48"/>
        <item x="218"/>
        <item x="242"/>
        <item x="122"/>
        <item x="127"/>
        <item x="249"/>
        <item x="11"/>
        <item x="12"/>
        <item x="261"/>
        <item x="151"/>
        <item x="236"/>
        <item x="108"/>
        <item x="282"/>
        <item x="64"/>
        <item x="109"/>
        <item x="173"/>
        <item x="110"/>
        <item x="188"/>
        <item x="123"/>
        <item x="212"/>
        <item x="294"/>
      </items>
    </pivotField>
    <pivotField compact="0" outline="0" showAll="0"/>
    <pivotField compact="0" outline="0" showAll="0"/>
    <pivotField compact="0" outline="0" showAll="0"/>
    <pivotField dataField="1" compact="0" outline="0" showAll="0"/>
    <pivotField dataField="1" compact="0" outline="0" showAll="0"/>
    <pivotField dataField="1" compact="0" outline="0" showAll="0"/>
  </pivotFields>
  <rowFields count="5">
    <field x="0"/>
    <field x="1"/>
    <field x="2"/>
    <field x="3"/>
    <field x="4"/>
  </rowFields>
  <rowItems count="1631">
    <i>
      <x/>
      <x/>
      <x v="258"/>
      <x v="2"/>
      <x v="70"/>
    </i>
    <i r="1">
      <x v="1"/>
      <x v="258"/>
      <x v="2"/>
      <x v="72"/>
    </i>
    <i r="1">
      <x v="2"/>
      <x v="258"/>
      <x v="2"/>
      <x v="73"/>
    </i>
    <i r="1">
      <x v="3"/>
      <x v="258"/>
      <x v="2"/>
      <x v="77"/>
    </i>
    <i r="1">
      <x v="4"/>
      <x v="258"/>
      <x v="2"/>
      <x v="79"/>
    </i>
    <i r="1">
      <x v="5"/>
      <x v="258"/>
      <x v="2"/>
      <x v="110"/>
    </i>
    <i r="1">
      <x v="6"/>
      <x v="258"/>
      <x v="2"/>
      <x v="142"/>
    </i>
    <i r="1">
      <x v="7"/>
      <x v="258"/>
      <x v="2"/>
      <x v="210"/>
    </i>
    <i r="1">
      <x v="8"/>
      <x v="258"/>
      <x v="2"/>
      <x v="223"/>
    </i>
    <i r="1">
      <x v="9"/>
      <x v="258"/>
      <x v="2"/>
      <x v="265"/>
    </i>
    <i r="1">
      <x v="10"/>
      <x v="258"/>
      <x v="2"/>
      <x v="273"/>
    </i>
    <i r="1">
      <x v="11"/>
      <x v="258"/>
      <x v="2"/>
      <x v="281"/>
    </i>
    <i r="1">
      <x v="12"/>
      <x v="258"/>
      <x v="2"/>
      <x v="282"/>
    </i>
    <i r="1">
      <x v="13"/>
      <x v="259"/>
      <x v="2"/>
      <x v="21"/>
    </i>
    <i r="1">
      <x v="14"/>
      <x v="259"/>
      <x v="2"/>
      <x v="46"/>
    </i>
    <i r="1">
      <x v="15"/>
      <x v="259"/>
      <x v="2"/>
      <x v="51"/>
    </i>
    <i r="1">
      <x v="16"/>
      <x v="259"/>
      <x v="2"/>
      <x v="201"/>
    </i>
    <i r="1">
      <x v="17"/>
      <x v="259"/>
      <x v="2"/>
      <x v="223"/>
    </i>
    <i r="1">
      <x v="18"/>
      <x v="260"/>
      <x v="2"/>
      <x v="52"/>
    </i>
    <i r="1">
      <x v="19"/>
      <x v="260"/>
      <x v="2"/>
      <x v="64"/>
    </i>
    <i r="1">
      <x v="20"/>
      <x v="260"/>
      <x v="2"/>
      <x v="101"/>
    </i>
    <i r="1">
      <x v="21"/>
      <x v="260"/>
      <x v="2"/>
      <x v="112"/>
    </i>
    <i r="1">
      <x v="22"/>
      <x v="260"/>
      <x v="2"/>
      <x v="131"/>
    </i>
    <i r="1">
      <x v="23"/>
      <x v="260"/>
      <x v="2"/>
      <x v="239"/>
    </i>
    <i r="1">
      <x v="24"/>
      <x v="261"/>
      <x v="2"/>
      <x v="199"/>
    </i>
    <i r="1">
      <x v="25"/>
      <x v="261"/>
      <x v="2"/>
      <x v="214"/>
    </i>
    <i r="1">
      <x v="26"/>
      <x v="261"/>
      <x v="2"/>
      <x v="234"/>
    </i>
    <i r="1">
      <x v="27"/>
      <x v="261"/>
      <x v="2"/>
      <x v="240"/>
    </i>
    <i r="1">
      <x v="28"/>
      <x v="262"/>
      <x v="2"/>
      <x v="238"/>
    </i>
    <i r="1">
      <x v="29"/>
      <x v="262"/>
      <x v="2"/>
      <x v="243"/>
    </i>
    <i r="1">
      <x v="30"/>
      <x v="263"/>
      <x v="2"/>
      <x v="110"/>
    </i>
    <i r="1">
      <x v="31"/>
      <x v="263"/>
      <x v="2"/>
      <x v="242"/>
    </i>
    <i r="1">
      <x v="32"/>
      <x v="264"/>
      <x v="2"/>
      <x v="44"/>
    </i>
    <i r="1">
      <x v="33"/>
      <x v="264"/>
      <x v="2"/>
      <x v="138"/>
    </i>
    <i r="1">
      <x v="34"/>
      <x v="264"/>
      <x v="2"/>
      <x v="179"/>
    </i>
    <i r="1">
      <x v="35"/>
      <x v="265"/>
      <x v="2"/>
      <x v="70"/>
    </i>
    <i r="1">
      <x v="36"/>
      <x v="265"/>
      <x v="2"/>
      <x v="162"/>
    </i>
    <i r="1">
      <x v="37"/>
      <x v="265"/>
      <x v="2"/>
      <x v="188"/>
    </i>
    <i r="1">
      <x v="38"/>
      <x v="266"/>
      <x v="2"/>
      <x v="48"/>
    </i>
    <i r="1">
      <x v="39"/>
      <x v="266"/>
      <x v="2"/>
      <x v="80"/>
    </i>
    <i r="1">
      <x v="40"/>
      <x v="266"/>
      <x v="2"/>
      <x v="104"/>
    </i>
    <i r="1">
      <x v="41"/>
      <x v="266"/>
      <x v="2"/>
      <x v="128"/>
    </i>
    <i r="1">
      <x v="42"/>
      <x v="266"/>
      <x v="2"/>
      <x v="168"/>
    </i>
    <i r="1">
      <x v="43"/>
      <x v="266"/>
      <x v="2"/>
      <x v="213"/>
    </i>
    <i r="1">
      <x v="44"/>
      <x v="266"/>
      <x v="2"/>
      <x v="265"/>
    </i>
    <i r="1">
      <x v="45"/>
      <x v="267"/>
      <x v="2"/>
      <x v="41"/>
    </i>
    <i r="1">
      <x v="46"/>
      <x v="267"/>
      <x v="2"/>
      <x v="57"/>
    </i>
    <i r="1">
      <x v="47"/>
      <x v="267"/>
      <x v="2"/>
      <x v="60"/>
    </i>
    <i r="1">
      <x v="48"/>
      <x v="267"/>
      <x v="2"/>
      <x v="70"/>
    </i>
    <i r="1">
      <x v="49"/>
      <x v="267"/>
      <x v="2"/>
      <x v="80"/>
    </i>
    <i r="1">
      <x v="50"/>
      <x v="267"/>
      <x v="2"/>
      <x v="110"/>
    </i>
    <i r="1">
      <x v="51"/>
      <x v="267"/>
      <x v="2"/>
      <x v="153"/>
    </i>
    <i r="1">
      <x v="52"/>
      <x v="267"/>
      <x v="2"/>
      <x v="182"/>
    </i>
    <i r="1">
      <x v="53"/>
      <x v="267"/>
      <x v="2"/>
      <x v="188"/>
    </i>
    <i r="1">
      <x v="54"/>
      <x v="267"/>
      <x v="2"/>
      <x v="203"/>
    </i>
    <i r="1">
      <x v="55"/>
      <x v="267"/>
      <x v="2"/>
      <x v="228"/>
    </i>
    <i r="1">
      <x v="56"/>
      <x v="267"/>
      <x v="2"/>
      <x v="275"/>
    </i>
    <i r="1">
      <x v="57"/>
      <x v="268"/>
      <x v="2"/>
      <x v="109"/>
    </i>
    <i r="1">
      <x v="58"/>
      <x v="268"/>
      <x v="2"/>
      <x v="110"/>
    </i>
    <i r="1">
      <x v="59"/>
      <x v="268"/>
      <x v="2"/>
      <x v="230"/>
    </i>
    <i r="1">
      <x v="60"/>
      <x v="269"/>
      <x v="2"/>
      <x v="54"/>
    </i>
    <i r="1">
      <x v="61"/>
      <x v="269"/>
      <x v="2"/>
      <x v="110"/>
    </i>
    <i r="1">
      <x v="62"/>
      <x v="270"/>
      <x v="2"/>
      <x v="61"/>
    </i>
    <i r="1">
      <x v="63"/>
      <x v="270"/>
      <x v="2"/>
      <x v="79"/>
    </i>
    <i r="1">
      <x v="64"/>
      <x v="270"/>
      <x v="2"/>
      <x v="86"/>
    </i>
    <i r="1">
      <x v="65"/>
      <x v="270"/>
      <x v="2"/>
      <x v="90"/>
    </i>
    <i r="1">
      <x v="66"/>
      <x v="270"/>
      <x v="2"/>
      <x v="110"/>
    </i>
    <i r="1">
      <x v="67"/>
      <x v="270"/>
      <x v="2"/>
      <x v="240"/>
    </i>
    <i r="1">
      <x v="68"/>
      <x v="271"/>
      <x v="2"/>
      <x v="42"/>
    </i>
    <i r="1">
      <x v="69"/>
      <x v="271"/>
      <x v="2"/>
      <x v="106"/>
    </i>
    <i r="1">
      <x v="70"/>
      <x v="271"/>
      <x v="2"/>
      <x v="110"/>
    </i>
    <i r="1">
      <x v="71"/>
      <x v="271"/>
      <x v="2"/>
      <x v="144"/>
    </i>
    <i r="1">
      <x v="72"/>
      <x v="271"/>
      <x v="2"/>
      <x v="251"/>
    </i>
    <i r="1">
      <x v="73"/>
      <x v="272"/>
      <x v="2"/>
      <x v="110"/>
    </i>
    <i r="1">
      <x v="74"/>
      <x v="272"/>
      <x v="2"/>
      <x v="181"/>
    </i>
    <i r="1">
      <x v="75"/>
      <x v="272"/>
      <x v="2"/>
      <x v="217"/>
    </i>
    <i r="1">
      <x v="76"/>
      <x v="272"/>
      <x v="2"/>
      <x v="269"/>
    </i>
    <i r="1">
      <x v="77"/>
      <x v="273"/>
      <x v="2"/>
      <x v="41"/>
    </i>
    <i r="1">
      <x v="78"/>
      <x v="273"/>
      <x v="2"/>
      <x v="85"/>
    </i>
    <i r="1">
      <x v="79"/>
      <x v="273"/>
      <x v="2"/>
      <x v="181"/>
    </i>
    <i r="1">
      <x v="80"/>
      <x v="273"/>
      <x v="2"/>
      <x v="232"/>
    </i>
    <i r="1">
      <x v="81"/>
      <x v="273"/>
      <x v="2"/>
      <x v="265"/>
    </i>
    <i r="1">
      <x v="82"/>
      <x v="273"/>
      <x v="2"/>
      <x v="269"/>
    </i>
    <i r="1">
      <x v="83"/>
      <x v="273"/>
      <x v="2"/>
      <x v="288"/>
    </i>
    <i r="1">
      <x v="84"/>
      <x v="274"/>
      <x v="2"/>
      <x v="32"/>
    </i>
    <i r="1">
      <x v="85"/>
      <x v="274"/>
      <x v="2"/>
      <x v="71"/>
    </i>
    <i r="1">
      <x v="86"/>
      <x v="274"/>
      <x v="2"/>
      <x v="143"/>
    </i>
    <i r="1">
      <x v="87"/>
      <x v="274"/>
      <x v="2"/>
      <x v="207"/>
    </i>
    <i r="1">
      <x v="88"/>
      <x v="274"/>
      <x v="2"/>
      <x v="259"/>
    </i>
    <i r="1">
      <x v="89"/>
      <x v="275"/>
      <x v="2"/>
      <x v="57"/>
    </i>
    <i r="1">
      <x v="90"/>
      <x v="275"/>
      <x v="2"/>
      <x v="84"/>
    </i>
    <i r="1">
      <x v="91"/>
      <x v="275"/>
      <x v="2"/>
      <x v="110"/>
    </i>
    <i r="1">
      <x v="92"/>
      <x v="275"/>
      <x v="2"/>
      <x v="127"/>
    </i>
    <i r="1">
      <x v="93"/>
      <x v="275"/>
      <x v="2"/>
      <x v="282"/>
    </i>
    <i r="1">
      <x v="94"/>
      <x v="276"/>
      <x v="2"/>
      <x v="110"/>
    </i>
    <i r="1">
      <x v="95"/>
      <x v="276"/>
      <x v="2"/>
      <x v="112"/>
    </i>
    <i r="1">
      <x v="96"/>
      <x v="276"/>
      <x v="2"/>
      <x v="136"/>
    </i>
    <i r="1">
      <x v="97"/>
      <x v="276"/>
      <x v="2"/>
      <x v="148"/>
    </i>
    <i r="1">
      <x v="98"/>
      <x v="276"/>
      <x v="2"/>
      <x v="172"/>
    </i>
    <i r="1">
      <x v="99"/>
      <x v="277"/>
      <x v="2"/>
      <x v="47"/>
    </i>
    <i r="1">
      <x v="100"/>
      <x v="277"/>
      <x v="2"/>
      <x v="80"/>
    </i>
    <i r="1">
      <x v="101"/>
      <x v="277"/>
      <x v="2"/>
      <x v="170"/>
    </i>
    <i r="1">
      <x v="102"/>
      <x v="277"/>
      <x v="2"/>
      <x v="210"/>
    </i>
    <i r="1">
      <x v="103"/>
      <x v="278"/>
      <x v="2"/>
      <x v="39"/>
    </i>
    <i r="1">
      <x v="104"/>
      <x v="278"/>
      <x v="2"/>
      <x v="80"/>
    </i>
    <i r="1">
      <x v="105"/>
      <x v="278"/>
      <x v="2"/>
      <x v="110"/>
    </i>
    <i r="1">
      <x v="106"/>
      <x v="278"/>
      <x v="2"/>
      <x v="169"/>
    </i>
    <i r="1">
      <x v="107"/>
      <x v="278"/>
      <x v="2"/>
      <x v="240"/>
    </i>
    <i r="1">
      <x v="108"/>
      <x v="278"/>
      <x v="2"/>
      <x v="242"/>
    </i>
    <i r="1">
      <x v="109"/>
      <x v="278"/>
      <x v="2"/>
      <x v="273"/>
    </i>
    <i r="1">
      <x v="110"/>
      <x v="279"/>
      <x v="2"/>
      <x v="46"/>
    </i>
    <i r="1">
      <x v="111"/>
      <x v="279"/>
      <x v="2"/>
      <x v="160"/>
    </i>
    <i r="1">
      <x v="112"/>
      <x v="279"/>
      <x v="2"/>
      <x v="231"/>
    </i>
    <i r="1">
      <x v="113"/>
      <x v="279"/>
      <x v="2"/>
      <x v="232"/>
    </i>
    <i r="1">
      <x v="114"/>
      <x v="279"/>
      <x v="2"/>
      <x v="265"/>
    </i>
    <i r="1">
      <x v="115"/>
      <x v="280"/>
      <x v="2"/>
      <x v="72"/>
    </i>
    <i r="1">
      <x v="116"/>
      <x v="280"/>
      <x v="2"/>
      <x v="110"/>
    </i>
    <i r="1">
      <x v="117"/>
      <x v="281"/>
      <x v="2"/>
      <x v="52"/>
    </i>
    <i r="1">
      <x v="118"/>
      <x v="281"/>
      <x v="2"/>
      <x v="181"/>
    </i>
    <i r="1">
      <x v="119"/>
      <x v="282"/>
      <x v="2"/>
      <x v="80"/>
    </i>
    <i r="1">
      <x v="120"/>
      <x v="282"/>
      <x v="2"/>
      <x v="110"/>
    </i>
    <i r="1">
      <x v="121"/>
      <x v="282"/>
      <x v="2"/>
      <x v="148"/>
    </i>
    <i r="1">
      <x v="122"/>
      <x v="282"/>
      <x v="2"/>
      <x v="223"/>
    </i>
    <i r="1">
      <x v="123"/>
      <x v="282"/>
      <x v="2"/>
      <x v="241"/>
    </i>
    <i r="1">
      <x v="124"/>
      <x v="283"/>
      <x v="2"/>
      <x v="210"/>
    </i>
    <i r="1">
      <x v="125"/>
      <x v="283"/>
      <x v="2"/>
      <x v="264"/>
    </i>
    <i r="1">
      <x v="126"/>
      <x v="283"/>
      <x v="2"/>
      <x v="282"/>
    </i>
    <i r="1">
      <x v="127"/>
      <x v="284"/>
      <x v="2"/>
      <x v="40"/>
    </i>
    <i r="1">
      <x v="128"/>
      <x v="284"/>
      <x v="2"/>
      <x v="55"/>
    </i>
    <i r="1">
      <x v="129"/>
      <x v="284"/>
      <x v="2"/>
      <x v="70"/>
    </i>
    <i r="1">
      <x v="130"/>
      <x v="284"/>
      <x v="2"/>
      <x v="72"/>
    </i>
    <i r="1">
      <x v="131"/>
      <x v="284"/>
      <x v="2"/>
      <x v="77"/>
    </i>
    <i r="1">
      <x v="132"/>
      <x v="284"/>
      <x v="2"/>
      <x v="79"/>
    </i>
    <i r="1">
      <x v="133"/>
      <x v="284"/>
      <x v="2"/>
      <x v="172"/>
    </i>
    <i r="1">
      <x v="134"/>
      <x v="284"/>
      <x v="2"/>
      <x v="214"/>
    </i>
    <i r="1">
      <x v="135"/>
      <x v="284"/>
      <x v="2"/>
      <x v="227"/>
    </i>
    <i r="1">
      <x v="136"/>
      <x v="284"/>
      <x v="2"/>
      <x v="288"/>
    </i>
    <i r="1">
      <x v="137"/>
      <x v="285"/>
      <x v="2"/>
      <x v="110"/>
    </i>
    <i r="1">
      <x v="138"/>
      <x v="285"/>
      <x v="2"/>
      <x v="164"/>
    </i>
    <i r="1">
      <x v="139"/>
      <x v="285"/>
      <x v="2"/>
      <x v="186"/>
    </i>
    <i r="1">
      <x v="140"/>
      <x v="285"/>
      <x v="2"/>
      <x v="232"/>
    </i>
    <i r="1">
      <x v="141"/>
      <x v="285"/>
      <x v="2"/>
      <x v="265"/>
    </i>
    <i r="1">
      <x v="142"/>
      <x v="286"/>
      <x v="2"/>
      <x v="63"/>
    </i>
    <i r="1">
      <x v="143"/>
      <x v="286"/>
      <x v="2"/>
      <x v="80"/>
    </i>
    <i r="1">
      <x v="144"/>
      <x v="286"/>
      <x v="2"/>
      <x v="111"/>
    </i>
    <i r="1">
      <x v="145"/>
      <x v="286"/>
      <x v="2"/>
      <x v="177"/>
    </i>
    <i r="1">
      <x v="146"/>
      <x v="286"/>
      <x v="2"/>
      <x v="184"/>
    </i>
    <i r="1">
      <x v="147"/>
      <x v="286"/>
      <x v="2"/>
      <x v="188"/>
    </i>
    <i r="1">
      <x v="148"/>
      <x v="286"/>
      <x v="2"/>
      <x v="223"/>
    </i>
    <i r="1">
      <x v="149"/>
      <x v="286"/>
      <x v="2"/>
      <x v="236"/>
    </i>
    <i r="1">
      <x v="150"/>
      <x v="286"/>
      <x v="2"/>
      <x v="262"/>
    </i>
    <i r="1">
      <x v="151"/>
      <x v="287"/>
      <x v="2"/>
      <x v="39"/>
    </i>
    <i r="1">
      <x v="152"/>
      <x v="287"/>
      <x v="2"/>
      <x v="101"/>
    </i>
    <i r="1">
      <x v="153"/>
      <x v="287"/>
      <x v="2"/>
      <x v="122"/>
    </i>
    <i r="1">
      <x v="154"/>
      <x v="287"/>
      <x v="2"/>
      <x v="172"/>
    </i>
    <i r="1">
      <x v="155"/>
      <x v="287"/>
      <x v="2"/>
      <x v="176"/>
    </i>
    <i r="1">
      <x v="156"/>
      <x v="287"/>
      <x v="2"/>
      <x v="182"/>
    </i>
    <i r="1">
      <x v="157"/>
      <x v="287"/>
      <x v="2"/>
      <x v="186"/>
    </i>
    <i r="1">
      <x v="158"/>
      <x v="287"/>
      <x v="2"/>
      <x v="234"/>
    </i>
    <i r="1">
      <x v="159"/>
      <x v="287"/>
      <x v="2"/>
      <x v="265"/>
    </i>
    <i r="1">
      <x v="160"/>
      <x v="288"/>
      <x v="2"/>
      <x v="63"/>
    </i>
    <i r="1">
      <x v="161"/>
      <x v="288"/>
      <x v="2"/>
      <x v="73"/>
    </i>
    <i r="1">
      <x v="162"/>
      <x v="288"/>
      <x v="2"/>
      <x v="110"/>
    </i>
    <i r="1">
      <x v="163"/>
      <x v="288"/>
      <x v="2"/>
      <x v="171"/>
    </i>
    <i r="1">
      <x v="164"/>
      <x v="288"/>
      <x v="2"/>
      <x v="181"/>
    </i>
    <i r="1">
      <x v="165"/>
      <x v="288"/>
      <x v="2"/>
      <x v="188"/>
    </i>
    <i r="1">
      <x v="166"/>
      <x v="288"/>
      <x v="2"/>
      <x v="234"/>
    </i>
    <i r="1">
      <x v="167"/>
      <x v="288"/>
      <x v="2"/>
      <x v="240"/>
    </i>
    <i r="1">
      <x v="168"/>
      <x v="289"/>
      <x v="2"/>
      <x v="41"/>
    </i>
    <i r="1">
      <x v="169"/>
      <x v="289"/>
      <x v="2"/>
      <x v="50"/>
    </i>
    <i r="1">
      <x v="170"/>
      <x v="289"/>
      <x v="2"/>
      <x v="110"/>
    </i>
    <i r="1">
      <x v="171"/>
      <x v="289"/>
      <x v="2"/>
      <x v="115"/>
    </i>
    <i r="1">
      <x v="172"/>
      <x v="289"/>
      <x v="2"/>
      <x v="191"/>
    </i>
    <i r="1">
      <x v="173"/>
      <x v="289"/>
      <x v="2"/>
      <x v="210"/>
    </i>
    <i r="1">
      <x v="174"/>
      <x v="289"/>
      <x v="2"/>
      <x v="242"/>
    </i>
    <i r="1">
      <x v="175"/>
      <x v="290"/>
      <x v="2"/>
      <x v="100"/>
    </i>
    <i r="1">
      <x v="176"/>
      <x v="290"/>
      <x v="2"/>
      <x v="112"/>
    </i>
    <i r="1">
      <x v="177"/>
      <x v="290"/>
      <x v="2"/>
      <x v="148"/>
    </i>
    <i r="1">
      <x v="178"/>
      <x v="290"/>
      <x v="2"/>
      <x v="210"/>
    </i>
    <i r="1">
      <x v="179"/>
      <x v="290"/>
      <x v="2"/>
      <x v="234"/>
    </i>
    <i r="1">
      <x v="180"/>
      <x v="290"/>
      <x v="2"/>
      <x v="273"/>
    </i>
    <i r="1">
      <x v="181"/>
      <x v="291"/>
      <x v="2"/>
      <x v="21"/>
    </i>
    <i r="1">
      <x v="182"/>
      <x v="291"/>
      <x v="2"/>
      <x v="240"/>
    </i>
    <i r="1">
      <x v="183"/>
      <x v="291"/>
      <x v="2"/>
      <x v="262"/>
    </i>
    <i r="1">
      <x v="184"/>
      <x v="292"/>
      <x v="2"/>
      <x v="30"/>
    </i>
    <i r="1">
      <x v="185"/>
      <x v="292"/>
      <x v="2"/>
      <x v="57"/>
    </i>
    <i r="1">
      <x v="186"/>
      <x v="292"/>
      <x v="2"/>
      <x v="103"/>
    </i>
    <i r="1">
      <x v="187"/>
      <x v="292"/>
      <x v="2"/>
      <x v="104"/>
    </i>
    <i r="1">
      <x v="188"/>
      <x v="292"/>
      <x v="2"/>
      <x v="110"/>
    </i>
    <i r="1">
      <x v="189"/>
      <x v="292"/>
      <x v="2"/>
      <x v="141"/>
    </i>
    <i r="1">
      <x v="190"/>
      <x v="292"/>
      <x v="2"/>
      <x v="152"/>
    </i>
    <i r="1">
      <x v="191"/>
      <x v="292"/>
      <x v="2"/>
      <x v="167"/>
    </i>
    <i r="1">
      <x v="192"/>
      <x v="292"/>
      <x v="2"/>
      <x v="180"/>
    </i>
    <i r="1">
      <x v="193"/>
      <x v="292"/>
      <x v="2"/>
      <x v="183"/>
    </i>
    <i r="1">
      <x v="194"/>
      <x v="292"/>
      <x v="2"/>
      <x v="238"/>
    </i>
    <i r="1">
      <x v="195"/>
      <x v="292"/>
      <x v="2"/>
      <x v="269"/>
    </i>
    <i r="1">
      <x v="196"/>
      <x v="292"/>
      <x v="2"/>
      <x v="286"/>
    </i>
    <i r="1">
      <x v="197"/>
      <x v="293"/>
      <x v="3"/>
      <x v="52"/>
    </i>
    <i r="1">
      <x v="198"/>
      <x v="293"/>
      <x v="2"/>
      <x v="106"/>
    </i>
    <i r="1">
      <x v="199"/>
      <x v="293"/>
      <x v="2"/>
      <x v="289"/>
    </i>
    <i r="1">
      <x v="200"/>
      <x v="293"/>
      <x v="3"/>
      <x v="291"/>
    </i>
    <i r="1">
      <x v="201"/>
      <x v="294"/>
      <x v="2"/>
      <x v="44"/>
    </i>
    <i r="1">
      <x v="202"/>
      <x v="294"/>
      <x v="2"/>
      <x v="51"/>
    </i>
    <i r="1">
      <x v="203"/>
      <x v="294"/>
      <x v="2"/>
      <x v="110"/>
    </i>
    <i r="1">
      <x v="204"/>
      <x v="294"/>
      <x v="2"/>
      <x v="131"/>
    </i>
    <i r="1">
      <x v="205"/>
      <x v="294"/>
      <x v="2"/>
      <x v="240"/>
    </i>
    <i r="1">
      <x v="206"/>
      <x v="294"/>
      <x v="2"/>
      <x v="247"/>
    </i>
    <i r="1">
      <x v="207"/>
      <x v="294"/>
      <x v="2"/>
      <x v="256"/>
    </i>
    <i r="1">
      <x v="208"/>
      <x v="295"/>
      <x v="2"/>
      <x v="86"/>
    </i>
    <i r="1">
      <x v="209"/>
      <x v="295"/>
      <x v="2"/>
      <x v="159"/>
    </i>
    <i r="1">
      <x v="210"/>
      <x v="295"/>
      <x v="2"/>
      <x v="220"/>
    </i>
    <i r="1">
      <x v="211"/>
      <x v="295"/>
      <x v="2"/>
      <x v="235"/>
    </i>
    <i r="1">
      <x v="212"/>
      <x v="295"/>
      <x v="2"/>
      <x v="250"/>
    </i>
    <i r="1">
      <x v="213"/>
      <x v="296"/>
      <x v="2"/>
      <x v="42"/>
    </i>
    <i r="1">
      <x v="214"/>
      <x v="296"/>
      <x v="2"/>
      <x v="96"/>
    </i>
    <i r="1">
      <x v="215"/>
      <x v="296"/>
      <x v="2"/>
      <x v="229"/>
    </i>
    <i r="1">
      <x v="216"/>
      <x v="296"/>
      <x v="2"/>
      <x v="246"/>
    </i>
    <i r="1">
      <x v="217"/>
      <x v="296"/>
      <x v="2"/>
      <x v="265"/>
    </i>
    <i r="1">
      <x v="218"/>
      <x v="297"/>
      <x v="2"/>
      <x v="43"/>
    </i>
    <i r="1">
      <x v="219"/>
      <x v="297"/>
      <x v="2"/>
      <x v="110"/>
    </i>
    <i r="1">
      <x v="220"/>
      <x v="297"/>
      <x v="2"/>
      <x v="210"/>
    </i>
    <i r="1">
      <x v="221"/>
      <x v="297"/>
      <x v="2"/>
      <x v="228"/>
    </i>
    <i r="1">
      <x v="222"/>
      <x v="297"/>
      <x v="2"/>
      <x v="253"/>
    </i>
    <i r="1">
      <x v="223"/>
      <x v="298"/>
      <x v="2"/>
      <x v="79"/>
    </i>
    <i r="1">
      <x v="224"/>
      <x v="298"/>
      <x v="2"/>
      <x v="112"/>
    </i>
    <i r="1">
      <x v="225"/>
      <x v="298"/>
      <x v="2"/>
      <x v="242"/>
    </i>
    <i r="1">
      <x v="226"/>
      <x v="298"/>
      <x v="2"/>
      <x v="250"/>
    </i>
    <i r="1">
      <x v="227"/>
      <x v="298"/>
      <x v="2"/>
      <x v="278"/>
    </i>
    <i r="1">
      <x v="228"/>
      <x v="298"/>
      <x v="2"/>
      <x v="293"/>
    </i>
    <i r="1">
      <x v="229"/>
      <x v="299"/>
      <x v="2"/>
      <x v="45"/>
    </i>
    <i r="1">
      <x v="230"/>
      <x v="299"/>
      <x v="2"/>
      <x v="106"/>
    </i>
    <i r="1">
      <x v="231"/>
      <x v="299"/>
      <x v="2"/>
      <x v="110"/>
    </i>
    <i r="1">
      <x v="232"/>
      <x v="299"/>
      <x v="2"/>
      <x v="185"/>
    </i>
    <i r="1">
      <x v="233"/>
      <x v="299"/>
      <x v="2"/>
      <x v="188"/>
    </i>
    <i r="1">
      <x v="234"/>
      <x v="299"/>
      <x v="2"/>
      <x v="226"/>
    </i>
    <i r="1">
      <x v="235"/>
      <x v="299"/>
      <x v="2"/>
      <x v="231"/>
    </i>
    <i r="1">
      <x v="236"/>
      <x v="299"/>
      <x v="2"/>
      <x v="279"/>
    </i>
    <i r="1">
      <x v="237"/>
      <x v="300"/>
      <x v="2"/>
      <x v="72"/>
    </i>
    <i r="1">
      <x v="238"/>
      <x v="300"/>
      <x v="2"/>
      <x v="110"/>
    </i>
    <i r="1">
      <x v="239"/>
      <x v="300"/>
      <x v="2"/>
      <x v="126"/>
    </i>
    <i r="1">
      <x v="240"/>
      <x v="301"/>
      <x v="2"/>
      <x v="110"/>
    </i>
    <i r="1">
      <x v="241"/>
      <x v="301"/>
      <x v="2"/>
      <x v="112"/>
    </i>
    <i r="1">
      <x v="242"/>
      <x v="301"/>
      <x v="2"/>
      <x v="143"/>
    </i>
    <i r="1">
      <x v="243"/>
      <x v="301"/>
      <x v="2"/>
      <x v="162"/>
    </i>
    <i r="1">
      <x v="244"/>
      <x v="301"/>
      <x v="2"/>
      <x v="202"/>
    </i>
    <i r="1">
      <x v="245"/>
      <x v="302"/>
      <x v="2"/>
      <x v="63"/>
    </i>
    <i r="1">
      <x v="246"/>
      <x v="302"/>
      <x v="2"/>
      <x v="131"/>
    </i>
    <i r="1">
      <x v="247"/>
      <x v="302"/>
      <x v="2"/>
      <x v="202"/>
    </i>
    <i r="1">
      <x v="248"/>
      <x v="303"/>
      <x v="2"/>
      <x v="115"/>
    </i>
    <i r="1">
      <x v="249"/>
      <x v="303"/>
      <x v="2"/>
      <x v="208"/>
    </i>
    <i r="1">
      <x v="250"/>
      <x v="303"/>
      <x v="2"/>
      <x v="240"/>
    </i>
    <i r="1">
      <x v="251"/>
      <x v="303"/>
      <x v="2"/>
      <x v="246"/>
    </i>
    <i r="1">
      <x v="252"/>
      <x v="304"/>
      <x v="2"/>
      <x v="58"/>
    </i>
    <i r="1">
      <x v="253"/>
      <x v="304"/>
      <x v="2"/>
      <x v="79"/>
    </i>
    <i r="1">
      <x v="254"/>
      <x v="304"/>
      <x v="2"/>
      <x v="247"/>
    </i>
    <i r="1">
      <x v="255"/>
      <x v="304"/>
      <x v="2"/>
      <x v="269"/>
    </i>
    <i r="1">
      <x v="256"/>
      <x v="304"/>
      <x v="2"/>
      <x v="273"/>
    </i>
    <i r="1">
      <x v="257"/>
      <x v="305"/>
      <x v="2"/>
      <x v="110"/>
    </i>
    <i r="1">
      <x v="258"/>
      <x v="305"/>
      <x v="2"/>
      <x v="172"/>
    </i>
    <i r="1">
      <x v="259"/>
      <x v="305"/>
      <x v="2"/>
      <x v="242"/>
    </i>
    <i r="1">
      <x v="260"/>
      <x v="305"/>
      <x v="2"/>
      <x v="255"/>
    </i>
    <i r="1">
      <x v="261"/>
      <x v="306"/>
      <x v="2"/>
      <x v="179"/>
    </i>
    <i r="1">
      <x v="262"/>
      <x v="306"/>
      <x v="2"/>
      <x v="223"/>
    </i>
    <i r="1">
      <x v="263"/>
      <x v="307"/>
      <x v="2"/>
      <x v="21"/>
    </i>
    <i r="1">
      <x v="264"/>
      <x v="307"/>
      <x v="2"/>
      <x v="46"/>
    </i>
    <i r="1">
      <x v="265"/>
      <x v="307"/>
      <x v="2"/>
      <x v="110"/>
    </i>
    <i r="1">
      <x v="266"/>
      <x v="307"/>
      <x v="2"/>
      <x v="172"/>
    </i>
    <i r="1">
      <x v="267"/>
      <x v="308"/>
      <x v="2"/>
      <x v="110"/>
    </i>
    <i r="1">
      <x v="268"/>
      <x v="308"/>
      <x v="2"/>
      <x v="148"/>
    </i>
    <i r="1">
      <x v="269"/>
      <x v="308"/>
      <x v="2"/>
      <x v="273"/>
    </i>
    <i r="1">
      <x v="270"/>
      <x v="308"/>
      <x v="2"/>
      <x v="282"/>
    </i>
    <i r="1">
      <x v="271"/>
      <x v="308"/>
      <x v="2"/>
      <x v="293"/>
    </i>
    <i r="1">
      <x v="272"/>
      <x v="309"/>
      <x v="2"/>
      <x v="37"/>
    </i>
    <i r="1">
      <x v="273"/>
      <x v="309"/>
      <x v="2"/>
      <x v="45"/>
    </i>
    <i r="1">
      <x v="274"/>
      <x v="309"/>
      <x v="2"/>
      <x v="52"/>
    </i>
    <i r="1">
      <x v="275"/>
      <x v="309"/>
      <x v="2"/>
      <x v="67"/>
    </i>
    <i r="1">
      <x v="276"/>
      <x v="309"/>
      <x v="2"/>
      <x v="73"/>
    </i>
    <i r="1">
      <x v="277"/>
      <x v="309"/>
      <x v="2"/>
      <x v="110"/>
    </i>
    <i r="1">
      <x v="278"/>
      <x v="309"/>
      <x v="2"/>
      <x v="118"/>
    </i>
    <i r="1">
      <x v="279"/>
      <x v="309"/>
      <x v="2"/>
      <x v="146"/>
    </i>
    <i r="1">
      <x v="280"/>
      <x v="309"/>
      <x v="2"/>
      <x v="148"/>
    </i>
    <i r="1">
      <x v="281"/>
      <x v="309"/>
      <x v="2"/>
      <x v="170"/>
    </i>
    <i r="1">
      <x v="282"/>
      <x v="309"/>
      <x v="2"/>
      <x v="186"/>
    </i>
    <i r="1">
      <x v="283"/>
      <x v="309"/>
      <x v="2"/>
      <x v="242"/>
    </i>
    <i r="1">
      <x v="284"/>
      <x v="309"/>
      <x v="2"/>
      <x v="265"/>
    </i>
    <i r="1">
      <x v="285"/>
      <x v="309"/>
      <x v="2"/>
      <x v="288"/>
    </i>
    <i r="1">
      <x v="286"/>
      <x v="310"/>
      <x v="2"/>
      <x v="90"/>
    </i>
    <i r="1">
      <x v="287"/>
      <x v="310"/>
      <x v="2"/>
      <x v="148"/>
    </i>
    <i r="1">
      <x v="288"/>
      <x v="310"/>
      <x v="2"/>
      <x v="149"/>
    </i>
    <i r="1">
      <x v="289"/>
      <x v="310"/>
      <x v="2"/>
      <x v="181"/>
    </i>
    <i r="1">
      <x v="290"/>
      <x v="311"/>
      <x v="2"/>
      <x v="70"/>
    </i>
    <i r="1">
      <x v="291"/>
      <x v="311"/>
      <x v="2"/>
      <x v="106"/>
    </i>
    <i r="1">
      <x v="292"/>
      <x v="311"/>
      <x v="2"/>
      <x v="131"/>
    </i>
    <i r="1">
      <x v="293"/>
      <x v="311"/>
      <x v="2"/>
      <x v="152"/>
    </i>
    <i r="1">
      <x v="294"/>
      <x v="311"/>
      <x v="2"/>
      <x v="178"/>
    </i>
    <i r="1">
      <x v="295"/>
      <x v="311"/>
      <x v="2"/>
      <x v="246"/>
    </i>
    <i r="1">
      <x v="296"/>
      <x v="311"/>
      <x v="2"/>
      <x v="252"/>
    </i>
    <i r="1">
      <x v="297"/>
      <x v="312"/>
      <x v="2"/>
      <x v="48"/>
    </i>
    <i r="1">
      <x v="298"/>
      <x v="312"/>
      <x v="2"/>
      <x v="104"/>
    </i>
    <i r="1">
      <x v="299"/>
      <x v="312"/>
      <x v="2"/>
      <x v="110"/>
    </i>
    <i r="1">
      <x v="300"/>
      <x v="312"/>
      <x v="2"/>
      <x v="278"/>
    </i>
    <i r="1">
      <x v="301"/>
      <x v="313"/>
      <x v="2"/>
      <x v="37"/>
    </i>
    <i r="1">
      <x v="302"/>
      <x v="313"/>
      <x v="2"/>
      <x v="44"/>
    </i>
    <i r="1">
      <x v="303"/>
      <x v="313"/>
      <x v="2"/>
      <x v="72"/>
    </i>
    <i r="1">
      <x v="304"/>
      <x v="313"/>
      <x v="2"/>
      <x v="210"/>
    </i>
    <i r="1">
      <x v="305"/>
      <x v="313"/>
      <x v="2"/>
      <x v="238"/>
    </i>
    <i r="1">
      <x v="306"/>
      <x v="313"/>
      <x v="2"/>
      <x v="240"/>
    </i>
    <i r="1">
      <x v="307"/>
      <x v="313"/>
      <x v="2"/>
      <x v="269"/>
    </i>
    <i r="1">
      <x v="308"/>
      <x v="314"/>
      <x v="2"/>
      <x v="55"/>
    </i>
    <i r="1">
      <x v="309"/>
      <x v="314"/>
      <x v="2"/>
      <x v="58"/>
    </i>
    <i r="1">
      <x v="310"/>
      <x v="314"/>
      <x v="2"/>
      <x v="110"/>
    </i>
    <i r="1">
      <x v="311"/>
      <x v="314"/>
      <x v="2"/>
      <x v="182"/>
    </i>
    <i r="1">
      <x v="312"/>
      <x v="315"/>
      <x v="2"/>
      <x v="65"/>
    </i>
    <i r="1">
      <x v="313"/>
      <x v="315"/>
      <x v="2"/>
      <x v="74"/>
    </i>
    <i r="1">
      <x v="314"/>
      <x v="315"/>
      <x v="2"/>
      <x v="80"/>
    </i>
    <i r="1">
      <x v="315"/>
      <x v="315"/>
      <x v="2"/>
      <x v="84"/>
    </i>
    <i r="1">
      <x v="316"/>
      <x v="315"/>
      <x v="2"/>
      <x v="108"/>
    </i>
    <i r="1">
      <x v="317"/>
      <x v="315"/>
      <x v="2"/>
      <x v="237"/>
    </i>
    <i r="1">
      <x v="318"/>
      <x v="315"/>
      <x v="2"/>
      <x v="243"/>
    </i>
    <i r="1">
      <x v="319"/>
      <x v="316"/>
      <x v="2"/>
      <x v="79"/>
    </i>
    <i r="1">
      <x v="320"/>
      <x v="316"/>
      <x v="2"/>
      <x v="80"/>
    </i>
    <i r="1">
      <x v="321"/>
      <x v="316"/>
      <x v="2"/>
      <x v="110"/>
    </i>
    <i r="1">
      <x v="322"/>
      <x v="316"/>
      <x v="2"/>
      <x v="128"/>
    </i>
    <i r="1">
      <x v="323"/>
      <x v="316"/>
      <x v="2"/>
      <x v="146"/>
    </i>
    <i r="1">
      <x v="324"/>
      <x v="316"/>
      <x v="2"/>
      <x v="186"/>
    </i>
    <i r="1">
      <x v="325"/>
      <x v="316"/>
      <x v="2"/>
      <x v="203"/>
    </i>
    <i r="1">
      <x v="326"/>
      <x v="316"/>
      <x v="2"/>
      <x v="214"/>
    </i>
    <i r="1">
      <x v="327"/>
      <x v="316"/>
      <x v="2"/>
      <x v="232"/>
    </i>
    <i r="1">
      <x v="328"/>
      <x v="316"/>
      <x v="2"/>
      <x v="240"/>
    </i>
    <i r="1">
      <x v="329"/>
      <x v="316"/>
      <x v="2"/>
      <x v="251"/>
    </i>
    <i r="1">
      <x v="330"/>
      <x v="316"/>
      <x v="2"/>
      <x v="265"/>
    </i>
    <i r="1">
      <x v="331"/>
      <x v="316"/>
      <x v="2"/>
      <x v="269"/>
    </i>
    <i r="1">
      <x v="332"/>
      <x v="317"/>
      <x v="2"/>
      <x v="54"/>
    </i>
    <i r="1">
      <x v="333"/>
      <x v="317"/>
      <x v="2"/>
      <x v="148"/>
    </i>
    <i r="1">
      <x v="334"/>
      <x v="317"/>
      <x v="2"/>
      <x v="269"/>
    </i>
    <i r="1">
      <x v="335"/>
      <x v="318"/>
      <x v="2"/>
      <x v="45"/>
    </i>
    <i r="1">
      <x v="336"/>
      <x v="318"/>
      <x v="2"/>
      <x v="80"/>
    </i>
    <i r="1">
      <x v="337"/>
      <x v="318"/>
      <x v="2"/>
      <x v="131"/>
    </i>
    <i r="1">
      <x v="338"/>
      <x v="318"/>
      <x v="2"/>
      <x v="136"/>
    </i>
    <i r="1">
      <x v="339"/>
      <x v="318"/>
      <x v="2"/>
      <x v="181"/>
    </i>
    <i r="1">
      <x v="340"/>
      <x v="318"/>
      <x v="2"/>
      <x v="210"/>
    </i>
    <i r="1">
      <x v="341"/>
      <x v="318"/>
      <x v="2"/>
      <x v="227"/>
    </i>
    <i r="1">
      <x v="342"/>
      <x v="318"/>
      <x v="2"/>
      <x v="238"/>
    </i>
    <i r="1">
      <x v="343"/>
      <x v="319"/>
      <x v="2"/>
      <x v="110"/>
    </i>
    <i r="1">
      <x v="344"/>
      <x v="319"/>
      <x v="2"/>
      <x v="142"/>
    </i>
    <i r="1">
      <x v="345"/>
      <x v="319"/>
      <x v="2"/>
      <x v="188"/>
    </i>
    <i r="1">
      <x v="346"/>
      <x v="319"/>
      <x v="2"/>
      <x v="232"/>
    </i>
    <i r="1">
      <x v="347"/>
      <x v="319"/>
      <x v="2"/>
      <x v="247"/>
    </i>
    <i r="1">
      <x v="348"/>
      <x v="320"/>
      <x v="2"/>
      <x v="60"/>
    </i>
    <i r="1">
      <x v="349"/>
      <x v="320"/>
      <x v="2"/>
      <x v="73"/>
    </i>
    <i r="1">
      <x v="350"/>
      <x v="320"/>
      <x v="2"/>
      <x v="239"/>
    </i>
    <i r="1">
      <x v="351"/>
      <x v="320"/>
      <x v="2"/>
      <x v="242"/>
    </i>
    <i r="1">
      <x v="352"/>
      <x v="321"/>
      <x v="2"/>
      <x v="38"/>
    </i>
    <i r="1">
      <x v="353"/>
      <x v="321"/>
      <x v="2"/>
      <x v="56"/>
    </i>
    <i r="1">
      <x v="354"/>
      <x v="321"/>
      <x v="2"/>
      <x v="110"/>
    </i>
    <i r="1">
      <x v="355"/>
      <x v="321"/>
      <x v="2"/>
      <x v="131"/>
    </i>
    <i r="1">
      <x v="356"/>
      <x v="321"/>
      <x v="2"/>
      <x v="135"/>
    </i>
    <i r="1">
      <x v="357"/>
      <x v="321"/>
      <x v="2"/>
      <x v="157"/>
    </i>
    <i r="1">
      <x v="358"/>
      <x v="321"/>
      <x v="2"/>
      <x v="245"/>
    </i>
    <i r="1">
      <x v="359"/>
      <x v="322"/>
      <x v="2"/>
      <x v="72"/>
    </i>
    <i r="1">
      <x v="360"/>
      <x v="322"/>
      <x v="2"/>
      <x v="75"/>
    </i>
    <i r="1">
      <x v="361"/>
      <x v="322"/>
      <x v="2"/>
      <x v="223"/>
    </i>
    <i r="1">
      <x v="362"/>
      <x v="322"/>
      <x v="2"/>
      <x v="228"/>
    </i>
    <i r="1">
      <x v="363"/>
      <x v="322"/>
      <x v="2"/>
      <x v="231"/>
    </i>
    <i r="1">
      <x v="364"/>
      <x v="322"/>
      <x v="2"/>
      <x v="240"/>
    </i>
    <i r="1">
      <x v="365"/>
      <x v="322"/>
      <x v="2"/>
      <x v="272"/>
    </i>
    <i r="1">
      <x v="366"/>
      <x v="322"/>
      <x v="2"/>
      <x v="273"/>
    </i>
    <i r="1">
      <x v="367"/>
      <x v="322"/>
      <x v="2"/>
      <x v="284"/>
    </i>
    <i r="1">
      <x v="368"/>
      <x v="322"/>
      <x v="2"/>
      <x v="288"/>
    </i>
    <i r="1">
      <x v="369"/>
      <x v="323"/>
      <x v="2"/>
      <x v="52"/>
    </i>
    <i r="1">
      <x v="370"/>
      <x v="323"/>
      <x v="2"/>
      <x v="64"/>
    </i>
    <i r="1">
      <x v="371"/>
      <x v="323"/>
      <x v="2"/>
      <x v="74"/>
    </i>
    <i r="1">
      <x v="372"/>
      <x v="323"/>
      <x v="2"/>
      <x v="80"/>
    </i>
    <i r="1">
      <x v="373"/>
      <x v="323"/>
      <x v="2"/>
      <x v="128"/>
    </i>
    <i r="1">
      <x v="374"/>
      <x v="323"/>
      <x v="2"/>
      <x v="170"/>
    </i>
    <i r="1">
      <x v="375"/>
      <x v="323"/>
      <x v="2"/>
      <x v="209"/>
    </i>
    <i r="1">
      <x v="376"/>
      <x v="323"/>
      <x v="2"/>
      <x v="231"/>
    </i>
    <i r="1">
      <x v="377"/>
      <x v="324"/>
      <x v="2"/>
      <x v="64"/>
    </i>
    <i r="1">
      <x v="378"/>
      <x v="324"/>
      <x v="2"/>
      <x v="110"/>
    </i>
    <i r="1">
      <x v="379"/>
      <x v="324"/>
      <x v="2"/>
      <x v="181"/>
    </i>
    <i r="1">
      <x v="380"/>
      <x v="324"/>
      <x v="2"/>
      <x v="190"/>
    </i>
    <i r="1">
      <x v="381"/>
      <x v="324"/>
      <x v="2"/>
      <x v="225"/>
    </i>
    <i r="1">
      <x v="382"/>
      <x v="324"/>
      <x v="2"/>
      <x v="246"/>
    </i>
    <i r="1">
      <x v="383"/>
      <x v="325"/>
      <x v="2"/>
      <x v="70"/>
    </i>
    <i r="1">
      <x v="384"/>
      <x v="325"/>
      <x v="2"/>
      <x v="75"/>
    </i>
    <i r="1">
      <x v="385"/>
      <x v="325"/>
      <x v="2"/>
      <x v="112"/>
    </i>
    <i r="1">
      <x v="386"/>
      <x v="325"/>
      <x v="2"/>
      <x v="261"/>
    </i>
    <i r="1">
      <x v="387"/>
      <x v="326"/>
      <x v="2"/>
      <x v="110"/>
    </i>
    <i r="1">
      <x v="388"/>
      <x v="326"/>
      <x v="2"/>
      <x v="172"/>
    </i>
    <i r="1">
      <x v="389"/>
      <x v="326"/>
      <x v="2"/>
      <x v="184"/>
    </i>
    <i r="1">
      <x v="390"/>
      <x v="327"/>
      <x v="2"/>
      <x v="45"/>
    </i>
    <i r="1">
      <x v="391"/>
      <x v="327"/>
      <x v="2"/>
      <x v="58"/>
    </i>
    <i r="1">
      <x v="392"/>
      <x v="327"/>
      <x v="2"/>
      <x v="69"/>
    </i>
    <i r="1">
      <x v="393"/>
      <x v="327"/>
      <x v="2"/>
      <x v="82"/>
    </i>
    <i r="1">
      <x v="394"/>
      <x v="327"/>
      <x v="2"/>
      <x v="98"/>
    </i>
    <i r="1">
      <x v="395"/>
      <x v="327"/>
      <x v="2"/>
      <x v="104"/>
    </i>
    <i r="1">
      <x v="396"/>
      <x v="327"/>
      <x v="2"/>
      <x v="110"/>
    </i>
    <i r="1">
      <x v="397"/>
      <x v="327"/>
      <x v="2"/>
      <x v="146"/>
    </i>
    <i r="1">
      <x v="398"/>
      <x v="327"/>
      <x v="2"/>
      <x v="159"/>
    </i>
    <i r="1">
      <x v="399"/>
      <x v="327"/>
      <x v="2"/>
      <x v="190"/>
    </i>
    <i r="1">
      <x v="400"/>
      <x v="327"/>
      <x v="2"/>
      <x v="219"/>
    </i>
    <i r="1">
      <x v="401"/>
      <x v="327"/>
      <x v="2"/>
      <x v="227"/>
    </i>
    <i r="1">
      <x v="402"/>
      <x v="327"/>
      <x v="2"/>
      <x v="228"/>
    </i>
    <i r="1">
      <x v="403"/>
      <x v="328"/>
      <x v="2"/>
      <x v="21"/>
    </i>
    <i r="1">
      <x v="404"/>
      <x v="328"/>
      <x v="2"/>
      <x v="91"/>
    </i>
    <i r="1">
      <x v="405"/>
      <x v="329"/>
      <x v="2"/>
      <x v="100"/>
    </i>
    <i r="1">
      <x v="406"/>
      <x v="329"/>
      <x v="2"/>
      <x v="110"/>
    </i>
    <i r="1">
      <x v="407"/>
      <x v="329"/>
      <x v="2"/>
      <x v="172"/>
    </i>
    <i r="1">
      <x v="408"/>
      <x v="329"/>
      <x v="2"/>
      <x v="202"/>
    </i>
    <i r="1">
      <x v="409"/>
      <x v="329"/>
      <x v="2"/>
      <x v="254"/>
    </i>
    <i r="1">
      <x v="410"/>
      <x v="329"/>
      <x v="2"/>
      <x v="262"/>
    </i>
    <i r="1">
      <x v="411"/>
      <x v="330"/>
      <x v="2"/>
      <x v="110"/>
    </i>
    <i r="1">
      <x v="412"/>
      <x v="330"/>
      <x v="2"/>
      <x v="223"/>
    </i>
    <i r="1">
      <x v="413"/>
      <x v="330"/>
      <x v="2"/>
      <x v="269"/>
    </i>
    <i r="1">
      <x v="414"/>
      <x v="331"/>
      <x v="2"/>
      <x v="59"/>
    </i>
    <i r="1">
      <x v="415"/>
      <x v="331"/>
      <x v="2"/>
      <x v="68"/>
    </i>
    <i r="1">
      <x v="416"/>
      <x v="331"/>
      <x v="2"/>
      <x v="79"/>
    </i>
    <i r="1">
      <x v="417"/>
      <x v="331"/>
      <x v="2"/>
      <x v="143"/>
    </i>
    <i r="1">
      <x v="418"/>
      <x v="331"/>
      <x v="2"/>
      <x v="168"/>
    </i>
    <i r="1">
      <x v="419"/>
      <x v="331"/>
      <x v="2"/>
      <x v="240"/>
    </i>
    <i r="1">
      <x v="420"/>
      <x v="331"/>
      <x v="2"/>
      <x v="282"/>
    </i>
    <i r="1">
      <x v="421"/>
      <x v="332"/>
      <x v="2"/>
      <x v="246"/>
    </i>
    <i r="1">
      <x v="422"/>
      <x v="333"/>
      <x v="2"/>
      <x v="58"/>
    </i>
    <i r="1">
      <x v="423"/>
      <x v="333"/>
      <x v="2"/>
      <x v="84"/>
    </i>
    <i r="1">
      <x v="424"/>
      <x v="333"/>
      <x v="2"/>
      <x v="111"/>
    </i>
    <i r="1">
      <x v="425"/>
      <x v="333"/>
      <x v="2"/>
      <x v="115"/>
    </i>
    <i r="1">
      <x v="426"/>
      <x v="333"/>
      <x v="2"/>
      <x v="146"/>
    </i>
    <i r="1">
      <x v="427"/>
      <x v="333"/>
      <x v="2"/>
      <x v="154"/>
    </i>
    <i r="1">
      <x v="428"/>
      <x v="333"/>
      <x v="2"/>
      <x v="169"/>
    </i>
    <i r="1">
      <x v="429"/>
      <x v="333"/>
      <x v="2"/>
      <x v="228"/>
    </i>
    <i r="1">
      <x v="430"/>
      <x v="333"/>
      <x v="2"/>
      <x v="242"/>
    </i>
    <i r="1">
      <x v="431"/>
      <x v="333"/>
      <x v="2"/>
      <x v="265"/>
    </i>
    <i r="1">
      <x v="432"/>
      <x v="334"/>
      <x v="2"/>
      <x v="33"/>
    </i>
    <i r="1">
      <x v="433"/>
      <x v="334"/>
      <x v="2"/>
      <x v="61"/>
    </i>
    <i r="1">
      <x v="434"/>
      <x v="334"/>
      <x v="2"/>
      <x v="70"/>
    </i>
    <i r="1">
      <x v="435"/>
      <x v="334"/>
      <x v="2"/>
      <x v="110"/>
    </i>
    <i r="1">
      <x v="436"/>
      <x v="334"/>
      <x v="2"/>
      <x v="143"/>
    </i>
    <i r="1">
      <x v="437"/>
      <x v="334"/>
      <x v="2"/>
      <x v="201"/>
    </i>
    <i r="1">
      <x v="438"/>
      <x v="334"/>
      <x v="2"/>
      <x v="248"/>
    </i>
    <i r="1">
      <x v="439"/>
      <x v="335"/>
      <x v="2"/>
      <x v="45"/>
    </i>
    <i r="1">
      <x v="440"/>
      <x v="335"/>
      <x v="2"/>
      <x v="104"/>
    </i>
    <i r="1">
      <x v="441"/>
      <x v="335"/>
      <x v="2"/>
      <x v="138"/>
    </i>
    <i r="1">
      <x v="442"/>
      <x v="335"/>
      <x v="2"/>
      <x v="162"/>
    </i>
    <i r="1">
      <x v="443"/>
      <x v="335"/>
      <x v="2"/>
      <x v="238"/>
    </i>
    <i r="1">
      <x v="444"/>
      <x v="335"/>
      <x v="2"/>
      <x v="269"/>
    </i>
    <i r="1">
      <x v="445"/>
      <x v="335"/>
      <x v="2"/>
      <x v="288"/>
    </i>
    <i r="1">
      <x v="446"/>
      <x v="336"/>
      <x v="2"/>
      <x/>
    </i>
    <i r="1">
      <x v="447"/>
      <x v="336"/>
      <x v="2"/>
      <x v="64"/>
    </i>
    <i r="1">
      <x v="448"/>
      <x v="336"/>
      <x v="2"/>
      <x v="80"/>
    </i>
    <i r="1">
      <x v="449"/>
      <x v="336"/>
      <x v="2"/>
      <x v="148"/>
    </i>
    <i r="1">
      <x v="450"/>
      <x v="336"/>
      <x v="2"/>
      <x v="156"/>
    </i>
    <i r="1">
      <x v="451"/>
      <x v="336"/>
      <x v="2"/>
      <x v="181"/>
    </i>
    <i r="1">
      <x v="452"/>
      <x v="336"/>
      <x v="2"/>
      <x v="188"/>
    </i>
    <i r="1">
      <x v="453"/>
      <x v="336"/>
      <x v="2"/>
      <x v="199"/>
    </i>
    <i r="1">
      <x v="454"/>
      <x v="336"/>
      <x v="2"/>
      <x v="234"/>
    </i>
    <i r="1">
      <x v="455"/>
      <x v="336"/>
      <x v="2"/>
      <x v="254"/>
    </i>
    <i r="1">
      <x v="456"/>
      <x v="337"/>
      <x v="2"/>
      <x v="52"/>
    </i>
    <i r="1">
      <x v="457"/>
      <x v="337"/>
      <x v="2"/>
      <x v="131"/>
    </i>
    <i r="1">
      <x v="458"/>
      <x v="337"/>
      <x v="2"/>
      <x v="181"/>
    </i>
    <i r="1">
      <x v="459"/>
      <x v="338"/>
      <x v="2"/>
      <x v="42"/>
    </i>
    <i r="1">
      <x v="460"/>
      <x v="338"/>
      <x v="2"/>
      <x v="98"/>
    </i>
    <i r="1">
      <x v="461"/>
      <x v="338"/>
      <x v="2"/>
      <x v="106"/>
    </i>
    <i r="1">
      <x v="462"/>
      <x v="338"/>
      <x v="2"/>
      <x v="109"/>
    </i>
    <i r="1">
      <x v="463"/>
      <x v="338"/>
      <x v="2"/>
      <x v="110"/>
    </i>
    <i r="1">
      <x v="464"/>
      <x v="338"/>
      <x v="2"/>
      <x v="170"/>
    </i>
    <i r="1">
      <x v="465"/>
      <x v="338"/>
      <x v="2"/>
      <x v="186"/>
    </i>
    <i r="1">
      <x v="466"/>
      <x v="338"/>
      <x v="2"/>
      <x v="241"/>
    </i>
    <i r="1">
      <x v="467"/>
      <x v="338"/>
      <x v="2"/>
      <x v="248"/>
    </i>
    <i r="1">
      <x v="468"/>
      <x v="339"/>
      <x v="2"/>
      <x v="44"/>
    </i>
    <i r="1">
      <x v="469"/>
      <x v="340"/>
      <x v="2"/>
      <x v="84"/>
    </i>
    <i r="1">
      <x v="470"/>
      <x v="341"/>
      <x v="2"/>
      <x/>
    </i>
    <i r="1">
      <x v="471"/>
      <x v="341"/>
      <x v="2"/>
      <x v="110"/>
    </i>
    <i r="1">
      <x v="472"/>
      <x v="341"/>
      <x v="2"/>
      <x v="223"/>
    </i>
    <i r="1">
      <x v="473"/>
      <x v="341"/>
      <x v="2"/>
      <x v="247"/>
    </i>
    <i r="1">
      <x v="474"/>
      <x v="341"/>
      <x v="2"/>
      <x v="281"/>
    </i>
    <i r="1">
      <x v="475"/>
      <x v="342"/>
      <x v="2"/>
      <x v="58"/>
    </i>
    <i r="1">
      <x v="476"/>
      <x v="342"/>
      <x v="2"/>
      <x v="110"/>
    </i>
    <i r="1">
      <x v="477"/>
      <x v="342"/>
      <x v="2"/>
      <x v="182"/>
    </i>
    <i r="1">
      <x v="478"/>
      <x v="342"/>
      <x v="2"/>
      <x v="184"/>
    </i>
    <i r="1">
      <x v="479"/>
      <x v="342"/>
      <x v="2"/>
      <x v="228"/>
    </i>
    <i r="1">
      <x v="480"/>
      <x v="342"/>
      <x v="2"/>
      <x v="232"/>
    </i>
    <i r="1">
      <x v="481"/>
      <x v="343"/>
      <x v="2"/>
      <x v="45"/>
    </i>
    <i r="1">
      <x v="482"/>
      <x v="343"/>
      <x v="2"/>
      <x v="136"/>
    </i>
    <i r="1">
      <x v="483"/>
      <x v="343"/>
      <x v="2"/>
      <x v="159"/>
    </i>
    <i r="1">
      <x v="484"/>
      <x v="343"/>
      <x v="2"/>
      <x v="184"/>
    </i>
    <i r="1">
      <x v="485"/>
      <x v="343"/>
      <x v="2"/>
      <x v="240"/>
    </i>
    <i r="1">
      <x v="486"/>
      <x v="343"/>
      <x v="2"/>
      <x v="242"/>
    </i>
    <i r="1">
      <x v="487"/>
      <x v="344"/>
      <x v="2"/>
      <x v="110"/>
    </i>
    <i r="1">
      <x v="488"/>
      <x v="344"/>
      <x v="2"/>
      <x v="131"/>
    </i>
    <i r="1">
      <x v="489"/>
      <x v="344"/>
      <x v="2"/>
      <x v="145"/>
    </i>
    <i r="1">
      <x v="490"/>
      <x v="344"/>
      <x v="2"/>
      <x v="214"/>
    </i>
    <i r="1">
      <x v="491"/>
      <x v="344"/>
      <x v="2"/>
      <x v="282"/>
    </i>
    <i r="1">
      <x v="492"/>
      <x v="345"/>
      <x v="2"/>
      <x v="33"/>
    </i>
    <i r="1">
      <x v="493"/>
      <x v="345"/>
      <x v="2"/>
      <x v="98"/>
    </i>
    <i r="1">
      <x v="494"/>
      <x v="345"/>
      <x v="2"/>
      <x v="110"/>
    </i>
    <i r="1">
      <x v="495"/>
      <x v="345"/>
      <x v="2"/>
      <x v="183"/>
    </i>
    <i r="1">
      <x v="496"/>
      <x v="345"/>
      <x v="2"/>
      <x v="241"/>
    </i>
    <i r="1">
      <x v="497"/>
      <x v="345"/>
      <x v="2"/>
      <x v="247"/>
    </i>
    <i r="1">
      <x v="498"/>
      <x v="345"/>
      <x v="2"/>
      <x v="293"/>
    </i>
    <i r="1">
      <x v="499"/>
      <x v="346"/>
      <x v="2"/>
      <x v="61"/>
    </i>
    <i r="1">
      <x v="500"/>
      <x v="346"/>
      <x v="2"/>
      <x v="72"/>
    </i>
    <i r="1">
      <x v="501"/>
      <x v="346"/>
      <x v="2"/>
      <x v="88"/>
    </i>
    <i r="1">
      <x v="502"/>
      <x v="346"/>
      <x v="2"/>
      <x v="90"/>
    </i>
    <i r="1">
      <x v="503"/>
      <x v="346"/>
      <x v="2"/>
      <x v="143"/>
    </i>
    <i r="1">
      <x v="504"/>
      <x v="346"/>
      <x v="2"/>
      <x v="162"/>
    </i>
    <i r="1">
      <x v="505"/>
      <x v="346"/>
      <x v="2"/>
      <x v="188"/>
    </i>
    <i r="1">
      <x v="506"/>
      <x v="346"/>
      <x v="2"/>
      <x v="192"/>
    </i>
    <i r="1">
      <x v="507"/>
      <x v="346"/>
      <x v="2"/>
      <x v="204"/>
    </i>
    <i r="1">
      <x v="508"/>
      <x v="346"/>
      <x v="2"/>
      <x v="219"/>
    </i>
    <i r="1">
      <x v="509"/>
      <x v="346"/>
      <x v="2"/>
      <x v="242"/>
    </i>
    <i r="1">
      <x v="510"/>
      <x v="346"/>
      <x v="2"/>
      <x v="246"/>
    </i>
    <i r="1">
      <x v="511"/>
      <x v="346"/>
      <x v="2"/>
      <x v="251"/>
    </i>
    <i r="1">
      <x v="512"/>
      <x v="346"/>
      <x v="2"/>
      <x v="269"/>
    </i>
    <i r="1">
      <x v="513"/>
      <x v="346"/>
      <x v="2"/>
      <x v="290"/>
    </i>
    <i r="1">
      <x v="514"/>
      <x v="347"/>
      <x v="2"/>
      <x v="104"/>
    </i>
    <i r="1">
      <x v="515"/>
      <x v="347"/>
      <x v="2"/>
      <x v="110"/>
    </i>
    <i r="1">
      <x v="516"/>
      <x v="347"/>
      <x v="2"/>
      <x v="139"/>
    </i>
    <i r="1">
      <x v="517"/>
      <x v="347"/>
      <x v="2"/>
      <x v="167"/>
    </i>
    <i r="1">
      <x v="518"/>
      <x v="347"/>
      <x v="2"/>
      <x v="206"/>
    </i>
    <i r="1">
      <x v="519"/>
      <x v="347"/>
      <x v="2"/>
      <x v="268"/>
    </i>
    <i r="1">
      <x v="520"/>
      <x v="348"/>
      <x v="2"/>
      <x v="131"/>
    </i>
    <i r="1">
      <x v="521"/>
      <x v="348"/>
      <x v="2"/>
      <x v="186"/>
    </i>
    <i r="1">
      <x v="522"/>
      <x v="348"/>
      <x v="2"/>
      <x v="193"/>
    </i>
    <i r="1">
      <x v="523"/>
      <x v="348"/>
      <x v="2"/>
      <x v="210"/>
    </i>
    <i r="1">
      <x v="524"/>
      <x v="349"/>
      <x v="1"/>
      <x v="50"/>
    </i>
    <i r="1">
      <x v="525"/>
      <x v="349"/>
      <x v="2"/>
      <x v="73"/>
    </i>
    <i r="1">
      <x v="526"/>
      <x v="349"/>
      <x v="2"/>
      <x v="78"/>
    </i>
    <i r="1">
      <x v="527"/>
      <x v="349"/>
      <x v="2"/>
      <x v="80"/>
    </i>
    <i r="1">
      <x v="528"/>
      <x v="349"/>
      <x v="2"/>
      <x v="110"/>
    </i>
    <i r="1">
      <x v="529"/>
      <x v="349"/>
      <x v="2"/>
      <x v="131"/>
    </i>
    <i r="1">
      <x v="530"/>
      <x v="349"/>
      <x v="2"/>
      <x v="145"/>
    </i>
    <i r="1">
      <x v="531"/>
      <x v="349"/>
      <x v="2"/>
      <x v="149"/>
    </i>
    <i r="1">
      <x v="532"/>
      <x v="349"/>
      <x v="2"/>
      <x v="184"/>
    </i>
    <i r="1">
      <x v="533"/>
      <x v="349"/>
      <x v="2"/>
      <x v="225"/>
    </i>
    <i r="1">
      <x v="534"/>
      <x v="349"/>
      <x v="2"/>
      <x v="291"/>
    </i>
    <i r="1">
      <x v="535"/>
      <x v="350"/>
      <x v="2"/>
      <x v="45"/>
    </i>
    <i r="1">
      <x v="536"/>
      <x v="350"/>
      <x v="2"/>
      <x v="79"/>
    </i>
    <i r="1">
      <x v="537"/>
      <x v="350"/>
      <x v="2"/>
      <x v="110"/>
    </i>
    <i r="1">
      <x v="538"/>
      <x v="350"/>
      <x v="2"/>
      <x v="122"/>
    </i>
    <i r="1">
      <x v="539"/>
      <x v="350"/>
      <x v="2"/>
      <x v="161"/>
    </i>
    <i r="1">
      <x v="540"/>
      <x v="350"/>
      <x v="2"/>
      <x v="172"/>
    </i>
    <i r="1">
      <x v="541"/>
      <x v="350"/>
      <x v="2"/>
      <x v="210"/>
    </i>
    <i r="1">
      <x v="542"/>
      <x v="350"/>
      <x v="2"/>
      <x v="218"/>
    </i>
    <i r="1">
      <x v="543"/>
      <x v="350"/>
      <x v="2"/>
      <x v="227"/>
    </i>
    <i r="1">
      <x v="544"/>
      <x v="350"/>
      <x v="2"/>
      <x v="262"/>
    </i>
    <i r="1">
      <x v="545"/>
      <x v="351"/>
      <x v="2"/>
      <x v="52"/>
    </i>
    <i r="1">
      <x v="546"/>
      <x v="351"/>
      <x v="2"/>
      <x v="70"/>
    </i>
    <i r="1">
      <x v="547"/>
      <x v="351"/>
      <x v="2"/>
      <x v="181"/>
    </i>
    <i r="1">
      <x v="548"/>
      <x v="351"/>
      <x v="2"/>
      <x v="238"/>
    </i>
    <i r="1">
      <x v="549"/>
      <x v="352"/>
      <x v="2"/>
      <x v="35"/>
    </i>
    <i r="1">
      <x v="550"/>
      <x v="352"/>
      <x v="2"/>
      <x v="208"/>
    </i>
    <i r="1">
      <x v="551"/>
      <x v="352"/>
      <x v="2"/>
      <x v="231"/>
    </i>
    <i r="1">
      <x v="552"/>
      <x v="353"/>
      <x v="2"/>
      <x v="81"/>
    </i>
    <i r="1">
      <x v="553"/>
      <x v="353"/>
      <x v="2"/>
      <x v="106"/>
    </i>
    <i r="1">
      <x v="554"/>
      <x v="354"/>
      <x v="2"/>
      <x v="76"/>
    </i>
    <i r="1">
      <x v="555"/>
      <x v="354"/>
      <x v="2"/>
      <x v="95"/>
    </i>
    <i r="1">
      <x v="556"/>
      <x v="354"/>
      <x v="2"/>
      <x v="110"/>
    </i>
    <i r="1">
      <x v="557"/>
      <x v="354"/>
      <x v="2"/>
      <x v="115"/>
    </i>
    <i r="1">
      <x v="558"/>
      <x v="354"/>
      <x v="2"/>
      <x v="150"/>
    </i>
    <i r="1">
      <x v="559"/>
      <x v="354"/>
      <x v="2"/>
      <x v="154"/>
    </i>
    <i r="1">
      <x v="560"/>
      <x v="354"/>
      <x v="2"/>
      <x v="157"/>
    </i>
    <i r="1">
      <x v="561"/>
      <x v="354"/>
      <x v="2"/>
      <x v="263"/>
    </i>
    <i r="1">
      <x v="562"/>
      <x v="355"/>
      <x v="2"/>
      <x v="68"/>
    </i>
    <i r="1">
      <x v="563"/>
      <x v="355"/>
      <x v="2"/>
      <x v="95"/>
    </i>
    <i r="1">
      <x v="564"/>
      <x v="355"/>
      <x v="2"/>
      <x v="110"/>
    </i>
    <i r="1">
      <x v="565"/>
      <x v="355"/>
      <x v="2"/>
      <x v="181"/>
    </i>
    <i r="1">
      <x v="566"/>
      <x v="355"/>
      <x v="2"/>
      <x v="186"/>
    </i>
    <i r="1">
      <x v="567"/>
      <x v="356"/>
      <x v="2"/>
      <x v="21"/>
    </i>
    <i r="1">
      <x v="568"/>
      <x v="356"/>
      <x v="2"/>
      <x v="58"/>
    </i>
    <i r="1">
      <x v="569"/>
      <x v="356"/>
      <x v="2"/>
      <x v="80"/>
    </i>
    <i r="1">
      <x v="570"/>
      <x v="356"/>
      <x v="2"/>
      <x v="110"/>
    </i>
    <i r="1">
      <x v="571"/>
      <x v="356"/>
      <x v="2"/>
      <x v="117"/>
    </i>
    <i r="1">
      <x v="572"/>
      <x v="356"/>
      <x v="2"/>
      <x v="204"/>
    </i>
    <i r="1">
      <x v="573"/>
      <x v="356"/>
      <x v="2"/>
      <x v="292"/>
    </i>
    <i r="1">
      <x v="574"/>
      <x v="357"/>
      <x v="2"/>
      <x v="50"/>
    </i>
    <i r="1">
      <x v="575"/>
      <x v="357"/>
      <x v="2"/>
      <x v="104"/>
    </i>
    <i r="1">
      <x v="576"/>
      <x v="357"/>
      <x v="2"/>
      <x v="181"/>
    </i>
    <i r="1">
      <x v="577"/>
      <x v="357"/>
      <x v="2"/>
      <x v="223"/>
    </i>
    <i r="1">
      <x v="578"/>
      <x v="357"/>
      <x v="2"/>
      <x v="241"/>
    </i>
    <i r="1">
      <x v="579"/>
      <x v="357"/>
      <x v="2"/>
      <x v="258"/>
    </i>
    <i r="1">
      <x v="580"/>
      <x v="357"/>
      <x v="2"/>
      <x v="273"/>
    </i>
    <i r="1">
      <x v="581"/>
      <x v="357"/>
      <x v="2"/>
      <x v="282"/>
    </i>
    <i r="1">
      <x v="582"/>
      <x v="358"/>
      <x v="2"/>
      <x v="56"/>
    </i>
    <i r="1">
      <x v="583"/>
      <x v="359"/>
      <x v="2"/>
      <x v="64"/>
    </i>
    <i r="1">
      <x v="584"/>
      <x v="359"/>
      <x v="2"/>
      <x v="242"/>
    </i>
    <i r="1">
      <x v="585"/>
      <x v="359"/>
      <x v="2"/>
      <x v="248"/>
    </i>
    <i r="1">
      <x v="586"/>
      <x v="359"/>
      <x v="2"/>
      <x v="265"/>
    </i>
    <i r="1">
      <x v="587"/>
      <x v="359"/>
      <x v="2"/>
      <x v="269"/>
    </i>
    <i r="1">
      <x v="588"/>
      <x v="359"/>
      <x v="2"/>
      <x v="289"/>
    </i>
    <i r="1">
      <x v="589"/>
      <x v="360"/>
      <x v="2"/>
      <x v="35"/>
    </i>
    <i r="1">
      <x v="590"/>
      <x v="360"/>
      <x v="2"/>
      <x v="44"/>
    </i>
    <i r="1">
      <x v="591"/>
      <x v="360"/>
      <x v="2"/>
      <x v="45"/>
    </i>
    <i r="1">
      <x v="592"/>
      <x v="360"/>
      <x v="2"/>
      <x v="70"/>
    </i>
    <i r="1">
      <x v="593"/>
      <x v="360"/>
      <x v="2"/>
      <x v="90"/>
    </i>
    <i r="1">
      <x v="594"/>
      <x v="360"/>
      <x v="2"/>
      <x v="105"/>
    </i>
    <i r="1">
      <x v="595"/>
      <x v="360"/>
      <x v="2"/>
      <x v="110"/>
    </i>
    <i r="1">
      <x v="596"/>
      <x v="360"/>
      <x v="2"/>
      <x v="184"/>
    </i>
    <i r="1">
      <x v="597"/>
      <x v="360"/>
      <x v="2"/>
      <x v="192"/>
    </i>
    <i r="1">
      <x v="598"/>
      <x v="361"/>
      <x v="2"/>
      <x v="44"/>
    </i>
    <i r="1">
      <x v="599"/>
      <x v="361"/>
      <x v="2"/>
      <x v="55"/>
    </i>
    <i r="1">
      <x v="600"/>
      <x v="361"/>
      <x v="2"/>
      <x v="58"/>
    </i>
    <i r="1">
      <x v="601"/>
      <x v="361"/>
      <x v="2"/>
      <x v="79"/>
    </i>
    <i r="1">
      <x v="602"/>
      <x v="361"/>
      <x v="2"/>
      <x v="202"/>
    </i>
    <i r="1">
      <x v="603"/>
      <x v="361"/>
      <x v="2"/>
      <x v="234"/>
    </i>
    <i r="1">
      <x v="604"/>
      <x v="362"/>
      <x v="2"/>
      <x v="51"/>
    </i>
    <i r="1">
      <x v="605"/>
      <x v="362"/>
      <x v="2"/>
      <x v="64"/>
    </i>
    <i r="1">
      <x v="606"/>
      <x v="362"/>
      <x v="2"/>
      <x v="92"/>
    </i>
    <i r="1">
      <x v="607"/>
      <x v="362"/>
      <x v="2"/>
      <x v="146"/>
    </i>
    <i r="1">
      <x v="608"/>
      <x v="362"/>
      <x v="2"/>
      <x v="157"/>
    </i>
    <i r="1">
      <x v="609"/>
      <x v="362"/>
      <x v="2"/>
      <x v="162"/>
    </i>
    <i r="1">
      <x v="610"/>
      <x v="362"/>
      <x v="2"/>
      <x v="170"/>
    </i>
    <i r="1">
      <x v="611"/>
      <x v="362"/>
      <x v="2"/>
      <x v="172"/>
    </i>
    <i r="1">
      <x v="612"/>
      <x v="362"/>
      <x v="2"/>
      <x v="182"/>
    </i>
    <i r="1">
      <x v="613"/>
      <x v="362"/>
      <x v="2"/>
      <x v="183"/>
    </i>
    <i r="1">
      <x v="614"/>
      <x v="362"/>
      <x v="2"/>
      <x v="198"/>
    </i>
    <i r="1">
      <x v="615"/>
      <x v="362"/>
      <x v="2"/>
      <x v="223"/>
    </i>
    <i r="1">
      <x v="616"/>
      <x v="362"/>
      <x v="2"/>
      <x v="227"/>
    </i>
    <i r="1">
      <x v="617"/>
      <x v="362"/>
      <x v="2"/>
      <x v="239"/>
    </i>
    <i r="1">
      <x v="618"/>
      <x v="363"/>
      <x v="2"/>
      <x v="32"/>
    </i>
    <i r="1">
      <x v="619"/>
      <x v="363"/>
      <x v="2"/>
      <x v="46"/>
    </i>
    <i r="1">
      <x v="620"/>
      <x v="363"/>
      <x v="2"/>
      <x v="50"/>
    </i>
    <i r="1">
      <x v="621"/>
      <x v="363"/>
      <x v="2"/>
      <x v="56"/>
    </i>
    <i r="1">
      <x v="622"/>
      <x v="363"/>
      <x v="2"/>
      <x v="57"/>
    </i>
    <i r="1">
      <x v="623"/>
      <x v="363"/>
      <x v="2"/>
      <x v="58"/>
    </i>
    <i r="1">
      <x v="624"/>
      <x v="363"/>
      <x v="2"/>
      <x v="68"/>
    </i>
    <i r="1">
      <x v="625"/>
      <x v="363"/>
      <x v="2"/>
      <x v="70"/>
    </i>
    <i r="1">
      <x v="626"/>
      <x v="363"/>
      <x v="2"/>
      <x v="82"/>
    </i>
    <i r="1">
      <x v="627"/>
      <x v="363"/>
      <x v="2"/>
      <x v="95"/>
    </i>
    <i r="1">
      <x v="628"/>
      <x v="363"/>
      <x v="2"/>
      <x v="109"/>
    </i>
    <i r="1">
      <x v="629"/>
      <x v="363"/>
      <x v="2"/>
      <x v="110"/>
    </i>
    <i r="1">
      <x v="630"/>
      <x v="363"/>
      <x v="2"/>
      <x v="115"/>
    </i>
    <i r="1">
      <x v="631"/>
      <x v="363"/>
      <x v="2"/>
      <x v="120"/>
    </i>
    <i r="1">
      <x v="632"/>
      <x v="363"/>
      <x v="2"/>
      <x v="130"/>
    </i>
    <i r="1">
      <x v="633"/>
      <x v="363"/>
      <x v="2"/>
      <x v="137"/>
    </i>
    <i r="1">
      <x v="634"/>
      <x v="363"/>
      <x v="2"/>
      <x v="142"/>
    </i>
    <i r="1">
      <x v="635"/>
      <x v="363"/>
      <x v="2"/>
      <x v="144"/>
    </i>
    <i r="1">
      <x v="636"/>
      <x v="363"/>
      <x v="2"/>
      <x v="145"/>
    </i>
    <i r="1">
      <x v="637"/>
      <x v="363"/>
      <x v="2"/>
      <x v="151"/>
    </i>
    <i r="1">
      <x v="638"/>
      <x v="363"/>
      <x v="2"/>
      <x v="152"/>
    </i>
    <i r="1">
      <x v="639"/>
      <x v="363"/>
      <x v="2"/>
      <x v="166"/>
    </i>
    <i r="1">
      <x v="640"/>
      <x v="363"/>
      <x v="2"/>
      <x v="169"/>
    </i>
    <i r="1">
      <x v="641"/>
      <x v="363"/>
      <x v="2"/>
      <x v="174"/>
    </i>
    <i r="1">
      <x v="642"/>
      <x v="363"/>
      <x v="2"/>
      <x v="177"/>
    </i>
    <i r="1">
      <x v="643"/>
      <x v="363"/>
      <x v="2"/>
      <x v="187"/>
    </i>
    <i r="1">
      <x v="644"/>
      <x v="363"/>
      <x v="2"/>
      <x v="188"/>
    </i>
    <i r="1">
      <x v="645"/>
      <x v="363"/>
      <x v="2"/>
      <x v="191"/>
    </i>
    <i r="1">
      <x v="646"/>
      <x v="363"/>
      <x v="2"/>
      <x v="194"/>
    </i>
    <i r="1">
      <x v="647"/>
      <x v="363"/>
      <x v="2"/>
      <x v="214"/>
    </i>
    <i r="1">
      <x v="648"/>
      <x v="363"/>
      <x v="2"/>
      <x v="232"/>
    </i>
    <i r="1">
      <x v="649"/>
      <x v="363"/>
      <x v="2"/>
      <x v="238"/>
    </i>
    <i r="1">
      <x v="650"/>
      <x v="363"/>
      <x v="2"/>
      <x v="240"/>
    </i>
    <i r="1">
      <x v="651"/>
      <x v="363"/>
      <x v="2"/>
      <x v="242"/>
    </i>
    <i r="1">
      <x v="652"/>
      <x v="363"/>
      <x v="2"/>
      <x v="247"/>
    </i>
    <i r="1">
      <x v="653"/>
      <x v="363"/>
      <x v="2"/>
      <x v="251"/>
    </i>
    <i r="1">
      <x v="654"/>
      <x v="363"/>
      <x v="2"/>
      <x v="254"/>
    </i>
    <i r="1">
      <x v="655"/>
      <x v="363"/>
      <x v="2"/>
      <x v="268"/>
    </i>
    <i r="1">
      <x v="656"/>
      <x v="363"/>
      <x v="2"/>
      <x v="273"/>
    </i>
    <i r="1">
      <x v="657"/>
      <x v="363"/>
      <x v="2"/>
      <x v="278"/>
    </i>
    <i r="1">
      <x v="658"/>
      <x v="363"/>
      <x v="2"/>
      <x v="289"/>
    </i>
    <i r="1">
      <x v="659"/>
      <x v="364"/>
      <x v="2"/>
      <x v="250"/>
    </i>
    <i r="1">
      <x v="660"/>
      <x v="364"/>
      <x v="2"/>
      <x v="262"/>
    </i>
    <i r="1">
      <x v="661"/>
      <x v="365"/>
      <x v="2"/>
      <x v="33"/>
    </i>
    <i r="1">
      <x v="662"/>
      <x v="365"/>
      <x v="2"/>
      <x v="100"/>
    </i>
    <i r="1">
      <x v="663"/>
      <x v="365"/>
      <x v="2"/>
      <x v="111"/>
    </i>
    <i r="1">
      <x v="664"/>
      <x v="365"/>
      <x v="2"/>
      <x v="120"/>
    </i>
    <i r="1">
      <x v="665"/>
      <x v="365"/>
      <x v="2"/>
      <x v="122"/>
    </i>
    <i r="1">
      <x v="666"/>
      <x v="365"/>
      <x v="2"/>
      <x v="157"/>
    </i>
    <i r="1">
      <x v="667"/>
      <x v="365"/>
      <x v="2"/>
      <x v="181"/>
    </i>
    <i r="1">
      <x v="668"/>
      <x v="366"/>
      <x v="2"/>
      <x v="110"/>
    </i>
    <i r="1">
      <x v="669"/>
      <x v="366"/>
      <x v="2"/>
      <x v="203"/>
    </i>
    <i r="1">
      <x v="670"/>
      <x v="366"/>
      <x v="2"/>
      <x v="238"/>
    </i>
    <i r="1">
      <x v="671"/>
      <x v="366"/>
      <x v="2"/>
      <x v="278"/>
    </i>
    <i r="1">
      <x v="672"/>
      <x v="367"/>
      <x v="2"/>
      <x v="41"/>
    </i>
    <i r="1">
      <x v="673"/>
      <x v="367"/>
      <x v="2"/>
      <x v="113"/>
    </i>
    <i r="1">
      <x v="674"/>
      <x v="367"/>
      <x v="2"/>
      <x v="249"/>
    </i>
    <i r="1">
      <x v="675"/>
      <x v="368"/>
      <x v="2"/>
      <x v="36"/>
    </i>
    <i r="1">
      <x v="676"/>
      <x v="368"/>
      <x v="2"/>
      <x v="77"/>
    </i>
    <i r="1">
      <x v="677"/>
      <x v="368"/>
      <x v="2"/>
      <x v="79"/>
    </i>
    <i r="1">
      <x v="678"/>
      <x v="368"/>
      <x v="2"/>
      <x v="99"/>
    </i>
    <i r="1">
      <x v="679"/>
      <x v="368"/>
      <x v="2"/>
      <x v="110"/>
    </i>
    <i r="1">
      <x v="680"/>
      <x v="368"/>
      <x v="2"/>
      <x v="127"/>
    </i>
    <i r="1">
      <x v="681"/>
      <x v="368"/>
      <x v="2"/>
      <x v="162"/>
    </i>
    <i r="1">
      <x v="682"/>
      <x v="368"/>
      <x v="2"/>
      <x v="186"/>
    </i>
    <i r="1">
      <x v="683"/>
      <x v="368"/>
      <x v="2"/>
      <x v="257"/>
    </i>
    <i r="1">
      <x v="684"/>
      <x v="369"/>
      <x v="2"/>
      <x v="58"/>
    </i>
    <i r="1">
      <x v="685"/>
      <x v="369"/>
      <x v="2"/>
      <x v="93"/>
    </i>
    <i r="1">
      <x v="686"/>
      <x v="369"/>
      <x v="2"/>
      <x v="110"/>
    </i>
    <i r="1">
      <x v="687"/>
      <x v="369"/>
      <x v="2"/>
      <x v="155"/>
    </i>
    <i r="1">
      <x v="688"/>
      <x v="370"/>
      <x v="2"/>
      <x v="55"/>
    </i>
    <i r="1">
      <x v="689"/>
      <x v="370"/>
      <x v="2"/>
      <x v="168"/>
    </i>
    <i r="1">
      <x v="690"/>
      <x v="370"/>
      <x v="2"/>
      <x v="170"/>
    </i>
    <i r="1">
      <x v="691"/>
      <x v="370"/>
      <x v="2"/>
      <x v="215"/>
    </i>
    <i r="1">
      <x v="692"/>
      <x v="370"/>
      <x v="2"/>
      <x v="269"/>
    </i>
    <i r="1">
      <x v="693"/>
      <x v="371"/>
      <x v="2"/>
      <x v="104"/>
    </i>
    <i r="1">
      <x v="694"/>
      <x v="371"/>
      <x v="2"/>
      <x v="129"/>
    </i>
    <i r="1">
      <x v="695"/>
      <x v="371"/>
      <x v="2"/>
      <x v="142"/>
    </i>
    <i r="1">
      <x v="696"/>
      <x v="371"/>
      <x v="2"/>
      <x v="146"/>
    </i>
    <i r="1">
      <x v="697"/>
      <x v="371"/>
      <x v="2"/>
      <x v="271"/>
    </i>
    <i r="1">
      <x v="698"/>
      <x v="372"/>
      <x v="2"/>
      <x v="52"/>
    </i>
    <i r="1">
      <x v="699"/>
      <x v="372"/>
      <x v="2"/>
      <x v="84"/>
    </i>
    <i r="1">
      <x v="700"/>
      <x v="372"/>
      <x v="2"/>
      <x v="94"/>
    </i>
    <i r="1">
      <x v="701"/>
      <x v="372"/>
      <x v="2"/>
      <x v="136"/>
    </i>
    <i r="1">
      <x v="702"/>
      <x v="372"/>
      <x v="2"/>
      <x v="160"/>
    </i>
    <i r="1">
      <x v="703"/>
      <x v="372"/>
      <x v="2"/>
      <x v="181"/>
    </i>
    <i r="1">
      <x v="704"/>
      <x v="372"/>
      <x v="2"/>
      <x v="241"/>
    </i>
    <i r="1">
      <x v="705"/>
      <x v="372"/>
      <x v="2"/>
      <x v="242"/>
    </i>
    <i r="1">
      <x v="706"/>
      <x v="372"/>
      <x v="2"/>
      <x v="247"/>
    </i>
    <i r="1">
      <x v="707"/>
      <x v="372"/>
      <x v="2"/>
      <x v="294"/>
    </i>
    <i r="1">
      <x v="708"/>
      <x v="373"/>
      <x v="2"/>
      <x v="45"/>
    </i>
    <i r="1">
      <x v="709"/>
      <x v="373"/>
      <x v="2"/>
      <x v="50"/>
    </i>
    <i r="1">
      <x v="710"/>
      <x v="373"/>
      <x v="2"/>
      <x v="86"/>
    </i>
    <i r="1">
      <x v="711"/>
      <x v="373"/>
      <x v="2"/>
      <x v="110"/>
    </i>
    <i r="1">
      <x v="712"/>
      <x v="373"/>
      <x v="2"/>
      <x v="120"/>
    </i>
    <i r="1">
      <x v="713"/>
      <x v="373"/>
      <x v="2"/>
      <x v="198"/>
    </i>
    <i r="1">
      <x v="714"/>
      <x v="373"/>
      <x v="2"/>
      <x v="232"/>
    </i>
    <i r="1">
      <x v="715"/>
      <x v="374"/>
      <x v="2"/>
      <x v="73"/>
    </i>
    <i r="1">
      <x v="716"/>
      <x v="374"/>
      <x v="2"/>
      <x v="149"/>
    </i>
    <i r="1">
      <x v="717"/>
      <x v="374"/>
      <x v="2"/>
      <x v="203"/>
    </i>
    <i r="1">
      <x v="718"/>
      <x v="374"/>
      <x v="2"/>
      <x v="210"/>
    </i>
    <i r="1">
      <x v="719"/>
      <x v="374"/>
      <x v="2"/>
      <x v="288"/>
    </i>
    <i r="1">
      <x v="720"/>
      <x v="374"/>
      <x v="2"/>
      <x v="289"/>
    </i>
    <i r="1">
      <x v="721"/>
      <x v="375"/>
      <x v="2"/>
      <x v="29"/>
    </i>
    <i r="1">
      <x v="722"/>
      <x v="375"/>
      <x v="2"/>
      <x v="31"/>
    </i>
    <i r="1">
      <x v="723"/>
      <x v="375"/>
      <x v="2"/>
      <x v="41"/>
    </i>
    <i r="1">
      <x v="724"/>
      <x v="375"/>
      <x v="2"/>
      <x v="45"/>
    </i>
    <i r="1">
      <x v="725"/>
      <x v="375"/>
      <x v="2"/>
      <x v="51"/>
    </i>
    <i r="1">
      <x v="726"/>
      <x v="375"/>
      <x v="2"/>
      <x v="57"/>
    </i>
    <i r="1">
      <x v="727"/>
      <x v="375"/>
      <x v="2"/>
      <x v="58"/>
    </i>
    <i r="1">
      <x v="728"/>
      <x v="375"/>
      <x v="2"/>
      <x v="194"/>
    </i>
    <i r="1">
      <x v="729"/>
      <x v="375"/>
      <x v="2"/>
      <x v="286"/>
    </i>
    <i r="1">
      <x v="730"/>
      <x v="376"/>
      <x v="2"/>
      <x v="46"/>
    </i>
    <i r="1">
      <x v="731"/>
      <x v="376"/>
      <x v="2"/>
      <x v="50"/>
    </i>
    <i r="1">
      <x v="732"/>
      <x v="376"/>
      <x v="2"/>
      <x v="115"/>
    </i>
    <i r="1">
      <x v="733"/>
      <x v="376"/>
      <x v="3"/>
      <x v="172"/>
    </i>
    <i r="1">
      <x v="734"/>
      <x v="376"/>
      <x v="2"/>
      <x v="223"/>
    </i>
    <i r="1">
      <x v="735"/>
      <x v="376"/>
      <x v="2"/>
      <x v="246"/>
    </i>
    <i r="1">
      <x v="736"/>
      <x v="376"/>
      <x v="2"/>
      <x v="267"/>
    </i>
    <i r="1">
      <x v="737"/>
      <x v="376"/>
      <x v="2"/>
      <x v="289"/>
    </i>
    <i r="1">
      <x v="738"/>
      <x v="377"/>
      <x v="2"/>
      <x v="64"/>
    </i>
    <i r="1">
      <x v="739"/>
      <x v="377"/>
      <x v="2"/>
      <x v="67"/>
    </i>
    <i r="1">
      <x v="740"/>
      <x v="377"/>
      <x v="2"/>
      <x v="199"/>
    </i>
    <i r="1">
      <x v="741"/>
      <x v="377"/>
      <x v="2"/>
      <x v="266"/>
    </i>
    <i r="1">
      <x v="742"/>
      <x v="378"/>
      <x v="2"/>
      <x/>
    </i>
    <i r="1">
      <x v="743"/>
      <x v="378"/>
      <x v="2"/>
      <x v="35"/>
    </i>
    <i r="1">
      <x v="744"/>
      <x v="378"/>
      <x v="2"/>
      <x v="54"/>
    </i>
    <i r="1">
      <x v="745"/>
      <x v="378"/>
      <x v="2"/>
      <x v="72"/>
    </i>
    <i r="1">
      <x v="746"/>
      <x v="378"/>
      <x v="2"/>
      <x v="79"/>
    </i>
    <i r="1">
      <x v="747"/>
      <x v="378"/>
      <x v="2"/>
      <x v="104"/>
    </i>
    <i r="1">
      <x v="748"/>
      <x v="378"/>
      <x v="2"/>
      <x v="110"/>
    </i>
    <i r="1">
      <x v="749"/>
      <x v="378"/>
      <x v="2"/>
      <x v="131"/>
    </i>
    <i r="1">
      <x v="750"/>
      <x v="378"/>
      <x v="2"/>
      <x v="155"/>
    </i>
    <i r="1">
      <x v="751"/>
      <x v="378"/>
      <x v="2"/>
      <x v="225"/>
    </i>
    <i r="1">
      <x v="752"/>
      <x v="378"/>
      <x v="2"/>
      <x v="234"/>
    </i>
    <i r="1">
      <x v="753"/>
      <x v="378"/>
      <x v="2"/>
      <x v="235"/>
    </i>
    <i r="1">
      <x v="754"/>
      <x v="378"/>
      <x v="2"/>
      <x v="240"/>
    </i>
    <i r="1">
      <x v="755"/>
      <x v="378"/>
      <x v="2"/>
      <x v="248"/>
    </i>
    <i r="1">
      <x v="756"/>
      <x v="378"/>
      <x v="2"/>
      <x v="251"/>
    </i>
    <i r="1">
      <x v="757"/>
      <x v="378"/>
      <x v="2"/>
      <x v="269"/>
    </i>
    <i r="1">
      <x v="758"/>
      <x v="378"/>
      <x v="2"/>
      <x v="273"/>
    </i>
    <i r="1">
      <x v="759"/>
      <x v="379"/>
      <x v="2"/>
      <x v="110"/>
    </i>
    <i r="1">
      <x v="760"/>
      <x v="379"/>
      <x v="2"/>
      <x v="145"/>
    </i>
    <i r="1">
      <x v="761"/>
      <x v="379"/>
      <x v="2"/>
      <x v="170"/>
    </i>
    <i r="1">
      <x v="762"/>
      <x v="379"/>
      <x v="2"/>
      <x v="221"/>
    </i>
    <i r="1">
      <x v="763"/>
      <x v="379"/>
      <x v="2"/>
      <x v="254"/>
    </i>
    <i r="1">
      <x v="764"/>
      <x v="379"/>
      <x v="2"/>
      <x v="269"/>
    </i>
    <i r="1">
      <x v="765"/>
      <x v="380"/>
      <x v="2"/>
      <x v="148"/>
    </i>
    <i r="1">
      <x v="766"/>
      <x v="380"/>
      <x v="2"/>
      <x v="181"/>
    </i>
    <i r="1">
      <x v="767"/>
      <x v="380"/>
      <x v="2"/>
      <x v="229"/>
    </i>
    <i r="1">
      <x v="768"/>
      <x v="380"/>
      <x v="2"/>
      <x v="231"/>
    </i>
    <i r="1">
      <x v="769"/>
      <x v="380"/>
      <x v="2"/>
      <x v="238"/>
    </i>
    <i r="1">
      <x v="770"/>
      <x v="380"/>
      <x v="2"/>
      <x v="241"/>
    </i>
    <i r="1">
      <x v="771"/>
      <x v="380"/>
      <x v="2"/>
      <x v="276"/>
    </i>
    <i r="1">
      <x v="772"/>
      <x v="381"/>
      <x v="2"/>
      <x v="52"/>
    </i>
    <i r="1">
      <x v="773"/>
      <x v="381"/>
      <x v="2"/>
      <x v="79"/>
    </i>
    <i r="1">
      <x v="774"/>
      <x v="381"/>
      <x v="2"/>
      <x v="163"/>
    </i>
    <i r="1">
      <x v="775"/>
      <x v="381"/>
      <x v="2"/>
      <x v="186"/>
    </i>
    <i r="1">
      <x v="776"/>
      <x v="381"/>
      <x v="2"/>
      <x v="242"/>
    </i>
    <i r="1">
      <x v="777"/>
      <x v="381"/>
      <x v="2"/>
      <x v="265"/>
    </i>
    <i r="1">
      <x v="778"/>
      <x v="381"/>
      <x v="2"/>
      <x v="282"/>
    </i>
    <i r="1">
      <x v="779"/>
      <x v="382"/>
      <x v="2"/>
      <x v="35"/>
    </i>
    <i r="1">
      <x v="780"/>
      <x v="382"/>
      <x v="2"/>
      <x v="44"/>
    </i>
    <i r="1">
      <x v="781"/>
      <x v="382"/>
      <x v="2"/>
      <x v="58"/>
    </i>
    <i r="1">
      <x v="782"/>
      <x v="382"/>
      <x v="2"/>
      <x v="70"/>
    </i>
    <i r="1">
      <x v="783"/>
      <x v="382"/>
      <x v="2"/>
      <x v="110"/>
    </i>
    <i r="1">
      <x v="784"/>
      <x v="382"/>
      <x v="2"/>
      <x v="142"/>
    </i>
    <i r="1">
      <x v="785"/>
      <x v="382"/>
      <x v="2"/>
      <x v="150"/>
    </i>
    <i r="1">
      <x v="786"/>
      <x v="382"/>
      <x v="2"/>
      <x v="162"/>
    </i>
    <i r="1">
      <x v="787"/>
      <x v="382"/>
      <x v="2"/>
      <x v="202"/>
    </i>
    <i r="1">
      <x v="788"/>
      <x v="382"/>
      <x v="2"/>
      <x v="265"/>
    </i>
    <i r="1">
      <x v="789"/>
      <x v="383"/>
      <x v="2"/>
      <x v="41"/>
    </i>
    <i r="1">
      <x v="790"/>
      <x v="383"/>
      <x v="2"/>
      <x v="107"/>
    </i>
    <i r="1">
      <x v="791"/>
      <x v="384"/>
      <x v="2"/>
      <x v="103"/>
    </i>
    <i r="1">
      <x v="792"/>
      <x v="384"/>
      <x v="2"/>
      <x v="120"/>
    </i>
    <i r="1">
      <x v="793"/>
      <x v="384"/>
      <x v="2"/>
      <x v="130"/>
    </i>
    <i r="1">
      <x v="794"/>
      <x v="385"/>
      <x v="2"/>
      <x v="50"/>
    </i>
    <i r="1">
      <x v="795"/>
      <x v="385"/>
      <x v="2"/>
      <x v="51"/>
    </i>
    <i r="1">
      <x v="796"/>
      <x v="385"/>
      <x v="2"/>
      <x v="104"/>
    </i>
    <i r="1">
      <x v="797"/>
      <x v="385"/>
      <x v="2"/>
      <x v="131"/>
    </i>
    <i r="1">
      <x v="798"/>
      <x v="385"/>
      <x v="2"/>
      <x v="170"/>
    </i>
    <i r="1">
      <x v="799"/>
      <x v="385"/>
      <x v="2"/>
      <x v="209"/>
    </i>
    <i r="1">
      <x v="800"/>
      <x v="385"/>
      <x v="2"/>
      <x v="210"/>
    </i>
    <i r="1">
      <x v="801"/>
      <x v="385"/>
      <x v="2"/>
      <x v="224"/>
    </i>
    <i r="1">
      <x v="802"/>
      <x v="385"/>
      <x v="2"/>
      <x v="246"/>
    </i>
    <i r="1">
      <x v="803"/>
      <x v="385"/>
      <x v="2"/>
      <x v="251"/>
    </i>
    <i r="1">
      <x v="804"/>
      <x v="386"/>
      <x v="2"/>
      <x v="203"/>
    </i>
    <i r="1">
      <x v="805"/>
      <x v="387"/>
      <x v="2"/>
      <x v="35"/>
    </i>
    <i r="1">
      <x v="806"/>
      <x v="387"/>
      <x v="2"/>
      <x v="143"/>
    </i>
    <i r="1">
      <x v="807"/>
      <x v="387"/>
      <x v="2"/>
      <x v="181"/>
    </i>
    <i r="1">
      <x v="808"/>
      <x v="387"/>
      <x v="2"/>
      <x v="199"/>
    </i>
    <i r="1">
      <x v="809"/>
      <x v="387"/>
      <x v="2"/>
      <x v="231"/>
    </i>
    <i r="1">
      <x v="810"/>
      <x v="387"/>
      <x v="2"/>
      <x v="270"/>
    </i>
    <i r="1">
      <x v="811"/>
      <x v="388"/>
      <x v="2"/>
      <x v="45"/>
    </i>
    <i r="1">
      <x v="812"/>
      <x v="388"/>
      <x v="2"/>
      <x v="89"/>
    </i>
    <i r="1">
      <x v="813"/>
      <x v="388"/>
      <x v="2"/>
      <x v="110"/>
    </i>
    <i r="1">
      <x v="814"/>
      <x v="388"/>
      <x v="2"/>
      <x v="140"/>
    </i>
    <i r="1">
      <x v="815"/>
      <x v="388"/>
      <x v="2"/>
      <x v="142"/>
    </i>
    <i r="1">
      <x v="816"/>
      <x v="388"/>
      <x v="2"/>
      <x v="149"/>
    </i>
    <i r="1">
      <x v="817"/>
      <x v="389"/>
      <x v="1"/>
      <x v="41"/>
    </i>
    <i r="1">
      <x v="818"/>
      <x v="389"/>
      <x v="2"/>
      <x v="109"/>
    </i>
    <i r="1">
      <x v="819"/>
      <x v="389"/>
      <x v="2"/>
      <x v="110"/>
    </i>
    <i r="1">
      <x v="820"/>
      <x v="389"/>
      <x v="2"/>
      <x v="148"/>
    </i>
    <i r="1">
      <x v="821"/>
      <x v="389"/>
      <x v="2"/>
      <x v="162"/>
    </i>
    <i r="1">
      <x v="822"/>
      <x v="389"/>
      <x v="2"/>
      <x v="172"/>
    </i>
    <i r="1">
      <x v="823"/>
      <x v="389"/>
      <x v="2"/>
      <x v="189"/>
    </i>
    <i r="1">
      <x v="824"/>
      <x v="389"/>
      <x v="1"/>
      <x v="269"/>
    </i>
    <i r="1">
      <x v="825"/>
      <x v="390"/>
      <x v="2"/>
      <x v="97"/>
    </i>
    <i r="1">
      <x v="826"/>
      <x v="390"/>
      <x v="2"/>
      <x v="110"/>
    </i>
    <i r="1">
      <x v="827"/>
      <x v="390"/>
      <x v="2"/>
      <x v="193"/>
    </i>
    <i r="1">
      <x v="828"/>
      <x v="390"/>
      <x v="2"/>
      <x v="197"/>
    </i>
    <i r="1">
      <x v="829"/>
      <x v="390"/>
      <x v="2"/>
      <x v="199"/>
    </i>
    <i r="1">
      <x v="830"/>
      <x v="390"/>
      <x v="2"/>
      <x v="215"/>
    </i>
    <i r="1">
      <x v="831"/>
      <x v="390"/>
      <x v="2"/>
      <x v="238"/>
    </i>
    <i r="1">
      <x v="832"/>
      <x v="390"/>
      <x v="2"/>
      <x v="239"/>
    </i>
    <i r="1">
      <x v="833"/>
      <x v="391"/>
      <x v="2"/>
      <x v="105"/>
    </i>
    <i r="1">
      <x v="834"/>
      <x v="391"/>
      <x v="2"/>
      <x v="106"/>
    </i>
    <i r="1">
      <x v="835"/>
      <x v="391"/>
      <x v="3"/>
      <x v="120"/>
    </i>
    <i r="1">
      <x v="836"/>
      <x v="391"/>
      <x v="2"/>
      <x v="175"/>
    </i>
    <i r="1">
      <x v="837"/>
      <x v="391"/>
      <x v="2"/>
      <x v="182"/>
    </i>
    <i r="1">
      <x v="838"/>
      <x v="391"/>
      <x v="2"/>
      <x v="228"/>
    </i>
    <i r="1">
      <x v="839"/>
      <x v="392"/>
      <x v="2"/>
      <x v="33"/>
    </i>
    <i r="1">
      <x v="840"/>
      <x v="392"/>
      <x v="2"/>
      <x v="55"/>
    </i>
    <i r="1">
      <x v="841"/>
      <x v="392"/>
      <x v="2"/>
      <x v="110"/>
    </i>
    <i r="1">
      <x v="842"/>
      <x v="392"/>
      <x v="2"/>
      <x v="159"/>
    </i>
    <i r="1">
      <x v="843"/>
      <x v="392"/>
      <x v="2"/>
      <x v="182"/>
    </i>
    <i r="1">
      <x v="844"/>
      <x v="392"/>
      <x v="2"/>
      <x v="223"/>
    </i>
    <i r="1">
      <x v="845"/>
      <x v="392"/>
      <x v="2"/>
      <x v="238"/>
    </i>
    <i r="1">
      <x v="846"/>
      <x v="392"/>
      <x v="2"/>
      <x v="246"/>
    </i>
    <i r="1">
      <x v="847"/>
      <x v="393"/>
      <x v="2"/>
      <x v="52"/>
    </i>
    <i r="1">
      <x v="848"/>
      <x v="393"/>
      <x v="2"/>
      <x v="79"/>
    </i>
    <i r="1">
      <x v="849"/>
      <x v="393"/>
      <x v="2"/>
      <x v="181"/>
    </i>
    <i r="1">
      <x v="850"/>
      <x v="393"/>
      <x v="2"/>
      <x v="186"/>
    </i>
    <i r="1">
      <x v="851"/>
      <x v="394"/>
      <x v="2"/>
      <x v="42"/>
    </i>
    <i r="1">
      <x v="852"/>
      <x v="394"/>
      <x v="2"/>
      <x v="104"/>
    </i>
    <i r="1">
      <x v="853"/>
      <x v="395"/>
      <x v="2"/>
      <x v="56"/>
    </i>
    <i r="1">
      <x v="854"/>
      <x v="395"/>
      <x v="2"/>
      <x v="110"/>
    </i>
    <i r="1">
      <x v="855"/>
      <x v="395"/>
      <x v="2"/>
      <x v="148"/>
    </i>
    <i r="1">
      <x v="856"/>
      <x v="395"/>
      <x v="2"/>
      <x v="162"/>
    </i>
    <i r="1">
      <x v="857"/>
      <x v="395"/>
      <x v="2"/>
      <x v="179"/>
    </i>
    <i r="1">
      <x v="858"/>
      <x v="395"/>
      <x v="2"/>
      <x v="184"/>
    </i>
    <i r="1">
      <x v="859"/>
      <x v="395"/>
      <x v="2"/>
      <x v="214"/>
    </i>
    <i r="1">
      <x v="860"/>
      <x v="396"/>
      <x v="2"/>
      <x v="125"/>
    </i>
    <i r="1">
      <x v="861"/>
      <x v="396"/>
      <x v="2"/>
      <x v="194"/>
    </i>
    <i r="1">
      <x v="862"/>
      <x v="396"/>
      <x v="2"/>
      <x v="256"/>
    </i>
    <i r="1">
      <x v="863"/>
      <x v="396"/>
      <x v="2"/>
      <x v="260"/>
    </i>
    <i r="1">
      <x v="864"/>
      <x v="396"/>
      <x v="2"/>
      <x v="294"/>
    </i>
    <i r="1">
      <x v="865"/>
      <x v="397"/>
      <x v="2"/>
      <x v="41"/>
    </i>
    <i r="1">
      <x v="866"/>
      <x v="397"/>
      <x v="2"/>
      <x v="72"/>
    </i>
    <i r="1">
      <x v="867"/>
      <x v="397"/>
      <x v="2"/>
      <x v="105"/>
    </i>
    <i r="1">
      <x v="868"/>
      <x v="397"/>
      <x v="2"/>
      <x v="110"/>
    </i>
    <i r="1">
      <x v="869"/>
      <x v="397"/>
      <x v="2"/>
      <x v="114"/>
    </i>
    <i r="1">
      <x v="870"/>
      <x v="397"/>
      <x v="2"/>
      <x v="147"/>
    </i>
    <i r="1">
      <x v="871"/>
      <x v="397"/>
      <x v="2"/>
      <x v="158"/>
    </i>
    <i r="1">
      <x v="872"/>
      <x v="397"/>
      <x v="2"/>
      <x v="170"/>
    </i>
    <i r="1">
      <x v="873"/>
      <x v="397"/>
      <x v="2"/>
      <x v="211"/>
    </i>
    <i r="1">
      <x v="874"/>
      <x v="397"/>
      <x v="2"/>
      <x v="221"/>
    </i>
    <i r="1">
      <x v="875"/>
      <x v="397"/>
      <x v="2"/>
      <x v="268"/>
    </i>
    <i r="1">
      <x v="876"/>
      <x v="397"/>
      <x v="2"/>
      <x v="288"/>
    </i>
    <i r="1">
      <x v="877"/>
      <x v="398"/>
      <x v="2"/>
      <x v="46"/>
    </i>
    <i r="1">
      <x v="878"/>
      <x v="398"/>
      <x v="2"/>
      <x v="95"/>
    </i>
    <i r="1">
      <x v="879"/>
      <x v="398"/>
      <x v="2"/>
      <x v="104"/>
    </i>
    <i r="1">
      <x v="880"/>
      <x v="398"/>
      <x v="2"/>
      <x v="110"/>
    </i>
    <i r="1">
      <x v="881"/>
      <x v="398"/>
      <x v="2"/>
      <x v="120"/>
    </i>
    <i r="1">
      <x v="882"/>
      <x v="398"/>
      <x v="2"/>
      <x v="136"/>
    </i>
    <i r="1">
      <x v="883"/>
      <x v="398"/>
      <x v="2"/>
      <x v="165"/>
    </i>
    <i r="1">
      <x v="884"/>
      <x v="398"/>
      <x v="2"/>
      <x v="254"/>
    </i>
    <i r="1">
      <x v="885"/>
      <x v="398"/>
      <x v="2"/>
      <x v="285"/>
    </i>
    <i r="1">
      <x v="886"/>
      <x v="399"/>
      <x v="2"/>
      <x v="90"/>
    </i>
    <i r="1">
      <x v="887"/>
      <x v="399"/>
      <x v="2"/>
      <x v="142"/>
    </i>
    <i r="1">
      <x v="888"/>
      <x v="399"/>
      <x v="2"/>
      <x v="144"/>
    </i>
    <i r="1">
      <x v="889"/>
      <x v="399"/>
      <x v="2"/>
      <x v="203"/>
    </i>
    <i r="1">
      <x v="890"/>
      <x v="399"/>
      <x v="2"/>
      <x v="224"/>
    </i>
    <i r="1">
      <x v="891"/>
      <x v="399"/>
      <x v="2"/>
      <x v="240"/>
    </i>
    <i r="1">
      <x v="892"/>
      <x v="399"/>
      <x v="2"/>
      <x v="247"/>
    </i>
    <i r="1">
      <x v="893"/>
      <x v="399"/>
      <x v="2"/>
      <x v="265"/>
    </i>
    <i r="1">
      <x v="894"/>
      <x v="399"/>
      <x v="2"/>
      <x v="273"/>
    </i>
    <i r="1">
      <x v="895"/>
      <x v="400"/>
      <x v="2"/>
      <x v="70"/>
    </i>
    <i r="1">
      <x v="896"/>
      <x v="400"/>
      <x v="2"/>
      <x v="72"/>
    </i>
    <i r="1">
      <x v="897"/>
      <x v="400"/>
      <x v="2"/>
      <x v="79"/>
    </i>
    <i r="1">
      <x v="898"/>
      <x v="400"/>
      <x v="2"/>
      <x v="181"/>
    </i>
    <i r="1">
      <x v="899"/>
      <x v="400"/>
      <x v="2"/>
      <x v="186"/>
    </i>
    <i r="1">
      <x v="900"/>
      <x v="400"/>
      <x v="2"/>
      <x v="234"/>
    </i>
    <i r="1">
      <x v="901"/>
      <x v="401"/>
      <x v="2"/>
      <x v="44"/>
    </i>
    <i r="1">
      <x v="902"/>
      <x v="401"/>
      <x v="2"/>
      <x v="79"/>
    </i>
    <i r="1">
      <x v="903"/>
      <x v="401"/>
      <x v="2"/>
      <x v="110"/>
    </i>
    <i r="1">
      <x v="904"/>
      <x v="401"/>
      <x v="2"/>
      <x v="168"/>
    </i>
    <i r="1">
      <x v="905"/>
      <x v="401"/>
      <x v="2"/>
      <x v="183"/>
    </i>
    <i r="1">
      <x v="906"/>
      <x v="401"/>
      <x v="2"/>
      <x v="286"/>
    </i>
    <i r="1">
      <x v="907"/>
      <x v="402"/>
      <x v="2"/>
      <x v="35"/>
    </i>
    <i r="1">
      <x v="908"/>
      <x v="402"/>
      <x v="2"/>
      <x v="70"/>
    </i>
    <i r="1">
      <x v="909"/>
      <x v="402"/>
      <x v="2"/>
      <x v="107"/>
    </i>
    <i r="1">
      <x v="910"/>
      <x v="402"/>
      <x v="2"/>
      <x v="110"/>
    </i>
    <i r="1">
      <x v="911"/>
      <x v="402"/>
      <x v="2"/>
      <x v="130"/>
    </i>
    <i r="1">
      <x v="912"/>
      <x v="402"/>
      <x v="2"/>
      <x v="242"/>
    </i>
    <i r="1">
      <x v="913"/>
      <x v="403"/>
      <x v="2"/>
      <x v="35"/>
    </i>
    <i r="1">
      <x v="914"/>
      <x v="403"/>
      <x v="2"/>
      <x v="45"/>
    </i>
    <i r="1">
      <x v="915"/>
      <x v="403"/>
      <x v="2"/>
      <x v="107"/>
    </i>
    <i r="1">
      <x v="916"/>
      <x v="403"/>
      <x v="2"/>
      <x v="109"/>
    </i>
    <i r="1">
      <x v="917"/>
      <x v="403"/>
      <x v="2"/>
      <x v="110"/>
    </i>
    <i r="1">
      <x v="918"/>
      <x v="403"/>
      <x v="2"/>
      <x v="115"/>
    </i>
    <i r="1">
      <x v="919"/>
      <x v="403"/>
      <x v="2"/>
      <x v="133"/>
    </i>
    <i r="1">
      <x v="920"/>
      <x v="403"/>
      <x v="2"/>
      <x v="154"/>
    </i>
    <i r="1">
      <x v="921"/>
      <x v="403"/>
      <x v="2"/>
      <x v="172"/>
    </i>
    <i r="1">
      <x v="922"/>
      <x v="403"/>
      <x v="2"/>
      <x v="205"/>
    </i>
    <i r="1">
      <x v="923"/>
      <x v="404"/>
      <x v="2"/>
      <x v="21"/>
    </i>
    <i r="1">
      <x v="924"/>
      <x v="404"/>
      <x v="2"/>
      <x v="50"/>
    </i>
    <i r="1">
      <x v="925"/>
      <x v="404"/>
      <x v="2"/>
      <x v="80"/>
    </i>
    <i r="1">
      <x v="926"/>
      <x v="404"/>
      <x v="2"/>
      <x v="147"/>
    </i>
    <i r="1">
      <x v="927"/>
      <x v="404"/>
      <x v="2"/>
      <x v="165"/>
    </i>
    <i r="1">
      <x v="928"/>
      <x v="404"/>
      <x v="2"/>
      <x v="217"/>
    </i>
    <i r="1">
      <x v="929"/>
      <x v="404"/>
      <x v="2"/>
      <x v="241"/>
    </i>
    <i r="1">
      <x v="930"/>
      <x v="404"/>
      <x v="2"/>
      <x v="290"/>
    </i>
    <i r="1">
      <x v="931"/>
      <x v="405"/>
      <x v="2"/>
      <x v="70"/>
    </i>
    <i r="1">
      <x v="932"/>
      <x v="405"/>
      <x v="2"/>
      <x v="73"/>
    </i>
    <i r="1">
      <x v="933"/>
      <x v="405"/>
      <x v="2"/>
      <x v="80"/>
    </i>
    <i r="1">
      <x v="934"/>
      <x v="405"/>
      <x v="2"/>
      <x v="115"/>
    </i>
    <i r="1">
      <x v="935"/>
      <x v="405"/>
      <x v="2"/>
      <x v="204"/>
    </i>
    <i r="1">
      <x v="936"/>
      <x v="405"/>
      <x v="2"/>
      <x v="210"/>
    </i>
    <i r="1">
      <x v="937"/>
      <x v="405"/>
      <x v="2"/>
      <x v="217"/>
    </i>
    <i r="1">
      <x v="938"/>
      <x v="405"/>
      <x v="2"/>
      <x v="225"/>
    </i>
    <i r="1">
      <x v="939"/>
      <x v="405"/>
      <x v="2"/>
      <x v="254"/>
    </i>
    <i r="1">
      <x v="940"/>
      <x v="405"/>
      <x v="2"/>
      <x v="282"/>
    </i>
    <i r="1">
      <x v="941"/>
      <x v="406"/>
      <x v="2"/>
      <x v="70"/>
    </i>
    <i r="1">
      <x v="942"/>
      <x v="406"/>
      <x v="2"/>
      <x v="108"/>
    </i>
    <i r="1">
      <x v="943"/>
      <x v="406"/>
      <x v="2"/>
      <x v="181"/>
    </i>
    <i r="1">
      <x v="944"/>
      <x v="406"/>
      <x v="2"/>
      <x v="199"/>
    </i>
    <i r="1">
      <x v="945"/>
      <x v="406"/>
      <x v="2"/>
      <x v="233"/>
    </i>
    <i r="1">
      <x v="946"/>
      <x v="406"/>
      <x v="2"/>
      <x v="247"/>
    </i>
    <i r="1">
      <x v="947"/>
      <x v="406"/>
      <x v="2"/>
      <x v="269"/>
    </i>
    <i r="1">
      <x v="948"/>
      <x v="407"/>
      <x v="2"/>
      <x v="52"/>
    </i>
    <i r="1">
      <x v="949"/>
      <x v="407"/>
      <x v="2"/>
      <x v="145"/>
    </i>
    <i r="1">
      <x v="950"/>
      <x v="407"/>
      <x v="2"/>
      <x v="234"/>
    </i>
    <i r="1">
      <x v="951"/>
      <x v="407"/>
      <x v="2"/>
      <x v="265"/>
    </i>
    <i r="1">
      <x v="952"/>
      <x v="407"/>
      <x v="2"/>
      <x v="289"/>
    </i>
    <i r="1">
      <x v="953"/>
      <x v="408"/>
      <x v="2"/>
      <x v="41"/>
    </i>
    <i r="1">
      <x v="954"/>
      <x v="408"/>
      <x v="2"/>
      <x v="50"/>
    </i>
    <i r="1">
      <x v="955"/>
      <x v="408"/>
      <x v="2"/>
      <x v="110"/>
    </i>
    <i r="1">
      <x v="956"/>
      <x v="408"/>
      <x v="2"/>
      <x v="210"/>
    </i>
    <i r="1">
      <x v="957"/>
      <x v="408"/>
      <x v="2"/>
      <x v="234"/>
    </i>
    <i r="1">
      <x v="958"/>
      <x v="408"/>
      <x v="2"/>
      <x v="251"/>
    </i>
    <i r="1">
      <x v="959"/>
      <x v="409"/>
      <x v="2"/>
      <x v="35"/>
    </i>
    <i r="1">
      <x v="960"/>
      <x v="409"/>
      <x v="2"/>
      <x v="106"/>
    </i>
    <i r="1">
      <x v="961"/>
      <x v="409"/>
      <x v="2"/>
      <x v="162"/>
    </i>
    <i r="1">
      <x v="962"/>
      <x v="409"/>
      <x v="2"/>
      <x v="245"/>
    </i>
    <i r="1">
      <x v="963"/>
      <x v="409"/>
      <x v="2"/>
      <x v="274"/>
    </i>
    <i r="1">
      <x v="964"/>
      <x v="410"/>
      <x v="2"/>
      <x v="53"/>
    </i>
    <i r="1">
      <x v="965"/>
      <x v="410"/>
      <x v="2"/>
      <x v="56"/>
    </i>
    <i r="1">
      <x v="966"/>
      <x v="410"/>
      <x v="2"/>
      <x v="79"/>
    </i>
    <i r="1">
      <x v="967"/>
      <x v="410"/>
      <x v="2"/>
      <x v="80"/>
    </i>
    <i r="1">
      <x v="968"/>
      <x v="410"/>
      <x v="2"/>
      <x v="110"/>
    </i>
    <i r="1">
      <x v="969"/>
      <x v="410"/>
      <x v="2"/>
      <x v="269"/>
    </i>
    <i r="1">
      <x v="970"/>
      <x v="410"/>
      <x v="2"/>
      <x v="291"/>
    </i>
    <i r="1">
      <x v="971"/>
      <x v="411"/>
      <x v="2"/>
      <x v="41"/>
    </i>
    <i r="1">
      <x v="972"/>
      <x v="411"/>
      <x v="2"/>
      <x v="167"/>
    </i>
    <i r="1">
      <x v="973"/>
      <x v="412"/>
      <x/>
      <x v="45"/>
    </i>
    <i r="1">
      <x v="974"/>
      <x v="412"/>
      <x/>
      <x v="64"/>
    </i>
    <i r="1">
      <x v="975"/>
      <x v="412"/>
      <x/>
      <x v="242"/>
    </i>
    <i r="1">
      <x v="976"/>
      <x v="412"/>
      <x/>
      <x v="294"/>
    </i>
    <i r="1">
      <x v="977"/>
      <x v="413"/>
      <x v="2"/>
      <x v="110"/>
    </i>
    <i r="1">
      <x v="978"/>
      <x v="413"/>
      <x v="2"/>
      <x v="142"/>
    </i>
    <i r="1">
      <x v="979"/>
      <x v="413"/>
      <x v="2"/>
      <x v="167"/>
    </i>
    <i r="1">
      <x v="980"/>
      <x v="413"/>
      <x v="2"/>
      <x v="169"/>
    </i>
    <i r="1">
      <x v="981"/>
      <x v="413"/>
      <x v="2"/>
      <x v="203"/>
    </i>
    <i r="1">
      <x v="982"/>
      <x v="413"/>
      <x v="2"/>
      <x v="277"/>
    </i>
    <i r="1">
      <x v="983"/>
      <x v="414"/>
      <x/>
      <x v="110"/>
    </i>
    <i r="1">
      <x v="984"/>
      <x v="414"/>
      <x/>
      <x v="160"/>
    </i>
    <i r="1">
      <x v="985"/>
      <x v="414"/>
      <x/>
      <x v="173"/>
    </i>
    <i r="1">
      <x v="986"/>
      <x v="414"/>
      <x/>
      <x v="182"/>
    </i>
    <i r="1">
      <x v="987"/>
      <x v="414"/>
      <x/>
      <x v="238"/>
    </i>
    <i r="1">
      <x v="988"/>
      <x v="414"/>
      <x/>
      <x v="288"/>
    </i>
    <i r="1">
      <x v="989"/>
      <x v="415"/>
      <x v="2"/>
      <x v="28"/>
    </i>
    <i r="1">
      <x v="990"/>
      <x v="415"/>
      <x v="2"/>
      <x v="30"/>
    </i>
    <i r="1">
      <x v="991"/>
      <x v="415"/>
      <x v="2"/>
      <x v="148"/>
    </i>
    <i r="1">
      <x v="992"/>
      <x v="415"/>
      <x v="2"/>
      <x v="184"/>
    </i>
    <i r="1">
      <x v="993"/>
      <x v="416"/>
      <x v="2"/>
      <x v="27"/>
    </i>
    <i r="1">
      <x v="994"/>
      <x v="416"/>
      <x v="2"/>
      <x v="51"/>
    </i>
    <i r="1">
      <x v="995"/>
      <x v="416"/>
      <x v="2"/>
      <x v="64"/>
    </i>
    <i r="1">
      <x v="996"/>
      <x v="416"/>
      <x v="2"/>
      <x v="94"/>
    </i>
    <i r="1">
      <x v="997"/>
      <x v="416"/>
      <x v="2"/>
      <x v="110"/>
    </i>
    <i r="1">
      <x v="998"/>
      <x v="416"/>
      <x v="2"/>
      <x v="206"/>
    </i>
    <i r="1">
      <x v="999"/>
      <x v="416"/>
      <x v="2"/>
      <x v="240"/>
    </i>
    <i r="1">
      <x v="1000"/>
      <x v="416"/>
      <x v="2"/>
      <x v="242"/>
    </i>
    <i r="1">
      <x v="1001"/>
      <x v="417"/>
      <x v="2"/>
      <x v="139"/>
    </i>
    <i r="1">
      <x v="1002"/>
      <x v="417"/>
      <x v="2"/>
      <x v="167"/>
    </i>
    <i r="1">
      <x v="1003"/>
      <x v="418"/>
      <x v="2"/>
      <x v="55"/>
    </i>
    <i r="1">
      <x v="1004"/>
      <x v="418"/>
      <x v="2"/>
      <x v="70"/>
    </i>
    <i r="1">
      <x v="1005"/>
      <x v="418"/>
      <x v="2"/>
      <x v="104"/>
    </i>
    <i r="1">
      <x v="1006"/>
      <x v="418"/>
      <x v="2"/>
      <x v="110"/>
    </i>
    <i r="1">
      <x v="1007"/>
      <x v="418"/>
      <x v="2"/>
      <x v="123"/>
    </i>
    <i r="1">
      <x v="1008"/>
      <x v="418"/>
      <x v="2"/>
      <x v="131"/>
    </i>
    <i r="1">
      <x v="1009"/>
      <x v="418"/>
      <x v="2"/>
      <x v="136"/>
    </i>
    <i r="1">
      <x v="1010"/>
      <x v="418"/>
      <x v="2"/>
      <x v="150"/>
    </i>
    <i r="1">
      <x v="1011"/>
      <x v="418"/>
      <x v="2"/>
      <x v="201"/>
    </i>
    <i r="1">
      <x v="1012"/>
      <x v="418"/>
      <x v="2"/>
      <x v="215"/>
    </i>
    <i r="1">
      <x v="1013"/>
      <x v="418"/>
      <x v="2"/>
      <x v="279"/>
    </i>
    <i r="1">
      <x v="1014"/>
      <x v="419"/>
      <x v="2"/>
      <x v="33"/>
    </i>
    <i r="1">
      <x v="1015"/>
      <x v="419"/>
      <x v="2"/>
      <x v="34"/>
    </i>
    <i r="1">
      <x v="1016"/>
      <x v="419"/>
      <x v="2"/>
      <x v="55"/>
    </i>
    <i r="1">
      <x v="1017"/>
      <x v="419"/>
      <x v="2"/>
      <x v="95"/>
    </i>
    <i r="1">
      <x v="1018"/>
      <x v="419"/>
      <x v="2"/>
      <x v="110"/>
    </i>
    <i r="1">
      <x v="1019"/>
      <x v="419"/>
      <x v="2"/>
      <x v="123"/>
    </i>
    <i r="1">
      <x v="1020"/>
      <x v="419"/>
      <x v="2"/>
      <x v="128"/>
    </i>
    <i r="1">
      <x v="1021"/>
      <x v="419"/>
      <x v="2"/>
      <x v="151"/>
    </i>
    <i r="1">
      <x v="1022"/>
      <x v="419"/>
      <x v="2"/>
      <x v="181"/>
    </i>
    <i r="1">
      <x v="1023"/>
      <x v="420"/>
      <x v="2"/>
      <x v="36"/>
    </i>
    <i r="1">
      <x v="1024"/>
      <x v="420"/>
      <x v="2"/>
      <x v="188"/>
    </i>
    <i r="1">
      <x v="1025"/>
      <x v="420"/>
      <x v="2"/>
      <x v="203"/>
    </i>
    <i r="1">
      <x v="1026"/>
      <x v="420"/>
      <x v="3"/>
      <x v="246"/>
    </i>
    <i r="1">
      <x v="1027"/>
      <x v="420"/>
      <x v="2"/>
      <x v="251"/>
    </i>
    <i r="1">
      <x v="1028"/>
      <x v="421"/>
      <x v="2"/>
      <x v="41"/>
    </i>
    <i r="1">
      <x v="1029"/>
      <x v="421"/>
      <x v="2"/>
      <x v="52"/>
    </i>
    <i r="1">
      <x v="1030"/>
      <x v="421"/>
      <x v="2"/>
      <x v="79"/>
    </i>
    <i r="1">
      <x v="1031"/>
      <x v="421"/>
      <x v="2"/>
      <x v="80"/>
    </i>
    <i r="1">
      <x v="1032"/>
      <x v="421"/>
      <x v="2"/>
      <x v="195"/>
    </i>
    <i r="1">
      <x v="1033"/>
      <x v="421"/>
      <x v="2"/>
      <x v="234"/>
    </i>
    <i r="1">
      <x v="1034"/>
      <x v="421"/>
      <x v="2"/>
      <x v="241"/>
    </i>
    <i r="1">
      <x v="1035"/>
      <x v="421"/>
      <x v="2"/>
      <x v="280"/>
    </i>
    <i r="1">
      <x v="1036"/>
      <x v="422"/>
      <x v="2"/>
      <x v="35"/>
    </i>
    <i r="1">
      <x v="1037"/>
      <x v="422"/>
      <x v="2"/>
      <x v="72"/>
    </i>
    <i r="1">
      <x v="1038"/>
      <x v="422"/>
      <x v="2"/>
      <x v="214"/>
    </i>
    <i r="1">
      <x v="1039"/>
      <x v="422"/>
      <x v="2"/>
      <x v="223"/>
    </i>
    <i r="1">
      <x v="1040"/>
      <x v="422"/>
      <x v="2"/>
      <x v="246"/>
    </i>
    <i r="1">
      <x v="1041"/>
      <x v="422"/>
      <x v="2"/>
      <x v="269"/>
    </i>
    <i r="1">
      <x v="1042"/>
      <x v="423"/>
      <x v="2"/>
      <x v="41"/>
    </i>
    <i r="1">
      <x v="1043"/>
      <x v="423"/>
      <x v="2"/>
      <x v="242"/>
    </i>
    <i r="1">
      <x v="1044"/>
      <x v="424"/>
      <x/>
      <x/>
    </i>
    <i r="1">
      <x v="1045"/>
      <x v="424"/>
      <x/>
      <x v="21"/>
    </i>
    <i r="1">
      <x v="1046"/>
      <x v="424"/>
      <x v="2"/>
      <x v="31"/>
    </i>
    <i r="1">
      <x v="1047"/>
      <x v="424"/>
      <x/>
      <x v="159"/>
    </i>
    <i r="1">
      <x v="1048"/>
      <x v="425"/>
      <x v="2"/>
      <x v="45"/>
    </i>
    <i r="1">
      <x v="1049"/>
      <x v="425"/>
      <x v="2"/>
      <x v="265"/>
    </i>
    <i r="1">
      <x v="1050"/>
      <x v="425"/>
      <x v="2"/>
      <x v="267"/>
    </i>
    <i r="1">
      <x v="1051"/>
      <x v="426"/>
      <x v="3"/>
      <x v="79"/>
    </i>
    <i r="1">
      <x v="1052"/>
      <x v="426"/>
      <x/>
      <x v="79"/>
    </i>
    <i r="1">
      <x v="1053"/>
      <x v="426"/>
      <x v="3"/>
      <x v="107"/>
    </i>
    <i r="1">
      <x v="1054"/>
      <x v="426"/>
      <x v="3"/>
      <x v="110"/>
    </i>
    <i r="1">
      <x v="1055"/>
      <x v="426"/>
      <x/>
      <x v="110"/>
    </i>
    <i r="1">
      <x v="1056"/>
      <x v="426"/>
      <x/>
      <x v="120"/>
    </i>
    <i r="1">
      <x v="1057"/>
      <x v="426"/>
      <x/>
      <x v="182"/>
    </i>
    <i r="1">
      <x v="1058"/>
      <x v="427"/>
      <x v="3"/>
      <x v="57"/>
    </i>
    <i r="1">
      <x v="1059"/>
      <x v="427"/>
      <x v="3"/>
      <x v="146"/>
    </i>
    <i r="1">
      <x v="1060"/>
      <x v="427"/>
      <x v="3"/>
      <x v="210"/>
    </i>
    <i r="1">
      <x v="1061"/>
      <x v="428"/>
      <x v="2"/>
      <x v="25"/>
    </i>
    <i r="1">
      <x v="1062"/>
      <x v="428"/>
      <x v="2"/>
      <x v="26"/>
    </i>
    <i r="1">
      <x v="1063"/>
      <x v="428"/>
      <x v="2"/>
      <x v="72"/>
    </i>
    <i r="1">
      <x v="1064"/>
      <x v="428"/>
      <x v="2"/>
      <x v="79"/>
    </i>
    <i r="1">
      <x v="1065"/>
      <x v="428"/>
      <x v="2"/>
      <x v="80"/>
    </i>
    <i r="1">
      <x v="1066"/>
      <x v="428"/>
      <x v="2"/>
      <x v="110"/>
    </i>
    <i r="1">
      <x v="1067"/>
      <x v="428"/>
      <x v="2"/>
      <x v="130"/>
    </i>
    <i r="1">
      <x v="1068"/>
      <x v="428"/>
      <x v="2"/>
      <x v="188"/>
    </i>
    <i r="1">
      <x v="1069"/>
      <x v="428"/>
      <x v="2"/>
      <x v="231"/>
    </i>
    <i r="1">
      <x v="1070"/>
      <x v="428"/>
      <x v="3"/>
      <x v="231"/>
    </i>
    <i r="1">
      <x v="1071"/>
      <x v="428"/>
      <x v="2"/>
      <x v="234"/>
    </i>
    <i r="1">
      <x v="1072"/>
      <x v="429"/>
      <x v="2"/>
      <x v="28"/>
    </i>
    <i r="1">
      <x v="1073"/>
      <x v="429"/>
      <x v="2"/>
      <x v="44"/>
    </i>
    <i r="1">
      <x v="1074"/>
      <x v="429"/>
      <x v="2"/>
      <x v="79"/>
    </i>
    <i r="1">
      <x v="1075"/>
      <x v="429"/>
      <x v="2"/>
      <x v="110"/>
    </i>
    <i r="1">
      <x v="1076"/>
      <x v="430"/>
      <x v="2"/>
      <x v="56"/>
    </i>
    <i r="1">
      <x v="1077"/>
      <x v="430"/>
      <x v="2"/>
      <x v="70"/>
    </i>
    <i r="1">
      <x v="1078"/>
      <x v="430"/>
      <x v="2"/>
      <x v="72"/>
    </i>
    <i r="1">
      <x v="1079"/>
      <x v="430"/>
      <x v="2"/>
      <x v="115"/>
    </i>
    <i r="1">
      <x v="1080"/>
      <x v="430"/>
      <x v="2"/>
      <x v="142"/>
    </i>
    <i r="1">
      <x v="1081"/>
      <x v="430"/>
      <x v="2"/>
      <x v="165"/>
    </i>
    <i r="1">
      <x v="1082"/>
      <x v="430"/>
      <x v="2"/>
      <x v="181"/>
    </i>
    <i r="1">
      <x v="1083"/>
      <x v="430"/>
      <x v="2"/>
      <x v="204"/>
    </i>
    <i r="1">
      <x v="1084"/>
      <x v="430"/>
      <x v="2"/>
      <x v="205"/>
    </i>
    <i r="1">
      <x v="1085"/>
      <x v="431"/>
      <x v="2"/>
      <x v="46"/>
    </i>
    <i r="1">
      <x v="1086"/>
      <x v="431"/>
      <x v="2"/>
      <x v="73"/>
    </i>
    <i r="1">
      <x v="1087"/>
      <x v="431"/>
      <x v="2"/>
      <x v="102"/>
    </i>
    <i r="1">
      <x v="1088"/>
      <x v="431"/>
      <x v="2"/>
      <x v="104"/>
    </i>
    <i r="1">
      <x v="1089"/>
      <x v="431"/>
      <x v="2"/>
      <x v="106"/>
    </i>
    <i r="1">
      <x v="1090"/>
      <x v="431"/>
      <x v="2"/>
      <x v="124"/>
    </i>
    <i r="1">
      <x v="1091"/>
      <x v="431"/>
      <x v="2"/>
      <x v="172"/>
    </i>
    <i r="1">
      <x v="1092"/>
      <x v="431"/>
      <x v="2"/>
      <x v="193"/>
    </i>
    <i r="1">
      <x v="1093"/>
      <x v="431"/>
      <x v="2"/>
      <x v="234"/>
    </i>
    <i r="1">
      <x v="1094"/>
      <x v="431"/>
      <x v="2"/>
      <x v="239"/>
    </i>
    <i r="1">
      <x v="1095"/>
      <x v="431"/>
      <x v="2"/>
      <x v="242"/>
    </i>
    <i r="1">
      <x v="1096"/>
      <x v="432"/>
      <x v="2"/>
      <x v="149"/>
    </i>
    <i r="1">
      <x v="1097"/>
      <x v="432"/>
      <x v="2"/>
      <x v="172"/>
    </i>
    <i r="1">
      <x v="1098"/>
      <x v="433"/>
      <x v="2"/>
      <x v="41"/>
    </i>
    <i r="1">
      <x v="1099"/>
      <x v="433"/>
      <x v="2"/>
      <x v="110"/>
    </i>
    <i r="1">
      <x v="1100"/>
      <x v="433"/>
      <x v="2"/>
      <x v="181"/>
    </i>
    <i r="1">
      <x v="1101"/>
      <x v="434"/>
      <x v="2"/>
      <x v="240"/>
    </i>
    <i r="1">
      <x v="1102"/>
      <x v="435"/>
      <x v="2"/>
      <x v="52"/>
    </i>
    <i r="1">
      <x v="1103"/>
      <x v="435"/>
      <x v="2"/>
      <x v="64"/>
    </i>
    <i r="1">
      <x v="1104"/>
      <x v="435"/>
      <x v="2"/>
      <x v="87"/>
    </i>
    <i r="1">
      <x v="1105"/>
      <x v="435"/>
      <x v="2"/>
      <x v="110"/>
    </i>
    <i r="1">
      <x v="1106"/>
      <x v="435"/>
      <x v="2"/>
      <x v="167"/>
    </i>
    <i r="1">
      <x v="1107"/>
      <x v="435"/>
      <x v="2"/>
      <x v="231"/>
    </i>
    <i r="1">
      <x v="1108"/>
      <x v="436"/>
      <x v="2"/>
      <x v="110"/>
    </i>
    <i r="1">
      <x v="1109"/>
      <x v="436"/>
      <x v="2"/>
      <x v="162"/>
    </i>
    <i r="1">
      <x v="1110"/>
      <x v="436"/>
      <x v="2"/>
      <x v="215"/>
    </i>
    <i r="1">
      <x v="1111"/>
      <x v="436"/>
      <x v="2"/>
      <x v="269"/>
    </i>
    <i r="1">
      <x v="1112"/>
      <x v="436"/>
      <x v="2"/>
      <x v="274"/>
    </i>
    <i r="1">
      <x v="1113"/>
      <x v="436"/>
      <x v="2"/>
      <x v="288"/>
    </i>
    <i r="1">
      <x v="1114"/>
      <x v="437"/>
      <x v="2"/>
      <x v="206"/>
    </i>
    <i r="1">
      <x v="1115"/>
      <x v="438"/>
      <x v="2"/>
      <x v="238"/>
    </i>
    <i r="1">
      <x v="1116"/>
      <x v="439"/>
      <x v="2"/>
      <x v="131"/>
    </i>
    <i r="1">
      <x v="1117"/>
      <x v="439"/>
      <x v="2"/>
      <x v="138"/>
    </i>
    <i r="1">
      <x v="1118"/>
      <x v="439"/>
      <x v="2"/>
      <x v="165"/>
    </i>
    <i r="1">
      <x v="1119"/>
      <x v="439"/>
      <x v="2"/>
      <x v="183"/>
    </i>
    <i r="1">
      <x v="1120"/>
      <x v="439"/>
      <x v="2"/>
      <x v="202"/>
    </i>
    <i r="1">
      <x v="1121"/>
      <x v="439"/>
      <x v="2"/>
      <x v="223"/>
    </i>
    <i r="1">
      <x v="1122"/>
      <x v="439"/>
      <x v="2"/>
      <x v="227"/>
    </i>
    <i r="1">
      <x v="1123"/>
      <x v="440"/>
      <x v="2"/>
      <x v="45"/>
    </i>
    <i r="1">
      <x v="1124"/>
      <x v="440"/>
      <x v="2"/>
      <x v="104"/>
    </i>
    <i r="1">
      <x v="1125"/>
      <x v="440"/>
      <x v="2"/>
      <x v="130"/>
    </i>
    <i r="1">
      <x v="1126"/>
      <x v="441"/>
      <x v="2"/>
      <x v="42"/>
    </i>
    <i r="1">
      <x v="1127"/>
      <x v="441"/>
      <x v="2"/>
      <x v="64"/>
    </i>
    <i r="1">
      <x v="1128"/>
      <x v="441"/>
      <x v="2"/>
      <x v="109"/>
    </i>
    <i r="1">
      <x v="1129"/>
      <x v="441"/>
      <x v="2"/>
      <x v="203"/>
    </i>
    <i r="1">
      <x v="1130"/>
      <x v="441"/>
      <x v="2"/>
      <x v="231"/>
    </i>
    <i r="1">
      <x v="1131"/>
      <x v="441"/>
      <x v="2"/>
      <x v="251"/>
    </i>
    <i r="1">
      <x v="1132"/>
      <x v="442"/>
      <x v="2"/>
      <x v="32"/>
    </i>
    <i r="1">
      <x v="1133"/>
      <x v="442"/>
      <x v="2"/>
      <x v="79"/>
    </i>
    <i r="1">
      <x v="1134"/>
      <x v="442"/>
      <x v="2"/>
      <x v="102"/>
    </i>
    <i r="1">
      <x v="1135"/>
      <x v="442"/>
      <x v="2"/>
      <x v="110"/>
    </i>
    <i r="1">
      <x v="1136"/>
      <x v="442"/>
      <x v="2"/>
      <x v="128"/>
    </i>
    <i r="1">
      <x v="1137"/>
      <x v="442"/>
      <x v="2"/>
      <x v="169"/>
    </i>
    <i r="1">
      <x v="1138"/>
      <x v="442"/>
      <x v="2"/>
      <x v="203"/>
    </i>
    <i r="1">
      <x v="1139"/>
      <x v="442"/>
      <x v="2"/>
      <x v="241"/>
    </i>
    <i r="1">
      <x v="1140"/>
      <x v="442"/>
      <x v="2"/>
      <x v="247"/>
    </i>
    <i r="1">
      <x v="1141"/>
      <x v="442"/>
      <x v="2"/>
      <x v="282"/>
    </i>
    <i r="1">
      <x v="1142"/>
      <x v="443"/>
      <x v="2"/>
      <x v="41"/>
    </i>
    <i r="1">
      <x v="1143"/>
      <x v="443"/>
      <x v="2"/>
      <x v="110"/>
    </i>
    <i r="1">
      <x v="1144"/>
      <x v="443"/>
      <x v="2"/>
      <x v="131"/>
    </i>
    <i r="1">
      <x v="1145"/>
      <x v="443"/>
      <x v="2"/>
      <x v="167"/>
    </i>
    <i r="1">
      <x v="1146"/>
      <x v="443"/>
      <x v="2"/>
      <x v="242"/>
    </i>
    <i r="1">
      <x v="1147"/>
      <x v="443"/>
      <x v="2"/>
      <x v="246"/>
    </i>
    <i r="1">
      <x v="1148"/>
      <x v="444"/>
      <x v="2"/>
      <x v="28"/>
    </i>
    <i r="1">
      <x v="1149"/>
      <x v="444"/>
      <x v="2"/>
      <x v="225"/>
    </i>
    <i r="1">
      <x v="1150"/>
      <x v="444"/>
      <x v="2"/>
      <x v="273"/>
    </i>
    <i r="1">
      <x v="1151"/>
      <x v="444"/>
      <x v="2"/>
      <x v="290"/>
    </i>
    <i r="1">
      <x v="1152"/>
      <x v="444"/>
      <x v="2"/>
      <x v="293"/>
    </i>
    <i r="1">
      <x v="1153"/>
      <x v="445"/>
      <x v="2"/>
      <x v="61"/>
    </i>
    <i r="1">
      <x v="1154"/>
      <x v="446"/>
      <x v="2"/>
      <x v="77"/>
    </i>
    <i r="1">
      <x v="1155"/>
      <x v="446"/>
      <x v="2"/>
      <x v="115"/>
    </i>
    <i r="1">
      <x v="1156"/>
      <x v="446"/>
      <x v="2"/>
      <x v="192"/>
    </i>
    <i r="1">
      <x v="1157"/>
      <x v="446"/>
      <x v="2"/>
      <x v="194"/>
    </i>
    <i r="1">
      <x v="1158"/>
      <x v="446"/>
      <x v="2"/>
      <x v="209"/>
    </i>
    <i r="1">
      <x v="1159"/>
      <x v="446"/>
      <x v="2"/>
      <x v="247"/>
    </i>
    <i r="1">
      <x v="1160"/>
      <x v="446"/>
      <x v="2"/>
      <x v="269"/>
    </i>
    <i r="1">
      <x v="1161"/>
      <x v="447"/>
      <x v="2"/>
      <x v="64"/>
    </i>
    <i r="1">
      <x v="1162"/>
      <x v="447"/>
      <x v="2"/>
      <x v="136"/>
    </i>
    <i r="1">
      <x v="1163"/>
      <x v="447"/>
      <x v="2"/>
      <x v="168"/>
    </i>
    <i r="1">
      <x v="1164"/>
      <x v="447"/>
      <x v="2"/>
      <x v="172"/>
    </i>
    <i r="1">
      <x v="1165"/>
      <x v="447"/>
      <x v="2"/>
      <x v="210"/>
    </i>
    <i r="1">
      <x v="1166"/>
      <x v="448"/>
      <x v="2"/>
      <x v="52"/>
    </i>
    <i r="1">
      <x v="1167"/>
      <x v="448"/>
      <x v="2"/>
      <x v="181"/>
    </i>
    <i r="1">
      <x v="1168"/>
      <x v="448"/>
      <x v="2"/>
      <x v="214"/>
    </i>
    <i r="1">
      <x v="1169"/>
      <x v="449"/>
      <x v="2"/>
      <x v="70"/>
    </i>
    <i r="1">
      <x v="1170"/>
      <x v="449"/>
      <x v="2"/>
      <x v="80"/>
    </i>
    <i r="1">
      <x v="1171"/>
      <x v="449"/>
      <x v="2"/>
      <x v="110"/>
    </i>
    <i r="1">
      <x v="1172"/>
      <x v="449"/>
      <x v="2"/>
      <x v="128"/>
    </i>
    <i r="1">
      <x v="1173"/>
      <x v="449"/>
      <x v="2"/>
      <x v="193"/>
    </i>
    <i r="1">
      <x v="1174"/>
      <x v="449"/>
      <x v="2"/>
      <x v="238"/>
    </i>
    <i r="1">
      <x v="1175"/>
      <x v="449"/>
      <x v="2"/>
      <x v="246"/>
    </i>
    <i r="1">
      <x v="1176"/>
      <x v="449"/>
      <x v="2"/>
      <x v="263"/>
    </i>
    <i r="1">
      <x v="1177"/>
      <x v="449"/>
      <x v="2"/>
      <x v="269"/>
    </i>
    <i r="1">
      <x v="1178"/>
      <x v="450"/>
      <x v="2"/>
      <x v="70"/>
    </i>
    <i r="1">
      <x v="1179"/>
      <x v="450"/>
      <x v="2"/>
      <x v="104"/>
    </i>
    <i r="1">
      <x v="1180"/>
      <x v="450"/>
      <x v="2"/>
      <x v="110"/>
    </i>
    <i r="1">
      <x v="1181"/>
      <x v="450"/>
      <x v="2"/>
      <x v="184"/>
    </i>
    <i r="1">
      <x v="1182"/>
      <x v="451"/>
      <x v="2"/>
      <x v="23"/>
    </i>
    <i r="1">
      <x v="1183"/>
      <x v="451"/>
      <x v="2"/>
      <x v="24"/>
    </i>
    <i r="1">
      <x v="1184"/>
      <x v="451"/>
      <x v="2"/>
      <x v="35"/>
    </i>
    <i r="1">
      <x v="1185"/>
      <x v="451"/>
      <x v="2"/>
      <x v="73"/>
    </i>
    <i r="1">
      <x v="1186"/>
      <x v="451"/>
      <x v="2"/>
      <x v="79"/>
    </i>
    <i r="1">
      <x v="1187"/>
      <x v="451"/>
      <x v="2"/>
      <x v="90"/>
    </i>
    <i r="1">
      <x v="1188"/>
      <x v="451"/>
      <x v="2"/>
      <x v="194"/>
    </i>
    <i r="1">
      <x v="1189"/>
      <x v="451"/>
      <x v="2"/>
      <x v="215"/>
    </i>
    <i r="1">
      <x v="1190"/>
      <x v="451"/>
      <x v="2"/>
      <x v="223"/>
    </i>
    <i r="1">
      <x v="1191"/>
      <x v="451"/>
      <x v="2"/>
      <x v="265"/>
    </i>
    <i r="1">
      <x v="1192"/>
      <x v="451"/>
      <x v="2"/>
      <x v="288"/>
    </i>
    <i r="1">
      <x v="1193"/>
      <x v="452"/>
      <x v="2"/>
      <x v="45"/>
    </i>
    <i r="1">
      <x v="1194"/>
      <x v="452"/>
      <x v="2"/>
      <x v="110"/>
    </i>
    <i r="1">
      <x v="1195"/>
      <x v="452"/>
      <x v="2"/>
      <x v="273"/>
    </i>
    <i r="1">
      <x v="1196"/>
      <x v="453"/>
      <x v="2"/>
      <x v="45"/>
    </i>
    <i r="1">
      <x v="1197"/>
      <x v="453"/>
      <x v="2"/>
      <x v="63"/>
    </i>
    <i r="1">
      <x v="1198"/>
      <x v="453"/>
      <x v="2"/>
      <x v="80"/>
    </i>
    <i r="1">
      <x v="1199"/>
      <x v="453"/>
      <x v="2"/>
      <x v="102"/>
    </i>
    <i r="1">
      <x v="1200"/>
      <x v="453"/>
      <x v="2"/>
      <x v="107"/>
    </i>
    <i r="1">
      <x v="1201"/>
      <x v="453"/>
      <x v="2"/>
      <x v="110"/>
    </i>
    <i r="1">
      <x v="1202"/>
      <x v="453"/>
      <x v="2"/>
      <x v="130"/>
    </i>
    <i r="1">
      <x v="1203"/>
      <x v="453"/>
      <x v="2"/>
      <x v="231"/>
    </i>
    <i r="1">
      <x v="1204"/>
      <x v="453"/>
      <x v="2"/>
      <x v="234"/>
    </i>
    <i r="1">
      <x v="1205"/>
      <x v="453"/>
      <x v="2"/>
      <x v="240"/>
    </i>
    <i r="1">
      <x v="1206"/>
      <x v="453"/>
      <x v="2"/>
      <x v="264"/>
    </i>
    <i r="1">
      <x v="1207"/>
      <x v="454"/>
      <x v="2"/>
      <x v="64"/>
    </i>
    <i r="1">
      <x v="1208"/>
      <x v="454"/>
      <x v="2"/>
      <x v="106"/>
    </i>
    <i r="1">
      <x v="1209"/>
      <x v="455"/>
      <x v="2"/>
      <x v="41"/>
    </i>
    <i r="1">
      <x v="1210"/>
      <x v="455"/>
      <x v="2"/>
      <x v="72"/>
    </i>
    <i r="1">
      <x v="1211"/>
      <x v="455"/>
      <x v="2"/>
      <x v="203"/>
    </i>
    <i r="1">
      <x v="1212"/>
      <x v="455"/>
      <x v="2"/>
      <x v="242"/>
    </i>
    <i r="1">
      <x v="1213"/>
      <x v="456"/>
      <x v="2"/>
      <x v="82"/>
    </i>
    <i r="1">
      <x v="1214"/>
      <x v="456"/>
      <x v="2"/>
      <x v="95"/>
    </i>
    <i r="1">
      <x v="1215"/>
      <x v="456"/>
      <x v="2"/>
      <x v="234"/>
    </i>
    <i r="1">
      <x v="1216"/>
      <x v="457"/>
      <x v="2"/>
      <x v="51"/>
    </i>
    <i r="1">
      <x v="1217"/>
      <x v="457"/>
      <x v="2"/>
      <x v="61"/>
    </i>
    <i r="1">
      <x v="1218"/>
      <x v="457"/>
      <x v="2"/>
      <x v="194"/>
    </i>
    <i r="1">
      <x v="1219"/>
      <x v="457"/>
      <x v="2"/>
      <x v="282"/>
    </i>
    <i r="1">
      <x v="1220"/>
      <x v="458"/>
      <x v="2"/>
      <x v="55"/>
    </i>
    <i r="1">
      <x v="1221"/>
      <x v="458"/>
      <x v="2"/>
      <x v="143"/>
    </i>
    <i r="1">
      <x v="1222"/>
      <x v="458"/>
      <x v="2"/>
      <x v="188"/>
    </i>
    <i r="1">
      <x v="1223"/>
      <x v="458"/>
      <x v="2"/>
      <x v="246"/>
    </i>
    <i r="1">
      <x v="1224"/>
      <x v="459"/>
      <x v="2"/>
      <x v="55"/>
    </i>
    <i r="1">
      <x v="1225"/>
      <x v="459"/>
      <x v="2"/>
      <x v="151"/>
    </i>
    <i r="1">
      <x v="1226"/>
      <x v="459"/>
      <x v="2"/>
      <x v="206"/>
    </i>
    <i r="1">
      <x v="1227"/>
      <x v="460"/>
      <x v="2"/>
      <x v="167"/>
    </i>
    <i r="1">
      <x v="1228"/>
      <x v="461"/>
      <x v="2"/>
      <x v="79"/>
    </i>
    <i r="1">
      <x v="1229"/>
      <x v="461"/>
      <x v="2"/>
      <x v="80"/>
    </i>
    <i r="1">
      <x v="1230"/>
      <x v="461"/>
      <x v="2"/>
      <x v="97"/>
    </i>
    <i r="1">
      <x v="1231"/>
      <x v="461"/>
      <x v="2"/>
      <x v="110"/>
    </i>
    <i r="1">
      <x v="1232"/>
      <x v="461"/>
      <x v="2"/>
      <x v="148"/>
    </i>
    <i r="1">
      <x v="1233"/>
      <x v="461"/>
      <x v="2"/>
      <x v="182"/>
    </i>
    <i r="1">
      <x v="1234"/>
      <x v="461"/>
      <x v="2"/>
      <x v="228"/>
    </i>
    <i r="1">
      <x v="1235"/>
      <x v="462"/>
      <x v="2"/>
      <x v="41"/>
    </i>
    <i r="1">
      <x v="1236"/>
      <x v="462"/>
      <x v="2"/>
      <x v="42"/>
    </i>
    <i r="1">
      <x v="1237"/>
      <x v="462"/>
      <x v="2"/>
      <x v="52"/>
    </i>
    <i r="1">
      <x v="1238"/>
      <x v="462"/>
      <x v="2"/>
      <x v="64"/>
    </i>
    <i r="1">
      <x v="1239"/>
      <x v="462"/>
      <x v="2"/>
      <x v="110"/>
    </i>
    <i r="1">
      <x v="1240"/>
      <x v="462"/>
      <x v="2"/>
      <x v="142"/>
    </i>
    <i r="1">
      <x v="1241"/>
      <x v="463"/>
      <x v="2"/>
      <x v="70"/>
    </i>
    <i r="1">
      <x v="1242"/>
      <x v="463"/>
      <x v="2"/>
      <x v="246"/>
    </i>
    <i r="1">
      <x v="1243"/>
      <x v="464"/>
      <x v="2"/>
      <x v="35"/>
    </i>
    <i r="1">
      <x v="1244"/>
      <x v="464"/>
      <x v="2"/>
      <x v="148"/>
    </i>
    <i r="1">
      <x v="1245"/>
      <x v="464"/>
      <x v="2"/>
      <x v="167"/>
    </i>
    <i r="1">
      <x v="1246"/>
      <x v="464"/>
      <x v="2"/>
      <x v="210"/>
    </i>
    <i r="1">
      <x v="1247"/>
      <x v="464"/>
      <x v="2"/>
      <x v="269"/>
    </i>
    <i r="1">
      <x v="1248"/>
      <x v="465"/>
      <x v="2"/>
      <x v="45"/>
    </i>
    <i r="1">
      <x v="1249"/>
      <x v="465"/>
      <x v="2"/>
      <x v="50"/>
    </i>
    <i r="1">
      <x v="1250"/>
      <x v="465"/>
      <x v="2"/>
      <x v="90"/>
    </i>
    <i r="1">
      <x v="1251"/>
      <x v="465"/>
      <x v="2"/>
      <x v="104"/>
    </i>
    <i r="1">
      <x v="1252"/>
      <x v="465"/>
      <x v="2"/>
      <x v="162"/>
    </i>
    <i r="1">
      <x v="1253"/>
      <x v="465"/>
      <x v="2"/>
      <x v="241"/>
    </i>
    <i r="1">
      <x v="1254"/>
      <x v="465"/>
      <x v="2"/>
      <x v="242"/>
    </i>
    <i r="1">
      <x v="1255"/>
      <x v="466"/>
      <x v="2"/>
      <x v="22"/>
    </i>
    <i r="1">
      <x v="1256"/>
      <x v="466"/>
      <x v="2"/>
      <x v="70"/>
    </i>
    <i r="1">
      <x v="1257"/>
      <x v="466"/>
      <x v="2"/>
      <x v="240"/>
    </i>
    <i r="1">
      <x v="1258"/>
      <x v="466"/>
      <x v="2"/>
      <x v="251"/>
    </i>
    <i r="1">
      <x v="1259"/>
      <x v="466"/>
      <x v="2"/>
      <x v="291"/>
    </i>
    <i r="1">
      <x v="1260"/>
      <x v="467"/>
      <x v="2"/>
      <x v="20"/>
    </i>
    <i r="1">
      <x v="1261"/>
      <x v="467"/>
      <x v="2"/>
      <x v="33"/>
    </i>
    <i r="1">
      <x v="1262"/>
      <x v="467"/>
      <x v="2"/>
      <x v="108"/>
    </i>
    <i r="1">
      <x v="1263"/>
      <x v="467"/>
      <x v="2"/>
      <x v="138"/>
    </i>
    <i r="1">
      <x v="1264"/>
      <x v="467"/>
      <x v="2"/>
      <x v="147"/>
    </i>
    <i r="1">
      <x v="1265"/>
      <x v="467"/>
      <x v="2"/>
      <x v="184"/>
    </i>
    <i r="1">
      <x v="1266"/>
      <x v="467"/>
      <x v="2"/>
      <x v="202"/>
    </i>
    <i r="1">
      <x v="1267"/>
      <x v="467"/>
      <x v="2"/>
      <x v="224"/>
    </i>
    <i r="1">
      <x v="1268"/>
      <x v="467"/>
      <x v="2"/>
      <x v="232"/>
    </i>
    <i r="1">
      <x v="1269"/>
      <x v="467"/>
      <x v="2"/>
      <x v="256"/>
    </i>
    <i r="1">
      <x v="1270"/>
      <x v="467"/>
      <x v="2"/>
      <x v="265"/>
    </i>
    <i r="1">
      <x v="1271"/>
      <x v="467"/>
      <x v="2"/>
      <x v="289"/>
    </i>
    <i r="1">
      <x v="1272"/>
      <x v="468"/>
      <x v="2"/>
      <x v="70"/>
    </i>
    <i r="1">
      <x v="1273"/>
      <x v="468"/>
      <x v="2"/>
      <x v="215"/>
    </i>
    <i r="1">
      <x v="1274"/>
      <x v="469"/>
      <x v="2"/>
      <x v="41"/>
    </i>
    <i r="1">
      <x v="1275"/>
      <x v="470"/>
      <x v="2"/>
      <x v="41"/>
    </i>
    <i r="1">
      <x v="1276"/>
      <x v="470"/>
      <x v="2"/>
      <x v="79"/>
    </i>
    <i r="1">
      <x v="1277"/>
      <x v="470"/>
      <x v="2"/>
      <x v="80"/>
    </i>
    <i r="1">
      <x v="1278"/>
      <x v="470"/>
      <x v="2"/>
      <x v="110"/>
    </i>
    <i r="1">
      <x v="1279"/>
      <x v="470"/>
      <x v="2"/>
      <x v="148"/>
    </i>
    <i r="1">
      <x v="1280"/>
      <x v="470"/>
      <x v="2"/>
      <x v="181"/>
    </i>
    <i r="1">
      <x v="1281"/>
      <x v="470"/>
      <x v="2"/>
      <x v="194"/>
    </i>
    <i r="1">
      <x v="1282"/>
      <x v="470"/>
      <x v="2"/>
      <x v="210"/>
    </i>
    <i r="1">
      <x v="1283"/>
      <x v="470"/>
      <x v="2"/>
      <x v="225"/>
    </i>
    <i r="1">
      <x v="1284"/>
      <x v="470"/>
      <x v="2"/>
      <x v="241"/>
    </i>
    <i r="1">
      <x v="1285"/>
      <x v="470"/>
      <x v="2"/>
      <x v="261"/>
    </i>
    <i r="1">
      <x v="1286"/>
      <x v="470"/>
      <x v="2"/>
      <x v="262"/>
    </i>
    <i r="1">
      <x v="1287"/>
      <x v="470"/>
      <x v="2"/>
      <x v="277"/>
    </i>
    <i r="1">
      <x v="1288"/>
      <x v="471"/>
      <x v="2"/>
      <x v="18"/>
    </i>
    <i r="1">
      <x v="1289"/>
      <x v="471"/>
      <x v="2"/>
      <x v="63"/>
    </i>
    <i r="1">
      <x v="1290"/>
      <x v="471"/>
      <x v="2"/>
      <x v="110"/>
    </i>
    <i r="1">
      <x v="1291"/>
      <x v="471"/>
      <x v="2"/>
      <x v="149"/>
    </i>
    <i r="1">
      <x v="1292"/>
      <x v="472"/>
      <x v="2"/>
      <x v="17"/>
    </i>
    <i r="1">
      <x v="1293"/>
      <x v="472"/>
      <x v="2"/>
      <x v="44"/>
    </i>
    <i r="1">
      <x v="1294"/>
      <x v="472"/>
      <x v="2"/>
      <x v="110"/>
    </i>
    <i r="1">
      <x v="1295"/>
      <x v="472"/>
      <x v="2"/>
      <x v="214"/>
    </i>
    <i r="1">
      <x v="1296"/>
      <x v="472"/>
      <x v="2"/>
      <x v="227"/>
    </i>
    <i r="1">
      <x v="1297"/>
      <x v="473"/>
      <x v="2"/>
      <x v="131"/>
    </i>
    <i r="1">
      <x v="1298"/>
      <x v="473"/>
      <x v="2"/>
      <x v="159"/>
    </i>
    <i r="1">
      <x v="1299"/>
      <x v="473"/>
      <x v="2"/>
      <x v="223"/>
    </i>
    <i r="1">
      <x v="1300"/>
      <x v="473"/>
      <x v="2"/>
      <x v="238"/>
    </i>
    <i r="1">
      <x v="1301"/>
      <x v="473"/>
      <x v="2"/>
      <x v="254"/>
    </i>
    <i r="1">
      <x v="1302"/>
      <x v="473"/>
      <x v="2"/>
      <x v="282"/>
    </i>
    <i r="1">
      <x v="1303"/>
      <x v="474"/>
      <x v="2"/>
      <x v="64"/>
    </i>
    <i r="1">
      <x v="1304"/>
      <x v="474"/>
      <x v="2"/>
      <x v="194"/>
    </i>
    <i r="1">
      <x v="1305"/>
      <x v="475"/>
      <x v="2"/>
      <x v="136"/>
    </i>
    <i r="1">
      <x v="1306"/>
      <x v="475"/>
      <x v="2"/>
      <x v="181"/>
    </i>
    <i r="1">
      <x v="1307"/>
      <x v="476"/>
      <x v="2"/>
      <x v="45"/>
    </i>
    <i r="1">
      <x v="1308"/>
      <x v="476"/>
      <x v="2"/>
      <x v="127"/>
    </i>
    <i r="1">
      <x v="1309"/>
      <x v="476"/>
      <x v="2"/>
      <x v="165"/>
    </i>
    <i r="1">
      <x v="1310"/>
      <x v="476"/>
      <x v="2"/>
      <x v="173"/>
    </i>
    <i r="1">
      <x v="1311"/>
      <x v="476"/>
      <x v="2"/>
      <x v="179"/>
    </i>
    <i r="1">
      <x v="1312"/>
      <x v="476"/>
      <x v="2"/>
      <x v="184"/>
    </i>
    <i r="1">
      <x v="1313"/>
      <x v="476"/>
      <x v="2"/>
      <x v="231"/>
    </i>
    <i r="1">
      <x v="1314"/>
      <x v="476"/>
      <x v="2"/>
      <x v="273"/>
    </i>
    <i r="1">
      <x v="1315"/>
      <x v="477"/>
      <x v="2"/>
      <x v="169"/>
    </i>
    <i r="1">
      <x v="1316"/>
      <x v="477"/>
      <x v="2"/>
      <x v="288"/>
    </i>
    <i r="1">
      <x v="1317"/>
      <x v="478"/>
      <x v="2"/>
      <x v="79"/>
    </i>
    <i r="1">
      <x v="1318"/>
      <x v="478"/>
      <x v="2"/>
      <x v="110"/>
    </i>
    <i r="1">
      <x v="1319"/>
      <x v="479"/>
      <x v="2"/>
      <x v="115"/>
    </i>
    <i r="1">
      <x v="1320"/>
      <x v="479"/>
      <x v="2"/>
      <x v="142"/>
    </i>
    <i r="1">
      <x v="1321"/>
      <x v="479"/>
      <x v="2"/>
      <x v="172"/>
    </i>
    <i r="1">
      <x v="1322"/>
      <x v="479"/>
      <x v="2"/>
      <x v="202"/>
    </i>
    <i r="1">
      <x v="1323"/>
      <x v="479"/>
      <x v="2"/>
      <x v="205"/>
    </i>
    <i r="1">
      <x v="1324"/>
      <x v="479"/>
      <x v="2"/>
      <x v="215"/>
    </i>
    <i r="1">
      <x v="1325"/>
      <x v="480"/>
      <x v="2"/>
      <x v="20"/>
    </i>
    <i r="1">
      <x v="1326"/>
      <x v="480"/>
      <x v="2"/>
      <x v="28"/>
    </i>
    <i r="1">
      <x v="1327"/>
      <x v="480"/>
      <x v="2"/>
      <x v="54"/>
    </i>
    <i r="1">
      <x v="1328"/>
      <x v="480"/>
      <x v="2"/>
      <x v="142"/>
    </i>
    <i r="1">
      <x v="1329"/>
      <x v="480"/>
      <x v="2"/>
      <x v="163"/>
    </i>
    <i r="1">
      <x v="1330"/>
      <x v="480"/>
      <x v="2"/>
      <x v="168"/>
    </i>
    <i r="1">
      <x v="1331"/>
      <x v="480"/>
      <x v="2"/>
      <x v="242"/>
    </i>
    <i r="1">
      <x v="1332"/>
      <x v="480"/>
      <x v="2"/>
      <x v="246"/>
    </i>
    <i r="1">
      <x v="1333"/>
      <x v="481"/>
      <x v="2"/>
      <x v="199"/>
    </i>
    <i r="1">
      <x v="1334"/>
      <x v="481"/>
      <x v="2"/>
      <x v="283"/>
    </i>
    <i r="1">
      <x v="1335"/>
      <x v="482"/>
      <x v="2"/>
      <x v="131"/>
    </i>
    <i r="1">
      <x v="1336"/>
      <x v="482"/>
      <x v="2"/>
      <x v="167"/>
    </i>
    <i r="1">
      <x v="1337"/>
      <x v="482"/>
      <x v="2"/>
      <x v="183"/>
    </i>
    <i r="1">
      <x v="1338"/>
      <x v="482"/>
      <x v="2"/>
      <x v="188"/>
    </i>
    <i r="1">
      <x v="1339"/>
      <x v="483"/>
      <x v="2"/>
      <x v="16"/>
    </i>
    <i r="1">
      <x v="1340"/>
      <x v="483"/>
      <x v="2"/>
      <x v="52"/>
    </i>
    <i r="1">
      <x v="1341"/>
      <x v="483"/>
      <x v="2"/>
      <x v="55"/>
    </i>
    <i r="1">
      <x v="1342"/>
      <x v="483"/>
      <x v="2"/>
      <x v="110"/>
    </i>
    <i r="1">
      <x v="1343"/>
      <x v="483"/>
      <x v="2"/>
      <x v="223"/>
    </i>
    <i r="1">
      <x v="1344"/>
      <x v="483"/>
      <x v="2"/>
      <x v="262"/>
    </i>
    <i r="1">
      <x v="1345"/>
      <x v="484"/>
      <x v="2"/>
      <x v="25"/>
    </i>
    <i r="1">
      <x v="1346"/>
      <x v="484"/>
      <x v="2"/>
      <x v="80"/>
    </i>
    <i r="1">
      <x v="1347"/>
      <x v="484"/>
      <x v="2"/>
      <x v="148"/>
    </i>
    <i r="1">
      <x v="1348"/>
      <x v="484"/>
      <x v="2"/>
      <x v="165"/>
    </i>
    <i r="1">
      <x v="1349"/>
      <x v="484"/>
      <x v="2"/>
      <x v="167"/>
    </i>
    <i r="1">
      <x v="1350"/>
      <x v="484"/>
      <x v="2"/>
      <x v="201"/>
    </i>
    <i r="1">
      <x v="1351"/>
      <x v="484"/>
      <x v="2"/>
      <x v="234"/>
    </i>
    <i r="1">
      <x v="1352"/>
      <x v="484"/>
      <x v="2"/>
      <x v="288"/>
    </i>
    <i r="1">
      <x v="1353"/>
      <x v="484"/>
      <x v="2"/>
      <x v="289"/>
    </i>
    <i r="1">
      <x v="1354"/>
      <x v="485"/>
      <x v="2"/>
      <x v="100"/>
    </i>
    <i r="1">
      <x v="1355"/>
      <x v="485"/>
      <x v="2"/>
      <x v="162"/>
    </i>
    <i r="1">
      <x v="1356"/>
      <x v="485"/>
      <x v="2"/>
      <x v="184"/>
    </i>
    <i r="1">
      <x v="1357"/>
      <x v="486"/>
      <x v="2"/>
      <x v="35"/>
    </i>
    <i r="1">
      <x v="1358"/>
      <x v="486"/>
      <x v="2"/>
      <x v="79"/>
    </i>
    <i r="1">
      <x v="1359"/>
      <x v="486"/>
      <x v="2"/>
      <x v="90"/>
    </i>
    <i r="1">
      <x v="1360"/>
      <x v="486"/>
      <x v="2"/>
      <x v="232"/>
    </i>
    <i r="1">
      <x v="1361"/>
      <x v="486"/>
      <x v="2"/>
      <x v="240"/>
    </i>
    <i r="1">
      <x v="1362"/>
      <x v="486"/>
      <x v="2"/>
      <x v="265"/>
    </i>
    <i r="1">
      <x v="1363"/>
      <x v="486"/>
      <x v="2"/>
      <x v="286"/>
    </i>
    <i r="1">
      <x v="1364"/>
      <x v="487"/>
      <x v="2"/>
      <x v="15"/>
    </i>
    <i r="1">
      <x v="1365"/>
      <x v="487"/>
      <x v="2"/>
      <x v="61"/>
    </i>
    <i r="1">
      <x v="1366"/>
      <x v="487"/>
      <x v="2"/>
      <x v="76"/>
    </i>
    <i r="1">
      <x v="1367"/>
      <x v="487"/>
      <x v="2"/>
      <x v="110"/>
    </i>
    <i r="1">
      <x v="1368"/>
      <x v="487"/>
      <x v="2"/>
      <x v="215"/>
    </i>
    <i r="1">
      <x v="1369"/>
      <x v="487"/>
      <x v="2"/>
      <x v="235"/>
    </i>
    <i r="1">
      <x v="1370"/>
      <x v="487"/>
      <x v="2"/>
      <x v="282"/>
    </i>
    <i r="1">
      <x v="1371"/>
      <x v="488"/>
      <x v="2"/>
      <x v="14"/>
    </i>
    <i r="1">
      <x v="1372"/>
      <x v="488"/>
      <x v="2"/>
      <x v="64"/>
    </i>
    <i r="1">
      <x v="1373"/>
      <x v="488"/>
      <x v="2"/>
      <x v="278"/>
    </i>
    <i r="1">
      <x v="1374"/>
      <x v="488"/>
      <x v="2"/>
      <x v="282"/>
    </i>
    <i r="1">
      <x v="1375"/>
      <x v="488"/>
      <x v="2"/>
      <x v="283"/>
    </i>
    <i r="1">
      <x v="1376"/>
      <x v="489"/>
      <x v="2"/>
      <x v="41"/>
    </i>
    <i r="1">
      <x v="1377"/>
      <x v="489"/>
      <x v="2"/>
      <x v="110"/>
    </i>
    <i r="1">
      <x v="1378"/>
      <x v="490"/>
      <x v="2"/>
      <x v="45"/>
    </i>
    <i r="1">
      <x v="1379"/>
      <x v="490"/>
      <x v="2"/>
      <x v="79"/>
    </i>
    <i r="1">
      <x v="1380"/>
      <x v="490"/>
      <x v="2"/>
      <x v="80"/>
    </i>
    <i r="1">
      <x v="1381"/>
      <x v="490"/>
      <x v="2"/>
      <x v="104"/>
    </i>
    <i r="1">
      <x v="1382"/>
      <x v="490"/>
      <x v="2"/>
      <x v="147"/>
    </i>
    <i r="1">
      <x v="1383"/>
      <x v="490"/>
      <x v="2"/>
      <x v="181"/>
    </i>
    <i r="1">
      <x v="1384"/>
      <x v="490"/>
      <x v="2"/>
      <x v="203"/>
    </i>
    <i r="1">
      <x v="1385"/>
      <x v="490"/>
      <x v="2"/>
      <x v="238"/>
    </i>
    <i r="1">
      <x v="1386"/>
      <x v="490"/>
      <x v="2"/>
      <x v="241"/>
    </i>
    <i r="1">
      <x v="1387"/>
      <x v="490"/>
      <x v="2"/>
      <x v="246"/>
    </i>
    <i r="1">
      <x v="1388"/>
      <x v="490"/>
      <x v="2"/>
      <x v="251"/>
    </i>
    <i r="1">
      <x v="1389"/>
      <x v="490"/>
      <x v="2"/>
      <x v="267"/>
    </i>
    <i r="1">
      <x v="1390"/>
      <x v="490"/>
      <x v="2"/>
      <x v="282"/>
    </i>
    <i r="1">
      <x v="1391"/>
      <x v="491"/>
      <x v="2"/>
      <x v="12"/>
    </i>
    <i r="1">
      <x v="1392"/>
      <x v="491"/>
      <x v="2"/>
      <x v="13"/>
    </i>
    <i r="1">
      <x v="1393"/>
      <x v="491"/>
      <x v="2"/>
      <x v="64"/>
    </i>
    <i r="1">
      <x v="1394"/>
      <x v="491"/>
      <x v="2"/>
      <x v="127"/>
    </i>
    <i r="1">
      <x v="1395"/>
      <x v="491"/>
      <x v="2"/>
      <x v="131"/>
    </i>
    <i r="1">
      <x v="1396"/>
      <x v="491"/>
      <x v="2"/>
      <x v="171"/>
    </i>
    <i r="1">
      <x v="1397"/>
      <x v="491"/>
      <x v="2"/>
      <x v="229"/>
    </i>
    <i r="1">
      <x v="1398"/>
      <x v="491"/>
      <x v="2"/>
      <x v="263"/>
    </i>
    <i r="1">
      <x v="1399"/>
      <x v="492"/>
      <x v="2"/>
      <x v="20"/>
    </i>
    <i r="1">
      <x v="1400"/>
      <x v="492"/>
      <x v="2"/>
      <x v="24"/>
    </i>
    <i r="1">
      <x v="1401"/>
      <x v="492"/>
      <x v="2"/>
      <x v="97"/>
    </i>
    <i r="1">
      <x v="1402"/>
      <x v="492"/>
      <x v="2"/>
      <x v="188"/>
    </i>
    <i r="1">
      <x v="1403"/>
      <x v="492"/>
      <x v="2"/>
      <x v="202"/>
    </i>
    <i r="1">
      <x v="1404"/>
      <x v="492"/>
      <x v="2"/>
      <x v="242"/>
    </i>
    <i r="1">
      <x v="1405"/>
      <x v="492"/>
      <x v="2"/>
      <x v="282"/>
    </i>
    <i r="1">
      <x v="1406"/>
      <x v="493"/>
      <x v="2"/>
      <x v="9"/>
    </i>
    <i r="1">
      <x v="1407"/>
      <x v="493"/>
      <x v="2"/>
      <x v="10"/>
    </i>
    <i r="1">
      <x v="1408"/>
      <x v="493"/>
      <x v="2"/>
      <x v="11"/>
    </i>
    <i r="1">
      <x v="1409"/>
      <x v="493"/>
      <x v="2"/>
      <x v="95"/>
    </i>
    <i r="1">
      <x v="1410"/>
      <x v="493"/>
      <x v="2"/>
      <x v="110"/>
    </i>
    <i r="1">
      <x v="1411"/>
      <x v="493"/>
      <x v="2"/>
      <x v="165"/>
    </i>
    <i r="1">
      <x v="1412"/>
      <x v="494"/>
      <x v="2"/>
      <x v="49"/>
    </i>
    <i r="1">
      <x v="1413"/>
      <x v="494"/>
      <x v="2"/>
      <x v="167"/>
    </i>
    <i r="1">
      <x v="1414"/>
      <x v="495"/>
      <x v="2"/>
      <x v="64"/>
    </i>
    <i r="1">
      <x v="1415"/>
      <x v="495"/>
      <x v="2"/>
      <x v="80"/>
    </i>
    <i r="1">
      <x v="1416"/>
      <x v="495"/>
      <x v="2"/>
      <x v="102"/>
    </i>
    <i r="1">
      <x v="1417"/>
      <x v="495"/>
      <x v="2"/>
      <x v="110"/>
    </i>
    <i r="1">
      <x v="1418"/>
      <x v="495"/>
      <x v="2"/>
      <x v="143"/>
    </i>
    <i r="1">
      <x v="1419"/>
      <x v="495"/>
      <x v="2"/>
      <x v="194"/>
    </i>
    <i r="1">
      <x v="1420"/>
      <x v="495"/>
      <x v="2"/>
      <x v="199"/>
    </i>
    <i r="1">
      <x v="1421"/>
      <x v="495"/>
      <x v="2"/>
      <x v="224"/>
    </i>
    <i r="1">
      <x v="1422"/>
      <x v="495"/>
      <x v="2"/>
      <x v="231"/>
    </i>
    <i r="1">
      <x v="1423"/>
      <x v="495"/>
      <x v="2"/>
      <x v="286"/>
    </i>
    <i r="1">
      <x v="1424"/>
      <x v="495"/>
      <x v="2"/>
      <x v="291"/>
    </i>
    <i r="1">
      <x v="1425"/>
      <x v="496"/>
      <x v="2"/>
      <x v="90"/>
    </i>
    <i r="1">
      <x v="1426"/>
      <x v="496"/>
      <x v="2"/>
      <x v="100"/>
    </i>
    <i r="1">
      <x v="1427"/>
      <x v="496"/>
      <x v="2"/>
      <x v="109"/>
    </i>
    <i r="1">
      <x v="1428"/>
      <x v="496"/>
      <x v="2"/>
      <x v="122"/>
    </i>
    <i r="1">
      <x v="1429"/>
      <x v="496"/>
      <x v="2"/>
      <x v="148"/>
    </i>
    <i r="1">
      <x v="1430"/>
      <x v="496"/>
      <x v="2"/>
      <x v="212"/>
    </i>
    <i r="1">
      <x v="1431"/>
      <x v="496"/>
      <x v="2"/>
      <x v="214"/>
    </i>
    <i r="1">
      <x v="1432"/>
      <x v="496"/>
      <x v="2"/>
      <x v="227"/>
    </i>
    <i r="1">
      <x v="1433"/>
      <x v="496"/>
      <x v="2"/>
      <x v="291"/>
    </i>
    <i r="1">
      <x v="1434"/>
      <x v="497"/>
      <x v="2"/>
      <x v="52"/>
    </i>
    <i r="1">
      <x v="1435"/>
      <x v="497"/>
      <x v="2"/>
      <x v="104"/>
    </i>
    <i r="1">
      <x v="1436"/>
      <x v="497"/>
      <x v="2"/>
      <x v="129"/>
    </i>
    <i r="1">
      <x v="1437"/>
      <x v="497"/>
      <x v="2"/>
      <x v="181"/>
    </i>
    <i r="1">
      <x v="1438"/>
      <x v="497"/>
      <x v="2"/>
      <x v="233"/>
    </i>
    <i r="1">
      <x v="1439"/>
      <x v="497"/>
      <x v="2"/>
      <x v="240"/>
    </i>
    <i r="1">
      <x v="1440"/>
      <x v="498"/>
      <x v="2"/>
      <x v="63"/>
    </i>
    <i r="1">
      <x v="1441"/>
      <x v="498"/>
      <x v="2"/>
      <x v="80"/>
    </i>
    <i r="1">
      <x v="1442"/>
      <x v="498"/>
      <x v="2"/>
      <x v="198"/>
    </i>
    <i r="1">
      <x v="1443"/>
      <x v="498"/>
      <x v="2"/>
      <x v="203"/>
    </i>
    <i r="1">
      <x v="1444"/>
      <x v="498"/>
      <x v="2"/>
      <x v="219"/>
    </i>
    <i r="1">
      <x v="1445"/>
      <x v="498"/>
      <x v="2"/>
      <x v="234"/>
    </i>
    <i r="1">
      <x v="1446"/>
      <x v="498"/>
      <x v="2"/>
      <x v="251"/>
    </i>
    <i r="1">
      <x v="1447"/>
      <x v="498"/>
      <x v="2"/>
      <x v="269"/>
    </i>
    <i r="1">
      <x v="1448"/>
      <x v="498"/>
      <x v="2"/>
      <x v="278"/>
    </i>
    <i r="1">
      <x v="1449"/>
      <x v="498"/>
      <x v="2"/>
      <x v="288"/>
    </i>
    <i r="1">
      <x v="1450"/>
      <x v="499"/>
      <x v="2"/>
      <x v="35"/>
    </i>
    <i r="1">
      <x v="1451"/>
      <x v="499"/>
      <x v="2"/>
      <x v="79"/>
    </i>
    <i r="1">
      <x v="1452"/>
      <x v="499"/>
      <x v="2"/>
      <x v="182"/>
    </i>
    <i r="1">
      <x v="1453"/>
      <x v="499"/>
      <x v="2"/>
      <x v="210"/>
    </i>
    <i r="1">
      <x v="1454"/>
      <x v="499"/>
      <x v="2"/>
      <x v="235"/>
    </i>
    <i r="1">
      <x v="1455"/>
      <x v="499"/>
      <x v="2"/>
      <x v="261"/>
    </i>
    <i r="1">
      <x v="1456"/>
      <x v="499"/>
      <x v="2"/>
      <x v="282"/>
    </i>
    <i r="1">
      <x v="1457"/>
      <x v="499"/>
      <x v="2"/>
      <x v="290"/>
    </i>
    <i r="1">
      <x v="1458"/>
      <x v="500"/>
      <x v="2"/>
      <x v="142"/>
    </i>
    <i r="1">
      <x v="1459"/>
      <x v="500"/>
      <x v="2"/>
      <x v="239"/>
    </i>
    <i r="1">
      <x v="1460"/>
      <x v="500"/>
      <x v="2"/>
      <x v="284"/>
    </i>
    <i r="1">
      <x v="1461"/>
      <x v="501"/>
      <x v="2"/>
      <x v="62"/>
    </i>
    <i r="1">
      <x v="1462"/>
      <x v="501"/>
      <x v="2"/>
      <x v="106"/>
    </i>
    <i r="1">
      <x v="1463"/>
      <x v="501"/>
      <x v="2"/>
      <x v="110"/>
    </i>
    <i r="1">
      <x v="1464"/>
      <x v="501"/>
      <x v="2"/>
      <x v="131"/>
    </i>
    <i r="1">
      <x v="1465"/>
      <x v="501"/>
      <x v="2"/>
      <x v="150"/>
    </i>
    <i r="1">
      <x v="1466"/>
      <x v="501"/>
      <x v="2"/>
      <x v="165"/>
    </i>
    <i r="1">
      <x v="1467"/>
      <x v="501"/>
      <x v="2"/>
      <x v="188"/>
    </i>
    <i r="1">
      <x v="1468"/>
      <x v="501"/>
      <x v="2"/>
      <x v="222"/>
    </i>
    <i r="1">
      <x v="1469"/>
      <x v="501"/>
      <x v="2"/>
      <x v="265"/>
    </i>
    <i r="1">
      <x v="1470"/>
      <x v="501"/>
      <x v="2"/>
      <x v="282"/>
    </i>
    <i r="1">
      <x v="1471"/>
      <x v="502"/>
      <x v="2"/>
      <x v="51"/>
    </i>
    <i r="1">
      <x v="1472"/>
      <x v="502"/>
      <x v="2"/>
      <x v="55"/>
    </i>
    <i r="1">
      <x v="1473"/>
      <x v="502"/>
      <x v="2"/>
      <x v="188"/>
    </i>
    <i r="1">
      <x v="1474"/>
      <x v="502"/>
      <x v="2"/>
      <x v="223"/>
    </i>
    <i r="1">
      <x v="1475"/>
      <x v="503"/>
      <x v="2"/>
      <x v="8"/>
    </i>
    <i r="1">
      <x v="1476"/>
      <x v="503"/>
      <x v="2"/>
      <x v="14"/>
    </i>
    <i r="1">
      <x v="1477"/>
      <x v="503"/>
      <x v="2"/>
      <x v="44"/>
    </i>
    <i r="1">
      <x v="1478"/>
      <x v="503"/>
      <x v="2"/>
      <x v="100"/>
    </i>
    <i r="1">
      <x v="1479"/>
      <x v="503"/>
      <x v="2"/>
      <x v="110"/>
    </i>
    <i r="1">
      <x v="1480"/>
      <x v="503"/>
      <x v="2"/>
      <x v="138"/>
    </i>
    <i r="1">
      <x v="1481"/>
      <x v="503"/>
      <x v="2"/>
      <x v="184"/>
    </i>
    <i r="1">
      <x v="1482"/>
      <x v="503"/>
      <x v="2"/>
      <x v="212"/>
    </i>
    <i r="1">
      <x v="1483"/>
      <x v="503"/>
      <x v="2"/>
      <x v="265"/>
    </i>
    <i r="1">
      <x v="1484"/>
      <x v="504"/>
      <x v="2"/>
      <x v="7"/>
    </i>
    <i r="1">
      <x v="1485"/>
      <x v="504"/>
      <x v="2"/>
      <x v="64"/>
    </i>
    <i r="1">
      <x v="1486"/>
      <x v="504"/>
      <x v="2"/>
      <x v="79"/>
    </i>
    <i r="1">
      <x v="1487"/>
      <x v="504"/>
      <x v="2"/>
      <x v="140"/>
    </i>
    <i r="1">
      <x v="1488"/>
      <x v="504"/>
      <x v="2"/>
      <x v="181"/>
    </i>
    <i r="1">
      <x v="1489"/>
      <x v="504"/>
      <x v="2"/>
      <x v="209"/>
    </i>
    <i r="1">
      <x v="1490"/>
      <x v="504"/>
      <x v="2"/>
      <x v="231"/>
    </i>
    <i r="1">
      <x v="1491"/>
      <x v="505"/>
      <x v="2"/>
      <x v="146"/>
    </i>
    <i r="1">
      <x v="1492"/>
      <x v="505"/>
      <x v="2"/>
      <x v="188"/>
    </i>
    <i r="1">
      <x v="1493"/>
      <x v="505"/>
      <x v="2"/>
      <x v="229"/>
    </i>
    <i r="1">
      <x v="1494"/>
      <x v="505"/>
      <x v="2"/>
      <x v="243"/>
    </i>
    <i r="1">
      <x v="1495"/>
      <x v="506"/>
      <x v="2"/>
      <x v="5"/>
    </i>
    <i r="1">
      <x v="1496"/>
      <x v="506"/>
      <x v="2"/>
      <x v="6"/>
    </i>
    <i r="1">
      <x v="1497"/>
      <x v="506"/>
      <x v="2"/>
      <x v="56"/>
    </i>
    <i r="1">
      <x v="1498"/>
      <x v="506"/>
      <x v="2"/>
      <x v="120"/>
    </i>
    <i r="1">
      <x v="1499"/>
      <x v="507"/>
      <x v="2"/>
      <x v="4"/>
    </i>
    <i r="1">
      <x v="1500"/>
      <x v="507"/>
      <x v="2"/>
      <x v="44"/>
    </i>
    <i r="1">
      <x v="1501"/>
      <x v="507"/>
      <x v="2"/>
      <x v="72"/>
    </i>
    <i r="1">
      <x v="1502"/>
      <x v="507"/>
      <x v="2"/>
      <x v="110"/>
    </i>
    <i r="1">
      <x v="1503"/>
      <x v="507"/>
      <x v="2"/>
      <x v="168"/>
    </i>
    <i r="1">
      <x v="1504"/>
      <x v="507"/>
      <x v="2"/>
      <x v="172"/>
    </i>
    <i r="1">
      <x v="1505"/>
      <x v="507"/>
      <x v="2"/>
      <x v="288"/>
    </i>
    <i r="1">
      <x v="1506"/>
      <x v="508"/>
      <x v="2"/>
      <x v="1"/>
    </i>
    <i r="1">
      <x v="1507"/>
      <x v="508"/>
      <x v="2"/>
      <x v="123"/>
    </i>
    <i r="1">
      <x v="1508"/>
      <x v="508"/>
      <x v="2"/>
      <x v="172"/>
    </i>
    <i r="1">
      <x v="1509"/>
      <x v="508"/>
      <x v="2"/>
      <x v="203"/>
    </i>
    <i r="1">
      <x v="1510"/>
      <x v="508"/>
      <x v="2"/>
      <x v="215"/>
    </i>
    <i r="1">
      <x v="1511"/>
      <x v="508"/>
      <x v="2"/>
      <x v="229"/>
    </i>
    <i r="1">
      <x v="1512"/>
      <x v="509"/>
      <x v="2"/>
      <x v="148"/>
    </i>
    <i r="1">
      <x v="1513"/>
      <x v="509"/>
      <x v="2"/>
      <x v="200"/>
    </i>
    <i r="1">
      <x v="1514"/>
      <x v="510"/>
      <x v="2"/>
      <x v="1"/>
    </i>
    <i r="1">
      <x v="1515"/>
      <x v="510"/>
      <x v="2"/>
      <x v="3"/>
    </i>
    <i r="1">
      <x v="1516"/>
      <x v="510"/>
      <x v="2"/>
      <x v="50"/>
    </i>
    <i r="1">
      <x v="1517"/>
      <x v="510"/>
      <x v="2"/>
      <x v="55"/>
    </i>
    <i r="1">
      <x v="1518"/>
      <x v="510"/>
      <x v="2"/>
      <x v="64"/>
    </i>
    <i r="1">
      <x v="1519"/>
      <x v="510"/>
      <x v="2"/>
      <x v="73"/>
    </i>
    <i r="1">
      <x v="1520"/>
      <x v="510"/>
      <x v="2"/>
      <x v="128"/>
    </i>
    <i r="1">
      <x v="1521"/>
      <x v="510"/>
      <x v="2"/>
      <x v="130"/>
    </i>
    <i r="1">
      <x v="1522"/>
      <x v="510"/>
      <x v="2"/>
      <x v="131"/>
    </i>
    <i r="1">
      <x v="1523"/>
      <x v="510"/>
      <x v="2"/>
      <x v="162"/>
    </i>
    <i r="1">
      <x v="1524"/>
      <x v="510"/>
      <x v="2"/>
      <x v="170"/>
    </i>
    <i r="1">
      <x v="1525"/>
      <x v="510"/>
      <x v="2"/>
      <x v="188"/>
    </i>
    <i r="1">
      <x v="1526"/>
      <x v="510"/>
      <x v="2"/>
      <x v="223"/>
    </i>
    <i r="1">
      <x v="1527"/>
      <x v="510"/>
      <x v="2"/>
      <x v="227"/>
    </i>
    <i r="1">
      <x v="1528"/>
      <x v="510"/>
      <x v="2"/>
      <x v="238"/>
    </i>
    <i r="1">
      <x v="1529"/>
      <x v="510"/>
      <x v="2"/>
      <x v="242"/>
    </i>
    <i r="1">
      <x v="1530"/>
      <x v="510"/>
      <x v="2"/>
      <x v="265"/>
    </i>
    <i r="1">
      <x v="1531"/>
      <x v="510"/>
      <x v="2"/>
      <x v="287"/>
    </i>
    <i r="1">
      <x v="1532"/>
      <x v="511"/>
      <x v="2"/>
      <x v="2"/>
    </i>
    <i r="1">
      <x v="1533"/>
      <x v="511"/>
      <x v="2"/>
      <x v="110"/>
    </i>
    <i r="1">
      <x v="1534"/>
      <x v="511"/>
      <x v="2"/>
      <x v="190"/>
    </i>
    <i r="1">
      <x v="1535"/>
      <x v="511"/>
      <x v="2"/>
      <x v="228"/>
    </i>
    <i r="1">
      <x v="1536"/>
      <x v="511"/>
      <x v="2"/>
      <x v="240"/>
    </i>
    <i r="1">
      <x v="1537"/>
      <x v="511"/>
      <x v="2"/>
      <x v="246"/>
    </i>
    <i r="1">
      <x v="1538"/>
      <x v="511"/>
      <x v="2"/>
      <x v="288"/>
    </i>
    <i r="1">
      <x v="1539"/>
      <x v="512"/>
      <x v="2"/>
      <x v="7"/>
    </i>
    <i r="1">
      <x v="1540"/>
      <x v="512"/>
      <x v="2"/>
      <x v="20"/>
    </i>
    <i r="1">
      <x v="1541"/>
      <x v="512"/>
      <x v="2"/>
      <x v="35"/>
    </i>
    <i r="1">
      <x v="1542"/>
      <x v="512"/>
      <x v="2"/>
      <x v="194"/>
    </i>
    <i r="1">
      <x v="1543"/>
      <x v="512"/>
      <x v="2"/>
      <x v="250"/>
    </i>
    <i r="1">
      <x v="1544"/>
      <x v="512"/>
      <x v="2"/>
      <x v="269"/>
    </i>
    <i r="1">
      <x v="1545"/>
      <x v="513"/>
      <x v="2"/>
      <x v="65"/>
    </i>
    <i r="1">
      <x v="1546"/>
      <x v="513"/>
      <x v="2"/>
      <x v="110"/>
    </i>
    <i r="1">
      <x v="1547"/>
      <x v="513"/>
      <x v="2"/>
      <x v="128"/>
    </i>
    <i r="1">
      <x v="1548"/>
      <x v="513"/>
      <x v="2"/>
      <x v="149"/>
    </i>
    <i r="1">
      <x v="1549"/>
      <x v="513"/>
      <x v="2"/>
      <x v="151"/>
    </i>
    <i r="1">
      <x v="1550"/>
      <x v="513"/>
      <x v="2"/>
      <x v="165"/>
    </i>
    <i r="1">
      <x v="1551"/>
      <x v="513"/>
      <x v="2"/>
      <x v="258"/>
    </i>
    <i r="1">
      <x v="1552"/>
      <x v="514"/>
      <x v="2"/>
      <x v="56"/>
    </i>
    <i r="1">
      <x v="1553"/>
      <x v="514"/>
      <x v="2"/>
      <x v="115"/>
    </i>
    <i r="1">
      <x v="1554"/>
      <x v="515"/>
      <x v="2"/>
      <x v="110"/>
    </i>
    <i>
      <x v="1"/>
      <x/>
      <x v="260"/>
      <x v="2"/>
      <x v="244"/>
    </i>
    <i r="1">
      <x v="1"/>
      <x v="262"/>
      <x v="2"/>
      <x v="121"/>
    </i>
    <i r="1">
      <x v="2"/>
      <x v="264"/>
      <x v="2"/>
      <x v="83"/>
    </i>
    <i r="1">
      <x v="3"/>
      <x v="267"/>
      <x v="2"/>
      <x v="132"/>
    </i>
    <i r="1">
      <x v="4"/>
      <x v="271"/>
      <x v="2"/>
      <x v="132"/>
    </i>
    <i r="1">
      <x v="5"/>
      <x v="276"/>
      <x v="2"/>
      <x v="244"/>
    </i>
    <i r="1">
      <x v="6"/>
      <x v="279"/>
      <x v="2"/>
      <x v="132"/>
    </i>
    <i r="1">
      <x v="7"/>
      <x v="294"/>
      <x v="2"/>
      <x v="132"/>
    </i>
    <i r="1">
      <x v="8"/>
      <x v="296"/>
      <x v="2"/>
      <x v="83"/>
    </i>
    <i r="1">
      <x v="9"/>
      <x v="299"/>
      <x v="2"/>
      <x v="116"/>
    </i>
    <i r="1">
      <x v="10"/>
      <x v="299"/>
      <x v="2"/>
      <x v="244"/>
    </i>
    <i r="1">
      <x v="11"/>
      <x v="301"/>
      <x v="2"/>
      <x v="132"/>
    </i>
    <i r="1">
      <x v="12"/>
      <x v="307"/>
      <x v="2"/>
      <x v="116"/>
    </i>
    <i r="1">
      <x v="13"/>
      <x v="311"/>
      <x v="2"/>
      <x v="119"/>
    </i>
    <i r="1">
      <x v="14"/>
      <x v="313"/>
      <x v="2"/>
      <x v="132"/>
    </i>
    <i r="1">
      <x v="15"/>
      <x v="318"/>
      <x v="2"/>
      <x v="244"/>
    </i>
    <i r="1">
      <x v="16"/>
      <x v="320"/>
      <x v="2"/>
      <x v="121"/>
    </i>
    <i r="1">
      <x v="17"/>
      <x v="321"/>
      <x v="2"/>
      <x v="132"/>
    </i>
    <i r="1">
      <x v="18"/>
      <x v="323"/>
      <x v="2"/>
      <x v="132"/>
    </i>
    <i r="1">
      <x v="19"/>
      <x v="325"/>
      <x v="2"/>
      <x v="216"/>
    </i>
    <i r="1">
      <x v="20"/>
      <x v="326"/>
      <x v="2"/>
      <x v="132"/>
    </i>
    <i r="1">
      <x v="21"/>
      <x v="328"/>
      <x v="2"/>
      <x v="132"/>
    </i>
    <i r="1">
      <x v="22"/>
      <x v="332"/>
      <x v="2"/>
      <x v="132"/>
    </i>
    <i r="1">
      <x v="23"/>
      <x v="338"/>
      <x v="2"/>
      <x v="132"/>
    </i>
    <i r="1">
      <x v="24"/>
      <x v="340"/>
      <x v="2"/>
      <x v="244"/>
    </i>
    <i r="1">
      <x v="25"/>
      <x v="348"/>
      <x v="2"/>
      <x v="132"/>
    </i>
    <i r="1">
      <x v="26"/>
      <x v="353"/>
      <x v="2"/>
      <x v="49"/>
    </i>
    <i r="1">
      <x v="27"/>
      <x v="353"/>
      <x v="2"/>
      <x v="196"/>
    </i>
    <i r="1">
      <x v="28"/>
      <x v="363"/>
      <x v="2"/>
      <x v="244"/>
    </i>
    <i r="1">
      <x v="29"/>
      <x v="367"/>
      <x v="2"/>
      <x v="132"/>
    </i>
    <i r="1">
      <x v="30"/>
      <x v="371"/>
      <x v="2"/>
      <x v="132"/>
    </i>
    <i r="1">
      <x v="31"/>
      <x v="375"/>
      <x v="2"/>
      <x v="134"/>
    </i>
    <i r="1">
      <x v="32"/>
      <x v="376"/>
      <x v="2"/>
      <x v="132"/>
    </i>
    <i r="1">
      <x v="33"/>
      <x v="378"/>
      <x v="2"/>
      <x v="132"/>
    </i>
    <i r="1">
      <x v="34"/>
      <x v="387"/>
      <x v="2"/>
      <x v="132"/>
    </i>
    <i r="1">
      <x v="35"/>
      <x v="388"/>
      <x v="2"/>
      <x v="216"/>
    </i>
    <i r="1">
      <x v="36"/>
      <x v="389"/>
      <x v="2"/>
      <x v="121"/>
    </i>
    <i r="1">
      <x v="37"/>
      <x v="390"/>
      <x v="2"/>
      <x v="66"/>
    </i>
    <i r="1">
      <x v="38"/>
      <x v="396"/>
      <x v="2"/>
      <x v="244"/>
    </i>
    <i r="1">
      <x v="39"/>
      <x v="399"/>
      <x v="2"/>
      <x v="132"/>
    </i>
    <i r="1">
      <x v="40"/>
      <x v="406"/>
      <x v="2"/>
      <x v="132"/>
    </i>
    <i r="1">
      <x v="41"/>
      <x v="414"/>
      <x/>
      <x v="244"/>
    </i>
    <i r="1">
      <x v="42"/>
      <x v="415"/>
      <x v="2"/>
      <x v="216"/>
    </i>
    <i r="1">
      <x v="43"/>
      <x v="419"/>
      <x v="2"/>
      <x v="132"/>
    </i>
    <i r="1">
      <x v="44"/>
      <x v="422"/>
      <x v="2"/>
      <x v="116"/>
    </i>
    <i r="1">
      <x v="45"/>
      <x v="422"/>
      <x v="2"/>
      <x v="244"/>
    </i>
    <i r="1">
      <x v="46"/>
      <x v="424"/>
      <x/>
      <x v="295"/>
    </i>
    <i r="1">
      <x v="47"/>
      <x v="426"/>
      <x/>
      <x v="132"/>
    </i>
    <i r="1">
      <x v="48"/>
      <x v="438"/>
      <x v="2"/>
      <x v="121"/>
    </i>
    <i r="1">
      <x v="49"/>
      <x v="442"/>
      <x v="2"/>
      <x v="132"/>
    </i>
    <i r="1">
      <x v="50"/>
      <x v="446"/>
      <x v="2"/>
      <x v="244"/>
    </i>
    <i r="1">
      <x v="51"/>
      <x v="451"/>
      <x v="2"/>
      <x v="21"/>
    </i>
    <i r="1">
      <x v="52"/>
      <x v="457"/>
      <x v="2"/>
      <x v="132"/>
    </i>
    <i r="1">
      <x v="53"/>
      <x v="458"/>
      <x v="2"/>
      <x v="83"/>
    </i>
    <i r="1">
      <x v="54"/>
      <x v="461"/>
      <x v="2"/>
      <x v="132"/>
    </i>
    <i r="1">
      <x v="55"/>
      <x v="462"/>
      <x v="2"/>
      <x v="132"/>
    </i>
    <i r="1">
      <x v="56"/>
      <x v="465"/>
      <x v="2"/>
      <x v="21"/>
    </i>
    <i r="1">
      <x v="57"/>
      <x v="465"/>
      <x v="2"/>
      <x v="216"/>
    </i>
    <i r="1">
      <x v="58"/>
      <x v="466"/>
      <x v="2"/>
      <x v="116"/>
    </i>
    <i r="1">
      <x v="59"/>
      <x v="467"/>
      <x v="2"/>
      <x v="196"/>
    </i>
    <i r="1">
      <x v="60"/>
      <x v="468"/>
      <x v="2"/>
      <x v="132"/>
    </i>
    <i r="1">
      <x v="61"/>
      <x v="470"/>
      <x v="2"/>
      <x v="19"/>
    </i>
    <i r="1">
      <x v="62"/>
      <x v="471"/>
      <x v="2"/>
      <x v="116"/>
    </i>
    <i r="1">
      <x v="63"/>
      <x v="472"/>
      <x v="2"/>
      <x v="244"/>
    </i>
    <i r="1">
      <x v="64"/>
      <x v="479"/>
      <x v="2"/>
      <x v="121"/>
    </i>
    <i r="1">
      <x v="65"/>
      <x v="483"/>
      <x v="2"/>
      <x v="132"/>
    </i>
    <i r="1">
      <x v="66"/>
      <x v="484"/>
      <x v="2"/>
      <x v="21"/>
    </i>
    <i r="1">
      <x v="67"/>
      <x v="485"/>
      <x v="2"/>
      <x v="244"/>
    </i>
    <i r="1">
      <x v="68"/>
      <x v="501"/>
      <x v="2"/>
      <x v="116"/>
    </i>
    <i r="1">
      <x v="69"/>
      <x v="502"/>
      <x v="2"/>
      <x v="116"/>
    </i>
    <i r="1">
      <x v="70"/>
      <x v="503"/>
      <x v="2"/>
      <x v="8"/>
    </i>
    <i r="1">
      <x v="71"/>
      <x v="505"/>
      <x v="2"/>
      <x v="132"/>
    </i>
    <i r="1">
      <x v="72"/>
      <x v="507"/>
      <x v="2"/>
      <x v="244"/>
    </i>
    <i r="1">
      <x v="73"/>
      <x v="512"/>
      <x v="2"/>
      <x v="216"/>
    </i>
    <i r="1">
      <x v="74"/>
      <x v="513"/>
      <x v="2"/>
      <x v="132"/>
    </i>
    <i t="grand">
      <x/>
    </i>
  </rowItems>
  <colFields count="1">
    <field x="-2"/>
  </colFields>
  <colItems count="3">
    <i>
      <x/>
    </i>
    <i i="1">
      <x v="1"/>
    </i>
    <i i="2">
      <x v="2"/>
    </i>
  </colItems>
  <dataFields count="3">
    <dataField name="Total Bruto" fld="8" baseField="0" baseItem="0"/>
    <dataField name="Total Neto" fld="9" baseField="0" baseItem="0"/>
    <dataField name="Total Iva" fld="10" baseField="0" baseItem="0"/>
  </dataFields>
  <formats count="2039">
    <format dxfId="2038">
      <pivotArea dataOnly="0" labelOnly="1" outline="0" fieldPosition="0">
        <references count="1">
          <reference field="4294967294" count="3">
            <x v="0"/>
            <x v="1"/>
            <x v="2"/>
          </reference>
        </references>
      </pivotArea>
    </format>
    <format dxfId="2037">
      <pivotArea outline="0" fieldPosition="0">
        <references count="5">
          <reference field="0" count="0" selected="0"/>
          <reference field="1" count="0" selected="0"/>
          <reference field="2" count="0" selected="0"/>
          <reference field="3" count="0" selected="0"/>
          <reference field="4" count="0" selected="0"/>
        </references>
      </pivotArea>
    </format>
    <format dxfId="2036">
      <pivotArea field="0" type="button" dataOnly="0" labelOnly="1" outline="0" axis="axisRow" fieldPosition="0"/>
    </format>
    <format dxfId="2035">
      <pivotArea field="1" type="button" dataOnly="0" labelOnly="1" outline="0" axis="axisRow" fieldPosition="1"/>
    </format>
    <format dxfId="2034">
      <pivotArea field="2" type="button" dataOnly="0" labelOnly="1" outline="0" axis="axisRow" fieldPosition="2"/>
    </format>
    <format dxfId="2033">
      <pivotArea field="3" type="button" dataOnly="0" labelOnly="1" outline="0" axis="axisRow" fieldPosition="3"/>
    </format>
    <format dxfId="2032">
      <pivotArea field="4" type="button" dataOnly="0" labelOnly="1" outline="0" axis="axisRow" fieldPosition="4"/>
    </format>
    <format dxfId="2031">
      <pivotArea dataOnly="0" labelOnly="1" outline="0" fieldPosition="0">
        <references count="1">
          <reference field="0" count="0"/>
        </references>
      </pivotArea>
    </format>
    <format dxfId="2030">
      <pivotArea dataOnly="0" labelOnly="1" outline="0" fieldPosition="0">
        <references count="2">
          <reference field="0" count="1" selected="0">
            <x v="0"/>
          </reference>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029">
      <pivotArea dataOnly="0" labelOnly="1" outline="0" fieldPosition="0">
        <references count="2">
          <reference field="0" count="1" selected="0">
            <x v="0"/>
          </reference>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028">
      <pivotArea dataOnly="0" labelOnly="1" outline="0" fieldPosition="0">
        <references count="2">
          <reference field="0" count="1" selected="0">
            <x v="0"/>
          </reference>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027">
      <pivotArea dataOnly="0" labelOnly="1" outline="0" fieldPosition="0">
        <references count="2">
          <reference field="0" count="1" selected="0">
            <x v="0"/>
          </reference>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026">
      <pivotArea dataOnly="0" labelOnly="1" outline="0" fieldPosition="0">
        <references count="2">
          <reference field="0" count="1" selected="0">
            <x v="0"/>
          </reference>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025">
      <pivotArea dataOnly="0" labelOnly="1" outline="0" fieldPosition="0">
        <references count="2">
          <reference field="0" count="1" selected="0">
            <x v="0"/>
          </reference>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024">
      <pivotArea dataOnly="0" labelOnly="1" outline="0" fieldPosition="0">
        <references count="2">
          <reference field="0" count="1" selected="0">
            <x v="0"/>
          </reference>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2023">
      <pivotArea dataOnly="0" labelOnly="1" outline="0" fieldPosition="0">
        <references count="2">
          <reference field="0" count="1" selected="0">
            <x v="0"/>
          </reference>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2022">
      <pivotArea dataOnly="0" labelOnly="1" outline="0" fieldPosition="0">
        <references count="2">
          <reference field="0" count="1" selected="0">
            <x v="0"/>
          </reference>
          <reference field="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2021">
      <pivotArea dataOnly="0" labelOnly="1" outline="0" fieldPosition="0">
        <references count="2">
          <reference field="0" count="1" selected="0">
            <x v="0"/>
          </reference>
          <reference field="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2020">
      <pivotArea dataOnly="0" labelOnly="1" outline="0" fieldPosition="0">
        <references count="2">
          <reference field="0" count="1" selected="0">
            <x v="0"/>
          </reference>
          <reference field="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2019">
      <pivotArea dataOnly="0" labelOnly="1" outline="0" fieldPosition="0">
        <references count="2">
          <reference field="0" count="1" selected="0">
            <x v="0"/>
          </reference>
          <reference field="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2018">
      <pivotArea dataOnly="0" labelOnly="1" outline="0" fieldPosition="0">
        <references count="2">
          <reference field="0" count="1" selected="0">
            <x v="0"/>
          </reference>
          <reference field="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2017">
      <pivotArea dataOnly="0" labelOnly="1" outline="0" fieldPosition="0">
        <references count="2">
          <reference field="0" count="1" selected="0">
            <x v="0"/>
          </reference>
          <reference field="1"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2016">
      <pivotArea dataOnly="0" labelOnly="1" outline="0" fieldPosition="0">
        <references count="2">
          <reference field="0" count="1" selected="0">
            <x v="0"/>
          </reference>
          <reference field="1"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2015">
      <pivotArea dataOnly="0" labelOnly="1" outline="0" fieldPosition="0">
        <references count="2">
          <reference field="0" count="1" selected="0">
            <x v="0"/>
          </reference>
          <reference field="1"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2014">
      <pivotArea dataOnly="0" labelOnly="1" outline="0" fieldPosition="0">
        <references count="2">
          <reference field="0" count="1" selected="0">
            <x v="0"/>
          </reference>
          <reference field="1"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2013">
      <pivotArea dataOnly="0" labelOnly="1" outline="0" fieldPosition="0">
        <references count="2">
          <reference field="0" count="1" selected="0">
            <x v="0"/>
          </reference>
          <reference field="1"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2012">
      <pivotArea dataOnly="0" labelOnly="1" outline="0" fieldPosition="0">
        <references count="2">
          <reference field="0" count="1" selected="0">
            <x v="0"/>
          </reference>
          <reference field="1"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2011">
      <pivotArea dataOnly="0" labelOnly="1" outline="0" fieldPosition="0">
        <references count="2">
          <reference field="0" count="1" selected="0">
            <x v="0"/>
          </reference>
          <reference field="1"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2010">
      <pivotArea dataOnly="0" labelOnly="1" outline="0" fieldPosition="0">
        <references count="2">
          <reference field="0" count="1" selected="0">
            <x v="0"/>
          </reference>
          <reference field="1"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2009">
      <pivotArea dataOnly="0" labelOnly="1" outline="0" fieldPosition="0">
        <references count="2">
          <reference field="0" count="1" selected="0">
            <x v="0"/>
          </reference>
          <reference field="1"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2008">
      <pivotArea dataOnly="0" labelOnly="1" outline="0" fieldPosition="0">
        <references count="2">
          <reference field="0" count="1" selected="0">
            <x v="0"/>
          </reference>
          <reference field="1"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2007">
      <pivotArea dataOnly="0" labelOnly="1" outline="0" fieldPosition="0">
        <references count="2">
          <reference field="0" count="1" selected="0">
            <x v="0"/>
          </reference>
          <reference field="1"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2006">
      <pivotArea dataOnly="0" labelOnly="1" outline="0" fieldPosition="0">
        <references count="2">
          <reference field="0" count="1" selected="0">
            <x v="0"/>
          </reference>
          <reference field="1"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2005">
      <pivotArea dataOnly="0" labelOnly="1" outline="0" fieldPosition="0">
        <references count="2">
          <reference field="0" count="1" selected="0">
            <x v="0"/>
          </reference>
          <reference field="1"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2004">
      <pivotArea dataOnly="0" labelOnly="1" outline="0" fieldPosition="0">
        <references count="2">
          <reference field="0" count="1" selected="0">
            <x v="0"/>
          </reference>
          <reference field="1"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2003">
      <pivotArea dataOnly="0" labelOnly="1" outline="0" fieldPosition="0">
        <references count="2">
          <reference field="0" count="1" selected="0">
            <x v="0"/>
          </reference>
          <reference field="1"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2002">
      <pivotArea dataOnly="0" labelOnly="1" outline="0" fieldPosition="0">
        <references count="2">
          <reference field="0" count="1" selected="0">
            <x v="0"/>
          </reference>
          <reference field="1"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2001">
      <pivotArea dataOnly="0" labelOnly="1" outline="0" fieldPosition="0">
        <references count="2">
          <reference field="0" count="1" selected="0">
            <x v="0"/>
          </reference>
          <reference field="1"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2000">
      <pivotArea dataOnly="0" labelOnly="1" outline="0" fieldPosition="0">
        <references count="2">
          <reference field="0" count="1" selected="0">
            <x v="0"/>
          </reference>
          <reference field="1"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1999">
      <pivotArea dataOnly="0" labelOnly="1" outline="0" fieldPosition="0">
        <references count="2">
          <reference field="0" count="1" selected="0">
            <x v="0"/>
          </reference>
          <reference field="1" count="5">
            <x v="1550"/>
            <x v="1551"/>
            <x v="1552"/>
            <x v="1553"/>
            <x v="1554"/>
          </reference>
        </references>
      </pivotArea>
    </format>
    <format dxfId="1998">
      <pivotArea dataOnly="0" labelOnly="1" outline="0" fieldPosition="0">
        <references count="2">
          <reference field="0" count="1" selected="0">
            <x v="1"/>
          </reference>
          <reference field="1" count="50">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x v="1600"/>
            <x v="1601"/>
            <x v="1602"/>
            <x v="1603"/>
            <x v="1604"/>
          </reference>
        </references>
      </pivotArea>
    </format>
    <format dxfId="1997">
      <pivotArea dataOnly="0" labelOnly="1" outline="0" fieldPosition="0">
        <references count="2">
          <reference field="0" count="1" selected="0">
            <x v="1"/>
          </reference>
          <reference field="1" count="25">
            <x v="1605"/>
            <x v="1606"/>
            <x v="1607"/>
            <x v="1608"/>
            <x v="1609"/>
            <x v="1610"/>
            <x v="1611"/>
            <x v="1612"/>
            <x v="1613"/>
            <x v="1614"/>
            <x v="1615"/>
            <x v="1616"/>
            <x v="1617"/>
            <x v="1618"/>
            <x v="1619"/>
            <x v="1620"/>
            <x v="1621"/>
            <x v="1622"/>
            <x v="1623"/>
            <x v="1624"/>
            <x v="1625"/>
            <x v="1626"/>
            <x v="1627"/>
            <x v="1628"/>
            <x v="1629"/>
          </reference>
        </references>
      </pivotArea>
    </format>
    <format dxfId="1996">
      <pivotArea dataOnly="0" labelOnly="1" outline="0" fieldPosition="0">
        <references count="3">
          <reference field="0" count="1" selected="0">
            <x v="0"/>
          </reference>
          <reference field="1" count="1" selected="0">
            <x v="0"/>
          </reference>
          <reference field="2" count="1">
            <x v="258"/>
          </reference>
        </references>
      </pivotArea>
    </format>
    <format dxfId="1995">
      <pivotArea dataOnly="0" labelOnly="1" outline="0" fieldPosition="0">
        <references count="3">
          <reference field="0" count="1" selected="0">
            <x v="0"/>
          </reference>
          <reference field="1" count="1" selected="0">
            <x v="13"/>
          </reference>
          <reference field="2" count="1">
            <x v="259"/>
          </reference>
        </references>
      </pivotArea>
    </format>
    <format dxfId="1994">
      <pivotArea dataOnly="0" labelOnly="1" outline="0" fieldPosition="0">
        <references count="3">
          <reference field="0" count="1" selected="0">
            <x v="0"/>
          </reference>
          <reference field="1" count="1" selected="0">
            <x v="18"/>
          </reference>
          <reference field="2" count="1">
            <x v="260"/>
          </reference>
        </references>
      </pivotArea>
    </format>
    <format dxfId="1993">
      <pivotArea dataOnly="0" labelOnly="1" outline="0" fieldPosition="0">
        <references count="3">
          <reference field="0" count="1" selected="0">
            <x v="0"/>
          </reference>
          <reference field="1" count="1" selected="0">
            <x v="24"/>
          </reference>
          <reference field="2" count="1">
            <x v="261"/>
          </reference>
        </references>
      </pivotArea>
    </format>
    <format dxfId="1992">
      <pivotArea dataOnly="0" labelOnly="1" outline="0" fieldPosition="0">
        <references count="3">
          <reference field="0" count="1" selected="0">
            <x v="0"/>
          </reference>
          <reference field="1" count="1" selected="0">
            <x v="28"/>
          </reference>
          <reference field="2" count="1">
            <x v="262"/>
          </reference>
        </references>
      </pivotArea>
    </format>
    <format dxfId="1991">
      <pivotArea dataOnly="0" labelOnly="1" outline="0" fieldPosition="0">
        <references count="3">
          <reference field="0" count="1" selected="0">
            <x v="0"/>
          </reference>
          <reference field="1" count="1" selected="0">
            <x v="30"/>
          </reference>
          <reference field="2" count="1">
            <x v="263"/>
          </reference>
        </references>
      </pivotArea>
    </format>
    <format dxfId="1990">
      <pivotArea dataOnly="0" labelOnly="1" outline="0" fieldPosition="0">
        <references count="3">
          <reference field="0" count="1" selected="0">
            <x v="0"/>
          </reference>
          <reference field="1" count="1" selected="0">
            <x v="32"/>
          </reference>
          <reference field="2" count="1">
            <x v="264"/>
          </reference>
        </references>
      </pivotArea>
    </format>
    <format dxfId="1989">
      <pivotArea dataOnly="0" labelOnly="1" outline="0" fieldPosition="0">
        <references count="3">
          <reference field="0" count="1" selected="0">
            <x v="0"/>
          </reference>
          <reference field="1" count="1" selected="0">
            <x v="35"/>
          </reference>
          <reference field="2" count="1">
            <x v="265"/>
          </reference>
        </references>
      </pivotArea>
    </format>
    <format dxfId="1988">
      <pivotArea dataOnly="0" labelOnly="1" outline="0" fieldPosition="0">
        <references count="3">
          <reference field="0" count="1" selected="0">
            <x v="0"/>
          </reference>
          <reference field="1" count="1" selected="0">
            <x v="38"/>
          </reference>
          <reference field="2" count="1">
            <x v="266"/>
          </reference>
        </references>
      </pivotArea>
    </format>
    <format dxfId="1987">
      <pivotArea dataOnly="0" labelOnly="1" outline="0" fieldPosition="0">
        <references count="3">
          <reference field="0" count="1" selected="0">
            <x v="0"/>
          </reference>
          <reference field="1" count="1" selected="0">
            <x v="45"/>
          </reference>
          <reference field="2" count="1">
            <x v="267"/>
          </reference>
        </references>
      </pivotArea>
    </format>
    <format dxfId="1986">
      <pivotArea dataOnly="0" labelOnly="1" outline="0" fieldPosition="0">
        <references count="3">
          <reference field="0" count="1" selected="0">
            <x v="0"/>
          </reference>
          <reference field="1" count="1" selected="0">
            <x v="57"/>
          </reference>
          <reference field="2" count="1">
            <x v="268"/>
          </reference>
        </references>
      </pivotArea>
    </format>
    <format dxfId="1985">
      <pivotArea dataOnly="0" labelOnly="1" outline="0" fieldPosition="0">
        <references count="3">
          <reference field="0" count="1" selected="0">
            <x v="0"/>
          </reference>
          <reference field="1" count="1" selected="0">
            <x v="60"/>
          </reference>
          <reference field="2" count="1">
            <x v="269"/>
          </reference>
        </references>
      </pivotArea>
    </format>
    <format dxfId="1984">
      <pivotArea dataOnly="0" labelOnly="1" outline="0" fieldPosition="0">
        <references count="3">
          <reference field="0" count="1" selected="0">
            <x v="0"/>
          </reference>
          <reference field="1" count="1" selected="0">
            <x v="62"/>
          </reference>
          <reference field="2" count="1">
            <x v="270"/>
          </reference>
        </references>
      </pivotArea>
    </format>
    <format dxfId="1983">
      <pivotArea dataOnly="0" labelOnly="1" outline="0" fieldPosition="0">
        <references count="3">
          <reference field="0" count="1" selected="0">
            <x v="0"/>
          </reference>
          <reference field="1" count="1" selected="0">
            <x v="68"/>
          </reference>
          <reference field="2" count="1">
            <x v="271"/>
          </reference>
        </references>
      </pivotArea>
    </format>
    <format dxfId="1982">
      <pivotArea dataOnly="0" labelOnly="1" outline="0" fieldPosition="0">
        <references count="3">
          <reference field="0" count="1" selected="0">
            <x v="0"/>
          </reference>
          <reference field="1" count="1" selected="0">
            <x v="73"/>
          </reference>
          <reference field="2" count="1">
            <x v="272"/>
          </reference>
        </references>
      </pivotArea>
    </format>
    <format dxfId="1981">
      <pivotArea dataOnly="0" labelOnly="1" outline="0" fieldPosition="0">
        <references count="3">
          <reference field="0" count="1" selected="0">
            <x v="0"/>
          </reference>
          <reference field="1" count="1" selected="0">
            <x v="77"/>
          </reference>
          <reference field="2" count="1">
            <x v="273"/>
          </reference>
        </references>
      </pivotArea>
    </format>
    <format dxfId="1980">
      <pivotArea dataOnly="0" labelOnly="1" outline="0" fieldPosition="0">
        <references count="3">
          <reference field="0" count="1" selected="0">
            <x v="0"/>
          </reference>
          <reference field="1" count="1" selected="0">
            <x v="84"/>
          </reference>
          <reference field="2" count="1">
            <x v="274"/>
          </reference>
        </references>
      </pivotArea>
    </format>
    <format dxfId="1979">
      <pivotArea dataOnly="0" labelOnly="1" outline="0" fieldPosition="0">
        <references count="3">
          <reference field="0" count="1" selected="0">
            <x v="0"/>
          </reference>
          <reference field="1" count="1" selected="0">
            <x v="89"/>
          </reference>
          <reference field="2" count="1">
            <x v="275"/>
          </reference>
        </references>
      </pivotArea>
    </format>
    <format dxfId="1978">
      <pivotArea dataOnly="0" labelOnly="1" outline="0" fieldPosition="0">
        <references count="3">
          <reference field="0" count="1" selected="0">
            <x v="0"/>
          </reference>
          <reference field="1" count="1" selected="0">
            <x v="94"/>
          </reference>
          <reference field="2" count="1">
            <x v="276"/>
          </reference>
        </references>
      </pivotArea>
    </format>
    <format dxfId="1977">
      <pivotArea dataOnly="0" labelOnly="1" outline="0" fieldPosition="0">
        <references count="3">
          <reference field="0" count="1" selected="0">
            <x v="0"/>
          </reference>
          <reference field="1" count="1" selected="0">
            <x v="99"/>
          </reference>
          <reference field="2" count="1">
            <x v="277"/>
          </reference>
        </references>
      </pivotArea>
    </format>
    <format dxfId="1976">
      <pivotArea dataOnly="0" labelOnly="1" outline="0" fieldPosition="0">
        <references count="3">
          <reference field="0" count="1" selected="0">
            <x v="0"/>
          </reference>
          <reference field="1" count="1" selected="0">
            <x v="103"/>
          </reference>
          <reference field="2" count="1">
            <x v="278"/>
          </reference>
        </references>
      </pivotArea>
    </format>
    <format dxfId="1975">
      <pivotArea dataOnly="0" labelOnly="1" outline="0" fieldPosition="0">
        <references count="3">
          <reference field="0" count="1" selected="0">
            <x v="0"/>
          </reference>
          <reference field="1" count="1" selected="0">
            <x v="110"/>
          </reference>
          <reference field="2" count="1">
            <x v="279"/>
          </reference>
        </references>
      </pivotArea>
    </format>
    <format dxfId="1974">
      <pivotArea dataOnly="0" labelOnly="1" outline="0" fieldPosition="0">
        <references count="3">
          <reference field="0" count="1" selected="0">
            <x v="0"/>
          </reference>
          <reference field="1" count="1" selected="0">
            <x v="115"/>
          </reference>
          <reference field="2" count="1">
            <x v="280"/>
          </reference>
        </references>
      </pivotArea>
    </format>
    <format dxfId="1973">
      <pivotArea dataOnly="0" labelOnly="1" outline="0" fieldPosition="0">
        <references count="3">
          <reference field="0" count="1" selected="0">
            <x v="0"/>
          </reference>
          <reference field="1" count="1" selected="0">
            <x v="117"/>
          </reference>
          <reference field="2" count="1">
            <x v="281"/>
          </reference>
        </references>
      </pivotArea>
    </format>
    <format dxfId="1972">
      <pivotArea dataOnly="0" labelOnly="1" outline="0" fieldPosition="0">
        <references count="3">
          <reference field="0" count="1" selected="0">
            <x v="0"/>
          </reference>
          <reference field="1" count="1" selected="0">
            <x v="119"/>
          </reference>
          <reference field="2" count="1">
            <x v="282"/>
          </reference>
        </references>
      </pivotArea>
    </format>
    <format dxfId="1971">
      <pivotArea dataOnly="0" labelOnly="1" outline="0" fieldPosition="0">
        <references count="3">
          <reference field="0" count="1" selected="0">
            <x v="0"/>
          </reference>
          <reference field="1" count="1" selected="0">
            <x v="124"/>
          </reference>
          <reference field="2" count="1">
            <x v="283"/>
          </reference>
        </references>
      </pivotArea>
    </format>
    <format dxfId="1970">
      <pivotArea dataOnly="0" labelOnly="1" outline="0" fieldPosition="0">
        <references count="3">
          <reference field="0" count="1" selected="0">
            <x v="0"/>
          </reference>
          <reference field="1" count="1" selected="0">
            <x v="127"/>
          </reference>
          <reference field="2" count="1">
            <x v="284"/>
          </reference>
        </references>
      </pivotArea>
    </format>
    <format dxfId="1969">
      <pivotArea dataOnly="0" labelOnly="1" outline="0" fieldPosition="0">
        <references count="3">
          <reference field="0" count="1" selected="0">
            <x v="0"/>
          </reference>
          <reference field="1" count="1" selected="0">
            <x v="137"/>
          </reference>
          <reference field="2" count="1">
            <x v="285"/>
          </reference>
        </references>
      </pivotArea>
    </format>
    <format dxfId="1968">
      <pivotArea dataOnly="0" labelOnly="1" outline="0" fieldPosition="0">
        <references count="3">
          <reference field="0" count="1" selected="0">
            <x v="0"/>
          </reference>
          <reference field="1" count="1" selected="0">
            <x v="142"/>
          </reference>
          <reference field="2" count="1">
            <x v="286"/>
          </reference>
        </references>
      </pivotArea>
    </format>
    <format dxfId="1967">
      <pivotArea dataOnly="0" labelOnly="1" outline="0" fieldPosition="0">
        <references count="3">
          <reference field="0" count="1" selected="0">
            <x v="0"/>
          </reference>
          <reference field="1" count="1" selected="0">
            <x v="151"/>
          </reference>
          <reference field="2" count="1">
            <x v="287"/>
          </reference>
        </references>
      </pivotArea>
    </format>
    <format dxfId="1966">
      <pivotArea dataOnly="0" labelOnly="1" outline="0" fieldPosition="0">
        <references count="3">
          <reference field="0" count="1" selected="0">
            <x v="0"/>
          </reference>
          <reference field="1" count="1" selected="0">
            <x v="160"/>
          </reference>
          <reference field="2" count="1">
            <x v="288"/>
          </reference>
        </references>
      </pivotArea>
    </format>
    <format dxfId="1965">
      <pivotArea dataOnly="0" labelOnly="1" outline="0" fieldPosition="0">
        <references count="3">
          <reference field="0" count="1" selected="0">
            <x v="0"/>
          </reference>
          <reference field="1" count="1" selected="0">
            <x v="168"/>
          </reference>
          <reference field="2" count="1">
            <x v="289"/>
          </reference>
        </references>
      </pivotArea>
    </format>
    <format dxfId="1964">
      <pivotArea dataOnly="0" labelOnly="1" outline="0" fieldPosition="0">
        <references count="3">
          <reference field="0" count="1" selected="0">
            <x v="0"/>
          </reference>
          <reference field="1" count="1" selected="0">
            <x v="175"/>
          </reference>
          <reference field="2" count="1">
            <x v="290"/>
          </reference>
        </references>
      </pivotArea>
    </format>
    <format dxfId="1963">
      <pivotArea dataOnly="0" labelOnly="1" outline="0" fieldPosition="0">
        <references count="3">
          <reference field="0" count="1" selected="0">
            <x v="0"/>
          </reference>
          <reference field="1" count="1" selected="0">
            <x v="181"/>
          </reference>
          <reference field="2" count="1">
            <x v="291"/>
          </reference>
        </references>
      </pivotArea>
    </format>
    <format dxfId="1962">
      <pivotArea dataOnly="0" labelOnly="1" outline="0" fieldPosition="0">
        <references count="3">
          <reference field="0" count="1" selected="0">
            <x v="0"/>
          </reference>
          <reference field="1" count="1" selected="0">
            <x v="184"/>
          </reference>
          <reference field="2" count="1">
            <x v="292"/>
          </reference>
        </references>
      </pivotArea>
    </format>
    <format dxfId="1961">
      <pivotArea dataOnly="0" labelOnly="1" outline="0" fieldPosition="0">
        <references count="3">
          <reference field="0" count="1" selected="0">
            <x v="0"/>
          </reference>
          <reference field="1" count="1" selected="0">
            <x v="197"/>
          </reference>
          <reference field="2" count="1">
            <x v="293"/>
          </reference>
        </references>
      </pivotArea>
    </format>
    <format dxfId="1960">
      <pivotArea dataOnly="0" labelOnly="1" outline="0" fieldPosition="0">
        <references count="3">
          <reference field="0" count="1" selected="0">
            <x v="0"/>
          </reference>
          <reference field="1" count="1" selected="0">
            <x v="201"/>
          </reference>
          <reference field="2" count="1">
            <x v="294"/>
          </reference>
        </references>
      </pivotArea>
    </format>
    <format dxfId="1959">
      <pivotArea dataOnly="0" labelOnly="1" outline="0" fieldPosition="0">
        <references count="3">
          <reference field="0" count="1" selected="0">
            <x v="0"/>
          </reference>
          <reference field="1" count="1" selected="0">
            <x v="208"/>
          </reference>
          <reference field="2" count="1">
            <x v="295"/>
          </reference>
        </references>
      </pivotArea>
    </format>
    <format dxfId="1958">
      <pivotArea dataOnly="0" labelOnly="1" outline="0" fieldPosition="0">
        <references count="3">
          <reference field="0" count="1" selected="0">
            <x v="0"/>
          </reference>
          <reference field="1" count="1" selected="0">
            <x v="213"/>
          </reference>
          <reference field="2" count="1">
            <x v="296"/>
          </reference>
        </references>
      </pivotArea>
    </format>
    <format dxfId="1957">
      <pivotArea dataOnly="0" labelOnly="1" outline="0" fieldPosition="0">
        <references count="3">
          <reference field="0" count="1" selected="0">
            <x v="0"/>
          </reference>
          <reference field="1" count="1" selected="0">
            <x v="218"/>
          </reference>
          <reference field="2" count="1">
            <x v="297"/>
          </reference>
        </references>
      </pivotArea>
    </format>
    <format dxfId="1956">
      <pivotArea dataOnly="0" labelOnly="1" outline="0" fieldPosition="0">
        <references count="3">
          <reference field="0" count="1" selected="0">
            <x v="0"/>
          </reference>
          <reference field="1" count="1" selected="0">
            <x v="223"/>
          </reference>
          <reference field="2" count="1">
            <x v="298"/>
          </reference>
        </references>
      </pivotArea>
    </format>
    <format dxfId="1955">
      <pivotArea dataOnly="0" labelOnly="1" outline="0" fieldPosition="0">
        <references count="3">
          <reference field="0" count="1" selected="0">
            <x v="0"/>
          </reference>
          <reference field="1" count="1" selected="0">
            <x v="229"/>
          </reference>
          <reference field="2" count="1">
            <x v="299"/>
          </reference>
        </references>
      </pivotArea>
    </format>
    <format dxfId="1954">
      <pivotArea dataOnly="0" labelOnly="1" outline="0" fieldPosition="0">
        <references count="3">
          <reference field="0" count="1" selected="0">
            <x v="0"/>
          </reference>
          <reference field="1" count="1" selected="0">
            <x v="237"/>
          </reference>
          <reference field="2" count="1">
            <x v="300"/>
          </reference>
        </references>
      </pivotArea>
    </format>
    <format dxfId="1953">
      <pivotArea dataOnly="0" labelOnly="1" outline="0" fieldPosition="0">
        <references count="3">
          <reference field="0" count="1" selected="0">
            <x v="0"/>
          </reference>
          <reference field="1" count="1" selected="0">
            <x v="240"/>
          </reference>
          <reference field="2" count="1">
            <x v="301"/>
          </reference>
        </references>
      </pivotArea>
    </format>
    <format dxfId="1952">
      <pivotArea dataOnly="0" labelOnly="1" outline="0" fieldPosition="0">
        <references count="3">
          <reference field="0" count="1" selected="0">
            <x v="0"/>
          </reference>
          <reference field="1" count="1" selected="0">
            <x v="245"/>
          </reference>
          <reference field="2" count="1">
            <x v="302"/>
          </reference>
        </references>
      </pivotArea>
    </format>
    <format dxfId="1951">
      <pivotArea dataOnly="0" labelOnly="1" outline="0" fieldPosition="0">
        <references count="3">
          <reference field="0" count="1" selected="0">
            <x v="0"/>
          </reference>
          <reference field="1" count="1" selected="0">
            <x v="248"/>
          </reference>
          <reference field="2" count="1">
            <x v="303"/>
          </reference>
        </references>
      </pivotArea>
    </format>
    <format dxfId="1950">
      <pivotArea dataOnly="0" labelOnly="1" outline="0" fieldPosition="0">
        <references count="3">
          <reference field="0" count="1" selected="0">
            <x v="0"/>
          </reference>
          <reference field="1" count="1" selected="0">
            <x v="252"/>
          </reference>
          <reference field="2" count="1">
            <x v="304"/>
          </reference>
        </references>
      </pivotArea>
    </format>
    <format dxfId="1949">
      <pivotArea dataOnly="0" labelOnly="1" outline="0" fieldPosition="0">
        <references count="3">
          <reference field="0" count="1" selected="0">
            <x v="0"/>
          </reference>
          <reference field="1" count="1" selected="0">
            <x v="257"/>
          </reference>
          <reference field="2" count="1">
            <x v="305"/>
          </reference>
        </references>
      </pivotArea>
    </format>
    <format dxfId="1948">
      <pivotArea dataOnly="0" labelOnly="1" outline="0" fieldPosition="0">
        <references count="3">
          <reference field="0" count="1" selected="0">
            <x v="0"/>
          </reference>
          <reference field="1" count="1" selected="0">
            <x v="261"/>
          </reference>
          <reference field="2" count="1">
            <x v="306"/>
          </reference>
        </references>
      </pivotArea>
    </format>
    <format dxfId="1947">
      <pivotArea dataOnly="0" labelOnly="1" outline="0" fieldPosition="0">
        <references count="3">
          <reference field="0" count="1" selected="0">
            <x v="0"/>
          </reference>
          <reference field="1" count="1" selected="0">
            <x v="263"/>
          </reference>
          <reference field="2" count="1">
            <x v="307"/>
          </reference>
        </references>
      </pivotArea>
    </format>
    <format dxfId="1946">
      <pivotArea dataOnly="0" labelOnly="1" outline="0" fieldPosition="0">
        <references count="3">
          <reference field="0" count="1" selected="0">
            <x v="0"/>
          </reference>
          <reference field="1" count="1" selected="0">
            <x v="267"/>
          </reference>
          <reference field="2" count="1">
            <x v="308"/>
          </reference>
        </references>
      </pivotArea>
    </format>
    <format dxfId="1945">
      <pivotArea dataOnly="0" labelOnly="1" outline="0" fieldPosition="0">
        <references count="3">
          <reference field="0" count="1" selected="0">
            <x v="0"/>
          </reference>
          <reference field="1" count="1" selected="0">
            <x v="272"/>
          </reference>
          <reference field="2" count="1">
            <x v="309"/>
          </reference>
        </references>
      </pivotArea>
    </format>
    <format dxfId="1944">
      <pivotArea dataOnly="0" labelOnly="1" outline="0" fieldPosition="0">
        <references count="3">
          <reference field="0" count="1" selected="0">
            <x v="0"/>
          </reference>
          <reference field="1" count="1" selected="0">
            <x v="286"/>
          </reference>
          <reference field="2" count="1">
            <x v="310"/>
          </reference>
        </references>
      </pivotArea>
    </format>
    <format dxfId="1943">
      <pivotArea dataOnly="0" labelOnly="1" outline="0" fieldPosition="0">
        <references count="3">
          <reference field="0" count="1" selected="0">
            <x v="0"/>
          </reference>
          <reference field="1" count="1" selected="0">
            <x v="290"/>
          </reference>
          <reference field="2" count="1">
            <x v="311"/>
          </reference>
        </references>
      </pivotArea>
    </format>
    <format dxfId="1942">
      <pivotArea dataOnly="0" labelOnly="1" outline="0" fieldPosition="0">
        <references count="3">
          <reference field="0" count="1" selected="0">
            <x v="0"/>
          </reference>
          <reference field="1" count="1" selected="0">
            <x v="297"/>
          </reference>
          <reference field="2" count="1">
            <x v="312"/>
          </reference>
        </references>
      </pivotArea>
    </format>
    <format dxfId="1941">
      <pivotArea dataOnly="0" labelOnly="1" outline="0" fieldPosition="0">
        <references count="3">
          <reference field="0" count="1" selected="0">
            <x v="0"/>
          </reference>
          <reference field="1" count="1" selected="0">
            <x v="301"/>
          </reference>
          <reference field="2" count="1">
            <x v="313"/>
          </reference>
        </references>
      </pivotArea>
    </format>
    <format dxfId="1940">
      <pivotArea dataOnly="0" labelOnly="1" outline="0" fieldPosition="0">
        <references count="3">
          <reference field="0" count="1" selected="0">
            <x v="0"/>
          </reference>
          <reference field="1" count="1" selected="0">
            <x v="308"/>
          </reference>
          <reference field="2" count="1">
            <x v="314"/>
          </reference>
        </references>
      </pivotArea>
    </format>
    <format dxfId="1939">
      <pivotArea dataOnly="0" labelOnly="1" outline="0" fieldPosition="0">
        <references count="3">
          <reference field="0" count="1" selected="0">
            <x v="0"/>
          </reference>
          <reference field="1" count="1" selected="0">
            <x v="312"/>
          </reference>
          <reference field="2" count="1">
            <x v="315"/>
          </reference>
        </references>
      </pivotArea>
    </format>
    <format dxfId="1938">
      <pivotArea dataOnly="0" labelOnly="1" outline="0" fieldPosition="0">
        <references count="3">
          <reference field="0" count="1" selected="0">
            <x v="0"/>
          </reference>
          <reference field="1" count="1" selected="0">
            <x v="319"/>
          </reference>
          <reference field="2" count="1">
            <x v="316"/>
          </reference>
        </references>
      </pivotArea>
    </format>
    <format dxfId="1937">
      <pivotArea dataOnly="0" labelOnly="1" outline="0" fieldPosition="0">
        <references count="3">
          <reference field="0" count="1" selected="0">
            <x v="0"/>
          </reference>
          <reference field="1" count="1" selected="0">
            <x v="332"/>
          </reference>
          <reference field="2" count="1">
            <x v="317"/>
          </reference>
        </references>
      </pivotArea>
    </format>
    <format dxfId="1936">
      <pivotArea dataOnly="0" labelOnly="1" outline="0" fieldPosition="0">
        <references count="3">
          <reference field="0" count="1" selected="0">
            <x v="0"/>
          </reference>
          <reference field="1" count="1" selected="0">
            <x v="335"/>
          </reference>
          <reference field="2" count="1">
            <x v="318"/>
          </reference>
        </references>
      </pivotArea>
    </format>
    <format dxfId="1935">
      <pivotArea dataOnly="0" labelOnly="1" outline="0" fieldPosition="0">
        <references count="3">
          <reference field="0" count="1" selected="0">
            <x v="0"/>
          </reference>
          <reference field="1" count="1" selected="0">
            <x v="343"/>
          </reference>
          <reference field="2" count="1">
            <x v="319"/>
          </reference>
        </references>
      </pivotArea>
    </format>
    <format dxfId="1934">
      <pivotArea dataOnly="0" labelOnly="1" outline="0" fieldPosition="0">
        <references count="3">
          <reference field="0" count="1" selected="0">
            <x v="0"/>
          </reference>
          <reference field="1" count="1" selected="0">
            <x v="348"/>
          </reference>
          <reference field="2" count="1">
            <x v="320"/>
          </reference>
        </references>
      </pivotArea>
    </format>
    <format dxfId="1933">
      <pivotArea dataOnly="0" labelOnly="1" outline="0" fieldPosition="0">
        <references count="3">
          <reference field="0" count="1" selected="0">
            <x v="0"/>
          </reference>
          <reference field="1" count="1" selected="0">
            <x v="352"/>
          </reference>
          <reference field="2" count="1">
            <x v="321"/>
          </reference>
        </references>
      </pivotArea>
    </format>
    <format dxfId="1932">
      <pivotArea dataOnly="0" labelOnly="1" outline="0" fieldPosition="0">
        <references count="3">
          <reference field="0" count="1" selected="0">
            <x v="0"/>
          </reference>
          <reference field="1" count="1" selected="0">
            <x v="359"/>
          </reference>
          <reference field="2" count="1">
            <x v="322"/>
          </reference>
        </references>
      </pivotArea>
    </format>
    <format dxfId="1931">
      <pivotArea dataOnly="0" labelOnly="1" outline="0" fieldPosition="0">
        <references count="3">
          <reference field="0" count="1" selected="0">
            <x v="0"/>
          </reference>
          <reference field="1" count="1" selected="0">
            <x v="369"/>
          </reference>
          <reference field="2" count="1">
            <x v="323"/>
          </reference>
        </references>
      </pivotArea>
    </format>
    <format dxfId="1930">
      <pivotArea dataOnly="0" labelOnly="1" outline="0" fieldPosition="0">
        <references count="3">
          <reference field="0" count="1" selected="0">
            <x v="0"/>
          </reference>
          <reference field="1" count="1" selected="0">
            <x v="377"/>
          </reference>
          <reference field="2" count="1">
            <x v="324"/>
          </reference>
        </references>
      </pivotArea>
    </format>
    <format dxfId="1929">
      <pivotArea dataOnly="0" labelOnly="1" outline="0" fieldPosition="0">
        <references count="3">
          <reference field="0" count="1" selected="0">
            <x v="0"/>
          </reference>
          <reference field="1" count="1" selected="0">
            <x v="383"/>
          </reference>
          <reference field="2" count="1">
            <x v="325"/>
          </reference>
        </references>
      </pivotArea>
    </format>
    <format dxfId="1928">
      <pivotArea dataOnly="0" labelOnly="1" outline="0" fieldPosition="0">
        <references count="3">
          <reference field="0" count="1" selected="0">
            <x v="0"/>
          </reference>
          <reference field="1" count="1" selected="0">
            <x v="387"/>
          </reference>
          <reference field="2" count="1">
            <x v="326"/>
          </reference>
        </references>
      </pivotArea>
    </format>
    <format dxfId="1927">
      <pivotArea dataOnly="0" labelOnly="1" outline="0" fieldPosition="0">
        <references count="3">
          <reference field="0" count="1" selected="0">
            <x v="0"/>
          </reference>
          <reference field="1" count="1" selected="0">
            <x v="390"/>
          </reference>
          <reference field="2" count="1">
            <x v="327"/>
          </reference>
        </references>
      </pivotArea>
    </format>
    <format dxfId="1926">
      <pivotArea dataOnly="0" labelOnly="1" outline="0" fieldPosition="0">
        <references count="3">
          <reference field="0" count="1" selected="0">
            <x v="0"/>
          </reference>
          <reference field="1" count="1" selected="0">
            <x v="403"/>
          </reference>
          <reference field="2" count="1">
            <x v="328"/>
          </reference>
        </references>
      </pivotArea>
    </format>
    <format dxfId="1925">
      <pivotArea dataOnly="0" labelOnly="1" outline="0" fieldPosition="0">
        <references count="3">
          <reference field="0" count="1" selected="0">
            <x v="0"/>
          </reference>
          <reference field="1" count="1" selected="0">
            <x v="405"/>
          </reference>
          <reference field="2" count="1">
            <x v="329"/>
          </reference>
        </references>
      </pivotArea>
    </format>
    <format dxfId="1924">
      <pivotArea dataOnly="0" labelOnly="1" outline="0" fieldPosition="0">
        <references count="3">
          <reference field="0" count="1" selected="0">
            <x v="0"/>
          </reference>
          <reference field="1" count="1" selected="0">
            <x v="411"/>
          </reference>
          <reference field="2" count="1">
            <x v="330"/>
          </reference>
        </references>
      </pivotArea>
    </format>
    <format dxfId="1923">
      <pivotArea dataOnly="0" labelOnly="1" outline="0" fieldPosition="0">
        <references count="3">
          <reference field="0" count="1" selected="0">
            <x v="0"/>
          </reference>
          <reference field="1" count="1" selected="0">
            <x v="414"/>
          </reference>
          <reference field="2" count="1">
            <x v="331"/>
          </reference>
        </references>
      </pivotArea>
    </format>
    <format dxfId="1922">
      <pivotArea dataOnly="0" labelOnly="1" outline="0" fieldPosition="0">
        <references count="3">
          <reference field="0" count="1" selected="0">
            <x v="0"/>
          </reference>
          <reference field="1" count="1" selected="0">
            <x v="421"/>
          </reference>
          <reference field="2" count="1">
            <x v="332"/>
          </reference>
        </references>
      </pivotArea>
    </format>
    <format dxfId="1921">
      <pivotArea dataOnly="0" labelOnly="1" outline="0" fieldPosition="0">
        <references count="3">
          <reference field="0" count="1" selected="0">
            <x v="0"/>
          </reference>
          <reference field="1" count="1" selected="0">
            <x v="422"/>
          </reference>
          <reference field="2" count="1">
            <x v="333"/>
          </reference>
        </references>
      </pivotArea>
    </format>
    <format dxfId="1920">
      <pivotArea dataOnly="0" labelOnly="1" outline="0" fieldPosition="0">
        <references count="3">
          <reference field="0" count="1" selected="0">
            <x v="0"/>
          </reference>
          <reference field="1" count="1" selected="0">
            <x v="432"/>
          </reference>
          <reference field="2" count="1">
            <x v="334"/>
          </reference>
        </references>
      </pivotArea>
    </format>
    <format dxfId="1919">
      <pivotArea dataOnly="0" labelOnly="1" outline="0" fieldPosition="0">
        <references count="3">
          <reference field="0" count="1" selected="0">
            <x v="0"/>
          </reference>
          <reference field="1" count="1" selected="0">
            <x v="439"/>
          </reference>
          <reference field="2" count="1">
            <x v="335"/>
          </reference>
        </references>
      </pivotArea>
    </format>
    <format dxfId="1918">
      <pivotArea dataOnly="0" labelOnly="1" outline="0" fieldPosition="0">
        <references count="3">
          <reference field="0" count="1" selected="0">
            <x v="0"/>
          </reference>
          <reference field="1" count="1" selected="0">
            <x v="446"/>
          </reference>
          <reference field="2" count="1">
            <x v="336"/>
          </reference>
        </references>
      </pivotArea>
    </format>
    <format dxfId="1917">
      <pivotArea dataOnly="0" labelOnly="1" outline="0" fieldPosition="0">
        <references count="3">
          <reference field="0" count="1" selected="0">
            <x v="0"/>
          </reference>
          <reference field="1" count="1" selected="0">
            <x v="456"/>
          </reference>
          <reference field="2" count="1">
            <x v="337"/>
          </reference>
        </references>
      </pivotArea>
    </format>
    <format dxfId="1916">
      <pivotArea dataOnly="0" labelOnly="1" outline="0" fieldPosition="0">
        <references count="3">
          <reference field="0" count="1" selected="0">
            <x v="0"/>
          </reference>
          <reference field="1" count="1" selected="0">
            <x v="459"/>
          </reference>
          <reference field="2" count="1">
            <x v="338"/>
          </reference>
        </references>
      </pivotArea>
    </format>
    <format dxfId="1915">
      <pivotArea dataOnly="0" labelOnly="1" outline="0" fieldPosition="0">
        <references count="3">
          <reference field="0" count="1" selected="0">
            <x v="0"/>
          </reference>
          <reference field="1" count="1" selected="0">
            <x v="468"/>
          </reference>
          <reference field="2" count="1">
            <x v="339"/>
          </reference>
        </references>
      </pivotArea>
    </format>
    <format dxfId="1914">
      <pivotArea dataOnly="0" labelOnly="1" outline="0" fieldPosition="0">
        <references count="3">
          <reference field="0" count="1" selected="0">
            <x v="0"/>
          </reference>
          <reference field="1" count="1" selected="0">
            <x v="469"/>
          </reference>
          <reference field="2" count="1">
            <x v="340"/>
          </reference>
        </references>
      </pivotArea>
    </format>
    <format dxfId="1913">
      <pivotArea dataOnly="0" labelOnly="1" outline="0" fieldPosition="0">
        <references count="3">
          <reference field="0" count="1" selected="0">
            <x v="0"/>
          </reference>
          <reference field="1" count="1" selected="0">
            <x v="470"/>
          </reference>
          <reference field="2" count="1">
            <x v="341"/>
          </reference>
        </references>
      </pivotArea>
    </format>
    <format dxfId="1912">
      <pivotArea dataOnly="0" labelOnly="1" outline="0" fieldPosition="0">
        <references count="3">
          <reference field="0" count="1" selected="0">
            <x v="0"/>
          </reference>
          <reference field="1" count="1" selected="0">
            <x v="475"/>
          </reference>
          <reference field="2" count="1">
            <x v="342"/>
          </reference>
        </references>
      </pivotArea>
    </format>
    <format dxfId="1911">
      <pivotArea dataOnly="0" labelOnly="1" outline="0" fieldPosition="0">
        <references count="3">
          <reference field="0" count="1" selected="0">
            <x v="0"/>
          </reference>
          <reference field="1" count="1" selected="0">
            <x v="481"/>
          </reference>
          <reference field="2" count="1">
            <x v="343"/>
          </reference>
        </references>
      </pivotArea>
    </format>
    <format dxfId="1910">
      <pivotArea dataOnly="0" labelOnly="1" outline="0" fieldPosition="0">
        <references count="3">
          <reference field="0" count="1" selected="0">
            <x v="0"/>
          </reference>
          <reference field="1" count="1" selected="0">
            <x v="487"/>
          </reference>
          <reference field="2" count="1">
            <x v="344"/>
          </reference>
        </references>
      </pivotArea>
    </format>
    <format dxfId="1909">
      <pivotArea dataOnly="0" labelOnly="1" outline="0" fieldPosition="0">
        <references count="3">
          <reference field="0" count="1" selected="0">
            <x v="0"/>
          </reference>
          <reference field="1" count="1" selected="0">
            <x v="492"/>
          </reference>
          <reference field="2" count="1">
            <x v="345"/>
          </reference>
        </references>
      </pivotArea>
    </format>
    <format dxfId="1908">
      <pivotArea dataOnly="0" labelOnly="1" outline="0" fieldPosition="0">
        <references count="3">
          <reference field="0" count="1" selected="0">
            <x v="0"/>
          </reference>
          <reference field="1" count="1" selected="0">
            <x v="499"/>
          </reference>
          <reference field="2" count="1">
            <x v="346"/>
          </reference>
        </references>
      </pivotArea>
    </format>
    <format dxfId="1907">
      <pivotArea dataOnly="0" labelOnly="1" outline="0" fieldPosition="0">
        <references count="3">
          <reference field="0" count="1" selected="0">
            <x v="0"/>
          </reference>
          <reference field="1" count="1" selected="0">
            <x v="514"/>
          </reference>
          <reference field="2" count="1">
            <x v="347"/>
          </reference>
        </references>
      </pivotArea>
    </format>
    <format dxfId="1906">
      <pivotArea dataOnly="0" labelOnly="1" outline="0" fieldPosition="0">
        <references count="3">
          <reference field="0" count="1" selected="0">
            <x v="0"/>
          </reference>
          <reference field="1" count="1" selected="0">
            <x v="520"/>
          </reference>
          <reference field="2" count="1">
            <x v="348"/>
          </reference>
        </references>
      </pivotArea>
    </format>
    <format dxfId="1905">
      <pivotArea dataOnly="0" labelOnly="1" outline="0" fieldPosition="0">
        <references count="3">
          <reference field="0" count="1" selected="0">
            <x v="0"/>
          </reference>
          <reference field="1" count="1" selected="0">
            <x v="524"/>
          </reference>
          <reference field="2" count="1">
            <x v="349"/>
          </reference>
        </references>
      </pivotArea>
    </format>
    <format dxfId="1904">
      <pivotArea dataOnly="0" labelOnly="1" outline="0" fieldPosition="0">
        <references count="3">
          <reference field="0" count="1" selected="0">
            <x v="0"/>
          </reference>
          <reference field="1" count="1" selected="0">
            <x v="535"/>
          </reference>
          <reference field="2" count="1">
            <x v="350"/>
          </reference>
        </references>
      </pivotArea>
    </format>
    <format dxfId="1903">
      <pivotArea dataOnly="0" labelOnly="1" outline="0" fieldPosition="0">
        <references count="3">
          <reference field="0" count="1" selected="0">
            <x v="0"/>
          </reference>
          <reference field="1" count="1" selected="0">
            <x v="545"/>
          </reference>
          <reference field="2" count="1">
            <x v="351"/>
          </reference>
        </references>
      </pivotArea>
    </format>
    <format dxfId="1902">
      <pivotArea dataOnly="0" labelOnly="1" outline="0" fieldPosition="0">
        <references count="3">
          <reference field="0" count="1" selected="0">
            <x v="0"/>
          </reference>
          <reference field="1" count="1" selected="0">
            <x v="549"/>
          </reference>
          <reference field="2" count="1">
            <x v="352"/>
          </reference>
        </references>
      </pivotArea>
    </format>
    <format dxfId="1901">
      <pivotArea dataOnly="0" labelOnly="1" outline="0" fieldPosition="0">
        <references count="3">
          <reference field="0" count="1" selected="0">
            <x v="0"/>
          </reference>
          <reference field="1" count="1" selected="0">
            <x v="552"/>
          </reference>
          <reference field="2" count="1">
            <x v="353"/>
          </reference>
        </references>
      </pivotArea>
    </format>
    <format dxfId="1900">
      <pivotArea dataOnly="0" labelOnly="1" outline="0" fieldPosition="0">
        <references count="3">
          <reference field="0" count="1" selected="0">
            <x v="0"/>
          </reference>
          <reference field="1" count="1" selected="0">
            <x v="554"/>
          </reference>
          <reference field="2" count="1">
            <x v="354"/>
          </reference>
        </references>
      </pivotArea>
    </format>
    <format dxfId="1899">
      <pivotArea dataOnly="0" labelOnly="1" outline="0" fieldPosition="0">
        <references count="3">
          <reference field="0" count="1" selected="0">
            <x v="0"/>
          </reference>
          <reference field="1" count="1" selected="0">
            <x v="562"/>
          </reference>
          <reference field="2" count="1">
            <x v="355"/>
          </reference>
        </references>
      </pivotArea>
    </format>
    <format dxfId="1898">
      <pivotArea dataOnly="0" labelOnly="1" outline="0" fieldPosition="0">
        <references count="3">
          <reference field="0" count="1" selected="0">
            <x v="0"/>
          </reference>
          <reference field="1" count="1" selected="0">
            <x v="567"/>
          </reference>
          <reference field="2" count="1">
            <x v="356"/>
          </reference>
        </references>
      </pivotArea>
    </format>
    <format dxfId="1897">
      <pivotArea dataOnly="0" labelOnly="1" outline="0" fieldPosition="0">
        <references count="3">
          <reference field="0" count="1" selected="0">
            <x v="0"/>
          </reference>
          <reference field="1" count="1" selected="0">
            <x v="574"/>
          </reference>
          <reference field="2" count="1">
            <x v="357"/>
          </reference>
        </references>
      </pivotArea>
    </format>
    <format dxfId="1896">
      <pivotArea dataOnly="0" labelOnly="1" outline="0" fieldPosition="0">
        <references count="3">
          <reference field="0" count="1" selected="0">
            <x v="0"/>
          </reference>
          <reference field="1" count="1" selected="0">
            <x v="582"/>
          </reference>
          <reference field="2" count="1">
            <x v="358"/>
          </reference>
        </references>
      </pivotArea>
    </format>
    <format dxfId="1895">
      <pivotArea dataOnly="0" labelOnly="1" outline="0" fieldPosition="0">
        <references count="3">
          <reference field="0" count="1" selected="0">
            <x v="0"/>
          </reference>
          <reference field="1" count="1" selected="0">
            <x v="583"/>
          </reference>
          <reference field="2" count="1">
            <x v="359"/>
          </reference>
        </references>
      </pivotArea>
    </format>
    <format dxfId="1894">
      <pivotArea dataOnly="0" labelOnly="1" outline="0" fieldPosition="0">
        <references count="3">
          <reference field="0" count="1" selected="0">
            <x v="0"/>
          </reference>
          <reference field="1" count="1" selected="0">
            <x v="589"/>
          </reference>
          <reference field="2" count="1">
            <x v="360"/>
          </reference>
        </references>
      </pivotArea>
    </format>
    <format dxfId="1893">
      <pivotArea dataOnly="0" labelOnly="1" outline="0" fieldPosition="0">
        <references count="3">
          <reference field="0" count="1" selected="0">
            <x v="0"/>
          </reference>
          <reference field="1" count="1" selected="0">
            <x v="598"/>
          </reference>
          <reference field="2" count="1">
            <x v="361"/>
          </reference>
        </references>
      </pivotArea>
    </format>
    <format dxfId="1892">
      <pivotArea dataOnly="0" labelOnly="1" outline="0" fieldPosition="0">
        <references count="3">
          <reference field="0" count="1" selected="0">
            <x v="0"/>
          </reference>
          <reference field="1" count="1" selected="0">
            <x v="604"/>
          </reference>
          <reference field="2" count="1">
            <x v="362"/>
          </reference>
        </references>
      </pivotArea>
    </format>
    <format dxfId="1891">
      <pivotArea dataOnly="0" labelOnly="1" outline="0" fieldPosition="0">
        <references count="3">
          <reference field="0" count="1" selected="0">
            <x v="0"/>
          </reference>
          <reference field="1" count="1" selected="0">
            <x v="618"/>
          </reference>
          <reference field="2" count="1">
            <x v="363"/>
          </reference>
        </references>
      </pivotArea>
    </format>
    <format dxfId="1890">
      <pivotArea dataOnly="0" labelOnly="1" outline="0" fieldPosition="0">
        <references count="3">
          <reference field="0" count="1" selected="0">
            <x v="0"/>
          </reference>
          <reference field="1" count="1" selected="0">
            <x v="659"/>
          </reference>
          <reference field="2" count="1">
            <x v="364"/>
          </reference>
        </references>
      </pivotArea>
    </format>
    <format dxfId="1889">
      <pivotArea dataOnly="0" labelOnly="1" outline="0" fieldPosition="0">
        <references count="3">
          <reference field="0" count="1" selected="0">
            <x v="0"/>
          </reference>
          <reference field="1" count="1" selected="0">
            <x v="661"/>
          </reference>
          <reference field="2" count="1">
            <x v="365"/>
          </reference>
        </references>
      </pivotArea>
    </format>
    <format dxfId="1888">
      <pivotArea dataOnly="0" labelOnly="1" outline="0" fieldPosition="0">
        <references count="3">
          <reference field="0" count="1" selected="0">
            <x v="0"/>
          </reference>
          <reference field="1" count="1" selected="0">
            <x v="668"/>
          </reference>
          <reference field="2" count="1">
            <x v="366"/>
          </reference>
        </references>
      </pivotArea>
    </format>
    <format dxfId="1887">
      <pivotArea dataOnly="0" labelOnly="1" outline="0" fieldPosition="0">
        <references count="3">
          <reference field="0" count="1" selected="0">
            <x v="0"/>
          </reference>
          <reference field="1" count="1" selected="0">
            <x v="672"/>
          </reference>
          <reference field="2" count="1">
            <x v="367"/>
          </reference>
        </references>
      </pivotArea>
    </format>
    <format dxfId="1886">
      <pivotArea dataOnly="0" labelOnly="1" outline="0" fieldPosition="0">
        <references count="3">
          <reference field="0" count="1" selected="0">
            <x v="0"/>
          </reference>
          <reference field="1" count="1" selected="0">
            <x v="675"/>
          </reference>
          <reference field="2" count="1">
            <x v="368"/>
          </reference>
        </references>
      </pivotArea>
    </format>
    <format dxfId="1885">
      <pivotArea dataOnly="0" labelOnly="1" outline="0" fieldPosition="0">
        <references count="3">
          <reference field="0" count="1" selected="0">
            <x v="0"/>
          </reference>
          <reference field="1" count="1" selected="0">
            <x v="684"/>
          </reference>
          <reference field="2" count="1">
            <x v="369"/>
          </reference>
        </references>
      </pivotArea>
    </format>
    <format dxfId="1884">
      <pivotArea dataOnly="0" labelOnly="1" outline="0" fieldPosition="0">
        <references count="3">
          <reference field="0" count="1" selected="0">
            <x v="0"/>
          </reference>
          <reference field="1" count="1" selected="0">
            <x v="688"/>
          </reference>
          <reference field="2" count="1">
            <x v="370"/>
          </reference>
        </references>
      </pivotArea>
    </format>
    <format dxfId="1883">
      <pivotArea dataOnly="0" labelOnly="1" outline="0" fieldPosition="0">
        <references count="3">
          <reference field="0" count="1" selected="0">
            <x v="0"/>
          </reference>
          <reference field="1" count="1" selected="0">
            <x v="693"/>
          </reference>
          <reference field="2" count="1">
            <x v="371"/>
          </reference>
        </references>
      </pivotArea>
    </format>
    <format dxfId="1882">
      <pivotArea dataOnly="0" labelOnly="1" outline="0" fieldPosition="0">
        <references count="3">
          <reference field="0" count="1" selected="0">
            <x v="0"/>
          </reference>
          <reference field="1" count="1" selected="0">
            <x v="698"/>
          </reference>
          <reference field="2" count="1">
            <x v="372"/>
          </reference>
        </references>
      </pivotArea>
    </format>
    <format dxfId="1881">
      <pivotArea dataOnly="0" labelOnly="1" outline="0" fieldPosition="0">
        <references count="3">
          <reference field="0" count="1" selected="0">
            <x v="0"/>
          </reference>
          <reference field="1" count="1" selected="0">
            <x v="708"/>
          </reference>
          <reference field="2" count="1">
            <x v="373"/>
          </reference>
        </references>
      </pivotArea>
    </format>
    <format dxfId="1880">
      <pivotArea dataOnly="0" labelOnly="1" outline="0" fieldPosition="0">
        <references count="3">
          <reference field="0" count="1" selected="0">
            <x v="0"/>
          </reference>
          <reference field="1" count="1" selected="0">
            <x v="715"/>
          </reference>
          <reference field="2" count="1">
            <x v="374"/>
          </reference>
        </references>
      </pivotArea>
    </format>
    <format dxfId="1879">
      <pivotArea dataOnly="0" labelOnly="1" outline="0" fieldPosition="0">
        <references count="3">
          <reference field="0" count="1" selected="0">
            <x v="0"/>
          </reference>
          <reference field="1" count="1" selected="0">
            <x v="721"/>
          </reference>
          <reference field="2" count="1">
            <x v="375"/>
          </reference>
        </references>
      </pivotArea>
    </format>
    <format dxfId="1878">
      <pivotArea dataOnly="0" labelOnly="1" outline="0" fieldPosition="0">
        <references count="3">
          <reference field="0" count="1" selected="0">
            <x v="0"/>
          </reference>
          <reference field="1" count="1" selected="0">
            <x v="730"/>
          </reference>
          <reference field="2" count="1">
            <x v="376"/>
          </reference>
        </references>
      </pivotArea>
    </format>
    <format dxfId="1877">
      <pivotArea dataOnly="0" labelOnly="1" outline="0" fieldPosition="0">
        <references count="3">
          <reference field="0" count="1" selected="0">
            <x v="0"/>
          </reference>
          <reference field="1" count="1" selected="0">
            <x v="738"/>
          </reference>
          <reference field="2" count="1">
            <x v="377"/>
          </reference>
        </references>
      </pivotArea>
    </format>
    <format dxfId="1876">
      <pivotArea dataOnly="0" labelOnly="1" outline="0" fieldPosition="0">
        <references count="3">
          <reference field="0" count="1" selected="0">
            <x v="0"/>
          </reference>
          <reference field="1" count="1" selected="0">
            <x v="742"/>
          </reference>
          <reference field="2" count="1">
            <x v="378"/>
          </reference>
        </references>
      </pivotArea>
    </format>
    <format dxfId="1875">
      <pivotArea dataOnly="0" labelOnly="1" outline="0" fieldPosition="0">
        <references count="3">
          <reference field="0" count="1" selected="0">
            <x v="0"/>
          </reference>
          <reference field="1" count="1" selected="0">
            <x v="759"/>
          </reference>
          <reference field="2" count="1">
            <x v="379"/>
          </reference>
        </references>
      </pivotArea>
    </format>
    <format dxfId="1874">
      <pivotArea dataOnly="0" labelOnly="1" outline="0" fieldPosition="0">
        <references count="3">
          <reference field="0" count="1" selected="0">
            <x v="0"/>
          </reference>
          <reference field="1" count="1" selected="0">
            <x v="765"/>
          </reference>
          <reference field="2" count="1">
            <x v="380"/>
          </reference>
        </references>
      </pivotArea>
    </format>
    <format dxfId="1873">
      <pivotArea dataOnly="0" labelOnly="1" outline="0" fieldPosition="0">
        <references count="3">
          <reference field="0" count="1" selected="0">
            <x v="0"/>
          </reference>
          <reference field="1" count="1" selected="0">
            <x v="772"/>
          </reference>
          <reference field="2" count="1">
            <x v="381"/>
          </reference>
        </references>
      </pivotArea>
    </format>
    <format dxfId="1872">
      <pivotArea dataOnly="0" labelOnly="1" outline="0" fieldPosition="0">
        <references count="3">
          <reference field="0" count="1" selected="0">
            <x v="0"/>
          </reference>
          <reference field="1" count="1" selected="0">
            <x v="779"/>
          </reference>
          <reference field="2" count="1">
            <x v="382"/>
          </reference>
        </references>
      </pivotArea>
    </format>
    <format dxfId="1871">
      <pivotArea dataOnly="0" labelOnly="1" outline="0" fieldPosition="0">
        <references count="3">
          <reference field="0" count="1" selected="0">
            <x v="0"/>
          </reference>
          <reference field="1" count="1" selected="0">
            <x v="789"/>
          </reference>
          <reference field="2" count="1">
            <x v="383"/>
          </reference>
        </references>
      </pivotArea>
    </format>
    <format dxfId="1870">
      <pivotArea dataOnly="0" labelOnly="1" outline="0" fieldPosition="0">
        <references count="3">
          <reference field="0" count="1" selected="0">
            <x v="0"/>
          </reference>
          <reference field="1" count="1" selected="0">
            <x v="791"/>
          </reference>
          <reference field="2" count="1">
            <x v="384"/>
          </reference>
        </references>
      </pivotArea>
    </format>
    <format dxfId="1869">
      <pivotArea dataOnly="0" labelOnly="1" outline="0" fieldPosition="0">
        <references count="3">
          <reference field="0" count="1" selected="0">
            <x v="0"/>
          </reference>
          <reference field="1" count="1" selected="0">
            <x v="794"/>
          </reference>
          <reference field="2" count="1">
            <x v="385"/>
          </reference>
        </references>
      </pivotArea>
    </format>
    <format dxfId="1868">
      <pivotArea dataOnly="0" labelOnly="1" outline="0" fieldPosition="0">
        <references count="3">
          <reference field="0" count="1" selected="0">
            <x v="0"/>
          </reference>
          <reference field="1" count="1" selected="0">
            <x v="804"/>
          </reference>
          <reference field="2" count="1">
            <x v="386"/>
          </reference>
        </references>
      </pivotArea>
    </format>
    <format dxfId="1867">
      <pivotArea dataOnly="0" labelOnly="1" outline="0" fieldPosition="0">
        <references count="3">
          <reference field="0" count="1" selected="0">
            <x v="0"/>
          </reference>
          <reference field="1" count="1" selected="0">
            <x v="805"/>
          </reference>
          <reference field="2" count="1">
            <x v="387"/>
          </reference>
        </references>
      </pivotArea>
    </format>
    <format dxfId="1866">
      <pivotArea dataOnly="0" labelOnly="1" outline="0" fieldPosition="0">
        <references count="3">
          <reference field="0" count="1" selected="0">
            <x v="0"/>
          </reference>
          <reference field="1" count="1" selected="0">
            <x v="811"/>
          </reference>
          <reference field="2" count="1">
            <x v="388"/>
          </reference>
        </references>
      </pivotArea>
    </format>
    <format dxfId="1865">
      <pivotArea dataOnly="0" labelOnly="1" outline="0" fieldPosition="0">
        <references count="3">
          <reference field="0" count="1" selected="0">
            <x v="0"/>
          </reference>
          <reference field="1" count="1" selected="0">
            <x v="817"/>
          </reference>
          <reference field="2" count="1">
            <x v="389"/>
          </reference>
        </references>
      </pivotArea>
    </format>
    <format dxfId="1864">
      <pivotArea dataOnly="0" labelOnly="1" outline="0" fieldPosition="0">
        <references count="3">
          <reference field="0" count="1" selected="0">
            <x v="0"/>
          </reference>
          <reference field="1" count="1" selected="0">
            <x v="825"/>
          </reference>
          <reference field="2" count="1">
            <x v="390"/>
          </reference>
        </references>
      </pivotArea>
    </format>
    <format dxfId="1863">
      <pivotArea dataOnly="0" labelOnly="1" outline="0" fieldPosition="0">
        <references count="3">
          <reference field="0" count="1" selected="0">
            <x v="0"/>
          </reference>
          <reference field="1" count="1" selected="0">
            <x v="833"/>
          </reference>
          <reference field="2" count="1">
            <x v="391"/>
          </reference>
        </references>
      </pivotArea>
    </format>
    <format dxfId="1862">
      <pivotArea dataOnly="0" labelOnly="1" outline="0" fieldPosition="0">
        <references count="3">
          <reference field="0" count="1" selected="0">
            <x v="0"/>
          </reference>
          <reference field="1" count="1" selected="0">
            <x v="839"/>
          </reference>
          <reference field="2" count="1">
            <x v="392"/>
          </reference>
        </references>
      </pivotArea>
    </format>
    <format dxfId="1861">
      <pivotArea dataOnly="0" labelOnly="1" outline="0" fieldPosition="0">
        <references count="3">
          <reference field="0" count="1" selected="0">
            <x v="0"/>
          </reference>
          <reference field="1" count="1" selected="0">
            <x v="847"/>
          </reference>
          <reference field="2" count="1">
            <x v="393"/>
          </reference>
        </references>
      </pivotArea>
    </format>
    <format dxfId="1860">
      <pivotArea dataOnly="0" labelOnly="1" outline="0" fieldPosition="0">
        <references count="3">
          <reference field="0" count="1" selected="0">
            <x v="0"/>
          </reference>
          <reference field="1" count="1" selected="0">
            <x v="851"/>
          </reference>
          <reference field="2" count="1">
            <x v="394"/>
          </reference>
        </references>
      </pivotArea>
    </format>
    <format dxfId="1859">
      <pivotArea dataOnly="0" labelOnly="1" outline="0" fieldPosition="0">
        <references count="3">
          <reference field="0" count="1" selected="0">
            <x v="0"/>
          </reference>
          <reference field="1" count="1" selected="0">
            <x v="853"/>
          </reference>
          <reference field="2" count="1">
            <x v="395"/>
          </reference>
        </references>
      </pivotArea>
    </format>
    <format dxfId="1858">
      <pivotArea dataOnly="0" labelOnly="1" outline="0" fieldPosition="0">
        <references count="3">
          <reference field="0" count="1" selected="0">
            <x v="0"/>
          </reference>
          <reference field="1" count="1" selected="0">
            <x v="860"/>
          </reference>
          <reference field="2" count="1">
            <x v="396"/>
          </reference>
        </references>
      </pivotArea>
    </format>
    <format dxfId="1857">
      <pivotArea dataOnly="0" labelOnly="1" outline="0" fieldPosition="0">
        <references count="3">
          <reference field="0" count="1" selected="0">
            <x v="0"/>
          </reference>
          <reference field="1" count="1" selected="0">
            <x v="865"/>
          </reference>
          <reference field="2" count="1">
            <x v="397"/>
          </reference>
        </references>
      </pivotArea>
    </format>
    <format dxfId="1856">
      <pivotArea dataOnly="0" labelOnly="1" outline="0" fieldPosition="0">
        <references count="3">
          <reference field="0" count="1" selected="0">
            <x v="0"/>
          </reference>
          <reference field="1" count="1" selected="0">
            <x v="877"/>
          </reference>
          <reference field="2" count="1">
            <x v="398"/>
          </reference>
        </references>
      </pivotArea>
    </format>
    <format dxfId="1855">
      <pivotArea dataOnly="0" labelOnly="1" outline="0" fieldPosition="0">
        <references count="3">
          <reference field="0" count="1" selected="0">
            <x v="0"/>
          </reference>
          <reference field="1" count="1" selected="0">
            <x v="886"/>
          </reference>
          <reference field="2" count="1">
            <x v="399"/>
          </reference>
        </references>
      </pivotArea>
    </format>
    <format dxfId="1854">
      <pivotArea dataOnly="0" labelOnly="1" outline="0" fieldPosition="0">
        <references count="3">
          <reference field="0" count="1" selected="0">
            <x v="0"/>
          </reference>
          <reference field="1" count="1" selected="0">
            <x v="895"/>
          </reference>
          <reference field="2" count="1">
            <x v="400"/>
          </reference>
        </references>
      </pivotArea>
    </format>
    <format dxfId="1853">
      <pivotArea dataOnly="0" labelOnly="1" outline="0" fieldPosition="0">
        <references count="3">
          <reference field="0" count="1" selected="0">
            <x v="0"/>
          </reference>
          <reference field="1" count="1" selected="0">
            <x v="901"/>
          </reference>
          <reference field="2" count="1">
            <x v="401"/>
          </reference>
        </references>
      </pivotArea>
    </format>
    <format dxfId="1852">
      <pivotArea dataOnly="0" labelOnly="1" outline="0" fieldPosition="0">
        <references count="3">
          <reference field="0" count="1" selected="0">
            <x v="0"/>
          </reference>
          <reference field="1" count="1" selected="0">
            <x v="907"/>
          </reference>
          <reference field="2" count="1">
            <x v="402"/>
          </reference>
        </references>
      </pivotArea>
    </format>
    <format dxfId="1851">
      <pivotArea dataOnly="0" labelOnly="1" outline="0" fieldPosition="0">
        <references count="3">
          <reference field="0" count="1" selected="0">
            <x v="0"/>
          </reference>
          <reference field="1" count="1" selected="0">
            <x v="913"/>
          </reference>
          <reference field="2" count="1">
            <x v="403"/>
          </reference>
        </references>
      </pivotArea>
    </format>
    <format dxfId="1850">
      <pivotArea dataOnly="0" labelOnly="1" outline="0" fieldPosition="0">
        <references count="3">
          <reference field="0" count="1" selected="0">
            <x v="0"/>
          </reference>
          <reference field="1" count="1" selected="0">
            <x v="923"/>
          </reference>
          <reference field="2" count="1">
            <x v="404"/>
          </reference>
        </references>
      </pivotArea>
    </format>
    <format dxfId="1849">
      <pivotArea dataOnly="0" labelOnly="1" outline="0" fieldPosition="0">
        <references count="3">
          <reference field="0" count="1" selected="0">
            <x v="0"/>
          </reference>
          <reference field="1" count="1" selected="0">
            <x v="931"/>
          </reference>
          <reference field="2" count="1">
            <x v="405"/>
          </reference>
        </references>
      </pivotArea>
    </format>
    <format dxfId="1848">
      <pivotArea dataOnly="0" labelOnly="1" outline="0" fieldPosition="0">
        <references count="3">
          <reference field="0" count="1" selected="0">
            <x v="0"/>
          </reference>
          <reference field="1" count="1" selected="0">
            <x v="941"/>
          </reference>
          <reference field="2" count="1">
            <x v="406"/>
          </reference>
        </references>
      </pivotArea>
    </format>
    <format dxfId="1847">
      <pivotArea dataOnly="0" labelOnly="1" outline="0" fieldPosition="0">
        <references count="3">
          <reference field="0" count="1" selected="0">
            <x v="0"/>
          </reference>
          <reference field="1" count="1" selected="0">
            <x v="948"/>
          </reference>
          <reference field="2" count="1">
            <x v="407"/>
          </reference>
        </references>
      </pivotArea>
    </format>
    <format dxfId="1846">
      <pivotArea dataOnly="0" labelOnly="1" outline="0" fieldPosition="0">
        <references count="3">
          <reference field="0" count="1" selected="0">
            <x v="0"/>
          </reference>
          <reference field="1" count="1" selected="0">
            <x v="953"/>
          </reference>
          <reference field="2" count="1">
            <x v="408"/>
          </reference>
        </references>
      </pivotArea>
    </format>
    <format dxfId="1845">
      <pivotArea dataOnly="0" labelOnly="1" outline="0" fieldPosition="0">
        <references count="3">
          <reference field="0" count="1" selected="0">
            <x v="0"/>
          </reference>
          <reference field="1" count="1" selected="0">
            <x v="959"/>
          </reference>
          <reference field="2" count="1">
            <x v="409"/>
          </reference>
        </references>
      </pivotArea>
    </format>
    <format dxfId="1844">
      <pivotArea dataOnly="0" labelOnly="1" outline="0" fieldPosition="0">
        <references count="3">
          <reference field="0" count="1" selected="0">
            <x v="0"/>
          </reference>
          <reference field="1" count="1" selected="0">
            <x v="964"/>
          </reference>
          <reference field="2" count="1">
            <x v="410"/>
          </reference>
        </references>
      </pivotArea>
    </format>
    <format dxfId="1843">
      <pivotArea dataOnly="0" labelOnly="1" outline="0" fieldPosition="0">
        <references count="3">
          <reference field="0" count="1" selected="0">
            <x v="0"/>
          </reference>
          <reference field="1" count="1" selected="0">
            <x v="971"/>
          </reference>
          <reference field="2" count="1">
            <x v="411"/>
          </reference>
        </references>
      </pivotArea>
    </format>
    <format dxfId="1842">
      <pivotArea dataOnly="0" labelOnly="1" outline="0" fieldPosition="0">
        <references count="3">
          <reference field="0" count="1" selected="0">
            <x v="0"/>
          </reference>
          <reference field="1" count="1" selected="0">
            <x v="973"/>
          </reference>
          <reference field="2" count="1">
            <x v="412"/>
          </reference>
        </references>
      </pivotArea>
    </format>
    <format dxfId="1841">
      <pivotArea dataOnly="0" labelOnly="1" outline="0" fieldPosition="0">
        <references count="3">
          <reference field="0" count="1" selected="0">
            <x v="0"/>
          </reference>
          <reference field="1" count="1" selected="0">
            <x v="977"/>
          </reference>
          <reference field="2" count="1">
            <x v="413"/>
          </reference>
        </references>
      </pivotArea>
    </format>
    <format dxfId="1840">
      <pivotArea dataOnly="0" labelOnly="1" outline="0" fieldPosition="0">
        <references count="3">
          <reference field="0" count="1" selected="0">
            <x v="0"/>
          </reference>
          <reference field="1" count="1" selected="0">
            <x v="983"/>
          </reference>
          <reference field="2" count="1">
            <x v="414"/>
          </reference>
        </references>
      </pivotArea>
    </format>
    <format dxfId="1839">
      <pivotArea dataOnly="0" labelOnly="1" outline="0" fieldPosition="0">
        <references count="3">
          <reference field="0" count="1" selected="0">
            <x v="0"/>
          </reference>
          <reference field="1" count="1" selected="0">
            <x v="989"/>
          </reference>
          <reference field="2" count="1">
            <x v="415"/>
          </reference>
        </references>
      </pivotArea>
    </format>
    <format dxfId="1838">
      <pivotArea dataOnly="0" labelOnly="1" outline="0" fieldPosition="0">
        <references count="3">
          <reference field="0" count="1" selected="0">
            <x v="0"/>
          </reference>
          <reference field="1" count="1" selected="0">
            <x v="993"/>
          </reference>
          <reference field="2" count="1">
            <x v="416"/>
          </reference>
        </references>
      </pivotArea>
    </format>
    <format dxfId="1837">
      <pivotArea dataOnly="0" labelOnly="1" outline="0" fieldPosition="0">
        <references count="3">
          <reference field="0" count="1" selected="0">
            <x v="0"/>
          </reference>
          <reference field="1" count="1" selected="0">
            <x v="1001"/>
          </reference>
          <reference field="2" count="1">
            <x v="417"/>
          </reference>
        </references>
      </pivotArea>
    </format>
    <format dxfId="1836">
      <pivotArea dataOnly="0" labelOnly="1" outline="0" fieldPosition="0">
        <references count="3">
          <reference field="0" count="1" selected="0">
            <x v="0"/>
          </reference>
          <reference field="1" count="1" selected="0">
            <x v="1003"/>
          </reference>
          <reference field="2" count="1">
            <x v="418"/>
          </reference>
        </references>
      </pivotArea>
    </format>
    <format dxfId="1835">
      <pivotArea dataOnly="0" labelOnly="1" outline="0" fieldPosition="0">
        <references count="3">
          <reference field="0" count="1" selected="0">
            <x v="0"/>
          </reference>
          <reference field="1" count="1" selected="0">
            <x v="1014"/>
          </reference>
          <reference field="2" count="1">
            <x v="419"/>
          </reference>
        </references>
      </pivotArea>
    </format>
    <format dxfId="1834">
      <pivotArea dataOnly="0" labelOnly="1" outline="0" fieldPosition="0">
        <references count="3">
          <reference field="0" count="1" selected="0">
            <x v="0"/>
          </reference>
          <reference field="1" count="1" selected="0">
            <x v="1023"/>
          </reference>
          <reference field="2" count="1">
            <x v="420"/>
          </reference>
        </references>
      </pivotArea>
    </format>
    <format dxfId="1833">
      <pivotArea dataOnly="0" labelOnly="1" outline="0" fieldPosition="0">
        <references count="3">
          <reference field="0" count="1" selected="0">
            <x v="0"/>
          </reference>
          <reference field="1" count="1" selected="0">
            <x v="1028"/>
          </reference>
          <reference field="2" count="1">
            <x v="421"/>
          </reference>
        </references>
      </pivotArea>
    </format>
    <format dxfId="1832">
      <pivotArea dataOnly="0" labelOnly="1" outline="0" fieldPosition="0">
        <references count="3">
          <reference field="0" count="1" selected="0">
            <x v="0"/>
          </reference>
          <reference field="1" count="1" selected="0">
            <x v="1036"/>
          </reference>
          <reference field="2" count="1">
            <x v="422"/>
          </reference>
        </references>
      </pivotArea>
    </format>
    <format dxfId="1831">
      <pivotArea dataOnly="0" labelOnly="1" outline="0" fieldPosition="0">
        <references count="3">
          <reference field="0" count="1" selected="0">
            <x v="0"/>
          </reference>
          <reference field="1" count="1" selected="0">
            <x v="1042"/>
          </reference>
          <reference field="2" count="1">
            <x v="423"/>
          </reference>
        </references>
      </pivotArea>
    </format>
    <format dxfId="1830">
      <pivotArea dataOnly="0" labelOnly="1" outline="0" fieldPosition="0">
        <references count="3">
          <reference field="0" count="1" selected="0">
            <x v="0"/>
          </reference>
          <reference field="1" count="1" selected="0">
            <x v="1044"/>
          </reference>
          <reference field="2" count="1">
            <x v="424"/>
          </reference>
        </references>
      </pivotArea>
    </format>
    <format dxfId="1829">
      <pivotArea dataOnly="0" labelOnly="1" outline="0" fieldPosition="0">
        <references count="3">
          <reference field="0" count="1" selected="0">
            <x v="0"/>
          </reference>
          <reference field="1" count="1" selected="0">
            <x v="1048"/>
          </reference>
          <reference field="2" count="1">
            <x v="425"/>
          </reference>
        </references>
      </pivotArea>
    </format>
    <format dxfId="1828">
      <pivotArea dataOnly="0" labelOnly="1" outline="0" fieldPosition="0">
        <references count="3">
          <reference field="0" count="1" selected="0">
            <x v="0"/>
          </reference>
          <reference field="1" count="1" selected="0">
            <x v="1051"/>
          </reference>
          <reference field="2" count="1">
            <x v="426"/>
          </reference>
        </references>
      </pivotArea>
    </format>
    <format dxfId="1827">
      <pivotArea dataOnly="0" labelOnly="1" outline="0" fieldPosition="0">
        <references count="3">
          <reference field="0" count="1" selected="0">
            <x v="0"/>
          </reference>
          <reference field="1" count="1" selected="0">
            <x v="1058"/>
          </reference>
          <reference field="2" count="1">
            <x v="427"/>
          </reference>
        </references>
      </pivotArea>
    </format>
    <format dxfId="1826">
      <pivotArea dataOnly="0" labelOnly="1" outline="0" fieldPosition="0">
        <references count="3">
          <reference field="0" count="1" selected="0">
            <x v="0"/>
          </reference>
          <reference field="1" count="1" selected="0">
            <x v="1061"/>
          </reference>
          <reference field="2" count="1">
            <x v="428"/>
          </reference>
        </references>
      </pivotArea>
    </format>
    <format dxfId="1825">
      <pivotArea dataOnly="0" labelOnly="1" outline="0" fieldPosition="0">
        <references count="3">
          <reference field="0" count="1" selected="0">
            <x v="0"/>
          </reference>
          <reference field="1" count="1" selected="0">
            <x v="1072"/>
          </reference>
          <reference field="2" count="1">
            <x v="429"/>
          </reference>
        </references>
      </pivotArea>
    </format>
    <format dxfId="1824">
      <pivotArea dataOnly="0" labelOnly="1" outline="0" fieldPosition="0">
        <references count="3">
          <reference field="0" count="1" selected="0">
            <x v="0"/>
          </reference>
          <reference field="1" count="1" selected="0">
            <x v="1076"/>
          </reference>
          <reference field="2" count="1">
            <x v="430"/>
          </reference>
        </references>
      </pivotArea>
    </format>
    <format dxfId="1823">
      <pivotArea dataOnly="0" labelOnly="1" outline="0" fieldPosition="0">
        <references count="3">
          <reference field="0" count="1" selected="0">
            <x v="0"/>
          </reference>
          <reference field="1" count="1" selected="0">
            <x v="1085"/>
          </reference>
          <reference field="2" count="1">
            <x v="431"/>
          </reference>
        </references>
      </pivotArea>
    </format>
    <format dxfId="1822">
      <pivotArea dataOnly="0" labelOnly="1" outline="0" fieldPosition="0">
        <references count="3">
          <reference field="0" count="1" selected="0">
            <x v="0"/>
          </reference>
          <reference field="1" count="1" selected="0">
            <x v="1096"/>
          </reference>
          <reference field="2" count="1">
            <x v="432"/>
          </reference>
        </references>
      </pivotArea>
    </format>
    <format dxfId="1821">
      <pivotArea dataOnly="0" labelOnly="1" outline="0" fieldPosition="0">
        <references count="3">
          <reference field="0" count="1" selected="0">
            <x v="0"/>
          </reference>
          <reference field="1" count="1" selected="0">
            <x v="1098"/>
          </reference>
          <reference field="2" count="1">
            <x v="433"/>
          </reference>
        </references>
      </pivotArea>
    </format>
    <format dxfId="1820">
      <pivotArea dataOnly="0" labelOnly="1" outline="0" fieldPosition="0">
        <references count="3">
          <reference field="0" count="1" selected="0">
            <x v="0"/>
          </reference>
          <reference field="1" count="1" selected="0">
            <x v="1101"/>
          </reference>
          <reference field="2" count="1">
            <x v="434"/>
          </reference>
        </references>
      </pivotArea>
    </format>
    <format dxfId="1819">
      <pivotArea dataOnly="0" labelOnly="1" outline="0" fieldPosition="0">
        <references count="3">
          <reference field="0" count="1" selected="0">
            <x v="0"/>
          </reference>
          <reference field="1" count="1" selected="0">
            <x v="1102"/>
          </reference>
          <reference field="2" count="1">
            <x v="435"/>
          </reference>
        </references>
      </pivotArea>
    </format>
    <format dxfId="1818">
      <pivotArea dataOnly="0" labelOnly="1" outline="0" fieldPosition="0">
        <references count="3">
          <reference field="0" count="1" selected="0">
            <x v="0"/>
          </reference>
          <reference field="1" count="1" selected="0">
            <x v="1108"/>
          </reference>
          <reference field="2" count="1">
            <x v="436"/>
          </reference>
        </references>
      </pivotArea>
    </format>
    <format dxfId="1817">
      <pivotArea dataOnly="0" labelOnly="1" outline="0" fieldPosition="0">
        <references count="3">
          <reference field="0" count="1" selected="0">
            <x v="0"/>
          </reference>
          <reference field="1" count="1" selected="0">
            <x v="1114"/>
          </reference>
          <reference field="2" count="1">
            <x v="437"/>
          </reference>
        </references>
      </pivotArea>
    </format>
    <format dxfId="1816">
      <pivotArea dataOnly="0" labelOnly="1" outline="0" fieldPosition="0">
        <references count="3">
          <reference field="0" count="1" selected="0">
            <x v="0"/>
          </reference>
          <reference field="1" count="1" selected="0">
            <x v="1115"/>
          </reference>
          <reference field="2" count="1">
            <x v="438"/>
          </reference>
        </references>
      </pivotArea>
    </format>
    <format dxfId="1815">
      <pivotArea dataOnly="0" labelOnly="1" outline="0" fieldPosition="0">
        <references count="3">
          <reference field="0" count="1" selected="0">
            <x v="0"/>
          </reference>
          <reference field="1" count="1" selected="0">
            <x v="1116"/>
          </reference>
          <reference field="2" count="1">
            <x v="439"/>
          </reference>
        </references>
      </pivotArea>
    </format>
    <format dxfId="1814">
      <pivotArea dataOnly="0" labelOnly="1" outline="0" fieldPosition="0">
        <references count="3">
          <reference field="0" count="1" selected="0">
            <x v="0"/>
          </reference>
          <reference field="1" count="1" selected="0">
            <x v="1123"/>
          </reference>
          <reference field="2" count="1">
            <x v="440"/>
          </reference>
        </references>
      </pivotArea>
    </format>
    <format dxfId="1813">
      <pivotArea dataOnly="0" labelOnly="1" outline="0" fieldPosition="0">
        <references count="3">
          <reference field="0" count="1" selected="0">
            <x v="0"/>
          </reference>
          <reference field="1" count="1" selected="0">
            <x v="1126"/>
          </reference>
          <reference field="2" count="1">
            <x v="441"/>
          </reference>
        </references>
      </pivotArea>
    </format>
    <format dxfId="1812">
      <pivotArea dataOnly="0" labelOnly="1" outline="0" fieldPosition="0">
        <references count="3">
          <reference field="0" count="1" selected="0">
            <x v="0"/>
          </reference>
          <reference field="1" count="1" selected="0">
            <x v="1132"/>
          </reference>
          <reference field="2" count="1">
            <x v="442"/>
          </reference>
        </references>
      </pivotArea>
    </format>
    <format dxfId="1811">
      <pivotArea dataOnly="0" labelOnly="1" outline="0" fieldPosition="0">
        <references count="3">
          <reference field="0" count="1" selected="0">
            <x v="0"/>
          </reference>
          <reference field="1" count="1" selected="0">
            <x v="1142"/>
          </reference>
          <reference field="2" count="1">
            <x v="443"/>
          </reference>
        </references>
      </pivotArea>
    </format>
    <format dxfId="1810">
      <pivotArea dataOnly="0" labelOnly="1" outline="0" fieldPosition="0">
        <references count="3">
          <reference field="0" count="1" selected="0">
            <x v="0"/>
          </reference>
          <reference field="1" count="1" selected="0">
            <x v="1148"/>
          </reference>
          <reference field="2" count="1">
            <x v="444"/>
          </reference>
        </references>
      </pivotArea>
    </format>
    <format dxfId="1809">
      <pivotArea dataOnly="0" labelOnly="1" outline="0" fieldPosition="0">
        <references count="3">
          <reference field="0" count="1" selected="0">
            <x v="0"/>
          </reference>
          <reference field="1" count="1" selected="0">
            <x v="1153"/>
          </reference>
          <reference field="2" count="1">
            <x v="445"/>
          </reference>
        </references>
      </pivotArea>
    </format>
    <format dxfId="1808">
      <pivotArea dataOnly="0" labelOnly="1" outline="0" fieldPosition="0">
        <references count="3">
          <reference field="0" count="1" selected="0">
            <x v="0"/>
          </reference>
          <reference field="1" count="1" selected="0">
            <x v="1154"/>
          </reference>
          <reference field="2" count="1">
            <x v="446"/>
          </reference>
        </references>
      </pivotArea>
    </format>
    <format dxfId="1807">
      <pivotArea dataOnly="0" labelOnly="1" outline="0" fieldPosition="0">
        <references count="3">
          <reference field="0" count="1" selected="0">
            <x v="0"/>
          </reference>
          <reference field="1" count="1" selected="0">
            <x v="1161"/>
          </reference>
          <reference field="2" count="1">
            <x v="447"/>
          </reference>
        </references>
      </pivotArea>
    </format>
    <format dxfId="1806">
      <pivotArea dataOnly="0" labelOnly="1" outline="0" fieldPosition="0">
        <references count="3">
          <reference field="0" count="1" selected="0">
            <x v="0"/>
          </reference>
          <reference field="1" count="1" selected="0">
            <x v="1166"/>
          </reference>
          <reference field="2" count="1">
            <x v="448"/>
          </reference>
        </references>
      </pivotArea>
    </format>
    <format dxfId="1805">
      <pivotArea dataOnly="0" labelOnly="1" outline="0" fieldPosition="0">
        <references count="3">
          <reference field="0" count="1" selected="0">
            <x v="0"/>
          </reference>
          <reference field="1" count="1" selected="0">
            <x v="1169"/>
          </reference>
          <reference field="2" count="1">
            <x v="449"/>
          </reference>
        </references>
      </pivotArea>
    </format>
    <format dxfId="1804">
      <pivotArea dataOnly="0" labelOnly="1" outline="0" fieldPosition="0">
        <references count="3">
          <reference field="0" count="1" selected="0">
            <x v="0"/>
          </reference>
          <reference field="1" count="1" selected="0">
            <x v="1178"/>
          </reference>
          <reference field="2" count="1">
            <x v="450"/>
          </reference>
        </references>
      </pivotArea>
    </format>
    <format dxfId="1803">
      <pivotArea dataOnly="0" labelOnly="1" outline="0" fieldPosition="0">
        <references count="3">
          <reference field="0" count="1" selected="0">
            <x v="0"/>
          </reference>
          <reference field="1" count="1" selected="0">
            <x v="1182"/>
          </reference>
          <reference field="2" count="1">
            <x v="451"/>
          </reference>
        </references>
      </pivotArea>
    </format>
    <format dxfId="1802">
      <pivotArea dataOnly="0" labelOnly="1" outline="0" fieldPosition="0">
        <references count="3">
          <reference field="0" count="1" selected="0">
            <x v="0"/>
          </reference>
          <reference field="1" count="1" selected="0">
            <x v="1193"/>
          </reference>
          <reference field="2" count="1">
            <x v="452"/>
          </reference>
        </references>
      </pivotArea>
    </format>
    <format dxfId="1801">
      <pivotArea dataOnly="0" labelOnly="1" outline="0" fieldPosition="0">
        <references count="3">
          <reference field="0" count="1" selected="0">
            <x v="0"/>
          </reference>
          <reference field="1" count="1" selected="0">
            <x v="1196"/>
          </reference>
          <reference field="2" count="1">
            <x v="453"/>
          </reference>
        </references>
      </pivotArea>
    </format>
    <format dxfId="1800">
      <pivotArea dataOnly="0" labelOnly="1" outline="0" fieldPosition="0">
        <references count="3">
          <reference field="0" count="1" selected="0">
            <x v="0"/>
          </reference>
          <reference field="1" count="1" selected="0">
            <x v="1207"/>
          </reference>
          <reference field="2" count="1">
            <x v="454"/>
          </reference>
        </references>
      </pivotArea>
    </format>
    <format dxfId="1799">
      <pivotArea dataOnly="0" labelOnly="1" outline="0" fieldPosition="0">
        <references count="3">
          <reference field="0" count="1" selected="0">
            <x v="0"/>
          </reference>
          <reference field="1" count="1" selected="0">
            <x v="1209"/>
          </reference>
          <reference field="2" count="1">
            <x v="455"/>
          </reference>
        </references>
      </pivotArea>
    </format>
    <format dxfId="1798">
      <pivotArea dataOnly="0" labelOnly="1" outline="0" fieldPosition="0">
        <references count="3">
          <reference field="0" count="1" selected="0">
            <x v="0"/>
          </reference>
          <reference field="1" count="1" selected="0">
            <x v="1213"/>
          </reference>
          <reference field="2" count="1">
            <x v="456"/>
          </reference>
        </references>
      </pivotArea>
    </format>
    <format dxfId="1797">
      <pivotArea dataOnly="0" labelOnly="1" outline="0" fieldPosition="0">
        <references count="3">
          <reference field="0" count="1" selected="0">
            <x v="0"/>
          </reference>
          <reference field="1" count="1" selected="0">
            <x v="1216"/>
          </reference>
          <reference field="2" count="1">
            <x v="457"/>
          </reference>
        </references>
      </pivotArea>
    </format>
    <format dxfId="1796">
      <pivotArea dataOnly="0" labelOnly="1" outline="0" fieldPosition="0">
        <references count="3">
          <reference field="0" count="1" selected="0">
            <x v="0"/>
          </reference>
          <reference field="1" count="1" selected="0">
            <x v="1220"/>
          </reference>
          <reference field="2" count="1">
            <x v="458"/>
          </reference>
        </references>
      </pivotArea>
    </format>
    <format dxfId="1795">
      <pivotArea dataOnly="0" labelOnly="1" outline="0" fieldPosition="0">
        <references count="3">
          <reference field="0" count="1" selected="0">
            <x v="0"/>
          </reference>
          <reference field="1" count="1" selected="0">
            <x v="1224"/>
          </reference>
          <reference field="2" count="1">
            <x v="459"/>
          </reference>
        </references>
      </pivotArea>
    </format>
    <format dxfId="1794">
      <pivotArea dataOnly="0" labelOnly="1" outline="0" fieldPosition="0">
        <references count="3">
          <reference field="0" count="1" selected="0">
            <x v="0"/>
          </reference>
          <reference field="1" count="1" selected="0">
            <x v="1227"/>
          </reference>
          <reference field="2" count="1">
            <x v="460"/>
          </reference>
        </references>
      </pivotArea>
    </format>
    <format dxfId="1793">
      <pivotArea dataOnly="0" labelOnly="1" outline="0" fieldPosition="0">
        <references count="3">
          <reference field="0" count="1" selected="0">
            <x v="0"/>
          </reference>
          <reference field="1" count="1" selected="0">
            <x v="1228"/>
          </reference>
          <reference field="2" count="1">
            <x v="461"/>
          </reference>
        </references>
      </pivotArea>
    </format>
    <format dxfId="1792">
      <pivotArea dataOnly="0" labelOnly="1" outline="0" fieldPosition="0">
        <references count="3">
          <reference field="0" count="1" selected="0">
            <x v="0"/>
          </reference>
          <reference field="1" count="1" selected="0">
            <x v="1235"/>
          </reference>
          <reference field="2" count="1">
            <x v="462"/>
          </reference>
        </references>
      </pivotArea>
    </format>
    <format dxfId="1791">
      <pivotArea dataOnly="0" labelOnly="1" outline="0" fieldPosition="0">
        <references count="3">
          <reference field="0" count="1" selected="0">
            <x v="0"/>
          </reference>
          <reference field="1" count="1" selected="0">
            <x v="1241"/>
          </reference>
          <reference field="2" count="1">
            <x v="463"/>
          </reference>
        </references>
      </pivotArea>
    </format>
    <format dxfId="1790">
      <pivotArea dataOnly="0" labelOnly="1" outline="0" fieldPosition="0">
        <references count="3">
          <reference field="0" count="1" selected="0">
            <x v="0"/>
          </reference>
          <reference field="1" count="1" selected="0">
            <x v="1243"/>
          </reference>
          <reference field="2" count="1">
            <x v="464"/>
          </reference>
        </references>
      </pivotArea>
    </format>
    <format dxfId="1789">
      <pivotArea dataOnly="0" labelOnly="1" outline="0" fieldPosition="0">
        <references count="3">
          <reference field="0" count="1" selected="0">
            <x v="0"/>
          </reference>
          <reference field="1" count="1" selected="0">
            <x v="1248"/>
          </reference>
          <reference field="2" count="1">
            <x v="465"/>
          </reference>
        </references>
      </pivotArea>
    </format>
    <format dxfId="1788">
      <pivotArea dataOnly="0" labelOnly="1" outline="0" fieldPosition="0">
        <references count="3">
          <reference field="0" count="1" selected="0">
            <x v="0"/>
          </reference>
          <reference field="1" count="1" selected="0">
            <x v="1255"/>
          </reference>
          <reference field="2" count="1">
            <x v="466"/>
          </reference>
        </references>
      </pivotArea>
    </format>
    <format dxfId="1787">
      <pivotArea dataOnly="0" labelOnly="1" outline="0" fieldPosition="0">
        <references count="3">
          <reference field="0" count="1" selected="0">
            <x v="0"/>
          </reference>
          <reference field="1" count="1" selected="0">
            <x v="1260"/>
          </reference>
          <reference field="2" count="1">
            <x v="467"/>
          </reference>
        </references>
      </pivotArea>
    </format>
    <format dxfId="1786">
      <pivotArea dataOnly="0" labelOnly="1" outline="0" fieldPosition="0">
        <references count="3">
          <reference field="0" count="1" selected="0">
            <x v="0"/>
          </reference>
          <reference field="1" count="1" selected="0">
            <x v="1272"/>
          </reference>
          <reference field="2" count="1">
            <x v="468"/>
          </reference>
        </references>
      </pivotArea>
    </format>
    <format dxfId="1785">
      <pivotArea dataOnly="0" labelOnly="1" outline="0" fieldPosition="0">
        <references count="3">
          <reference field="0" count="1" selected="0">
            <x v="0"/>
          </reference>
          <reference field="1" count="1" selected="0">
            <x v="1274"/>
          </reference>
          <reference field="2" count="1">
            <x v="469"/>
          </reference>
        </references>
      </pivotArea>
    </format>
    <format dxfId="1784">
      <pivotArea dataOnly="0" labelOnly="1" outline="0" fieldPosition="0">
        <references count="3">
          <reference field="0" count="1" selected="0">
            <x v="0"/>
          </reference>
          <reference field="1" count="1" selected="0">
            <x v="1275"/>
          </reference>
          <reference field="2" count="1">
            <x v="470"/>
          </reference>
        </references>
      </pivotArea>
    </format>
    <format dxfId="1783">
      <pivotArea dataOnly="0" labelOnly="1" outline="0" fieldPosition="0">
        <references count="3">
          <reference field="0" count="1" selected="0">
            <x v="0"/>
          </reference>
          <reference field="1" count="1" selected="0">
            <x v="1288"/>
          </reference>
          <reference field="2" count="1">
            <x v="471"/>
          </reference>
        </references>
      </pivotArea>
    </format>
    <format dxfId="1782">
      <pivotArea dataOnly="0" labelOnly="1" outline="0" fieldPosition="0">
        <references count="3">
          <reference field="0" count="1" selected="0">
            <x v="0"/>
          </reference>
          <reference field="1" count="1" selected="0">
            <x v="1292"/>
          </reference>
          <reference field="2" count="1">
            <x v="472"/>
          </reference>
        </references>
      </pivotArea>
    </format>
    <format dxfId="1781">
      <pivotArea dataOnly="0" labelOnly="1" outline="0" fieldPosition="0">
        <references count="3">
          <reference field="0" count="1" selected="0">
            <x v="0"/>
          </reference>
          <reference field="1" count="1" selected="0">
            <x v="1297"/>
          </reference>
          <reference field="2" count="1">
            <x v="473"/>
          </reference>
        </references>
      </pivotArea>
    </format>
    <format dxfId="1780">
      <pivotArea dataOnly="0" labelOnly="1" outline="0" fieldPosition="0">
        <references count="3">
          <reference field="0" count="1" selected="0">
            <x v="0"/>
          </reference>
          <reference field="1" count="1" selected="0">
            <x v="1303"/>
          </reference>
          <reference field="2" count="1">
            <x v="474"/>
          </reference>
        </references>
      </pivotArea>
    </format>
    <format dxfId="1779">
      <pivotArea dataOnly="0" labelOnly="1" outline="0" fieldPosition="0">
        <references count="3">
          <reference field="0" count="1" selected="0">
            <x v="0"/>
          </reference>
          <reference field="1" count="1" selected="0">
            <x v="1305"/>
          </reference>
          <reference field="2" count="1">
            <x v="475"/>
          </reference>
        </references>
      </pivotArea>
    </format>
    <format dxfId="1778">
      <pivotArea dataOnly="0" labelOnly="1" outline="0" fieldPosition="0">
        <references count="3">
          <reference field="0" count="1" selected="0">
            <x v="0"/>
          </reference>
          <reference field="1" count="1" selected="0">
            <x v="1307"/>
          </reference>
          <reference field="2" count="1">
            <x v="476"/>
          </reference>
        </references>
      </pivotArea>
    </format>
    <format dxfId="1777">
      <pivotArea dataOnly="0" labelOnly="1" outline="0" fieldPosition="0">
        <references count="3">
          <reference field="0" count="1" selected="0">
            <x v="0"/>
          </reference>
          <reference field="1" count="1" selected="0">
            <x v="1315"/>
          </reference>
          <reference field="2" count="1">
            <x v="477"/>
          </reference>
        </references>
      </pivotArea>
    </format>
    <format dxfId="1776">
      <pivotArea dataOnly="0" labelOnly="1" outline="0" fieldPosition="0">
        <references count="3">
          <reference field="0" count="1" selected="0">
            <x v="0"/>
          </reference>
          <reference field="1" count="1" selected="0">
            <x v="1317"/>
          </reference>
          <reference field="2" count="1">
            <x v="478"/>
          </reference>
        </references>
      </pivotArea>
    </format>
    <format dxfId="1775">
      <pivotArea dataOnly="0" labelOnly="1" outline="0" fieldPosition="0">
        <references count="3">
          <reference field="0" count="1" selected="0">
            <x v="0"/>
          </reference>
          <reference field="1" count="1" selected="0">
            <x v="1319"/>
          </reference>
          <reference field="2" count="1">
            <x v="479"/>
          </reference>
        </references>
      </pivotArea>
    </format>
    <format dxfId="1774">
      <pivotArea dataOnly="0" labelOnly="1" outline="0" fieldPosition="0">
        <references count="3">
          <reference field="0" count="1" selected="0">
            <x v="0"/>
          </reference>
          <reference field="1" count="1" selected="0">
            <x v="1325"/>
          </reference>
          <reference field="2" count="1">
            <x v="480"/>
          </reference>
        </references>
      </pivotArea>
    </format>
    <format dxfId="1773">
      <pivotArea dataOnly="0" labelOnly="1" outline="0" fieldPosition="0">
        <references count="3">
          <reference field="0" count="1" selected="0">
            <x v="0"/>
          </reference>
          <reference field="1" count="1" selected="0">
            <x v="1333"/>
          </reference>
          <reference field="2" count="1">
            <x v="481"/>
          </reference>
        </references>
      </pivotArea>
    </format>
    <format dxfId="1772">
      <pivotArea dataOnly="0" labelOnly="1" outline="0" fieldPosition="0">
        <references count="3">
          <reference field="0" count="1" selected="0">
            <x v="0"/>
          </reference>
          <reference field="1" count="1" selected="0">
            <x v="1335"/>
          </reference>
          <reference field="2" count="1">
            <x v="482"/>
          </reference>
        </references>
      </pivotArea>
    </format>
    <format dxfId="1771">
      <pivotArea dataOnly="0" labelOnly="1" outline="0" fieldPosition="0">
        <references count="3">
          <reference field="0" count="1" selected="0">
            <x v="0"/>
          </reference>
          <reference field="1" count="1" selected="0">
            <x v="1339"/>
          </reference>
          <reference field="2" count="1">
            <x v="483"/>
          </reference>
        </references>
      </pivotArea>
    </format>
    <format dxfId="1770">
      <pivotArea dataOnly="0" labelOnly="1" outline="0" fieldPosition="0">
        <references count="3">
          <reference field="0" count="1" selected="0">
            <x v="0"/>
          </reference>
          <reference field="1" count="1" selected="0">
            <x v="1345"/>
          </reference>
          <reference field="2" count="1">
            <x v="484"/>
          </reference>
        </references>
      </pivotArea>
    </format>
    <format dxfId="1769">
      <pivotArea dataOnly="0" labelOnly="1" outline="0" fieldPosition="0">
        <references count="3">
          <reference field="0" count="1" selected="0">
            <x v="0"/>
          </reference>
          <reference field="1" count="1" selected="0">
            <x v="1354"/>
          </reference>
          <reference field="2" count="1">
            <x v="485"/>
          </reference>
        </references>
      </pivotArea>
    </format>
    <format dxfId="1768">
      <pivotArea dataOnly="0" labelOnly="1" outline="0" fieldPosition="0">
        <references count="3">
          <reference field="0" count="1" selected="0">
            <x v="0"/>
          </reference>
          <reference field="1" count="1" selected="0">
            <x v="1357"/>
          </reference>
          <reference field="2" count="1">
            <x v="486"/>
          </reference>
        </references>
      </pivotArea>
    </format>
    <format dxfId="1767">
      <pivotArea dataOnly="0" labelOnly="1" outline="0" fieldPosition="0">
        <references count="3">
          <reference field="0" count="1" selected="0">
            <x v="0"/>
          </reference>
          <reference field="1" count="1" selected="0">
            <x v="1364"/>
          </reference>
          <reference field="2" count="1">
            <x v="487"/>
          </reference>
        </references>
      </pivotArea>
    </format>
    <format dxfId="1766">
      <pivotArea dataOnly="0" labelOnly="1" outline="0" fieldPosition="0">
        <references count="3">
          <reference field="0" count="1" selected="0">
            <x v="0"/>
          </reference>
          <reference field="1" count="1" selected="0">
            <x v="1371"/>
          </reference>
          <reference field="2" count="1">
            <x v="488"/>
          </reference>
        </references>
      </pivotArea>
    </format>
    <format dxfId="1765">
      <pivotArea dataOnly="0" labelOnly="1" outline="0" fieldPosition="0">
        <references count="3">
          <reference field="0" count="1" selected="0">
            <x v="0"/>
          </reference>
          <reference field="1" count="1" selected="0">
            <x v="1376"/>
          </reference>
          <reference field="2" count="1">
            <x v="489"/>
          </reference>
        </references>
      </pivotArea>
    </format>
    <format dxfId="1764">
      <pivotArea dataOnly="0" labelOnly="1" outline="0" fieldPosition="0">
        <references count="3">
          <reference field="0" count="1" selected="0">
            <x v="0"/>
          </reference>
          <reference field="1" count="1" selected="0">
            <x v="1378"/>
          </reference>
          <reference field="2" count="1">
            <x v="490"/>
          </reference>
        </references>
      </pivotArea>
    </format>
    <format dxfId="1763">
      <pivotArea dataOnly="0" labelOnly="1" outline="0" fieldPosition="0">
        <references count="3">
          <reference field="0" count="1" selected="0">
            <x v="0"/>
          </reference>
          <reference field="1" count="1" selected="0">
            <x v="1391"/>
          </reference>
          <reference field="2" count="1">
            <x v="491"/>
          </reference>
        </references>
      </pivotArea>
    </format>
    <format dxfId="1762">
      <pivotArea dataOnly="0" labelOnly="1" outline="0" fieldPosition="0">
        <references count="3">
          <reference field="0" count="1" selected="0">
            <x v="0"/>
          </reference>
          <reference field="1" count="1" selected="0">
            <x v="1399"/>
          </reference>
          <reference field="2" count="1">
            <x v="492"/>
          </reference>
        </references>
      </pivotArea>
    </format>
    <format dxfId="1761">
      <pivotArea dataOnly="0" labelOnly="1" outline="0" fieldPosition="0">
        <references count="3">
          <reference field="0" count="1" selected="0">
            <x v="0"/>
          </reference>
          <reference field="1" count="1" selected="0">
            <x v="1406"/>
          </reference>
          <reference field="2" count="1">
            <x v="493"/>
          </reference>
        </references>
      </pivotArea>
    </format>
    <format dxfId="1760">
      <pivotArea dataOnly="0" labelOnly="1" outline="0" fieldPosition="0">
        <references count="3">
          <reference field="0" count="1" selected="0">
            <x v="0"/>
          </reference>
          <reference field="1" count="1" selected="0">
            <x v="1412"/>
          </reference>
          <reference field="2" count="1">
            <x v="494"/>
          </reference>
        </references>
      </pivotArea>
    </format>
    <format dxfId="1759">
      <pivotArea dataOnly="0" labelOnly="1" outline="0" fieldPosition="0">
        <references count="3">
          <reference field="0" count="1" selected="0">
            <x v="0"/>
          </reference>
          <reference field="1" count="1" selected="0">
            <x v="1414"/>
          </reference>
          <reference field="2" count="1">
            <x v="495"/>
          </reference>
        </references>
      </pivotArea>
    </format>
    <format dxfId="1758">
      <pivotArea dataOnly="0" labelOnly="1" outline="0" fieldPosition="0">
        <references count="3">
          <reference field="0" count="1" selected="0">
            <x v="0"/>
          </reference>
          <reference field="1" count="1" selected="0">
            <x v="1425"/>
          </reference>
          <reference field="2" count="1">
            <x v="496"/>
          </reference>
        </references>
      </pivotArea>
    </format>
    <format dxfId="1757">
      <pivotArea dataOnly="0" labelOnly="1" outline="0" fieldPosition="0">
        <references count="3">
          <reference field="0" count="1" selected="0">
            <x v="0"/>
          </reference>
          <reference field="1" count="1" selected="0">
            <x v="1434"/>
          </reference>
          <reference field="2" count="1">
            <x v="497"/>
          </reference>
        </references>
      </pivotArea>
    </format>
    <format dxfId="1756">
      <pivotArea dataOnly="0" labelOnly="1" outline="0" fieldPosition="0">
        <references count="3">
          <reference field="0" count="1" selected="0">
            <x v="0"/>
          </reference>
          <reference field="1" count="1" selected="0">
            <x v="1440"/>
          </reference>
          <reference field="2" count="1">
            <x v="498"/>
          </reference>
        </references>
      </pivotArea>
    </format>
    <format dxfId="1755">
      <pivotArea dataOnly="0" labelOnly="1" outline="0" fieldPosition="0">
        <references count="3">
          <reference field="0" count="1" selected="0">
            <x v="0"/>
          </reference>
          <reference field="1" count="1" selected="0">
            <x v="1450"/>
          </reference>
          <reference field="2" count="1">
            <x v="499"/>
          </reference>
        </references>
      </pivotArea>
    </format>
    <format dxfId="1754">
      <pivotArea dataOnly="0" labelOnly="1" outline="0" fieldPosition="0">
        <references count="3">
          <reference field="0" count="1" selected="0">
            <x v="0"/>
          </reference>
          <reference field="1" count="1" selected="0">
            <x v="1458"/>
          </reference>
          <reference field="2" count="1">
            <x v="500"/>
          </reference>
        </references>
      </pivotArea>
    </format>
    <format dxfId="1753">
      <pivotArea dataOnly="0" labelOnly="1" outline="0" fieldPosition="0">
        <references count="3">
          <reference field="0" count="1" selected="0">
            <x v="0"/>
          </reference>
          <reference field="1" count="1" selected="0">
            <x v="1461"/>
          </reference>
          <reference field="2" count="1">
            <x v="501"/>
          </reference>
        </references>
      </pivotArea>
    </format>
    <format dxfId="1752">
      <pivotArea dataOnly="0" labelOnly="1" outline="0" fieldPosition="0">
        <references count="3">
          <reference field="0" count="1" selected="0">
            <x v="0"/>
          </reference>
          <reference field="1" count="1" selected="0">
            <x v="1471"/>
          </reference>
          <reference field="2" count="1">
            <x v="502"/>
          </reference>
        </references>
      </pivotArea>
    </format>
    <format dxfId="1751">
      <pivotArea dataOnly="0" labelOnly="1" outline="0" fieldPosition="0">
        <references count="3">
          <reference field="0" count="1" selected="0">
            <x v="0"/>
          </reference>
          <reference field="1" count="1" selected="0">
            <x v="1475"/>
          </reference>
          <reference field="2" count="1">
            <x v="503"/>
          </reference>
        </references>
      </pivotArea>
    </format>
    <format dxfId="1750">
      <pivotArea dataOnly="0" labelOnly="1" outline="0" fieldPosition="0">
        <references count="3">
          <reference field="0" count="1" selected="0">
            <x v="0"/>
          </reference>
          <reference field="1" count="1" selected="0">
            <x v="1484"/>
          </reference>
          <reference field="2" count="1">
            <x v="504"/>
          </reference>
        </references>
      </pivotArea>
    </format>
    <format dxfId="1749">
      <pivotArea dataOnly="0" labelOnly="1" outline="0" fieldPosition="0">
        <references count="3">
          <reference field="0" count="1" selected="0">
            <x v="0"/>
          </reference>
          <reference field="1" count="1" selected="0">
            <x v="1491"/>
          </reference>
          <reference field="2" count="1">
            <x v="505"/>
          </reference>
        </references>
      </pivotArea>
    </format>
    <format dxfId="1748">
      <pivotArea dataOnly="0" labelOnly="1" outline="0" fieldPosition="0">
        <references count="3">
          <reference field="0" count="1" selected="0">
            <x v="0"/>
          </reference>
          <reference field="1" count="1" selected="0">
            <x v="1495"/>
          </reference>
          <reference field="2" count="1">
            <x v="506"/>
          </reference>
        </references>
      </pivotArea>
    </format>
    <format dxfId="1747">
      <pivotArea dataOnly="0" labelOnly="1" outline="0" fieldPosition="0">
        <references count="3">
          <reference field="0" count="1" selected="0">
            <x v="0"/>
          </reference>
          <reference field="1" count="1" selected="0">
            <x v="1499"/>
          </reference>
          <reference field="2" count="1">
            <x v="507"/>
          </reference>
        </references>
      </pivotArea>
    </format>
    <format dxfId="1746">
      <pivotArea dataOnly="0" labelOnly="1" outline="0" fieldPosition="0">
        <references count="3">
          <reference field="0" count="1" selected="0">
            <x v="0"/>
          </reference>
          <reference field="1" count="1" selected="0">
            <x v="1506"/>
          </reference>
          <reference field="2" count="1">
            <x v="508"/>
          </reference>
        </references>
      </pivotArea>
    </format>
    <format dxfId="1745">
      <pivotArea dataOnly="0" labelOnly="1" outline="0" fieldPosition="0">
        <references count="3">
          <reference field="0" count="1" selected="0">
            <x v="0"/>
          </reference>
          <reference field="1" count="1" selected="0">
            <x v="1512"/>
          </reference>
          <reference field="2" count="1">
            <x v="509"/>
          </reference>
        </references>
      </pivotArea>
    </format>
    <format dxfId="1744">
      <pivotArea dataOnly="0" labelOnly="1" outline="0" fieldPosition="0">
        <references count="3">
          <reference field="0" count="1" selected="0">
            <x v="0"/>
          </reference>
          <reference field="1" count="1" selected="0">
            <x v="1514"/>
          </reference>
          <reference field="2" count="1">
            <x v="510"/>
          </reference>
        </references>
      </pivotArea>
    </format>
    <format dxfId="1743">
      <pivotArea dataOnly="0" labelOnly="1" outline="0" fieldPosition="0">
        <references count="3">
          <reference field="0" count="1" selected="0">
            <x v="0"/>
          </reference>
          <reference field="1" count="1" selected="0">
            <x v="1532"/>
          </reference>
          <reference field="2" count="1">
            <x v="511"/>
          </reference>
        </references>
      </pivotArea>
    </format>
    <format dxfId="1742">
      <pivotArea dataOnly="0" labelOnly="1" outline="0" fieldPosition="0">
        <references count="3">
          <reference field="0" count="1" selected="0">
            <x v="0"/>
          </reference>
          <reference field="1" count="1" selected="0">
            <x v="1539"/>
          </reference>
          <reference field="2" count="1">
            <x v="512"/>
          </reference>
        </references>
      </pivotArea>
    </format>
    <format dxfId="1741">
      <pivotArea dataOnly="0" labelOnly="1" outline="0" fieldPosition="0">
        <references count="3">
          <reference field="0" count="1" selected="0">
            <x v="0"/>
          </reference>
          <reference field="1" count="1" selected="0">
            <x v="1545"/>
          </reference>
          <reference field="2" count="1">
            <x v="513"/>
          </reference>
        </references>
      </pivotArea>
    </format>
    <format dxfId="1740">
      <pivotArea dataOnly="0" labelOnly="1" outline="0" fieldPosition="0">
        <references count="3">
          <reference field="0" count="1" selected="0">
            <x v="0"/>
          </reference>
          <reference field="1" count="1" selected="0">
            <x v="1552"/>
          </reference>
          <reference field="2" count="1">
            <x v="514"/>
          </reference>
        </references>
      </pivotArea>
    </format>
    <format dxfId="1739">
      <pivotArea dataOnly="0" labelOnly="1" outline="0" fieldPosition="0">
        <references count="3">
          <reference field="0" count="1" selected="0">
            <x v="0"/>
          </reference>
          <reference field="1" count="1" selected="0">
            <x v="1554"/>
          </reference>
          <reference field="2" count="1">
            <x v="515"/>
          </reference>
        </references>
      </pivotArea>
    </format>
    <format dxfId="1738">
      <pivotArea dataOnly="0" labelOnly="1" outline="0" fieldPosition="0">
        <references count="3">
          <reference field="0" count="1" selected="0">
            <x v="1"/>
          </reference>
          <reference field="1" count="1" selected="0">
            <x v="1555"/>
          </reference>
          <reference field="2" count="1">
            <x v="260"/>
          </reference>
        </references>
      </pivotArea>
    </format>
    <format dxfId="1737">
      <pivotArea dataOnly="0" labelOnly="1" outline="0" fieldPosition="0">
        <references count="3">
          <reference field="0" count="1" selected="0">
            <x v="1"/>
          </reference>
          <reference field="1" count="1" selected="0">
            <x v="1556"/>
          </reference>
          <reference field="2" count="1">
            <x v="262"/>
          </reference>
        </references>
      </pivotArea>
    </format>
    <format dxfId="1736">
      <pivotArea dataOnly="0" labelOnly="1" outline="0" fieldPosition="0">
        <references count="3">
          <reference field="0" count="1" selected="0">
            <x v="1"/>
          </reference>
          <reference field="1" count="1" selected="0">
            <x v="1557"/>
          </reference>
          <reference field="2" count="1">
            <x v="264"/>
          </reference>
        </references>
      </pivotArea>
    </format>
    <format dxfId="1735">
      <pivotArea dataOnly="0" labelOnly="1" outline="0" fieldPosition="0">
        <references count="3">
          <reference field="0" count="1" selected="0">
            <x v="1"/>
          </reference>
          <reference field="1" count="1" selected="0">
            <x v="1558"/>
          </reference>
          <reference field="2" count="1">
            <x v="267"/>
          </reference>
        </references>
      </pivotArea>
    </format>
    <format dxfId="1734">
      <pivotArea dataOnly="0" labelOnly="1" outline="0" fieldPosition="0">
        <references count="3">
          <reference field="0" count="1" selected="0">
            <x v="1"/>
          </reference>
          <reference field="1" count="1" selected="0">
            <x v="1559"/>
          </reference>
          <reference field="2" count="1">
            <x v="271"/>
          </reference>
        </references>
      </pivotArea>
    </format>
    <format dxfId="1733">
      <pivotArea dataOnly="0" labelOnly="1" outline="0" fieldPosition="0">
        <references count="3">
          <reference field="0" count="1" selected="0">
            <x v="1"/>
          </reference>
          <reference field="1" count="1" selected="0">
            <x v="1560"/>
          </reference>
          <reference field="2" count="1">
            <x v="276"/>
          </reference>
        </references>
      </pivotArea>
    </format>
    <format dxfId="1732">
      <pivotArea dataOnly="0" labelOnly="1" outline="0" fieldPosition="0">
        <references count="3">
          <reference field="0" count="1" selected="0">
            <x v="1"/>
          </reference>
          <reference field="1" count="1" selected="0">
            <x v="1561"/>
          </reference>
          <reference field="2" count="1">
            <x v="279"/>
          </reference>
        </references>
      </pivotArea>
    </format>
    <format dxfId="1731">
      <pivotArea dataOnly="0" labelOnly="1" outline="0" fieldPosition="0">
        <references count="3">
          <reference field="0" count="1" selected="0">
            <x v="1"/>
          </reference>
          <reference field="1" count="1" selected="0">
            <x v="1562"/>
          </reference>
          <reference field="2" count="1">
            <x v="294"/>
          </reference>
        </references>
      </pivotArea>
    </format>
    <format dxfId="1730">
      <pivotArea dataOnly="0" labelOnly="1" outline="0" fieldPosition="0">
        <references count="3">
          <reference field="0" count="1" selected="0">
            <x v="1"/>
          </reference>
          <reference field="1" count="1" selected="0">
            <x v="1563"/>
          </reference>
          <reference field="2" count="1">
            <x v="296"/>
          </reference>
        </references>
      </pivotArea>
    </format>
    <format dxfId="1729">
      <pivotArea dataOnly="0" labelOnly="1" outline="0" fieldPosition="0">
        <references count="3">
          <reference field="0" count="1" selected="0">
            <x v="1"/>
          </reference>
          <reference field="1" count="1" selected="0">
            <x v="1564"/>
          </reference>
          <reference field="2" count="1">
            <x v="299"/>
          </reference>
        </references>
      </pivotArea>
    </format>
    <format dxfId="1728">
      <pivotArea dataOnly="0" labelOnly="1" outline="0" fieldPosition="0">
        <references count="3">
          <reference field="0" count="1" selected="0">
            <x v="1"/>
          </reference>
          <reference field="1" count="1" selected="0">
            <x v="1566"/>
          </reference>
          <reference field="2" count="1">
            <x v="301"/>
          </reference>
        </references>
      </pivotArea>
    </format>
    <format dxfId="1727">
      <pivotArea dataOnly="0" labelOnly="1" outline="0" fieldPosition="0">
        <references count="3">
          <reference field="0" count="1" selected="0">
            <x v="1"/>
          </reference>
          <reference field="1" count="1" selected="0">
            <x v="1567"/>
          </reference>
          <reference field="2" count="1">
            <x v="307"/>
          </reference>
        </references>
      </pivotArea>
    </format>
    <format dxfId="1726">
      <pivotArea dataOnly="0" labelOnly="1" outline="0" fieldPosition="0">
        <references count="3">
          <reference field="0" count="1" selected="0">
            <x v="1"/>
          </reference>
          <reference field="1" count="1" selected="0">
            <x v="1568"/>
          </reference>
          <reference field="2" count="1">
            <x v="311"/>
          </reference>
        </references>
      </pivotArea>
    </format>
    <format dxfId="1725">
      <pivotArea dataOnly="0" labelOnly="1" outline="0" fieldPosition="0">
        <references count="3">
          <reference field="0" count="1" selected="0">
            <x v="1"/>
          </reference>
          <reference field="1" count="1" selected="0">
            <x v="1569"/>
          </reference>
          <reference field="2" count="1">
            <x v="313"/>
          </reference>
        </references>
      </pivotArea>
    </format>
    <format dxfId="1724">
      <pivotArea dataOnly="0" labelOnly="1" outline="0" fieldPosition="0">
        <references count="3">
          <reference field="0" count="1" selected="0">
            <x v="1"/>
          </reference>
          <reference field="1" count="1" selected="0">
            <x v="1570"/>
          </reference>
          <reference field="2" count="1">
            <x v="318"/>
          </reference>
        </references>
      </pivotArea>
    </format>
    <format dxfId="1723">
      <pivotArea dataOnly="0" labelOnly="1" outline="0" fieldPosition="0">
        <references count="3">
          <reference field="0" count="1" selected="0">
            <x v="1"/>
          </reference>
          <reference field="1" count="1" selected="0">
            <x v="1571"/>
          </reference>
          <reference field="2" count="1">
            <x v="320"/>
          </reference>
        </references>
      </pivotArea>
    </format>
    <format dxfId="1722">
      <pivotArea dataOnly="0" labelOnly="1" outline="0" fieldPosition="0">
        <references count="3">
          <reference field="0" count="1" selected="0">
            <x v="1"/>
          </reference>
          <reference field="1" count="1" selected="0">
            <x v="1572"/>
          </reference>
          <reference field="2" count="1">
            <x v="321"/>
          </reference>
        </references>
      </pivotArea>
    </format>
    <format dxfId="1721">
      <pivotArea dataOnly="0" labelOnly="1" outline="0" fieldPosition="0">
        <references count="3">
          <reference field="0" count="1" selected="0">
            <x v="1"/>
          </reference>
          <reference field="1" count="1" selected="0">
            <x v="1573"/>
          </reference>
          <reference field="2" count="1">
            <x v="323"/>
          </reference>
        </references>
      </pivotArea>
    </format>
    <format dxfId="1720">
      <pivotArea dataOnly="0" labelOnly="1" outline="0" fieldPosition="0">
        <references count="3">
          <reference field="0" count="1" selected="0">
            <x v="1"/>
          </reference>
          <reference field="1" count="1" selected="0">
            <x v="1574"/>
          </reference>
          <reference field="2" count="1">
            <x v="325"/>
          </reference>
        </references>
      </pivotArea>
    </format>
    <format dxfId="1719">
      <pivotArea dataOnly="0" labelOnly="1" outline="0" fieldPosition="0">
        <references count="3">
          <reference field="0" count="1" selected="0">
            <x v="1"/>
          </reference>
          <reference field="1" count="1" selected="0">
            <x v="1575"/>
          </reference>
          <reference field="2" count="1">
            <x v="326"/>
          </reference>
        </references>
      </pivotArea>
    </format>
    <format dxfId="1718">
      <pivotArea dataOnly="0" labelOnly="1" outline="0" fieldPosition="0">
        <references count="3">
          <reference field="0" count="1" selected="0">
            <x v="1"/>
          </reference>
          <reference field="1" count="1" selected="0">
            <x v="1576"/>
          </reference>
          <reference field="2" count="1">
            <x v="328"/>
          </reference>
        </references>
      </pivotArea>
    </format>
    <format dxfId="1717">
      <pivotArea dataOnly="0" labelOnly="1" outline="0" fieldPosition="0">
        <references count="3">
          <reference field="0" count="1" selected="0">
            <x v="1"/>
          </reference>
          <reference field="1" count="1" selected="0">
            <x v="1577"/>
          </reference>
          <reference field="2" count="1">
            <x v="332"/>
          </reference>
        </references>
      </pivotArea>
    </format>
    <format dxfId="1716">
      <pivotArea dataOnly="0" labelOnly="1" outline="0" fieldPosition="0">
        <references count="3">
          <reference field="0" count="1" selected="0">
            <x v="1"/>
          </reference>
          <reference field="1" count="1" selected="0">
            <x v="1578"/>
          </reference>
          <reference field="2" count="1">
            <x v="338"/>
          </reference>
        </references>
      </pivotArea>
    </format>
    <format dxfId="1715">
      <pivotArea dataOnly="0" labelOnly="1" outline="0" fieldPosition="0">
        <references count="3">
          <reference field="0" count="1" selected="0">
            <x v="1"/>
          </reference>
          <reference field="1" count="1" selected="0">
            <x v="1579"/>
          </reference>
          <reference field="2" count="1">
            <x v="340"/>
          </reference>
        </references>
      </pivotArea>
    </format>
    <format dxfId="1714">
      <pivotArea dataOnly="0" labelOnly="1" outline="0" fieldPosition="0">
        <references count="3">
          <reference field="0" count="1" selected="0">
            <x v="1"/>
          </reference>
          <reference field="1" count="1" selected="0">
            <x v="1580"/>
          </reference>
          <reference field="2" count="1">
            <x v="348"/>
          </reference>
        </references>
      </pivotArea>
    </format>
    <format dxfId="1713">
      <pivotArea dataOnly="0" labelOnly="1" outline="0" fieldPosition="0">
        <references count="3">
          <reference field="0" count="1" selected="0">
            <x v="1"/>
          </reference>
          <reference field="1" count="1" selected="0">
            <x v="1581"/>
          </reference>
          <reference field="2" count="1">
            <x v="353"/>
          </reference>
        </references>
      </pivotArea>
    </format>
    <format dxfId="1712">
      <pivotArea dataOnly="0" labelOnly="1" outline="0" fieldPosition="0">
        <references count="3">
          <reference field="0" count="1" selected="0">
            <x v="1"/>
          </reference>
          <reference field="1" count="1" selected="0">
            <x v="1583"/>
          </reference>
          <reference field="2" count="1">
            <x v="363"/>
          </reference>
        </references>
      </pivotArea>
    </format>
    <format dxfId="1711">
      <pivotArea dataOnly="0" labelOnly="1" outline="0" fieldPosition="0">
        <references count="3">
          <reference field="0" count="1" selected="0">
            <x v="1"/>
          </reference>
          <reference field="1" count="1" selected="0">
            <x v="1584"/>
          </reference>
          <reference field="2" count="1">
            <x v="367"/>
          </reference>
        </references>
      </pivotArea>
    </format>
    <format dxfId="1710">
      <pivotArea dataOnly="0" labelOnly="1" outline="0" fieldPosition="0">
        <references count="3">
          <reference field="0" count="1" selected="0">
            <x v="1"/>
          </reference>
          <reference field="1" count="1" selected="0">
            <x v="1585"/>
          </reference>
          <reference field="2" count="1">
            <x v="371"/>
          </reference>
        </references>
      </pivotArea>
    </format>
    <format dxfId="1709">
      <pivotArea dataOnly="0" labelOnly="1" outline="0" fieldPosition="0">
        <references count="3">
          <reference field="0" count="1" selected="0">
            <x v="1"/>
          </reference>
          <reference field="1" count="1" selected="0">
            <x v="1586"/>
          </reference>
          <reference field="2" count="1">
            <x v="375"/>
          </reference>
        </references>
      </pivotArea>
    </format>
    <format dxfId="1708">
      <pivotArea dataOnly="0" labelOnly="1" outline="0" fieldPosition="0">
        <references count="3">
          <reference field="0" count="1" selected="0">
            <x v="1"/>
          </reference>
          <reference field="1" count="1" selected="0">
            <x v="1587"/>
          </reference>
          <reference field="2" count="1">
            <x v="376"/>
          </reference>
        </references>
      </pivotArea>
    </format>
    <format dxfId="1707">
      <pivotArea dataOnly="0" labelOnly="1" outline="0" fieldPosition="0">
        <references count="3">
          <reference field="0" count="1" selected="0">
            <x v="1"/>
          </reference>
          <reference field="1" count="1" selected="0">
            <x v="1588"/>
          </reference>
          <reference field="2" count="1">
            <x v="378"/>
          </reference>
        </references>
      </pivotArea>
    </format>
    <format dxfId="1706">
      <pivotArea dataOnly="0" labelOnly="1" outline="0" fieldPosition="0">
        <references count="3">
          <reference field="0" count="1" selected="0">
            <x v="1"/>
          </reference>
          <reference field="1" count="1" selected="0">
            <x v="1589"/>
          </reference>
          <reference field="2" count="1">
            <x v="387"/>
          </reference>
        </references>
      </pivotArea>
    </format>
    <format dxfId="1705">
      <pivotArea dataOnly="0" labelOnly="1" outline="0" fieldPosition="0">
        <references count="3">
          <reference field="0" count="1" selected="0">
            <x v="1"/>
          </reference>
          <reference field="1" count="1" selected="0">
            <x v="1590"/>
          </reference>
          <reference field="2" count="1">
            <x v="388"/>
          </reference>
        </references>
      </pivotArea>
    </format>
    <format dxfId="1704">
      <pivotArea dataOnly="0" labelOnly="1" outline="0" fieldPosition="0">
        <references count="3">
          <reference field="0" count="1" selected="0">
            <x v="1"/>
          </reference>
          <reference field="1" count="1" selected="0">
            <x v="1591"/>
          </reference>
          <reference field="2" count="1">
            <x v="389"/>
          </reference>
        </references>
      </pivotArea>
    </format>
    <format dxfId="1703">
      <pivotArea dataOnly="0" labelOnly="1" outline="0" fieldPosition="0">
        <references count="3">
          <reference field="0" count="1" selected="0">
            <x v="1"/>
          </reference>
          <reference field="1" count="1" selected="0">
            <x v="1592"/>
          </reference>
          <reference field="2" count="1">
            <x v="390"/>
          </reference>
        </references>
      </pivotArea>
    </format>
    <format dxfId="1702">
      <pivotArea dataOnly="0" labelOnly="1" outline="0" fieldPosition="0">
        <references count="3">
          <reference field="0" count="1" selected="0">
            <x v="1"/>
          </reference>
          <reference field="1" count="1" selected="0">
            <x v="1593"/>
          </reference>
          <reference field="2" count="1">
            <x v="396"/>
          </reference>
        </references>
      </pivotArea>
    </format>
    <format dxfId="1701">
      <pivotArea dataOnly="0" labelOnly="1" outline="0" fieldPosition="0">
        <references count="3">
          <reference field="0" count="1" selected="0">
            <x v="1"/>
          </reference>
          <reference field="1" count="1" selected="0">
            <x v="1594"/>
          </reference>
          <reference field="2" count="1">
            <x v="399"/>
          </reference>
        </references>
      </pivotArea>
    </format>
    <format dxfId="1700">
      <pivotArea dataOnly="0" labelOnly="1" outline="0" fieldPosition="0">
        <references count="3">
          <reference field="0" count="1" selected="0">
            <x v="1"/>
          </reference>
          <reference field="1" count="1" selected="0">
            <x v="1595"/>
          </reference>
          <reference field="2" count="1">
            <x v="406"/>
          </reference>
        </references>
      </pivotArea>
    </format>
    <format dxfId="1699">
      <pivotArea dataOnly="0" labelOnly="1" outline="0" fieldPosition="0">
        <references count="3">
          <reference field="0" count="1" selected="0">
            <x v="1"/>
          </reference>
          <reference field="1" count="1" selected="0">
            <x v="1596"/>
          </reference>
          <reference field="2" count="1">
            <x v="414"/>
          </reference>
        </references>
      </pivotArea>
    </format>
    <format dxfId="1698">
      <pivotArea dataOnly="0" labelOnly="1" outline="0" fieldPosition="0">
        <references count="3">
          <reference field="0" count="1" selected="0">
            <x v="1"/>
          </reference>
          <reference field="1" count="1" selected="0">
            <x v="1597"/>
          </reference>
          <reference field="2" count="1">
            <x v="415"/>
          </reference>
        </references>
      </pivotArea>
    </format>
    <format dxfId="1697">
      <pivotArea dataOnly="0" labelOnly="1" outline="0" fieldPosition="0">
        <references count="3">
          <reference field="0" count="1" selected="0">
            <x v="1"/>
          </reference>
          <reference field="1" count="1" selected="0">
            <x v="1598"/>
          </reference>
          <reference field="2" count="1">
            <x v="419"/>
          </reference>
        </references>
      </pivotArea>
    </format>
    <format dxfId="1696">
      <pivotArea dataOnly="0" labelOnly="1" outline="0" fieldPosition="0">
        <references count="3">
          <reference field="0" count="1" selected="0">
            <x v="1"/>
          </reference>
          <reference field="1" count="1" selected="0">
            <x v="1599"/>
          </reference>
          <reference field="2" count="1">
            <x v="422"/>
          </reference>
        </references>
      </pivotArea>
    </format>
    <format dxfId="1695">
      <pivotArea dataOnly="0" labelOnly="1" outline="0" fieldPosition="0">
        <references count="3">
          <reference field="0" count="1" selected="0">
            <x v="1"/>
          </reference>
          <reference field="1" count="1" selected="0">
            <x v="1601"/>
          </reference>
          <reference field="2" count="1">
            <x v="424"/>
          </reference>
        </references>
      </pivotArea>
    </format>
    <format dxfId="1694">
      <pivotArea dataOnly="0" labelOnly="1" outline="0" fieldPosition="0">
        <references count="3">
          <reference field="0" count="1" selected="0">
            <x v="1"/>
          </reference>
          <reference field="1" count="1" selected="0">
            <x v="1602"/>
          </reference>
          <reference field="2" count="1">
            <x v="426"/>
          </reference>
        </references>
      </pivotArea>
    </format>
    <format dxfId="1693">
      <pivotArea dataOnly="0" labelOnly="1" outline="0" fieldPosition="0">
        <references count="3">
          <reference field="0" count="1" selected="0">
            <x v="1"/>
          </reference>
          <reference field="1" count="1" selected="0">
            <x v="1603"/>
          </reference>
          <reference field="2" count="1">
            <x v="438"/>
          </reference>
        </references>
      </pivotArea>
    </format>
    <format dxfId="1692">
      <pivotArea dataOnly="0" labelOnly="1" outline="0" fieldPosition="0">
        <references count="3">
          <reference field="0" count="1" selected="0">
            <x v="1"/>
          </reference>
          <reference field="1" count="1" selected="0">
            <x v="1604"/>
          </reference>
          <reference field="2" count="1">
            <x v="442"/>
          </reference>
        </references>
      </pivotArea>
    </format>
    <format dxfId="1691">
      <pivotArea dataOnly="0" labelOnly="1" outline="0" fieldPosition="0">
        <references count="3">
          <reference field="0" count="1" selected="0">
            <x v="1"/>
          </reference>
          <reference field="1" count="1" selected="0">
            <x v="1605"/>
          </reference>
          <reference field="2" count="1">
            <x v="446"/>
          </reference>
        </references>
      </pivotArea>
    </format>
    <format dxfId="1690">
      <pivotArea dataOnly="0" labelOnly="1" outline="0" fieldPosition="0">
        <references count="3">
          <reference field="0" count="1" selected="0">
            <x v="1"/>
          </reference>
          <reference field="1" count="1" selected="0">
            <x v="1606"/>
          </reference>
          <reference field="2" count="1">
            <x v="451"/>
          </reference>
        </references>
      </pivotArea>
    </format>
    <format dxfId="1689">
      <pivotArea dataOnly="0" labelOnly="1" outline="0" fieldPosition="0">
        <references count="3">
          <reference field="0" count="1" selected="0">
            <x v="1"/>
          </reference>
          <reference field="1" count="1" selected="0">
            <x v="1607"/>
          </reference>
          <reference field="2" count="1">
            <x v="457"/>
          </reference>
        </references>
      </pivotArea>
    </format>
    <format dxfId="1688">
      <pivotArea dataOnly="0" labelOnly="1" outline="0" fieldPosition="0">
        <references count="3">
          <reference field="0" count="1" selected="0">
            <x v="1"/>
          </reference>
          <reference field="1" count="1" selected="0">
            <x v="1608"/>
          </reference>
          <reference field="2" count="1">
            <x v="458"/>
          </reference>
        </references>
      </pivotArea>
    </format>
    <format dxfId="1687">
      <pivotArea dataOnly="0" labelOnly="1" outline="0" fieldPosition="0">
        <references count="3">
          <reference field="0" count="1" selected="0">
            <x v="1"/>
          </reference>
          <reference field="1" count="1" selected="0">
            <x v="1609"/>
          </reference>
          <reference field="2" count="1">
            <x v="461"/>
          </reference>
        </references>
      </pivotArea>
    </format>
    <format dxfId="1686">
      <pivotArea dataOnly="0" labelOnly="1" outline="0" fieldPosition="0">
        <references count="3">
          <reference field="0" count="1" selected="0">
            <x v="1"/>
          </reference>
          <reference field="1" count="1" selected="0">
            <x v="1610"/>
          </reference>
          <reference field="2" count="1">
            <x v="462"/>
          </reference>
        </references>
      </pivotArea>
    </format>
    <format dxfId="1685">
      <pivotArea dataOnly="0" labelOnly="1" outline="0" fieldPosition="0">
        <references count="3">
          <reference field="0" count="1" selected="0">
            <x v="1"/>
          </reference>
          <reference field="1" count="1" selected="0">
            <x v="1611"/>
          </reference>
          <reference field="2" count="1">
            <x v="465"/>
          </reference>
        </references>
      </pivotArea>
    </format>
    <format dxfId="1684">
      <pivotArea dataOnly="0" labelOnly="1" outline="0" fieldPosition="0">
        <references count="3">
          <reference field="0" count="1" selected="0">
            <x v="1"/>
          </reference>
          <reference field="1" count="1" selected="0">
            <x v="1613"/>
          </reference>
          <reference field="2" count="1">
            <x v="466"/>
          </reference>
        </references>
      </pivotArea>
    </format>
    <format dxfId="1683">
      <pivotArea dataOnly="0" labelOnly="1" outline="0" fieldPosition="0">
        <references count="3">
          <reference field="0" count="1" selected="0">
            <x v="1"/>
          </reference>
          <reference field="1" count="1" selected="0">
            <x v="1614"/>
          </reference>
          <reference field="2" count="1">
            <x v="467"/>
          </reference>
        </references>
      </pivotArea>
    </format>
    <format dxfId="1682">
      <pivotArea dataOnly="0" labelOnly="1" outline="0" fieldPosition="0">
        <references count="3">
          <reference field="0" count="1" selected="0">
            <x v="1"/>
          </reference>
          <reference field="1" count="1" selected="0">
            <x v="1615"/>
          </reference>
          <reference field="2" count="1">
            <x v="468"/>
          </reference>
        </references>
      </pivotArea>
    </format>
    <format dxfId="1681">
      <pivotArea dataOnly="0" labelOnly="1" outline="0" fieldPosition="0">
        <references count="3">
          <reference field="0" count="1" selected="0">
            <x v="1"/>
          </reference>
          <reference field="1" count="1" selected="0">
            <x v="1616"/>
          </reference>
          <reference field="2" count="1">
            <x v="470"/>
          </reference>
        </references>
      </pivotArea>
    </format>
    <format dxfId="1680">
      <pivotArea dataOnly="0" labelOnly="1" outline="0" fieldPosition="0">
        <references count="3">
          <reference field="0" count="1" selected="0">
            <x v="1"/>
          </reference>
          <reference field="1" count="1" selected="0">
            <x v="1617"/>
          </reference>
          <reference field="2" count="1">
            <x v="471"/>
          </reference>
        </references>
      </pivotArea>
    </format>
    <format dxfId="1679">
      <pivotArea dataOnly="0" labelOnly="1" outline="0" fieldPosition="0">
        <references count="3">
          <reference field="0" count="1" selected="0">
            <x v="1"/>
          </reference>
          <reference field="1" count="1" selected="0">
            <x v="1618"/>
          </reference>
          <reference field="2" count="1">
            <x v="472"/>
          </reference>
        </references>
      </pivotArea>
    </format>
    <format dxfId="1678">
      <pivotArea dataOnly="0" labelOnly="1" outline="0" fieldPosition="0">
        <references count="3">
          <reference field="0" count="1" selected="0">
            <x v="1"/>
          </reference>
          <reference field="1" count="1" selected="0">
            <x v="1619"/>
          </reference>
          <reference field="2" count="1">
            <x v="479"/>
          </reference>
        </references>
      </pivotArea>
    </format>
    <format dxfId="1677">
      <pivotArea dataOnly="0" labelOnly="1" outline="0" fieldPosition="0">
        <references count="3">
          <reference field="0" count="1" selected="0">
            <x v="1"/>
          </reference>
          <reference field="1" count="1" selected="0">
            <x v="1620"/>
          </reference>
          <reference field="2" count="1">
            <x v="483"/>
          </reference>
        </references>
      </pivotArea>
    </format>
    <format dxfId="1676">
      <pivotArea dataOnly="0" labelOnly="1" outline="0" fieldPosition="0">
        <references count="3">
          <reference field="0" count="1" selected="0">
            <x v="1"/>
          </reference>
          <reference field="1" count="1" selected="0">
            <x v="1621"/>
          </reference>
          <reference field="2" count="1">
            <x v="484"/>
          </reference>
        </references>
      </pivotArea>
    </format>
    <format dxfId="1675">
      <pivotArea dataOnly="0" labelOnly="1" outline="0" fieldPosition="0">
        <references count="3">
          <reference field="0" count="1" selected="0">
            <x v="1"/>
          </reference>
          <reference field="1" count="1" selected="0">
            <x v="1622"/>
          </reference>
          <reference field="2" count="1">
            <x v="485"/>
          </reference>
        </references>
      </pivotArea>
    </format>
    <format dxfId="1674">
      <pivotArea dataOnly="0" labelOnly="1" outline="0" fieldPosition="0">
        <references count="3">
          <reference field="0" count="1" selected="0">
            <x v="1"/>
          </reference>
          <reference field="1" count="1" selected="0">
            <x v="1623"/>
          </reference>
          <reference field="2" count="1">
            <x v="501"/>
          </reference>
        </references>
      </pivotArea>
    </format>
    <format dxfId="1673">
      <pivotArea dataOnly="0" labelOnly="1" outline="0" fieldPosition="0">
        <references count="3">
          <reference field="0" count="1" selected="0">
            <x v="1"/>
          </reference>
          <reference field="1" count="1" selected="0">
            <x v="1624"/>
          </reference>
          <reference field="2" count="1">
            <x v="502"/>
          </reference>
        </references>
      </pivotArea>
    </format>
    <format dxfId="1672">
      <pivotArea dataOnly="0" labelOnly="1" outline="0" fieldPosition="0">
        <references count="3">
          <reference field="0" count="1" selected="0">
            <x v="1"/>
          </reference>
          <reference field="1" count="1" selected="0">
            <x v="1625"/>
          </reference>
          <reference field="2" count="1">
            <x v="503"/>
          </reference>
        </references>
      </pivotArea>
    </format>
    <format dxfId="1671">
      <pivotArea dataOnly="0" labelOnly="1" outline="0" fieldPosition="0">
        <references count="3">
          <reference field="0" count="1" selected="0">
            <x v="1"/>
          </reference>
          <reference field="1" count="1" selected="0">
            <x v="1626"/>
          </reference>
          <reference field="2" count="1">
            <x v="505"/>
          </reference>
        </references>
      </pivotArea>
    </format>
    <format dxfId="1670">
      <pivotArea dataOnly="0" labelOnly="1" outline="0" fieldPosition="0">
        <references count="3">
          <reference field="0" count="1" selected="0">
            <x v="1"/>
          </reference>
          <reference field="1" count="1" selected="0">
            <x v="1627"/>
          </reference>
          <reference field="2" count="1">
            <x v="507"/>
          </reference>
        </references>
      </pivotArea>
    </format>
    <format dxfId="1669">
      <pivotArea dataOnly="0" labelOnly="1" outline="0" fieldPosition="0">
        <references count="3">
          <reference field="0" count="1" selected="0">
            <x v="1"/>
          </reference>
          <reference field="1" count="1" selected="0">
            <x v="1628"/>
          </reference>
          <reference field="2" count="1">
            <x v="512"/>
          </reference>
        </references>
      </pivotArea>
    </format>
    <format dxfId="1668">
      <pivotArea dataOnly="0" labelOnly="1" outline="0" fieldPosition="0">
        <references count="3">
          <reference field="0" count="1" selected="0">
            <x v="1"/>
          </reference>
          <reference field="1" count="1" selected="0">
            <x v="1629"/>
          </reference>
          <reference field="2" count="1">
            <x v="513"/>
          </reference>
        </references>
      </pivotArea>
    </format>
    <format dxfId="1667">
      <pivotArea dataOnly="0" labelOnly="1" outline="0" fieldPosition="0">
        <references count="4">
          <reference field="0" count="1" selected="0">
            <x v="0"/>
          </reference>
          <reference field="1" count="1" selected="0">
            <x v="0"/>
          </reference>
          <reference field="2" count="1" selected="0">
            <x v="258"/>
          </reference>
          <reference field="3" count="1">
            <x v="2"/>
          </reference>
        </references>
      </pivotArea>
    </format>
    <format dxfId="1666">
      <pivotArea dataOnly="0" labelOnly="1" outline="0" fieldPosition="0">
        <references count="4">
          <reference field="0" count="1" selected="0">
            <x v="0"/>
          </reference>
          <reference field="1" count="1" selected="0">
            <x v="197"/>
          </reference>
          <reference field="2" count="1" selected="0">
            <x v="293"/>
          </reference>
          <reference field="3" count="1">
            <x v="3"/>
          </reference>
        </references>
      </pivotArea>
    </format>
    <format dxfId="1665">
      <pivotArea dataOnly="0" labelOnly="1" outline="0" fieldPosition="0">
        <references count="4">
          <reference field="0" count="1" selected="0">
            <x v="0"/>
          </reference>
          <reference field="1" count="1" selected="0">
            <x v="198"/>
          </reference>
          <reference field="2" count="1" selected="0">
            <x v="293"/>
          </reference>
          <reference field="3" count="1">
            <x v="2"/>
          </reference>
        </references>
      </pivotArea>
    </format>
    <format dxfId="1664">
      <pivotArea dataOnly="0" labelOnly="1" outline="0" fieldPosition="0">
        <references count="4">
          <reference field="0" count="1" selected="0">
            <x v="0"/>
          </reference>
          <reference field="1" count="1" selected="0">
            <x v="200"/>
          </reference>
          <reference field="2" count="1" selected="0">
            <x v="293"/>
          </reference>
          <reference field="3" count="1">
            <x v="3"/>
          </reference>
        </references>
      </pivotArea>
    </format>
    <format dxfId="1663">
      <pivotArea dataOnly="0" labelOnly="1" outline="0" fieldPosition="0">
        <references count="4">
          <reference field="0" count="1" selected="0">
            <x v="0"/>
          </reference>
          <reference field="1" count="1" selected="0">
            <x v="201"/>
          </reference>
          <reference field="2" count="1" selected="0">
            <x v="294"/>
          </reference>
          <reference field="3" count="1">
            <x v="2"/>
          </reference>
        </references>
      </pivotArea>
    </format>
    <format dxfId="1662">
      <pivotArea dataOnly="0" labelOnly="1" outline="0" fieldPosition="0">
        <references count="4">
          <reference field="0" count="1" selected="0">
            <x v="0"/>
          </reference>
          <reference field="1" count="1" selected="0">
            <x v="524"/>
          </reference>
          <reference field="2" count="1" selected="0">
            <x v="349"/>
          </reference>
          <reference field="3" count="1">
            <x v="1"/>
          </reference>
        </references>
      </pivotArea>
    </format>
    <format dxfId="1661">
      <pivotArea dataOnly="0" labelOnly="1" outline="0" fieldPosition="0">
        <references count="4">
          <reference field="0" count="1" selected="0">
            <x v="0"/>
          </reference>
          <reference field="1" count="1" selected="0">
            <x v="525"/>
          </reference>
          <reference field="2" count="1" selected="0">
            <x v="349"/>
          </reference>
          <reference field="3" count="1">
            <x v="2"/>
          </reference>
        </references>
      </pivotArea>
    </format>
    <format dxfId="1660">
      <pivotArea dataOnly="0" labelOnly="1" outline="0" fieldPosition="0">
        <references count="4">
          <reference field="0" count="1" selected="0">
            <x v="0"/>
          </reference>
          <reference field="1" count="1" selected="0">
            <x v="733"/>
          </reference>
          <reference field="2" count="1" selected="0">
            <x v="376"/>
          </reference>
          <reference field="3" count="1">
            <x v="3"/>
          </reference>
        </references>
      </pivotArea>
    </format>
    <format dxfId="1659">
      <pivotArea dataOnly="0" labelOnly="1" outline="0" fieldPosition="0">
        <references count="4">
          <reference field="0" count="1" selected="0">
            <x v="0"/>
          </reference>
          <reference field="1" count="1" selected="0">
            <x v="734"/>
          </reference>
          <reference field="2" count="1" selected="0">
            <x v="376"/>
          </reference>
          <reference field="3" count="1">
            <x v="2"/>
          </reference>
        </references>
      </pivotArea>
    </format>
    <format dxfId="1658">
      <pivotArea dataOnly="0" labelOnly="1" outline="0" fieldPosition="0">
        <references count="4">
          <reference field="0" count="1" selected="0">
            <x v="0"/>
          </reference>
          <reference field="1" count="1" selected="0">
            <x v="817"/>
          </reference>
          <reference field="2" count="1" selected="0">
            <x v="389"/>
          </reference>
          <reference field="3" count="1">
            <x v="1"/>
          </reference>
        </references>
      </pivotArea>
    </format>
    <format dxfId="1657">
      <pivotArea dataOnly="0" labelOnly="1" outline="0" fieldPosition="0">
        <references count="4">
          <reference field="0" count="1" selected="0">
            <x v="0"/>
          </reference>
          <reference field="1" count="1" selected="0">
            <x v="818"/>
          </reference>
          <reference field="2" count="1" selected="0">
            <x v="389"/>
          </reference>
          <reference field="3" count="1">
            <x v="2"/>
          </reference>
        </references>
      </pivotArea>
    </format>
    <format dxfId="1656">
      <pivotArea dataOnly="0" labelOnly="1" outline="0" fieldPosition="0">
        <references count="4">
          <reference field="0" count="1" selected="0">
            <x v="0"/>
          </reference>
          <reference field="1" count="1" selected="0">
            <x v="824"/>
          </reference>
          <reference field="2" count="1" selected="0">
            <x v="389"/>
          </reference>
          <reference field="3" count="1">
            <x v="1"/>
          </reference>
        </references>
      </pivotArea>
    </format>
    <format dxfId="1655">
      <pivotArea dataOnly="0" labelOnly="1" outline="0" fieldPosition="0">
        <references count="4">
          <reference field="0" count="1" selected="0">
            <x v="0"/>
          </reference>
          <reference field="1" count="1" selected="0">
            <x v="825"/>
          </reference>
          <reference field="2" count="1" selected="0">
            <x v="390"/>
          </reference>
          <reference field="3" count="1">
            <x v="2"/>
          </reference>
        </references>
      </pivotArea>
    </format>
    <format dxfId="1654">
      <pivotArea dataOnly="0" labelOnly="1" outline="0" fieldPosition="0">
        <references count="4">
          <reference field="0" count="1" selected="0">
            <x v="0"/>
          </reference>
          <reference field="1" count="1" selected="0">
            <x v="835"/>
          </reference>
          <reference field="2" count="1" selected="0">
            <x v="391"/>
          </reference>
          <reference field="3" count="1">
            <x v="3"/>
          </reference>
        </references>
      </pivotArea>
    </format>
    <format dxfId="1653">
      <pivotArea dataOnly="0" labelOnly="1" outline="0" fieldPosition="0">
        <references count="4">
          <reference field="0" count="1" selected="0">
            <x v="0"/>
          </reference>
          <reference field="1" count="1" selected="0">
            <x v="836"/>
          </reference>
          <reference field="2" count="1" selected="0">
            <x v="391"/>
          </reference>
          <reference field="3" count="1">
            <x v="2"/>
          </reference>
        </references>
      </pivotArea>
    </format>
    <format dxfId="1652">
      <pivotArea dataOnly="0" labelOnly="1" outline="0" fieldPosition="0">
        <references count="4">
          <reference field="0" count="1" selected="0">
            <x v="0"/>
          </reference>
          <reference field="1" count="1" selected="0">
            <x v="973"/>
          </reference>
          <reference field="2" count="1" selected="0">
            <x v="412"/>
          </reference>
          <reference field="3" count="1">
            <x v="0"/>
          </reference>
        </references>
      </pivotArea>
    </format>
    <format dxfId="1651">
      <pivotArea dataOnly="0" labelOnly="1" outline="0" fieldPosition="0">
        <references count="4">
          <reference field="0" count="1" selected="0">
            <x v="0"/>
          </reference>
          <reference field="1" count="1" selected="0">
            <x v="977"/>
          </reference>
          <reference field="2" count="1" selected="0">
            <x v="413"/>
          </reference>
          <reference field="3" count="1">
            <x v="2"/>
          </reference>
        </references>
      </pivotArea>
    </format>
    <format dxfId="1650">
      <pivotArea dataOnly="0" labelOnly="1" outline="0" fieldPosition="0">
        <references count="4">
          <reference field="0" count="1" selected="0">
            <x v="0"/>
          </reference>
          <reference field="1" count="1" selected="0">
            <x v="983"/>
          </reference>
          <reference field="2" count="1" selected="0">
            <x v="414"/>
          </reference>
          <reference field="3" count="1">
            <x v="0"/>
          </reference>
        </references>
      </pivotArea>
    </format>
    <format dxfId="1649">
      <pivotArea dataOnly="0" labelOnly="1" outline="0" fieldPosition="0">
        <references count="4">
          <reference field="0" count="1" selected="0">
            <x v="0"/>
          </reference>
          <reference field="1" count="1" selected="0">
            <x v="989"/>
          </reference>
          <reference field="2" count="1" selected="0">
            <x v="415"/>
          </reference>
          <reference field="3" count="1">
            <x v="2"/>
          </reference>
        </references>
      </pivotArea>
    </format>
    <format dxfId="1648">
      <pivotArea dataOnly="0" labelOnly="1" outline="0" fieldPosition="0">
        <references count="4">
          <reference field="0" count="1" selected="0">
            <x v="0"/>
          </reference>
          <reference field="1" count="1" selected="0">
            <x v="1026"/>
          </reference>
          <reference field="2" count="1" selected="0">
            <x v="420"/>
          </reference>
          <reference field="3" count="1">
            <x v="3"/>
          </reference>
        </references>
      </pivotArea>
    </format>
    <format dxfId="1647">
      <pivotArea dataOnly="0" labelOnly="1" outline="0" fieldPosition="0">
        <references count="4">
          <reference field="0" count="1" selected="0">
            <x v="0"/>
          </reference>
          <reference field="1" count="1" selected="0">
            <x v="1027"/>
          </reference>
          <reference field="2" count="1" selected="0">
            <x v="420"/>
          </reference>
          <reference field="3" count="1">
            <x v="2"/>
          </reference>
        </references>
      </pivotArea>
    </format>
    <format dxfId="1646">
      <pivotArea dataOnly="0" labelOnly="1" outline="0" fieldPosition="0">
        <references count="4">
          <reference field="0" count="1" selected="0">
            <x v="0"/>
          </reference>
          <reference field="1" count="1" selected="0">
            <x v="1044"/>
          </reference>
          <reference field="2" count="1" selected="0">
            <x v="424"/>
          </reference>
          <reference field="3" count="1">
            <x v="0"/>
          </reference>
        </references>
      </pivotArea>
    </format>
    <format dxfId="1645">
      <pivotArea dataOnly="0" labelOnly="1" outline="0" fieldPosition="0">
        <references count="4">
          <reference field="0" count="1" selected="0">
            <x v="0"/>
          </reference>
          <reference field="1" count="1" selected="0">
            <x v="1046"/>
          </reference>
          <reference field="2" count="1" selected="0">
            <x v="424"/>
          </reference>
          <reference field="3" count="1">
            <x v="2"/>
          </reference>
        </references>
      </pivotArea>
    </format>
    <format dxfId="1644">
      <pivotArea dataOnly="0" labelOnly="1" outline="0" fieldPosition="0">
        <references count="4">
          <reference field="0" count="1" selected="0">
            <x v="0"/>
          </reference>
          <reference field="1" count="1" selected="0">
            <x v="1047"/>
          </reference>
          <reference field="2" count="1" selected="0">
            <x v="424"/>
          </reference>
          <reference field="3" count="1">
            <x v="0"/>
          </reference>
        </references>
      </pivotArea>
    </format>
    <format dxfId="1643">
      <pivotArea dataOnly="0" labelOnly="1" outline="0" fieldPosition="0">
        <references count="4">
          <reference field="0" count="1" selected="0">
            <x v="0"/>
          </reference>
          <reference field="1" count="1" selected="0">
            <x v="1048"/>
          </reference>
          <reference field="2" count="1" selected="0">
            <x v="425"/>
          </reference>
          <reference field="3" count="1">
            <x v="2"/>
          </reference>
        </references>
      </pivotArea>
    </format>
    <format dxfId="1642">
      <pivotArea dataOnly="0" labelOnly="1" outline="0" fieldPosition="0">
        <references count="4">
          <reference field="0" count="1" selected="0">
            <x v="0"/>
          </reference>
          <reference field="1" count="1" selected="0">
            <x v="1051"/>
          </reference>
          <reference field="2" count="1" selected="0">
            <x v="426"/>
          </reference>
          <reference field="3" count="1">
            <x v="3"/>
          </reference>
        </references>
      </pivotArea>
    </format>
    <format dxfId="1641">
      <pivotArea dataOnly="0" labelOnly="1" outline="0" fieldPosition="0">
        <references count="4">
          <reference field="0" count="1" selected="0">
            <x v="0"/>
          </reference>
          <reference field="1" count="1" selected="0">
            <x v="1052"/>
          </reference>
          <reference field="2" count="1" selected="0">
            <x v="426"/>
          </reference>
          <reference field="3" count="1">
            <x v="0"/>
          </reference>
        </references>
      </pivotArea>
    </format>
    <format dxfId="1640">
      <pivotArea dataOnly="0" labelOnly="1" outline="0" fieldPosition="0">
        <references count="4">
          <reference field="0" count="1" selected="0">
            <x v="0"/>
          </reference>
          <reference field="1" count="1" selected="0">
            <x v="1053"/>
          </reference>
          <reference field="2" count="1" selected="0">
            <x v="426"/>
          </reference>
          <reference field="3" count="1">
            <x v="3"/>
          </reference>
        </references>
      </pivotArea>
    </format>
    <format dxfId="1639">
      <pivotArea dataOnly="0" labelOnly="1" outline="0" fieldPosition="0">
        <references count="4">
          <reference field="0" count="1" selected="0">
            <x v="0"/>
          </reference>
          <reference field="1" count="1" selected="0">
            <x v="1055"/>
          </reference>
          <reference field="2" count="1" selected="0">
            <x v="426"/>
          </reference>
          <reference field="3" count="1">
            <x v="0"/>
          </reference>
        </references>
      </pivotArea>
    </format>
    <format dxfId="1638">
      <pivotArea dataOnly="0" labelOnly="1" outline="0" fieldPosition="0">
        <references count="4">
          <reference field="0" count="1" selected="0">
            <x v="0"/>
          </reference>
          <reference field="1" count="1" selected="0">
            <x v="1058"/>
          </reference>
          <reference field="2" count="1" selected="0">
            <x v="427"/>
          </reference>
          <reference field="3" count="1">
            <x v="3"/>
          </reference>
        </references>
      </pivotArea>
    </format>
    <format dxfId="1637">
      <pivotArea dataOnly="0" labelOnly="1" outline="0" fieldPosition="0">
        <references count="4">
          <reference field="0" count="1" selected="0">
            <x v="0"/>
          </reference>
          <reference field="1" count="1" selected="0">
            <x v="1061"/>
          </reference>
          <reference field="2" count="1" selected="0">
            <x v="428"/>
          </reference>
          <reference field="3" count="1">
            <x v="2"/>
          </reference>
        </references>
      </pivotArea>
    </format>
    <format dxfId="1636">
      <pivotArea dataOnly="0" labelOnly="1" outline="0" fieldPosition="0">
        <references count="4">
          <reference field="0" count="1" selected="0">
            <x v="0"/>
          </reference>
          <reference field="1" count="1" selected="0">
            <x v="1070"/>
          </reference>
          <reference field="2" count="1" selected="0">
            <x v="428"/>
          </reference>
          <reference field="3" count="1">
            <x v="3"/>
          </reference>
        </references>
      </pivotArea>
    </format>
    <format dxfId="1635">
      <pivotArea dataOnly="0" labelOnly="1" outline="0" fieldPosition="0">
        <references count="4">
          <reference field="0" count="1" selected="0">
            <x v="0"/>
          </reference>
          <reference field="1" count="1" selected="0">
            <x v="1071"/>
          </reference>
          <reference field="2" count="1" selected="0">
            <x v="428"/>
          </reference>
          <reference field="3" count="1">
            <x v="2"/>
          </reference>
        </references>
      </pivotArea>
    </format>
    <format dxfId="1634">
      <pivotArea dataOnly="0" labelOnly="1" outline="0" fieldPosition="0">
        <references count="4">
          <reference field="0" count="1" selected="0">
            <x v="1"/>
          </reference>
          <reference field="1" count="1" selected="0">
            <x v="1596"/>
          </reference>
          <reference field="2" count="1" selected="0">
            <x v="414"/>
          </reference>
          <reference field="3" count="1">
            <x v="0"/>
          </reference>
        </references>
      </pivotArea>
    </format>
    <format dxfId="1633">
      <pivotArea dataOnly="0" labelOnly="1" outline="0" fieldPosition="0">
        <references count="4">
          <reference field="0" count="1" selected="0">
            <x v="1"/>
          </reference>
          <reference field="1" count="1" selected="0">
            <x v="1597"/>
          </reference>
          <reference field="2" count="1" selected="0">
            <x v="415"/>
          </reference>
          <reference field="3" count="1">
            <x v="2"/>
          </reference>
        </references>
      </pivotArea>
    </format>
    <format dxfId="1632">
      <pivotArea dataOnly="0" labelOnly="1" outline="0" fieldPosition="0">
        <references count="4">
          <reference field="0" count="1" selected="0">
            <x v="1"/>
          </reference>
          <reference field="1" count="1" selected="0">
            <x v="1601"/>
          </reference>
          <reference field="2" count="1" selected="0">
            <x v="424"/>
          </reference>
          <reference field="3" count="1">
            <x v="0"/>
          </reference>
        </references>
      </pivotArea>
    </format>
    <format dxfId="1631">
      <pivotArea dataOnly="0" labelOnly="1" outline="0" fieldPosition="0">
        <references count="4">
          <reference field="0" count="1" selected="0">
            <x v="1"/>
          </reference>
          <reference field="1" count="1" selected="0">
            <x v="1603"/>
          </reference>
          <reference field="2" count="1" selected="0">
            <x v="438"/>
          </reference>
          <reference field="3" count="1">
            <x v="2"/>
          </reference>
        </references>
      </pivotArea>
    </format>
    <format dxfId="1630">
      <pivotArea dataOnly="0" labelOnly="1" outline="0" fieldPosition="0">
        <references count="5">
          <reference field="0" count="1" selected="0">
            <x v="0"/>
          </reference>
          <reference field="1" count="1" selected="0">
            <x v="0"/>
          </reference>
          <reference field="2" count="1" selected="0">
            <x v="258"/>
          </reference>
          <reference field="3" count="1" selected="0">
            <x v="2"/>
          </reference>
          <reference field="4" count="1">
            <x v="70"/>
          </reference>
        </references>
      </pivotArea>
    </format>
    <format dxfId="1629">
      <pivotArea dataOnly="0" labelOnly="1" outline="0" fieldPosition="0">
        <references count="5">
          <reference field="0" count="1" selected="0">
            <x v="0"/>
          </reference>
          <reference field="1" count="1" selected="0">
            <x v="1"/>
          </reference>
          <reference field="2" count="1" selected="0">
            <x v="258"/>
          </reference>
          <reference field="3" count="1" selected="0">
            <x v="2"/>
          </reference>
          <reference field="4" count="1">
            <x v="72"/>
          </reference>
        </references>
      </pivotArea>
    </format>
    <format dxfId="1628">
      <pivotArea dataOnly="0" labelOnly="1" outline="0" fieldPosition="0">
        <references count="5">
          <reference field="0" count="1" selected="0">
            <x v="0"/>
          </reference>
          <reference field="1" count="1" selected="0">
            <x v="2"/>
          </reference>
          <reference field="2" count="1" selected="0">
            <x v="258"/>
          </reference>
          <reference field="3" count="1" selected="0">
            <x v="2"/>
          </reference>
          <reference field="4" count="1">
            <x v="73"/>
          </reference>
        </references>
      </pivotArea>
    </format>
    <format dxfId="1627">
      <pivotArea dataOnly="0" labelOnly="1" outline="0" fieldPosition="0">
        <references count="5">
          <reference field="0" count="1" selected="0">
            <x v="0"/>
          </reference>
          <reference field="1" count="1" selected="0">
            <x v="3"/>
          </reference>
          <reference field="2" count="1" selected="0">
            <x v="258"/>
          </reference>
          <reference field="3" count="1" selected="0">
            <x v="2"/>
          </reference>
          <reference field="4" count="1">
            <x v="77"/>
          </reference>
        </references>
      </pivotArea>
    </format>
    <format dxfId="1626">
      <pivotArea dataOnly="0" labelOnly="1" outline="0" fieldPosition="0">
        <references count="5">
          <reference field="0" count="1" selected="0">
            <x v="0"/>
          </reference>
          <reference field="1" count="1" selected="0">
            <x v="4"/>
          </reference>
          <reference field="2" count="1" selected="0">
            <x v="258"/>
          </reference>
          <reference field="3" count="1" selected="0">
            <x v="2"/>
          </reference>
          <reference field="4" count="1">
            <x v="79"/>
          </reference>
        </references>
      </pivotArea>
    </format>
    <format dxfId="1625">
      <pivotArea dataOnly="0" labelOnly="1" outline="0" fieldPosition="0">
        <references count="5">
          <reference field="0" count="1" selected="0">
            <x v="0"/>
          </reference>
          <reference field="1" count="1" selected="0">
            <x v="5"/>
          </reference>
          <reference field="2" count="1" selected="0">
            <x v="258"/>
          </reference>
          <reference field="3" count="1" selected="0">
            <x v="2"/>
          </reference>
          <reference field="4" count="1">
            <x v="110"/>
          </reference>
        </references>
      </pivotArea>
    </format>
    <format dxfId="1624">
      <pivotArea dataOnly="0" labelOnly="1" outline="0" fieldPosition="0">
        <references count="5">
          <reference field="0" count="1" selected="0">
            <x v="0"/>
          </reference>
          <reference field="1" count="1" selected="0">
            <x v="6"/>
          </reference>
          <reference field="2" count="1" selected="0">
            <x v="258"/>
          </reference>
          <reference field="3" count="1" selected="0">
            <x v="2"/>
          </reference>
          <reference field="4" count="1">
            <x v="142"/>
          </reference>
        </references>
      </pivotArea>
    </format>
    <format dxfId="1623">
      <pivotArea dataOnly="0" labelOnly="1" outline="0" fieldPosition="0">
        <references count="5">
          <reference field="0" count="1" selected="0">
            <x v="0"/>
          </reference>
          <reference field="1" count="1" selected="0">
            <x v="7"/>
          </reference>
          <reference field="2" count="1" selected="0">
            <x v="258"/>
          </reference>
          <reference field="3" count="1" selected="0">
            <x v="2"/>
          </reference>
          <reference field="4" count="1">
            <x v="210"/>
          </reference>
        </references>
      </pivotArea>
    </format>
    <format dxfId="1622">
      <pivotArea dataOnly="0" labelOnly="1" outline="0" fieldPosition="0">
        <references count="5">
          <reference field="0" count="1" selected="0">
            <x v="0"/>
          </reference>
          <reference field="1" count="1" selected="0">
            <x v="8"/>
          </reference>
          <reference field="2" count="1" selected="0">
            <x v="258"/>
          </reference>
          <reference field="3" count="1" selected="0">
            <x v="2"/>
          </reference>
          <reference field="4" count="1">
            <x v="223"/>
          </reference>
        </references>
      </pivotArea>
    </format>
    <format dxfId="1621">
      <pivotArea dataOnly="0" labelOnly="1" outline="0" fieldPosition="0">
        <references count="5">
          <reference field="0" count="1" selected="0">
            <x v="0"/>
          </reference>
          <reference field="1" count="1" selected="0">
            <x v="9"/>
          </reference>
          <reference field="2" count="1" selected="0">
            <x v="258"/>
          </reference>
          <reference field="3" count="1" selected="0">
            <x v="2"/>
          </reference>
          <reference field="4" count="1">
            <x v="265"/>
          </reference>
        </references>
      </pivotArea>
    </format>
    <format dxfId="1620">
      <pivotArea dataOnly="0" labelOnly="1" outline="0" fieldPosition="0">
        <references count="5">
          <reference field="0" count="1" selected="0">
            <x v="0"/>
          </reference>
          <reference field="1" count="1" selected="0">
            <x v="10"/>
          </reference>
          <reference field="2" count="1" selected="0">
            <x v="258"/>
          </reference>
          <reference field="3" count="1" selected="0">
            <x v="2"/>
          </reference>
          <reference field="4" count="1">
            <x v="273"/>
          </reference>
        </references>
      </pivotArea>
    </format>
    <format dxfId="1619">
      <pivotArea dataOnly="0" labelOnly="1" outline="0" fieldPosition="0">
        <references count="5">
          <reference field="0" count="1" selected="0">
            <x v="0"/>
          </reference>
          <reference field="1" count="1" selected="0">
            <x v="11"/>
          </reference>
          <reference field="2" count="1" selected="0">
            <x v="258"/>
          </reference>
          <reference field="3" count="1" selected="0">
            <x v="2"/>
          </reference>
          <reference field="4" count="1">
            <x v="281"/>
          </reference>
        </references>
      </pivotArea>
    </format>
    <format dxfId="1618">
      <pivotArea dataOnly="0" labelOnly="1" outline="0" fieldPosition="0">
        <references count="5">
          <reference field="0" count="1" selected="0">
            <x v="0"/>
          </reference>
          <reference field="1" count="1" selected="0">
            <x v="12"/>
          </reference>
          <reference field="2" count="1" selected="0">
            <x v="258"/>
          </reference>
          <reference field="3" count="1" selected="0">
            <x v="2"/>
          </reference>
          <reference field="4" count="1">
            <x v="282"/>
          </reference>
        </references>
      </pivotArea>
    </format>
    <format dxfId="1617">
      <pivotArea dataOnly="0" labelOnly="1" outline="0" fieldPosition="0">
        <references count="5">
          <reference field="0" count="1" selected="0">
            <x v="0"/>
          </reference>
          <reference field="1" count="1" selected="0">
            <x v="13"/>
          </reference>
          <reference field="2" count="1" selected="0">
            <x v="259"/>
          </reference>
          <reference field="3" count="1" selected="0">
            <x v="2"/>
          </reference>
          <reference field="4" count="1">
            <x v="21"/>
          </reference>
        </references>
      </pivotArea>
    </format>
    <format dxfId="1616">
      <pivotArea dataOnly="0" labelOnly="1" outline="0" fieldPosition="0">
        <references count="5">
          <reference field="0" count="1" selected="0">
            <x v="0"/>
          </reference>
          <reference field="1" count="1" selected="0">
            <x v="14"/>
          </reference>
          <reference field="2" count="1" selected="0">
            <x v="259"/>
          </reference>
          <reference field="3" count="1" selected="0">
            <x v="2"/>
          </reference>
          <reference field="4" count="1">
            <x v="46"/>
          </reference>
        </references>
      </pivotArea>
    </format>
    <format dxfId="1615">
      <pivotArea dataOnly="0" labelOnly="1" outline="0" fieldPosition="0">
        <references count="5">
          <reference field="0" count="1" selected="0">
            <x v="0"/>
          </reference>
          <reference field="1" count="1" selected="0">
            <x v="15"/>
          </reference>
          <reference field="2" count="1" selected="0">
            <x v="259"/>
          </reference>
          <reference field="3" count="1" selected="0">
            <x v="2"/>
          </reference>
          <reference field="4" count="1">
            <x v="51"/>
          </reference>
        </references>
      </pivotArea>
    </format>
    <format dxfId="1614">
      <pivotArea dataOnly="0" labelOnly="1" outline="0" fieldPosition="0">
        <references count="5">
          <reference field="0" count="1" selected="0">
            <x v="0"/>
          </reference>
          <reference field="1" count="1" selected="0">
            <x v="16"/>
          </reference>
          <reference field="2" count="1" selected="0">
            <x v="259"/>
          </reference>
          <reference field="3" count="1" selected="0">
            <x v="2"/>
          </reference>
          <reference field="4" count="1">
            <x v="201"/>
          </reference>
        </references>
      </pivotArea>
    </format>
    <format dxfId="1613">
      <pivotArea dataOnly="0" labelOnly="1" outline="0" fieldPosition="0">
        <references count="5">
          <reference field="0" count="1" selected="0">
            <x v="0"/>
          </reference>
          <reference field="1" count="1" selected="0">
            <x v="17"/>
          </reference>
          <reference field="2" count="1" selected="0">
            <x v="259"/>
          </reference>
          <reference field="3" count="1" selected="0">
            <x v="2"/>
          </reference>
          <reference field="4" count="1">
            <x v="223"/>
          </reference>
        </references>
      </pivotArea>
    </format>
    <format dxfId="1612">
      <pivotArea dataOnly="0" labelOnly="1" outline="0" fieldPosition="0">
        <references count="5">
          <reference field="0" count="1" selected="0">
            <x v="0"/>
          </reference>
          <reference field="1" count="1" selected="0">
            <x v="18"/>
          </reference>
          <reference field="2" count="1" selected="0">
            <x v="260"/>
          </reference>
          <reference field="3" count="1" selected="0">
            <x v="2"/>
          </reference>
          <reference field="4" count="1">
            <x v="52"/>
          </reference>
        </references>
      </pivotArea>
    </format>
    <format dxfId="1611">
      <pivotArea dataOnly="0" labelOnly="1" outline="0" fieldPosition="0">
        <references count="5">
          <reference field="0" count="1" selected="0">
            <x v="0"/>
          </reference>
          <reference field="1" count="1" selected="0">
            <x v="19"/>
          </reference>
          <reference field="2" count="1" selected="0">
            <x v="260"/>
          </reference>
          <reference field="3" count="1" selected="0">
            <x v="2"/>
          </reference>
          <reference field="4" count="1">
            <x v="64"/>
          </reference>
        </references>
      </pivotArea>
    </format>
    <format dxfId="1610">
      <pivotArea dataOnly="0" labelOnly="1" outline="0" fieldPosition="0">
        <references count="5">
          <reference field="0" count="1" selected="0">
            <x v="0"/>
          </reference>
          <reference field="1" count="1" selected="0">
            <x v="20"/>
          </reference>
          <reference field="2" count="1" selected="0">
            <x v="260"/>
          </reference>
          <reference field="3" count="1" selected="0">
            <x v="2"/>
          </reference>
          <reference field="4" count="1">
            <x v="101"/>
          </reference>
        </references>
      </pivotArea>
    </format>
    <format dxfId="1609">
      <pivotArea dataOnly="0" labelOnly="1" outline="0" fieldPosition="0">
        <references count="5">
          <reference field="0" count="1" selected="0">
            <x v="0"/>
          </reference>
          <reference field="1" count="1" selected="0">
            <x v="21"/>
          </reference>
          <reference field="2" count="1" selected="0">
            <x v="260"/>
          </reference>
          <reference field="3" count="1" selected="0">
            <x v="2"/>
          </reference>
          <reference field="4" count="1">
            <x v="112"/>
          </reference>
        </references>
      </pivotArea>
    </format>
    <format dxfId="1608">
      <pivotArea dataOnly="0" labelOnly="1" outline="0" fieldPosition="0">
        <references count="5">
          <reference field="0" count="1" selected="0">
            <x v="0"/>
          </reference>
          <reference field="1" count="1" selected="0">
            <x v="22"/>
          </reference>
          <reference field="2" count="1" selected="0">
            <x v="260"/>
          </reference>
          <reference field="3" count="1" selected="0">
            <x v="2"/>
          </reference>
          <reference field="4" count="1">
            <x v="131"/>
          </reference>
        </references>
      </pivotArea>
    </format>
    <format dxfId="1607">
      <pivotArea dataOnly="0" labelOnly="1" outline="0" fieldPosition="0">
        <references count="5">
          <reference field="0" count="1" selected="0">
            <x v="0"/>
          </reference>
          <reference field="1" count="1" selected="0">
            <x v="23"/>
          </reference>
          <reference field="2" count="1" selected="0">
            <x v="260"/>
          </reference>
          <reference field="3" count="1" selected="0">
            <x v="2"/>
          </reference>
          <reference field="4" count="1">
            <x v="239"/>
          </reference>
        </references>
      </pivotArea>
    </format>
    <format dxfId="1606">
      <pivotArea dataOnly="0" labelOnly="1" outline="0" fieldPosition="0">
        <references count="5">
          <reference field="0" count="1" selected="0">
            <x v="0"/>
          </reference>
          <reference field="1" count="1" selected="0">
            <x v="24"/>
          </reference>
          <reference field="2" count="1" selected="0">
            <x v="261"/>
          </reference>
          <reference field="3" count="1" selected="0">
            <x v="2"/>
          </reference>
          <reference field="4" count="1">
            <x v="199"/>
          </reference>
        </references>
      </pivotArea>
    </format>
    <format dxfId="1605">
      <pivotArea dataOnly="0" labelOnly="1" outline="0" fieldPosition="0">
        <references count="5">
          <reference field="0" count="1" selected="0">
            <x v="0"/>
          </reference>
          <reference field="1" count="1" selected="0">
            <x v="25"/>
          </reference>
          <reference field="2" count="1" selected="0">
            <x v="261"/>
          </reference>
          <reference field="3" count="1" selected="0">
            <x v="2"/>
          </reference>
          <reference field="4" count="1">
            <x v="214"/>
          </reference>
        </references>
      </pivotArea>
    </format>
    <format dxfId="1604">
      <pivotArea dataOnly="0" labelOnly="1" outline="0" fieldPosition="0">
        <references count="5">
          <reference field="0" count="1" selected="0">
            <x v="0"/>
          </reference>
          <reference field="1" count="1" selected="0">
            <x v="26"/>
          </reference>
          <reference field="2" count="1" selected="0">
            <x v="261"/>
          </reference>
          <reference field="3" count="1" selected="0">
            <x v="2"/>
          </reference>
          <reference field="4" count="1">
            <x v="234"/>
          </reference>
        </references>
      </pivotArea>
    </format>
    <format dxfId="1603">
      <pivotArea dataOnly="0" labelOnly="1" outline="0" fieldPosition="0">
        <references count="5">
          <reference field="0" count="1" selected="0">
            <x v="0"/>
          </reference>
          <reference field="1" count="1" selected="0">
            <x v="27"/>
          </reference>
          <reference field="2" count="1" selected="0">
            <x v="261"/>
          </reference>
          <reference field="3" count="1" selected="0">
            <x v="2"/>
          </reference>
          <reference field="4" count="1">
            <x v="240"/>
          </reference>
        </references>
      </pivotArea>
    </format>
    <format dxfId="1602">
      <pivotArea dataOnly="0" labelOnly="1" outline="0" fieldPosition="0">
        <references count="5">
          <reference field="0" count="1" selected="0">
            <x v="0"/>
          </reference>
          <reference field="1" count="1" selected="0">
            <x v="28"/>
          </reference>
          <reference field="2" count="1" selected="0">
            <x v="262"/>
          </reference>
          <reference field="3" count="1" selected="0">
            <x v="2"/>
          </reference>
          <reference field="4" count="1">
            <x v="238"/>
          </reference>
        </references>
      </pivotArea>
    </format>
    <format dxfId="1601">
      <pivotArea dataOnly="0" labelOnly="1" outline="0" fieldPosition="0">
        <references count="5">
          <reference field="0" count="1" selected="0">
            <x v="0"/>
          </reference>
          <reference field="1" count="1" selected="0">
            <x v="29"/>
          </reference>
          <reference field="2" count="1" selected="0">
            <x v="262"/>
          </reference>
          <reference field="3" count="1" selected="0">
            <x v="2"/>
          </reference>
          <reference field="4" count="1">
            <x v="243"/>
          </reference>
        </references>
      </pivotArea>
    </format>
    <format dxfId="1600">
      <pivotArea dataOnly="0" labelOnly="1" outline="0" fieldPosition="0">
        <references count="5">
          <reference field="0" count="1" selected="0">
            <x v="0"/>
          </reference>
          <reference field="1" count="1" selected="0">
            <x v="30"/>
          </reference>
          <reference field="2" count="1" selected="0">
            <x v="263"/>
          </reference>
          <reference field="3" count="1" selected="0">
            <x v="2"/>
          </reference>
          <reference field="4" count="1">
            <x v="110"/>
          </reference>
        </references>
      </pivotArea>
    </format>
    <format dxfId="1599">
      <pivotArea dataOnly="0" labelOnly="1" outline="0" fieldPosition="0">
        <references count="5">
          <reference field="0" count="1" selected="0">
            <x v="0"/>
          </reference>
          <reference field="1" count="1" selected="0">
            <x v="31"/>
          </reference>
          <reference field="2" count="1" selected="0">
            <x v="263"/>
          </reference>
          <reference field="3" count="1" selected="0">
            <x v="2"/>
          </reference>
          <reference field="4" count="1">
            <x v="242"/>
          </reference>
        </references>
      </pivotArea>
    </format>
    <format dxfId="1598">
      <pivotArea dataOnly="0" labelOnly="1" outline="0" fieldPosition="0">
        <references count="5">
          <reference field="0" count="1" selected="0">
            <x v="0"/>
          </reference>
          <reference field="1" count="1" selected="0">
            <x v="32"/>
          </reference>
          <reference field="2" count="1" selected="0">
            <x v="264"/>
          </reference>
          <reference field="3" count="1" selected="0">
            <x v="2"/>
          </reference>
          <reference field="4" count="1">
            <x v="44"/>
          </reference>
        </references>
      </pivotArea>
    </format>
    <format dxfId="1597">
      <pivotArea dataOnly="0" labelOnly="1" outline="0" fieldPosition="0">
        <references count="5">
          <reference field="0" count="1" selected="0">
            <x v="0"/>
          </reference>
          <reference field="1" count="1" selected="0">
            <x v="33"/>
          </reference>
          <reference field="2" count="1" selected="0">
            <x v="264"/>
          </reference>
          <reference field="3" count="1" selected="0">
            <x v="2"/>
          </reference>
          <reference field="4" count="1">
            <x v="138"/>
          </reference>
        </references>
      </pivotArea>
    </format>
    <format dxfId="1596">
      <pivotArea dataOnly="0" labelOnly="1" outline="0" fieldPosition="0">
        <references count="5">
          <reference field="0" count="1" selected="0">
            <x v="0"/>
          </reference>
          <reference field="1" count="1" selected="0">
            <x v="34"/>
          </reference>
          <reference field="2" count="1" selected="0">
            <x v="264"/>
          </reference>
          <reference field="3" count="1" selected="0">
            <x v="2"/>
          </reference>
          <reference field="4" count="1">
            <x v="179"/>
          </reference>
        </references>
      </pivotArea>
    </format>
    <format dxfId="1595">
      <pivotArea dataOnly="0" labelOnly="1" outline="0" fieldPosition="0">
        <references count="5">
          <reference field="0" count="1" selected="0">
            <x v="0"/>
          </reference>
          <reference field="1" count="1" selected="0">
            <x v="35"/>
          </reference>
          <reference field="2" count="1" selected="0">
            <x v="265"/>
          </reference>
          <reference field="3" count="1" selected="0">
            <x v="2"/>
          </reference>
          <reference field="4" count="1">
            <x v="70"/>
          </reference>
        </references>
      </pivotArea>
    </format>
    <format dxfId="1594">
      <pivotArea dataOnly="0" labelOnly="1" outline="0" fieldPosition="0">
        <references count="5">
          <reference field="0" count="1" selected="0">
            <x v="0"/>
          </reference>
          <reference field="1" count="1" selected="0">
            <x v="36"/>
          </reference>
          <reference field="2" count="1" selected="0">
            <x v="265"/>
          </reference>
          <reference field="3" count="1" selected="0">
            <x v="2"/>
          </reference>
          <reference field="4" count="1">
            <x v="162"/>
          </reference>
        </references>
      </pivotArea>
    </format>
    <format dxfId="1593">
      <pivotArea dataOnly="0" labelOnly="1" outline="0" fieldPosition="0">
        <references count="5">
          <reference field="0" count="1" selected="0">
            <x v="0"/>
          </reference>
          <reference field="1" count="1" selected="0">
            <x v="37"/>
          </reference>
          <reference field="2" count="1" selected="0">
            <x v="265"/>
          </reference>
          <reference field="3" count="1" selected="0">
            <x v="2"/>
          </reference>
          <reference field="4" count="1">
            <x v="188"/>
          </reference>
        </references>
      </pivotArea>
    </format>
    <format dxfId="1592">
      <pivotArea dataOnly="0" labelOnly="1" outline="0" fieldPosition="0">
        <references count="5">
          <reference field="0" count="1" selected="0">
            <x v="0"/>
          </reference>
          <reference field="1" count="1" selected="0">
            <x v="38"/>
          </reference>
          <reference field="2" count="1" selected="0">
            <x v="266"/>
          </reference>
          <reference field="3" count="1" selected="0">
            <x v="2"/>
          </reference>
          <reference field="4" count="1">
            <x v="48"/>
          </reference>
        </references>
      </pivotArea>
    </format>
    <format dxfId="1591">
      <pivotArea dataOnly="0" labelOnly="1" outline="0" fieldPosition="0">
        <references count="5">
          <reference field="0" count="1" selected="0">
            <x v="0"/>
          </reference>
          <reference field="1" count="1" selected="0">
            <x v="39"/>
          </reference>
          <reference field="2" count="1" selected="0">
            <x v="266"/>
          </reference>
          <reference field="3" count="1" selected="0">
            <x v="2"/>
          </reference>
          <reference field="4" count="1">
            <x v="80"/>
          </reference>
        </references>
      </pivotArea>
    </format>
    <format dxfId="1590">
      <pivotArea dataOnly="0" labelOnly="1" outline="0" fieldPosition="0">
        <references count="5">
          <reference field="0" count="1" selected="0">
            <x v="0"/>
          </reference>
          <reference field="1" count="1" selected="0">
            <x v="40"/>
          </reference>
          <reference field="2" count="1" selected="0">
            <x v="266"/>
          </reference>
          <reference field="3" count="1" selected="0">
            <x v="2"/>
          </reference>
          <reference field="4" count="1">
            <x v="104"/>
          </reference>
        </references>
      </pivotArea>
    </format>
    <format dxfId="1589">
      <pivotArea dataOnly="0" labelOnly="1" outline="0" fieldPosition="0">
        <references count="5">
          <reference field="0" count="1" selected="0">
            <x v="0"/>
          </reference>
          <reference field="1" count="1" selected="0">
            <x v="41"/>
          </reference>
          <reference field="2" count="1" selected="0">
            <x v="266"/>
          </reference>
          <reference field="3" count="1" selected="0">
            <x v="2"/>
          </reference>
          <reference field="4" count="1">
            <x v="128"/>
          </reference>
        </references>
      </pivotArea>
    </format>
    <format dxfId="1588">
      <pivotArea dataOnly="0" labelOnly="1" outline="0" fieldPosition="0">
        <references count="5">
          <reference field="0" count="1" selected="0">
            <x v="0"/>
          </reference>
          <reference field="1" count="1" selected="0">
            <x v="42"/>
          </reference>
          <reference field="2" count="1" selected="0">
            <x v="266"/>
          </reference>
          <reference field="3" count="1" selected="0">
            <x v="2"/>
          </reference>
          <reference field="4" count="1">
            <x v="168"/>
          </reference>
        </references>
      </pivotArea>
    </format>
    <format dxfId="1587">
      <pivotArea dataOnly="0" labelOnly="1" outline="0" fieldPosition="0">
        <references count="5">
          <reference field="0" count="1" selected="0">
            <x v="0"/>
          </reference>
          <reference field="1" count="1" selected="0">
            <x v="43"/>
          </reference>
          <reference field="2" count="1" selected="0">
            <x v="266"/>
          </reference>
          <reference field="3" count="1" selected="0">
            <x v="2"/>
          </reference>
          <reference field="4" count="1">
            <x v="213"/>
          </reference>
        </references>
      </pivotArea>
    </format>
    <format dxfId="1586">
      <pivotArea dataOnly="0" labelOnly="1" outline="0" fieldPosition="0">
        <references count="5">
          <reference field="0" count="1" selected="0">
            <x v="0"/>
          </reference>
          <reference field="1" count="1" selected="0">
            <x v="44"/>
          </reference>
          <reference field="2" count="1" selected="0">
            <x v="266"/>
          </reference>
          <reference field="3" count="1" selected="0">
            <x v="2"/>
          </reference>
          <reference field="4" count="1">
            <x v="265"/>
          </reference>
        </references>
      </pivotArea>
    </format>
    <format dxfId="1585">
      <pivotArea dataOnly="0" labelOnly="1" outline="0" fieldPosition="0">
        <references count="5">
          <reference field="0" count="1" selected="0">
            <x v="0"/>
          </reference>
          <reference field="1" count="1" selected="0">
            <x v="45"/>
          </reference>
          <reference field="2" count="1" selected="0">
            <x v="267"/>
          </reference>
          <reference field="3" count="1" selected="0">
            <x v="2"/>
          </reference>
          <reference field="4" count="1">
            <x v="41"/>
          </reference>
        </references>
      </pivotArea>
    </format>
    <format dxfId="1584">
      <pivotArea dataOnly="0" labelOnly="1" outline="0" fieldPosition="0">
        <references count="5">
          <reference field="0" count="1" selected="0">
            <x v="0"/>
          </reference>
          <reference field="1" count="1" selected="0">
            <x v="46"/>
          </reference>
          <reference field="2" count="1" selected="0">
            <x v="267"/>
          </reference>
          <reference field="3" count="1" selected="0">
            <x v="2"/>
          </reference>
          <reference field="4" count="1">
            <x v="57"/>
          </reference>
        </references>
      </pivotArea>
    </format>
    <format dxfId="1583">
      <pivotArea dataOnly="0" labelOnly="1" outline="0" fieldPosition="0">
        <references count="5">
          <reference field="0" count="1" selected="0">
            <x v="0"/>
          </reference>
          <reference field="1" count="1" selected="0">
            <x v="47"/>
          </reference>
          <reference field="2" count="1" selected="0">
            <x v="267"/>
          </reference>
          <reference field="3" count="1" selected="0">
            <x v="2"/>
          </reference>
          <reference field="4" count="1">
            <x v="60"/>
          </reference>
        </references>
      </pivotArea>
    </format>
    <format dxfId="1582">
      <pivotArea dataOnly="0" labelOnly="1" outline="0" fieldPosition="0">
        <references count="5">
          <reference field="0" count="1" selected="0">
            <x v="0"/>
          </reference>
          <reference field="1" count="1" selected="0">
            <x v="48"/>
          </reference>
          <reference field="2" count="1" selected="0">
            <x v="267"/>
          </reference>
          <reference field="3" count="1" selected="0">
            <x v="2"/>
          </reference>
          <reference field="4" count="1">
            <x v="70"/>
          </reference>
        </references>
      </pivotArea>
    </format>
    <format dxfId="1581">
      <pivotArea dataOnly="0" labelOnly="1" outline="0" fieldPosition="0">
        <references count="5">
          <reference field="0" count="1" selected="0">
            <x v="0"/>
          </reference>
          <reference field="1" count="1" selected="0">
            <x v="49"/>
          </reference>
          <reference field="2" count="1" selected="0">
            <x v="267"/>
          </reference>
          <reference field="3" count="1" selected="0">
            <x v="2"/>
          </reference>
          <reference field="4" count="1">
            <x v="80"/>
          </reference>
        </references>
      </pivotArea>
    </format>
    <format dxfId="1580">
      <pivotArea dataOnly="0" labelOnly="1" outline="0" fieldPosition="0">
        <references count="5">
          <reference field="0" count="1" selected="0">
            <x v="0"/>
          </reference>
          <reference field="1" count="1" selected="0">
            <x v="50"/>
          </reference>
          <reference field="2" count="1" selected="0">
            <x v="267"/>
          </reference>
          <reference field="3" count="1" selected="0">
            <x v="2"/>
          </reference>
          <reference field="4" count="1">
            <x v="110"/>
          </reference>
        </references>
      </pivotArea>
    </format>
    <format dxfId="1579">
      <pivotArea dataOnly="0" labelOnly="1" outline="0" fieldPosition="0">
        <references count="5">
          <reference field="0" count="1" selected="0">
            <x v="0"/>
          </reference>
          <reference field="1" count="1" selected="0">
            <x v="51"/>
          </reference>
          <reference field="2" count="1" selected="0">
            <x v="267"/>
          </reference>
          <reference field="3" count="1" selected="0">
            <x v="2"/>
          </reference>
          <reference field="4" count="1">
            <x v="153"/>
          </reference>
        </references>
      </pivotArea>
    </format>
    <format dxfId="1578">
      <pivotArea dataOnly="0" labelOnly="1" outline="0" fieldPosition="0">
        <references count="5">
          <reference field="0" count="1" selected="0">
            <x v="0"/>
          </reference>
          <reference field="1" count="1" selected="0">
            <x v="52"/>
          </reference>
          <reference field="2" count="1" selected="0">
            <x v="267"/>
          </reference>
          <reference field="3" count="1" selected="0">
            <x v="2"/>
          </reference>
          <reference field="4" count="1">
            <x v="182"/>
          </reference>
        </references>
      </pivotArea>
    </format>
    <format dxfId="1577">
      <pivotArea dataOnly="0" labelOnly="1" outline="0" fieldPosition="0">
        <references count="5">
          <reference field="0" count="1" selected="0">
            <x v="0"/>
          </reference>
          <reference field="1" count="1" selected="0">
            <x v="53"/>
          </reference>
          <reference field="2" count="1" selected="0">
            <x v="267"/>
          </reference>
          <reference field="3" count="1" selected="0">
            <x v="2"/>
          </reference>
          <reference field="4" count="1">
            <x v="188"/>
          </reference>
        </references>
      </pivotArea>
    </format>
    <format dxfId="1576">
      <pivotArea dataOnly="0" labelOnly="1" outline="0" fieldPosition="0">
        <references count="5">
          <reference field="0" count="1" selected="0">
            <x v="0"/>
          </reference>
          <reference field="1" count="1" selected="0">
            <x v="54"/>
          </reference>
          <reference field="2" count="1" selected="0">
            <x v="267"/>
          </reference>
          <reference field="3" count="1" selected="0">
            <x v="2"/>
          </reference>
          <reference field="4" count="1">
            <x v="203"/>
          </reference>
        </references>
      </pivotArea>
    </format>
    <format dxfId="1575">
      <pivotArea dataOnly="0" labelOnly="1" outline="0" fieldPosition="0">
        <references count="5">
          <reference field="0" count="1" selected="0">
            <x v="0"/>
          </reference>
          <reference field="1" count="1" selected="0">
            <x v="55"/>
          </reference>
          <reference field="2" count="1" selected="0">
            <x v="267"/>
          </reference>
          <reference field="3" count="1" selected="0">
            <x v="2"/>
          </reference>
          <reference field="4" count="1">
            <x v="228"/>
          </reference>
        </references>
      </pivotArea>
    </format>
    <format dxfId="1574">
      <pivotArea dataOnly="0" labelOnly="1" outline="0" fieldPosition="0">
        <references count="5">
          <reference field="0" count="1" selected="0">
            <x v="0"/>
          </reference>
          <reference field="1" count="1" selected="0">
            <x v="56"/>
          </reference>
          <reference field="2" count="1" selected="0">
            <x v="267"/>
          </reference>
          <reference field="3" count="1" selected="0">
            <x v="2"/>
          </reference>
          <reference field="4" count="1">
            <x v="275"/>
          </reference>
        </references>
      </pivotArea>
    </format>
    <format dxfId="1573">
      <pivotArea dataOnly="0" labelOnly="1" outline="0" fieldPosition="0">
        <references count="5">
          <reference field="0" count="1" selected="0">
            <x v="0"/>
          </reference>
          <reference field="1" count="1" selected="0">
            <x v="57"/>
          </reference>
          <reference field="2" count="1" selected="0">
            <x v="268"/>
          </reference>
          <reference field="3" count="1" selected="0">
            <x v="2"/>
          </reference>
          <reference field="4" count="1">
            <x v="109"/>
          </reference>
        </references>
      </pivotArea>
    </format>
    <format dxfId="1572">
      <pivotArea dataOnly="0" labelOnly="1" outline="0" fieldPosition="0">
        <references count="5">
          <reference field="0" count="1" selected="0">
            <x v="0"/>
          </reference>
          <reference field="1" count="1" selected="0">
            <x v="58"/>
          </reference>
          <reference field="2" count="1" selected="0">
            <x v="268"/>
          </reference>
          <reference field="3" count="1" selected="0">
            <x v="2"/>
          </reference>
          <reference field="4" count="1">
            <x v="110"/>
          </reference>
        </references>
      </pivotArea>
    </format>
    <format dxfId="1571">
      <pivotArea dataOnly="0" labelOnly="1" outline="0" fieldPosition="0">
        <references count="5">
          <reference field="0" count="1" selected="0">
            <x v="0"/>
          </reference>
          <reference field="1" count="1" selected="0">
            <x v="59"/>
          </reference>
          <reference field="2" count="1" selected="0">
            <x v="268"/>
          </reference>
          <reference field="3" count="1" selected="0">
            <x v="2"/>
          </reference>
          <reference field="4" count="1">
            <x v="230"/>
          </reference>
        </references>
      </pivotArea>
    </format>
    <format dxfId="1570">
      <pivotArea dataOnly="0" labelOnly="1" outline="0" fieldPosition="0">
        <references count="5">
          <reference field="0" count="1" selected="0">
            <x v="0"/>
          </reference>
          <reference field="1" count="1" selected="0">
            <x v="60"/>
          </reference>
          <reference field="2" count="1" selected="0">
            <x v="269"/>
          </reference>
          <reference field="3" count="1" selected="0">
            <x v="2"/>
          </reference>
          <reference field="4" count="1">
            <x v="54"/>
          </reference>
        </references>
      </pivotArea>
    </format>
    <format dxfId="1569">
      <pivotArea dataOnly="0" labelOnly="1" outline="0" fieldPosition="0">
        <references count="5">
          <reference field="0" count="1" selected="0">
            <x v="0"/>
          </reference>
          <reference field="1" count="1" selected="0">
            <x v="61"/>
          </reference>
          <reference field="2" count="1" selected="0">
            <x v="269"/>
          </reference>
          <reference field="3" count="1" selected="0">
            <x v="2"/>
          </reference>
          <reference field="4" count="1">
            <x v="110"/>
          </reference>
        </references>
      </pivotArea>
    </format>
    <format dxfId="1568">
      <pivotArea dataOnly="0" labelOnly="1" outline="0" fieldPosition="0">
        <references count="5">
          <reference field="0" count="1" selected="0">
            <x v="0"/>
          </reference>
          <reference field="1" count="1" selected="0">
            <x v="62"/>
          </reference>
          <reference field="2" count="1" selected="0">
            <x v="270"/>
          </reference>
          <reference field="3" count="1" selected="0">
            <x v="2"/>
          </reference>
          <reference field="4" count="1">
            <x v="61"/>
          </reference>
        </references>
      </pivotArea>
    </format>
    <format dxfId="1567">
      <pivotArea dataOnly="0" labelOnly="1" outline="0" fieldPosition="0">
        <references count="5">
          <reference field="0" count="1" selected="0">
            <x v="0"/>
          </reference>
          <reference field="1" count="1" selected="0">
            <x v="63"/>
          </reference>
          <reference field="2" count="1" selected="0">
            <x v="270"/>
          </reference>
          <reference field="3" count="1" selected="0">
            <x v="2"/>
          </reference>
          <reference field="4" count="1">
            <x v="79"/>
          </reference>
        </references>
      </pivotArea>
    </format>
    <format dxfId="1566">
      <pivotArea dataOnly="0" labelOnly="1" outline="0" fieldPosition="0">
        <references count="5">
          <reference field="0" count="1" selected="0">
            <x v="0"/>
          </reference>
          <reference field="1" count="1" selected="0">
            <x v="64"/>
          </reference>
          <reference field="2" count="1" selected="0">
            <x v="270"/>
          </reference>
          <reference field="3" count="1" selected="0">
            <x v="2"/>
          </reference>
          <reference field="4" count="1">
            <x v="86"/>
          </reference>
        </references>
      </pivotArea>
    </format>
    <format dxfId="1565">
      <pivotArea dataOnly="0" labelOnly="1" outline="0" fieldPosition="0">
        <references count="5">
          <reference field="0" count="1" selected="0">
            <x v="0"/>
          </reference>
          <reference field="1" count="1" selected="0">
            <x v="65"/>
          </reference>
          <reference field="2" count="1" selected="0">
            <x v="270"/>
          </reference>
          <reference field="3" count="1" selected="0">
            <x v="2"/>
          </reference>
          <reference field="4" count="1">
            <x v="90"/>
          </reference>
        </references>
      </pivotArea>
    </format>
    <format dxfId="1564">
      <pivotArea dataOnly="0" labelOnly="1" outline="0" fieldPosition="0">
        <references count="5">
          <reference field="0" count="1" selected="0">
            <x v="0"/>
          </reference>
          <reference field="1" count="1" selected="0">
            <x v="66"/>
          </reference>
          <reference field="2" count="1" selected="0">
            <x v="270"/>
          </reference>
          <reference field="3" count="1" selected="0">
            <x v="2"/>
          </reference>
          <reference field="4" count="1">
            <x v="110"/>
          </reference>
        </references>
      </pivotArea>
    </format>
    <format dxfId="1563">
      <pivotArea dataOnly="0" labelOnly="1" outline="0" fieldPosition="0">
        <references count="5">
          <reference field="0" count="1" selected="0">
            <x v="0"/>
          </reference>
          <reference field="1" count="1" selected="0">
            <x v="67"/>
          </reference>
          <reference field="2" count="1" selected="0">
            <x v="270"/>
          </reference>
          <reference field="3" count="1" selected="0">
            <x v="2"/>
          </reference>
          <reference field="4" count="1">
            <x v="240"/>
          </reference>
        </references>
      </pivotArea>
    </format>
    <format dxfId="1562">
      <pivotArea dataOnly="0" labelOnly="1" outline="0" fieldPosition="0">
        <references count="5">
          <reference field="0" count="1" selected="0">
            <x v="0"/>
          </reference>
          <reference field="1" count="1" selected="0">
            <x v="68"/>
          </reference>
          <reference field="2" count="1" selected="0">
            <x v="271"/>
          </reference>
          <reference field="3" count="1" selected="0">
            <x v="2"/>
          </reference>
          <reference field="4" count="1">
            <x v="42"/>
          </reference>
        </references>
      </pivotArea>
    </format>
    <format dxfId="1561">
      <pivotArea dataOnly="0" labelOnly="1" outline="0" fieldPosition="0">
        <references count="5">
          <reference field="0" count="1" selected="0">
            <x v="0"/>
          </reference>
          <reference field="1" count="1" selected="0">
            <x v="69"/>
          </reference>
          <reference field="2" count="1" selected="0">
            <x v="271"/>
          </reference>
          <reference field="3" count="1" selected="0">
            <x v="2"/>
          </reference>
          <reference field="4" count="1">
            <x v="106"/>
          </reference>
        </references>
      </pivotArea>
    </format>
    <format dxfId="1560">
      <pivotArea dataOnly="0" labelOnly="1" outline="0" fieldPosition="0">
        <references count="5">
          <reference field="0" count="1" selected="0">
            <x v="0"/>
          </reference>
          <reference field="1" count="1" selected="0">
            <x v="70"/>
          </reference>
          <reference field="2" count="1" selected="0">
            <x v="271"/>
          </reference>
          <reference field="3" count="1" selected="0">
            <x v="2"/>
          </reference>
          <reference field="4" count="1">
            <x v="110"/>
          </reference>
        </references>
      </pivotArea>
    </format>
    <format dxfId="1559">
      <pivotArea dataOnly="0" labelOnly="1" outline="0" fieldPosition="0">
        <references count="5">
          <reference field="0" count="1" selected="0">
            <x v="0"/>
          </reference>
          <reference field="1" count="1" selected="0">
            <x v="71"/>
          </reference>
          <reference field="2" count="1" selected="0">
            <x v="271"/>
          </reference>
          <reference field="3" count="1" selected="0">
            <x v="2"/>
          </reference>
          <reference field="4" count="1">
            <x v="144"/>
          </reference>
        </references>
      </pivotArea>
    </format>
    <format dxfId="1558">
      <pivotArea dataOnly="0" labelOnly="1" outline="0" fieldPosition="0">
        <references count="5">
          <reference field="0" count="1" selected="0">
            <x v="0"/>
          </reference>
          <reference field="1" count="1" selected="0">
            <x v="72"/>
          </reference>
          <reference field="2" count="1" selected="0">
            <x v="271"/>
          </reference>
          <reference field="3" count="1" selected="0">
            <x v="2"/>
          </reference>
          <reference field="4" count="1">
            <x v="251"/>
          </reference>
        </references>
      </pivotArea>
    </format>
    <format dxfId="1557">
      <pivotArea dataOnly="0" labelOnly="1" outline="0" fieldPosition="0">
        <references count="5">
          <reference field="0" count="1" selected="0">
            <x v="0"/>
          </reference>
          <reference field="1" count="1" selected="0">
            <x v="73"/>
          </reference>
          <reference field="2" count="1" selected="0">
            <x v="272"/>
          </reference>
          <reference field="3" count="1" selected="0">
            <x v="2"/>
          </reference>
          <reference field="4" count="1">
            <x v="110"/>
          </reference>
        </references>
      </pivotArea>
    </format>
    <format dxfId="1556">
      <pivotArea dataOnly="0" labelOnly="1" outline="0" fieldPosition="0">
        <references count="5">
          <reference field="0" count="1" selected="0">
            <x v="0"/>
          </reference>
          <reference field="1" count="1" selected="0">
            <x v="74"/>
          </reference>
          <reference field="2" count="1" selected="0">
            <x v="272"/>
          </reference>
          <reference field="3" count="1" selected="0">
            <x v="2"/>
          </reference>
          <reference field="4" count="1">
            <x v="181"/>
          </reference>
        </references>
      </pivotArea>
    </format>
    <format dxfId="1555">
      <pivotArea dataOnly="0" labelOnly="1" outline="0" fieldPosition="0">
        <references count="5">
          <reference field="0" count="1" selected="0">
            <x v="0"/>
          </reference>
          <reference field="1" count="1" selected="0">
            <x v="75"/>
          </reference>
          <reference field="2" count="1" selected="0">
            <x v="272"/>
          </reference>
          <reference field="3" count="1" selected="0">
            <x v="2"/>
          </reference>
          <reference field="4" count="1">
            <x v="217"/>
          </reference>
        </references>
      </pivotArea>
    </format>
    <format dxfId="1554">
      <pivotArea dataOnly="0" labelOnly="1" outline="0" fieldPosition="0">
        <references count="5">
          <reference field="0" count="1" selected="0">
            <x v="0"/>
          </reference>
          <reference field="1" count="1" selected="0">
            <x v="76"/>
          </reference>
          <reference field="2" count="1" selected="0">
            <x v="272"/>
          </reference>
          <reference field="3" count="1" selected="0">
            <x v="2"/>
          </reference>
          <reference field="4" count="1">
            <x v="269"/>
          </reference>
        </references>
      </pivotArea>
    </format>
    <format dxfId="1553">
      <pivotArea dataOnly="0" labelOnly="1" outline="0" fieldPosition="0">
        <references count="5">
          <reference field="0" count="1" selected="0">
            <x v="0"/>
          </reference>
          <reference field="1" count="1" selected="0">
            <x v="77"/>
          </reference>
          <reference field="2" count="1" selected="0">
            <x v="273"/>
          </reference>
          <reference field="3" count="1" selected="0">
            <x v="2"/>
          </reference>
          <reference field="4" count="1">
            <x v="41"/>
          </reference>
        </references>
      </pivotArea>
    </format>
    <format dxfId="1552">
      <pivotArea dataOnly="0" labelOnly="1" outline="0" fieldPosition="0">
        <references count="5">
          <reference field="0" count="1" selected="0">
            <x v="0"/>
          </reference>
          <reference field="1" count="1" selected="0">
            <x v="78"/>
          </reference>
          <reference field="2" count="1" selected="0">
            <x v="273"/>
          </reference>
          <reference field="3" count="1" selected="0">
            <x v="2"/>
          </reference>
          <reference field="4" count="1">
            <x v="85"/>
          </reference>
        </references>
      </pivotArea>
    </format>
    <format dxfId="1551">
      <pivotArea dataOnly="0" labelOnly="1" outline="0" fieldPosition="0">
        <references count="5">
          <reference field="0" count="1" selected="0">
            <x v="0"/>
          </reference>
          <reference field="1" count="1" selected="0">
            <x v="79"/>
          </reference>
          <reference field="2" count="1" selected="0">
            <x v="273"/>
          </reference>
          <reference field="3" count="1" selected="0">
            <x v="2"/>
          </reference>
          <reference field="4" count="1">
            <x v="181"/>
          </reference>
        </references>
      </pivotArea>
    </format>
    <format dxfId="1550">
      <pivotArea dataOnly="0" labelOnly="1" outline="0" fieldPosition="0">
        <references count="5">
          <reference field="0" count="1" selected="0">
            <x v="0"/>
          </reference>
          <reference field="1" count="1" selected="0">
            <x v="80"/>
          </reference>
          <reference field="2" count="1" selected="0">
            <x v="273"/>
          </reference>
          <reference field="3" count="1" selected="0">
            <x v="2"/>
          </reference>
          <reference field="4" count="1">
            <x v="232"/>
          </reference>
        </references>
      </pivotArea>
    </format>
    <format dxfId="1549">
      <pivotArea dataOnly="0" labelOnly="1" outline="0" fieldPosition="0">
        <references count="5">
          <reference field="0" count="1" selected="0">
            <x v="0"/>
          </reference>
          <reference field="1" count="1" selected="0">
            <x v="81"/>
          </reference>
          <reference field="2" count="1" selected="0">
            <x v="273"/>
          </reference>
          <reference field="3" count="1" selected="0">
            <x v="2"/>
          </reference>
          <reference field="4" count="1">
            <x v="265"/>
          </reference>
        </references>
      </pivotArea>
    </format>
    <format dxfId="1548">
      <pivotArea dataOnly="0" labelOnly="1" outline="0" fieldPosition="0">
        <references count="5">
          <reference field="0" count="1" selected="0">
            <x v="0"/>
          </reference>
          <reference field="1" count="1" selected="0">
            <x v="82"/>
          </reference>
          <reference field="2" count="1" selected="0">
            <x v="273"/>
          </reference>
          <reference field="3" count="1" selected="0">
            <x v="2"/>
          </reference>
          <reference field="4" count="1">
            <x v="269"/>
          </reference>
        </references>
      </pivotArea>
    </format>
    <format dxfId="1547">
      <pivotArea dataOnly="0" labelOnly="1" outline="0" fieldPosition="0">
        <references count="5">
          <reference field="0" count="1" selected="0">
            <x v="0"/>
          </reference>
          <reference field="1" count="1" selected="0">
            <x v="83"/>
          </reference>
          <reference field="2" count="1" selected="0">
            <x v="273"/>
          </reference>
          <reference field="3" count="1" selected="0">
            <x v="2"/>
          </reference>
          <reference field="4" count="1">
            <x v="288"/>
          </reference>
        </references>
      </pivotArea>
    </format>
    <format dxfId="1546">
      <pivotArea dataOnly="0" labelOnly="1" outline="0" fieldPosition="0">
        <references count="5">
          <reference field="0" count="1" selected="0">
            <x v="0"/>
          </reference>
          <reference field="1" count="1" selected="0">
            <x v="84"/>
          </reference>
          <reference field="2" count="1" selected="0">
            <x v="274"/>
          </reference>
          <reference field="3" count="1" selected="0">
            <x v="2"/>
          </reference>
          <reference field="4" count="1">
            <x v="32"/>
          </reference>
        </references>
      </pivotArea>
    </format>
    <format dxfId="1545">
      <pivotArea dataOnly="0" labelOnly="1" outline="0" fieldPosition="0">
        <references count="5">
          <reference field="0" count="1" selected="0">
            <x v="0"/>
          </reference>
          <reference field="1" count="1" selected="0">
            <x v="85"/>
          </reference>
          <reference field="2" count="1" selected="0">
            <x v="274"/>
          </reference>
          <reference field="3" count="1" selected="0">
            <x v="2"/>
          </reference>
          <reference field="4" count="1">
            <x v="71"/>
          </reference>
        </references>
      </pivotArea>
    </format>
    <format dxfId="1544">
      <pivotArea dataOnly="0" labelOnly="1" outline="0" fieldPosition="0">
        <references count="5">
          <reference field="0" count="1" selected="0">
            <x v="0"/>
          </reference>
          <reference field="1" count="1" selected="0">
            <x v="86"/>
          </reference>
          <reference field="2" count="1" selected="0">
            <x v="274"/>
          </reference>
          <reference field="3" count="1" selected="0">
            <x v="2"/>
          </reference>
          <reference field="4" count="1">
            <x v="143"/>
          </reference>
        </references>
      </pivotArea>
    </format>
    <format dxfId="1543">
      <pivotArea dataOnly="0" labelOnly="1" outline="0" fieldPosition="0">
        <references count="5">
          <reference field="0" count="1" selected="0">
            <x v="0"/>
          </reference>
          <reference field="1" count="1" selected="0">
            <x v="87"/>
          </reference>
          <reference field="2" count="1" selected="0">
            <x v="274"/>
          </reference>
          <reference field="3" count="1" selected="0">
            <x v="2"/>
          </reference>
          <reference field="4" count="1">
            <x v="207"/>
          </reference>
        </references>
      </pivotArea>
    </format>
    <format dxfId="1542">
      <pivotArea dataOnly="0" labelOnly="1" outline="0" fieldPosition="0">
        <references count="5">
          <reference field="0" count="1" selected="0">
            <x v="0"/>
          </reference>
          <reference field="1" count="1" selected="0">
            <x v="88"/>
          </reference>
          <reference field="2" count="1" selected="0">
            <x v="274"/>
          </reference>
          <reference field="3" count="1" selected="0">
            <x v="2"/>
          </reference>
          <reference field="4" count="1">
            <x v="259"/>
          </reference>
        </references>
      </pivotArea>
    </format>
    <format dxfId="1541">
      <pivotArea dataOnly="0" labelOnly="1" outline="0" fieldPosition="0">
        <references count="5">
          <reference field="0" count="1" selected="0">
            <x v="0"/>
          </reference>
          <reference field="1" count="1" selected="0">
            <x v="89"/>
          </reference>
          <reference field="2" count="1" selected="0">
            <x v="275"/>
          </reference>
          <reference field="3" count="1" selected="0">
            <x v="2"/>
          </reference>
          <reference field="4" count="1">
            <x v="57"/>
          </reference>
        </references>
      </pivotArea>
    </format>
    <format dxfId="1540">
      <pivotArea dataOnly="0" labelOnly="1" outline="0" fieldPosition="0">
        <references count="5">
          <reference field="0" count="1" selected="0">
            <x v="0"/>
          </reference>
          <reference field="1" count="1" selected="0">
            <x v="90"/>
          </reference>
          <reference field="2" count="1" selected="0">
            <x v="275"/>
          </reference>
          <reference field="3" count="1" selected="0">
            <x v="2"/>
          </reference>
          <reference field="4" count="1">
            <x v="84"/>
          </reference>
        </references>
      </pivotArea>
    </format>
    <format dxfId="1539">
      <pivotArea dataOnly="0" labelOnly="1" outline="0" fieldPosition="0">
        <references count="5">
          <reference field="0" count="1" selected="0">
            <x v="0"/>
          </reference>
          <reference field="1" count="1" selected="0">
            <x v="91"/>
          </reference>
          <reference field="2" count="1" selected="0">
            <x v="275"/>
          </reference>
          <reference field="3" count="1" selected="0">
            <x v="2"/>
          </reference>
          <reference field="4" count="1">
            <x v="110"/>
          </reference>
        </references>
      </pivotArea>
    </format>
    <format dxfId="1538">
      <pivotArea dataOnly="0" labelOnly="1" outline="0" fieldPosition="0">
        <references count="5">
          <reference field="0" count="1" selected="0">
            <x v="0"/>
          </reference>
          <reference field="1" count="1" selected="0">
            <x v="92"/>
          </reference>
          <reference field="2" count="1" selected="0">
            <x v="275"/>
          </reference>
          <reference field="3" count="1" selected="0">
            <x v="2"/>
          </reference>
          <reference field="4" count="1">
            <x v="127"/>
          </reference>
        </references>
      </pivotArea>
    </format>
    <format dxfId="1537">
      <pivotArea dataOnly="0" labelOnly="1" outline="0" fieldPosition="0">
        <references count="5">
          <reference field="0" count="1" selected="0">
            <x v="0"/>
          </reference>
          <reference field="1" count="1" selected="0">
            <x v="93"/>
          </reference>
          <reference field="2" count="1" selected="0">
            <x v="275"/>
          </reference>
          <reference field="3" count="1" selected="0">
            <x v="2"/>
          </reference>
          <reference field="4" count="1">
            <x v="282"/>
          </reference>
        </references>
      </pivotArea>
    </format>
    <format dxfId="1536">
      <pivotArea dataOnly="0" labelOnly="1" outline="0" fieldPosition="0">
        <references count="5">
          <reference field="0" count="1" selected="0">
            <x v="0"/>
          </reference>
          <reference field="1" count="1" selected="0">
            <x v="94"/>
          </reference>
          <reference field="2" count="1" selected="0">
            <x v="276"/>
          </reference>
          <reference field="3" count="1" selected="0">
            <x v="2"/>
          </reference>
          <reference field="4" count="1">
            <x v="110"/>
          </reference>
        </references>
      </pivotArea>
    </format>
    <format dxfId="1535">
      <pivotArea dataOnly="0" labelOnly="1" outline="0" fieldPosition="0">
        <references count="5">
          <reference field="0" count="1" selected="0">
            <x v="0"/>
          </reference>
          <reference field="1" count="1" selected="0">
            <x v="95"/>
          </reference>
          <reference field="2" count="1" selected="0">
            <x v="276"/>
          </reference>
          <reference field="3" count="1" selected="0">
            <x v="2"/>
          </reference>
          <reference field="4" count="1">
            <x v="112"/>
          </reference>
        </references>
      </pivotArea>
    </format>
    <format dxfId="1534">
      <pivotArea dataOnly="0" labelOnly="1" outline="0" fieldPosition="0">
        <references count="5">
          <reference field="0" count="1" selected="0">
            <x v="0"/>
          </reference>
          <reference field="1" count="1" selected="0">
            <x v="96"/>
          </reference>
          <reference field="2" count="1" selected="0">
            <x v="276"/>
          </reference>
          <reference field="3" count="1" selected="0">
            <x v="2"/>
          </reference>
          <reference field="4" count="1">
            <x v="136"/>
          </reference>
        </references>
      </pivotArea>
    </format>
    <format dxfId="1533">
      <pivotArea dataOnly="0" labelOnly="1" outline="0" fieldPosition="0">
        <references count="5">
          <reference field="0" count="1" selected="0">
            <x v="0"/>
          </reference>
          <reference field="1" count="1" selected="0">
            <x v="97"/>
          </reference>
          <reference field="2" count="1" selected="0">
            <x v="276"/>
          </reference>
          <reference field="3" count="1" selected="0">
            <x v="2"/>
          </reference>
          <reference field="4" count="1">
            <x v="148"/>
          </reference>
        </references>
      </pivotArea>
    </format>
    <format dxfId="1532">
      <pivotArea dataOnly="0" labelOnly="1" outline="0" fieldPosition="0">
        <references count="5">
          <reference field="0" count="1" selected="0">
            <x v="0"/>
          </reference>
          <reference field="1" count="1" selected="0">
            <x v="98"/>
          </reference>
          <reference field="2" count="1" selected="0">
            <x v="276"/>
          </reference>
          <reference field="3" count="1" selected="0">
            <x v="2"/>
          </reference>
          <reference field="4" count="1">
            <x v="172"/>
          </reference>
        </references>
      </pivotArea>
    </format>
    <format dxfId="1531">
      <pivotArea dataOnly="0" labelOnly="1" outline="0" fieldPosition="0">
        <references count="5">
          <reference field="0" count="1" selected="0">
            <x v="0"/>
          </reference>
          <reference field="1" count="1" selected="0">
            <x v="99"/>
          </reference>
          <reference field="2" count="1" selected="0">
            <x v="277"/>
          </reference>
          <reference field="3" count="1" selected="0">
            <x v="2"/>
          </reference>
          <reference field="4" count="1">
            <x v="47"/>
          </reference>
        </references>
      </pivotArea>
    </format>
    <format dxfId="1530">
      <pivotArea dataOnly="0" labelOnly="1" outline="0" fieldPosition="0">
        <references count="5">
          <reference field="0" count="1" selected="0">
            <x v="0"/>
          </reference>
          <reference field="1" count="1" selected="0">
            <x v="100"/>
          </reference>
          <reference field="2" count="1" selected="0">
            <x v="277"/>
          </reference>
          <reference field="3" count="1" selected="0">
            <x v="2"/>
          </reference>
          <reference field="4" count="1">
            <x v="80"/>
          </reference>
        </references>
      </pivotArea>
    </format>
    <format dxfId="1529">
      <pivotArea dataOnly="0" labelOnly="1" outline="0" fieldPosition="0">
        <references count="5">
          <reference field="0" count="1" selected="0">
            <x v="0"/>
          </reference>
          <reference field="1" count="1" selected="0">
            <x v="101"/>
          </reference>
          <reference field="2" count="1" selected="0">
            <x v="277"/>
          </reference>
          <reference field="3" count="1" selected="0">
            <x v="2"/>
          </reference>
          <reference field="4" count="1">
            <x v="170"/>
          </reference>
        </references>
      </pivotArea>
    </format>
    <format dxfId="1528">
      <pivotArea dataOnly="0" labelOnly="1" outline="0" fieldPosition="0">
        <references count="5">
          <reference field="0" count="1" selected="0">
            <x v="0"/>
          </reference>
          <reference field="1" count="1" selected="0">
            <x v="102"/>
          </reference>
          <reference field="2" count="1" selected="0">
            <x v="277"/>
          </reference>
          <reference field="3" count="1" selected="0">
            <x v="2"/>
          </reference>
          <reference field="4" count="1">
            <x v="210"/>
          </reference>
        </references>
      </pivotArea>
    </format>
    <format dxfId="1527">
      <pivotArea dataOnly="0" labelOnly="1" outline="0" fieldPosition="0">
        <references count="5">
          <reference field="0" count="1" selected="0">
            <x v="0"/>
          </reference>
          <reference field="1" count="1" selected="0">
            <x v="103"/>
          </reference>
          <reference field="2" count="1" selected="0">
            <x v="278"/>
          </reference>
          <reference field="3" count="1" selected="0">
            <x v="2"/>
          </reference>
          <reference field="4" count="1">
            <x v="39"/>
          </reference>
        </references>
      </pivotArea>
    </format>
    <format dxfId="1526">
      <pivotArea dataOnly="0" labelOnly="1" outline="0" fieldPosition="0">
        <references count="5">
          <reference field="0" count="1" selected="0">
            <x v="0"/>
          </reference>
          <reference field="1" count="1" selected="0">
            <x v="104"/>
          </reference>
          <reference field="2" count="1" selected="0">
            <x v="278"/>
          </reference>
          <reference field="3" count="1" selected="0">
            <x v="2"/>
          </reference>
          <reference field="4" count="1">
            <x v="80"/>
          </reference>
        </references>
      </pivotArea>
    </format>
    <format dxfId="1525">
      <pivotArea dataOnly="0" labelOnly="1" outline="0" fieldPosition="0">
        <references count="5">
          <reference field="0" count="1" selected="0">
            <x v="0"/>
          </reference>
          <reference field="1" count="1" selected="0">
            <x v="105"/>
          </reference>
          <reference field="2" count="1" selected="0">
            <x v="278"/>
          </reference>
          <reference field="3" count="1" selected="0">
            <x v="2"/>
          </reference>
          <reference field="4" count="1">
            <x v="110"/>
          </reference>
        </references>
      </pivotArea>
    </format>
    <format dxfId="1524">
      <pivotArea dataOnly="0" labelOnly="1" outline="0" fieldPosition="0">
        <references count="5">
          <reference field="0" count="1" selected="0">
            <x v="0"/>
          </reference>
          <reference field="1" count="1" selected="0">
            <x v="106"/>
          </reference>
          <reference field="2" count="1" selected="0">
            <x v="278"/>
          </reference>
          <reference field="3" count="1" selected="0">
            <x v="2"/>
          </reference>
          <reference field="4" count="1">
            <x v="169"/>
          </reference>
        </references>
      </pivotArea>
    </format>
    <format dxfId="1523">
      <pivotArea dataOnly="0" labelOnly="1" outline="0" fieldPosition="0">
        <references count="5">
          <reference field="0" count="1" selected="0">
            <x v="0"/>
          </reference>
          <reference field="1" count="1" selected="0">
            <x v="107"/>
          </reference>
          <reference field="2" count="1" selected="0">
            <x v="278"/>
          </reference>
          <reference field="3" count="1" selected="0">
            <x v="2"/>
          </reference>
          <reference field="4" count="1">
            <x v="240"/>
          </reference>
        </references>
      </pivotArea>
    </format>
    <format dxfId="1522">
      <pivotArea dataOnly="0" labelOnly="1" outline="0" fieldPosition="0">
        <references count="5">
          <reference field="0" count="1" selected="0">
            <x v="0"/>
          </reference>
          <reference field="1" count="1" selected="0">
            <x v="108"/>
          </reference>
          <reference field="2" count="1" selected="0">
            <x v="278"/>
          </reference>
          <reference field="3" count="1" selected="0">
            <x v="2"/>
          </reference>
          <reference field="4" count="1">
            <x v="242"/>
          </reference>
        </references>
      </pivotArea>
    </format>
    <format dxfId="1521">
      <pivotArea dataOnly="0" labelOnly="1" outline="0" fieldPosition="0">
        <references count="5">
          <reference field="0" count="1" selected="0">
            <x v="0"/>
          </reference>
          <reference field="1" count="1" selected="0">
            <x v="109"/>
          </reference>
          <reference field="2" count="1" selected="0">
            <x v="278"/>
          </reference>
          <reference field="3" count="1" selected="0">
            <x v="2"/>
          </reference>
          <reference field="4" count="1">
            <x v="273"/>
          </reference>
        </references>
      </pivotArea>
    </format>
    <format dxfId="1520">
      <pivotArea dataOnly="0" labelOnly="1" outline="0" fieldPosition="0">
        <references count="5">
          <reference field="0" count="1" selected="0">
            <x v="0"/>
          </reference>
          <reference field="1" count="1" selected="0">
            <x v="110"/>
          </reference>
          <reference field="2" count="1" selected="0">
            <x v="279"/>
          </reference>
          <reference field="3" count="1" selected="0">
            <x v="2"/>
          </reference>
          <reference field="4" count="1">
            <x v="46"/>
          </reference>
        </references>
      </pivotArea>
    </format>
    <format dxfId="1519">
      <pivotArea dataOnly="0" labelOnly="1" outline="0" fieldPosition="0">
        <references count="5">
          <reference field="0" count="1" selected="0">
            <x v="0"/>
          </reference>
          <reference field="1" count="1" selected="0">
            <x v="111"/>
          </reference>
          <reference field="2" count="1" selected="0">
            <x v="279"/>
          </reference>
          <reference field="3" count="1" selected="0">
            <x v="2"/>
          </reference>
          <reference field="4" count="1">
            <x v="160"/>
          </reference>
        </references>
      </pivotArea>
    </format>
    <format dxfId="1518">
      <pivotArea dataOnly="0" labelOnly="1" outline="0" fieldPosition="0">
        <references count="5">
          <reference field="0" count="1" selected="0">
            <x v="0"/>
          </reference>
          <reference field="1" count="1" selected="0">
            <x v="112"/>
          </reference>
          <reference field="2" count="1" selected="0">
            <x v="279"/>
          </reference>
          <reference field="3" count="1" selected="0">
            <x v="2"/>
          </reference>
          <reference field="4" count="1">
            <x v="231"/>
          </reference>
        </references>
      </pivotArea>
    </format>
    <format dxfId="1517">
      <pivotArea dataOnly="0" labelOnly="1" outline="0" fieldPosition="0">
        <references count="5">
          <reference field="0" count="1" selected="0">
            <x v="0"/>
          </reference>
          <reference field="1" count="1" selected="0">
            <x v="113"/>
          </reference>
          <reference field="2" count="1" selected="0">
            <x v="279"/>
          </reference>
          <reference field="3" count="1" selected="0">
            <x v="2"/>
          </reference>
          <reference field="4" count="1">
            <x v="232"/>
          </reference>
        </references>
      </pivotArea>
    </format>
    <format dxfId="1516">
      <pivotArea dataOnly="0" labelOnly="1" outline="0" fieldPosition="0">
        <references count="5">
          <reference field="0" count="1" selected="0">
            <x v="0"/>
          </reference>
          <reference field="1" count="1" selected="0">
            <x v="114"/>
          </reference>
          <reference field="2" count="1" selected="0">
            <x v="279"/>
          </reference>
          <reference field="3" count="1" selected="0">
            <x v="2"/>
          </reference>
          <reference field="4" count="1">
            <x v="265"/>
          </reference>
        </references>
      </pivotArea>
    </format>
    <format dxfId="1515">
      <pivotArea dataOnly="0" labelOnly="1" outline="0" fieldPosition="0">
        <references count="5">
          <reference field="0" count="1" selected="0">
            <x v="0"/>
          </reference>
          <reference field="1" count="1" selected="0">
            <x v="115"/>
          </reference>
          <reference field="2" count="1" selected="0">
            <x v="280"/>
          </reference>
          <reference field="3" count="1" selected="0">
            <x v="2"/>
          </reference>
          <reference field="4" count="1">
            <x v="72"/>
          </reference>
        </references>
      </pivotArea>
    </format>
    <format dxfId="1514">
      <pivotArea dataOnly="0" labelOnly="1" outline="0" fieldPosition="0">
        <references count="5">
          <reference field="0" count="1" selected="0">
            <x v="0"/>
          </reference>
          <reference field="1" count="1" selected="0">
            <x v="116"/>
          </reference>
          <reference field="2" count="1" selected="0">
            <x v="280"/>
          </reference>
          <reference field="3" count="1" selected="0">
            <x v="2"/>
          </reference>
          <reference field="4" count="1">
            <x v="110"/>
          </reference>
        </references>
      </pivotArea>
    </format>
    <format dxfId="1513">
      <pivotArea dataOnly="0" labelOnly="1" outline="0" fieldPosition="0">
        <references count="5">
          <reference field="0" count="1" selected="0">
            <x v="0"/>
          </reference>
          <reference field="1" count="1" selected="0">
            <x v="117"/>
          </reference>
          <reference field="2" count="1" selected="0">
            <x v="281"/>
          </reference>
          <reference field="3" count="1" selected="0">
            <x v="2"/>
          </reference>
          <reference field="4" count="1">
            <x v="52"/>
          </reference>
        </references>
      </pivotArea>
    </format>
    <format dxfId="1512">
      <pivotArea dataOnly="0" labelOnly="1" outline="0" fieldPosition="0">
        <references count="5">
          <reference field="0" count="1" selected="0">
            <x v="0"/>
          </reference>
          <reference field="1" count="1" selected="0">
            <x v="118"/>
          </reference>
          <reference field="2" count="1" selected="0">
            <x v="281"/>
          </reference>
          <reference field="3" count="1" selected="0">
            <x v="2"/>
          </reference>
          <reference field="4" count="1">
            <x v="181"/>
          </reference>
        </references>
      </pivotArea>
    </format>
    <format dxfId="1511">
      <pivotArea dataOnly="0" labelOnly="1" outline="0" fieldPosition="0">
        <references count="5">
          <reference field="0" count="1" selected="0">
            <x v="0"/>
          </reference>
          <reference field="1" count="1" selected="0">
            <x v="119"/>
          </reference>
          <reference field="2" count="1" selected="0">
            <x v="282"/>
          </reference>
          <reference field="3" count="1" selected="0">
            <x v="2"/>
          </reference>
          <reference field="4" count="1">
            <x v="80"/>
          </reference>
        </references>
      </pivotArea>
    </format>
    <format dxfId="1510">
      <pivotArea dataOnly="0" labelOnly="1" outline="0" fieldPosition="0">
        <references count="5">
          <reference field="0" count="1" selected="0">
            <x v="0"/>
          </reference>
          <reference field="1" count="1" selected="0">
            <x v="120"/>
          </reference>
          <reference field="2" count="1" selected="0">
            <x v="282"/>
          </reference>
          <reference field="3" count="1" selected="0">
            <x v="2"/>
          </reference>
          <reference field="4" count="1">
            <x v="110"/>
          </reference>
        </references>
      </pivotArea>
    </format>
    <format dxfId="1509">
      <pivotArea dataOnly="0" labelOnly="1" outline="0" fieldPosition="0">
        <references count="5">
          <reference field="0" count="1" selected="0">
            <x v="0"/>
          </reference>
          <reference field="1" count="1" selected="0">
            <x v="121"/>
          </reference>
          <reference field="2" count="1" selected="0">
            <x v="282"/>
          </reference>
          <reference field="3" count="1" selected="0">
            <x v="2"/>
          </reference>
          <reference field="4" count="1">
            <x v="148"/>
          </reference>
        </references>
      </pivotArea>
    </format>
    <format dxfId="1508">
      <pivotArea dataOnly="0" labelOnly="1" outline="0" fieldPosition="0">
        <references count="5">
          <reference field="0" count="1" selected="0">
            <x v="0"/>
          </reference>
          <reference field="1" count="1" selected="0">
            <x v="122"/>
          </reference>
          <reference field="2" count="1" selected="0">
            <x v="282"/>
          </reference>
          <reference field="3" count="1" selected="0">
            <x v="2"/>
          </reference>
          <reference field="4" count="1">
            <x v="223"/>
          </reference>
        </references>
      </pivotArea>
    </format>
    <format dxfId="1507">
      <pivotArea dataOnly="0" labelOnly="1" outline="0" fieldPosition="0">
        <references count="5">
          <reference field="0" count="1" selected="0">
            <x v="0"/>
          </reference>
          <reference field="1" count="1" selected="0">
            <x v="123"/>
          </reference>
          <reference field="2" count="1" selected="0">
            <x v="282"/>
          </reference>
          <reference field="3" count="1" selected="0">
            <x v="2"/>
          </reference>
          <reference field="4" count="1">
            <x v="241"/>
          </reference>
        </references>
      </pivotArea>
    </format>
    <format dxfId="1506">
      <pivotArea dataOnly="0" labelOnly="1" outline="0" fieldPosition="0">
        <references count="5">
          <reference field="0" count="1" selected="0">
            <x v="0"/>
          </reference>
          <reference field="1" count="1" selected="0">
            <x v="124"/>
          </reference>
          <reference field="2" count="1" selected="0">
            <x v="283"/>
          </reference>
          <reference field="3" count="1" selected="0">
            <x v="2"/>
          </reference>
          <reference field="4" count="1">
            <x v="210"/>
          </reference>
        </references>
      </pivotArea>
    </format>
    <format dxfId="1505">
      <pivotArea dataOnly="0" labelOnly="1" outline="0" fieldPosition="0">
        <references count="5">
          <reference field="0" count="1" selected="0">
            <x v="0"/>
          </reference>
          <reference field="1" count="1" selected="0">
            <x v="125"/>
          </reference>
          <reference field="2" count="1" selected="0">
            <x v="283"/>
          </reference>
          <reference field="3" count="1" selected="0">
            <x v="2"/>
          </reference>
          <reference field="4" count="1">
            <x v="264"/>
          </reference>
        </references>
      </pivotArea>
    </format>
    <format dxfId="1504">
      <pivotArea dataOnly="0" labelOnly="1" outline="0" fieldPosition="0">
        <references count="5">
          <reference field="0" count="1" selected="0">
            <x v="0"/>
          </reference>
          <reference field="1" count="1" selected="0">
            <x v="126"/>
          </reference>
          <reference field="2" count="1" selected="0">
            <x v="283"/>
          </reference>
          <reference field="3" count="1" selected="0">
            <x v="2"/>
          </reference>
          <reference field="4" count="1">
            <x v="282"/>
          </reference>
        </references>
      </pivotArea>
    </format>
    <format dxfId="1503">
      <pivotArea dataOnly="0" labelOnly="1" outline="0" fieldPosition="0">
        <references count="5">
          <reference field="0" count="1" selected="0">
            <x v="0"/>
          </reference>
          <reference field="1" count="1" selected="0">
            <x v="127"/>
          </reference>
          <reference field="2" count="1" selected="0">
            <x v="284"/>
          </reference>
          <reference field="3" count="1" selected="0">
            <x v="2"/>
          </reference>
          <reference field="4" count="1">
            <x v="40"/>
          </reference>
        </references>
      </pivotArea>
    </format>
    <format dxfId="1502">
      <pivotArea dataOnly="0" labelOnly="1" outline="0" fieldPosition="0">
        <references count="5">
          <reference field="0" count="1" selected="0">
            <x v="0"/>
          </reference>
          <reference field="1" count="1" selected="0">
            <x v="128"/>
          </reference>
          <reference field="2" count="1" selected="0">
            <x v="284"/>
          </reference>
          <reference field="3" count="1" selected="0">
            <x v="2"/>
          </reference>
          <reference field="4" count="1">
            <x v="55"/>
          </reference>
        </references>
      </pivotArea>
    </format>
    <format dxfId="1501">
      <pivotArea dataOnly="0" labelOnly="1" outline="0" fieldPosition="0">
        <references count="5">
          <reference field="0" count="1" selected="0">
            <x v="0"/>
          </reference>
          <reference field="1" count="1" selected="0">
            <x v="129"/>
          </reference>
          <reference field="2" count="1" selected="0">
            <x v="284"/>
          </reference>
          <reference field="3" count="1" selected="0">
            <x v="2"/>
          </reference>
          <reference field="4" count="1">
            <x v="70"/>
          </reference>
        </references>
      </pivotArea>
    </format>
    <format dxfId="1500">
      <pivotArea dataOnly="0" labelOnly="1" outline="0" fieldPosition="0">
        <references count="5">
          <reference field="0" count="1" selected="0">
            <x v="0"/>
          </reference>
          <reference field="1" count="1" selected="0">
            <x v="130"/>
          </reference>
          <reference field="2" count="1" selected="0">
            <x v="284"/>
          </reference>
          <reference field="3" count="1" selected="0">
            <x v="2"/>
          </reference>
          <reference field="4" count="1">
            <x v="72"/>
          </reference>
        </references>
      </pivotArea>
    </format>
    <format dxfId="1499">
      <pivotArea dataOnly="0" labelOnly="1" outline="0" fieldPosition="0">
        <references count="5">
          <reference field="0" count="1" selected="0">
            <x v="0"/>
          </reference>
          <reference field="1" count="1" selected="0">
            <x v="131"/>
          </reference>
          <reference field="2" count="1" selected="0">
            <x v="284"/>
          </reference>
          <reference field="3" count="1" selected="0">
            <x v="2"/>
          </reference>
          <reference field="4" count="1">
            <x v="77"/>
          </reference>
        </references>
      </pivotArea>
    </format>
    <format dxfId="1498">
      <pivotArea dataOnly="0" labelOnly="1" outline="0" fieldPosition="0">
        <references count="5">
          <reference field="0" count="1" selected="0">
            <x v="0"/>
          </reference>
          <reference field="1" count="1" selected="0">
            <x v="132"/>
          </reference>
          <reference field="2" count="1" selected="0">
            <x v="284"/>
          </reference>
          <reference field="3" count="1" selected="0">
            <x v="2"/>
          </reference>
          <reference field="4" count="1">
            <x v="79"/>
          </reference>
        </references>
      </pivotArea>
    </format>
    <format dxfId="1497">
      <pivotArea dataOnly="0" labelOnly="1" outline="0" fieldPosition="0">
        <references count="5">
          <reference field="0" count="1" selected="0">
            <x v="0"/>
          </reference>
          <reference field="1" count="1" selected="0">
            <x v="133"/>
          </reference>
          <reference field="2" count="1" selected="0">
            <x v="284"/>
          </reference>
          <reference field="3" count="1" selected="0">
            <x v="2"/>
          </reference>
          <reference field="4" count="1">
            <x v="172"/>
          </reference>
        </references>
      </pivotArea>
    </format>
    <format dxfId="1496">
      <pivotArea dataOnly="0" labelOnly="1" outline="0" fieldPosition="0">
        <references count="5">
          <reference field="0" count="1" selected="0">
            <x v="0"/>
          </reference>
          <reference field="1" count="1" selected="0">
            <x v="134"/>
          </reference>
          <reference field="2" count="1" selected="0">
            <x v="284"/>
          </reference>
          <reference field="3" count="1" selected="0">
            <x v="2"/>
          </reference>
          <reference field="4" count="1">
            <x v="214"/>
          </reference>
        </references>
      </pivotArea>
    </format>
    <format dxfId="1495">
      <pivotArea dataOnly="0" labelOnly="1" outline="0" fieldPosition="0">
        <references count="5">
          <reference field="0" count="1" selected="0">
            <x v="0"/>
          </reference>
          <reference field="1" count="1" selected="0">
            <x v="135"/>
          </reference>
          <reference field="2" count="1" selected="0">
            <x v="284"/>
          </reference>
          <reference field="3" count="1" selected="0">
            <x v="2"/>
          </reference>
          <reference field="4" count="1">
            <x v="227"/>
          </reference>
        </references>
      </pivotArea>
    </format>
    <format dxfId="1494">
      <pivotArea dataOnly="0" labelOnly="1" outline="0" fieldPosition="0">
        <references count="5">
          <reference field="0" count="1" selected="0">
            <x v="0"/>
          </reference>
          <reference field="1" count="1" selected="0">
            <x v="136"/>
          </reference>
          <reference field="2" count="1" selected="0">
            <x v="284"/>
          </reference>
          <reference field="3" count="1" selected="0">
            <x v="2"/>
          </reference>
          <reference field="4" count="1">
            <x v="288"/>
          </reference>
        </references>
      </pivotArea>
    </format>
    <format dxfId="1493">
      <pivotArea dataOnly="0" labelOnly="1" outline="0" fieldPosition="0">
        <references count="5">
          <reference field="0" count="1" selected="0">
            <x v="0"/>
          </reference>
          <reference field="1" count="1" selected="0">
            <x v="137"/>
          </reference>
          <reference field="2" count="1" selected="0">
            <x v="285"/>
          </reference>
          <reference field="3" count="1" selected="0">
            <x v="2"/>
          </reference>
          <reference field="4" count="1">
            <x v="110"/>
          </reference>
        </references>
      </pivotArea>
    </format>
    <format dxfId="1492">
      <pivotArea dataOnly="0" labelOnly="1" outline="0" fieldPosition="0">
        <references count="5">
          <reference field="0" count="1" selected="0">
            <x v="0"/>
          </reference>
          <reference field="1" count="1" selected="0">
            <x v="138"/>
          </reference>
          <reference field="2" count="1" selected="0">
            <x v="285"/>
          </reference>
          <reference field="3" count="1" selected="0">
            <x v="2"/>
          </reference>
          <reference field="4" count="1">
            <x v="164"/>
          </reference>
        </references>
      </pivotArea>
    </format>
    <format dxfId="1491">
      <pivotArea dataOnly="0" labelOnly="1" outline="0" fieldPosition="0">
        <references count="5">
          <reference field="0" count="1" selected="0">
            <x v="0"/>
          </reference>
          <reference field="1" count="1" selected="0">
            <x v="139"/>
          </reference>
          <reference field="2" count="1" selected="0">
            <x v="285"/>
          </reference>
          <reference field="3" count="1" selected="0">
            <x v="2"/>
          </reference>
          <reference field="4" count="1">
            <x v="186"/>
          </reference>
        </references>
      </pivotArea>
    </format>
    <format dxfId="1490">
      <pivotArea dataOnly="0" labelOnly="1" outline="0" fieldPosition="0">
        <references count="5">
          <reference field="0" count="1" selected="0">
            <x v="0"/>
          </reference>
          <reference field="1" count="1" selected="0">
            <x v="140"/>
          </reference>
          <reference field="2" count="1" selected="0">
            <x v="285"/>
          </reference>
          <reference field="3" count="1" selected="0">
            <x v="2"/>
          </reference>
          <reference field="4" count="1">
            <x v="232"/>
          </reference>
        </references>
      </pivotArea>
    </format>
    <format dxfId="1489">
      <pivotArea dataOnly="0" labelOnly="1" outline="0" fieldPosition="0">
        <references count="5">
          <reference field="0" count="1" selected="0">
            <x v="0"/>
          </reference>
          <reference field="1" count="1" selected="0">
            <x v="141"/>
          </reference>
          <reference field="2" count="1" selected="0">
            <x v="285"/>
          </reference>
          <reference field="3" count="1" selected="0">
            <x v="2"/>
          </reference>
          <reference field="4" count="1">
            <x v="265"/>
          </reference>
        </references>
      </pivotArea>
    </format>
    <format dxfId="1488">
      <pivotArea dataOnly="0" labelOnly="1" outline="0" fieldPosition="0">
        <references count="5">
          <reference field="0" count="1" selected="0">
            <x v="0"/>
          </reference>
          <reference field="1" count="1" selected="0">
            <x v="142"/>
          </reference>
          <reference field="2" count="1" selected="0">
            <x v="286"/>
          </reference>
          <reference field="3" count="1" selected="0">
            <x v="2"/>
          </reference>
          <reference field="4" count="1">
            <x v="63"/>
          </reference>
        </references>
      </pivotArea>
    </format>
    <format dxfId="1487">
      <pivotArea dataOnly="0" labelOnly="1" outline="0" fieldPosition="0">
        <references count="5">
          <reference field="0" count="1" selected="0">
            <x v="0"/>
          </reference>
          <reference field="1" count="1" selected="0">
            <x v="143"/>
          </reference>
          <reference field="2" count="1" selected="0">
            <x v="286"/>
          </reference>
          <reference field="3" count="1" selected="0">
            <x v="2"/>
          </reference>
          <reference field="4" count="1">
            <x v="80"/>
          </reference>
        </references>
      </pivotArea>
    </format>
    <format dxfId="1486">
      <pivotArea dataOnly="0" labelOnly="1" outline="0" fieldPosition="0">
        <references count="5">
          <reference field="0" count="1" selected="0">
            <x v="0"/>
          </reference>
          <reference field="1" count="1" selected="0">
            <x v="144"/>
          </reference>
          <reference field="2" count="1" selected="0">
            <x v="286"/>
          </reference>
          <reference field="3" count="1" selected="0">
            <x v="2"/>
          </reference>
          <reference field="4" count="1">
            <x v="111"/>
          </reference>
        </references>
      </pivotArea>
    </format>
    <format dxfId="1485">
      <pivotArea dataOnly="0" labelOnly="1" outline="0" fieldPosition="0">
        <references count="5">
          <reference field="0" count="1" selected="0">
            <x v="0"/>
          </reference>
          <reference field="1" count="1" selected="0">
            <x v="145"/>
          </reference>
          <reference field="2" count="1" selected="0">
            <x v="286"/>
          </reference>
          <reference field="3" count="1" selected="0">
            <x v="2"/>
          </reference>
          <reference field="4" count="1">
            <x v="177"/>
          </reference>
        </references>
      </pivotArea>
    </format>
    <format dxfId="1484">
      <pivotArea dataOnly="0" labelOnly="1" outline="0" fieldPosition="0">
        <references count="5">
          <reference field="0" count="1" selected="0">
            <x v="0"/>
          </reference>
          <reference field="1" count="1" selected="0">
            <x v="146"/>
          </reference>
          <reference field="2" count="1" selected="0">
            <x v="286"/>
          </reference>
          <reference field="3" count="1" selected="0">
            <x v="2"/>
          </reference>
          <reference field="4" count="1">
            <x v="184"/>
          </reference>
        </references>
      </pivotArea>
    </format>
    <format dxfId="1483">
      <pivotArea dataOnly="0" labelOnly="1" outline="0" fieldPosition="0">
        <references count="5">
          <reference field="0" count="1" selected="0">
            <x v="0"/>
          </reference>
          <reference field="1" count="1" selected="0">
            <x v="147"/>
          </reference>
          <reference field="2" count="1" selected="0">
            <x v="286"/>
          </reference>
          <reference field="3" count="1" selected="0">
            <x v="2"/>
          </reference>
          <reference field="4" count="1">
            <x v="188"/>
          </reference>
        </references>
      </pivotArea>
    </format>
    <format dxfId="1482">
      <pivotArea dataOnly="0" labelOnly="1" outline="0" fieldPosition="0">
        <references count="5">
          <reference field="0" count="1" selected="0">
            <x v="0"/>
          </reference>
          <reference field="1" count="1" selected="0">
            <x v="148"/>
          </reference>
          <reference field="2" count="1" selected="0">
            <x v="286"/>
          </reference>
          <reference field="3" count="1" selected="0">
            <x v="2"/>
          </reference>
          <reference field="4" count="1">
            <x v="223"/>
          </reference>
        </references>
      </pivotArea>
    </format>
    <format dxfId="1481">
      <pivotArea dataOnly="0" labelOnly="1" outline="0" fieldPosition="0">
        <references count="5">
          <reference field="0" count="1" selected="0">
            <x v="0"/>
          </reference>
          <reference field="1" count="1" selected="0">
            <x v="149"/>
          </reference>
          <reference field="2" count="1" selected="0">
            <x v="286"/>
          </reference>
          <reference field="3" count="1" selected="0">
            <x v="2"/>
          </reference>
          <reference field="4" count="1">
            <x v="236"/>
          </reference>
        </references>
      </pivotArea>
    </format>
    <format dxfId="1480">
      <pivotArea dataOnly="0" labelOnly="1" outline="0" fieldPosition="0">
        <references count="5">
          <reference field="0" count="1" selected="0">
            <x v="0"/>
          </reference>
          <reference field="1" count="1" selected="0">
            <x v="150"/>
          </reference>
          <reference field="2" count="1" selected="0">
            <x v="286"/>
          </reference>
          <reference field="3" count="1" selected="0">
            <x v="2"/>
          </reference>
          <reference field="4" count="1">
            <x v="262"/>
          </reference>
        </references>
      </pivotArea>
    </format>
    <format dxfId="1479">
      <pivotArea dataOnly="0" labelOnly="1" outline="0" fieldPosition="0">
        <references count="5">
          <reference field="0" count="1" selected="0">
            <x v="0"/>
          </reference>
          <reference field="1" count="1" selected="0">
            <x v="151"/>
          </reference>
          <reference field="2" count="1" selected="0">
            <x v="287"/>
          </reference>
          <reference field="3" count="1" selected="0">
            <x v="2"/>
          </reference>
          <reference field="4" count="1">
            <x v="39"/>
          </reference>
        </references>
      </pivotArea>
    </format>
    <format dxfId="1478">
      <pivotArea dataOnly="0" labelOnly="1" outline="0" fieldPosition="0">
        <references count="5">
          <reference field="0" count="1" selected="0">
            <x v="0"/>
          </reference>
          <reference field="1" count="1" selected="0">
            <x v="152"/>
          </reference>
          <reference field="2" count="1" selected="0">
            <x v="287"/>
          </reference>
          <reference field="3" count="1" selected="0">
            <x v="2"/>
          </reference>
          <reference field="4" count="1">
            <x v="101"/>
          </reference>
        </references>
      </pivotArea>
    </format>
    <format dxfId="1477">
      <pivotArea dataOnly="0" labelOnly="1" outline="0" fieldPosition="0">
        <references count="5">
          <reference field="0" count="1" selected="0">
            <x v="0"/>
          </reference>
          <reference field="1" count="1" selected="0">
            <x v="153"/>
          </reference>
          <reference field="2" count="1" selected="0">
            <x v="287"/>
          </reference>
          <reference field="3" count="1" selected="0">
            <x v="2"/>
          </reference>
          <reference field="4" count="1">
            <x v="122"/>
          </reference>
        </references>
      </pivotArea>
    </format>
    <format dxfId="1476">
      <pivotArea dataOnly="0" labelOnly="1" outline="0" fieldPosition="0">
        <references count="5">
          <reference field="0" count="1" selected="0">
            <x v="0"/>
          </reference>
          <reference field="1" count="1" selected="0">
            <x v="154"/>
          </reference>
          <reference field="2" count="1" selected="0">
            <x v="287"/>
          </reference>
          <reference field="3" count="1" selected="0">
            <x v="2"/>
          </reference>
          <reference field="4" count="1">
            <x v="172"/>
          </reference>
        </references>
      </pivotArea>
    </format>
    <format dxfId="1475">
      <pivotArea dataOnly="0" labelOnly="1" outline="0" fieldPosition="0">
        <references count="5">
          <reference field="0" count="1" selected="0">
            <x v="0"/>
          </reference>
          <reference field="1" count="1" selected="0">
            <x v="155"/>
          </reference>
          <reference field="2" count="1" selected="0">
            <x v="287"/>
          </reference>
          <reference field="3" count="1" selected="0">
            <x v="2"/>
          </reference>
          <reference field="4" count="1">
            <x v="176"/>
          </reference>
        </references>
      </pivotArea>
    </format>
    <format dxfId="1474">
      <pivotArea dataOnly="0" labelOnly="1" outline="0" fieldPosition="0">
        <references count="5">
          <reference field="0" count="1" selected="0">
            <x v="0"/>
          </reference>
          <reference field="1" count="1" selected="0">
            <x v="156"/>
          </reference>
          <reference field="2" count="1" selected="0">
            <x v="287"/>
          </reference>
          <reference field="3" count="1" selected="0">
            <x v="2"/>
          </reference>
          <reference field="4" count="1">
            <x v="182"/>
          </reference>
        </references>
      </pivotArea>
    </format>
    <format dxfId="1473">
      <pivotArea dataOnly="0" labelOnly="1" outline="0" fieldPosition="0">
        <references count="5">
          <reference field="0" count="1" selected="0">
            <x v="0"/>
          </reference>
          <reference field="1" count="1" selected="0">
            <x v="157"/>
          </reference>
          <reference field="2" count="1" selected="0">
            <x v="287"/>
          </reference>
          <reference field="3" count="1" selected="0">
            <x v="2"/>
          </reference>
          <reference field="4" count="1">
            <x v="186"/>
          </reference>
        </references>
      </pivotArea>
    </format>
    <format dxfId="1472">
      <pivotArea dataOnly="0" labelOnly="1" outline="0" fieldPosition="0">
        <references count="5">
          <reference field="0" count="1" selected="0">
            <x v="0"/>
          </reference>
          <reference field="1" count="1" selected="0">
            <x v="158"/>
          </reference>
          <reference field="2" count="1" selected="0">
            <x v="287"/>
          </reference>
          <reference field="3" count="1" selected="0">
            <x v="2"/>
          </reference>
          <reference field="4" count="1">
            <x v="234"/>
          </reference>
        </references>
      </pivotArea>
    </format>
    <format dxfId="1471">
      <pivotArea dataOnly="0" labelOnly="1" outline="0" fieldPosition="0">
        <references count="5">
          <reference field="0" count="1" selected="0">
            <x v="0"/>
          </reference>
          <reference field="1" count="1" selected="0">
            <x v="159"/>
          </reference>
          <reference field="2" count="1" selected="0">
            <x v="287"/>
          </reference>
          <reference field="3" count="1" selected="0">
            <x v="2"/>
          </reference>
          <reference field="4" count="1">
            <x v="265"/>
          </reference>
        </references>
      </pivotArea>
    </format>
    <format dxfId="1470">
      <pivotArea dataOnly="0" labelOnly="1" outline="0" fieldPosition="0">
        <references count="5">
          <reference field="0" count="1" selected="0">
            <x v="0"/>
          </reference>
          <reference field="1" count="1" selected="0">
            <x v="160"/>
          </reference>
          <reference field="2" count="1" selected="0">
            <x v="288"/>
          </reference>
          <reference field="3" count="1" selected="0">
            <x v="2"/>
          </reference>
          <reference field="4" count="1">
            <x v="63"/>
          </reference>
        </references>
      </pivotArea>
    </format>
    <format dxfId="1469">
      <pivotArea dataOnly="0" labelOnly="1" outline="0" fieldPosition="0">
        <references count="5">
          <reference field="0" count="1" selected="0">
            <x v="0"/>
          </reference>
          <reference field="1" count="1" selected="0">
            <x v="161"/>
          </reference>
          <reference field="2" count="1" selected="0">
            <x v="288"/>
          </reference>
          <reference field="3" count="1" selected="0">
            <x v="2"/>
          </reference>
          <reference field="4" count="1">
            <x v="73"/>
          </reference>
        </references>
      </pivotArea>
    </format>
    <format dxfId="1468">
      <pivotArea dataOnly="0" labelOnly="1" outline="0" fieldPosition="0">
        <references count="5">
          <reference field="0" count="1" selected="0">
            <x v="0"/>
          </reference>
          <reference field="1" count="1" selected="0">
            <x v="162"/>
          </reference>
          <reference field="2" count="1" selected="0">
            <x v="288"/>
          </reference>
          <reference field="3" count="1" selected="0">
            <x v="2"/>
          </reference>
          <reference field="4" count="1">
            <x v="110"/>
          </reference>
        </references>
      </pivotArea>
    </format>
    <format dxfId="1467">
      <pivotArea dataOnly="0" labelOnly="1" outline="0" fieldPosition="0">
        <references count="5">
          <reference field="0" count="1" selected="0">
            <x v="0"/>
          </reference>
          <reference field="1" count="1" selected="0">
            <x v="163"/>
          </reference>
          <reference field="2" count="1" selected="0">
            <x v="288"/>
          </reference>
          <reference field="3" count="1" selected="0">
            <x v="2"/>
          </reference>
          <reference field="4" count="1">
            <x v="171"/>
          </reference>
        </references>
      </pivotArea>
    </format>
    <format dxfId="1466">
      <pivotArea dataOnly="0" labelOnly="1" outline="0" fieldPosition="0">
        <references count="5">
          <reference field="0" count="1" selected="0">
            <x v="0"/>
          </reference>
          <reference field="1" count="1" selected="0">
            <x v="164"/>
          </reference>
          <reference field="2" count="1" selected="0">
            <x v="288"/>
          </reference>
          <reference field="3" count="1" selected="0">
            <x v="2"/>
          </reference>
          <reference field="4" count="1">
            <x v="181"/>
          </reference>
        </references>
      </pivotArea>
    </format>
    <format dxfId="1465">
      <pivotArea dataOnly="0" labelOnly="1" outline="0" fieldPosition="0">
        <references count="5">
          <reference field="0" count="1" selected="0">
            <x v="0"/>
          </reference>
          <reference field="1" count="1" selected="0">
            <x v="165"/>
          </reference>
          <reference field="2" count="1" selected="0">
            <x v="288"/>
          </reference>
          <reference field="3" count="1" selected="0">
            <x v="2"/>
          </reference>
          <reference field="4" count="1">
            <x v="188"/>
          </reference>
        </references>
      </pivotArea>
    </format>
    <format dxfId="1464">
      <pivotArea dataOnly="0" labelOnly="1" outline="0" fieldPosition="0">
        <references count="5">
          <reference field="0" count="1" selected="0">
            <x v="0"/>
          </reference>
          <reference field="1" count="1" selected="0">
            <x v="166"/>
          </reference>
          <reference field="2" count="1" selected="0">
            <x v="288"/>
          </reference>
          <reference field="3" count="1" selected="0">
            <x v="2"/>
          </reference>
          <reference field="4" count="1">
            <x v="234"/>
          </reference>
        </references>
      </pivotArea>
    </format>
    <format dxfId="1463">
      <pivotArea dataOnly="0" labelOnly="1" outline="0" fieldPosition="0">
        <references count="5">
          <reference field="0" count="1" selected="0">
            <x v="0"/>
          </reference>
          <reference field="1" count="1" selected="0">
            <x v="167"/>
          </reference>
          <reference field="2" count="1" selected="0">
            <x v="288"/>
          </reference>
          <reference field="3" count="1" selected="0">
            <x v="2"/>
          </reference>
          <reference field="4" count="1">
            <x v="240"/>
          </reference>
        </references>
      </pivotArea>
    </format>
    <format dxfId="1462">
      <pivotArea dataOnly="0" labelOnly="1" outline="0" fieldPosition="0">
        <references count="5">
          <reference field="0" count="1" selected="0">
            <x v="0"/>
          </reference>
          <reference field="1" count="1" selected="0">
            <x v="168"/>
          </reference>
          <reference field="2" count="1" selected="0">
            <x v="289"/>
          </reference>
          <reference field="3" count="1" selected="0">
            <x v="2"/>
          </reference>
          <reference field="4" count="1">
            <x v="41"/>
          </reference>
        </references>
      </pivotArea>
    </format>
    <format dxfId="1461">
      <pivotArea dataOnly="0" labelOnly="1" outline="0" fieldPosition="0">
        <references count="5">
          <reference field="0" count="1" selected="0">
            <x v="0"/>
          </reference>
          <reference field="1" count="1" selected="0">
            <x v="169"/>
          </reference>
          <reference field="2" count="1" selected="0">
            <x v="289"/>
          </reference>
          <reference field="3" count="1" selected="0">
            <x v="2"/>
          </reference>
          <reference field="4" count="1">
            <x v="50"/>
          </reference>
        </references>
      </pivotArea>
    </format>
    <format dxfId="1460">
      <pivotArea dataOnly="0" labelOnly="1" outline="0" fieldPosition="0">
        <references count="5">
          <reference field="0" count="1" selected="0">
            <x v="0"/>
          </reference>
          <reference field="1" count="1" selected="0">
            <x v="170"/>
          </reference>
          <reference field="2" count="1" selected="0">
            <x v="289"/>
          </reference>
          <reference field="3" count="1" selected="0">
            <x v="2"/>
          </reference>
          <reference field="4" count="1">
            <x v="110"/>
          </reference>
        </references>
      </pivotArea>
    </format>
    <format dxfId="1459">
      <pivotArea dataOnly="0" labelOnly="1" outline="0" fieldPosition="0">
        <references count="5">
          <reference field="0" count="1" selected="0">
            <x v="0"/>
          </reference>
          <reference field="1" count="1" selected="0">
            <x v="171"/>
          </reference>
          <reference field="2" count="1" selected="0">
            <x v="289"/>
          </reference>
          <reference field="3" count="1" selected="0">
            <x v="2"/>
          </reference>
          <reference field="4" count="1">
            <x v="115"/>
          </reference>
        </references>
      </pivotArea>
    </format>
    <format dxfId="1458">
      <pivotArea dataOnly="0" labelOnly="1" outline="0" fieldPosition="0">
        <references count="5">
          <reference field="0" count="1" selected="0">
            <x v="0"/>
          </reference>
          <reference field="1" count="1" selected="0">
            <x v="172"/>
          </reference>
          <reference field="2" count="1" selected="0">
            <x v="289"/>
          </reference>
          <reference field="3" count="1" selected="0">
            <x v="2"/>
          </reference>
          <reference field="4" count="1">
            <x v="191"/>
          </reference>
        </references>
      </pivotArea>
    </format>
    <format dxfId="1457">
      <pivotArea dataOnly="0" labelOnly="1" outline="0" fieldPosition="0">
        <references count="5">
          <reference field="0" count="1" selected="0">
            <x v="0"/>
          </reference>
          <reference field="1" count="1" selected="0">
            <x v="173"/>
          </reference>
          <reference field="2" count="1" selected="0">
            <x v="289"/>
          </reference>
          <reference field="3" count="1" selected="0">
            <x v="2"/>
          </reference>
          <reference field="4" count="1">
            <x v="210"/>
          </reference>
        </references>
      </pivotArea>
    </format>
    <format dxfId="1456">
      <pivotArea dataOnly="0" labelOnly="1" outline="0" fieldPosition="0">
        <references count="5">
          <reference field="0" count="1" selected="0">
            <x v="0"/>
          </reference>
          <reference field="1" count="1" selected="0">
            <x v="174"/>
          </reference>
          <reference field="2" count="1" selected="0">
            <x v="289"/>
          </reference>
          <reference field="3" count="1" selected="0">
            <x v="2"/>
          </reference>
          <reference field="4" count="1">
            <x v="242"/>
          </reference>
        </references>
      </pivotArea>
    </format>
    <format dxfId="1455">
      <pivotArea dataOnly="0" labelOnly="1" outline="0" fieldPosition="0">
        <references count="5">
          <reference field="0" count="1" selected="0">
            <x v="0"/>
          </reference>
          <reference field="1" count="1" selected="0">
            <x v="175"/>
          </reference>
          <reference field="2" count="1" selected="0">
            <x v="290"/>
          </reference>
          <reference field="3" count="1" selected="0">
            <x v="2"/>
          </reference>
          <reference field="4" count="1">
            <x v="100"/>
          </reference>
        </references>
      </pivotArea>
    </format>
    <format dxfId="1454">
      <pivotArea dataOnly="0" labelOnly="1" outline="0" fieldPosition="0">
        <references count="5">
          <reference field="0" count="1" selected="0">
            <x v="0"/>
          </reference>
          <reference field="1" count="1" selected="0">
            <x v="176"/>
          </reference>
          <reference field="2" count="1" selected="0">
            <x v="290"/>
          </reference>
          <reference field="3" count="1" selected="0">
            <x v="2"/>
          </reference>
          <reference field="4" count="1">
            <x v="112"/>
          </reference>
        </references>
      </pivotArea>
    </format>
    <format dxfId="1453">
      <pivotArea dataOnly="0" labelOnly="1" outline="0" fieldPosition="0">
        <references count="5">
          <reference field="0" count="1" selected="0">
            <x v="0"/>
          </reference>
          <reference field="1" count="1" selected="0">
            <x v="177"/>
          </reference>
          <reference field="2" count="1" selected="0">
            <x v="290"/>
          </reference>
          <reference field="3" count="1" selected="0">
            <x v="2"/>
          </reference>
          <reference field="4" count="1">
            <x v="148"/>
          </reference>
        </references>
      </pivotArea>
    </format>
    <format dxfId="1452">
      <pivotArea dataOnly="0" labelOnly="1" outline="0" fieldPosition="0">
        <references count="5">
          <reference field="0" count="1" selected="0">
            <x v="0"/>
          </reference>
          <reference field="1" count="1" selected="0">
            <x v="178"/>
          </reference>
          <reference field="2" count="1" selected="0">
            <x v="290"/>
          </reference>
          <reference field="3" count="1" selected="0">
            <x v="2"/>
          </reference>
          <reference field="4" count="1">
            <x v="210"/>
          </reference>
        </references>
      </pivotArea>
    </format>
    <format dxfId="1451">
      <pivotArea dataOnly="0" labelOnly="1" outline="0" fieldPosition="0">
        <references count="5">
          <reference field="0" count="1" selected="0">
            <x v="0"/>
          </reference>
          <reference field="1" count="1" selected="0">
            <x v="179"/>
          </reference>
          <reference field="2" count="1" selected="0">
            <x v="290"/>
          </reference>
          <reference field="3" count="1" selected="0">
            <x v="2"/>
          </reference>
          <reference field="4" count="1">
            <x v="234"/>
          </reference>
        </references>
      </pivotArea>
    </format>
    <format dxfId="1450">
      <pivotArea dataOnly="0" labelOnly="1" outline="0" fieldPosition="0">
        <references count="5">
          <reference field="0" count="1" selected="0">
            <x v="0"/>
          </reference>
          <reference field="1" count="1" selected="0">
            <x v="180"/>
          </reference>
          <reference field="2" count="1" selected="0">
            <x v="290"/>
          </reference>
          <reference field="3" count="1" selected="0">
            <x v="2"/>
          </reference>
          <reference field="4" count="1">
            <x v="273"/>
          </reference>
        </references>
      </pivotArea>
    </format>
    <format dxfId="1449">
      <pivotArea dataOnly="0" labelOnly="1" outline="0" fieldPosition="0">
        <references count="5">
          <reference field="0" count="1" selected="0">
            <x v="0"/>
          </reference>
          <reference field="1" count="1" selected="0">
            <x v="181"/>
          </reference>
          <reference field="2" count="1" selected="0">
            <x v="291"/>
          </reference>
          <reference field="3" count="1" selected="0">
            <x v="2"/>
          </reference>
          <reference field="4" count="1">
            <x v="21"/>
          </reference>
        </references>
      </pivotArea>
    </format>
    <format dxfId="1448">
      <pivotArea dataOnly="0" labelOnly="1" outline="0" fieldPosition="0">
        <references count="5">
          <reference field="0" count="1" selected="0">
            <x v="0"/>
          </reference>
          <reference field="1" count="1" selected="0">
            <x v="182"/>
          </reference>
          <reference field="2" count="1" selected="0">
            <x v="291"/>
          </reference>
          <reference field="3" count="1" selected="0">
            <x v="2"/>
          </reference>
          <reference field="4" count="1">
            <x v="240"/>
          </reference>
        </references>
      </pivotArea>
    </format>
    <format dxfId="1447">
      <pivotArea dataOnly="0" labelOnly="1" outline="0" fieldPosition="0">
        <references count="5">
          <reference field="0" count="1" selected="0">
            <x v="0"/>
          </reference>
          <reference field="1" count="1" selected="0">
            <x v="183"/>
          </reference>
          <reference field="2" count="1" selected="0">
            <x v="291"/>
          </reference>
          <reference field="3" count="1" selected="0">
            <x v="2"/>
          </reference>
          <reference field="4" count="1">
            <x v="262"/>
          </reference>
        </references>
      </pivotArea>
    </format>
    <format dxfId="1446">
      <pivotArea dataOnly="0" labelOnly="1" outline="0" fieldPosition="0">
        <references count="5">
          <reference field="0" count="1" selected="0">
            <x v="0"/>
          </reference>
          <reference field="1" count="1" selected="0">
            <x v="184"/>
          </reference>
          <reference field="2" count="1" selected="0">
            <x v="292"/>
          </reference>
          <reference field="3" count="1" selected="0">
            <x v="2"/>
          </reference>
          <reference field="4" count="1">
            <x v="30"/>
          </reference>
        </references>
      </pivotArea>
    </format>
    <format dxfId="1445">
      <pivotArea dataOnly="0" labelOnly="1" outline="0" fieldPosition="0">
        <references count="5">
          <reference field="0" count="1" selected="0">
            <x v="0"/>
          </reference>
          <reference field="1" count="1" selected="0">
            <x v="185"/>
          </reference>
          <reference field="2" count="1" selected="0">
            <x v="292"/>
          </reference>
          <reference field="3" count="1" selected="0">
            <x v="2"/>
          </reference>
          <reference field="4" count="1">
            <x v="57"/>
          </reference>
        </references>
      </pivotArea>
    </format>
    <format dxfId="1444">
      <pivotArea dataOnly="0" labelOnly="1" outline="0" fieldPosition="0">
        <references count="5">
          <reference field="0" count="1" selected="0">
            <x v="0"/>
          </reference>
          <reference field="1" count="1" selected="0">
            <x v="186"/>
          </reference>
          <reference field="2" count="1" selected="0">
            <x v="292"/>
          </reference>
          <reference field="3" count="1" selected="0">
            <x v="2"/>
          </reference>
          <reference field="4" count="1">
            <x v="103"/>
          </reference>
        </references>
      </pivotArea>
    </format>
    <format dxfId="1443">
      <pivotArea dataOnly="0" labelOnly="1" outline="0" fieldPosition="0">
        <references count="5">
          <reference field="0" count="1" selected="0">
            <x v="0"/>
          </reference>
          <reference field="1" count="1" selected="0">
            <x v="187"/>
          </reference>
          <reference field="2" count="1" selected="0">
            <x v="292"/>
          </reference>
          <reference field="3" count="1" selected="0">
            <x v="2"/>
          </reference>
          <reference field="4" count="1">
            <x v="104"/>
          </reference>
        </references>
      </pivotArea>
    </format>
    <format dxfId="1442">
      <pivotArea dataOnly="0" labelOnly="1" outline="0" fieldPosition="0">
        <references count="5">
          <reference field="0" count="1" selected="0">
            <x v="0"/>
          </reference>
          <reference field="1" count="1" selected="0">
            <x v="188"/>
          </reference>
          <reference field="2" count="1" selected="0">
            <x v="292"/>
          </reference>
          <reference field="3" count="1" selected="0">
            <x v="2"/>
          </reference>
          <reference field="4" count="1">
            <x v="110"/>
          </reference>
        </references>
      </pivotArea>
    </format>
    <format dxfId="1441">
      <pivotArea dataOnly="0" labelOnly="1" outline="0" fieldPosition="0">
        <references count="5">
          <reference field="0" count="1" selected="0">
            <x v="0"/>
          </reference>
          <reference field="1" count="1" selected="0">
            <x v="189"/>
          </reference>
          <reference field="2" count="1" selected="0">
            <x v="292"/>
          </reference>
          <reference field="3" count="1" selected="0">
            <x v="2"/>
          </reference>
          <reference field="4" count="1">
            <x v="141"/>
          </reference>
        </references>
      </pivotArea>
    </format>
    <format dxfId="1440">
      <pivotArea dataOnly="0" labelOnly="1" outline="0" fieldPosition="0">
        <references count="5">
          <reference field="0" count="1" selected="0">
            <x v="0"/>
          </reference>
          <reference field="1" count="1" selected="0">
            <x v="190"/>
          </reference>
          <reference field="2" count="1" selected="0">
            <x v="292"/>
          </reference>
          <reference field="3" count="1" selected="0">
            <x v="2"/>
          </reference>
          <reference field="4" count="1">
            <x v="152"/>
          </reference>
        </references>
      </pivotArea>
    </format>
    <format dxfId="1439">
      <pivotArea dataOnly="0" labelOnly="1" outline="0" fieldPosition="0">
        <references count="5">
          <reference field="0" count="1" selected="0">
            <x v="0"/>
          </reference>
          <reference field="1" count="1" selected="0">
            <x v="191"/>
          </reference>
          <reference field="2" count="1" selected="0">
            <x v="292"/>
          </reference>
          <reference field="3" count="1" selected="0">
            <x v="2"/>
          </reference>
          <reference field="4" count="1">
            <x v="167"/>
          </reference>
        </references>
      </pivotArea>
    </format>
    <format dxfId="1438">
      <pivotArea dataOnly="0" labelOnly="1" outline="0" fieldPosition="0">
        <references count="5">
          <reference field="0" count="1" selected="0">
            <x v="0"/>
          </reference>
          <reference field="1" count="1" selected="0">
            <x v="192"/>
          </reference>
          <reference field="2" count="1" selected="0">
            <x v="292"/>
          </reference>
          <reference field="3" count="1" selected="0">
            <x v="2"/>
          </reference>
          <reference field="4" count="1">
            <x v="180"/>
          </reference>
        </references>
      </pivotArea>
    </format>
    <format dxfId="1437">
      <pivotArea dataOnly="0" labelOnly="1" outline="0" fieldPosition="0">
        <references count="5">
          <reference field="0" count="1" selected="0">
            <x v="0"/>
          </reference>
          <reference field="1" count="1" selected="0">
            <x v="193"/>
          </reference>
          <reference field="2" count="1" selected="0">
            <x v="292"/>
          </reference>
          <reference field="3" count="1" selected="0">
            <x v="2"/>
          </reference>
          <reference field="4" count="1">
            <x v="183"/>
          </reference>
        </references>
      </pivotArea>
    </format>
    <format dxfId="1436">
      <pivotArea dataOnly="0" labelOnly="1" outline="0" fieldPosition="0">
        <references count="5">
          <reference field="0" count="1" selected="0">
            <x v="0"/>
          </reference>
          <reference field="1" count="1" selected="0">
            <x v="194"/>
          </reference>
          <reference field="2" count="1" selected="0">
            <x v="292"/>
          </reference>
          <reference field="3" count="1" selected="0">
            <x v="2"/>
          </reference>
          <reference field="4" count="1">
            <x v="238"/>
          </reference>
        </references>
      </pivotArea>
    </format>
    <format dxfId="1435">
      <pivotArea dataOnly="0" labelOnly="1" outline="0" fieldPosition="0">
        <references count="5">
          <reference field="0" count="1" selected="0">
            <x v="0"/>
          </reference>
          <reference field="1" count="1" selected="0">
            <x v="195"/>
          </reference>
          <reference field="2" count="1" selected="0">
            <x v="292"/>
          </reference>
          <reference field="3" count="1" selected="0">
            <x v="2"/>
          </reference>
          <reference field="4" count="1">
            <x v="269"/>
          </reference>
        </references>
      </pivotArea>
    </format>
    <format dxfId="1434">
      <pivotArea dataOnly="0" labelOnly="1" outline="0" fieldPosition="0">
        <references count="5">
          <reference field="0" count="1" selected="0">
            <x v="0"/>
          </reference>
          <reference field="1" count="1" selected="0">
            <x v="196"/>
          </reference>
          <reference field="2" count="1" selected="0">
            <x v="292"/>
          </reference>
          <reference field="3" count="1" selected="0">
            <x v="2"/>
          </reference>
          <reference field="4" count="1">
            <x v="286"/>
          </reference>
        </references>
      </pivotArea>
    </format>
    <format dxfId="1433">
      <pivotArea dataOnly="0" labelOnly="1" outline="0" fieldPosition="0">
        <references count="5">
          <reference field="0" count="1" selected="0">
            <x v="0"/>
          </reference>
          <reference field="1" count="1" selected="0">
            <x v="197"/>
          </reference>
          <reference field="2" count="1" selected="0">
            <x v="293"/>
          </reference>
          <reference field="3" count="1" selected="0">
            <x v="3"/>
          </reference>
          <reference field="4" count="1">
            <x v="52"/>
          </reference>
        </references>
      </pivotArea>
    </format>
    <format dxfId="1432">
      <pivotArea dataOnly="0" labelOnly="1" outline="0" fieldPosition="0">
        <references count="5">
          <reference field="0" count="1" selected="0">
            <x v="0"/>
          </reference>
          <reference field="1" count="1" selected="0">
            <x v="198"/>
          </reference>
          <reference field="2" count="1" selected="0">
            <x v="293"/>
          </reference>
          <reference field="3" count="1" selected="0">
            <x v="2"/>
          </reference>
          <reference field="4" count="1">
            <x v="106"/>
          </reference>
        </references>
      </pivotArea>
    </format>
    <format dxfId="1431">
      <pivotArea dataOnly="0" labelOnly="1" outline="0" fieldPosition="0">
        <references count="5">
          <reference field="0" count="1" selected="0">
            <x v="0"/>
          </reference>
          <reference field="1" count="1" selected="0">
            <x v="199"/>
          </reference>
          <reference field="2" count="1" selected="0">
            <x v="293"/>
          </reference>
          <reference field="3" count="1" selected="0">
            <x v="2"/>
          </reference>
          <reference field="4" count="1">
            <x v="289"/>
          </reference>
        </references>
      </pivotArea>
    </format>
    <format dxfId="1430">
      <pivotArea dataOnly="0" labelOnly="1" outline="0" fieldPosition="0">
        <references count="5">
          <reference field="0" count="1" selected="0">
            <x v="0"/>
          </reference>
          <reference field="1" count="1" selected="0">
            <x v="200"/>
          </reference>
          <reference field="2" count="1" selected="0">
            <x v="293"/>
          </reference>
          <reference field="3" count="1" selected="0">
            <x v="3"/>
          </reference>
          <reference field="4" count="1">
            <x v="291"/>
          </reference>
        </references>
      </pivotArea>
    </format>
    <format dxfId="1429">
      <pivotArea dataOnly="0" labelOnly="1" outline="0" fieldPosition="0">
        <references count="5">
          <reference field="0" count="1" selected="0">
            <x v="0"/>
          </reference>
          <reference field="1" count="1" selected="0">
            <x v="201"/>
          </reference>
          <reference field="2" count="1" selected="0">
            <x v="294"/>
          </reference>
          <reference field="3" count="1" selected="0">
            <x v="2"/>
          </reference>
          <reference field="4" count="1">
            <x v="44"/>
          </reference>
        </references>
      </pivotArea>
    </format>
    <format dxfId="1428">
      <pivotArea dataOnly="0" labelOnly="1" outline="0" fieldPosition="0">
        <references count="5">
          <reference field="0" count="1" selected="0">
            <x v="0"/>
          </reference>
          <reference field="1" count="1" selected="0">
            <x v="202"/>
          </reference>
          <reference field="2" count="1" selected="0">
            <x v="294"/>
          </reference>
          <reference field="3" count="1" selected="0">
            <x v="2"/>
          </reference>
          <reference field="4" count="1">
            <x v="51"/>
          </reference>
        </references>
      </pivotArea>
    </format>
    <format dxfId="1427">
      <pivotArea dataOnly="0" labelOnly="1" outline="0" fieldPosition="0">
        <references count="5">
          <reference field="0" count="1" selected="0">
            <x v="0"/>
          </reference>
          <reference field="1" count="1" selected="0">
            <x v="203"/>
          </reference>
          <reference field="2" count="1" selected="0">
            <x v="294"/>
          </reference>
          <reference field="3" count="1" selected="0">
            <x v="2"/>
          </reference>
          <reference field="4" count="1">
            <x v="110"/>
          </reference>
        </references>
      </pivotArea>
    </format>
    <format dxfId="1426">
      <pivotArea dataOnly="0" labelOnly="1" outline="0" fieldPosition="0">
        <references count="5">
          <reference field="0" count="1" selected="0">
            <x v="0"/>
          </reference>
          <reference field="1" count="1" selected="0">
            <x v="204"/>
          </reference>
          <reference field="2" count="1" selected="0">
            <x v="294"/>
          </reference>
          <reference field="3" count="1" selected="0">
            <x v="2"/>
          </reference>
          <reference field="4" count="1">
            <x v="131"/>
          </reference>
        </references>
      </pivotArea>
    </format>
    <format dxfId="1425">
      <pivotArea dataOnly="0" labelOnly="1" outline="0" fieldPosition="0">
        <references count="5">
          <reference field="0" count="1" selected="0">
            <x v="0"/>
          </reference>
          <reference field="1" count="1" selected="0">
            <x v="205"/>
          </reference>
          <reference field="2" count="1" selected="0">
            <x v="294"/>
          </reference>
          <reference field="3" count="1" selected="0">
            <x v="2"/>
          </reference>
          <reference field="4" count="1">
            <x v="240"/>
          </reference>
        </references>
      </pivotArea>
    </format>
    <format dxfId="1424">
      <pivotArea dataOnly="0" labelOnly="1" outline="0" fieldPosition="0">
        <references count="5">
          <reference field="0" count="1" selected="0">
            <x v="0"/>
          </reference>
          <reference field="1" count="1" selected="0">
            <x v="206"/>
          </reference>
          <reference field="2" count="1" selected="0">
            <x v="294"/>
          </reference>
          <reference field="3" count="1" selected="0">
            <x v="2"/>
          </reference>
          <reference field="4" count="1">
            <x v="247"/>
          </reference>
        </references>
      </pivotArea>
    </format>
    <format dxfId="1423">
      <pivotArea dataOnly="0" labelOnly="1" outline="0" fieldPosition="0">
        <references count="5">
          <reference field="0" count="1" selected="0">
            <x v="0"/>
          </reference>
          <reference field="1" count="1" selected="0">
            <x v="207"/>
          </reference>
          <reference field="2" count="1" selected="0">
            <x v="294"/>
          </reference>
          <reference field="3" count="1" selected="0">
            <x v="2"/>
          </reference>
          <reference field="4" count="1">
            <x v="256"/>
          </reference>
        </references>
      </pivotArea>
    </format>
    <format dxfId="1422">
      <pivotArea dataOnly="0" labelOnly="1" outline="0" fieldPosition="0">
        <references count="5">
          <reference field="0" count="1" selected="0">
            <x v="0"/>
          </reference>
          <reference field="1" count="1" selected="0">
            <x v="208"/>
          </reference>
          <reference field="2" count="1" selected="0">
            <x v="295"/>
          </reference>
          <reference field="3" count="1" selected="0">
            <x v="2"/>
          </reference>
          <reference field="4" count="1">
            <x v="86"/>
          </reference>
        </references>
      </pivotArea>
    </format>
    <format dxfId="1421">
      <pivotArea dataOnly="0" labelOnly="1" outline="0" fieldPosition="0">
        <references count="5">
          <reference field="0" count="1" selected="0">
            <x v="0"/>
          </reference>
          <reference field="1" count="1" selected="0">
            <x v="209"/>
          </reference>
          <reference field="2" count="1" selected="0">
            <x v="295"/>
          </reference>
          <reference field="3" count="1" selected="0">
            <x v="2"/>
          </reference>
          <reference field="4" count="1">
            <x v="159"/>
          </reference>
        </references>
      </pivotArea>
    </format>
    <format dxfId="1420">
      <pivotArea dataOnly="0" labelOnly="1" outline="0" fieldPosition="0">
        <references count="5">
          <reference field="0" count="1" selected="0">
            <x v="0"/>
          </reference>
          <reference field="1" count="1" selected="0">
            <x v="210"/>
          </reference>
          <reference field="2" count="1" selected="0">
            <x v="295"/>
          </reference>
          <reference field="3" count="1" selected="0">
            <x v="2"/>
          </reference>
          <reference field="4" count="1">
            <x v="220"/>
          </reference>
        </references>
      </pivotArea>
    </format>
    <format dxfId="1419">
      <pivotArea dataOnly="0" labelOnly="1" outline="0" fieldPosition="0">
        <references count="5">
          <reference field="0" count="1" selected="0">
            <x v="0"/>
          </reference>
          <reference field="1" count="1" selected="0">
            <x v="211"/>
          </reference>
          <reference field="2" count="1" selected="0">
            <x v="295"/>
          </reference>
          <reference field="3" count="1" selected="0">
            <x v="2"/>
          </reference>
          <reference field="4" count="1">
            <x v="235"/>
          </reference>
        </references>
      </pivotArea>
    </format>
    <format dxfId="1418">
      <pivotArea dataOnly="0" labelOnly="1" outline="0" fieldPosition="0">
        <references count="5">
          <reference field="0" count="1" selected="0">
            <x v="0"/>
          </reference>
          <reference field="1" count="1" selected="0">
            <x v="212"/>
          </reference>
          <reference field="2" count="1" selected="0">
            <x v="295"/>
          </reference>
          <reference field="3" count="1" selected="0">
            <x v="2"/>
          </reference>
          <reference field="4" count="1">
            <x v="250"/>
          </reference>
        </references>
      </pivotArea>
    </format>
    <format dxfId="1417">
      <pivotArea dataOnly="0" labelOnly="1" outline="0" fieldPosition="0">
        <references count="5">
          <reference field="0" count="1" selected="0">
            <x v="0"/>
          </reference>
          <reference field="1" count="1" selected="0">
            <x v="213"/>
          </reference>
          <reference field="2" count="1" selected="0">
            <x v="296"/>
          </reference>
          <reference field="3" count="1" selected="0">
            <x v="2"/>
          </reference>
          <reference field="4" count="1">
            <x v="42"/>
          </reference>
        </references>
      </pivotArea>
    </format>
    <format dxfId="1416">
      <pivotArea dataOnly="0" labelOnly="1" outline="0" fieldPosition="0">
        <references count="5">
          <reference field="0" count="1" selected="0">
            <x v="0"/>
          </reference>
          <reference field="1" count="1" selected="0">
            <x v="214"/>
          </reference>
          <reference field="2" count="1" selected="0">
            <x v="296"/>
          </reference>
          <reference field="3" count="1" selected="0">
            <x v="2"/>
          </reference>
          <reference field="4" count="1">
            <x v="96"/>
          </reference>
        </references>
      </pivotArea>
    </format>
    <format dxfId="1415">
      <pivotArea dataOnly="0" labelOnly="1" outline="0" fieldPosition="0">
        <references count="5">
          <reference field="0" count="1" selected="0">
            <x v="0"/>
          </reference>
          <reference field="1" count="1" selected="0">
            <x v="215"/>
          </reference>
          <reference field="2" count="1" selected="0">
            <x v="296"/>
          </reference>
          <reference field="3" count="1" selected="0">
            <x v="2"/>
          </reference>
          <reference field="4" count="1">
            <x v="229"/>
          </reference>
        </references>
      </pivotArea>
    </format>
    <format dxfId="1414">
      <pivotArea dataOnly="0" labelOnly="1" outline="0" fieldPosition="0">
        <references count="5">
          <reference field="0" count="1" selected="0">
            <x v="0"/>
          </reference>
          <reference field="1" count="1" selected="0">
            <x v="216"/>
          </reference>
          <reference field="2" count="1" selected="0">
            <x v="296"/>
          </reference>
          <reference field="3" count="1" selected="0">
            <x v="2"/>
          </reference>
          <reference field="4" count="1">
            <x v="246"/>
          </reference>
        </references>
      </pivotArea>
    </format>
    <format dxfId="1413">
      <pivotArea dataOnly="0" labelOnly="1" outline="0" fieldPosition="0">
        <references count="5">
          <reference field="0" count="1" selected="0">
            <x v="0"/>
          </reference>
          <reference field="1" count="1" selected="0">
            <x v="217"/>
          </reference>
          <reference field="2" count="1" selected="0">
            <x v="296"/>
          </reference>
          <reference field="3" count="1" selected="0">
            <x v="2"/>
          </reference>
          <reference field="4" count="1">
            <x v="265"/>
          </reference>
        </references>
      </pivotArea>
    </format>
    <format dxfId="1412">
      <pivotArea dataOnly="0" labelOnly="1" outline="0" fieldPosition="0">
        <references count="5">
          <reference field="0" count="1" selected="0">
            <x v="0"/>
          </reference>
          <reference field="1" count="1" selected="0">
            <x v="218"/>
          </reference>
          <reference field="2" count="1" selected="0">
            <x v="297"/>
          </reference>
          <reference field="3" count="1" selected="0">
            <x v="2"/>
          </reference>
          <reference field="4" count="1">
            <x v="43"/>
          </reference>
        </references>
      </pivotArea>
    </format>
    <format dxfId="1411">
      <pivotArea dataOnly="0" labelOnly="1" outline="0" fieldPosition="0">
        <references count="5">
          <reference field="0" count="1" selected="0">
            <x v="0"/>
          </reference>
          <reference field="1" count="1" selected="0">
            <x v="219"/>
          </reference>
          <reference field="2" count="1" selected="0">
            <x v="297"/>
          </reference>
          <reference field="3" count="1" selected="0">
            <x v="2"/>
          </reference>
          <reference field="4" count="1">
            <x v="110"/>
          </reference>
        </references>
      </pivotArea>
    </format>
    <format dxfId="1410">
      <pivotArea dataOnly="0" labelOnly="1" outline="0" fieldPosition="0">
        <references count="5">
          <reference field="0" count="1" selected="0">
            <x v="0"/>
          </reference>
          <reference field="1" count="1" selected="0">
            <x v="220"/>
          </reference>
          <reference field="2" count="1" selected="0">
            <x v="297"/>
          </reference>
          <reference field="3" count="1" selected="0">
            <x v="2"/>
          </reference>
          <reference field="4" count="1">
            <x v="210"/>
          </reference>
        </references>
      </pivotArea>
    </format>
    <format dxfId="1409">
      <pivotArea dataOnly="0" labelOnly="1" outline="0" fieldPosition="0">
        <references count="5">
          <reference field="0" count="1" selected="0">
            <x v="0"/>
          </reference>
          <reference field="1" count="1" selected="0">
            <x v="221"/>
          </reference>
          <reference field="2" count="1" selected="0">
            <x v="297"/>
          </reference>
          <reference field="3" count="1" selected="0">
            <x v="2"/>
          </reference>
          <reference field="4" count="1">
            <x v="228"/>
          </reference>
        </references>
      </pivotArea>
    </format>
    <format dxfId="1408">
      <pivotArea dataOnly="0" labelOnly="1" outline="0" fieldPosition="0">
        <references count="5">
          <reference field="0" count="1" selected="0">
            <x v="0"/>
          </reference>
          <reference field="1" count="1" selected="0">
            <x v="222"/>
          </reference>
          <reference field="2" count="1" selected="0">
            <x v="297"/>
          </reference>
          <reference field="3" count="1" selected="0">
            <x v="2"/>
          </reference>
          <reference field="4" count="1">
            <x v="253"/>
          </reference>
        </references>
      </pivotArea>
    </format>
    <format dxfId="1407">
      <pivotArea dataOnly="0" labelOnly="1" outline="0" fieldPosition="0">
        <references count="5">
          <reference field="0" count="1" selected="0">
            <x v="0"/>
          </reference>
          <reference field="1" count="1" selected="0">
            <x v="223"/>
          </reference>
          <reference field="2" count="1" selected="0">
            <x v="298"/>
          </reference>
          <reference field="3" count="1" selected="0">
            <x v="2"/>
          </reference>
          <reference field="4" count="1">
            <x v="79"/>
          </reference>
        </references>
      </pivotArea>
    </format>
    <format dxfId="1406">
      <pivotArea dataOnly="0" labelOnly="1" outline="0" fieldPosition="0">
        <references count="5">
          <reference field="0" count="1" selected="0">
            <x v="0"/>
          </reference>
          <reference field="1" count="1" selected="0">
            <x v="224"/>
          </reference>
          <reference field="2" count="1" selected="0">
            <x v="298"/>
          </reference>
          <reference field="3" count="1" selected="0">
            <x v="2"/>
          </reference>
          <reference field="4" count="1">
            <x v="112"/>
          </reference>
        </references>
      </pivotArea>
    </format>
    <format dxfId="1405">
      <pivotArea dataOnly="0" labelOnly="1" outline="0" fieldPosition="0">
        <references count="5">
          <reference field="0" count="1" selected="0">
            <x v="0"/>
          </reference>
          <reference field="1" count="1" selected="0">
            <x v="225"/>
          </reference>
          <reference field="2" count="1" selected="0">
            <x v="298"/>
          </reference>
          <reference field="3" count="1" selected="0">
            <x v="2"/>
          </reference>
          <reference field="4" count="1">
            <x v="242"/>
          </reference>
        </references>
      </pivotArea>
    </format>
    <format dxfId="1404">
      <pivotArea dataOnly="0" labelOnly="1" outline="0" fieldPosition="0">
        <references count="5">
          <reference field="0" count="1" selected="0">
            <x v="0"/>
          </reference>
          <reference field="1" count="1" selected="0">
            <x v="226"/>
          </reference>
          <reference field="2" count="1" selected="0">
            <x v="298"/>
          </reference>
          <reference field="3" count="1" selected="0">
            <x v="2"/>
          </reference>
          <reference field="4" count="1">
            <x v="250"/>
          </reference>
        </references>
      </pivotArea>
    </format>
    <format dxfId="1403">
      <pivotArea dataOnly="0" labelOnly="1" outline="0" fieldPosition="0">
        <references count="5">
          <reference field="0" count="1" selected="0">
            <x v="0"/>
          </reference>
          <reference field="1" count="1" selected="0">
            <x v="227"/>
          </reference>
          <reference field="2" count="1" selected="0">
            <x v="298"/>
          </reference>
          <reference field="3" count="1" selected="0">
            <x v="2"/>
          </reference>
          <reference field="4" count="1">
            <x v="278"/>
          </reference>
        </references>
      </pivotArea>
    </format>
    <format dxfId="1402">
      <pivotArea dataOnly="0" labelOnly="1" outline="0" fieldPosition="0">
        <references count="5">
          <reference field="0" count="1" selected="0">
            <x v="0"/>
          </reference>
          <reference field="1" count="1" selected="0">
            <x v="228"/>
          </reference>
          <reference field="2" count="1" selected="0">
            <x v="298"/>
          </reference>
          <reference field="3" count="1" selected="0">
            <x v="2"/>
          </reference>
          <reference field="4" count="1">
            <x v="293"/>
          </reference>
        </references>
      </pivotArea>
    </format>
    <format dxfId="1401">
      <pivotArea dataOnly="0" labelOnly="1" outline="0" fieldPosition="0">
        <references count="5">
          <reference field="0" count="1" selected="0">
            <x v="0"/>
          </reference>
          <reference field="1" count="1" selected="0">
            <x v="229"/>
          </reference>
          <reference field="2" count="1" selected="0">
            <x v="299"/>
          </reference>
          <reference field="3" count="1" selected="0">
            <x v="2"/>
          </reference>
          <reference field="4" count="1">
            <x v="45"/>
          </reference>
        </references>
      </pivotArea>
    </format>
    <format dxfId="1400">
      <pivotArea dataOnly="0" labelOnly="1" outline="0" fieldPosition="0">
        <references count="5">
          <reference field="0" count="1" selected="0">
            <x v="0"/>
          </reference>
          <reference field="1" count="1" selected="0">
            <x v="230"/>
          </reference>
          <reference field="2" count="1" selected="0">
            <x v="299"/>
          </reference>
          <reference field="3" count="1" selected="0">
            <x v="2"/>
          </reference>
          <reference field="4" count="1">
            <x v="106"/>
          </reference>
        </references>
      </pivotArea>
    </format>
    <format dxfId="1399">
      <pivotArea dataOnly="0" labelOnly="1" outline="0" fieldPosition="0">
        <references count="5">
          <reference field="0" count="1" selected="0">
            <x v="0"/>
          </reference>
          <reference field="1" count="1" selected="0">
            <x v="231"/>
          </reference>
          <reference field="2" count="1" selected="0">
            <x v="299"/>
          </reference>
          <reference field="3" count="1" selected="0">
            <x v="2"/>
          </reference>
          <reference field="4" count="1">
            <x v="110"/>
          </reference>
        </references>
      </pivotArea>
    </format>
    <format dxfId="1398">
      <pivotArea dataOnly="0" labelOnly="1" outline="0" fieldPosition="0">
        <references count="5">
          <reference field="0" count="1" selected="0">
            <x v="0"/>
          </reference>
          <reference field="1" count="1" selected="0">
            <x v="232"/>
          </reference>
          <reference field="2" count="1" selected="0">
            <x v="299"/>
          </reference>
          <reference field="3" count="1" selected="0">
            <x v="2"/>
          </reference>
          <reference field="4" count="1">
            <x v="185"/>
          </reference>
        </references>
      </pivotArea>
    </format>
    <format dxfId="1397">
      <pivotArea dataOnly="0" labelOnly="1" outline="0" fieldPosition="0">
        <references count="5">
          <reference field="0" count="1" selected="0">
            <x v="0"/>
          </reference>
          <reference field="1" count="1" selected="0">
            <x v="233"/>
          </reference>
          <reference field="2" count="1" selected="0">
            <x v="299"/>
          </reference>
          <reference field="3" count="1" selected="0">
            <x v="2"/>
          </reference>
          <reference field="4" count="1">
            <x v="188"/>
          </reference>
        </references>
      </pivotArea>
    </format>
    <format dxfId="1396">
      <pivotArea dataOnly="0" labelOnly="1" outline="0" fieldPosition="0">
        <references count="5">
          <reference field="0" count="1" selected="0">
            <x v="0"/>
          </reference>
          <reference field="1" count="1" selected="0">
            <x v="234"/>
          </reference>
          <reference field="2" count="1" selected="0">
            <x v="299"/>
          </reference>
          <reference field="3" count="1" selected="0">
            <x v="2"/>
          </reference>
          <reference field="4" count="1">
            <x v="226"/>
          </reference>
        </references>
      </pivotArea>
    </format>
    <format dxfId="1395">
      <pivotArea dataOnly="0" labelOnly="1" outline="0" fieldPosition="0">
        <references count="5">
          <reference field="0" count="1" selected="0">
            <x v="0"/>
          </reference>
          <reference field="1" count="1" selected="0">
            <x v="235"/>
          </reference>
          <reference field="2" count="1" selected="0">
            <x v="299"/>
          </reference>
          <reference field="3" count="1" selected="0">
            <x v="2"/>
          </reference>
          <reference field="4" count="1">
            <x v="231"/>
          </reference>
        </references>
      </pivotArea>
    </format>
    <format dxfId="1394">
      <pivotArea dataOnly="0" labelOnly="1" outline="0" fieldPosition="0">
        <references count="5">
          <reference field="0" count="1" selected="0">
            <x v="0"/>
          </reference>
          <reference field="1" count="1" selected="0">
            <x v="236"/>
          </reference>
          <reference field="2" count="1" selected="0">
            <x v="299"/>
          </reference>
          <reference field="3" count="1" selected="0">
            <x v="2"/>
          </reference>
          <reference field="4" count="1">
            <x v="279"/>
          </reference>
        </references>
      </pivotArea>
    </format>
    <format dxfId="1393">
      <pivotArea dataOnly="0" labelOnly="1" outline="0" fieldPosition="0">
        <references count="5">
          <reference field="0" count="1" selected="0">
            <x v="0"/>
          </reference>
          <reference field="1" count="1" selected="0">
            <x v="237"/>
          </reference>
          <reference field="2" count="1" selected="0">
            <x v="300"/>
          </reference>
          <reference field="3" count="1" selected="0">
            <x v="2"/>
          </reference>
          <reference field="4" count="1">
            <x v="72"/>
          </reference>
        </references>
      </pivotArea>
    </format>
    <format dxfId="1392">
      <pivotArea dataOnly="0" labelOnly="1" outline="0" fieldPosition="0">
        <references count="5">
          <reference field="0" count="1" selected="0">
            <x v="0"/>
          </reference>
          <reference field="1" count="1" selected="0">
            <x v="238"/>
          </reference>
          <reference field="2" count="1" selected="0">
            <x v="300"/>
          </reference>
          <reference field="3" count="1" selected="0">
            <x v="2"/>
          </reference>
          <reference field="4" count="1">
            <x v="110"/>
          </reference>
        </references>
      </pivotArea>
    </format>
    <format dxfId="1391">
      <pivotArea dataOnly="0" labelOnly="1" outline="0" fieldPosition="0">
        <references count="5">
          <reference field="0" count="1" selected="0">
            <x v="0"/>
          </reference>
          <reference field="1" count="1" selected="0">
            <x v="239"/>
          </reference>
          <reference field="2" count="1" selected="0">
            <x v="300"/>
          </reference>
          <reference field="3" count="1" selected="0">
            <x v="2"/>
          </reference>
          <reference field="4" count="1">
            <x v="126"/>
          </reference>
        </references>
      </pivotArea>
    </format>
    <format dxfId="1390">
      <pivotArea dataOnly="0" labelOnly="1" outline="0" fieldPosition="0">
        <references count="5">
          <reference field="0" count="1" selected="0">
            <x v="0"/>
          </reference>
          <reference field="1" count="1" selected="0">
            <x v="240"/>
          </reference>
          <reference field="2" count="1" selected="0">
            <x v="301"/>
          </reference>
          <reference field="3" count="1" selected="0">
            <x v="2"/>
          </reference>
          <reference field="4" count="1">
            <x v="110"/>
          </reference>
        </references>
      </pivotArea>
    </format>
    <format dxfId="1389">
      <pivotArea dataOnly="0" labelOnly="1" outline="0" fieldPosition="0">
        <references count="5">
          <reference field="0" count="1" selected="0">
            <x v="0"/>
          </reference>
          <reference field="1" count="1" selected="0">
            <x v="241"/>
          </reference>
          <reference field="2" count="1" selected="0">
            <x v="301"/>
          </reference>
          <reference field="3" count="1" selected="0">
            <x v="2"/>
          </reference>
          <reference field="4" count="1">
            <x v="112"/>
          </reference>
        </references>
      </pivotArea>
    </format>
    <format dxfId="1388">
      <pivotArea dataOnly="0" labelOnly="1" outline="0" fieldPosition="0">
        <references count="5">
          <reference field="0" count="1" selected="0">
            <x v="0"/>
          </reference>
          <reference field="1" count="1" selected="0">
            <x v="242"/>
          </reference>
          <reference field="2" count="1" selected="0">
            <x v="301"/>
          </reference>
          <reference field="3" count="1" selected="0">
            <x v="2"/>
          </reference>
          <reference field="4" count="1">
            <x v="143"/>
          </reference>
        </references>
      </pivotArea>
    </format>
    <format dxfId="1387">
      <pivotArea dataOnly="0" labelOnly="1" outline="0" fieldPosition="0">
        <references count="5">
          <reference field="0" count="1" selected="0">
            <x v="0"/>
          </reference>
          <reference field="1" count="1" selected="0">
            <x v="243"/>
          </reference>
          <reference field="2" count="1" selected="0">
            <x v="301"/>
          </reference>
          <reference field="3" count="1" selected="0">
            <x v="2"/>
          </reference>
          <reference field="4" count="1">
            <x v="162"/>
          </reference>
        </references>
      </pivotArea>
    </format>
    <format dxfId="1386">
      <pivotArea dataOnly="0" labelOnly="1" outline="0" fieldPosition="0">
        <references count="5">
          <reference field="0" count="1" selected="0">
            <x v="0"/>
          </reference>
          <reference field="1" count="1" selected="0">
            <x v="244"/>
          </reference>
          <reference field="2" count="1" selected="0">
            <x v="301"/>
          </reference>
          <reference field="3" count="1" selected="0">
            <x v="2"/>
          </reference>
          <reference field="4" count="1">
            <x v="202"/>
          </reference>
        </references>
      </pivotArea>
    </format>
    <format dxfId="1385">
      <pivotArea dataOnly="0" labelOnly="1" outline="0" fieldPosition="0">
        <references count="5">
          <reference field="0" count="1" selected="0">
            <x v="0"/>
          </reference>
          <reference field="1" count="1" selected="0">
            <x v="245"/>
          </reference>
          <reference field="2" count="1" selected="0">
            <x v="302"/>
          </reference>
          <reference field="3" count="1" selected="0">
            <x v="2"/>
          </reference>
          <reference field="4" count="1">
            <x v="63"/>
          </reference>
        </references>
      </pivotArea>
    </format>
    <format dxfId="1384">
      <pivotArea dataOnly="0" labelOnly="1" outline="0" fieldPosition="0">
        <references count="5">
          <reference field="0" count="1" selected="0">
            <x v="0"/>
          </reference>
          <reference field="1" count="1" selected="0">
            <x v="246"/>
          </reference>
          <reference field="2" count="1" selected="0">
            <x v="302"/>
          </reference>
          <reference field="3" count="1" selected="0">
            <x v="2"/>
          </reference>
          <reference field="4" count="1">
            <x v="131"/>
          </reference>
        </references>
      </pivotArea>
    </format>
    <format dxfId="1383">
      <pivotArea dataOnly="0" labelOnly="1" outline="0" fieldPosition="0">
        <references count="5">
          <reference field="0" count="1" selected="0">
            <x v="0"/>
          </reference>
          <reference field="1" count="1" selected="0">
            <x v="247"/>
          </reference>
          <reference field="2" count="1" selected="0">
            <x v="302"/>
          </reference>
          <reference field="3" count="1" selected="0">
            <x v="2"/>
          </reference>
          <reference field="4" count="1">
            <x v="202"/>
          </reference>
        </references>
      </pivotArea>
    </format>
    <format dxfId="1382">
      <pivotArea dataOnly="0" labelOnly="1" outline="0" fieldPosition="0">
        <references count="5">
          <reference field="0" count="1" selected="0">
            <x v="0"/>
          </reference>
          <reference field="1" count="1" selected="0">
            <x v="248"/>
          </reference>
          <reference field="2" count="1" selected="0">
            <x v="303"/>
          </reference>
          <reference field="3" count="1" selected="0">
            <x v="2"/>
          </reference>
          <reference field="4" count="1">
            <x v="115"/>
          </reference>
        </references>
      </pivotArea>
    </format>
    <format dxfId="1381">
      <pivotArea dataOnly="0" labelOnly="1" outline="0" fieldPosition="0">
        <references count="5">
          <reference field="0" count="1" selected="0">
            <x v="0"/>
          </reference>
          <reference field="1" count="1" selected="0">
            <x v="249"/>
          </reference>
          <reference field="2" count="1" selected="0">
            <x v="303"/>
          </reference>
          <reference field="3" count="1" selected="0">
            <x v="2"/>
          </reference>
          <reference field="4" count="1">
            <x v="208"/>
          </reference>
        </references>
      </pivotArea>
    </format>
    <format dxfId="1380">
      <pivotArea dataOnly="0" labelOnly="1" outline="0" fieldPosition="0">
        <references count="5">
          <reference field="0" count="1" selected="0">
            <x v="0"/>
          </reference>
          <reference field="1" count="1" selected="0">
            <x v="250"/>
          </reference>
          <reference field="2" count="1" selected="0">
            <x v="303"/>
          </reference>
          <reference field="3" count="1" selected="0">
            <x v="2"/>
          </reference>
          <reference field="4" count="1">
            <x v="240"/>
          </reference>
        </references>
      </pivotArea>
    </format>
    <format dxfId="1379">
      <pivotArea dataOnly="0" labelOnly="1" outline="0" fieldPosition="0">
        <references count="5">
          <reference field="0" count="1" selected="0">
            <x v="0"/>
          </reference>
          <reference field="1" count="1" selected="0">
            <x v="251"/>
          </reference>
          <reference field="2" count="1" selected="0">
            <x v="303"/>
          </reference>
          <reference field="3" count="1" selected="0">
            <x v="2"/>
          </reference>
          <reference field="4" count="1">
            <x v="246"/>
          </reference>
        </references>
      </pivotArea>
    </format>
    <format dxfId="1378">
      <pivotArea dataOnly="0" labelOnly="1" outline="0" fieldPosition="0">
        <references count="5">
          <reference field="0" count="1" selected="0">
            <x v="0"/>
          </reference>
          <reference field="1" count="1" selected="0">
            <x v="252"/>
          </reference>
          <reference field="2" count="1" selected="0">
            <x v="304"/>
          </reference>
          <reference field="3" count="1" selected="0">
            <x v="2"/>
          </reference>
          <reference field="4" count="1">
            <x v="58"/>
          </reference>
        </references>
      </pivotArea>
    </format>
    <format dxfId="1377">
      <pivotArea dataOnly="0" labelOnly="1" outline="0" fieldPosition="0">
        <references count="5">
          <reference field="0" count="1" selected="0">
            <x v="0"/>
          </reference>
          <reference field="1" count="1" selected="0">
            <x v="253"/>
          </reference>
          <reference field="2" count="1" selected="0">
            <x v="304"/>
          </reference>
          <reference field="3" count="1" selected="0">
            <x v="2"/>
          </reference>
          <reference field="4" count="1">
            <x v="79"/>
          </reference>
        </references>
      </pivotArea>
    </format>
    <format dxfId="1376">
      <pivotArea dataOnly="0" labelOnly="1" outline="0" fieldPosition="0">
        <references count="5">
          <reference field="0" count="1" selected="0">
            <x v="0"/>
          </reference>
          <reference field="1" count="1" selected="0">
            <x v="254"/>
          </reference>
          <reference field="2" count="1" selected="0">
            <x v="304"/>
          </reference>
          <reference field="3" count="1" selected="0">
            <x v="2"/>
          </reference>
          <reference field="4" count="1">
            <x v="247"/>
          </reference>
        </references>
      </pivotArea>
    </format>
    <format dxfId="1375">
      <pivotArea dataOnly="0" labelOnly="1" outline="0" fieldPosition="0">
        <references count="5">
          <reference field="0" count="1" selected="0">
            <x v="0"/>
          </reference>
          <reference field="1" count="1" selected="0">
            <x v="255"/>
          </reference>
          <reference field="2" count="1" selected="0">
            <x v="304"/>
          </reference>
          <reference field="3" count="1" selected="0">
            <x v="2"/>
          </reference>
          <reference field="4" count="1">
            <x v="269"/>
          </reference>
        </references>
      </pivotArea>
    </format>
    <format dxfId="1374">
      <pivotArea dataOnly="0" labelOnly="1" outline="0" fieldPosition="0">
        <references count="5">
          <reference field="0" count="1" selected="0">
            <x v="0"/>
          </reference>
          <reference field="1" count="1" selected="0">
            <x v="256"/>
          </reference>
          <reference field="2" count="1" selected="0">
            <x v="304"/>
          </reference>
          <reference field="3" count="1" selected="0">
            <x v="2"/>
          </reference>
          <reference field="4" count="1">
            <x v="273"/>
          </reference>
        </references>
      </pivotArea>
    </format>
    <format dxfId="1373">
      <pivotArea dataOnly="0" labelOnly="1" outline="0" fieldPosition="0">
        <references count="5">
          <reference field="0" count="1" selected="0">
            <x v="0"/>
          </reference>
          <reference field="1" count="1" selected="0">
            <x v="257"/>
          </reference>
          <reference field="2" count="1" selected="0">
            <x v="305"/>
          </reference>
          <reference field="3" count="1" selected="0">
            <x v="2"/>
          </reference>
          <reference field="4" count="1">
            <x v="110"/>
          </reference>
        </references>
      </pivotArea>
    </format>
    <format dxfId="1372">
      <pivotArea dataOnly="0" labelOnly="1" outline="0" fieldPosition="0">
        <references count="5">
          <reference field="0" count="1" selected="0">
            <x v="0"/>
          </reference>
          <reference field="1" count="1" selected="0">
            <x v="258"/>
          </reference>
          <reference field="2" count="1" selected="0">
            <x v="305"/>
          </reference>
          <reference field="3" count="1" selected="0">
            <x v="2"/>
          </reference>
          <reference field="4" count="1">
            <x v="172"/>
          </reference>
        </references>
      </pivotArea>
    </format>
    <format dxfId="1371">
      <pivotArea dataOnly="0" labelOnly="1" outline="0" fieldPosition="0">
        <references count="5">
          <reference field="0" count="1" selected="0">
            <x v="0"/>
          </reference>
          <reference field="1" count="1" selected="0">
            <x v="259"/>
          </reference>
          <reference field="2" count="1" selected="0">
            <x v="305"/>
          </reference>
          <reference field="3" count="1" selected="0">
            <x v="2"/>
          </reference>
          <reference field="4" count="1">
            <x v="242"/>
          </reference>
        </references>
      </pivotArea>
    </format>
    <format dxfId="1370">
      <pivotArea dataOnly="0" labelOnly="1" outline="0" fieldPosition="0">
        <references count="5">
          <reference field="0" count="1" selected="0">
            <x v="0"/>
          </reference>
          <reference field="1" count="1" selected="0">
            <x v="260"/>
          </reference>
          <reference field="2" count="1" selected="0">
            <x v="305"/>
          </reference>
          <reference field="3" count="1" selected="0">
            <x v="2"/>
          </reference>
          <reference field="4" count="1">
            <x v="255"/>
          </reference>
        </references>
      </pivotArea>
    </format>
    <format dxfId="1369">
      <pivotArea dataOnly="0" labelOnly="1" outline="0" fieldPosition="0">
        <references count="5">
          <reference field="0" count="1" selected="0">
            <x v="0"/>
          </reference>
          <reference field="1" count="1" selected="0">
            <x v="261"/>
          </reference>
          <reference field="2" count="1" selected="0">
            <x v="306"/>
          </reference>
          <reference field="3" count="1" selected="0">
            <x v="2"/>
          </reference>
          <reference field="4" count="1">
            <x v="179"/>
          </reference>
        </references>
      </pivotArea>
    </format>
    <format dxfId="1368">
      <pivotArea dataOnly="0" labelOnly="1" outline="0" fieldPosition="0">
        <references count="5">
          <reference field="0" count="1" selected="0">
            <x v="0"/>
          </reference>
          <reference field="1" count="1" selected="0">
            <x v="262"/>
          </reference>
          <reference field="2" count="1" selected="0">
            <x v="306"/>
          </reference>
          <reference field="3" count="1" selected="0">
            <x v="2"/>
          </reference>
          <reference field="4" count="1">
            <x v="223"/>
          </reference>
        </references>
      </pivotArea>
    </format>
    <format dxfId="1367">
      <pivotArea dataOnly="0" labelOnly="1" outline="0" fieldPosition="0">
        <references count="5">
          <reference field="0" count="1" selected="0">
            <x v="0"/>
          </reference>
          <reference field="1" count="1" selected="0">
            <x v="263"/>
          </reference>
          <reference field="2" count="1" selected="0">
            <x v="307"/>
          </reference>
          <reference field="3" count="1" selected="0">
            <x v="2"/>
          </reference>
          <reference field="4" count="1">
            <x v="21"/>
          </reference>
        </references>
      </pivotArea>
    </format>
    <format dxfId="1366">
      <pivotArea dataOnly="0" labelOnly="1" outline="0" fieldPosition="0">
        <references count="5">
          <reference field="0" count="1" selected="0">
            <x v="0"/>
          </reference>
          <reference field="1" count="1" selected="0">
            <x v="264"/>
          </reference>
          <reference field="2" count="1" selected="0">
            <x v="307"/>
          </reference>
          <reference field="3" count="1" selected="0">
            <x v="2"/>
          </reference>
          <reference field="4" count="1">
            <x v="46"/>
          </reference>
        </references>
      </pivotArea>
    </format>
    <format dxfId="1365">
      <pivotArea dataOnly="0" labelOnly="1" outline="0" fieldPosition="0">
        <references count="5">
          <reference field="0" count="1" selected="0">
            <x v="0"/>
          </reference>
          <reference field="1" count="1" selected="0">
            <x v="265"/>
          </reference>
          <reference field="2" count="1" selected="0">
            <x v="307"/>
          </reference>
          <reference field="3" count="1" selected="0">
            <x v="2"/>
          </reference>
          <reference field="4" count="1">
            <x v="110"/>
          </reference>
        </references>
      </pivotArea>
    </format>
    <format dxfId="1364">
      <pivotArea dataOnly="0" labelOnly="1" outline="0" fieldPosition="0">
        <references count="5">
          <reference field="0" count="1" selected="0">
            <x v="0"/>
          </reference>
          <reference field="1" count="1" selected="0">
            <x v="266"/>
          </reference>
          <reference field="2" count="1" selected="0">
            <x v="307"/>
          </reference>
          <reference field="3" count="1" selected="0">
            <x v="2"/>
          </reference>
          <reference field="4" count="1">
            <x v="172"/>
          </reference>
        </references>
      </pivotArea>
    </format>
    <format dxfId="1363">
      <pivotArea dataOnly="0" labelOnly="1" outline="0" fieldPosition="0">
        <references count="5">
          <reference field="0" count="1" selected="0">
            <x v="0"/>
          </reference>
          <reference field="1" count="1" selected="0">
            <x v="267"/>
          </reference>
          <reference field="2" count="1" selected="0">
            <x v="308"/>
          </reference>
          <reference field="3" count="1" selected="0">
            <x v="2"/>
          </reference>
          <reference field="4" count="1">
            <x v="110"/>
          </reference>
        </references>
      </pivotArea>
    </format>
    <format dxfId="1362">
      <pivotArea dataOnly="0" labelOnly="1" outline="0" fieldPosition="0">
        <references count="5">
          <reference field="0" count="1" selected="0">
            <x v="0"/>
          </reference>
          <reference field="1" count="1" selected="0">
            <x v="268"/>
          </reference>
          <reference field="2" count="1" selected="0">
            <x v="308"/>
          </reference>
          <reference field="3" count="1" selected="0">
            <x v="2"/>
          </reference>
          <reference field="4" count="1">
            <x v="148"/>
          </reference>
        </references>
      </pivotArea>
    </format>
    <format dxfId="1361">
      <pivotArea dataOnly="0" labelOnly="1" outline="0" fieldPosition="0">
        <references count="5">
          <reference field="0" count="1" selected="0">
            <x v="0"/>
          </reference>
          <reference field="1" count="1" selected="0">
            <x v="269"/>
          </reference>
          <reference field="2" count="1" selected="0">
            <x v="308"/>
          </reference>
          <reference field="3" count="1" selected="0">
            <x v="2"/>
          </reference>
          <reference field="4" count="1">
            <x v="273"/>
          </reference>
        </references>
      </pivotArea>
    </format>
    <format dxfId="1360">
      <pivotArea dataOnly="0" labelOnly="1" outline="0" fieldPosition="0">
        <references count="5">
          <reference field="0" count="1" selected="0">
            <x v="0"/>
          </reference>
          <reference field="1" count="1" selected="0">
            <x v="270"/>
          </reference>
          <reference field="2" count="1" selected="0">
            <x v="308"/>
          </reference>
          <reference field="3" count="1" selected="0">
            <x v="2"/>
          </reference>
          <reference field="4" count="1">
            <x v="282"/>
          </reference>
        </references>
      </pivotArea>
    </format>
    <format dxfId="1359">
      <pivotArea dataOnly="0" labelOnly="1" outline="0" fieldPosition="0">
        <references count="5">
          <reference field="0" count="1" selected="0">
            <x v="0"/>
          </reference>
          <reference field="1" count="1" selected="0">
            <x v="271"/>
          </reference>
          <reference field="2" count="1" selected="0">
            <x v="308"/>
          </reference>
          <reference field="3" count="1" selected="0">
            <x v="2"/>
          </reference>
          <reference field="4" count="1">
            <x v="293"/>
          </reference>
        </references>
      </pivotArea>
    </format>
    <format dxfId="1358">
      <pivotArea dataOnly="0" labelOnly="1" outline="0" fieldPosition="0">
        <references count="5">
          <reference field="0" count="1" selected="0">
            <x v="0"/>
          </reference>
          <reference field="1" count="1" selected="0">
            <x v="272"/>
          </reference>
          <reference field="2" count="1" selected="0">
            <x v="309"/>
          </reference>
          <reference field="3" count="1" selected="0">
            <x v="2"/>
          </reference>
          <reference field="4" count="1">
            <x v="37"/>
          </reference>
        </references>
      </pivotArea>
    </format>
    <format dxfId="1357">
      <pivotArea dataOnly="0" labelOnly="1" outline="0" fieldPosition="0">
        <references count="5">
          <reference field="0" count="1" selected="0">
            <x v="0"/>
          </reference>
          <reference field="1" count="1" selected="0">
            <x v="273"/>
          </reference>
          <reference field="2" count="1" selected="0">
            <x v="309"/>
          </reference>
          <reference field="3" count="1" selected="0">
            <x v="2"/>
          </reference>
          <reference field="4" count="1">
            <x v="45"/>
          </reference>
        </references>
      </pivotArea>
    </format>
    <format dxfId="1356">
      <pivotArea dataOnly="0" labelOnly="1" outline="0" fieldPosition="0">
        <references count="5">
          <reference field="0" count="1" selected="0">
            <x v="0"/>
          </reference>
          <reference field="1" count="1" selected="0">
            <x v="274"/>
          </reference>
          <reference field="2" count="1" selected="0">
            <x v="309"/>
          </reference>
          <reference field="3" count="1" selected="0">
            <x v="2"/>
          </reference>
          <reference field="4" count="1">
            <x v="52"/>
          </reference>
        </references>
      </pivotArea>
    </format>
    <format dxfId="1355">
      <pivotArea dataOnly="0" labelOnly="1" outline="0" fieldPosition="0">
        <references count="5">
          <reference field="0" count="1" selected="0">
            <x v="0"/>
          </reference>
          <reference field="1" count="1" selected="0">
            <x v="275"/>
          </reference>
          <reference field="2" count="1" selected="0">
            <x v="309"/>
          </reference>
          <reference field="3" count="1" selected="0">
            <x v="2"/>
          </reference>
          <reference field="4" count="1">
            <x v="67"/>
          </reference>
        </references>
      </pivotArea>
    </format>
    <format dxfId="1354">
      <pivotArea dataOnly="0" labelOnly="1" outline="0" fieldPosition="0">
        <references count="5">
          <reference field="0" count="1" selected="0">
            <x v="0"/>
          </reference>
          <reference field="1" count="1" selected="0">
            <x v="276"/>
          </reference>
          <reference field="2" count="1" selected="0">
            <x v="309"/>
          </reference>
          <reference field="3" count="1" selected="0">
            <x v="2"/>
          </reference>
          <reference field="4" count="1">
            <x v="73"/>
          </reference>
        </references>
      </pivotArea>
    </format>
    <format dxfId="1353">
      <pivotArea dataOnly="0" labelOnly="1" outline="0" fieldPosition="0">
        <references count="5">
          <reference field="0" count="1" selected="0">
            <x v="0"/>
          </reference>
          <reference field="1" count="1" selected="0">
            <x v="277"/>
          </reference>
          <reference field="2" count="1" selected="0">
            <x v="309"/>
          </reference>
          <reference field="3" count="1" selected="0">
            <x v="2"/>
          </reference>
          <reference field="4" count="1">
            <x v="110"/>
          </reference>
        </references>
      </pivotArea>
    </format>
    <format dxfId="1352">
      <pivotArea dataOnly="0" labelOnly="1" outline="0" fieldPosition="0">
        <references count="5">
          <reference field="0" count="1" selected="0">
            <x v="0"/>
          </reference>
          <reference field="1" count="1" selected="0">
            <x v="278"/>
          </reference>
          <reference field="2" count="1" selected="0">
            <x v="309"/>
          </reference>
          <reference field="3" count="1" selected="0">
            <x v="2"/>
          </reference>
          <reference field="4" count="1">
            <x v="118"/>
          </reference>
        </references>
      </pivotArea>
    </format>
    <format dxfId="1351">
      <pivotArea dataOnly="0" labelOnly="1" outline="0" fieldPosition="0">
        <references count="5">
          <reference field="0" count="1" selected="0">
            <x v="0"/>
          </reference>
          <reference field="1" count="1" selected="0">
            <x v="279"/>
          </reference>
          <reference field="2" count="1" selected="0">
            <x v="309"/>
          </reference>
          <reference field="3" count="1" selected="0">
            <x v="2"/>
          </reference>
          <reference field="4" count="1">
            <x v="146"/>
          </reference>
        </references>
      </pivotArea>
    </format>
    <format dxfId="1350">
      <pivotArea dataOnly="0" labelOnly="1" outline="0" fieldPosition="0">
        <references count="5">
          <reference field="0" count="1" selected="0">
            <x v="0"/>
          </reference>
          <reference field="1" count="1" selected="0">
            <x v="280"/>
          </reference>
          <reference field="2" count="1" selected="0">
            <x v="309"/>
          </reference>
          <reference field="3" count="1" selected="0">
            <x v="2"/>
          </reference>
          <reference field="4" count="1">
            <x v="148"/>
          </reference>
        </references>
      </pivotArea>
    </format>
    <format dxfId="1349">
      <pivotArea dataOnly="0" labelOnly="1" outline="0" fieldPosition="0">
        <references count="5">
          <reference field="0" count="1" selected="0">
            <x v="0"/>
          </reference>
          <reference field="1" count="1" selected="0">
            <x v="281"/>
          </reference>
          <reference field="2" count="1" selected="0">
            <x v="309"/>
          </reference>
          <reference field="3" count="1" selected="0">
            <x v="2"/>
          </reference>
          <reference field="4" count="1">
            <x v="170"/>
          </reference>
        </references>
      </pivotArea>
    </format>
    <format dxfId="1348">
      <pivotArea dataOnly="0" labelOnly="1" outline="0" fieldPosition="0">
        <references count="5">
          <reference field="0" count="1" selected="0">
            <x v="0"/>
          </reference>
          <reference field="1" count="1" selected="0">
            <x v="282"/>
          </reference>
          <reference field="2" count="1" selected="0">
            <x v="309"/>
          </reference>
          <reference field="3" count="1" selected="0">
            <x v="2"/>
          </reference>
          <reference field="4" count="1">
            <x v="186"/>
          </reference>
        </references>
      </pivotArea>
    </format>
    <format dxfId="1347">
      <pivotArea dataOnly="0" labelOnly="1" outline="0" fieldPosition="0">
        <references count="5">
          <reference field="0" count="1" selected="0">
            <x v="0"/>
          </reference>
          <reference field="1" count="1" selected="0">
            <x v="283"/>
          </reference>
          <reference field="2" count="1" selected="0">
            <x v="309"/>
          </reference>
          <reference field="3" count="1" selected="0">
            <x v="2"/>
          </reference>
          <reference field="4" count="1">
            <x v="242"/>
          </reference>
        </references>
      </pivotArea>
    </format>
    <format dxfId="1346">
      <pivotArea dataOnly="0" labelOnly="1" outline="0" fieldPosition="0">
        <references count="5">
          <reference field="0" count="1" selected="0">
            <x v="0"/>
          </reference>
          <reference field="1" count="1" selected="0">
            <x v="284"/>
          </reference>
          <reference field="2" count="1" selected="0">
            <x v="309"/>
          </reference>
          <reference field="3" count="1" selected="0">
            <x v="2"/>
          </reference>
          <reference field="4" count="1">
            <x v="265"/>
          </reference>
        </references>
      </pivotArea>
    </format>
    <format dxfId="1345">
      <pivotArea dataOnly="0" labelOnly="1" outline="0" fieldPosition="0">
        <references count="5">
          <reference field="0" count="1" selected="0">
            <x v="0"/>
          </reference>
          <reference field="1" count="1" selected="0">
            <x v="285"/>
          </reference>
          <reference field="2" count="1" selected="0">
            <x v="309"/>
          </reference>
          <reference field="3" count="1" selected="0">
            <x v="2"/>
          </reference>
          <reference field="4" count="1">
            <x v="288"/>
          </reference>
        </references>
      </pivotArea>
    </format>
    <format dxfId="1344">
      <pivotArea dataOnly="0" labelOnly="1" outline="0" fieldPosition="0">
        <references count="5">
          <reference field="0" count="1" selected="0">
            <x v="0"/>
          </reference>
          <reference field="1" count="1" selected="0">
            <x v="286"/>
          </reference>
          <reference field="2" count="1" selected="0">
            <x v="310"/>
          </reference>
          <reference field="3" count="1" selected="0">
            <x v="2"/>
          </reference>
          <reference field="4" count="1">
            <x v="90"/>
          </reference>
        </references>
      </pivotArea>
    </format>
    <format dxfId="1343">
      <pivotArea dataOnly="0" labelOnly="1" outline="0" fieldPosition="0">
        <references count="5">
          <reference field="0" count="1" selected="0">
            <x v="0"/>
          </reference>
          <reference field="1" count="1" selected="0">
            <x v="287"/>
          </reference>
          <reference field="2" count="1" selected="0">
            <x v="310"/>
          </reference>
          <reference field="3" count="1" selected="0">
            <x v="2"/>
          </reference>
          <reference field="4" count="1">
            <x v="148"/>
          </reference>
        </references>
      </pivotArea>
    </format>
    <format dxfId="1342">
      <pivotArea dataOnly="0" labelOnly="1" outline="0" fieldPosition="0">
        <references count="5">
          <reference field="0" count="1" selected="0">
            <x v="0"/>
          </reference>
          <reference field="1" count="1" selected="0">
            <x v="288"/>
          </reference>
          <reference field="2" count="1" selected="0">
            <x v="310"/>
          </reference>
          <reference field="3" count="1" selected="0">
            <x v="2"/>
          </reference>
          <reference field="4" count="1">
            <x v="149"/>
          </reference>
        </references>
      </pivotArea>
    </format>
    <format dxfId="1341">
      <pivotArea dataOnly="0" labelOnly="1" outline="0" fieldPosition="0">
        <references count="5">
          <reference field="0" count="1" selected="0">
            <x v="0"/>
          </reference>
          <reference field="1" count="1" selected="0">
            <x v="289"/>
          </reference>
          <reference field="2" count="1" selected="0">
            <x v="310"/>
          </reference>
          <reference field="3" count="1" selected="0">
            <x v="2"/>
          </reference>
          <reference field="4" count="1">
            <x v="181"/>
          </reference>
        </references>
      </pivotArea>
    </format>
    <format dxfId="1340">
      <pivotArea dataOnly="0" labelOnly="1" outline="0" fieldPosition="0">
        <references count="5">
          <reference field="0" count="1" selected="0">
            <x v="0"/>
          </reference>
          <reference field="1" count="1" selected="0">
            <x v="290"/>
          </reference>
          <reference field="2" count="1" selected="0">
            <x v="311"/>
          </reference>
          <reference field="3" count="1" selected="0">
            <x v="2"/>
          </reference>
          <reference field="4" count="1">
            <x v="70"/>
          </reference>
        </references>
      </pivotArea>
    </format>
    <format dxfId="1339">
      <pivotArea dataOnly="0" labelOnly="1" outline="0" fieldPosition="0">
        <references count="5">
          <reference field="0" count="1" selected="0">
            <x v="0"/>
          </reference>
          <reference field="1" count="1" selected="0">
            <x v="291"/>
          </reference>
          <reference field="2" count="1" selected="0">
            <x v="311"/>
          </reference>
          <reference field="3" count="1" selected="0">
            <x v="2"/>
          </reference>
          <reference field="4" count="1">
            <x v="106"/>
          </reference>
        </references>
      </pivotArea>
    </format>
    <format dxfId="1338">
      <pivotArea dataOnly="0" labelOnly="1" outline="0" fieldPosition="0">
        <references count="5">
          <reference field="0" count="1" selected="0">
            <x v="0"/>
          </reference>
          <reference field="1" count="1" selected="0">
            <x v="292"/>
          </reference>
          <reference field="2" count="1" selected="0">
            <x v="311"/>
          </reference>
          <reference field="3" count="1" selected="0">
            <x v="2"/>
          </reference>
          <reference field="4" count="1">
            <x v="131"/>
          </reference>
        </references>
      </pivotArea>
    </format>
    <format dxfId="1337">
      <pivotArea dataOnly="0" labelOnly="1" outline="0" fieldPosition="0">
        <references count="5">
          <reference field="0" count="1" selected="0">
            <x v="0"/>
          </reference>
          <reference field="1" count="1" selected="0">
            <x v="293"/>
          </reference>
          <reference field="2" count="1" selected="0">
            <x v="311"/>
          </reference>
          <reference field="3" count="1" selected="0">
            <x v="2"/>
          </reference>
          <reference field="4" count="1">
            <x v="152"/>
          </reference>
        </references>
      </pivotArea>
    </format>
    <format dxfId="1336">
      <pivotArea dataOnly="0" labelOnly="1" outline="0" fieldPosition="0">
        <references count="5">
          <reference field="0" count="1" selected="0">
            <x v="0"/>
          </reference>
          <reference field="1" count="1" selected="0">
            <x v="294"/>
          </reference>
          <reference field="2" count="1" selected="0">
            <x v="311"/>
          </reference>
          <reference field="3" count="1" selected="0">
            <x v="2"/>
          </reference>
          <reference field="4" count="1">
            <x v="178"/>
          </reference>
        </references>
      </pivotArea>
    </format>
    <format dxfId="1335">
      <pivotArea dataOnly="0" labelOnly="1" outline="0" fieldPosition="0">
        <references count="5">
          <reference field="0" count="1" selected="0">
            <x v="0"/>
          </reference>
          <reference field="1" count="1" selected="0">
            <x v="295"/>
          </reference>
          <reference field="2" count="1" selected="0">
            <x v="311"/>
          </reference>
          <reference field="3" count="1" selected="0">
            <x v="2"/>
          </reference>
          <reference field="4" count="1">
            <x v="246"/>
          </reference>
        </references>
      </pivotArea>
    </format>
    <format dxfId="1334">
      <pivotArea dataOnly="0" labelOnly="1" outline="0" fieldPosition="0">
        <references count="5">
          <reference field="0" count="1" selected="0">
            <x v="0"/>
          </reference>
          <reference field="1" count="1" selected="0">
            <x v="296"/>
          </reference>
          <reference field="2" count="1" selected="0">
            <x v="311"/>
          </reference>
          <reference field="3" count="1" selected="0">
            <x v="2"/>
          </reference>
          <reference field="4" count="1">
            <x v="252"/>
          </reference>
        </references>
      </pivotArea>
    </format>
    <format dxfId="1333">
      <pivotArea dataOnly="0" labelOnly="1" outline="0" fieldPosition="0">
        <references count="5">
          <reference field="0" count="1" selected="0">
            <x v="0"/>
          </reference>
          <reference field="1" count="1" selected="0">
            <x v="297"/>
          </reference>
          <reference field="2" count="1" selected="0">
            <x v="312"/>
          </reference>
          <reference field="3" count="1" selected="0">
            <x v="2"/>
          </reference>
          <reference field="4" count="1">
            <x v="48"/>
          </reference>
        </references>
      </pivotArea>
    </format>
    <format dxfId="1332">
      <pivotArea dataOnly="0" labelOnly="1" outline="0" fieldPosition="0">
        <references count="5">
          <reference field="0" count="1" selected="0">
            <x v="0"/>
          </reference>
          <reference field="1" count="1" selected="0">
            <x v="298"/>
          </reference>
          <reference field="2" count="1" selected="0">
            <x v="312"/>
          </reference>
          <reference field="3" count="1" selected="0">
            <x v="2"/>
          </reference>
          <reference field="4" count="1">
            <x v="104"/>
          </reference>
        </references>
      </pivotArea>
    </format>
    <format dxfId="1331">
      <pivotArea dataOnly="0" labelOnly="1" outline="0" fieldPosition="0">
        <references count="5">
          <reference field="0" count="1" selected="0">
            <x v="0"/>
          </reference>
          <reference field="1" count="1" selected="0">
            <x v="299"/>
          </reference>
          <reference field="2" count="1" selected="0">
            <x v="312"/>
          </reference>
          <reference field="3" count="1" selected="0">
            <x v="2"/>
          </reference>
          <reference field="4" count="1">
            <x v="110"/>
          </reference>
        </references>
      </pivotArea>
    </format>
    <format dxfId="1330">
      <pivotArea dataOnly="0" labelOnly="1" outline="0" fieldPosition="0">
        <references count="5">
          <reference field="0" count="1" selected="0">
            <x v="0"/>
          </reference>
          <reference field="1" count="1" selected="0">
            <x v="300"/>
          </reference>
          <reference field="2" count="1" selected="0">
            <x v="312"/>
          </reference>
          <reference field="3" count="1" selected="0">
            <x v="2"/>
          </reference>
          <reference field="4" count="1">
            <x v="278"/>
          </reference>
        </references>
      </pivotArea>
    </format>
    <format dxfId="1329">
      <pivotArea dataOnly="0" labelOnly="1" outline="0" fieldPosition="0">
        <references count="5">
          <reference field="0" count="1" selected="0">
            <x v="0"/>
          </reference>
          <reference field="1" count="1" selected="0">
            <x v="301"/>
          </reference>
          <reference field="2" count="1" selected="0">
            <x v="313"/>
          </reference>
          <reference field="3" count="1" selected="0">
            <x v="2"/>
          </reference>
          <reference field="4" count="1">
            <x v="37"/>
          </reference>
        </references>
      </pivotArea>
    </format>
    <format dxfId="1328">
      <pivotArea dataOnly="0" labelOnly="1" outline="0" fieldPosition="0">
        <references count="5">
          <reference field="0" count="1" selected="0">
            <x v="0"/>
          </reference>
          <reference field="1" count="1" selected="0">
            <x v="302"/>
          </reference>
          <reference field="2" count="1" selected="0">
            <x v="313"/>
          </reference>
          <reference field="3" count="1" selected="0">
            <x v="2"/>
          </reference>
          <reference field="4" count="1">
            <x v="44"/>
          </reference>
        </references>
      </pivotArea>
    </format>
    <format dxfId="1327">
      <pivotArea dataOnly="0" labelOnly="1" outline="0" fieldPosition="0">
        <references count="5">
          <reference field="0" count="1" selected="0">
            <x v="0"/>
          </reference>
          <reference field="1" count="1" selected="0">
            <x v="303"/>
          </reference>
          <reference field="2" count="1" selected="0">
            <x v="313"/>
          </reference>
          <reference field="3" count="1" selected="0">
            <x v="2"/>
          </reference>
          <reference field="4" count="1">
            <x v="72"/>
          </reference>
        </references>
      </pivotArea>
    </format>
    <format dxfId="1326">
      <pivotArea dataOnly="0" labelOnly="1" outline="0" fieldPosition="0">
        <references count="5">
          <reference field="0" count="1" selected="0">
            <x v="0"/>
          </reference>
          <reference field="1" count="1" selected="0">
            <x v="304"/>
          </reference>
          <reference field="2" count="1" selected="0">
            <x v="313"/>
          </reference>
          <reference field="3" count="1" selected="0">
            <x v="2"/>
          </reference>
          <reference field="4" count="1">
            <x v="210"/>
          </reference>
        </references>
      </pivotArea>
    </format>
    <format dxfId="1325">
      <pivotArea dataOnly="0" labelOnly="1" outline="0" fieldPosition="0">
        <references count="5">
          <reference field="0" count="1" selected="0">
            <x v="0"/>
          </reference>
          <reference field="1" count="1" selected="0">
            <x v="305"/>
          </reference>
          <reference field="2" count="1" selected="0">
            <x v="313"/>
          </reference>
          <reference field="3" count="1" selected="0">
            <x v="2"/>
          </reference>
          <reference field="4" count="1">
            <x v="238"/>
          </reference>
        </references>
      </pivotArea>
    </format>
    <format dxfId="1324">
      <pivotArea dataOnly="0" labelOnly="1" outline="0" fieldPosition="0">
        <references count="5">
          <reference field="0" count="1" selected="0">
            <x v="0"/>
          </reference>
          <reference field="1" count="1" selected="0">
            <x v="306"/>
          </reference>
          <reference field="2" count="1" selected="0">
            <x v="313"/>
          </reference>
          <reference field="3" count="1" selected="0">
            <x v="2"/>
          </reference>
          <reference field="4" count="1">
            <x v="240"/>
          </reference>
        </references>
      </pivotArea>
    </format>
    <format dxfId="1323">
      <pivotArea dataOnly="0" labelOnly="1" outline="0" fieldPosition="0">
        <references count="5">
          <reference field="0" count="1" selected="0">
            <x v="0"/>
          </reference>
          <reference field="1" count="1" selected="0">
            <x v="307"/>
          </reference>
          <reference field="2" count="1" selected="0">
            <x v="313"/>
          </reference>
          <reference field="3" count="1" selected="0">
            <x v="2"/>
          </reference>
          <reference field="4" count="1">
            <x v="269"/>
          </reference>
        </references>
      </pivotArea>
    </format>
    <format dxfId="1322">
      <pivotArea dataOnly="0" labelOnly="1" outline="0" fieldPosition="0">
        <references count="5">
          <reference field="0" count="1" selected="0">
            <x v="0"/>
          </reference>
          <reference field="1" count="1" selected="0">
            <x v="308"/>
          </reference>
          <reference field="2" count="1" selected="0">
            <x v="314"/>
          </reference>
          <reference field="3" count="1" selected="0">
            <x v="2"/>
          </reference>
          <reference field="4" count="1">
            <x v="55"/>
          </reference>
        </references>
      </pivotArea>
    </format>
    <format dxfId="1321">
      <pivotArea dataOnly="0" labelOnly="1" outline="0" fieldPosition="0">
        <references count="5">
          <reference field="0" count="1" selected="0">
            <x v="0"/>
          </reference>
          <reference field="1" count="1" selected="0">
            <x v="309"/>
          </reference>
          <reference field="2" count="1" selected="0">
            <x v="314"/>
          </reference>
          <reference field="3" count="1" selected="0">
            <x v="2"/>
          </reference>
          <reference field="4" count="1">
            <x v="58"/>
          </reference>
        </references>
      </pivotArea>
    </format>
    <format dxfId="1320">
      <pivotArea dataOnly="0" labelOnly="1" outline="0" fieldPosition="0">
        <references count="5">
          <reference field="0" count="1" selected="0">
            <x v="0"/>
          </reference>
          <reference field="1" count="1" selected="0">
            <x v="310"/>
          </reference>
          <reference field="2" count="1" selected="0">
            <x v="314"/>
          </reference>
          <reference field="3" count="1" selected="0">
            <x v="2"/>
          </reference>
          <reference field="4" count="1">
            <x v="110"/>
          </reference>
        </references>
      </pivotArea>
    </format>
    <format dxfId="1319">
      <pivotArea dataOnly="0" labelOnly="1" outline="0" fieldPosition="0">
        <references count="5">
          <reference field="0" count="1" selected="0">
            <x v="0"/>
          </reference>
          <reference field="1" count="1" selected="0">
            <x v="311"/>
          </reference>
          <reference field="2" count="1" selected="0">
            <x v="314"/>
          </reference>
          <reference field="3" count="1" selected="0">
            <x v="2"/>
          </reference>
          <reference field="4" count="1">
            <x v="182"/>
          </reference>
        </references>
      </pivotArea>
    </format>
    <format dxfId="1318">
      <pivotArea dataOnly="0" labelOnly="1" outline="0" fieldPosition="0">
        <references count="5">
          <reference field="0" count="1" selected="0">
            <x v="0"/>
          </reference>
          <reference field="1" count="1" selected="0">
            <x v="312"/>
          </reference>
          <reference field="2" count="1" selected="0">
            <x v="315"/>
          </reference>
          <reference field="3" count="1" selected="0">
            <x v="2"/>
          </reference>
          <reference field="4" count="1">
            <x v="65"/>
          </reference>
        </references>
      </pivotArea>
    </format>
    <format dxfId="1317">
      <pivotArea dataOnly="0" labelOnly="1" outline="0" fieldPosition="0">
        <references count="5">
          <reference field="0" count="1" selected="0">
            <x v="0"/>
          </reference>
          <reference field="1" count="1" selected="0">
            <x v="313"/>
          </reference>
          <reference field="2" count="1" selected="0">
            <x v="315"/>
          </reference>
          <reference field="3" count="1" selected="0">
            <x v="2"/>
          </reference>
          <reference field="4" count="1">
            <x v="74"/>
          </reference>
        </references>
      </pivotArea>
    </format>
    <format dxfId="1316">
      <pivotArea dataOnly="0" labelOnly="1" outline="0" fieldPosition="0">
        <references count="5">
          <reference field="0" count="1" selected="0">
            <x v="0"/>
          </reference>
          <reference field="1" count="1" selected="0">
            <x v="314"/>
          </reference>
          <reference field="2" count="1" selected="0">
            <x v="315"/>
          </reference>
          <reference field="3" count="1" selected="0">
            <x v="2"/>
          </reference>
          <reference field="4" count="1">
            <x v="80"/>
          </reference>
        </references>
      </pivotArea>
    </format>
    <format dxfId="1315">
      <pivotArea dataOnly="0" labelOnly="1" outline="0" fieldPosition="0">
        <references count="5">
          <reference field="0" count="1" selected="0">
            <x v="0"/>
          </reference>
          <reference field="1" count="1" selected="0">
            <x v="315"/>
          </reference>
          <reference field="2" count="1" selected="0">
            <x v="315"/>
          </reference>
          <reference field="3" count="1" selected="0">
            <x v="2"/>
          </reference>
          <reference field="4" count="1">
            <x v="84"/>
          </reference>
        </references>
      </pivotArea>
    </format>
    <format dxfId="1314">
      <pivotArea dataOnly="0" labelOnly="1" outline="0" fieldPosition="0">
        <references count="5">
          <reference field="0" count="1" selected="0">
            <x v="0"/>
          </reference>
          <reference field="1" count="1" selected="0">
            <x v="316"/>
          </reference>
          <reference field="2" count="1" selected="0">
            <x v="315"/>
          </reference>
          <reference field="3" count="1" selected="0">
            <x v="2"/>
          </reference>
          <reference field="4" count="1">
            <x v="108"/>
          </reference>
        </references>
      </pivotArea>
    </format>
    <format dxfId="1313">
      <pivotArea dataOnly="0" labelOnly="1" outline="0" fieldPosition="0">
        <references count="5">
          <reference field="0" count="1" selected="0">
            <x v="0"/>
          </reference>
          <reference field="1" count="1" selected="0">
            <x v="317"/>
          </reference>
          <reference field="2" count="1" selected="0">
            <x v="315"/>
          </reference>
          <reference field="3" count="1" selected="0">
            <x v="2"/>
          </reference>
          <reference field="4" count="1">
            <x v="237"/>
          </reference>
        </references>
      </pivotArea>
    </format>
    <format dxfId="1312">
      <pivotArea dataOnly="0" labelOnly="1" outline="0" fieldPosition="0">
        <references count="5">
          <reference field="0" count="1" selected="0">
            <x v="0"/>
          </reference>
          <reference field="1" count="1" selected="0">
            <x v="318"/>
          </reference>
          <reference field="2" count="1" selected="0">
            <x v="315"/>
          </reference>
          <reference field="3" count="1" selected="0">
            <x v="2"/>
          </reference>
          <reference field="4" count="1">
            <x v="243"/>
          </reference>
        </references>
      </pivotArea>
    </format>
    <format dxfId="1311">
      <pivotArea dataOnly="0" labelOnly="1" outline="0" fieldPosition="0">
        <references count="5">
          <reference field="0" count="1" selected="0">
            <x v="0"/>
          </reference>
          <reference field="1" count="1" selected="0">
            <x v="319"/>
          </reference>
          <reference field="2" count="1" selected="0">
            <x v="316"/>
          </reference>
          <reference field="3" count="1" selected="0">
            <x v="2"/>
          </reference>
          <reference field="4" count="1">
            <x v="79"/>
          </reference>
        </references>
      </pivotArea>
    </format>
    <format dxfId="1310">
      <pivotArea dataOnly="0" labelOnly="1" outline="0" fieldPosition="0">
        <references count="5">
          <reference field="0" count="1" selected="0">
            <x v="0"/>
          </reference>
          <reference field="1" count="1" selected="0">
            <x v="320"/>
          </reference>
          <reference field="2" count="1" selected="0">
            <x v="316"/>
          </reference>
          <reference field="3" count="1" selected="0">
            <x v="2"/>
          </reference>
          <reference field="4" count="1">
            <x v="80"/>
          </reference>
        </references>
      </pivotArea>
    </format>
    <format dxfId="1309">
      <pivotArea dataOnly="0" labelOnly="1" outline="0" fieldPosition="0">
        <references count="5">
          <reference field="0" count="1" selected="0">
            <x v="0"/>
          </reference>
          <reference field="1" count="1" selected="0">
            <x v="321"/>
          </reference>
          <reference field="2" count="1" selected="0">
            <x v="316"/>
          </reference>
          <reference field="3" count="1" selected="0">
            <x v="2"/>
          </reference>
          <reference field="4" count="1">
            <x v="110"/>
          </reference>
        </references>
      </pivotArea>
    </format>
    <format dxfId="1308">
      <pivotArea dataOnly="0" labelOnly="1" outline="0" fieldPosition="0">
        <references count="5">
          <reference field="0" count="1" selected="0">
            <x v="0"/>
          </reference>
          <reference field="1" count="1" selected="0">
            <x v="322"/>
          </reference>
          <reference field="2" count="1" selected="0">
            <x v="316"/>
          </reference>
          <reference field="3" count="1" selected="0">
            <x v="2"/>
          </reference>
          <reference field="4" count="1">
            <x v="128"/>
          </reference>
        </references>
      </pivotArea>
    </format>
    <format dxfId="1307">
      <pivotArea dataOnly="0" labelOnly="1" outline="0" fieldPosition="0">
        <references count="5">
          <reference field="0" count="1" selected="0">
            <x v="0"/>
          </reference>
          <reference field="1" count="1" selected="0">
            <x v="323"/>
          </reference>
          <reference field="2" count="1" selected="0">
            <x v="316"/>
          </reference>
          <reference field="3" count="1" selected="0">
            <x v="2"/>
          </reference>
          <reference field="4" count="1">
            <x v="146"/>
          </reference>
        </references>
      </pivotArea>
    </format>
    <format dxfId="1306">
      <pivotArea dataOnly="0" labelOnly="1" outline="0" fieldPosition="0">
        <references count="5">
          <reference field="0" count="1" selected="0">
            <x v="0"/>
          </reference>
          <reference field="1" count="1" selected="0">
            <x v="324"/>
          </reference>
          <reference field="2" count="1" selected="0">
            <x v="316"/>
          </reference>
          <reference field="3" count="1" selected="0">
            <x v="2"/>
          </reference>
          <reference field="4" count="1">
            <x v="186"/>
          </reference>
        </references>
      </pivotArea>
    </format>
    <format dxfId="1305">
      <pivotArea dataOnly="0" labelOnly="1" outline="0" fieldPosition="0">
        <references count="5">
          <reference field="0" count="1" selected="0">
            <x v="0"/>
          </reference>
          <reference field="1" count="1" selected="0">
            <x v="325"/>
          </reference>
          <reference field="2" count="1" selected="0">
            <x v="316"/>
          </reference>
          <reference field="3" count="1" selected="0">
            <x v="2"/>
          </reference>
          <reference field="4" count="1">
            <x v="203"/>
          </reference>
        </references>
      </pivotArea>
    </format>
    <format dxfId="1304">
      <pivotArea dataOnly="0" labelOnly="1" outline="0" fieldPosition="0">
        <references count="5">
          <reference field="0" count="1" selected="0">
            <x v="0"/>
          </reference>
          <reference field="1" count="1" selected="0">
            <x v="326"/>
          </reference>
          <reference field="2" count="1" selected="0">
            <x v="316"/>
          </reference>
          <reference field="3" count="1" selected="0">
            <x v="2"/>
          </reference>
          <reference field="4" count="1">
            <x v="214"/>
          </reference>
        </references>
      </pivotArea>
    </format>
    <format dxfId="1303">
      <pivotArea dataOnly="0" labelOnly="1" outline="0" fieldPosition="0">
        <references count="5">
          <reference field="0" count="1" selected="0">
            <x v="0"/>
          </reference>
          <reference field="1" count="1" selected="0">
            <x v="327"/>
          </reference>
          <reference field="2" count="1" selected="0">
            <x v="316"/>
          </reference>
          <reference field="3" count="1" selected="0">
            <x v="2"/>
          </reference>
          <reference field="4" count="1">
            <x v="232"/>
          </reference>
        </references>
      </pivotArea>
    </format>
    <format dxfId="1302">
      <pivotArea dataOnly="0" labelOnly="1" outline="0" fieldPosition="0">
        <references count="5">
          <reference field="0" count="1" selected="0">
            <x v="0"/>
          </reference>
          <reference field="1" count="1" selected="0">
            <x v="328"/>
          </reference>
          <reference field="2" count="1" selected="0">
            <x v="316"/>
          </reference>
          <reference field="3" count="1" selected="0">
            <x v="2"/>
          </reference>
          <reference field="4" count="1">
            <x v="240"/>
          </reference>
        </references>
      </pivotArea>
    </format>
    <format dxfId="1301">
      <pivotArea dataOnly="0" labelOnly="1" outline="0" fieldPosition="0">
        <references count="5">
          <reference field="0" count="1" selected="0">
            <x v="0"/>
          </reference>
          <reference field="1" count="1" selected="0">
            <x v="329"/>
          </reference>
          <reference field="2" count="1" selected="0">
            <x v="316"/>
          </reference>
          <reference field="3" count="1" selected="0">
            <x v="2"/>
          </reference>
          <reference field="4" count="1">
            <x v="251"/>
          </reference>
        </references>
      </pivotArea>
    </format>
    <format dxfId="1300">
      <pivotArea dataOnly="0" labelOnly="1" outline="0" fieldPosition="0">
        <references count="5">
          <reference field="0" count="1" selected="0">
            <x v="0"/>
          </reference>
          <reference field="1" count="1" selected="0">
            <x v="330"/>
          </reference>
          <reference field="2" count="1" selected="0">
            <x v="316"/>
          </reference>
          <reference field="3" count="1" selected="0">
            <x v="2"/>
          </reference>
          <reference field="4" count="1">
            <x v="265"/>
          </reference>
        </references>
      </pivotArea>
    </format>
    <format dxfId="1299">
      <pivotArea dataOnly="0" labelOnly="1" outline="0" fieldPosition="0">
        <references count="5">
          <reference field="0" count="1" selected="0">
            <x v="0"/>
          </reference>
          <reference field="1" count="1" selected="0">
            <x v="331"/>
          </reference>
          <reference field="2" count="1" selected="0">
            <x v="316"/>
          </reference>
          <reference field="3" count="1" selected="0">
            <x v="2"/>
          </reference>
          <reference field="4" count="1">
            <x v="269"/>
          </reference>
        </references>
      </pivotArea>
    </format>
    <format dxfId="1298">
      <pivotArea dataOnly="0" labelOnly="1" outline="0" fieldPosition="0">
        <references count="5">
          <reference field="0" count="1" selected="0">
            <x v="0"/>
          </reference>
          <reference field="1" count="1" selected="0">
            <x v="332"/>
          </reference>
          <reference field="2" count="1" selected="0">
            <x v="317"/>
          </reference>
          <reference field="3" count="1" selected="0">
            <x v="2"/>
          </reference>
          <reference field="4" count="1">
            <x v="54"/>
          </reference>
        </references>
      </pivotArea>
    </format>
    <format dxfId="1297">
      <pivotArea dataOnly="0" labelOnly="1" outline="0" fieldPosition="0">
        <references count="5">
          <reference field="0" count="1" selected="0">
            <x v="0"/>
          </reference>
          <reference field="1" count="1" selected="0">
            <x v="333"/>
          </reference>
          <reference field="2" count="1" selected="0">
            <x v="317"/>
          </reference>
          <reference field="3" count="1" selected="0">
            <x v="2"/>
          </reference>
          <reference field="4" count="1">
            <x v="148"/>
          </reference>
        </references>
      </pivotArea>
    </format>
    <format dxfId="1296">
      <pivotArea dataOnly="0" labelOnly="1" outline="0" fieldPosition="0">
        <references count="5">
          <reference field="0" count="1" selected="0">
            <x v="0"/>
          </reference>
          <reference field="1" count="1" selected="0">
            <x v="334"/>
          </reference>
          <reference field="2" count="1" selected="0">
            <x v="317"/>
          </reference>
          <reference field="3" count="1" selected="0">
            <x v="2"/>
          </reference>
          <reference field="4" count="1">
            <x v="269"/>
          </reference>
        </references>
      </pivotArea>
    </format>
    <format dxfId="1295">
      <pivotArea dataOnly="0" labelOnly="1" outline="0" fieldPosition="0">
        <references count="5">
          <reference field="0" count="1" selected="0">
            <x v="0"/>
          </reference>
          <reference field="1" count="1" selected="0">
            <x v="335"/>
          </reference>
          <reference field="2" count="1" selected="0">
            <x v="318"/>
          </reference>
          <reference field="3" count="1" selected="0">
            <x v="2"/>
          </reference>
          <reference field="4" count="1">
            <x v="45"/>
          </reference>
        </references>
      </pivotArea>
    </format>
    <format dxfId="1294">
      <pivotArea dataOnly="0" labelOnly="1" outline="0" fieldPosition="0">
        <references count="5">
          <reference field="0" count="1" selected="0">
            <x v="0"/>
          </reference>
          <reference field="1" count="1" selected="0">
            <x v="336"/>
          </reference>
          <reference field="2" count="1" selected="0">
            <x v="318"/>
          </reference>
          <reference field="3" count="1" selected="0">
            <x v="2"/>
          </reference>
          <reference field="4" count="1">
            <x v="80"/>
          </reference>
        </references>
      </pivotArea>
    </format>
    <format dxfId="1293">
      <pivotArea dataOnly="0" labelOnly="1" outline="0" fieldPosition="0">
        <references count="5">
          <reference field="0" count="1" selected="0">
            <x v="0"/>
          </reference>
          <reference field="1" count="1" selected="0">
            <x v="337"/>
          </reference>
          <reference field="2" count="1" selected="0">
            <x v="318"/>
          </reference>
          <reference field="3" count="1" selected="0">
            <x v="2"/>
          </reference>
          <reference field="4" count="1">
            <x v="131"/>
          </reference>
        </references>
      </pivotArea>
    </format>
    <format dxfId="1292">
      <pivotArea dataOnly="0" labelOnly="1" outline="0" fieldPosition="0">
        <references count="5">
          <reference field="0" count="1" selected="0">
            <x v="0"/>
          </reference>
          <reference field="1" count="1" selected="0">
            <x v="338"/>
          </reference>
          <reference field="2" count="1" selected="0">
            <x v="318"/>
          </reference>
          <reference field="3" count="1" selected="0">
            <x v="2"/>
          </reference>
          <reference field="4" count="1">
            <x v="136"/>
          </reference>
        </references>
      </pivotArea>
    </format>
    <format dxfId="1291">
      <pivotArea dataOnly="0" labelOnly="1" outline="0" fieldPosition="0">
        <references count="5">
          <reference field="0" count="1" selected="0">
            <x v="0"/>
          </reference>
          <reference field="1" count="1" selected="0">
            <x v="339"/>
          </reference>
          <reference field="2" count="1" selected="0">
            <x v="318"/>
          </reference>
          <reference field="3" count="1" selected="0">
            <x v="2"/>
          </reference>
          <reference field="4" count="1">
            <x v="181"/>
          </reference>
        </references>
      </pivotArea>
    </format>
    <format dxfId="1290">
      <pivotArea dataOnly="0" labelOnly="1" outline="0" fieldPosition="0">
        <references count="5">
          <reference field="0" count="1" selected="0">
            <x v="0"/>
          </reference>
          <reference field="1" count="1" selected="0">
            <x v="340"/>
          </reference>
          <reference field="2" count="1" selected="0">
            <x v="318"/>
          </reference>
          <reference field="3" count="1" selected="0">
            <x v="2"/>
          </reference>
          <reference field="4" count="1">
            <x v="210"/>
          </reference>
        </references>
      </pivotArea>
    </format>
    <format dxfId="1289">
      <pivotArea dataOnly="0" labelOnly="1" outline="0" fieldPosition="0">
        <references count="5">
          <reference field="0" count="1" selected="0">
            <x v="0"/>
          </reference>
          <reference field="1" count="1" selected="0">
            <x v="341"/>
          </reference>
          <reference field="2" count="1" selected="0">
            <x v="318"/>
          </reference>
          <reference field="3" count="1" selected="0">
            <x v="2"/>
          </reference>
          <reference field="4" count="1">
            <x v="227"/>
          </reference>
        </references>
      </pivotArea>
    </format>
    <format dxfId="1288">
      <pivotArea dataOnly="0" labelOnly="1" outline="0" fieldPosition="0">
        <references count="5">
          <reference field="0" count="1" selected="0">
            <x v="0"/>
          </reference>
          <reference field="1" count="1" selected="0">
            <x v="342"/>
          </reference>
          <reference field="2" count="1" selected="0">
            <x v="318"/>
          </reference>
          <reference field="3" count="1" selected="0">
            <x v="2"/>
          </reference>
          <reference field="4" count="1">
            <x v="238"/>
          </reference>
        </references>
      </pivotArea>
    </format>
    <format dxfId="1287">
      <pivotArea dataOnly="0" labelOnly="1" outline="0" fieldPosition="0">
        <references count="5">
          <reference field="0" count="1" selected="0">
            <x v="0"/>
          </reference>
          <reference field="1" count="1" selected="0">
            <x v="343"/>
          </reference>
          <reference field="2" count="1" selected="0">
            <x v="319"/>
          </reference>
          <reference field="3" count="1" selected="0">
            <x v="2"/>
          </reference>
          <reference field="4" count="1">
            <x v="110"/>
          </reference>
        </references>
      </pivotArea>
    </format>
    <format dxfId="1286">
      <pivotArea dataOnly="0" labelOnly="1" outline="0" fieldPosition="0">
        <references count="5">
          <reference field="0" count="1" selected="0">
            <x v="0"/>
          </reference>
          <reference field="1" count="1" selected="0">
            <x v="344"/>
          </reference>
          <reference field="2" count="1" selected="0">
            <x v="319"/>
          </reference>
          <reference field="3" count="1" selected="0">
            <x v="2"/>
          </reference>
          <reference field="4" count="1">
            <x v="142"/>
          </reference>
        </references>
      </pivotArea>
    </format>
    <format dxfId="1285">
      <pivotArea dataOnly="0" labelOnly="1" outline="0" fieldPosition="0">
        <references count="5">
          <reference field="0" count="1" selected="0">
            <x v="0"/>
          </reference>
          <reference field="1" count="1" selected="0">
            <x v="345"/>
          </reference>
          <reference field="2" count="1" selected="0">
            <x v="319"/>
          </reference>
          <reference field="3" count="1" selected="0">
            <x v="2"/>
          </reference>
          <reference field="4" count="1">
            <x v="188"/>
          </reference>
        </references>
      </pivotArea>
    </format>
    <format dxfId="1284">
      <pivotArea dataOnly="0" labelOnly="1" outline="0" fieldPosition="0">
        <references count="5">
          <reference field="0" count="1" selected="0">
            <x v="0"/>
          </reference>
          <reference field="1" count="1" selected="0">
            <x v="346"/>
          </reference>
          <reference field="2" count="1" selected="0">
            <x v="319"/>
          </reference>
          <reference field="3" count="1" selected="0">
            <x v="2"/>
          </reference>
          <reference field="4" count="1">
            <x v="232"/>
          </reference>
        </references>
      </pivotArea>
    </format>
    <format dxfId="1283">
      <pivotArea dataOnly="0" labelOnly="1" outline="0" fieldPosition="0">
        <references count="5">
          <reference field="0" count="1" selected="0">
            <x v="0"/>
          </reference>
          <reference field="1" count="1" selected="0">
            <x v="347"/>
          </reference>
          <reference field="2" count="1" selected="0">
            <x v="319"/>
          </reference>
          <reference field="3" count="1" selected="0">
            <x v="2"/>
          </reference>
          <reference field="4" count="1">
            <x v="247"/>
          </reference>
        </references>
      </pivotArea>
    </format>
    <format dxfId="1282">
      <pivotArea dataOnly="0" labelOnly="1" outline="0" fieldPosition="0">
        <references count="5">
          <reference field="0" count="1" selected="0">
            <x v="0"/>
          </reference>
          <reference field="1" count="1" selected="0">
            <x v="348"/>
          </reference>
          <reference field="2" count="1" selected="0">
            <x v="320"/>
          </reference>
          <reference field="3" count="1" selected="0">
            <x v="2"/>
          </reference>
          <reference field="4" count="1">
            <x v="60"/>
          </reference>
        </references>
      </pivotArea>
    </format>
    <format dxfId="1281">
      <pivotArea dataOnly="0" labelOnly="1" outline="0" fieldPosition="0">
        <references count="5">
          <reference field="0" count="1" selected="0">
            <x v="0"/>
          </reference>
          <reference field="1" count="1" selected="0">
            <x v="349"/>
          </reference>
          <reference field="2" count="1" selected="0">
            <x v="320"/>
          </reference>
          <reference field="3" count="1" selected="0">
            <x v="2"/>
          </reference>
          <reference field="4" count="1">
            <x v="73"/>
          </reference>
        </references>
      </pivotArea>
    </format>
    <format dxfId="1280">
      <pivotArea dataOnly="0" labelOnly="1" outline="0" fieldPosition="0">
        <references count="5">
          <reference field="0" count="1" selected="0">
            <x v="0"/>
          </reference>
          <reference field="1" count="1" selected="0">
            <x v="350"/>
          </reference>
          <reference field="2" count="1" selected="0">
            <x v="320"/>
          </reference>
          <reference field="3" count="1" selected="0">
            <x v="2"/>
          </reference>
          <reference field="4" count="1">
            <x v="239"/>
          </reference>
        </references>
      </pivotArea>
    </format>
    <format dxfId="1279">
      <pivotArea dataOnly="0" labelOnly="1" outline="0" fieldPosition="0">
        <references count="5">
          <reference field="0" count="1" selected="0">
            <x v="0"/>
          </reference>
          <reference field="1" count="1" selected="0">
            <x v="351"/>
          </reference>
          <reference field="2" count="1" selected="0">
            <x v="320"/>
          </reference>
          <reference field="3" count="1" selected="0">
            <x v="2"/>
          </reference>
          <reference field="4" count="1">
            <x v="242"/>
          </reference>
        </references>
      </pivotArea>
    </format>
    <format dxfId="1278">
      <pivotArea dataOnly="0" labelOnly="1" outline="0" fieldPosition="0">
        <references count="5">
          <reference field="0" count="1" selected="0">
            <x v="0"/>
          </reference>
          <reference field="1" count="1" selected="0">
            <x v="352"/>
          </reference>
          <reference field="2" count="1" selected="0">
            <x v="321"/>
          </reference>
          <reference field="3" count="1" selected="0">
            <x v="2"/>
          </reference>
          <reference field="4" count="1">
            <x v="38"/>
          </reference>
        </references>
      </pivotArea>
    </format>
    <format dxfId="1277">
      <pivotArea dataOnly="0" labelOnly="1" outline="0" fieldPosition="0">
        <references count="5">
          <reference field="0" count="1" selected="0">
            <x v="0"/>
          </reference>
          <reference field="1" count="1" selected="0">
            <x v="353"/>
          </reference>
          <reference field="2" count="1" selected="0">
            <x v="321"/>
          </reference>
          <reference field="3" count="1" selected="0">
            <x v="2"/>
          </reference>
          <reference field="4" count="1">
            <x v="56"/>
          </reference>
        </references>
      </pivotArea>
    </format>
    <format dxfId="1276">
      <pivotArea dataOnly="0" labelOnly="1" outline="0" fieldPosition="0">
        <references count="5">
          <reference field="0" count="1" selected="0">
            <x v="0"/>
          </reference>
          <reference field="1" count="1" selected="0">
            <x v="354"/>
          </reference>
          <reference field="2" count="1" selected="0">
            <x v="321"/>
          </reference>
          <reference field="3" count="1" selected="0">
            <x v="2"/>
          </reference>
          <reference field="4" count="1">
            <x v="110"/>
          </reference>
        </references>
      </pivotArea>
    </format>
    <format dxfId="1275">
      <pivotArea dataOnly="0" labelOnly="1" outline="0" fieldPosition="0">
        <references count="5">
          <reference field="0" count="1" selected="0">
            <x v="0"/>
          </reference>
          <reference field="1" count="1" selected="0">
            <x v="355"/>
          </reference>
          <reference field="2" count="1" selected="0">
            <x v="321"/>
          </reference>
          <reference field="3" count="1" selected="0">
            <x v="2"/>
          </reference>
          <reference field="4" count="1">
            <x v="131"/>
          </reference>
        </references>
      </pivotArea>
    </format>
    <format dxfId="1274">
      <pivotArea dataOnly="0" labelOnly="1" outline="0" fieldPosition="0">
        <references count="5">
          <reference field="0" count="1" selected="0">
            <x v="0"/>
          </reference>
          <reference field="1" count="1" selected="0">
            <x v="356"/>
          </reference>
          <reference field="2" count="1" selected="0">
            <x v="321"/>
          </reference>
          <reference field="3" count="1" selected="0">
            <x v="2"/>
          </reference>
          <reference field="4" count="1">
            <x v="135"/>
          </reference>
        </references>
      </pivotArea>
    </format>
    <format dxfId="1273">
      <pivotArea dataOnly="0" labelOnly="1" outline="0" fieldPosition="0">
        <references count="5">
          <reference field="0" count="1" selected="0">
            <x v="0"/>
          </reference>
          <reference field="1" count="1" selected="0">
            <x v="357"/>
          </reference>
          <reference field="2" count="1" selected="0">
            <x v="321"/>
          </reference>
          <reference field="3" count="1" selected="0">
            <x v="2"/>
          </reference>
          <reference field="4" count="1">
            <x v="157"/>
          </reference>
        </references>
      </pivotArea>
    </format>
    <format dxfId="1272">
      <pivotArea dataOnly="0" labelOnly="1" outline="0" fieldPosition="0">
        <references count="5">
          <reference field="0" count="1" selected="0">
            <x v="0"/>
          </reference>
          <reference field="1" count="1" selected="0">
            <x v="358"/>
          </reference>
          <reference field="2" count="1" selected="0">
            <x v="321"/>
          </reference>
          <reference field="3" count="1" selected="0">
            <x v="2"/>
          </reference>
          <reference field="4" count="1">
            <x v="245"/>
          </reference>
        </references>
      </pivotArea>
    </format>
    <format dxfId="1271">
      <pivotArea dataOnly="0" labelOnly="1" outline="0" fieldPosition="0">
        <references count="5">
          <reference field="0" count="1" selected="0">
            <x v="0"/>
          </reference>
          <reference field="1" count="1" selected="0">
            <x v="359"/>
          </reference>
          <reference field="2" count="1" selected="0">
            <x v="322"/>
          </reference>
          <reference field="3" count="1" selected="0">
            <x v="2"/>
          </reference>
          <reference field="4" count="1">
            <x v="72"/>
          </reference>
        </references>
      </pivotArea>
    </format>
    <format dxfId="1270">
      <pivotArea dataOnly="0" labelOnly="1" outline="0" fieldPosition="0">
        <references count="5">
          <reference field="0" count="1" selected="0">
            <x v="0"/>
          </reference>
          <reference field="1" count="1" selected="0">
            <x v="360"/>
          </reference>
          <reference field="2" count="1" selected="0">
            <x v="322"/>
          </reference>
          <reference field="3" count="1" selected="0">
            <x v="2"/>
          </reference>
          <reference field="4" count="1">
            <x v="75"/>
          </reference>
        </references>
      </pivotArea>
    </format>
    <format dxfId="1269">
      <pivotArea dataOnly="0" labelOnly="1" outline="0" fieldPosition="0">
        <references count="5">
          <reference field="0" count="1" selected="0">
            <x v="0"/>
          </reference>
          <reference field="1" count="1" selected="0">
            <x v="361"/>
          </reference>
          <reference field="2" count="1" selected="0">
            <x v="322"/>
          </reference>
          <reference field="3" count="1" selected="0">
            <x v="2"/>
          </reference>
          <reference field="4" count="1">
            <x v="223"/>
          </reference>
        </references>
      </pivotArea>
    </format>
    <format dxfId="1268">
      <pivotArea dataOnly="0" labelOnly="1" outline="0" fieldPosition="0">
        <references count="5">
          <reference field="0" count="1" selected="0">
            <x v="0"/>
          </reference>
          <reference field="1" count="1" selected="0">
            <x v="362"/>
          </reference>
          <reference field="2" count="1" selected="0">
            <x v="322"/>
          </reference>
          <reference field="3" count="1" selected="0">
            <x v="2"/>
          </reference>
          <reference field="4" count="1">
            <x v="228"/>
          </reference>
        </references>
      </pivotArea>
    </format>
    <format dxfId="1267">
      <pivotArea dataOnly="0" labelOnly="1" outline="0" fieldPosition="0">
        <references count="5">
          <reference field="0" count="1" selected="0">
            <x v="0"/>
          </reference>
          <reference field="1" count="1" selected="0">
            <x v="363"/>
          </reference>
          <reference field="2" count="1" selected="0">
            <x v="322"/>
          </reference>
          <reference field="3" count="1" selected="0">
            <x v="2"/>
          </reference>
          <reference field="4" count="1">
            <x v="231"/>
          </reference>
        </references>
      </pivotArea>
    </format>
    <format dxfId="1266">
      <pivotArea dataOnly="0" labelOnly="1" outline="0" fieldPosition="0">
        <references count="5">
          <reference field="0" count="1" selected="0">
            <x v="0"/>
          </reference>
          <reference field="1" count="1" selected="0">
            <x v="364"/>
          </reference>
          <reference field="2" count="1" selected="0">
            <x v="322"/>
          </reference>
          <reference field="3" count="1" selected="0">
            <x v="2"/>
          </reference>
          <reference field="4" count="1">
            <x v="240"/>
          </reference>
        </references>
      </pivotArea>
    </format>
    <format dxfId="1265">
      <pivotArea dataOnly="0" labelOnly="1" outline="0" fieldPosition="0">
        <references count="5">
          <reference field="0" count="1" selected="0">
            <x v="0"/>
          </reference>
          <reference field="1" count="1" selected="0">
            <x v="365"/>
          </reference>
          <reference field="2" count="1" selected="0">
            <x v="322"/>
          </reference>
          <reference field="3" count="1" selected="0">
            <x v="2"/>
          </reference>
          <reference field="4" count="1">
            <x v="272"/>
          </reference>
        </references>
      </pivotArea>
    </format>
    <format dxfId="1264">
      <pivotArea dataOnly="0" labelOnly="1" outline="0" fieldPosition="0">
        <references count="5">
          <reference field="0" count="1" selected="0">
            <x v="0"/>
          </reference>
          <reference field="1" count="1" selected="0">
            <x v="366"/>
          </reference>
          <reference field="2" count="1" selected="0">
            <x v="322"/>
          </reference>
          <reference field="3" count="1" selected="0">
            <x v="2"/>
          </reference>
          <reference field="4" count="1">
            <x v="273"/>
          </reference>
        </references>
      </pivotArea>
    </format>
    <format dxfId="1263">
      <pivotArea dataOnly="0" labelOnly="1" outline="0" fieldPosition="0">
        <references count="5">
          <reference field="0" count="1" selected="0">
            <x v="0"/>
          </reference>
          <reference field="1" count="1" selected="0">
            <x v="367"/>
          </reference>
          <reference field="2" count="1" selected="0">
            <x v="322"/>
          </reference>
          <reference field="3" count="1" selected="0">
            <x v="2"/>
          </reference>
          <reference field="4" count="1">
            <x v="284"/>
          </reference>
        </references>
      </pivotArea>
    </format>
    <format dxfId="1262">
      <pivotArea dataOnly="0" labelOnly="1" outline="0" fieldPosition="0">
        <references count="5">
          <reference field="0" count="1" selected="0">
            <x v="0"/>
          </reference>
          <reference field="1" count="1" selected="0">
            <x v="368"/>
          </reference>
          <reference field="2" count="1" selected="0">
            <x v="322"/>
          </reference>
          <reference field="3" count="1" selected="0">
            <x v="2"/>
          </reference>
          <reference field="4" count="1">
            <x v="288"/>
          </reference>
        </references>
      </pivotArea>
    </format>
    <format dxfId="1261">
      <pivotArea dataOnly="0" labelOnly="1" outline="0" fieldPosition="0">
        <references count="5">
          <reference field="0" count="1" selected="0">
            <x v="0"/>
          </reference>
          <reference field="1" count="1" selected="0">
            <x v="369"/>
          </reference>
          <reference field="2" count="1" selected="0">
            <x v="323"/>
          </reference>
          <reference field="3" count="1" selected="0">
            <x v="2"/>
          </reference>
          <reference field="4" count="1">
            <x v="52"/>
          </reference>
        </references>
      </pivotArea>
    </format>
    <format dxfId="1260">
      <pivotArea dataOnly="0" labelOnly="1" outline="0" fieldPosition="0">
        <references count="5">
          <reference field="0" count="1" selected="0">
            <x v="0"/>
          </reference>
          <reference field="1" count="1" selected="0">
            <x v="370"/>
          </reference>
          <reference field="2" count="1" selected="0">
            <x v="323"/>
          </reference>
          <reference field="3" count="1" selected="0">
            <x v="2"/>
          </reference>
          <reference field="4" count="1">
            <x v="64"/>
          </reference>
        </references>
      </pivotArea>
    </format>
    <format dxfId="1259">
      <pivotArea dataOnly="0" labelOnly="1" outline="0" fieldPosition="0">
        <references count="5">
          <reference field="0" count="1" selected="0">
            <x v="0"/>
          </reference>
          <reference field="1" count="1" selected="0">
            <x v="371"/>
          </reference>
          <reference field="2" count="1" selected="0">
            <x v="323"/>
          </reference>
          <reference field="3" count="1" selected="0">
            <x v="2"/>
          </reference>
          <reference field="4" count="1">
            <x v="74"/>
          </reference>
        </references>
      </pivotArea>
    </format>
    <format dxfId="1258">
      <pivotArea dataOnly="0" labelOnly="1" outline="0" fieldPosition="0">
        <references count="5">
          <reference field="0" count="1" selected="0">
            <x v="0"/>
          </reference>
          <reference field="1" count="1" selected="0">
            <x v="372"/>
          </reference>
          <reference field="2" count="1" selected="0">
            <x v="323"/>
          </reference>
          <reference field="3" count="1" selected="0">
            <x v="2"/>
          </reference>
          <reference field="4" count="1">
            <x v="80"/>
          </reference>
        </references>
      </pivotArea>
    </format>
    <format dxfId="1257">
      <pivotArea dataOnly="0" labelOnly="1" outline="0" fieldPosition="0">
        <references count="5">
          <reference field="0" count="1" selected="0">
            <x v="0"/>
          </reference>
          <reference field="1" count="1" selected="0">
            <x v="373"/>
          </reference>
          <reference field="2" count="1" selected="0">
            <x v="323"/>
          </reference>
          <reference field="3" count="1" selected="0">
            <x v="2"/>
          </reference>
          <reference field="4" count="1">
            <x v="128"/>
          </reference>
        </references>
      </pivotArea>
    </format>
    <format dxfId="1256">
      <pivotArea dataOnly="0" labelOnly="1" outline="0" fieldPosition="0">
        <references count="5">
          <reference field="0" count="1" selected="0">
            <x v="0"/>
          </reference>
          <reference field="1" count="1" selected="0">
            <x v="374"/>
          </reference>
          <reference field="2" count="1" selected="0">
            <x v="323"/>
          </reference>
          <reference field="3" count="1" selected="0">
            <x v="2"/>
          </reference>
          <reference field="4" count="1">
            <x v="170"/>
          </reference>
        </references>
      </pivotArea>
    </format>
    <format dxfId="1255">
      <pivotArea dataOnly="0" labelOnly="1" outline="0" fieldPosition="0">
        <references count="5">
          <reference field="0" count="1" selected="0">
            <x v="0"/>
          </reference>
          <reference field="1" count="1" selected="0">
            <x v="375"/>
          </reference>
          <reference field="2" count="1" selected="0">
            <x v="323"/>
          </reference>
          <reference field="3" count="1" selected="0">
            <x v="2"/>
          </reference>
          <reference field="4" count="1">
            <x v="209"/>
          </reference>
        </references>
      </pivotArea>
    </format>
    <format dxfId="1254">
      <pivotArea dataOnly="0" labelOnly="1" outline="0" fieldPosition="0">
        <references count="5">
          <reference field="0" count="1" selected="0">
            <x v="0"/>
          </reference>
          <reference field="1" count="1" selected="0">
            <x v="376"/>
          </reference>
          <reference field="2" count="1" selected="0">
            <x v="323"/>
          </reference>
          <reference field="3" count="1" selected="0">
            <x v="2"/>
          </reference>
          <reference field="4" count="1">
            <x v="231"/>
          </reference>
        </references>
      </pivotArea>
    </format>
    <format dxfId="1253">
      <pivotArea dataOnly="0" labelOnly="1" outline="0" fieldPosition="0">
        <references count="5">
          <reference field="0" count="1" selected="0">
            <x v="0"/>
          </reference>
          <reference field="1" count="1" selected="0">
            <x v="377"/>
          </reference>
          <reference field="2" count="1" selected="0">
            <x v="324"/>
          </reference>
          <reference field="3" count="1" selected="0">
            <x v="2"/>
          </reference>
          <reference field="4" count="1">
            <x v="64"/>
          </reference>
        </references>
      </pivotArea>
    </format>
    <format dxfId="1252">
      <pivotArea dataOnly="0" labelOnly="1" outline="0" fieldPosition="0">
        <references count="5">
          <reference field="0" count="1" selected="0">
            <x v="0"/>
          </reference>
          <reference field="1" count="1" selected="0">
            <x v="378"/>
          </reference>
          <reference field="2" count="1" selected="0">
            <x v="324"/>
          </reference>
          <reference field="3" count="1" selected="0">
            <x v="2"/>
          </reference>
          <reference field="4" count="1">
            <x v="110"/>
          </reference>
        </references>
      </pivotArea>
    </format>
    <format dxfId="1251">
      <pivotArea dataOnly="0" labelOnly="1" outline="0" fieldPosition="0">
        <references count="5">
          <reference field="0" count="1" selected="0">
            <x v="0"/>
          </reference>
          <reference field="1" count="1" selected="0">
            <x v="379"/>
          </reference>
          <reference field="2" count="1" selected="0">
            <x v="324"/>
          </reference>
          <reference field="3" count="1" selected="0">
            <x v="2"/>
          </reference>
          <reference field="4" count="1">
            <x v="181"/>
          </reference>
        </references>
      </pivotArea>
    </format>
    <format dxfId="1250">
      <pivotArea dataOnly="0" labelOnly="1" outline="0" fieldPosition="0">
        <references count="5">
          <reference field="0" count="1" selected="0">
            <x v="0"/>
          </reference>
          <reference field="1" count="1" selected="0">
            <x v="380"/>
          </reference>
          <reference field="2" count="1" selected="0">
            <x v="324"/>
          </reference>
          <reference field="3" count="1" selected="0">
            <x v="2"/>
          </reference>
          <reference field="4" count="1">
            <x v="190"/>
          </reference>
        </references>
      </pivotArea>
    </format>
    <format dxfId="1249">
      <pivotArea dataOnly="0" labelOnly="1" outline="0" fieldPosition="0">
        <references count="5">
          <reference field="0" count="1" selected="0">
            <x v="0"/>
          </reference>
          <reference field="1" count="1" selected="0">
            <x v="381"/>
          </reference>
          <reference field="2" count="1" selected="0">
            <x v="324"/>
          </reference>
          <reference field="3" count="1" selected="0">
            <x v="2"/>
          </reference>
          <reference field="4" count="1">
            <x v="225"/>
          </reference>
        </references>
      </pivotArea>
    </format>
    <format dxfId="1248">
      <pivotArea dataOnly="0" labelOnly="1" outline="0" fieldPosition="0">
        <references count="5">
          <reference field="0" count="1" selected="0">
            <x v="0"/>
          </reference>
          <reference field="1" count="1" selected="0">
            <x v="382"/>
          </reference>
          <reference field="2" count="1" selected="0">
            <x v="324"/>
          </reference>
          <reference field="3" count="1" selected="0">
            <x v="2"/>
          </reference>
          <reference field="4" count="1">
            <x v="246"/>
          </reference>
        </references>
      </pivotArea>
    </format>
    <format dxfId="1247">
      <pivotArea dataOnly="0" labelOnly="1" outline="0" fieldPosition="0">
        <references count="5">
          <reference field="0" count="1" selected="0">
            <x v="0"/>
          </reference>
          <reference field="1" count="1" selected="0">
            <x v="383"/>
          </reference>
          <reference field="2" count="1" selected="0">
            <x v="325"/>
          </reference>
          <reference field="3" count="1" selected="0">
            <x v="2"/>
          </reference>
          <reference field="4" count="1">
            <x v="70"/>
          </reference>
        </references>
      </pivotArea>
    </format>
    <format dxfId="1246">
      <pivotArea dataOnly="0" labelOnly="1" outline="0" fieldPosition="0">
        <references count="5">
          <reference field="0" count="1" selected="0">
            <x v="0"/>
          </reference>
          <reference field="1" count="1" selected="0">
            <x v="384"/>
          </reference>
          <reference field="2" count="1" selected="0">
            <x v="325"/>
          </reference>
          <reference field="3" count="1" selected="0">
            <x v="2"/>
          </reference>
          <reference field="4" count="1">
            <x v="75"/>
          </reference>
        </references>
      </pivotArea>
    </format>
    <format dxfId="1245">
      <pivotArea dataOnly="0" labelOnly="1" outline="0" fieldPosition="0">
        <references count="5">
          <reference field="0" count="1" selected="0">
            <x v="0"/>
          </reference>
          <reference field="1" count="1" selected="0">
            <x v="385"/>
          </reference>
          <reference field="2" count="1" selected="0">
            <x v="325"/>
          </reference>
          <reference field="3" count="1" selected="0">
            <x v="2"/>
          </reference>
          <reference field="4" count="1">
            <x v="112"/>
          </reference>
        </references>
      </pivotArea>
    </format>
    <format dxfId="1244">
      <pivotArea dataOnly="0" labelOnly="1" outline="0" fieldPosition="0">
        <references count="5">
          <reference field="0" count="1" selected="0">
            <x v="0"/>
          </reference>
          <reference field="1" count="1" selected="0">
            <x v="386"/>
          </reference>
          <reference field="2" count="1" selected="0">
            <x v="325"/>
          </reference>
          <reference field="3" count="1" selected="0">
            <x v="2"/>
          </reference>
          <reference field="4" count="1">
            <x v="261"/>
          </reference>
        </references>
      </pivotArea>
    </format>
    <format dxfId="1243">
      <pivotArea dataOnly="0" labelOnly="1" outline="0" fieldPosition="0">
        <references count="5">
          <reference field="0" count="1" selected="0">
            <x v="0"/>
          </reference>
          <reference field="1" count="1" selected="0">
            <x v="387"/>
          </reference>
          <reference field="2" count="1" selected="0">
            <x v="326"/>
          </reference>
          <reference field="3" count="1" selected="0">
            <x v="2"/>
          </reference>
          <reference field="4" count="1">
            <x v="110"/>
          </reference>
        </references>
      </pivotArea>
    </format>
    <format dxfId="1242">
      <pivotArea dataOnly="0" labelOnly="1" outline="0" fieldPosition="0">
        <references count="5">
          <reference field="0" count="1" selected="0">
            <x v="0"/>
          </reference>
          <reference field="1" count="1" selected="0">
            <x v="388"/>
          </reference>
          <reference field="2" count="1" selected="0">
            <x v="326"/>
          </reference>
          <reference field="3" count="1" selected="0">
            <x v="2"/>
          </reference>
          <reference field="4" count="1">
            <x v="172"/>
          </reference>
        </references>
      </pivotArea>
    </format>
    <format dxfId="1241">
      <pivotArea dataOnly="0" labelOnly="1" outline="0" fieldPosition="0">
        <references count="5">
          <reference field="0" count="1" selected="0">
            <x v="0"/>
          </reference>
          <reference field="1" count="1" selected="0">
            <x v="389"/>
          </reference>
          <reference field="2" count="1" selected="0">
            <x v="326"/>
          </reference>
          <reference field="3" count="1" selected="0">
            <x v="2"/>
          </reference>
          <reference field="4" count="1">
            <x v="184"/>
          </reference>
        </references>
      </pivotArea>
    </format>
    <format dxfId="1240">
      <pivotArea dataOnly="0" labelOnly="1" outline="0" fieldPosition="0">
        <references count="5">
          <reference field="0" count="1" selected="0">
            <x v="0"/>
          </reference>
          <reference field="1" count="1" selected="0">
            <x v="390"/>
          </reference>
          <reference field="2" count="1" selected="0">
            <x v="327"/>
          </reference>
          <reference field="3" count="1" selected="0">
            <x v="2"/>
          </reference>
          <reference field="4" count="1">
            <x v="45"/>
          </reference>
        </references>
      </pivotArea>
    </format>
    <format dxfId="1239">
      <pivotArea dataOnly="0" labelOnly="1" outline="0" fieldPosition="0">
        <references count="5">
          <reference field="0" count="1" selected="0">
            <x v="0"/>
          </reference>
          <reference field="1" count="1" selected="0">
            <x v="391"/>
          </reference>
          <reference field="2" count="1" selected="0">
            <x v="327"/>
          </reference>
          <reference field="3" count="1" selected="0">
            <x v="2"/>
          </reference>
          <reference field="4" count="1">
            <x v="58"/>
          </reference>
        </references>
      </pivotArea>
    </format>
    <format dxfId="1238">
      <pivotArea dataOnly="0" labelOnly="1" outline="0" fieldPosition="0">
        <references count="5">
          <reference field="0" count="1" selected="0">
            <x v="0"/>
          </reference>
          <reference field="1" count="1" selected="0">
            <x v="392"/>
          </reference>
          <reference field="2" count="1" selected="0">
            <x v="327"/>
          </reference>
          <reference field="3" count="1" selected="0">
            <x v="2"/>
          </reference>
          <reference field="4" count="1">
            <x v="69"/>
          </reference>
        </references>
      </pivotArea>
    </format>
    <format dxfId="1237">
      <pivotArea dataOnly="0" labelOnly="1" outline="0" fieldPosition="0">
        <references count="5">
          <reference field="0" count="1" selected="0">
            <x v="0"/>
          </reference>
          <reference field="1" count="1" selected="0">
            <x v="393"/>
          </reference>
          <reference field="2" count="1" selected="0">
            <x v="327"/>
          </reference>
          <reference field="3" count="1" selected="0">
            <x v="2"/>
          </reference>
          <reference field="4" count="1">
            <x v="82"/>
          </reference>
        </references>
      </pivotArea>
    </format>
    <format dxfId="1236">
      <pivotArea dataOnly="0" labelOnly="1" outline="0" fieldPosition="0">
        <references count="5">
          <reference field="0" count="1" selected="0">
            <x v="0"/>
          </reference>
          <reference field="1" count="1" selected="0">
            <x v="394"/>
          </reference>
          <reference field="2" count="1" selected="0">
            <x v="327"/>
          </reference>
          <reference field="3" count="1" selected="0">
            <x v="2"/>
          </reference>
          <reference field="4" count="1">
            <x v="98"/>
          </reference>
        </references>
      </pivotArea>
    </format>
    <format dxfId="1235">
      <pivotArea dataOnly="0" labelOnly="1" outline="0" fieldPosition="0">
        <references count="5">
          <reference field="0" count="1" selected="0">
            <x v="0"/>
          </reference>
          <reference field="1" count="1" selected="0">
            <x v="395"/>
          </reference>
          <reference field="2" count="1" selected="0">
            <x v="327"/>
          </reference>
          <reference field="3" count="1" selected="0">
            <x v="2"/>
          </reference>
          <reference field="4" count="1">
            <x v="104"/>
          </reference>
        </references>
      </pivotArea>
    </format>
    <format dxfId="1234">
      <pivotArea dataOnly="0" labelOnly="1" outline="0" fieldPosition="0">
        <references count="5">
          <reference field="0" count="1" selected="0">
            <x v="0"/>
          </reference>
          <reference field="1" count="1" selected="0">
            <x v="396"/>
          </reference>
          <reference field="2" count="1" selected="0">
            <x v="327"/>
          </reference>
          <reference field="3" count="1" selected="0">
            <x v="2"/>
          </reference>
          <reference field="4" count="1">
            <x v="110"/>
          </reference>
        </references>
      </pivotArea>
    </format>
    <format dxfId="1233">
      <pivotArea dataOnly="0" labelOnly="1" outline="0" fieldPosition="0">
        <references count="5">
          <reference field="0" count="1" selected="0">
            <x v="0"/>
          </reference>
          <reference field="1" count="1" selected="0">
            <x v="397"/>
          </reference>
          <reference field="2" count="1" selected="0">
            <x v="327"/>
          </reference>
          <reference field="3" count="1" selected="0">
            <x v="2"/>
          </reference>
          <reference field="4" count="1">
            <x v="146"/>
          </reference>
        </references>
      </pivotArea>
    </format>
    <format dxfId="1232">
      <pivotArea dataOnly="0" labelOnly="1" outline="0" fieldPosition="0">
        <references count="5">
          <reference field="0" count="1" selected="0">
            <x v="0"/>
          </reference>
          <reference field="1" count="1" selected="0">
            <x v="398"/>
          </reference>
          <reference field="2" count="1" selected="0">
            <x v="327"/>
          </reference>
          <reference field="3" count="1" selected="0">
            <x v="2"/>
          </reference>
          <reference field="4" count="1">
            <x v="159"/>
          </reference>
        </references>
      </pivotArea>
    </format>
    <format dxfId="1231">
      <pivotArea dataOnly="0" labelOnly="1" outline="0" fieldPosition="0">
        <references count="5">
          <reference field="0" count="1" selected="0">
            <x v="0"/>
          </reference>
          <reference field="1" count="1" selected="0">
            <x v="399"/>
          </reference>
          <reference field="2" count="1" selected="0">
            <x v="327"/>
          </reference>
          <reference field="3" count="1" selected="0">
            <x v="2"/>
          </reference>
          <reference field="4" count="1">
            <x v="190"/>
          </reference>
        </references>
      </pivotArea>
    </format>
    <format dxfId="1230">
      <pivotArea dataOnly="0" labelOnly="1" outline="0" fieldPosition="0">
        <references count="5">
          <reference field="0" count="1" selected="0">
            <x v="0"/>
          </reference>
          <reference field="1" count="1" selected="0">
            <x v="400"/>
          </reference>
          <reference field="2" count="1" selected="0">
            <x v="327"/>
          </reference>
          <reference field="3" count="1" selected="0">
            <x v="2"/>
          </reference>
          <reference field="4" count="1">
            <x v="219"/>
          </reference>
        </references>
      </pivotArea>
    </format>
    <format dxfId="1229">
      <pivotArea dataOnly="0" labelOnly="1" outline="0" fieldPosition="0">
        <references count="5">
          <reference field="0" count="1" selected="0">
            <x v="0"/>
          </reference>
          <reference field="1" count="1" selected="0">
            <x v="401"/>
          </reference>
          <reference field="2" count="1" selected="0">
            <x v="327"/>
          </reference>
          <reference field="3" count="1" selected="0">
            <x v="2"/>
          </reference>
          <reference field="4" count="1">
            <x v="227"/>
          </reference>
        </references>
      </pivotArea>
    </format>
    <format dxfId="1228">
      <pivotArea dataOnly="0" labelOnly="1" outline="0" fieldPosition="0">
        <references count="5">
          <reference field="0" count="1" selected="0">
            <x v="0"/>
          </reference>
          <reference field="1" count="1" selected="0">
            <x v="402"/>
          </reference>
          <reference field="2" count="1" selected="0">
            <x v="327"/>
          </reference>
          <reference field="3" count="1" selected="0">
            <x v="2"/>
          </reference>
          <reference field="4" count="1">
            <x v="228"/>
          </reference>
        </references>
      </pivotArea>
    </format>
    <format dxfId="1227">
      <pivotArea dataOnly="0" labelOnly="1" outline="0" fieldPosition="0">
        <references count="5">
          <reference field="0" count="1" selected="0">
            <x v="0"/>
          </reference>
          <reference field="1" count="1" selected="0">
            <x v="403"/>
          </reference>
          <reference field="2" count="1" selected="0">
            <x v="328"/>
          </reference>
          <reference field="3" count="1" selected="0">
            <x v="2"/>
          </reference>
          <reference field="4" count="1">
            <x v="21"/>
          </reference>
        </references>
      </pivotArea>
    </format>
    <format dxfId="1226">
      <pivotArea dataOnly="0" labelOnly="1" outline="0" fieldPosition="0">
        <references count="5">
          <reference field="0" count="1" selected="0">
            <x v="0"/>
          </reference>
          <reference field="1" count="1" selected="0">
            <x v="404"/>
          </reference>
          <reference field="2" count="1" selected="0">
            <x v="328"/>
          </reference>
          <reference field="3" count="1" selected="0">
            <x v="2"/>
          </reference>
          <reference field="4" count="1">
            <x v="91"/>
          </reference>
        </references>
      </pivotArea>
    </format>
    <format dxfId="1225">
      <pivotArea dataOnly="0" labelOnly="1" outline="0" fieldPosition="0">
        <references count="5">
          <reference field="0" count="1" selected="0">
            <x v="0"/>
          </reference>
          <reference field="1" count="1" selected="0">
            <x v="405"/>
          </reference>
          <reference field="2" count="1" selected="0">
            <x v="329"/>
          </reference>
          <reference field="3" count="1" selected="0">
            <x v="2"/>
          </reference>
          <reference field="4" count="1">
            <x v="100"/>
          </reference>
        </references>
      </pivotArea>
    </format>
    <format dxfId="1224">
      <pivotArea dataOnly="0" labelOnly="1" outline="0" fieldPosition="0">
        <references count="5">
          <reference field="0" count="1" selected="0">
            <x v="0"/>
          </reference>
          <reference field="1" count="1" selected="0">
            <x v="406"/>
          </reference>
          <reference field="2" count="1" selected="0">
            <x v="329"/>
          </reference>
          <reference field="3" count="1" selected="0">
            <x v="2"/>
          </reference>
          <reference field="4" count="1">
            <x v="110"/>
          </reference>
        </references>
      </pivotArea>
    </format>
    <format dxfId="1223">
      <pivotArea dataOnly="0" labelOnly="1" outline="0" fieldPosition="0">
        <references count="5">
          <reference field="0" count="1" selected="0">
            <x v="0"/>
          </reference>
          <reference field="1" count="1" selected="0">
            <x v="407"/>
          </reference>
          <reference field="2" count="1" selected="0">
            <x v="329"/>
          </reference>
          <reference field="3" count="1" selected="0">
            <x v="2"/>
          </reference>
          <reference field="4" count="1">
            <x v="172"/>
          </reference>
        </references>
      </pivotArea>
    </format>
    <format dxfId="1222">
      <pivotArea dataOnly="0" labelOnly="1" outline="0" fieldPosition="0">
        <references count="5">
          <reference field="0" count="1" selected="0">
            <x v="0"/>
          </reference>
          <reference field="1" count="1" selected="0">
            <x v="408"/>
          </reference>
          <reference field="2" count="1" selected="0">
            <x v="329"/>
          </reference>
          <reference field="3" count="1" selected="0">
            <x v="2"/>
          </reference>
          <reference field="4" count="1">
            <x v="202"/>
          </reference>
        </references>
      </pivotArea>
    </format>
    <format dxfId="1221">
      <pivotArea dataOnly="0" labelOnly="1" outline="0" fieldPosition="0">
        <references count="5">
          <reference field="0" count="1" selected="0">
            <x v="0"/>
          </reference>
          <reference field="1" count="1" selected="0">
            <x v="409"/>
          </reference>
          <reference field="2" count="1" selected="0">
            <x v="329"/>
          </reference>
          <reference field="3" count="1" selected="0">
            <x v="2"/>
          </reference>
          <reference field="4" count="1">
            <x v="254"/>
          </reference>
        </references>
      </pivotArea>
    </format>
    <format dxfId="1220">
      <pivotArea dataOnly="0" labelOnly="1" outline="0" fieldPosition="0">
        <references count="5">
          <reference field="0" count="1" selected="0">
            <x v="0"/>
          </reference>
          <reference field="1" count="1" selected="0">
            <x v="410"/>
          </reference>
          <reference field="2" count="1" selected="0">
            <x v="329"/>
          </reference>
          <reference field="3" count="1" selected="0">
            <x v="2"/>
          </reference>
          <reference field="4" count="1">
            <x v="262"/>
          </reference>
        </references>
      </pivotArea>
    </format>
    <format dxfId="1219">
      <pivotArea dataOnly="0" labelOnly="1" outline="0" fieldPosition="0">
        <references count="5">
          <reference field="0" count="1" selected="0">
            <x v="0"/>
          </reference>
          <reference field="1" count="1" selected="0">
            <x v="411"/>
          </reference>
          <reference field="2" count="1" selected="0">
            <x v="330"/>
          </reference>
          <reference field="3" count="1" selected="0">
            <x v="2"/>
          </reference>
          <reference field="4" count="1">
            <x v="110"/>
          </reference>
        </references>
      </pivotArea>
    </format>
    <format dxfId="1218">
      <pivotArea dataOnly="0" labelOnly="1" outline="0" fieldPosition="0">
        <references count="5">
          <reference field="0" count="1" selected="0">
            <x v="0"/>
          </reference>
          <reference field="1" count="1" selected="0">
            <x v="412"/>
          </reference>
          <reference field="2" count="1" selected="0">
            <x v="330"/>
          </reference>
          <reference field="3" count="1" selected="0">
            <x v="2"/>
          </reference>
          <reference field="4" count="1">
            <x v="223"/>
          </reference>
        </references>
      </pivotArea>
    </format>
    <format dxfId="1217">
      <pivotArea dataOnly="0" labelOnly="1" outline="0" fieldPosition="0">
        <references count="5">
          <reference field="0" count="1" selected="0">
            <x v="0"/>
          </reference>
          <reference field="1" count="1" selected="0">
            <x v="413"/>
          </reference>
          <reference field="2" count="1" selected="0">
            <x v="330"/>
          </reference>
          <reference field="3" count="1" selected="0">
            <x v="2"/>
          </reference>
          <reference field="4" count="1">
            <x v="269"/>
          </reference>
        </references>
      </pivotArea>
    </format>
    <format dxfId="1216">
      <pivotArea dataOnly="0" labelOnly="1" outline="0" fieldPosition="0">
        <references count="5">
          <reference field="0" count="1" selected="0">
            <x v="0"/>
          </reference>
          <reference field="1" count="1" selected="0">
            <x v="414"/>
          </reference>
          <reference field="2" count="1" selected="0">
            <x v="331"/>
          </reference>
          <reference field="3" count="1" selected="0">
            <x v="2"/>
          </reference>
          <reference field="4" count="1">
            <x v="59"/>
          </reference>
        </references>
      </pivotArea>
    </format>
    <format dxfId="1215">
      <pivotArea dataOnly="0" labelOnly="1" outline="0" fieldPosition="0">
        <references count="5">
          <reference field="0" count="1" selected="0">
            <x v="0"/>
          </reference>
          <reference field="1" count="1" selected="0">
            <x v="415"/>
          </reference>
          <reference field="2" count="1" selected="0">
            <x v="331"/>
          </reference>
          <reference field="3" count="1" selected="0">
            <x v="2"/>
          </reference>
          <reference field="4" count="1">
            <x v="68"/>
          </reference>
        </references>
      </pivotArea>
    </format>
    <format dxfId="1214">
      <pivotArea dataOnly="0" labelOnly="1" outline="0" fieldPosition="0">
        <references count="5">
          <reference field="0" count="1" selected="0">
            <x v="0"/>
          </reference>
          <reference field="1" count="1" selected="0">
            <x v="416"/>
          </reference>
          <reference field="2" count="1" selected="0">
            <x v="331"/>
          </reference>
          <reference field="3" count="1" selected="0">
            <x v="2"/>
          </reference>
          <reference field="4" count="1">
            <x v="79"/>
          </reference>
        </references>
      </pivotArea>
    </format>
    <format dxfId="1213">
      <pivotArea dataOnly="0" labelOnly="1" outline="0" fieldPosition="0">
        <references count="5">
          <reference field="0" count="1" selected="0">
            <x v="0"/>
          </reference>
          <reference field="1" count="1" selected="0">
            <x v="417"/>
          </reference>
          <reference field="2" count="1" selected="0">
            <x v="331"/>
          </reference>
          <reference field="3" count="1" selected="0">
            <x v="2"/>
          </reference>
          <reference field="4" count="1">
            <x v="143"/>
          </reference>
        </references>
      </pivotArea>
    </format>
    <format dxfId="1212">
      <pivotArea dataOnly="0" labelOnly="1" outline="0" fieldPosition="0">
        <references count="5">
          <reference field="0" count="1" selected="0">
            <x v="0"/>
          </reference>
          <reference field="1" count="1" selected="0">
            <x v="418"/>
          </reference>
          <reference field="2" count="1" selected="0">
            <x v="331"/>
          </reference>
          <reference field="3" count="1" selected="0">
            <x v="2"/>
          </reference>
          <reference field="4" count="1">
            <x v="168"/>
          </reference>
        </references>
      </pivotArea>
    </format>
    <format dxfId="1211">
      <pivotArea dataOnly="0" labelOnly="1" outline="0" fieldPosition="0">
        <references count="5">
          <reference field="0" count="1" selected="0">
            <x v="0"/>
          </reference>
          <reference field="1" count="1" selected="0">
            <x v="419"/>
          </reference>
          <reference field="2" count="1" selected="0">
            <x v="331"/>
          </reference>
          <reference field="3" count="1" selected="0">
            <x v="2"/>
          </reference>
          <reference field="4" count="1">
            <x v="240"/>
          </reference>
        </references>
      </pivotArea>
    </format>
    <format dxfId="1210">
      <pivotArea dataOnly="0" labelOnly="1" outline="0" fieldPosition="0">
        <references count="5">
          <reference field="0" count="1" selected="0">
            <x v="0"/>
          </reference>
          <reference field="1" count="1" selected="0">
            <x v="420"/>
          </reference>
          <reference field="2" count="1" selected="0">
            <x v="331"/>
          </reference>
          <reference field="3" count="1" selected="0">
            <x v="2"/>
          </reference>
          <reference field="4" count="1">
            <x v="282"/>
          </reference>
        </references>
      </pivotArea>
    </format>
    <format dxfId="1209">
      <pivotArea dataOnly="0" labelOnly="1" outline="0" fieldPosition="0">
        <references count="5">
          <reference field="0" count="1" selected="0">
            <x v="0"/>
          </reference>
          <reference field="1" count="1" selected="0">
            <x v="421"/>
          </reference>
          <reference field="2" count="1" selected="0">
            <x v="332"/>
          </reference>
          <reference field="3" count="1" selected="0">
            <x v="2"/>
          </reference>
          <reference field="4" count="1">
            <x v="246"/>
          </reference>
        </references>
      </pivotArea>
    </format>
    <format dxfId="1208">
      <pivotArea dataOnly="0" labelOnly="1" outline="0" fieldPosition="0">
        <references count="5">
          <reference field="0" count="1" selected="0">
            <x v="0"/>
          </reference>
          <reference field="1" count="1" selected="0">
            <x v="422"/>
          </reference>
          <reference field="2" count="1" selected="0">
            <x v="333"/>
          </reference>
          <reference field="3" count="1" selected="0">
            <x v="2"/>
          </reference>
          <reference field="4" count="1">
            <x v="58"/>
          </reference>
        </references>
      </pivotArea>
    </format>
    <format dxfId="1207">
      <pivotArea dataOnly="0" labelOnly="1" outline="0" fieldPosition="0">
        <references count="5">
          <reference field="0" count="1" selected="0">
            <x v="0"/>
          </reference>
          <reference field="1" count="1" selected="0">
            <x v="423"/>
          </reference>
          <reference field="2" count="1" selected="0">
            <x v="333"/>
          </reference>
          <reference field="3" count="1" selected="0">
            <x v="2"/>
          </reference>
          <reference field="4" count="1">
            <x v="84"/>
          </reference>
        </references>
      </pivotArea>
    </format>
    <format dxfId="1206">
      <pivotArea dataOnly="0" labelOnly="1" outline="0" fieldPosition="0">
        <references count="5">
          <reference field="0" count="1" selected="0">
            <x v="0"/>
          </reference>
          <reference field="1" count="1" selected="0">
            <x v="424"/>
          </reference>
          <reference field="2" count="1" selected="0">
            <x v="333"/>
          </reference>
          <reference field="3" count="1" selected="0">
            <x v="2"/>
          </reference>
          <reference field="4" count="1">
            <x v="111"/>
          </reference>
        </references>
      </pivotArea>
    </format>
    <format dxfId="1205">
      <pivotArea dataOnly="0" labelOnly="1" outline="0" fieldPosition="0">
        <references count="5">
          <reference field="0" count="1" selected="0">
            <x v="0"/>
          </reference>
          <reference field="1" count="1" selected="0">
            <x v="425"/>
          </reference>
          <reference field="2" count="1" selected="0">
            <x v="333"/>
          </reference>
          <reference field="3" count="1" selected="0">
            <x v="2"/>
          </reference>
          <reference field="4" count="1">
            <x v="115"/>
          </reference>
        </references>
      </pivotArea>
    </format>
    <format dxfId="1204">
      <pivotArea dataOnly="0" labelOnly="1" outline="0" fieldPosition="0">
        <references count="5">
          <reference field="0" count="1" selected="0">
            <x v="0"/>
          </reference>
          <reference field="1" count="1" selected="0">
            <x v="426"/>
          </reference>
          <reference field="2" count="1" selected="0">
            <x v="333"/>
          </reference>
          <reference field="3" count="1" selected="0">
            <x v="2"/>
          </reference>
          <reference field="4" count="1">
            <x v="146"/>
          </reference>
        </references>
      </pivotArea>
    </format>
    <format dxfId="1203">
      <pivotArea dataOnly="0" labelOnly="1" outline="0" fieldPosition="0">
        <references count="5">
          <reference field="0" count="1" selected="0">
            <x v="0"/>
          </reference>
          <reference field="1" count="1" selected="0">
            <x v="427"/>
          </reference>
          <reference field="2" count="1" selected="0">
            <x v="333"/>
          </reference>
          <reference field="3" count="1" selected="0">
            <x v="2"/>
          </reference>
          <reference field="4" count="1">
            <x v="154"/>
          </reference>
        </references>
      </pivotArea>
    </format>
    <format dxfId="1202">
      <pivotArea dataOnly="0" labelOnly="1" outline="0" fieldPosition="0">
        <references count="5">
          <reference field="0" count="1" selected="0">
            <x v="0"/>
          </reference>
          <reference field="1" count="1" selected="0">
            <x v="428"/>
          </reference>
          <reference field="2" count="1" selected="0">
            <x v="333"/>
          </reference>
          <reference field="3" count="1" selected="0">
            <x v="2"/>
          </reference>
          <reference field="4" count="1">
            <x v="169"/>
          </reference>
        </references>
      </pivotArea>
    </format>
    <format dxfId="1201">
      <pivotArea dataOnly="0" labelOnly="1" outline="0" fieldPosition="0">
        <references count="5">
          <reference field="0" count="1" selected="0">
            <x v="0"/>
          </reference>
          <reference field="1" count="1" selected="0">
            <x v="429"/>
          </reference>
          <reference field="2" count="1" selected="0">
            <x v="333"/>
          </reference>
          <reference field="3" count="1" selected="0">
            <x v="2"/>
          </reference>
          <reference field="4" count="1">
            <x v="228"/>
          </reference>
        </references>
      </pivotArea>
    </format>
    <format dxfId="1200">
      <pivotArea dataOnly="0" labelOnly="1" outline="0" fieldPosition="0">
        <references count="5">
          <reference field="0" count="1" selected="0">
            <x v="0"/>
          </reference>
          <reference field="1" count="1" selected="0">
            <x v="430"/>
          </reference>
          <reference field="2" count="1" selected="0">
            <x v="333"/>
          </reference>
          <reference field="3" count="1" selected="0">
            <x v="2"/>
          </reference>
          <reference field="4" count="1">
            <x v="242"/>
          </reference>
        </references>
      </pivotArea>
    </format>
    <format dxfId="1199">
      <pivotArea dataOnly="0" labelOnly="1" outline="0" fieldPosition="0">
        <references count="5">
          <reference field="0" count="1" selected="0">
            <x v="0"/>
          </reference>
          <reference field="1" count="1" selected="0">
            <x v="431"/>
          </reference>
          <reference field="2" count="1" selected="0">
            <x v="333"/>
          </reference>
          <reference field="3" count="1" selected="0">
            <x v="2"/>
          </reference>
          <reference field="4" count="1">
            <x v="265"/>
          </reference>
        </references>
      </pivotArea>
    </format>
    <format dxfId="1198">
      <pivotArea dataOnly="0" labelOnly="1" outline="0" fieldPosition="0">
        <references count="5">
          <reference field="0" count="1" selected="0">
            <x v="0"/>
          </reference>
          <reference field="1" count="1" selected="0">
            <x v="432"/>
          </reference>
          <reference field="2" count="1" selected="0">
            <x v="334"/>
          </reference>
          <reference field="3" count="1" selected="0">
            <x v="2"/>
          </reference>
          <reference field="4" count="1">
            <x v="33"/>
          </reference>
        </references>
      </pivotArea>
    </format>
    <format dxfId="1197">
      <pivotArea dataOnly="0" labelOnly="1" outline="0" fieldPosition="0">
        <references count="5">
          <reference field="0" count="1" selected="0">
            <x v="0"/>
          </reference>
          <reference field="1" count="1" selected="0">
            <x v="433"/>
          </reference>
          <reference field="2" count="1" selected="0">
            <x v="334"/>
          </reference>
          <reference field="3" count="1" selected="0">
            <x v="2"/>
          </reference>
          <reference field="4" count="1">
            <x v="61"/>
          </reference>
        </references>
      </pivotArea>
    </format>
    <format dxfId="1196">
      <pivotArea dataOnly="0" labelOnly="1" outline="0" fieldPosition="0">
        <references count="5">
          <reference field="0" count="1" selected="0">
            <x v="0"/>
          </reference>
          <reference field="1" count="1" selected="0">
            <x v="434"/>
          </reference>
          <reference field="2" count="1" selected="0">
            <x v="334"/>
          </reference>
          <reference field="3" count="1" selected="0">
            <x v="2"/>
          </reference>
          <reference field="4" count="1">
            <x v="70"/>
          </reference>
        </references>
      </pivotArea>
    </format>
    <format dxfId="1195">
      <pivotArea dataOnly="0" labelOnly="1" outline="0" fieldPosition="0">
        <references count="5">
          <reference field="0" count="1" selected="0">
            <x v="0"/>
          </reference>
          <reference field="1" count="1" selected="0">
            <x v="435"/>
          </reference>
          <reference field="2" count="1" selected="0">
            <x v="334"/>
          </reference>
          <reference field="3" count="1" selected="0">
            <x v="2"/>
          </reference>
          <reference field="4" count="1">
            <x v="110"/>
          </reference>
        </references>
      </pivotArea>
    </format>
    <format dxfId="1194">
      <pivotArea dataOnly="0" labelOnly="1" outline="0" fieldPosition="0">
        <references count="5">
          <reference field="0" count="1" selected="0">
            <x v="0"/>
          </reference>
          <reference field="1" count="1" selected="0">
            <x v="436"/>
          </reference>
          <reference field="2" count="1" selected="0">
            <x v="334"/>
          </reference>
          <reference field="3" count="1" selected="0">
            <x v="2"/>
          </reference>
          <reference field="4" count="1">
            <x v="143"/>
          </reference>
        </references>
      </pivotArea>
    </format>
    <format dxfId="1193">
      <pivotArea dataOnly="0" labelOnly="1" outline="0" fieldPosition="0">
        <references count="5">
          <reference field="0" count="1" selected="0">
            <x v="0"/>
          </reference>
          <reference field="1" count="1" selected="0">
            <x v="437"/>
          </reference>
          <reference field="2" count="1" selected="0">
            <x v="334"/>
          </reference>
          <reference field="3" count="1" selected="0">
            <x v="2"/>
          </reference>
          <reference field="4" count="1">
            <x v="201"/>
          </reference>
        </references>
      </pivotArea>
    </format>
    <format dxfId="1192">
      <pivotArea dataOnly="0" labelOnly="1" outline="0" fieldPosition="0">
        <references count="5">
          <reference field="0" count="1" selected="0">
            <x v="0"/>
          </reference>
          <reference field="1" count="1" selected="0">
            <x v="438"/>
          </reference>
          <reference field="2" count="1" selected="0">
            <x v="334"/>
          </reference>
          <reference field="3" count="1" selected="0">
            <x v="2"/>
          </reference>
          <reference field="4" count="1">
            <x v="248"/>
          </reference>
        </references>
      </pivotArea>
    </format>
    <format dxfId="1191">
      <pivotArea dataOnly="0" labelOnly="1" outline="0" fieldPosition="0">
        <references count="5">
          <reference field="0" count="1" selected="0">
            <x v="0"/>
          </reference>
          <reference field="1" count="1" selected="0">
            <x v="439"/>
          </reference>
          <reference field="2" count="1" selected="0">
            <x v="335"/>
          </reference>
          <reference field="3" count="1" selected="0">
            <x v="2"/>
          </reference>
          <reference field="4" count="1">
            <x v="45"/>
          </reference>
        </references>
      </pivotArea>
    </format>
    <format dxfId="1190">
      <pivotArea dataOnly="0" labelOnly="1" outline="0" fieldPosition="0">
        <references count="5">
          <reference field="0" count="1" selected="0">
            <x v="0"/>
          </reference>
          <reference field="1" count="1" selected="0">
            <x v="440"/>
          </reference>
          <reference field="2" count="1" selected="0">
            <x v="335"/>
          </reference>
          <reference field="3" count="1" selected="0">
            <x v="2"/>
          </reference>
          <reference field="4" count="1">
            <x v="104"/>
          </reference>
        </references>
      </pivotArea>
    </format>
    <format dxfId="1189">
      <pivotArea dataOnly="0" labelOnly="1" outline="0" fieldPosition="0">
        <references count="5">
          <reference field="0" count="1" selected="0">
            <x v="0"/>
          </reference>
          <reference field="1" count="1" selected="0">
            <x v="441"/>
          </reference>
          <reference field="2" count="1" selected="0">
            <x v="335"/>
          </reference>
          <reference field="3" count="1" selected="0">
            <x v="2"/>
          </reference>
          <reference field="4" count="1">
            <x v="138"/>
          </reference>
        </references>
      </pivotArea>
    </format>
    <format dxfId="1188">
      <pivotArea dataOnly="0" labelOnly="1" outline="0" fieldPosition="0">
        <references count="5">
          <reference field="0" count="1" selected="0">
            <x v="0"/>
          </reference>
          <reference field="1" count="1" selected="0">
            <x v="442"/>
          </reference>
          <reference field="2" count="1" selected="0">
            <x v="335"/>
          </reference>
          <reference field="3" count="1" selected="0">
            <x v="2"/>
          </reference>
          <reference field="4" count="1">
            <x v="162"/>
          </reference>
        </references>
      </pivotArea>
    </format>
    <format dxfId="1187">
      <pivotArea dataOnly="0" labelOnly="1" outline="0" fieldPosition="0">
        <references count="5">
          <reference field="0" count="1" selected="0">
            <x v="0"/>
          </reference>
          <reference field="1" count="1" selected="0">
            <x v="443"/>
          </reference>
          <reference field="2" count="1" selected="0">
            <x v="335"/>
          </reference>
          <reference field="3" count="1" selected="0">
            <x v="2"/>
          </reference>
          <reference field="4" count="1">
            <x v="238"/>
          </reference>
        </references>
      </pivotArea>
    </format>
    <format dxfId="1186">
      <pivotArea dataOnly="0" labelOnly="1" outline="0" fieldPosition="0">
        <references count="5">
          <reference field="0" count="1" selected="0">
            <x v="0"/>
          </reference>
          <reference field="1" count="1" selected="0">
            <x v="444"/>
          </reference>
          <reference field="2" count="1" selected="0">
            <x v="335"/>
          </reference>
          <reference field="3" count="1" selected="0">
            <x v="2"/>
          </reference>
          <reference field="4" count="1">
            <x v="269"/>
          </reference>
        </references>
      </pivotArea>
    </format>
    <format dxfId="1185">
      <pivotArea dataOnly="0" labelOnly="1" outline="0" fieldPosition="0">
        <references count="5">
          <reference field="0" count="1" selected="0">
            <x v="0"/>
          </reference>
          <reference field="1" count="1" selected="0">
            <x v="445"/>
          </reference>
          <reference field="2" count="1" selected="0">
            <x v="335"/>
          </reference>
          <reference field="3" count="1" selected="0">
            <x v="2"/>
          </reference>
          <reference field="4" count="1">
            <x v="288"/>
          </reference>
        </references>
      </pivotArea>
    </format>
    <format dxfId="1184">
      <pivotArea dataOnly="0" labelOnly="1" outline="0" fieldPosition="0">
        <references count="5">
          <reference field="0" count="1" selected="0">
            <x v="0"/>
          </reference>
          <reference field="1" count="1" selected="0">
            <x v="446"/>
          </reference>
          <reference field="2" count="1" selected="0">
            <x v="336"/>
          </reference>
          <reference field="3" count="1" selected="0">
            <x v="2"/>
          </reference>
          <reference field="4" count="1">
            <x v="0"/>
          </reference>
        </references>
      </pivotArea>
    </format>
    <format dxfId="1183">
      <pivotArea dataOnly="0" labelOnly="1" outline="0" fieldPosition="0">
        <references count="5">
          <reference field="0" count="1" selected="0">
            <x v="0"/>
          </reference>
          <reference field="1" count="1" selected="0">
            <x v="447"/>
          </reference>
          <reference field="2" count="1" selected="0">
            <x v="336"/>
          </reference>
          <reference field="3" count="1" selected="0">
            <x v="2"/>
          </reference>
          <reference field="4" count="1">
            <x v="64"/>
          </reference>
        </references>
      </pivotArea>
    </format>
    <format dxfId="1182">
      <pivotArea dataOnly="0" labelOnly="1" outline="0" fieldPosition="0">
        <references count="5">
          <reference field="0" count="1" selected="0">
            <x v="0"/>
          </reference>
          <reference field="1" count="1" selected="0">
            <x v="448"/>
          </reference>
          <reference field="2" count="1" selected="0">
            <x v="336"/>
          </reference>
          <reference field="3" count="1" selected="0">
            <x v="2"/>
          </reference>
          <reference field="4" count="1">
            <x v="80"/>
          </reference>
        </references>
      </pivotArea>
    </format>
    <format dxfId="1181">
      <pivotArea dataOnly="0" labelOnly="1" outline="0" fieldPosition="0">
        <references count="5">
          <reference field="0" count="1" selected="0">
            <x v="0"/>
          </reference>
          <reference field="1" count="1" selected="0">
            <x v="449"/>
          </reference>
          <reference field="2" count="1" selected="0">
            <x v="336"/>
          </reference>
          <reference field="3" count="1" selected="0">
            <x v="2"/>
          </reference>
          <reference field="4" count="1">
            <x v="148"/>
          </reference>
        </references>
      </pivotArea>
    </format>
    <format dxfId="1180">
      <pivotArea dataOnly="0" labelOnly="1" outline="0" fieldPosition="0">
        <references count="5">
          <reference field="0" count="1" selected="0">
            <x v="0"/>
          </reference>
          <reference field="1" count="1" selected="0">
            <x v="450"/>
          </reference>
          <reference field="2" count="1" selected="0">
            <x v="336"/>
          </reference>
          <reference field="3" count="1" selected="0">
            <x v="2"/>
          </reference>
          <reference field="4" count="1">
            <x v="156"/>
          </reference>
        </references>
      </pivotArea>
    </format>
    <format dxfId="1179">
      <pivotArea dataOnly="0" labelOnly="1" outline="0" fieldPosition="0">
        <references count="5">
          <reference field="0" count="1" selected="0">
            <x v="0"/>
          </reference>
          <reference field="1" count="1" selected="0">
            <x v="451"/>
          </reference>
          <reference field="2" count="1" selected="0">
            <x v="336"/>
          </reference>
          <reference field="3" count="1" selected="0">
            <x v="2"/>
          </reference>
          <reference field="4" count="1">
            <x v="181"/>
          </reference>
        </references>
      </pivotArea>
    </format>
    <format dxfId="1178">
      <pivotArea dataOnly="0" labelOnly="1" outline="0" fieldPosition="0">
        <references count="5">
          <reference field="0" count="1" selected="0">
            <x v="0"/>
          </reference>
          <reference field="1" count="1" selected="0">
            <x v="452"/>
          </reference>
          <reference field="2" count="1" selected="0">
            <x v="336"/>
          </reference>
          <reference field="3" count="1" selected="0">
            <x v="2"/>
          </reference>
          <reference field="4" count="1">
            <x v="188"/>
          </reference>
        </references>
      </pivotArea>
    </format>
    <format dxfId="1177">
      <pivotArea dataOnly="0" labelOnly="1" outline="0" fieldPosition="0">
        <references count="5">
          <reference field="0" count="1" selected="0">
            <x v="0"/>
          </reference>
          <reference field="1" count="1" selected="0">
            <x v="453"/>
          </reference>
          <reference field="2" count="1" selected="0">
            <x v="336"/>
          </reference>
          <reference field="3" count="1" selected="0">
            <x v="2"/>
          </reference>
          <reference field="4" count="1">
            <x v="199"/>
          </reference>
        </references>
      </pivotArea>
    </format>
    <format dxfId="1176">
      <pivotArea dataOnly="0" labelOnly="1" outline="0" fieldPosition="0">
        <references count="5">
          <reference field="0" count="1" selected="0">
            <x v="0"/>
          </reference>
          <reference field="1" count="1" selected="0">
            <x v="454"/>
          </reference>
          <reference field="2" count="1" selected="0">
            <x v="336"/>
          </reference>
          <reference field="3" count="1" selected="0">
            <x v="2"/>
          </reference>
          <reference field="4" count="1">
            <x v="234"/>
          </reference>
        </references>
      </pivotArea>
    </format>
    <format dxfId="1175">
      <pivotArea dataOnly="0" labelOnly="1" outline="0" fieldPosition="0">
        <references count="5">
          <reference field="0" count="1" selected="0">
            <x v="0"/>
          </reference>
          <reference field="1" count="1" selected="0">
            <x v="455"/>
          </reference>
          <reference field="2" count="1" selected="0">
            <x v="336"/>
          </reference>
          <reference field="3" count="1" selected="0">
            <x v="2"/>
          </reference>
          <reference field="4" count="1">
            <x v="254"/>
          </reference>
        </references>
      </pivotArea>
    </format>
    <format dxfId="1174">
      <pivotArea dataOnly="0" labelOnly="1" outline="0" fieldPosition="0">
        <references count="5">
          <reference field="0" count="1" selected="0">
            <x v="0"/>
          </reference>
          <reference field="1" count="1" selected="0">
            <x v="456"/>
          </reference>
          <reference field="2" count="1" selected="0">
            <x v="337"/>
          </reference>
          <reference field="3" count="1" selected="0">
            <x v="2"/>
          </reference>
          <reference field="4" count="1">
            <x v="52"/>
          </reference>
        </references>
      </pivotArea>
    </format>
    <format dxfId="1173">
      <pivotArea dataOnly="0" labelOnly="1" outline="0" fieldPosition="0">
        <references count="5">
          <reference field="0" count="1" selected="0">
            <x v="0"/>
          </reference>
          <reference field="1" count="1" selected="0">
            <x v="457"/>
          </reference>
          <reference field="2" count="1" selected="0">
            <x v="337"/>
          </reference>
          <reference field="3" count="1" selected="0">
            <x v="2"/>
          </reference>
          <reference field="4" count="1">
            <x v="131"/>
          </reference>
        </references>
      </pivotArea>
    </format>
    <format dxfId="1172">
      <pivotArea dataOnly="0" labelOnly="1" outline="0" fieldPosition="0">
        <references count="5">
          <reference field="0" count="1" selected="0">
            <x v="0"/>
          </reference>
          <reference field="1" count="1" selected="0">
            <x v="458"/>
          </reference>
          <reference field="2" count="1" selected="0">
            <x v="337"/>
          </reference>
          <reference field="3" count="1" selected="0">
            <x v="2"/>
          </reference>
          <reference field="4" count="1">
            <x v="181"/>
          </reference>
        </references>
      </pivotArea>
    </format>
    <format dxfId="1171">
      <pivotArea dataOnly="0" labelOnly="1" outline="0" fieldPosition="0">
        <references count="5">
          <reference field="0" count="1" selected="0">
            <x v="0"/>
          </reference>
          <reference field="1" count="1" selected="0">
            <x v="459"/>
          </reference>
          <reference field="2" count="1" selected="0">
            <x v="338"/>
          </reference>
          <reference field="3" count="1" selected="0">
            <x v="2"/>
          </reference>
          <reference field="4" count="1">
            <x v="42"/>
          </reference>
        </references>
      </pivotArea>
    </format>
    <format dxfId="1170">
      <pivotArea dataOnly="0" labelOnly="1" outline="0" fieldPosition="0">
        <references count="5">
          <reference field="0" count="1" selected="0">
            <x v="0"/>
          </reference>
          <reference field="1" count="1" selected="0">
            <x v="460"/>
          </reference>
          <reference field="2" count="1" selected="0">
            <x v="338"/>
          </reference>
          <reference field="3" count="1" selected="0">
            <x v="2"/>
          </reference>
          <reference field="4" count="1">
            <x v="98"/>
          </reference>
        </references>
      </pivotArea>
    </format>
    <format dxfId="1169">
      <pivotArea dataOnly="0" labelOnly="1" outline="0" fieldPosition="0">
        <references count="5">
          <reference field="0" count="1" selected="0">
            <x v="0"/>
          </reference>
          <reference field="1" count="1" selected="0">
            <x v="461"/>
          </reference>
          <reference field="2" count="1" selected="0">
            <x v="338"/>
          </reference>
          <reference field="3" count="1" selected="0">
            <x v="2"/>
          </reference>
          <reference field="4" count="1">
            <x v="106"/>
          </reference>
        </references>
      </pivotArea>
    </format>
    <format dxfId="1168">
      <pivotArea dataOnly="0" labelOnly="1" outline="0" fieldPosition="0">
        <references count="5">
          <reference field="0" count="1" selected="0">
            <x v="0"/>
          </reference>
          <reference field="1" count="1" selected="0">
            <x v="462"/>
          </reference>
          <reference field="2" count="1" selected="0">
            <x v="338"/>
          </reference>
          <reference field="3" count="1" selected="0">
            <x v="2"/>
          </reference>
          <reference field="4" count="1">
            <x v="109"/>
          </reference>
        </references>
      </pivotArea>
    </format>
    <format dxfId="1167">
      <pivotArea dataOnly="0" labelOnly="1" outline="0" fieldPosition="0">
        <references count="5">
          <reference field="0" count="1" selected="0">
            <x v="0"/>
          </reference>
          <reference field="1" count="1" selected="0">
            <x v="463"/>
          </reference>
          <reference field="2" count="1" selected="0">
            <x v="338"/>
          </reference>
          <reference field="3" count="1" selected="0">
            <x v="2"/>
          </reference>
          <reference field="4" count="1">
            <x v="110"/>
          </reference>
        </references>
      </pivotArea>
    </format>
    <format dxfId="1166">
      <pivotArea dataOnly="0" labelOnly="1" outline="0" fieldPosition="0">
        <references count="5">
          <reference field="0" count="1" selected="0">
            <x v="0"/>
          </reference>
          <reference field="1" count="1" selected="0">
            <x v="464"/>
          </reference>
          <reference field="2" count="1" selected="0">
            <x v="338"/>
          </reference>
          <reference field="3" count="1" selected="0">
            <x v="2"/>
          </reference>
          <reference field="4" count="1">
            <x v="170"/>
          </reference>
        </references>
      </pivotArea>
    </format>
    <format dxfId="1165">
      <pivotArea dataOnly="0" labelOnly="1" outline="0" fieldPosition="0">
        <references count="5">
          <reference field="0" count="1" selected="0">
            <x v="0"/>
          </reference>
          <reference field="1" count="1" selected="0">
            <x v="465"/>
          </reference>
          <reference field="2" count="1" selected="0">
            <x v="338"/>
          </reference>
          <reference field="3" count="1" selected="0">
            <x v="2"/>
          </reference>
          <reference field="4" count="1">
            <x v="186"/>
          </reference>
        </references>
      </pivotArea>
    </format>
    <format dxfId="1164">
      <pivotArea dataOnly="0" labelOnly="1" outline="0" fieldPosition="0">
        <references count="5">
          <reference field="0" count="1" selected="0">
            <x v="0"/>
          </reference>
          <reference field="1" count="1" selected="0">
            <x v="466"/>
          </reference>
          <reference field="2" count="1" selected="0">
            <x v="338"/>
          </reference>
          <reference field="3" count="1" selected="0">
            <x v="2"/>
          </reference>
          <reference field="4" count="1">
            <x v="241"/>
          </reference>
        </references>
      </pivotArea>
    </format>
    <format dxfId="1163">
      <pivotArea dataOnly="0" labelOnly="1" outline="0" fieldPosition="0">
        <references count="5">
          <reference field="0" count="1" selected="0">
            <x v="0"/>
          </reference>
          <reference field="1" count="1" selected="0">
            <x v="467"/>
          </reference>
          <reference field="2" count="1" selected="0">
            <x v="338"/>
          </reference>
          <reference field="3" count="1" selected="0">
            <x v="2"/>
          </reference>
          <reference field="4" count="1">
            <x v="248"/>
          </reference>
        </references>
      </pivotArea>
    </format>
    <format dxfId="1162">
      <pivotArea dataOnly="0" labelOnly="1" outline="0" fieldPosition="0">
        <references count="5">
          <reference field="0" count="1" selected="0">
            <x v="0"/>
          </reference>
          <reference field="1" count="1" selected="0">
            <x v="468"/>
          </reference>
          <reference field="2" count="1" selected="0">
            <x v="339"/>
          </reference>
          <reference field="3" count="1" selected="0">
            <x v="2"/>
          </reference>
          <reference field="4" count="1">
            <x v="44"/>
          </reference>
        </references>
      </pivotArea>
    </format>
    <format dxfId="1161">
      <pivotArea dataOnly="0" labelOnly="1" outline="0" fieldPosition="0">
        <references count="5">
          <reference field="0" count="1" selected="0">
            <x v="0"/>
          </reference>
          <reference field="1" count="1" selected="0">
            <x v="469"/>
          </reference>
          <reference field="2" count="1" selected="0">
            <x v="340"/>
          </reference>
          <reference field="3" count="1" selected="0">
            <x v="2"/>
          </reference>
          <reference field="4" count="1">
            <x v="84"/>
          </reference>
        </references>
      </pivotArea>
    </format>
    <format dxfId="1160">
      <pivotArea dataOnly="0" labelOnly="1" outline="0" fieldPosition="0">
        <references count="5">
          <reference field="0" count="1" selected="0">
            <x v="0"/>
          </reference>
          <reference field="1" count="1" selected="0">
            <x v="470"/>
          </reference>
          <reference field="2" count="1" selected="0">
            <x v="341"/>
          </reference>
          <reference field="3" count="1" selected="0">
            <x v="2"/>
          </reference>
          <reference field="4" count="1">
            <x v="0"/>
          </reference>
        </references>
      </pivotArea>
    </format>
    <format dxfId="1159">
      <pivotArea dataOnly="0" labelOnly="1" outline="0" fieldPosition="0">
        <references count="5">
          <reference field="0" count="1" selected="0">
            <x v="0"/>
          </reference>
          <reference field="1" count="1" selected="0">
            <x v="471"/>
          </reference>
          <reference field="2" count="1" selected="0">
            <x v="341"/>
          </reference>
          <reference field="3" count="1" selected="0">
            <x v="2"/>
          </reference>
          <reference field="4" count="1">
            <x v="110"/>
          </reference>
        </references>
      </pivotArea>
    </format>
    <format dxfId="1158">
      <pivotArea dataOnly="0" labelOnly="1" outline="0" fieldPosition="0">
        <references count="5">
          <reference field="0" count="1" selected="0">
            <x v="0"/>
          </reference>
          <reference field="1" count="1" selected="0">
            <x v="472"/>
          </reference>
          <reference field="2" count="1" selected="0">
            <x v="341"/>
          </reference>
          <reference field="3" count="1" selected="0">
            <x v="2"/>
          </reference>
          <reference field="4" count="1">
            <x v="223"/>
          </reference>
        </references>
      </pivotArea>
    </format>
    <format dxfId="1157">
      <pivotArea dataOnly="0" labelOnly="1" outline="0" fieldPosition="0">
        <references count="5">
          <reference field="0" count="1" selected="0">
            <x v="0"/>
          </reference>
          <reference field="1" count="1" selected="0">
            <x v="473"/>
          </reference>
          <reference field="2" count="1" selected="0">
            <x v="341"/>
          </reference>
          <reference field="3" count="1" selected="0">
            <x v="2"/>
          </reference>
          <reference field="4" count="1">
            <x v="247"/>
          </reference>
        </references>
      </pivotArea>
    </format>
    <format dxfId="1156">
      <pivotArea dataOnly="0" labelOnly="1" outline="0" fieldPosition="0">
        <references count="5">
          <reference field="0" count="1" selected="0">
            <x v="0"/>
          </reference>
          <reference field="1" count="1" selected="0">
            <x v="474"/>
          </reference>
          <reference field="2" count="1" selected="0">
            <x v="341"/>
          </reference>
          <reference field="3" count="1" selected="0">
            <x v="2"/>
          </reference>
          <reference field="4" count="1">
            <x v="281"/>
          </reference>
        </references>
      </pivotArea>
    </format>
    <format dxfId="1155">
      <pivotArea dataOnly="0" labelOnly="1" outline="0" fieldPosition="0">
        <references count="5">
          <reference field="0" count="1" selected="0">
            <x v="0"/>
          </reference>
          <reference field="1" count="1" selected="0">
            <x v="475"/>
          </reference>
          <reference field="2" count="1" selected="0">
            <x v="342"/>
          </reference>
          <reference field="3" count="1" selected="0">
            <x v="2"/>
          </reference>
          <reference field="4" count="1">
            <x v="58"/>
          </reference>
        </references>
      </pivotArea>
    </format>
    <format dxfId="1154">
      <pivotArea dataOnly="0" labelOnly="1" outline="0" fieldPosition="0">
        <references count="5">
          <reference field="0" count="1" selected="0">
            <x v="0"/>
          </reference>
          <reference field="1" count="1" selected="0">
            <x v="476"/>
          </reference>
          <reference field="2" count="1" selected="0">
            <x v="342"/>
          </reference>
          <reference field="3" count="1" selected="0">
            <x v="2"/>
          </reference>
          <reference field="4" count="1">
            <x v="110"/>
          </reference>
        </references>
      </pivotArea>
    </format>
    <format dxfId="1153">
      <pivotArea dataOnly="0" labelOnly="1" outline="0" fieldPosition="0">
        <references count="5">
          <reference field="0" count="1" selected="0">
            <x v="0"/>
          </reference>
          <reference field="1" count="1" selected="0">
            <x v="477"/>
          </reference>
          <reference field="2" count="1" selected="0">
            <x v="342"/>
          </reference>
          <reference field="3" count="1" selected="0">
            <x v="2"/>
          </reference>
          <reference field="4" count="1">
            <x v="182"/>
          </reference>
        </references>
      </pivotArea>
    </format>
    <format dxfId="1152">
      <pivotArea dataOnly="0" labelOnly="1" outline="0" fieldPosition="0">
        <references count="5">
          <reference field="0" count="1" selected="0">
            <x v="0"/>
          </reference>
          <reference field="1" count="1" selected="0">
            <x v="478"/>
          </reference>
          <reference field="2" count="1" selected="0">
            <x v="342"/>
          </reference>
          <reference field="3" count="1" selected="0">
            <x v="2"/>
          </reference>
          <reference field="4" count="1">
            <x v="184"/>
          </reference>
        </references>
      </pivotArea>
    </format>
    <format dxfId="1151">
      <pivotArea dataOnly="0" labelOnly="1" outline="0" fieldPosition="0">
        <references count="5">
          <reference field="0" count="1" selected="0">
            <x v="0"/>
          </reference>
          <reference field="1" count="1" selected="0">
            <x v="479"/>
          </reference>
          <reference field="2" count="1" selected="0">
            <x v="342"/>
          </reference>
          <reference field="3" count="1" selected="0">
            <x v="2"/>
          </reference>
          <reference field="4" count="1">
            <x v="228"/>
          </reference>
        </references>
      </pivotArea>
    </format>
    <format dxfId="1150">
      <pivotArea dataOnly="0" labelOnly="1" outline="0" fieldPosition="0">
        <references count="5">
          <reference field="0" count="1" selected="0">
            <x v="0"/>
          </reference>
          <reference field="1" count="1" selected="0">
            <x v="480"/>
          </reference>
          <reference field="2" count="1" selected="0">
            <x v="342"/>
          </reference>
          <reference field="3" count="1" selected="0">
            <x v="2"/>
          </reference>
          <reference field="4" count="1">
            <x v="232"/>
          </reference>
        </references>
      </pivotArea>
    </format>
    <format dxfId="1149">
      <pivotArea dataOnly="0" labelOnly="1" outline="0" fieldPosition="0">
        <references count="5">
          <reference field="0" count="1" selected="0">
            <x v="0"/>
          </reference>
          <reference field="1" count="1" selected="0">
            <x v="481"/>
          </reference>
          <reference field="2" count="1" selected="0">
            <x v="343"/>
          </reference>
          <reference field="3" count="1" selected="0">
            <x v="2"/>
          </reference>
          <reference field="4" count="1">
            <x v="45"/>
          </reference>
        </references>
      </pivotArea>
    </format>
    <format dxfId="1148">
      <pivotArea dataOnly="0" labelOnly="1" outline="0" fieldPosition="0">
        <references count="5">
          <reference field="0" count="1" selected="0">
            <x v="0"/>
          </reference>
          <reference field="1" count="1" selected="0">
            <x v="482"/>
          </reference>
          <reference field="2" count="1" selected="0">
            <x v="343"/>
          </reference>
          <reference field="3" count="1" selected="0">
            <x v="2"/>
          </reference>
          <reference field="4" count="1">
            <x v="136"/>
          </reference>
        </references>
      </pivotArea>
    </format>
    <format dxfId="1147">
      <pivotArea dataOnly="0" labelOnly="1" outline="0" fieldPosition="0">
        <references count="5">
          <reference field="0" count="1" selected="0">
            <x v="0"/>
          </reference>
          <reference field="1" count="1" selected="0">
            <x v="483"/>
          </reference>
          <reference field="2" count="1" selected="0">
            <x v="343"/>
          </reference>
          <reference field="3" count="1" selected="0">
            <x v="2"/>
          </reference>
          <reference field="4" count="1">
            <x v="159"/>
          </reference>
        </references>
      </pivotArea>
    </format>
    <format dxfId="1146">
      <pivotArea dataOnly="0" labelOnly="1" outline="0" fieldPosition="0">
        <references count="5">
          <reference field="0" count="1" selected="0">
            <x v="0"/>
          </reference>
          <reference field="1" count="1" selected="0">
            <x v="484"/>
          </reference>
          <reference field="2" count="1" selected="0">
            <x v="343"/>
          </reference>
          <reference field="3" count="1" selected="0">
            <x v="2"/>
          </reference>
          <reference field="4" count="1">
            <x v="184"/>
          </reference>
        </references>
      </pivotArea>
    </format>
    <format dxfId="1145">
      <pivotArea dataOnly="0" labelOnly="1" outline="0" fieldPosition="0">
        <references count="5">
          <reference field="0" count="1" selected="0">
            <x v="0"/>
          </reference>
          <reference field="1" count="1" selected="0">
            <x v="485"/>
          </reference>
          <reference field="2" count="1" selected="0">
            <x v="343"/>
          </reference>
          <reference field="3" count="1" selected="0">
            <x v="2"/>
          </reference>
          <reference field="4" count="1">
            <x v="240"/>
          </reference>
        </references>
      </pivotArea>
    </format>
    <format dxfId="1144">
      <pivotArea dataOnly="0" labelOnly="1" outline="0" fieldPosition="0">
        <references count="5">
          <reference field="0" count="1" selected="0">
            <x v="0"/>
          </reference>
          <reference field="1" count="1" selected="0">
            <x v="486"/>
          </reference>
          <reference field="2" count="1" selected="0">
            <x v="343"/>
          </reference>
          <reference field="3" count="1" selected="0">
            <x v="2"/>
          </reference>
          <reference field="4" count="1">
            <x v="242"/>
          </reference>
        </references>
      </pivotArea>
    </format>
    <format dxfId="1143">
      <pivotArea dataOnly="0" labelOnly="1" outline="0" fieldPosition="0">
        <references count="5">
          <reference field="0" count="1" selected="0">
            <x v="0"/>
          </reference>
          <reference field="1" count="1" selected="0">
            <x v="487"/>
          </reference>
          <reference field="2" count="1" selected="0">
            <x v="344"/>
          </reference>
          <reference field="3" count="1" selected="0">
            <x v="2"/>
          </reference>
          <reference field="4" count="1">
            <x v="110"/>
          </reference>
        </references>
      </pivotArea>
    </format>
    <format dxfId="1142">
      <pivotArea dataOnly="0" labelOnly="1" outline="0" fieldPosition="0">
        <references count="5">
          <reference field="0" count="1" selected="0">
            <x v="0"/>
          </reference>
          <reference field="1" count="1" selected="0">
            <x v="488"/>
          </reference>
          <reference field="2" count="1" selected="0">
            <x v="344"/>
          </reference>
          <reference field="3" count="1" selected="0">
            <x v="2"/>
          </reference>
          <reference field="4" count="1">
            <x v="131"/>
          </reference>
        </references>
      </pivotArea>
    </format>
    <format dxfId="1141">
      <pivotArea dataOnly="0" labelOnly="1" outline="0" fieldPosition="0">
        <references count="5">
          <reference field="0" count="1" selected="0">
            <x v="0"/>
          </reference>
          <reference field="1" count="1" selected="0">
            <x v="489"/>
          </reference>
          <reference field="2" count="1" selected="0">
            <x v="344"/>
          </reference>
          <reference field="3" count="1" selected="0">
            <x v="2"/>
          </reference>
          <reference field="4" count="1">
            <x v="145"/>
          </reference>
        </references>
      </pivotArea>
    </format>
    <format dxfId="1140">
      <pivotArea dataOnly="0" labelOnly="1" outline="0" fieldPosition="0">
        <references count="5">
          <reference field="0" count="1" selected="0">
            <x v="0"/>
          </reference>
          <reference field="1" count="1" selected="0">
            <x v="490"/>
          </reference>
          <reference field="2" count="1" selected="0">
            <x v="344"/>
          </reference>
          <reference field="3" count="1" selected="0">
            <x v="2"/>
          </reference>
          <reference field="4" count="1">
            <x v="214"/>
          </reference>
        </references>
      </pivotArea>
    </format>
    <format dxfId="1139">
      <pivotArea dataOnly="0" labelOnly="1" outline="0" fieldPosition="0">
        <references count="5">
          <reference field="0" count="1" selected="0">
            <x v="0"/>
          </reference>
          <reference field="1" count="1" selected="0">
            <x v="491"/>
          </reference>
          <reference field="2" count="1" selected="0">
            <x v="344"/>
          </reference>
          <reference field="3" count="1" selected="0">
            <x v="2"/>
          </reference>
          <reference field="4" count="1">
            <x v="282"/>
          </reference>
        </references>
      </pivotArea>
    </format>
    <format dxfId="1138">
      <pivotArea dataOnly="0" labelOnly="1" outline="0" fieldPosition="0">
        <references count="5">
          <reference field="0" count="1" selected="0">
            <x v="0"/>
          </reference>
          <reference field="1" count="1" selected="0">
            <x v="492"/>
          </reference>
          <reference field="2" count="1" selected="0">
            <x v="345"/>
          </reference>
          <reference field="3" count="1" selected="0">
            <x v="2"/>
          </reference>
          <reference field="4" count="1">
            <x v="33"/>
          </reference>
        </references>
      </pivotArea>
    </format>
    <format dxfId="1137">
      <pivotArea dataOnly="0" labelOnly="1" outline="0" fieldPosition="0">
        <references count="5">
          <reference field="0" count="1" selected="0">
            <x v="0"/>
          </reference>
          <reference field="1" count="1" selected="0">
            <x v="493"/>
          </reference>
          <reference field="2" count="1" selected="0">
            <x v="345"/>
          </reference>
          <reference field="3" count="1" selected="0">
            <x v="2"/>
          </reference>
          <reference field="4" count="1">
            <x v="98"/>
          </reference>
        </references>
      </pivotArea>
    </format>
    <format dxfId="1136">
      <pivotArea dataOnly="0" labelOnly="1" outline="0" fieldPosition="0">
        <references count="5">
          <reference field="0" count="1" selected="0">
            <x v="0"/>
          </reference>
          <reference field="1" count="1" selected="0">
            <x v="494"/>
          </reference>
          <reference field="2" count="1" selected="0">
            <x v="345"/>
          </reference>
          <reference field="3" count="1" selected="0">
            <x v="2"/>
          </reference>
          <reference field="4" count="1">
            <x v="110"/>
          </reference>
        </references>
      </pivotArea>
    </format>
    <format dxfId="1135">
      <pivotArea dataOnly="0" labelOnly="1" outline="0" fieldPosition="0">
        <references count="5">
          <reference field="0" count="1" selected="0">
            <x v="0"/>
          </reference>
          <reference field="1" count="1" selected="0">
            <x v="495"/>
          </reference>
          <reference field="2" count="1" selected="0">
            <x v="345"/>
          </reference>
          <reference field="3" count="1" selected="0">
            <x v="2"/>
          </reference>
          <reference field="4" count="1">
            <x v="183"/>
          </reference>
        </references>
      </pivotArea>
    </format>
    <format dxfId="1134">
      <pivotArea dataOnly="0" labelOnly="1" outline="0" fieldPosition="0">
        <references count="5">
          <reference field="0" count="1" selected="0">
            <x v="0"/>
          </reference>
          <reference field="1" count="1" selected="0">
            <x v="496"/>
          </reference>
          <reference field="2" count="1" selected="0">
            <x v="345"/>
          </reference>
          <reference field="3" count="1" selected="0">
            <x v="2"/>
          </reference>
          <reference field="4" count="1">
            <x v="241"/>
          </reference>
        </references>
      </pivotArea>
    </format>
    <format dxfId="1133">
      <pivotArea dataOnly="0" labelOnly="1" outline="0" fieldPosition="0">
        <references count="5">
          <reference field="0" count="1" selected="0">
            <x v="0"/>
          </reference>
          <reference field="1" count="1" selected="0">
            <x v="497"/>
          </reference>
          <reference field="2" count="1" selected="0">
            <x v="345"/>
          </reference>
          <reference field="3" count="1" selected="0">
            <x v="2"/>
          </reference>
          <reference field="4" count="1">
            <x v="247"/>
          </reference>
        </references>
      </pivotArea>
    </format>
    <format dxfId="1132">
      <pivotArea dataOnly="0" labelOnly="1" outline="0" fieldPosition="0">
        <references count="5">
          <reference field="0" count="1" selected="0">
            <x v="0"/>
          </reference>
          <reference field="1" count="1" selected="0">
            <x v="498"/>
          </reference>
          <reference field="2" count="1" selected="0">
            <x v="345"/>
          </reference>
          <reference field="3" count="1" selected="0">
            <x v="2"/>
          </reference>
          <reference field="4" count="1">
            <x v="293"/>
          </reference>
        </references>
      </pivotArea>
    </format>
    <format dxfId="1131">
      <pivotArea dataOnly="0" labelOnly="1" outline="0" fieldPosition="0">
        <references count="5">
          <reference field="0" count="1" selected="0">
            <x v="0"/>
          </reference>
          <reference field="1" count="1" selected="0">
            <x v="499"/>
          </reference>
          <reference field="2" count="1" selected="0">
            <x v="346"/>
          </reference>
          <reference field="3" count="1" selected="0">
            <x v="2"/>
          </reference>
          <reference field="4" count="1">
            <x v="61"/>
          </reference>
        </references>
      </pivotArea>
    </format>
    <format dxfId="1130">
      <pivotArea dataOnly="0" labelOnly="1" outline="0" fieldPosition="0">
        <references count="5">
          <reference field="0" count="1" selected="0">
            <x v="0"/>
          </reference>
          <reference field="1" count="1" selected="0">
            <x v="500"/>
          </reference>
          <reference field="2" count="1" selected="0">
            <x v="346"/>
          </reference>
          <reference field="3" count="1" selected="0">
            <x v="2"/>
          </reference>
          <reference field="4" count="1">
            <x v="72"/>
          </reference>
        </references>
      </pivotArea>
    </format>
    <format dxfId="1129">
      <pivotArea dataOnly="0" labelOnly="1" outline="0" fieldPosition="0">
        <references count="5">
          <reference field="0" count="1" selected="0">
            <x v="0"/>
          </reference>
          <reference field="1" count="1" selected="0">
            <x v="501"/>
          </reference>
          <reference field="2" count="1" selected="0">
            <x v="346"/>
          </reference>
          <reference field="3" count="1" selected="0">
            <x v="2"/>
          </reference>
          <reference field="4" count="1">
            <x v="88"/>
          </reference>
        </references>
      </pivotArea>
    </format>
    <format dxfId="1128">
      <pivotArea dataOnly="0" labelOnly="1" outline="0" fieldPosition="0">
        <references count="5">
          <reference field="0" count="1" selected="0">
            <x v="0"/>
          </reference>
          <reference field="1" count="1" selected="0">
            <x v="502"/>
          </reference>
          <reference field="2" count="1" selected="0">
            <x v="346"/>
          </reference>
          <reference field="3" count="1" selected="0">
            <x v="2"/>
          </reference>
          <reference field="4" count="1">
            <x v="90"/>
          </reference>
        </references>
      </pivotArea>
    </format>
    <format dxfId="1127">
      <pivotArea dataOnly="0" labelOnly="1" outline="0" fieldPosition="0">
        <references count="5">
          <reference field="0" count="1" selected="0">
            <x v="0"/>
          </reference>
          <reference field="1" count="1" selected="0">
            <x v="503"/>
          </reference>
          <reference field="2" count="1" selected="0">
            <x v="346"/>
          </reference>
          <reference field="3" count="1" selected="0">
            <x v="2"/>
          </reference>
          <reference field="4" count="1">
            <x v="143"/>
          </reference>
        </references>
      </pivotArea>
    </format>
    <format dxfId="1126">
      <pivotArea dataOnly="0" labelOnly="1" outline="0" fieldPosition="0">
        <references count="5">
          <reference field="0" count="1" selected="0">
            <x v="0"/>
          </reference>
          <reference field="1" count="1" selected="0">
            <x v="504"/>
          </reference>
          <reference field="2" count="1" selected="0">
            <x v="346"/>
          </reference>
          <reference field="3" count="1" selected="0">
            <x v="2"/>
          </reference>
          <reference field="4" count="1">
            <x v="162"/>
          </reference>
        </references>
      </pivotArea>
    </format>
    <format dxfId="1125">
      <pivotArea dataOnly="0" labelOnly="1" outline="0" fieldPosition="0">
        <references count="5">
          <reference field="0" count="1" selected="0">
            <x v="0"/>
          </reference>
          <reference field="1" count="1" selected="0">
            <x v="505"/>
          </reference>
          <reference field="2" count="1" selected="0">
            <x v="346"/>
          </reference>
          <reference field="3" count="1" selected="0">
            <x v="2"/>
          </reference>
          <reference field="4" count="1">
            <x v="188"/>
          </reference>
        </references>
      </pivotArea>
    </format>
    <format dxfId="1124">
      <pivotArea dataOnly="0" labelOnly="1" outline="0" fieldPosition="0">
        <references count="5">
          <reference field="0" count="1" selected="0">
            <x v="0"/>
          </reference>
          <reference field="1" count="1" selected="0">
            <x v="506"/>
          </reference>
          <reference field="2" count="1" selected="0">
            <x v="346"/>
          </reference>
          <reference field="3" count="1" selected="0">
            <x v="2"/>
          </reference>
          <reference field="4" count="1">
            <x v="192"/>
          </reference>
        </references>
      </pivotArea>
    </format>
    <format dxfId="1123">
      <pivotArea dataOnly="0" labelOnly="1" outline="0" fieldPosition="0">
        <references count="5">
          <reference field="0" count="1" selected="0">
            <x v="0"/>
          </reference>
          <reference field="1" count="1" selected="0">
            <x v="507"/>
          </reference>
          <reference field="2" count="1" selected="0">
            <x v="346"/>
          </reference>
          <reference field="3" count="1" selected="0">
            <x v="2"/>
          </reference>
          <reference field="4" count="1">
            <x v="204"/>
          </reference>
        </references>
      </pivotArea>
    </format>
    <format dxfId="1122">
      <pivotArea dataOnly="0" labelOnly="1" outline="0" fieldPosition="0">
        <references count="5">
          <reference field="0" count="1" selected="0">
            <x v="0"/>
          </reference>
          <reference field="1" count="1" selected="0">
            <x v="508"/>
          </reference>
          <reference field="2" count="1" selected="0">
            <x v="346"/>
          </reference>
          <reference field="3" count="1" selected="0">
            <x v="2"/>
          </reference>
          <reference field="4" count="1">
            <x v="219"/>
          </reference>
        </references>
      </pivotArea>
    </format>
    <format dxfId="1121">
      <pivotArea dataOnly="0" labelOnly="1" outline="0" fieldPosition="0">
        <references count="5">
          <reference field="0" count="1" selected="0">
            <x v="0"/>
          </reference>
          <reference field="1" count="1" selected="0">
            <x v="509"/>
          </reference>
          <reference field="2" count="1" selected="0">
            <x v="346"/>
          </reference>
          <reference field="3" count="1" selected="0">
            <x v="2"/>
          </reference>
          <reference field="4" count="1">
            <x v="242"/>
          </reference>
        </references>
      </pivotArea>
    </format>
    <format dxfId="1120">
      <pivotArea dataOnly="0" labelOnly="1" outline="0" fieldPosition="0">
        <references count="5">
          <reference field="0" count="1" selected="0">
            <x v="0"/>
          </reference>
          <reference field="1" count="1" selected="0">
            <x v="510"/>
          </reference>
          <reference field="2" count="1" selected="0">
            <x v="346"/>
          </reference>
          <reference field="3" count="1" selected="0">
            <x v="2"/>
          </reference>
          <reference field="4" count="1">
            <x v="246"/>
          </reference>
        </references>
      </pivotArea>
    </format>
    <format dxfId="1119">
      <pivotArea dataOnly="0" labelOnly="1" outline="0" fieldPosition="0">
        <references count="5">
          <reference field="0" count="1" selected="0">
            <x v="0"/>
          </reference>
          <reference field="1" count="1" selected="0">
            <x v="511"/>
          </reference>
          <reference field="2" count="1" selected="0">
            <x v="346"/>
          </reference>
          <reference field="3" count="1" selected="0">
            <x v="2"/>
          </reference>
          <reference field="4" count="1">
            <x v="251"/>
          </reference>
        </references>
      </pivotArea>
    </format>
    <format dxfId="1118">
      <pivotArea dataOnly="0" labelOnly="1" outline="0" fieldPosition="0">
        <references count="5">
          <reference field="0" count="1" selected="0">
            <x v="0"/>
          </reference>
          <reference field="1" count="1" selected="0">
            <x v="512"/>
          </reference>
          <reference field="2" count="1" selected="0">
            <x v="346"/>
          </reference>
          <reference field="3" count="1" selected="0">
            <x v="2"/>
          </reference>
          <reference field="4" count="1">
            <x v="269"/>
          </reference>
        </references>
      </pivotArea>
    </format>
    <format dxfId="1117">
      <pivotArea dataOnly="0" labelOnly="1" outline="0" fieldPosition="0">
        <references count="5">
          <reference field="0" count="1" selected="0">
            <x v="0"/>
          </reference>
          <reference field="1" count="1" selected="0">
            <x v="513"/>
          </reference>
          <reference field="2" count="1" selected="0">
            <x v="346"/>
          </reference>
          <reference field="3" count="1" selected="0">
            <x v="2"/>
          </reference>
          <reference field="4" count="1">
            <x v="290"/>
          </reference>
        </references>
      </pivotArea>
    </format>
    <format dxfId="1116">
      <pivotArea dataOnly="0" labelOnly="1" outline="0" fieldPosition="0">
        <references count="5">
          <reference field="0" count="1" selected="0">
            <x v="0"/>
          </reference>
          <reference field="1" count="1" selected="0">
            <x v="514"/>
          </reference>
          <reference field="2" count="1" selected="0">
            <x v="347"/>
          </reference>
          <reference field="3" count="1" selected="0">
            <x v="2"/>
          </reference>
          <reference field="4" count="1">
            <x v="104"/>
          </reference>
        </references>
      </pivotArea>
    </format>
    <format dxfId="1115">
      <pivotArea dataOnly="0" labelOnly="1" outline="0" fieldPosition="0">
        <references count="5">
          <reference field="0" count="1" selected="0">
            <x v="0"/>
          </reference>
          <reference field="1" count="1" selected="0">
            <x v="515"/>
          </reference>
          <reference field="2" count="1" selected="0">
            <x v="347"/>
          </reference>
          <reference field="3" count="1" selected="0">
            <x v="2"/>
          </reference>
          <reference field="4" count="1">
            <x v="110"/>
          </reference>
        </references>
      </pivotArea>
    </format>
    <format dxfId="1114">
      <pivotArea dataOnly="0" labelOnly="1" outline="0" fieldPosition="0">
        <references count="5">
          <reference field="0" count="1" selected="0">
            <x v="0"/>
          </reference>
          <reference field="1" count="1" selected="0">
            <x v="516"/>
          </reference>
          <reference field="2" count="1" selected="0">
            <x v="347"/>
          </reference>
          <reference field="3" count="1" selected="0">
            <x v="2"/>
          </reference>
          <reference field="4" count="1">
            <x v="139"/>
          </reference>
        </references>
      </pivotArea>
    </format>
    <format dxfId="1113">
      <pivotArea dataOnly="0" labelOnly="1" outline="0" fieldPosition="0">
        <references count="5">
          <reference field="0" count="1" selected="0">
            <x v="0"/>
          </reference>
          <reference field="1" count="1" selected="0">
            <x v="517"/>
          </reference>
          <reference field="2" count="1" selected="0">
            <x v="347"/>
          </reference>
          <reference field="3" count="1" selected="0">
            <x v="2"/>
          </reference>
          <reference field="4" count="1">
            <x v="167"/>
          </reference>
        </references>
      </pivotArea>
    </format>
    <format dxfId="1112">
      <pivotArea dataOnly="0" labelOnly="1" outline="0" fieldPosition="0">
        <references count="5">
          <reference field="0" count="1" selected="0">
            <x v="0"/>
          </reference>
          <reference field="1" count="1" selected="0">
            <x v="518"/>
          </reference>
          <reference field="2" count="1" selected="0">
            <x v="347"/>
          </reference>
          <reference field="3" count="1" selected="0">
            <x v="2"/>
          </reference>
          <reference field="4" count="1">
            <x v="206"/>
          </reference>
        </references>
      </pivotArea>
    </format>
    <format dxfId="1111">
      <pivotArea dataOnly="0" labelOnly="1" outline="0" fieldPosition="0">
        <references count="5">
          <reference field="0" count="1" selected="0">
            <x v="0"/>
          </reference>
          <reference field="1" count="1" selected="0">
            <x v="519"/>
          </reference>
          <reference field="2" count="1" selected="0">
            <x v="347"/>
          </reference>
          <reference field="3" count="1" selected="0">
            <x v="2"/>
          </reference>
          <reference field="4" count="1">
            <x v="268"/>
          </reference>
        </references>
      </pivotArea>
    </format>
    <format dxfId="1110">
      <pivotArea dataOnly="0" labelOnly="1" outline="0" fieldPosition="0">
        <references count="5">
          <reference field="0" count="1" selected="0">
            <x v="0"/>
          </reference>
          <reference field="1" count="1" selected="0">
            <x v="520"/>
          </reference>
          <reference field="2" count="1" selected="0">
            <x v="348"/>
          </reference>
          <reference field="3" count="1" selected="0">
            <x v="2"/>
          </reference>
          <reference field="4" count="1">
            <x v="131"/>
          </reference>
        </references>
      </pivotArea>
    </format>
    <format dxfId="1109">
      <pivotArea dataOnly="0" labelOnly="1" outline="0" fieldPosition="0">
        <references count="5">
          <reference field="0" count="1" selected="0">
            <x v="0"/>
          </reference>
          <reference field="1" count="1" selected="0">
            <x v="521"/>
          </reference>
          <reference field="2" count="1" selected="0">
            <x v="348"/>
          </reference>
          <reference field="3" count="1" selected="0">
            <x v="2"/>
          </reference>
          <reference field="4" count="1">
            <x v="186"/>
          </reference>
        </references>
      </pivotArea>
    </format>
    <format dxfId="1108">
      <pivotArea dataOnly="0" labelOnly="1" outline="0" fieldPosition="0">
        <references count="5">
          <reference field="0" count="1" selected="0">
            <x v="0"/>
          </reference>
          <reference field="1" count="1" selected="0">
            <x v="522"/>
          </reference>
          <reference field="2" count="1" selected="0">
            <x v="348"/>
          </reference>
          <reference field="3" count="1" selected="0">
            <x v="2"/>
          </reference>
          <reference field="4" count="1">
            <x v="193"/>
          </reference>
        </references>
      </pivotArea>
    </format>
    <format dxfId="1107">
      <pivotArea dataOnly="0" labelOnly="1" outline="0" fieldPosition="0">
        <references count="5">
          <reference field="0" count="1" selected="0">
            <x v="0"/>
          </reference>
          <reference field="1" count="1" selected="0">
            <x v="523"/>
          </reference>
          <reference field="2" count="1" selected="0">
            <x v="348"/>
          </reference>
          <reference field="3" count="1" selected="0">
            <x v="2"/>
          </reference>
          <reference field="4" count="1">
            <x v="210"/>
          </reference>
        </references>
      </pivotArea>
    </format>
    <format dxfId="1106">
      <pivotArea dataOnly="0" labelOnly="1" outline="0" fieldPosition="0">
        <references count="5">
          <reference field="0" count="1" selected="0">
            <x v="0"/>
          </reference>
          <reference field="1" count="1" selected="0">
            <x v="524"/>
          </reference>
          <reference field="2" count="1" selected="0">
            <x v="349"/>
          </reference>
          <reference field="3" count="1" selected="0">
            <x v="1"/>
          </reference>
          <reference field="4" count="1">
            <x v="50"/>
          </reference>
        </references>
      </pivotArea>
    </format>
    <format dxfId="1105">
      <pivotArea dataOnly="0" labelOnly="1" outline="0" fieldPosition="0">
        <references count="5">
          <reference field="0" count="1" selected="0">
            <x v="0"/>
          </reference>
          <reference field="1" count="1" selected="0">
            <x v="525"/>
          </reference>
          <reference field="2" count="1" selected="0">
            <x v="349"/>
          </reference>
          <reference field="3" count="1" selected="0">
            <x v="2"/>
          </reference>
          <reference field="4" count="1">
            <x v="73"/>
          </reference>
        </references>
      </pivotArea>
    </format>
    <format dxfId="1104">
      <pivotArea dataOnly="0" labelOnly="1" outline="0" fieldPosition="0">
        <references count="5">
          <reference field="0" count="1" selected="0">
            <x v="0"/>
          </reference>
          <reference field="1" count="1" selected="0">
            <x v="526"/>
          </reference>
          <reference field="2" count="1" selected="0">
            <x v="349"/>
          </reference>
          <reference field="3" count="1" selected="0">
            <x v="2"/>
          </reference>
          <reference field="4" count="1">
            <x v="78"/>
          </reference>
        </references>
      </pivotArea>
    </format>
    <format dxfId="1103">
      <pivotArea dataOnly="0" labelOnly="1" outline="0" fieldPosition="0">
        <references count="5">
          <reference field="0" count="1" selected="0">
            <x v="0"/>
          </reference>
          <reference field="1" count="1" selected="0">
            <x v="527"/>
          </reference>
          <reference field="2" count="1" selected="0">
            <x v="349"/>
          </reference>
          <reference field="3" count="1" selected="0">
            <x v="2"/>
          </reference>
          <reference field="4" count="1">
            <x v="80"/>
          </reference>
        </references>
      </pivotArea>
    </format>
    <format dxfId="1102">
      <pivotArea dataOnly="0" labelOnly="1" outline="0" fieldPosition="0">
        <references count="5">
          <reference field="0" count="1" selected="0">
            <x v="0"/>
          </reference>
          <reference field="1" count="1" selected="0">
            <x v="528"/>
          </reference>
          <reference field="2" count="1" selected="0">
            <x v="349"/>
          </reference>
          <reference field="3" count="1" selected="0">
            <x v="2"/>
          </reference>
          <reference field="4" count="1">
            <x v="110"/>
          </reference>
        </references>
      </pivotArea>
    </format>
    <format dxfId="1101">
      <pivotArea dataOnly="0" labelOnly="1" outline="0" fieldPosition="0">
        <references count="5">
          <reference field="0" count="1" selected="0">
            <x v="0"/>
          </reference>
          <reference field="1" count="1" selected="0">
            <x v="529"/>
          </reference>
          <reference field="2" count="1" selected="0">
            <x v="349"/>
          </reference>
          <reference field="3" count="1" selected="0">
            <x v="2"/>
          </reference>
          <reference field="4" count="1">
            <x v="131"/>
          </reference>
        </references>
      </pivotArea>
    </format>
    <format dxfId="1100">
      <pivotArea dataOnly="0" labelOnly="1" outline="0" fieldPosition="0">
        <references count="5">
          <reference field="0" count="1" selected="0">
            <x v="0"/>
          </reference>
          <reference field="1" count="1" selected="0">
            <x v="530"/>
          </reference>
          <reference field="2" count="1" selected="0">
            <x v="349"/>
          </reference>
          <reference field="3" count="1" selected="0">
            <x v="2"/>
          </reference>
          <reference field="4" count="1">
            <x v="145"/>
          </reference>
        </references>
      </pivotArea>
    </format>
    <format dxfId="1099">
      <pivotArea dataOnly="0" labelOnly="1" outline="0" fieldPosition="0">
        <references count="5">
          <reference field="0" count="1" selected="0">
            <x v="0"/>
          </reference>
          <reference field="1" count="1" selected="0">
            <x v="531"/>
          </reference>
          <reference field="2" count="1" selected="0">
            <x v="349"/>
          </reference>
          <reference field="3" count="1" selected="0">
            <x v="2"/>
          </reference>
          <reference field="4" count="1">
            <x v="149"/>
          </reference>
        </references>
      </pivotArea>
    </format>
    <format dxfId="1098">
      <pivotArea dataOnly="0" labelOnly="1" outline="0" fieldPosition="0">
        <references count="5">
          <reference field="0" count="1" selected="0">
            <x v="0"/>
          </reference>
          <reference field="1" count="1" selected="0">
            <x v="532"/>
          </reference>
          <reference field="2" count="1" selected="0">
            <x v="349"/>
          </reference>
          <reference field="3" count="1" selected="0">
            <x v="2"/>
          </reference>
          <reference field="4" count="1">
            <x v="184"/>
          </reference>
        </references>
      </pivotArea>
    </format>
    <format dxfId="1097">
      <pivotArea dataOnly="0" labelOnly="1" outline="0" fieldPosition="0">
        <references count="5">
          <reference field="0" count="1" selected="0">
            <x v="0"/>
          </reference>
          <reference field="1" count="1" selected="0">
            <x v="533"/>
          </reference>
          <reference field="2" count="1" selected="0">
            <x v="349"/>
          </reference>
          <reference field="3" count="1" selected="0">
            <x v="2"/>
          </reference>
          <reference field="4" count="1">
            <x v="225"/>
          </reference>
        </references>
      </pivotArea>
    </format>
    <format dxfId="1096">
      <pivotArea dataOnly="0" labelOnly="1" outline="0" fieldPosition="0">
        <references count="5">
          <reference field="0" count="1" selected="0">
            <x v="0"/>
          </reference>
          <reference field="1" count="1" selected="0">
            <x v="534"/>
          </reference>
          <reference field="2" count="1" selected="0">
            <x v="349"/>
          </reference>
          <reference field="3" count="1" selected="0">
            <x v="2"/>
          </reference>
          <reference field="4" count="1">
            <x v="291"/>
          </reference>
        </references>
      </pivotArea>
    </format>
    <format dxfId="1095">
      <pivotArea dataOnly="0" labelOnly="1" outline="0" fieldPosition="0">
        <references count="5">
          <reference field="0" count="1" selected="0">
            <x v="0"/>
          </reference>
          <reference field="1" count="1" selected="0">
            <x v="535"/>
          </reference>
          <reference field="2" count="1" selected="0">
            <x v="350"/>
          </reference>
          <reference field="3" count="1" selected="0">
            <x v="2"/>
          </reference>
          <reference field="4" count="1">
            <x v="45"/>
          </reference>
        </references>
      </pivotArea>
    </format>
    <format dxfId="1094">
      <pivotArea dataOnly="0" labelOnly="1" outline="0" fieldPosition="0">
        <references count="5">
          <reference field="0" count="1" selected="0">
            <x v="0"/>
          </reference>
          <reference field="1" count="1" selected="0">
            <x v="536"/>
          </reference>
          <reference field="2" count="1" selected="0">
            <x v="350"/>
          </reference>
          <reference field="3" count="1" selected="0">
            <x v="2"/>
          </reference>
          <reference field="4" count="1">
            <x v="79"/>
          </reference>
        </references>
      </pivotArea>
    </format>
    <format dxfId="1093">
      <pivotArea dataOnly="0" labelOnly="1" outline="0" fieldPosition="0">
        <references count="5">
          <reference field="0" count="1" selected="0">
            <x v="0"/>
          </reference>
          <reference field="1" count="1" selected="0">
            <x v="537"/>
          </reference>
          <reference field="2" count="1" selected="0">
            <x v="350"/>
          </reference>
          <reference field="3" count="1" selected="0">
            <x v="2"/>
          </reference>
          <reference field="4" count="1">
            <x v="110"/>
          </reference>
        </references>
      </pivotArea>
    </format>
    <format dxfId="1092">
      <pivotArea dataOnly="0" labelOnly="1" outline="0" fieldPosition="0">
        <references count="5">
          <reference field="0" count="1" selected="0">
            <x v="0"/>
          </reference>
          <reference field="1" count="1" selected="0">
            <x v="538"/>
          </reference>
          <reference field="2" count="1" selected="0">
            <x v="350"/>
          </reference>
          <reference field="3" count="1" selected="0">
            <x v="2"/>
          </reference>
          <reference field="4" count="1">
            <x v="122"/>
          </reference>
        </references>
      </pivotArea>
    </format>
    <format dxfId="1091">
      <pivotArea dataOnly="0" labelOnly="1" outline="0" fieldPosition="0">
        <references count="5">
          <reference field="0" count="1" selected="0">
            <x v="0"/>
          </reference>
          <reference field="1" count="1" selected="0">
            <x v="539"/>
          </reference>
          <reference field="2" count="1" selected="0">
            <x v="350"/>
          </reference>
          <reference field="3" count="1" selected="0">
            <x v="2"/>
          </reference>
          <reference field="4" count="1">
            <x v="161"/>
          </reference>
        </references>
      </pivotArea>
    </format>
    <format dxfId="1090">
      <pivotArea dataOnly="0" labelOnly="1" outline="0" fieldPosition="0">
        <references count="5">
          <reference field="0" count="1" selected="0">
            <x v="0"/>
          </reference>
          <reference field="1" count="1" selected="0">
            <x v="540"/>
          </reference>
          <reference field="2" count="1" selected="0">
            <x v="350"/>
          </reference>
          <reference field="3" count="1" selected="0">
            <x v="2"/>
          </reference>
          <reference field="4" count="1">
            <x v="172"/>
          </reference>
        </references>
      </pivotArea>
    </format>
    <format dxfId="1089">
      <pivotArea dataOnly="0" labelOnly="1" outline="0" fieldPosition="0">
        <references count="5">
          <reference field="0" count="1" selected="0">
            <x v="0"/>
          </reference>
          <reference field="1" count="1" selected="0">
            <x v="541"/>
          </reference>
          <reference field="2" count="1" selected="0">
            <x v="350"/>
          </reference>
          <reference field="3" count="1" selected="0">
            <x v="2"/>
          </reference>
          <reference field="4" count="1">
            <x v="210"/>
          </reference>
        </references>
      </pivotArea>
    </format>
    <format dxfId="1088">
      <pivotArea dataOnly="0" labelOnly="1" outline="0" fieldPosition="0">
        <references count="5">
          <reference field="0" count="1" selected="0">
            <x v="0"/>
          </reference>
          <reference field="1" count="1" selected="0">
            <x v="542"/>
          </reference>
          <reference field="2" count="1" selected="0">
            <x v="350"/>
          </reference>
          <reference field="3" count="1" selected="0">
            <x v="2"/>
          </reference>
          <reference field="4" count="1">
            <x v="218"/>
          </reference>
        </references>
      </pivotArea>
    </format>
    <format dxfId="1087">
      <pivotArea dataOnly="0" labelOnly="1" outline="0" fieldPosition="0">
        <references count="5">
          <reference field="0" count="1" selected="0">
            <x v="0"/>
          </reference>
          <reference field="1" count="1" selected="0">
            <x v="543"/>
          </reference>
          <reference field="2" count="1" selected="0">
            <x v="350"/>
          </reference>
          <reference field="3" count="1" selected="0">
            <x v="2"/>
          </reference>
          <reference field="4" count="1">
            <x v="227"/>
          </reference>
        </references>
      </pivotArea>
    </format>
    <format dxfId="1086">
      <pivotArea dataOnly="0" labelOnly="1" outline="0" fieldPosition="0">
        <references count="5">
          <reference field="0" count="1" selected="0">
            <x v="0"/>
          </reference>
          <reference field="1" count="1" selected="0">
            <x v="544"/>
          </reference>
          <reference field="2" count="1" selected="0">
            <x v="350"/>
          </reference>
          <reference field="3" count="1" selected="0">
            <x v="2"/>
          </reference>
          <reference field="4" count="1">
            <x v="262"/>
          </reference>
        </references>
      </pivotArea>
    </format>
    <format dxfId="1085">
      <pivotArea dataOnly="0" labelOnly="1" outline="0" fieldPosition="0">
        <references count="5">
          <reference field="0" count="1" selected="0">
            <x v="0"/>
          </reference>
          <reference field="1" count="1" selected="0">
            <x v="545"/>
          </reference>
          <reference field="2" count="1" selected="0">
            <x v="351"/>
          </reference>
          <reference field="3" count="1" selected="0">
            <x v="2"/>
          </reference>
          <reference field="4" count="1">
            <x v="52"/>
          </reference>
        </references>
      </pivotArea>
    </format>
    <format dxfId="1084">
      <pivotArea dataOnly="0" labelOnly="1" outline="0" fieldPosition="0">
        <references count="5">
          <reference field="0" count="1" selected="0">
            <x v="0"/>
          </reference>
          <reference field="1" count="1" selected="0">
            <x v="546"/>
          </reference>
          <reference field="2" count="1" selected="0">
            <x v="351"/>
          </reference>
          <reference field="3" count="1" selected="0">
            <x v="2"/>
          </reference>
          <reference field="4" count="1">
            <x v="70"/>
          </reference>
        </references>
      </pivotArea>
    </format>
    <format dxfId="1083">
      <pivotArea dataOnly="0" labelOnly="1" outline="0" fieldPosition="0">
        <references count="5">
          <reference field="0" count="1" selected="0">
            <x v="0"/>
          </reference>
          <reference field="1" count="1" selected="0">
            <x v="547"/>
          </reference>
          <reference field="2" count="1" selected="0">
            <x v="351"/>
          </reference>
          <reference field="3" count="1" selected="0">
            <x v="2"/>
          </reference>
          <reference field="4" count="1">
            <x v="181"/>
          </reference>
        </references>
      </pivotArea>
    </format>
    <format dxfId="1082">
      <pivotArea dataOnly="0" labelOnly="1" outline="0" fieldPosition="0">
        <references count="5">
          <reference field="0" count="1" selected="0">
            <x v="0"/>
          </reference>
          <reference field="1" count="1" selected="0">
            <x v="548"/>
          </reference>
          <reference field="2" count="1" selected="0">
            <x v="351"/>
          </reference>
          <reference field="3" count="1" selected="0">
            <x v="2"/>
          </reference>
          <reference field="4" count="1">
            <x v="238"/>
          </reference>
        </references>
      </pivotArea>
    </format>
    <format dxfId="1081">
      <pivotArea dataOnly="0" labelOnly="1" outline="0" fieldPosition="0">
        <references count="5">
          <reference field="0" count="1" selected="0">
            <x v="0"/>
          </reference>
          <reference field="1" count="1" selected="0">
            <x v="549"/>
          </reference>
          <reference field="2" count="1" selected="0">
            <x v="352"/>
          </reference>
          <reference field="3" count="1" selected="0">
            <x v="2"/>
          </reference>
          <reference field="4" count="1">
            <x v="35"/>
          </reference>
        </references>
      </pivotArea>
    </format>
    <format dxfId="1080">
      <pivotArea dataOnly="0" labelOnly="1" outline="0" fieldPosition="0">
        <references count="5">
          <reference field="0" count="1" selected="0">
            <x v="0"/>
          </reference>
          <reference field="1" count="1" selected="0">
            <x v="550"/>
          </reference>
          <reference field="2" count="1" selected="0">
            <x v="352"/>
          </reference>
          <reference field="3" count="1" selected="0">
            <x v="2"/>
          </reference>
          <reference field="4" count="1">
            <x v="208"/>
          </reference>
        </references>
      </pivotArea>
    </format>
    <format dxfId="1079">
      <pivotArea dataOnly="0" labelOnly="1" outline="0" fieldPosition="0">
        <references count="5">
          <reference field="0" count="1" selected="0">
            <x v="0"/>
          </reference>
          <reference field="1" count="1" selected="0">
            <x v="551"/>
          </reference>
          <reference field="2" count="1" selected="0">
            <x v="352"/>
          </reference>
          <reference field="3" count="1" selected="0">
            <x v="2"/>
          </reference>
          <reference field="4" count="1">
            <x v="231"/>
          </reference>
        </references>
      </pivotArea>
    </format>
    <format dxfId="1078">
      <pivotArea dataOnly="0" labelOnly="1" outline="0" fieldPosition="0">
        <references count="5">
          <reference field="0" count="1" selected="0">
            <x v="0"/>
          </reference>
          <reference field="1" count="1" selected="0">
            <x v="552"/>
          </reference>
          <reference field="2" count="1" selected="0">
            <x v="353"/>
          </reference>
          <reference field="3" count="1" selected="0">
            <x v="2"/>
          </reference>
          <reference field="4" count="1">
            <x v="81"/>
          </reference>
        </references>
      </pivotArea>
    </format>
    <format dxfId="1077">
      <pivotArea dataOnly="0" labelOnly="1" outline="0" fieldPosition="0">
        <references count="5">
          <reference field="0" count="1" selected="0">
            <x v="0"/>
          </reference>
          <reference field="1" count="1" selected="0">
            <x v="553"/>
          </reference>
          <reference field="2" count="1" selected="0">
            <x v="353"/>
          </reference>
          <reference field="3" count="1" selected="0">
            <x v="2"/>
          </reference>
          <reference field="4" count="1">
            <x v="106"/>
          </reference>
        </references>
      </pivotArea>
    </format>
    <format dxfId="1076">
      <pivotArea dataOnly="0" labelOnly="1" outline="0" fieldPosition="0">
        <references count="5">
          <reference field="0" count="1" selected="0">
            <x v="0"/>
          </reference>
          <reference field="1" count="1" selected="0">
            <x v="554"/>
          </reference>
          <reference field="2" count="1" selected="0">
            <x v="354"/>
          </reference>
          <reference field="3" count="1" selected="0">
            <x v="2"/>
          </reference>
          <reference field="4" count="1">
            <x v="76"/>
          </reference>
        </references>
      </pivotArea>
    </format>
    <format dxfId="1075">
      <pivotArea dataOnly="0" labelOnly="1" outline="0" fieldPosition="0">
        <references count="5">
          <reference field="0" count="1" selected="0">
            <x v="0"/>
          </reference>
          <reference field="1" count="1" selected="0">
            <x v="555"/>
          </reference>
          <reference field="2" count="1" selected="0">
            <x v="354"/>
          </reference>
          <reference field="3" count="1" selected="0">
            <x v="2"/>
          </reference>
          <reference field="4" count="1">
            <x v="95"/>
          </reference>
        </references>
      </pivotArea>
    </format>
    <format dxfId="1074">
      <pivotArea dataOnly="0" labelOnly="1" outline="0" fieldPosition="0">
        <references count="5">
          <reference field="0" count="1" selected="0">
            <x v="0"/>
          </reference>
          <reference field="1" count="1" selected="0">
            <x v="556"/>
          </reference>
          <reference field="2" count="1" selected="0">
            <x v="354"/>
          </reference>
          <reference field="3" count="1" selected="0">
            <x v="2"/>
          </reference>
          <reference field="4" count="1">
            <x v="110"/>
          </reference>
        </references>
      </pivotArea>
    </format>
    <format dxfId="1073">
      <pivotArea dataOnly="0" labelOnly="1" outline="0" fieldPosition="0">
        <references count="5">
          <reference field="0" count="1" selected="0">
            <x v="0"/>
          </reference>
          <reference field="1" count="1" selected="0">
            <x v="557"/>
          </reference>
          <reference field="2" count="1" selected="0">
            <x v="354"/>
          </reference>
          <reference field="3" count="1" selected="0">
            <x v="2"/>
          </reference>
          <reference field="4" count="1">
            <x v="115"/>
          </reference>
        </references>
      </pivotArea>
    </format>
    <format dxfId="1072">
      <pivotArea dataOnly="0" labelOnly="1" outline="0" fieldPosition="0">
        <references count="5">
          <reference field="0" count="1" selected="0">
            <x v="0"/>
          </reference>
          <reference field="1" count="1" selected="0">
            <x v="558"/>
          </reference>
          <reference field="2" count="1" selected="0">
            <x v="354"/>
          </reference>
          <reference field="3" count="1" selected="0">
            <x v="2"/>
          </reference>
          <reference field="4" count="1">
            <x v="150"/>
          </reference>
        </references>
      </pivotArea>
    </format>
    <format dxfId="1071">
      <pivotArea dataOnly="0" labelOnly="1" outline="0" fieldPosition="0">
        <references count="5">
          <reference field="0" count="1" selected="0">
            <x v="0"/>
          </reference>
          <reference field="1" count="1" selected="0">
            <x v="559"/>
          </reference>
          <reference field="2" count="1" selected="0">
            <x v="354"/>
          </reference>
          <reference field="3" count="1" selected="0">
            <x v="2"/>
          </reference>
          <reference field="4" count="1">
            <x v="154"/>
          </reference>
        </references>
      </pivotArea>
    </format>
    <format dxfId="1070">
      <pivotArea dataOnly="0" labelOnly="1" outline="0" fieldPosition="0">
        <references count="5">
          <reference field="0" count="1" selected="0">
            <x v="0"/>
          </reference>
          <reference field="1" count="1" selected="0">
            <x v="560"/>
          </reference>
          <reference field="2" count="1" selected="0">
            <x v="354"/>
          </reference>
          <reference field="3" count="1" selected="0">
            <x v="2"/>
          </reference>
          <reference field="4" count="1">
            <x v="157"/>
          </reference>
        </references>
      </pivotArea>
    </format>
    <format dxfId="1069">
      <pivotArea dataOnly="0" labelOnly="1" outline="0" fieldPosition="0">
        <references count="5">
          <reference field="0" count="1" selected="0">
            <x v="0"/>
          </reference>
          <reference field="1" count="1" selected="0">
            <x v="561"/>
          </reference>
          <reference field="2" count="1" selected="0">
            <x v="354"/>
          </reference>
          <reference field="3" count="1" selected="0">
            <x v="2"/>
          </reference>
          <reference field="4" count="1">
            <x v="263"/>
          </reference>
        </references>
      </pivotArea>
    </format>
    <format dxfId="1068">
      <pivotArea dataOnly="0" labelOnly="1" outline="0" fieldPosition="0">
        <references count="5">
          <reference field="0" count="1" selected="0">
            <x v="0"/>
          </reference>
          <reference field="1" count="1" selected="0">
            <x v="562"/>
          </reference>
          <reference field="2" count="1" selected="0">
            <x v="355"/>
          </reference>
          <reference field="3" count="1" selected="0">
            <x v="2"/>
          </reference>
          <reference field="4" count="1">
            <x v="68"/>
          </reference>
        </references>
      </pivotArea>
    </format>
    <format dxfId="1067">
      <pivotArea dataOnly="0" labelOnly="1" outline="0" fieldPosition="0">
        <references count="5">
          <reference field="0" count="1" selected="0">
            <x v="0"/>
          </reference>
          <reference field="1" count="1" selected="0">
            <x v="563"/>
          </reference>
          <reference field="2" count="1" selected="0">
            <x v="355"/>
          </reference>
          <reference field="3" count="1" selected="0">
            <x v="2"/>
          </reference>
          <reference field="4" count="1">
            <x v="95"/>
          </reference>
        </references>
      </pivotArea>
    </format>
    <format dxfId="1066">
      <pivotArea dataOnly="0" labelOnly="1" outline="0" fieldPosition="0">
        <references count="5">
          <reference field="0" count="1" selected="0">
            <x v="0"/>
          </reference>
          <reference field="1" count="1" selected="0">
            <x v="564"/>
          </reference>
          <reference field="2" count="1" selected="0">
            <x v="355"/>
          </reference>
          <reference field="3" count="1" selected="0">
            <x v="2"/>
          </reference>
          <reference field="4" count="1">
            <x v="110"/>
          </reference>
        </references>
      </pivotArea>
    </format>
    <format dxfId="1065">
      <pivotArea dataOnly="0" labelOnly="1" outline="0" fieldPosition="0">
        <references count="5">
          <reference field="0" count="1" selected="0">
            <x v="0"/>
          </reference>
          <reference field="1" count="1" selected="0">
            <x v="565"/>
          </reference>
          <reference field="2" count="1" selected="0">
            <x v="355"/>
          </reference>
          <reference field="3" count="1" selected="0">
            <x v="2"/>
          </reference>
          <reference field="4" count="1">
            <x v="181"/>
          </reference>
        </references>
      </pivotArea>
    </format>
    <format dxfId="1064">
      <pivotArea dataOnly="0" labelOnly="1" outline="0" fieldPosition="0">
        <references count="5">
          <reference field="0" count="1" selected="0">
            <x v="0"/>
          </reference>
          <reference field="1" count="1" selected="0">
            <x v="566"/>
          </reference>
          <reference field="2" count="1" selected="0">
            <x v="355"/>
          </reference>
          <reference field="3" count="1" selected="0">
            <x v="2"/>
          </reference>
          <reference field="4" count="1">
            <x v="186"/>
          </reference>
        </references>
      </pivotArea>
    </format>
    <format dxfId="1063">
      <pivotArea dataOnly="0" labelOnly="1" outline="0" fieldPosition="0">
        <references count="5">
          <reference field="0" count="1" selected="0">
            <x v="0"/>
          </reference>
          <reference field="1" count="1" selected="0">
            <x v="567"/>
          </reference>
          <reference field="2" count="1" selected="0">
            <x v="356"/>
          </reference>
          <reference field="3" count="1" selected="0">
            <x v="2"/>
          </reference>
          <reference field="4" count="1">
            <x v="21"/>
          </reference>
        </references>
      </pivotArea>
    </format>
    <format dxfId="1062">
      <pivotArea dataOnly="0" labelOnly="1" outline="0" fieldPosition="0">
        <references count="5">
          <reference field="0" count="1" selected="0">
            <x v="0"/>
          </reference>
          <reference field="1" count="1" selected="0">
            <x v="568"/>
          </reference>
          <reference field="2" count="1" selected="0">
            <x v="356"/>
          </reference>
          <reference field="3" count="1" selected="0">
            <x v="2"/>
          </reference>
          <reference field="4" count="1">
            <x v="58"/>
          </reference>
        </references>
      </pivotArea>
    </format>
    <format dxfId="1061">
      <pivotArea dataOnly="0" labelOnly="1" outline="0" fieldPosition="0">
        <references count="5">
          <reference field="0" count="1" selected="0">
            <x v="0"/>
          </reference>
          <reference field="1" count="1" selected="0">
            <x v="569"/>
          </reference>
          <reference field="2" count="1" selected="0">
            <x v="356"/>
          </reference>
          <reference field="3" count="1" selected="0">
            <x v="2"/>
          </reference>
          <reference field="4" count="1">
            <x v="80"/>
          </reference>
        </references>
      </pivotArea>
    </format>
    <format dxfId="1060">
      <pivotArea dataOnly="0" labelOnly="1" outline="0" fieldPosition="0">
        <references count="5">
          <reference field="0" count="1" selected="0">
            <x v="0"/>
          </reference>
          <reference field="1" count="1" selected="0">
            <x v="570"/>
          </reference>
          <reference field="2" count="1" selected="0">
            <x v="356"/>
          </reference>
          <reference field="3" count="1" selected="0">
            <x v="2"/>
          </reference>
          <reference field="4" count="1">
            <x v="110"/>
          </reference>
        </references>
      </pivotArea>
    </format>
    <format dxfId="1059">
      <pivotArea dataOnly="0" labelOnly="1" outline="0" fieldPosition="0">
        <references count="5">
          <reference field="0" count="1" selected="0">
            <x v="0"/>
          </reference>
          <reference field="1" count="1" selected="0">
            <x v="571"/>
          </reference>
          <reference field="2" count="1" selected="0">
            <x v="356"/>
          </reference>
          <reference field="3" count="1" selected="0">
            <x v="2"/>
          </reference>
          <reference field="4" count="1">
            <x v="117"/>
          </reference>
        </references>
      </pivotArea>
    </format>
    <format dxfId="1058">
      <pivotArea dataOnly="0" labelOnly="1" outline="0" fieldPosition="0">
        <references count="5">
          <reference field="0" count="1" selected="0">
            <x v="0"/>
          </reference>
          <reference field="1" count="1" selected="0">
            <x v="572"/>
          </reference>
          <reference field="2" count="1" selected="0">
            <x v="356"/>
          </reference>
          <reference field="3" count="1" selected="0">
            <x v="2"/>
          </reference>
          <reference field="4" count="1">
            <x v="204"/>
          </reference>
        </references>
      </pivotArea>
    </format>
    <format dxfId="1057">
      <pivotArea dataOnly="0" labelOnly="1" outline="0" fieldPosition="0">
        <references count="5">
          <reference field="0" count="1" selected="0">
            <x v="0"/>
          </reference>
          <reference field="1" count="1" selected="0">
            <x v="573"/>
          </reference>
          <reference field="2" count="1" selected="0">
            <x v="356"/>
          </reference>
          <reference field="3" count="1" selected="0">
            <x v="2"/>
          </reference>
          <reference field="4" count="1">
            <x v="292"/>
          </reference>
        </references>
      </pivotArea>
    </format>
    <format dxfId="1056">
      <pivotArea dataOnly="0" labelOnly="1" outline="0" fieldPosition="0">
        <references count="5">
          <reference field="0" count="1" selected="0">
            <x v="0"/>
          </reference>
          <reference field="1" count="1" selected="0">
            <x v="574"/>
          </reference>
          <reference field="2" count="1" selected="0">
            <x v="357"/>
          </reference>
          <reference field="3" count="1" selected="0">
            <x v="2"/>
          </reference>
          <reference field="4" count="1">
            <x v="50"/>
          </reference>
        </references>
      </pivotArea>
    </format>
    <format dxfId="1055">
      <pivotArea dataOnly="0" labelOnly="1" outline="0" fieldPosition="0">
        <references count="5">
          <reference field="0" count="1" selected="0">
            <x v="0"/>
          </reference>
          <reference field="1" count="1" selected="0">
            <x v="575"/>
          </reference>
          <reference field="2" count="1" selected="0">
            <x v="357"/>
          </reference>
          <reference field="3" count="1" selected="0">
            <x v="2"/>
          </reference>
          <reference field="4" count="1">
            <x v="104"/>
          </reference>
        </references>
      </pivotArea>
    </format>
    <format dxfId="1054">
      <pivotArea dataOnly="0" labelOnly="1" outline="0" fieldPosition="0">
        <references count="5">
          <reference field="0" count="1" selected="0">
            <x v="0"/>
          </reference>
          <reference field="1" count="1" selected="0">
            <x v="576"/>
          </reference>
          <reference field="2" count="1" selected="0">
            <x v="357"/>
          </reference>
          <reference field="3" count="1" selected="0">
            <x v="2"/>
          </reference>
          <reference field="4" count="1">
            <x v="181"/>
          </reference>
        </references>
      </pivotArea>
    </format>
    <format dxfId="1053">
      <pivotArea dataOnly="0" labelOnly="1" outline="0" fieldPosition="0">
        <references count="5">
          <reference field="0" count="1" selected="0">
            <x v="0"/>
          </reference>
          <reference field="1" count="1" selected="0">
            <x v="577"/>
          </reference>
          <reference field="2" count="1" selected="0">
            <x v="357"/>
          </reference>
          <reference field="3" count="1" selected="0">
            <x v="2"/>
          </reference>
          <reference field="4" count="1">
            <x v="223"/>
          </reference>
        </references>
      </pivotArea>
    </format>
    <format dxfId="1052">
      <pivotArea dataOnly="0" labelOnly="1" outline="0" fieldPosition="0">
        <references count="5">
          <reference field="0" count="1" selected="0">
            <x v="0"/>
          </reference>
          <reference field="1" count="1" selected="0">
            <x v="578"/>
          </reference>
          <reference field="2" count="1" selected="0">
            <x v="357"/>
          </reference>
          <reference field="3" count="1" selected="0">
            <x v="2"/>
          </reference>
          <reference field="4" count="1">
            <x v="241"/>
          </reference>
        </references>
      </pivotArea>
    </format>
    <format dxfId="1051">
      <pivotArea dataOnly="0" labelOnly="1" outline="0" fieldPosition="0">
        <references count="5">
          <reference field="0" count="1" selected="0">
            <x v="0"/>
          </reference>
          <reference field="1" count="1" selected="0">
            <x v="579"/>
          </reference>
          <reference field="2" count="1" selected="0">
            <x v="357"/>
          </reference>
          <reference field="3" count="1" selected="0">
            <x v="2"/>
          </reference>
          <reference field="4" count="1">
            <x v="258"/>
          </reference>
        </references>
      </pivotArea>
    </format>
    <format dxfId="1050">
      <pivotArea dataOnly="0" labelOnly="1" outline="0" fieldPosition="0">
        <references count="5">
          <reference field="0" count="1" selected="0">
            <x v="0"/>
          </reference>
          <reference field="1" count="1" selected="0">
            <x v="580"/>
          </reference>
          <reference field="2" count="1" selected="0">
            <x v="357"/>
          </reference>
          <reference field="3" count="1" selected="0">
            <x v="2"/>
          </reference>
          <reference field="4" count="1">
            <x v="273"/>
          </reference>
        </references>
      </pivotArea>
    </format>
    <format dxfId="1049">
      <pivotArea dataOnly="0" labelOnly="1" outline="0" fieldPosition="0">
        <references count="5">
          <reference field="0" count="1" selected="0">
            <x v="0"/>
          </reference>
          <reference field="1" count="1" selected="0">
            <x v="581"/>
          </reference>
          <reference field="2" count="1" selected="0">
            <x v="357"/>
          </reference>
          <reference field="3" count="1" selected="0">
            <x v="2"/>
          </reference>
          <reference field="4" count="1">
            <x v="282"/>
          </reference>
        </references>
      </pivotArea>
    </format>
    <format dxfId="1048">
      <pivotArea dataOnly="0" labelOnly="1" outline="0" fieldPosition="0">
        <references count="5">
          <reference field="0" count="1" selected="0">
            <x v="0"/>
          </reference>
          <reference field="1" count="1" selected="0">
            <x v="582"/>
          </reference>
          <reference field="2" count="1" selected="0">
            <x v="358"/>
          </reference>
          <reference field="3" count="1" selected="0">
            <x v="2"/>
          </reference>
          <reference field="4" count="1">
            <x v="56"/>
          </reference>
        </references>
      </pivotArea>
    </format>
    <format dxfId="1047">
      <pivotArea dataOnly="0" labelOnly="1" outline="0" fieldPosition="0">
        <references count="5">
          <reference field="0" count="1" selected="0">
            <x v="0"/>
          </reference>
          <reference field="1" count="1" selected="0">
            <x v="583"/>
          </reference>
          <reference field="2" count="1" selected="0">
            <x v="359"/>
          </reference>
          <reference field="3" count="1" selected="0">
            <x v="2"/>
          </reference>
          <reference field="4" count="1">
            <x v="64"/>
          </reference>
        </references>
      </pivotArea>
    </format>
    <format dxfId="1046">
      <pivotArea dataOnly="0" labelOnly="1" outline="0" fieldPosition="0">
        <references count="5">
          <reference field="0" count="1" selected="0">
            <x v="0"/>
          </reference>
          <reference field="1" count="1" selected="0">
            <x v="584"/>
          </reference>
          <reference field="2" count="1" selected="0">
            <x v="359"/>
          </reference>
          <reference field="3" count="1" selected="0">
            <x v="2"/>
          </reference>
          <reference field="4" count="1">
            <x v="242"/>
          </reference>
        </references>
      </pivotArea>
    </format>
    <format dxfId="1045">
      <pivotArea dataOnly="0" labelOnly="1" outline="0" fieldPosition="0">
        <references count="5">
          <reference field="0" count="1" selected="0">
            <x v="0"/>
          </reference>
          <reference field="1" count="1" selected="0">
            <x v="585"/>
          </reference>
          <reference field="2" count="1" selected="0">
            <x v="359"/>
          </reference>
          <reference field="3" count="1" selected="0">
            <x v="2"/>
          </reference>
          <reference field="4" count="1">
            <x v="248"/>
          </reference>
        </references>
      </pivotArea>
    </format>
    <format dxfId="1044">
      <pivotArea dataOnly="0" labelOnly="1" outline="0" fieldPosition="0">
        <references count="5">
          <reference field="0" count="1" selected="0">
            <x v="0"/>
          </reference>
          <reference field="1" count="1" selected="0">
            <x v="586"/>
          </reference>
          <reference field="2" count="1" selected="0">
            <x v="359"/>
          </reference>
          <reference field="3" count="1" selected="0">
            <x v="2"/>
          </reference>
          <reference field="4" count="1">
            <x v="265"/>
          </reference>
        </references>
      </pivotArea>
    </format>
    <format dxfId="1043">
      <pivotArea dataOnly="0" labelOnly="1" outline="0" fieldPosition="0">
        <references count="5">
          <reference field="0" count="1" selected="0">
            <x v="0"/>
          </reference>
          <reference field="1" count="1" selected="0">
            <x v="587"/>
          </reference>
          <reference field="2" count="1" selected="0">
            <x v="359"/>
          </reference>
          <reference field="3" count="1" selected="0">
            <x v="2"/>
          </reference>
          <reference field="4" count="1">
            <x v="269"/>
          </reference>
        </references>
      </pivotArea>
    </format>
    <format dxfId="1042">
      <pivotArea dataOnly="0" labelOnly="1" outline="0" fieldPosition="0">
        <references count="5">
          <reference field="0" count="1" selected="0">
            <x v="0"/>
          </reference>
          <reference field="1" count="1" selected="0">
            <x v="588"/>
          </reference>
          <reference field="2" count="1" selected="0">
            <x v="359"/>
          </reference>
          <reference field="3" count="1" selected="0">
            <x v="2"/>
          </reference>
          <reference field="4" count="1">
            <x v="289"/>
          </reference>
        </references>
      </pivotArea>
    </format>
    <format dxfId="1041">
      <pivotArea dataOnly="0" labelOnly="1" outline="0" fieldPosition="0">
        <references count="5">
          <reference field="0" count="1" selected="0">
            <x v="0"/>
          </reference>
          <reference field="1" count="1" selected="0">
            <x v="589"/>
          </reference>
          <reference field="2" count="1" selected="0">
            <x v="360"/>
          </reference>
          <reference field="3" count="1" selected="0">
            <x v="2"/>
          </reference>
          <reference field="4" count="1">
            <x v="35"/>
          </reference>
        </references>
      </pivotArea>
    </format>
    <format dxfId="1040">
      <pivotArea dataOnly="0" labelOnly="1" outline="0" fieldPosition="0">
        <references count="5">
          <reference field="0" count="1" selected="0">
            <x v="0"/>
          </reference>
          <reference field="1" count="1" selected="0">
            <x v="590"/>
          </reference>
          <reference field="2" count="1" selected="0">
            <x v="360"/>
          </reference>
          <reference field="3" count="1" selected="0">
            <x v="2"/>
          </reference>
          <reference field="4" count="1">
            <x v="44"/>
          </reference>
        </references>
      </pivotArea>
    </format>
    <format dxfId="1039">
      <pivotArea dataOnly="0" labelOnly="1" outline="0" fieldPosition="0">
        <references count="5">
          <reference field="0" count="1" selected="0">
            <x v="0"/>
          </reference>
          <reference field="1" count="1" selected="0">
            <x v="591"/>
          </reference>
          <reference field="2" count="1" selected="0">
            <x v="360"/>
          </reference>
          <reference field="3" count="1" selected="0">
            <x v="2"/>
          </reference>
          <reference field="4" count="1">
            <x v="45"/>
          </reference>
        </references>
      </pivotArea>
    </format>
    <format dxfId="1038">
      <pivotArea dataOnly="0" labelOnly="1" outline="0" fieldPosition="0">
        <references count="5">
          <reference field="0" count="1" selected="0">
            <x v="0"/>
          </reference>
          <reference field="1" count="1" selected="0">
            <x v="592"/>
          </reference>
          <reference field="2" count="1" selected="0">
            <x v="360"/>
          </reference>
          <reference field="3" count="1" selected="0">
            <x v="2"/>
          </reference>
          <reference field="4" count="1">
            <x v="70"/>
          </reference>
        </references>
      </pivotArea>
    </format>
    <format dxfId="1037">
      <pivotArea dataOnly="0" labelOnly="1" outline="0" fieldPosition="0">
        <references count="5">
          <reference field="0" count="1" selected="0">
            <x v="0"/>
          </reference>
          <reference field="1" count="1" selected="0">
            <x v="593"/>
          </reference>
          <reference field="2" count="1" selected="0">
            <x v="360"/>
          </reference>
          <reference field="3" count="1" selected="0">
            <x v="2"/>
          </reference>
          <reference field="4" count="1">
            <x v="90"/>
          </reference>
        </references>
      </pivotArea>
    </format>
    <format dxfId="1036">
      <pivotArea dataOnly="0" labelOnly="1" outline="0" fieldPosition="0">
        <references count="5">
          <reference field="0" count="1" selected="0">
            <x v="0"/>
          </reference>
          <reference field="1" count="1" selected="0">
            <x v="594"/>
          </reference>
          <reference field="2" count="1" selected="0">
            <x v="360"/>
          </reference>
          <reference field="3" count="1" selected="0">
            <x v="2"/>
          </reference>
          <reference field="4" count="1">
            <x v="105"/>
          </reference>
        </references>
      </pivotArea>
    </format>
    <format dxfId="1035">
      <pivotArea dataOnly="0" labelOnly="1" outline="0" fieldPosition="0">
        <references count="5">
          <reference field="0" count="1" selected="0">
            <x v="0"/>
          </reference>
          <reference field="1" count="1" selected="0">
            <x v="595"/>
          </reference>
          <reference field="2" count="1" selected="0">
            <x v="360"/>
          </reference>
          <reference field="3" count="1" selected="0">
            <x v="2"/>
          </reference>
          <reference field="4" count="1">
            <x v="110"/>
          </reference>
        </references>
      </pivotArea>
    </format>
    <format dxfId="1034">
      <pivotArea dataOnly="0" labelOnly="1" outline="0" fieldPosition="0">
        <references count="5">
          <reference field="0" count="1" selected="0">
            <x v="0"/>
          </reference>
          <reference field="1" count="1" selected="0">
            <x v="596"/>
          </reference>
          <reference field="2" count="1" selected="0">
            <x v="360"/>
          </reference>
          <reference field="3" count="1" selected="0">
            <x v="2"/>
          </reference>
          <reference field="4" count="1">
            <x v="184"/>
          </reference>
        </references>
      </pivotArea>
    </format>
    <format dxfId="1033">
      <pivotArea dataOnly="0" labelOnly="1" outline="0" fieldPosition="0">
        <references count="5">
          <reference field="0" count="1" selected="0">
            <x v="0"/>
          </reference>
          <reference field="1" count="1" selected="0">
            <x v="597"/>
          </reference>
          <reference field="2" count="1" selected="0">
            <x v="360"/>
          </reference>
          <reference field="3" count="1" selected="0">
            <x v="2"/>
          </reference>
          <reference field="4" count="1">
            <x v="192"/>
          </reference>
        </references>
      </pivotArea>
    </format>
    <format dxfId="1032">
      <pivotArea dataOnly="0" labelOnly="1" outline="0" fieldPosition="0">
        <references count="5">
          <reference field="0" count="1" selected="0">
            <x v="0"/>
          </reference>
          <reference field="1" count="1" selected="0">
            <x v="598"/>
          </reference>
          <reference field="2" count="1" selected="0">
            <x v="361"/>
          </reference>
          <reference field="3" count="1" selected="0">
            <x v="2"/>
          </reference>
          <reference field="4" count="1">
            <x v="44"/>
          </reference>
        </references>
      </pivotArea>
    </format>
    <format dxfId="1031">
      <pivotArea dataOnly="0" labelOnly="1" outline="0" fieldPosition="0">
        <references count="5">
          <reference field="0" count="1" selected="0">
            <x v="0"/>
          </reference>
          <reference field="1" count="1" selected="0">
            <x v="599"/>
          </reference>
          <reference field="2" count="1" selected="0">
            <x v="361"/>
          </reference>
          <reference field="3" count="1" selected="0">
            <x v="2"/>
          </reference>
          <reference field="4" count="1">
            <x v="55"/>
          </reference>
        </references>
      </pivotArea>
    </format>
    <format dxfId="1030">
      <pivotArea dataOnly="0" labelOnly="1" outline="0" fieldPosition="0">
        <references count="5">
          <reference field="0" count="1" selected="0">
            <x v="0"/>
          </reference>
          <reference field="1" count="1" selected="0">
            <x v="600"/>
          </reference>
          <reference field="2" count="1" selected="0">
            <x v="361"/>
          </reference>
          <reference field="3" count="1" selected="0">
            <x v="2"/>
          </reference>
          <reference field="4" count="1">
            <x v="58"/>
          </reference>
        </references>
      </pivotArea>
    </format>
    <format dxfId="1029">
      <pivotArea dataOnly="0" labelOnly="1" outline="0" fieldPosition="0">
        <references count="5">
          <reference field="0" count="1" selected="0">
            <x v="0"/>
          </reference>
          <reference field="1" count="1" selected="0">
            <x v="601"/>
          </reference>
          <reference field="2" count="1" selected="0">
            <x v="361"/>
          </reference>
          <reference field="3" count="1" selected="0">
            <x v="2"/>
          </reference>
          <reference field="4" count="1">
            <x v="79"/>
          </reference>
        </references>
      </pivotArea>
    </format>
    <format dxfId="1028">
      <pivotArea dataOnly="0" labelOnly="1" outline="0" fieldPosition="0">
        <references count="5">
          <reference field="0" count="1" selected="0">
            <x v="0"/>
          </reference>
          <reference field="1" count="1" selected="0">
            <x v="602"/>
          </reference>
          <reference field="2" count="1" selected="0">
            <x v="361"/>
          </reference>
          <reference field="3" count="1" selected="0">
            <x v="2"/>
          </reference>
          <reference field="4" count="1">
            <x v="202"/>
          </reference>
        </references>
      </pivotArea>
    </format>
    <format dxfId="1027">
      <pivotArea dataOnly="0" labelOnly="1" outline="0" fieldPosition="0">
        <references count="5">
          <reference field="0" count="1" selected="0">
            <x v="0"/>
          </reference>
          <reference field="1" count="1" selected="0">
            <x v="603"/>
          </reference>
          <reference field="2" count="1" selected="0">
            <x v="361"/>
          </reference>
          <reference field="3" count="1" selected="0">
            <x v="2"/>
          </reference>
          <reference field="4" count="1">
            <x v="234"/>
          </reference>
        </references>
      </pivotArea>
    </format>
    <format dxfId="1026">
      <pivotArea dataOnly="0" labelOnly="1" outline="0" fieldPosition="0">
        <references count="5">
          <reference field="0" count="1" selected="0">
            <x v="0"/>
          </reference>
          <reference field="1" count="1" selected="0">
            <x v="604"/>
          </reference>
          <reference field="2" count="1" selected="0">
            <x v="362"/>
          </reference>
          <reference field="3" count="1" selected="0">
            <x v="2"/>
          </reference>
          <reference field="4" count="1">
            <x v="51"/>
          </reference>
        </references>
      </pivotArea>
    </format>
    <format dxfId="1025">
      <pivotArea dataOnly="0" labelOnly="1" outline="0" fieldPosition="0">
        <references count="5">
          <reference field="0" count="1" selected="0">
            <x v="0"/>
          </reference>
          <reference field="1" count="1" selected="0">
            <x v="605"/>
          </reference>
          <reference field="2" count="1" selected="0">
            <x v="362"/>
          </reference>
          <reference field="3" count="1" selected="0">
            <x v="2"/>
          </reference>
          <reference field="4" count="1">
            <x v="64"/>
          </reference>
        </references>
      </pivotArea>
    </format>
    <format dxfId="1024">
      <pivotArea dataOnly="0" labelOnly="1" outline="0" fieldPosition="0">
        <references count="5">
          <reference field="0" count="1" selected="0">
            <x v="0"/>
          </reference>
          <reference field="1" count="1" selected="0">
            <x v="606"/>
          </reference>
          <reference field="2" count="1" selected="0">
            <x v="362"/>
          </reference>
          <reference field="3" count="1" selected="0">
            <x v="2"/>
          </reference>
          <reference field="4" count="1">
            <x v="92"/>
          </reference>
        </references>
      </pivotArea>
    </format>
    <format dxfId="1023">
      <pivotArea dataOnly="0" labelOnly="1" outline="0" fieldPosition="0">
        <references count="5">
          <reference field="0" count="1" selected="0">
            <x v="0"/>
          </reference>
          <reference field="1" count="1" selected="0">
            <x v="607"/>
          </reference>
          <reference field="2" count="1" selected="0">
            <x v="362"/>
          </reference>
          <reference field="3" count="1" selected="0">
            <x v="2"/>
          </reference>
          <reference field="4" count="1">
            <x v="146"/>
          </reference>
        </references>
      </pivotArea>
    </format>
    <format dxfId="1022">
      <pivotArea dataOnly="0" labelOnly="1" outline="0" fieldPosition="0">
        <references count="5">
          <reference field="0" count="1" selected="0">
            <x v="0"/>
          </reference>
          <reference field="1" count="1" selected="0">
            <x v="608"/>
          </reference>
          <reference field="2" count="1" selected="0">
            <x v="362"/>
          </reference>
          <reference field="3" count="1" selected="0">
            <x v="2"/>
          </reference>
          <reference field="4" count="1">
            <x v="157"/>
          </reference>
        </references>
      </pivotArea>
    </format>
    <format dxfId="1021">
      <pivotArea dataOnly="0" labelOnly="1" outline="0" fieldPosition="0">
        <references count="5">
          <reference field="0" count="1" selected="0">
            <x v="0"/>
          </reference>
          <reference field="1" count="1" selected="0">
            <x v="609"/>
          </reference>
          <reference field="2" count="1" selected="0">
            <x v="362"/>
          </reference>
          <reference field="3" count="1" selected="0">
            <x v="2"/>
          </reference>
          <reference field="4" count="1">
            <x v="162"/>
          </reference>
        </references>
      </pivotArea>
    </format>
    <format dxfId="1020">
      <pivotArea dataOnly="0" labelOnly="1" outline="0" fieldPosition="0">
        <references count="5">
          <reference field="0" count="1" selected="0">
            <x v="0"/>
          </reference>
          <reference field="1" count="1" selected="0">
            <x v="610"/>
          </reference>
          <reference field="2" count="1" selected="0">
            <x v="362"/>
          </reference>
          <reference field="3" count="1" selected="0">
            <x v="2"/>
          </reference>
          <reference field="4" count="1">
            <x v="170"/>
          </reference>
        </references>
      </pivotArea>
    </format>
    <format dxfId="1019">
      <pivotArea dataOnly="0" labelOnly="1" outline="0" fieldPosition="0">
        <references count="5">
          <reference field="0" count="1" selected="0">
            <x v="0"/>
          </reference>
          <reference field="1" count="1" selected="0">
            <x v="611"/>
          </reference>
          <reference field="2" count="1" selected="0">
            <x v="362"/>
          </reference>
          <reference field="3" count="1" selected="0">
            <x v="2"/>
          </reference>
          <reference field="4" count="1">
            <x v="172"/>
          </reference>
        </references>
      </pivotArea>
    </format>
    <format dxfId="1018">
      <pivotArea dataOnly="0" labelOnly="1" outline="0" fieldPosition="0">
        <references count="5">
          <reference field="0" count="1" selected="0">
            <x v="0"/>
          </reference>
          <reference field="1" count="1" selected="0">
            <x v="612"/>
          </reference>
          <reference field="2" count="1" selected="0">
            <x v="362"/>
          </reference>
          <reference field="3" count="1" selected="0">
            <x v="2"/>
          </reference>
          <reference field="4" count="1">
            <x v="182"/>
          </reference>
        </references>
      </pivotArea>
    </format>
    <format dxfId="1017">
      <pivotArea dataOnly="0" labelOnly="1" outline="0" fieldPosition="0">
        <references count="5">
          <reference field="0" count="1" selected="0">
            <x v="0"/>
          </reference>
          <reference field="1" count="1" selected="0">
            <x v="613"/>
          </reference>
          <reference field="2" count="1" selected="0">
            <x v="362"/>
          </reference>
          <reference field="3" count="1" selected="0">
            <x v="2"/>
          </reference>
          <reference field="4" count="1">
            <x v="183"/>
          </reference>
        </references>
      </pivotArea>
    </format>
    <format dxfId="1016">
      <pivotArea dataOnly="0" labelOnly="1" outline="0" fieldPosition="0">
        <references count="5">
          <reference field="0" count="1" selected="0">
            <x v="0"/>
          </reference>
          <reference field="1" count="1" selected="0">
            <x v="614"/>
          </reference>
          <reference field="2" count="1" selected="0">
            <x v="362"/>
          </reference>
          <reference field="3" count="1" selected="0">
            <x v="2"/>
          </reference>
          <reference field="4" count="1">
            <x v="198"/>
          </reference>
        </references>
      </pivotArea>
    </format>
    <format dxfId="1015">
      <pivotArea dataOnly="0" labelOnly="1" outline="0" fieldPosition="0">
        <references count="5">
          <reference field="0" count="1" selected="0">
            <x v="0"/>
          </reference>
          <reference field="1" count="1" selected="0">
            <x v="615"/>
          </reference>
          <reference field="2" count="1" selected="0">
            <x v="362"/>
          </reference>
          <reference field="3" count="1" selected="0">
            <x v="2"/>
          </reference>
          <reference field="4" count="1">
            <x v="223"/>
          </reference>
        </references>
      </pivotArea>
    </format>
    <format dxfId="1014">
      <pivotArea dataOnly="0" labelOnly="1" outline="0" fieldPosition="0">
        <references count="5">
          <reference field="0" count="1" selected="0">
            <x v="0"/>
          </reference>
          <reference field="1" count="1" selected="0">
            <x v="616"/>
          </reference>
          <reference field="2" count="1" selected="0">
            <x v="362"/>
          </reference>
          <reference field="3" count="1" selected="0">
            <x v="2"/>
          </reference>
          <reference field="4" count="1">
            <x v="227"/>
          </reference>
        </references>
      </pivotArea>
    </format>
    <format dxfId="1013">
      <pivotArea dataOnly="0" labelOnly="1" outline="0" fieldPosition="0">
        <references count="5">
          <reference field="0" count="1" selected="0">
            <x v="0"/>
          </reference>
          <reference field="1" count="1" selected="0">
            <x v="617"/>
          </reference>
          <reference field="2" count="1" selected="0">
            <x v="362"/>
          </reference>
          <reference field="3" count="1" selected="0">
            <x v="2"/>
          </reference>
          <reference field="4" count="1">
            <x v="239"/>
          </reference>
        </references>
      </pivotArea>
    </format>
    <format dxfId="1012">
      <pivotArea dataOnly="0" labelOnly="1" outline="0" fieldPosition="0">
        <references count="5">
          <reference field="0" count="1" selected="0">
            <x v="0"/>
          </reference>
          <reference field="1" count="1" selected="0">
            <x v="618"/>
          </reference>
          <reference field="2" count="1" selected="0">
            <x v="363"/>
          </reference>
          <reference field="3" count="1" selected="0">
            <x v="2"/>
          </reference>
          <reference field="4" count="1">
            <x v="32"/>
          </reference>
        </references>
      </pivotArea>
    </format>
    <format dxfId="1011">
      <pivotArea dataOnly="0" labelOnly="1" outline="0" fieldPosition="0">
        <references count="5">
          <reference field="0" count="1" selected="0">
            <x v="0"/>
          </reference>
          <reference field="1" count="1" selected="0">
            <x v="619"/>
          </reference>
          <reference field="2" count="1" selected="0">
            <x v="363"/>
          </reference>
          <reference field="3" count="1" selected="0">
            <x v="2"/>
          </reference>
          <reference field="4" count="1">
            <x v="46"/>
          </reference>
        </references>
      </pivotArea>
    </format>
    <format dxfId="1010">
      <pivotArea dataOnly="0" labelOnly="1" outline="0" fieldPosition="0">
        <references count="5">
          <reference field="0" count="1" selected="0">
            <x v="0"/>
          </reference>
          <reference field="1" count="1" selected="0">
            <x v="620"/>
          </reference>
          <reference field="2" count="1" selected="0">
            <x v="363"/>
          </reference>
          <reference field="3" count="1" selected="0">
            <x v="2"/>
          </reference>
          <reference field="4" count="1">
            <x v="50"/>
          </reference>
        </references>
      </pivotArea>
    </format>
    <format dxfId="1009">
      <pivotArea dataOnly="0" labelOnly="1" outline="0" fieldPosition="0">
        <references count="5">
          <reference field="0" count="1" selected="0">
            <x v="0"/>
          </reference>
          <reference field="1" count="1" selected="0">
            <x v="621"/>
          </reference>
          <reference field="2" count="1" selected="0">
            <x v="363"/>
          </reference>
          <reference field="3" count="1" selected="0">
            <x v="2"/>
          </reference>
          <reference field="4" count="1">
            <x v="56"/>
          </reference>
        </references>
      </pivotArea>
    </format>
    <format dxfId="1008">
      <pivotArea dataOnly="0" labelOnly="1" outline="0" fieldPosition="0">
        <references count="5">
          <reference field="0" count="1" selected="0">
            <x v="0"/>
          </reference>
          <reference field="1" count="1" selected="0">
            <x v="622"/>
          </reference>
          <reference field="2" count="1" selected="0">
            <x v="363"/>
          </reference>
          <reference field="3" count="1" selected="0">
            <x v="2"/>
          </reference>
          <reference field="4" count="1">
            <x v="57"/>
          </reference>
        </references>
      </pivotArea>
    </format>
    <format dxfId="1007">
      <pivotArea dataOnly="0" labelOnly="1" outline="0" fieldPosition="0">
        <references count="5">
          <reference field="0" count="1" selected="0">
            <x v="0"/>
          </reference>
          <reference field="1" count="1" selected="0">
            <x v="623"/>
          </reference>
          <reference field="2" count="1" selected="0">
            <x v="363"/>
          </reference>
          <reference field="3" count="1" selected="0">
            <x v="2"/>
          </reference>
          <reference field="4" count="1">
            <x v="58"/>
          </reference>
        </references>
      </pivotArea>
    </format>
    <format dxfId="1006">
      <pivotArea dataOnly="0" labelOnly="1" outline="0" fieldPosition="0">
        <references count="5">
          <reference field="0" count="1" selected="0">
            <x v="0"/>
          </reference>
          <reference field="1" count="1" selected="0">
            <x v="624"/>
          </reference>
          <reference field="2" count="1" selected="0">
            <x v="363"/>
          </reference>
          <reference field="3" count="1" selected="0">
            <x v="2"/>
          </reference>
          <reference field="4" count="1">
            <x v="68"/>
          </reference>
        </references>
      </pivotArea>
    </format>
    <format dxfId="1005">
      <pivotArea dataOnly="0" labelOnly="1" outline="0" fieldPosition="0">
        <references count="5">
          <reference field="0" count="1" selected="0">
            <x v="0"/>
          </reference>
          <reference field="1" count="1" selected="0">
            <x v="625"/>
          </reference>
          <reference field="2" count="1" selected="0">
            <x v="363"/>
          </reference>
          <reference field="3" count="1" selected="0">
            <x v="2"/>
          </reference>
          <reference field="4" count="1">
            <x v="70"/>
          </reference>
        </references>
      </pivotArea>
    </format>
    <format dxfId="1004">
      <pivotArea dataOnly="0" labelOnly="1" outline="0" fieldPosition="0">
        <references count="5">
          <reference field="0" count="1" selected="0">
            <x v="0"/>
          </reference>
          <reference field="1" count="1" selected="0">
            <x v="626"/>
          </reference>
          <reference field="2" count="1" selected="0">
            <x v="363"/>
          </reference>
          <reference field="3" count="1" selected="0">
            <x v="2"/>
          </reference>
          <reference field="4" count="1">
            <x v="82"/>
          </reference>
        </references>
      </pivotArea>
    </format>
    <format dxfId="1003">
      <pivotArea dataOnly="0" labelOnly="1" outline="0" fieldPosition="0">
        <references count="5">
          <reference field="0" count="1" selected="0">
            <x v="0"/>
          </reference>
          <reference field="1" count="1" selected="0">
            <x v="627"/>
          </reference>
          <reference field="2" count="1" selected="0">
            <x v="363"/>
          </reference>
          <reference field="3" count="1" selected="0">
            <x v="2"/>
          </reference>
          <reference field="4" count="1">
            <x v="95"/>
          </reference>
        </references>
      </pivotArea>
    </format>
    <format dxfId="1002">
      <pivotArea dataOnly="0" labelOnly="1" outline="0" fieldPosition="0">
        <references count="5">
          <reference field="0" count="1" selected="0">
            <x v="0"/>
          </reference>
          <reference field="1" count="1" selected="0">
            <x v="628"/>
          </reference>
          <reference field="2" count="1" selected="0">
            <x v="363"/>
          </reference>
          <reference field="3" count="1" selected="0">
            <x v="2"/>
          </reference>
          <reference field="4" count="1">
            <x v="109"/>
          </reference>
        </references>
      </pivotArea>
    </format>
    <format dxfId="1001">
      <pivotArea dataOnly="0" labelOnly="1" outline="0" fieldPosition="0">
        <references count="5">
          <reference field="0" count="1" selected="0">
            <x v="0"/>
          </reference>
          <reference field="1" count="1" selected="0">
            <x v="629"/>
          </reference>
          <reference field="2" count="1" selected="0">
            <x v="363"/>
          </reference>
          <reference field="3" count="1" selected="0">
            <x v="2"/>
          </reference>
          <reference field="4" count="1">
            <x v="110"/>
          </reference>
        </references>
      </pivotArea>
    </format>
    <format dxfId="1000">
      <pivotArea dataOnly="0" labelOnly="1" outline="0" fieldPosition="0">
        <references count="5">
          <reference field="0" count="1" selected="0">
            <x v="0"/>
          </reference>
          <reference field="1" count="1" selected="0">
            <x v="630"/>
          </reference>
          <reference field="2" count="1" selected="0">
            <x v="363"/>
          </reference>
          <reference field="3" count="1" selected="0">
            <x v="2"/>
          </reference>
          <reference field="4" count="1">
            <x v="115"/>
          </reference>
        </references>
      </pivotArea>
    </format>
    <format dxfId="999">
      <pivotArea dataOnly="0" labelOnly="1" outline="0" fieldPosition="0">
        <references count="5">
          <reference field="0" count="1" selected="0">
            <x v="0"/>
          </reference>
          <reference field="1" count="1" selected="0">
            <x v="631"/>
          </reference>
          <reference field="2" count="1" selected="0">
            <x v="363"/>
          </reference>
          <reference field="3" count="1" selected="0">
            <x v="2"/>
          </reference>
          <reference field="4" count="1">
            <x v="120"/>
          </reference>
        </references>
      </pivotArea>
    </format>
    <format dxfId="998">
      <pivotArea dataOnly="0" labelOnly="1" outline="0" fieldPosition="0">
        <references count="5">
          <reference field="0" count="1" selected="0">
            <x v="0"/>
          </reference>
          <reference field="1" count="1" selected="0">
            <x v="632"/>
          </reference>
          <reference field="2" count="1" selected="0">
            <x v="363"/>
          </reference>
          <reference field="3" count="1" selected="0">
            <x v="2"/>
          </reference>
          <reference field="4" count="1">
            <x v="130"/>
          </reference>
        </references>
      </pivotArea>
    </format>
    <format dxfId="997">
      <pivotArea dataOnly="0" labelOnly="1" outline="0" fieldPosition="0">
        <references count="5">
          <reference field="0" count="1" selected="0">
            <x v="0"/>
          </reference>
          <reference field="1" count="1" selected="0">
            <x v="633"/>
          </reference>
          <reference field="2" count="1" selected="0">
            <x v="363"/>
          </reference>
          <reference field="3" count="1" selected="0">
            <x v="2"/>
          </reference>
          <reference field="4" count="1">
            <x v="137"/>
          </reference>
        </references>
      </pivotArea>
    </format>
    <format dxfId="996">
      <pivotArea dataOnly="0" labelOnly="1" outline="0" fieldPosition="0">
        <references count="5">
          <reference field="0" count="1" selected="0">
            <x v="0"/>
          </reference>
          <reference field="1" count="1" selected="0">
            <x v="634"/>
          </reference>
          <reference field="2" count="1" selected="0">
            <x v="363"/>
          </reference>
          <reference field="3" count="1" selected="0">
            <x v="2"/>
          </reference>
          <reference field="4" count="1">
            <x v="142"/>
          </reference>
        </references>
      </pivotArea>
    </format>
    <format dxfId="995">
      <pivotArea dataOnly="0" labelOnly="1" outline="0" fieldPosition="0">
        <references count="5">
          <reference field="0" count="1" selected="0">
            <x v="0"/>
          </reference>
          <reference field="1" count="1" selected="0">
            <x v="635"/>
          </reference>
          <reference field="2" count="1" selected="0">
            <x v="363"/>
          </reference>
          <reference field="3" count="1" selected="0">
            <x v="2"/>
          </reference>
          <reference field="4" count="1">
            <x v="144"/>
          </reference>
        </references>
      </pivotArea>
    </format>
    <format dxfId="994">
      <pivotArea dataOnly="0" labelOnly="1" outline="0" fieldPosition="0">
        <references count="5">
          <reference field="0" count="1" selected="0">
            <x v="0"/>
          </reference>
          <reference field="1" count="1" selected="0">
            <x v="636"/>
          </reference>
          <reference field="2" count="1" selected="0">
            <x v="363"/>
          </reference>
          <reference field="3" count="1" selected="0">
            <x v="2"/>
          </reference>
          <reference field="4" count="1">
            <x v="145"/>
          </reference>
        </references>
      </pivotArea>
    </format>
    <format dxfId="993">
      <pivotArea dataOnly="0" labelOnly="1" outline="0" fieldPosition="0">
        <references count="5">
          <reference field="0" count="1" selected="0">
            <x v="0"/>
          </reference>
          <reference field="1" count="1" selected="0">
            <x v="637"/>
          </reference>
          <reference field="2" count="1" selected="0">
            <x v="363"/>
          </reference>
          <reference field="3" count="1" selected="0">
            <x v="2"/>
          </reference>
          <reference field="4" count="1">
            <x v="151"/>
          </reference>
        </references>
      </pivotArea>
    </format>
    <format dxfId="992">
      <pivotArea dataOnly="0" labelOnly="1" outline="0" fieldPosition="0">
        <references count="5">
          <reference field="0" count="1" selected="0">
            <x v="0"/>
          </reference>
          <reference field="1" count="1" selected="0">
            <x v="638"/>
          </reference>
          <reference field="2" count="1" selected="0">
            <x v="363"/>
          </reference>
          <reference field="3" count="1" selected="0">
            <x v="2"/>
          </reference>
          <reference field="4" count="1">
            <x v="152"/>
          </reference>
        </references>
      </pivotArea>
    </format>
    <format dxfId="991">
      <pivotArea dataOnly="0" labelOnly="1" outline="0" fieldPosition="0">
        <references count="5">
          <reference field="0" count="1" selected="0">
            <x v="0"/>
          </reference>
          <reference field="1" count="1" selected="0">
            <x v="639"/>
          </reference>
          <reference field="2" count="1" selected="0">
            <x v="363"/>
          </reference>
          <reference field="3" count="1" selected="0">
            <x v="2"/>
          </reference>
          <reference field="4" count="1">
            <x v="166"/>
          </reference>
        </references>
      </pivotArea>
    </format>
    <format dxfId="990">
      <pivotArea dataOnly="0" labelOnly="1" outline="0" fieldPosition="0">
        <references count="5">
          <reference field="0" count="1" selected="0">
            <x v="0"/>
          </reference>
          <reference field="1" count="1" selected="0">
            <x v="640"/>
          </reference>
          <reference field="2" count="1" selected="0">
            <x v="363"/>
          </reference>
          <reference field="3" count="1" selected="0">
            <x v="2"/>
          </reference>
          <reference field="4" count="1">
            <x v="169"/>
          </reference>
        </references>
      </pivotArea>
    </format>
    <format dxfId="989">
      <pivotArea dataOnly="0" labelOnly="1" outline="0" fieldPosition="0">
        <references count="5">
          <reference field="0" count="1" selected="0">
            <x v="0"/>
          </reference>
          <reference field="1" count="1" selected="0">
            <x v="641"/>
          </reference>
          <reference field="2" count="1" selected="0">
            <x v="363"/>
          </reference>
          <reference field="3" count="1" selected="0">
            <x v="2"/>
          </reference>
          <reference field="4" count="1">
            <x v="174"/>
          </reference>
        </references>
      </pivotArea>
    </format>
    <format dxfId="988">
      <pivotArea dataOnly="0" labelOnly="1" outline="0" fieldPosition="0">
        <references count="5">
          <reference field="0" count="1" selected="0">
            <x v="0"/>
          </reference>
          <reference field="1" count="1" selected="0">
            <x v="642"/>
          </reference>
          <reference field="2" count="1" selected="0">
            <x v="363"/>
          </reference>
          <reference field="3" count="1" selected="0">
            <x v="2"/>
          </reference>
          <reference field="4" count="1">
            <x v="177"/>
          </reference>
        </references>
      </pivotArea>
    </format>
    <format dxfId="987">
      <pivotArea dataOnly="0" labelOnly="1" outline="0" fieldPosition="0">
        <references count="5">
          <reference field="0" count="1" selected="0">
            <x v="0"/>
          </reference>
          <reference field="1" count="1" selected="0">
            <x v="643"/>
          </reference>
          <reference field="2" count="1" selected="0">
            <x v="363"/>
          </reference>
          <reference field="3" count="1" selected="0">
            <x v="2"/>
          </reference>
          <reference field="4" count="1">
            <x v="187"/>
          </reference>
        </references>
      </pivotArea>
    </format>
    <format dxfId="986">
      <pivotArea dataOnly="0" labelOnly="1" outline="0" fieldPosition="0">
        <references count="5">
          <reference field="0" count="1" selected="0">
            <x v="0"/>
          </reference>
          <reference field="1" count="1" selected="0">
            <x v="644"/>
          </reference>
          <reference field="2" count="1" selected="0">
            <x v="363"/>
          </reference>
          <reference field="3" count="1" selected="0">
            <x v="2"/>
          </reference>
          <reference field="4" count="1">
            <x v="188"/>
          </reference>
        </references>
      </pivotArea>
    </format>
    <format dxfId="985">
      <pivotArea dataOnly="0" labelOnly="1" outline="0" fieldPosition="0">
        <references count="5">
          <reference field="0" count="1" selected="0">
            <x v="0"/>
          </reference>
          <reference field="1" count="1" selected="0">
            <x v="645"/>
          </reference>
          <reference field="2" count="1" selected="0">
            <x v="363"/>
          </reference>
          <reference field="3" count="1" selected="0">
            <x v="2"/>
          </reference>
          <reference field="4" count="1">
            <x v="191"/>
          </reference>
        </references>
      </pivotArea>
    </format>
    <format dxfId="984">
      <pivotArea dataOnly="0" labelOnly="1" outline="0" fieldPosition="0">
        <references count="5">
          <reference field="0" count="1" selected="0">
            <x v="0"/>
          </reference>
          <reference field="1" count="1" selected="0">
            <x v="646"/>
          </reference>
          <reference field="2" count="1" selected="0">
            <x v="363"/>
          </reference>
          <reference field="3" count="1" selected="0">
            <x v="2"/>
          </reference>
          <reference field="4" count="1">
            <x v="194"/>
          </reference>
        </references>
      </pivotArea>
    </format>
    <format dxfId="983">
      <pivotArea dataOnly="0" labelOnly="1" outline="0" fieldPosition="0">
        <references count="5">
          <reference field="0" count="1" selected="0">
            <x v="0"/>
          </reference>
          <reference field="1" count="1" selected="0">
            <x v="647"/>
          </reference>
          <reference field="2" count="1" selected="0">
            <x v="363"/>
          </reference>
          <reference field="3" count="1" selected="0">
            <x v="2"/>
          </reference>
          <reference field="4" count="1">
            <x v="214"/>
          </reference>
        </references>
      </pivotArea>
    </format>
    <format dxfId="982">
      <pivotArea dataOnly="0" labelOnly="1" outline="0" fieldPosition="0">
        <references count="5">
          <reference field="0" count="1" selected="0">
            <x v="0"/>
          </reference>
          <reference field="1" count="1" selected="0">
            <x v="648"/>
          </reference>
          <reference field="2" count="1" selected="0">
            <x v="363"/>
          </reference>
          <reference field="3" count="1" selected="0">
            <x v="2"/>
          </reference>
          <reference field="4" count="1">
            <x v="232"/>
          </reference>
        </references>
      </pivotArea>
    </format>
    <format dxfId="981">
      <pivotArea dataOnly="0" labelOnly="1" outline="0" fieldPosition="0">
        <references count="5">
          <reference field="0" count="1" selected="0">
            <x v="0"/>
          </reference>
          <reference field="1" count="1" selected="0">
            <x v="649"/>
          </reference>
          <reference field="2" count="1" selected="0">
            <x v="363"/>
          </reference>
          <reference field="3" count="1" selected="0">
            <x v="2"/>
          </reference>
          <reference field="4" count="1">
            <x v="238"/>
          </reference>
        </references>
      </pivotArea>
    </format>
    <format dxfId="980">
      <pivotArea dataOnly="0" labelOnly="1" outline="0" fieldPosition="0">
        <references count="5">
          <reference field="0" count="1" selected="0">
            <x v="0"/>
          </reference>
          <reference field="1" count="1" selected="0">
            <x v="650"/>
          </reference>
          <reference field="2" count="1" selected="0">
            <x v="363"/>
          </reference>
          <reference field="3" count="1" selected="0">
            <x v="2"/>
          </reference>
          <reference field="4" count="1">
            <x v="240"/>
          </reference>
        </references>
      </pivotArea>
    </format>
    <format dxfId="979">
      <pivotArea dataOnly="0" labelOnly="1" outline="0" fieldPosition="0">
        <references count="5">
          <reference field="0" count="1" selected="0">
            <x v="0"/>
          </reference>
          <reference field="1" count="1" selected="0">
            <x v="651"/>
          </reference>
          <reference field="2" count="1" selected="0">
            <x v="363"/>
          </reference>
          <reference field="3" count="1" selected="0">
            <x v="2"/>
          </reference>
          <reference field="4" count="1">
            <x v="242"/>
          </reference>
        </references>
      </pivotArea>
    </format>
    <format dxfId="978">
      <pivotArea dataOnly="0" labelOnly="1" outline="0" fieldPosition="0">
        <references count="5">
          <reference field="0" count="1" selected="0">
            <x v="0"/>
          </reference>
          <reference field="1" count="1" selected="0">
            <x v="652"/>
          </reference>
          <reference field="2" count="1" selected="0">
            <x v="363"/>
          </reference>
          <reference field="3" count="1" selected="0">
            <x v="2"/>
          </reference>
          <reference field="4" count="1">
            <x v="247"/>
          </reference>
        </references>
      </pivotArea>
    </format>
    <format dxfId="977">
      <pivotArea dataOnly="0" labelOnly="1" outline="0" fieldPosition="0">
        <references count="5">
          <reference field="0" count="1" selected="0">
            <x v="0"/>
          </reference>
          <reference field="1" count="1" selected="0">
            <x v="653"/>
          </reference>
          <reference field="2" count="1" selected="0">
            <x v="363"/>
          </reference>
          <reference field="3" count="1" selected="0">
            <x v="2"/>
          </reference>
          <reference field="4" count="1">
            <x v="251"/>
          </reference>
        </references>
      </pivotArea>
    </format>
    <format dxfId="976">
      <pivotArea dataOnly="0" labelOnly="1" outline="0" fieldPosition="0">
        <references count="5">
          <reference field="0" count="1" selected="0">
            <x v="0"/>
          </reference>
          <reference field="1" count="1" selected="0">
            <x v="654"/>
          </reference>
          <reference field="2" count="1" selected="0">
            <x v="363"/>
          </reference>
          <reference field="3" count="1" selected="0">
            <x v="2"/>
          </reference>
          <reference field="4" count="1">
            <x v="254"/>
          </reference>
        </references>
      </pivotArea>
    </format>
    <format dxfId="975">
      <pivotArea dataOnly="0" labelOnly="1" outline="0" fieldPosition="0">
        <references count="5">
          <reference field="0" count="1" selected="0">
            <x v="0"/>
          </reference>
          <reference field="1" count="1" selected="0">
            <x v="655"/>
          </reference>
          <reference field="2" count="1" selected="0">
            <x v="363"/>
          </reference>
          <reference field="3" count="1" selected="0">
            <x v="2"/>
          </reference>
          <reference field="4" count="1">
            <x v="268"/>
          </reference>
        </references>
      </pivotArea>
    </format>
    <format dxfId="974">
      <pivotArea dataOnly="0" labelOnly="1" outline="0" fieldPosition="0">
        <references count="5">
          <reference field="0" count="1" selected="0">
            <x v="0"/>
          </reference>
          <reference field="1" count="1" selected="0">
            <x v="656"/>
          </reference>
          <reference field="2" count="1" selected="0">
            <x v="363"/>
          </reference>
          <reference field="3" count="1" selected="0">
            <x v="2"/>
          </reference>
          <reference field="4" count="1">
            <x v="273"/>
          </reference>
        </references>
      </pivotArea>
    </format>
    <format dxfId="973">
      <pivotArea dataOnly="0" labelOnly="1" outline="0" fieldPosition="0">
        <references count="5">
          <reference field="0" count="1" selected="0">
            <x v="0"/>
          </reference>
          <reference field="1" count="1" selected="0">
            <x v="657"/>
          </reference>
          <reference field="2" count="1" selected="0">
            <x v="363"/>
          </reference>
          <reference field="3" count="1" selected="0">
            <x v="2"/>
          </reference>
          <reference field="4" count="1">
            <x v="278"/>
          </reference>
        </references>
      </pivotArea>
    </format>
    <format dxfId="972">
      <pivotArea dataOnly="0" labelOnly="1" outline="0" fieldPosition="0">
        <references count="5">
          <reference field="0" count="1" selected="0">
            <x v="0"/>
          </reference>
          <reference field="1" count="1" selected="0">
            <x v="658"/>
          </reference>
          <reference field="2" count="1" selected="0">
            <x v="363"/>
          </reference>
          <reference field="3" count="1" selected="0">
            <x v="2"/>
          </reference>
          <reference field="4" count="1">
            <x v="289"/>
          </reference>
        </references>
      </pivotArea>
    </format>
    <format dxfId="971">
      <pivotArea dataOnly="0" labelOnly="1" outline="0" fieldPosition="0">
        <references count="5">
          <reference field="0" count="1" selected="0">
            <x v="0"/>
          </reference>
          <reference field="1" count="1" selected="0">
            <x v="659"/>
          </reference>
          <reference field="2" count="1" selected="0">
            <x v="364"/>
          </reference>
          <reference field="3" count="1" selected="0">
            <x v="2"/>
          </reference>
          <reference field="4" count="1">
            <x v="250"/>
          </reference>
        </references>
      </pivotArea>
    </format>
    <format dxfId="970">
      <pivotArea dataOnly="0" labelOnly="1" outline="0" fieldPosition="0">
        <references count="5">
          <reference field="0" count="1" selected="0">
            <x v="0"/>
          </reference>
          <reference field="1" count="1" selected="0">
            <x v="660"/>
          </reference>
          <reference field="2" count="1" selected="0">
            <x v="364"/>
          </reference>
          <reference field="3" count="1" selected="0">
            <x v="2"/>
          </reference>
          <reference field="4" count="1">
            <x v="262"/>
          </reference>
        </references>
      </pivotArea>
    </format>
    <format dxfId="969">
      <pivotArea dataOnly="0" labelOnly="1" outline="0" fieldPosition="0">
        <references count="5">
          <reference field="0" count="1" selected="0">
            <x v="0"/>
          </reference>
          <reference field="1" count="1" selected="0">
            <x v="661"/>
          </reference>
          <reference field="2" count="1" selected="0">
            <x v="365"/>
          </reference>
          <reference field="3" count="1" selected="0">
            <x v="2"/>
          </reference>
          <reference field="4" count="1">
            <x v="33"/>
          </reference>
        </references>
      </pivotArea>
    </format>
    <format dxfId="968">
      <pivotArea dataOnly="0" labelOnly="1" outline="0" fieldPosition="0">
        <references count="5">
          <reference field="0" count="1" selected="0">
            <x v="0"/>
          </reference>
          <reference field="1" count="1" selected="0">
            <x v="662"/>
          </reference>
          <reference field="2" count="1" selected="0">
            <x v="365"/>
          </reference>
          <reference field="3" count="1" selected="0">
            <x v="2"/>
          </reference>
          <reference field="4" count="1">
            <x v="100"/>
          </reference>
        </references>
      </pivotArea>
    </format>
    <format dxfId="967">
      <pivotArea dataOnly="0" labelOnly="1" outline="0" fieldPosition="0">
        <references count="5">
          <reference field="0" count="1" selected="0">
            <x v="0"/>
          </reference>
          <reference field="1" count="1" selected="0">
            <x v="663"/>
          </reference>
          <reference field="2" count="1" selected="0">
            <x v="365"/>
          </reference>
          <reference field="3" count="1" selected="0">
            <x v="2"/>
          </reference>
          <reference field="4" count="1">
            <x v="111"/>
          </reference>
        </references>
      </pivotArea>
    </format>
    <format dxfId="966">
      <pivotArea dataOnly="0" labelOnly="1" outline="0" fieldPosition="0">
        <references count="5">
          <reference field="0" count="1" selected="0">
            <x v="0"/>
          </reference>
          <reference field="1" count="1" selected="0">
            <x v="664"/>
          </reference>
          <reference field="2" count="1" selected="0">
            <x v="365"/>
          </reference>
          <reference field="3" count="1" selected="0">
            <x v="2"/>
          </reference>
          <reference field="4" count="1">
            <x v="120"/>
          </reference>
        </references>
      </pivotArea>
    </format>
    <format dxfId="965">
      <pivotArea dataOnly="0" labelOnly="1" outline="0" fieldPosition="0">
        <references count="5">
          <reference field="0" count="1" selected="0">
            <x v="0"/>
          </reference>
          <reference field="1" count="1" selected="0">
            <x v="665"/>
          </reference>
          <reference field="2" count="1" selected="0">
            <x v="365"/>
          </reference>
          <reference field="3" count="1" selected="0">
            <x v="2"/>
          </reference>
          <reference field="4" count="1">
            <x v="122"/>
          </reference>
        </references>
      </pivotArea>
    </format>
    <format dxfId="964">
      <pivotArea dataOnly="0" labelOnly="1" outline="0" fieldPosition="0">
        <references count="5">
          <reference field="0" count="1" selected="0">
            <x v="0"/>
          </reference>
          <reference field="1" count="1" selected="0">
            <x v="666"/>
          </reference>
          <reference field="2" count="1" selected="0">
            <x v="365"/>
          </reference>
          <reference field="3" count="1" selected="0">
            <x v="2"/>
          </reference>
          <reference field="4" count="1">
            <x v="157"/>
          </reference>
        </references>
      </pivotArea>
    </format>
    <format dxfId="963">
      <pivotArea dataOnly="0" labelOnly="1" outline="0" fieldPosition="0">
        <references count="5">
          <reference field="0" count="1" selected="0">
            <x v="0"/>
          </reference>
          <reference field="1" count="1" selected="0">
            <x v="667"/>
          </reference>
          <reference field="2" count="1" selected="0">
            <x v="365"/>
          </reference>
          <reference field="3" count="1" selected="0">
            <x v="2"/>
          </reference>
          <reference field="4" count="1">
            <x v="181"/>
          </reference>
        </references>
      </pivotArea>
    </format>
    <format dxfId="962">
      <pivotArea dataOnly="0" labelOnly="1" outline="0" fieldPosition="0">
        <references count="5">
          <reference field="0" count="1" selected="0">
            <x v="0"/>
          </reference>
          <reference field="1" count="1" selected="0">
            <x v="668"/>
          </reference>
          <reference field="2" count="1" selected="0">
            <x v="366"/>
          </reference>
          <reference field="3" count="1" selected="0">
            <x v="2"/>
          </reference>
          <reference field="4" count="1">
            <x v="110"/>
          </reference>
        </references>
      </pivotArea>
    </format>
    <format dxfId="961">
      <pivotArea dataOnly="0" labelOnly="1" outline="0" fieldPosition="0">
        <references count="5">
          <reference field="0" count="1" selected="0">
            <x v="0"/>
          </reference>
          <reference field="1" count="1" selected="0">
            <x v="669"/>
          </reference>
          <reference field="2" count="1" selected="0">
            <x v="366"/>
          </reference>
          <reference field="3" count="1" selected="0">
            <x v="2"/>
          </reference>
          <reference field="4" count="1">
            <x v="203"/>
          </reference>
        </references>
      </pivotArea>
    </format>
    <format dxfId="960">
      <pivotArea dataOnly="0" labelOnly="1" outline="0" fieldPosition="0">
        <references count="5">
          <reference field="0" count="1" selected="0">
            <x v="0"/>
          </reference>
          <reference field="1" count="1" selected="0">
            <x v="670"/>
          </reference>
          <reference field="2" count="1" selected="0">
            <x v="366"/>
          </reference>
          <reference field="3" count="1" selected="0">
            <x v="2"/>
          </reference>
          <reference field="4" count="1">
            <x v="238"/>
          </reference>
        </references>
      </pivotArea>
    </format>
    <format dxfId="959">
      <pivotArea dataOnly="0" labelOnly="1" outline="0" fieldPosition="0">
        <references count="5">
          <reference field="0" count="1" selected="0">
            <x v="0"/>
          </reference>
          <reference field="1" count="1" selected="0">
            <x v="671"/>
          </reference>
          <reference field="2" count="1" selected="0">
            <x v="366"/>
          </reference>
          <reference field="3" count="1" selected="0">
            <x v="2"/>
          </reference>
          <reference field="4" count="1">
            <x v="278"/>
          </reference>
        </references>
      </pivotArea>
    </format>
    <format dxfId="958">
      <pivotArea dataOnly="0" labelOnly="1" outline="0" fieldPosition="0">
        <references count="5">
          <reference field="0" count="1" selected="0">
            <x v="0"/>
          </reference>
          <reference field="1" count="1" selected="0">
            <x v="672"/>
          </reference>
          <reference field="2" count="1" selected="0">
            <x v="367"/>
          </reference>
          <reference field="3" count="1" selected="0">
            <x v="2"/>
          </reference>
          <reference field="4" count="1">
            <x v="41"/>
          </reference>
        </references>
      </pivotArea>
    </format>
    <format dxfId="957">
      <pivotArea dataOnly="0" labelOnly="1" outline="0" fieldPosition="0">
        <references count="5">
          <reference field="0" count="1" selected="0">
            <x v="0"/>
          </reference>
          <reference field="1" count="1" selected="0">
            <x v="673"/>
          </reference>
          <reference field="2" count="1" selected="0">
            <x v="367"/>
          </reference>
          <reference field="3" count="1" selected="0">
            <x v="2"/>
          </reference>
          <reference field="4" count="1">
            <x v="113"/>
          </reference>
        </references>
      </pivotArea>
    </format>
    <format dxfId="956">
      <pivotArea dataOnly="0" labelOnly="1" outline="0" fieldPosition="0">
        <references count="5">
          <reference field="0" count="1" selected="0">
            <x v="0"/>
          </reference>
          <reference field="1" count="1" selected="0">
            <x v="674"/>
          </reference>
          <reference field="2" count="1" selected="0">
            <x v="367"/>
          </reference>
          <reference field="3" count="1" selected="0">
            <x v="2"/>
          </reference>
          <reference field="4" count="1">
            <x v="249"/>
          </reference>
        </references>
      </pivotArea>
    </format>
    <format dxfId="955">
      <pivotArea dataOnly="0" labelOnly="1" outline="0" fieldPosition="0">
        <references count="5">
          <reference field="0" count="1" selected="0">
            <x v="0"/>
          </reference>
          <reference field="1" count="1" selected="0">
            <x v="675"/>
          </reference>
          <reference field="2" count="1" selected="0">
            <x v="368"/>
          </reference>
          <reference field="3" count="1" selected="0">
            <x v="2"/>
          </reference>
          <reference field="4" count="1">
            <x v="36"/>
          </reference>
        </references>
      </pivotArea>
    </format>
    <format dxfId="954">
      <pivotArea dataOnly="0" labelOnly="1" outline="0" fieldPosition="0">
        <references count="5">
          <reference field="0" count="1" selected="0">
            <x v="0"/>
          </reference>
          <reference field="1" count="1" selected="0">
            <x v="676"/>
          </reference>
          <reference field="2" count="1" selected="0">
            <x v="368"/>
          </reference>
          <reference field="3" count="1" selected="0">
            <x v="2"/>
          </reference>
          <reference field="4" count="1">
            <x v="77"/>
          </reference>
        </references>
      </pivotArea>
    </format>
    <format dxfId="953">
      <pivotArea dataOnly="0" labelOnly="1" outline="0" fieldPosition="0">
        <references count="5">
          <reference field="0" count="1" selected="0">
            <x v="0"/>
          </reference>
          <reference field="1" count="1" selected="0">
            <x v="677"/>
          </reference>
          <reference field="2" count="1" selected="0">
            <x v="368"/>
          </reference>
          <reference field="3" count="1" selected="0">
            <x v="2"/>
          </reference>
          <reference field="4" count="1">
            <x v="79"/>
          </reference>
        </references>
      </pivotArea>
    </format>
    <format dxfId="952">
      <pivotArea dataOnly="0" labelOnly="1" outline="0" fieldPosition="0">
        <references count="5">
          <reference field="0" count="1" selected="0">
            <x v="0"/>
          </reference>
          <reference field="1" count="1" selected="0">
            <x v="678"/>
          </reference>
          <reference field="2" count="1" selected="0">
            <x v="368"/>
          </reference>
          <reference field="3" count="1" selected="0">
            <x v="2"/>
          </reference>
          <reference field="4" count="1">
            <x v="99"/>
          </reference>
        </references>
      </pivotArea>
    </format>
    <format dxfId="951">
      <pivotArea dataOnly="0" labelOnly="1" outline="0" fieldPosition="0">
        <references count="5">
          <reference field="0" count="1" selected="0">
            <x v="0"/>
          </reference>
          <reference field="1" count="1" selected="0">
            <x v="679"/>
          </reference>
          <reference field="2" count="1" selected="0">
            <x v="368"/>
          </reference>
          <reference field="3" count="1" selected="0">
            <x v="2"/>
          </reference>
          <reference field="4" count="1">
            <x v="110"/>
          </reference>
        </references>
      </pivotArea>
    </format>
    <format dxfId="950">
      <pivotArea dataOnly="0" labelOnly="1" outline="0" fieldPosition="0">
        <references count="5">
          <reference field="0" count="1" selected="0">
            <x v="0"/>
          </reference>
          <reference field="1" count="1" selected="0">
            <x v="680"/>
          </reference>
          <reference field="2" count="1" selected="0">
            <x v="368"/>
          </reference>
          <reference field="3" count="1" selected="0">
            <x v="2"/>
          </reference>
          <reference field="4" count="1">
            <x v="127"/>
          </reference>
        </references>
      </pivotArea>
    </format>
    <format dxfId="949">
      <pivotArea dataOnly="0" labelOnly="1" outline="0" fieldPosition="0">
        <references count="5">
          <reference field="0" count="1" selected="0">
            <x v="0"/>
          </reference>
          <reference field="1" count="1" selected="0">
            <x v="681"/>
          </reference>
          <reference field="2" count="1" selected="0">
            <x v="368"/>
          </reference>
          <reference field="3" count="1" selected="0">
            <x v="2"/>
          </reference>
          <reference field="4" count="1">
            <x v="162"/>
          </reference>
        </references>
      </pivotArea>
    </format>
    <format dxfId="948">
      <pivotArea dataOnly="0" labelOnly="1" outline="0" fieldPosition="0">
        <references count="5">
          <reference field="0" count="1" selected="0">
            <x v="0"/>
          </reference>
          <reference field="1" count="1" selected="0">
            <x v="682"/>
          </reference>
          <reference field="2" count="1" selected="0">
            <x v="368"/>
          </reference>
          <reference field="3" count="1" selected="0">
            <x v="2"/>
          </reference>
          <reference field="4" count="1">
            <x v="186"/>
          </reference>
        </references>
      </pivotArea>
    </format>
    <format dxfId="947">
      <pivotArea dataOnly="0" labelOnly="1" outline="0" fieldPosition="0">
        <references count="5">
          <reference field="0" count="1" selected="0">
            <x v="0"/>
          </reference>
          <reference field="1" count="1" selected="0">
            <x v="683"/>
          </reference>
          <reference field="2" count="1" selected="0">
            <x v="368"/>
          </reference>
          <reference field="3" count="1" selected="0">
            <x v="2"/>
          </reference>
          <reference field="4" count="1">
            <x v="257"/>
          </reference>
        </references>
      </pivotArea>
    </format>
    <format dxfId="946">
      <pivotArea dataOnly="0" labelOnly="1" outline="0" fieldPosition="0">
        <references count="5">
          <reference field="0" count="1" selected="0">
            <x v="0"/>
          </reference>
          <reference field="1" count="1" selected="0">
            <x v="684"/>
          </reference>
          <reference field="2" count="1" selected="0">
            <x v="369"/>
          </reference>
          <reference field="3" count="1" selected="0">
            <x v="2"/>
          </reference>
          <reference field="4" count="1">
            <x v="58"/>
          </reference>
        </references>
      </pivotArea>
    </format>
    <format dxfId="945">
      <pivotArea dataOnly="0" labelOnly="1" outline="0" fieldPosition="0">
        <references count="5">
          <reference field="0" count="1" selected="0">
            <x v="0"/>
          </reference>
          <reference field="1" count="1" selected="0">
            <x v="685"/>
          </reference>
          <reference field="2" count="1" selected="0">
            <x v="369"/>
          </reference>
          <reference field="3" count="1" selected="0">
            <x v="2"/>
          </reference>
          <reference field="4" count="1">
            <x v="93"/>
          </reference>
        </references>
      </pivotArea>
    </format>
    <format dxfId="944">
      <pivotArea dataOnly="0" labelOnly="1" outline="0" fieldPosition="0">
        <references count="5">
          <reference field="0" count="1" selected="0">
            <x v="0"/>
          </reference>
          <reference field="1" count="1" selected="0">
            <x v="686"/>
          </reference>
          <reference field="2" count="1" selected="0">
            <x v="369"/>
          </reference>
          <reference field="3" count="1" selected="0">
            <x v="2"/>
          </reference>
          <reference field="4" count="1">
            <x v="110"/>
          </reference>
        </references>
      </pivotArea>
    </format>
    <format dxfId="943">
      <pivotArea dataOnly="0" labelOnly="1" outline="0" fieldPosition="0">
        <references count="5">
          <reference field="0" count="1" selected="0">
            <x v="0"/>
          </reference>
          <reference field="1" count="1" selected="0">
            <x v="687"/>
          </reference>
          <reference field="2" count="1" selected="0">
            <x v="369"/>
          </reference>
          <reference field="3" count="1" selected="0">
            <x v="2"/>
          </reference>
          <reference field="4" count="1">
            <x v="155"/>
          </reference>
        </references>
      </pivotArea>
    </format>
    <format dxfId="942">
      <pivotArea dataOnly="0" labelOnly="1" outline="0" fieldPosition="0">
        <references count="5">
          <reference field="0" count="1" selected="0">
            <x v="0"/>
          </reference>
          <reference field="1" count="1" selected="0">
            <x v="688"/>
          </reference>
          <reference field="2" count="1" selected="0">
            <x v="370"/>
          </reference>
          <reference field="3" count="1" selected="0">
            <x v="2"/>
          </reference>
          <reference field="4" count="1">
            <x v="55"/>
          </reference>
        </references>
      </pivotArea>
    </format>
    <format dxfId="941">
      <pivotArea dataOnly="0" labelOnly="1" outline="0" fieldPosition="0">
        <references count="5">
          <reference field="0" count="1" selected="0">
            <x v="0"/>
          </reference>
          <reference field="1" count="1" selected="0">
            <x v="689"/>
          </reference>
          <reference field="2" count="1" selected="0">
            <x v="370"/>
          </reference>
          <reference field="3" count="1" selected="0">
            <x v="2"/>
          </reference>
          <reference field="4" count="1">
            <x v="168"/>
          </reference>
        </references>
      </pivotArea>
    </format>
    <format dxfId="940">
      <pivotArea dataOnly="0" labelOnly="1" outline="0" fieldPosition="0">
        <references count="5">
          <reference field="0" count="1" selected="0">
            <x v="0"/>
          </reference>
          <reference field="1" count="1" selected="0">
            <x v="690"/>
          </reference>
          <reference field="2" count="1" selected="0">
            <x v="370"/>
          </reference>
          <reference field="3" count="1" selected="0">
            <x v="2"/>
          </reference>
          <reference field="4" count="1">
            <x v="170"/>
          </reference>
        </references>
      </pivotArea>
    </format>
    <format dxfId="939">
      <pivotArea dataOnly="0" labelOnly="1" outline="0" fieldPosition="0">
        <references count="5">
          <reference field="0" count="1" selected="0">
            <x v="0"/>
          </reference>
          <reference field="1" count="1" selected="0">
            <x v="691"/>
          </reference>
          <reference field="2" count="1" selected="0">
            <x v="370"/>
          </reference>
          <reference field="3" count="1" selected="0">
            <x v="2"/>
          </reference>
          <reference field="4" count="1">
            <x v="215"/>
          </reference>
        </references>
      </pivotArea>
    </format>
    <format dxfId="938">
      <pivotArea dataOnly="0" labelOnly="1" outline="0" fieldPosition="0">
        <references count="5">
          <reference field="0" count="1" selected="0">
            <x v="0"/>
          </reference>
          <reference field="1" count="1" selected="0">
            <x v="692"/>
          </reference>
          <reference field="2" count="1" selected="0">
            <x v="370"/>
          </reference>
          <reference field="3" count="1" selected="0">
            <x v="2"/>
          </reference>
          <reference field="4" count="1">
            <x v="269"/>
          </reference>
        </references>
      </pivotArea>
    </format>
    <format dxfId="937">
      <pivotArea dataOnly="0" labelOnly="1" outline="0" fieldPosition="0">
        <references count="5">
          <reference field="0" count="1" selected="0">
            <x v="0"/>
          </reference>
          <reference field="1" count="1" selected="0">
            <x v="693"/>
          </reference>
          <reference field="2" count="1" selected="0">
            <x v="371"/>
          </reference>
          <reference field="3" count="1" selected="0">
            <x v="2"/>
          </reference>
          <reference field="4" count="1">
            <x v="104"/>
          </reference>
        </references>
      </pivotArea>
    </format>
    <format dxfId="936">
      <pivotArea dataOnly="0" labelOnly="1" outline="0" fieldPosition="0">
        <references count="5">
          <reference field="0" count="1" selected="0">
            <x v="0"/>
          </reference>
          <reference field="1" count="1" selected="0">
            <x v="694"/>
          </reference>
          <reference field="2" count="1" selected="0">
            <x v="371"/>
          </reference>
          <reference field="3" count="1" selected="0">
            <x v="2"/>
          </reference>
          <reference field="4" count="1">
            <x v="129"/>
          </reference>
        </references>
      </pivotArea>
    </format>
    <format dxfId="935">
      <pivotArea dataOnly="0" labelOnly="1" outline="0" fieldPosition="0">
        <references count="5">
          <reference field="0" count="1" selected="0">
            <x v="0"/>
          </reference>
          <reference field="1" count="1" selected="0">
            <x v="695"/>
          </reference>
          <reference field="2" count="1" selected="0">
            <x v="371"/>
          </reference>
          <reference field="3" count="1" selected="0">
            <x v="2"/>
          </reference>
          <reference field="4" count="1">
            <x v="142"/>
          </reference>
        </references>
      </pivotArea>
    </format>
    <format dxfId="934">
      <pivotArea dataOnly="0" labelOnly="1" outline="0" fieldPosition="0">
        <references count="5">
          <reference field="0" count="1" selected="0">
            <x v="0"/>
          </reference>
          <reference field="1" count="1" selected="0">
            <x v="696"/>
          </reference>
          <reference field="2" count="1" selected="0">
            <x v="371"/>
          </reference>
          <reference field="3" count="1" selected="0">
            <x v="2"/>
          </reference>
          <reference field="4" count="1">
            <x v="146"/>
          </reference>
        </references>
      </pivotArea>
    </format>
    <format dxfId="933">
      <pivotArea dataOnly="0" labelOnly="1" outline="0" fieldPosition="0">
        <references count="5">
          <reference field="0" count="1" selected="0">
            <x v="0"/>
          </reference>
          <reference field="1" count="1" selected="0">
            <x v="697"/>
          </reference>
          <reference field="2" count="1" selected="0">
            <x v="371"/>
          </reference>
          <reference field="3" count="1" selected="0">
            <x v="2"/>
          </reference>
          <reference field="4" count="1">
            <x v="271"/>
          </reference>
        </references>
      </pivotArea>
    </format>
    <format dxfId="932">
      <pivotArea dataOnly="0" labelOnly="1" outline="0" fieldPosition="0">
        <references count="5">
          <reference field="0" count="1" selected="0">
            <x v="0"/>
          </reference>
          <reference field="1" count="1" selected="0">
            <x v="698"/>
          </reference>
          <reference field="2" count="1" selected="0">
            <x v="372"/>
          </reference>
          <reference field="3" count="1" selected="0">
            <x v="2"/>
          </reference>
          <reference field="4" count="1">
            <x v="52"/>
          </reference>
        </references>
      </pivotArea>
    </format>
    <format dxfId="931">
      <pivotArea dataOnly="0" labelOnly="1" outline="0" fieldPosition="0">
        <references count="5">
          <reference field="0" count="1" selected="0">
            <x v="0"/>
          </reference>
          <reference field="1" count="1" selected="0">
            <x v="699"/>
          </reference>
          <reference field="2" count="1" selected="0">
            <x v="372"/>
          </reference>
          <reference field="3" count="1" selected="0">
            <x v="2"/>
          </reference>
          <reference field="4" count="1">
            <x v="84"/>
          </reference>
        </references>
      </pivotArea>
    </format>
    <format dxfId="930">
      <pivotArea dataOnly="0" labelOnly="1" outline="0" fieldPosition="0">
        <references count="5">
          <reference field="0" count="1" selected="0">
            <x v="0"/>
          </reference>
          <reference field="1" count="1" selected="0">
            <x v="700"/>
          </reference>
          <reference field="2" count="1" selected="0">
            <x v="372"/>
          </reference>
          <reference field="3" count="1" selected="0">
            <x v="2"/>
          </reference>
          <reference field="4" count="1">
            <x v="94"/>
          </reference>
        </references>
      </pivotArea>
    </format>
    <format dxfId="929">
      <pivotArea dataOnly="0" labelOnly="1" outline="0" fieldPosition="0">
        <references count="5">
          <reference field="0" count="1" selected="0">
            <x v="0"/>
          </reference>
          <reference field="1" count="1" selected="0">
            <x v="701"/>
          </reference>
          <reference field="2" count="1" selected="0">
            <x v="372"/>
          </reference>
          <reference field="3" count="1" selected="0">
            <x v="2"/>
          </reference>
          <reference field="4" count="1">
            <x v="136"/>
          </reference>
        </references>
      </pivotArea>
    </format>
    <format dxfId="928">
      <pivotArea dataOnly="0" labelOnly="1" outline="0" fieldPosition="0">
        <references count="5">
          <reference field="0" count="1" selected="0">
            <x v="0"/>
          </reference>
          <reference field="1" count="1" selected="0">
            <x v="702"/>
          </reference>
          <reference field="2" count="1" selected="0">
            <x v="372"/>
          </reference>
          <reference field="3" count="1" selected="0">
            <x v="2"/>
          </reference>
          <reference field="4" count="1">
            <x v="160"/>
          </reference>
        </references>
      </pivotArea>
    </format>
    <format dxfId="927">
      <pivotArea dataOnly="0" labelOnly="1" outline="0" fieldPosition="0">
        <references count="5">
          <reference field="0" count="1" selected="0">
            <x v="0"/>
          </reference>
          <reference field="1" count="1" selected="0">
            <x v="703"/>
          </reference>
          <reference field="2" count="1" selected="0">
            <x v="372"/>
          </reference>
          <reference field="3" count="1" selected="0">
            <x v="2"/>
          </reference>
          <reference field="4" count="1">
            <x v="181"/>
          </reference>
        </references>
      </pivotArea>
    </format>
    <format dxfId="926">
      <pivotArea dataOnly="0" labelOnly="1" outline="0" fieldPosition="0">
        <references count="5">
          <reference field="0" count="1" selected="0">
            <x v="0"/>
          </reference>
          <reference field="1" count="1" selected="0">
            <x v="704"/>
          </reference>
          <reference field="2" count="1" selected="0">
            <x v="372"/>
          </reference>
          <reference field="3" count="1" selected="0">
            <x v="2"/>
          </reference>
          <reference field="4" count="1">
            <x v="241"/>
          </reference>
        </references>
      </pivotArea>
    </format>
    <format dxfId="925">
      <pivotArea dataOnly="0" labelOnly="1" outline="0" fieldPosition="0">
        <references count="5">
          <reference field="0" count="1" selected="0">
            <x v="0"/>
          </reference>
          <reference field="1" count="1" selected="0">
            <x v="705"/>
          </reference>
          <reference field="2" count="1" selected="0">
            <x v="372"/>
          </reference>
          <reference field="3" count="1" selected="0">
            <x v="2"/>
          </reference>
          <reference field="4" count="1">
            <x v="242"/>
          </reference>
        </references>
      </pivotArea>
    </format>
    <format dxfId="924">
      <pivotArea dataOnly="0" labelOnly="1" outline="0" fieldPosition="0">
        <references count="5">
          <reference field="0" count="1" selected="0">
            <x v="0"/>
          </reference>
          <reference field="1" count="1" selected="0">
            <x v="706"/>
          </reference>
          <reference field="2" count="1" selected="0">
            <x v="372"/>
          </reference>
          <reference field="3" count="1" selected="0">
            <x v="2"/>
          </reference>
          <reference field="4" count="1">
            <x v="247"/>
          </reference>
        </references>
      </pivotArea>
    </format>
    <format dxfId="923">
      <pivotArea dataOnly="0" labelOnly="1" outline="0" fieldPosition="0">
        <references count="5">
          <reference field="0" count="1" selected="0">
            <x v="0"/>
          </reference>
          <reference field="1" count="1" selected="0">
            <x v="707"/>
          </reference>
          <reference field="2" count="1" selected="0">
            <x v="372"/>
          </reference>
          <reference field="3" count="1" selected="0">
            <x v="2"/>
          </reference>
          <reference field="4" count="1">
            <x v="294"/>
          </reference>
        </references>
      </pivotArea>
    </format>
    <format dxfId="922">
      <pivotArea dataOnly="0" labelOnly="1" outline="0" fieldPosition="0">
        <references count="5">
          <reference field="0" count="1" selected="0">
            <x v="0"/>
          </reference>
          <reference field="1" count="1" selected="0">
            <x v="708"/>
          </reference>
          <reference field="2" count="1" selected="0">
            <x v="373"/>
          </reference>
          <reference field="3" count="1" selected="0">
            <x v="2"/>
          </reference>
          <reference field="4" count="1">
            <x v="45"/>
          </reference>
        </references>
      </pivotArea>
    </format>
    <format dxfId="921">
      <pivotArea dataOnly="0" labelOnly="1" outline="0" fieldPosition="0">
        <references count="5">
          <reference field="0" count="1" selected="0">
            <x v="0"/>
          </reference>
          <reference field="1" count="1" selected="0">
            <x v="709"/>
          </reference>
          <reference field="2" count="1" selected="0">
            <x v="373"/>
          </reference>
          <reference field="3" count="1" selected="0">
            <x v="2"/>
          </reference>
          <reference field="4" count="1">
            <x v="50"/>
          </reference>
        </references>
      </pivotArea>
    </format>
    <format dxfId="920">
      <pivotArea dataOnly="0" labelOnly="1" outline="0" fieldPosition="0">
        <references count="5">
          <reference field="0" count="1" selected="0">
            <x v="0"/>
          </reference>
          <reference field="1" count="1" selected="0">
            <x v="710"/>
          </reference>
          <reference field="2" count="1" selected="0">
            <x v="373"/>
          </reference>
          <reference field="3" count="1" selected="0">
            <x v="2"/>
          </reference>
          <reference field="4" count="1">
            <x v="86"/>
          </reference>
        </references>
      </pivotArea>
    </format>
    <format dxfId="919">
      <pivotArea dataOnly="0" labelOnly="1" outline="0" fieldPosition="0">
        <references count="5">
          <reference field="0" count="1" selected="0">
            <x v="0"/>
          </reference>
          <reference field="1" count="1" selected="0">
            <x v="711"/>
          </reference>
          <reference field="2" count="1" selected="0">
            <x v="373"/>
          </reference>
          <reference field="3" count="1" selected="0">
            <x v="2"/>
          </reference>
          <reference field="4" count="1">
            <x v="110"/>
          </reference>
        </references>
      </pivotArea>
    </format>
    <format dxfId="918">
      <pivotArea dataOnly="0" labelOnly="1" outline="0" fieldPosition="0">
        <references count="5">
          <reference field="0" count="1" selected="0">
            <x v="0"/>
          </reference>
          <reference field="1" count="1" selected="0">
            <x v="712"/>
          </reference>
          <reference field="2" count="1" selected="0">
            <x v="373"/>
          </reference>
          <reference field="3" count="1" selected="0">
            <x v="2"/>
          </reference>
          <reference field="4" count="1">
            <x v="120"/>
          </reference>
        </references>
      </pivotArea>
    </format>
    <format dxfId="917">
      <pivotArea dataOnly="0" labelOnly="1" outline="0" fieldPosition="0">
        <references count="5">
          <reference field="0" count="1" selected="0">
            <x v="0"/>
          </reference>
          <reference field="1" count="1" selected="0">
            <x v="713"/>
          </reference>
          <reference field="2" count="1" selected="0">
            <x v="373"/>
          </reference>
          <reference field="3" count="1" selected="0">
            <x v="2"/>
          </reference>
          <reference field="4" count="1">
            <x v="198"/>
          </reference>
        </references>
      </pivotArea>
    </format>
    <format dxfId="916">
      <pivotArea dataOnly="0" labelOnly="1" outline="0" fieldPosition="0">
        <references count="5">
          <reference field="0" count="1" selected="0">
            <x v="0"/>
          </reference>
          <reference field="1" count="1" selected="0">
            <x v="714"/>
          </reference>
          <reference field="2" count="1" selected="0">
            <x v="373"/>
          </reference>
          <reference field="3" count="1" selected="0">
            <x v="2"/>
          </reference>
          <reference field="4" count="1">
            <x v="232"/>
          </reference>
        </references>
      </pivotArea>
    </format>
    <format dxfId="915">
      <pivotArea dataOnly="0" labelOnly="1" outline="0" fieldPosition="0">
        <references count="5">
          <reference field="0" count="1" selected="0">
            <x v="0"/>
          </reference>
          <reference field="1" count="1" selected="0">
            <x v="715"/>
          </reference>
          <reference field="2" count="1" selected="0">
            <x v="374"/>
          </reference>
          <reference field="3" count="1" selected="0">
            <x v="2"/>
          </reference>
          <reference field="4" count="1">
            <x v="73"/>
          </reference>
        </references>
      </pivotArea>
    </format>
    <format dxfId="914">
      <pivotArea dataOnly="0" labelOnly="1" outline="0" fieldPosition="0">
        <references count="5">
          <reference field="0" count="1" selected="0">
            <x v="0"/>
          </reference>
          <reference field="1" count="1" selected="0">
            <x v="716"/>
          </reference>
          <reference field="2" count="1" selected="0">
            <x v="374"/>
          </reference>
          <reference field="3" count="1" selected="0">
            <x v="2"/>
          </reference>
          <reference field="4" count="1">
            <x v="149"/>
          </reference>
        </references>
      </pivotArea>
    </format>
    <format dxfId="913">
      <pivotArea dataOnly="0" labelOnly="1" outline="0" fieldPosition="0">
        <references count="5">
          <reference field="0" count="1" selected="0">
            <x v="0"/>
          </reference>
          <reference field="1" count="1" selected="0">
            <x v="717"/>
          </reference>
          <reference field="2" count="1" selected="0">
            <x v="374"/>
          </reference>
          <reference field="3" count="1" selected="0">
            <x v="2"/>
          </reference>
          <reference field="4" count="1">
            <x v="203"/>
          </reference>
        </references>
      </pivotArea>
    </format>
    <format dxfId="912">
      <pivotArea dataOnly="0" labelOnly="1" outline="0" fieldPosition="0">
        <references count="5">
          <reference field="0" count="1" selected="0">
            <x v="0"/>
          </reference>
          <reference field="1" count="1" selected="0">
            <x v="718"/>
          </reference>
          <reference field="2" count="1" selected="0">
            <x v="374"/>
          </reference>
          <reference field="3" count="1" selected="0">
            <x v="2"/>
          </reference>
          <reference field="4" count="1">
            <x v="210"/>
          </reference>
        </references>
      </pivotArea>
    </format>
    <format dxfId="911">
      <pivotArea dataOnly="0" labelOnly="1" outline="0" fieldPosition="0">
        <references count="5">
          <reference field="0" count="1" selected="0">
            <x v="0"/>
          </reference>
          <reference field="1" count="1" selected="0">
            <x v="719"/>
          </reference>
          <reference field="2" count="1" selected="0">
            <x v="374"/>
          </reference>
          <reference field="3" count="1" selected="0">
            <x v="2"/>
          </reference>
          <reference field="4" count="1">
            <x v="288"/>
          </reference>
        </references>
      </pivotArea>
    </format>
    <format dxfId="910">
      <pivotArea dataOnly="0" labelOnly="1" outline="0" fieldPosition="0">
        <references count="5">
          <reference field="0" count="1" selected="0">
            <x v="0"/>
          </reference>
          <reference field="1" count="1" selected="0">
            <x v="720"/>
          </reference>
          <reference field="2" count="1" selected="0">
            <x v="374"/>
          </reference>
          <reference field="3" count="1" selected="0">
            <x v="2"/>
          </reference>
          <reference field="4" count="1">
            <x v="289"/>
          </reference>
        </references>
      </pivotArea>
    </format>
    <format dxfId="909">
      <pivotArea dataOnly="0" labelOnly="1" outline="0" fieldPosition="0">
        <references count="5">
          <reference field="0" count="1" selected="0">
            <x v="0"/>
          </reference>
          <reference field="1" count="1" selected="0">
            <x v="721"/>
          </reference>
          <reference field="2" count="1" selected="0">
            <x v="375"/>
          </reference>
          <reference field="3" count="1" selected="0">
            <x v="2"/>
          </reference>
          <reference field="4" count="1">
            <x v="29"/>
          </reference>
        </references>
      </pivotArea>
    </format>
    <format dxfId="908">
      <pivotArea dataOnly="0" labelOnly="1" outline="0" fieldPosition="0">
        <references count="5">
          <reference field="0" count="1" selected="0">
            <x v="0"/>
          </reference>
          <reference field="1" count="1" selected="0">
            <x v="722"/>
          </reference>
          <reference field="2" count="1" selected="0">
            <x v="375"/>
          </reference>
          <reference field="3" count="1" selected="0">
            <x v="2"/>
          </reference>
          <reference field="4" count="1">
            <x v="31"/>
          </reference>
        </references>
      </pivotArea>
    </format>
    <format dxfId="907">
      <pivotArea dataOnly="0" labelOnly="1" outline="0" fieldPosition="0">
        <references count="5">
          <reference field="0" count="1" selected="0">
            <x v="0"/>
          </reference>
          <reference field="1" count="1" selected="0">
            <x v="723"/>
          </reference>
          <reference field="2" count="1" selected="0">
            <x v="375"/>
          </reference>
          <reference field="3" count="1" selected="0">
            <x v="2"/>
          </reference>
          <reference field="4" count="1">
            <x v="41"/>
          </reference>
        </references>
      </pivotArea>
    </format>
    <format dxfId="906">
      <pivotArea dataOnly="0" labelOnly="1" outline="0" fieldPosition="0">
        <references count="5">
          <reference field="0" count="1" selected="0">
            <x v="0"/>
          </reference>
          <reference field="1" count="1" selected="0">
            <x v="724"/>
          </reference>
          <reference field="2" count="1" selected="0">
            <x v="375"/>
          </reference>
          <reference field="3" count="1" selected="0">
            <x v="2"/>
          </reference>
          <reference field="4" count="1">
            <x v="45"/>
          </reference>
        </references>
      </pivotArea>
    </format>
    <format dxfId="905">
      <pivotArea dataOnly="0" labelOnly="1" outline="0" fieldPosition="0">
        <references count="5">
          <reference field="0" count="1" selected="0">
            <x v="0"/>
          </reference>
          <reference field="1" count="1" selected="0">
            <x v="725"/>
          </reference>
          <reference field="2" count="1" selected="0">
            <x v="375"/>
          </reference>
          <reference field="3" count="1" selected="0">
            <x v="2"/>
          </reference>
          <reference field="4" count="1">
            <x v="51"/>
          </reference>
        </references>
      </pivotArea>
    </format>
    <format dxfId="904">
      <pivotArea dataOnly="0" labelOnly="1" outline="0" fieldPosition="0">
        <references count="5">
          <reference field="0" count="1" selected="0">
            <x v="0"/>
          </reference>
          <reference field="1" count="1" selected="0">
            <x v="726"/>
          </reference>
          <reference field="2" count="1" selected="0">
            <x v="375"/>
          </reference>
          <reference field="3" count="1" selected="0">
            <x v="2"/>
          </reference>
          <reference field="4" count="1">
            <x v="57"/>
          </reference>
        </references>
      </pivotArea>
    </format>
    <format dxfId="903">
      <pivotArea dataOnly="0" labelOnly="1" outline="0" fieldPosition="0">
        <references count="5">
          <reference field="0" count="1" selected="0">
            <x v="0"/>
          </reference>
          <reference field="1" count="1" selected="0">
            <x v="727"/>
          </reference>
          <reference field="2" count="1" selected="0">
            <x v="375"/>
          </reference>
          <reference field="3" count="1" selected="0">
            <x v="2"/>
          </reference>
          <reference field="4" count="1">
            <x v="58"/>
          </reference>
        </references>
      </pivotArea>
    </format>
    <format dxfId="902">
      <pivotArea dataOnly="0" labelOnly="1" outline="0" fieldPosition="0">
        <references count="5">
          <reference field="0" count="1" selected="0">
            <x v="0"/>
          </reference>
          <reference field="1" count="1" selected="0">
            <x v="728"/>
          </reference>
          <reference field="2" count="1" selected="0">
            <x v="375"/>
          </reference>
          <reference field="3" count="1" selected="0">
            <x v="2"/>
          </reference>
          <reference field="4" count="1">
            <x v="194"/>
          </reference>
        </references>
      </pivotArea>
    </format>
    <format dxfId="901">
      <pivotArea dataOnly="0" labelOnly="1" outline="0" fieldPosition="0">
        <references count="5">
          <reference field="0" count="1" selected="0">
            <x v="0"/>
          </reference>
          <reference field="1" count="1" selected="0">
            <x v="729"/>
          </reference>
          <reference field="2" count="1" selected="0">
            <x v="375"/>
          </reference>
          <reference field="3" count="1" selected="0">
            <x v="2"/>
          </reference>
          <reference field="4" count="1">
            <x v="286"/>
          </reference>
        </references>
      </pivotArea>
    </format>
    <format dxfId="900">
      <pivotArea dataOnly="0" labelOnly="1" outline="0" fieldPosition="0">
        <references count="5">
          <reference field="0" count="1" selected="0">
            <x v="0"/>
          </reference>
          <reference field="1" count="1" selected="0">
            <x v="730"/>
          </reference>
          <reference field="2" count="1" selected="0">
            <x v="376"/>
          </reference>
          <reference field="3" count="1" selected="0">
            <x v="2"/>
          </reference>
          <reference field="4" count="1">
            <x v="46"/>
          </reference>
        </references>
      </pivotArea>
    </format>
    <format dxfId="899">
      <pivotArea dataOnly="0" labelOnly="1" outline="0" fieldPosition="0">
        <references count="5">
          <reference field="0" count="1" selected="0">
            <x v="0"/>
          </reference>
          <reference field="1" count="1" selected="0">
            <x v="731"/>
          </reference>
          <reference field="2" count="1" selected="0">
            <x v="376"/>
          </reference>
          <reference field="3" count="1" selected="0">
            <x v="2"/>
          </reference>
          <reference field="4" count="1">
            <x v="50"/>
          </reference>
        </references>
      </pivotArea>
    </format>
    <format dxfId="898">
      <pivotArea dataOnly="0" labelOnly="1" outline="0" fieldPosition="0">
        <references count="5">
          <reference field="0" count="1" selected="0">
            <x v="0"/>
          </reference>
          <reference field="1" count="1" selected="0">
            <x v="732"/>
          </reference>
          <reference field="2" count="1" selected="0">
            <x v="376"/>
          </reference>
          <reference field="3" count="1" selected="0">
            <x v="2"/>
          </reference>
          <reference field="4" count="1">
            <x v="115"/>
          </reference>
        </references>
      </pivotArea>
    </format>
    <format dxfId="897">
      <pivotArea dataOnly="0" labelOnly="1" outline="0" fieldPosition="0">
        <references count="5">
          <reference field="0" count="1" selected="0">
            <x v="0"/>
          </reference>
          <reference field="1" count="1" selected="0">
            <x v="733"/>
          </reference>
          <reference field="2" count="1" selected="0">
            <x v="376"/>
          </reference>
          <reference field="3" count="1" selected="0">
            <x v="3"/>
          </reference>
          <reference field="4" count="1">
            <x v="172"/>
          </reference>
        </references>
      </pivotArea>
    </format>
    <format dxfId="896">
      <pivotArea dataOnly="0" labelOnly="1" outline="0" fieldPosition="0">
        <references count="5">
          <reference field="0" count="1" selected="0">
            <x v="0"/>
          </reference>
          <reference field="1" count="1" selected="0">
            <x v="734"/>
          </reference>
          <reference field="2" count="1" selected="0">
            <x v="376"/>
          </reference>
          <reference field="3" count="1" selected="0">
            <x v="2"/>
          </reference>
          <reference field="4" count="1">
            <x v="223"/>
          </reference>
        </references>
      </pivotArea>
    </format>
    <format dxfId="895">
      <pivotArea dataOnly="0" labelOnly="1" outline="0" fieldPosition="0">
        <references count="5">
          <reference field="0" count="1" selected="0">
            <x v="0"/>
          </reference>
          <reference field="1" count="1" selected="0">
            <x v="735"/>
          </reference>
          <reference field="2" count="1" selected="0">
            <x v="376"/>
          </reference>
          <reference field="3" count="1" selected="0">
            <x v="2"/>
          </reference>
          <reference field="4" count="1">
            <x v="246"/>
          </reference>
        </references>
      </pivotArea>
    </format>
    <format dxfId="894">
      <pivotArea dataOnly="0" labelOnly="1" outline="0" fieldPosition="0">
        <references count="5">
          <reference field="0" count="1" selected="0">
            <x v="0"/>
          </reference>
          <reference field="1" count="1" selected="0">
            <x v="736"/>
          </reference>
          <reference field="2" count="1" selected="0">
            <x v="376"/>
          </reference>
          <reference field="3" count="1" selected="0">
            <x v="2"/>
          </reference>
          <reference field="4" count="1">
            <x v="267"/>
          </reference>
        </references>
      </pivotArea>
    </format>
    <format dxfId="893">
      <pivotArea dataOnly="0" labelOnly="1" outline="0" fieldPosition="0">
        <references count="5">
          <reference field="0" count="1" selected="0">
            <x v="0"/>
          </reference>
          <reference field="1" count="1" selected="0">
            <x v="737"/>
          </reference>
          <reference field="2" count="1" selected="0">
            <x v="376"/>
          </reference>
          <reference field="3" count="1" selected="0">
            <x v="2"/>
          </reference>
          <reference field="4" count="1">
            <x v="289"/>
          </reference>
        </references>
      </pivotArea>
    </format>
    <format dxfId="892">
      <pivotArea dataOnly="0" labelOnly="1" outline="0" fieldPosition="0">
        <references count="5">
          <reference field="0" count="1" selected="0">
            <x v="0"/>
          </reference>
          <reference field="1" count="1" selected="0">
            <x v="738"/>
          </reference>
          <reference field="2" count="1" selected="0">
            <x v="377"/>
          </reference>
          <reference field="3" count="1" selected="0">
            <x v="2"/>
          </reference>
          <reference field="4" count="1">
            <x v="64"/>
          </reference>
        </references>
      </pivotArea>
    </format>
    <format dxfId="891">
      <pivotArea dataOnly="0" labelOnly="1" outline="0" fieldPosition="0">
        <references count="5">
          <reference field="0" count="1" selected="0">
            <x v="0"/>
          </reference>
          <reference field="1" count="1" selected="0">
            <x v="739"/>
          </reference>
          <reference field="2" count="1" selected="0">
            <x v="377"/>
          </reference>
          <reference field="3" count="1" selected="0">
            <x v="2"/>
          </reference>
          <reference field="4" count="1">
            <x v="67"/>
          </reference>
        </references>
      </pivotArea>
    </format>
    <format dxfId="890">
      <pivotArea dataOnly="0" labelOnly="1" outline="0" fieldPosition="0">
        <references count="5">
          <reference field="0" count="1" selected="0">
            <x v="0"/>
          </reference>
          <reference field="1" count="1" selected="0">
            <x v="740"/>
          </reference>
          <reference field="2" count="1" selected="0">
            <x v="377"/>
          </reference>
          <reference field="3" count="1" selected="0">
            <x v="2"/>
          </reference>
          <reference field="4" count="1">
            <x v="199"/>
          </reference>
        </references>
      </pivotArea>
    </format>
    <format dxfId="889">
      <pivotArea dataOnly="0" labelOnly="1" outline="0" fieldPosition="0">
        <references count="5">
          <reference field="0" count="1" selected="0">
            <x v="0"/>
          </reference>
          <reference field="1" count="1" selected="0">
            <x v="741"/>
          </reference>
          <reference field="2" count="1" selected="0">
            <x v="377"/>
          </reference>
          <reference field="3" count="1" selected="0">
            <x v="2"/>
          </reference>
          <reference field="4" count="1">
            <x v="266"/>
          </reference>
        </references>
      </pivotArea>
    </format>
    <format dxfId="888">
      <pivotArea dataOnly="0" labelOnly="1" outline="0" fieldPosition="0">
        <references count="5">
          <reference field="0" count="1" selected="0">
            <x v="0"/>
          </reference>
          <reference field="1" count="1" selected="0">
            <x v="742"/>
          </reference>
          <reference field="2" count="1" selected="0">
            <x v="378"/>
          </reference>
          <reference field="3" count="1" selected="0">
            <x v="2"/>
          </reference>
          <reference field="4" count="1">
            <x v="0"/>
          </reference>
        </references>
      </pivotArea>
    </format>
    <format dxfId="887">
      <pivotArea dataOnly="0" labelOnly="1" outline="0" fieldPosition="0">
        <references count="5">
          <reference field="0" count="1" selected="0">
            <x v="0"/>
          </reference>
          <reference field="1" count="1" selected="0">
            <x v="743"/>
          </reference>
          <reference field="2" count="1" selected="0">
            <x v="378"/>
          </reference>
          <reference field="3" count="1" selected="0">
            <x v="2"/>
          </reference>
          <reference field="4" count="1">
            <x v="35"/>
          </reference>
        </references>
      </pivotArea>
    </format>
    <format dxfId="886">
      <pivotArea dataOnly="0" labelOnly="1" outline="0" fieldPosition="0">
        <references count="5">
          <reference field="0" count="1" selected="0">
            <x v="0"/>
          </reference>
          <reference field="1" count="1" selected="0">
            <x v="744"/>
          </reference>
          <reference field="2" count="1" selected="0">
            <x v="378"/>
          </reference>
          <reference field="3" count="1" selected="0">
            <x v="2"/>
          </reference>
          <reference field="4" count="1">
            <x v="54"/>
          </reference>
        </references>
      </pivotArea>
    </format>
    <format dxfId="885">
      <pivotArea dataOnly="0" labelOnly="1" outline="0" fieldPosition="0">
        <references count="5">
          <reference field="0" count="1" selected="0">
            <x v="0"/>
          </reference>
          <reference field="1" count="1" selected="0">
            <x v="745"/>
          </reference>
          <reference field="2" count="1" selected="0">
            <x v="378"/>
          </reference>
          <reference field="3" count="1" selected="0">
            <x v="2"/>
          </reference>
          <reference field="4" count="1">
            <x v="72"/>
          </reference>
        </references>
      </pivotArea>
    </format>
    <format dxfId="884">
      <pivotArea dataOnly="0" labelOnly="1" outline="0" fieldPosition="0">
        <references count="5">
          <reference field="0" count="1" selected="0">
            <x v="0"/>
          </reference>
          <reference field="1" count="1" selected="0">
            <x v="746"/>
          </reference>
          <reference field="2" count="1" selected="0">
            <x v="378"/>
          </reference>
          <reference field="3" count="1" selected="0">
            <x v="2"/>
          </reference>
          <reference field="4" count="1">
            <x v="79"/>
          </reference>
        </references>
      </pivotArea>
    </format>
    <format dxfId="883">
      <pivotArea dataOnly="0" labelOnly="1" outline="0" fieldPosition="0">
        <references count="5">
          <reference field="0" count="1" selected="0">
            <x v="0"/>
          </reference>
          <reference field="1" count="1" selected="0">
            <x v="747"/>
          </reference>
          <reference field="2" count="1" selected="0">
            <x v="378"/>
          </reference>
          <reference field="3" count="1" selected="0">
            <x v="2"/>
          </reference>
          <reference field="4" count="1">
            <x v="104"/>
          </reference>
        </references>
      </pivotArea>
    </format>
    <format dxfId="882">
      <pivotArea dataOnly="0" labelOnly="1" outline="0" fieldPosition="0">
        <references count="5">
          <reference field="0" count="1" selected="0">
            <x v="0"/>
          </reference>
          <reference field="1" count="1" selected="0">
            <x v="748"/>
          </reference>
          <reference field="2" count="1" selected="0">
            <x v="378"/>
          </reference>
          <reference field="3" count="1" selected="0">
            <x v="2"/>
          </reference>
          <reference field="4" count="1">
            <x v="110"/>
          </reference>
        </references>
      </pivotArea>
    </format>
    <format dxfId="881">
      <pivotArea dataOnly="0" labelOnly="1" outline="0" fieldPosition="0">
        <references count="5">
          <reference field="0" count="1" selected="0">
            <x v="0"/>
          </reference>
          <reference field="1" count="1" selected="0">
            <x v="749"/>
          </reference>
          <reference field="2" count="1" selected="0">
            <x v="378"/>
          </reference>
          <reference field="3" count="1" selected="0">
            <x v="2"/>
          </reference>
          <reference field="4" count="1">
            <x v="131"/>
          </reference>
        </references>
      </pivotArea>
    </format>
    <format dxfId="880">
      <pivotArea dataOnly="0" labelOnly="1" outline="0" fieldPosition="0">
        <references count="5">
          <reference field="0" count="1" selected="0">
            <x v="0"/>
          </reference>
          <reference field="1" count="1" selected="0">
            <x v="750"/>
          </reference>
          <reference field="2" count="1" selected="0">
            <x v="378"/>
          </reference>
          <reference field="3" count="1" selected="0">
            <x v="2"/>
          </reference>
          <reference field="4" count="1">
            <x v="155"/>
          </reference>
        </references>
      </pivotArea>
    </format>
    <format dxfId="879">
      <pivotArea dataOnly="0" labelOnly="1" outline="0" fieldPosition="0">
        <references count="5">
          <reference field="0" count="1" selected="0">
            <x v="0"/>
          </reference>
          <reference field="1" count="1" selected="0">
            <x v="751"/>
          </reference>
          <reference field="2" count="1" selected="0">
            <x v="378"/>
          </reference>
          <reference field="3" count="1" selected="0">
            <x v="2"/>
          </reference>
          <reference field="4" count="1">
            <x v="225"/>
          </reference>
        </references>
      </pivotArea>
    </format>
    <format dxfId="878">
      <pivotArea dataOnly="0" labelOnly="1" outline="0" fieldPosition="0">
        <references count="5">
          <reference field="0" count="1" selected="0">
            <x v="0"/>
          </reference>
          <reference field="1" count="1" selected="0">
            <x v="752"/>
          </reference>
          <reference field="2" count="1" selected="0">
            <x v="378"/>
          </reference>
          <reference field="3" count="1" selected="0">
            <x v="2"/>
          </reference>
          <reference field="4" count="1">
            <x v="234"/>
          </reference>
        </references>
      </pivotArea>
    </format>
    <format dxfId="877">
      <pivotArea dataOnly="0" labelOnly="1" outline="0" fieldPosition="0">
        <references count="5">
          <reference field="0" count="1" selected="0">
            <x v="0"/>
          </reference>
          <reference field="1" count="1" selected="0">
            <x v="753"/>
          </reference>
          <reference field="2" count="1" selected="0">
            <x v="378"/>
          </reference>
          <reference field="3" count="1" selected="0">
            <x v="2"/>
          </reference>
          <reference field="4" count="1">
            <x v="235"/>
          </reference>
        </references>
      </pivotArea>
    </format>
    <format dxfId="876">
      <pivotArea dataOnly="0" labelOnly="1" outline="0" fieldPosition="0">
        <references count="5">
          <reference field="0" count="1" selected="0">
            <x v="0"/>
          </reference>
          <reference field="1" count="1" selected="0">
            <x v="754"/>
          </reference>
          <reference field="2" count="1" selected="0">
            <x v="378"/>
          </reference>
          <reference field="3" count="1" selected="0">
            <x v="2"/>
          </reference>
          <reference field="4" count="1">
            <x v="240"/>
          </reference>
        </references>
      </pivotArea>
    </format>
    <format dxfId="875">
      <pivotArea dataOnly="0" labelOnly="1" outline="0" fieldPosition="0">
        <references count="5">
          <reference field="0" count="1" selected="0">
            <x v="0"/>
          </reference>
          <reference field="1" count="1" selected="0">
            <x v="755"/>
          </reference>
          <reference field="2" count="1" selected="0">
            <x v="378"/>
          </reference>
          <reference field="3" count="1" selected="0">
            <x v="2"/>
          </reference>
          <reference field="4" count="1">
            <x v="248"/>
          </reference>
        </references>
      </pivotArea>
    </format>
    <format dxfId="874">
      <pivotArea dataOnly="0" labelOnly="1" outline="0" fieldPosition="0">
        <references count="5">
          <reference field="0" count="1" selected="0">
            <x v="0"/>
          </reference>
          <reference field="1" count="1" selected="0">
            <x v="756"/>
          </reference>
          <reference field="2" count="1" selected="0">
            <x v="378"/>
          </reference>
          <reference field="3" count="1" selected="0">
            <x v="2"/>
          </reference>
          <reference field="4" count="1">
            <x v="251"/>
          </reference>
        </references>
      </pivotArea>
    </format>
    <format dxfId="873">
      <pivotArea dataOnly="0" labelOnly="1" outline="0" fieldPosition="0">
        <references count="5">
          <reference field="0" count="1" selected="0">
            <x v="0"/>
          </reference>
          <reference field="1" count="1" selected="0">
            <x v="757"/>
          </reference>
          <reference field="2" count="1" selected="0">
            <x v="378"/>
          </reference>
          <reference field="3" count="1" selected="0">
            <x v="2"/>
          </reference>
          <reference field="4" count="1">
            <x v="269"/>
          </reference>
        </references>
      </pivotArea>
    </format>
    <format dxfId="872">
      <pivotArea dataOnly="0" labelOnly="1" outline="0" fieldPosition="0">
        <references count="5">
          <reference field="0" count="1" selected="0">
            <x v="0"/>
          </reference>
          <reference field="1" count="1" selected="0">
            <x v="758"/>
          </reference>
          <reference field="2" count="1" selected="0">
            <x v="378"/>
          </reference>
          <reference field="3" count="1" selected="0">
            <x v="2"/>
          </reference>
          <reference field="4" count="1">
            <x v="273"/>
          </reference>
        </references>
      </pivotArea>
    </format>
    <format dxfId="871">
      <pivotArea dataOnly="0" labelOnly="1" outline="0" fieldPosition="0">
        <references count="5">
          <reference field="0" count="1" selected="0">
            <x v="0"/>
          </reference>
          <reference field="1" count="1" selected="0">
            <x v="759"/>
          </reference>
          <reference field="2" count="1" selected="0">
            <x v="379"/>
          </reference>
          <reference field="3" count="1" selected="0">
            <x v="2"/>
          </reference>
          <reference field="4" count="1">
            <x v="110"/>
          </reference>
        </references>
      </pivotArea>
    </format>
    <format dxfId="870">
      <pivotArea dataOnly="0" labelOnly="1" outline="0" fieldPosition="0">
        <references count="5">
          <reference field="0" count="1" selected="0">
            <x v="0"/>
          </reference>
          <reference field="1" count="1" selected="0">
            <x v="760"/>
          </reference>
          <reference field="2" count="1" selected="0">
            <x v="379"/>
          </reference>
          <reference field="3" count="1" selected="0">
            <x v="2"/>
          </reference>
          <reference field="4" count="1">
            <x v="145"/>
          </reference>
        </references>
      </pivotArea>
    </format>
    <format dxfId="869">
      <pivotArea dataOnly="0" labelOnly="1" outline="0" fieldPosition="0">
        <references count="5">
          <reference field="0" count="1" selected="0">
            <x v="0"/>
          </reference>
          <reference field="1" count="1" selected="0">
            <x v="761"/>
          </reference>
          <reference field="2" count="1" selected="0">
            <x v="379"/>
          </reference>
          <reference field="3" count="1" selected="0">
            <x v="2"/>
          </reference>
          <reference field="4" count="1">
            <x v="170"/>
          </reference>
        </references>
      </pivotArea>
    </format>
    <format dxfId="868">
      <pivotArea dataOnly="0" labelOnly="1" outline="0" fieldPosition="0">
        <references count="5">
          <reference field="0" count="1" selected="0">
            <x v="0"/>
          </reference>
          <reference field="1" count="1" selected="0">
            <x v="762"/>
          </reference>
          <reference field="2" count="1" selected="0">
            <x v="379"/>
          </reference>
          <reference field="3" count="1" selected="0">
            <x v="2"/>
          </reference>
          <reference field="4" count="1">
            <x v="221"/>
          </reference>
        </references>
      </pivotArea>
    </format>
    <format dxfId="867">
      <pivotArea dataOnly="0" labelOnly="1" outline="0" fieldPosition="0">
        <references count="5">
          <reference field="0" count="1" selected="0">
            <x v="0"/>
          </reference>
          <reference field="1" count="1" selected="0">
            <x v="763"/>
          </reference>
          <reference field="2" count="1" selected="0">
            <x v="379"/>
          </reference>
          <reference field="3" count="1" selected="0">
            <x v="2"/>
          </reference>
          <reference field="4" count="1">
            <x v="254"/>
          </reference>
        </references>
      </pivotArea>
    </format>
    <format dxfId="866">
      <pivotArea dataOnly="0" labelOnly="1" outline="0" fieldPosition="0">
        <references count="5">
          <reference field="0" count="1" selected="0">
            <x v="0"/>
          </reference>
          <reference field="1" count="1" selected="0">
            <x v="764"/>
          </reference>
          <reference field="2" count="1" selected="0">
            <x v="379"/>
          </reference>
          <reference field="3" count="1" selected="0">
            <x v="2"/>
          </reference>
          <reference field="4" count="1">
            <x v="269"/>
          </reference>
        </references>
      </pivotArea>
    </format>
    <format dxfId="865">
      <pivotArea dataOnly="0" labelOnly="1" outline="0" fieldPosition="0">
        <references count="5">
          <reference field="0" count="1" selected="0">
            <x v="0"/>
          </reference>
          <reference field="1" count="1" selected="0">
            <x v="765"/>
          </reference>
          <reference field="2" count="1" selected="0">
            <x v="380"/>
          </reference>
          <reference field="3" count="1" selected="0">
            <x v="2"/>
          </reference>
          <reference field="4" count="1">
            <x v="148"/>
          </reference>
        </references>
      </pivotArea>
    </format>
    <format dxfId="864">
      <pivotArea dataOnly="0" labelOnly="1" outline="0" fieldPosition="0">
        <references count="5">
          <reference field="0" count="1" selected="0">
            <x v="0"/>
          </reference>
          <reference field="1" count="1" selected="0">
            <x v="766"/>
          </reference>
          <reference field="2" count="1" selected="0">
            <x v="380"/>
          </reference>
          <reference field="3" count="1" selected="0">
            <x v="2"/>
          </reference>
          <reference field="4" count="1">
            <x v="181"/>
          </reference>
        </references>
      </pivotArea>
    </format>
    <format dxfId="863">
      <pivotArea dataOnly="0" labelOnly="1" outline="0" fieldPosition="0">
        <references count="5">
          <reference field="0" count="1" selected="0">
            <x v="0"/>
          </reference>
          <reference field="1" count="1" selected="0">
            <x v="767"/>
          </reference>
          <reference field="2" count="1" selected="0">
            <x v="380"/>
          </reference>
          <reference field="3" count="1" selected="0">
            <x v="2"/>
          </reference>
          <reference field="4" count="1">
            <x v="229"/>
          </reference>
        </references>
      </pivotArea>
    </format>
    <format dxfId="862">
      <pivotArea dataOnly="0" labelOnly="1" outline="0" fieldPosition="0">
        <references count="5">
          <reference field="0" count="1" selected="0">
            <x v="0"/>
          </reference>
          <reference field="1" count="1" selected="0">
            <x v="768"/>
          </reference>
          <reference field="2" count="1" selected="0">
            <x v="380"/>
          </reference>
          <reference field="3" count="1" selected="0">
            <x v="2"/>
          </reference>
          <reference field="4" count="1">
            <x v="231"/>
          </reference>
        </references>
      </pivotArea>
    </format>
    <format dxfId="861">
      <pivotArea dataOnly="0" labelOnly="1" outline="0" fieldPosition="0">
        <references count="5">
          <reference field="0" count="1" selected="0">
            <x v="0"/>
          </reference>
          <reference field="1" count="1" selected="0">
            <x v="769"/>
          </reference>
          <reference field="2" count="1" selected="0">
            <x v="380"/>
          </reference>
          <reference field="3" count="1" selected="0">
            <x v="2"/>
          </reference>
          <reference field="4" count="1">
            <x v="238"/>
          </reference>
        </references>
      </pivotArea>
    </format>
    <format dxfId="860">
      <pivotArea dataOnly="0" labelOnly="1" outline="0" fieldPosition="0">
        <references count="5">
          <reference field="0" count="1" selected="0">
            <x v="0"/>
          </reference>
          <reference field="1" count="1" selected="0">
            <x v="770"/>
          </reference>
          <reference field="2" count="1" selected="0">
            <x v="380"/>
          </reference>
          <reference field="3" count="1" selected="0">
            <x v="2"/>
          </reference>
          <reference field="4" count="1">
            <x v="241"/>
          </reference>
        </references>
      </pivotArea>
    </format>
    <format dxfId="859">
      <pivotArea dataOnly="0" labelOnly="1" outline="0" fieldPosition="0">
        <references count="5">
          <reference field="0" count="1" selected="0">
            <x v="0"/>
          </reference>
          <reference field="1" count="1" selected="0">
            <x v="771"/>
          </reference>
          <reference field="2" count="1" selected="0">
            <x v="380"/>
          </reference>
          <reference field="3" count="1" selected="0">
            <x v="2"/>
          </reference>
          <reference field="4" count="1">
            <x v="276"/>
          </reference>
        </references>
      </pivotArea>
    </format>
    <format dxfId="858">
      <pivotArea dataOnly="0" labelOnly="1" outline="0" fieldPosition="0">
        <references count="5">
          <reference field="0" count="1" selected="0">
            <x v="0"/>
          </reference>
          <reference field="1" count="1" selected="0">
            <x v="772"/>
          </reference>
          <reference field="2" count="1" selected="0">
            <x v="381"/>
          </reference>
          <reference field="3" count="1" selected="0">
            <x v="2"/>
          </reference>
          <reference field="4" count="1">
            <x v="52"/>
          </reference>
        </references>
      </pivotArea>
    </format>
    <format dxfId="857">
      <pivotArea dataOnly="0" labelOnly="1" outline="0" fieldPosition="0">
        <references count="5">
          <reference field="0" count="1" selected="0">
            <x v="0"/>
          </reference>
          <reference field="1" count="1" selected="0">
            <x v="773"/>
          </reference>
          <reference field="2" count="1" selected="0">
            <x v="381"/>
          </reference>
          <reference field="3" count="1" selected="0">
            <x v="2"/>
          </reference>
          <reference field="4" count="1">
            <x v="79"/>
          </reference>
        </references>
      </pivotArea>
    </format>
    <format dxfId="856">
      <pivotArea dataOnly="0" labelOnly="1" outline="0" fieldPosition="0">
        <references count="5">
          <reference field="0" count="1" selected="0">
            <x v="0"/>
          </reference>
          <reference field="1" count="1" selected="0">
            <x v="774"/>
          </reference>
          <reference field="2" count="1" selected="0">
            <x v="381"/>
          </reference>
          <reference field="3" count="1" selected="0">
            <x v="2"/>
          </reference>
          <reference field="4" count="1">
            <x v="163"/>
          </reference>
        </references>
      </pivotArea>
    </format>
    <format dxfId="855">
      <pivotArea dataOnly="0" labelOnly="1" outline="0" fieldPosition="0">
        <references count="5">
          <reference field="0" count="1" selected="0">
            <x v="0"/>
          </reference>
          <reference field="1" count="1" selected="0">
            <x v="775"/>
          </reference>
          <reference field="2" count="1" selected="0">
            <x v="381"/>
          </reference>
          <reference field="3" count="1" selected="0">
            <x v="2"/>
          </reference>
          <reference field="4" count="1">
            <x v="186"/>
          </reference>
        </references>
      </pivotArea>
    </format>
    <format dxfId="854">
      <pivotArea dataOnly="0" labelOnly="1" outline="0" fieldPosition="0">
        <references count="5">
          <reference field="0" count="1" selected="0">
            <x v="0"/>
          </reference>
          <reference field="1" count="1" selected="0">
            <x v="776"/>
          </reference>
          <reference field="2" count="1" selected="0">
            <x v="381"/>
          </reference>
          <reference field="3" count="1" selected="0">
            <x v="2"/>
          </reference>
          <reference field="4" count="1">
            <x v="242"/>
          </reference>
        </references>
      </pivotArea>
    </format>
    <format dxfId="853">
      <pivotArea dataOnly="0" labelOnly="1" outline="0" fieldPosition="0">
        <references count="5">
          <reference field="0" count="1" selected="0">
            <x v="0"/>
          </reference>
          <reference field="1" count="1" selected="0">
            <x v="777"/>
          </reference>
          <reference field="2" count="1" selected="0">
            <x v="381"/>
          </reference>
          <reference field="3" count="1" selected="0">
            <x v="2"/>
          </reference>
          <reference field="4" count="1">
            <x v="265"/>
          </reference>
        </references>
      </pivotArea>
    </format>
    <format dxfId="852">
      <pivotArea dataOnly="0" labelOnly="1" outline="0" fieldPosition="0">
        <references count="5">
          <reference field="0" count="1" selected="0">
            <x v="0"/>
          </reference>
          <reference field="1" count="1" selected="0">
            <x v="778"/>
          </reference>
          <reference field="2" count="1" selected="0">
            <x v="381"/>
          </reference>
          <reference field="3" count="1" selected="0">
            <x v="2"/>
          </reference>
          <reference field="4" count="1">
            <x v="282"/>
          </reference>
        </references>
      </pivotArea>
    </format>
    <format dxfId="851">
      <pivotArea dataOnly="0" labelOnly="1" outline="0" fieldPosition="0">
        <references count="5">
          <reference field="0" count="1" selected="0">
            <x v="0"/>
          </reference>
          <reference field="1" count="1" selected="0">
            <x v="779"/>
          </reference>
          <reference field="2" count="1" selected="0">
            <x v="382"/>
          </reference>
          <reference field="3" count="1" selected="0">
            <x v="2"/>
          </reference>
          <reference field="4" count="1">
            <x v="35"/>
          </reference>
        </references>
      </pivotArea>
    </format>
    <format dxfId="850">
      <pivotArea dataOnly="0" labelOnly="1" outline="0" fieldPosition="0">
        <references count="5">
          <reference field="0" count="1" selected="0">
            <x v="0"/>
          </reference>
          <reference field="1" count="1" selected="0">
            <x v="780"/>
          </reference>
          <reference field="2" count="1" selected="0">
            <x v="382"/>
          </reference>
          <reference field="3" count="1" selected="0">
            <x v="2"/>
          </reference>
          <reference field="4" count="1">
            <x v="44"/>
          </reference>
        </references>
      </pivotArea>
    </format>
    <format dxfId="849">
      <pivotArea dataOnly="0" labelOnly="1" outline="0" fieldPosition="0">
        <references count="5">
          <reference field="0" count="1" selected="0">
            <x v="0"/>
          </reference>
          <reference field="1" count="1" selected="0">
            <x v="781"/>
          </reference>
          <reference field="2" count="1" selected="0">
            <x v="382"/>
          </reference>
          <reference field="3" count="1" selected="0">
            <x v="2"/>
          </reference>
          <reference field="4" count="1">
            <x v="58"/>
          </reference>
        </references>
      </pivotArea>
    </format>
    <format dxfId="848">
      <pivotArea dataOnly="0" labelOnly="1" outline="0" fieldPosition="0">
        <references count="5">
          <reference field="0" count="1" selected="0">
            <x v="0"/>
          </reference>
          <reference field="1" count="1" selected="0">
            <x v="782"/>
          </reference>
          <reference field="2" count="1" selected="0">
            <x v="382"/>
          </reference>
          <reference field="3" count="1" selected="0">
            <x v="2"/>
          </reference>
          <reference field="4" count="1">
            <x v="70"/>
          </reference>
        </references>
      </pivotArea>
    </format>
    <format dxfId="847">
      <pivotArea dataOnly="0" labelOnly="1" outline="0" fieldPosition="0">
        <references count="5">
          <reference field="0" count="1" selected="0">
            <x v="0"/>
          </reference>
          <reference field="1" count="1" selected="0">
            <x v="783"/>
          </reference>
          <reference field="2" count="1" selected="0">
            <x v="382"/>
          </reference>
          <reference field="3" count="1" selected="0">
            <x v="2"/>
          </reference>
          <reference field="4" count="1">
            <x v="110"/>
          </reference>
        </references>
      </pivotArea>
    </format>
    <format dxfId="846">
      <pivotArea dataOnly="0" labelOnly="1" outline="0" fieldPosition="0">
        <references count="5">
          <reference field="0" count="1" selected="0">
            <x v="0"/>
          </reference>
          <reference field="1" count="1" selected="0">
            <x v="784"/>
          </reference>
          <reference field="2" count="1" selected="0">
            <x v="382"/>
          </reference>
          <reference field="3" count="1" selected="0">
            <x v="2"/>
          </reference>
          <reference field="4" count="1">
            <x v="142"/>
          </reference>
        </references>
      </pivotArea>
    </format>
    <format dxfId="845">
      <pivotArea dataOnly="0" labelOnly="1" outline="0" fieldPosition="0">
        <references count="5">
          <reference field="0" count="1" selected="0">
            <x v="0"/>
          </reference>
          <reference field="1" count="1" selected="0">
            <x v="785"/>
          </reference>
          <reference field="2" count="1" selected="0">
            <x v="382"/>
          </reference>
          <reference field="3" count="1" selected="0">
            <x v="2"/>
          </reference>
          <reference field="4" count="1">
            <x v="150"/>
          </reference>
        </references>
      </pivotArea>
    </format>
    <format dxfId="844">
      <pivotArea dataOnly="0" labelOnly="1" outline="0" fieldPosition="0">
        <references count="5">
          <reference field="0" count="1" selected="0">
            <x v="0"/>
          </reference>
          <reference field="1" count="1" selected="0">
            <x v="786"/>
          </reference>
          <reference field="2" count="1" selected="0">
            <x v="382"/>
          </reference>
          <reference field="3" count="1" selected="0">
            <x v="2"/>
          </reference>
          <reference field="4" count="1">
            <x v="162"/>
          </reference>
        </references>
      </pivotArea>
    </format>
    <format dxfId="843">
      <pivotArea dataOnly="0" labelOnly="1" outline="0" fieldPosition="0">
        <references count="5">
          <reference field="0" count="1" selected="0">
            <x v="0"/>
          </reference>
          <reference field="1" count="1" selected="0">
            <x v="787"/>
          </reference>
          <reference field="2" count="1" selected="0">
            <x v="382"/>
          </reference>
          <reference field="3" count="1" selected="0">
            <x v="2"/>
          </reference>
          <reference field="4" count="1">
            <x v="202"/>
          </reference>
        </references>
      </pivotArea>
    </format>
    <format dxfId="842">
      <pivotArea dataOnly="0" labelOnly="1" outline="0" fieldPosition="0">
        <references count="5">
          <reference field="0" count="1" selected="0">
            <x v="0"/>
          </reference>
          <reference field="1" count="1" selected="0">
            <x v="788"/>
          </reference>
          <reference field="2" count="1" selected="0">
            <x v="382"/>
          </reference>
          <reference field="3" count="1" selected="0">
            <x v="2"/>
          </reference>
          <reference field="4" count="1">
            <x v="265"/>
          </reference>
        </references>
      </pivotArea>
    </format>
    <format dxfId="841">
      <pivotArea dataOnly="0" labelOnly="1" outline="0" fieldPosition="0">
        <references count="5">
          <reference field="0" count="1" selected="0">
            <x v="0"/>
          </reference>
          <reference field="1" count="1" selected="0">
            <x v="789"/>
          </reference>
          <reference field="2" count="1" selected="0">
            <x v="383"/>
          </reference>
          <reference field="3" count="1" selected="0">
            <x v="2"/>
          </reference>
          <reference field="4" count="1">
            <x v="41"/>
          </reference>
        </references>
      </pivotArea>
    </format>
    <format dxfId="840">
      <pivotArea dataOnly="0" labelOnly="1" outline="0" fieldPosition="0">
        <references count="5">
          <reference field="0" count="1" selected="0">
            <x v="0"/>
          </reference>
          <reference field="1" count="1" selected="0">
            <x v="790"/>
          </reference>
          <reference field="2" count="1" selected="0">
            <x v="383"/>
          </reference>
          <reference field="3" count="1" selected="0">
            <x v="2"/>
          </reference>
          <reference field="4" count="1">
            <x v="107"/>
          </reference>
        </references>
      </pivotArea>
    </format>
    <format dxfId="839">
      <pivotArea dataOnly="0" labelOnly="1" outline="0" fieldPosition="0">
        <references count="5">
          <reference field="0" count="1" selected="0">
            <x v="0"/>
          </reference>
          <reference field="1" count="1" selected="0">
            <x v="791"/>
          </reference>
          <reference field="2" count="1" selected="0">
            <x v="384"/>
          </reference>
          <reference field="3" count="1" selected="0">
            <x v="2"/>
          </reference>
          <reference field="4" count="1">
            <x v="103"/>
          </reference>
        </references>
      </pivotArea>
    </format>
    <format dxfId="838">
      <pivotArea dataOnly="0" labelOnly="1" outline="0" fieldPosition="0">
        <references count="5">
          <reference field="0" count="1" selected="0">
            <x v="0"/>
          </reference>
          <reference field="1" count="1" selected="0">
            <x v="792"/>
          </reference>
          <reference field="2" count="1" selected="0">
            <x v="384"/>
          </reference>
          <reference field="3" count="1" selected="0">
            <x v="2"/>
          </reference>
          <reference field="4" count="1">
            <x v="120"/>
          </reference>
        </references>
      </pivotArea>
    </format>
    <format dxfId="837">
      <pivotArea dataOnly="0" labelOnly="1" outline="0" fieldPosition="0">
        <references count="5">
          <reference field="0" count="1" selected="0">
            <x v="0"/>
          </reference>
          <reference field="1" count="1" selected="0">
            <x v="793"/>
          </reference>
          <reference field="2" count="1" selected="0">
            <x v="384"/>
          </reference>
          <reference field="3" count="1" selected="0">
            <x v="2"/>
          </reference>
          <reference field="4" count="1">
            <x v="130"/>
          </reference>
        </references>
      </pivotArea>
    </format>
    <format dxfId="836">
      <pivotArea dataOnly="0" labelOnly="1" outline="0" fieldPosition="0">
        <references count="5">
          <reference field="0" count="1" selected="0">
            <x v="0"/>
          </reference>
          <reference field="1" count="1" selected="0">
            <x v="794"/>
          </reference>
          <reference field="2" count="1" selected="0">
            <x v="385"/>
          </reference>
          <reference field="3" count="1" selected="0">
            <x v="2"/>
          </reference>
          <reference field="4" count="1">
            <x v="50"/>
          </reference>
        </references>
      </pivotArea>
    </format>
    <format dxfId="835">
      <pivotArea dataOnly="0" labelOnly="1" outline="0" fieldPosition="0">
        <references count="5">
          <reference field="0" count="1" selected="0">
            <x v="0"/>
          </reference>
          <reference field="1" count="1" selected="0">
            <x v="795"/>
          </reference>
          <reference field="2" count="1" selected="0">
            <x v="385"/>
          </reference>
          <reference field="3" count="1" selected="0">
            <x v="2"/>
          </reference>
          <reference field="4" count="1">
            <x v="51"/>
          </reference>
        </references>
      </pivotArea>
    </format>
    <format dxfId="834">
      <pivotArea dataOnly="0" labelOnly="1" outline="0" fieldPosition="0">
        <references count="5">
          <reference field="0" count="1" selected="0">
            <x v="0"/>
          </reference>
          <reference field="1" count="1" selected="0">
            <x v="796"/>
          </reference>
          <reference field="2" count="1" selected="0">
            <x v="385"/>
          </reference>
          <reference field="3" count="1" selected="0">
            <x v="2"/>
          </reference>
          <reference field="4" count="1">
            <x v="104"/>
          </reference>
        </references>
      </pivotArea>
    </format>
    <format dxfId="833">
      <pivotArea dataOnly="0" labelOnly="1" outline="0" fieldPosition="0">
        <references count="5">
          <reference field="0" count="1" selected="0">
            <x v="0"/>
          </reference>
          <reference field="1" count="1" selected="0">
            <x v="797"/>
          </reference>
          <reference field="2" count="1" selected="0">
            <x v="385"/>
          </reference>
          <reference field="3" count="1" selected="0">
            <x v="2"/>
          </reference>
          <reference field="4" count="1">
            <x v="131"/>
          </reference>
        </references>
      </pivotArea>
    </format>
    <format dxfId="832">
      <pivotArea dataOnly="0" labelOnly="1" outline="0" fieldPosition="0">
        <references count="5">
          <reference field="0" count="1" selected="0">
            <x v="0"/>
          </reference>
          <reference field="1" count="1" selected="0">
            <x v="798"/>
          </reference>
          <reference field="2" count="1" selected="0">
            <x v="385"/>
          </reference>
          <reference field="3" count="1" selected="0">
            <x v="2"/>
          </reference>
          <reference field="4" count="1">
            <x v="170"/>
          </reference>
        </references>
      </pivotArea>
    </format>
    <format dxfId="831">
      <pivotArea dataOnly="0" labelOnly="1" outline="0" fieldPosition="0">
        <references count="5">
          <reference field="0" count="1" selected="0">
            <x v="0"/>
          </reference>
          <reference field="1" count="1" selected="0">
            <x v="799"/>
          </reference>
          <reference field="2" count="1" selected="0">
            <x v="385"/>
          </reference>
          <reference field="3" count="1" selected="0">
            <x v="2"/>
          </reference>
          <reference field="4" count="1">
            <x v="209"/>
          </reference>
        </references>
      </pivotArea>
    </format>
    <format dxfId="830">
      <pivotArea dataOnly="0" labelOnly="1" outline="0" fieldPosition="0">
        <references count="5">
          <reference field="0" count="1" selected="0">
            <x v="0"/>
          </reference>
          <reference field="1" count="1" selected="0">
            <x v="800"/>
          </reference>
          <reference field="2" count="1" selected="0">
            <x v="385"/>
          </reference>
          <reference field="3" count="1" selected="0">
            <x v="2"/>
          </reference>
          <reference field="4" count="1">
            <x v="210"/>
          </reference>
        </references>
      </pivotArea>
    </format>
    <format dxfId="829">
      <pivotArea dataOnly="0" labelOnly="1" outline="0" fieldPosition="0">
        <references count="5">
          <reference field="0" count="1" selected="0">
            <x v="0"/>
          </reference>
          <reference field="1" count="1" selected="0">
            <x v="801"/>
          </reference>
          <reference field="2" count="1" selected="0">
            <x v="385"/>
          </reference>
          <reference field="3" count="1" selected="0">
            <x v="2"/>
          </reference>
          <reference field="4" count="1">
            <x v="224"/>
          </reference>
        </references>
      </pivotArea>
    </format>
    <format dxfId="828">
      <pivotArea dataOnly="0" labelOnly="1" outline="0" fieldPosition="0">
        <references count="5">
          <reference field="0" count="1" selected="0">
            <x v="0"/>
          </reference>
          <reference field="1" count="1" selected="0">
            <x v="802"/>
          </reference>
          <reference field="2" count="1" selected="0">
            <x v="385"/>
          </reference>
          <reference field="3" count="1" selected="0">
            <x v="2"/>
          </reference>
          <reference field="4" count="1">
            <x v="246"/>
          </reference>
        </references>
      </pivotArea>
    </format>
    <format dxfId="827">
      <pivotArea dataOnly="0" labelOnly="1" outline="0" fieldPosition="0">
        <references count="5">
          <reference field="0" count="1" selected="0">
            <x v="0"/>
          </reference>
          <reference field="1" count="1" selected="0">
            <x v="803"/>
          </reference>
          <reference field="2" count="1" selected="0">
            <x v="385"/>
          </reference>
          <reference field="3" count="1" selected="0">
            <x v="2"/>
          </reference>
          <reference field="4" count="1">
            <x v="251"/>
          </reference>
        </references>
      </pivotArea>
    </format>
    <format dxfId="826">
      <pivotArea dataOnly="0" labelOnly="1" outline="0" fieldPosition="0">
        <references count="5">
          <reference field="0" count="1" selected="0">
            <x v="0"/>
          </reference>
          <reference field="1" count="1" selected="0">
            <x v="804"/>
          </reference>
          <reference field="2" count="1" selected="0">
            <x v="386"/>
          </reference>
          <reference field="3" count="1" selected="0">
            <x v="2"/>
          </reference>
          <reference field="4" count="1">
            <x v="203"/>
          </reference>
        </references>
      </pivotArea>
    </format>
    <format dxfId="825">
      <pivotArea dataOnly="0" labelOnly="1" outline="0" fieldPosition="0">
        <references count="5">
          <reference field="0" count="1" selected="0">
            <x v="0"/>
          </reference>
          <reference field="1" count="1" selected="0">
            <x v="805"/>
          </reference>
          <reference field="2" count="1" selected="0">
            <x v="387"/>
          </reference>
          <reference field="3" count="1" selected="0">
            <x v="2"/>
          </reference>
          <reference field="4" count="1">
            <x v="35"/>
          </reference>
        </references>
      </pivotArea>
    </format>
    <format dxfId="824">
      <pivotArea dataOnly="0" labelOnly="1" outline="0" fieldPosition="0">
        <references count="5">
          <reference field="0" count="1" selected="0">
            <x v="0"/>
          </reference>
          <reference field="1" count="1" selected="0">
            <x v="806"/>
          </reference>
          <reference field="2" count="1" selected="0">
            <x v="387"/>
          </reference>
          <reference field="3" count="1" selected="0">
            <x v="2"/>
          </reference>
          <reference field="4" count="1">
            <x v="143"/>
          </reference>
        </references>
      </pivotArea>
    </format>
    <format dxfId="823">
      <pivotArea dataOnly="0" labelOnly="1" outline="0" fieldPosition="0">
        <references count="5">
          <reference field="0" count="1" selected="0">
            <x v="0"/>
          </reference>
          <reference field="1" count="1" selected="0">
            <x v="807"/>
          </reference>
          <reference field="2" count="1" selected="0">
            <x v="387"/>
          </reference>
          <reference field="3" count="1" selected="0">
            <x v="2"/>
          </reference>
          <reference field="4" count="1">
            <x v="181"/>
          </reference>
        </references>
      </pivotArea>
    </format>
    <format dxfId="822">
      <pivotArea dataOnly="0" labelOnly="1" outline="0" fieldPosition="0">
        <references count="5">
          <reference field="0" count="1" selected="0">
            <x v="0"/>
          </reference>
          <reference field="1" count="1" selected="0">
            <x v="808"/>
          </reference>
          <reference field="2" count="1" selected="0">
            <x v="387"/>
          </reference>
          <reference field="3" count="1" selected="0">
            <x v="2"/>
          </reference>
          <reference field="4" count="1">
            <x v="199"/>
          </reference>
        </references>
      </pivotArea>
    </format>
    <format dxfId="821">
      <pivotArea dataOnly="0" labelOnly="1" outline="0" fieldPosition="0">
        <references count="5">
          <reference field="0" count="1" selected="0">
            <x v="0"/>
          </reference>
          <reference field="1" count="1" selected="0">
            <x v="809"/>
          </reference>
          <reference field="2" count="1" selected="0">
            <x v="387"/>
          </reference>
          <reference field="3" count="1" selected="0">
            <x v="2"/>
          </reference>
          <reference field="4" count="1">
            <x v="231"/>
          </reference>
        </references>
      </pivotArea>
    </format>
    <format dxfId="820">
      <pivotArea dataOnly="0" labelOnly="1" outline="0" fieldPosition="0">
        <references count="5">
          <reference field="0" count="1" selected="0">
            <x v="0"/>
          </reference>
          <reference field="1" count="1" selected="0">
            <x v="810"/>
          </reference>
          <reference field="2" count="1" selected="0">
            <x v="387"/>
          </reference>
          <reference field="3" count="1" selected="0">
            <x v="2"/>
          </reference>
          <reference field="4" count="1">
            <x v="270"/>
          </reference>
        </references>
      </pivotArea>
    </format>
    <format dxfId="819">
      <pivotArea dataOnly="0" labelOnly="1" outline="0" fieldPosition="0">
        <references count="5">
          <reference field="0" count="1" selected="0">
            <x v="0"/>
          </reference>
          <reference field="1" count="1" selected="0">
            <x v="811"/>
          </reference>
          <reference field="2" count="1" selected="0">
            <x v="388"/>
          </reference>
          <reference field="3" count="1" selected="0">
            <x v="2"/>
          </reference>
          <reference field="4" count="1">
            <x v="45"/>
          </reference>
        </references>
      </pivotArea>
    </format>
    <format dxfId="818">
      <pivotArea dataOnly="0" labelOnly="1" outline="0" fieldPosition="0">
        <references count="5">
          <reference field="0" count="1" selected="0">
            <x v="0"/>
          </reference>
          <reference field="1" count="1" selected="0">
            <x v="812"/>
          </reference>
          <reference field="2" count="1" selected="0">
            <x v="388"/>
          </reference>
          <reference field="3" count="1" selected="0">
            <x v="2"/>
          </reference>
          <reference field="4" count="1">
            <x v="89"/>
          </reference>
        </references>
      </pivotArea>
    </format>
    <format dxfId="817">
      <pivotArea dataOnly="0" labelOnly="1" outline="0" fieldPosition="0">
        <references count="5">
          <reference field="0" count="1" selected="0">
            <x v="0"/>
          </reference>
          <reference field="1" count="1" selected="0">
            <x v="813"/>
          </reference>
          <reference field="2" count="1" selected="0">
            <x v="388"/>
          </reference>
          <reference field="3" count="1" selected="0">
            <x v="2"/>
          </reference>
          <reference field="4" count="1">
            <x v="110"/>
          </reference>
        </references>
      </pivotArea>
    </format>
    <format dxfId="816">
      <pivotArea dataOnly="0" labelOnly="1" outline="0" fieldPosition="0">
        <references count="5">
          <reference field="0" count="1" selected="0">
            <x v="0"/>
          </reference>
          <reference field="1" count="1" selected="0">
            <x v="814"/>
          </reference>
          <reference field="2" count="1" selected="0">
            <x v="388"/>
          </reference>
          <reference field="3" count="1" selected="0">
            <x v="2"/>
          </reference>
          <reference field="4" count="1">
            <x v="140"/>
          </reference>
        </references>
      </pivotArea>
    </format>
    <format dxfId="815">
      <pivotArea dataOnly="0" labelOnly="1" outline="0" fieldPosition="0">
        <references count="5">
          <reference field="0" count="1" selected="0">
            <x v="0"/>
          </reference>
          <reference field="1" count="1" selected="0">
            <x v="815"/>
          </reference>
          <reference field="2" count="1" selected="0">
            <x v="388"/>
          </reference>
          <reference field="3" count="1" selected="0">
            <x v="2"/>
          </reference>
          <reference field="4" count="1">
            <x v="142"/>
          </reference>
        </references>
      </pivotArea>
    </format>
    <format dxfId="814">
      <pivotArea dataOnly="0" labelOnly="1" outline="0" fieldPosition="0">
        <references count="5">
          <reference field="0" count="1" selected="0">
            <x v="0"/>
          </reference>
          <reference field="1" count="1" selected="0">
            <x v="816"/>
          </reference>
          <reference field="2" count="1" selected="0">
            <x v="388"/>
          </reference>
          <reference field="3" count="1" selected="0">
            <x v="2"/>
          </reference>
          <reference field="4" count="1">
            <x v="149"/>
          </reference>
        </references>
      </pivotArea>
    </format>
    <format dxfId="813">
      <pivotArea dataOnly="0" labelOnly="1" outline="0" fieldPosition="0">
        <references count="5">
          <reference field="0" count="1" selected="0">
            <x v="0"/>
          </reference>
          <reference field="1" count="1" selected="0">
            <x v="817"/>
          </reference>
          <reference field="2" count="1" selected="0">
            <x v="389"/>
          </reference>
          <reference field="3" count="1" selected="0">
            <x v="1"/>
          </reference>
          <reference field="4" count="1">
            <x v="41"/>
          </reference>
        </references>
      </pivotArea>
    </format>
    <format dxfId="812">
      <pivotArea dataOnly="0" labelOnly="1" outline="0" fieldPosition="0">
        <references count="5">
          <reference field="0" count="1" selected="0">
            <x v="0"/>
          </reference>
          <reference field="1" count="1" selected="0">
            <x v="818"/>
          </reference>
          <reference field="2" count="1" selected="0">
            <x v="389"/>
          </reference>
          <reference field="3" count="1" selected="0">
            <x v="2"/>
          </reference>
          <reference field="4" count="1">
            <x v="109"/>
          </reference>
        </references>
      </pivotArea>
    </format>
    <format dxfId="811">
      <pivotArea dataOnly="0" labelOnly="1" outline="0" fieldPosition="0">
        <references count="5">
          <reference field="0" count="1" selected="0">
            <x v="0"/>
          </reference>
          <reference field="1" count="1" selected="0">
            <x v="819"/>
          </reference>
          <reference field="2" count="1" selected="0">
            <x v="389"/>
          </reference>
          <reference field="3" count="1" selected="0">
            <x v="2"/>
          </reference>
          <reference field="4" count="1">
            <x v="110"/>
          </reference>
        </references>
      </pivotArea>
    </format>
    <format dxfId="810">
      <pivotArea dataOnly="0" labelOnly="1" outline="0" fieldPosition="0">
        <references count="5">
          <reference field="0" count="1" selected="0">
            <x v="0"/>
          </reference>
          <reference field="1" count="1" selected="0">
            <x v="820"/>
          </reference>
          <reference field="2" count="1" selected="0">
            <x v="389"/>
          </reference>
          <reference field="3" count="1" selected="0">
            <x v="2"/>
          </reference>
          <reference field="4" count="1">
            <x v="148"/>
          </reference>
        </references>
      </pivotArea>
    </format>
    <format dxfId="809">
      <pivotArea dataOnly="0" labelOnly="1" outline="0" fieldPosition="0">
        <references count="5">
          <reference field="0" count="1" selected="0">
            <x v="0"/>
          </reference>
          <reference field="1" count="1" selected="0">
            <x v="821"/>
          </reference>
          <reference field="2" count="1" selected="0">
            <x v="389"/>
          </reference>
          <reference field="3" count="1" selected="0">
            <x v="2"/>
          </reference>
          <reference field="4" count="1">
            <x v="162"/>
          </reference>
        </references>
      </pivotArea>
    </format>
    <format dxfId="808">
      <pivotArea dataOnly="0" labelOnly="1" outline="0" fieldPosition="0">
        <references count="5">
          <reference field="0" count="1" selected="0">
            <x v="0"/>
          </reference>
          <reference field="1" count="1" selected="0">
            <x v="822"/>
          </reference>
          <reference field="2" count="1" selected="0">
            <x v="389"/>
          </reference>
          <reference field="3" count="1" selected="0">
            <x v="2"/>
          </reference>
          <reference field="4" count="1">
            <x v="172"/>
          </reference>
        </references>
      </pivotArea>
    </format>
    <format dxfId="807">
      <pivotArea dataOnly="0" labelOnly="1" outline="0" fieldPosition="0">
        <references count="5">
          <reference field="0" count="1" selected="0">
            <x v="0"/>
          </reference>
          <reference field="1" count="1" selected="0">
            <x v="823"/>
          </reference>
          <reference field="2" count="1" selected="0">
            <x v="389"/>
          </reference>
          <reference field="3" count="1" selected="0">
            <x v="2"/>
          </reference>
          <reference field="4" count="1">
            <x v="189"/>
          </reference>
        </references>
      </pivotArea>
    </format>
    <format dxfId="806">
      <pivotArea dataOnly="0" labelOnly="1" outline="0" fieldPosition="0">
        <references count="5">
          <reference field="0" count="1" selected="0">
            <x v="0"/>
          </reference>
          <reference field="1" count="1" selected="0">
            <x v="824"/>
          </reference>
          <reference field="2" count="1" selected="0">
            <x v="389"/>
          </reference>
          <reference field="3" count="1" selected="0">
            <x v="1"/>
          </reference>
          <reference field="4" count="1">
            <x v="269"/>
          </reference>
        </references>
      </pivotArea>
    </format>
    <format dxfId="805">
      <pivotArea dataOnly="0" labelOnly="1" outline="0" fieldPosition="0">
        <references count="5">
          <reference field="0" count="1" selected="0">
            <x v="0"/>
          </reference>
          <reference field="1" count="1" selected="0">
            <x v="825"/>
          </reference>
          <reference field="2" count="1" selected="0">
            <x v="390"/>
          </reference>
          <reference field="3" count="1" selected="0">
            <x v="2"/>
          </reference>
          <reference field="4" count="1">
            <x v="97"/>
          </reference>
        </references>
      </pivotArea>
    </format>
    <format dxfId="804">
      <pivotArea dataOnly="0" labelOnly="1" outline="0" fieldPosition="0">
        <references count="5">
          <reference field="0" count="1" selected="0">
            <x v="0"/>
          </reference>
          <reference field="1" count="1" selected="0">
            <x v="826"/>
          </reference>
          <reference field="2" count="1" selected="0">
            <x v="390"/>
          </reference>
          <reference field="3" count="1" selected="0">
            <x v="2"/>
          </reference>
          <reference field="4" count="1">
            <x v="110"/>
          </reference>
        </references>
      </pivotArea>
    </format>
    <format dxfId="803">
      <pivotArea dataOnly="0" labelOnly="1" outline="0" fieldPosition="0">
        <references count="5">
          <reference field="0" count="1" selected="0">
            <x v="0"/>
          </reference>
          <reference field="1" count="1" selected="0">
            <x v="827"/>
          </reference>
          <reference field="2" count="1" selected="0">
            <x v="390"/>
          </reference>
          <reference field="3" count="1" selected="0">
            <x v="2"/>
          </reference>
          <reference field="4" count="1">
            <x v="193"/>
          </reference>
        </references>
      </pivotArea>
    </format>
    <format dxfId="802">
      <pivotArea dataOnly="0" labelOnly="1" outline="0" fieldPosition="0">
        <references count="5">
          <reference field="0" count="1" selected="0">
            <x v="0"/>
          </reference>
          <reference field="1" count="1" selected="0">
            <x v="828"/>
          </reference>
          <reference field="2" count="1" selected="0">
            <x v="390"/>
          </reference>
          <reference field="3" count="1" selected="0">
            <x v="2"/>
          </reference>
          <reference field="4" count="1">
            <x v="197"/>
          </reference>
        </references>
      </pivotArea>
    </format>
    <format dxfId="801">
      <pivotArea dataOnly="0" labelOnly="1" outline="0" fieldPosition="0">
        <references count="5">
          <reference field="0" count="1" selected="0">
            <x v="0"/>
          </reference>
          <reference field="1" count="1" selected="0">
            <x v="829"/>
          </reference>
          <reference field="2" count="1" selected="0">
            <x v="390"/>
          </reference>
          <reference field="3" count="1" selected="0">
            <x v="2"/>
          </reference>
          <reference field="4" count="1">
            <x v="199"/>
          </reference>
        </references>
      </pivotArea>
    </format>
    <format dxfId="800">
      <pivotArea dataOnly="0" labelOnly="1" outline="0" fieldPosition="0">
        <references count="5">
          <reference field="0" count="1" selected="0">
            <x v="0"/>
          </reference>
          <reference field="1" count="1" selected="0">
            <x v="830"/>
          </reference>
          <reference field="2" count="1" selected="0">
            <x v="390"/>
          </reference>
          <reference field="3" count="1" selected="0">
            <x v="2"/>
          </reference>
          <reference field="4" count="1">
            <x v="215"/>
          </reference>
        </references>
      </pivotArea>
    </format>
    <format dxfId="799">
      <pivotArea dataOnly="0" labelOnly="1" outline="0" fieldPosition="0">
        <references count="5">
          <reference field="0" count="1" selected="0">
            <x v="0"/>
          </reference>
          <reference field="1" count="1" selected="0">
            <x v="831"/>
          </reference>
          <reference field="2" count="1" selected="0">
            <x v="390"/>
          </reference>
          <reference field="3" count="1" selected="0">
            <x v="2"/>
          </reference>
          <reference field="4" count="1">
            <x v="238"/>
          </reference>
        </references>
      </pivotArea>
    </format>
    <format dxfId="798">
      <pivotArea dataOnly="0" labelOnly="1" outline="0" fieldPosition="0">
        <references count="5">
          <reference field="0" count="1" selected="0">
            <x v="0"/>
          </reference>
          <reference field="1" count="1" selected="0">
            <x v="832"/>
          </reference>
          <reference field="2" count="1" selected="0">
            <x v="390"/>
          </reference>
          <reference field="3" count="1" selected="0">
            <x v="2"/>
          </reference>
          <reference field="4" count="1">
            <x v="239"/>
          </reference>
        </references>
      </pivotArea>
    </format>
    <format dxfId="797">
      <pivotArea dataOnly="0" labelOnly="1" outline="0" fieldPosition="0">
        <references count="5">
          <reference field="0" count="1" selected="0">
            <x v="0"/>
          </reference>
          <reference field="1" count="1" selected="0">
            <x v="833"/>
          </reference>
          <reference field="2" count="1" selected="0">
            <x v="391"/>
          </reference>
          <reference field="3" count="1" selected="0">
            <x v="2"/>
          </reference>
          <reference field="4" count="1">
            <x v="105"/>
          </reference>
        </references>
      </pivotArea>
    </format>
    <format dxfId="796">
      <pivotArea dataOnly="0" labelOnly="1" outline="0" fieldPosition="0">
        <references count="5">
          <reference field="0" count="1" selected="0">
            <x v="0"/>
          </reference>
          <reference field="1" count="1" selected="0">
            <x v="834"/>
          </reference>
          <reference field="2" count="1" selected="0">
            <x v="391"/>
          </reference>
          <reference field="3" count="1" selected="0">
            <x v="2"/>
          </reference>
          <reference field="4" count="1">
            <x v="106"/>
          </reference>
        </references>
      </pivotArea>
    </format>
    <format dxfId="795">
      <pivotArea dataOnly="0" labelOnly="1" outline="0" fieldPosition="0">
        <references count="5">
          <reference field="0" count="1" selected="0">
            <x v="0"/>
          </reference>
          <reference field="1" count="1" selected="0">
            <x v="835"/>
          </reference>
          <reference field="2" count="1" selected="0">
            <x v="391"/>
          </reference>
          <reference field="3" count="1" selected="0">
            <x v="3"/>
          </reference>
          <reference field="4" count="1">
            <x v="120"/>
          </reference>
        </references>
      </pivotArea>
    </format>
    <format dxfId="794">
      <pivotArea dataOnly="0" labelOnly="1" outline="0" fieldPosition="0">
        <references count="5">
          <reference field="0" count="1" selected="0">
            <x v="0"/>
          </reference>
          <reference field="1" count="1" selected="0">
            <x v="836"/>
          </reference>
          <reference field="2" count="1" selected="0">
            <x v="391"/>
          </reference>
          <reference field="3" count="1" selected="0">
            <x v="2"/>
          </reference>
          <reference field="4" count="1">
            <x v="175"/>
          </reference>
        </references>
      </pivotArea>
    </format>
    <format dxfId="793">
      <pivotArea dataOnly="0" labelOnly="1" outline="0" fieldPosition="0">
        <references count="5">
          <reference field="0" count="1" selected="0">
            <x v="0"/>
          </reference>
          <reference field="1" count="1" selected="0">
            <x v="837"/>
          </reference>
          <reference field="2" count="1" selected="0">
            <x v="391"/>
          </reference>
          <reference field="3" count="1" selected="0">
            <x v="2"/>
          </reference>
          <reference field="4" count="1">
            <x v="182"/>
          </reference>
        </references>
      </pivotArea>
    </format>
    <format dxfId="792">
      <pivotArea dataOnly="0" labelOnly="1" outline="0" fieldPosition="0">
        <references count="5">
          <reference field="0" count="1" selected="0">
            <x v="0"/>
          </reference>
          <reference field="1" count="1" selected="0">
            <x v="838"/>
          </reference>
          <reference field="2" count="1" selected="0">
            <x v="391"/>
          </reference>
          <reference field="3" count="1" selected="0">
            <x v="2"/>
          </reference>
          <reference field="4" count="1">
            <x v="228"/>
          </reference>
        </references>
      </pivotArea>
    </format>
    <format dxfId="791">
      <pivotArea dataOnly="0" labelOnly="1" outline="0" fieldPosition="0">
        <references count="5">
          <reference field="0" count="1" selected="0">
            <x v="0"/>
          </reference>
          <reference field="1" count="1" selected="0">
            <x v="839"/>
          </reference>
          <reference field="2" count="1" selected="0">
            <x v="392"/>
          </reference>
          <reference field="3" count="1" selected="0">
            <x v="2"/>
          </reference>
          <reference field="4" count="1">
            <x v="33"/>
          </reference>
        </references>
      </pivotArea>
    </format>
    <format dxfId="790">
      <pivotArea dataOnly="0" labelOnly="1" outline="0" fieldPosition="0">
        <references count="5">
          <reference field="0" count="1" selected="0">
            <x v="0"/>
          </reference>
          <reference field="1" count="1" selected="0">
            <x v="840"/>
          </reference>
          <reference field="2" count="1" selected="0">
            <x v="392"/>
          </reference>
          <reference field="3" count="1" selected="0">
            <x v="2"/>
          </reference>
          <reference field="4" count="1">
            <x v="55"/>
          </reference>
        </references>
      </pivotArea>
    </format>
    <format dxfId="789">
      <pivotArea dataOnly="0" labelOnly="1" outline="0" fieldPosition="0">
        <references count="5">
          <reference field="0" count="1" selected="0">
            <x v="0"/>
          </reference>
          <reference field="1" count="1" selected="0">
            <x v="841"/>
          </reference>
          <reference field="2" count="1" selected="0">
            <x v="392"/>
          </reference>
          <reference field="3" count="1" selected="0">
            <x v="2"/>
          </reference>
          <reference field="4" count="1">
            <x v="110"/>
          </reference>
        </references>
      </pivotArea>
    </format>
    <format dxfId="788">
      <pivotArea dataOnly="0" labelOnly="1" outline="0" fieldPosition="0">
        <references count="5">
          <reference field="0" count="1" selected="0">
            <x v="0"/>
          </reference>
          <reference field="1" count="1" selected="0">
            <x v="842"/>
          </reference>
          <reference field="2" count="1" selected="0">
            <x v="392"/>
          </reference>
          <reference field="3" count="1" selected="0">
            <x v="2"/>
          </reference>
          <reference field="4" count="1">
            <x v="159"/>
          </reference>
        </references>
      </pivotArea>
    </format>
    <format dxfId="787">
      <pivotArea dataOnly="0" labelOnly="1" outline="0" fieldPosition="0">
        <references count="5">
          <reference field="0" count="1" selected="0">
            <x v="0"/>
          </reference>
          <reference field="1" count="1" selected="0">
            <x v="843"/>
          </reference>
          <reference field="2" count="1" selected="0">
            <x v="392"/>
          </reference>
          <reference field="3" count="1" selected="0">
            <x v="2"/>
          </reference>
          <reference field="4" count="1">
            <x v="182"/>
          </reference>
        </references>
      </pivotArea>
    </format>
    <format dxfId="786">
      <pivotArea dataOnly="0" labelOnly="1" outline="0" fieldPosition="0">
        <references count="5">
          <reference field="0" count="1" selected="0">
            <x v="0"/>
          </reference>
          <reference field="1" count="1" selected="0">
            <x v="844"/>
          </reference>
          <reference field="2" count="1" selected="0">
            <x v="392"/>
          </reference>
          <reference field="3" count="1" selected="0">
            <x v="2"/>
          </reference>
          <reference field="4" count="1">
            <x v="223"/>
          </reference>
        </references>
      </pivotArea>
    </format>
    <format dxfId="785">
      <pivotArea dataOnly="0" labelOnly="1" outline="0" fieldPosition="0">
        <references count="5">
          <reference field="0" count="1" selected="0">
            <x v="0"/>
          </reference>
          <reference field="1" count="1" selected="0">
            <x v="845"/>
          </reference>
          <reference field="2" count="1" selected="0">
            <x v="392"/>
          </reference>
          <reference field="3" count="1" selected="0">
            <x v="2"/>
          </reference>
          <reference field="4" count="1">
            <x v="238"/>
          </reference>
        </references>
      </pivotArea>
    </format>
    <format dxfId="784">
      <pivotArea dataOnly="0" labelOnly="1" outline="0" fieldPosition="0">
        <references count="5">
          <reference field="0" count="1" selected="0">
            <x v="0"/>
          </reference>
          <reference field="1" count="1" selected="0">
            <x v="846"/>
          </reference>
          <reference field="2" count="1" selected="0">
            <x v="392"/>
          </reference>
          <reference field="3" count="1" selected="0">
            <x v="2"/>
          </reference>
          <reference field="4" count="1">
            <x v="246"/>
          </reference>
        </references>
      </pivotArea>
    </format>
    <format dxfId="783">
      <pivotArea dataOnly="0" labelOnly="1" outline="0" fieldPosition="0">
        <references count="5">
          <reference field="0" count="1" selected="0">
            <x v="0"/>
          </reference>
          <reference field="1" count="1" selected="0">
            <x v="847"/>
          </reference>
          <reference field="2" count="1" selected="0">
            <x v="393"/>
          </reference>
          <reference field="3" count="1" selected="0">
            <x v="2"/>
          </reference>
          <reference field="4" count="1">
            <x v="52"/>
          </reference>
        </references>
      </pivotArea>
    </format>
    <format dxfId="782">
      <pivotArea dataOnly="0" labelOnly="1" outline="0" fieldPosition="0">
        <references count="5">
          <reference field="0" count="1" selected="0">
            <x v="0"/>
          </reference>
          <reference field="1" count="1" selected="0">
            <x v="848"/>
          </reference>
          <reference field="2" count="1" selected="0">
            <x v="393"/>
          </reference>
          <reference field="3" count="1" selected="0">
            <x v="2"/>
          </reference>
          <reference field="4" count="1">
            <x v="79"/>
          </reference>
        </references>
      </pivotArea>
    </format>
    <format dxfId="781">
      <pivotArea dataOnly="0" labelOnly="1" outline="0" fieldPosition="0">
        <references count="5">
          <reference field="0" count="1" selected="0">
            <x v="0"/>
          </reference>
          <reference field="1" count="1" selected="0">
            <x v="849"/>
          </reference>
          <reference field="2" count="1" selected="0">
            <x v="393"/>
          </reference>
          <reference field="3" count="1" selected="0">
            <x v="2"/>
          </reference>
          <reference field="4" count="1">
            <x v="181"/>
          </reference>
        </references>
      </pivotArea>
    </format>
    <format dxfId="780">
      <pivotArea dataOnly="0" labelOnly="1" outline="0" fieldPosition="0">
        <references count="5">
          <reference field="0" count="1" selected="0">
            <x v="0"/>
          </reference>
          <reference field="1" count="1" selected="0">
            <x v="850"/>
          </reference>
          <reference field="2" count="1" selected="0">
            <x v="393"/>
          </reference>
          <reference field="3" count="1" selected="0">
            <x v="2"/>
          </reference>
          <reference field="4" count="1">
            <x v="186"/>
          </reference>
        </references>
      </pivotArea>
    </format>
    <format dxfId="779">
      <pivotArea dataOnly="0" labelOnly="1" outline="0" fieldPosition="0">
        <references count="5">
          <reference field="0" count="1" selected="0">
            <x v="0"/>
          </reference>
          <reference field="1" count="1" selected="0">
            <x v="851"/>
          </reference>
          <reference field="2" count="1" selected="0">
            <x v="394"/>
          </reference>
          <reference field="3" count="1" selected="0">
            <x v="2"/>
          </reference>
          <reference field="4" count="1">
            <x v="42"/>
          </reference>
        </references>
      </pivotArea>
    </format>
    <format dxfId="778">
      <pivotArea dataOnly="0" labelOnly="1" outline="0" fieldPosition="0">
        <references count="5">
          <reference field="0" count="1" selected="0">
            <x v="0"/>
          </reference>
          <reference field="1" count="1" selected="0">
            <x v="852"/>
          </reference>
          <reference field="2" count="1" selected="0">
            <x v="394"/>
          </reference>
          <reference field="3" count="1" selected="0">
            <x v="2"/>
          </reference>
          <reference field="4" count="1">
            <x v="104"/>
          </reference>
        </references>
      </pivotArea>
    </format>
    <format dxfId="777">
      <pivotArea dataOnly="0" labelOnly="1" outline="0" fieldPosition="0">
        <references count="5">
          <reference field="0" count="1" selected="0">
            <x v="0"/>
          </reference>
          <reference field="1" count="1" selected="0">
            <x v="853"/>
          </reference>
          <reference field="2" count="1" selected="0">
            <x v="395"/>
          </reference>
          <reference field="3" count="1" selected="0">
            <x v="2"/>
          </reference>
          <reference field="4" count="1">
            <x v="56"/>
          </reference>
        </references>
      </pivotArea>
    </format>
    <format dxfId="776">
      <pivotArea dataOnly="0" labelOnly="1" outline="0" fieldPosition="0">
        <references count="5">
          <reference field="0" count="1" selected="0">
            <x v="0"/>
          </reference>
          <reference field="1" count="1" selected="0">
            <x v="854"/>
          </reference>
          <reference field="2" count="1" selected="0">
            <x v="395"/>
          </reference>
          <reference field="3" count="1" selected="0">
            <x v="2"/>
          </reference>
          <reference field="4" count="1">
            <x v="110"/>
          </reference>
        </references>
      </pivotArea>
    </format>
    <format dxfId="775">
      <pivotArea dataOnly="0" labelOnly="1" outline="0" fieldPosition="0">
        <references count="5">
          <reference field="0" count="1" selected="0">
            <x v="0"/>
          </reference>
          <reference field="1" count="1" selected="0">
            <x v="855"/>
          </reference>
          <reference field="2" count="1" selected="0">
            <x v="395"/>
          </reference>
          <reference field="3" count="1" selected="0">
            <x v="2"/>
          </reference>
          <reference field="4" count="1">
            <x v="148"/>
          </reference>
        </references>
      </pivotArea>
    </format>
    <format dxfId="774">
      <pivotArea dataOnly="0" labelOnly="1" outline="0" fieldPosition="0">
        <references count="5">
          <reference field="0" count="1" selected="0">
            <x v="0"/>
          </reference>
          <reference field="1" count="1" selected="0">
            <x v="856"/>
          </reference>
          <reference field="2" count="1" selected="0">
            <x v="395"/>
          </reference>
          <reference field="3" count="1" selected="0">
            <x v="2"/>
          </reference>
          <reference field="4" count="1">
            <x v="162"/>
          </reference>
        </references>
      </pivotArea>
    </format>
    <format dxfId="773">
      <pivotArea dataOnly="0" labelOnly="1" outline="0" fieldPosition="0">
        <references count="5">
          <reference field="0" count="1" selected="0">
            <x v="0"/>
          </reference>
          <reference field="1" count="1" selected="0">
            <x v="857"/>
          </reference>
          <reference field="2" count="1" selected="0">
            <x v="395"/>
          </reference>
          <reference field="3" count="1" selected="0">
            <x v="2"/>
          </reference>
          <reference field="4" count="1">
            <x v="179"/>
          </reference>
        </references>
      </pivotArea>
    </format>
    <format dxfId="772">
      <pivotArea dataOnly="0" labelOnly="1" outline="0" fieldPosition="0">
        <references count="5">
          <reference field="0" count="1" selected="0">
            <x v="0"/>
          </reference>
          <reference field="1" count="1" selected="0">
            <x v="858"/>
          </reference>
          <reference field="2" count="1" selected="0">
            <x v="395"/>
          </reference>
          <reference field="3" count="1" selected="0">
            <x v="2"/>
          </reference>
          <reference field="4" count="1">
            <x v="184"/>
          </reference>
        </references>
      </pivotArea>
    </format>
    <format dxfId="771">
      <pivotArea dataOnly="0" labelOnly="1" outline="0" fieldPosition="0">
        <references count="5">
          <reference field="0" count="1" selected="0">
            <x v="0"/>
          </reference>
          <reference field="1" count="1" selected="0">
            <x v="859"/>
          </reference>
          <reference field="2" count="1" selected="0">
            <x v="395"/>
          </reference>
          <reference field="3" count="1" selected="0">
            <x v="2"/>
          </reference>
          <reference field="4" count="1">
            <x v="214"/>
          </reference>
        </references>
      </pivotArea>
    </format>
    <format dxfId="770">
      <pivotArea dataOnly="0" labelOnly="1" outline="0" fieldPosition="0">
        <references count="5">
          <reference field="0" count="1" selected="0">
            <x v="0"/>
          </reference>
          <reference field="1" count="1" selected="0">
            <x v="860"/>
          </reference>
          <reference field="2" count="1" selected="0">
            <x v="396"/>
          </reference>
          <reference field="3" count="1" selected="0">
            <x v="2"/>
          </reference>
          <reference field="4" count="1">
            <x v="125"/>
          </reference>
        </references>
      </pivotArea>
    </format>
    <format dxfId="769">
      <pivotArea dataOnly="0" labelOnly="1" outline="0" fieldPosition="0">
        <references count="5">
          <reference field="0" count="1" selected="0">
            <x v="0"/>
          </reference>
          <reference field="1" count="1" selected="0">
            <x v="861"/>
          </reference>
          <reference field="2" count="1" selected="0">
            <x v="396"/>
          </reference>
          <reference field="3" count="1" selected="0">
            <x v="2"/>
          </reference>
          <reference field="4" count="1">
            <x v="194"/>
          </reference>
        </references>
      </pivotArea>
    </format>
    <format dxfId="768">
      <pivotArea dataOnly="0" labelOnly="1" outline="0" fieldPosition="0">
        <references count="5">
          <reference field="0" count="1" selected="0">
            <x v="0"/>
          </reference>
          <reference field="1" count="1" selected="0">
            <x v="862"/>
          </reference>
          <reference field="2" count="1" selected="0">
            <x v="396"/>
          </reference>
          <reference field="3" count="1" selected="0">
            <x v="2"/>
          </reference>
          <reference field="4" count="1">
            <x v="256"/>
          </reference>
        </references>
      </pivotArea>
    </format>
    <format dxfId="767">
      <pivotArea dataOnly="0" labelOnly="1" outline="0" fieldPosition="0">
        <references count="5">
          <reference field="0" count="1" selected="0">
            <x v="0"/>
          </reference>
          <reference field="1" count="1" selected="0">
            <x v="863"/>
          </reference>
          <reference field="2" count="1" selected="0">
            <x v="396"/>
          </reference>
          <reference field="3" count="1" selected="0">
            <x v="2"/>
          </reference>
          <reference field="4" count="1">
            <x v="260"/>
          </reference>
        </references>
      </pivotArea>
    </format>
    <format dxfId="766">
      <pivotArea dataOnly="0" labelOnly="1" outline="0" fieldPosition="0">
        <references count="5">
          <reference field="0" count="1" selected="0">
            <x v="0"/>
          </reference>
          <reference field="1" count="1" selected="0">
            <x v="864"/>
          </reference>
          <reference field="2" count="1" selected="0">
            <x v="396"/>
          </reference>
          <reference field="3" count="1" selected="0">
            <x v="2"/>
          </reference>
          <reference field="4" count="1">
            <x v="294"/>
          </reference>
        </references>
      </pivotArea>
    </format>
    <format dxfId="765">
      <pivotArea dataOnly="0" labelOnly="1" outline="0" fieldPosition="0">
        <references count="5">
          <reference field="0" count="1" selected="0">
            <x v="0"/>
          </reference>
          <reference field="1" count="1" selected="0">
            <x v="865"/>
          </reference>
          <reference field="2" count="1" selected="0">
            <x v="397"/>
          </reference>
          <reference field="3" count="1" selected="0">
            <x v="2"/>
          </reference>
          <reference field="4" count="1">
            <x v="41"/>
          </reference>
        </references>
      </pivotArea>
    </format>
    <format dxfId="764">
      <pivotArea dataOnly="0" labelOnly="1" outline="0" fieldPosition="0">
        <references count="5">
          <reference field="0" count="1" selected="0">
            <x v="0"/>
          </reference>
          <reference field="1" count="1" selected="0">
            <x v="866"/>
          </reference>
          <reference field="2" count="1" selected="0">
            <x v="397"/>
          </reference>
          <reference field="3" count="1" selected="0">
            <x v="2"/>
          </reference>
          <reference field="4" count="1">
            <x v="72"/>
          </reference>
        </references>
      </pivotArea>
    </format>
    <format dxfId="763">
      <pivotArea dataOnly="0" labelOnly="1" outline="0" fieldPosition="0">
        <references count="5">
          <reference field="0" count="1" selected="0">
            <x v="0"/>
          </reference>
          <reference field="1" count="1" selected="0">
            <x v="867"/>
          </reference>
          <reference field="2" count="1" selected="0">
            <x v="397"/>
          </reference>
          <reference field="3" count="1" selected="0">
            <x v="2"/>
          </reference>
          <reference field="4" count="1">
            <x v="105"/>
          </reference>
        </references>
      </pivotArea>
    </format>
    <format dxfId="762">
      <pivotArea dataOnly="0" labelOnly="1" outline="0" fieldPosition="0">
        <references count="5">
          <reference field="0" count="1" selected="0">
            <x v="0"/>
          </reference>
          <reference field="1" count="1" selected="0">
            <x v="868"/>
          </reference>
          <reference field="2" count="1" selected="0">
            <x v="397"/>
          </reference>
          <reference field="3" count="1" selected="0">
            <x v="2"/>
          </reference>
          <reference field="4" count="1">
            <x v="110"/>
          </reference>
        </references>
      </pivotArea>
    </format>
    <format dxfId="761">
      <pivotArea dataOnly="0" labelOnly="1" outline="0" fieldPosition="0">
        <references count="5">
          <reference field="0" count="1" selected="0">
            <x v="0"/>
          </reference>
          <reference field="1" count="1" selected="0">
            <x v="869"/>
          </reference>
          <reference field="2" count="1" selected="0">
            <x v="397"/>
          </reference>
          <reference field="3" count="1" selected="0">
            <x v="2"/>
          </reference>
          <reference field="4" count="1">
            <x v="114"/>
          </reference>
        </references>
      </pivotArea>
    </format>
    <format dxfId="760">
      <pivotArea dataOnly="0" labelOnly="1" outline="0" fieldPosition="0">
        <references count="5">
          <reference field="0" count="1" selected="0">
            <x v="0"/>
          </reference>
          <reference field="1" count="1" selected="0">
            <x v="870"/>
          </reference>
          <reference field="2" count="1" selected="0">
            <x v="397"/>
          </reference>
          <reference field="3" count="1" selected="0">
            <x v="2"/>
          </reference>
          <reference field="4" count="1">
            <x v="147"/>
          </reference>
        </references>
      </pivotArea>
    </format>
    <format dxfId="759">
      <pivotArea dataOnly="0" labelOnly="1" outline="0" fieldPosition="0">
        <references count="5">
          <reference field="0" count="1" selected="0">
            <x v="0"/>
          </reference>
          <reference field="1" count="1" selected="0">
            <x v="871"/>
          </reference>
          <reference field="2" count="1" selected="0">
            <x v="397"/>
          </reference>
          <reference field="3" count="1" selected="0">
            <x v="2"/>
          </reference>
          <reference field="4" count="1">
            <x v="158"/>
          </reference>
        </references>
      </pivotArea>
    </format>
    <format dxfId="758">
      <pivotArea dataOnly="0" labelOnly="1" outline="0" fieldPosition="0">
        <references count="5">
          <reference field="0" count="1" selected="0">
            <x v="0"/>
          </reference>
          <reference field="1" count="1" selected="0">
            <x v="872"/>
          </reference>
          <reference field="2" count="1" selected="0">
            <x v="397"/>
          </reference>
          <reference field="3" count="1" selected="0">
            <x v="2"/>
          </reference>
          <reference field="4" count="1">
            <x v="170"/>
          </reference>
        </references>
      </pivotArea>
    </format>
    <format dxfId="757">
      <pivotArea dataOnly="0" labelOnly="1" outline="0" fieldPosition="0">
        <references count="5">
          <reference field="0" count="1" selected="0">
            <x v="0"/>
          </reference>
          <reference field="1" count="1" selected="0">
            <x v="873"/>
          </reference>
          <reference field="2" count="1" selected="0">
            <x v="397"/>
          </reference>
          <reference field="3" count="1" selected="0">
            <x v="2"/>
          </reference>
          <reference field="4" count="1">
            <x v="211"/>
          </reference>
        </references>
      </pivotArea>
    </format>
    <format dxfId="756">
      <pivotArea dataOnly="0" labelOnly="1" outline="0" fieldPosition="0">
        <references count="5">
          <reference field="0" count="1" selected="0">
            <x v="0"/>
          </reference>
          <reference field="1" count="1" selected="0">
            <x v="874"/>
          </reference>
          <reference field="2" count="1" selected="0">
            <x v="397"/>
          </reference>
          <reference field="3" count="1" selected="0">
            <x v="2"/>
          </reference>
          <reference field="4" count="1">
            <x v="221"/>
          </reference>
        </references>
      </pivotArea>
    </format>
    <format dxfId="755">
      <pivotArea dataOnly="0" labelOnly="1" outline="0" fieldPosition="0">
        <references count="5">
          <reference field="0" count="1" selected="0">
            <x v="0"/>
          </reference>
          <reference field="1" count="1" selected="0">
            <x v="875"/>
          </reference>
          <reference field="2" count="1" selected="0">
            <x v="397"/>
          </reference>
          <reference field="3" count="1" selected="0">
            <x v="2"/>
          </reference>
          <reference field="4" count="1">
            <x v="268"/>
          </reference>
        </references>
      </pivotArea>
    </format>
    <format dxfId="754">
      <pivotArea dataOnly="0" labelOnly="1" outline="0" fieldPosition="0">
        <references count="5">
          <reference field="0" count="1" selected="0">
            <x v="0"/>
          </reference>
          <reference field="1" count="1" selected="0">
            <x v="876"/>
          </reference>
          <reference field="2" count="1" selected="0">
            <x v="397"/>
          </reference>
          <reference field="3" count="1" selected="0">
            <x v="2"/>
          </reference>
          <reference field="4" count="1">
            <x v="288"/>
          </reference>
        </references>
      </pivotArea>
    </format>
    <format dxfId="753">
      <pivotArea dataOnly="0" labelOnly="1" outline="0" fieldPosition="0">
        <references count="5">
          <reference field="0" count="1" selected="0">
            <x v="0"/>
          </reference>
          <reference field="1" count="1" selected="0">
            <x v="877"/>
          </reference>
          <reference field="2" count="1" selected="0">
            <x v="398"/>
          </reference>
          <reference field="3" count="1" selected="0">
            <x v="2"/>
          </reference>
          <reference field="4" count="1">
            <x v="46"/>
          </reference>
        </references>
      </pivotArea>
    </format>
    <format dxfId="752">
      <pivotArea dataOnly="0" labelOnly="1" outline="0" fieldPosition="0">
        <references count="5">
          <reference field="0" count="1" selected="0">
            <x v="0"/>
          </reference>
          <reference field="1" count="1" selected="0">
            <x v="878"/>
          </reference>
          <reference field="2" count="1" selected="0">
            <x v="398"/>
          </reference>
          <reference field="3" count="1" selected="0">
            <x v="2"/>
          </reference>
          <reference field="4" count="1">
            <x v="95"/>
          </reference>
        </references>
      </pivotArea>
    </format>
    <format dxfId="751">
      <pivotArea dataOnly="0" labelOnly="1" outline="0" fieldPosition="0">
        <references count="5">
          <reference field="0" count="1" selected="0">
            <x v="0"/>
          </reference>
          <reference field="1" count="1" selected="0">
            <x v="879"/>
          </reference>
          <reference field="2" count="1" selected="0">
            <x v="398"/>
          </reference>
          <reference field="3" count="1" selected="0">
            <x v="2"/>
          </reference>
          <reference field="4" count="1">
            <x v="104"/>
          </reference>
        </references>
      </pivotArea>
    </format>
    <format dxfId="750">
      <pivotArea dataOnly="0" labelOnly="1" outline="0" fieldPosition="0">
        <references count="5">
          <reference field="0" count="1" selected="0">
            <x v="0"/>
          </reference>
          <reference field="1" count="1" selected="0">
            <x v="880"/>
          </reference>
          <reference field="2" count="1" selected="0">
            <x v="398"/>
          </reference>
          <reference field="3" count="1" selected="0">
            <x v="2"/>
          </reference>
          <reference field="4" count="1">
            <x v="110"/>
          </reference>
        </references>
      </pivotArea>
    </format>
    <format dxfId="749">
      <pivotArea dataOnly="0" labelOnly="1" outline="0" fieldPosition="0">
        <references count="5">
          <reference field="0" count="1" selected="0">
            <x v="0"/>
          </reference>
          <reference field="1" count="1" selected="0">
            <x v="881"/>
          </reference>
          <reference field="2" count="1" selected="0">
            <x v="398"/>
          </reference>
          <reference field="3" count="1" selected="0">
            <x v="2"/>
          </reference>
          <reference field="4" count="1">
            <x v="120"/>
          </reference>
        </references>
      </pivotArea>
    </format>
    <format dxfId="748">
      <pivotArea dataOnly="0" labelOnly="1" outline="0" fieldPosition="0">
        <references count="5">
          <reference field="0" count="1" selected="0">
            <x v="0"/>
          </reference>
          <reference field="1" count="1" selected="0">
            <x v="882"/>
          </reference>
          <reference field="2" count="1" selected="0">
            <x v="398"/>
          </reference>
          <reference field="3" count="1" selected="0">
            <x v="2"/>
          </reference>
          <reference field="4" count="1">
            <x v="136"/>
          </reference>
        </references>
      </pivotArea>
    </format>
    <format dxfId="747">
      <pivotArea dataOnly="0" labelOnly="1" outline="0" fieldPosition="0">
        <references count="5">
          <reference field="0" count="1" selected="0">
            <x v="0"/>
          </reference>
          <reference field="1" count="1" selected="0">
            <x v="883"/>
          </reference>
          <reference field="2" count="1" selected="0">
            <x v="398"/>
          </reference>
          <reference field="3" count="1" selected="0">
            <x v="2"/>
          </reference>
          <reference field="4" count="1">
            <x v="165"/>
          </reference>
        </references>
      </pivotArea>
    </format>
    <format dxfId="746">
      <pivotArea dataOnly="0" labelOnly="1" outline="0" fieldPosition="0">
        <references count="5">
          <reference field="0" count="1" selected="0">
            <x v="0"/>
          </reference>
          <reference field="1" count="1" selected="0">
            <x v="884"/>
          </reference>
          <reference field="2" count="1" selected="0">
            <x v="398"/>
          </reference>
          <reference field="3" count="1" selected="0">
            <x v="2"/>
          </reference>
          <reference field="4" count="1">
            <x v="254"/>
          </reference>
        </references>
      </pivotArea>
    </format>
    <format dxfId="745">
      <pivotArea dataOnly="0" labelOnly="1" outline="0" fieldPosition="0">
        <references count="5">
          <reference field="0" count="1" selected="0">
            <x v="0"/>
          </reference>
          <reference field="1" count="1" selected="0">
            <x v="885"/>
          </reference>
          <reference field="2" count="1" selected="0">
            <x v="398"/>
          </reference>
          <reference field="3" count="1" selected="0">
            <x v="2"/>
          </reference>
          <reference field="4" count="1">
            <x v="285"/>
          </reference>
        </references>
      </pivotArea>
    </format>
    <format dxfId="744">
      <pivotArea dataOnly="0" labelOnly="1" outline="0" fieldPosition="0">
        <references count="5">
          <reference field="0" count="1" selected="0">
            <x v="0"/>
          </reference>
          <reference field="1" count="1" selected="0">
            <x v="886"/>
          </reference>
          <reference field="2" count="1" selected="0">
            <x v="399"/>
          </reference>
          <reference field="3" count="1" selected="0">
            <x v="2"/>
          </reference>
          <reference field="4" count="1">
            <x v="90"/>
          </reference>
        </references>
      </pivotArea>
    </format>
    <format dxfId="743">
      <pivotArea dataOnly="0" labelOnly="1" outline="0" fieldPosition="0">
        <references count="5">
          <reference field="0" count="1" selected="0">
            <x v="0"/>
          </reference>
          <reference field="1" count="1" selected="0">
            <x v="887"/>
          </reference>
          <reference field="2" count="1" selected="0">
            <x v="399"/>
          </reference>
          <reference field="3" count="1" selected="0">
            <x v="2"/>
          </reference>
          <reference field="4" count="1">
            <x v="142"/>
          </reference>
        </references>
      </pivotArea>
    </format>
    <format dxfId="742">
      <pivotArea dataOnly="0" labelOnly="1" outline="0" fieldPosition="0">
        <references count="5">
          <reference field="0" count="1" selected="0">
            <x v="0"/>
          </reference>
          <reference field="1" count="1" selected="0">
            <x v="888"/>
          </reference>
          <reference field="2" count="1" selected="0">
            <x v="399"/>
          </reference>
          <reference field="3" count="1" selected="0">
            <x v="2"/>
          </reference>
          <reference field="4" count="1">
            <x v="144"/>
          </reference>
        </references>
      </pivotArea>
    </format>
    <format dxfId="741">
      <pivotArea dataOnly="0" labelOnly="1" outline="0" fieldPosition="0">
        <references count="5">
          <reference field="0" count="1" selected="0">
            <x v="0"/>
          </reference>
          <reference field="1" count="1" selected="0">
            <x v="889"/>
          </reference>
          <reference field="2" count="1" selected="0">
            <x v="399"/>
          </reference>
          <reference field="3" count="1" selected="0">
            <x v="2"/>
          </reference>
          <reference field="4" count="1">
            <x v="203"/>
          </reference>
        </references>
      </pivotArea>
    </format>
    <format dxfId="740">
      <pivotArea dataOnly="0" labelOnly="1" outline="0" fieldPosition="0">
        <references count="5">
          <reference field="0" count="1" selected="0">
            <x v="0"/>
          </reference>
          <reference field="1" count="1" selected="0">
            <x v="890"/>
          </reference>
          <reference field="2" count="1" selected="0">
            <x v="399"/>
          </reference>
          <reference field="3" count="1" selected="0">
            <x v="2"/>
          </reference>
          <reference field="4" count="1">
            <x v="224"/>
          </reference>
        </references>
      </pivotArea>
    </format>
    <format dxfId="739">
      <pivotArea dataOnly="0" labelOnly="1" outline="0" fieldPosition="0">
        <references count="5">
          <reference field="0" count="1" selected="0">
            <x v="0"/>
          </reference>
          <reference field="1" count="1" selected="0">
            <x v="891"/>
          </reference>
          <reference field="2" count="1" selected="0">
            <x v="399"/>
          </reference>
          <reference field="3" count="1" selected="0">
            <x v="2"/>
          </reference>
          <reference field="4" count="1">
            <x v="240"/>
          </reference>
        </references>
      </pivotArea>
    </format>
    <format dxfId="738">
      <pivotArea dataOnly="0" labelOnly="1" outline="0" fieldPosition="0">
        <references count="5">
          <reference field="0" count="1" selected="0">
            <x v="0"/>
          </reference>
          <reference field="1" count="1" selected="0">
            <x v="892"/>
          </reference>
          <reference field="2" count="1" selected="0">
            <x v="399"/>
          </reference>
          <reference field="3" count="1" selected="0">
            <x v="2"/>
          </reference>
          <reference field="4" count="1">
            <x v="247"/>
          </reference>
        </references>
      </pivotArea>
    </format>
    <format dxfId="737">
      <pivotArea dataOnly="0" labelOnly="1" outline="0" fieldPosition="0">
        <references count="5">
          <reference field="0" count="1" selected="0">
            <x v="0"/>
          </reference>
          <reference field="1" count="1" selected="0">
            <x v="893"/>
          </reference>
          <reference field="2" count="1" selected="0">
            <x v="399"/>
          </reference>
          <reference field="3" count="1" selected="0">
            <x v="2"/>
          </reference>
          <reference field="4" count="1">
            <x v="265"/>
          </reference>
        </references>
      </pivotArea>
    </format>
    <format dxfId="736">
      <pivotArea dataOnly="0" labelOnly="1" outline="0" fieldPosition="0">
        <references count="5">
          <reference field="0" count="1" selected="0">
            <x v="0"/>
          </reference>
          <reference field="1" count="1" selected="0">
            <x v="894"/>
          </reference>
          <reference field="2" count="1" selected="0">
            <x v="399"/>
          </reference>
          <reference field="3" count="1" selected="0">
            <x v="2"/>
          </reference>
          <reference field="4" count="1">
            <x v="273"/>
          </reference>
        </references>
      </pivotArea>
    </format>
    <format dxfId="735">
      <pivotArea dataOnly="0" labelOnly="1" outline="0" fieldPosition="0">
        <references count="5">
          <reference field="0" count="1" selected="0">
            <x v="0"/>
          </reference>
          <reference field="1" count="1" selected="0">
            <x v="895"/>
          </reference>
          <reference field="2" count="1" selected="0">
            <x v="400"/>
          </reference>
          <reference field="3" count="1" selected="0">
            <x v="2"/>
          </reference>
          <reference field="4" count="1">
            <x v="70"/>
          </reference>
        </references>
      </pivotArea>
    </format>
    <format dxfId="734">
      <pivotArea dataOnly="0" labelOnly="1" outline="0" fieldPosition="0">
        <references count="5">
          <reference field="0" count="1" selected="0">
            <x v="0"/>
          </reference>
          <reference field="1" count="1" selected="0">
            <x v="896"/>
          </reference>
          <reference field="2" count="1" selected="0">
            <x v="400"/>
          </reference>
          <reference field="3" count="1" selected="0">
            <x v="2"/>
          </reference>
          <reference field="4" count="1">
            <x v="72"/>
          </reference>
        </references>
      </pivotArea>
    </format>
    <format dxfId="733">
      <pivotArea dataOnly="0" labelOnly="1" outline="0" fieldPosition="0">
        <references count="5">
          <reference field="0" count="1" selected="0">
            <x v="0"/>
          </reference>
          <reference field="1" count="1" selected="0">
            <x v="897"/>
          </reference>
          <reference field="2" count="1" selected="0">
            <x v="400"/>
          </reference>
          <reference field="3" count="1" selected="0">
            <x v="2"/>
          </reference>
          <reference field="4" count="1">
            <x v="79"/>
          </reference>
        </references>
      </pivotArea>
    </format>
    <format dxfId="732">
      <pivotArea dataOnly="0" labelOnly="1" outline="0" fieldPosition="0">
        <references count="5">
          <reference field="0" count="1" selected="0">
            <x v="0"/>
          </reference>
          <reference field="1" count="1" selected="0">
            <x v="898"/>
          </reference>
          <reference field="2" count="1" selected="0">
            <x v="400"/>
          </reference>
          <reference field="3" count="1" selected="0">
            <x v="2"/>
          </reference>
          <reference field="4" count="1">
            <x v="181"/>
          </reference>
        </references>
      </pivotArea>
    </format>
    <format dxfId="731">
      <pivotArea dataOnly="0" labelOnly="1" outline="0" fieldPosition="0">
        <references count="5">
          <reference field="0" count="1" selected="0">
            <x v="0"/>
          </reference>
          <reference field="1" count="1" selected="0">
            <x v="899"/>
          </reference>
          <reference field="2" count="1" selected="0">
            <x v="400"/>
          </reference>
          <reference field="3" count="1" selected="0">
            <x v="2"/>
          </reference>
          <reference field="4" count="1">
            <x v="186"/>
          </reference>
        </references>
      </pivotArea>
    </format>
    <format dxfId="730">
      <pivotArea dataOnly="0" labelOnly="1" outline="0" fieldPosition="0">
        <references count="5">
          <reference field="0" count="1" selected="0">
            <x v="0"/>
          </reference>
          <reference field="1" count="1" selected="0">
            <x v="900"/>
          </reference>
          <reference field="2" count="1" selected="0">
            <x v="400"/>
          </reference>
          <reference field="3" count="1" selected="0">
            <x v="2"/>
          </reference>
          <reference field="4" count="1">
            <x v="234"/>
          </reference>
        </references>
      </pivotArea>
    </format>
    <format dxfId="729">
      <pivotArea dataOnly="0" labelOnly="1" outline="0" fieldPosition="0">
        <references count="5">
          <reference field="0" count="1" selected="0">
            <x v="0"/>
          </reference>
          <reference field="1" count="1" selected="0">
            <x v="901"/>
          </reference>
          <reference field="2" count="1" selected="0">
            <x v="401"/>
          </reference>
          <reference field="3" count="1" selected="0">
            <x v="2"/>
          </reference>
          <reference field="4" count="1">
            <x v="44"/>
          </reference>
        </references>
      </pivotArea>
    </format>
    <format dxfId="728">
      <pivotArea dataOnly="0" labelOnly="1" outline="0" fieldPosition="0">
        <references count="5">
          <reference field="0" count="1" selected="0">
            <x v="0"/>
          </reference>
          <reference field="1" count="1" selected="0">
            <x v="902"/>
          </reference>
          <reference field="2" count="1" selected="0">
            <x v="401"/>
          </reference>
          <reference field="3" count="1" selected="0">
            <x v="2"/>
          </reference>
          <reference field="4" count="1">
            <x v="79"/>
          </reference>
        </references>
      </pivotArea>
    </format>
    <format dxfId="727">
      <pivotArea dataOnly="0" labelOnly="1" outline="0" fieldPosition="0">
        <references count="5">
          <reference field="0" count="1" selected="0">
            <x v="0"/>
          </reference>
          <reference field="1" count="1" selected="0">
            <x v="903"/>
          </reference>
          <reference field="2" count="1" selected="0">
            <x v="401"/>
          </reference>
          <reference field="3" count="1" selected="0">
            <x v="2"/>
          </reference>
          <reference field="4" count="1">
            <x v="110"/>
          </reference>
        </references>
      </pivotArea>
    </format>
    <format dxfId="726">
      <pivotArea dataOnly="0" labelOnly="1" outline="0" fieldPosition="0">
        <references count="5">
          <reference field="0" count="1" selected="0">
            <x v="0"/>
          </reference>
          <reference field="1" count="1" selected="0">
            <x v="904"/>
          </reference>
          <reference field="2" count="1" selected="0">
            <x v="401"/>
          </reference>
          <reference field="3" count="1" selected="0">
            <x v="2"/>
          </reference>
          <reference field="4" count="1">
            <x v="168"/>
          </reference>
        </references>
      </pivotArea>
    </format>
    <format dxfId="725">
      <pivotArea dataOnly="0" labelOnly="1" outline="0" fieldPosition="0">
        <references count="5">
          <reference field="0" count="1" selected="0">
            <x v="0"/>
          </reference>
          <reference field="1" count="1" selected="0">
            <x v="905"/>
          </reference>
          <reference field="2" count="1" selected="0">
            <x v="401"/>
          </reference>
          <reference field="3" count="1" selected="0">
            <x v="2"/>
          </reference>
          <reference field="4" count="1">
            <x v="183"/>
          </reference>
        </references>
      </pivotArea>
    </format>
    <format dxfId="724">
      <pivotArea dataOnly="0" labelOnly="1" outline="0" fieldPosition="0">
        <references count="5">
          <reference field="0" count="1" selected="0">
            <x v="0"/>
          </reference>
          <reference field="1" count="1" selected="0">
            <x v="906"/>
          </reference>
          <reference field="2" count="1" selected="0">
            <x v="401"/>
          </reference>
          <reference field="3" count="1" selected="0">
            <x v="2"/>
          </reference>
          <reference field="4" count="1">
            <x v="286"/>
          </reference>
        </references>
      </pivotArea>
    </format>
    <format dxfId="723">
      <pivotArea dataOnly="0" labelOnly="1" outline="0" fieldPosition="0">
        <references count="5">
          <reference field="0" count="1" selected="0">
            <x v="0"/>
          </reference>
          <reference field="1" count="1" selected="0">
            <x v="907"/>
          </reference>
          <reference field="2" count="1" selected="0">
            <x v="402"/>
          </reference>
          <reference field="3" count="1" selected="0">
            <x v="2"/>
          </reference>
          <reference field="4" count="1">
            <x v="35"/>
          </reference>
        </references>
      </pivotArea>
    </format>
    <format dxfId="722">
      <pivotArea dataOnly="0" labelOnly="1" outline="0" fieldPosition="0">
        <references count="5">
          <reference field="0" count="1" selected="0">
            <x v="0"/>
          </reference>
          <reference field="1" count="1" selected="0">
            <x v="908"/>
          </reference>
          <reference field="2" count="1" selected="0">
            <x v="402"/>
          </reference>
          <reference field="3" count="1" selected="0">
            <x v="2"/>
          </reference>
          <reference field="4" count="1">
            <x v="70"/>
          </reference>
        </references>
      </pivotArea>
    </format>
    <format dxfId="721">
      <pivotArea dataOnly="0" labelOnly="1" outline="0" fieldPosition="0">
        <references count="5">
          <reference field="0" count="1" selected="0">
            <x v="0"/>
          </reference>
          <reference field="1" count="1" selected="0">
            <x v="909"/>
          </reference>
          <reference field="2" count="1" selected="0">
            <x v="402"/>
          </reference>
          <reference field="3" count="1" selected="0">
            <x v="2"/>
          </reference>
          <reference field="4" count="1">
            <x v="107"/>
          </reference>
        </references>
      </pivotArea>
    </format>
    <format dxfId="720">
      <pivotArea dataOnly="0" labelOnly="1" outline="0" fieldPosition="0">
        <references count="5">
          <reference field="0" count="1" selected="0">
            <x v="0"/>
          </reference>
          <reference field="1" count="1" selected="0">
            <x v="910"/>
          </reference>
          <reference field="2" count="1" selected="0">
            <x v="402"/>
          </reference>
          <reference field="3" count="1" selected="0">
            <x v="2"/>
          </reference>
          <reference field="4" count="1">
            <x v="110"/>
          </reference>
        </references>
      </pivotArea>
    </format>
    <format dxfId="719">
      <pivotArea dataOnly="0" labelOnly="1" outline="0" fieldPosition="0">
        <references count="5">
          <reference field="0" count="1" selected="0">
            <x v="0"/>
          </reference>
          <reference field="1" count="1" selected="0">
            <x v="911"/>
          </reference>
          <reference field="2" count="1" selected="0">
            <x v="402"/>
          </reference>
          <reference field="3" count="1" selected="0">
            <x v="2"/>
          </reference>
          <reference field="4" count="1">
            <x v="130"/>
          </reference>
        </references>
      </pivotArea>
    </format>
    <format dxfId="718">
      <pivotArea dataOnly="0" labelOnly="1" outline="0" fieldPosition="0">
        <references count="5">
          <reference field="0" count="1" selected="0">
            <x v="0"/>
          </reference>
          <reference field="1" count="1" selected="0">
            <x v="912"/>
          </reference>
          <reference field="2" count="1" selected="0">
            <x v="402"/>
          </reference>
          <reference field="3" count="1" selected="0">
            <x v="2"/>
          </reference>
          <reference field="4" count="1">
            <x v="242"/>
          </reference>
        </references>
      </pivotArea>
    </format>
    <format dxfId="717">
      <pivotArea dataOnly="0" labelOnly="1" outline="0" fieldPosition="0">
        <references count="5">
          <reference field="0" count="1" selected="0">
            <x v="0"/>
          </reference>
          <reference field="1" count="1" selected="0">
            <x v="913"/>
          </reference>
          <reference field="2" count="1" selected="0">
            <x v="403"/>
          </reference>
          <reference field="3" count="1" selected="0">
            <x v="2"/>
          </reference>
          <reference field="4" count="1">
            <x v="35"/>
          </reference>
        </references>
      </pivotArea>
    </format>
    <format dxfId="716">
      <pivotArea dataOnly="0" labelOnly="1" outline="0" fieldPosition="0">
        <references count="5">
          <reference field="0" count="1" selected="0">
            <x v="0"/>
          </reference>
          <reference field="1" count="1" selected="0">
            <x v="914"/>
          </reference>
          <reference field="2" count="1" selected="0">
            <x v="403"/>
          </reference>
          <reference field="3" count="1" selected="0">
            <x v="2"/>
          </reference>
          <reference field="4" count="1">
            <x v="45"/>
          </reference>
        </references>
      </pivotArea>
    </format>
    <format dxfId="715">
      <pivotArea dataOnly="0" labelOnly="1" outline="0" fieldPosition="0">
        <references count="5">
          <reference field="0" count="1" selected="0">
            <x v="0"/>
          </reference>
          <reference field="1" count="1" selected="0">
            <x v="915"/>
          </reference>
          <reference field="2" count="1" selected="0">
            <x v="403"/>
          </reference>
          <reference field="3" count="1" selected="0">
            <x v="2"/>
          </reference>
          <reference field="4" count="1">
            <x v="107"/>
          </reference>
        </references>
      </pivotArea>
    </format>
    <format dxfId="714">
      <pivotArea dataOnly="0" labelOnly="1" outline="0" fieldPosition="0">
        <references count="5">
          <reference field="0" count="1" selected="0">
            <x v="0"/>
          </reference>
          <reference field="1" count="1" selected="0">
            <x v="916"/>
          </reference>
          <reference field="2" count="1" selected="0">
            <x v="403"/>
          </reference>
          <reference field="3" count="1" selected="0">
            <x v="2"/>
          </reference>
          <reference field="4" count="1">
            <x v="109"/>
          </reference>
        </references>
      </pivotArea>
    </format>
    <format dxfId="713">
      <pivotArea dataOnly="0" labelOnly="1" outline="0" fieldPosition="0">
        <references count="5">
          <reference field="0" count="1" selected="0">
            <x v="0"/>
          </reference>
          <reference field="1" count="1" selected="0">
            <x v="917"/>
          </reference>
          <reference field="2" count="1" selected="0">
            <x v="403"/>
          </reference>
          <reference field="3" count="1" selected="0">
            <x v="2"/>
          </reference>
          <reference field="4" count="1">
            <x v="110"/>
          </reference>
        </references>
      </pivotArea>
    </format>
    <format dxfId="712">
      <pivotArea dataOnly="0" labelOnly="1" outline="0" fieldPosition="0">
        <references count="5">
          <reference field="0" count="1" selected="0">
            <x v="0"/>
          </reference>
          <reference field="1" count="1" selected="0">
            <x v="918"/>
          </reference>
          <reference field="2" count="1" selected="0">
            <x v="403"/>
          </reference>
          <reference field="3" count="1" selected="0">
            <x v="2"/>
          </reference>
          <reference field="4" count="1">
            <x v="115"/>
          </reference>
        </references>
      </pivotArea>
    </format>
    <format dxfId="711">
      <pivotArea dataOnly="0" labelOnly="1" outline="0" fieldPosition="0">
        <references count="5">
          <reference field="0" count="1" selected="0">
            <x v="0"/>
          </reference>
          <reference field="1" count="1" selected="0">
            <x v="919"/>
          </reference>
          <reference field="2" count="1" selected="0">
            <x v="403"/>
          </reference>
          <reference field="3" count="1" selected="0">
            <x v="2"/>
          </reference>
          <reference field="4" count="1">
            <x v="133"/>
          </reference>
        </references>
      </pivotArea>
    </format>
    <format dxfId="710">
      <pivotArea dataOnly="0" labelOnly="1" outline="0" fieldPosition="0">
        <references count="5">
          <reference field="0" count="1" selected="0">
            <x v="0"/>
          </reference>
          <reference field="1" count="1" selected="0">
            <x v="920"/>
          </reference>
          <reference field="2" count="1" selected="0">
            <x v="403"/>
          </reference>
          <reference field="3" count="1" selected="0">
            <x v="2"/>
          </reference>
          <reference field="4" count="1">
            <x v="154"/>
          </reference>
        </references>
      </pivotArea>
    </format>
    <format dxfId="709">
      <pivotArea dataOnly="0" labelOnly="1" outline="0" fieldPosition="0">
        <references count="5">
          <reference field="0" count="1" selected="0">
            <x v="0"/>
          </reference>
          <reference field="1" count="1" selected="0">
            <x v="921"/>
          </reference>
          <reference field="2" count="1" selected="0">
            <x v="403"/>
          </reference>
          <reference field="3" count="1" selected="0">
            <x v="2"/>
          </reference>
          <reference field="4" count="1">
            <x v="172"/>
          </reference>
        </references>
      </pivotArea>
    </format>
    <format dxfId="708">
      <pivotArea dataOnly="0" labelOnly="1" outline="0" fieldPosition="0">
        <references count="5">
          <reference field="0" count="1" selected="0">
            <x v="0"/>
          </reference>
          <reference field="1" count="1" selected="0">
            <x v="922"/>
          </reference>
          <reference field="2" count="1" selected="0">
            <x v="403"/>
          </reference>
          <reference field="3" count="1" selected="0">
            <x v="2"/>
          </reference>
          <reference field="4" count="1">
            <x v="205"/>
          </reference>
        </references>
      </pivotArea>
    </format>
    <format dxfId="707">
      <pivotArea dataOnly="0" labelOnly="1" outline="0" fieldPosition="0">
        <references count="5">
          <reference field="0" count="1" selected="0">
            <x v="0"/>
          </reference>
          <reference field="1" count="1" selected="0">
            <x v="923"/>
          </reference>
          <reference field="2" count="1" selected="0">
            <x v="404"/>
          </reference>
          <reference field="3" count="1" selected="0">
            <x v="2"/>
          </reference>
          <reference field="4" count="1">
            <x v="21"/>
          </reference>
        </references>
      </pivotArea>
    </format>
    <format dxfId="706">
      <pivotArea dataOnly="0" labelOnly="1" outline="0" fieldPosition="0">
        <references count="5">
          <reference field="0" count="1" selected="0">
            <x v="0"/>
          </reference>
          <reference field="1" count="1" selected="0">
            <x v="924"/>
          </reference>
          <reference field="2" count="1" selected="0">
            <x v="404"/>
          </reference>
          <reference field="3" count="1" selected="0">
            <x v="2"/>
          </reference>
          <reference field="4" count="1">
            <x v="50"/>
          </reference>
        </references>
      </pivotArea>
    </format>
    <format dxfId="705">
      <pivotArea dataOnly="0" labelOnly="1" outline="0" fieldPosition="0">
        <references count="5">
          <reference field="0" count="1" selected="0">
            <x v="0"/>
          </reference>
          <reference field="1" count="1" selected="0">
            <x v="925"/>
          </reference>
          <reference field="2" count="1" selected="0">
            <x v="404"/>
          </reference>
          <reference field="3" count="1" selected="0">
            <x v="2"/>
          </reference>
          <reference field="4" count="1">
            <x v="80"/>
          </reference>
        </references>
      </pivotArea>
    </format>
    <format dxfId="704">
      <pivotArea dataOnly="0" labelOnly="1" outline="0" fieldPosition="0">
        <references count="5">
          <reference field="0" count="1" selected="0">
            <x v="0"/>
          </reference>
          <reference field="1" count="1" selected="0">
            <x v="926"/>
          </reference>
          <reference field="2" count="1" selected="0">
            <x v="404"/>
          </reference>
          <reference field="3" count="1" selected="0">
            <x v="2"/>
          </reference>
          <reference field="4" count="1">
            <x v="147"/>
          </reference>
        </references>
      </pivotArea>
    </format>
    <format dxfId="703">
      <pivotArea dataOnly="0" labelOnly="1" outline="0" fieldPosition="0">
        <references count="5">
          <reference field="0" count="1" selected="0">
            <x v="0"/>
          </reference>
          <reference field="1" count="1" selected="0">
            <x v="927"/>
          </reference>
          <reference field="2" count="1" selected="0">
            <x v="404"/>
          </reference>
          <reference field="3" count="1" selected="0">
            <x v="2"/>
          </reference>
          <reference field="4" count="1">
            <x v="165"/>
          </reference>
        </references>
      </pivotArea>
    </format>
    <format dxfId="702">
      <pivotArea dataOnly="0" labelOnly="1" outline="0" fieldPosition="0">
        <references count="5">
          <reference field="0" count="1" selected="0">
            <x v="0"/>
          </reference>
          <reference field="1" count="1" selected="0">
            <x v="928"/>
          </reference>
          <reference field="2" count="1" selected="0">
            <x v="404"/>
          </reference>
          <reference field="3" count="1" selected="0">
            <x v="2"/>
          </reference>
          <reference field="4" count="1">
            <x v="217"/>
          </reference>
        </references>
      </pivotArea>
    </format>
    <format dxfId="701">
      <pivotArea dataOnly="0" labelOnly="1" outline="0" fieldPosition="0">
        <references count="5">
          <reference field="0" count="1" selected="0">
            <x v="0"/>
          </reference>
          <reference field="1" count="1" selected="0">
            <x v="929"/>
          </reference>
          <reference field="2" count="1" selected="0">
            <x v="404"/>
          </reference>
          <reference field="3" count="1" selected="0">
            <x v="2"/>
          </reference>
          <reference field="4" count="1">
            <x v="241"/>
          </reference>
        </references>
      </pivotArea>
    </format>
    <format dxfId="700">
      <pivotArea dataOnly="0" labelOnly="1" outline="0" fieldPosition="0">
        <references count="5">
          <reference field="0" count="1" selected="0">
            <x v="0"/>
          </reference>
          <reference field="1" count="1" selected="0">
            <x v="930"/>
          </reference>
          <reference field="2" count="1" selected="0">
            <x v="404"/>
          </reference>
          <reference field="3" count="1" selected="0">
            <x v="2"/>
          </reference>
          <reference field="4" count="1">
            <x v="290"/>
          </reference>
        </references>
      </pivotArea>
    </format>
    <format dxfId="699">
      <pivotArea dataOnly="0" labelOnly="1" outline="0" fieldPosition="0">
        <references count="5">
          <reference field="0" count="1" selected="0">
            <x v="0"/>
          </reference>
          <reference field="1" count="1" selected="0">
            <x v="931"/>
          </reference>
          <reference field="2" count="1" selected="0">
            <x v="405"/>
          </reference>
          <reference field="3" count="1" selected="0">
            <x v="2"/>
          </reference>
          <reference field="4" count="1">
            <x v="70"/>
          </reference>
        </references>
      </pivotArea>
    </format>
    <format dxfId="698">
      <pivotArea dataOnly="0" labelOnly="1" outline="0" fieldPosition="0">
        <references count="5">
          <reference field="0" count="1" selected="0">
            <x v="0"/>
          </reference>
          <reference field="1" count="1" selected="0">
            <x v="932"/>
          </reference>
          <reference field="2" count="1" selected="0">
            <x v="405"/>
          </reference>
          <reference field="3" count="1" selected="0">
            <x v="2"/>
          </reference>
          <reference field="4" count="1">
            <x v="73"/>
          </reference>
        </references>
      </pivotArea>
    </format>
    <format dxfId="697">
      <pivotArea dataOnly="0" labelOnly="1" outline="0" fieldPosition="0">
        <references count="5">
          <reference field="0" count="1" selected="0">
            <x v="0"/>
          </reference>
          <reference field="1" count="1" selected="0">
            <x v="933"/>
          </reference>
          <reference field="2" count="1" selected="0">
            <x v="405"/>
          </reference>
          <reference field="3" count="1" selected="0">
            <x v="2"/>
          </reference>
          <reference field="4" count="1">
            <x v="80"/>
          </reference>
        </references>
      </pivotArea>
    </format>
    <format dxfId="696">
      <pivotArea dataOnly="0" labelOnly="1" outline="0" fieldPosition="0">
        <references count="5">
          <reference field="0" count="1" selected="0">
            <x v="0"/>
          </reference>
          <reference field="1" count="1" selected="0">
            <x v="934"/>
          </reference>
          <reference field="2" count="1" selected="0">
            <x v="405"/>
          </reference>
          <reference field="3" count="1" selected="0">
            <x v="2"/>
          </reference>
          <reference field="4" count="1">
            <x v="115"/>
          </reference>
        </references>
      </pivotArea>
    </format>
    <format dxfId="695">
      <pivotArea dataOnly="0" labelOnly="1" outline="0" fieldPosition="0">
        <references count="5">
          <reference field="0" count="1" selected="0">
            <x v="0"/>
          </reference>
          <reference field="1" count="1" selected="0">
            <x v="935"/>
          </reference>
          <reference field="2" count="1" selected="0">
            <x v="405"/>
          </reference>
          <reference field="3" count="1" selected="0">
            <x v="2"/>
          </reference>
          <reference field="4" count="1">
            <x v="204"/>
          </reference>
        </references>
      </pivotArea>
    </format>
    <format dxfId="694">
      <pivotArea dataOnly="0" labelOnly="1" outline="0" fieldPosition="0">
        <references count="5">
          <reference field="0" count="1" selected="0">
            <x v="0"/>
          </reference>
          <reference field="1" count="1" selected="0">
            <x v="936"/>
          </reference>
          <reference field="2" count="1" selected="0">
            <x v="405"/>
          </reference>
          <reference field="3" count="1" selected="0">
            <x v="2"/>
          </reference>
          <reference field="4" count="1">
            <x v="210"/>
          </reference>
        </references>
      </pivotArea>
    </format>
    <format dxfId="693">
      <pivotArea dataOnly="0" labelOnly="1" outline="0" fieldPosition="0">
        <references count="5">
          <reference field="0" count="1" selected="0">
            <x v="0"/>
          </reference>
          <reference field="1" count="1" selected="0">
            <x v="937"/>
          </reference>
          <reference field="2" count="1" selected="0">
            <x v="405"/>
          </reference>
          <reference field="3" count="1" selected="0">
            <x v="2"/>
          </reference>
          <reference field="4" count="1">
            <x v="217"/>
          </reference>
        </references>
      </pivotArea>
    </format>
    <format dxfId="692">
      <pivotArea dataOnly="0" labelOnly="1" outline="0" fieldPosition="0">
        <references count="5">
          <reference field="0" count="1" selected="0">
            <x v="0"/>
          </reference>
          <reference field="1" count="1" selected="0">
            <x v="938"/>
          </reference>
          <reference field="2" count="1" selected="0">
            <x v="405"/>
          </reference>
          <reference field="3" count="1" selected="0">
            <x v="2"/>
          </reference>
          <reference field="4" count="1">
            <x v="225"/>
          </reference>
        </references>
      </pivotArea>
    </format>
    <format dxfId="691">
      <pivotArea dataOnly="0" labelOnly="1" outline="0" fieldPosition="0">
        <references count="5">
          <reference field="0" count="1" selected="0">
            <x v="0"/>
          </reference>
          <reference field="1" count="1" selected="0">
            <x v="939"/>
          </reference>
          <reference field="2" count="1" selected="0">
            <x v="405"/>
          </reference>
          <reference field="3" count="1" selected="0">
            <x v="2"/>
          </reference>
          <reference field="4" count="1">
            <x v="254"/>
          </reference>
        </references>
      </pivotArea>
    </format>
    <format dxfId="690">
      <pivotArea dataOnly="0" labelOnly="1" outline="0" fieldPosition="0">
        <references count="5">
          <reference field="0" count="1" selected="0">
            <x v="0"/>
          </reference>
          <reference field="1" count="1" selected="0">
            <x v="940"/>
          </reference>
          <reference field="2" count="1" selected="0">
            <x v="405"/>
          </reference>
          <reference field="3" count="1" selected="0">
            <x v="2"/>
          </reference>
          <reference field="4" count="1">
            <x v="282"/>
          </reference>
        </references>
      </pivotArea>
    </format>
    <format dxfId="689">
      <pivotArea dataOnly="0" labelOnly="1" outline="0" fieldPosition="0">
        <references count="5">
          <reference field="0" count="1" selected="0">
            <x v="0"/>
          </reference>
          <reference field="1" count="1" selected="0">
            <x v="941"/>
          </reference>
          <reference field="2" count="1" selected="0">
            <x v="406"/>
          </reference>
          <reference field="3" count="1" selected="0">
            <x v="2"/>
          </reference>
          <reference field="4" count="1">
            <x v="70"/>
          </reference>
        </references>
      </pivotArea>
    </format>
    <format dxfId="688">
      <pivotArea dataOnly="0" labelOnly="1" outline="0" fieldPosition="0">
        <references count="5">
          <reference field="0" count="1" selected="0">
            <x v="0"/>
          </reference>
          <reference field="1" count="1" selected="0">
            <x v="942"/>
          </reference>
          <reference field="2" count="1" selected="0">
            <x v="406"/>
          </reference>
          <reference field="3" count="1" selected="0">
            <x v="2"/>
          </reference>
          <reference field="4" count="1">
            <x v="108"/>
          </reference>
        </references>
      </pivotArea>
    </format>
    <format dxfId="687">
      <pivotArea dataOnly="0" labelOnly="1" outline="0" fieldPosition="0">
        <references count="5">
          <reference field="0" count="1" selected="0">
            <x v="0"/>
          </reference>
          <reference field="1" count="1" selected="0">
            <x v="943"/>
          </reference>
          <reference field="2" count="1" selected="0">
            <x v="406"/>
          </reference>
          <reference field="3" count="1" selected="0">
            <x v="2"/>
          </reference>
          <reference field="4" count="1">
            <x v="181"/>
          </reference>
        </references>
      </pivotArea>
    </format>
    <format dxfId="686">
      <pivotArea dataOnly="0" labelOnly="1" outline="0" fieldPosition="0">
        <references count="5">
          <reference field="0" count="1" selected="0">
            <x v="0"/>
          </reference>
          <reference field="1" count="1" selected="0">
            <x v="944"/>
          </reference>
          <reference field="2" count="1" selected="0">
            <x v="406"/>
          </reference>
          <reference field="3" count="1" selected="0">
            <x v="2"/>
          </reference>
          <reference field="4" count="1">
            <x v="199"/>
          </reference>
        </references>
      </pivotArea>
    </format>
    <format dxfId="685">
      <pivotArea dataOnly="0" labelOnly="1" outline="0" fieldPosition="0">
        <references count="5">
          <reference field="0" count="1" selected="0">
            <x v="0"/>
          </reference>
          <reference field="1" count="1" selected="0">
            <x v="945"/>
          </reference>
          <reference field="2" count="1" selected="0">
            <x v="406"/>
          </reference>
          <reference field="3" count="1" selected="0">
            <x v="2"/>
          </reference>
          <reference field="4" count="1">
            <x v="233"/>
          </reference>
        </references>
      </pivotArea>
    </format>
    <format dxfId="684">
      <pivotArea dataOnly="0" labelOnly="1" outline="0" fieldPosition="0">
        <references count="5">
          <reference field="0" count="1" selected="0">
            <x v="0"/>
          </reference>
          <reference field="1" count="1" selected="0">
            <x v="946"/>
          </reference>
          <reference field="2" count="1" selected="0">
            <x v="406"/>
          </reference>
          <reference field="3" count="1" selected="0">
            <x v="2"/>
          </reference>
          <reference field="4" count="1">
            <x v="247"/>
          </reference>
        </references>
      </pivotArea>
    </format>
    <format dxfId="683">
      <pivotArea dataOnly="0" labelOnly="1" outline="0" fieldPosition="0">
        <references count="5">
          <reference field="0" count="1" selected="0">
            <x v="0"/>
          </reference>
          <reference field="1" count="1" selected="0">
            <x v="947"/>
          </reference>
          <reference field="2" count="1" selected="0">
            <x v="406"/>
          </reference>
          <reference field="3" count="1" selected="0">
            <x v="2"/>
          </reference>
          <reference field="4" count="1">
            <x v="269"/>
          </reference>
        </references>
      </pivotArea>
    </format>
    <format dxfId="682">
      <pivotArea dataOnly="0" labelOnly="1" outline="0" fieldPosition="0">
        <references count="5">
          <reference field="0" count="1" selected="0">
            <x v="0"/>
          </reference>
          <reference field="1" count="1" selected="0">
            <x v="948"/>
          </reference>
          <reference field="2" count="1" selected="0">
            <x v="407"/>
          </reference>
          <reference field="3" count="1" selected="0">
            <x v="2"/>
          </reference>
          <reference field="4" count="1">
            <x v="52"/>
          </reference>
        </references>
      </pivotArea>
    </format>
    <format dxfId="681">
      <pivotArea dataOnly="0" labelOnly="1" outline="0" fieldPosition="0">
        <references count="5">
          <reference field="0" count="1" selected="0">
            <x v="0"/>
          </reference>
          <reference field="1" count="1" selected="0">
            <x v="949"/>
          </reference>
          <reference field="2" count="1" selected="0">
            <x v="407"/>
          </reference>
          <reference field="3" count="1" selected="0">
            <x v="2"/>
          </reference>
          <reference field="4" count="1">
            <x v="145"/>
          </reference>
        </references>
      </pivotArea>
    </format>
    <format dxfId="680">
      <pivotArea dataOnly="0" labelOnly="1" outline="0" fieldPosition="0">
        <references count="5">
          <reference field="0" count="1" selected="0">
            <x v="0"/>
          </reference>
          <reference field="1" count="1" selected="0">
            <x v="950"/>
          </reference>
          <reference field="2" count="1" selected="0">
            <x v="407"/>
          </reference>
          <reference field="3" count="1" selected="0">
            <x v="2"/>
          </reference>
          <reference field="4" count="1">
            <x v="234"/>
          </reference>
        </references>
      </pivotArea>
    </format>
    <format dxfId="679">
      <pivotArea dataOnly="0" labelOnly="1" outline="0" fieldPosition="0">
        <references count="5">
          <reference field="0" count="1" selected="0">
            <x v="0"/>
          </reference>
          <reference field="1" count="1" selected="0">
            <x v="951"/>
          </reference>
          <reference field="2" count="1" selected="0">
            <x v="407"/>
          </reference>
          <reference field="3" count="1" selected="0">
            <x v="2"/>
          </reference>
          <reference field="4" count="1">
            <x v="265"/>
          </reference>
        </references>
      </pivotArea>
    </format>
    <format dxfId="678">
      <pivotArea dataOnly="0" labelOnly="1" outline="0" fieldPosition="0">
        <references count="5">
          <reference field="0" count="1" selected="0">
            <x v="0"/>
          </reference>
          <reference field="1" count="1" selected="0">
            <x v="952"/>
          </reference>
          <reference field="2" count="1" selected="0">
            <x v="407"/>
          </reference>
          <reference field="3" count="1" selected="0">
            <x v="2"/>
          </reference>
          <reference field="4" count="1">
            <x v="289"/>
          </reference>
        </references>
      </pivotArea>
    </format>
    <format dxfId="677">
      <pivotArea dataOnly="0" labelOnly="1" outline="0" fieldPosition="0">
        <references count="5">
          <reference field="0" count="1" selected="0">
            <x v="0"/>
          </reference>
          <reference field="1" count="1" selected="0">
            <x v="953"/>
          </reference>
          <reference field="2" count="1" selected="0">
            <x v="408"/>
          </reference>
          <reference field="3" count="1" selected="0">
            <x v="2"/>
          </reference>
          <reference field="4" count="1">
            <x v="41"/>
          </reference>
        </references>
      </pivotArea>
    </format>
    <format dxfId="676">
      <pivotArea dataOnly="0" labelOnly="1" outline="0" fieldPosition="0">
        <references count="5">
          <reference field="0" count="1" selected="0">
            <x v="0"/>
          </reference>
          <reference field="1" count="1" selected="0">
            <x v="954"/>
          </reference>
          <reference field="2" count="1" selected="0">
            <x v="408"/>
          </reference>
          <reference field="3" count="1" selected="0">
            <x v="2"/>
          </reference>
          <reference field="4" count="1">
            <x v="50"/>
          </reference>
        </references>
      </pivotArea>
    </format>
    <format dxfId="675">
      <pivotArea dataOnly="0" labelOnly="1" outline="0" fieldPosition="0">
        <references count="5">
          <reference field="0" count="1" selected="0">
            <x v="0"/>
          </reference>
          <reference field="1" count="1" selected="0">
            <x v="955"/>
          </reference>
          <reference field="2" count="1" selected="0">
            <x v="408"/>
          </reference>
          <reference field="3" count="1" selected="0">
            <x v="2"/>
          </reference>
          <reference field="4" count="1">
            <x v="110"/>
          </reference>
        </references>
      </pivotArea>
    </format>
    <format dxfId="674">
      <pivotArea dataOnly="0" labelOnly="1" outline="0" fieldPosition="0">
        <references count="5">
          <reference field="0" count="1" selected="0">
            <x v="0"/>
          </reference>
          <reference field="1" count="1" selected="0">
            <x v="956"/>
          </reference>
          <reference field="2" count="1" selected="0">
            <x v="408"/>
          </reference>
          <reference field="3" count="1" selected="0">
            <x v="2"/>
          </reference>
          <reference field="4" count="1">
            <x v="210"/>
          </reference>
        </references>
      </pivotArea>
    </format>
    <format dxfId="673">
      <pivotArea dataOnly="0" labelOnly="1" outline="0" fieldPosition="0">
        <references count="5">
          <reference field="0" count="1" selected="0">
            <x v="0"/>
          </reference>
          <reference field="1" count="1" selected="0">
            <x v="957"/>
          </reference>
          <reference field="2" count="1" selected="0">
            <x v="408"/>
          </reference>
          <reference field="3" count="1" selected="0">
            <x v="2"/>
          </reference>
          <reference field="4" count="1">
            <x v="234"/>
          </reference>
        </references>
      </pivotArea>
    </format>
    <format dxfId="672">
      <pivotArea dataOnly="0" labelOnly="1" outline="0" fieldPosition="0">
        <references count="5">
          <reference field="0" count="1" selected="0">
            <x v="0"/>
          </reference>
          <reference field="1" count="1" selected="0">
            <x v="958"/>
          </reference>
          <reference field="2" count="1" selected="0">
            <x v="408"/>
          </reference>
          <reference field="3" count="1" selected="0">
            <x v="2"/>
          </reference>
          <reference field="4" count="1">
            <x v="251"/>
          </reference>
        </references>
      </pivotArea>
    </format>
    <format dxfId="671">
      <pivotArea dataOnly="0" labelOnly="1" outline="0" fieldPosition="0">
        <references count="5">
          <reference field="0" count="1" selected="0">
            <x v="0"/>
          </reference>
          <reference field="1" count="1" selected="0">
            <x v="959"/>
          </reference>
          <reference field="2" count="1" selected="0">
            <x v="409"/>
          </reference>
          <reference field="3" count="1" selected="0">
            <x v="2"/>
          </reference>
          <reference field="4" count="1">
            <x v="35"/>
          </reference>
        </references>
      </pivotArea>
    </format>
    <format dxfId="670">
      <pivotArea dataOnly="0" labelOnly="1" outline="0" fieldPosition="0">
        <references count="5">
          <reference field="0" count="1" selected="0">
            <x v="0"/>
          </reference>
          <reference field="1" count="1" selected="0">
            <x v="960"/>
          </reference>
          <reference field="2" count="1" selected="0">
            <x v="409"/>
          </reference>
          <reference field="3" count="1" selected="0">
            <x v="2"/>
          </reference>
          <reference field="4" count="1">
            <x v="106"/>
          </reference>
        </references>
      </pivotArea>
    </format>
    <format dxfId="669">
      <pivotArea dataOnly="0" labelOnly="1" outline="0" fieldPosition="0">
        <references count="5">
          <reference field="0" count="1" selected="0">
            <x v="0"/>
          </reference>
          <reference field="1" count="1" selected="0">
            <x v="961"/>
          </reference>
          <reference field="2" count="1" selected="0">
            <x v="409"/>
          </reference>
          <reference field="3" count="1" selected="0">
            <x v="2"/>
          </reference>
          <reference field="4" count="1">
            <x v="162"/>
          </reference>
        </references>
      </pivotArea>
    </format>
    <format dxfId="668">
      <pivotArea dataOnly="0" labelOnly="1" outline="0" fieldPosition="0">
        <references count="5">
          <reference field="0" count="1" selected="0">
            <x v="0"/>
          </reference>
          <reference field="1" count="1" selected="0">
            <x v="962"/>
          </reference>
          <reference field="2" count="1" selected="0">
            <x v="409"/>
          </reference>
          <reference field="3" count="1" selected="0">
            <x v="2"/>
          </reference>
          <reference field="4" count="1">
            <x v="245"/>
          </reference>
        </references>
      </pivotArea>
    </format>
    <format dxfId="667">
      <pivotArea dataOnly="0" labelOnly="1" outline="0" fieldPosition="0">
        <references count="5">
          <reference field="0" count="1" selected="0">
            <x v="0"/>
          </reference>
          <reference field="1" count="1" selected="0">
            <x v="963"/>
          </reference>
          <reference field="2" count="1" selected="0">
            <x v="409"/>
          </reference>
          <reference field="3" count="1" selected="0">
            <x v="2"/>
          </reference>
          <reference field="4" count="1">
            <x v="274"/>
          </reference>
        </references>
      </pivotArea>
    </format>
    <format dxfId="666">
      <pivotArea dataOnly="0" labelOnly="1" outline="0" fieldPosition="0">
        <references count="5">
          <reference field="0" count="1" selected="0">
            <x v="0"/>
          </reference>
          <reference field="1" count="1" selected="0">
            <x v="964"/>
          </reference>
          <reference field="2" count="1" selected="0">
            <x v="410"/>
          </reference>
          <reference field="3" count="1" selected="0">
            <x v="2"/>
          </reference>
          <reference field="4" count="1">
            <x v="53"/>
          </reference>
        </references>
      </pivotArea>
    </format>
    <format dxfId="665">
      <pivotArea dataOnly="0" labelOnly="1" outline="0" fieldPosition="0">
        <references count="5">
          <reference field="0" count="1" selected="0">
            <x v="0"/>
          </reference>
          <reference field="1" count="1" selected="0">
            <x v="965"/>
          </reference>
          <reference field="2" count="1" selected="0">
            <x v="410"/>
          </reference>
          <reference field="3" count="1" selected="0">
            <x v="2"/>
          </reference>
          <reference field="4" count="1">
            <x v="56"/>
          </reference>
        </references>
      </pivotArea>
    </format>
    <format dxfId="664">
      <pivotArea dataOnly="0" labelOnly="1" outline="0" fieldPosition="0">
        <references count="5">
          <reference field="0" count="1" selected="0">
            <x v="0"/>
          </reference>
          <reference field="1" count="1" selected="0">
            <x v="966"/>
          </reference>
          <reference field="2" count="1" selected="0">
            <x v="410"/>
          </reference>
          <reference field="3" count="1" selected="0">
            <x v="2"/>
          </reference>
          <reference field="4" count="1">
            <x v="79"/>
          </reference>
        </references>
      </pivotArea>
    </format>
    <format dxfId="663">
      <pivotArea dataOnly="0" labelOnly="1" outline="0" fieldPosition="0">
        <references count="5">
          <reference field="0" count="1" selected="0">
            <x v="0"/>
          </reference>
          <reference field="1" count="1" selected="0">
            <x v="967"/>
          </reference>
          <reference field="2" count="1" selected="0">
            <x v="410"/>
          </reference>
          <reference field="3" count="1" selected="0">
            <x v="2"/>
          </reference>
          <reference field="4" count="1">
            <x v="80"/>
          </reference>
        </references>
      </pivotArea>
    </format>
    <format dxfId="662">
      <pivotArea dataOnly="0" labelOnly="1" outline="0" fieldPosition="0">
        <references count="5">
          <reference field="0" count="1" selected="0">
            <x v="0"/>
          </reference>
          <reference field="1" count="1" selected="0">
            <x v="968"/>
          </reference>
          <reference field="2" count="1" selected="0">
            <x v="410"/>
          </reference>
          <reference field="3" count="1" selected="0">
            <x v="2"/>
          </reference>
          <reference field="4" count="1">
            <x v="110"/>
          </reference>
        </references>
      </pivotArea>
    </format>
    <format dxfId="661">
      <pivotArea dataOnly="0" labelOnly="1" outline="0" fieldPosition="0">
        <references count="5">
          <reference field="0" count="1" selected="0">
            <x v="0"/>
          </reference>
          <reference field="1" count="1" selected="0">
            <x v="969"/>
          </reference>
          <reference field="2" count="1" selected="0">
            <x v="410"/>
          </reference>
          <reference field="3" count="1" selected="0">
            <x v="2"/>
          </reference>
          <reference field="4" count="1">
            <x v="269"/>
          </reference>
        </references>
      </pivotArea>
    </format>
    <format dxfId="660">
      <pivotArea dataOnly="0" labelOnly="1" outline="0" fieldPosition="0">
        <references count="5">
          <reference field="0" count="1" selected="0">
            <x v="0"/>
          </reference>
          <reference field="1" count="1" selected="0">
            <x v="970"/>
          </reference>
          <reference field="2" count="1" selected="0">
            <x v="410"/>
          </reference>
          <reference field="3" count="1" selected="0">
            <x v="2"/>
          </reference>
          <reference field="4" count="1">
            <x v="291"/>
          </reference>
        </references>
      </pivotArea>
    </format>
    <format dxfId="659">
      <pivotArea dataOnly="0" labelOnly="1" outline="0" fieldPosition="0">
        <references count="5">
          <reference field="0" count="1" selected="0">
            <x v="0"/>
          </reference>
          <reference field="1" count="1" selected="0">
            <x v="971"/>
          </reference>
          <reference field="2" count="1" selected="0">
            <x v="411"/>
          </reference>
          <reference field="3" count="1" selected="0">
            <x v="2"/>
          </reference>
          <reference field="4" count="1">
            <x v="41"/>
          </reference>
        </references>
      </pivotArea>
    </format>
    <format dxfId="658">
      <pivotArea dataOnly="0" labelOnly="1" outline="0" fieldPosition="0">
        <references count="5">
          <reference field="0" count="1" selected="0">
            <x v="0"/>
          </reference>
          <reference field="1" count="1" selected="0">
            <x v="972"/>
          </reference>
          <reference field="2" count="1" selected="0">
            <x v="411"/>
          </reference>
          <reference field="3" count="1" selected="0">
            <x v="2"/>
          </reference>
          <reference field="4" count="1">
            <x v="167"/>
          </reference>
        </references>
      </pivotArea>
    </format>
    <format dxfId="657">
      <pivotArea dataOnly="0" labelOnly="1" outline="0" fieldPosition="0">
        <references count="5">
          <reference field="0" count="1" selected="0">
            <x v="0"/>
          </reference>
          <reference field="1" count="1" selected="0">
            <x v="973"/>
          </reference>
          <reference field="2" count="1" selected="0">
            <x v="412"/>
          </reference>
          <reference field="3" count="1" selected="0">
            <x v="0"/>
          </reference>
          <reference field="4" count="1">
            <x v="45"/>
          </reference>
        </references>
      </pivotArea>
    </format>
    <format dxfId="656">
      <pivotArea dataOnly="0" labelOnly="1" outline="0" fieldPosition="0">
        <references count="5">
          <reference field="0" count="1" selected="0">
            <x v="0"/>
          </reference>
          <reference field="1" count="1" selected="0">
            <x v="974"/>
          </reference>
          <reference field="2" count="1" selected="0">
            <x v="412"/>
          </reference>
          <reference field="3" count="1" selected="0">
            <x v="0"/>
          </reference>
          <reference field="4" count="1">
            <x v="64"/>
          </reference>
        </references>
      </pivotArea>
    </format>
    <format dxfId="655">
      <pivotArea dataOnly="0" labelOnly="1" outline="0" fieldPosition="0">
        <references count="5">
          <reference field="0" count="1" selected="0">
            <x v="0"/>
          </reference>
          <reference field="1" count="1" selected="0">
            <x v="975"/>
          </reference>
          <reference field="2" count="1" selected="0">
            <x v="412"/>
          </reference>
          <reference field="3" count="1" selected="0">
            <x v="0"/>
          </reference>
          <reference field="4" count="1">
            <x v="242"/>
          </reference>
        </references>
      </pivotArea>
    </format>
    <format dxfId="654">
      <pivotArea dataOnly="0" labelOnly="1" outline="0" fieldPosition="0">
        <references count="5">
          <reference field="0" count="1" selected="0">
            <x v="0"/>
          </reference>
          <reference field="1" count="1" selected="0">
            <x v="976"/>
          </reference>
          <reference field="2" count="1" selected="0">
            <x v="412"/>
          </reference>
          <reference field="3" count="1" selected="0">
            <x v="0"/>
          </reference>
          <reference field="4" count="1">
            <x v="294"/>
          </reference>
        </references>
      </pivotArea>
    </format>
    <format dxfId="653">
      <pivotArea dataOnly="0" labelOnly="1" outline="0" fieldPosition="0">
        <references count="5">
          <reference field="0" count="1" selected="0">
            <x v="0"/>
          </reference>
          <reference field="1" count="1" selected="0">
            <x v="977"/>
          </reference>
          <reference field="2" count="1" selected="0">
            <x v="413"/>
          </reference>
          <reference field="3" count="1" selected="0">
            <x v="2"/>
          </reference>
          <reference field="4" count="1">
            <x v="110"/>
          </reference>
        </references>
      </pivotArea>
    </format>
    <format dxfId="652">
      <pivotArea dataOnly="0" labelOnly="1" outline="0" fieldPosition="0">
        <references count="5">
          <reference field="0" count="1" selected="0">
            <x v="0"/>
          </reference>
          <reference field="1" count="1" selected="0">
            <x v="978"/>
          </reference>
          <reference field="2" count="1" selected="0">
            <x v="413"/>
          </reference>
          <reference field="3" count="1" selected="0">
            <x v="2"/>
          </reference>
          <reference field="4" count="1">
            <x v="142"/>
          </reference>
        </references>
      </pivotArea>
    </format>
    <format dxfId="651">
      <pivotArea dataOnly="0" labelOnly="1" outline="0" fieldPosition="0">
        <references count="5">
          <reference field="0" count="1" selected="0">
            <x v="0"/>
          </reference>
          <reference field="1" count="1" selected="0">
            <x v="979"/>
          </reference>
          <reference field="2" count="1" selected="0">
            <x v="413"/>
          </reference>
          <reference field="3" count="1" selected="0">
            <x v="2"/>
          </reference>
          <reference field="4" count="1">
            <x v="167"/>
          </reference>
        </references>
      </pivotArea>
    </format>
    <format dxfId="650">
      <pivotArea dataOnly="0" labelOnly="1" outline="0" fieldPosition="0">
        <references count="5">
          <reference field="0" count="1" selected="0">
            <x v="0"/>
          </reference>
          <reference field="1" count="1" selected="0">
            <x v="980"/>
          </reference>
          <reference field="2" count="1" selected="0">
            <x v="413"/>
          </reference>
          <reference field="3" count="1" selected="0">
            <x v="2"/>
          </reference>
          <reference field="4" count="1">
            <x v="169"/>
          </reference>
        </references>
      </pivotArea>
    </format>
    <format dxfId="649">
      <pivotArea dataOnly="0" labelOnly="1" outline="0" fieldPosition="0">
        <references count="5">
          <reference field="0" count="1" selected="0">
            <x v="0"/>
          </reference>
          <reference field="1" count="1" selected="0">
            <x v="981"/>
          </reference>
          <reference field="2" count="1" selected="0">
            <x v="413"/>
          </reference>
          <reference field="3" count="1" selected="0">
            <x v="2"/>
          </reference>
          <reference field="4" count="1">
            <x v="203"/>
          </reference>
        </references>
      </pivotArea>
    </format>
    <format dxfId="648">
      <pivotArea dataOnly="0" labelOnly="1" outline="0" fieldPosition="0">
        <references count="5">
          <reference field="0" count="1" selected="0">
            <x v="0"/>
          </reference>
          <reference field="1" count="1" selected="0">
            <x v="982"/>
          </reference>
          <reference field="2" count="1" selected="0">
            <x v="413"/>
          </reference>
          <reference field="3" count="1" selected="0">
            <x v="2"/>
          </reference>
          <reference field="4" count="1">
            <x v="277"/>
          </reference>
        </references>
      </pivotArea>
    </format>
    <format dxfId="647">
      <pivotArea dataOnly="0" labelOnly="1" outline="0" fieldPosition="0">
        <references count="5">
          <reference field="0" count="1" selected="0">
            <x v="0"/>
          </reference>
          <reference field="1" count="1" selected="0">
            <x v="983"/>
          </reference>
          <reference field="2" count="1" selected="0">
            <x v="414"/>
          </reference>
          <reference field="3" count="1" selected="0">
            <x v="0"/>
          </reference>
          <reference field="4" count="1">
            <x v="110"/>
          </reference>
        </references>
      </pivotArea>
    </format>
    <format dxfId="646">
      <pivotArea dataOnly="0" labelOnly="1" outline="0" fieldPosition="0">
        <references count="5">
          <reference field="0" count="1" selected="0">
            <x v="0"/>
          </reference>
          <reference field="1" count="1" selected="0">
            <x v="984"/>
          </reference>
          <reference field="2" count="1" selected="0">
            <x v="414"/>
          </reference>
          <reference field="3" count="1" selected="0">
            <x v="0"/>
          </reference>
          <reference field="4" count="1">
            <x v="160"/>
          </reference>
        </references>
      </pivotArea>
    </format>
    <format dxfId="645">
      <pivotArea dataOnly="0" labelOnly="1" outline="0" fieldPosition="0">
        <references count="5">
          <reference field="0" count="1" selected="0">
            <x v="0"/>
          </reference>
          <reference field="1" count="1" selected="0">
            <x v="985"/>
          </reference>
          <reference field="2" count="1" selected="0">
            <x v="414"/>
          </reference>
          <reference field="3" count="1" selected="0">
            <x v="0"/>
          </reference>
          <reference field="4" count="1">
            <x v="173"/>
          </reference>
        </references>
      </pivotArea>
    </format>
    <format dxfId="644">
      <pivotArea dataOnly="0" labelOnly="1" outline="0" fieldPosition="0">
        <references count="5">
          <reference field="0" count="1" selected="0">
            <x v="0"/>
          </reference>
          <reference field="1" count="1" selected="0">
            <x v="986"/>
          </reference>
          <reference field="2" count="1" selected="0">
            <x v="414"/>
          </reference>
          <reference field="3" count="1" selected="0">
            <x v="0"/>
          </reference>
          <reference field="4" count="1">
            <x v="182"/>
          </reference>
        </references>
      </pivotArea>
    </format>
    <format dxfId="643">
      <pivotArea dataOnly="0" labelOnly="1" outline="0" fieldPosition="0">
        <references count="5">
          <reference field="0" count="1" selected="0">
            <x v="0"/>
          </reference>
          <reference field="1" count="1" selected="0">
            <x v="987"/>
          </reference>
          <reference field="2" count="1" selected="0">
            <x v="414"/>
          </reference>
          <reference field="3" count="1" selected="0">
            <x v="0"/>
          </reference>
          <reference field="4" count="1">
            <x v="238"/>
          </reference>
        </references>
      </pivotArea>
    </format>
    <format dxfId="642">
      <pivotArea dataOnly="0" labelOnly="1" outline="0" fieldPosition="0">
        <references count="5">
          <reference field="0" count="1" selected="0">
            <x v="0"/>
          </reference>
          <reference field="1" count="1" selected="0">
            <x v="988"/>
          </reference>
          <reference field="2" count="1" selected="0">
            <x v="414"/>
          </reference>
          <reference field="3" count="1" selected="0">
            <x v="0"/>
          </reference>
          <reference field="4" count="1">
            <x v="288"/>
          </reference>
        </references>
      </pivotArea>
    </format>
    <format dxfId="641">
      <pivotArea dataOnly="0" labelOnly="1" outline="0" fieldPosition="0">
        <references count="5">
          <reference field="0" count="1" selected="0">
            <x v="0"/>
          </reference>
          <reference field="1" count="1" selected="0">
            <x v="989"/>
          </reference>
          <reference field="2" count="1" selected="0">
            <x v="415"/>
          </reference>
          <reference field="3" count="1" selected="0">
            <x v="2"/>
          </reference>
          <reference field="4" count="1">
            <x v="28"/>
          </reference>
        </references>
      </pivotArea>
    </format>
    <format dxfId="640">
      <pivotArea dataOnly="0" labelOnly="1" outline="0" fieldPosition="0">
        <references count="5">
          <reference field="0" count="1" selected="0">
            <x v="0"/>
          </reference>
          <reference field="1" count="1" selected="0">
            <x v="990"/>
          </reference>
          <reference field="2" count="1" selected="0">
            <x v="415"/>
          </reference>
          <reference field="3" count="1" selected="0">
            <x v="2"/>
          </reference>
          <reference field="4" count="1">
            <x v="30"/>
          </reference>
        </references>
      </pivotArea>
    </format>
    <format dxfId="639">
      <pivotArea dataOnly="0" labelOnly="1" outline="0" fieldPosition="0">
        <references count="5">
          <reference field="0" count="1" selected="0">
            <x v="0"/>
          </reference>
          <reference field="1" count="1" selected="0">
            <x v="991"/>
          </reference>
          <reference field="2" count="1" selected="0">
            <x v="415"/>
          </reference>
          <reference field="3" count="1" selected="0">
            <x v="2"/>
          </reference>
          <reference field="4" count="1">
            <x v="148"/>
          </reference>
        </references>
      </pivotArea>
    </format>
    <format dxfId="638">
      <pivotArea dataOnly="0" labelOnly="1" outline="0" fieldPosition="0">
        <references count="5">
          <reference field="0" count="1" selected="0">
            <x v="0"/>
          </reference>
          <reference field="1" count="1" selected="0">
            <x v="992"/>
          </reference>
          <reference field="2" count="1" selected="0">
            <x v="415"/>
          </reference>
          <reference field="3" count="1" selected="0">
            <x v="2"/>
          </reference>
          <reference field="4" count="1">
            <x v="184"/>
          </reference>
        </references>
      </pivotArea>
    </format>
    <format dxfId="637">
      <pivotArea dataOnly="0" labelOnly="1" outline="0" fieldPosition="0">
        <references count="5">
          <reference field="0" count="1" selected="0">
            <x v="0"/>
          </reference>
          <reference field="1" count="1" selected="0">
            <x v="993"/>
          </reference>
          <reference field="2" count="1" selected="0">
            <x v="416"/>
          </reference>
          <reference field="3" count="1" selected="0">
            <x v="2"/>
          </reference>
          <reference field="4" count="1">
            <x v="27"/>
          </reference>
        </references>
      </pivotArea>
    </format>
    <format dxfId="636">
      <pivotArea dataOnly="0" labelOnly="1" outline="0" fieldPosition="0">
        <references count="5">
          <reference field="0" count="1" selected="0">
            <x v="0"/>
          </reference>
          <reference field="1" count="1" selected="0">
            <x v="994"/>
          </reference>
          <reference field="2" count="1" selected="0">
            <x v="416"/>
          </reference>
          <reference field="3" count="1" selected="0">
            <x v="2"/>
          </reference>
          <reference field="4" count="1">
            <x v="51"/>
          </reference>
        </references>
      </pivotArea>
    </format>
    <format dxfId="635">
      <pivotArea dataOnly="0" labelOnly="1" outline="0" fieldPosition="0">
        <references count="5">
          <reference field="0" count="1" selected="0">
            <x v="0"/>
          </reference>
          <reference field="1" count="1" selected="0">
            <x v="995"/>
          </reference>
          <reference field="2" count="1" selected="0">
            <x v="416"/>
          </reference>
          <reference field="3" count="1" selected="0">
            <x v="2"/>
          </reference>
          <reference field="4" count="1">
            <x v="64"/>
          </reference>
        </references>
      </pivotArea>
    </format>
    <format dxfId="634">
      <pivotArea dataOnly="0" labelOnly="1" outline="0" fieldPosition="0">
        <references count="5">
          <reference field="0" count="1" selected="0">
            <x v="0"/>
          </reference>
          <reference field="1" count="1" selected="0">
            <x v="996"/>
          </reference>
          <reference field="2" count="1" selected="0">
            <x v="416"/>
          </reference>
          <reference field="3" count="1" selected="0">
            <x v="2"/>
          </reference>
          <reference field="4" count="1">
            <x v="94"/>
          </reference>
        </references>
      </pivotArea>
    </format>
    <format dxfId="633">
      <pivotArea dataOnly="0" labelOnly="1" outline="0" fieldPosition="0">
        <references count="5">
          <reference field="0" count="1" selected="0">
            <x v="0"/>
          </reference>
          <reference field="1" count="1" selected="0">
            <x v="997"/>
          </reference>
          <reference field="2" count="1" selected="0">
            <x v="416"/>
          </reference>
          <reference field="3" count="1" selected="0">
            <x v="2"/>
          </reference>
          <reference field="4" count="1">
            <x v="110"/>
          </reference>
        </references>
      </pivotArea>
    </format>
    <format dxfId="632">
      <pivotArea dataOnly="0" labelOnly="1" outline="0" fieldPosition="0">
        <references count="5">
          <reference field="0" count="1" selected="0">
            <x v="0"/>
          </reference>
          <reference field="1" count="1" selected="0">
            <x v="998"/>
          </reference>
          <reference field="2" count="1" selected="0">
            <x v="416"/>
          </reference>
          <reference field="3" count="1" selected="0">
            <x v="2"/>
          </reference>
          <reference field="4" count="1">
            <x v="206"/>
          </reference>
        </references>
      </pivotArea>
    </format>
    <format dxfId="631">
      <pivotArea dataOnly="0" labelOnly="1" outline="0" fieldPosition="0">
        <references count="5">
          <reference field="0" count="1" selected="0">
            <x v="0"/>
          </reference>
          <reference field="1" count="1" selected="0">
            <x v="999"/>
          </reference>
          <reference field="2" count="1" selected="0">
            <x v="416"/>
          </reference>
          <reference field="3" count="1" selected="0">
            <x v="2"/>
          </reference>
          <reference field="4" count="1">
            <x v="240"/>
          </reference>
        </references>
      </pivotArea>
    </format>
    <format dxfId="630">
      <pivotArea dataOnly="0" labelOnly="1" outline="0" fieldPosition="0">
        <references count="5">
          <reference field="0" count="1" selected="0">
            <x v="0"/>
          </reference>
          <reference field="1" count="1" selected="0">
            <x v="1000"/>
          </reference>
          <reference field="2" count="1" selected="0">
            <x v="416"/>
          </reference>
          <reference field="3" count="1" selected="0">
            <x v="2"/>
          </reference>
          <reference field="4" count="1">
            <x v="242"/>
          </reference>
        </references>
      </pivotArea>
    </format>
    <format dxfId="629">
      <pivotArea dataOnly="0" labelOnly="1" outline="0" fieldPosition="0">
        <references count="5">
          <reference field="0" count="1" selected="0">
            <x v="0"/>
          </reference>
          <reference field="1" count="1" selected="0">
            <x v="1001"/>
          </reference>
          <reference field="2" count="1" selected="0">
            <x v="417"/>
          </reference>
          <reference field="3" count="1" selected="0">
            <x v="2"/>
          </reference>
          <reference field="4" count="1">
            <x v="139"/>
          </reference>
        </references>
      </pivotArea>
    </format>
    <format dxfId="628">
      <pivotArea dataOnly="0" labelOnly="1" outline="0" fieldPosition="0">
        <references count="5">
          <reference field="0" count="1" selected="0">
            <x v="0"/>
          </reference>
          <reference field="1" count="1" selected="0">
            <x v="1002"/>
          </reference>
          <reference field="2" count="1" selected="0">
            <x v="417"/>
          </reference>
          <reference field="3" count="1" selected="0">
            <x v="2"/>
          </reference>
          <reference field="4" count="1">
            <x v="167"/>
          </reference>
        </references>
      </pivotArea>
    </format>
    <format dxfId="627">
      <pivotArea dataOnly="0" labelOnly="1" outline="0" fieldPosition="0">
        <references count="5">
          <reference field="0" count="1" selected="0">
            <x v="0"/>
          </reference>
          <reference field="1" count="1" selected="0">
            <x v="1003"/>
          </reference>
          <reference field="2" count="1" selected="0">
            <x v="418"/>
          </reference>
          <reference field="3" count="1" selected="0">
            <x v="2"/>
          </reference>
          <reference field="4" count="1">
            <x v="55"/>
          </reference>
        </references>
      </pivotArea>
    </format>
    <format dxfId="626">
      <pivotArea dataOnly="0" labelOnly="1" outline="0" fieldPosition="0">
        <references count="5">
          <reference field="0" count="1" selected="0">
            <x v="0"/>
          </reference>
          <reference field="1" count="1" selected="0">
            <x v="1004"/>
          </reference>
          <reference field="2" count="1" selected="0">
            <x v="418"/>
          </reference>
          <reference field="3" count="1" selected="0">
            <x v="2"/>
          </reference>
          <reference field="4" count="1">
            <x v="70"/>
          </reference>
        </references>
      </pivotArea>
    </format>
    <format dxfId="625">
      <pivotArea dataOnly="0" labelOnly="1" outline="0" fieldPosition="0">
        <references count="5">
          <reference field="0" count="1" selected="0">
            <x v="0"/>
          </reference>
          <reference field="1" count="1" selected="0">
            <x v="1005"/>
          </reference>
          <reference field="2" count="1" selected="0">
            <x v="418"/>
          </reference>
          <reference field="3" count="1" selected="0">
            <x v="2"/>
          </reference>
          <reference field="4" count="1">
            <x v="104"/>
          </reference>
        </references>
      </pivotArea>
    </format>
    <format dxfId="624">
      <pivotArea dataOnly="0" labelOnly="1" outline="0" fieldPosition="0">
        <references count="5">
          <reference field="0" count="1" selected="0">
            <x v="0"/>
          </reference>
          <reference field="1" count="1" selected="0">
            <x v="1006"/>
          </reference>
          <reference field="2" count="1" selected="0">
            <x v="418"/>
          </reference>
          <reference field="3" count="1" selected="0">
            <x v="2"/>
          </reference>
          <reference field="4" count="1">
            <x v="110"/>
          </reference>
        </references>
      </pivotArea>
    </format>
    <format dxfId="623">
      <pivotArea dataOnly="0" labelOnly="1" outline="0" fieldPosition="0">
        <references count="5">
          <reference field="0" count="1" selected="0">
            <x v="0"/>
          </reference>
          <reference field="1" count="1" selected="0">
            <x v="1007"/>
          </reference>
          <reference field="2" count="1" selected="0">
            <x v="418"/>
          </reference>
          <reference field="3" count="1" selected="0">
            <x v="2"/>
          </reference>
          <reference field="4" count="1">
            <x v="123"/>
          </reference>
        </references>
      </pivotArea>
    </format>
    <format dxfId="622">
      <pivotArea dataOnly="0" labelOnly="1" outline="0" fieldPosition="0">
        <references count="5">
          <reference field="0" count="1" selected="0">
            <x v="0"/>
          </reference>
          <reference field="1" count="1" selected="0">
            <x v="1008"/>
          </reference>
          <reference field="2" count="1" selected="0">
            <x v="418"/>
          </reference>
          <reference field="3" count="1" selected="0">
            <x v="2"/>
          </reference>
          <reference field="4" count="1">
            <x v="131"/>
          </reference>
        </references>
      </pivotArea>
    </format>
    <format dxfId="621">
      <pivotArea dataOnly="0" labelOnly="1" outline="0" fieldPosition="0">
        <references count="5">
          <reference field="0" count="1" selected="0">
            <x v="0"/>
          </reference>
          <reference field="1" count="1" selected="0">
            <x v="1009"/>
          </reference>
          <reference field="2" count="1" selected="0">
            <x v="418"/>
          </reference>
          <reference field="3" count="1" selected="0">
            <x v="2"/>
          </reference>
          <reference field="4" count="1">
            <x v="136"/>
          </reference>
        </references>
      </pivotArea>
    </format>
    <format dxfId="620">
      <pivotArea dataOnly="0" labelOnly="1" outline="0" fieldPosition="0">
        <references count="5">
          <reference field="0" count="1" selected="0">
            <x v="0"/>
          </reference>
          <reference field="1" count="1" selected="0">
            <x v="1010"/>
          </reference>
          <reference field="2" count="1" selected="0">
            <x v="418"/>
          </reference>
          <reference field="3" count="1" selected="0">
            <x v="2"/>
          </reference>
          <reference field="4" count="1">
            <x v="150"/>
          </reference>
        </references>
      </pivotArea>
    </format>
    <format dxfId="619">
      <pivotArea dataOnly="0" labelOnly="1" outline="0" fieldPosition="0">
        <references count="5">
          <reference field="0" count="1" selected="0">
            <x v="0"/>
          </reference>
          <reference field="1" count="1" selected="0">
            <x v="1011"/>
          </reference>
          <reference field="2" count="1" selected="0">
            <x v="418"/>
          </reference>
          <reference field="3" count="1" selected="0">
            <x v="2"/>
          </reference>
          <reference field="4" count="1">
            <x v="201"/>
          </reference>
        </references>
      </pivotArea>
    </format>
    <format dxfId="618">
      <pivotArea dataOnly="0" labelOnly="1" outline="0" fieldPosition="0">
        <references count="5">
          <reference field="0" count="1" selected="0">
            <x v="0"/>
          </reference>
          <reference field="1" count="1" selected="0">
            <x v="1012"/>
          </reference>
          <reference field="2" count="1" selected="0">
            <x v="418"/>
          </reference>
          <reference field="3" count="1" selected="0">
            <x v="2"/>
          </reference>
          <reference field="4" count="1">
            <x v="215"/>
          </reference>
        </references>
      </pivotArea>
    </format>
    <format dxfId="617">
      <pivotArea dataOnly="0" labelOnly="1" outline="0" fieldPosition="0">
        <references count="5">
          <reference field="0" count="1" selected="0">
            <x v="0"/>
          </reference>
          <reference field="1" count="1" selected="0">
            <x v="1013"/>
          </reference>
          <reference field="2" count="1" selected="0">
            <x v="418"/>
          </reference>
          <reference field="3" count="1" selected="0">
            <x v="2"/>
          </reference>
          <reference field="4" count="1">
            <x v="279"/>
          </reference>
        </references>
      </pivotArea>
    </format>
    <format dxfId="616">
      <pivotArea dataOnly="0" labelOnly="1" outline="0" fieldPosition="0">
        <references count="5">
          <reference field="0" count="1" selected="0">
            <x v="0"/>
          </reference>
          <reference field="1" count="1" selected="0">
            <x v="1014"/>
          </reference>
          <reference field="2" count="1" selected="0">
            <x v="419"/>
          </reference>
          <reference field="3" count="1" selected="0">
            <x v="2"/>
          </reference>
          <reference field="4" count="1">
            <x v="33"/>
          </reference>
        </references>
      </pivotArea>
    </format>
    <format dxfId="615">
      <pivotArea dataOnly="0" labelOnly="1" outline="0" fieldPosition="0">
        <references count="5">
          <reference field="0" count="1" selected="0">
            <x v="0"/>
          </reference>
          <reference field="1" count="1" selected="0">
            <x v="1015"/>
          </reference>
          <reference field="2" count="1" selected="0">
            <x v="419"/>
          </reference>
          <reference field="3" count="1" selected="0">
            <x v="2"/>
          </reference>
          <reference field="4" count="1">
            <x v="34"/>
          </reference>
        </references>
      </pivotArea>
    </format>
    <format dxfId="614">
      <pivotArea dataOnly="0" labelOnly="1" outline="0" fieldPosition="0">
        <references count="5">
          <reference field="0" count="1" selected="0">
            <x v="0"/>
          </reference>
          <reference field="1" count="1" selected="0">
            <x v="1016"/>
          </reference>
          <reference field="2" count="1" selected="0">
            <x v="419"/>
          </reference>
          <reference field="3" count="1" selected="0">
            <x v="2"/>
          </reference>
          <reference field="4" count="1">
            <x v="55"/>
          </reference>
        </references>
      </pivotArea>
    </format>
    <format dxfId="613">
      <pivotArea dataOnly="0" labelOnly="1" outline="0" fieldPosition="0">
        <references count="5">
          <reference field="0" count="1" selected="0">
            <x v="0"/>
          </reference>
          <reference field="1" count="1" selected="0">
            <x v="1017"/>
          </reference>
          <reference field="2" count="1" selected="0">
            <x v="419"/>
          </reference>
          <reference field="3" count="1" selected="0">
            <x v="2"/>
          </reference>
          <reference field="4" count="1">
            <x v="95"/>
          </reference>
        </references>
      </pivotArea>
    </format>
    <format dxfId="612">
      <pivotArea dataOnly="0" labelOnly="1" outline="0" fieldPosition="0">
        <references count="5">
          <reference field="0" count="1" selected="0">
            <x v="0"/>
          </reference>
          <reference field="1" count="1" selected="0">
            <x v="1018"/>
          </reference>
          <reference field="2" count="1" selected="0">
            <x v="419"/>
          </reference>
          <reference field="3" count="1" selected="0">
            <x v="2"/>
          </reference>
          <reference field="4" count="1">
            <x v="110"/>
          </reference>
        </references>
      </pivotArea>
    </format>
    <format dxfId="611">
      <pivotArea dataOnly="0" labelOnly="1" outline="0" fieldPosition="0">
        <references count="5">
          <reference field="0" count="1" selected="0">
            <x v="0"/>
          </reference>
          <reference field="1" count="1" selected="0">
            <x v="1019"/>
          </reference>
          <reference field="2" count="1" selected="0">
            <x v="419"/>
          </reference>
          <reference field="3" count="1" selected="0">
            <x v="2"/>
          </reference>
          <reference field="4" count="1">
            <x v="123"/>
          </reference>
        </references>
      </pivotArea>
    </format>
    <format dxfId="610">
      <pivotArea dataOnly="0" labelOnly="1" outline="0" fieldPosition="0">
        <references count="5">
          <reference field="0" count="1" selected="0">
            <x v="0"/>
          </reference>
          <reference field="1" count="1" selected="0">
            <x v="1020"/>
          </reference>
          <reference field="2" count="1" selected="0">
            <x v="419"/>
          </reference>
          <reference field="3" count="1" selected="0">
            <x v="2"/>
          </reference>
          <reference field="4" count="1">
            <x v="128"/>
          </reference>
        </references>
      </pivotArea>
    </format>
    <format dxfId="609">
      <pivotArea dataOnly="0" labelOnly="1" outline="0" fieldPosition="0">
        <references count="5">
          <reference field="0" count="1" selected="0">
            <x v="0"/>
          </reference>
          <reference field="1" count="1" selected="0">
            <x v="1021"/>
          </reference>
          <reference field="2" count="1" selected="0">
            <x v="419"/>
          </reference>
          <reference field="3" count="1" selected="0">
            <x v="2"/>
          </reference>
          <reference field="4" count="1">
            <x v="151"/>
          </reference>
        </references>
      </pivotArea>
    </format>
    <format dxfId="608">
      <pivotArea dataOnly="0" labelOnly="1" outline="0" fieldPosition="0">
        <references count="5">
          <reference field="0" count="1" selected="0">
            <x v="0"/>
          </reference>
          <reference field="1" count="1" selected="0">
            <x v="1022"/>
          </reference>
          <reference field="2" count="1" selected="0">
            <x v="419"/>
          </reference>
          <reference field="3" count="1" selected="0">
            <x v="2"/>
          </reference>
          <reference field="4" count="1">
            <x v="181"/>
          </reference>
        </references>
      </pivotArea>
    </format>
    <format dxfId="607">
      <pivotArea dataOnly="0" labelOnly="1" outline="0" fieldPosition="0">
        <references count="5">
          <reference field="0" count="1" selected="0">
            <x v="0"/>
          </reference>
          <reference field="1" count="1" selected="0">
            <x v="1023"/>
          </reference>
          <reference field="2" count="1" selected="0">
            <x v="420"/>
          </reference>
          <reference field="3" count="1" selected="0">
            <x v="2"/>
          </reference>
          <reference field="4" count="1">
            <x v="36"/>
          </reference>
        </references>
      </pivotArea>
    </format>
    <format dxfId="606">
      <pivotArea dataOnly="0" labelOnly="1" outline="0" fieldPosition="0">
        <references count="5">
          <reference field="0" count="1" selected="0">
            <x v="0"/>
          </reference>
          <reference field="1" count="1" selected="0">
            <x v="1024"/>
          </reference>
          <reference field="2" count="1" selected="0">
            <x v="420"/>
          </reference>
          <reference field="3" count="1" selected="0">
            <x v="2"/>
          </reference>
          <reference field="4" count="1">
            <x v="188"/>
          </reference>
        </references>
      </pivotArea>
    </format>
    <format dxfId="605">
      <pivotArea dataOnly="0" labelOnly="1" outline="0" fieldPosition="0">
        <references count="5">
          <reference field="0" count="1" selected="0">
            <x v="0"/>
          </reference>
          <reference field="1" count="1" selected="0">
            <x v="1025"/>
          </reference>
          <reference field="2" count="1" selected="0">
            <x v="420"/>
          </reference>
          <reference field="3" count="1" selected="0">
            <x v="2"/>
          </reference>
          <reference field="4" count="1">
            <x v="203"/>
          </reference>
        </references>
      </pivotArea>
    </format>
    <format dxfId="604">
      <pivotArea dataOnly="0" labelOnly="1" outline="0" fieldPosition="0">
        <references count="5">
          <reference field="0" count="1" selected="0">
            <x v="0"/>
          </reference>
          <reference field="1" count="1" selected="0">
            <x v="1026"/>
          </reference>
          <reference field="2" count="1" selected="0">
            <x v="420"/>
          </reference>
          <reference field="3" count="1" selected="0">
            <x v="3"/>
          </reference>
          <reference field="4" count="1">
            <x v="246"/>
          </reference>
        </references>
      </pivotArea>
    </format>
    <format dxfId="603">
      <pivotArea dataOnly="0" labelOnly="1" outline="0" fieldPosition="0">
        <references count="5">
          <reference field="0" count="1" selected="0">
            <x v="0"/>
          </reference>
          <reference field="1" count="1" selected="0">
            <x v="1027"/>
          </reference>
          <reference field="2" count="1" selected="0">
            <x v="420"/>
          </reference>
          <reference field="3" count="1" selected="0">
            <x v="2"/>
          </reference>
          <reference field="4" count="1">
            <x v="251"/>
          </reference>
        </references>
      </pivotArea>
    </format>
    <format dxfId="602">
      <pivotArea dataOnly="0" labelOnly="1" outline="0" fieldPosition="0">
        <references count="5">
          <reference field="0" count="1" selected="0">
            <x v="0"/>
          </reference>
          <reference field="1" count="1" selected="0">
            <x v="1028"/>
          </reference>
          <reference field="2" count="1" selected="0">
            <x v="421"/>
          </reference>
          <reference field="3" count="1" selected="0">
            <x v="2"/>
          </reference>
          <reference field="4" count="1">
            <x v="41"/>
          </reference>
        </references>
      </pivotArea>
    </format>
    <format dxfId="601">
      <pivotArea dataOnly="0" labelOnly="1" outline="0" fieldPosition="0">
        <references count="5">
          <reference field="0" count="1" selected="0">
            <x v="0"/>
          </reference>
          <reference field="1" count="1" selected="0">
            <x v="1029"/>
          </reference>
          <reference field="2" count="1" selected="0">
            <x v="421"/>
          </reference>
          <reference field="3" count="1" selected="0">
            <x v="2"/>
          </reference>
          <reference field="4" count="1">
            <x v="52"/>
          </reference>
        </references>
      </pivotArea>
    </format>
    <format dxfId="600">
      <pivotArea dataOnly="0" labelOnly="1" outline="0" fieldPosition="0">
        <references count="5">
          <reference field="0" count="1" selected="0">
            <x v="0"/>
          </reference>
          <reference field="1" count="1" selected="0">
            <x v="1030"/>
          </reference>
          <reference field="2" count="1" selected="0">
            <x v="421"/>
          </reference>
          <reference field="3" count="1" selected="0">
            <x v="2"/>
          </reference>
          <reference field="4" count="1">
            <x v="79"/>
          </reference>
        </references>
      </pivotArea>
    </format>
    <format dxfId="599">
      <pivotArea dataOnly="0" labelOnly="1" outline="0" fieldPosition="0">
        <references count="5">
          <reference field="0" count="1" selected="0">
            <x v="0"/>
          </reference>
          <reference field="1" count="1" selected="0">
            <x v="1031"/>
          </reference>
          <reference field="2" count="1" selected="0">
            <x v="421"/>
          </reference>
          <reference field="3" count="1" selected="0">
            <x v="2"/>
          </reference>
          <reference field="4" count="1">
            <x v="80"/>
          </reference>
        </references>
      </pivotArea>
    </format>
    <format dxfId="598">
      <pivotArea dataOnly="0" labelOnly="1" outline="0" fieldPosition="0">
        <references count="5">
          <reference field="0" count="1" selected="0">
            <x v="0"/>
          </reference>
          <reference field="1" count="1" selected="0">
            <x v="1032"/>
          </reference>
          <reference field="2" count="1" selected="0">
            <x v="421"/>
          </reference>
          <reference field="3" count="1" selected="0">
            <x v="2"/>
          </reference>
          <reference field="4" count="1">
            <x v="195"/>
          </reference>
        </references>
      </pivotArea>
    </format>
    <format dxfId="597">
      <pivotArea dataOnly="0" labelOnly="1" outline="0" fieldPosition="0">
        <references count="5">
          <reference field="0" count="1" selected="0">
            <x v="0"/>
          </reference>
          <reference field="1" count="1" selected="0">
            <x v="1033"/>
          </reference>
          <reference field="2" count="1" selected="0">
            <x v="421"/>
          </reference>
          <reference field="3" count="1" selected="0">
            <x v="2"/>
          </reference>
          <reference field="4" count="1">
            <x v="234"/>
          </reference>
        </references>
      </pivotArea>
    </format>
    <format dxfId="596">
      <pivotArea dataOnly="0" labelOnly="1" outline="0" fieldPosition="0">
        <references count="5">
          <reference field="0" count="1" selected="0">
            <x v="0"/>
          </reference>
          <reference field="1" count="1" selected="0">
            <x v="1034"/>
          </reference>
          <reference field="2" count="1" selected="0">
            <x v="421"/>
          </reference>
          <reference field="3" count="1" selected="0">
            <x v="2"/>
          </reference>
          <reference field="4" count="1">
            <x v="241"/>
          </reference>
        </references>
      </pivotArea>
    </format>
    <format dxfId="595">
      <pivotArea dataOnly="0" labelOnly="1" outline="0" fieldPosition="0">
        <references count="5">
          <reference field="0" count="1" selected="0">
            <x v="0"/>
          </reference>
          <reference field="1" count="1" selected="0">
            <x v="1035"/>
          </reference>
          <reference field="2" count="1" selected="0">
            <x v="421"/>
          </reference>
          <reference field="3" count="1" selected="0">
            <x v="2"/>
          </reference>
          <reference field="4" count="1">
            <x v="280"/>
          </reference>
        </references>
      </pivotArea>
    </format>
    <format dxfId="594">
      <pivotArea dataOnly="0" labelOnly="1" outline="0" fieldPosition="0">
        <references count="5">
          <reference field="0" count="1" selected="0">
            <x v="0"/>
          </reference>
          <reference field="1" count="1" selected="0">
            <x v="1036"/>
          </reference>
          <reference field="2" count="1" selected="0">
            <x v="422"/>
          </reference>
          <reference field="3" count="1" selected="0">
            <x v="2"/>
          </reference>
          <reference field="4" count="1">
            <x v="35"/>
          </reference>
        </references>
      </pivotArea>
    </format>
    <format dxfId="593">
      <pivotArea dataOnly="0" labelOnly="1" outline="0" fieldPosition="0">
        <references count="5">
          <reference field="0" count="1" selected="0">
            <x v="0"/>
          </reference>
          <reference field="1" count="1" selected="0">
            <x v="1037"/>
          </reference>
          <reference field="2" count="1" selected="0">
            <x v="422"/>
          </reference>
          <reference field="3" count="1" selected="0">
            <x v="2"/>
          </reference>
          <reference field="4" count="1">
            <x v="72"/>
          </reference>
        </references>
      </pivotArea>
    </format>
    <format dxfId="592">
      <pivotArea dataOnly="0" labelOnly="1" outline="0" fieldPosition="0">
        <references count="5">
          <reference field="0" count="1" selected="0">
            <x v="0"/>
          </reference>
          <reference field="1" count="1" selected="0">
            <x v="1038"/>
          </reference>
          <reference field="2" count="1" selected="0">
            <x v="422"/>
          </reference>
          <reference field="3" count="1" selected="0">
            <x v="2"/>
          </reference>
          <reference field="4" count="1">
            <x v="214"/>
          </reference>
        </references>
      </pivotArea>
    </format>
    <format dxfId="591">
      <pivotArea dataOnly="0" labelOnly="1" outline="0" fieldPosition="0">
        <references count="5">
          <reference field="0" count="1" selected="0">
            <x v="0"/>
          </reference>
          <reference field="1" count="1" selected="0">
            <x v="1039"/>
          </reference>
          <reference field="2" count="1" selected="0">
            <x v="422"/>
          </reference>
          <reference field="3" count="1" selected="0">
            <x v="2"/>
          </reference>
          <reference field="4" count="1">
            <x v="223"/>
          </reference>
        </references>
      </pivotArea>
    </format>
    <format dxfId="590">
      <pivotArea dataOnly="0" labelOnly="1" outline="0" fieldPosition="0">
        <references count="5">
          <reference field="0" count="1" selected="0">
            <x v="0"/>
          </reference>
          <reference field="1" count="1" selected="0">
            <x v="1040"/>
          </reference>
          <reference field="2" count="1" selected="0">
            <x v="422"/>
          </reference>
          <reference field="3" count="1" selected="0">
            <x v="2"/>
          </reference>
          <reference field="4" count="1">
            <x v="246"/>
          </reference>
        </references>
      </pivotArea>
    </format>
    <format dxfId="589">
      <pivotArea dataOnly="0" labelOnly="1" outline="0" fieldPosition="0">
        <references count="5">
          <reference field="0" count="1" selected="0">
            <x v="0"/>
          </reference>
          <reference field="1" count="1" selected="0">
            <x v="1041"/>
          </reference>
          <reference field="2" count="1" selected="0">
            <x v="422"/>
          </reference>
          <reference field="3" count="1" selected="0">
            <x v="2"/>
          </reference>
          <reference field="4" count="1">
            <x v="269"/>
          </reference>
        </references>
      </pivotArea>
    </format>
    <format dxfId="588">
      <pivotArea dataOnly="0" labelOnly="1" outline="0" fieldPosition="0">
        <references count="5">
          <reference field="0" count="1" selected="0">
            <x v="0"/>
          </reference>
          <reference field="1" count="1" selected="0">
            <x v="1042"/>
          </reference>
          <reference field="2" count="1" selected="0">
            <x v="423"/>
          </reference>
          <reference field="3" count="1" selected="0">
            <x v="2"/>
          </reference>
          <reference field="4" count="1">
            <x v="41"/>
          </reference>
        </references>
      </pivotArea>
    </format>
    <format dxfId="587">
      <pivotArea dataOnly="0" labelOnly="1" outline="0" fieldPosition="0">
        <references count="5">
          <reference field="0" count="1" selected="0">
            <x v="0"/>
          </reference>
          <reference field="1" count="1" selected="0">
            <x v="1043"/>
          </reference>
          <reference field="2" count="1" selected="0">
            <x v="423"/>
          </reference>
          <reference field="3" count="1" selected="0">
            <x v="2"/>
          </reference>
          <reference field="4" count="1">
            <x v="242"/>
          </reference>
        </references>
      </pivotArea>
    </format>
    <format dxfId="586">
      <pivotArea dataOnly="0" labelOnly="1" outline="0" fieldPosition="0">
        <references count="5">
          <reference field="0" count="1" selected="0">
            <x v="0"/>
          </reference>
          <reference field="1" count="1" selected="0">
            <x v="1044"/>
          </reference>
          <reference field="2" count="1" selected="0">
            <x v="424"/>
          </reference>
          <reference field="3" count="1" selected="0">
            <x v="0"/>
          </reference>
          <reference field="4" count="1">
            <x v="0"/>
          </reference>
        </references>
      </pivotArea>
    </format>
    <format dxfId="585">
      <pivotArea dataOnly="0" labelOnly="1" outline="0" fieldPosition="0">
        <references count="5">
          <reference field="0" count="1" selected="0">
            <x v="0"/>
          </reference>
          <reference field="1" count="1" selected="0">
            <x v="1045"/>
          </reference>
          <reference field="2" count="1" selected="0">
            <x v="424"/>
          </reference>
          <reference field="3" count="1" selected="0">
            <x v="0"/>
          </reference>
          <reference field="4" count="1">
            <x v="21"/>
          </reference>
        </references>
      </pivotArea>
    </format>
    <format dxfId="584">
      <pivotArea dataOnly="0" labelOnly="1" outline="0" fieldPosition="0">
        <references count="5">
          <reference field="0" count="1" selected="0">
            <x v="0"/>
          </reference>
          <reference field="1" count="1" selected="0">
            <x v="1046"/>
          </reference>
          <reference field="2" count="1" selected="0">
            <x v="424"/>
          </reference>
          <reference field="3" count="1" selected="0">
            <x v="2"/>
          </reference>
          <reference field="4" count="1">
            <x v="31"/>
          </reference>
        </references>
      </pivotArea>
    </format>
    <format dxfId="583">
      <pivotArea dataOnly="0" labelOnly="1" outline="0" fieldPosition="0">
        <references count="5">
          <reference field="0" count="1" selected="0">
            <x v="0"/>
          </reference>
          <reference field="1" count="1" selected="0">
            <x v="1047"/>
          </reference>
          <reference field="2" count="1" selected="0">
            <x v="424"/>
          </reference>
          <reference field="3" count="1" selected="0">
            <x v="0"/>
          </reference>
          <reference field="4" count="1">
            <x v="159"/>
          </reference>
        </references>
      </pivotArea>
    </format>
    <format dxfId="582">
      <pivotArea dataOnly="0" labelOnly="1" outline="0" fieldPosition="0">
        <references count="5">
          <reference field="0" count="1" selected="0">
            <x v="0"/>
          </reference>
          <reference field="1" count="1" selected="0">
            <x v="1048"/>
          </reference>
          <reference field="2" count="1" selected="0">
            <x v="425"/>
          </reference>
          <reference field="3" count="1" selected="0">
            <x v="2"/>
          </reference>
          <reference field="4" count="1">
            <x v="45"/>
          </reference>
        </references>
      </pivotArea>
    </format>
    <format dxfId="581">
      <pivotArea dataOnly="0" labelOnly="1" outline="0" fieldPosition="0">
        <references count="5">
          <reference field="0" count="1" selected="0">
            <x v="0"/>
          </reference>
          <reference field="1" count="1" selected="0">
            <x v="1049"/>
          </reference>
          <reference field="2" count="1" selected="0">
            <x v="425"/>
          </reference>
          <reference field="3" count="1" selected="0">
            <x v="2"/>
          </reference>
          <reference field="4" count="1">
            <x v="265"/>
          </reference>
        </references>
      </pivotArea>
    </format>
    <format dxfId="580">
      <pivotArea dataOnly="0" labelOnly="1" outline="0" fieldPosition="0">
        <references count="5">
          <reference field="0" count="1" selected="0">
            <x v="0"/>
          </reference>
          <reference field="1" count="1" selected="0">
            <x v="1050"/>
          </reference>
          <reference field="2" count="1" selected="0">
            <x v="425"/>
          </reference>
          <reference field="3" count="1" selected="0">
            <x v="2"/>
          </reference>
          <reference field="4" count="1">
            <x v="267"/>
          </reference>
        </references>
      </pivotArea>
    </format>
    <format dxfId="579">
      <pivotArea dataOnly="0" labelOnly="1" outline="0" fieldPosition="0">
        <references count="5">
          <reference field="0" count="1" selected="0">
            <x v="0"/>
          </reference>
          <reference field="1" count="1" selected="0">
            <x v="1051"/>
          </reference>
          <reference field="2" count="1" selected="0">
            <x v="426"/>
          </reference>
          <reference field="3" count="1" selected="0">
            <x v="3"/>
          </reference>
          <reference field="4" count="1">
            <x v="79"/>
          </reference>
        </references>
      </pivotArea>
    </format>
    <format dxfId="578">
      <pivotArea dataOnly="0" labelOnly="1" outline="0" fieldPosition="0">
        <references count="5">
          <reference field="0" count="1" selected="0">
            <x v="0"/>
          </reference>
          <reference field="1" count="1" selected="0">
            <x v="1052"/>
          </reference>
          <reference field="2" count="1" selected="0">
            <x v="426"/>
          </reference>
          <reference field="3" count="1" selected="0">
            <x v="0"/>
          </reference>
          <reference field="4" count="1">
            <x v="79"/>
          </reference>
        </references>
      </pivotArea>
    </format>
    <format dxfId="577">
      <pivotArea dataOnly="0" labelOnly="1" outline="0" fieldPosition="0">
        <references count="5">
          <reference field="0" count="1" selected="0">
            <x v="0"/>
          </reference>
          <reference field="1" count="1" selected="0">
            <x v="1053"/>
          </reference>
          <reference field="2" count="1" selected="0">
            <x v="426"/>
          </reference>
          <reference field="3" count="1" selected="0">
            <x v="3"/>
          </reference>
          <reference field="4" count="1">
            <x v="107"/>
          </reference>
        </references>
      </pivotArea>
    </format>
    <format dxfId="576">
      <pivotArea dataOnly="0" labelOnly="1" outline="0" fieldPosition="0">
        <references count="5">
          <reference field="0" count="1" selected="0">
            <x v="0"/>
          </reference>
          <reference field="1" count="1" selected="0">
            <x v="1054"/>
          </reference>
          <reference field="2" count="1" selected="0">
            <x v="426"/>
          </reference>
          <reference field="3" count="1" selected="0">
            <x v="3"/>
          </reference>
          <reference field="4" count="1">
            <x v="110"/>
          </reference>
        </references>
      </pivotArea>
    </format>
    <format dxfId="575">
      <pivotArea dataOnly="0" labelOnly="1" outline="0" fieldPosition="0">
        <references count="5">
          <reference field="0" count="1" selected="0">
            <x v="0"/>
          </reference>
          <reference field="1" count="1" selected="0">
            <x v="1055"/>
          </reference>
          <reference field="2" count="1" selected="0">
            <x v="426"/>
          </reference>
          <reference field="3" count="1" selected="0">
            <x v="0"/>
          </reference>
          <reference field="4" count="1">
            <x v="110"/>
          </reference>
        </references>
      </pivotArea>
    </format>
    <format dxfId="574">
      <pivotArea dataOnly="0" labelOnly="1" outline="0" fieldPosition="0">
        <references count="5">
          <reference field="0" count="1" selected="0">
            <x v="0"/>
          </reference>
          <reference field="1" count="1" selected="0">
            <x v="1056"/>
          </reference>
          <reference field="2" count="1" selected="0">
            <x v="426"/>
          </reference>
          <reference field="3" count="1" selected="0">
            <x v="0"/>
          </reference>
          <reference field="4" count="1">
            <x v="120"/>
          </reference>
        </references>
      </pivotArea>
    </format>
    <format dxfId="573">
      <pivotArea dataOnly="0" labelOnly="1" outline="0" fieldPosition="0">
        <references count="5">
          <reference field="0" count="1" selected="0">
            <x v="0"/>
          </reference>
          <reference field="1" count="1" selected="0">
            <x v="1057"/>
          </reference>
          <reference field="2" count="1" selected="0">
            <x v="426"/>
          </reference>
          <reference field="3" count="1" selected="0">
            <x v="0"/>
          </reference>
          <reference field="4" count="1">
            <x v="182"/>
          </reference>
        </references>
      </pivotArea>
    </format>
    <format dxfId="572">
      <pivotArea dataOnly="0" labelOnly="1" outline="0" fieldPosition="0">
        <references count="5">
          <reference field="0" count="1" selected="0">
            <x v="0"/>
          </reference>
          <reference field="1" count="1" selected="0">
            <x v="1058"/>
          </reference>
          <reference field="2" count="1" selected="0">
            <x v="427"/>
          </reference>
          <reference field="3" count="1" selected="0">
            <x v="3"/>
          </reference>
          <reference field="4" count="1">
            <x v="57"/>
          </reference>
        </references>
      </pivotArea>
    </format>
    <format dxfId="571">
      <pivotArea dataOnly="0" labelOnly="1" outline="0" fieldPosition="0">
        <references count="5">
          <reference field="0" count="1" selected="0">
            <x v="0"/>
          </reference>
          <reference field="1" count="1" selected="0">
            <x v="1059"/>
          </reference>
          <reference field="2" count="1" selected="0">
            <x v="427"/>
          </reference>
          <reference field="3" count="1" selected="0">
            <x v="3"/>
          </reference>
          <reference field="4" count="1">
            <x v="146"/>
          </reference>
        </references>
      </pivotArea>
    </format>
    <format dxfId="570">
      <pivotArea dataOnly="0" labelOnly="1" outline="0" fieldPosition="0">
        <references count="5">
          <reference field="0" count="1" selected="0">
            <x v="0"/>
          </reference>
          <reference field="1" count="1" selected="0">
            <x v="1060"/>
          </reference>
          <reference field="2" count="1" selected="0">
            <x v="427"/>
          </reference>
          <reference field="3" count="1" selected="0">
            <x v="3"/>
          </reference>
          <reference field="4" count="1">
            <x v="210"/>
          </reference>
        </references>
      </pivotArea>
    </format>
    <format dxfId="569">
      <pivotArea dataOnly="0" labelOnly="1" outline="0" fieldPosition="0">
        <references count="5">
          <reference field="0" count="1" selected="0">
            <x v="0"/>
          </reference>
          <reference field="1" count="1" selected="0">
            <x v="1061"/>
          </reference>
          <reference field="2" count="1" selected="0">
            <x v="428"/>
          </reference>
          <reference field="3" count="1" selected="0">
            <x v="2"/>
          </reference>
          <reference field="4" count="1">
            <x v="25"/>
          </reference>
        </references>
      </pivotArea>
    </format>
    <format dxfId="568">
      <pivotArea dataOnly="0" labelOnly="1" outline="0" fieldPosition="0">
        <references count="5">
          <reference field="0" count="1" selected="0">
            <x v="0"/>
          </reference>
          <reference field="1" count="1" selected="0">
            <x v="1062"/>
          </reference>
          <reference field="2" count="1" selected="0">
            <x v="428"/>
          </reference>
          <reference field="3" count="1" selected="0">
            <x v="2"/>
          </reference>
          <reference field="4" count="1">
            <x v="26"/>
          </reference>
        </references>
      </pivotArea>
    </format>
    <format dxfId="567">
      <pivotArea dataOnly="0" labelOnly="1" outline="0" fieldPosition="0">
        <references count="5">
          <reference field="0" count="1" selected="0">
            <x v="0"/>
          </reference>
          <reference field="1" count="1" selected="0">
            <x v="1063"/>
          </reference>
          <reference field="2" count="1" selected="0">
            <x v="428"/>
          </reference>
          <reference field="3" count="1" selected="0">
            <x v="2"/>
          </reference>
          <reference field="4" count="1">
            <x v="72"/>
          </reference>
        </references>
      </pivotArea>
    </format>
    <format dxfId="566">
      <pivotArea dataOnly="0" labelOnly="1" outline="0" fieldPosition="0">
        <references count="5">
          <reference field="0" count="1" selected="0">
            <x v="0"/>
          </reference>
          <reference field="1" count="1" selected="0">
            <x v="1064"/>
          </reference>
          <reference field="2" count="1" selected="0">
            <x v="428"/>
          </reference>
          <reference field="3" count="1" selected="0">
            <x v="2"/>
          </reference>
          <reference field="4" count="1">
            <x v="79"/>
          </reference>
        </references>
      </pivotArea>
    </format>
    <format dxfId="565">
      <pivotArea dataOnly="0" labelOnly="1" outline="0" fieldPosition="0">
        <references count="5">
          <reference field="0" count="1" selected="0">
            <x v="0"/>
          </reference>
          <reference field="1" count="1" selected="0">
            <x v="1065"/>
          </reference>
          <reference field="2" count="1" selected="0">
            <x v="428"/>
          </reference>
          <reference field="3" count="1" selected="0">
            <x v="2"/>
          </reference>
          <reference field="4" count="1">
            <x v="80"/>
          </reference>
        </references>
      </pivotArea>
    </format>
    <format dxfId="564">
      <pivotArea dataOnly="0" labelOnly="1" outline="0" fieldPosition="0">
        <references count="5">
          <reference field="0" count="1" selected="0">
            <x v="0"/>
          </reference>
          <reference field="1" count="1" selected="0">
            <x v="1066"/>
          </reference>
          <reference field="2" count="1" selected="0">
            <x v="428"/>
          </reference>
          <reference field="3" count="1" selected="0">
            <x v="2"/>
          </reference>
          <reference field="4" count="1">
            <x v="110"/>
          </reference>
        </references>
      </pivotArea>
    </format>
    <format dxfId="563">
      <pivotArea dataOnly="0" labelOnly="1" outline="0" fieldPosition="0">
        <references count="5">
          <reference field="0" count="1" selected="0">
            <x v="0"/>
          </reference>
          <reference field="1" count="1" selected="0">
            <x v="1067"/>
          </reference>
          <reference field="2" count="1" selected="0">
            <x v="428"/>
          </reference>
          <reference field="3" count="1" selected="0">
            <x v="2"/>
          </reference>
          <reference field="4" count="1">
            <x v="130"/>
          </reference>
        </references>
      </pivotArea>
    </format>
    <format dxfId="562">
      <pivotArea dataOnly="0" labelOnly="1" outline="0" fieldPosition="0">
        <references count="5">
          <reference field="0" count="1" selected="0">
            <x v="0"/>
          </reference>
          <reference field="1" count="1" selected="0">
            <x v="1068"/>
          </reference>
          <reference field="2" count="1" selected="0">
            <x v="428"/>
          </reference>
          <reference field="3" count="1" selected="0">
            <x v="2"/>
          </reference>
          <reference field="4" count="1">
            <x v="188"/>
          </reference>
        </references>
      </pivotArea>
    </format>
    <format dxfId="561">
      <pivotArea dataOnly="0" labelOnly="1" outline="0" fieldPosition="0">
        <references count="5">
          <reference field="0" count="1" selected="0">
            <x v="0"/>
          </reference>
          <reference field="1" count="1" selected="0">
            <x v="1069"/>
          </reference>
          <reference field="2" count="1" selected="0">
            <x v="428"/>
          </reference>
          <reference field="3" count="1" selected="0">
            <x v="2"/>
          </reference>
          <reference field="4" count="1">
            <x v="231"/>
          </reference>
        </references>
      </pivotArea>
    </format>
    <format dxfId="560">
      <pivotArea dataOnly="0" labelOnly="1" outline="0" fieldPosition="0">
        <references count="5">
          <reference field="0" count="1" selected="0">
            <x v="0"/>
          </reference>
          <reference field="1" count="1" selected="0">
            <x v="1070"/>
          </reference>
          <reference field="2" count="1" selected="0">
            <x v="428"/>
          </reference>
          <reference field="3" count="1" selected="0">
            <x v="3"/>
          </reference>
          <reference field="4" count="1">
            <x v="231"/>
          </reference>
        </references>
      </pivotArea>
    </format>
    <format dxfId="559">
      <pivotArea dataOnly="0" labelOnly="1" outline="0" fieldPosition="0">
        <references count="5">
          <reference field="0" count="1" selected="0">
            <x v="0"/>
          </reference>
          <reference field="1" count="1" selected="0">
            <x v="1071"/>
          </reference>
          <reference field="2" count="1" selected="0">
            <x v="428"/>
          </reference>
          <reference field="3" count="1" selected="0">
            <x v="2"/>
          </reference>
          <reference field="4" count="1">
            <x v="234"/>
          </reference>
        </references>
      </pivotArea>
    </format>
    <format dxfId="558">
      <pivotArea dataOnly="0" labelOnly="1" outline="0" fieldPosition="0">
        <references count="5">
          <reference field="0" count="1" selected="0">
            <x v="0"/>
          </reference>
          <reference field="1" count="1" selected="0">
            <x v="1072"/>
          </reference>
          <reference field="2" count="1" selected="0">
            <x v="429"/>
          </reference>
          <reference field="3" count="1" selected="0">
            <x v="2"/>
          </reference>
          <reference field="4" count="1">
            <x v="28"/>
          </reference>
        </references>
      </pivotArea>
    </format>
    <format dxfId="557">
      <pivotArea dataOnly="0" labelOnly="1" outline="0" fieldPosition="0">
        <references count="5">
          <reference field="0" count="1" selected="0">
            <x v="0"/>
          </reference>
          <reference field="1" count="1" selected="0">
            <x v="1073"/>
          </reference>
          <reference field="2" count="1" selected="0">
            <x v="429"/>
          </reference>
          <reference field="3" count="1" selected="0">
            <x v="2"/>
          </reference>
          <reference field="4" count="1">
            <x v="44"/>
          </reference>
        </references>
      </pivotArea>
    </format>
    <format dxfId="556">
      <pivotArea dataOnly="0" labelOnly="1" outline="0" fieldPosition="0">
        <references count="5">
          <reference field="0" count="1" selected="0">
            <x v="0"/>
          </reference>
          <reference field="1" count="1" selected="0">
            <x v="1074"/>
          </reference>
          <reference field="2" count="1" selected="0">
            <x v="429"/>
          </reference>
          <reference field="3" count="1" selected="0">
            <x v="2"/>
          </reference>
          <reference field="4" count="1">
            <x v="79"/>
          </reference>
        </references>
      </pivotArea>
    </format>
    <format dxfId="555">
      <pivotArea dataOnly="0" labelOnly="1" outline="0" fieldPosition="0">
        <references count="5">
          <reference field="0" count="1" selected="0">
            <x v="0"/>
          </reference>
          <reference field="1" count="1" selected="0">
            <x v="1075"/>
          </reference>
          <reference field="2" count="1" selected="0">
            <x v="429"/>
          </reference>
          <reference field="3" count="1" selected="0">
            <x v="2"/>
          </reference>
          <reference field="4" count="1">
            <x v="110"/>
          </reference>
        </references>
      </pivotArea>
    </format>
    <format dxfId="554">
      <pivotArea dataOnly="0" labelOnly="1" outline="0" fieldPosition="0">
        <references count="5">
          <reference field="0" count="1" selected="0">
            <x v="0"/>
          </reference>
          <reference field="1" count="1" selected="0">
            <x v="1076"/>
          </reference>
          <reference field="2" count="1" selected="0">
            <x v="430"/>
          </reference>
          <reference field="3" count="1" selected="0">
            <x v="2"/>
          </reference>
          <reference field="4" count="1">
            <x v="56"/>
          </reference>
        </references>
      </pivotArea>
    </format>
    <format dxfId="553">
      <pivotArea dataOnly="0" labelOnly="1" outline="0" fieldPosition="0">
        <references count="5">
          <reference field="0" count="1" selected="0">
            <x v="0"/>
          </reference>
          <reference field="1" count="1" selected="0">
            <x v="1077"/>
          </reference>
          <reference field="2" count="1" selected="0">
            <x v="430"/>
          </reference>
          <reference field="3" count="1" selected="0">
            <x v="2"/>
          </reference>
          <reference field="4" count="1">
            <x v="70"/>
          </reference>
        </references>
      </pivotArea>
    </format>
    <format dxfId="552">
      <pivotArea dataOnly="0" labelOnly="1" outline="0" fieldPosition="0">
        <references count="5">
          <reference field="0" count="1" selected="0">
            <x v="0"/>
          </reference>
          <reference field="1" count="1" selected="0">
            <x v="1078"/>
          </reference>
          <reference field="2" count="1" selected="0">
            <x v="430"/>
          </reference>
          <reference field="3" count="1" selected="0">
            <x v="2"/>
          </reference>
          <reference field="4" count="1">
            <x v="72"/>
          </reference>
        </references>
      </pivotArea>
    </format>
    <format dxfId="551">
      <pivotArea dataOnly="0" labelOnly="1" outline="0" fieldPosition="0">
        <references count="5">
          <reference field="0" count="1" selected="0">
            <x v="0"/>
          </reference>
          <reference field="1" count="1" selected="0">
            <x v="1079"/>
          </reference>
          <reference field="2" count="1" selected="0">
            <x v="430"/>
          </reference>
          <reference field="3" count="1" selected="0">
            <x v="2"/>
          </reference>
          <reference field="4" count="1">
            <x v="115"/>
          </reference>
        </references>
      </pivotArea>
    </format>
    <format dxfId="550">
      <pivotArea dataOnly="0" labelOnly="1" outline="0" fieldPosition="0">
        <references count="5">
          <reference field="0" count="1" selected="0">
            <x v="0"/>
          </reference>
          <reference field="1" count="1" selected="0">
            <x v="1080"/>
          </reference>
          <reference field="2" count="1" selected="0">
            <x v="430"/>
          </reference>
          <reference field="3" count="1" selected="0">
            <x v="2"/>
          </reference>
          <reference field="4" count="1">
            <x v="142"/>
          </reference>
        </references>
      </pivotArea>
    </format>
    <format dxfId="549">
      <pivotArea dataOnly="0" labelOnly="1" outline="0" fieldPosition="0">
        <references count="5">
          <reference field="0" count="1" selected="0">
            <x v="0"/>
          </reference>
          <reference field="1" count="1" selected="0">
            <x v="1081"/>
          </reference>
          <reference field="2" count="1" selected="0">
            <x v="430"/>
          </reference>
          <reference field="3" count="1" selected="0">
            <x v="2"/>
          </reference>
          <reference field="4" count="1">
            <x v="165"/>
          </reference>
        </references>
      </pivotArea>
    </format>
    <format dxfId="548">
      <pivotArea dataOnly="0" labelOnly="1" outline="0" fieldPosition="0">
        <references count="5">
          <reference field="0" count="1" selected="0">
            <x v="0"/>
          </reference>
          <reference field="1" count="1" selected="0">
            <x v="1082"/>
          </reference>
          <reference field="2" count="1" selected="0">
            <x v="430"/>
          </reference>
          <reference field="3" count="1" selected="0">
            <x v="2"/>
          </reference>
          <reference field="4" count="1">
            <x v="181"/>
          </reference>
        </references>
      </pivotArea>
    </format>
    <format dxfId="547">
      <pivotArea dataOnly="0" labelOnly="1" outline="0" fieldPosition="0">
        <references count="5">
          <reference field="0" count="1" selected="0">
            <x v="0"/>
          </reference>
          <reference field="1" count="1" selected="0">
            <x v="1083"/>
          </reference>
          <reference field="2" count="1" selected="0">
            <x v="430"/>
          </reference>
          <reference field="3" count="1" selected="0">
            <x v="2"/>
          </reference>
          <reference field="4" count="1">
            <x v="204"/>
          </reference>
        </references>
      </pivotArea>
    </format>
    <format dxfId="546">
      <pivotArea dataOnly="0" labelOnly="1" outline="0" fieldPosition="0">
        <references count="5">
          <reference field="0" count="1" selected="0">
            <x v="0"/>
          </reference>
          <reference field="1" count="1" selected="0">
            <x v="1084"/>
          </reference>
          <reference field="2" count="1" selected="0">
            <x v="430"/>
          </reference>
          <reference field="3" count="1" selected="0">
            <x v="2"/>
          </reference>
          <reference field="4" count="1">
            <x v="205"/>
          </reference>
        </references>
      </pivotArea>
    </format>
    <format dxfId="545">
      <pivotArea dataOnly="0" labelOnly="1" outline="0" fieldPosition="0">
        <references count="5">
          <reference field="0" count="1" selected="0">
            <x v="0"/>
          </reference>
          <reference field="1" count="1" selected="0">
            <x v="1085"/>
          </reference>
          <reference field="2" count="1" selected="0">
            <x v="431"/>
          </reference>
          <reference field="3" count="1" selected="0">
            <x v="2"/>
          </reference>
          <reference field="4" count="1">
            <x v="46"/>
          </reference>
        </references>
      </pivotArea>
    </format>
    <format dxfId="544">
      <pivotArea dataOnly="0" labelOnly="1" outline="0" fieldPosition="0">
        <references count="5">
          <reference field="0" count="1" selected="0">
            <x v="0"/>
          </reference>
          <reference field="1" count="1" selected="0">
            <x v="1086"/>
          </reference>
          <reference field="2" count="1" selected="0">
            <x v="431"/>
          </reference>
          <reference field="3" count="1" selected="0">
            <x v="2"/>
          </reference>
          <reference field="4" count="1">
            <x v="73"/>
          </reference>
        </references>
      </pivotArea>
    </format>
    <format dxfId="543">
      <pivotArea dataOnly="0" labelOnly="1" outline="0" fieldPosition="0">
        <references count="5">
          <reference field="0" count="1" selected="0">
            <x v="0"/>
          </reference>
          <reference field="1" count="1" selected="0">
            <x v="1087"/>
          </reference>
          <reference field="2" count="1" selected="0">
            <x v="431"/>
          </reference>
          <reference field="3" count="1" selected="0">
            <x v="2"/>
          </reference>
          <reference field="4" count="1">
            <x v="102"/>
          </reference>
        </references>
      </pivotArea>
    </format>
    <format dxfId="542">
      <pivotArea dataOnly="0" labelOnly="1" outline="0" fieldPosition="0">
        <references count="5">
          <reference field="0" count="1" selected="0">
            <x v="0"/>
          </reference>
          <reference field="1" count="1" selected="0">
            <x v="1088"/>
          </reference>
          <reference field="2" count="1" selected="0">
            <x v="431"/>
          </reference>
          <reference field="3" count="1" selected="0">
            <x v="2"/>
          </reference>
          <reference field="4" count="1">
            <x v="104"/>
          </reference>
        </references>
      </pivotArea>
    </format>
    <format dxfId="541">
      <pivotArea dataOnly="0" labelOnly="1" outline="0" fieldPosition="0">
        <references count="5">
          <reference field="0" count="1" selected="0">
            <x v="0"/>
          </reference>
          <reference field="1" count="1" selected="0">
            <x v="1089"/>
          </reference>
          <reference field="2" count="1" selected="0">
            <x v="431"/>
          </reference>
          <reference field="3" count="1" selected="0">
            <x v="2"/>
          </reference>
          <reference field="4" count="1">
            <x v="106"/>
          </reference>
        </references>
      </pivotArea>
    </format>
    <format dxfId="540">
      <pivotArea dataOnly="0" labelOnly="1" outline="0" fieldPosition="0">
        <references count="5">
          <reference field="0" count="1" selected="0">
            <x v="0"/>
          </reference>
          <reference field="1" count="1" selected="0">
            <x v="1090"/>
          </reference>
          <reference field="2" count="1" selected="0">
            <x v="431"/>
          </reference>
          <reference field="3" count="1" selected="0">
            <x v="2"/>
          </reference>
          <reference field="4" count="1">
            <x v="124"/>
          </reference>
        </references>
      </pivotArea>
    </format>
    <format dxfId="539">
      <pivotArea dataOnly="0" labelOnly="1" outline="0" fieldPosition="0">
        <references count="5">
          <reference field="0" count="1" selected="0">
            <x v="0"/>
          </reference>
          <reference field="1" count="1" selected="0">
            <x v="1091"/>
          </reference>
          <reference field="2" count="1" selected="0">
            <x v="431"/>
          </reference>
          <reference field="3" count="1" selected="0">
            <x v="2"/>
          </reference>
          <reference field="4" count="1">
            <x v="172"/>
          </reference>
        </references>
      </pivotArea>
    </format>
    <format dxfId="538">
      <pivotArea dataOnly="0" labelOnly="1" outline="0" fieldPosition="0">
        <references count="5">
          <reference field="0" count="1" selected="0">
            <x v="0"/>
          </reference>
          <reference field="1" count="1" selected="0">
            <x v="1092"/>
          </reference>
          <reference field="2" count="1" selected="0">
            <x v="431"/>
          </reference>
          <reference field="3" count="1" selected="0">
            <x v="2"/>
          </reference>
          <reference field="4" count="1">
            <x v="193"/>
          </reference>
        </references>
      </pivotArea>
    </format>
    <format dxfId="537">
      <pivotArea dataOnly="0" labelOnly="1" outline="0" fieldPosition="0">
        <references count="5">
          <reference field="0" count="1" selected="0">
            <x v="0"/>
          </reference>
          <reference field="1" count="1" selected="0">
            <x v="1093"/>
          </reference>
          <reference field="2" count="1" selected="0">
            <x v="431"/>
          </reference>
          <reference field="3" count="1" selected="0">
            <x v="2"/>
          </reference>
          <reference field="4" count="1">
            <x v="234"/>
          </reference>
        </references>
      </pivotArea>
    </format>
    <format dxfId="536">
      <pivotArea dataOnly="0" labelOnly="1" outline="0" fieldPosition="0">
        <references count="5">
          <reference field="0" count="1" selected="0">
            <x v="0"/>
          </reference>
          <reference field="1" count="1" selected="0">
            <x v="1094"/>
          </reference>
          <reference field="2" count="1" selected="0">
            <x v="431"/>
          </reference>
          <reference field="3" count="1" selected="0">
            <x v="2"/>
          </reference>
          <reference field="4" count="1">
            <x v="239"/>
          </reference>
        </references>
      </pivotArea>
    </format>
    <format dxfId="535">
      <pivotArea dataOnly="0" labelOnly="1" outline="0" fieldPosition="0">
        <references count="5">
          <reference field="0" count="1" selected="0">
            <x v="0"/>
          </reference>
          <reference field="1" count="1" selected="0">
            <x v="1095"/>
          </reference>
          <reference field="2" count="1" selected="0">
            <x v="431"/>
          </reference>
          <reference field="3" count="1" selected="0">
            <x v="2"/>
          </reference>
          <reference field="4" count="1">
            <x v="242"/>
          </reference>
        </references>
      </pivotArea>
    </format>
    <format dxfId="534">
      <pivotArea dataOnly="0" labelOnly="1" outline="0" fieldPosition="0">
        <references count="5">
          <reference field="0" count="1" selected="0">
            <x v="0"/>
          </reference>
          <reference field="1" count="1" selected="0">
            <x v="1096"/>
          </reference>
          <reference field="2" count="1" selected="0">
            <x v="432"/>
          </reference>
          <reference field="3" count="1" selected="0">
            <x v="2"/>
          </reference>
          <reference field="4" count="1">
            <x v="149"/>
          </reference>
        </references>
      </pivotArea>
    </format>
    <format dxfId="533">
      <pivotArea dataOnly="0" labelOnly="1" outline="0" fieldPosition="0">
        <references count="5">
          <reference field="0" count="1" selected="0">
            <x v="0"/>
          </reference>
          <reference field="1" count="1" selected="0">
            <x v="1097"/>
          </reference>
          <reference field="2" count="1" selected="0">
            <x v="432"/>
          </reference>
          <reference field="3" count="1" selected="0">
            <x v="2"/>
          </reference>
          <reference field="4" count="1">
            <x v="172"/>
          </reference>
        </references>
      </pivotArea>
    </format>
    <format dxfId="532">
      <pivotArea dataOnly="0" labelOnly="1" outline="0" fieldPosition="0">
        <references count="5">
          <reference field="0" count="1" selected="0">
            <x v="0"/>
          </reference>
          <reference field="1" count="1" selected="0">
            <x v="1098"/>
          </reference>
          <reference field="2" count="1" selected="0">
            <x v="433"/>
          </reference>
          <reference field="3" count="1" selected="0">
            <x v="2"/>
          </reference>
          <reference field="4" count="1">
            <x v="41"/>
          </reference>
        </references>
      </pivotArea>
    </format>
    <format dxfId="531">
      <pivotArea dataOnly="0" labelOnly="1" outline="0" fieldPosition="0">
        <references count="5">
          <reference field="0" count="1" selected="0">
            <x v="0"/>
          </reference>
          <reference field="1" count="1" selected="0">
            <x v="1099"/>
          </reference>
          <reference field="2" count="1" selected="0">
            <x v="433"/>
          </reference>
          <reference field="3" count="1" selected="0">
            <x v="2"/>
          </reference>
          <reference field="4" count="1">
            <x v="110"/>
          </reference>
        </references>
      </pivotArea>
    </format>
    <format dxfId="530">
      <pivotArea dataOnly="0" labelOnly="1" outline="0" fieldPosition="0">
        <references count="5">
          <reference field="0" count="1" selected="0">
            <x v="0"/>
          </reference>
          <reference field="1" count="1" selected="0">
            <x v="1100"/>
          </reference>
          <reference field="2" count="1" selected="0">
            <x v="433"/>
          </reference>
          <reference field="3" count="1" selected="0">
            <x v="2"/>
          </reference>
          <reference field="4" count="1">
            <x v="181"/>
          </reference>
        </references>
      </pivotArea>
    </format>
    <format dxfId="529">
      <pivotArea dataOnly="0" labelOnly="1" outline="0" fieldPosition="0">
        <references count="5">
          <reference field="0" count="1" selected="0">
            <x v="0"/>
          </reference>
          <reference field="1" count="1" selected="0">
            <x v="1101"/>
          </reference>
          <reference field="2" count="1" selected="0">
            <x v="434"/>
          </reference>
          <reference field="3" count="1" selected="0">
            <x v="2"/>
          </reference>
          <reference field="4" count="1">
            <x v="240"/>
          </reference>
        </references>
      </pivotArea>
    </format>
    <format dxfId="528">
      <pivotArea dataOnly="0" labelOnly="1" outline="0" fieldPosition="0">
        <references count="5">
          <reference field="0" count="1" selected="0">
            <x v="0"/>
          </reference>
          <reference field="1" count="1" selected="0">
            <x v="1102"/>
          </reference>
          <reference field="2" count="1" selected="0">
            <x v="435"/>
          </reference>
          <reference field="3" count="1" selected="0">
            <x v="2"/>
          </reference>
          <reference field="4" count="1">
            <x v="52"/>
          </reference>
        </references>
      </pivotArea>
    </format>
    <format dxfId="527">
      <pivotArea dataOnly="0" labelOnly="1" outline="0" fieldPosition="0">
        <references count="5">
          <reference field="0" count="1" selected="0">
            <x v="0"/>
          </reference>
          <reference field="1" count="1" selected="0">
            <x v="1103"/>
          </reference>
          <reference field="2" count="1" selected="0">
            <x v="435"/>
          </reference>
          <reference field="3" count="1" selected="0">
            <x v="2"/>
          </reference>
          <reference field="4" count="1">
            <x v="64"/>
          </reference>
        </references>
      </pivotArea>
    </format>
    <format dxfId="526">
      <pivotArea dataOnly="0" labelOnly="1" outline="0" fieldPosition="0">
        <references count="5">
          <reference field="0" count="1" selected="0">
            <x v="0"/>
          </reference>
          <reference field="1" count="1" selected="0">
            <x v="1104"/>
          </reference>
          <reference field="2" count="1" selected="0">
            <x v="435"/>
          </reference>
          <reference field="3" count="1" selected="0">
            <x v="2"/>
          </reference>
          <reference field="4" count="1">
            <x v="87"/>
          </reference>
        </references>
      </pivotArea>
    </format>
    <format dxfId="525">
      <pivotArea dataOnly="0" labelOnly="1" outline="0" fieldPosition="0">
        <references count="5">
          <reference field="0" count="1" selected="0">
            <x v="0"/>
          </reference>
          <reference field="1" count="1" selected="0">
            <x v="1105"/>
          </reference>
          <reference field="2" count="1" selected="0">
            <x v="435"/>
          </reference>
          <reference field="3" count="1" selected="0">
            <x v="2"/>
          </reference>
          <reference field="4" count="1">
            <x v="110"/>
          </reference>
        </references>
      </pivotArea>
    </format>
    <format dxfId="524">
      <pivotArea dataOnly="0" labelOnly="1" outline="0" fieldPosition="0">
        <references count="5">
          <reference field="0" count="1" selected="0">
            <x v="0"/>
          </reference>
          <reference field="1" count="1" selected="0">
            <x v="1106"/>
          </reference>
          <reference field="2" count="1" selected="0">
            <x v="435"/>
          </reference>
          <reference field="3" count="1" selected="0">
            <x v="2"/>
          </reference>
          <reference field="4" count="1">
            <x v="167"/>
          </reference>
        </references>
      </pivotArea>
    </format>
    <format dxfId="523">
      <pivotArea dataOnly="0" labelOnly="1" outline="0" fieldPosition="0">
        <references count="5">
          <reference field="0" count="1" selected="0">
            <x v="0"/>
          </reference>
          <reference field="1" count="1" selected="0">
            <x v="1107"/>
          </reference>
          <reference field="2" count="1" selected="0">
            <x v="435"/>
          </reference>
          <reference field="3" count="1" selected="0">
            <x v="2"/>
          </reference>
          <reference field="4" count="1">
            <x v="231"/>
          </reference>
        </references>
      </pivotArea>
    </format>
    <format dxfId="522">
      <pivotArea dataOnly="0" labelOnly="1" outline="0" fieldPosition="0">
        <references count="5">
          <reference field="0" count="1" selected="0">
            <x v="0"/>
          </reference>
          <reference field="1" count="1" selected="0">
            <x v="1108"/>
          </reference>
          <reference field="2" count="1" selected="0">
            <x v="436"/>
          </reference>
          <reference field="3" count="1" selected="0">
            <x v="2"/>
          </reference>
          <reference field="4" count="1">
            <x v="110"/>
          </reference>
        </references>
      </pivotArea>
    </format>
    <format dxfId="521">
      <pivotArea dataOnly="0" labelOnly="1" outline="0" fieldPosition="0">
        <references count="5">
          <reference field="0" count="1" selected="0">
            <x v="0"/>
          </reference>
          <reference field="1" count="1" selected="0">
            <x v="1109"/>
          </reference>
          <reference field="2" count="1" selected="0">
            <x v="436"/>
          </reference>
          <reference field="3" count="1" selected="0">
            <x v="2"/>
          </reference>
          <reference field="4" count="1">
            <x v="162"/>
          </reference>
        </references>
      </pivotArea>
    </format>
    <format dxfId="520">
      <pivotArea dataOnly="0" labelOnly="1" outline="0" fieldPosition="0">
        <references count="5">
          <reference field="0" count="1" selected="0">
            <x v="0"/>
          </reference>
          <reference field="1" count="1" selected="0">
            <x v="1110"/>
          </reference>
          <reference field="2" count="1" selected="0">
            <x v="436"/>
          </reference>
          <reference field="3" count="1" selected="0">
            <x v="2"/>
          </reference>
          <reference field="4" count="1">
            <x v="215"/>
          </reference>
        </references>
      </pivotArea>
    </format>
    <format dxfId="519">
      <pivotArea dataOnly="0" labelOnly="1" outline="0" fieldPosition="0">
        <references count="5">
          <reference field="0" count="1" selected="0">
            <x v="0"/>
          </reference>
          <reference field="1" count="1" selected="0">
            <x v="1111"/>
          </reference>
          <reference field="2" count="1" selected="0">
            <x v="436"/>
          </reference>
          <reference field="3" count="1" selected="0">
            <x v="2"/>
          </reference>
          <reference field="4" count="1">
            <x v="269"/>
          </reference>
        </references>
      </pivotArea>
    </format>
    <format dxfId="518">
      <pivotArea dataOnly="0" labelOnly="1" outline="0" fieldPosition="0">
        <references count="5">
          <reference field="0" count="1" selected="0">
            <x v="0"/>
          </reference>
          <reference field="1" count="1" selected="0">
            <x v="1112"/>
          </reference>
          <reference field="2" count="1" selected="0">
            <x v="436"/>
          </reference>
          <reference field="3" count="1" selected="0">
            <x v="2"/>
          </reference>
          <reference field="4" count="1">
            <x v="274"/>
          </reference>
        </references>
      </pivotArea>
    </format>
    <format dxfId="517">
      <pivotArea dataOnly="0" labelOnly="1" outline="0" fieldPosition="0">
        <references count="5">
          <reference field="0" count="1" selected="0">
            <x v="0"/>
          </reference>
          <reference field="1" count="1" selected="0">
            <x v="1113"/>
          </reference>
          <reference field="2" count="1" selected="0">
            <x v="436"/>
          </reference>
          <reference field="3" count="1" selected="0">
            <x v="2"/>
          </reference>
          <reference field="4" count="1">
            <x v="288"/>
          </reference>
        </references>
      </pivotArea>
    </format>
    <format dxfId="516">
      <pivotArea dataOnly="0" labelOnly="1" outline="0" fieldPosition="0">
        <references count="5">
          <reference field="0" count="1" selected="0">
            <x v="0"/>
          </reference>
          <reference field="1" count="1" selected="0">
            <x v="1114"/>
          </reference>
          <reference field="2" count="1" selected="0">
            <x v="437"/>
          </reference>
          <reference field="3" count="1" selected="0">
            <x v="2"/>
          </reference>
          <reference field="4" count="1">
            <x v="206"/>
          </reference>
        </references>
      </pivotArea>
    </format>
    <format dxfId="515">
      <pivotArea dataOnly="0" labelOnly="1" outline="0" fieldPosition="0">
        <references count="5">
          <reference field="0" count="1" selected="0">
            <x v="0"/>
          </reference>
          <reference field="1" count="1" selected="0">
            <x v="1115"/>
          </reference>
          <reference field="2" count="1" selected="0">
            <x v="438"/>
          </reference>
          <reference field="3" count="1" selected="0">
            <x v="2"/>
          </reference>
          <reference field="4" count="1">
            <x v="238"/>
          </reference>
        </references>
      </pivotArea>
    </format>
    <format dxfId="514">
      <pivotArea dataOnly="0" labelOnly="1" outline="0" fieldPosition="0">
        <references count="5">
          <reference field="0" count="1" selected="0">
            <x v="0"/>
          </reference>
          <reference field="1" count="1" selected="0">
            <x v="1116"/>
          </reference>
          <reference field="2" count="1" selected="0">
            <x v="439"/>
          </reference>
          <reference field="3" count="1" selected="0">
            <x v="2"/>
          </reference>
          <reference field="4" count="1">
            <x v="131"/>
          </reference>
        </references>
      </pivotArea>
    </format>
    <format dxfId="513">
      <pivotArea dataOnly="0" labelOnly="1" outline="0" fieldPosition="0">
        <references count="5">
          <reference field="0" count="1" selected="0">
            <x v="0"/>
          </reference>
          <reference field="1" count="1" selected="0">
            <x v="1117"/>
          </reference>
          <reference field="2" count="1" selected="0">
            <x v="439"/>
          </reference>
          <reference field="3" count="1" selected="0">
            <x v="2"/>
          </reference>
          <reference field="4" count="1">
            <x v="138"/>
          </reference>
        </references>
      </pivotArea>
    </format>
    <format dxfId="512">
      <pivotArea dataOnly="0" labelOnly="1" outline="0" fieldPosition="0">
        <references count="5">
          <reference field="0" count="1" selected="0">
            <x v="0"/>
          </reference>
          <reference field="1" count="1" selected="0">
            <x v="1118"/>
          </reference>
          <reference field="2" count="1" selected="0">
            <x v="439"/>
          </reference>
          <reference field="3" count="1" selected="0">
            <x v="2"/>
          </reference>
          <reference field="4" count="1">
            <x v="165"/>
          </reference>
        </references>
      </pivotArea>
    </format>
    <format dxfId="511">
      <pivotArea dataOnly="0" labelOnly="1" outline="0" fieldPosition="0">
        <references count="5">
          <reference field="0" count="1" selected="0">
            <x v="0"/>
          </reference>
          <reference field="1" count="1" selected="0">
            <x v="1119"/>
          </reference>
          <reference field="2" count="1" selected="0">
            <x v="439"/>
          </reference>
          <reference field="3" count="1" selected="0">
            <x v="2"/>
          </reference>
          <reference field="4" count="1">
            <x v="183"/>
          </reference>
        </references>
      </pivotArea>
    </format>
    <format dxfId="510">
      <pivotArea dataOnly="0" labelOnly="1" outline="0" fieldPosition="0">
        <references count="5">
          <reference field="0" count="1" selected="0">
            <x v="0"/>
          </reference>
          <reference field="1" count="1" selected="0">
            <x v="1120"/>
          </reference>
          <reference field="2" count="1" selected="0">
            <x v="439"/>
          </reference>
          <reference field="3" count="1" selected="0">
            <x v="2"/>
          </reference>
          <reference field="4" count="1">
            <x v="202"/>
          </reference>
        </references>
      </pivotArea>
    </format>
    <format dxfId="509">
      <pivotArea dataOnly="0" labelOnly="1" outline="0" fieldPosition="0">
        <references count="5">
          <reference field="0" count="1" selected="0">
            <x v="0"/>
          </reference>
          <reference field="1" count="1" selected="0">
            <x v="1121"/>
          </reference>
          <reference field="2" count="1" selected="0">
            <x v="439"/>
          </reference>
          <reference field="3" count="1" selected="0">
            <x v="2"/>
          </reference>
          <reference field="4" count="1">
            <x v="223"/>
          </reference>
        </references>
      </pivotArea>
    </format>
    <format dxfId="508">
      <pivotArea dataOnly="0" labelOnly="1" outline="0" fieldPosition="0">
        <references count="5">
          <reference field="0" count="1" selected="0">
            <x v="0"/>
          </reference>
          <reference field="1" count="1" selected="0">
            <x v="1122"/>
          </reference>
          <reference field="2" count="1" selected="0">
            <x v="439"/>
          </reference>
          <reference field="3" count="1" selected="0">
            <x v="2"/>
          </reference>
          <reference field="4" count="1">
            <x v="227"/>
          </reference>
        </references>
      </pivotArea>
    </format>
    <format dxfId="507">
      <pivotArea dataOnly="0" labelOnly="1" outline="0" fieldPosition="0">
        <references count="5">
          <reference field="0" count="1" selected="0">
            <x v="0"/>
          </reference>
          <reference field="1" count="1" selected="0">
            <x v="1123"/>
          </reference>
          <reference field="2" count="1" selected="0">
            <x v="440"/>
          </reference>
          <reference field="3" count="1" selected="0">
            <x v="2"/>
          </reference>
          <reference field="4" count="1">
            <x v="45"/>
          </reference>
        </references>
      </pivotArea>
    </format>
    <format dxfId="506">
      <pivotArea dataOnly="0" labelOnly="1" outline="0" fieldPosition="0">
        <references count="5">
          <reference field="0" count="1" selected="0">
            <x v="0"/>
          </reference>
          <reference field="1" count="1" selected="0">
            <x v="1124"/>
          </reference>
          <reference field="2" count="1" selected="0">
            <x v="440"/>
          </reference>
          <reference field="3" count="1" selected="0">
            <x v="2"/>
          </reference>
          <reference field="4" count="1">
            <x v="104"/>
          </reference>
        </references>
      </pivotArea>
    </format>
    <format dxfId="505">
      <pivotArea dataOnly="0" labelOnly="1" outline="0" fieldPosition="0">
        <references count="5">
          <reference field="0" count="1" selected="0">
            <x v="0"/>
          </reference>
          <reference field="1" count="1" selected="0">
            <x v="1125"/>
          </reference>
          <reference field="2" count="1" selected="0">
            <x v="440"/>
          </reference>
          <reference field="3" count="1" selected="0">
            <x v="2"/>
          </reference>
          <reference field="4" count="1">
            <x v="130"/>
          </reference>
        </references>
      </pivotArea>
    </format>
    <format dxfId="504">
      <pivotArea dataOnly="0" labelOnly="1" outline="0" fieldPosition="0">
        <references count="5">
          <reference field="0" count="1" selected="0">
            <x v="0"/>
          </reference>
          <reference field="1" count="1" selected="0">
            <x v="1126"/>
          </reference>
          <reference field="2" count="1" selected="0">
            <x v="441"/>
          </reference>
          <reference field="3" count="1" selected="0">
            <x v="2"/>
          </reference>
          <reference field="4" count="1">
            <x v="42"/>
          </reference>
        </references>
      </pivotArea>
    </format>
    <format dxfId="503">
      <pivotArea dataOnly="0" labelOnly="1" outline="0" fieldPosition="0">
        <references count="5">
          <reference field="0" count="1" selected="0">
            <x v="0"/>
          </reference>
          <reference field="1" count="1" selected="0">
            <x v="1127"/>
          </reference>
          <reference field="2" count="1" selected="0">
            <x v="441"/>
          </reference>
          <reference field="3" count="1" selected="0">
            <x v="2"/>
          </reference>
          <reference field="4" count="1">
            <x v="64"/>
          </reference>
        </references>
      </pivotArea>
    </format>
    <format dxfId="502">
      <pivotArea dataOnly="0" labelOnly="1" outline="0" fieldPosition="0">
        <references count="5">
          <reference field="0" count="1" selected="0">
            <x v="0"/>
          </reference>
          <reference field="1" count="1" selected="0">
            <x v="1128"/>
          </reference>
          <reference field="2" count="1" selected="0">
            <x v="441"/>
          </reference>
          <reference field="3" count="1" selected="0">
            <x v="2"/>
          </reference>
          <reference field="4" count="1">
            <x v="109"/>
          </reference>
        </references>
      </pivotArea>
    </format>
    <format dxfId="501">
      <pivotArea dataOnly="0" labelOnly="1" outline="0" fieldPosition="0">
        <references count="5">
          <reference field="0" count="1" selected="0">
            <x v="0"/>
          </reference>
          <reference field="1" count="1" selected="0">
            <x v="1129"/>
          </reference>
          <reference field="2" count="1" selected="0">
            <x v="441"/>
          </reference>
          <reference field="3" count="1" selected="0">
            <x v="2"/>
          </reference>
          <reference field="4" count="1">
            <x v="203"/>
          </reference>
        </references>
      </pivotArea>
    </format>
    <format dxfId="500">
      <pivotArea dataOnly="0" labelOnly="1" outline="0" fieldPosition="0">
        <references count="5">
          <reference field="0" count="1" selected="0">
            <x v="0"/>
          </reference>
          <reference field="1" count="1" selected="0">
            <x v="1130"/>
          </reference>
          <reference field="2" count="1" selected="0">
            <x v="441"/>
          </reference>
          <reference field="3" count="1" selected="0">
            <x v="2"/>
          </reference>
          <reference field="4" count="1">
            <x v="231"/>
          </reference>
        </references>
      </pivotArea>
    </format>
    <format dxfId="499">
      <pivotArea dataOnly="0" labelOnly="1" outline="0" fieldPosition="0">
        <references count="5">
          <reference field="0" count="1" selected="0">
            <x v="0"/>
          </reference>
          <reference field="1" count="1" selected="0">
            <x v="1131"/>
          </reference>
          <reference field="2" count="1" selected="0">
            <x v="441"/>
          </reference>
          <reference field="3" count="1" selected="0">
            <x v="2"/>
          </reference>
          <reference field="4" count="1">
            <x v="251"/>
          </reference>
        </references>
      </pivotArea>
    </format>
    <format dxfId="498">
      <pivotArea dataOnly="0" labelOnly="1" outline="0" fieldPosition="0">
        <references count="5">
          <reference field="0" count="1" selected="0">
            <x v="0"/>
          </reference>
          <reference field="1" count="1" selected="0">
            <x v="1132"/>
          </reference>
          <reference field="2" count="1" selected="0">
            <x v="442"/>
          </reference>
          <reference field="3" count="1" selected="0">
            <x v="2"/>
          </reference>
          <reference field="4" count="1">
            <x v="32"/>
          </reference>
        </references>
      </pivotArea>
    </format>
    <format dxfId="497">
      <pivotArea dataOnly="0" labelOnly="1" outline="0" fieldPosition="0">
        <references count="5">
          <reference field="0" count="1" selected="0">
            <x v="0"/>
          </reference>
          <reference field="1" count="1" selected="0">
            <x v="1133"/>
          </reference>
          <reference field="2" count="1" selected="0">
            <x v="442"/>
          </reference>
          <reference field="3" count="1" selected="0">
            <x v="2"/>
          </reference>
          <reference field="4" count="1">
            <x v="79"/>
          </reference>
        </references>
      </pivotArea>
    </format>
    <format dxfId="496">
      <pivotArea dataOnly="0" labelOnly="1" outline="0" fieldPosition="0">
        <references count="5">
          <reference field="0" count="1" selected="0">
            <x v="0"/>
          </reference>
          <reference field="1" count="1" selected="0">
            <x v="1134"/>
          </reference>
          <reference field="2" count="1" selected="0">
            <x v="442"/>
          </reference>
          <reference field="3" count="1" selected="0">
            <x v="2"/>
          </reference>
          <reference field="4" count="1">
            <x v="102"/>
          </reference>
        </references>
      </pivotArea>
    </format>
    <format dxfId="495">
      <pivotArea dataOnly="0" labelOnly="1" outline="0" fieldPosition="0">
        <references count="5">
          <reference field="0" count="1" selected="0">
            <x v="0"/>
          </reference>
          <reference field="1" count="1" selected="0">
            <x v="1135"/>
          </reference>
          <reference field="2" count="1" selected="0">
            <x v="442"/>
          </reference>
          <reference field="3" count="1" selected="0">
            <x v="2"/>
          </reference>
          <reference field="4" count="1">
            <x v="110"/>
          </reference>
        </references>
      </pivotArea>
    </format>
    <format dxfId="494">
      <pivotArea dataOnly="0" labelOnly="1" outline="0" fieldPosition="0">
        <references count="5">
          <reference field="0" count="1" selected="0">
            <x v="0"/>
          </reference>
          <reference field="1" count="1" selected="0">
            <x v="1136"/>
          </reference>
          <reference field="2" count="1" selected="0">
            <x v="442"/>
          </reference>
          <reference field="3" count="1" selected="0">
            <x v="2"/>
          </reference>
          <reference field="4" count="1">
            <x v="128"/>
          </reference>
        </references>
      </pivotArea>
    </format>
    <format dxfId="493">
      <pivotArea dataOnly="0" labelOnly="1" outline="0" fieldPosition="0">
        <references count="5">
          <reference field="0" count="1" selected="0">
            <x v="0"/>
          </reference>
          <reference field="1" count="1" selected="0">
            <x v="1137"/>
          </reference>
          <reference field="2" count="1" selected="0">
            <x v="442"/>
          </reference>
          <reference field="3" count="1" selected="0">
            <x v="2"/>
          </reference>
          <reference field="4" count="1">
            <x v="169"/>
          </reference>
        </references>
      </pivotArea>
    </format>
    <format dxfId="492">
      <pivotArea dataOnly="0" labelOnly="1" outline="0" fieldPosition="0">
        <references count="5">
          <reference field="0" count="1" selected="0">
            <x v="0"/>
          </reference>
          <reference field="1" count="1" selected="0">
            <x v="1138"/>
          </reference>
          <reference field="2" count="1" selected="0">
            <x v="442"/>
          </reference>
          <reference field="3" count="1" selected="0">
            <x v="2"/>
          </reference>
          <reference field="4" count="1">
            <x v="203"/>
          </reference>
        </references>
      </pivotArea>
    </format>
    <format dxfId="491">
      <pivotArea dataOnly="0" labelOnly="1" outline="0" fieldPosition="0">
        <references count="5">
          <reference field="0" count="1" selected="0">
            <x v="0"/>
          </reference>
          <reference field="1" count="1" selected="0">
            <x v="1139"/>
          </reference>
          <reference field="2" count="1" selected="0">
            <x v="442"/>
          </reference>
          <reference field="3" count="1" selected="0">
            <x v="2"/>
          </reference>
          <reference field="4" count="1">
            <x v="241"/>
          </reference>
        </references>
      </pivotArea>
    </format>
    <format dxfId="490">
      <pivotArea dataOnly="0" labelOnly="1" outline="0" fieldPosition="0">
        <references count="5">
          <reference field="0" count="1" selected="0">
            <x v="0"/>
          </reference>
          <reference field="1" count="1" selected="0">
            <x v="1140"/>
          </reference>
          <reference field="2" count="1" selected="0">
            <x v="442"/>
          </reference>
          <reference field="3" count="1" selected="0">
            <x v="2"/>
          </reference>
          <reference field="4" count="1">
            <x v="247"/>
          </reference>
        </references>
      </pivotArea>
    </format>
    <format dxfId="489">
      <pivotArea dataOnly="0" labelOnly="1" outline="0" fieldPosition="0">
        <references count="5">
          <reference field="0" count="1" selected="0">
            <x v="0"/>
          </reference>
          <reference field="1" count="1" selected="0">
            <x v="1141"/>
          </reference>
          <reference field="2" count="1" selected="0">
            <x v="442"/>
          </reference>
          <reference field="3" count="1" selected="0">
            <x v="2"/>
          </reference>
          <reference field="4" count="1">
            <x v="282"/>
          </reference>
        </references>
      </pivotArea>
    </format>
    <format dxfId="488">
      <pivotArea dataOnly="0" labelOnly="1" outline="0" fieldPosition="0">
        <references count="5">
          <reference field="0" count="1" selected="0">
            <x v="0"/>
          </reference>
          <reference field="1" count="1" selected="0">
            <x v="1142"/>
          </reference>
          <reference field="2" count="1" selected="0">
            <x v="443"/>
          </reference>
          <reference field="3" count="1" selected="0">
            <x v="2"/>
          </reference>
          <reference field="4" count="1">
            <x v="41"/>
          </reference>
        </references>
      </pivotArea>
    </format>
    <format dxfId="487">
      <pivotArea dataOnly="0" labelOnly="1" outline="0" fieldPosition="0">
        <references count="5">
          <reference field="0" count="1" selected="0">
            <x v="0"/>
          </reference>
          <reference field="1" count="1" selected="0">
            <x v="1143"/>
          </reference>
          <reference field="2" count="1" selected="0">
            <x v="443"/>
          </reference>
          <reference field="3" count="1" selected="0">
            <x v="2"/>
          </reference>
          <reference field="4" count="1">
            <x v="110"/>
          </reference>
        </references>
      </pivotArea>
    </format>
    <format dxfId="486">
      <pivotArea dataOnly="0" labelOnly="1" outline="0" fieldPosition="0">
        <references count="5">
          <reference field="0" count="1" selected="0">
            <x v="0"/>
          </reference>
          <reference field="1" count="1" selected="0">
            <x v="1144"/>
          </reference>
          <reference field="2" count="1" selected="0">
            <x v="443"/>
          </reference>
          <reference field="3" count="1" selected="0">
            <x v="2"/>
          </reference>
          <reference field="4" count="1">
            <x v="131"/>
          </reference>
        </references>
      </pivotArea>
    </format>
    <format dxfId="485">
      <pivotArea dataOnly="0" labelOnly="1" outline="0" fieldPosition="0">
        <references count="5">
          <reference field="0" count="1" selected="0">
            <x v="0"/>
          </reference>
          <reference field="1" count="1" selected="0">
            <x v="1145"/>
          </reference>
          <reference field="2" count="1" selected="0">
            <x v="443"/>
          </reference>
          <reference field="3" count="1" selected="0">
            <x v="2"/>
          </reference>
          <reference field="4" count="1">
            <x v="167"/>
          </reference>
        </references>
      </pivotArea>
    </format>
    <format dxfId="484">
      <pivotArea dataOnly="0" labelOnly="1" outline="0" fieldPosition="0">
        <references count="5">
          <reference field="0" count="1" selected="0">
            <x v="0"/>
          </reference>
          <reference field="1" count="1" selected="0">
            <x v="1146"/>
          </reference>
          <reference field="2" count="1" selected="0">
            <x v="443"/>
          </reference>
          <reference field="3" count="1" selected="0">
            <x v="2"/>
          </reference>
          <reference field="4" count="1">
            <x v="242"/>
          </reference>
        </references>
      </pivotArea>
    </format>
    <format dxfId="483">
      <pivotArea dataOnly="0" labelOnly="1" outline="0" fieldPosition="0">
        <references count="5">
          <reference field="0" count="1" selected="0">
            <x v="0"/>
          </reference>
          <reference field="1" count="1" selected="0">
            <x v="1147"/>
          </reference>
          <reference field="2" count="1" selected="0">
            <x v="443"/>
          </reference>
          <reference field="3" count="1" selected="0">
            <x v="2"/>
          </reference>
          <reference field="4" count="1">
            <x v="246"/>
          </reference>
        </references>
      </pivotArea>
    </format>
    <format dxfId="482">
      <pivotArea dataOnly="0" labelOnly="1" outline="0" fieldPosition="0">
        <references count="5">
          <reference field="0" count="1" selected="0">
            <x v="0"/>
          </reference>
          <reference field="1" count="1" selected="0">
            <x v="1148"/>
          </reference>
          <reference field="2" count="1" selected="0">
            <x v="444"/>
          </reference>
          <reference field="3" count="1" selected="0">
            <x v="2"/>
          </reference>
          <reference field="4" count="1">
            <x v="28"/>
          </reference>
        </references>
      </pivotArea>
    </format>
    <format dxfId="481">
      <pivotArea dataOnly="0" labelOnly="1" outline="0" fieldPosition="0">
        <references count="5">
          <reference field="0" count="1" selected="0">
            <x v="0"/>
          </reference>
          <reference field="1" count="1" selected="0">
            <x v="1149"/>
          </reference>
          <reference field="2" count="1" selected="0">
            <x v="444"/>
          </reference>
          <reference field="3" count="1" selected="0">
            <x v="2"/>
          </reference>
          <reference field="4" count="1">
            <x v="225"/>
          </reference>
        </references>
      </pivotArea>
    </format>
    <format dxfId="480">
      <pivotArea dataOnly="0" labelOnly="1" outline="0" fieldPosition="0">
        <references count="5">
          <reference field="0" count="1" selected="0">
            <x v="0"/>
          </reference>
          <reference field="1" count="1" selected="0">
            <x v="1150"/>
          </reference>
          <reference field="2" count="1" selected="0">
            <x v="444"/>
          </reference>
          <reference field="3" count="1" selected="0">
            <x v="2"/>
          </reference>
          <reference field="4" count="1">
            <x v="273"/>
          </reference>
        </references>
      </pivotArea>
    </format>
    <format dxfId="479">
      <pivotArea dataOnly="0" labelOnly="1" outline="0" fieldPosition="0">
        <references count="5">
          <reference field="0" count="1" selected="0">
            <x v="0"/>
          </reference>
          <reference field="1" count="1" selected="0">
            <x v="1151"/>
          </reference>
          <reference field="2" count="1" selected="0">
            <x v="444"/>
          </reference>
          <reference field="3" count="1" selected="0">
            <x v="2"/>
          </reference>
          <reference field="4" count="1">
            <x v="290"/>
          </reference>
        </references>
      </pivotArea>
    </format>
    <format dxfId="478">
      <pivotArea dataOnly="0" labelOnly="1" outline="0" fieldPosition="0">
        <references count="5">
          <reference field="0" count="1" selected="0">
            <x v="0"/>
          </reference>
          <reference field="1" count="1" selected="0">
            <x v="1152"/>
          </reference>
          <reference field="2" count="1" selected="0">
            <x v="444"/>
          </reference>
          <reference field="3" count="1" selected="0">
            <x v="2"/>
          </reference>
          <reference field="4" count="1">
            <x v="293"/>
          </reference>
        </references>
      </pivotArea>
    </format>
    <format dxfId="477">
      <pivotArea dataOnly="0" labelOnly="1" outline="0" fieldPosition="0">
        <references count="5">
          <reference field="0" count="1" selected="0">
            <x v="0"/>
          </reference>
          <reference field="1" count="1" selected="0">
            <x v="1153"/>
          </reference>
          <reference field="2" count="1" selected="0">
            <x v="445"/>
          </reference>
          <reference field="3" count="1" selected="0">
            <x v="2"/>
          </reference>
          <reference field="4" count="1">
            <x v="61"/>
          </reference>
        </references>
      </pivotArea>
    </format>
    <format dxfId="476">
      <pivotArea dataOnly="0" labelOnly="1" outline="0" fieldPosition="0">
        <references count="5">
          <reference field="0" count="1" selected="0">
            <x v="0"/>
          </reference>
          <reference field="1" count="1" selected="0">
            <x v="1154"/>
          </reference>
          <reference field="2" count="1" selected="0">
            <x v="446"/>
          </reference>
          <reference field="3" count="1" selected="0">
            <x v="2"/>
          </reference>
          <reference field="4" count="1">
            <x v="77"/>
          </reference>
        </references>
      </pivotArea>
    </format>
    <format dxfId="475">
      <pivotArea dataOnly="0" labelOnly="1" outline="0" fieldPosition="0">
        <references count="5">
          <reference field="0" count="1" selected="0">
            <x v="0"/>
          </reference>
          <reference field="1" count="1" selected="0">
            <x v="1155"/>
          </reference>
          <reference field="2" count="1" selected="0">
            <x v="446"/>
          </reference>
          <reference field="3" count="1" selected="0">
            <x v="2"/>
          </reference>
          <reference field="4" count="1">
            <x v="115"/>
          </reference>
        </references>
      </pivotArea>
    </format>
    <format dxfId="474">
      <pivotArea dataOnly="0" labelOnly="1" outline="0" fieldPosition="0">
        <references count="5">
          <reference field="0" count="1" selected="0">
            <x v="0"/>
          </reference>
          <reference field="1" count="1" selected="0">
            <x v="1156"/>
          </reference>
          <reference field="2" count="1" selected="0">
            <x v="446"/>
          </reference>
          <reference field="3" count="1" selected="0">
            <x v="2"/>
          </reference>
          <reference field="4" count="1">
            <x v="192"/>
          </reference>
        </references>
      </pivotArea>
    </format>
    <format dxfId="473">
      <pivotArea dataOnly="0" labelOnly="1" outline="0" fieldPosition="0">
        <references count="5">
          <reference field="0" count="1" selected="0">
            <x v="0"/>
          </reference>
          <reference field="1" count="1" selected="0">
            <x v="1157"/>
          </reference>
          <reference field="2" count="1" selected="0">
            <x v="446"/>
          </reference>
          <reference field="3" count="1" selected="0">
            <x v="2"/>
          </reference>
          <reference field="4" count="1">
            <x v="194"/>
          </reference>
        </references>
      </pivotArea>
    </format>
    <format dxfId="472">
      <pivotArea dataOnly="0" labelOnly="1" outline="0" fieldPosition="0">
        <references count="5">
          <reference field="0" count="1" selected="0">
            <x v="0"/>
          </reference>
          <reference field="1" count="1" selected="0">
            <x v="1158"/>
          </reference>
          <reference field="2" count="1" selected="0">
            <x v="446"/>
          </reference>
          <reference field="3" count="1" selected="0">
            <x v="2"/>
          </reference>
          <reference field="4" count="1">
            <x v="209"/>
          </reference>
        </references>
      </pivotArea>
    </format>
    <format dxfId="471">
      <pivotArea dataOnly="0" labelOnly="1" outline="0" fieldPosition="0">
        <references count="5">
          <reference field="0" count="1" selected="0">
            <x v="0"/>
          </reference>
          <reference field="1" count="1" selected="0">
            <x v="1159"/>
          </reference>
          <reference field="2" count="1" selected="0">
            <x v="446"/>
          </reference>
          <reference field="3" count="1" selected="0">
            <x v="2"/>
          </reference>
          <reference field="4" count="1">
            <x v="247"/>
          </reference>
        </references>
      </pivotArea>
    </format>
    <format dxfId="470">
      <pivotArea dataOnly="0" labelOnly="1" outline="0" fieldPosition="0">
        <references count="5">
          <reference field="0" count="1" selected="0">
            <x v="0"/>
          </reference>
          <reference field="1" count="1" selected="0">
            <x v="1160"/>
          </reference>
          <reference field="2" count="1" selected="0">
            <x v="446"/>
          </reference>
          <reference field="3" count="1" selected="0">
            <x v="2"/>
          </reference>
          <reference field="4" count="1">
            <x v="269"/>
          </reference>
        </references>
      </pivotArea>
    </format>
    <format dxfId="469">
      <pivotArea dataOnly="0" labelOnly="1" outline="0" fieldPosition="0">
        <references count="5">
          <reference field="0" count="1" selected="0">
            <x v="0"/>
          </reference>
          <reference field="1" count="1" selected="0">
            <x v="1161"/>
          </reference>
          <reference field="2" count="1" selected="0">
            <x v="447"/>
          </reference>
          <reference field="3" count="1" selected="0">
            <x v="2"/>
          </reference>
          <reference field="4" count="1">
            <x v="64"/>
          </reference>
        </references>
      </pivotArea>
    </format>
    <format dxfId="468">
      <pivotArea dataOnly="0" labelOnly="1" outline="0" fieldPosition="0">
        <references count="5">
          <reference field="0" count="1" selected="0">
            <x v="0"/>
          </reference>
          <reference field="1" count="1" selected="0">
            <x v="1162"/>
          </reference>
          <reference field="2" count="1" selected="0">
            <x v="447"/>
          </reference>
          <reference field="3" count="1" selected="0">
            <x v="2"/>
          </reference>
          <reference field="4" count="1">
            <x v="136"/>
          </reference>
        </references>
      </pivotArea>
    </format>
    <format dxfId="467">
      <pivotArea dataOnly="0" labelOnly="1" outline="0" fieldPosition="0">
        <references count="5">
          <reference field="0" count="1" selected="0">
            <x v="0"/>
          </reference>
          <reference field="1" count="1" selected="0">
            <x v="1163"/>
          </reference>
          <reference field="2" count="1" selected="0">
            <x v="447"/>
          </reference>
          <reference field="3" count="1" selected="0">
            <x v="2"/>
          </reference>
          <reference field="4" count="1">
            <x v="168"/>
          </reference>
        </references>
      </pivotArea>
    </format>
    <format dxfId="466">
      <pivotArea dataOnly="0" labelOnly="1" outline="0" fieldPosition="0">
        <references count="5">
          <reference field="0" count="1" selected="0">
            <x v="0"/>
          </reference>
          <reference field="1" count="1" selected="0">
            <x v="1164"/>
          </reference>
          <reference field="2" count="1" selected="0">
            <x v="447"/>
          </reference>
          <reference field="3" count="1" selected="0">
            <x v="2"/>
          </reference>
          <reference field="4" count="1">
            <x v="172"/>
          </reference>
        </references>
      </pivotArea>
    </format>
    <format dxfId="465">
      <pivotArea dataOnly="0" labelOnly="1" outline="0" fieldPosition="0">
        <references count="5">
          <reference field="0" count="1" selected="0">
            <x v="0"/>
          </reference>
          <reference field="1" count="1" selected="0">
            <x v="1165"/>
          </reference>
          <reference field="2" count="1" selected="0">
            <x v="447"/>
          </reference>
          <reference field="3" count="1" selected="0">
            <x v="2"/>
          </reference>
          <reference field="4" count="1">
            <x v="210"/>
          </reference>
        </references>
      </pivotArea>
    </format>
    <format dxfId="464">
      <pivotArea dataOnly="0" labelOnly="1" outline="0" fieldPosition="0">
        <references count="5">
          <reference field="0" count="1" selected="0">
            <x v="0"/>
          </reference>
          <reference field="1" count="1" selected="0">
            <x v="1166"/>
          </reference>
          <reference field="2" count="1" selected="0">
            <x v="448"/>
          </reference>
          <reference field="3" count="1" selected="0">
            <x v="2"/>
          </reference>
          <reference field="4" count="1">
            <x v="52"/>
          </reference>
        </references>
      </pivotArea>
    </format>
    <format dxfId="463">
      <pivotArea dataOnly="0" labelOnly="1" outline="0" fieldPosition="0">
        <references count="5">
          <reference field="0" count="1" selected="0">
            <x v="0"/>
          </reference>
          <reference field="1" count="1" selected="0">
            <x v="1167"/>
          </reference>
          <reference field="2" count="1" selected="0">
            <x v="448"/>
          </reference>
          <reference field="3" count="1" selected="0">
            <x v="2"/>
          </reference>
          <reference field="4" count="1">
            <x v="181"/>
          </reference>
        </references>
      </pivotArea>
    </format>
    <format dxfId="462">
      <pivotArea dataOnly="0" labelOnly="1" outline="0" fieldPosition="0">
        <references count="5">
          <reference field="0" count="1" selected="0">
            <x v="0"/>
          </reference>
          <reference field="1" count="1" selected="0">
            <x v="1168"/>
          </reference>
          <reference field="2" count="1" selected="0">
            <x v="448"/>
          </reference>
          <reference field="3" count="1" selected="0">
            <x v="2"/>
          </reference>
          <reference field="4" count="1">
            <x v="214"/>
          </reference>
        </references>
      </pivotArea>
    </format>
    <format dxfId="461">
      <pivotArea dataOnly="0" labelOnly="1" outline="0" fieldPosition="0">
        <references count="5">
          <reference field="0" count="1" selected="0">
            <x v="0"/>
          </reference>
          <reference field="1" count="1" selected="0">
            <x v="1169"/>
          </reference>
          <reference field="2" count="1" selected="0">
            <x v="449"/>
          </reference>
          <reference field="3" count="1" selected="0">
            <x v="2"/>
          </reference>
          <reference field="4" count="1">
            <x v="70"/>
          </reference>
        </references>
      </pivotArea>
    </format>
    <format dxfId="460">
      <pivotArea dataOnly="0" labelOnly="1" outline="0" fieldPosition="0">
        <references count="5">
          <reference field="0" count="1" selected="0">
            <x v="0"/>
          </reference>
          <reference field="1" count="1" selected="0">
            <x v="1170"/>
          </reference>
          <reference field="2" count="1" selected="0">
            <x v="449"/>
          </reference>
          <reference field="3" count="1" selected="0">
            <x v="2"/>
          </reference>
          <reference field="4" count="1">
            <x v="80"/>
          </reference>
        </references>
      </pivotArea>
    </format>
    <format dxfId="459">
      <pivotArea dataOnly="0" labelOnly="1" outline="0" fieldPosition="0">
        <references count="5">
          <reference field="0" count="1" selected="0">
            <x v="0"/>
          </reference>
          <reference field="1" count="1" selected="0">
            <x v="1171"/>
          </reference>
          <reference field="2" count="1" selected="0">
            <x v="449"/>
          </reference>
          <reference field="3" count="1" selected="0">
            <x v="2"/>
          </reference>
          <reference field="4" count="1">
            <x v="110"/>
          </reference>
        </references>
      </pivotArea>
    </format>
    <format dxfId="458">
      <pivotArea dataOnly="0" labelOnly="1" outline="0" fieldPosition="0">
        <references count="5">
          <reference field="0" count="1" selected="0">
            <x v="0"/>
          </reference>
          <reference field="1" count="1" selected="0">
            <x v="1172"/>
          </reference>
          <reference field="2" count="1" selected="0">
            <x v="449"/>
          </reference>
          <reference field="3" count="1" selected="0">
            <x v="2"/>
          </reference>
          <reference field="4" count="1">
            <x v="128"/>
          </reference>
        </references>
      </pivotArea>
    </format>
    <format dxfId="457">
      <pivotArea dataOnly="0" labelOnly="1" outline="0" fieldPosition="0">
        <references count="5">
          <reference field="0" count="1" selected="0">
            <x v="0"/>
          </reference>
          <reference field="1" count="1" selected="0">
            <x v="1173"/>
          </reference>
          <reference field="2" count="1" selected="0">
            <x v="449"/>
          </reference>
          <reference field="3" count="1" selected="0">
            <x v="2"/>
          </reference>
          <reference field="4" count="1">
            <x v="193"/>
          </reference>
        </references>
      </pivotArea>
    </format>
    <format dxfId="456">
      <pivotArea dataOnly="0" labelOnly="1" outline="0" fieldPosition="0">
        <references count="5">
          <reference field="0" count="1" selected="0">
            <x v="0"/>
          </reference>
          <reference field="1" count="1" selected="0">
            <x v="1174"/>
          </reference>
          <reference field="2" count="1" selected="0">
            <x v="449"/>
          </reference>
          <reference field="3" count="1" selected="0">
            <x v="2"/>
          </reference>
          <reference field="4" count="1">
            <x v="238"/>
          </reference>
        </references>
      </pivotArea>
    </format>
    <format dxfId="455">
      <pivotArea dataOnly="0" labelOnly="1" outline="0" fieldPosition="0">
        <references count="5">
          <reference field="0" count="1" selected="0">
            <x v="0"/>
          </reference>
          <reference field="1" count="1" selected="0">
            <x v="1175"/>
          </reference>
          <reference field="2" count="1" selected="0">
            <x v="449"/>
          </reference>
          <reference field="3" count="1" selected="0">
            <x v="2"/>
          </reference>
          <reference field="4" count="1">
            <x v="246"/>
          </reference>
        </references>
      </pivotArea>
    </format>
    <format dxfId="454">
      <pivotArea dataOnly="0" labelOnly="1" outline="0" fieldPosition="0">
        <references count="5">
          <reference field="0" count="1" selected="0">
            <x v="0"/>
          </reference>
          <reference field="1" count="1" selected="0">
            <x v="1176"/>
          </reference>
          <reference field="2" count="1" selected="0">
            <x v="449"/>
          </reference>
          <reference field="3" count="1" selected="0">
            <x v="2"/>
          </reference>
          <reference field="4" count="1">
            <x v="263"/>
          </reference>
        </references>
      </pivotArea>
    </format>
    <format dxfId="453">
      <pivotArea dataOnly="0" labelOnly="1" outline="0" fieldPosition="0">
        <references count="5">
          <reference field="0" count="1" selected="0">
            <x v="0"/>
          </reference>
          <reference field="1" count="1" selected="0">
            <x v="1177"/>
          </reference>
          <reference field="2" count="1" selected="0">
            <x v="449"/>
          </reference>
          <reference field="3" count="1" selected="0">
            <x v="2"/>
          </reference>
          <reference field="4" count="1">
            <x v="269"/>
          </reference>
        </references>
      </pivotArea>
    </format>
    <format dxfId="452">
      <pivotArea dataOnly="0" labelOnly="1" outline="0" fieldPosition="0">
        <references count="5">
          <reference field="0" count="1" selected="0">
            <x v="0"/>
          </reference>
          <reference field="1" count="1" selected="0">
            <x v="1178"/>
          </reference>
          <reference field="2" count="1" selected="0">
            <x v="450"/>
          </reference>
          <reference field="3" count="1" selected="0">
            <x v="2"/>
          </reference>
          <reference field="4" count="1">
            <x v="70"/>
          </reference>
        </references>
      </pivotArea>
    </format>
    <format dxfId="451">
      <pivotArea dataOnly="0" labelOnly="1" outline="0" fieldPosition="0">
        <references count="5">
          <reference field="0" count="1" selected="0">
            <x v="0"/>
          </reference>
          <reference field="1" count="1" selected="0">
            <x v="1179"/>
          </reference>
          <reference field="2" count="1" selected="0">
            <x v="450"/>
          </reference>
          <reference field="3" count="1" selected="0">
            <x v="2"/>
          </reference>
          <reference field="4" count="1">
            <x v="104"/>
          </reference>
        </references>
      </pivotArea>
    </format>
    <format dxfId="450">
      <pivotArea dataOnly="0" labelOnly="1" outline="0" fieldPosition="0">
        <references count="5">
          <reference field="0" count="1" selected="0">
            <x v="0"/>
          </reference>
          <reference field="1" count="1" selected="0">
            <x v="1180"/>
          </reference>
          <reference field="2" count="1" selected="0">
            <x v="450"/>
          </reference>
          <reference field="3" count="1" selected="0">
            <x v="2"/>
          </reference>
          <reference field="4" count="1">
            <x v="110"/>
          </reference>
        </references>
      </pivotArea>
    </format>
    <format dxfId="449">
      <pivotArea dataOnly="0" labelOnly="1" outline="0" fieldPosition="0">
        <references count="5">
          <reference field="0" count="1" selected="0">
            <x v="0"/>
          </reference>
          <reference field="1" count="1" selected="0">
            <x v="1181"/>
          </reference>
          <reference field="2" count="1" selected="0">
            <x v="450"/>
          </reference>
          <reference field="3" count="1" selected="0">
            <x v="2"/>
          </reference>
          <reference field="4" count="1">
            <x v="184"/>
          </reference>
        </references>
      </pivotArea>
    </format>
    <format dxfId="448">
      <pivotArea dataOnly="0" labelOnly="1" outline="0" fieldPosition="0">
        <references count="5">
          <reference field="0" count="1" selected="0">
            <x v="0"/>
          </reference>
          <reference field="1" count="1" selected="0">
            <x v="1182"/>
          </reference>
          <reference field="2" count="1" selected="0">
            <x v="451"/>
          </reference>
          <reference field="3" count="1" selected="0">
            <x v="2"/>
          </reference>
          <reference field="4" count="1">
            <x v="23"/>
          </reference>
        </references>
      </pivotArea>
    </format>
    <format dxfId="447">
      <pivotArea dataOnly="0" labelOnly="1" outline="0" fieldPosition="0">
        <references count="5">
          <reference field="0" count="1" selected="0">
            <x v="0"/>
          </reference>
          <reference field="1" count="1" selected="0">
            <x v="1183"/>
          </reference>
          <reference field="2" count="1" selected="0">
            <x v="451"/>
          </reference>
          <reference field="3" count="1" selected="0">
            <x v="2"/>
          </reference>
          <reference field="4" count="1">
            <x v="24"/>
          </reference>
        </references>
      </pivotArea>
    </format>
    <format dxfId="446">
      <pivotArea dataOnly="0" labelOnly="1" outline="0" fieldPosition="0">
        <references count="5">
          <reference field="0" count="1" selected="0">
            <x v="0"/>
          </reference>
          <reference field="1" count="1" selected="0">
            <x v="1184"/>
          </reference>
          <reference field="2" count="1" selected="0">
            <x v="451"/>
          </reference>
          <reference field="3" count="1" selected="0">
            <x v="2"/>
          </reference>
          <reference field="4" count="1">
            <x v="35"/>
          </reference>
        </references>
      </pivotArea>
    </format>
    <format dxfId="445">
      <pivotArea dataOnly="0" labelOnly="1" outline="0" fieldPosition="0">
        <references count="5">
          <reference field="0" count="1" selected="0">
            <x v="0"/>
          </reference>
          <reference field="1" count="1" selected="0">
            <x v="1185"/>
          </reference>
          <reference field="2" count="1" selected="0">
            <x v="451"/>
          </reference>
          <reference field="3" count="1" selected="0">
            <x v="2"/>
          </reference>
          <reference field="4" count="1">
            <x v="73"/>
          </reference>
        </references>
      </pivotArea>
    </format>
    <format dxfId="444">
      <pivotArea dataOnly="0" labelOnly="1" outline="0" fieldPosition="0">
        <references count="5">
          <reference field="0" count="1" selected="0">
            <x v="0"/>
          </reference>
          <reference field="1" count="1" selected="0">
            <x v="1186"/>
          </reference>
          <reference field="2" count="1" selected="0">
            <x v="451"/>
          </reference>
          <reference field="3" count="1" selected="0">
            <x v="2"/>
          </reference>
          <reference field="4" count="1">
            <x v="79"/>
          </reference>
        </references>
      </pivotArea>
    </format>
    <format dxfId="443">
      <pivotArea dataOnly="0" labelOnly="1" outline="0" fieldPosition="0">
        <references count="5">
          <reference field="0" count="1" selected="0">
            <x v="0"/>
          </reference>
          <reference field="1" count="1" selected="0">
            <x v="1187"/>
          </reference>
          <reference field="2" count="1" selected="0">
            <x v="451"/>
          </reference>
          <reference field="3" count="1" selected="0">
            <x v="2"/>
          </reference>
          <reference field="4" count="1">
            <x v="90"/>
          </reference>
        </references>
      </pivotArea>
    </format>
    <format dxfId="442">
      <pivotArea dataOnly="0" labelOnly="1" outline="0" fieldPosition="0">
        <references count="5">
          <reference field="0" count="1" selected="0">
            <x v="0"/>
          </reference>
          <reference field="1" count="1" selected="0">
            <x v="1188"/>
          </reference>
          <reference field="2" count="1" selected="0">
            <x v="451"/>
          </reference>
          <reference field="3" count="1" selected="0">
            <x v="2"/>
          </reference>
          <reference field="4" count="1">
            <x v="194"/>
          </reference>
        </references>
      </pivotArea>
    </format>
    <format dxfId="441">
      <pivotArea dataOnly="0" labelOnly="1" outline="0" fieldPosition="0">
        <references count="5">
          <reference field="0" count="1" selected="0">
            <x v="0"/>
          </reference>
          <reference field="1" count="1" selected="0">
            <x v="1189"/>
          </reference>
          <reference field="2" count="1" selected="0">
            <x v="451"/>
          </reference>
          <reference field="3" count="1" selected="0">
            <x v="2"/>
          </reference>
          <reference field="4" count="1">
            <x v="215"/>
          </reference>
        </references>
      </pivotArea>
    </format>
    <format dxfId="440">
      <pivotArea dataOnly="0" labelOnly="1" outline="0" fieldPosition="0">
        <references count="5">
          <reference field="0" count="1" selected="0">
            <x v="0"/>
          </reference>
          <reference field="1" count="1" selected="0">
            <x v="1190"/>
          </reference>
          <reference field="2" count="1" selected="0">
            <x v="451"/>
          </reference>
          <reference field="3" count="1" selected="0">
            <x v="2"/>
          </reference>
          <reference field="4" count="1">
            <x v="223"/>
          </reference>
        </references>
      </pivotArea>
    </format>
    <format dxfId="439">
      <pivotArea dataOnly="0" labelOnly="1" outline="0" fieldPosition="0">
        <references count="5">
          <reference field="0" count="1" selected="0">
            <x v="0"/>
          </reference>
          <reference field="1" count="1" selected="0">
            <x v="1191"/>
          </reference>
          <reference field="2" count="1" selected="0">
            <x v="451"/>
          </reference>
          <reference field="3" count="1" selected="0">
            <x v="2"/>
          </reference>
          <reference field="4" count="1">
            <x v="265"/>
          </reference>
        </references>
      </pivotArea>
    </format>
    <format dxfId="438">
      <pivotArea dataOnly="0" labelOnly="1" outline="0" fieldPosition="0">
        <references count="5">
          <reference field="0" count="1" selected="0">
            <x v="0"/>
          </reference>
          <reference field="1" count="1" selected="0">
            <x v="1192"/>
          </reference>
          <reference field="2" count="1" selected="0">
            <x v="451"/>
          </reference>
          <reference field="3" count="1" selected="0">
            <x v="2"/>
          </reference>
          <reference field="4" count="1">
            <x v="288"/>
          </reference>
        </references>
      </pivotArea>
    </format>
    <format dxfId="437">
      <pivotArea dataOnly="0" labelOnly="1" outline="0" fieldPosition="0">
        <references count="5">
          <reference field="0" count="1" selected="0">
            <x v="0"/>
          </reference>
          <reference field="1" count="1" selected="0">
            <x v="1193"/>
          </reference>
          <reference field="2" count="1" selected="0">
            <x v="452"/>
          </reference>
          <reference field="3" count="1" selected="0">
            <x v="2"/>
          </reference>
          <reference field="4" count="1">
            <x v="45"/>
          </reference>
        </references>
      </pivotArea>
    </format>
    <format dxfId="436">
      <pivotArea dataOnly="0" labelOnly="1" outline="0" fieldPosition="0">
        <references count="5">
          <reference field="0" count="1" selected="0">
            <x v="0"/>
          </reference>
          <reference field="1" count="1" selected="0">
            <x v="1194"/>
          </reference>
          <reference field="2" count="1" selected="0">
            <x v="452"/>
          </reference>
          <reference field="3" count="1" selected="0">
            <x v="2"/>
          </reference>
          <reference field="4" count="1">
            <x v="110"/>
          </reference>
        </references>
      </pivotArea>
    </format>
    <format dxfId="435">
      <pivotArea dataOnly="0" labelOnly="1" outline="0" fieldPosition="0">
        <references count="5">
          <reference field="0" count="1" selected="0">
            <x v="0"/>
          </reference>
          <reference field="1" count="1" selected="0">
            <x v="1195"/>
          </reference>
          <reference field="2" count="1" selected="0">
            <x v="452"/>
          </reference>
          <reference field="3" count="1" selected="0">
            <x v="2"/>
          </reference>
          <reference field="4" count="1">
            <x v="273"/>
          </reference>
        </references>
      </pivotArea>
    </format>
    <format dxfId="434">
      <pivotArea dataOnly="0" labelOnly="1" outline="0" fieldPosition="0">
        <references count="5">
          <reference field="0" count="1" selected="0">
            <x v="0"/>
          </reference>
          <reference field="1" count="1" selected="0">
            <x v="1196"/>
          </reference>
          <reference field="2" count="1" selected="0">
            <x v="453"/>
          </reference>
          <reference field="3" count="1" selected="0">
            <x v="2"/>
          </reference>
          <reference field="4" count="1">
            <x v="45"/>
          </reference>
        </references>
      </pivotArea>
    </format>
    <format dxfId="433">
      <pivotArea dataOnly="0" labelOnly="1" outline="0" fieldPosition="0">
        <references count="5">
          <reference field="0" count="1" selected="0">
            <x v="0"/>
          </reference>
          <reference field="1" count="1" selected="0">
            <x v="1197"/>
          </reference>
          <reference field="2" count="1" selected="0">
            <x v="453"/>
          </reference>
          <reference field="3" count="1" selected="0">
            <x v="2"/>
          </reference>
          <reference field="4" count="1">
            <x v="63"/>
          </reference>
        </references>
      </pivotArea>
    </format>
    <format dxfId="432">
      <pivotArea dataOnly="0" labelOnly="1" outline="0" fieldPosition="0">
        <references count="5">
          <reference field="0" count="1" selected="0">
            <x v="0"/>
          </reference>
          <reference field="1" count="1" selected="0">
            <x v="1198"/>
          </reference>
          <reference field="2" count="1" selected="0">
            <x v="453"/>
          </reference>
          <reference field="3" count="1" selected="0">
            <x v="2"/>
          </reference>
          <reference field="4" count="1">
            <x v="80"/>
          </reference>
        </references>
      </pivotArea>
    </format>
    <format dxfId="431">
      <pivotArea dataOnly="0" labelOnly="1" outline="0" fieldPosition="0">
        <references count="5">
          <reference field="0" count="1" selected="0">
            <x v="0"/>
          </reference>
          <reference field="1" count="1" selected="0">
            <x v="1199"/>
          </reference>
          <reference field="2" count="1" selected="0">
            <x v="453"/>
          </reference>
          <reference field="3" count="1" selected="0">
            <x v="2"/>
          </reference>
          <reference field="4" count="1">
            <x v="102"/>
          </reference>
        </references>
      </pivotArea>
    </format>
    <format dxfId="430">
      <pivotArea dataOnly="0" labelOnly="1" outline="0" fieldPosition="0">
        <references count="5">
          <reference field="0" count="1" selected="0">
            <x v="0"/>
          </reference>
          <reference field="1" count="1" selected="0">
            <x v="1200"/>
          </reference>
          <reference field="2" count="1" selected="0">
            <x v="453"/>
          </reference>
          <reference field="3" count="1" selected="0">
            <x v="2"/>
          </reference>
          <reference field="4" count="1">
            <x v="107"/>
          </reference>
        </references>
      </pivotArea>
    </format>
    <format dxfId="429">
      <pivotArea dataOnly="0" labelOnly="1" outline="0" fieldPosition="0">
        <references count="5">
          <reference field="0" count="1" selected="0">
            <x v="0"/>
          </reference>
          <reference field="1" count="1" selected="0">
            <x v="1201"/>
          </reference>
          <reference field="2" count="1" selected="0">
            <x v="453"/>
          </reference>
          <reference field="3" count="1" selected="0">
            <x v="2"/>
          </reference>
          <reference field="4" count="1">
            <x v="110"/>
          </reference>
        </references>
      </pivotArea>
    </format>
    <format dxfId="428">
      <pivotArea dataOnly="0" labelOnly="1" outline="0" fieldPosition="0">
        <references count="5">
          <reference field="0" count="1" selected="0">
            <x v="0"/>
          </reference>
          <reference field="1" count="1" selected="0">
            <x v="1202"/>
          </reference>
          <reference field="2" count="1" selected="0">
            <x v="453"/>
          </reference>
          <reference field="3" count="1" selected="0">
            <x v="2"/>
          </reference>
          <reference field="4" count="1">
            <x v="130"/>
          </reference>
        </references>
      </pivotArea>
    </format>
    <format dxfId="427">
      <pivotArea dataOnly="0" labelOnly="1" outline="0" fieldPosition="0">
        <references count="5">
          <reference field="0" count="1" selected="0">
            <x v="0"/>
          </reference>
          <reference field="1" count="1" selected="0">
            <x v="1203"/>
          </reference>
          <reference field="2" count="1" selected="0">
            <x v="453"/>
          </reference>
          <reference field="3" count="1" selected="0">
            <x v="2"/>
          </reference>
          <reference field="4" count="1">
            <x v="231"/>
          </reference>
        </references>
      </pivotArea>
    </format>
    <format dxfId="426">
      <pivotArea dataOnly="0" labelOnly="1" outline="0" fieldPosition="0">
        <references count="5">
          <reference field="0" count="1" selected="0">
            <x v="0"/>
          </reference>
          <reference field="1" count="1" selected="0">
            <x v="1204"/>
          </reference>
          <reference field="2" count="1" selected="0">
            <x v="453"/>
          </reference>
          <reference field="3" count="1" selected="0">
            <x v="2"/>
          </reference>
          <reference field="4" count="1">
            <x v="234"/>
          </reference>
        </references>
      </pivotArea>
    </format>
    <format dxfId="425">
      <pivotArea dataOnly="0" labelOnly="1" outline="0" fieldPosition="0">
        <references count="5">
          <reference field="0" count="1" selected="0">
            <x v="0"/>
          </reference>
          <reference field="1" count="1" selected="0">
            <x v="1205"/>
          </reference>
          <reference field="2" count="1" selected="0">
            <x v="453"/>
          </reference>
          <reference field="3" count="1" selected="0">
            <x v="2"/>
          </reference>
          <reference field="4" count="1">
            <x v="240"/>
          </reference>
        </references>
      </pivotArea>
    </format>
    <format dxfId="424">
      <pivotArea dataOnly="0" labelOnly="1" outline="0" fieldPosition="0">
        <references count="5">
          <reference field="0" count="1" selected="0">
            <x v="0"/>
          </reference>
          <reference field="1" count="1" selected="0">
            <x v="1206"/>
          </reference>
          <reference field="2" count="1" selected="0">
            <x v="453"/>
          </reference>
          <reference field="3" count="1" selected="0">
            <x v="2"/>
          </reference>
          <reference field="4" count="1">
            <x v="264"/>
          </reference>
        </references>
      </pivotArea>
    </format>
    <format dxfId="423">
      <pivotArea dataOnly="0" labelOnly="1" outline="0" fieldPosition="0">
        <references count="5">
          <reference field="0" count="1" selected="0">
            <x v="0"/>
          </reference>
          <reference field="1" count="1" selected="0">
            <x v="1207"/>
          </reference>
          <reference field="2" count="1" selected="0">
            <x v="454"/>
          </reference>
          <reference field="3" count="1" selected="0">
            <x v="2"/>
          </reference>
          <reference field="4" count="1">
            <x v="64"/>
          </reference>
        </references>
      </pivotArea>
    </format>
    <format dxfId="422">
      <pivotArea dataOnly="0" labelOnly="1" outline="0" fieldPosition="0">
        <references count="5">
          <reference field="0" count="1" selected="0">
            <x v="0"/>
          </reference>
          <reference field="1" count="1" selected="0">
            <x v="1208"/>
          </reference>
          <reference field="2" count="1" selected="0">
            <x v="454"/>
          </reference>
          <reference field="3" count="1" selected="0">
            <x v="2"/>
          </reference>
          <reference field="4" count="1">
            <x v="106"/>
          </reference>
        </references>
      </pivotArea>
    </format>
    <format dxfId="421">
      <pivotArea dataOnly="0" labelOnly="1" outline="0" fieldPosition="0">
        <references count="5">
          <reference field="0" count="1" selected="0">
            <x v="0"/>
          </reference>
          <reference field="1" count="1" selected="0">
            <x v="1209"/>
          </reference>
          <reference field="2" count="1" selected="0">
            <x v="455"/>
          </reference>
          <reference field="3" count="1" selected="0">
            <x v="2"/>
          </reference>
          <reference field="4" count="1">
            <x v="41"/>
          </reference>
        </references>
      </pivotArea>
    </format>
    <format dxfId="420">
      <pivotArea dataOnly="0" labelOnly="1" outline="0" fieldPosition="0">
        <references count="5">
          <reference field="0" count="1" selected="0">
            <x v="0"/>
          </reference>
          <reference field="1" count="1" selected="0">
            <x v="1210"/>
          </reference>
          <reference field="2" count="1" selected="0">
            <x v="455"/>
          </reference>
          <reference field="3" count="1" selected="0">
            <x v="2"/>
          </reference>
          <reference field="4" count="1">
            <x v="72"/>
          </reference>
        </references>
      </pivotArea>
    </format>
    <format dxfId="419">
      <pivotArea dataOnly="0" labelOnly="1" outline="0" fieldPosition="0">
        <references count="5">
          <reference field="0" count="1" selected="0">
            <x v="0"/>
          </reference>
          <reference field="1" count="1" selected="0">
            <x v="1211"/>
          </reference>
          <reference field="2" count="1" selected="0">
            <x v="455"/>
          </reference>
          <reference field="3" count="1" selected="0">
            <x v="2"/>
          </reference>
          <reference field="4" count="1">
            <x v="203"/>
          </reference>
        </references>
      </pivotArea>
    </format>
    <format dxfId="418">
      <pivotArea dataOnly="0" labelOnly="1" outline="0" fieldPosition="0">
        <references count="5">
          <reference field="0" count="1" selected="0">
            <x v="0"/>
          </reference>
          <reference field="1" count="1" selected="0">
            <x v="1212"/>
          </reference>
          <reference field="2" count="1" selected="0">
            <x v="455"/>
          </reference>
          <reference field="3" count="1" selected="0">
            <x v="2"/>
          </reference>
          <reference field="4" count="1">
            <x v="242"/>
          </reference>
        </references>
      </pivotArea>
    </format>
    <format dxfId="417">
      <pivotArea dataOnly="0" labelOnly="1" outline="0" fieldPosition="0">
        <references count="5">
          <reference field="0" count="1" selected="0">
            <x v="0"/>
          </reference>
          <reference field="1" count="1" selected="0">
            <x v="1213"/>
          </reference>
          <reference field="2" count="1" selected="0">
            <x v="456"/>
          </reference>
          <reference field="3" count="1" selected="0">
            <x v="2"/>
          </reference>
          <reference field="4" count="1">
            <x v="82"/>
          </reference>
        </references>
      </pivotArea>
    </format>
    <format dxfId="416">
      <pivotArea dataOnly="0" labelOnly="1" outline="0" fieldPosition="0">
        <references count="5">
          <reference field="0" count="1" selected="0">
            <x v="0"/>
          </reference>
          <reference field="1" count="1" selected="0">
            <x v="1214"/>
          </reference>
          <reference field="2" count="1" selected="0">
            <x v="456"/>
          </reference>
          <reference field="3" count="1" selected="0">
            <x v="2"/>
          </reference>
          <reference field="4" count="1">
            <x v="95"/>
          </reference>
        </references>
      </pivotArea>
    </format>
    <format dxfId="415">
      <pivotArea dataOnly="0" labelOnly="1" outline="0" fieldPosition="0">
        <references count="5">
          <reference field="0" count="1" selected="0">
            <x v="0"/>
          </reference>
          <reference field="1" count="1" selected="0">
            <x v="1215"/>
          </reference>
          <reference field="2" count="1" selected="0">
            <x v="456"/>
          </reference>
          <reference field="3" count="1" selected="0">
            <x v="2"/>
          </reference>
          <reference field="4" count="1">
            <x v="234"/>
          </reference>
        </references>
      </pivotArea>
    </format>
    <format dxfId="414">
      <pivotArea dataOnly="0" labelOnly="1" outline="0" fieldPosition="0">
        <references count="5">
          <reference field="0" count="1" selected="0">
            <x v="0"/>
          </reference>
          <reference field="1" count="1" selected="0">
            <x v="1216"/>
          </reference>
          <reference field="2" count="1" selected="0">
            <x v="457"/>
          </reference>
          <reference field="3" count="1" selected="0">
            <x v="2"/>
          </reference>
          <reference field="4" count="1">
            <x v="51"/>
          </reference>
        </references>
      </pivotArea>
    </format>
    <format dxfId="413">
      <pivotArea dataOnly="0" labelOnly="1" outline="0" fieldPosition="0">
        <references count="5">
          <reference field="0" count="1" selected="0">
            <x v="0"/>
          </reference>
          <reference field="1" count="1" selected="0">
            <x v="1217"/>
          </reference>
          <reference field="2" count="1" selected="0">
            <x v="457"/>
          </reference>
          <reference field="3" count="1" selected="0">
            <x v="2"/>
          </reference>
          <reference field="4" count="1">
            <x v="61"/>
          </reference>
        </references>
      </pivotArea>
    </format>
    <format dxfId="412">
      <pivotArea dataOnly="0" labelOnly="1" outline="0" fieldPosition="0">
        <references count="5">
          <reference field="0" count="1" selected="0">
            <x v="0"/>
          </reference>
          <reference field="1" count="1" selected="0">
            <x v="1218"/>
          </reference>
          <reference field="2" count="1" selected="0">
            <x v="457"/>
          </reference>
          <reference field="3" count="1" selected="0">
            <x v="2"/>
          </reference>
          <reference field="4" count="1">
            <x v="194"/>
          </reference>
        </references>
      </pivotArea>
    </format>
    <format dxfId="411">
      <pivotArea dataOnly="0" labelOnly="1" outline="0" fieldPosition="0">
        <references count="5">
          <reference field="0" count="1" selected="0">
            <x v="0"/>
          </reference>
          <reference field="1" count="1" selected="0">
            <x v="1219"/>
          </reference>
          <reference field="2" count="1" selected="0">
            <x v="457"/>
          </reference>
          <reference field="3" count="1" selected="0">
            <x v="2"/>
          </reference>
          <reference field="4" count="1">
            <x v="282"/>
          </reference>
        </references>
      </pivotArea>
    </format>
    <format dxfId="410">
      <pivotArea dataOnly="0" labelOnly="1" outline="0" fieldPosition="0">
        <references count="5">
          <reference field="0" count="1" selected="0">
            <x v="0"/>
          </reference>
          <reference field="1" count="1" selected="0">
            <x v="1220"/>
          </reference>
          <reference field="2" count="1" selected="0">
            <x v="458"/>
          </reference>
          <reference field="3" count="1" selected="0">
            <x v="2"/>
          </reference>
          <reference field="4" count="1">
            <x v="55"/>
          </reference>
        </references>
      </pivotArea>
    </format>
    <format dxfId="409">
      <pivotArea dataOnly="0" labelOnly="1" outline="0" fieldPosition="0">
        <references count="5">
          <reference field="0" count="1" selected="0">
            <x v="0"/>
          </reference>
          <reference field="1" count="1" selected="0">
            <x v="1221"/>
          </reference>
          <reference field="2" count="1" selected="0">
            <x v="458"/>
          </reference>
          <reference field="3" count="1" selected="0">
            <x v="2"/>
          </reference>
          <reference field="4" count="1">
            <x v="143"/>
          </reference>
        </references>
      </pivotArea>
    </format>
    <format dxfId="408">
      <pivotArea dataOnly="0" labelOnly="1" outline="0" fieldPosition="0">
        <references count="5">
          <reference field="0" count="1" selected="0">
            <x v="0"/>
          </reference>
          <reference field="1" count="1" selected="0">
            <x v="1222"/>
          </reference>
          <reference field="2" count="1" selected="0">
            <x v="458"/>
          </reference>
          <reference field="3" count="1" selected="0">
            <x v="2"/>
          </reference>
          <reference field="4" count="1">
            <x v="188"/>
          </reference>
        </references>
      </pivotArea>
    </format>
    <format dxfId="407">
      <pivotArea dataOnly="0" labelOnly="1" outline="0" fieldPosition="0">
        <references count="5">
          <reference field="0" count="1" selected="0">
            <x v="0"/>
          </reference>
          <reference field="1" count="1" selected="0">
            <x v="1223"/>
          </reference>
          <reference field="2" count="1" selected="0">
            <x v="458"/>
          </reference>
          <reference field="3" count="1" selected="0">
            <x v="2"/>
          </reference>
          <reference field="4" count="1">
            <x v="246"/>
          </reference>
        </references>
      </pivotArea>
    </format>
    <format dxfId="406">
      <pivotArea dataOnly="0" labelOnly="1" outline="0" fieldPosition="0">
        <references count="5">
          <reference field="0" count="1" selected="0">
            <x v="0"/>
          </reference>
          <reference field="1" count="1" selected="0">
            <x v="1224"/>
          </reference>
          <reference field="2" count="1" selected="0">
            <x v="459"/>
          </reference>
          <reference field="3" count="1" selected="0">
            <x v="2"/>
          </reference>
          <reference field="4" count="1">
            <x v="55"/>
          </reference>
        </references>
      </pivotArea>
    </format>
    <format dxfId="405">
      <pivotArea dataOnly="0" labelOnly="1" outline="0" fieldPosition="0">
        <references count="5">
          <reference field="0" count="1" selected="0">
            <x v="0"/>
          </reference>
          <reference field="1" count="1" selected="0">
            <x v="1225"/>
          </reference>
          <reference field="2" count="1" selected="0">
            <x v="459"/>
          </reference>
          <reference field="3" count="1" selected="0">
            <x v="2"/>
          </reference>
          <reference field="4" count="1">
            <x v="151"/>
          </reference>
        </references>
      </pivotArea>
    </format>
    <format dxfId="404">
      <pivotArea dataOnly="0" labelOnly="1" outline="0" fieldPosition="0">
        <references count="5">
          <reference field="0" count="1" selected="0">
            <x v="0"/>
          </reference>
          <reference field="1" count="1" selected="0">
            <x v="1226"/>
          </reference>
          <reference field="2" count="1" selected="0">
            <x v="459"/>
          </reference>
          <reference field="3" count="1" selected="0">
            <x v="2"/>
          </reference>
          <reference field="4" count="1">
            <x v="206"/>
          </reference>
        </references>
      </pivotArea>
    </format>
    <format dxfId="403">
      <pivotArea dataOnly="0" labelOnly="1" outline="0" fieldPosition="0">
        <references count="5">
          <reference field="0" count="1" selected="0">
            <x v="0"/>
          </reference>
          <reference field="1" count="1" selected="0">
            <x v="1227"/>
          </reference>
          <reference field="2" count="1" selected="0">
            <x v="460"/>
          </reference>
          <reference field="3" count="1" selected="0">
            <x v="2"/>
          </reference>
          <reference field="4" count="1">
            <x v="167"/>
          </reference>
        </references>
      </pivotArea>
    </format>
    <format dxfId="402">
      <pivotArea dataOnly="0" labelOnly="1" outline="0" fieldPosition="0">
        <references count="5">
          <reference field="0" count="1" selected="0">
            <x v="0"/>
          </reference>
          <reference field="1" count="1" selected="0">
            <x v="1228"/>
          </reference>
          <reference field="2" count="1" selected="0">
            <x v="461"/>
          </reference>
          <reference field="3" count="1" selected="0">
            <x v="2"/>
          </reference>
          <reference field="4" count="1">
            <x v="79"/>
          </reference>
        </references>
      </pivotArea>
    </format>
    <format dxfId="401">
      <pivotArea dataOnly="0" labelOnly="1" outline="0" fieldPosition="0">
        <references count="5">
          <reference field="0" count="1" selected="0">
            <x v="0"/>
          </reference>
          <reference field="1" count="1" selected="0">
            <x v="1229"/>
          </reference>
          <reference field="2" count="1" selected="0">
            <x v="461"/>
          </reference>
          <reference field="3" count="1" selected="0">
            <x v="2"/>
          </reference>
          <reference field="4" count="1">
            <x v="80"/>
          </reference>
        </references>
      </pivotArea>
    </format>
    <format dxfId="400">
      <pivotArea dataOnly="0" labelOnly="1" outline="0" fieldPosition="0">
        <references count="5">
          <reference field="0" count="1" selected="0">
            <x v="0"/>
          </reference>
          <reference field="1" count="1" selected="0">
            <x v="1230"/>
          </reference>
          <reference field="2" count="1" selected="0">
            <x v="461"/>
          </reference>
          <reference field="3" count="1" selected="0">
            <x v="2"/>
          </reference>
          <reference field="4" count="1">
            <x v="97"/>
          </reference>
        </references>
      </pivotArea>
    </format>
    <format dxfId="399">
      <pivotArea dataOnly="0" labelOnly="1" outline="0" fieldPosition="0">
        <references count="5">
          <reference field="0" count="1" selected="0">
            <x v="0"/>
          </reference>
          <reference field="1" count="1" selected="0">
            <x v="1231"/>
          </reference>
          <reference field="2" count="1" selected="0">
            <x v="461"/>
          </reference>
          <reference field="3" count="1" selected="0">
            <x v="2"/>
          </reference>
          <reference field="4" count="1">
            <x v="110"/>
          </reference>
        </references>
      </pivotArea>
    </format>
    <format dxfId="398">
      <pivotArea dataOnly="0" labelOnly="1" outline="0" fieldPosition="0">
        <references count="5">
          <reference field="0" count="1" selected="0">
            <x v="0"/>
          </reference>
          <reference field="1" count="1" selected="0">
            <x v="1232"/>
          </reference>
          <reference field="2" count="1" selected="0">
            <x v="461"/>
          </reference>
          <reference field="3" count="1" selected="0">
            <x v="2"/>
          </reference>
          <reference field="4" count="1">
            <x v="148"/>
          </reference>
        </references>
      </pivotArea>
    </format>
    <format dxfId="397">
      <pivotArea dataOnly="0" labelOnly="1" outline="0" fieldPosition="0">
        <references count="5">
          <reference field="0" count="1" selected="0">
            <x v="0"/>
          </reference>
          <reference field="1" count="1" selected="0">
            <x v="1233"/>
          </reference>
          <reference field="2" count="1" selected="0">
            <x v="461"/>
          </reference>
          <reference field="3" count="1" selected="0">
            <x v="2"/>
          </reference>
          <reference field="4" count="1">
            <x v="182"/>
          </reference>
        </references>
      </pivotArea>
    </format>
    <format dxfId="396">
      <pivotArea dataOnly="0" labelOnly="1" outline="0" fieldPosition="0">
        <references count="5">
          <reference field="0" count="1" selected="0">
            <x v="0"/>
          </reference>
          <reference field="1" count="1" selected="0">
            <x v="1234"/>
          </reference>
          <reference field="2" count="1" selected="0">
            <x v="461"/>
          </reference>
          <reference field="3" count="1" selected="0">
            <x v="2"/>
          </reference>
          <reference field="4" count="1">
            <x v="228"/>
          </reference>
        </references>
      </pivotArea>
    </format>
    <format dxfId="395">
      <pivotArea dataOnly="0" labelOnly="1" outline="0" fieldPosition="0">
        <references count="5">
          <reference field="0" count="1" selected="0">
            <x v="0"/>
          </reference>
          <reference field="1" count="1" selected="0">
            <x v="1235"/>
          </reference>
          <reference field="2" count="1" selected="0">
            <x v="462"/>
          </reference>
          <reference field="3" count="1" selected="0">
            <x v="2"/>
          </reference>
          <reference field="4" count="1">
            <x v="41"/>
          </reference>
        </references>
      </pivotArea>
    </format>
    <format dxfId="394">
      <pivotArea dataOnly="0" labelOnly="1" outline="0" fieldPosition="0">
        <references count="5">
          <reference field="0" count="1" selected="0">
            <x v="0"/>
          </reference>
          <reference field="1" count="1" selected="0">
            <x v="1236"/>
          </reference>
          <reference field="2" count="1" selected="0">
            <x v="462"/>
          </reference>
          <reference field="3" count="1" selected="0">
            <x v="2"/>
          </reference>
          <reference field="4" count="1">
            <x v="42"/>
          </reference>
        </references>
      </pivotArea>
    </format>
    <format dxfId="393">
      <pivotArea dataOnly="0" labelOnly="1" outline="0" fieldPosition="0">
        <references count="5">
          <reference field="0" count="1" selected="0">
            <x v="0"/>
          </reference>
          <reference field="1" count="1" selected="0">
            <x v="1237"/>
          </reference>
          <reference field="2" count="1" selected="0">
            <x v="462"/>
          </reference>
          <reference field="3" count="1" selected="0">
            <x v="2"/>
          </reference>
          <reference field="4" count="1">
            <x v="52"/>
          </reference>
        </references>
      </pivotArea>
    </format>
    <format dxfId="392">
      <pivotArea dataOnly="0" labelOnly="1" outline="0" fieldPosition="0">
        <references count="5">
          <reference field="0" count="1" selected="0">
            <x v="0"/>
          </reference>
          <reference field="1" count="1" selected="0">
            <x v="1238"/>
          </reference>
          <reference field="2" count="1" selected="0">
            <x v="462"/>
          </reference>
          <reference field="3" count="1" selected="0">
            <x v="2"/>
          </reference>
          <reference field="4" count="1">
            <x v="64"/>
          </reference>
        </references>
      </pivotArea>
    </format>
    <format dxfId="391">
      <pivotArea dataOnly="0" labelOnly="1" outline="0" fieldPosition="0">
        <references count="5">
          <reference field="0" count="1" selected="0">
            <x v="0"/>
          </reference>
          <reference field="1" count="1" selected="0">
            <x v="1239"/>
          </reference>
          <reference field="2" count="1" selected="0">
            <x v="462"/>
          </reference>
          <reference field="3" count="1" selected="0">
            <x v="2"/>
          </reference>
          <reference field="4" count="1">
            <x v="110"/>
          </reference>
        </references>
      </pivotArea>
    </format>
    <format dxfId="390">
      <pivotArea dataOnly="0" labelOnly="1" outline="0" fieldPosition="0">
        <references count="5">
          <reference field="0" count="1" selected="0">
            <x v="0"/>
          </reference>
          <reference field="1" count="1" selected="0">
            <x v="1240"/>
          </reference>
          <reference field="2" count="1" selected="0">
            <x v="462"/>
          </reference>
          <reference field="3" count="1" selected="0">
            <x v="2"/>
          </reference>
          <reference field="4" count="1">
            <x v="142"/>
          </reference>
        </references>
      </pivotArea>
    </format>
    <format dxfId="389">
      <pivotArea dataOnly="0" labelOnly="1" outline="0" fieldPosition="0">
        <references count="5">
          <reference field="0" count="1" selected="0">
            <x v="0"/>
          </reference>
          <reference field="1" count="1" selected="0">
            <x v="1241"/>
          </reference>
          <reference field="2" count="1" selected="0">
            <x v="463"/>
          </reference>
          <reference field="3" count="1" selected="0">
            <x v="2"/>
          </reference>
          <reference field="4" count="1">
            <x v="70"/>
          </reference>
        </references>
      </pivotArea>
    </format>
    <format dxfId="388">
      <pivotArea dataOnly="0" labelOnly="1" outline="0" fieldPosition="0">
        <references count="5">
          <reference field="0" count="1" selected="0">
            <x v="0"/>
          </reference>
          <reference field="1" count="1" selected="0">
            <x v="1242"/>
          </reference>
          <reference field="2" count="1" selected="0">
            <x v="463"/>
          </reference>
          <reference field="3" count="1" selected="0">
            <x v="2"/>
          </reference>
          <reference field="4" count="1">
            <x v="246"/>
          </reference>
        </references>
      </pivotArea>
    </format>
    <format dxfId="387">
      <pivotArea dataOnly="0" labelOnly="1" outline="0" fieldPosition="0">
        <references count="5">
          <reference field="0" count="1" selected="0">
            <x v="0"/>
          </reference>
          <reference field="1" count="1" selected="0">
            <x v="1243"/>
          </reference>
          <reference field="2" count="1" selected="0">
            <x v="464"/>
          </reference>
          <reference field="3" count="1" selected="0">
            <x v="2"/>
          </reference>
          <reference field="4" count="1">
            <x v="35"/>
          </reference>
        </references>
      </pivotArea>
    </format>
    <format dxfId="386">
      <pivotArea dataOnly="0" labelOnly="1" outline="0" fieldPosition="0">
        <references count="5">
          <reference field="0" count="1" selected="0">
            <x v="0"/>
          </reference>
          <reference field="1" count="1" selected="0">
            <x v="1244"/>
          </reference>
          <reference field="2" count="1" selected="0">
            <x v="464"/>
          </reference>
          <reference field="3" count="1" selected="0">
            <x v="2"/>
          </reference>
          <reference field="4" count="1">
            <x v="148"/>
          </reference>
        </references>
      </pivotArea>
    </format>
    <format dxfId="385">
      <pivotArea dataOnly="0" labelOnly="1" outline="0" fieldPosition="0">
        <references count="5">
          <reference field="0" count="1" selected="0">
            <x v="0"/>
          </reference>
          <reference field="1" count="1" selected="0">
            <x v="1245"/>
          </reference>
          <reference field="2" count="1" selected="0">
            <x v="464"/>
          </reference>
          <reference field="3" count="1" selected="0">
            <x v="2"/>
          </reference>
          <reference field="4" count="1">
            <x v="167"/>
          </reference>
        </references>
      </pivotArea>
    </format>
    <format dxfId="384">
      <pivotArea dataOnly="0" labelOnly="1" outline="0" fieldPosition="0">
        <references count="5">
          <reference field="0" count="1" selected="0">
            <x v="0"/>
          </reference>
          <reference field="1" count="1" selected="0">
            <x v="1246"/>
          </reference>
          <reference field="2" count="1" selected="0">
            <x v="464"/>
          </reference>
          <reference field="3" count="1" selected="0">
            <x v="2"/>
          </reference>
          <reference field="4" count="1">
            <x v="210"/>
          </reference>
        </references>
      </pivotArea>
    </format>
    <format dxfId="383">
      <pivotArea dataOnly="0" labelOnly="1" outline="0" fieldPosition="0">
        <references count="5">
          <reference field="0" count="1" selected="0">
            <x v="0"/>
          </reference>
          <reference field="1" count="1" selected="0">
            <x v="1247"/>
          </reference>
          <reference field="2" count="1" selected="0">
            <x v="464"/>
          </reference>
          <reference field="3" count="1" selected="0">
            <x v="2"/>
          </reference>
          <reference field="4" count="1">
            <x v="269"/>
          </reference>
        </references>
      </pivotArea>
    </format>
    <format dxfId="382">
      <pivotArea dataOnly="0" labelOnly="1" outline="0" fieldPosition="0">
        <references count="5">
          <reference field="0" count="1" selected="0">
            <x v="0"/>
          </reference>
          <reference field="1" count="1" selected="0">
            <x v="1248"/>
          </reference>
          <reference field="2" count="1" selected="0">
            <x v="465"/>
          </reference>
          <reference field="3" count="1" selected="0">
            <x v="2"/>
          </reference>
          <reference field="4" count="1">
            <x v="45"/>
          </reference>
        </references>
      </pivotArea>
    </format>
    <format dxfId="381">
      <pivotArea dataOnly="0" labelOnly="1" outline="0" fieldPosition="0">
        <references count="5">
          <reference field="0" count="1" selected="0">
            <x v="0"/>
          </reference>
          <reference field="1" count="1" selected="0">
            <x v="1249"/>
          </reference>
          <reference field="2" count="1" selected="0">
            <x v="465"/>
          </reference>
          <reference field="3" count="1" selected="0">
            <x v="2"/>
          </reference>
          <reference field="4" count="1">
            <x v="50"/>
          </reference>
        </references>
      </pivotArea>
    </format>
    <format dxfId="380">
      <pivotArea dataOnly="0" labelOnly="1" outline="0" fieldPosition="0">
        <references count="5">
          <reference field="0" count="1" selected="0">
            <x v="0"/>
          </reference>
          <reference field="1" count="1" selected="0">
            <x v="1250"/>
          </reference>
          <reference field="2" count="1" selected="0">
            <x v="465"/>
          </reference>
          <reference field="3" count="1" selected="0">
            <x v="2"/>
          </reference>
          <reference field="4" count="1">
            <x v="90"/>
          </reference>
        </references>
      </pivotArea>
    </format>
    <format dxfId="379">
      <pivotArea dataOnly="0" labelOnly="1" outline="0" fieldPosition="0">
        <references count="5">
          <reference field="0" count="1" selected="0">
            <x v="0"/>
          </reference>
          <reference field="1" count="1" selected="0">
            <x v="1251"/>
          </reference>
          <reference field="2" count="1" selected="0">
            <x v="465"/>
          </reference>
          <reference field="3" count="1" selected="0">
            <x v="2"/>
          </reference>
          <reference field="4" count="1">
            <x v="104"/>
          </reference>
        </references>
      </pivotArea>
    </format>
    <format dxfId="378">
      <pivotArea dataOnly="0" labelOnly="1" outline="0" fieldPosition="0">
        <references count="5">
          <reference field="0" count="1" selected="0">
            <x v="0"/>
          </reference>
          <reference field="1" count="1" selected="0">
            <x v="1252"/>
          </reference>
          <reference field="2" count="1" selected="0">
            <x v="465"/>
          </reference>
          <reference field="3" count="1" selected="0">
            <x v="2"/>
          </reference>
          <reference field="4" count="1">
            <x v="162"/>
          </reference>
        </references>
      </pivotArea>
    </format>
    <format dxfId="377">
      <pivotArea dataOnly="0" labelOnly="1" outline="0" fieldPosition="0">
        <references count="5">
          <reference field="0" count="1" selected="0">
            <x v="0"/>
          </reference>
          <reference field="1" count="1" selected="0">
            <x v="1253"/>
          </reference>
          <reference field="2" count="1" selected="0">
            <x v="465"/>
          </reference>
          <reference field="3" count="1" selected="0">
            <x v="2"/>
          </reference>
          <reference field="4" count="1">
            <x v="241"/>
          </reference>
        </references>
      </pivotArea>
    </format>
    <format dxfId="376">
      <pivotArea dataOnly="0" labelOnly="1" outline="0" fieldPosition="0">
        <references count="5">
          <reference field="0" count="1" selected="0">
            <x v="0"/>
          </reference>
          <reference field="1" count="1" selected="0">
            <x v="1254"/>
          </reference>
          <reference field="2" count="1" selected="0">
            <x v="465"/>
          </reference>
          <reference field="3" count="1" selected="0">
            <x v="2"/>
          </reference>
          <reference field="4" count="1">
            <x v="242"/>
          </reference>
        </references>
      </pivotArea>
    </format>
    <format dxfId="375">
      <pivotArea dataOnly="0" labelOnly="1" outline="0" fieldPosition="0">
        <references count="5">
          <reference field="0" count="1" selected="0">
            <x v="0"/>
          </reference>
          <reference field="1" count="1" selected="0">
            <x v="1255"/>
          </reference>
          <reference field="2" count="1" selected="0">
            <x v="466"/>
          </reference>
          <reference field="3" count="1" selected="0">
            <x v="2"/>
          </reference>
          <reference field="4" count="1">
            <x v="22"/>
          </reference>
        </references>
      </pivotArea>
    </format>
    <format dxfId="374">
      <pivotArea dataOnly="0" labelOnly="1" outline="0" fieldPosition="0">
        <references count="5">
          <reference field="0" count="1" selected="0">
            <x v="0"/>
          </reference>
          <reference field="1" count="1" selected="0">
            <x v="1256"/>
          </reference>
          <reference field="2" count="1" selected="0">
            <x v="466"/>
          </reference>
          <reference field="3" count="1" selected="0">
            <x v="2"/>
          </reference>
          <reference field="4" count="1">
            <x v="70"/>
          </reference>
        </references>
      </pivotArea>
    </format>
    <format dxfId="373">
      <pivotArea dataOnly="0" labelOnly="1" outline="0" fieldPosition="0">
        <references count="5">
          <reference field="0" count="1" selected="0">
            <x v="0"/>
          </reference>
          <reference field="1" count="1" selected="0">
            <x v="1257"/>
          </reference>
          <reference field="2" count="1" selected="0">
            <x v="466"/>
          </reference>
          <reference field="3" count="1" selected="0">
            <x v="2"/>
          </reference>
          <reference field="4" count="1">
            <x v="240"/>
          </reference>
        </references>
      </pivotArea>
    </format>
    <format dxfId="372">
      <pivotArea dataOnly="0" labelOnly="1" outline="0" fieldPosition="0">
        <references count="5">
          <reference field="0" count="1" selected="0">
            <x v="0"/>
          </reference>
          <reference field="1" count="1" selected="0">
            <x v="1258"/>
          </reference>
          <reference field="2" count="1" selected="0">
            <x v="466"/>
          </reference>
          <reference field="3" count="1" selected="0">
            <x v="2"/>
          </reference>
          <reference field="4" count="1">
            <x v="251"/>
          </reference>
        </references>
      </pivotArea>
    </format>
    <format dxfId="371">
      <pivotArea dataOnly="0" labelOnly="1" outline="0" fieldPosition="0">
        <references count="5">
          <reference field="0" count="1" selected="0">
            <x v="0"/>
          </reference>
          <reference field="1" count="1" selected="0">
            <x v="1259"/>
          </reference>
          <reference field="2" count="1" selected="0">
            <x v="466"/>
          </reference>
          <reference field="3" count="1" selected="0">
            <x v="2"/>
          </reference>
          <reference field="4" count="1">
            <x v="291"/>
          </reference>
        </references>
      </pivotArea>
    </format>
    <format dxfId="370">
      <pivotArea dataOnly="0" labelOnly="1" outline="0" fieldPosition="0">
        <references count="5">
          <reference field="0" count="1" selected="0">
            <x v="0"/>
          </reference>
          <reference field="1" count="1" selected="0">
            <x v="1260"/>
          </reference>
          <reference field="2" count="1" selected="0">
            <x v="467"/>
          </reference>
          <reference field="3" count="1" selected="0">
            <x v="2"/>
          </reference>
          <reference field="4" count="1">
            <x v="20"/>
          </reference>
        </references>
      </pivotArea>
    </format>
    <format dxfId="369">
      <pivotArea dataOnly="0" labelOnly="1" outline="0" fieldPosition="0">
        <references count="5">
          <reference field="0" count="1" selected="0">
            <x v="0"/>
          </reference>
          <reference field="1" count="1" selected="0">
            <x v="1261"/>
          </reference>
          <reference field="2" count="1" selected="0">
            <x v="467"/>
          </reference>
          <reference field="3" count="1" selected="0">
            <x v="2"/>
          </reference>
          <reference field="4" count="1">
            <x v="33"/>
          </reference>
        </references>
      </pivotArea>
    </format>
    <format dxfId="368">
      <pivotArea dataOnly="0" labelOnly="1" outline="0" fieldPosition="0">
        <references count="5">
          <reference field="0" count="1" selected="0">
            <x v="0"/>
          </reference>
          <reference field="1" count="1" selected="0">
            <x v="1262"/>
          </reference>
          <reference field="2" count="1" selected="0">
            <x v="467"/>
          </reference>
          <reference field="3" count="1" selected="0">
            <x v="2"/>
          </reference>
          <reference field="4" count="1">
            <x v="108"/>
          </reference>
        </references>
      </pivotArea>
    </format>
    <format dxfId="367">
      <pivotArea dataOnly="0" labelOnly="1" outline="0" fieldPosition="0">
        <references count="5">
          <reference field="0" count="1" selected="0">
            <x v="0"/>
          </reference>
          <reference field="1" count="1" selected="0">
            <x v="1263"/>
          </reference>
          <reference field="2" count="1" selected="0">
            <x v="467"/>
          </reference>
          <reference field="3" count="1" selected="0">
            <x v="2"/>
          </reference>
          <reference field="4" count="1">
            <x v="138"/>
          </reference>
        </references>
      </pivotArea>
    </format>
    <format dxfId="366">
      <pivotArea dataOnly="0" labelOnly="1" outline="0" fieldPosition="0">
        <references count="5">
          <reference field="0" count="1" selected="0">
            <x v="0"/>
          </reference>
          <reference field="1" count="1" selected="0">
            <x v="1264"/>
          </reference>
          <reference field="2" count="1" selected="0">
            <x v="467"/>
          </reference>
          <reference field="3" count="1" selected="0">
            <x v="2"/>
          </reference>
          <reference field="4" count="1">
            <x v="147"/>
          </reference>
        </references>
      </pivotArea>
    </format>
    <format dxfId="365">
      <pivotArea dataOnly="0" labelOnly="1" outline="0" fieldPosition="0">
        <references count="5">
          <reference field="0" count="1" selected="0">
            <x v="0"/>
          </reference>
          <reference field="1" count="1" selected="0">
            <x v="1265"/>
          </reference>
          <reference field="2" count="1" selected="0">
            <x v="467"/>
          </reference>
          <reference field="3" count="1" selected="0">
            <x v="2"/>
          </reference>
          <reference field="4" count="1">
            <x v="184"/>
          </reference>
        </references>
      </pivotArea>
    </format>
    <format dxfId="364">
      <pivotArea dataOnly="0" labelOnly="1" outline="0" fieldPosition="0">
        <references count="5">
          <reference field="0" count="1" selected="0">
            <x v="0"/>
          </reference>
          <reference field="1" count="1" selected="0">
            <x v="1266"/>
          </reference>
          <reference field="2" count="1" selected="0">
            <x v="467"/>
          </reference>
          <reference field="3" count="1" selected="0">
            <x v="2"/>
          </reference>
          <reference field="4" count="1">
            <x v="202"/>
          </reference>
        </references>
      </pivotArea>
    </format>
    <format dxfId="363">
      <pivotArea dataOnly="0" labelOnly="1" outline="0" fieldPosition="0">
        <references count="5">
          <reference field="0" count="1" selected="0">
            <x v="0"/>
          </reference>
          <reference field="1" count="1" selected="0">
            <x v="1267"/>
          </reference>
          <reference field="2" count="1" selected="0">
            <x v="467"/>
          </reference>
          <reference field="3" count="1" selected="0">
            <x v="2"/>
          </reference>
          <reference field="4" count="1">
            <x v="224"/>
          </reference>
        </references>
      </pivotArea>
    </format>
    <format dxfId="362">
      <pivotArea dataOnly="0" labelOnly="1" outline="0" fieldPosition="0">
        <references count="5">
          <reference field="0" count="1" selected="0">
            <x v="0"/>
          </reference>
          <reference field="1" count="1" selected="0">
            <x v="1268"/>
          </reference>
          <reference field="2" count="1" selected="0">
            <x v="467"/>
          </reference>
          <reference field="3" count="1" selected="0">
            <x v="2"/>
          </reference>
          <reference field="4" count="1">
            <x v="232"/>
          </reference>
        </references>
      </pivotArea>
    </format>
    <format dxfId="361">
      <pivotArea dataOnly="0" labelOnly="1" outline="0" fieldPosition="0">
        <references count="5">
          <reference field="0" count="1" selected="0">
            <x v="0"/>
          </reference>
          <reference field="1" count="1" selected="0">
            <x v="1269"/>
          </reference>
          <reference field="2" count="1" selected="0">
            <x v="467"/>
          </reference>
          <reference field="3" count="1" selected="0">
            <x v="2"/>
          </reference>
          <reference field="4" count="1">
            <x v="256"/>
          </reference>
        </references>
      </pivotArea>
    </format>
    <format dxfId="360">
      <pivotArea dataOnly="0" labelOnly="1" outline="0" fieldPosition="0">
        <references count="5">
          <reference field="0" count="1" selected="0">
            <x v="0"/>
          </reference>
          <reference field="1" count="1" selected="0">
            <x v="1270"/>
          </reference>
          <reference field="2" count="1" selected="0">
            <x v="467"/>
          </reference>
          <reference field="3" count="1" selected="0">
            <x v="2"/>
          </reference>
          <reference field="4" count="1">
            <x v="265"/>
          </reference>
        </references>
      </pivotArea>
    </format>
    <format dxfId="359">
      <pivotArea dataOnly="0" labelOnly="1" outline="0" fieldPosition="0">
        <references count="5">
          <reference field="0" count="1" selected="0">
            <x v="0"/>
          </reference>
          <reference field="1" count="1" selected="0">
            <x v="1271"/>
          </reference>
          <reference field="2" count="1" selected="0">
            <x v="467"/>
          </reference>
          <reference field="3" count="1" selected="0">
            <x v="2"/>
          </reference>
          <reference field="4" count="1">
            <x v="289"/>
          </reference>
        </references>
      </pivotArea>
    </format>
    <format dxfId="358">
      <pivotArea dataOnly="0" labelOnly="1" outline="0" fieldPosition="0">
        <references count="5">
          <reference field="0" count="1" selected="0">
            <x v="0"/>
          </reference>
          <reference field="1" count="1" selected="0">
            <x v="1272"/>
          </reference>
          <reference field="2" count="1" selected="0">
            <x v="468"/>
          </reference>
          <reference field="3" count="1" selected="0">
            <x v="2"/>
          </reference>
          <reference field="4" count="1">
            <x v="70"/>
          </reference>
        </references>
      </pivotArea>
    </format>
    <format dxfId="357">
      <pivotArea dataOnly="0" labelOnly="1" outline="0" fieldPosition="0">
        <references count="5">
          <reference field="0" count="1" selected="0">
            <x v="0"/>
          </reference>
          <reference field="1" count="1" selected="0">
            <x v="1273"/>
          </reference>
          <reference field="2" count="1" selected="0">
            <x v="468"/>
          </reference>
          <reference field="3" count="1" selected="0">
            <x v="2"/>
          </reference>
          <reference field="4" count="1">
            <x v="215"/>
          </reference>
        </references>
      </pivotArea>
    </format>
    <format dxfId="356">
      <pivotArea dataOnly="0" labelOnly="1" outline="0" fieldPosition="0">
        <references count="5">
          <reference field="0" count="1" selected="0">
            <x v="0"/>
          </reference>
          <reference field="1" count="1" selected="0">
            <x v="1274"/>
          </reference>
          <reference field="2" count="1" selected="0">
            <x v="469"/>
          </reference>
          <reference field="3" count="1" selected="0">
            <x v="2"/>
          </reference>
          <reference field="4" count="1">
            <x v="41"/>
          </reference>
        </references>
      </pivotArea>
    </format>
    <format dxfId="355">
      <pivotArea dataOnly="0" labelOnly="1" outline="0" fieldPosition="0">
        <references count="5">
          <reference field="0" count="1" selected="0">
            <x v="0"/>
          </reference>
          <reference field="1" count="1" selected="0">
            <x v="1275"/>
          </reference>
          <reference field="2" count="1" selected="0">
            <x v="470"/>
          </reference>
          <reference field="3" count="1" selected="0">
            <x v="2"/>
          </reference>
          <reference field="4" count="1">
            <x v="41"/>
          </reference>
        </references>
      </pivotArea>
    </format>
    <format dxfId="354">
      <pivotArea dataOnly="0" labelOnly="1" outline="0" fieldPosition="0">
        <references count="5">
          <reference field="0" count="1" selected="0">
            <x v="0"/>
          </reference>
          <reference field="1" count="1" selected="0">
            <x v="1276"/>
          </reference>
          <reference field="2" count="1" selected="0">
            <x v="470"/>
          </reference>
          <reference field="3" count="1" selected="0">
            <x v="2"/>
          </reference>
          <reference field="4" count="1">
            <x v="79"/>
          </reference>
        </references>
      </pivotArea>
    </format>
    <format dxfId="353">
      <pivotArea dataOnly="0" labelOnly="1" outline="0" fieldPosition="0">
        <references count="5">
          <reference field="0" count="1" selected="0">
            <x v="0"/>
          </reference>
          <reference field="1" count="1" selected="0">
            <x v="1277"/>
          </reference>
          <reference field="2" count="1" selected="0">
            <x v="470"/>
          </reference>
          <reference field="3" count="1" selected="0">
            <x v="2"/>
          </reference>
          <reference field="4" count="1">
            <x v="80"/>
          </reference>
        </references>
      </pivotArea>
    </format>
    <format dxfId="352">
      <pivotArea dataOnly="0" labelOnly="1" outline="0" fieldPosition="0">
        <references count="5">
          <reference field="0" count="1" selected="0">
            <x v="0"/>
          </reference>
          <reference field="1" count="1" selected="0">
            <x v="1278"/>
          </reference>
          <reference field="2" count="1" selected="0">
            <x v="470"/>
          </reference>
          <reference field="3" count="1" selected="0">
            <x v="2"/>
          </reference>
          <reference field="4" count="1">
            <x v="110"/>
          </reference>
        </references>
      </pivotArea>
    </format>
    <format dxfId="351">
      <pivotArea dataOnly="0" labelOnly="1" outline="0" fieldPosition="0">
        <references count="5">
          <reference field="0" count="1" selected="0">
            <x v="0"/>
          </reference>
          <reference field="1" count="1" selected="0">
            <x v="1279"/>
          </reference>
          <reference field="2" count="1" selected="0">
            <x v="470"/>
          </reference>
          <reference field="3" count="1" selected="0">
            <x v="2"/>
          </reference>
          <reference field="4" count="1">
            <x v="148"/>
          </reference>
        </references>
      </pivotArea>
    </format>
    <format dxfId="350">
      <pivotArea dataOnly="0" labelOnly="1" outline="0" fieldPosition="0">
        <references count="5">
          <reference field="0" count="1" selected="0">
            <x v="0"/>
          </reference>
          <reference field="1" count="1" selected="0">
            <x v="1280"/>
          </reference>
          <reference field="2" count="1" selected="0">
            <x v="470"/>
          </reference>
          <reference field="3" count="1" selected="0">
            <x v="2"/>
          </reference>
          <reference field="4" count="1">
            <x v="181"/>
          </reference>
        </references>
      </pivotArea>
    </format>
    <format dxfId="349">
      <pivotArea dataOnly="0" labelOnly="1" outline="0" fieldPosition="0">
        <references count="5">
          <reference field="0" count="1" selected="0">
            <x v="0"/>
          </reference>
          <reference field="1" count="1" selected="0">
            <x v="1281"/>
          </reference>
          <reference field="2" count="1" selected="0">
            <x v="470"/>
          </reference>
          <reference field="3" count="1" selected="0">
            <x v="2"/>
          </reference>
          <reference field="4" count="1">
            <x v="194"/>
          </reference>
        </references>
      </pivotArea>
    </format>
    <format dxfId="348">
      <pivotArea dataOnly="0" labelOnly="1" outline="0" fieldPosition="0">
        <references count="5">
          <reference field="0" count="1" selected="0">
            <x v="0"/>
          </reference>
          <reference field="1" count="1" selected="0">
            <x v="1282"/>
          </reference>
          <reference field="2" count="1" selected="0">
            <x v="470"/>
          </reference>
          <reference field="3" count="1" selected="0">
            <x v="2"/>
          </reference>
          <reference field="4" count="1">
            <x v="210"/>
          </reference>
        </references>
      </pivotArea>
    </format>
    <format dxfId="347">
      <pivotArea dataOnly="0" labelOnly="1" outline="0" fieldPosition="0">
        <references count="5">
          <reference field="0" count="1" selected="0">
            <x v="0"/>
          </reference>
          <reference field="1" count="1" selected="0">
            <x v="1283"/>
          </reference>
          <reference field="2" count="1" selected="0">
            <x v="470"/>
          </reference>
          <reference field="3" count="1" selected="0">
            <x v="2"/>
          </reference>
          <reference field="4" count="1">
            <x v="225"/>
          </reference>
        </references>
      </pivotArea>
    </format>
    <format dxfId="346">
      <pivotArea dataOnly="0" labelOnly="1" outline="0" fieldPosition="0">
        <references count="5">
          <reference field="0" count="1" selected="0">
            <x v="0"/>
          </reference>
          <reference field="1" count="1" selected="0">
            <x v="1284"/>
          </reference>
          <reference field="2" count="1" selected="0">
            <x v="470"/>
          </reference>
          <reference field="3" count="1" selected="0">
            <x v="2"/>
          </reference>
          <reference field="4" count="1">
            <x v="241"/>
          </reference>
        </references>
      </pivotArea>
    </format>
    <format dxfId="345">
      <pivotArea dataOnly="0" labelOnly="1" outline="0" fieldPosition="0">
        <references count="5">
          <reference field="0" count="1" selected="0">
            <x v="0"/>
          </reference>
          <reference field="1" count="1" selected="0">
            <x v="1285"/>
          </reference>
          <reference field="2" count="1" selected="0">
            <x v="470"/>
          </reference>
          <reference field="3" count="1" selected="0">
            <x v="2"/>
          </reference>
          <reference field="4" count="1">
            <x v="261"/>
          </reference>
        </references>
      </pivotArea>
    </format>
    <format dxfId="344">
      <pivotArea dataOnly="0" labelOnly="1" outline="0" fieldPosition="0">
        <references count="5">
          <reference field="0" count="1" selected="0">
            <x v="0"/>
          </reference>
          <reference field="1" count="1" selected="0">
            <x v="1286"/>
          </reference>
          <reference field="2" count="1" selected="0">
            <x v="470"/>
          </reference>
          <reference field="3" count="1" selected="0">
            <x v="2"/>
          </reference>
          <reference field="4" count="1">
            <x v="262"/>
          </reference>
        </references>
      </pivotArea>
    </format>
    <format dxfId="343">
      <pivotArea dataOnly="0" labelOnly="1" outline="0" fieldPosition="0">
        <references count="5">
          <reference field="0" count="1" selected="0">
            <x v="0"/>
          </reference>
          <reference field="1" count="1" selected="0">
            <x v="1287"/>
          </reference>
          <reference field="2" count="1" selected="0">
            <x v="470"/>
          </reference>
          <reference field="3" count="1" selected="0">
            <x v="2"/>
          </reference>
          <reference field="4" count="1">
            <x v="277"/>
          </reference>
        </references>
      </pivotArea>
    </format>
    <format dxfId="342">
      <pivotArea dataOnly="0" labelOnly="1" outline="0" fieldPosition="0">
        <references count="5">
          <reference field="0" count="1" selected="0">
            <x v="0"/>
          </reference>
          <reference field="1" count="1" selected="0">
            <x v="1288"/>
          </reference>
          <reference field="2" count="1" selected="0">
            <x v="471"/>
          </reference>
          <reference field="3" count="1" selected="0">
            <x v="2"/>
          </reference>
          <reference field="4" count="1">
            <x v="18"/>
          </reference>
        </references>
      </pivotArea>
    </format>
    <format dxfId="341">
      <pivotArea dataOnly="0" labelOnly="1" outline="0" fieldPosition="0">
        <references count="5">
          <reference field="0" count="1" selected="0">
            <x v="0"/>
          </reference>
          <reference field="1" count="1" selected="0">
            <x v="1289"/>
          </reference>
          <reference field="2" count="1" selected="0">
            <x v="471"/>
          </reference>
          <reference field="3" count="1" selected="0">
            <x v="2"/>
          </reference>
          <reference field="4" count="1">
            <x v="63"/>
          </reference>
        </references>
      </pivotArea>
    </format>
    <format dxfId="340">
      <pivotArea dataOnly="0" labelOnly="1" outline="0" fieldPosition="0">
        <references count="5">
          <reference field="0" count="1" selected="0">
            <x v="0"/>
          </reference>
          <reference field="1" count="1" selected="0">
            <x v="1290"/>
          </reference>
          <reference field="2" count="1" selected="0">
            <x v="471"/>
          </reference>
          <reference field="3" count="1" selected="0">
            <x v="2"/>
          </reference>
          <reference field="4" count="1">
            <x v="110"/>
          </reference>
        </references>
      </pivotArea>
    </format>
    <format dxfId="339">
      <pivotArea dataOnly="0" labelOnly="1" outline="0" fieldPosition="0">
        <references count="5">
          <reference field="0" count="1" selected="0">
            <x v="0"/>
          </reference>
          <reference field="1" count="1" selected="0">
            <x v="1291"/>
          </reference>
          <reference field="2" count="1" selected="0">
            <x v="471"/>
          </reference>
          <reference field="3" count="1" selected="0">
            <x v="2"/>
          </reference>
          <reference field="4" count="1">
            <x v="149"/>
          </reference>
        </references>
      </pivotArea>
    </format>
    <format dxfId="338">
      <pivotArea dataOnly="0" labelOnly="1" outline="0" fieldPosition="0">
        <references count="5">
          <reference field="0" count="1" selected="0">
            <x v="0"/>
          </reference>
          <reference field="1" count="1" selected="0">
            <x v="1292"/>
          </reference>
          <reference field="2" count="1" selected="0">
            <x v="472"/>
          </reference>
          <reference field="3" count="1" selected="0">
            <x v="2"/>
          </reference>
          <reference field="4" count="1">
            <x v="17"/>
          </reference>
        </references>
      </pivotArea>
    </format>
    <format dxfId="337">
      <pivotArea dataOnly="0" labelOnly="1" outline="0" fieldPosition="0">
        <references count="5">
          <reference field="0" count="1" selected="0">
            <x v="0"/>
          </reference>
          <reference field="1" count="1" selected="0">
            <x v="1293"/>
          </reference>
          <reference field="2" count="1" selected="0">
            <x v="472"/>
          </reference>
          <reference field="3" count="1" selected="0">
            <x v="2"/>
          </reference>
          <reference field="4" count="1">
            <x v="44"/>
          </reference>
        </references>
      </pivotArea>
    </format>
    <format dxfId="336">
      <pivotArea dataOnly="0" labelOnly="1" outline="0" fieldPosition="0">
        <references count="5">
          <reference field="0" count="1" selected="0">
            <x v="0"/>
          </reference>
          <reference field="1" count="1" selected="0">
            <x v="1294"/>
          </reference>
          <reference field="2" count="1" selected="0">
            <x v="472"/>
          </reference>
          <reference field="3" count="1" selected="0">
            <x v="2"/>
          </reference>
          <reference field="4" count="1">
            <x v="110"/>
          </reference>
        </references>
      </pivotArea>
    </format>
    <format dxfId="335">
      <pivotArea dataOnly="0" labelOnly="1" outline="0" fieldPosition="0">
        <references count="5">
          <reference field="0" count="1" selected="0">
            <x v="0"/>
          </reference>
          <reference field="1" count="1" selected="0">
            <x v="1295"/>
          </reference>
          <reference field="2" count="1" selected="0">
            <x v="472"/>
          </reference>
          <reference field="3" count="1" selected="0">
            <x v="2"/>
          </reference>
          <reference field="4" count="1">
            <x v="214"/>
          </reference>
        </references>
      </pivotArea>
    </format>
    <format dxfId="334">
      <pivotArea dataOnly="0" labelOnly="1" outline="0" fieldPosition="0">
        <references count="5">
          <reference field="0" count="1" selected="0">
            <x v="0"/>
          </reference>
          <reference field="1" count="1" selected="0">
            <x v="1296"/>
          </reference>
          <reference field="2" count="1" selected="0">
            <x v="472"/>
          </reference>
          <reference field="3" count="1" selected="0">
            <x v="2"/>
          </reference>
          <reference field="4" count="1">
            <x v="227"/>
          </reference>
        </references>
      </pivotArea>
    </format>
    <format dxfId="333">
      <pivotArea dataOnly="0" labelOnly="1" outline="0" fieldPosition="0">
        <references count="5">
          <reference field="0" count="1" selected="0">
            <x v="0"/>
          </reference>
          <reference field="1" count="1" selected="0">
            <x v="1297"/>
          </reference>
          <reference field="2" count="1" selected="0">
            <x v="473"/>
          </reference>
          <reference field="3" count="1" selected="0">
            <x v="2"/>
          </reference>
          <reference field="4" count="1">
            <x v="131"/>
          </reference>
        </references>
      </pivotArea>
    </format>
    <format dxfId="332">
      <pivotArea dataOnly="0" labelOnly="1" outline="0" fieldPosition="0">
        <references count="5">
          <reference field="0" count="1" selected="0">
            <x v="0"/>
          </reference>
          <reference field="1" count="1" selected="0">
            <x v="1298"/>
          </reference>
          <reference field="2" count="1" selected="0">
            <x v="473"/>
          </reference>
          <reference field="3" count="1" selected="0">
            <x v="2"/>
          </reference>
          <reference field="4" count="1">
            <x v="159"/>
          </reference>
        </references>
      </pivotArea>
    </format>
    <format dxfId="331">
      <pivotArea dataOnly="0" labelOnly="1" outline="0" fieldPosition="0">
        <references count="5">
          <reference field="0" count="1" selected="0">
            <x v="0"/>
          </reference>
          <reference field="1" count="1" selected="0">
            <x v="1299"/>
          </reference>
          <reference field="2" count="1" selected="0">
            <x v="473"/>
          </reference>
          <reference field="3" count="1" selected="0">
            <x v="2"/>
          </reference>
          <reference field="4" count="1">
            <x v="223"/>
          </reference>
        </references>
      </pivotArea>
    </format>
    <format dxfId="330">
      <pivotArea dataOnly="0" labelOnly="1" outline="0" fieldPosition="0">
        <references count="5">
          <reference field="0" count="1" selected="0">
            <x v="0"/>
          </reference>
          <reference field="1" count="1" selected="0">
            <x v="1300"/>
          </reference>
          <reference field="2" count="1" selected="0">
            <x v="473"/>
          </reference>
          <reference field="3" count="1" selected="0">
            <x v="2"/>
          </reference>
          <reference field="4" count="1">
            <x v="238"/>
          </reference>
        </references>
      </pivotArea>
    </format>
    <format dxfId="329">
      <pivotArea dataOnly="0" labelOnly="1" outline="0" fieldPosition="0">
        <references count="5">
          <reference field="0" count="1" selected="0">
            <x v="0"/>
          </reference>
          <reference field="1" count="1" selected="0">
            <x v="1301"/>
          </reference>
          <reference field="2" count="1" selected="0">
            <x v="473"/>
          </reference>
          <reference field="3" count="1" selected="0">
            <x v="2"/>
          </reference>
          <reference field="4" count="1">
            <x v="254"/>
          </reference>
        </references>
      </pivotArea>
    </format>
    <format dxfId="328">
      <pivotArea dataOnly="0" labelOnly="1" outline="0" fieldPosition="0">
        <references count="5">
          <reference field="0" count="1" selected="0">
            <x v="0"/>
          </reference>
          <reference field="1" count="1" selected="0">
            <x v="1302"/>
          </reference>
          <reference field="2" count="1" selected="0">
            <x v="473"/>
          </reference>
          <reference field="3" count="1" selected="0">
            <x v="2"/>
          </reference>
          <reference field="4" count="1">
            <x v="282"/>
          </reference>
        </references>
      </pivotArea>
    </format>
    <format dxfId="327">
      <pivotArea dataOnly="0" labelOnly="1" outline="0" fieldPosition="0">
        <references count="5">
          <reference field="0" count="1" selected="0">
            <x v="0"/>
          </reference>
          <reference field="1" count="1" selected="0">
            <x v="1303"/>
          </reference>
          <reference field="2" count="1" selected="0">
            <x v="474"/>
          </reference>
          <reference field="3" count="1" selected="0">
            <x v="2"/>
          </reference>
          <reference field="4" count="1">
            <x v="64"/>
          </reference>
        </references>
      </pivotArea>
    </format>
    <format dxfId="326">
      <pivotArea dataOnly="0" labelOnly="1" outline="0" fieldPosition="0">
        <references count="5">
          <reference field="0" count="1" selected="0">
            <x v="0"/>
          </reference>
          <reference field="1" count="1" selected="0">
            <x v="1304"/>
          </reference>
          <reference field="2" count="1" selected="0">
            <x v="474"/>
          </reference>
          <reference field="3" count="1" selected="0">
            <x v="2"/>
          </reference>
          <reference field="4" count="1">
            <x v="194"/>
          </reference>
        </references>
      </pivotArea>
    </format>
    <format dxfId="325">
      <pivotArea dataOnly="0" labelOnly="1" outline="0" fieldPosition="0">
        <references count="5">
          <reference field="0" count="1" selected="0">
            <x v="0"/>
          </reference>
          <reference field="1" count="1" selected="0">
            <x v="1305"/>
          </reference>
          <reference field="2" count="1" selected="0">
            <x v="475"/>
          </reference>
          <reference field="3" count="1" selected="0">
            <x v="2"/>
          </reference>
          <reference field="4" count="1">
            <x v="136"/>
          </reference>
        </references>
      </pivotArea>
    </format>
    <format dxfId="324">
      <pivotArea dataOnly="0" labelOnly="1" outline="0" fieldPosition="0">
        <references count="5">
          <reference field="0" count="1" selected="0">
            <x v="0"/>
          </reference>
          <reference field="1" count="1" selected="0">
            <x v="1306"/>
          </reference>
          <reference field="2" count="1" selected="0">
            <x v="475"/>
          </reference>
          <reference field="3" count="1" selected="0">
            <x v="2"/>
          </reference>
          <reference field="4" count="1">
            <x v="181"/>
          </reference>
        </references>
      </pivotArea>
    </format>
    <format dxfId="323">
      <pivotArea dataOnly="0" labelOnly="1" outline="0" fieldPosition="0">
        <references count="5">
          <reference field="0" count="1" selected="0">
            <x v="0"/>
          </reference>
          <reference field="1" count="1" selected="0">
            <x v="1307"/>
          </reference>
          <reference field="2" count="1" selected="0">
            <x v="476"/>
          </reference>
          <reference field="3" count="1" selected="0">
            <x v="2"/>
          </reference>
          <reference field="4" count="1">
            <x v="45"/>
          </reference>
        </references>
      </pivotArea>
    </format>
    <format dxfId="322">
      <pivotArea dataOnly="0" labelOnly="1" outline="0" fieldPosition="0">
        <references count="5">
          <reference field="0" count="1" selected="0">
            <x v="0"/>
          </reference>
          <reference field="1" count="1" selected="0">
            <x v="1308"/>
          </reference>
          <reference field="2" count="1" selected="0">
            <x v="476"/>
          </reference>
          <reference field="3" count="1" selected="0">
            <x v="2"/>
          </reference>
          <reference field="4" count="1">
            <x v="127"/>
          </reference>
        </references>
      </pivotArea>
    </format>
    <format dxfId="321">
      <pivotArea dataOnly="0" labelOnly="1" outline="0" fieldPosition="0">
        <references count="5">
          <reference field="0" count="1" selected="0">
            <x v="0"/>
          </reference>
          <reference field="1" count="1" selected="0">
            <x v="1309"/>
          </reference>
          <reference field="2" count="1" selected="0">
            <x v="476"/>
          </reference>
          <reference field="3" count="1" selected="0">
            <x v="2"/>
          </reference>
          <reference field="4" count="1">
            <x v="165"/>
          </reference>
        </references>
      </pivotArea>
    </format>
    <format dxfId="320">
      <pivotArea dataOnly="0" labelOnly="1" outline="0" fieldPosition="0">
        <references count="5">
          <reference field="0" count="1" selected="0">
            <x v="0"/>
          </reference>
          <reference field="1" count="1" selected="0">
            <x v="1310"/>
          </reference>
          <reference field="2" count="1" selected="0">
            <x v="476"/>
          </reference>
          <reference field="3" count="1" selected="0">
            <x v="2"/>
          </reference>
          <reference field="4" count="1">
            <x v="173"/>
          </reference>
        </references>
      </pivotArea>
    </format>
    <format dxfId="319">
      <pivotArea dataOnly="0" labelOnly="1" outline="0" fieldPosition="0">
        <references count="5">
          <reference field="0" count="1" selected="0">
            <x v="0"/>
          </reference>
          <reference field="1" count="1" selected="0">
            <x v="1311"/>
          </reference>
          <reference field="2" count="1" selected="0">
            <x v="476"/>
          </reference>
          <reference field="3" count="1" selected="0">
            <x v="2"/>
          </reference>
          <reference field="4" count="1">
            <x v="179"/>
          </reference>
        </references>
      </pivotArea>
    </format>
    <format dxfId="318">
      <pivotArea dataOnly="0" labelOnly="1" outline="0" fieldPosition="0">
        <references count="5">
          <reference field="0" count="1" selected="0">
            <x v="0"/>
          </reference>
          <reference field="1" count="1" selected="0">
            <x v="1312"/>
          </reference>
          <reference field="2" count="1" selected="0">
            <x v="476"/>
          </reference>
          <reference field="3" count="1" selected="0">
            <x v="2"/>
          </reference>
          <reference field="4" count="1">
            <x v="184"/>
          </reference>
        </references>
      </pivotArea>
    </format>
    <format dxfId="317">
      <pivotArea dataOnly="0" labelOnly="1" outline="0" fieldPosition="0">
        <references count="5">
          <reference field="0" count="1" selected="0">
            <x v="0"/>
          </reference>
          <reference field="1" count="1" selected="0">
            <x v="1313"/>
          </reference>
          <reference field="2" count="1" selected="0">
            <x v="476"/>
          </reference>
          <reference field="3" count="1" selected="0">
            <x v="2"/>
          </reference>
          <reference field="4" count="1">
            <x v="231"/>
          </reference>
        </references>
      </pivotArea>
    </format>
    <format dxfId="316">
      <pivotArea dataOnly="0" labelOnly="1" outline="0" fieldPosition="0">
        <references count="5">
          <reference field="0" count="1" selected="0">
            <x v="0"/>
          </reference>
          <reference field="1" count="1" selected="0">
            <x v="1314"/>
          </reference>
          <reference field="2" count="1" selected="0">
            <x v="476"/>
          </reference>
          <reference field="3" count="1" selected="0">
            <x v="2"/>
          </reference>
          <reference field="4" count="1">
            <x v="273"/>
          </reference>
        </references>
      </pivotArea>
    </format>
    <format dxfId="315">
      <pivotArea dataOnly="0" labelOnly="1" outline="0" fieldPosition="0">
        <references count="5">
          <reference field="0" count="1" selected="0">
            <x v="0"/>
          </reference>
          <reference field="1" count="1" selected="0">
            <x v="1315"/>
          </reference>
          <reference field="2" count="1" selected="0">
            <x v="477"/>
          </reference>
          <reference field="3" count="1" selected="0">
            <x v="2"/>
          </reference>
          <reference field="4" count="1">
            <x v="169"/>
          </reference>
        </references>
      </pivotArea>
    </format>
    <format dxfId="314">
      <pivotArea dataOnly="0" labelOnly="1" outline="0" fieldPosition="0">
        <references count="5">
          <reference field="0" count="1" selected="0">
            <x v="0"/>
          </reference>
          <reference field="1" count="1" selected="0">
            <x v="1316"/>
          </reference>
          <reference field="2" count="1" selected="0">
            <x v="477"/>
          </reference>
          <reference field="3" count="1" selected="0">
            <x v="2"/>
          </reference>
          <reference field="4" count="1">
            <x v="288"/>
          </reference>
        </references>
      </pivotArea>
    </format>
    <format dxfId="313">
      <pivotArea dataOnly="0" labelOnly="1" outline="0" fieldPosition="0">
        <references count="5">
          <reference field="0" count="1" selected="0">
            <x v="0"/>
          </reference>
          <reference field="1" count="1" selected="0">
            <x v="1317"/>
          </reference>
          <reference field="2" count="1" selected="0">
            <x v="478"/>
          </reference>
          <reference field="3" count="1" selected="0">
            <x v="2"/>
          </reference>
          <reference field="4" count="1">
            <x v="79"/>
          </reference>
        </references>
      </pivotArea>
    </format>
    <format dxfId="312">
      <pivotArea dataOnly="0" labelOnly="1" outline="0" fieldPosition="0">
        <references count="5">
          <reference field="0" count="1" selected="0">
            <x v="0"/>
          </reference>
          <reference field="1" count="1" selected="0">
            <x v="1318"/>
          </reference>
          <reference field="2" count="1" selected="0">
            <x v="478"/>
          </reference>
          <reference field="3" count="1" selected="0">
            <x v="2"/>
          </reference>
          <reference field="4" count="1">
            <x v="110"/>
          </reference>
        </references>
      </pivotArea>
    </format>
    <format dxfId="311">
      <pivotArea dataOnly="0" labelOnly="1" outline="0" fieldPosition="0">
        <references count="5">
          <reference field="0" count="1" selected="0">
            <x v="0"/>
          </reference>
          <reference field="1" count="1" selected="0">
            <x v="1319"/>
          </reference>
          <reference field="2" count="1" selected="0">
            <x v="479"/>
          </reference>
          <reference field="3" count="1" selected="0">
            <x v="2"/>
          </reference>
          <reference field="4" count="1">
            <x v="115"/>
          </reference>
        </references>
      </pivotArea>
    </format>
    <format dxfId="310">
      <pivotArea dataOnly="0" labelOnly="1" outline="0" fieldPosition="0">
        <references count="5">
          <reference field="0" count="1" selected="0">
            <x v="0"/>
          </reference>
          <reference field="1" count="1" selected="0">
            <x v="1320"/>
          </reference>
          <reference field="2" count="1" selected="0">
            <x v="479"/>
          </reference>
          <reference field="3" count="1" selected="0">
            <x v="2"/>
          </reference>
          <reference field="4" count="1">
            <x v="142"/>
          </reference>
        </references>
      </pivotArea>
    </format>
    <format dxfId="309">
      <pivotArea dataOnly="0" labelOnly="1" outline="0" fieldPosition="0">
        <references count="5">
          <reference field="0" count="1" selected="0">
            <x v="0"/>
          </reference>
          <reference field="1" count="1" selected="0">
            <x v="1321"/>
          </reference>
          <reference field="2" count="1" selected="0">
            <x v="479"/>
          </reference>
          <reference field="3" count="1" selected="0">
            <x v="2"/>
          </reference>
          <reference field="4" count="1">
            <x v="172"/>
          </reference>
        </references>
      </pivotArea>
    </format>
    <format dxfId="308">
      <pivotArea dataOnly="0" labelOnly="1" outline="0" fieldPosition="0">
        <references count="5">
          <reference field="0" count="1" selected="0">
            <x v="0"/>
          </reference>
          <reference field="1" count="1" selected="0">
            <x v="1322"/>
          </reference>
          <reference field="2" count="1" selected="0">
            <x v="479"/>
          </reference>
          <reference field="3" count="1" selected="0">
            <x v="2"/>
          </reference>
          <reference field="4" count="1">
            <x v="202"/>
          </reference>
        </references>
      </pivotArea>
    </format>
    <format dxfId="307">
      <pivotArea dataOnly="0" labelOnly="1" outline="0" fieldPosition="0">
        <references count="5">
          <reference field="0" count="1" selected="0">
            <x v="0"/>
          </reference>
          <reference field="1" count="1" selected="0">
            <x v="1323"/>
          </reference>
          <reference field="2" count="1" selected="0">
            <x v="479"/>
          </reference>
          <reference field="3" count="1" selected="0">
            <x v="2"/>
          </reference>
          <reference field="4" count="1">
            <x v="205"/>
          </reference>
        </references>
      </pivotArea>
    </format>
    <format dxfId="306">
      <pivotArea dataOnly="0" labelOnly="1" outline="0" fieldPosition="0">
        <references count="5">
          <reference field="0" count="1" selected="0">
            <x v="0"/>
          </reference>
          <reference field="1" count="1" selected="0">
            <x v="1324"/>
          </reference>
          <reference field="2" count="1" selected="0">
            <x v="479"/>
          </reference>
          <reference field="3" count="1" selected="0">
            <x v="2"/>
          </reference>
          <reference field="4" count="1">
            <x v="215"/>
          </reference>
        </references>
      </pivotArea>
    </format>
    <format dxfId="305">
      <pivotArea dataOnly="0" labelOnly="1" outline="0" fieldPosition="0">
        <references count="5">
          <reference field="0" count="1" selected="0">
            <x v="0"/>
          </reference>
          <reference field="1" count="1" selected="0">
            <x v="1325"/>
          </reference>
          <reference field="2" count="1" selected="0">
            <x v="480"/>
          </reference>
          <reference field="3" count="1" selected="0">
            <x v="2"/>
          </reference>
          <reference field="4" count="1">
            <x v="20"/>
          </reference>
        </references>
      </pivotArea>
    </format>
    <format dxfId="304">
      <pivotArea dataOnly="0" labelOnly="1" outline="0" fieldPosition="0">
        <references count="5">
          <reference field="0" count="1" selected="0">
            <x v="0"/>
          </reference>
          <reference field="1" count="1" selected="0">
            <x v="1326"/>
          </reference>
          <reference field="2" count="1" selected="0">
            <x v="480"/>
          </reference>
          <reference field="3" count="1" selected="0">
            <x v="2"/>
          </reference>
          <reference field="4" count="1">
            <x v="28"/>
          </reference>
        </references>
      </pivotArea>
    </format>
    <format dxfId="303">
      <pivotArea dataOnly="0" labelOnly="1" outline="0" fieldPosition="0">
        <references count="5">
          <reference field="0" count="1" selected="0">
            <x v="0"/>
          </reference>
          <reference field="1" count="1" selected="0">
            <x v="1327"/>
          </reference>
          <reference field="2" count="1" selected="0">
            <x v="480"/>
          </reference>
          <reference field="3" count="1" selected="0">
            <x v="2"/>
          </reference>
          <reference field="4" count="1">
            <x v="54"/>
          </reference>
        </references>
      </pivotArea>
    </format>
    <format dxfId="302">
      <pivotArea dataOnly="0" labelOnly="1" outline="0" fieldPosition="0">
        <references count="5">
          <reference field="0" count="1" selected="0">
            <x v="0"/>
          </reference>
          <reference field="1" count="1" selected="0">
            <x v="1328"/>
          </reference>
          <reference field="2" count="1" selected="0">
            <x v="480"/>
          </reference>
          <reference field="3" count="1" selected="0">
            <x v="2"/>
          </reference>
          <reference field="4" count="1">
            <x v="142"/>
          </reference>
        </references>
      </pivotArea>
    </format>
    <format dxfId="301">
      <pivotArea dataOnly="0" labelOnly="1" outline="0" fieldPosition="0">
        <references count="5">
          <reference field="0" count="1" selected="0">
            <x v="0"/>
          </reference>
          <reference field="1" count="1" selected="0">
            <x v="1329"/>
          </reference>
          <reference field="2" count="1" selected="0">
            <x v="480"/>
          </reference>
          <reference field="3" count="1" selected="0">
            <x v="2"/>
          </reference>
          <reference field="4" count="1">
            <x v="163"/>
          </reference>
        </references>
      </pivotArea>
    </format>
    <format dxfId="300">
      <pivotArea dataOnly="0" labelOnly="1" outline="0" fieldPosition="0">
        <references count="5">
          <reference field="0" count="1" selected="0">
            <x v="0"/>
          </reference>
          <reference field="1" count="1" selected="0">
            <x v="1330"/>
          </reference>
          <reference field="2" count="1" selected="0">
            <x v="480"/>
          </reference>
          <reference field="3" count="1" selected="0">
            <x v="2"/>
          </reference>
          <reference field="4" count="1">
            <x v="168"/>
          </reference>
        </references>
      </pivotArea>
    </format>
    <format dxfId="299">
      <pivotArea dataOnly="0" labelOnly="1" outline="0" fieldPosition="0">
        <references count="5">
          <reference field="0" count="1" selected="0">
            <x v="0"/>
          </reference>
          <reference field="1" count="1" selected="0">
            <x v="1331"/>
          </reference>
          <reference field="2" count="1" selected="0">
            <x v="480"/>
          </reference>
          <reference field="3" count="1" selected="0">
            <x v="2"/>
          </reference>
          <reference field="4" count="1">
            <x v="242"/>
          </reference>
        </references>
      </pivotArea>
    </format>
    <format dxfId="298">
      <pivotArea dataOnly="0" labelOnly="1" outline="0" fieldPosition="0">
        <references count="5">
          <reference field="0" count="1" selected="0">
            <x v="0"/>
          </reference>
          <reference field="1" count="1" selected="0">
            <x v="1332"/>
          </reference>
          <reference field="2" count="1" selected="0">
            <x v="480"/>
          </reference>
          <reference field="3" count="1" selected="0">
            <x v="2"/>
          </reference>
          <reference field="4" count="1">
            <x v="246"/>
          </reference>
        </references>
      </pivotArea>
    </format>
    <format dxfId="297">
      <pivotArea dataOnly="0" labelOnly="1" outline="0" fieldPosition="0">
        <references count="5">
          <reference field="0" count="1" selected="0">
            <x v="0"/>
          </reference>
          <reference field="1" count="1" selected="0">
            <x v="1333"/>
          </reference>
          <reference field="2" count="1" selected="0">
            <x v="481"/>
          </reference>
          <reference field="3" count="1" selected="0">
            <x v="2"/>
          </reference>
          <reference field="4" count="1">
            <x v="199"/>
          </reference>
        </references>
      </pivotArea>
    </format>
    <format dxfId="296">
      <pivotArea dataOnly="0" labelOnly="1" outline="0" fieldPosition="0">
        <references count="5">
          <reference field="0" count="1" selected="0">
            <x v="0"/>
          </reference>
          <reference field="1" count="1" selected="0">
            <x v="1334"/>
          </reference>
          <reference field="2" count="1" selected="0">
            <x v="481"/>
          </reference>
          <reference field="3" count="1" selected="0">
            <x v="2"/>
          </reference>
          <reference field="4" count="1">
            <x v="283"/>
          </reference>
        </references>
      </pivotArea>
    </format>
    <format dxfId="295">
      <pivotArea dataOnly="0" labelOnly="1" outline="0" fieldPosition="0">
        <references count="5">
          <reference field="0" count="1" selected="0">
            <x v="0"/>
          </reference>
          <reference field="1" count="1" selected="0">
            <x v="1335"/>
          </reference>
          <reference field="2" count="1" selected="0">
            <x v="482"/>
          </reference>
          <reference field="3" count="1" selected="0">
            <x v="2"/>
          </reference>
          <reference field="4" count="1">
            <x v="131"/>
          </reference>
        </references>
      </pivotArea>
    </format>
    <format dxfId="294">
      <pivotArea dataOnly="0" labelOnly="1" outline="0" fieldPosition="0">
        <references count="5">
          <reference field="0" count="1" selected="0">
            <x v="0"/>
          </reference>
          <reference field="1" count="1" selected="0">
            <x v="1336"/>
          </reference>
          <reference field="2" count="1" selected="0">
            <x v="482"/>
          </reference>
          <reference field="3" count="1" selected="0">
            <x v="2"/>
          </reference>
          <reference field="4" count="1">
            <x v="167"/>
          </reference>
        </references>
      </pivotArea>
    </format>
    <format dxfId="293">
      <pivotArea dataOnly="0" labelOnly="1" outline="0" fieldPosition="0">
        <references count="5">
          <reference field="0" count="1" selected="0">
            <x v="0"/>
          </reference>
          <reference field="1" count="1" selected="0">
            <x v="1337"/>
          </reference>
          <reference field="2" count="1" selected="0">
            <x v="482"/>
          </reference>
          <reference field="3" count="1" selected="0">
            <x v="2"/>
          </reference>
          <reference field="4" count="1">
            <x v="183"/>
          </reference>
        </references>
      </pivotArea>
    </format>
    <format dxfId="292">
      <pivotArea dataOnly="0" labelOnly="1" outline="0" fieldPosition="0">
        <references count="5">
          <reference field="0" count="1" selected="0">
            <x v="0"/>
          </reference>
          <reference field="1" count="1" selected="0">
            <x v="1338"/>
          </reference>
          <reference field="2" count="1" selected="0">
            <x v="482"/>
          </reference>
          <reference field="3" count="1" selected="0">
            <x v="2"/>
          </reference>
          <reference field="4" count="1">
            <x v="188"/>
          </reference>
        </references>
      </pivotArea>
    </format>
    <format dxfId="291">
      <pivotArea dataOnly="0" labelOnly="1" outline="0" fieldPosition="0">
        <references count="5">
          <reference field="0" count="1" selected="0">
            <x v="0"/>
          </reference>
          <reference field="1" count="1" selected="0">
            <x v="1339"/>
          </reference>
          <reference field="2" count="1" selected="0">
            <x v="483"/>
          </reference>
          <reference field="3" count="1" selected="0">
            <x v="2"/>
          </reference>
          <reference field="4" count="1">
            <x v="16"/>
          </reference>
        </references>
      </pivotArea>
    </format>
    <format dxfId="290">
      <pivotArea dataOnly="0" labelOnly="1" outline="0" fieldPosition="0">
        <references count="5">
          <reference field="0" count="1" selected="0">
            <x v="0"/>
          </reference>
          <reference field="1" count="1" selected="0">
            <x v="1340"/>
          </reference>
          <reference field="2" count="1" selected="0">
            <x v="483"/>
          </reference>
          <reference field="3" count="1" selected="0">
            <x v="2"/>
          </reference>
          <reference field="4" count="1">
            <x v="52"/>
          </reference>
        </references>
      </pivotArea>
    </format>
    <format dxfId="289">
      <pivotArea dataOnly="0" labelOnly="1" outline="0" fieldPosition="0">
        <references count="5">
          <reference field="0" count="1" selected="0">
            <x v="0"/>
          </reference>
          <reference field="1" count="1" selected="0">
            <x v="1341"/>
          </reference>
          <reference field="2" count="1" selected="0">
            <x v="483"/>
          </reference>
          <reference field="3" count="1" selected="0">
            <x v="2"/>
          </reference>
          <reference field="4" count="1">
            <x v="55"/>
          </reference>
        </references>
      </pivotArea>
    </format>
    <format dxfId="288">
      <pivotArea dataOnly="0" labelOnly="1" outline="0" fieldPosition="0">
        <references count="5">
          <reference field="0" count="1" selected="0">
            <x v="0"/>
          </reference>
          <reference field="1" count="1" selected="0">
            <x v="1342"/>
          </reference>
          <reference field="2" count="1" selected="0">
            <x v="483"/>
          </reference>
          <reference field="3" count="1" selected="0">
            <x v="2"/>
          </reference>
          <reference field="4" count="1">
            <x v="110"/>
          </reference>
        </references>
      </pivotArea>
    </format>
    <format dxfId="287">
      <pivotArea dataOnly="0" labelOnly="1" outline="0" fieldPosition="0">
        <references count="5">
          <reference field="0" count="1" selected="0">
            <x v="0"/>
          </reference>
          <reference field="1" count="1" selected="0">
            <x v="1343"/>
          </reference>
          <reference field="2" count="1" selected="0">
            <x v="483"/>
          </reference>
          <reference field="3" count="1" selected="0">
            <x v="2"/>
          </reference>
          <reference field="4" count="1">
            <x v="223"/>
          </reference>
        </references>
      </pivotArea>
    </format>
    <format dxfId="286">
      <pivotArea dataOnly="0" labelOnly="1" outline="0" fieldPosition="0">
        <references count="5">
          <reference field="0" count="1" selected="0">
            <x v="0"/>
          </reference>
          <reference field="1" count="1" selected="0">
            <x v="1344"/>
          </reference>
          <reference field="2" count="1" selected="0">
            <x v="483"/>
          </reference>
          <reference field="3" count="1" selected="0">
            <x v="2"/>
          </reference>
          <reference field="4" count="1">
            <x v="262"/>
          </reference>
        </references>
      </pivotArea>
    </format>
    <format dxfId="285">
      <pivotArea dataOnly="0" labelOnly="1" outline="0" fieldPosition="0">
        <references count="5">
          <reference field="0" count="1" selected="0">
            <x v="0"/>
          </reference>
          <reference field="1" count="1" selected="0">
            <x v="1345"/>
          </reference>
          <reference field="2" count="1" selected="0">
            <x v="484"/>
          </reference>
          <reference field="3" count="1" selected="0">
            <x v="2"/>
          </reference>
          <reference field="4" count="1">
            <x v="25"/>
          </reference>
        </references>
      </pivotArea>
    </format>
    <format dxfId="284">
      <pivotArea dataOnly="0" labelOnly="1" outline="0" fieldPosition="0">
        <references count="5">
          <reference field="0" count="1" selected="0">
            <x v="0"/>
          </reference>
          <reference field="1" count="1" selected="0">
            <x v="1346"/>
          </reference>
          <reference field="2" count="1" selected="0">
            <x v="484"/>
          </reference>
          <reference field="3" count="1" selected="0">
            <x v="2"/>
          </reference>
          <reference field="4" count="1">
            <x v="80"/>
          </reference>
        </references>
      </pivotArea>
    </format>
    <format dxfId="283">
      <pivotArea dataOnly="0" labelOnly="1" outline="0" fieldPosition="0">
        <references count="5">
          <reference field="0" count="1" selected="0">
            <x v="0"/>
          </reference>
          <reference field="1" count="1" selected="0">
            <x v="1347"/>
          </reference>
          <reference field="2" count="1" selected="0">
            <x v="484"/>
          </reference>
          <reference field="3" count="1" selected="0">
            <x v="2"/>
          </reference>
          <reference field="4" count="1">
            <x v="148"/>
          </reference>
        </references>
      </pivotArea>
    </format>
    <format dxfId="282">
      <pivotArea dataOnly="0" labelOnly="1" outline="0" fieldPosition="0">
        <references count="5">
          <reference field="0" count="1" selected="0">
            <x v="0"/>
          </reference>
          <reference field="1" count="1" selected="0">
            <x v="1348"/>
          </reference>
          <reference field="2" count="1" selected="0">
            <x v="484"/>
          </reference>
          <reference field="3" count="1" selected="0">
            <x v="2"/>
          </reference>
          <reference field="4" count="1">
            <x v="165"/>
          </reference>
        </references>
      </pivotArea>
    </format>
    <format dxfId="281">
      <pivotArea dataOnly="0" labelOnly="1" outline="0" fieldPosition="0">
        <references count="5">
          <reference field="0" count="1" selected="0">
            <x v="0"/>
          </reference>
          <reference field="1" count="1" selected="0">
            <x v="1349"/>
          </reference>
          <reference field="2" count="1" selected="0">
            <x v="484"/>
          </reference>
          <reference field="3" count="1" selected="0">
            <x v="2"/>
          </reference>
          <reference field="4" count="1">
            <x v="167"/>
          </reference>
        </references>
      </pivotArea>
    </format>
    <format dxfId="280">
      <pivotArea dataOnly="0" labelOnly="1" outline="0" fieldPosition="0">
        <references count="5">
          <reference field="0" count="1" selected="0">
            <x v="0"/>
          </reference>
          <reference field="1" count="1" selected="0">
            <x v="1350"/>
          </reference>
          <reference field="2" count="1" selected="0">
            <x v="484"/>
          </reference>
          <reference field="3" count="1" selected="0">
            <x v="2"/>
          </reference>
          <reference field="4" count="1">
            <x v="201"/>
          </reference>
        </references>
      </pivotArea>
    </format>
    <format dxfId="279">
      <pivotArea dataOnly="0" labelOnly="1" outline="0" fieldPosition="0">
        <references count="5">
          <reference field="0" count="1" selected="0">
            <x v="0"/>
          </reference>
          <reference field="1" count="1" selected="0">
            <x v="1351"/>
          </reference>
          <reference field="2" count="1" selected="0">
            <x v="484"/>
          </reference>
          <reference field="3" count="1" selected="0">
            <x v="2"/>
          </reference>
          <reference field="4" count="1">
            <x v="234"/>
          </reference>
        </references>
      </pivotArea>
    </format>
    <format dxfId="278">
      <pivotArea dataOnly="0" labelOnly="1" outline="0" fieldPosition="0">
        <references count="5">
          <reference field="0" count="1" selected="0">
            <x v="0"/>
          </reference>
          <reference field="1" count="1" selected="0">
            <x v="1352"/>
          </reference>
          <reference field="2" count="1" selected="0">
            <x v="484"/>
          </reference>
          <reference field="3" count="1" selected="0">
            <x v="2"/>
          </reference>
          <reference field="4" count="1">
            <x v="288"/>
          </reference>
        </references>
      </pivotArea>
    </format>
    <format dxfId="277">
      <pivotArea dataOnly="0" labelOnly="1" outline="0" fieldPosition="0">
        <references count="5">
          <reference field="0" count="1" selected="0">
            <x v="0"/>
          </reference>
          <reference field="1" count="1" selected="0">
            <x v="1353"/>
          </reference>
          <reference field="2" count="1" selected="0">
            <x v="484"/>
          </reference>
          <reference field="3" count="1" selected="0">
            <x v="2"/>
          </reference>
          <reference field="4" count="1">
            <x v="289"/>
          </reference>
        </references>
      </pivotArea>
    </format>
    <format dxfId="276">
      <pivotArea dataOnly="0" labelOnly="1" outline="0" fieldPosition="0">
        <references count="5">
          <reference field="0" count="1" selected="0">
            <x v="0"/>
          </reference>
          <reference field="1" count="1" selected="0">
            <x v="1354"/>
          </reference>
          <reference field="2" count="1" selected="0">
            <x v="485"/>
          </reference>
          <reference field="3" count="1" selected="0">
            <x v="2"/>
          </reference>
          <reference field="4" count="1">
            <x v="100"/>
          </reference>
        </references>
      </pivotArea>
    </format>
    <format dxfId="275">
      <pivotArea dataOnly="0" labelOnly="1" outline="0" fieldPosition="0">
        <references count="5">
          <reference field="0" count="1" selected="0">
            <x v="0"/>
          </reference>
          <reference field="1" count="1" selected="0">
            <x v="1355"/>
          </reference>
          <reference field="2" count="1" selected="0">
            <x v="485"/>
          </reference>
          <reference field="3" count="1" selected="0">
            <x v="2"/>
          </reference>
          <reference field="4" count="1">
            <x v="162"/>
          </reference>
        </references>
      </pivotArea>
    </format>
    <format dxfId="274">
      <pivotArea dataOnly="0" labelOnly="1" outline="0" fieldPosition="0">
        <references count="5">
          <reference field="0" count="1" selected="0">
            <x v="0"/>
          </reference>
          <reference field="1" count="1" selected="0">
            <x v="1356"/>
          </reference>
          <reference field="2" count="1" selected="0">
            <x v="485"/>
          </reference>
          <reference field="3" count="1" selected="0">
            <x v="2"/>
          </reference>
          <reference field="4" count="1">
            <x v="184"/>
          </reference>
        </references>
      </pivotArea>
    </format>
    <format dxfId="273">
      <pivotArea dataOnly="0" labelOnly="1" outline="0" fieldPosition="0">
        <references count="5">
          <reference field="0" count="1" selected="0">
            <x v="0"/>
          </reference>
          <reference field="1" count="1" selected="0">
            <x v="1357"/>
          </reference>
          <reference field="2" count="1" selected="0">
            <x v="486"/>
          </reference>
          <reference field="3" count="1" selected="0">
            <x v="2"/>
          </reference>
          <reference field="4" count="1">
            <x v="35"/>
          </reference>
        </references>
      </pivotArea>
    </format>
    <format dxfId="272">
      <pivotArea dataOnly="0" labelOnly="1" outline="0" fieldPosition="0">
        <references count="5">
          <reference field="0" count="1" selected="0">
            <x v="0"/>
          </reference>
          <reference field="1" count="1" selected="0">
            <x v="1358"/>
          </reference>
          <reference field="2" count="1" selected="0">
            <x v="486"/>
          </reference>
          <reference field="3" count="1" selected="0">
            <x v="2"/>
          </reference>
          <reference field="4" count="1">
            <x v="79"/>
          </reference>
        </references>
      </pivotArea>
    </format>
    <format dxfId="271">
      <pivotArea dataOnly="0" labelOnly="1" outline="0" fieldPosition="0">
        <references count="5">
          <reference field="0" count="1" selected="0">
            <x v="0"/>
          </reference>
          <reference field="1" count="1" selected="0">
            <x v="1359"/>
          </reference>
          <reference field="2" count="1" selected="0">
            <x v="486"/>
          </reference>
          <reference field="3" count="1" selected="0">
            <x v="2"/>
          </reference>
          <reference field="4" count="1">
            <x v="90"/>
          </reference>
        </references>
      </pivotArea>
    </format>
    <format dxfId="270">
      <pivotArea dataOnly="0" labelOnly="1" outline="0" fieldPosition="0">
        <references count="5">
          <reference field="0" count="1" selected="0">
            <x v="0"/>
          </reference>
          <reference field="1" count="1" selected="0">
            <x v="1360"/>
          </reference>
          <reference field="2" count="1" selected="0">
            <x v="486"/>
          </reference>
          <reference field="3" count="1" selected="0">
            <x v="2"/>
          </reference>
          <reference field="4" count="1">
            <x v="232"/>
          </reference>
        </references>
      </pivotArea>
    </format>
    <format dxfId="269">
      <pivotArea dataOnly="0" labelOnly="1" outline="0" fieldPosition="0">
        <references count="5">
          <reference field="0" count="1" selected="0">
            <x v="0"/>
          </reference>
          <reference field="1" count="1" selected="0">
            <x v="1361"/>
          </reference>
          <reference field="2" count="1" selected="0">
            <x v="486"/>
          </reference>
          <reference field="3" count="1" selected="0">
            <x v="2"/>
          </reference>
          <reference field="4" count="1">
            <x v="240"/>
          </reference>
        </references>
      </pivotArea>
    </format>
    <format dxfId="268">
      <pivotArea dataOnly="0" labelOnly="1" outline="0" fieldPosition="0">
        <references count="5">
          <reference field="0" count="1" selected="0">
            <x v="0"/>
          </reference>
          <reference field="1" count="1" selected="0">
            <x v="1362"/>
          </reference>
          <reference field="2" count="1" selected="0">
            <x v="486"/>
          </reference>
          <reference field="3" count="1" selected="0">
            <x v="2"/>
          </reference>
          <reference field="4" count="1">
            <x v="265"/>
          </reference>
        </references>
      </pivotArea>
    </format>
    <format dxfId="267">
      <pivotArea dataOnly="0" labelOnly="1" outline="0" fieldPosition="0">
        <references count="5">
          <reference field="0" count="1" selected="0">
            <x v="0"/>
          </reference>
          <reference field="1" count="1" selected="0">
            <x v="1363"/>
          </reference>
          <reference field="2" count="1" selected="0">
            <x v="486"/>
          </reference>
          <reference field="3" count="1" selected="0">
            <x v="2"/>
          </reference>
          <reference field="4" count="1">
            <x v="286"/>
          </reference>
        </references>
      </pivotArea>
    </format>
    <format dxfId="266">
      <pivotArea dataOnly="0" labelOnly="1" outline="0" fieldPosition="0">
        <references count="5">
          <reference field="0" count="1" selected="0">
            <x v="0"/>
          </reference>
          <reference field="1" count="1" selected="0">
            <x v="1364"/>
          </reference>
          <reference field="2" count="1" selected="0">
            <x v="487"/>
          </reference>
          <reference field="3" count="1" selected="0">
            <x v="2"/>
          </reference>
          <reference field="4" count="1">
            <x v="15"/>
          </reference>
        </references>
      </pivotArea>
    </format>
    <format dxfId="265">
      <pivotArea dataOnly="0" labelOnly="1" outline="0" fieldPosition="0">
        <references count="5">
          <reference field="0" count="1" selected="0">
            <x v="0"/>
          </reference>
          <reference field="1" count="1" selected="0">
            <x v="1365"/>
          </reference>
          <reference field="2" count="1" selected="0">
            <x v="487"/>
          </reference>
          <reference field="3" count="1" selected="0">
            <x v="2"/>
          </reference>
          <reference field="4" count="1">
            <x v="61"/>
          </reference>
        </references>
      </pivotArea>
    </format>
    <format dxfId="264">
      <pivotArea dataOnly="0" labelOnly="1" outline="0" fieldPosition="0">
        <references count="5">
          <reference field="0" count="1" selected="0">
            <x v="0"/>
          </reference>
          <reference field="1" count="1" selected="0">
            <x v="1366"/>
          </reference>
          <reference field="2" count="1" selected="0">
            <x v="487"/>
          </reference>
          <reference field="3" count="1" selected="0">
            <x v="2"/>
          </reference>
          <reference field="4" count="1">
            <x v="76"/>
          </reference>
        </references>
      </pivotArea>
    </format>
    <format dxfId="263">
      <pivotArea dataOnly="0" labelOnly="1" outline="0" fieldPosition="0">
        <references count="5">
          <reference field="0" count="1" selected="0">
            <x v="0"/>
          </reference>
          <reference field="1" count="1" selected="0">
            <x v="1367"/>
          </reference>
          <reference field="2" count="1" selected="0">
            <x v="487"/>
          </reference>
          <reference field="3" count="1" selected="0">
            <x v="2"/>
          </reference>
          <reference field="4" count="1">
            <x v="110"/>
          </reference>
        </references>
      </pivotArea>
    </format>
    <format dxfId="262">
      <pivotArea dataOnly="0" labelOnly="1" outline="0" fieldPosition="0">
        <references count="5">
          <reference field="0" count="1" selected="0">
            <x v="0"/>
          </reference>
          <reference field="1" count="1" selected="0">
            <x v="1368"/>
          </reference>
          <reference field="2" count="1" selected="0">
            <x v="487"/>
          </reference>
          <reference field="3" count="1" selected="0">
            <x v="2"/>
          </reference>
          <reference field="4" count="1">
            <x v="215"/>
          </reference>
        </references>
      </pivotArea>
    </format>
    <format dxfId="261">
      <pivotArea dataOnly="0" labelOnly="1" outline="0" fieldPosition="0">
        <references count="5">
          <reference field="0" count="1" selected="0">
            <x v="0"/>
          </reference>
          <reference field="1" count="1" selected="0">
            <x v="1369"/>
          </reference>
          <reference field="2" count="1" selected="0">
            <x v="487"/>
          </reference>
          <reference field="3" count="1" selected="0">
            <x v="2"/>
          </reference>
          <reference field="4" count="1">
            <x v="235"/>
          </reference>
        </references>
      </pivotArea>
    </format>
    <format dxfId="260">
      <pivotArea dataOnly="0" labelOnly="1" outline="0" fieldPosition="0">
        <references count="5">
          <reference field="0" count="1" selected="0">
            <x v="0"/>
          </reference>
          <reference field="1" count="1" selected="0">
            <x v="1370"/>
          </reference>
          <reference field="2" count="1" selected="0">
            <x v="487"/>
          </reference>
          <reference field="3" count="1" selected="0">
            <x v="2"/>
          </reference>
          <reference field="4" count="1">
            <x v="282"/>
          </reference>
        </references>
      </pivotArea>
    </format>
    <format dxfId="259">
      <pivotArea dataOnly="0" labelOnly="1" outline="0" fieldPosition="0">
        <references count="5">
          <reference field="0" count="1" selected="0">
            <x v="0"/>
          </reference>
          <reference field="1" count="1" selected="0">
            <x v="1371"/>
          </reference>
          <reference field="2" count="1" selected="0">
            <x v="488"/>
          </reference>
          <reference field="3" count="1" selected="0">
            <x v="2"/>
          </reference>
          <reference field="4" count="1">
            <x v="14"/>
          </reference>
        </references>
      </pivotArea>
    </format>
    <format dxfId="258">
      <pivotArea dataOnly="0" labelOnly="1" outline="0" fieldPosition="0">
        <references count="5">
          <reference field="0" count="1" selected="0">
            <x v="0"/>
          </reference>
          <reference field="1" count="1" selected="0">
            <x v="1372"/>
          </reference>
          <reference field="2" count="1" selected="0">
            <x v="488"/>
          </reference>
          <reference field="3" count="1" selected="0">
            <x v="2"/>
          </reference>
          <reference field="4" count="1">
            <x v="64"/>
          </reference>
        </references>
      </pivotArea>
    </format>
    <format dxfId="257">
      <pivotArea dataOnly="0" labelOnly="1" outline="0" fieldPosition="0">
        <references count="5">
          <reference field="0" count="1" selected="0">
            <x v="0"/>
          </reference>
          <reference field="1" count="1" selected="0">
            <x v="1373"/>
          </reference>
          <reference field="2" count="1" selected="0">
            <x v="488"/>
          </reference>
          <reference field="3" count="1" selected="0">
            <x v="2"/>
          </reference>
          <reference field="4" count="1">
            <x v="278"/>
          </reference>
        </references>
      </pivotArea>
    </format>
    <format dxfId="256">
      <pivotArea dataOnly="0" labelOnly="1" outline="0" fieldPosition="0">
        <references count="5">
          <reference field="0" count="1" selected="0">
            <x v="0"/>
          </reference>
          <reference field="1" count="1" selected="0">
            <x v="1374"/>
          </reference>
          <reference field="2" count="1" selected="0">
            <x v="488"/>
          </reference>
          <reference field="3" count="1" selected="0">
            <x v="2"/>
          </reference>
          <reference field="4" count="1">
            <x v="282"/>
          </reference>
        </references>
      </pivotArea>
    </format>
    <format dxfId="255">
      <pivotArea dataOnly="0" labelOnly="1" outline="0" fieldPosition="0">
        <references count="5">
          <reference field="0" count="1" selected="0">
            <x v="0"/>
          </reference>
          <reference field="1" count="1" selected="0">
            <x v="1375"/>
          </reference>
          <reference field="2" count="1" selected="0">
            <x v="488"/>
          </reference>
          <reference field="3" count="1" selected="0">
            <x v="2"/>
          </reference>
          <reference field="4" count="1">
            <x v="283"/>
          </reference>
        </references>
      </pivotArea>
    </format>
    <format dxfId="254">
      <pivotArea dataOnly="0" labelOnly="1" outline="0" fieldPosition="0">
        <references count="5">
          <reference field="0" count="1" selected="0">
            <x v="0"/>
          </reference>
          <reference field="1" count="1" selected="0">
            <x v="1376"/>
          </reference>
          <reference field="2" count="1" selected="0">
            <x v="489"/>
          </reference>
          <reference field="3" count="1" selected="0">
            <x v="2"/>
          </reference>
          <reference field="4" count="1">
            <x v="41"/>
          </reference>
        </references>
      </pivotArea>
    </format>
    <format dxfId="253">
      <pivotArea dataOnly="0" labelOnly="1" outline="0" fieldPosition="0">
        <references count="5">
          <reference field="0" count="1" selected="0">
            <x v="0"/>
          </reference>
          <reference field="1" count="1" selected="0">
            <x v="1377"/>
          </reference>
          <reference field="2" count="1" selected="0">
            <x v="489"/>
          </reference>
          <reference field="3" count="1" selected="0">
            <x v="2"/>
          </reference>
          <reference field="4" count="1">
            <x v="110"/>
          </reference>
        </references>
      </pivotArea>
    </format>
    <format dxfId="252">
      <pivotArea dataOnly="0" labelOnly="1" outline="0" fieldPosition="0">
        <references count="5">
          <reference field="0" count="1" selected="0">
            <x v="0"/>
          </reference>
          <reference field="1" count="1" selected="0">
            <x v="1378"/>
          </reference>
          <reference field="2" count="1" selected="0">
            <x v="490"/>
          </reference>
          <reference field="3" count="1" selected="0">
            <x v="2"/>
          </reference>
          <reference field="4" count="1">
            <x v="45"/>
          </reference>
        </references>
      </pivotArea>
    </format>
    <format dxfId="251">
      <pivotArea dataOnly="0" labelOnly="1" outline="0" fieldPosition="0">
        <references count="5">
          <reference field="0" count="1" selected="0">
            <x v="0"/>
          </reference>
          <reference field="1" count="1" selected="0">
            <x v="1379"/>
          </reference>
          <reference field="2" count="1" selected="0">
            <x v="490"/>
          </reference>
          <reference field="3" count="1" selected="0">
            <x v="2"/>
          </reference>
          <reference field="4" count="1">
            <x v="79"/>
          </reference>
        </references>
      </pivotArea>
    </format>
    <format dxfId="250">
      <pivotArea dataOnly="0" labelOnly="1" outline="0" fieldPosition="0">
        <references count="5">
          <reference field="0" count="1" selected="0">
            <x v="0"/>
          </reference>
          <reference field="1" count="1" selected="0">
            <x v="1380"/>
          </reference>
          <reference field="2" count="1" selected="0">
            <x v="490"/>
          </reference>
          <reference field="3" count="1" selected="0">
            <x v="2"/>
          </reference>
          <reference field="4" count="1">
            <x v="80"/>
          </reference>
        </references>
      </pivotArea>
    </format>
    <format dxfId="249">
      <pivotArea dataOnly="0" labelOnly="1" outline="0" fieldPosition="0">
        <references count="5">
          <reference field="0" count="1" selected="0">
            <x v="0"/>
          </reference>
          <reference field="1" count="1" selected="0">
            <x v="1381"/>
          </reference>
          <reference field="2" count="1" selected="0">
            <x v="490"/>
          </reference>
          <reference field="3" count="1" selected="0">
            <x v="2"/>
          </reference>
          <reference field="4" count="1">
            <x v="104"/>
          </reference>
        </references>
      </pivotArea>
    </format>
    <format dxfId="248">
      <pivotArea dataOnly="0" labelOnly="1" outline="0" fieldPosition="0">
        <references count="5">
          <reference field="0" count="1" selected="0">
            <x v="0"/>
          </reference>
          <reference field="1" count="1" selected="0">
            <x v="1382"/>
          </reference>
          <reference field="2" count="1" selected="0">
            <x v="490"/>
          </reference>
          <reference field="3" count="1" selected="0">
            <x v="2"/>
          </reference>
          <reference field="4" count="1">
            <x v="147"/>
          </reference>
        </references>
      </pivotArea>
    </format>
    <format dxfId="247">
      <pivotArea dataOnly="0" labelOnly="1" outline="0" fieldPosition="0">
        <references count="5">
          <reference field="0" count="1" selected="0">
            <x v="0"/>
          </reference>
          <reference field="1" count="1" selected="0">
            <x v="1383"/>
          </reference>
          <reference field="2" count="1" selected="0">
            <x v="490"/>
          </reference>
          <reference field="3" count="1" selected="0">
            <x v="2"/>
          </reference>
          <reference field="4" count="1">
            <x v="181"/>
          </reference>
        </references>
      </pivotArea>
    </format>
    <format dxfId="246">
      <pivotArea dataOnly="0" labelOnly="1" outline="0" fieldPosition="0">
        <references count="5">
          <reference field="0" count="1" selected="0">
            <x v="0"/>
          </reference>
          <reference field="1" count="1" selected="0">
            <x v="1384"/>
          </reference>
          <reference field="2" count="1" selected="0">
            <x v="490"/>
          </reference>
          <reference field="3" count="1" selected="0">
            <x v="2"/>
          </reference>
          <reference field="4" count="1">
            <x v="203"/>
          </reference>
        </references>
      </pivotArea>
    </format>
    <format dxfId="245">
      <pivotArea dataOnly="0" labelOnly="1" outline="0" fieldPosition="0">
        <references count="5">
          <reference field="0" count="1" selected="0">
            <x v="0"/>
          </reference>
          <reference field="1" count="1" selected="0">
            <x v="1385"/>
          </reference>
          <reference field="2" count="1" selected="0">
            <x v="490"/>
          </reference>
          <reference field="3" count="1" selected="0">
            <x v="2"/>
          </reference>
          <reference field="4" count="1">
            <x v="238"/>
          </reference>
        </references>
      </pivotArea>
    </format>
    <format dxfId="244">
      <pivotArea dataOnly="0" labelOnly="1" outline="0" fieldPosition="0">
        <references count="5">
          <reference field="0" count="1" selected="0">
            <x v="0"/>
          </reference>
          <reference field="1" count="1" selected="0">
            <x v="1386"/>
          </reference>
          <reference field="2" count="1" selected="0">
            <x v="490"/>
          </reference>
          <reference field="3" count="1" selected="0">
            <x v="2"/>
          </reference>
          <reference field="4" count="1">
            <x v="241"/>
          </reference>
        </references>
      </pivotArea>
    </format>
    <format dxfId="243">
      <pivotArea dataOnly="0" labelOnly="1" outline="0" fieldPosition="0">
        <references count="5">
          <reference field="0" count="1" selected="0">
            <x v="0"/>
          </reference>
          <reference field="1" count="1" selected="0">
            <x v="1387"/>
          </reference>
          <reference field="2" count="1" selected="0">
            <x v="490"/>
          </reference>
          <reference field="3" count="1" selected="0">
            <x v="2"/>
          </reference>
          <reference field="4" count="1">
            <x v="246"/>
          </reference>
        </references>
      </pivotArea>
    </format>
    <format dxfId="242">
      <pivotArea dataOnly="0" labelOnly="1" outline="0" fieldPosition="0">
        <references count="5">
          <reference field="0" count="1" selected="0">
            <x v="0"/>
          </reference>
          <reference field="1" count="1" selected="0">
            <x v="1388"/>
          </reference>
          <reference field="2" count="1" selected="0">
            <x v="490"/>
          </reference>
          <reference field="3" count="1" selected="0">
            <x v="2"/>
          </reference>
          <reference field="4" count="1">
            <x v="251"/>
          </reference>
        </references>
      </pivotArea>
    </format>
    <format dxfId="241">
      <pivotArea dataOnly="0" labelOnly="1" outline="0" fieldPosition="0">
        <references count="5">
          <reference field="0" count="1" selected="0">
            <x v="0"/>
          </reference>
          <reference field="1" count="1" selected="0">
            <x v="1389"/>
          </reference>
          <reference field="2" count="1" selected="0">
            <x v="490"/>
          </reference>
          <reference field="3" count="1" selected="0">
            <x v="2"/>
          </reference>
          <reference field="4" count="1">
            <x v="267"/>
          </reference>
        </references>
      </pivotArea>
    </format>
    <format dxfId="240">
      <pivotArea dataOnly="0" labelOnly="1" outline="0" fieldPosition="0">
        <references count="5">
          <reference field="0" count="1" selected="0">
            <x v="0"/>
          </reference>
          <reference field="1" count="1" selected="0">
            <x v="1390"/>
          </reference>
          <reference field="2" count="1" selected="0">
            <x v="490"/>
          </reference>
          <reference field="3" count="1" selected="0">
            <x v="2"/>
          </reference>
          <reference field="4" count="1">
            <x v="282"/>
          </reference>
        </references>
      </pivotArea>
    </format>
    <format dxfId="239">
      <pivotArea dataOnly="0" labelOnly="1" outline="0" fieldPosition="0">
        <references count="5">
          <reference field="0" count="1" selected="0">
            <x v="0"/>
          </reference>
          <reference field="1" count="1" selected="0">
            <x v="1391"/>
          </reference>
          <reference field="2" count="1" selected="0">
            <x v="491"/>
          </reference>
          <reference field="3" count="1" selected="0">
            <x v="2"/>
          </reference>
          <reference field="4" count="1">
            <x v="12"/>
          </reference>
        </references>
      </pivotArea>
    </format>
    <format dxfId="238">
      <pivotArea dataOnly="0" labelOnly="1" outline="0" fieldPosition="0">
        <references count="5">
          <reference field="0" count="1" selected="0">
            <x v="0"/>
          </reference>
          <reference field="1" count="1" selected="0">
            <x v="1392"/>
          </reference>
          <reference field="2" count="1" selected="0">
            <x v="491"/>
          </reference>
          <reference field="3" count="1" selected="0">
            <x v="2"/>
          </reference>
          <reference field="4" count="1">
            <x v="13"/>
          </reference>
        </references>
      </pivotArea>
    </format>
    <format dxfId="237">
      <pivotArea dataOnly="0" labelOnly="1" outline="0" fieldPosition="0">
        <references count="5">
          <reference field="0" count="1" selected="0">
            <x v="0"/>
          </reference>
          <reference field="1" count="1" selected="0">
            <x v="1393"/>
          </reference>
          <reference field="2" count="1" selected="0">
            <x v="491"/>
          </reference>
          <reference field="3" count="1" selected="0">
            <x v="2"/>
          </reference>
          <reference field="4" count="1">
            <x v="64"/>
          </reference>
        </references>
      </pivotArea>
    </format>
    <format dxfId="236">
      <pivotArea dataOnly="0" labelOnly="1" outline="0" fieldPosition="0">
        <references count="5">
          <reference field="0" count="1" selected="0">
            <x v="0"/>
          </reference>
          <reference field="1" count="1" selected="0">
            <x v="1394"/>
          </reference>
          <reference field="2" count="1" selected="0">
            <x v="491"/>
          </reference>
          <reference field="3" count="1" selected="0">
            <x v="2"/>
          </reference>
          <reference field="4" count="1">
            <x v="127"/>
          </reference>
        </references>
      </pivotArea>
    </format>
    <format dxfId="235">
      <pivotArea dataOnly="0" labelOnly="1" outline="0" fieldPosition="0">
        <references count="5">
          <reference field="0" count="1" selected="0">
            <x v="0"/>
          </reference>
          <reference field="1" count="1" selected="0">
            <x v="1395"/>
          </reference>
          <reference field="2" count="1" selected="0">
            <x v="491"/>
          </reference>
          <reference field="3" count="1" selected="0">
            <x v="2"/>
          </reference>
          <reference field="4" count="1">
            <x v="131"/>
          </reference>
        </references>
      </pivotArea>
    </format>
    <format dxfId="234">
      <pivotArea dataOnly="0" labelOnly="1" outline="0" fieldPosition="0">
        <references count="5">
          <reference field="0" count="1" selected="0">
            <x v="0"/>
          </reference>
          <reference field="1" count="1" selected="0">
            <x v="1396"/>
          </reference>
          <reference field="2" count="1" selected="0">
            <x v="491"/>
          </reference>
          <reference field="3" count="1" selected="0">
            <x v="2"/>
          </reference>
          <reference field="4" count="1">
            <x v="171"/>
          </reference>
        </references>
      </pivotArea>
    </format>
    <format dxfId="233">
      <pivotArea dataOnly="0" labelOnly="1" outline="0" fieldPosition="0">
        <references count="5">
          <reference field="0" count="1" selected="0">
            <x v="0"/>
          </reference>
          <reference field="1" count="1" selected="0">
            <x v="1397"/>
          </reference>
          <reference field="2" count="1" selected="0">
            <x v="491"/>
          </reference>
          <reference field="3" count="1" selected="0">
            <x v="2"/>
          </reference>
          <reference field="4" count="1">
            <x v="229"/>
          </reference>
        </references>
      </pivotArea>
    </format>
    <format dxfId="232">
      <pivotArea dataOnly="0" labelOnly="1" outline="0" fieldPosition="0">
        <references count="5">
          <reference field="0" count="1" selected="0">
            <x v="0"/>
          </reference>
          <reference field="1" count="1" selected="0">
            <x v="1398"/>
          </reference>
          <reference field="2" count="1" selected="0">
            <x v="491"/>
          </reference>
          <reference field="3" count="1" selected="0">
            <x v="2"/>
          </reference>
          <reference field="4" count="1">
            <x v="263"/>
          </reference>
        </references>
      </pivotArea>
    </format>
    <format dxfId="231">
      <pivotArea dataOnly="0" labelOnly="1" outline="0" fieldPosition="0">
        <references count="5">
          <reference field="0" count="1" selected="0">
            <x v="0"/>
          </reference>
          <reference field="1" count="1" selected="0">
            <x v="1399"/>
          </reference>
          <reference field="2" count="1" selected="0">
            <x v="492"/>
          </reference>
          <reference field="3" count="1" selected="0">
            <x v="2"/>
          </reference>
          <reference field="4" count="1">
            <x v="20"/>
          </reference>
        </references>
      </pivotArea>
    </format>
    <format dxfId="230">
      <pivotArea dataOnly="0" labelOnly="1" outline="0" fieldPosition="0">
        <references count="5">
          <reference field="0" count="1" selected="0">
            <x v="0"/>
          </reference>
          <reference field="1" count="1" selected="0">
            <x v="1400"/>
          </reference>
          <reference field="2" count="1" selected="0">
            <x v="492"/>
          </reference>
          <reference field="3" count="1" selected="0">
            <x v="2"/>
          </reference>
          <reference field="4" count="1">
            <x v="24"/>
          </reference>
        </references>
      </pivotArea>
    </format>
    <format dxfId="229">
      <pivotArea dataOnly="0" labelOnly="1" outline="0" fieldPosition="0">
        <references count="5">
          <reference field="0" count="1" selected="0">
            <x v="0"/>
          </reference>
          <reference field="1" count="1" selected="0">
            <x v="1401"/>
          </reference>
          <reference field="2" count="1" selected="0">
            <x v="492"/>
          </reference>
          <reference field="3" count="1" selected="0">
            <x v="2"/>
          </reference>
          <reference field="4" count="1">
            <x v="97"/>
          </reference>
        </references>
      </pivotArea>
    </format>
    <format dxfId="228">
      <pivotArea dataOnly="0" labelOnly="1" outline="0" fieldPosition="0">
        <references count="5">
          <reference field="0" count="1" selected="0">
            <x v="0"/>
          </reference>
          <reference field="1" count="1" selected="0">
            <x v="1402"/>
          </reference>
          <reference field="2" count="1" selected="0">
            <x v="492"/>
          </reference>
          <reference field="3" count="1" selected="0">
            <x v="2"/>
          </reference>
          <reference field="4" count="1">
            <x v="188"/>
          </reference>
        </references>
      </pivotArea>
    </format>
    <format dxfId="227">
      <pivotArea dataOnly="0" labelOnly="1" outline="0" fieldPosition="0">
        <references count="5">
          <reference field="0" count="1" selected="0">
            <x v="0"/>
          </reference>
          <reference field="1" count="1" selected="0">
            <x v="1403"/>
          </reference>
          <reference field="2" count="1" selected="0">
            <x v="492"/>
          </reference>
          <reference field="3" count="1" selected="0">
            <x v="2"/>
          </reference>
          <reference field="4" count="1">
            <x v="202"/>
          </reference>
        </references>
      </pivotArea>
    </format>
    <format dxfId="226">
      <pivotArea dataOnly="0" labelOnly="1" outline="0" fieldPosition="0">
        <references count="5">
          <reference field="0" count="1" selected="0">
            <x v="0"/>
          </reference>
          <reference field="1" count="1" selected="0">
            <x v="1404"/>
          </reference>
          <reference field="2" count="1" selected="0">
            <x v="492"/>
          </reference>
          <reference field="3" count="1" selected="0">
            <x v="2"/>
          </reference>
          <reference field="4" count="1">
            <x v="242"/>
          </reference>
        </references>
      </pivotArea>
    </format>
    <format dxfId="225">
      <pivotArea dataOnly="0" labelOnly="1" outline="0" fieldPosition="0">
        <references count="5">
          <reference field="0" count="1" selected="0">
            <x v="0"/>
          </reference>
          <reference field="1" count="1" selected="0">
            <x v="1405"/>
          </reference>
          <reference field="2" count="1" selected="0">
            <x v="492"/>
          </reference>
          <reference field="3" count="1" selected="0">
            <x v="2"/>
          </reference>
          <reference field="4" count="1">
            <x v="282"/>
          </reference>
        </references>
      </pivotArea>
    </format>
    <format dxfId="224">
      <pivotArea dataOnly="0" labelOnly="1" outline="0" fieldPosition="0">
        <references count="5">
          <reference field="0" count="1" selected="0">
            <x v="0"/>
          </reference>
          <reference field="1" count="1" selected="0">
            <x v="1406"/>
          </reference>
          <reference field="2" count="1" selected="0">
            <x v="493"/>
          </reference>
          <reference field="3" count="1" selected="0">
            <x v="2"/>
          </reference>
          <reference field="4" count="1">
            <x v="9"/>
          </reference>
        </references>
      </pivotArea>
    </format>
    <format dxfId="223">
      <pivotArea dataOnly="0" labelOnly="1" outline="0" fieldPosition="0">
        <references count="5">
          <reference field="0" count="1" selected="0">
            <x v="0"/>
          </reference>
          <reference field="1" count="1" selected="0">
            <x v="1407"/>
          </reference>
          <reference field="2" count="1" selected="0">
            <x v="493"/>
          </reference>
          <reference field="3" count="1" selected="0">
            <x v="2"/>
          </reference>
          <reference field="4" count="1">
            <x v="10"/>
          </reference>
        </references>
      </pivotArea>
    </format>
    <format dxfId="222">
      <pivotArea dataOnly="0" labelOnly="1" outline="0" fieldPosition="0">
        <references count="5">
          <reference field="0" count="1" selected="0">
            <x v="0"/>
          </reference>
          <reference field="1" count="1" selected="0">
            <x v="1408"/>
          </reference>
          <reference field="2" count="1" selected="0">
            <x v="493"/>
          </reference>
          <reference field="3" count="1" selected="0">
            <x v="2"/>
          </reference>
          <reference field="4" count="1">
            <x v="11"/>
          </reference>
        </references>
      </pivotArea>
    </format>
    <format dxfId="221">
      <pivotArea dataOnly="0" labelOnly="1" outline="0" fieldPosition="0">
        <references count="5">
          <reference field="0" count="1" selected="0">
            <x v="0"/>
          </reference>
          <reference field="1" count="1" selected="0">
            <x v="1409"/>
          </reference>
          <reference field="2" count="1" selected="0">
            <x v="493"/>
          </reference>
          <reference field="3" count="1" selected="0">
            <x v="2"/>
          </reference>
          <reference field="4" count="1">
            <x v="95"/>
          </reference>
        </references>
      </pivotArea>
    </format>
    <format dxfId="220">
      <pivotArea dataOnly="0" labelOnly="1" outline="0" fieldPosition="0">
        <references count="5">
          <reference field="0" count="1" selected="0">
            <x v="0"/>
          </reference>
          <reference field="1" count="1" selected="0">
            <x v="1410"/>
          </reference>
          <reference field="2" count="1" selected="0">
            <x v="493"/>
          </reference>
          <reference field="3" count="1" selected="0">
            <x v="2"/>
          </reference>
          <reference field="4" count="1">
            <x v="110"/>
          </reference>
        </references>
      </pivotArea>
    </format>
    <format dxfId="219">
      <pivotArea dataOnly="0" labelOnly="1" outline="0" fieldPosition="0">
        <references count="5">
          <reference field="0" count="1" selected="0">
            <x v="0"/>
          </reference>
          <reference field="1" count="1" selected="0">
            <x v="1411"/>
          </reference>
          <reference field="2" count="1" selected="0">
            <x v="493"/>
          </reference>
          <reference field="3" count="1" selected="0">
            <x v="2"/>
          </reference>
          <reference field="4" count="1">
            <x v="165"/>
          </reference>
        </references>
      </pivotArea>
    </format>
    <format dxfId="218">
      <pivotArea dataOnly="0" labelOnly="1" outline="0" fieldPosition="0">
        <references count="5">
          <reference field="0" count="1" selected="0">
            <x v="0"/>
          </reference>
          <reference field="1" count="1" selected="0">
            <x v="1412"/>
          </reference>
          <reference field="2" count="1" selected="0">
            <x v="494"/>
          </reference>
          <reference field="3" count="1" selected="0">
            <x v="2"/>
          </reference>
          <reference field="4" count="1">
            <x v="49"/>
          </reference>
        </references>
      </pivotArea>
    </format>
    <format dxfId="217">
      <pivotArea dataOnly="0" labelOnly="1" outline="0" fieldPosition="0">
        <references count="5">
          <reference field="0" count="1" selected="0">
            <x v="0"/>
          </reference>
          <reference field="1" count="1" selected="0">
            <x v="1413"/>
          </reference>
          <reference field="2" count="1" selected="0">
            <x v="494"/>
          </reference>
          <reference field="3" count="1" selected="0">
            <x v="2"/>
          </reference>
          <reference field="4" count="1">
            <x v="167"/>
          </reference>
        </references>
      </pivotArea>
    </format>
    <format dxfId="216">
      <pivotArea dataOnly="0" labelOnly="1" outline="0" fieldPosition="0">
        <references count="5">
          <reference field="0" count="1" selected="0">
            <x v="0"/>
          </reference>
          <reference field="1" count="1" selected="0">
            <x v="1414"/>
          </reference>
          <reference field="2" count="1" selected="0">
            <x v="495"/>
          </reference>
          <reference field="3" count="1" selected="0">
            <x v="2"/>
          </reference>
          <reference field="4" count="1">
            <x v="64"/>
          </reference>
        </references>
      </pivotArea>
    </format>
    <format dxfId="215">
      <pivotArea dataOnly="0" labelOnly="1" outline="0" fieldPosition="0">
        <references count="5">
          <reference field="0" count="1" selected="0">
            <x v="0"/>
          </reference>
          <reference field="1" count="1" selected="0">
            <x v="1415"/>
          </reference>
          <reference field="2" count="1" selected="0">
            <x v="495"/>
          </reference>
          <reference field="3" count="1" selected="0">
            <x v="2"/>
          </reference>
          <reference field="4" count="1">
            <x v="80"/>
          </reference>
        </references>
      </pivotArea>
    </format>
    <format dxfId="214">
      <pivotArea dataOnly="0" labelOnly="1" outline="0" fieldPosition="0">
        <references count="5">
          <reference field="0" count="1" selected="0">
            <x v="0"/>
          </reference>
          <reference field="1" count="1" selected="0">
            <x v="1416"/>
          </reference>
          <reference field="2" count="1" selected="0">
            <x v="495"/>
          </reference>
          <reference field="3" count="1" selected="0">
            <x v="2"/>
          </reference>
          <reference field="4" count="1">
            <x v="102"/>
          </reference>
        </references>
      </pivotArea>
    </format>
    <format dxfId="213">
      <pivotArea dataOnly="0" labelOnly="1" outline="0" fieldPosition="0">
        <references count="5">
          <reference field="0" count="1" selected="0">
            <x v="0"/>
          </reference>
          <reference field="1" count="1" selected="0">
            <x v="1417"/>
          </reference>
          <reference field="2" count="1" selected="0">
            <x v="495"/>
          </reference>
          <reference field="3" count="1" selected="0">
            <x v="2"/>
          </reference>
          <reference field="4" count="1">
            <x v="110"/>
          </reference>
        </references>
      </pivotArea>
    </format>
    <format dxfId="212">
      <pivotArea dataOnly="0" labelOnly="1" outline="0" fieldPosition="0">
        <references count="5">
          <reference field="0" count="1" selected="0">
            <x v="0"/>
          </reference>
          <reference field="1" count="1" selected="0">
            <x v="1418"/>
          </reference>
          <reference field="2" count="1" selected="0">
            <x v="495"/>
          </reference>
          <reference field="3" count="1" selected="0">
            <x v="2"/>
          </reference>
          <reference field="4" count="1">
            <x v="143"/>
          </reference>
        </references>
      </pivotArea>
    </format>
    <format dxfId="211">
      <pivotArea dataOnly="0" labelOnly="1" outline="0" fieldPosition="0">
        <references count="5">
          <reference field="0" count="1" selected="0">
            <x v="0"/>
          </reference>
          <reference field="1" count="1" selected="0">
            <x v="1419"/>
          </reference>
          <reference field="2" count="1" selected="0">
            <x v="495"/>
          </reference>
          <reference field="3" count="1" selected="0">
            <x v="2"/>
          </reference>
          <reference field="4" count="1">
            <x v="194"/>
          </reference>
        </references>
      </pivotArea>
    </format>
    <format dxfId="210">
      <pivotArea dataOnly="0" labelOnly="1" outline="0" fieldPosition="0">
        <references count="5">
          <reference field="0" count="1" selected="0">
            <x v="0"/>
          </reference>
          <reference field="1" count="1" selected="0">
            <x v="1420"/>
          </reference>
          <reference field="2" count="1" selected="0">
            <x v="495"/>
          </reference>
          <reference field="3" count="1" selected="0">
            <x v="2"/>
          </reference>
          <reference field="4" count="1">
            <x v="199"/>
          </reference>
        </references>
      </pivotArea>
    </format>
    <format dxfId="209">
      <pivotArea dataOnly="0" labelOnly="1" outline="0" fieldPosition="0">
        <references count="5">
          <reference field="0" count="1" selected="0">
            <x v="0"/>
          </reference>
          <reference field="1" count="1" selected="0">
            <x v="1421"/>
          </reference>
          <reference field="2" count="1" selected="0">
            <x v="495"/>
          </reference>
          <reference field="3" count="1" selected="0">
            <x v="2"/>
          </reference>
          <reference field="4" count="1">
            <x v="224"/>
          </reference>
        </references>
      </pivotArea>
    </format>
    <format dxfId="208">
      <pivotArea dataOnly="0" labelOnly="1" outline="0" fieldPosition="0">
        <references count="5">
          <reference field="0" count="1" selected="0">
            <x v="0"/>
          </reference>
          <reference field="1" count="1" selected="0">
            <x v="1422"/>
          </reference>
          <reference field="2" count="1" selected="0">
            <x v="495"/>
          </reference>
          <reference field="3" count="1" selected="0">
            <x v="2"/>
          </reference>
          <reference field="4" count="1">
            <x v="231"/>
          </reference>
        </references>
      </pivotArea>
    </format>
    <format dxfId="207">
      <pivotArea dataOnly="0" labelOnly="1" outline="0" fieldPosition="0">
        <references count="5">
          <reference field="0" count="1" selected="0">
            <x v="0"/>
          </reference>
          <reference field="1" count="1" selected="0">
            <x v="1423"/>
          </reference>
          <reference field="2" count="1" selected="0">
            <x v="495"/>
          </reference>
          <reference field="3" count="1" selected="0">
            <x v="2"/>
          </reference>
          <reference field="4" count="1">
            <x v="286"/>
          </reference>
        </references>
      </pivotArea>
    </format>
    <format dxfId="206">
      <pivotArea dataOnly="0" labelOnly="1" outline="0" fieldPosition="0">
        <references count="5">
          <reference field="0" count="1" selected="0">
            <x v="0"/>
          </reference>
          <reference field="1" count="1" selected="0">
            <x v="1424"/>
          </reference>
          <reference field="2" count="1" selected="0">
            <x v="495"/>
          </reference>
          <reference field="3" count="1" selected="0">
            <x v="2"/>
          </reference>
          <reference field="4" count="1">
            <x v="291"/>
          </reference>
        </references>
      </pivotArea>
    </format>
    <format dxfId="205">
      <pivotArea dataOnly="0" labelOnly="1" outline="0" fieldPosition="0">
        <references count="5">
          <reference field="0" count="1" selected="0">
            <x v="0"/>
          </reference>
          <reference field="1" count="1" selected="0">
            <x v="1425"/>
          </reference>
          <reference field="2" count="1" selected="0">
            <x v="496"/>
          </reference>
          <reference field="3" count="1" selected="0">
            <x v="2"/>
          </reference>
          <reference field="4" count="1">
            <x v="90"/>
          </reference>
        </references>
      </pivotArea>
    </format>
    <format dxfId="204">
      <pivotArea dataOnly="0" labelOnly="1" outline="0" fieldPosition="0">
        <references count="5">
          <reference field="0" count="1" selected="0">
            <x v="0"/>
          </reference>
          <reference field="1" count="1" selected="0">
            <x v="1426"/>
          </reference>
          <reference field="2" count="1" selected="0">
            <x v="496"/>
          </reference>
          <reference field="3" count="1" selected="0">
            <x v="2"/>
          </reference>
          <reference field="4" count="1">
            <x v="100"/>
          </reference>
        </references>
      </pivotArea>
    </format>
    <format dxfId="203">
      <pivotArea dataOnly="0" labelOnly="1" outline="0" fieldPosition="0">
        <references count="5">
          <reference field="0" count="1" selected="0">
            <x v="0"/>
          </reference>
          <reference field="1" count="1" selected="0">
            <x v="1427"/>
          </reference>
          <reference field="2" count="1" selected="0">
            <x v="496"/>
          </reference>
          <reference field="3" count="1" selected="0">
            <x v="2"/>
          </reference>
          <reference field="4" count="1">
            <x v="109"/>
          </reference>
        </references>
      </pivotArea>
    </format>
    <format dxfId="202">
      <pivotArea dataOnly="0" labelOnly="1" outline="0" fieldPosition="0">
        <references count="5">
          <reference field="0" count="1" selected="0">
            <x v="0"/>
          </reference>
          <reference field="1" count="1" selected="0">
            <x v="1428"/>
          </reference>
          <reference field="2" count="1" selected="0">
            <x v="496"/>
          </reference>
          <reference field="3" count="1" selected="0">
            <x v="2"/>
          </reference>
          <reference field="4" count="1">
            <x v="122"/>
          </reference>
        </references>
      </pivotArea>
    </format>
    <format dxfId="201">
      <pivotArea dataOnly="0" labelOnly="1" outline="0" fieldPosition="0">
        <references count="5">
          <reference field="0" count="1" selected="0">
            <x v="0"/>
          </reference>
          <reference field="1" count="1" selected="0">
            <x v="1429"/>
          </reference>
          <reference field="2" count="1" selected="0">
            <x v="496"/>
          </reference>
          <reference field="3" count="1" selected="0">
            <x v="2"/>
          </reference>
          <reference field="4" count="1">
            <x v="148"/>
          </reference>
        </references>
      </pivotArea>
    </format>
    <format dxfId="200">
      <pivotArea dataOnly="0" labelOnly="1" outline="0" fieldPosition="0">
        <references count="5">
          <reference field="0" count="1" selected="0">
            <x v="0"/>
          </reference>
          <reference field="1" count="1" selected="0">
            <x v="1430"/>
          </reference>
          <reference field="2" count="1" selected="0">
            <x v="496"/>
          </reference>
          <reference field="3" count="1" selected="0">
            <x v="2"/>
          </reference>
          <reference field="4" count="1">
            <x v="212"/>
          </reference>
        </references>
      </pivotArea>
    </format>
    <format dxfId="199">
      <pivotArea dataOnly="0" labelOnly="1" outline="0" fieldPosition="0">
        <references count="5">
          <reference field="0" count="1" selected="0">
            <x v="0"/>
          </reference>
          <reference field="1" count="1" selected="0">
            <x v="1431"/>
          </reference>
          <reference field="2" count="1" selected="0">
            <x v="496"/>
          </reference>
          <reference field="3" count="1" selected="0">
            <x v="2"/>
          </reference>
          <reference field="4" count="1">
            <x v="214"/>
          </reference>
        </references>
      </pivotArea>
    </format>
    <format dxfId="198">
      <pivotArea dataOnly="0" labelOnly="1" outline="0" fieldPosition="0">
        <references count="5">
          <reference field="0" count="1" selected="0">
            <x v="0"/>
          </reference>
          <reference field="1" count="1" selected="0">
            <x v="1432"/>
          </reference>
          <reference field="2" count="1" selected="0">
            <x v="496"/>
          </reference>
          <reference field="3" count="1" selected="0">
            <x v="2"/>
          </reference>
          <reference field="4" count="1">
            <x v="227"/>
          </reference>
        </references>
      </pivotArea>
    </format>
    <format dxfId="197">
      <pivotArea dataOnly="0" labelOnly="1" outline="0" fieldPosition="0">
        <references count="5">
          <reference field="0" count="1" selected="0">
            <x v="0"/>
          </reference>
          <reference field="1" count="1" selected="0">
            <x v="1433"/>
          </reference>
          <reference field="2" count="1" selected="0">
            <x v="496"/>
          </reference>
          <reference field="3" count="1" selected="0">
            <x v="2"/>
          </reference>
          <reference field="4" count="1">
            <x v="291"/>
          </reference>
        </references>
      </pivotArea>
    </format>
    <format dxfId="196">
      <pivotArea dataOnly="0" labelOnly="1" outline="0" fieldPosition="0">
        <references count="5">
          <reference field="0" count="1" selected="0">
            <x v="0"/>
          </reference>
          <reference field="1" count="1" selected="0">
            <x v="1434"/>
          </reference>
          <reference field="2" count="1" selected="0">
            <x v="497"/>
          </reference>
          <reference field="3" count="1" selected="0">
            <x v="2"/>
          </reference>
          <reference field="4" count="1">
            <x v="52"/>
          </reference>
        </references>
      </pivotArea>
    </format>
    <format dxfId="195">
      <pivotArea dataOnly="0" labelOnly="1" outline="0" fieldPosition="0">
        <references count="5">
          <reference field="0" count="1" selected="0">
            <x v="0"/>
          </reference>
          <reference field="1" count="1" selected="0">
            <x v="1435"/>
          </reference>
          <reference field="2" count="1" selected="0">
            <x v="497"/>
          </reference>
          <reference field="3" count="1" selected="0">
            <x v="2"/>
          </reference>
          <reference field="4" count="1">
            <x v="104"/>
          </reference>
        </references>
      </pivotArea>
    </format>
    <format dxfId="194">
      <pivotArea dataOnly="0" labelOnly="1" outline="0" fieldPosition="0">
        <references count="5">
          <reference field="0" count="1" selected="0">
            <x v="0"/>
          </reference>
          <reference field="1" count="1" selected="0">
            <x v="1436"/>
          </reference>
          <reference field="2" count="1" selected="0">
            <x v="497"/>
          </reference>
          <reference field="3" count="1" selected="0">
            <x v="2"/>
          </reference>
          <reference field="4" count="1">
            <x v="129"/>
          </reference>
        </references>
      </pivotArea>
    </format>
    <format dxfId="193">
      <pivotArea dataOnly="0" labelOnly="1" outline="0" fieldPosition="0">
        <references count="5">
          <reference field="0" count="1" selected="0">
            <x v="0"/>
          </reference>
          <reference field="1" count="1" selected="0">
            <x v="1437"/>
          </reference>
          <reference field="2" count="1" selected="0">
            <x v="497"/>
          </reference>
          <reference field="3" count="1" selected="0">
            <x v="2"/>
          </reference>
          <reference field="4" count="1">
            <x v="181"/>
          </reference>
        </references>
      </pivotArea>
    </format>
    <format dxfId="192">
      <pivotArea dataOnly="0" labelOnly="1" outline="0" fieldPosition="0">
        <references count="5">
          <reference field="0" count="1" selected="0">
            <x v="0"/>
          </reference>
          <reference field="1" count="1" selected="0">
            <x v="1438"/>
          </reference>
          <reference field="2" count="1" selected="0">
            <x v="497"/>
          </reference>
          <reference field="3" count="1" selected="0">
            <x v="2"/>
          </reference>
          <reference field="4" count="1">
            <x v="233"/>
          </reference>
        </references>
      </pivotArea>
    </format>
    <format dxfId="191">
      <pivotArea dataOnly="0" labelOnly="1" outline="0" fieldPosition="0">
        <references count="5">
          <reference field="0" count="1" selected="0">
            <x v="0"/>
          </reference>
          <reference field="1" count="1" selected="0">
            <x v="1439"/>
          </reference>
          <reference field="2" count="1" selected="0">
            <x v="497"/>
          </reference>
          <reference field="3" count="1" selected="0">
            <x v="2"/>
          </reference>
          <reference field="4" count="1">
            <x v="240"/>
          </reference>
        </references>
      </pivotArea>
    </format>
    <format dxfId="190">
      <pivotArea dataOnly="0" labelOnly="1" outline="0" fieldPosition="0">
        <references count="5">
          <reference field="0" count="1" selected="0">
            <x v="0"/>
          </reference>
          <reference field="1" count="1" selected="0">
            <x v="1440"/>
          </reference>
          <reference field="2" count="1" selected="0">
            <x v="498"/>
          </reference>
          <reference field="3" count="1" selected="0">
            <x v="2"/>
          </reference>
          <reference field="4" count="1">
            <x v="63"/>
          </reference>
        </references>
      </pivotArea>
    </format>
    <format dxfId="189">
      <pivotArea dataOnly="0" labelOnly="1" outline="0" fieldPosition="0">
        <references count="5">
          <reference field="0" count="1" selected="0">
            <x v="0"/>
          </reference>
          <reference field="1" count="1" selected="0">
            <x v="1441"/>
          </reference>
          <reference field="2" count="1" selected="0">
            <x v="498"/>
          </reference>
          <reference field="3" count="1" selected="0">
            <x v="2"/>
          </reference>
          <reference field="4" count="1">
            <x v="80"/>
          </reference>
        </references>
      </pivotArea>
    </format>
    <format dxfId="188">
      <pivotArea dataOnly="0" labelOnly="1" outline="0" fieldPosition="0">
        <references count="5">
          <reference field="0" count="1" selected="0">
            <x v="0"/>
          </reference>
          <reference field="1" count="1" selected="0">
            <x v="1442"/>
          </reference>
          <reference field="2" count="1" selected="0">
            <x v="498"/>
          </reference>
          <reference field="3" count="1" selected="0">
            <x v="2"/>
          </reference>
          <reference field="4" count="1">
            <x v="198"/>
          </reference>
        </references>
      </pivotArea>
    </format>
    <format dxfId="187">
      <pivotArea dataOnly="0" labelOnly="1" outline="0" fieldPosition="0">
        <references count="5">
          <reference field="0" count="1" selected="0">
            <x v="0"/>
          </reference>
          <reference field="1" count="1" selected="0">
            <x v="1443"/>
          </reference>
          <reference field="2" count="1" selected="0">
            <x v="498"/>
          </reference>
          <reference field="3" count="1" selected="0">
            <x v="2"/>
          </reference>
          <reference field="4" count="1">
            <x v="203"/>
          </reference>
        </references>
      </pivotArea>
    </format>
    <format dxfId="186">
      <pivotArea dataOnly="0" labelOnly="1" outline="0" fieldPosition="0">
        <references count="5">
          <reference field="0" count="1" selected="0">
            <x v="0"/>
          </reference>
          <reference field="1" count="1" selected="0">
            <x v="1444"/>
          </reference>
          <reference field="2" count="1" selected="0">
            <x v="498"/>
          </reference>
          <reference field="3" count="1" selected="0">
            <x v="2"/>
          </reference>
          <reference field="4" count="1">
            <x v="219"/>
          </reference>
        </references>
      </pivotArea>
    </format>
    <format dxfId="185">
      <pivotArea dataOnly="0" labelOnly="1" outline="0" fieldPosition="0">
        <references count="5">
          <reference field="0" count="1" selected="0">
            <x v="0"/>
          </reference>
          <reference field="1" count="1" selected="0">
            <x v="1445"/>
          </reference>
          <reference field="2" count="1" selected="0">
            <x v="498"/>
          </reference>
          <reference field="3" count="1" selected="0">
            <x v="2"/>
          </reference>
          <reference field="4" count="1">
            <x v="234"/>
          </reference>
        </references>
      </pivotArea>
    </format>
    <format dxfId="184">
      <pivotArea dataOnly="0" labelOnly="1" outline="0" fieldPosition="0">
        <references count="5">
          <reference field="0" count="1" selected="0">
            <x v="0"/>
          </reference>
          <reference field="1" count="1" selected="0">
            <x v="1446"/>
          </reference>
          <reference field="2" count="1" selected="0">
            <x v="498"/>
          </reference>
          <reference field="3" count="1" selected="0">
            <x v="2"/>
          </reference>
          <reference field="4" count="1">
            <x v="251"/>
          </reference>
        </references>
      </pivotArea>
    </format>
    <format dxfId="183">
      <pivotArea dataOnly="0" labelOnly="1" outline="0" fieldPosition="0">
        <references count="5">
          <reference field="0" count="1" selected="0">
            <x v="0"/>
          </reference>
          <reference field="1" count="1" selected="0">
            <x v="1447"/>
          </reference>
          <reference field="2" count="1" selected="0">
            <x v="498"/>
          </reference>
          <reference field="3" count="1" selected="0">
            <x v="2"/>
          </reference>
          <reference field="4" count="1">
            <x v="269"/>
          </reference>
        </references>
      </pivotArea>
    </format>
    <format dxfId="182">
      <pivotArea dataOnly="0" labelOnly="1" outline="0" fieldPosition="0">
        <references count="5">
          <reference field="0" count="1" selected="0">
            <x v="0"/>
          </reference>
          <reference field="1" count="1" selected="0">
            <x v="1448"/>
          </reference>
          <reference field="2" count="1" selected="0">
            <x v="498"/>
          </reference>
          <reference field="3" count="1" selected="0">
            <x v="2"/>
          </reference>
          <reference field="4" count="1">
            <x v="278"/>
          </reference>
        </references>
      </pivotArea>
    </format>
    <format dxfId="181">
      <pivotArea dataOnly="0" labelOnly="1" outline="0" fieldPosition="0">
        <references count="5">
          <reference field="0" count="1" selected="0">
            <x v="0"/>
          </reference>
          <reference field="1" count="1" selected="0">
            <x v="1449"/>
          </reference>
          <reference field="2" count="1" selected="0">
            <x v="498"/>
          </reference>
          <reference field="3" count="1" selected="0">
            <x v="2"/>
          </reference>
          <reference field="4" count="1">
            <x v="288"/>
          </reference>
        </references>
      </pivotArea>
    </format>
    <format dxfId="180">
      <pivotArea dataOnly="0" labelOnly="1" outline="0" fieldPosition="0">
        <references count="5">
          <reference field="0" count="1" selected="0">
            <x v="0"/>
          </reference>
          <reference field="1" count="1" selected="0">
            <x v="1450"/>
          </reference>
          <reference field="2" count="1" selected="0">
            <x v="499"/>
          </reference>
          <reference field="3" count="1" selected="0">
            <x v="2"/>
          </reference>
          <reference field="4" count="1">
            <x v="35"/>
          </reference>
        </references>
      </pivotArea>
    </format>
    <format dxfId="179">
      <pivotArea dataOnly="0" labelOnly="1" outline="0" fieldPosition="0">
        <references count="5">
          <reference field="0" count="1" selected="0">
            <x v="0"/>
          </reference>
          <reference field="1" count="1" selected="0">
            <x v="1451"/>
          </reference>
          <reference field="2" count="1" selected="0">
            <x v="499"/>
          </reference>
          <reference field="3" count="1" selected="0">
            <x v="2"/>
          </reference>
          <reference field="4" count="1">
            <x v="79"/>
          </reference>
        </references>
      </pivotArea>
    </format>
    <format dxfId="178">
      <pivotArea dataOnly="0" labelOnly="1" outline="0" fieldPosition="0">
        <references count="5">
          <reference field="0" count="1" selected="0">
            <x v="0"/>
          </reference>
          <reference field="1" count="1" selected="0">
            <x v="1452"/>
          </reference>
          <reference field="2" count="1" selected="0">
            <x v="499"/>
          </reference>
          <reference field="3" count="1" selected="0">
            <x v="2"/>
          </reference>
          <reference field="4" count="1">
            <x v="182"/>
          </reference>
        </references>
      </pivotArea>
    </format>
    <format dxfId="177">
      <pivotArea dataOnly="0" labelOnly="1" outline="0" fieldPosition="0">
        <references count="5">
          <reference field="0" count="1" selected="0">
            <x v="0"/>
          </reference>
          <reference field="1" count="1" selected="0">
            <x v="1453"/>
          </reference>
          <reference field="2" count="1" selected="0">
            <x v="499"/>
          </reference>
          <reference field="3" count="1" selected="0">
            <x v="2"/>
          </reference>
          <reference field="4" count="1">
            <x v="210"/>
          </reference>
        </references>
      </pivotArea>
    </format>
    <format dxfId="176">
      <pivotArea dataOnly="0" labelOnly="1" outline="0" fieldPosition="0">
        <references count="5">
          <reference field="0" count="1" selected="0">
            <x v="0"/>
          </reference>
          <reference field="1" count="1" selected="0">
            <x v="1454"/>
          </reference>
          <reference field="2" count="1" selected="0">
            <x v="499"/>
          </reference>
          <reference field="3" count="1" selected="0">
            <x v="2"/>
          </reference>
          <reference field="4" count="1">
            <x v="235"/>
          </reference>
        </references>
      </pivotArea>
    </format>
    <format dxfId="175">
      <pivotArea dataOnly="0" labelOnly="1" outline="0" fieldPosition="0">
        <references count="5">
          <reference field="0" count="1" selected="0">
            <x v="0"/>
          </reference>
          <reference field="1" count="1" selected="0">
            <x v="1455"/>
          </reference>
          <reference field="2" count="1" selected="0">
            <x v="499"/>
          </reference>
          <reference field="3" count="1" selected="0">
            <x v="2"/>
          </reference>
          <reference field="4" count="1">
            <x v="261"/>
          </reference>
        </references>
      </pivotArea>
    </format>
    <format dxfId="174">
      <pivotArea dataOnly="0" labelOnly="1" outline="0" fieldPosition="0">
        <references count="5">
          <reference field="0" count="1" selected="0">
            <x v="0"/>
          </reference>
          <reference field="1" count="1" selected="0">
            <x v="1456"/>
          </reference>
          <reference field="2" count="1" selected="0">
            <x v="499"/>
          </reference>
          <reference field="3" count="1" selected="0">
            <x v="2"/>
          </reference>
          <reference field="4" count="1">
            <x v="282"/>
          </reference>
        </references>
      </pivotArea>
    </format>
    <format dxfId="173">
      <pivotArea dataOnly="0" labelOnly="1" outline="0" fieldPosition="0">
        <references count="5">
          <reference field="0" count="1" selected="0">
            <x v="0"/>
          </reference>
          <reference field="1" count="1" selected="0">
            <x v="1457"/>
          </reference>
          <reference field="2" count="1" selected="0">
            <x v="499"/>
          </reference>
          <reference field="3" count="1" selected="0">
            <x v="2"/>
          </reference>
          <reference field="4" count="1">
            <x v="290"/>
          </reference>
        </references>
      </pivotArea>
    </format>
    <format dxfId="172">
      <pivotArea dataOnly="0" labelOnly="1" outline="0" fieldPosition="0">
        <references count="5">
          <reference field="0" count="1" selected="0">
            <x v="0"/>
          </reference>
          <reference field="1" count="1" selected="0">
            <x v="1458"/>
          </reference>
          <reference field="2" count="1" selected="0">
            <x v="500"/>
          </reference>
          <reference field="3" count="1" selected="0">
            <x v="2"/>
          </reference>
          <reference field="4" count="1">
            <x v="142"/>
          </reference>
        </references>
      </pivotArea>
    </format>
    <format dxfId="171">
      <pivotArea dataOnly="0" labelOnly="1" outline="0" fieldPosition="0">
        <references count="5">
          <reference field="0" count="1" selected="0">
            <x v="0"/>
          </reference>
          <reference field="1" count="1" selected="0">
            <x v="1459"/>
          </reference>
          <reference field="2" count="1" selected="0">
            <x v="500"/>
          </reference>
          <reference field="3" count="1" selected="0">
            <x v="2"/>
          </reference>
          <reference field="4" count="1">
            <x v="239"/>
          </reference>
        </references>
      </pivotArea>
    </format>
    <format dxfId="170">
      <pivotArea dataOnly="0" labelOnly="1" outline="0" fieldPosition="0">
        <references count="5">
          <reference field="0" count="1" selected="0">
            <x v="0"/>
          </reference>
          <reference field="1" count="1" selected="0">
            <x v="1460"/>
          </reference>
          <reference field="2" count="1" selected="0">
            <x v="500"/>
          </reference>
          <reference field="3" count="1" selected="0">
            <x v="2"/>
          </reference>
          <reference field="4" count="1">
            <x v="284"/>
          </reference>
        </references>
      </pivotArea>
    </format>
    <format dxfId="169">
      <pivotArea dataOnly="0" labelOnly="1" outline="0" fieldPosition="0">
        <references count="5">
          <reference field="0" count="1" selected="0">
            <x v="0"/>
          </reference>
          <reference field="1" count="1" selected="0">
            <x v="1461"/>
          </reference>
          <reference field="2" count="1" selected="0">
            <x v="501"/>
          </reference>
          <reference field="3" count="1" selected="0">
            <x v="2"/>
          </reference>
          <reference field="4" count="1">
            <x v="62"/>
          </reference>
        </references>
      </pivotArea>
    </format>
    <format dxfId="168">
      <pivotArea dataOnly="0" labelOnly="1" outline="0" fieldPosition="0">
        <references count="5">
          <reference field="0" count="1" selected="0">
            <x v="0"/>
          </reference>
          <reference field="1" count="1" selected="0">
            <x v="1462"/>
          </reference>
          <reference field="2" count="1" selected="0">
            <x v="501"/>
          </reference>
          <reference field="3" count="1" selected="0">
            <x v="2"/>
          </reference>
          <reference field="4" count="1">
            <x v="106"/>
          </reference>
        </references>
      </pivotArea>
    </format>
    <format dxfId="167">
      <pivotArea dataOnly="0" labelOnly="1" outline="0" fieldPosition="0">
        <references count="5">
          <reference field="0" count="1" selected="0">
            <x v="0"/>
          </reference>
          <reference field="1" count="1" selected="0">
            <x v="1463"/>
          </reference>
          <reference field="2" count="1" selected="0">
            <x v="501"/>
          </reference>
          <reference field="3" count="1" selected="0">
            <x v="2"/>
          </reference>
          <reference field="4" count="1">
            <x v="110"/>
          </reference>
        </references>
      </pivotArea>
    </format>
    <format dxfId="166">
      <pivotArea dataOnly="0" labelOnly="1" outline="0" fieldPosition="0">
        <references count="5">
          <reference field="0" count="1" selected="0">
            <x v="0"/>
          </reference>
          <reference field="1" count="1" selected="0">
            <x v="1464"/>
          </reference>
          <reference field="2" count="1" selected="0">
            <x v="501"/>
          </reference>
          <reference field="3" count="1" selected="0">
            <x v="2"/>
          </reference>
          <reference field="4" count="1">
            <x v="131"/>
          </reference>
        </references>
      </pivotArea>
    </format>
    <format dxfId="165">
      <pivotArea dataOnly="0" labelOnly="1" outline="0" fieldPosition="0">
        <references count="5">
          <reference field="0" count="1" selected="0">
            <x v="0"/>
          </reference>
          <reference field="1" count="1" selected="0">
            <x v="1465"/>
          </reference>
          <reference field="2" count="1" selected="0">
            <x v="501"/>
          </reference>
          <reference field="3" count="1" selected="0">
            <x v="2"/>
          </reference>
          <reference field="4" count="1">
            <x v="150"/>
          </reference>
        </references>
      </pivotArea>
    </format>
    <format dxfId="164">
      <pivotArea dataOnly="0" labelOnly="1" outline="0" fieldPosition="0">
        <references count="5">
          <reference field="0" count="1" selected="0">
            <x v="0"/>
          </reference>
          <reference field="1" count="1" selected="0">
            <x v="1466"/>
          </reference>
          <reference field="2" count="1" selected="0">
            <x v="501"/>
          </reference>
          <reference field="3" count="1" selected="0">
            <x v="2"/>
          </reference>
          <reference field="4" count="1">
            <x v="165"/>
          </reference>
        </references>
      </pivotArea>
    </format>
    <format dxfId="163">
      <pivotArea dataOnly="0" labelOnly="1" outline="0" fieldPosition="0">
        <references count="5">
          <reference field="0" count="1" selected="0">
            <x v="0"/>
          </reference>
          <reference field="1" count="1" selected="0">
            <x v="1467"/>
          </reference>
          <reference field="2" count="1" selected="0">
            <x v="501"/>
          </reference>
          <reference field="3" count="1" selected="0">
            <x v="2"/>
          </reference>
          <reference field="4" count="1">
            <x v="188"/>
          </reference>
        </references>
      </pivotArea>
    </format>
    <format dxfId="162">
      <pivotArea dataOnly="0" labelOnly="1" outline="0" fieldPosition="0">
        <references count="5">
          <reference field="0" count="1" selected="0">
            <x v="0"/>
          </reference>
          <reference field="1" count="1" selected="0">
            <x v="1468"/>
          </reference>
          <reference field="2" count="1" selected="0">
            <x v="501"/>
          </reference>
          <reference field="3" count="1" selected="0">
            <x v="2"/>
          </reference>
          <reference field="4" count="1">
            <x v="222"/>
          </reference>
        </references>
      </pivotArea>
    </format>
    <format dxfId="161">
      <pivotArea dataOnly="0" labelOnly="1" outline="0" fieldPosition="0">
        <references count="5">
          <reference field="0" count="1" selected="0">
            <x v="0"/>
          </reference>
          <reference field="1" count="1" selected="0">
            <x v="1469"/>
          </reference>
          <reference field="2" count="1" selected="0">
            <x v="501"/>
          </reference>
          <reference field="3" count="1" selected="0">
            <x v="2"/>
          </reference>
          <reference field="4" count="1">
            <x v="265"/>
          </reference>
        </references>
      </pivotArea>
    </format>
    <format dxfId="160">
      <pivotArea dataOnly="0" labelOnly="1" outline="0" fieldPosition="0">
        <references count="5">
          <reference field="0" count="1" selected="0">
            <x v="0"/>
          </reference>
          <reference field="1" count="1" selected="0">
            <x v="1470"/>
          </reference>
          <reference field="2" count="1" selected="0">
            <x v="501"/>
          </reference>
          <reference field="3" count="1" selected="0">
            <x v="2"/>
          </reference>
          <reference field="4" count="1">
            <x v="282"/>
          </reference>
        </references>
      </pivotArea>
    </format>
    <format dxfId="159">
      <pivotArea dataOnly="0" labelOnly="1" outline="0" fieldPosition="0">
        <references count="5">
          <reference field="0" count="1" selected="0">
            <x v="0"/>
          </reference>
          <reference field="1" count="1" selected="0">
            <x v="1471"/>
          </reference>
          <reference field="2" count="1" selected="0">
            <x v="502"/>
          </reference>
          <reference field="3" count="1" selected="0">
            <x v="2"/>
          </reference>
          <reference field="4" count="1">
            <x v="51"/>
          </reference>
        </references>
      </pivotArea>
    </format>
    <format dxfId="158">
      <pivotArea dataOnly="0" labelOnly="1" outline="0" fieldPosition="0">
        <references count="5">
          <reference field="0" count="1" selected="0">
            <x v="0"/>
          </reference>
          <reference field="1" count="1" selected="0">
            <x v="1472"/>
          </reference>
          <reference field="2" count="1" selected="0">
            <x v="502"/>
          </reference>
          <reference field="3" count="1" selected="0">
            <x v="2"/>
          </reference>
          <reference field="4" count="1">
            <x v="55"/>
          </reference>
        </references>
      </pivotArea>
    </format>
    <format dxfId="157">
      <pivotArea dataOnly="0" labelOnly="1" outline="0" fieldPosition="0">
        <references count="5">
          <reference field="0" count="1" selected="0">
            <x v="0"/>
          </reference>
          <reference field="1" count="1" selected="0">
            <x v="1473"/>
          </reference>
          <reference field="2" count="1" selected="0">
            <x v="502"/>
          </reference>
          <reference field="3" count="1" selected="0">
            <x v="2"/>
          </reference>
          <reference field="4" count="1">
            <x v="188"/>
          </reference>
        </references>
      </pivotArea>
    </format>
    <format dxfId="156">
      <pivotArea dataOnly="0" labelOnly="1" outline="0" fieldPosition="0">
        <references count="5">
          <reference field="0" count="1" selected="0">
            <x v="0"/>
          </reference>
          <reference field="1" count="1" selected="0">
            <x v="1474"/>
          </reference>
          <reference field="2" count="1" selected="0">
            <x v="502"/>
          </reference>
          <reference field="3" count="1" selected="0">
            <x v="2"/>
          </reference>
          <reference field="4" count="1">
            <x v="223"/>
          </reference>
        </references>
      </pivotArea>
    </format>
    <format dxfId="155">
      <pivotArea dataOnly="0" labelOnly="1" outline="0" fieldPosition="0">
        <references count="5">
          <reference field="0" count="1" selected="0">
            <x v="0"/>
          </reference>
          <reference field="1" count="1" selected="0">
            <x v="1475"/>
          </reference>
          <reference field="2" count="1" selected="0">
            <x v="503"/>
          </reference>
          <reference field="3" count="1" selected="0">
            <x v="2"/>
          </reference>
          <reference field="4" count="1">
            <x v="8"/>
          </reference>
        </references>
      </pivotArea>
    </format>
    <format dxfId="154">
      <pivotArea dataOnly="0" labelOnly="1" outline="0" fieldPosition="0">
        <references count="5">
          <reference field="0" count="1" selected="0">
            <x v="0"/>
          </reference>
          <reference field="1" count="1" selected="0">
            <x v="1476"/>
          </reference>
          <reference field="2" count="1" selected="0">
            <x v="503"/>
          </reference>
          <reference field="3" count="1" selected="0">
            <x v="2"/>
          </reference>
          <reference field="4" count="1">
            <x v="14"/>
          </reference>
        </references>
      </pivotArea>
    </format>
    <format dxfId="153">
      <pivotArea dataOnly="0" labelOnly="1" outline="0" fieldPosition="0">
        <references count="5">
          <reference field="0" count="1" selected="0">
            <x v="0"/>
          </reference>
          <reference field="1" count="1" selected="0">
            <x v="1477"/>
          </reference>
          <reference field="2" count="1" selected="0">
            <x v="503"/>
          </reference>
          <reference field="3" count="1" selected="0">
            <x v="2"/>
          </reference>
          <reference field="4" count="1">
            <x v="44"/>
          </reference>
        </references>
      </pivotArea>
    </format>
    <format dxfId="152">
      <pivotArea dataOnly="0" labelOnly="1" outline="0" fieldPosition="0">
        <references count="5">
          <reference field="0" count="1" selected="0">
            <x v="0"/>
          </reference>
          <reference field="1" count="1" selected="0">
            <x v="1478"/>
          </reference>
          <reference field="2" count="1" selected="0">
            <x v="503"/>
          </reference>
          <reference field="3" count="1" selected="0">
            <x v="2"/>
          </reference>
          <reference field="4" count="1">
            <x v="100"/>
          </reference>
        </references>
      </pivotArea>
    </format>
    <format dxfId="151">
      <pivotArea dataOnly="0" labelOnly="1" outline="0" fieldPosition="0">
        <references count="5">
          <reference field="0" count="1" selected="0">
            <x v="0"/>
          </reference>
          <reference field="1" count="1" selected="0">
            <x v="1479"/>
          </reference>
          <reference field="2" count="1" selected="0">
            <x v="503"/>
          </reference>
          <reference field="3" count="1" selected="0">
            <x v="2"/>
          </reference>
          <reference field="4" count="1">
            <x v="110"/>
          </reference>
        </references>
      </pivotArea>
    </format>
    <format dxfId="150">
      <pivotArea dataOnly="0" labelOnly="1" outline="0" fieldPosition="0">
        <references count="5">
          <reference field="0" count="1" selected="0">
            <x v="0"/>
          </reference>
          <reference field="1" count="1" selected="0">
            <x v="1480"/>
          </reference>
          <reference field="2" count="1" selected="0">
            <x v="503"/>
          </reference>
          <reference field="3" count="1" selected="0">
            <x v="2"/>
          </reference>
          <reference field="4" count="1">
            <x v="138"/>
          </reference>
        </references>
      </pivotArea>
    </format>
    <format dxfId="149">
      <pivotArea dataOnly="0" labelOnly="1" outline="0" fieldPosition="0">
        <references count="5">
          <reference field="0" count="1" selected="0">
            <x v="0"/>
          </reference>
          <reference field="1" count="1" selected="0">
            <x v="1481"/>
          </reference>
          <reference field="2" count="1" selected="0">
            <x v="503"/>
          </reference>
          <reference field="3" count="1" selected="0">
            <x v="2"/>
          </reference>
          <reference field="4" count="1">
            <x v="184"/>
          </reference>
        </references>
      </pivotArea>
    </format>
    <format dxfId="148">
      <pivotArea dataOnly="0" labelOnly="1" outline="0" fieldPosition="0">
        <references count="5">
          <reference field="0" count="1" selected="0">
            <x v="0"/>
          </reference>
          <reference field="1" count="1" selected="0">
            <x v="1482"/>
          </reference>
          <reference field="2" count="1" selected="0">
            <x v="503"/>
          </reference>
          <reference field="3" count="1" selected="0">
            <x v="2"/>
          </reference>
          <reference field="4" count="1">
            <x v="212"/>
          </reference>
        </references>
      </pivotArea>
    </format>
    <format dxfId="147">
      <pivotArea dataOnly="0" labelOnly="1" outline="0" fieldPosition="0">
        <references count="5">
          <reference field="0" count="1" selected="0">
            <x v="0"/>
          </reference>
          <reference field="1" count="1" selected="0">
            <x v="1483"/>
          </reference>
          <reference field="2" count="1" selected="0">
            <x v="503"/>
          </reference>
          <reference field="3" count="1" selected="0">
            <x v="2"/>
          </reference>
          <reference field="4" count="1">
            <x v="265"/>
          </reference>
        </references>
      </pivotArea>
    </format>
    <format dxfId="146">
      <pivotArea dataOnly="0" labelOnly="1" outline="0" fieldPosition="0">
        <references count="5">
          <reference field="0" count="1" selected="0">
            <x v="0"/>
          </reference>
          <reference field="1" count="1" selected="0">
            <x v="1484"/>
          </reference>
          <reference field="2" count="1" selected="0">
            <x v="504"/>
          </reference>
          <reference field="3" count="1" selected="0">
            <x v="2"/>
          </reference>
          <reference field="4" count="1">
            <x v="7"/>
          </reference>
        </references>
      </pivotArea>
    </format>
    <format dxfId="145">
      <pivotArea dataOnly="0" labelOnly="1" outline="0" fieldPosition="0">
        <references count="5">
          <reference field="0" count="1" selected="0">
            <x v="0"/>
          </reference>
          <reference field="1" count="1" selected="0">
            <x v="1485"/>
          </reference>
          <reference field="2" count="1" selected="0">
            <x v="504"/>
          </reference>
          <reference field="3" count="1" selected="0">
            <x v="2"/>
          </reference>
          <reference field="4" count="1">
            <x v="64"/>
          </reference>
        </references>
      </pivotArea>
    </format>
    <format dxfId="144">
      <pivotArea dataOnly="0" labelOnly="1" outline="0" fieldPosition="0">
        <references count="5">
          <reference field="0" count="1" selected="0">
            <x v="0"/>
          </reference>
          <reference field="1" count="1" selected="0">
            <x v="1486"/>
          </reference>
          <reference field="2" count="1" selected="0">
            <x v="504"/>
          </reference>
          <reference field="3" count="1" selected="0">
            <x v="2"/>
          </reference>
          <reference field="4" count="1">
            <x v="79"/>
          </reference>
        </references>
      </pivotArea>
    </format>
    <format dxfId="143">
      <pivotArea dataOnly="0" labelOnly="1" outline="0" fieldPosition="0">
        <references count="5">
          <reference field="0" count="1" selected="0">
            <x v="0"/>
          </reference>
          <reference field="1" count="1" selected="0">
            <x v="1487"/>
          </reference>
          <reference field="2" count="1" selected="0">
            <x v="504"/>
          </reference>
          <reference field="3" count="1" selected="0">
            <x v="2"/>
          </reference>
          <reference field="4" count="1">
            <x v="140"/>
          </reference>
        </references>
      </pivotArea>
    </format>
    <format dxfId="142">
      <pivotArea dataOnly="0" labelOnly="1" outline="0" fieldPosition="0">
        <references count="5">
          <reference field="0" count="1" selected="0">
            <x v="0"/>
          </reference>
          <reference field="1" count="1" selected="0">
            <x v="1488"/>
          </reference>
          <reference field="2" count="1" selected="0">
            <x v="504"/>
          </reference>
          <reference field="3" count="1" selected="0">
            <x v="2"/>
          </reference>
          <reference field="4" count="1">
            <x v="181"/>
          </reference>
        </references>
      </pivotArea>
    </format>
    <format dxfId="141">
      <pivotArea dataOnly="0" labelOnly="1" outline="0" fieldPosition="0">
        <references count="5">
          <reference field="0" count="1" selected="0">
            <x v="0"/>
          </reference>
          <reference field="1" count="1" selected="0">
            <x v="1489"/>
          </reference>
          <reference field="2" count="1" selected="0">
            <x v="504"/>
          </reference>
          <reference field="3" count="1" selected="0">
            <x v="2"/>
          </reference>
          <reference field="4" count="1">
            <x v="209"/>
          </reference>
        </references>
      </pivotArea>
    </format>
    <format dxfId="140">
      <pivotArea dataOnly="0" labelOnly="1" outline="0" fieldPosition="0">
        <references count="5">
          <reference field="0" count="1" selected="0">
            <x v="0"/>
          </reference>
          <reference field="1" count="1" selected="0">
            <x v="1490"/>
          </reference>
          <reference field="2" count="1" selected="0">
            <x v="504"/>
          </reference>
          <reference field="3" count="1" selected="0">
            <x v="2"/>
          </reference>
          <reference field="4" count="1">
            <x v="231"/>
          </reference>
        </references>
      </pivotArea>
    </format>
    <format dxfId="139">
      <pivotArea dataOnly="0" labelOnly="1" outline="0" fieldPosition="0">
        <references count="5">
          <reference field="0" count="1" selected="0">
            <x v="0"/>
          </reference>
          <reference field="1" count="1" selected="0">
            <x v="1491"/>
          </reference>
          <reference field="2" count="1" selected="0">
            <x v="505"/>
          </reference>
          <reference field="3" count="1" selected="0">
            <x v="2"/>
          </reference>
          <reference field="4" count="1">
            <x v="146"/>
          </reference>
        </references>
      </pivotArea>
    </format>
    <format dxfId="138">
      <pivotArea dataOnly="0" labelOnly="1" outline="0" fieldPosition="0">
        <references count="5">
          <reference field="0" count="1" selected="0">
            <x v="0"/>
          </reference>
          <reference field="1" count="1" selected="0">
            <x v="1492"/>
          </reference>
          <reference field="2" count="1" selected="0">
            <x v="505"/>
          </reference>
          <reference field="3" count="1" selected="0">
            <x v="2"/>
          </reference>
          <reference field="4" count="1">
            <x v="188"/>
          </reference>
        </references>
      </pivotArea>
    </format>
    <format dxfId="137">
      <pivotArea dataOnly="0" labelOnly="1" outline="0" fieldPosition="0">
        <references count="5">
          <reference field="0" count="1" selected="0">
            <x v="0"/>
          </reference>
          <reference field="1" count="1" selected="0">
            <x v="1493"/>
          </reference>
          <reference field="2" count="1" selected="0">
            <x v="505"/>
          </reference>
          <reference field="3" count="1" selected="0">
            <x v="2"/>
          </reference>
          <reference field="4" count="1">
            <x v="229"/>
          </reference>
        </references>
      </pivotArea>
    </format>
    <format dxfId="136">
      <pivotArea dataOnly="0" labelOnly="1" outline="0" fieldPosition="0">
        <references count="5">
          <reference field="0" count="1" selected="0">
            <x v="0"/>
          </reference>
          <reference field="1" count="1" selected="0">
            <x v="1494"/>
          </reference>
          <reference field="2" count="1" selected="0">
            <x v="505"/>
          </reference>
          <reference field="3" count="1" selected="0">
            <x v="2"/>
          </reference>
          <reference field="4" count="1">
            <x v="243"/>
          </reference>
        </references>
      </pivotArea>
    </format>
    <format dxfId="135">
      <pivotArea dataOnly="0" labelOnly="1" outline="0" fieldPosition="0">
        <references count="5">
          <reference field="0" count="1" selected="0">
            <x v="0"/>
          </reference>
          <reference field="1" count="1" selected="0">
            <x v="1495"/>
          </reference>
          <reference field="2" count="1" selected="0">
            <x v="506"/>
          </reference>
          <reference field="3" count="1" selected="0">
            <x v="2"/>
          </reference>
          <reference field="4" count="1">
            <x v="5"/>
          </reference>
        </references>
      </pivotArea>
    </format>
    <format dxfId="134">
      <pivotArea dataOnly="0" labelOnly="1" outline="0" fieldPosition="0">
        <references count="5">
          <reference field="0" count="1" selected="0">
            <x v="0"/>
          </reference>
          <reference field="1" count="1" selected="0">
            <x v="1496"/>
          </reference>
          <reference field="2" count="1" selected="0">
            <x v="506"/>
          </reference>
          <reference field="3" count="1" selected="0">
            <x v="2"/>
          </reference>
          <reference field="4" count="1">
            <x v="6"/>
          </reference>
        </references>
      </pivotArea>
    </format>
    <format dxfId="133">
      <pivotArea dataOnly="0" labelOnly="1" outline="0" fieldPosition="0">
        <references count="5">
          <reference field="0" count="1" selected="0">
            <x v="0"/>
          </reference>
          <reference field="1" count="1" selected="0">
            <x v="1497"/>
          </reference>
          <reference field="2" count="1" selected="0">
            <x v="506"/>
          </reference>
          <reference field="3" count="1" selected="0">
            <x v="2"/>
          </reference>
          <reference field="4" count="1">
            <x v="56"/>
          </reference>
        </references>
      </pivotArea>
    </format>
    <format dxfId="132">
      <pivotArea dataOnly="0" labelOnly="1" outline="0" fieldPosition="0">
        <references count="5">
          <reference field="0" count="1" selected="0">
            <x v="0"/>
          </reference>
          <reference field="1" count="1" selected="0">
            <x v="1498"/>
          </reference>
          <reference field="2" count="1" selected="0">
            <x v="506"/>
          </reference>
          <reference field="3" count="1" selected="0">
            <x v="2"/>
          </reference>
          <reference field="4" count="1">
            <x v="120"/>
          </reference>
        </references>
      </pivotArea>
    </format>
    <format dxfId="131">
      <pivotArea dataOnly="0" labelOnly="1" outline="0" fieldPosition="0">
        <references count="5">
          <reference field="0" count="1" selected="0">
            <x v="0"/>
          </reference>
          <reference field="1" count="1" selected="0">
            <x v="1499"/>
          </reference>
          <reference field="2" count="1" selected="0">
            <x v="507"/>
          </reference>
          <reference field="3" count="1" selected="0">
            <x v="2"/>
          </reference>
          <reference field="4" count="1">
            <x v="4"/>
          </reference>
        </references>
      </pivotArea>
    </format>
    <format dxfId="130">
      <pivotArea dataOnly="0" labelOnly="1" outline="0" fieldPosition="0">
        <references count="5">
          <reference field="0" count="1" selected="0">
            <x v="0"/>
          </reference>
          <reference field="1" count="1" selected="0">
            <x v="1500"/>
          </reference>
          <reference field="2" count="1" selected="0">
            <x v="507"/>
          </reference>
          <reference field="3" count="1" selected="0">
            <x v="2"/>
          </reference>
          <reference field="4" count="1">
            <x v="44"/>
          </reference>
        </references>
      </pivotArea>
    </format>
    <format dxfId="129">
      <pivotArea dataOnly="0" labelOnly="1" outline="0" fieldPosition="0">
        <references count="5">
          <reference field="0" count="1" selected="0">
            <x v="0"/>
          </reference>
          <reference field="1" count="1" selected="0">
            <x v="1501"/>
          </reference>
          <reference field="2" count="1" selected="0">
            <x v="507"/>
          </reference>
          <reference field="3" count="1" selected="0">
            <x v="2"/>
          </reference>
          <reference field="4" count="1">
            <x v="72"/>
          </reference>
        </references>
      </pivotArea>
    </format>
    <format dxfId="128">
      <pivotArea dataOnly="0" labelOnly="1" outline="0" fieldPosition="0">
        <references count="5">
          <reference field="0" count="1" selected="0">
            <x v="0"/>
          </reference>
          <reference field="1" count="1" selected="0">
            <x v="1502"/>
          </reference>
          <reference field="2" count="1" selected="0">
            <x v="507"/>
          </reference>
          <reference field="3" count="1" selected="0">
            <x v="2"/>
          </reference>
          <reference field="4" count="1">
            <x v="110"/>
          </reference>
        </references>
      </pivotArea>
    </format>
    <format dxfId="127">
      <pivotArea dataOnly="0" labelOnly="1" outline="0" fieldPosition="0">
        <references count="5">
          <reference field="0" count="1" selected="0">
            <x v="0"/>
          </reference>
          <reference field="1" count="1" selected="0">
            <x v="1503"/>
          </reference>
          <reference field="2" count="1" selected="0">
            <x v="507"/>
          </reference>
          <reference field="3" count="1" selected="0">
            <x v="2"/>
          </reference>
          <reference field="4" count="1">
            <x v="168"/>
          </reference>
        </references>
      </pivotArea>
    </format>
    <format dxfId="126">
      <pivotArea dataOnly="0" labelOnly="1" outline="0" fieldPosition="0">
        <references count="5">
          <reference field="0" count="1" selected="0">
            <x v="0"/>
          </reference>
          <reference field="1" count="1" selected="0">
            <x v="1504"/>
          </reference>
          <reference field="2" count="1" selected="0">
            <x v="507"/>
          </reference>
          <reference field="3" count="1" selected="0">
            <x v="2"/>
          </reference>
          <reference field="4" count="1">
            <x v="172"/>
          </reference>
        </references>
      </pivotArea>
    </format>
    <format dxfId="125">
      <pivotArea dataOnly="0" labelOnly="1" outline="0" fieldPosition="0">
        <references count="5">
          <reference field="0" count="1" selected="0">
            <x v="0"/>
          </reference>
          <reference field="1" count="1" selected="0">
            <x v="1505"/>
          </reference>
          <reference field="2" count="1" selected="0">
            <x v="507"/>
          </reference>
          <reference field="3" count="1" selected="0">
            <x v="2"/>
          </reference>
          <reference field="4" count="1">
            <x v="288"/>
          </reference>
        </references>
      </pivotArea>
    </format>
    <format dxfId="124">
      <pivotArea dataOnly="0" labelOnly="1" outline="0" fieldPosition="0">
        <references count="5">
          <reference field="0" count="1" selected="0">
            <x v="0"/>
          </reference>
          <reference field="1" count="1" selected="0">
            <x v="1506"/>
          </reference>
          <reference field="2" count="1" selected="0">
            <x v="508"/>
          </reference>
          <reference field="3" count="1" selected="0">
            <x v="2"/>
          </reference>
          <reference field="4" count="1">
            <x v="1"/>
          </reference>
        </references>
      </pivotArea>
    </format>
    <format dxfId="123">
      <pivotArea dataOnly="0" labelOnly="1" outline="0" fieldPosition="0">
        <references count="5">
          <reference field="0" count="1" selected="0">
            <x v="0"/>
          </reference>
          <reference field="1" count="1" selected="0">
            <x v="1507"/>
          </reference>
          <reference field="2" count="1" selected="0">
            <x v="508"/>
          </reference>
          <reference field="3" count="1" selected="0">
            <x v="2"/>
          </reference>
          <reference field="4" count="1">
            <x v="123"/>
          </reference>
        </references>
      </pivotArea>
    </format>
    <format dxfId="122">
      <pivotArea dataOnly="0" labelOnly="1" outline="0" fieldPosition="0">
        <references count="5">
          <reference field="0" count="1" selected="0">
            <x v="0"/>
          </reference>
          <reference field="1" count="1" selected="0">
            <x v="1508"/>
          </reference>
          <reference field="2" count="1" selected="0">
            <x v="508"/>
          </reference>
          <reference field="3" count="1" selected="0">
            <x v="2"/>
          </reference>
          <reference field="4" count="1">
            <x v="172"/>
          </reference>
        </references>
      </pivotArea>
    </format>
    <format dxfId="121">
      <pivotArea dataOnly="0" labelOnly="1" outline="0" fieldPosition="0">
        <references count="5">
          <reference field="0" count="1" selected="0">
            <x v="0"/>
          </reference>
          <reference field="1" count="1" selected="0">
            <x v="1509"/>
          </reference>
          <reference field="2" count="1" selected="0">
            <x v="508"/>
          </reference>
          <reference field="3" count="1" selected="0">
            <x v="2"/>
          </reference>
          <reference field="4" count="1">
            <x v="203"/>
          </reference>
        </references>
      </pivotArea>
    </format>
    <format dxfId="120">
      <pivotArea dataOnly="0" labelOnly="1" outline="0" fieldPosition="0">
        <references count="5">
          <reference field="0" count="1" selected="0">
            <x v="0"/>
          </reference>
          <reference field="1" count="1" selected="0">
            <x v="1510"/>
          </reference>
          <reference field="2" count="1" selected="0">
            <x v="508"/>
          </reference>
          <reference field="3" count="1" selected="0">
            <x v="2"/>
          </reference>
          <reference field="4" count="1">
            <x v="215"/>
          </reference>
        </references>
      </pivotArea>
    </format>
    <format dxfId="119">
      <pivotArea dataOnly="0" labelOnly="1" outline="0" fieldPosition="0">
        <references count="5">
          <reference field="0" count="1" selected="0">
            <x v="0"/>
          </reference>
          <reference field="1" count="1" selected="0">
            <x v="1511"/>
          </reference>
          <reference field="2" count="1" selected="0">
            <x v="508"/>
          </reference>
          <reference field="3" count="1" selected="0">
            <x v="2"/>
          </reference>
          <reference field="4" count="1">
            <x v="229"/>
          </reference>
        </references>
      </pivotArea>
    </format>
    <format dxfId="118">
      <pivotArea dataOnly="0" labelOnly="1" outline="0" fieldPosition="0">
        <references count="5">
          <reference field="0" count="1" selected="0">
            <x v="0"/>
          </reference>
          <reference field="1" count="1" selected="0">
            <x v="1512"/>
          </reference>
          <reference field="2" count="1" selected="0">
            <x v="509"/>
          </reference>
          <reference field="3" count="1" selected="0">
            <x v="2"/>
          </reference>
          <reference field="4" count="1">
            <x v="148"/>
          </reference>
        </references>
      </pivotArea>
    </format>
    <format dxfId="117">
      <pivotArea dataOnly="0" labelOnly="1" outline="0" fieldPosition="0">
        <references count="5">
          <reference field="0" count="1" selected="0">
            <x v="0"/>
          </reference>
          <reference field="1" count="1" selected="0">
            <x v="1513"/>
          </reference>
          <reference field="2" count="1" selected="0">
            <x v="509"/>
          </reference>
          <reference field="3" count="1" selected="0">
            <x v="2"/>
          </reference>
          <reference field="4" count="1">
            <x v="200"/>
          </reference>
        </references>
      </pivotArea>
    </format>
    <format dxfId="116">
      <pivotArea dataOnly="0" labelOnly="1" outline="0" fieldPosition="0">
        <references count="5">
          <reference field="0" count="1" selected="0">
            <x v="0"/>
          </reference>
          <reference field="1" count="1" selected="0">
            <x v="1514"/>
          </reference>
          <reference field="2" count="1" selected="0">
            <x v="510"/>
          </reference>
          <reference field="3" count="1" selected="0">
            <x v="2"/>
          </reference>
          <reference field="4" count="1">
            <x v="1"/>
          </reference>
        </references>
      </pivotArea>
    </format>
    <format dxfId="115">
      <pivotArea dataOnly="0" labelOnly="1" outline="0" fieldPosition="0">
        <references count="5">
          <reference field="0" count="1" selected="0">
            <x v="0"/>
          </reference>
          <reference field="1" count="1" selected="0">
            <x v="1515"/>
          </reference>
          <reference field="2" count="1" selected="0">
            <x v="510"/>
          </reference>
          <reference field="3" count="1" selected="0">
            <x v="2"/>
          </reference>
          <reference field="4" count="1">
            <x v="3"/>
          </reference>
        </references>
      </pivotArea>
    </format>
    <format dxfId="114">
      <pivotArea dataOnly="0" labelOnly="1" outline="0" fieldPosition="0">
        <references count="5">
          <reference field="0" count="1" selected="0">
            <x v="0"/>
          </reference>
          <reference field="1" count="1" selected="0">
            <x v="1516"/>
          </reference>
          <reference field="2" count="1" selected="0">
            <x v="510"/>
          </reference>
          <reference field="3" count="1" selected="0">
            <x v="2"/>
          </reference>
          <reference field="4" count="1">
            <x v="50"/>
          </reference>
        </references>
      </pivotArea>
    </format>
    <format dxfId="113">
      <pivotArea dataOnly="0" labelOnly="1" outline="0" fieldPosition="0">
        <references count="5">
          <reference field="0" count="1" selected="0">
            <x v="0"/>
          </reference>
          <reference field="1" count="1" selected="0">
            <x v="1517"/>
          </reference>
          <reference field="2" count="1" selected="0">
            <x v="510"/>
          </reference>
          <reference field="3" count="1" selected="0">
            <x v="2"/>
          </reference>
          <reference field="4" count="1">
            <x v="55"/>
          </reference>
        </references>
      </pivotArea>
    </format>
    <format dxfId="112">
      <pivotArea dataOnly="0" labelOnly="1" outline="0" fieldPosition="0">
        <references count="5">
          <reference field="0" count="1" selected="0">
            <x v="0"/>
          </reference>
          <reference field="1" count="1" selected="0">
            <x v="1518"/>
          </reference>
          <reference field="2" count="1" selected="0">
            <x v="510"/>
          </reference>
          <reference field="3" count="1" selected="0">
            <x v="2"/>
          </reference>
          <reference field="4" count="1">
            <x v="64"/>
          </reference>
        </references>
      </pivotArea>
    </format>
    <format dxfId="111">
      <pivotArea dataOnly="0" labelOnly="1" outline="0" fieldPosition="0">
        <references count="5">
          <reference field="0" count="1" selected="0">
            <x v="0"/>
          </reference>
          <reference field="1" count="1" selected="0">
            <x v="1519"/>
          </reference>
          <reference field="2" count="1" selected="0">
            <x v="510"/>
          </reference>
          <reference field="3" count="1" selected="0">
            <x v="2"/>
          </reference>
          <reference field="4" count="1">
            <x v="73"/>
          </reference>
        </references>
      </pivotArea>
    </format>
    <format dxfId="110">
      <pivotArea dataOnly="0" labelOnly="1" outline="0" fieldPosition="0">
        <references count="5">
          <reference field="0" count="1" selected="0">
            <x v="0"/>
          </reference>
          <reference field="1" count="1" selected="0">
            <x v="1520"/>
          </reference>
          <reference field="2" count="1" selected="0">
            <x v="510"/>
          </reference>
          <reference field="3" count="1" selected="0">
            <x v="2"/>
          </reference>
          <reference field="4" count="1">
            <x v="128"/>
          </reference>
        </references>
      </pivotArea>
    </format>
    <format dxfId="109">
      <pivotArea dataOnly="0" labelOnly="1" outline="0" fieldPosition="0">
        <references count="5">
          <reference field="0" count="1" selected="0">
            <x v="0"/>
          </reference>
          <reference field="1" count="1" selected="0">
            <x v="1521"/>
          </reference>
          <reference field="2" count="1" selected="0">
            <x v="510"/>
          </reference>
          <reference field="3" count="1" selected="0">
            <x v="2"/>
          </reference>
          <reference field="4" count="1">
            <x v="130"/>
          </reference>
        </references>
      </pivotArea>
    </format>
    <format dxfId="108">
      <pivotArea dataOnly="0" labelOnly="1" outline="0" fieldPosition="0">
        <references count="5">
          <reference field="0" count="1" selected="0">
            <x v="0"/>
          </reference>
          <reference field="1" count="1" selected="0">
            <x v="1522"/>
          </reference>
          <reference field="2" count="1" selected="0">
            <x v="510"/>
          </reference>
          <reference field="3" count="1" selected="0">
            <x v="2"/>
          </reference>
          <reference field="4" count="1">
            <x v="131"/>
          </reference>
        </references>
      </pivotArea>
    </format>
    <format dxfId="107">
      <pivotArea dataOnly="0" labelOnly="1" outline="0" fieldPosition="0">
        <references count="5">
          <reference field="0" count="1" selected="0">
            <x v="0"/>
          </reference>
          <reference field="1" count="1" selected="0">
            <x v="1523"/>
          </reference>
          <reference field="2" count="1" selected="0">
            <x v="510"/>
          </reference>
          <reference field="3" count="1" selected="0">
            <x v="2"/>
          </reference>
          <reference field="4" count="1">
            <x v="162"/>
          </reference>
        </references>
      </pivotArea>
    </format>
    <format dxfId="106">
      <pivotArea dataOnly="0" labelOnly="1" outline="0" fieldPosition="0">
        <references count="5">
          <reference field="0" count="1" selected="0">
            <x v="0"/>
          </reference>
          <reference field="1" count="1" selected="0">
            <x v="1524"/>
          </reference>
          <reference field="2" count="1" selected="0">
            <x v="510"/>
          </reference>
          <reference field="3" count="1" selected="0">
            <x v="2"/>
          </reference>
          <reference field="4" count="1">
            <x v="170"/>
          </reference>
        </references>
      </pivotArea>
    </format>
    <format dxfId="105">
      <pivotArea dataOnly="0" labelOnly="1" outline="0" fieldPosition="0">
        <references count="5">
          <reference field="0" count="1" selected="0">
            <x v="0"/>
          </reference>
          <reference field="1" count="1" selected="0">
            <x v="1525"/>
          </reference>
          <reference field="2" count="1" selected="0">
            <x v="510"/>
          </reference>
          <reference field="3" count="1" selected="0">
            <x v="2"/>
          </reference>
          <reference field="4" count="1">
            <x v="188"/>
          </reference>
        </references>
      </pivotArea>
    </format>
    <format dxfId="104">
      <pivotArea dataOnly="0" labelOnly="1" outline="0" fieldPosition="0">
        <references count="5">
          <reference field="0" count="1" selected="0">
            <x v="0"/>
          </reference>
          <reference field="1" count="1" selected="0">
            <x v="1526"/>
          </reference>
          <reference field="2" count="1" selected="0">
            <x v="510"/>
          </reference>
          <reference field="3" count="1" selected="0">
            <x v="2"/>
          </reference>
          <reference field="4" count="1">
            <x v="223"/>
          </reference>
        </references>
      </pivotArea>
    </format>
    <format dxfId="103">
      <pivotArea dataOnly="0" labelOnly="1" outline="0" fieldPosition="0">
        <references count="5">
          <reference field="0" count="1" selected="0">
            <x v="0"/>
          </reference>
          <reference field="1" count="1" selected="0">
            <x v="1527"/>
          </reference>
          <reference field="2" count="1" selected="0">
            <x v="510"/>
          </reference>
          <reference field="3" count="1" selected="0">
            <x v="2"/>
          </reference>
          <reference field="4" count="1">
            <x v="227"/>
          </reference>
        </references>
      </pivotArea>
    </format>
    <format dxfId="102">
      <pivotArea dataOnly="0" labelOnly="1" outline="0" fieldPosition="0">
        <references count="5">
          <reference field="0" count="1" selected="0">
            <x v="0"/>
          </reference>
          <reference field="1" count="1" selected="0">
            <x v="1528"/>
          </reference>
          <reference field="2" count="1" selected="0">
            <x v="510"/>
          </reference>
          <reference field="3" count="1" selected="0">
            <x v="2"/>
          </reference>
          <reference field="4" count="1">
            <x v="238"/>
          </reference>
        </references>
      </pivotArea>
    </format>
    <format dxfId="101">
      <pivotArea dataOnly="0" labelOnly="1" outline="0" fieldPosition="0">
        <references count="5">
          <reference field="0" count="1" selected="0">
            <x v="0"/>
          </reference>
          <reference field="1" count="1" selected="0">
            <x v="1529"/>
          </reference>
          <reference field="2" count="1" selected="0">
            <x v="510"/>
          </reference>
          <reference field="3" count="1" selected="0">
            <x v="2"/>
          </reference>
          <reference field="4" count="1">
            <x v="242"/>
          </reference>
        </references>
      </pivotArea>
    </format>
    <format dxfId="100">
      <pivotArea dataOnly="0" labelOnly="1" outline="0" fieldPosition="0">
        <references count="5">
          <reference field="0" count="1" selected="0">
            <x v="0"/>
          </reference>
          <reference field="1" count="1" selected="0">
            <x v="1530"/>
          </reference>
          <reference field="2" count="1" selected="0">
            <x v="510"/>
          </reference>
          <reference field="3" count="1" selected="0">
            <x v="2"/>
          </reference>
          <reference field="4" count="1">
            <x v="265"/>
          </reference>
        </references>
      </pivotArea>
    </format>
    <format dxfId="99">
      <pivotArea dataOnly="0" labelOnly="1" outline="0" fieldPosition="0">
        <references count="5">
          <reference field="0" count="1" selected="0">
            <x v="0"/>
          </reference>
          <reference field="1" count="1" selected="0">
            <x v="1531"/>
          </reference>
          <reference field="2" count="1" selected="0">
            <x v="510"/>
          </reference>
          <reference field="3" count="1" selected="0">
            <x v="2"/>
          </reference>
          <reference field="4" count="1">
            <x v="287"/>
          </reference>
        </references>
      </pivotArea>
    </format>
    <format dxfId="98">
      <pivotArea dataOnly="0" labelOnly="1" outline="0" fieldPosition="0">
        <references count="5">
          <reference field="0" count="1" selected="0">
            <x v="0"/>
          </reference>
          <reference field="1" count="1" selected="0">
            <x v="1532"/>
          </reference>
          <reference field="2" count="1" selected="0">
            <x v="511"/>
          </reference>
          <reference field="3" count="1" selected="0">
            <x v="2"/>
          </reference>
          <reference field="4" count="1">
            <x v="2"/>
          </reference>
        </references>
      </pivotArea>
    </format>
    <format dxfId="97">
      <pivotArea dataOnly="0" labelOnly="1" outline="0" fieldPosition="0">
        <references count="5">
          <reference field="0" count="1" selected="0">
            <x v="0"/>
          </reference>
          <reference field="1" count="1" selected="0">
            <x v="1533"/>
          </reference>
          <reference field="2" count="1" selected="0">
            <x v="511"/>
          </reference>
          <reference field="3" count="1" selected="0">
            <x v="2"/>
          </reference>
          <reference field="4" count="1">
            <x v="110"/>
          </reference>
        </references>
      </pivotArea>
    </format>
    <format dxfId="96">
      <pivotArea dataOnly="0" labelOnly="1" outline="0" fieldPosition="0">
        <references count="5">
          <reference field="0" count="1" selected="0">
            <x v="0"/>
          </reference>
          <reference field="1" count="1" selected="0">
            <x v="1534"/>
          </reference>
          <reference field="2" count="1" selected="0">
            <x v="511"/>
          </reference>
          <reference field="3" count="1" selected="0">
            <x v="2"/>
          </reference>
          <reference field="4" count="1">
            <x v="190"/>
          </reference>
        </references>
      </pivotArea>
    </format>
    <format dxfId="95">
      <pivotArea dataOnly="0" labelOnly="1" outline="0" fieldPosition="0">
        <references count="5">
          <reference field="0" count="1" selected="0">
            <x v="0"/>
          </reference>
          <reference field="1" count="1" selected="0">
            <x v="1535"/>
          </reference>
          <reference field="2" count="1" selected="0">
            <x v="511"/>
          </reference>
          <reference field="3" count="1" selected="0">
            <x v="2"/>
          </reference>
          <reference field="4" count="1">
            <x v="228"/>
          </reference>
        </references>
      </pivotArea>
    </format>
    <format dxfId="94">
      <pivotArea dataOnly="0" labelOnly="1" outline="0" fieldPosition="0">
        <references count="5">
          <reference field="0" count="1" selected="0">
            <x v="0"/>
          </reference>
          <reference field="1" count="1" selected="0">
            <x v="1536"/>
          </reference>
          <reference field="2" count="1" selected="0">
            <x v="511"/>
          </reference>
          <reference field="3" count="1" selected="0">
            <x v="2"/>
          </reference>
          <reference field="4" count="1">
            <x v="240"/>
          </reference>
        </references>
      </pivotArea>
    </format>
    <format dxfId="93">
      <pivotArea dataOnly="0" labelOnly="1" outline="0" fieldPosition="0">
        <references count="5">
          <reference field="0" count="1" selected="0">
            <x v="0"/>
          </reference>
          <reference field="1" count="1" selected="0">
            <x v="1537"/>
          </reference>
          <reference field="2" count="1" selected="0">
            <x v="511"/>
          </reference>
          <reference field="3" count="1" selected="0">
            <x v="2"/>
          </reference>
          <reference field="4" count="1">
            <x v="246"/>
          </reference>
        </references>
      </pivotArea>
    </format>
    <format dxfId="92">
      <pivotArea dataOnly="0" labelOnly="1" outline="0" fieldPosition="0">
        <references count="5">
          <reference field="0" count="1" selected="0">
            <x v="0"/>
          </reference>
          <reference field="1" count="1" selected="0">
            <x v="1538"/>
          </reference>
          <reference field="2" count="1" selected="0">
            <x v="511"/>
          </reference>
          <reference field="3" count="1" selected="0">
            <x v="2"/>
          </reference>
          <reference field="4" count="1">
            <x v="288"/>
          </reference>
        </references>
      </pivotArea>
    </format>
    <format dxfId="91">
      <pivotArea dataOnly="0" labelOnly="1" outline="0" fieldPosition="0">
        <references count="5">
          <reference field="0" count="1" selected="0">
            <x v="0"/>
          </reference>
          <reference field="1" count="1" selected="0">
            <x v="1539"/>
          </reference>
          <reference field="2" count="1" selected="0">
            <x v="512"/>
          </reference>
          <reference field="3" count="1" selected="0">
            <x v="2"/>
          </reference>
          <reference field="4" count="1">
            <x v="7"/>
          </reference>
        </references>
      </pivotArea>
    </format>
    <format dxfId="90">
      <pivotArea dataOnly="0" labelOnly="1" outline="0" fieldPosition="0">
        <references count="5">
          <reference field="0" count="1" selected="0">
            <x v="0"/>
          </reference>
          <reference field="1" count="1" selected="0">
            <x v="1540"/>
          </reference>
          <reference field="2" count="1" selected="0">
            <x v="512"/>
          </reference>
          <reference field="3" count="1" selected="0">
            <x v="2"/>
          </reference>
          <reference field="4" count="1">
            <x v="20"/>
          </reference>
        </references>
      </pivotArea>
    </format>
    <format dxfId="89">
      <pivotArea dataOnly="0" labelOnly="1" outline="0" fieldPosition="0">
        <references count="5">
          <reference field="0" count="1" selected="0">
            <x v="0"/>
          </reference>
          <reference field="1" count="1" selected="0">
            <x v="1541"/>
          </reference>
          <reference field="2" count="1" selected="0">
            <x v="512"/>
          </reference>
          <reference field="3" count="1" selected="0">
            <x v="2"/>
          </reference>
          <reference field="4" count="1">
            <x v="35"/>
          </reference>
        </references>
      </pivotArea>
    </format>
    <format dxfId="88">
      <pivotArea dataOnly="0" labelOnly="1" outline="0" fieldPosition="0">
        <references count="5">
          <reference field="0" count="1" selected="0">
            <x v="0"/>
          </reference>
          <reference field="1" count="1" selected="0">
            <x v="1542"/>
          </reference>
          <reference field="2" count="1" selected="0">
            <x v="512"/>
          </reference>
          <reference field="3" count="1" selected="0">
            <x v="2"/>
          </reference>
          <reference field="4" count="1">
            <x v="194"/>
          </reference>
        </references>
      </pivotArea>
    </format>
    <format dxfId="87">
      <pivotArea dataOnly="0" labelOnly="1" outline="0" fieldPosition="0">
        <references count="5">
          <reference field="0" count="1" selected="0">
            <x v="0"/>
          </reference>
          <reference field="1" count="1" selected="0">
            <x v="1543"/>
          </reference>
          <reference field="2" count="1" selected="0">
            <x v="512"/>
          </reference>
          <reference field="3" count="1" selected="0">
            <x v="2"/>
          </reference>
          <reference field="4" count="1">
            <x v="250"/>
          </reference>
        </references>
      </pivotArea>
    </format>
    <format dxfId="86">
      <pivotArea dataOnly="0" labelOnly="1" outline="0" fieldPosition="0">
        <references count="5">
          <reference field="0" count="1" selected="0">
            <x v="0"/>
          </reference>
          <reference field="1" count="1" selected="0">
            <x v="1544"/>
          </reference>
          <reference field="2" count="1" selected="0">
            <x v="512"/>
          </reference>
          <reference field="3" count="1" selected="0">
            <x v="2"/>
          </reference>
          <reference field="4" count="1">
            <x v="269"/>
          </reference>
        </references>
      </pivotArea>
    </format>
    <format dxfId="85">
      <pivotArea dataOnly="0" labelOnly="1" outline="0" fieldPosition="0">
        <references count="5">
          <reference field="0" count="1" selected="0">
            <x v="0"/>
          </reference>
          <reference field="1" count="1" selected="0">
            <x v="1545"/>
          </reference>
          <reference field="2" count="1" selected="0">
            <x v="513"/>
          </reference>
          <reference field="3" count="1" selected="0">
            <x v="2"/>
          </reference>
          <reference field="4" count="1">
            <x v="65"/>
          </reference>
        </references>
      </pivotArea>
    </format>
    <format dxfId="84">
      <pivotArea dataOnly="0" labelOnly="1" outline="0" fieldPosition="0">
        <references count="5">
          <reference field="0" count="1" selected="0">
            <x v="0"/>
          </reference>
          <reference field="1" count="1" selected="0">
            <x v="1546"/>
          </reference>
          <reference field="2" count="1" selected="0">
            <x v="513"/>
          </reference>
          <reference field="3" count="1" selected="0">
            <x v="2"/>
          </reference>
          <reference field="4" count="1">
            <x v="110"/>
          </reference>
        </references>
      </pivotArea>
    </format>
    <format dxfId="83">
      <pivotArea dataOnly="0" labelOnly="1" outline="0" fieldPosition="0">
        <references count="5">
          <reference field="0" count="1" selected="0">
            <x v="0"/>
          </reference>
          <reference field="1" count="1" selected="0">
            <x v="1547"/>
          </reference>
          <reference field="2" count="1" selected="0">
            <x v="513"/>
          </reference>
          <reference field="3" count="1" selected="0">
            <x v="2"/>
          </reference>
          <reference field="4" count="1">
            <x v="128"/>
          </reference>
        </references>
      </pivotArea>
    </format>
    <format dxfId="82">
      <pivotArea dataOnly="0" labelOnly="1" outline="0" fieldPosition="0">
        <references count="5">
          <reference field="0" count="1" selected="0">
            <x v="0"/>
          </reference>
          <reference field="1" count="1" selected="0">
            <x v="1548"/>
          </reference>
          <reference field="2" count="1" selected="0">
            <x v="513"/>
          </reference>
          <reference field="3" count="1" selected="0">
            <x v="2"/>
          </reference>
          <reference field="4" count="1">
            <x v="149"/>
          </reference>
        </references>
      </pivotArea>
    </format>
    <format dxfId="81">
      <pivotArea dataOnly="0" labelOnly="1" outline="0" fieldPosition="0">
        <references count="5">
          <reference field="0" count="1" selected="0">
            <x v="0"/>
          </reference>
          <reference field="1" count="1" selected="0">
            <x v="1549"/>
          </reference>
          <reference field="2" count="1" selected="0">
            <x v="513"/>
          </reference>
          <reference field="3" count="1" selected="0">
            <x v="2"/>
          </reference>
          <reference field="4" count="1">
            <x v="151"/>
          </reference>
        </references>
      </pivotArea>
    </format>
    <format dxfId="80">
      <pivotArea dataOnly="0" labelOnly="1" outline="0" fieldPosition="0">
        <references count="5">
          <reference field="0" count="1" selected="0">
            <x v="0"/>
          </reference>
          <reference field="1" count="1" selected="0">
            <x v="1550"/>
          </reference>
          <reference field="2" count="1" selected="0">
            <x v="513"/>
          </reference>
          <reference field="3" count="1" selected="0">
            <x v="2"/>
          </reference>
          <reference field="4" count="1">
            <x v="165"/>
          </reference>
        </references>
      </pivotArea>
    </format>
    <format dxfId="79">
      <pivotArea dataOnly="0" labelOnly="1" outline="0" fieldPosition="0">
        <references count="5">
          <reference field="0" count="1" selected="0">
            <x v="0"/>
          </reference>
          <reference field="1" count="1" selected="0">
            <x v="1551"/>
          </reference>
          <reference field="2" count="1" selected="0">
            <x v="513"/>
          </reference>
          <reference field="3" count="1" selected="0">
            <x v="2"/>
          </reference>
          <reference field="4" count="1">
            <x v="258"/>
          </reference>
        </references>
      </pivotArea>
    </format>
    <format dxfId="78">
      <pivotArea dataOnly="0" labelOnly="1" outline="0" fieldPosition="0">
        <references count="5">
          <reference field="0" count="1" selected="0">
            <x v="0"/>
          </reference>
          <reference field="1" count="1" selected="0">
            <x v="1552"/>
          </reference>
          <reference field="2" count="1" selected="0">
            <x v="514"/>
          </reference>
          <reference field="3" count="1" selected="0">
            <x v="2"/>
          </reference>
          <reference field="4" count="1">
            <x v="56"/>
          </reference>
        </references>
      </pivotArea>
    </format>
    <format dxfId="77">
      <pivotArea dataOnly="0" labelOnly="1" outline="0" fieldPosition="0">
        <references count="5">
          <reference field="0" count="1" selected="0">
            <x v="0"/>
          </reference>
          <reference field="1" count="1" selected="0">
            <x v="1553"/>
          </reference>
          <reference field="2" count="1" selected="0">
            <x v="514"/>
          </reference>
          <reference field="3" count="1" selected="0">
            <x v="2"/>
          </reference>
          <reference field="4" count="1">
            <x v="115"/>
          </reference>
        </references>
      </pivotArea>
    </format>
    <format dxfId="76">
      <pivotArea dataOnly="0" labelOnly="1" outline="0" fieldPosition="0">
        <references count="5">
          <reference field="0" count="1" selected="0">
            <x v="0"/>
          </reference>
          <reference field="1" count="1" selected="0">
            <x v="1554"/>
          </reference>
          <reference field="2" count="1" selected="0">
            <x v="515"/>
          </reference>
          <reference field="3" count="1" selected="0">
            <x v="2"/>
          </reference>
          <reference field="4" count="1">
            <x v="110"/>
          </reference>
        </references>
      </pivotArea>
    </format>
    <format dxfId="75">
      <pivotArea dataOnly="0" labelOnly="1" outline="0" fieldPosition="0">
        <references count="5">
          <reference field="0" count="1" selected="0">
            <x v="1"/>
          </reference>
          <reference field="1" count="1" selected="0">
            <x v="1555"/>
          </reference>
          <reference field="2" count="1" selected="0">
            <x v="260"/>
          </reference>
          <reference field="3" count="1" selected="0">
            <x v="2"/>
          </reference>
          <reference field="4" count="1">
            <x v="244"/>
          </reference>
        </references>
      </pivotArea>
    </format>
    <format dxfId="74">
      <pivotArea dataOnly="0" labelOnly="1" outline="0" fieldPosition="0">
        <references count="5">
          <reference field="0" count="1" selected="0">
            <x v="1"/>
          </reference>
          <reference field="1" count="1" selected="0">
            <x v="1556"/>
          </reference>
          <reference field="2" count="1" selected="0">
            <x v="262"/>
          </reference>
          <reference field="3" count="1" selected="0">
            <x v="2"/>
          </reference>
          <reference field="4" count="1">
            <x v="121"/>
          </reference>
        </references>
      </pivotArea>
    </format>
    <format dxfId="73">
      <pivotArea dataOnly="0" labelOnly="1" outline="0" fieldPosition="0">
        <references count="5">
          <reference field="0" count="1" selected="0">
            <x v="1"/>
          </reference>
          <reference field="1" count="1" selected="0">
            <x v="1557"/>
          </reference>
          <reference field="2" count="1" selected="0">
            <x v="264"/>
          </reference>
          <reference field="3" count="1" selected="0">
            <x v="2"/>
          </reference>
          <reference field="4" count="1">
            <x v="83"/>
          </reference>
        </references>
      </pivotArea>
    </format>
    <format dxfId="72">
      <pivotArea dataOnly="0" labelOnly="1" outline="0" fieldPosition="0">
        <references count="5">
          <reference field="0" count="1" selected="0">
            <x v="1"/>
          </reference>
          <reference field="1" count="1" selected="0">
            <x v="1558"/>
          </reference>
          <reference field="2" count="1" selected="0">
            <x v="267"/>
          </reference>
          <reference field="3" count="1" selected="0">
            <x v="2"/>
          </reference>
          <reference field="4" count="1">
            <x v="132"/>
          </reference>
        </references>
      </pivotArea>
    </format>
    <format dxfId="71">
      <pivotArea dataOnly="0" labelOnly="1" outline="0" fieldPosition="0">
        <references count="5">
          <reference field="0" count="1" selected="0">
            <x v="1"/>
          </reference>
          <reference field="1" count="1" selected="0">
            <x v="1559"/>
          </reference>
          <reference field="2" count="1" selected="0">
            <x v="271"/>
          </reference>
          <reference field="3" count="1" selected="0">
            <x v="2"/>
          </reference>
          <reference field="4" count="1">
            <x v="132"/>
          </reference>
        </references>
      </pivotArea>
    </format>
    <format dxfId="70">
      <pivotArea dataOnly="0" labelOnly="1" outline="0" fieldPosition="0">
        <references count="5">
          <reference field="0" count="1" selected="0">
            <x v="1"/>
          </reference>
          <reference field="1" count="1" selected="0">
            <x v="1560"/>
          </reference>
          <reference field="2" count="1" selected="0">
            <x v="276"/>
          </reference>
          <reference field="3" count="1" selected="0">
            <x v="2"/>
          </reference>
          <reference field="4" count="1">
            <x v="244"/>
          </reference>
        </references>
      </pivotArea>
    </format>
    <format dxfId="69">
      <pivotArea dataOnly="0" labelOnly="1" outline="0" fieldPosition="0">
        <references count="5">
          <reference field="0" count="1" selected="0">
            <x v="1"/>
          </reference>
          <reference field="1" count="1" selected="0">
            <x v="1561"/>
          </reference>
          <reference field="2" count="1" selected="0">
            <x v="279"/>
          </reference>
          <reference field="3" count="1" selected="0">
            <x v="2"/>
          </reference>
          <reference field="4" count="1">
            <x v="132"/>
          </reference>
        </references>
      </pivotArea>
    </format>
    <format dxfId="68">
      <pivotArea dataOnly="0" labelOnly="1" outline="0" fieldPosition="0">
        <references count="5">
          <reference field="0" count="1" selected="0">
            <x v="1"/>
          </reference>
          <reference field="1" count="1" selected="0">
            <x v="1562"/>
          </reference>
          <reference field="2" count="1" selected="0">
            <x v="294"/>
          </reference>
          <reference field="3" count="1" selected="0">
            <x v="2"/>
          </reference>
          <reference field="4" count="1">
            <x v="132"/>
          </reference>
        </references>
      </pivotArea>
    </format>
    <format dxfId="67">
      <pivotArea dataOnly="0" labelOnly="1" outline="0" fieldPosition="0">
        <references count="5">
          <reference field="0" count="1" selected="0">
            <x v="1"/>
          </reference>
          <reference field="1" count="1" selected="0">
            <x v="1563"/>
          </reference>
          <reference field="2" count="1" selected="0">
            <x v="296"/>
          </reference>
          <reference field="3" count="1" selected="0">
            <x v="2"/>
          </reference>
          <reference field="4" count="1">
            <x v="83"/>
          </reference>
        </references>
      </pivotArea>
    </format>
    <format dxfId="66">
      <pivotArea dataOnly="0" labelOnly="1" outline="0" fieldPosition="0">
        <references count="5">
          <reference field="0" count="1" selected="0">
            <x v="1"/>
          </reference>
          <reference field="1" count="1" selected="0">
            <x v="1564"/>
          </reference>
          <reference field="2" count="1" selected="0">
            <x v="299"/>
          </reference>
          <reference field="3" count="1" selected="0">
            <x v="2"/>
          </reference>
          <reference field="4" count="1">
            <x v="116"/>
          </reference>
        </references>
      </pivotArea>
    </format>
    <format dxfId="65">
      <pivotArea dataOnly="0" labelOnly="1" outline="0" fieldPosition="0">
        <references count="5">
          <reference field="0" count="1" selected="0">
            <x v="1"/>
          </reference>
          <reference field="1" count="1" selected="0">
            <x v="1565"/>
          </reference>
          <reference field="2" count="1" selected="0">
            <x v="299"/>
          </reference>
          <reference field="3" count="1" selected="0">
            <x v="2"/>
          </reference>
          <reference field="4" count="1">
            <x v="244"/>
          </reference>
        </references>
      </pivotArea>
    </format>
    <format dxfId="64">
      <pivotArea dataOnly="0" labelOnly="1" outline="0" fieldPosition="0">
        <references count="5">
          <reference field="0" count="1" selected="0">
            <x v="1"/>
          </reference>
          <reference field="1" count="1" selected="0">
            <x v="1566"/>
          </reference>
          <reference field="2" count="1" selected="0">
            <x v="301"/>
          </reference>
          <reference field="3" count="1" selected="0">
            <x v="2"/>
          </reference>
          <reference field="4" count="1">
            <x v="132"/>
          </reference>
        </references>
      </pivotArea>
    </format>
    <format dxfId="63">
      <pivotArea dataOnly="0" labelOnly="1" outline="0" fieldPosition="0">
        <references count="5">
          <reference field="0" count="1" selected="0">
            <x v="1"/>
          </reference>
          <reference field="1" count="1" selected="0">
            <x v="1567"/>
          </reference>
          <reference field="2" count="1" selected="0">
            <x v="307"/>
          </reference>
          <reference field="3" count="1" selected="0">
            <x v="2"/>
          </reference>
          <reference field="4" count="1">
            <x v="116"/>
          </reference>
        </references>
      </pivotArea>
    </format>
    <format dxfId="62">
      <pivotArea dataOnly="0" labelOnly="1" outline="0" fieldPosition="0">
        <references count="5">
          <reference field="0" count="1" selected="0">
            <x v="1"/>
          </reference>
          <reference field="1" count="1" selected="0">
            <x v="1568"/>
          </reference>
          <reference field="2" count="1" selected="0">
            <x v="311"/>
          </reference>
          <reference field="3" count="1" selected="0">
            <x v="2"/>
          </reference>
          <reference field="4" count="1">
            <x v="119"/>
          </reference>
        </references>
      </pivotArea>
    </format>
    <format dxfId="61">
      <pivotArea dataOnly="0" labelOnly="1" outline="0" fieldPosition="0">
        <references count="5">
          <reference field="0" count="1" selected="0">
            <x v="1"/>
          </reference>
          <reference field="1" count="1" selected="0">
            <x v="1569"/>
          </reference>
          <reference field="2" count="1" selected="0">
            <x v="313"/>
          </reference>
          <reference field="3" count="1" selected="0">
            <x v="2"/>
          </reference>
          <reference field="4" count="1">
            <x v="132"/>
          </reference>
        </references>
      </pivotArea>
    </format>
    <format dxfId="60">
      <pivotArea dataOnly="0" labelOnly="1" outline="0" fieldPosition="0">
        <references count="5">
          <reference field="0" count="1" selected="0">
            <x v="1"/>
          </reference>
          <reference field="1" count="1" selected="0">
            <x v="1570"/>
          </reference>
          <reference field="2" count="1" selected="0">
            <x v="318"/>
          </reference>
          <reference field="3" count="1" selected="0">
            <x v="2"/>
          </reference>
          <reference field="4" count="1">
            <x v="244"/>
          </reference>
        </references>
      </pivotArea>
    </format>
    <format dxfId="59">
      <pivotArea dataOnly="0" labelOnly="1" outline="0" fieldPosition="0">
        <references count="5">
          <reference field="0" count="1" selected="0">
            <x v="1"/>
          </reference>
          <reference field="1" count="1" selected="0">
            <x v="1571"/>
          </reference>
          <reference field="2" count="1" selected="0">
            <x v="320"/>
          </reference>
          <reference field="3" count="1" selected="0">
            <x v="2"/>
          </reference>
          <reference field="4" count="1">
            <x v="121"/>
          </reference>
        </references>
      </pivotArea>
    </format>
    <format dxfId="58">
      <pivotArea dataOnly="0" labelOnly="1" outline="0" fieldPosition="0">
        <references count="5">
          <reference field="0" count="1" selected="0">
            <x v="1"/>
          </reference>
          <reference field="1" count="1" selected="0">
            <x v="1572"/>
          </reference>
          <reference field="2" count="1" selected="0">
            <x v="321"/>
          </reference>
          <reference field="3" count="1" selected="0">
            <x v="2"/>
          </reference>
          <reference field="4" count="1">
            <x v="132"/>
          </reference>
        </references>
      </pivotArea>
    </format>
    <format dxfId="57">
      <pivotArea dataOnly="0" labelOnly="1" outline="0" fieldPosition="0">
        <references count="5">
          <reference field="0" count="1" selected="0">
            <x v="1"/>
          </reference>
          <reference field="1" count="1" selected="0">
            <x v="1573"/>
          </reference>
          <reference field="2" count="1" selected="0">
            <x v="323"/>
          </reference>
          <reference field="3" count="1" selected="0">
            <x v="2"/>
          </reference>
          <reference field="4" count="1">
            <x v="132"/>
          </reference>
        </references>
      </pivotArea>
    </format>
    <format dxfId="56">
      <pivotArea dataOnly="0" labelOnly="1" outline="0" fieldPosition="0">
        <references count="5">
          <reference field="0" count="1" selected="0">
            <x v="1"/>
          </reference>
          <reference field="1" count="1" selected="0">
            <x v="1574"/>
          </reference>
          <reference field="2" count="1" selected="0">
            <x v="325"/>
          </reference>
          <reference field="3" count="1" selected="0">
            <x v="2"/>
          </reference>
          <reference field="4" count="1">
            <x v="216"/>
          </reference>
        </references>
      </pivotArea>
    </format>
    <format dxfId="55">
      <pivotArea dataOnly="0" labelOnly="1" outline="0" fieldPosition="0">
        <references count="5">
          <reference field="0" count="1" selected="0">
            <x v="1"/>
          </reference>
          <reference field="1" count="1" selected="0">
            <x v="1575"/>
          </reference>
          <reference field="2" count="1" selected="0">
            <x v="326"/>
          </reference>
          <reference field="3" count="1" selected="0">
            <x v="2"/>
          </reference>
          <reference field="4" count="1">
            <x v="132"/>
          </reference>
        </references>
      </pivotArea>
    </format>
    <format dxfId="54">
      <pivotArea dataOnly="0" labelOnly="1" outline="0" fieldPosition="0">
        <references count="5">
          <reference field="0" count="1" selected="0">
            <x v="1"/>
          </reference>
          <reference field="1" count="1" selected="0">
            <x v="1576"/>
          </reference>
          <reference field="2" count="1" selected="0">
            <x v="328"/>
          </reference>
          <reference field="3" count="1" selected="0">
            <x v="2"/>
          </reference>
          <reference field="4" count="1">
            <x v="132"/>
          </reference>
        </references>
      </pivotArea>
    </format>
    <format dxfId="53">
      <pivotArea dataOnly="0" labelOnly="1" outline="0" fieldPosition="0">
        <references count="5">
          <reference field="0" count="1" selected="0">
            <x v="1"/>
          </reference>
          <reference field="1" count="1" selected="0">
            <x v="1577"/>
          </reference>
          <reference field="2" count="1" selected="0">
            <x v="332"/>
          </reference>
          <reference field="3" count="1" selected="0">
            <x v="2"/>
          </reference>
          <reference field="4" count="1">
            <x v="132"/>
          </reference>
        </references>
      </pivotArea>
    </format>
    <format dxfId="52">
      <pivotArea dataOnly="0" labelOnly="1" outline="0" fieldPosition="0">
        <references count="5">
          <reference field="0" count="1" selected="0">
            <x v="1"/>
          </reference>
          <reference field="1" count="1" selected="0">
            <x v="1578"/>
          </reference>
          <reference field="2" count="1" selected="0">
            <x v="338"/>
          </reference>
          <reference field="3" count="1" selected="0">
            <x v="2"/>
          </reference>
          <reference field="4" count="1">
            <x v="132"/>
          </reference>
        </references>
      </pivotArea>
    </format>
    <format dxfId="51">
      <pivotArea dataOnly="0" labelOnly="1" outline="0" fieldPosition="0">
        <references count="5">
          <reference field="0" count="1" selected="0">
            <x v="1"/>
          </reference>
          <reference field="1" count="1" selected="0">
            <x v="1579"/>
          </reference>
          <reference field="2" count="1" selected="0">
            <x v="340"/>
          </reference>
          <reference field="3" count="1" selected="0">
            <x v="2"/>
          </reference>
          <reference field="4" count="1">
            <x v="244"/>
          </reference>
        </references>
      </pivotArea>
    </format>
    <format dxfId="50">
      <pivotArea dataOnly="0" labelOnly="1" outline="0" fieldPosition="0">
        <references count="5">
          <reference field="0" count="1" selected="0">
            <x v="1"/>
          </reference>
          <reference field="1" count="1" selected="0">
            <x v="1580"/>
          </reference>
          <reference field="2" count="1" selected="0">
            <x v="348"/>
          </reference>
          <reference field="3" count="1" selected="0">
            <x v="2"/>
          </reference>
          <reference field="4" count="1">
            <x v="132"/>
          </reference>
        </references>
      </pivotArea>
    </format>
    <format dxfId="49">
      <pivotArea dataOnly="0" labelOnly="1" outline="0" fieldPosition="0">
        <references count="5">
          <reference field="0" count="1" selected="0">
            <x v="1"/>
          </reference>
          <reference field="1" count="1" selected="0">
            <x v="1581"/>
          </reference>
          <reference field="2" count="1" selected="0">
            <x v="353"/>
          </reference>
          <reference field="3" count="1" selected="0">
            <x v="2"/>
          </reference>
          <reference field="4" count="1">
            <x v="49"/>
          </reference>
        </references>
      </pivotArea>
    </format>
    <format dxfId="48">
      <pivotArea dataOnly="0" labelOnly="1" outline="0" fieldPosition="0">
        <references count="5">
          <reference field="0" count="1" selected="0">
            <x v="1"/>
          </reference>
          <reference field="1" count="1" selected="0">
            <x v="1582"/>
          </reference>
          <reference field="2" count="1" selected="0">
            <x v="353"/>
          </reference>
          <reference field="3" count="1" selected="0">
            <x v="2"/>
          </reference>
          <reference field="4" count="1">
            <x v="196"/>
          </reference>
        </references>
      </pivotArea>
    </format>
    <format dxfId="47">
      <pivotArea dataOnly="0" labelOnly="1" outline="0" fieldPosition="0">
        <references count="5">
          <reference field="0" count="1" selected="0">
            <x v="1"/>
          </reference>
          <reference field="1" count="1" selected="0">
            <x v="1583"/>
          </reference>
          <reference field="2" count="1" selected="0">
            <x v="363"/>
          </reference>
          <reference field="3" count="1" selected="0">
            <x v="2"/>
          </reference>
          <reference field="4" count="1">
            <x v="244"/>
          </reference>
        </references>
      </pivotArea>
    </format>
    <format dxfId="46">
      <pivotArea dataOnly="0" labelOnly="1" outline="0" fieldPosition="0">
        <references count="5">
          <reference field="0" count="1" selected="0">
            <x v="1"/>
          </reference>
          <reference field="1" count="1" selected="0">
            <x v="1584"/>
          </reference>
          <reference field="2" count="1" selected="0">
            <x v="367"/>
          </reference>
          <reference field="3" count="1" selected="0">
            <x v="2"/>
          </reference>
          <reference field="4" count="1">
            <x v="132"/>
          </reference>
        </references>
      </pivotArea>
    </format>
    <format dxfId="45">
      <pivotArea dataOnly="0" labelOnly="1" outline="0" fieldPosition="0">
        <references count="5">
          <reference field="0" count="1" selected="0">
            <x v="1"/>
          </reference>
          <reference field="1" count="1" selected="0">
            <x v="1585"/>
          </reference>
          <reference field="2" count="1" selected="0">
            <x v="371"/>
          </reference>
          <reference field="3" count="1" selected="0">
            <x v="2"/>
          </reference>
          <reference field="4" count="1">
            <x v="132"/>
          </reference>
        </references>
      </pivotArea>
    </format>
    <format dxfId="44">
      <pivotArea dataOnly="0" labelOnly="1" outline="0" fieldPosition="0">
        <references count="5">
          <reference field="0" count="1" selected="0">
            <x v="1"/>
          </reference>
          <reference field="1" count="1" selected="0">
            <x v="1586"/>
          </reference>
          <reference field="2" count="1" selected="0">
            <x v="375"/>
          </reference>
          <reference field="3" count="1" selected="0">
            <x v="2"/>
          </reference>
          <reference field="4" count="1">
            <x v="134"/>
          </reference>
        </references>
      </pivotArea>
    </format>
    <format dxfId="43">
      <pivotArea dataOnly="0" labelOnly="1" outline="0" fieldPosition="0">
        <references count="5">
          <reference field="0" count="1" selected="0">
            <x v="1"/>
          </reference>
          <reference field="1" count="1" selected="0">
            <x v="1587"/>
          </reference>
          <reference field="2" count="1" selected="0">
            <x v="376"/>
          </reference>
          <reference field="3" count="1" selected="0">
            <x v="2"/>
          </reference>
          <reference field="4" count="1">
            <x v="132"/>
          </reference>
        </references>
      </pivotArea>
    </format>
    <format dxfId="42">
      <pivotArea dataOnly="0" labelOnly="1" outline="0" fieldPosition="0">
        <references count="5">
          <reference field="0" count="1" selected="0">
            <x v="1"/>
          </reference>
          <reference field="1" count="1" selected="0">
            <x v="1588"/>
          </reference>
          <reference field="2" count="1" selected="0">
            <x v="378"/>
          </reference>
          <reference field="3" count="1" selected="0">
            <x v="2"/>
          </reference>
          <reference field="4" count="1">
            <x v="132"/>
          </reference>
        </references>
      </pivotArea>
    </format>
    <format dxfId="41">
      <pivotArea dataOnly="0" labelOnly="1" outline="0" fieldPosition="0">
        <references count="5">
          <reference field="0" count="1" selected="0">
            <x v="1"/>
          </reference>
          <reference field="1" count="1" selected="0">
            <x v="1589"/>
          </reference>
          <reference field="2" count="1" selected="0">
            <x v="387"/>
          </reference>
          <reference field="3" count="1" selected="0">
            <x v="2"/>
          </reference>
          <reference field="4" count="1">
            <x v="132"/>
          </reference>
        </references>
      </pivotArea>
    </format>
    <format dxfId="40">
      <pivotArea dataOnly="0" labelOnly="1" outline="0" fieldPosition="0">
        <references count="5">
          <reference field="0" count="1" selected="0">
            <x v="1"/>
          </reference>
          <reference field="1" count="1" selected="0">
            <x v="1590"/>
          </reference>
          <reference field="2" count="1" selected="0">
            <x v="388"/>
          </reference>
          <reference field="3" count="1" selected="0">
            <x v="2"/>
          </reference>
          <reference field="4" count="1">
            <x v="216"/>
          </reference>
        </references>
      </pivotArea>
    </format>
    <format dxfId="39">
      <pivotArea dataOnly="0" labelOnly="1" outline="0" fieldPosition="0">
        <references count="5">
          <reference field="0" count="1" selected="0">
            <x v="1"/>
          </reference>
          <reference field="1" count="1" selected="0">
            <x v="1591"/>
          </reference>
          <reference field="2" count="1" selected="0">
            <x v="389"/>
          </reference>
          <reference field="3" count="1" selected="0">
            <x v="2"/>
          </reference>
          <reference field="4" count="1">
            <x v="121"/>
          </reference>
        </references>
      </pivotArea>
    </format>
    <format dxfId="38">
      <pivotArea dataOnly="0" labelOnly="1" outline="0" fieldPosition="0">
        <references count="5">
          <reference field="0" count="1" selected="0">
            <x v="1"/>
          </reference>
          <reference field="1" count="1" selected="0">
            <x v="1592"/>
          </reference>
          <reference field="2" count="1" selected="0">
            <x v="390"/>
          </reference>
          <reference field="3" count="1" selected="0">
            <x v="2"/>
          </reference>
          <reference field="4" count="1">
            <x v="66"/>
          </reference>
        </references>
      </pivotArea>
    </format>
    <format dxfId="37">
      <pivotArea dataOnly="0" labelOnly="1" outline="0" fieldPosition="0">
        <references count="5">
          <reference field="0" count="1" selected="0">
            <x v="1"/>
          </reference>
          <reference field="1" count="1" selected="0">
            <x v="1593"/>
          </reference>
          <reference field="2" count="1" selected="0">
            <x v="396"/>
          </reference>
          <reference field="3" count="1" selected="0">
            <x v="2"/>
          </reference>
          <reference field="4" count="1">
            <x v="244"/>
          </reference>
        </references>
      </pivotArea>
    </format>
    <format dxfId="36">
      <pivotArea dataOnly="0" labelOnly="1" outline="0" fieldPosition="0">
        <references count="5">
          <reference field="0" count="1" selected="0">
            <x v="1"/>
          </reference>
          <reference field="1" count="1" selected="0">
            <x v="1594"/>
          </reference>
          <reference field="2" count="1" selected="0">
            <x v="399"/>
          </reference>
          <reference field="3" count="1" selected="0">
            <x v="2"/>
          </reference>
          <reference field="4" count="1">
            <x v="132"/>
          </reference>
        </references>
      </pivotArea>
    </format>
    <format dxfId="35">
      <pivotArea dataOnly="0" labelOnly="1" outline="0" fieldPosition="0">
        <references count="5">
          <reference field="0" count="1" selected="0">
            <x v="1"/>
          </reference>
          <reference field="1" count="1" selected="0">
            <x v="1595"/>
          </reference>
          <reference field="2" count="1" selected="0">
            <x v="406"/>
          </reference>
          <reference field="3" count="1" selected="0">
            <x v="2"/>
          </reference>
          <reference field="4" count="1">
            <x v="132"/>
          </reference>
        </references>
      </pivotArea>
    </format>
    <format dxfId="34">
      <pivotArea dataOnly="0" labelOnly="1" outline="0" fieldPosition="0">
        <references count="5">
          <reference field="0" count="1" selected="0">
            <x v="1"/>
          </reference>
          <reference field="1" count="1" selected="0">
            <x v="1596"/>
          </reference>
          <reference field="2" count="1" selected="0">
            <x v="414"/>
          </reference>
          <reference field="3" count="1" selected="0">
            <x v="0"/>
          </reference>
          <reference field="4" count="1">
            <x v="244"/>
          </reference>
        </references>
      </pivotArea>
    </format>
    <format dxfId="33">
      <pivotArea dataOnly="0" labelOnly="1" outline="0" fieldPosition="0">
        <references count="5">
          <reference field="0" count="1" selected="0">
            <x v="1"/>
          </reference>
          <reference field="1" count="1" selected="0">
            <x v="1597"/>
          </reference>
          <reference field="2" count="1" selected="0">
            <x v="415"/>
          </reference>
          <reference field="3" count="1" selected="0">
            <x v="2"/>
          </reference>
          <reference field="4" count="1">
            <x v="216"/>
          </reference>
        </references>
      </pivotArea>
    </format>
    <format dxfId="32">
      <pivotArea dataOnly="0" labelOnly="1" outline="0" fieldPosition="0">
        <references count="5">
          <reference field="0" count="1" selected="0">
            <x v="1"/>
          </reference>
          <reference field="1" count="1" selected="0">
            <x v="1598"/>
          </reference>
          <reference field="2" count="1" selected="0">
            <x v="419"/>
          </reference>
          <reference field="3" count="1" selected="0">
            <x v="2"/>
          </reference>
          <reference field="4" count="1">
            <x v="132"/>
          </reference>
        </references>
      </pivotArea>
    </format>
    <format dxfId="31">
      <pivotArea dataOnly="0" labelOnly="1" outline="0" fieldPosition="0">
        <references count="5">
          <reference field="0" count="1" selected="0">
            <x v="1"/>
          </reference>
          <reference field="1" count="1" selected="0">
            <x v="1599"/>
          </reference>
          <reference field="2" count="1" selected="0">
            <x v="422"/>
          </reference>
          <reference field="3" count="1" selected="0">
            <x v="2"/>
          </reference>
          <reference field="4" count="1">
            <x v="116"/>
          </reference>
        </references>
      </pivotArea>
    </format>
    <format dxfId="30">
      <pivotArea dataOnly="0" labelOnly="1" outline="0" fieldPosition="0">
        <references count="5">
          <reference field="0" count="1" selected="0">
            <x v="1"/>
          </reference>
          <reference field="1" count="1" selected="0">
            <x v="1600"/>
          </reference>
          <reference field="2" count="1" selected="0">
            <x v="422"/>
          </reference>
          <reference field="3" count="1" selected="0">
            <x v="2"/>
          </reference>
          <reference field="4" count="1">
            <x v="244"/>
          </reference>
        </references>
      </pivotArea>
    </format>
    <format dxfId="29">
      <pivotArea dataOnly="0" labelOnly="1" outline="0" fieldPosition="0">
        <references count="5">
          <reference field="0" count="1" selected="0">
            <x v="1"/>
          </reference>
          <reference field="1" count="1" selected="0">
            <x v="1601"/>
          </reference>
          <reference field="2" count="1" selected="0">
            <x v="424"/>
          </reference>
          <reference field="3" count="1" selected="0">
            <x v="0"/>
          </reference>
          <reference field="4" count="1">
            <x v="295"/>
          </reference>
        </references>
      </pivotArea>
    </format>
    <format dxfId="28">
      <pivotArea dataOnly="0" labelOnly="1" outline="0" fieldPosition="0">
        <references count="5">
          <reference field="0" count="1" selected="0">
            <x v="1"/>
          </reference>
          <reference field="1" count="1" selected="0">
            <x v="1602"/>
          </reference>
          <reference field="2" count="1" selected="0">
            <x v="426"/>
          </reference>
          <reference field="3" count="1" selected="0">
            <x v="0"/>
          </reference>
          <reference field="4" count="1">
            <x v="132"/>
          </reference>
        </references>
      </pivotArea>
    </format>
    <format dxfId="27">
      <pivotArea dataOnly="0" labelOnly="1" outline="0" fieldPosition="0">
        <references count="5">
          <reference field="0" count="1" selected="0">
            <x v="1"/>
          </reference>
          <reference field="1" count="1" selected="0">
            <x v="1603"/>
          </reference>
          <reference field="2" count="1" selected="0">
            <x v="438"/>
          </reference>
          <reference field="3" count="1" selected="0">
            <x v="2"/>
          </reference>
          <reference field="4" count="1">
            <x v="121"/>
          </reference>
        </references>
      </pivotArea>
    </format>
    <format dxfId="26">
      <pivotArea dataOnly="0" labelOnly="1" outline="0" fieldPosition="0">
        <references count="5">
          <reference field="0" count="1" selected="0">
            <x v="1"/>
          </reference>
          <reference field="1" count="1" selected="0">
            <x v="1604"/>
          </reference>
          <reference field="2" count="1" selected="0">
            <x v="442"/>
          </reference>
          <reference field="3" count="1" selected="0">
            <x v="2"/>
          </reference>
          <reference field="4" count="1">
            <x v="132"/>
          </reference>
        </references>
      </pivotArea>
    </format>
    <format dxfId="25">
      <pivotArea dataOnly="0" labelOnly="1" outline="0" fieldPosition="0">
        <references count="5">
          <reference field="0" count="1" selected="0">
            <x v="1"/>
          </reference>
          <reference field="1" count="1" selected="0">
            <x v="1605"/>
          </reference>
          <reference field="2" count="1" selected="0">
            <x v="446"/>
          </reference>
          <reference field="3" count="1" selected="0">
            <x v="2"/>
          </reference>
          <reference field="4" count="1">
            <x v="244"/>
          </reference>
        </references>
      </pivotArea>
    </format>
    <format dxfId="24">
      <pivotArea dataOnly="0" labelOnly="1" outline="0" fieldPosition="0">
        <references count="5">
          <reference field="0" count="1" selected="0">
            <x v="1"/>
          </reference>
          <reference field="1" count="1" selected="0">
            <x v="1606"/>
          </reference>
          <reference field="2" count="1" selected="0">
            <x v="451"/>
          </reference>
          <reference field="3" count="1" selected="0">
            <x v="2"/>
          </reference>
          <reference field="4" count="1">
            <x v="21"/>
          </reference>
        </references>
      </pivotArea>
    </format>
    <format dxfId="23">
      <pivotArea dataOnly="0" labelOnly="1" outline="0" fieldPosition="0">
        <references count="5">
          <reference field="0" count="1" selected="0">
            <x v="1"/>
          </reference>
          <reference field="1" count="1" selected="0">
            <x v="1607"/>
          </reference>
          <reference field="2" count="1" selected="0">
            <x v="457"/>
          </reference>
          <reference field="3" count="1" selected="0">
            <x v="2"/>
          </reference>
          <reference field="4" count="1">
            <x v="132"/>
          </reference>
        </references>
      </pivotArea>
    </format>
    <format dxfId="22">
      <pivotArea dataOnly="0" labelOnly="1" outline="0" fieldPosition="0">
        <references count="5">
          <reference field="0" count="1" selected="0">
            <x v="1"/>
          </reference>
          <reference field="1" count="1" selected="0">
            <x v="1608"/>
          </reference>
          <reference field="2" count="1" selected="0">
            <x v="458"/>
          </reference>
          <reference field="3" count="1" selected="0">
            <x v="2"/>
          </reference>
          <reference field="4" count="1">
            <x v="83"/>
          </reference>
        </references>
      </pivotArea>
    </format>
    <format dxfId="21">
      <pivotArea dataOnly="0" labelOnly="1" outline="0" fieldPosition="0">
        <references count="5">
          <reference field="0" count="1" selected="0">
            <x v="1"/>
          </reference>
          <reference field="1" count="1" selected="0">
            <x v="1609"/>
          </reference>
          <reference field="2" count="1" selected="0">
            <x v="461"/>
          </reference>
          <reference field="3" count="1" selected="0">
            <x v="2"/>
          </reference>
          <reference field="4" count="1">
            <x v="132"/>
          </reference>
        </references>
      </pivotArea>
    </format>
    <format dxfId="20">
      <pivotArea dataOnly="0" labelOnly="1" outline="0" fieldPosition="0">
        <references count="5">
          <reference field="0" count="1" selected="0">
            <x v="1"/>
          </reference>
          <reference field="1" count="1" selected="0">
            <x v="1610"/>
          </reference>
          <reference field="2" count="1" selected="0">
            <x v="462"/>
          </reference>
          <reference field="3" count="1" selected="0">
            <x v="2"/>
          </reference>
          <reference field="4" count="1">
            <x v="132"/>
          </reference>
        </references>
      </pivotArea>
    </format>
    <format dxfId="19">
      <pivotArea dataOnly="0" labelOnly="1" outline="0" fieldPosition="0">
        <references count="5">
          <reference field="0" count="1" selected="0">
            <x v="1"/>
          </reference>
          <reference field="1" count="1" selected="0">
            <x v="1611"/>
          </reference>
          <reference field="2" count="1" selected="0">
            <x v="465"/>
          </reference>
          <reference field="3" count="1" selected="0">
            <x v="2"/>
          </reference>
          <reference field="4" count="1">
            <x v="21"/>
          </reference>
        </references>
      </pivotArea>
    </format>
    <format dxfId="18">
      <pivotArea dataOnly="0" labelOnly="1" outline="0" fieldPosition="0">
        <references count="5">
          <reference field="0" count="1" selected="0">
            <x v="1"/>
          </reference>
          <reference field="1" count="1" selected="0">
            <x v="1612"/>
          </reference>
          <reference field="2" count="1" selected="0">
            <x v="465"/>
          </reference>
          <reference field="3" count="1" selected="0">
            <x v="2"/>
          </reference>
          <reference field="4" count="1">
            <x v="216"/>
          </reference>
        </references>
      </pivotArea>
    </format>
    <format dxfId="17">
      <pivotArea dataOnly="0" labelOnly="1" outline="0" fieldPosition="0">
        <references count="5">
          <reference field="0" count="1" selected="0">
            <x v="1"/>
          </reference>
          <reference field="1" count="1" selected="0">
            <x v="1613"/>
          </reference>
          <reference field="2" count="1" selected="0">
            <x v="466"/>
          </reference>
          <reference field="3" count="1" selected="0">
            <x v="2"/>
          </reference>
          <reference field="4" count="1">
            <x v="116"/>
          </reference>
        </references>
      </pivotArea>
    </format>
    <format dxfId="16">
      <pivotArea dataOnly="0" labelOnly="1" outline="0" fieldPosition="0">
        <references count="5">
          <reference field="0" count="1" selected="0">
            <x v="1"/>
          </reference>
          <reference field="1" count="1" selected="0">
            <x v="1614"/>
          </reference>
          <reference field="2" count="1" selected="0">
            <x v="467"/>
          </reference>
          <reference field="3" count="1" selected="0">
            <x v="2"/>
          </reference>
          <reference field="4" count="1">
            <x v="196"/>
          </reference>
        </references>
      </pivotArea>
    </format>
    <format dxfId="15">
      <pivotArea dataOnly="0" labelOnly="1" outline="0" fieldPosition="0">
        <references count="5">
          <reference field="0" count="1" selected="0">
            <x v="1"/>
          </reference>
          <reference field="1" count="1" selected="0">
            <x v="1615"/>
          </reference>
          <reference field="2" count="1" selected="0">
            <x v="468"/>
          </reference>
          <reference field="3" count="1" selected="0">
            <x v="2"/>
          </reference>
          <reference field="4" count="1">
            <x v="132"/>
          </reference>
        </references>
      </pivotArea>
    </format>
    <format dxfId="14">
      <pivotArea dataOnly="0" labelOnly="1" outline="0" fieldPosition="0">
        <references count="5">
          <reference field="0" count="1" selected="0">
            <x v="1"/>
          </reference>
          <reference field="1" count="1" selected="0">
            <x v="1616"/>
          </reference>
          <reference field="2" count="1" selected="0">
            <x v="470"/>
          </reference>
          <reference field="3" count="1" selected="0">
            <x v="2"/>
          </reference>
          <reference field="4" count="1">
            <x v="19"/>
          </reference>
        </references>
      </pivotArea>
    </format>
    <format dxfId="13">
      <pivotArea dataOnly="0" labelOnly="1" outline="0" fieldPosition="0">
        <references count="5">
          <reference field="0" count="1" selected="0">
            <x v="1"/>
          </reference>
          <reference field="1" count="1" selected="0">
            <x v="1617"/>
          </reference>
          <reference field="2" count="1" selected="0">
            <x v="471"/>
          </reference>
          <reference field="3" count="1" selected="0">
            <x v="2"/>
          </reference>
          <reference field="4" count="1">
            <x v="116"/>
          </reference>
        </references>
      </pivotArea>
    </format>
    <format dxfId="12">
      <pivotArea dataOnly="0" labelOnly="1" outline="0" fieldPosition="0">
        <references count="5">
          <reference field="0" count="1" selected="0">
            <x v="1"/>
          </reference>
          <reference field="1" count="1" selected="0">
            <x v="1618"/>
          </reference>
          <reference field="2" count="1" selected="0">
            <x v="472"/>
          </reference>
          <reference field="3" count="1" selected="0">
            <x v="2"/>
          </reference>
          <reference field="4" count="1">
            <x v="244"/>
          </reference>
        </references>
      </pivotArea>
    </format>
    <format dxfId="11">
      <pivotArea dataOnly="0" labelOnly="1" outline="0" fieldPosition="0">
        <references count="5">
          <reference field="0" count="1" selected="0">
            <x v="1"/>
          </reference>
          <reference field="1" count="1" selected="0">
            <x v="1619"/>
          </reference>
          <reference field="2" count="1" selected="0">
            <x v="479"/>
          </reference>
          <reference field="3" count="1" selected="0">
            <x v="2"/>
          </reference>
          <reference field="4" count="1">
            <x v="121"/>
          </reference>
        </references>
      </pivotArea>
    </format>
    <format dxfId="10">
      <pivotArea dataOnly="0" labelOnly="1" outline="0" fieldPosition="0">
        <references count="5">
          <reference field="0" count="1" selected="0">
            <x v="1"/>
          </reference>
          <reference field="1" count="1" selected="0">
            <x v="1620"/>
          </reference>
          <reference field="2" count="1" selected="0">
            <x v="483"/>
          </reference>
          <reference field="3" count="1" selected="0">
            <x v="2"/>
          </reference>
          <reference field="4" count="1">
            <x v="132"/>
          </reference>
        </references>
      </pivotArea>
    </format>
    <format dxfId="9">
      <pivotArea dataOnly="0" labelOnly="1" outline="0" fieldPosition="0">
        <references count="5">
          <reference field="0" count="1" selected="0">
            <x v="1"/>
          </reference>
          <reference field="1" count="1" selected="0">
            <x v="1621"/>
          </reference>
          <reference field="2" count="1" selected="0">
            <x v="484"/>
          </reference>
          <reference field="3" count="1" selected="0">
            <x v="2"/>
          </reference>
          <reference field="4" count="1">
            <x v="21"/>
          </reference>
        </references>
      </pivotArea>
    </format>
    <format dxfId="8">
      <pivotArea dataOnly="0" labelOnly="1" outline="0" fieldPosition="0">
        <references count="5">
          <reference field="0" count="1" selected="0">
            <x v="1"/>
          </reference>
          <reference field="1" count="1" selected="0">
            <x v="1622"/>
          </reference>
          <reference field="2" count="1" selected="0">
            <x v="485"/>
          </reference>
          <reference field="3" count="1" selected="0">
            <x v="2"/>
          </reference>
          <reference field="4" count="1">
            <x v="244"/>
          </reference>
        </references>
      </pivotArea>
    </format>
    <format dxfId="7">
      <pivotArea dataOnly="0" labelOnly="1" outline="0" fieldPosition="0">
        <references count="5">
          <reference field="0" count="1" selected="0">
            <x v="1"/>
          </reference>
          <reference field="1" count="1" selected="0">
            <x v="1623"/>
          </reference>
          <reference field="2" count="1" selected="0">
            <x v="501"/>
          </reference>
          <reference field="3" count="1" selected="0">
            <x v="2"/>
          </reference>
          <reference field="4" count="1">
            <x v="116"/>
          </reference>
        </references>
      </pivotArea>
    </format>
    <format dxfId="6">
      <pivotArea dataOnly="0" labelOnly="1" outline="0" fieldPosition="0">
        <references count="5">
          <reference field="0" count="1" selected="0">
            <x v="1"/>
          </reference>
          <reference field="1" count="1" selected="0">
            <x v="1624"/>
          </reference>
          <reference field="2" count="1" selected="0">
            <x v="502"/>
          </reference>
          <reference field="3" count="1" selected="0">
            <x v="2"/>
          </reference>
          <reference field="4" count="1">
            <x v="116"/>
          </reference>
        </references>
      </pivotArea>
    </format>
    <format dxfId="5">
      <pivotArea dataOnly="0" labelOnly="1" outline="0" fieldPosition="0">
        <references count="5">
          <reference field="0" count="1" selected="0">
            <x v="1"/>
          </reference>
          <reference field="1" count="1" selected="0">
            <x v="1625"/>
          </reference>
          <reference field="2" count="1" selected="0">
            <x v="503"/>
          </reference>
          <reference field="3" count="1" selected="0">
            <x v="2"/>
          </reference>
          <reference field="4" count="1">
            <x v="8"/>
          </reference>
        </references>
      </pivotArea>
    </format>
    <format dxfId="4">
      <pivotArea dataOnly="0" labelOnly="1" outline="0" fieldPosition="0">
        <references count="5">
          <reference field="0" count="1" selected="0">
            <x v="1"/>
          </reference>
          <reference field="1" count="1" selected="0">
            <x v="1626"/>
          </reference>
          <reference field="2" count="1" selected="0">
            <x v="505"/>
          </reference>
          <reference field="3" count="1" selected="0">
            <x v="2"/>
          </reference>
          <reference field="4" count="1">
            <x v="132"/>
          </reference>
        </references>
      </pivotArea>
    </format>
    <format dxfId="3">
      <pivotArea dataOnly="0" labelOnly="1" outline="0" fieldPosition="0">
        <references count="5">
          <reference field="0" count="1" selected="0">
            <x v="1"/>
          </reference>
          <reference field="1" count="1" selected="0">
            <x v="1627"/>
          </reference>
          <reference field="2" count="1" selected="0">
            <x v="507"/>
          </reference>
          <reference field="3" count="1" selected="0">
            <x v="2"/>
          </reference>
          <reference field="4" count="1">
            <x v="244"/>
          </reference>
        </references>
      </pivotArea>
    </format>
    <format dxfId="2">
      <pivotArea dataOnly="0" labelOnly="1" outline="0" fieldPosition="0">
        <references count="5">
          <reference field="0" count="1" selected="0">
            <x v="1"/>
          </reference>
          <reference field="1" count="1" selected="0">
            <x v="1628"/>
          </reference>
          <reference field="2" count="1" selected="0">
            <x v="512"/>
          </reference>
          <reference field="3" count="1" selected="0">
            <x v="2"/>
          </reference>
          <reference field="4" count="1">
            <x v="216"/>
          </reference>
        </references>
      </pivotArea>
    </format>
    <format dxfId="1">
      <pivotArea dataOnly="0" labelOnly="1" outline="0" fieldPosition="0">
        <references count="5">
          <reference field="0" count="1" selected="0">
            <x v="1"/>
          </reference>
          <reference field="1" count="1" selected="0">
            <x v="1629"/>
          </reference>
          <reference field="2" count="1" selected="0">
            <x v="513"/>
          </reference>
          <reference field="3" count="1" selected="0">
            <x v="2"/>
          </reference>
          <reference field="4" count="1">
            <x v="132"/>
          </reference>
        </references>
      </pivotArea>
    </format>
    <format dxfId="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mailto:Juan.Herrera@cayrap.cl" TargetMode="External"/><Relationship Id="rId2" Type="http://schemas.openxmlformats.org/officeDocument/2006/relationships/hyperlink" Target="mailto:Claudia.Herrera@cayrap.cl" TargetMode="External"/><Relationship Id="rId1" Type="http://schemas.openxmlformats.org/officeDocument/2006/relationships/hyperlink" Target="mailto:Camila.Herrera@cayrap.cl" TargetMode="External"/><Relationship Id="rId5" Type="http://schemas.openxmlformats.org/officeDocument/2006/relationships/printerSettings" Target="../printerSettings/printerSettings5.bin"/><Relationship Id="rId4" Type="http://schemas.openxmlformats.org/officeDocument/2006/relationships/hyperlink" Target="mailto:Soledad.Saavedra@cayrap.c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A15" sqref="A15"/>
    </sheetView>
  </sheetViews>
  <sheetFormatPr baseColWidth="10" defaultRowHeight="13.2"/>
  <cols>
    <col min="1" max="1" width="58.6640625" bestFit="1" customWidth="1"/>
    <col min="3" max="3" width="40" bestFit="1" customWidth="1"/>
  </cols>
  <sheetData>
    <row r="1" spans="1:3">
      <c r="A1" s="108" t="s">
        <v>2432</v>
      </c>
      <c r="C1" s="108" t="s">
        <v>2433</v>
      </c>
    </row>
    <row r="2" spans="1:3">
      <c r="A2" s="114" t="s">
        <v>2425</v>
      </c>
      <c r="C2" s="114" t="s">
        <v>2434</v>
      </c>
    </row>
    <row r="3" spans="1:3">
      <c r="A3" s="114" t="s">
        <v>2426</v>
      </c>
      <c r="C3" s="114" t="s">
        <v>2435</v>
      </c>
    </row>
    <row r="4" spans="1:3">
      <c r="A4" s="114" t="s">
        <v>2423</v>
      </c>
      <c r="C4" s="114" t="s">
        <v>2436</v>
      </c>
    </row>
    <row r="5" spans="1:3">
      <c r="A5" s="114" t="s">
        <v>2427</v>
      </c>
      <c r="C5" s="114" t="s">
        <v>2437</v>
      </c>
    </row>
    <row r="6" spans="1:3">
      <c r="A6" s="114" t="s">
        <v>2428</v>
      </c>
      <c r="C6" s="114" t="s">
        <v>2438</v>
      </c>
    </row>
    <row r="7" spans="1:3">
      <c r="A7" s="114" t="s">
        <v>2429</v>
      </c>
      <c r="C7" s="114" t="s">
        <v>2439</v>
      </c>
    </row>
    <row r="8" spans="1:3">
      <c r="A8" s="114" t="s">
        <v>2424</v>
      </c>
      <c r="C8" s="114" t="s">
        <v>2440</v>
      </c>
    </row>
    <row r="9" spans="1:3">
      <c r="A9" s="114" t="s">
        <v>2430</v>
      </c>
      <c r="C9" s="114" t="s">
        <v>2441</v>
      </c>
    </row>
    <row r="10" spans="1:3">
      <c r="A10" s="114" t="s">
        <v>2431</v>
      </c>
      <c r="C10" s="114" t="s">
        <v>2442</v>
      </c>
    </row>
  </sheetData>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B24" sqref="B24"/>
    </sheetView>
  </sheetViews>
  <sheetFormatPr baseColWidth="10" defaultRowHeight="13.2"/>
  <cols>
    <col min="1" max="1" width="9.6640625" style="106" bestFit="1" customWidth="1"/>
    <col min="2" max="2" width="46.33203125" bestFit="1" customWidth="1"/>
    <col min="3" max="3" width="103" bestFit="1" customWidth="1"/>
  </cols>
  <sheetData>
    <row r="1" spans="1:3">
      <c r="A1" s="112" t="s">
        <v>1693</v>
      </c>
      <c r="B1" s="112" t="s">
        <v>1694</v>
      </c>
      <c r="C1" s="112" t="s">
        <v>1695</v>
      </c>
    </row>
    <row r="2" spans="1:3">
      <c r="A2" s="113">
        <v>1</v>
      </c>
      <c r="B2" s="114" t="s">
        <v>1696</v>
      </c>
      <c r="C2" s="115" t="str">
        <f>CONCATENATE("INSERT INTO REGIONES (ID_REGION, NOMBRE) VALUES (",A2,",","'",B2,"');")</f>
        <v>INSERT INTO REGIONES (ID_REGION, NOMBRE) VALUES (1,'Región de Tarapacá');</v>
      </c>
    </row>
    <row r="3" spans="1:3">
      <c r="A3" s="113">
        <v>2</v>
      </c>
      <c r="B3" s="114" t="s">
        <v>1697</v>
      </c>
      <c r="C3" s="115" t="str">
        <f t="shared" ref="C3:C17" si="0">CONCATENATE("INSERT INTO REGIONES (ID_REGION, NOMBRE) VALUES (",A3,",","'",B3,"');")</f>
        <v>INSERT INTO REGIONES (ID_REGION, NOMBRE) VALUES (2,'Región de Antofagasta');</v>
      </c>
    </row>
    <row r="4" spans="1:3">
      <c r="A4" s="113">
        <v>3</v>
      </c>
      <c r="B4" s="114" t="s">
        <v>1698</v>
      </c>
      <c r="C4" s="115" t="str">
        <f t="shared" si="0"/>
        <v>INSERT INTO REGIONES (ID_REGION, NOMBRE) VALUES (3,'Región de Atacama');</v>
      </c>
    </row>
    <row r="5" spans="1:3">
      <c r="A5" s="113">
        <v>4</v>
      </c>
      <c r="B5" s="114" t="s">
        <v>1699</v>
      </c>
      <c r="C5" s="115" t="str">
        <f t="shared" si="0"/>
        <v>INSERT INTO REGIONES (ID_REGION, NOMBRE) VALUES (4,'Región de Coquimbo');</v>
      </c>
    </row>
    <row r="6" spans="1:3">
      <c r="A6" s="113">
        <v>5</v>
      </c>
      <c r="B6" s="114" t="s">
        <v>1700</v>
      </c>
      <c r="C6" s="115" t="str">
        <f t="shared" si="0"/>
        <v>INSERT INTO REGIONES (ID_REGION, NOMBRE) VALUES (5,'Región de Valparaíso');</v>
      </c>
    </row>
    <row r="7" spans="1:3">
      <c r="A7" s="113">
        <v>6</v>
      </c>
      <c r="B7" s="114" t="s">
        <v>1701</v>
      </c>
      <c r="C7" s="115" t="str">
        <f t="shared" si="0"/>
        <v>INSERT INTO REGIONES (ID_REGION, NOMBRE) VALUES (6,'Región del Libertador General Bernardo OHiggins');</v>
      </c>
    </row>
    <row r="8" spans="1:3">
      <c r="A8" s="113">
        <v>7</v>
      </c>
      <c r="B8" s="114" t="s">
        <v>1702</v>
      </c>
      <c r="C8" s="115" t="str">
        <f t="shared" si="0"/>
        <v>INSERT INTO REGIONES (ID_REGION, NOMBRE) VALUES (7,'Región del Maule');</v>
      </c>
    </row>
    <row r="9" spans="1:3">
      <c r="A9" s="113">
        <v>8</v>
      </c>
      <c r="B9" s="114" t="s">
        <v>1703</v>
      </c>
      <c r="C9" s="115" t="str">
        <f t="shared" si="0"/>
        <v>INSERT INTO REGIONES (ID_REGION, NOMBRE) VALUES (8,'Región del Biobío');</v>
      </c>
    </row>
    <row r="10" spans="1:3">
      <c r="A10" s="113">
        <v>9</v>
      </c>
      <c r="B10" s="114" t="s">
        <v>1704</v>
      </c>
      <c r="C10" s="115" t="str">
        <f t="shared" si="0"/>
        <v>INSERT INTO REGIONES (ID_REGION, NOMBRE) VALUES (9,'Región de La Araucanía');</v>
      </c>
    </row>
    <row r="11" spans="1:3">
      <c r="A11" s="113">
        <v>10</v>
      </c>
      <c r="B11" s="114" t="s">
        <v>1705</v>
      </c>
      <c r="C11" s="115" t="str">
        <f t="shared" si="0"/>
        <v>INSERT INTO REGIONES (ID_REGION, NOMBRE) VALUES (10,'Región de Los Lagos');</v>
      </c>
    </row>
    <row r="12" spans="1:3">
      <c r="A12" s="113">
        <v>11</v>
      </c>
      <c r="B12" s="114" t="s">
        <v>1706</v>
      </c>
      <c r="C12" s="115" t="str">
        <f t="shared" si="0"/>
        <v>INSERT INTO REGIONES (ID_REGION, NOMBRE) VALUES (11,'Región de Aysén del General Carlos Ibáñez del Campo');</v>
      </c>
    </row>
    <row r="13" spans="1:3">
      <c r="A13" s="113">
        <v>12</v>
      </c>
      <c r="B13" s="114" t="s">
        <v>1707</v>
      </c>
      <c r="C13" s="115" t="str">
        <f t="shared" si="0"/>
        <v>INSERT INTO REGIONES (ID_REGION, NOMBRE) VALUES (12,'Región de Magallanes y de la Antártica Chilena');</v>
      </c>
    </row>
    <row r="14" spans="1:3">
      <c r="A14" s="113">
        <v>13</v>
      </c>
      <c r="B14" s="114" t="s">
        <v>1708</v>
      </c>
      <c r="C14" s="115" t="str">
        <f t="shared" si="0"/>
        <v>INSERT INTO REGIONES (ID_REGION, NOMBRE) VALUES (13,'Región Metropolitana de Santiago');</v>
      </c>
    </row>
    <row r="15" spans="1:3">
      <c r="A15" s="113">
        <v>14</v>
      </c>
      <c r="B15" s="114" t="s">
        <v>1709</v>
      </c>
      <c r="C15" s="115" t="str">
        <f t="shared" si="0"/>
        <v>INSERT INTO REGIONES (ID_REGION, NOMBRE) VALUES (14,'Región de Los Ríos');</v>
      </c>
    </row>
    <row r="16" spans="1:3">
      <c r="A16" s="113">
        <v>15</v>
      </c>
      <c r="B16" s="114" t="s">
        <v>1710</v>
      </c>
      <c r="C16" s="115" t="str">
        <f t="shared" si="0"/>
        <v>INSERT INTO REGIONES (ID_REGION, NOMBRE) VALUES (15,'Región de Arica y Parinacota');</v>
      </c>
    </row>
    <row r="17" spans="1:3">
      <c r="A17" s="113">
        <v>16</v>
      </c>
      <c r="B17" s="114" t="s">
        <v>1711</v>
      </c>
      <c r="C17" s="115" t="str">
        <f t="shared" si="0"/>
        <v>INSERT INTO REGIONES (ID_REGION, NOMBRE) VALUES (16,'Región de Ñuble ');</v>
      </c>
    </row>
    <row r="18" spans="1:3">
      <c r="C18" s="107" t="s">
        <v>2052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7"/>
  <sheetViews>
    <sheetView workbookViewId="0">
      <selection activeCell="D2" sqref="D2:D347"/>
    </sheetView>
  </sheetViews>
  <sheetFormatPr baseColWidth="10" defaultRowHeight="13.2"/>
  <cols>
    <col min="1" max="1" width="10.77734375" bestFit="1" customWidth="1"/>
    <col min="2" max="2" width="20" bestFit="1" customWidth="1"/>
    <col min="4" max="4" width="90.77734375" bestFit="1" customWidth="1"/>
  </cols>
  <sheetData>
    <row r="1" spans="1:4">
      <c r="A1" s="108" t="s">
        <v>2051</v>
      </c>
      <c r="B1" s="108" t="s">
        <v>1694</v>
      </c>
      <c r="C1" s="108" t="s">
        <v>1693</v>
      </c>
      <c r="D1" s="111" t="s">
        <v>1695</v>
      </c>
    </row>
    <row r="2" spans="1:4">
      <c r="A2" s="109">
        <v>1101</v>
      </c>
      <c r="B2" s="110" t="s">
        <v>1712</v>
      </c>
      <c r="C2" s="116" t="str">
        <f>IF(LEN(A2)=5, LEFT(A2,2),LEFT(A2,1))</f>
        <v>1</v>
      </c>
      <c r="D2" s="114" t="str">
        <f>CONCATENATE( "INSERT INTO COMUNAS (ID_COMUNA,NOMBRE,ID_REGION) VALUES (",A2,",'",B2,"',",C2,");")</f>
        <v>INSERT INTO COMUNAS (ID_COMUNA,NOMBRE,ID_REGION) VALUES (1101,'Iquique',1);</v>
      </c>
    </row>
    <row r="3" spans="1:4">
      <c r="A3" s="109">
        <v>1107</v>
      </c>
      <c r="B3" s="110" t="s">
        <v>1713</v>
      </c>
      <c r="C3" s="116" t="str">
        <f t="shared" ref="C3:C66" si="0">IF(LEN(A3)=5,LEFT(A3,2),LEFT(A3,1))</f>
        <v>1</v>
      </c>
      <c r="D3" s="114" t="str">
        <f t="shared" ref="D3:D66" si="1">CONCATENATE( "INSERT INTO COMUNAS (ID_COMUNA,NOMBRE,ID_REGION) VALUES (",A3,",'",B3,"',",C3,");")</f>
        <v>INSERT INTO COMUNAS (ID_COMUNA,NOMBRE,ID_REGION) VALUES (1107,'Alto Hospicio',1);</v>
      </c>
    </row>
    <row r="4" spans="1:4">
      <c r="A4" s="109">
        <v>1401</v>
      </c>
      <c r="B4" s="110" t="s">
        <v>1714</v>
      </c>
      <c r="C4" s="116" t="str">
        <f t="shared" si="0"/>
        <v>1</v>
      </c>
      <c r="D4" s="114" t="str">
        <f t="shared" si="1"/>
        <v>INSERT INTO COMUNAS (ID_COMUNA,NOMBRE,ID_REGION) VALUES (1401,'Pozo Almonte',1);</v>
      </c>
    </row>
    <row r="5" spans="1:4">
      <c r="A5" s="109">
        <v>1402</v>
      </c>
      <c r="B5" s="110" t="s">
        <v>1715</v>
      </c>
      <c r="C5" s="116" t="str">
        <f t="shared" si="0"/>
        <v>1</v>
      </c>
      <c r="D5" s="114" t="str">
        <f t="shared" si="1"/>
        <v>INSERT INTO COMUNAS (ID_COMUNA,NOMBRE,ID_REGION) VALUES (1402,'Camiña',1);</v>
      </c>
    </row>
    <row r="6" spans="1:4">
      <c r="A6" s="109">
        <v>1403</v>
      </c>
      <c r="B6" s="110" t="s">
        <v>1716</v>
      </c>
      <c r="C6" s="116" t="str">
        <f t="shared" si="0"/>
        <v>1</v>
      </c>
      <c r="D6" s="114" t="str">
        <f t="shared" si="1"/>
        <v>INSERT INTO COMUNAS (ID_COMUNA,NOMBRE,ID_REGION) VALUES (1403,'Colchane',1);</v>
      </c>
    </row>
    <row r="7" spans="1:4">
      <c r="A7" s="109">
        <v>1404</v>
      </c>
      <c r="B7" s="110" t="s">
        <v>1717</v>
      </c>
      <c r="C7" s="116" t="str">
        <f t="shared" si="0"/>
        <v>1</v>
      </c>
      <c r="D7" s="114" t="str">
        <f t="shared" si="1"/>
        <v>INSERT INTO COMUNAS (ID_COMUNA,NOMBRE,ID_REGION) VALUES (1404,'Huara',1);</v>
      </c>
    </row>
    <row r="8" spans="1:4">
      <c r="A8" s="109">
        <v>1405</v>
      </c>
      <c r="B8" s="110" t="s">
        <v>1718</v>
      </c>
      <c r="C8" s="116" t="str">
        <f t="shared" si="0"/>
        <v>1</v>
      </c>
      <c r="D8" s="114" t="str">
        <f t="shared" si="1"/>
        <v>INSERT INTO COMUNAS (ID_COMUNA,NOMBRE,ID_REGION) VALUES (1405,'Pica',1);</v>
      </c>
    </row>
    <row r="9" spans="1:4">
      <c r="A9" s="109">
        <v>2101</v>
      </c>
      <c r="B9" s="110" t="s">
        <v>1719</v>
      </c>
      <c r="C9" s="116" t="str">
        <f t="shared" si="0"/>
        <v>2</v>
      </c>
      <c r="D9" s="114" t="str">
        <f t="shared" si="1"/>
        <v>INSERT INTO COMUNAS (ID_COMUNA,NOMBRE,ID_REGION) VALUES (2101,'Antofagasta',2);</v>
      </c>
    </row>
    <row r="10" spans="1:4">
      <c r="A10" s="109">
        <v>2102</v>
      </c>
      <c r="B10" s="110" t="s">
        <v>1720</v>
      </c>
      <c r="C10" s="116" t="str">
        <f t="shared" si="0"/>
        <v>2</v>
      </c>
      <c r="D10" s="114" t="str">
        <f t="shared" si="1"/>
        <v>INSERT INTO COMUNAS (ID_COMUNA,NOMBRE,ID_REGION) VALUES (2102,'Mejillones',2);</v>
      </c>
    </row>
    <row r="11" spans="1:4">
      <c r="A11" s="109">
        <v>2103</v>
      </c>
      <c r="B11" s="110" t="s">
        <v>1721</v>
      </c>
      <c r="C11" s="116" t="str">
        <f t="shared" si="0"/>
        <v>2</v>
      </c>
      <c r="D11" s="114" t="str">
        <f t="shared" si="1"/>
        <v>INSERT INTO COMUNAS (ID_COMUNA,NOMBRE,ID_REGION) VALUES (2103,'Sierra Gorda',2);</v>
      </c>
    </row>
    <row r="12" spans="1:4">
      <c r="A12" s="109">
        <v>2104</v>
      </c>
      <c r="B12" s="110" t="s">
        <v>1722</v>
      </c>
      <c r="C12" s="116" t="str">
        <f t="shared" si="0"/>
        <v>2</v>
      </c>
      <c r="D12" s="114" t="str">
        <f t="shared" si="1"/>
        <v>INSERT INTO COMUNAS (ID_COMUNA,NOMBRE,ID_REGION) VALUES (2104,'Taltal',2);</v>
      </c>
    </row>
    <row r="13" spans="1:4">
      <c r="A13" s="109">
        <v>2201</v>
      </c>
      <c r="B13" s="110" t="s">
        <v>1723</v>
      </c>
      <c r="C13" s="116" t="str">
        <f t="shared" si="0"/>
        <v>2</v>
      </c>
      <c r="D13" s="114" t="str">
        <f t="shared" si="1"/>
        <v>INSERT INTO COMUNAS (ID_COMUNA,NOMBRE,ID_REGION) VALUES (2201,'Calama',2);</v>
      </c>
    </row>
    <row r="14" spans="1:4">
      <c r="A14" s="109">
        <v>2202</v>
      </c>
      <c r="B14" s="110" t="s">
        <v>1724</v>
      </c>
      <c r="C14" s="116" t="str">
        <f t="shared" si="0"/>
        <v>2</v>
      </c>
      <c r="D14" s="114" t="str">
        <f t="shared" si="1"/>
        <v>INSERT INTO COMUNAS (ID_COMUNA,NOMBRE,ID_REGION) VALUES (2202,'Ollague',2);</v>
      </c>
    </row>
    <row r="15" spans="1:4">
      <c r="A15" s="109">
        <v>2203</v>
      </c>
      <c r="B15" s="110" t="s">
        <v>1725</v>
      </c>
      <c r="C15" s="116" t="str">
        <f t="shared" si="0"/>
        <v>2</v>
      </c>
      <c r="D15" s="114" t="str">
        <f t="shared" si="1"/>
        <v>INSERT INTO COMUNAS (ID_COMUNA,NOMBRE,ID_REGION) VALUES (2203,'San Pedro de Atacama',2);</v>
      </c>
    </row>
    <row r="16" spans="1:4">
      <c r="A16" s="109">
        <v>2301</v>
      </c>
      <c r="B16" s="110" t="s">
        <v>1726</v>
      </c>
      <c r="C16" s="116" t="str">
        <f t="shared" si="0"/>
        <v>2</v>
      </c>
      <c r="D16" s="114" t="str">
        <f t="shared" si="1"/>
        <v>INSERT INTO COMUNAS (ID_COMUNA,NOMBRE,ID_REGION) VALUES (2301,'Tocopilla',2);</v>
      </c>
    </row>
    <row r="17" spans="1:4">
      <c r="A17" s="109">
        <v>2302</v>
      </c>
      <c r="B17" s="110" t="s">
        <v>1727</v>
      </c>
      <c r="C17" s="116" t="str">
        <f t="shared" si="0"/>
        <v>2</v>
      </c>
      <c r="D17" s="114" t="str">
        <f t="shared" si="1"/>
        <v>INSERT INTO COMUNAS (ID_COMUNA,NOMBRE,ID_REGION) VALUES (2302,'María Elena',2);</v>
      </c>
    </row>
    <row r="18" spans="1:4">
      <c r="A18" s="109">
        <v>3101</v>
      </c>
      <c r="B18" s="110" t="s">
        <v>1728</v>
      </c>
      <c r="C18" s="116" t="str">
        <f t="shared" si="0"/>
        <v>3</v>
      </c>
      <c r="D18" s="114" t="str">
        <f t="shared" si="1"/>
        <v>INSERT INTO COMUNAS (ID_COMUNA,NOMBRE,ID_REGION) VALUES (3101,'Copiapó',3);</v>
      </c>
    </row>
    <row r="19" spans="1:4">
      <c r="A19" s="109">
        <v>3102</v>
      </c>
      <c r="B19" s="110" t="s">
        <v>1729</v>
      </c>
      <c r="C19" s="116" t="str">
        <f t="shared" si="0"/>
        <v>3</v>
      </c>
      <c r="D19" s="114" t="str">
        <f t="shared" si="1"/>
        <v>INSERT INTO COMUNAS (ID_COMUNA,NOMBRE,ID_REGION) VALUES (3102,'Caldera',3);</v>
      </c>
    </row>
    <row r="20" spans="1:4">
      <c r="A20" s="109">
        <v>3103</v>
      </c>
      <c r="B20" s="110" t="s">
        <v>1730</v>
      </c>
      <c r="C20" s="116" t="str">
        <f t="shared" si="0"/>
        <v>3</v>
      </c>
      <c r="D20" s="114" t="str">
        <f t="shared" si="1"/>
        <v>INSERT INTO COMUNAS (ID_COMUNA,NOMBRE,ID_REGION) VALUES (3103,'Tierra Amarilla',3);</v>
      </c>
    </row>
    <row r="21" spans="1:4">
      <c r="A21" s="109">
        <v>3201</v>
      </c>
      <c r="B21" s="110" t="s">
        <v>1731</v>
      </c>
      <c r="C21" s="116" t="str">
        <f t="shared" si="0"/>
        <v>3</v>
      </c>
      <c r="D21" s="114" t="str">
        <f t="shared" si="1"/>
        <v>INSERT INTO COMUNAS (ID_COMUNA,NOMBRE,ID_REGION) VALUES (3201,'Chañaral',3);</v>
      </c>
    </row>
    <row r="22" spans="1:4">
      <c r="A22" s="109">
        <v>3202</v>
      </c>
      <c r="B22" s="110" t="s">
        <v>1732</v>
      </c>
      <c r="C22" s="116" t="str">
        <f t="shared" si="0"/>
        <v>3</v>
      </c>
      <c r="D22" s="114" t="str">
        <f t="shared" si="1"/>
        <v>INSERT INTO COMUNAS (ID_COMUNA,NOMBRE,ID_REGION) VALUES (3202,'Diego de Almagro',3);</v>
      </c>
    </row>
    <row r="23" spans="1:4">
      <c r="A23" s="109">
        <v>3301</v>
      </c>
      <c r="B23" s="110" t="s">
        <v>1733</v>
      </c>
      <c r="C23" s="116" t="str">
        <f t="shared" si="0"/>
        <v>3</v>
      </c>
      <c r="D23" s="114" t="str">
        <f t="shared" si="1"/>
        <v>INSERT INTO COMUNAS (ID_COMUNA,NOMBRE,ID_REGION) VALUES (3301,'Vallenar',3);</v>
      </c>
    </row>
    <row r="24" spans="1:4">
      <c r="A24" s="109">
        <v>3302</v>
      </c>
      <c r="B24" s="110" t="s">
        <v>1734</v>
      </c>
      <c r="C24" s="116" t="str">
        <f t="shared" si="0"/>
        <v>3</v>
      </c>
      <c r="D24" s="114" t="str">
        <f t="shared" si="1"/>
        <v>INSERT INTO COMUNAS (ID_COMUNA,NOMBRE,ID_REGION) VALUES (3302,'Alto del Carmen',3);</v>
      </c>
    </row>
    <row r="25" spans="1:4">
      <c r="A25" s="109">
        <v>3303</v>
      </c>
      <c r="B25" s="110" t="s">
        <v>1735</v>
      </c>
      <c r="C25" s="116" t="str">
        <f t="shared" si="0"/>
        <v>3</v>
      </c>
      <c r="D25" s="114" t="str">
        <f t="shared" si="1"/>
        <v>INSERT INTO COMUNAS (ID_COMUNA,NOMBRE,ID_REGION) VALUES (3303,'Freirina',3);</v>
      </c>
    </row>
    <row r="26" spans="1:4">
      <c r="A26" s="109">
        <v>3304</v>
      </c>
      <c r="B26" s="110" t="s">
        <v>1736</v>
      </c>
      <c r="C26" s="116" t="str">
        <f t="shared" si="0"/>
        <v>3</v>
      </c>
      <c r="D26" s="114" t="str">
        <f t="shared" si="1"/>
        <v>INSERT INTO COMUNAS (ID_COMUNA,NOMBRE,ID_REGION) VALUES (3304,'Huasco',3);</v>
      </c>
    </row>
    <row r="27" spans="1:4">
      <c r="A27" s="109">
        <v>4101</v>
      </c>
      <c r="B27" s="110" t="s">
        <v>1737</v>
      </c>
      <c r="C27" s="116" t="str">
        <f t="shared" si="0"/>
        <v>4</v>
      </c>
      <c r="D27" s="114" t="str">
        <f t="shared" si="1"/>
        <v>INSERT INTO COMUNAS (ID_COMUNA,NOMBRE,ID_REGION) VALUES (4101,'La Serena',4);</v>
      </c>
    </row>
    <row r="28" spans="1:4">
      <c r="A28" s="109">
        <v>4102</v>
      </c>
      <c r="B28" s="110" t="s">
        <v>1738</v>
      </c>
      <c r="C28" s="116" t="str">
        <f t="shared" si="0"/>
        <v>4</v>
      </c>
      <c r="D28" s="114" t="str">
        <f t="shared" si="1"/>
        <v>INSERT INTO COMUNAS (ID_COMUNA,NOMBRE,ID_REGION) VALUES (4102,'Coquimbo',4);</v>
      </c>
    </row>
    <row r="29" spans="1:4">
      <c r="A29" s="109">
        <v>4103</v>
      </c>
      <c r="B29" s="110" t="s">
        <v>1739</v>
      </c>
      <c r="C29" s="116" t="str">
        <f t="shared" si="0"/>
        <v>4</v>
      </c>
      <c r="D29" s="114" t="str">
        <f t="shared" si="1"/>
        <v>INSERT INTO COMUNAS (ID_COMUNA,NOMBRE,ID_REGION) VALUES (4103,'Andacollo',4);</v>
      </c>
    </row>
    <row r="30" spans="1:4">
      <c r="A30" s="109">
        <v>4104</v>
      </c>
      <c r="B30" s="110" t="s">
        <v>1740</v>
      </c>
      <c r="C30" s="116" t="str">
        <f t="shared" si="0"/>
        <v>4</v>
      </c>
      <c r="D30" s="114" t="str">
        <f t="shared" si="1"/>
        <v>INSERT INTO COMUNAS (ID_COMUNA,NOMBRE,ID_REGION) VALUES (4104,'La Higuera',4);</v>
      </c>
    </row>
    <row r="31" spans="1:4">
      <c r="A31" s="109">
        <v>4105</v>
      </c>
      <c r="B31" s="110" t="s">
        <v>1741</v>
      </c>
      <c r="C31" s="116" t="str">
        <f t="shared" si="0"/>
        <v>4</v>
      </c>
      <c r="D31" s="114" t="str">
        <f t="shared" si="1"/>
        <v>INSERT INTO COMUNAS (ID_COMUNA,NOMBRE,ID_REGION) VALUES (4105,'Paihuano',4);</v>
      </c>
    </row>
    <row r="32" spans="1:4">
      <c r="A32" s="109">
        <v>4106</v>
      </c>
      <c r="B32" s="110" t="s">
        <v>1742</v>
      </c>
      <c r="C32" s="116" t="str">
        <f t="shared" si="0"/>
        <v>4</v>
      </c>
      <c r="D32" s="114" t="str">
        <f t="shared" si="1"/>
        <v>INSERT INTO COMUNAS (ID_COMUNA,NOMBRE,ID_REGION) VALUES (4106,'Vicuña',4);</v>
      </c>
    </row>
    <row r="33" spans="1:4">
      <c r="A33" s="109">
        <v>4201</v>
      </c>
      <c r="B33" s="110" t="s">
        <v>1743</v>
      </c>
      <c r="C33" s="116" t="str">
        <f t="shared" si="0"/>
        <v>4</v>
      </c>
      <c r="D33" s="114" t="str">
        <f t="shared" si="1"/>
        <v>INSERT INTO COMUNAS (ID_COMUNA,NOMBRE,ID_REGION) VALUES (4201,'Illapel',4);</v>
      </c>
    </row>
    <row r="34" spans="1:4">
      <c r="A34" s="109">
        <v>4202</v>
      </c>
      <c r="B34" s="110" t="s">
        <v>1744</v>
      </c>
      <c r="C34" s="116" t="str">
        <f t="shared" si="0"/>
        <v>4</v>
      </c>
      <c r="D34" s="114" t="str">
        <f t="shared" si="1"/>
        <v>INSERT INTO COMUNAS (ID_COMUNA,NOMBRE,ID_REGION) VALUES (4202,'Canela',4);</v>
      </c>
    </row>
    <row r="35" spans="1:4">
      <c r="A35" s="109">
        <v>4203</v>
      </c>
      <c r="B35" s="110" t="s">
        <v>1745</v>
      </c>
      <c r="C35" s="116" t="str">
        <f t="shared" si="0"/>
        <v>4</v>
      </c>
      <c r="D35" s="114" t="str">
        <f t="shared" si="1"/>
        <v>INSERT INTO COMUNAS (ID_COMUNA,NOMBRE,ID_REGION) VALUES (4203,'Los Vilos',4);</v>
      </c>
    </row>
    <row r="36" spans="1:4">
      <c r="A36" s="109">
        <v>4204</v>
      </c>
      <c r="B36" s="110" t="s">
        <v>1746</v>
      </c>
      <c r="C36" s="116" t="str">
        <f t="shared" si="0"/>
        <v>4</v>
      </c>
      <c r="D36" s="114" t="str">
        <f t="shared" si="1"/>
        <v>INSERT INTO COMUNAS (ID_COMUNA,NOMBRE,ID_REGION) VALUES (4204,'Salamanca',4);</v>
      </c>
    </row>
    <row r="37" spans="1:4">
      <c r="A37" s="109">
        <v>4301</v>
      </c>
      <c r="B37" s="110" t="s">
        <v>1747</v>
      </c>
      <c r="C37" s="116" t="str">
        <f t="shared" si="0"/>
        <v>4</v>
      </c>
      <c r="D37" s="114" t="str">
        <f t="shared" si="1"/>
        <v>INSERT INTO COMUNAS (ID_COMUNA,NOMBRE,ID_REGION) VALUES (4301,'Ovalle',4);</v>
      </c>
    </row>
    <row r="38" spans="1:4">
      <c r="A38" s="109">
        <v>4302</v>
      </c>
      <c r="B38" s="110" t="s">
        <v>1748</v>
      </c>
      <c r="C38" s="116" t="str">
        <f t="shared" si="0"/>
        <v>4</v>
      </c>
      <c r="D38" s="114" t="str">
        <f t="shared" si="1"/>
        <v>INSERT INTO COMUNAS (ID_COMUNA,NOMBRE,ID_REGION) VALUES (4302,'Combarbalá',4);</v>
      </c>
    </row>
    <row r="39" spans="1:4">
      <c r="A39" s="109">
        <v>4303</v>
      </c>
      <c r="B39" s="110" t="s">
        <v>1749</v>
      </c>
      <c r="C39" s="116" t="str">
        <f t="shared" si="0"/>
        <v>4</v>
      </c>
      <c r="D39" s="114" t="str">
        <f t="shared" si="1"/>
        <v>INSERT INTO COMUNAS (ID_COMUNA,NOMBRE,ID_REGION) VALUES (4303,'Monte Patria',4);</v>
      </c>
    </row>
    <row r="40" spans="1:4">
      <c r="A40" s="109">
        <v>4304</v>
      </c>
      <c r="B40" s="110" t="s">
        <v>1750</v>
      </c>
      <c r="C40" s="116" t="str">
        <f t="shared" si="0"/>
        <v>4</v>
      </c>
      <c r="D40" s="114" t="str">
        <f t="shared" si="1"/>
        <v>INSERT INTO COMUNAS (ID_COMUNA,NOMBRE,ID_REGION) VALUES (4304,'Punitaqui',4);</v>
      </c>
    </row>
    <row r="41" spans="1:4">
      <c r="A41" s="109">
        <v>4305</v>
      </c>
      <c r="B41" s="110" t="s">
        <v>1751</v>
      </c>
      <c r="C41" s="116" t="str">
        <f t="shared" si="0"/>
        <v>4</v>
      </c>
      <c r="D41" s="114" t="str">
        <f t="shared" si="1"/>
        <v>INSERT INTO COMUNAS (ID_COMUNA,NOMBRE,ID_REGION) VALUES (4305,'Río Hurtado',4);</v>
      </c>
    </row>
    <row r="42" spans="1:4">
      <c r="A42" s="109">
        <v>5101</v>
      </c>
      <c r="B42" s="110" t="s">
        <v>1752</v>
      </c>
      <c r="C42" s="116" t="str">
        <f t="shared" si="0"/>
        <v>5</v>
      </c>
      <c r="D42" s="114" t="str">
        <f t="shared" si="1"/>
        <v>INSERT INTO COMUNAS (ID_COMUNA,NOMBRE,ID_REGION) VALUES (5101,'Valparaíso',5);</v>
      </c>
    </row>
    <row r="43" spans="1:4">
      <c r="A43" s="109">
        <v>5102</v>
      </c>
      <c r="B43" s="110" t="s">
        <v>1753</v>
      </c>
      <c r="C43" s="116" t="str">
        <f t="shared" si="0"/>
        <v>5</v>
      </c>
      <c r="D43" s="114" t="str">
        <f t="shared" si="1"/>
        <v>INSERT INTO COMUNAS (ID_COMUNA,NOMBRE,ID_REGION) VALUES (5102,'Casablanca',5);</v>
      </c>
    </row>
    <row r="44" spans="1:4">
      <c r="A44" s="109">
        <v>5103</v>
      </c>
      <c r="B44" s="110" t="s">
        <v>1754</v>
      </c>
      <c r="C44" s="116" t="str">
        <f t="shared" si="0"/>
        <v>5</v>
      </c>
      <c r="D44" s="114" t="str">
        <f t="shared" si="1"/>
        <v>INSERT INTO COMUNAS (ID_COMUNA,NOMBRE,ID_REGION) VALUES (5103,'Concón',5);</v>
      </c>
    </row>
    <row r="45" spans="1:4">
      <c r="A45" s="109">
        <v>5104</v>
      </c>
      <c r="B45" s="110" t="s">
        <v>1755</v>
      </c>
      <c r="C45" s="116" t="str">
        <f t="shared" si="0"/>
        <v>5</v>
      </c>
      <c r="D45" s="114" t="str">
        <f t="shared" si="1"/>
        <v>INSERT INTO COMUNAS (ID_COMUNA,NOMBRE,ID_REGION) VALUES (5104,'Juan Fernández',5);</v>
      </c>
    </row>
    <row r="46" spans="1:4">
      <c r="A46" s="109">
        <v>5105</v>
      </c>
      <c r="B46" s="110" t="s">
        <v>1756</v>
      </c>
      <c r="C46" s="116" t="str">
        <f t="shared" si="0"/>
        <v>5</v>
      </c>
      <c r="D46" s="114" t="str">
        <f t="shared" si="1"/>
        <v>INSERT INTO COMUNAS (ID_COMUNA,NOMBRE,ID_REGION) VALUES (5105,'Puchuncaví',5);</v>
      </c>
    </row>
    <row r="47" spans="1:4">
      <c r="A47" s="109">
        <v>5107</v>
      </c>
      <c r="B47" s="110" t="s">
        <v>1757</v>
      </c>
      <c r="C47" s="116" t="str">
        <f t="shared" si="0"/>
        <v>5</v>
      </c>
      <c r="D47" s="114" t="str">
        <f t="shared" si="1"/>
        <v>INSERT INTO COMUNAS (ID_COMUNA,NOMBRE,ID_REGION) VALUES (5107,'Quintero',5);</v>
      </c>
    </row>
    <row r="48" spans="1:4">
      <c r="A48" s="109">
        <v>5109</v>
      </c>
      <c r="B48" s="110" t="s">
        <v>1758</v>
      </c>
      <c r="C48" s="116" t="str">
        <f t="shared" si="0"/>
        <v>5</v>
      </c>
      <c r="D48" s="114" t="str">
        <f t="shared" si="1"/>
        <v>INSERT INTO COMUNAS (ID_COMUNA,NOMBRE,ID_REGION) VALUES (5109,'Viña del Mar',5);</v>
      </c>
    </row>
    <row r="49" spans="1:4">
      <c r="A49" s="109">
        <v>5201</v>
      </c>
      <c r="B49" s="110" t="s">
        <v>1759</v>
      </c>
      <c r="C49" s="116" t="str">
        <f t="shared" si="0"/>
        <v>5</v>
      </c>
      <c r="D49" s="114" t="str">
        <f t="shared" si="1"/>
        <v>INSERT INTO COMUNAS (ID_COMUNA,NOMBRE,ID_REGION) VALUES (5201,'Isla de Pascua',5);</v>
      </c>
    </row>
    <row r="50" spans="1:4">
      <c r="A50" s="109">
        <v>5301</v>
      </c>
      <c r="B50" s="110" t="s">
        <v>1760</v>
      </c>
      <c r="C50" s="116" t="str">
        <f t="shared" si="0"/>
        <v>5</v>
      </c>
      <c r="D50" s="114" t="str">
        <f t="shared" si="1"/>
        <v>INSERT INTO COMUNAS (ID_COMUNA,NOMBRE,ID_REGION) VALUES (5301,'Los Andes',5);</v>
      </c>
    </row>
    <row r="51" spans="1:4">
      <c r="A51" s="109">
        <v>5302</v>
      </c>
      <c r="B51" s="110" t="s">
        <v>1761</v>
      </c>
      <c r="C51" s="116" t="str">
        <f t="shared" si="0"/>
        <v>5</v>
      </c>
      <c r="D51" s="114" t="str">
        <f t="shared" si="1"/>
        <v>INSERT INTO COMUNAS (ID_COMUNA,NOMBRE,ID_REGION) VALUES (5302,'Calle Larga',5);</v>
      </c>
    </row>
    <row r="52" spans="1:4">
      <c r="A52" s="109">
        <v>5303</v>
      </c>
      <c r="B52" s="110" t="s">
        <v>1762</v>
      </c>
      <c r="C52" s="116" t="str">
        <f t="shared" si="0"/>
        <v>5</v>
      </c>
      <c r="D52" s="114" t="str">
        <f t="shared" si="1"/>
        <v>INSERT INTO COMUNAS (ID_COMUNA,NOMBRE,ID_REGION) VALUES (5303,'Rinconada',5);</v>
      </c>
    </row>
    <row r="53" spans="1:4">
      <c r="A53" s="109">
        <v>5304</v>
      </c>
      <c r="B53" s="110" t="s">
        <v>1763</v>
      </c>
      <c r="C53" s="116" t="str">
        <f t="shared" si="0"/>
        <v>5</v>
      </c>
      <c r="D53" s="114" t="str">
        <f t="shared" si="1"/>
        <v>INSERT INTO COMUNAS (ID_COMUNA,NOMBRE,ID_REGION) VALUES (5304,'San Esteban',5);</v>
      </c>
    </row>
    <row r="54" spans="1:4">
      <c r="A54" s="109">
        <v>5401</v>
      </c>
      <c r="B54" s="110" t="s">
        <v>1764</v>
      </c>
      <c r="C54" s="116" t="str">
        <f t="shared" si="0"/>
        <v>5</v>
      </c>
      <c r="D54" s="114" t="str">
        <f t="shared" si="1"/>
        <v>INSERT INTO COMUNAS (ID_COMUNA,NOMBRE,ID_REGION) VALUES (5401,'La Ligua',5);</v>
      </c>
    </row>
    <row r="55" spans="1:4">
      <c r="A55" s="109">
        <v>5402</v>
      </c>
      <c r="B55" s="110" t="s">
        <v>1765</v>
      </c>
      <c r="C55" s="116" t="str">
        <f t="shared" si="0"/>
        <v>5</v>
      </c>
      <c r="D55" s="114" t="str">
        <f t="shared" si="1"/>
        <v>INSERT INTO COMUNAS (ID_COMUNA,NOMBRE,ID_REGION) VALUES (5402,'Cabildo',5);</v>
      </c>
    </row>
    <row r="56" spans="1:4">
      <c r="A56" s="109">
        <v>5403</v>
      </c>
      <c r="B56" s="110" t="s">
        <v>1766</v>
      </c>
      <c r="C56" s="116" t="str">
        <f t="shared" si="0"/>
        <v>5</v>
      </c>
      <c r="D56" s="114" t="str">
        <f t="shared" si="1"/>
        <v>INSERT INTO COMUNAS (ID_COMUNA,NOMBRE,ID_REGION) VALUES (5403,'Papudo',5);</v>
      </c>
    </row>
    <row r="57" spans="1:4">
      <c r="A57" s="109">
        <v>5404</v>
      </c>
      <c r="B57" s="110" t="s">
        <v>1767</v>
      </c>
      <c r="C57" s="116" t="str">
        <f t="shared" si="0"/>
        <v>5</v>
      </c>
      <c r="D57" s="114" t="str">
        <f t="shared" si="1"/>
        <v>INSERT INTO COMUNAS (ID_COMUNA,NOMBRE,ID_REGION) VALUES (5404,'Petorca',5);</v>
      </c>
    </row>
    <row r="58" spans="1:4">
      <c r="A58" s="109">
        <v>5405</v>
      </c>
      <c r="B58" s="110" t="s">
        <v>1768</v>
      </c>
      <c r="C58" s="116" t="str">
        <f t="shared" si="0"/>
        <v>5</v>
      </c>
      <c r="D58" s="114" t="str">
        <f t="shared" si="1"/>
        <v>INSERT INTO COMUNAS (ID_COMUNA,NOMBRE,ID_REGION) VALUES (5405,'Zapallar',5);</v>
      </c>
    </row>
    <row r="59" spans="1:4">
      <c r="A59" s="109">
        <v>5501</v>
      </c>
      <c r="B59" s="110" t="s">
        <v>1769</v>
      </c>
      <c r="C59" s="116" t="str">
        <f t="shared" si="0"/>
        <v>5</v>
      </c>
      <c r="D59" s="114" t="str">
        <f t="shared" si="1"/>
        <v>INSERT INTO COMUNAS (ID_COMUNA,NOMBRE,ID_REGION) VALUES (5501,'Quillota',5);</v>
      </c>
    </row>
    <row r="60" spans="1:4">
      <c r="A60" s="109">
        <v>5502</v>
      </c>
      <c r="B60" s="110" t="s">
        <v>1770</v>
      </c>
      <c r="C60" s="116" t="str">
        <f t="shared" si="0"/>
        <v>5</v>
      </c>
      <c r="D60" s="114" t="str">
        <f t="shared" si="1"/>
        <v>INSERT INTO COMUNAS (ID_COMUNA,NOMBRE,ID_REGION) VALUES (5502,'Calera',5);</v>
      </c>
    </row>
    <row r="61" spans="1:4">
      <c r="A61" s="109">
        <v>5503</v>
      </c>
      <c r="B61" s="110" t="s">
        <v>1771</v>
      </c>
      <c r="C61" s="116" t="str">
        <f t="shared" si="0"/>
        <v>5</v>
      </c>
      <c r="D61" s="114" t="str">
        <f t="shared" si="1"/>
        <v>INSERT INTO COMUNAS (ID_COMUNA,NOMBRE,ID_REGION) VALUES (5503,'Hijuelas',5);</v>
      </c>
    </row>
    <row r="62" spans="1:4">
      <c r="A62" s="109">
        <v>5504</v>
      </c>
      <c r="B62" s="110" t="s">
        <v>1772</v>
      </c>
      <c r="C62" s="116" t="str">
        <f t="shared" si="0"/>
        <v>5</v>
      </c>
      <c r="D62" s="114" t="str">
        <f t="shared" si="1"/>
        <v>INSERT INTO COMUNAS (ID_COMUNA,NOMBRE,ID_REGION) VALUES (5504,'La Cruz',5);</v>
      </c>
    </row>
    <row r="63" spans="1:4">
      <c r="A63" s="109">
        <v>5506</v>
      </c>
      <c r="B63" s="110" t="s">
        <v>1773</v>
      </c>
      <c r="C63" s="116" t="str">
        <f t="shared" si="0"/>
        <v>5</v>
      </c>
      <c r="D63" s="114" t="str">
        <f t="shared" si="1"/>
        <v>INSERT INTO COMUNAS (ID_COMUNA,NOMBRE,ID_REGION) VALUES (5506,'Nogales',5);</v>
      </c>
    </row>
    <row r="64" spans="1:4">
      <c r="A64" s="109">
        <v>5601</v>
      </c>
      <c r="B64" s="110" t="s">
        <v>1774</v>
      </c>
      <c r="C64" s="116" t="str">
        <f t="shared" si="0"/>
        <v>5</v>
      </c>
      <c r="D64" s="114" t="str">
        <f t="shared" si="1"/>
        <v>INSERT INTO COMUNAS (ID_COMUNA,NOMBRE,ID_REGION) VALUES (5601,'San Antonio',5);</v>
      </c>
    </row>
    <row r="65" spans="1:4">
      <c r="A65" s="109">
        <v>5602</v>
      </c>
      <c r="B65" s="110" t="s">
        <v>1775</v>
      </c>
      <c r="C65" s="116" t="str">
        <f t="shared" si="0"/>
        <v>5</v>
      </c>
      <c r="D65" s="114" t="str">
        <f t="shared" si="1"/>
        <v>INSERT INTO COMUNAS (ID_COMUNA,NOMBRE,ID_REGION) VALUES (5602,'Algarrobo',5);</v>
      </c>
    </row>
    <row r="66" spans="1:4">
      <c r="A66" s="109">
        <v>5603</v>
      </c>
      <c r="B66" s="110" t="s">
        <v>1776</v>
      </c>
      <c r="C66" s="116" t="str">
        <f t="shared" si="0"/>
        <v>5</v>
      </c>
      <c r="D66" s="114" t="str">
        <f t="shared" si="1"/>
        <v>INSERT INTO COMUNAS (ID_COMUNA,NOMBRE,ID_REGION) VALUES (5603,'Cartagena',5);</v>
      </c>
    </row>
    <row r="67" spans="1:4">
      <c r="A67" s="109">
        <v>5604</v>
      </c>
      <c r="B67" s="110" t="s">
        <v>1777</v>
      </c>
      <c r="C67" s="116" t="str">
        <f t="shared" ref="C67:C130" si="2">IF(LEN(A67)=5,LEFT(A67,2),LEFT(A67,1))</f>
        <v>5</v>
      </c>
      <c r="D67" s="114" t="str">
        <f t="shared" ref="D67:D130" si="3">CONCATENATE( "INSERT INTO COMUNAS (ID_COMUNA,NOMBRE,ID_REGION) VALUES (",A67,",'",B67,"',",C67,");")</f>
        <v>INSERT INTO COMUNAS (ID_COMUNA,NOMBRE,ID_REGION) VALUES (5604,'El Quisco',5);</v>
      </c>
    </row>
    <row r="68" spans="1:4">
      <c r="A68" s="109">
        <v>5605</v>
      </c>
      <c r="B68" s="110" t="s">
        <v>1778</v>
      </c>
      <c r="C68" s="116" t="str">
        <f t="shared" si="2"/>
        <v>5</v>
      </c>
      <c r="D68" s="114" t="str">
        <f t="shared" si="3"/>
        <v>INSERT INTO COMUNAS (ID_COMUNA,NOMBRE,ID_REGION) VALUES (5605,'El Tabo',5);</v>
      </c>
    </row>
    <row r="69" spans="1:4">
      <c r="A69" s="109">
        <v>5606</v>
      </c>
      <c r="B69" s="110" t="s">
        <v>1779</v>
      </c>
      <c r="C69" s="116" t="str">
        <f t="shared" si="2"/>
        <v>5</v>
      </c>
      <c r="D69" s="114" t="str">
        <f t="shared" si="3"/>
        <v>INSERT INTO COMUNAS (ID_COMUNA,NOMBRE,ID_REGION) VALUES (5606,'Santo Domingo',5);</v>
      </c>
    </row>
    <row r="70" spans="1:4">
      <c r="A70" s="109">
        <v>5701</v>
      </c>
      <c r="B70" s="110" t="s">
        <v>1780</v>
      </c>
      <c r="C70" s="116" t="str">
        <f t="shared" si="2"/>
        <v>5</v>
      </c>
      <c r="D70" s="114" t="str">
        <f t="shared" si="3"/>
        <v>INSERT INTO COMUNAS (ID_COMUNA,NOMBRE,ID_REGION) VALUES (5701,'San Felipe',5);</v>
      </c>
    </row>
    <row r="71" spans="1:4">
      <c r="A71" s="109">
        <v>5702</v>
      </c>
      <c r="B71" s="110" t="s">
        <v>1781</v>
      </c>
      <c r="C71" s="116" t="str">
        <f t="shared" si="2"/>
        <v>5</v>
      </c>
      <c r="D71" s="114" t="str">
        <f t="shared" si="3"/>
        <v>INSERT INTO COMUNAS (ID_COMUNA,NOMBRE,ID_REGION) VALUES (5702,'Catemu',5);</v>
      </c>
    </row>
    <row r="72" spans="1:4">
      <c r="A72" s="109">
        <v>5703</v>
      </c>
      <c r="B72" s="110" t="s">
        <v>1782</v>
      </c>
      <c r="C72" s="116" t="str">
        <f t="shared" si="2"/>
        <v>5</v>
      </c>
      <c r="D72" s="114" t="str">
        <f t="shared" si="3"/>
        <v>INSERT INTO COMUNAS (ID_COMUNA,NOMBRE,ID_REGION) VALUES (5703,'Llay Llay',5);</v>
      </c>
    </row>
    <row r="73" spans="1:4">
      <c r="A73" s="109">
        <v>5704</v>
      </c>
      <c r="B73" s="110" t="s">
        <v>1783</v>
      </c>
      <c r="C73" s="116" t="str">
        <f t="shared" si="2"/>
        <v>5</v>
      </c>
      <c r="D73" s="114" t="str">
        <f t="shared" si="3"/>
        <v>INSERT INTO COMUNAS (ID_COMUNA,NOMBRE,ID_REGION) VALUES (5704,'Panquehue',5);</v>
      </c>
    </row>
    <row r="74" spans="1:4">
      <c r="A74" s="109">
        <v>5705</v>
      </c>
      <c r="B74" s="110" t="s">
        <v>1784</v>
      </c>
      <c r="C74" s="116" t="str">
        <f t="shared" si="2"/>
        <v>5</v>
      </c>
      <c r="D74" s="114" t="str">
        <f t="shared" si="3"/>
        <v>INSERT INTO COMUNAS (ID_COMUNA,NOMBRE,ID_REGION) VALUES (5705,'Putaendo',5);</v>
      </c>
    </row>
    <row r="75" spans="1:4">
      <c r="A75" s="109">
        <v>5706</v>
      </c>
      <c r="B75" s="110" t="s">
        <v>1785</v>
      </c>
      <c r="C75" s="116" t="str">
        <f t="shared" si="2"/>
        <v>5</v>
      </c>
      <c r="D75" s="114" t="str">
        <f t="shared" si="3"/>
        <v>INSERT INTO COMUNAS (ID_COMUNA,NOMBRE,ID_REGION) VALUES (5706,'Santa María',5);</v>
      </c>
    </row>
    <row r="76" spans="1:4">
      <c r="A76" s="109">
        <v>5801</v>
      </c>
      <c r="B76" s="110" t="s">
        <v>1786</v>
      </c>
      <c r="C76" s="116" t="str">
        <f t="shared" si="2"/>
        <v>5</v>
      </c>
      <c r="D76" s="114" t="str">
        <f t="shared" si="3"/>
        <v>INSERT INTO COMUNAS (ID_COMUNA,NOMBRE,ID_REGION) VALUES (5801,'Quilpué',5);</v>
      </c>
    </row>
    <row r="77" spans="1:4">
      <c r="A77" s="109">
        <v>5802</v>
      </c>
      <c r="B77" s="110" t="s">
        <v>1787</v>
      </c>
      <c r="C77" s="116" t="str">
        <f t="shared" si="2"/>
        <v>5</v>
      </c>
      <c r="D77" s="114" t="str">
        <f t="shared" si="3"/>
        <v>INSERT INTO COMUNAS (ID_COMUNA,NOMBRE,ID_REGION) VALUES (5802,'Limache',5);</v>
      </c>
    </row>
    <row r="78" spans="1:4">
      <c r="A78" s="109">
        <v>5803</v>
      </c>
      <c r="B78" s="110" t="s">
        <v>1788</v>
      </c>
      <c r="C78" s="116" t="str">
        <f t="shared" si="2"/>
        <v>5</v>
      </c>
      <c r="D78" s="114" t="str">
        <f t="shared" si="3"/>
        <v>INSERT INTO COMUNAS (ID_COMUNA,NOMBRE,ID_REGION) VALUES (5803,'Olmué',5);</v>
      </c>
    </row>
    <row r="79" spans="1:4">
      <c r="A79" s="109">
        <v>5804</v>
      </c>
      <c r="B79" s="110" t="s">
        <v>633</v>
      </c>
      <c r="C79" s="116" t="str">
        <f t="shared" si="2"/>
        <v>5</v>
      </c>
      <c r="D79" s="114" t="str">
        <f t="shared" si="3"/>
        <v>INSERT INTO COMUNAS (ID_COMUNA,NOMBRE,ID_REGION) VALUES (5804,'Villa Alemana',5);</v>
      </c>
    </row>
    <row r="80" spans="1:4">
      <c r="A80" s="109">
        <v>6101</v>
      </c>
      <c r="B80" s="110" t="s">
        <v>1789</v>
      </c>
      <c r="C80" s="116" t="str">
        <f t="shared" si="2"/>
        <v>6</v>
      </c>
      <c r="D80" s="114" t="str">
        <f t="shared" si="3"/>
        <v>INSERT INTO COMUNAS (ID_COMUNA,NOMBRE,ID_REGION) VALUES (6101,'Rancagua',6);</v>
      </c>
    </row>
    <row r="81" spans="1:4">
      <c r="A81" s="109">
        <v>6102</v>
      </c>
      <c r="B81" s="110" t="s">
        <v>1790</v>
      </c>
      <c r="C81" s="116" t="str">
        <f t="shared" si="2"/>
        <v>6</v>
      </c>
      <c r="D81" s="114" t="str">
        <f t="shared" si="3"/>
        <v>INSERT INTO COMUNAS (ID_COMUNA,NOMBRE,ID_REGION) VALUES (6102,'Codegua',6);</v>
      </c>
    </row>
    <row r="82" spans="1:4">
      <c r="A82" s="109">
        <v>6103</v>
      </c>
      <c r="B82" s="110" t="s">
        <v>1791</v>
      </c>
      <c r="C82" s="116" t="str">
        <f t="shared" si="2"/>
        <v>6</v>
      </c>
      <c r="D82" s="114" t="str">
        <f t="shared" si="3"/>
        <v>INSERT INTO COMUNAS (ID_COMUNA,NOMBRE,ID_REGION) VALUES (6103,'Coinco',6);</v>
      </c>
    </row>
    <row r="83" spans="1:4">
      <c r="A83" s="109">
        <v>6104</v>
      </c>
      <c r="B83" s="110" t="s">
        <v>1792</v>
      </c>
      <c r="C83" s="116" t="str">
        <f t="shared" si="2"/>
        <v>6</v>
      </c>
      <c r="D83" s="114" t="str">
        <f t="shared" si="3"/>
        <v>INSERT INTO COMUNAS (ID_COMUNA,NOMBRE,ID_REGION) VALUES (6104,'Coltauco',6);</v>
      </c>
    </row>
    <row r="84" spans="1:4">
      <c r="A84" s="109">
        <v>6105</v>
      </c>
      <c r="B84" s="110" t="s">
        <v>1793</v>
      </c>
      <c r="C84" s="116" t="str">
        <f t="shared" si="2"/>
        <v>6</v>
      </c>
      <c r="D84" s="114" t="str">
        <f t="shared" si="3"/>
        <v>INSERT INTO COMUNAS (ID_COMUNA,NOMBRE,ID_REGION) VALUES (6105,'Doñihue',6);</v>
      </c>
    </row>
    <row r="85" spans="1:4">
      <c r="A85" s="109">
        <v>6106</v>
      </c>
      <c r="B85" s="110" t="s">
        <v>1794</v>
      </c>
      <c r="C85" s="116" t="str">
        <f t="shared" si="2"/>
        <v>6</v>
      </c>
      <c r="D85" s="114" t="str">
        <f t="shared" si="3"/>
        <v>INSERT INTO COMUNAS (ID_COMUNA,NOMBRE,ID_REGION) VALUES (6106,'Graneros',6);</v>
      </c>
    </row>
    <row r="86" spans="1:4">
      <c r="A86" s="109">
        <v>6107</v>
      </c>
      <c r="B86" s="110" t="s">
        <v>1795</v>
      </c>
      <c r="C86" s="116" t="str">
        <f t="shared" si="2"/>
        <v>6</v>
      </c>
      <c r="D86" s="114" t="str">
        <f t="shared" si="3"/>
        <v>INSERT INTO COMUNAS (ID_COMUNA,NOMBRE,ID_REGION) VALUES (6107,'Las Cabras',6);</v>
      </c>
    </row>
    <row r="87" spans="1:4">
      <c r="A87" s="109">
        <v>6108</v>
      </c>
      <c r="B87" s="110" t="s">
        <v>1796</v>
      </c>
      <c r="C87" s="116" t="str">
        <f t="shared" si="2"/>
        <v>6</v>
      </c>
      <c r="D87" s="114" t="str">
        <f t="shared" si="3"/>
        <v>INSERT INTO COMUNAS (ID_COMUNA,NOMBRE,ID_REGION) VALUES (6108,'Machalí',6);</v>
      </c>
    </row>
    <row r="88" spans="1:4">
      <c r="A88" s="109">
        <v>6109</v>
      </c>
      <c r="B88" s="110" t="s">
        <v>1797</v>
      </c>
      <c r="C88" s="116" t="str">
        <f t="shared" si="2"/>
        <v>6</v>
      </c>
      <c r="D88" s="114" t="str">
        <f t="shared" si="3"/>
        <v>INSERT INTO COMUNAS (ID_COMUNA,NOMBRE,ID_REGION) VALUES (6109,'Malloa',6);</v>
      </c>
    </row>
    <row r="89" spans="1:4">
      <c r="A89" s="109">
        <v>6110</v>
      </c>
      <c r="B89" s="110" t="s">
        <v>1798</v>
      </c>
      <c r="C89" s="116" t="str">
        <f t="shared" si="2"/>
        <v>6</v>
      </c>
      <c r="D89" s="114" t="str">
        <f t="shared" si="3"/>
        <v>INSERT INTO COMUNAS (ID_COMUNA,NOMBRE,ID_REGION) VALUES (6110,'Mostazal',6);</v>
      </c>
    </row>
    <row r="90" spans="1:4">
      <c r="A90" s="109">
        <v>6111</v>
      </c>
      <c r="B90" s="110" t="s">
        <v>1799</v>
      </c>
      <c r="C90" s="116" t="str">
        <f t="shared" si="2"/>
        <v>6</v>
      </c>
      <c r="D90" s="114" t="str">
        <f t="shared" si="3"/>
        <v>INSERT INTO COMUNAS (ID_COMUNA,NOMBRE,ID_REGION) VALUES (6111,'Olivar',6);</v>
      </c>
    </row>
    <row r="91" spans="1:4">
      <c r="A91" s="109">
        <v>6112</v>
      </c>
      <c r="B91" s="110" t="s">
        <v>1800</v>
      </c>
      <c r="C91" s="116" t="str">
        <f t="shared" si="2"/>
        <v>6</v>
      </c>
      <c r="D91" s="114" t="str">
        <f t="shared" si="3"/>
        <v>INSERT INTO COMUNAS (ID_COMUNA,NOMBRE,ID_REGION) VALUES (6112,'Peumo',6);</v>
      </c>
    </row>
    <row r="92" spans="1:4">
      <c r="A92" s="109">
        <v>6113</v>
      </c>
      <c r="B92" s="110" t="s">
        <v>1801</v>
      </c>
      <c r="C92" s="116" t="str">
        <f t="shared" si="2"/>
        <v>6</v>
      </c>
      <c r="D92" s="114" t="str">
        <f t="shared" si="3"/>
        <v>INSERT INTO COMUNAS (ID_COMUNA,NOMBRE,ID_REGION) VALUES (6113,'Pichidegua',6);</v>
      </c>
    </row>
    <row r="93" spans="1:4">
      <c r="A93" s="109">
        <v>6114</v>
      </c>
      <c r="B93" s="110" t="s">
        <v>1802</v>
      </c>
      <c r="C93" s="116" t="str">
        <f t="shared" si="2"/>
        <v>6</v>
      </c>
      <c r="D93" s="114" t="str">
        <f t="shared" si="3"/>
        <v>INSERT INTO COMUNAS (ID_COMUNA,NOMBRE,ID_REGION) VALUES (6114,'Quinta de Tilcoco',6);</v>
      </c>
    </row>
    <row r="94" spans="1:4">
      <c r="A94" s="109">
        <v>6115</v>
      </c>
      <c r="B94" s="110" t="s">
        <v>1803</v>
      </c>
      <c r="C94" s="116" t="str">
        <f t="shared" si="2"/>
        <v>6</v>
      </c>
      <c r="D94" s="114" t="str">
        <f t="shared" si="3"/>
        <v>INSERT INTO COMUNAS (ID_COMUNA,NOMBRE,ID_REGION) VALUES (6115,'Rengo',6);</v>
      </c>
    </row>
    <row r="95" spans="1:4">
      <c r="A95" s="109">
        <v>6116</v>
      </c>
      <c r="B95" s="110" t="s">
        <v>1804</v>
      </c>
      <c r="C95" s="116" t="str">
        <f t="shared" si="2"/>
        <v>6</v>
      </c>
      <c r="D95" s="114" t="str">
        <f t="shared" si="3"/>
        <v>INSERT INTO COMUNAS (ID_COMUNA,NOMBRE,ID_REGION) VALUES (6116,'Requinoa',6);</v>
      </c>
    </row>
    <row r="96" spans="1:4">
      <c r="A96" s="109">
        <v>6117</v>
      </c>
      <c r="B96" s="110" t="s">
        <v>1805</v>
      </c>
      <c r="C96" s="116" t="str">
        <f t="shared" si="2"/>
        <v>6</v>
      </c>
      <c r="D96" s="114" t="str">
        <f t="shared" si="3"/>
        <v>INSERT INTO COMUNAS (ID_COMUNA,NOMBRE,ID_REGION) VALUES (6117,'San Vicente',6);</v>
      </c>
    </row>
    <row r="97" spans="1:4">
      <c r="A97" s="109">
        <v>6201</v>
      </c>
      <c r="B97" s="110" t="s">
        <v>1806</v>
      </c>
      <c r="C97" s="116" t="str">
        <f t="shared" si="2"/>
        <v>6</v>
      </c>
      <c r="D97" s="114" t="str">
        <f t="shared" si="3"/>
        <v>INSERT INTO COMUNAS (ID_COMUNA,NOMBRE,ID_REGION) VALUES (6201,'Pichilemu',6);</v>
      </c>
    </row>
    <row r="98" spans="1:4">
      <c r="A98" s="109">
        <v>6202</v>
      </c>
      <c r="B98" s="110" t="s">
        <v>1807</v>
      </c>
      <c r="C98" s="116" t="str">
        <f t="shared" si="2"/>
        <v>6</v>
      </c>
      <c r="D98" s="114" t="str">
        <f t="shared" si="3"/>
        <v>INSERT INTO COMUNAS (ID_COMUNA,NOMBRE,ID_REGION) VALUES (6202,'La Estrella',6);</v>
      </c>
    </row>
    <row r="99" spans="1:4">
      <c r="A99" s="109">
        <v>6203</v>
      </c>
      <c r="B99" s="110" t="s">
        <v>1808</v>
      </c>
      <c r="C99" s="116" t="str">
        <f t="shared" si="2"/>
        <v>6</v>
      </c>
      <c r="D99" s="114" t="str">
        <f t="shared" si="3"/>
        <v>INSERT INTO COMUNAS (ID_COMUNA,NOMBRE,ID_REGION) VALUES (6203,'Litueche',6);</v>
      </c>
    </row>
    <row r="100" spans="1:4">
      <c r="A100" s="109">
        <v>6204</v>
      </c>
      <c r="B100" s="110" t="s">
        <v>1809</v>
      </c>
      <c r="C100" s="116" t="str">
        <f t="shared" si="2"/>
        <v>6</v>
      </c>
      <c r="D100" s="114" t="str">
        <f t="shared" si="3"/>
        <v>INSERT INTO COMUNAS (ID_COMUNA,NOMBRE,ID_REGION) VALUES (6204,'Marchihue',6);</v>
      </c>
    </row>
    <row r="101" spans="1:4">
      <c r="A101" s="109">
        <v>6205</v>
      </c>
      <c r="B101" s="110" t="s">
        <v>1810</v>
      </c>
      <c r="C101" s="116" t="str">
        <f t="shared" si="2"/>
        <v>6</v>
      </c>
      <c r="D101" s="114" t="str">
        <f t="shared" si="3"/>
        <v>INSERT INTO COMUNAS (ID_COMUNA,NOMBRE,ID_REGION) VALUES (6205,'Navidad',6);</v>
      </c>
    </row>
    <row r="102" spans="1:4">
      <c r="A102" s="109">
        <v>6206</v>
      </c>
      <c r="B102" s="110" t="s">
        <v>1811</v>
      </c>
      <c r="C102" s="116" t="str">
        <f t="shared" si="2"/>
        <v>6</v>
      </c>
      <c r="D102" s="114" t="str">
        <f t="shared" si="3"/>
        <v>INSERT INTO COMUNAS (ID_COMUNA,NOMBRE,ID_REGION) VALUES (6206,'Paredones',6);</v>
      </c>
    </row>
    <row r="103" spans="1:4">
      <c r="A103" s="109">
        <v>6301</v>
      </c>
      <c r="B103" s="110" t="s">
        <v>1812</v>
      </c>
      <c r="C103" s="116" t="str">
        <f t="shared" si="2"/>
        <v>6</v>
      </c>
      <c r="D103" s="114" t="str">
        <f t="shared" si="3"/>
        <v>INSERT INTO COMUNAS (ID_COMUNA,NOMBRE,ID_REGION) VALUES (6301,'San Fernando',6);</v>
      </c>
    </row>
    <row r="104" spans="1:4">
      <c r="A104" s="109">
        <v>6302</v>
      </c>
      <c r="B104" s="110" t="s">
        <v>1813</v>
      </c>
      <c r="C104" s="116" t="str">
        <f t="shared" si="2"/>
        <v>6</v>
      </c>
      <c r="D104" s="114" t="str">
        <f t="shared" si="3"/>
        <v>INSERT INTO COMUNAS (ID_COMUNA,NOMBRE,ID_REGION) VALUES (6302,'Chépica',6);</v>
      </c>
    </row>
    <row r="105" spans="1:4">
      <c r="A105" s="109">
        <v>6303</v>
      </c>
      <c r="B105" s="110" t="s">
        <v>1814</v>
      </c>
      <c r="C105" s="116" t="str">
        <f t="shared" si="2"/>
        <v>6</v>
      </c>
      <c r="D105" s="114" t="str">
        <f t="shared" si="3"/>
        <v>INSERT INTO COMUNAS (ID_COMUNA,NOMBRE,ID_REGION) VALUES (6303,'Chimbarongo',6);</v>
      </c>
    </row>
    <row r="106" spans="1:4">
      <c r="A106" s="109">
        <v>6304</v>
      </c>
      <c r="B106" s="110" t="s">
        <v>1815</v>
      </c>
      <c r="C106" s="116" t="str">
        <f t="shared" si="2"/>
        <v>6</v>
      </c>
      <c r="D106" s="114" t="str">
        <f t="shared" si="3"/>
        <v>INSERT INTO COMUNAS (ID_COMUNA,NOMBRE,ID_REGION) VALUES (6304,'Lolol',6);</v>
      </c>
    </row>
    <row r="107" spans="1:4">
      <c r="A107" s="109">
        <v>6305</v>
      </c>
      <c r="B107" s="110" t="s">
        <v>1816</v>
      </c>
      <c r="C107" s="116" t="str">
        <f t="shared" si="2"/>
        <v>6</v>
      </c>
      <c r="D107" s="114" t="str">
        <f t="shared" si="3"/>
        <v>INSERT INTO COMUNAS (ID_COMUNA,NOMBRE,ID_REGION) VALUES (6305,'Nancagua',6);</v>
      </c>
    </row>
    <row r="108" spans="1:4">
      <c r="A108" s="109">
        <v>6306</v>
      </c>
      <c r="B108" s="110" t="s">
        <v>1817</v>
      </c>
      <c r="C108" s="116" t="str">
        <f t="shared" si="2"/>
        <v>6</v>
      </c>
      <c r="D108" s="114" t="str">
        <f t="shared" si="3"/>
        <v>INSERT INTO COMUNAS (ID_COMUNA,NOMBRE,ID_REGION) VALUES (6306,'Palmilla',6);</v>
      </c>
    </row>
    <row r="109" spans="1:4">
      <c r="A109" s="109">
        <v>6307</v>
      </c>
      <c r="B109" s="110" t="s">
        <v>1818</v>
      </c>
      <c r="C109" s="116" t="str">
        <f t="shared" si="2"/>
        <v>6</v>
      </c>
      <c r="D109" s="114" t="str">
        <f t="shared" si="3"/>
        <v>INSERT INTO COMUNAS (ID_COMUNA,NOMBRE,ID_REGION) VALUES (6307,'Peralillo',6);</v>
      </c>
    </row>
    <row r="110" spans="1:4">
      <c r="A110" s="109">
        <v>6308</v>
      </c>
      <c r="B110" s="110" t="s">
        <v>1819</v>
      </c>
      <c r="C110" s="116" t="str">
        <f t="shared" si="2"/>
        <v>6</v>
      </c>
      <c r="D110" s="114" t="str">
        <f t="shared" si="3"/>
        <v>INSERT INTO COMUNAS (ID_COMUNA,NOMBRE,ID_REGION) VALUES (6308,'Placilla',6);</v>
      </c>
    </row>
    <row r="111" spans="1:4">
      <c r="A111" s="109">
        <v>6309</v>
      </c>
      <c r="B111" s="110" t="s">
        <v>1820</v>
      </c>
      <c r="C111" s="116" t="str">
        <f t="shared" si="2"/>
        <v>6</v>
      </c>
      <c r="D111" s="114" t="str">
        <f t="shared" si="3"/>
        <v>INSERT INTO COMUNAS (ID_COMUNA,NOMBRE,ID_REGION) VALUES (6309,'Pumanque',6);</v>
      </c>
    </row>
    <row r="112" spans="1:4">
      <c r="A112" s="109">
        <v>6310</v>
      </c>
      <c r="B112" s="110" t="s">
        <v>1821</v>
      </c>
      <c r="C112" s="116" t="str">
        <f t="shared" si="2"/>
        <v>6</v>
      </c>
      <c r="D112" s="114" t="str">
        <f t="shared" si="3"/>
        <v>INSERT INTO COMUNAS (ID_COMUNA,NOMBRE,ID_REGION) VALUES (6310,'Santa Cruz',6);</v>
      </c>
    </row>
    <row r="113" spans="1:4">
      <c r="A113" s="109">
        <v>7101</v>
      </c>
      <c r="B113" s="110" t="s">
        <v>1822</v>
      </c>
      <c r="C113" s="116" t="str">
        <f t="shared" si="2"/>
        <v>7</v>
      </c>
      <c r="D113" s="114" t="str">
        <f t="shared" si="3"/>
        <v>INSERT INTO COMUNAS (ID_COMUNA,NOMBRE,ID_REGION) VALUES (7101,'Talca',7);</v>
      </c>
    </row>
    <row r="114" spans="1:4">
      <c r="A114" s="109">
        <v>7102</v>
      </c>
      <c r="B114" s="110" t="s">
        <v>1823</v>
      </c>
      <c r="C114" s="116" t="str">
        <f t="shared" si="2"/>
        <v>7</v>
      </c>
      <c r="D114" s="114" t="str">
        <f t="shared" si="3"/>
        <v>INSERT INTO COMUNAS (ID_COMUNA,NOMBRE,ID_REGION) VALUES (7102,'Constitución',7);</v>
      </c>
    </row>
    <row r="115" spans="1:4">
      <c r="A115" s="109">
        <v>7103</v>
      </c>
      <c r="B115" s="110" t="s">
        <v>1824</v>
      </c>
      <c r="C115" s="116" t="str">
        <f t="shared" si="2"/>
        <v>7</v>
      </c>
      <c r="D115" s="114" t="str">
        <f t="shared" si="3"/>
        <v>INSERT INTO COMUNAS (ID_COMUNA,NOMBRE,ID_REGION) VALUES (7103,'Curepto',7);</v>
      </c>
    </row>
    <row r="116" spans="1:4">
      <c r="A116" s="109">
        <v>7104</v>
      </c>
      <c r="B116" s="110" t="s">
        <v>1825</v>
      </c>
      <c r="C116" s="116" t="str">
        <f t="shared" si="2"/>
        <v>7</v>
      </c>
      <c r="D116" s="114" t="str">
        <f t="shared" si="3"/>
        <v>INSERT INTO COMUNAS (ID_COMUNA,NOMBRE,ID_REGION) VALUES (7104,'Empedrado',7);</v>
      </c>
    </row>
    <row r="117" spans="1:4">
      <c r="A117" s="109">
        <v>7105</v>
      </c>
      <c r="B117" s="110" t="s">
        <v>1826</v>
      </c>
      <c r="C117" s="116" t="str">
        <f t="shared" si="2"/>
        <v>7</v>
      </c>
      <c r="D117" s="114" t="str">
        <f t="shared" si="3"/>
        <v>INSERT INTO COMUNAS (ID_COMUNA,NOMBRE,ID_REGION) VALUES (7105,'Maule',7);</v>
      </c>
    </row>
    <row r="118" spans="1:4">
      <c r="A118" s="109">
        <v>7106</v>
      </c>
      <c r="B118" s="110" t="s">
        <v>1827</v>
      </c>
      <c r="C118" s="116" t="str">
        <f t="shared" si="2"/>
        <v>7</v>
      </c>
      <c r="D118" s="114" t="str">
        <f t="shared" si="3"/>
        <v>INSERT INTO COMUNAS (ID_COMUNA,NOMBRE,ID_REGION) VALUES (7106,'Pelarco',7);</v>
      </c>
    </row>
    <row r="119" spans="1:4">
      <c r="A119" s="109">
        <v>7107</v>
      </c>
      <c r="B119" s="110" t="s">
        <v>1828</v>
      </c>
      <c r="C119" s="116" t="str">
        <f t="shared" si="2"/>
        <v>7</v>
      </c>
      <c r="D119" s="114" t="str">
        <f t="shared" si="3"/>
        <v>INSERT INTO COMUNAS (ID_COMUNA,NOMBRE,ID_REGION) VALUES (7107,'Pencahue',7);</v>
      </c>
    </row>
    <row r="120" spans="1:4">
      <c r="A120" s="109">
        <v>7108</v>
      </c>
      <c r="B120" s="110" t="s">
        <v>1829</v>
      </c>
      <c r="C120" s="116" t="str">
        <f t="shared" si="2"/>
        <v>7</v>
      </c>
      <c r="D120" s="114" t="str">
        <f t="shared" si="3"/>
        <v>INSERT INTO COMUNAS (ID_COMUNA,NOMBRE,ID_REGION) VALUES (7108,'Río Claro',7);</v>
      </c>
    </row>
    <row r="121" spans="1:4">
      <c r="A121" s="109">
        <v>7109</v>
      </c>
      <c r="B121" s="110" t="s">
        <v>1830</v>
      </c>
      <c r="C121" s="116" t="str">
        <f t="shared" si="2"/>
        <v>7</v>
      </c>
      <c r="D121" s="114" t="str">
        <f t="shared" si="3"/>
        <v>INSERT INTO COMUNAS (ID_COMUNA,NOMBRE,ID_REGION) VALUES (7109,'San Clemente',7);</v>
      </c>
    </row>
    <row r="122" spans="1:4">
      <c r="A122" s="109">
        <v>7110</v>
      </c>
      <c r="B122" s="110" t="s">
        <v>1831</v>
      </c>
      <c r="C122" s="116" t="str">
        <f t="shared" si="2"/>
        <v>7</v>
      </c>
      <c r="D122" s="114" t="str">
        <f t="shared" si="3"/>
        <v>INSERT INTO COMUNAS (ID_COMUNA,NOMBRE,ID_REGION) VALUES (7110,'San Rafael',7);</v>
      </c>
    </row>
    <row r="123" spans="1:4">
      <c r="A123" s="109">
        <v>7201</v>
      </c>
      <c r="B123" s="110" t="s">
        <v>1832</v>
      </c>
      <c r="C123" s="116" t="str">
        <f t="shared" si="2"/>
        <v>7</v>
      </c>
      <c r="D123" s="114" t="str">
        <f t="shared" si="3"/>
        <v>INSERT INTO COMUNAS (ID_COMUNA,NOMBRE,ID_REGION) VALUES (7201,'Cauquenes',7);</v>
      </c>
    </row>
    <row r="124" spans="1:4">
      <c r="A124" s="109">
        <v>7202</v>
      </c>
      <c r="B124" s="110" t="s">
        <v>1833</v>
      </c>
      <c r="C124" s="116" t="str">
        <f t="shared" si="2"/>
        <v>7</v>
      </c>
      <c r="D124" s="114" t="str">
        <f t="shared" si="3"/>
        <v>INSERT INTO COMUNAS (ID_COMUNA,NOMBRE,ID_REGION) VALUES (7202,'Chanco',7);</v>
      </c>
    </row>
    <row r="125" spans="1:4">
      <c r="A125" s="109">
        <v>7203</v>
      </c>
      <c r="B125" s="110" t="s">
        <v>1834</v>
      </c>
      <c r="C125" s="116" t="str">
        <f t="shared" si="2"/>
        <v>7</v>
      </c>
      <c r="D125" s="114" t="str">
        <f t="shared" si="3"/>
        <v>INSERT INTO COMUNAS (ID_COMUNA,NOMBRE,ID_REGION) VALUES (7203,'Pelluhue',7);</v>
      </c>
    </row>
    <row r="126" spans="1:4">
      <c r="A126" s="109">
        <v>7301</v>
      </c>
      <c r="B126" s="110" t="s">
        <v>1835</v>
      </c>
      <c r="C126" s="116" t="str">
        <f t="shared" si="2"/>
        <v>7</v>
      </c>
      <c r="D126" s="114" t="str">
        <f t="shared" si="3"/>
        <v>INSERT INTO COMUNAS (ID_COMUNA,NOMBRE,ID_REGION) VALUES (7301,'Curicó',7);</v>
      </c>
    </row>
    <row r="127" spans="1:4">
      <c r="A127" s="109">
        <v>7302</v>
      </c>
      <c r="B127" s="110" t="s">
        <v>1836</v>
      </c>
      <c r="C127" s="116" t="str">
        <f t="shared" si="2"/>
        <v>7</v>
      </c>
      <c r="D127" s="114" t="str">
        <f t="shared" si="3"/>
        <v>INSERT INTO COMUNAS (ID_COMUNA,NOMBRE,ID_REGION) VALUES (7302,'Hualañe',7);</v>
      </c>
    </row>
    <row r="128" spans="1:4">
      <c r="A128" s="109">
        <v>7303</v>
      </c>
      <c r="B128" s="110" t="s">
        <v>1837</v>
      </c>
      <c r="C128" s="116" t="str">
        <f t="shared" si="2"/>
        <v>7</v>
      </c>
      <c r="D128" s="114" t="str">
        <f t="shared" si="3"/>
        <v>INSERT INTO COMUNAS (ID_COMUNA,NOMBRE,ID_REGION) VALUES (7303,'Licantén',7);</v>
      </c>
    </row>
    <row r="129" spans="1:4">
      <c r="A129" s="109">
        <v>7304</v>
      </c>
      <c r="B129" s="110" t="s">
        <v>1838</v>
      </c>
      <c r="C129" s="116" t="str">
        <f t="shared" si="2"/>
        <v>7</v>
      </c>
      <c r="D129" s="114" t="str">
        <f t="shared" si="3"/>
        <v>INSERT INTO COMUNAS (ID_COMUNA,NOMBRE,ID_REGION) VALUES (7304,'Molina',7);</v>
      </c>
    </row>
    <row r="130" spans="1:4">
      <c r="A130" s="109">
        <v>7305</v>
      </c>
      <c r="B130" s="110" t="s">
        <v>1839</v>
      </c>
      <c r="C130" s="116" t="str">
        <f t="shared" si="2"/>
        <v>7</v>
      </c>
      <c r="D130" s="114" t="str">
        <f t="shared" si="3"/>
        <v>INSERT INTO COMUNAS (ID_COMUNA,NOMBRE,ID_REGION) VALUES (7305,'Rauco',7);</v>
      </c>
    </row>
    <row r="131" spans="1:4">
      <c r="A131" s="109">
        <v>7306</v>
      </c>
      <c r="B131" s="110" t="s">
        <v>1840</v>
      </c>
      <c r="C131" s="116" t="str">
        <f t="shared" ref="C131:C194" si="4">IF(LEN(A131)=5,LEFT(A131,2),LEFT(A131,1))</f>
        <v>7</v>
      </c>
      <c r="D131" s="114" t="str">
        <f t="shared" ref="D131:D194" si="5">CONCATENATE( "INSERT INTO COMUNAS (ID_COMUNA,NOMBRE,ID_REGION) VALUES (",A131,",'",B131,"',",C131,");")</f>
        <v>INSERT INTO COMUNAS (ID_COMUNA,NOMBRE,ID_REGION) VALUES (7306,'Romeral',7);</v>
      </c>
    </row>
    <row r="132" spans="1:4">
      <c r="A132" s="109">
        <v>7307</v>
      </c>
      <c r="B132" s="110" t="s">
        <v>1841</v>
      </c>
      <c r="C132" s="116" t="str">
        <f t="shared" si="4"/>
        <v>7</v>
      </c>
      <c r="D132" s="114" t="str">
        <f t="shared" si="5"/>
        <v>INSERT INTO COMUNAS (ID_COMUNA,NOMBRE,ID_REGION) VALUES (7307,'Sagrada Familia',7);</v>
      </c>
    </row>
    <row r="133" spans="1:4">
      <c r="A133" s="109">
        <v>7308</v>
      </c>
      <c r="B133" s="110" t="s">
        <v>1842</v>
      </c>
      <c r="C133" s="116" t="str">
        <f t="shared" si="4"/>
        <v>7</v>
      </c>
      <c r="D133" s="114" t="str">
        <f t="shared" si="5"/>
        <v>INSERT INTO COMUNAS (ID_COMUNA,NOMBRE,ID_REGION) VALUES (7308,'Teno',7);</v>
      </c>
    </row>
    <row r="134" spans="1:4">
      <c r="A134" s="109">
        <v>7309</v>
      </c>
      <c r="B134" s="110" t="s">
        <v>1843</v>
      </c>
      <c r="C134" s="116" t="str">
        <f t="shared" si="4"/>
        <v>7</v>
      </c>
      <c r="D134" s="114" t="str">
        <f t="shared" si="5"/>
        <v>INSERT INTO COMUNAS (ID_COMUNA,NOMBRE,ID_REGION) VALUES (7309,'Vichuquén',7);</v>
      </c>
    </row>
    <row r="135" spans="1:4">
      <c r="A135" s="109">
        <v>7401</v>
      </c>
      <c r="B135" s="110" t="s">
        <v>1844</v>
      </c>
      <c r="C135" s="116" t="str">
        <f t="shared" si="4"/>
        <v>7</v>
      </c>
      <c r="D135" s="114" t="str">
        <f t="shared" si="5"/>
        <v>INSERT INTO COMUNAS (ID_COMUNA,NOMBRE,ID_REGION) VALUES (7401,'Linares',7);</v>
      </c>
    </row>
    <row r="136" spans="1:4">
      <c r="A136" s="109">
        <v>7402</v>
      </c>
      <c r="B136" s="110" t="s">
        <v>1845</v>
      </c>
      <c r="C136" s="116" t="str">
        <f t="shared" si="4"/>
        <v>7</v>
      </c>
      <c r="D136" s="114" t="str">
        <f t="shared" si="5"/>
        <v>INSERT INTO COMUNAS (ID_COMUNA,NOMBRE,ID_REGION) VALUES (7402,'Colbún',7);</v>
      </c>
    </row>
    <row r="137" spans="1:4">
      <c r="A137" s="109">
        <v>7403</v>
      </c>
      <c r="B137" s="110" t="s">
        <v>1846</v>
      </c>
      <c r="C137" s="116" t="str">
        <f t="shared" si="4"/>
        <v>7</v>
      </c>
      <c r="D137" s="114" t="str">
        <f t="shared" si="5"/>
        <v>INSERT INTO COMUNAS (ID_COMUNA,NOMBRE,ID_REGION) VALUES (7403,'Longaví',7);</v>
      </c>
    </row>
    <row r="138" spans="1:4">
      <c r="A138" s="109">
        <v>7404</v>
      </c>
      <c r="B138" s="110" t="s">
        <v>1847</v>
      </c>
      <c r="C138" s="116" t="str">
        <f t="shared" si="4"/>
        <v>7</v>
      </c>
      <c r="D138" s="114" t="str">
        <f t="shared" si="5"/>
        <v>INSERT INTO COMUNAS (ID_COMUNA,NOMBRE,ID_REGION) VALUES (7404,'Parral',7);</v>
      </c>
    </row>
    <row r="139" spans="1:4">
      <c r="A139" s="109">
        <v>7405</v>
      </c>
      <c r="B139" s="110" t="s">
        <v>1848</v>
      </c>
      <c r="C139" s="116" t="str">
        <f t="shared" si="4"/>
        <v>7</v>
      </c>
      <c r="D139" s="114" t="str">
        <f t="shared" si="5"/>
        <v>INSERT INTO COMUNAS (ID_COMUNA,NOMBRE,ID_REGION) VALUES (7405,'Retiro',7);</v>
      </c>
    </row>
    <row r="140" spans="1:4">
      <c r="A140" s="109">
        <v>7406</v>
      </c>
      <c r="B140" s="110" t="s">
        <v>1849</v>
      </c>
      <c r="C140" s="116" t="str">
        <f t="shared" si="4"/>
        <v>7</v>
      </c>
      <c r="D140" s="114" t="str">
        <f t="shared" si="5"/>
        <v>INSERT INTO COMUNAS (ID_COMUNA,NOMBRE,ID_REGION) VALUES (7406,'San Javier',7);</v>
      </c>
    </row>
    <row r="141" spans="1:4">
      <c r="A141" s="109">
        <v>7407</v>
      </c>
      <c r="B141" s="110" t="s">
        <v>1850</v>
      </c>
      <c r="C141" s="116" t="str">
        <f t="shared" si="4"/>
        <v>7</v>
      </c>
      <c r="D141" s="114" t="str">
        <f t="shared" si="5"/>
        <v>INSERT INTO COMUNAS (ID_COMUNA,NOMBRE,ID_REGION) VALUES (7407,'Villa Alegre',7);</v>
      </c>
    </row>
    <row r="142" spans="1:4">
      <c r="A142" s="109">
        <v>7408</v>
      </c>
      <c r="B142" s="110" t="s">
        <v>1851</v>
      </c>
      <c r="C142" s="116" t="str">
        <f t="shared" si="4"/>
        <v>7</v>
      </c>
      <c r="D142" s="114" t="str">
        <f t="shared" si="5"/>
        <v>INSERT INTO COMUNAS (ID_COMUNA,NOMBRE,ID_REGION) VALUES (7408,'Yerbas Buenas',7);</v>
      </c>
    </row>
    <row r="143" spans="1:4">
      <c r="A143" s="109">
        <v>8101</v>
      </c>
      <c r="B143" s="110" t="s">
        <v>1852</v>
      </c>
      <c r="C143" s="116" t="str">
        <f t="shared" si="4"/>
        <v>8</v>
      </c>
      <c r="D143" s="114" t="str">
        <f t="shared" si="5"/>
        <v>INSERT INTO COMUNAS (ID_COMUNA,NOMBRE,ID_REGION) VALUES (8101,'Concepción',8);</v>
      </c>
    </row>
    <row r="144" spans="1:4">
      <c r="A144" s="109">
        <v>8102</v>
      </c>
      <c r="B144" s="110" t="s">
        <v>1853</v>
      </c>
      <c r="C144" s="116" t="str">
        <f t="shared" si="4"/>
        <v>8</v>
      </c>
      <c r="D144" s="114" t="str">
        <f t="shared" si="5"/>
        <v>INSERT INTO COMUNAS (ID_COMUNA,NOMBRE,ID_REGION) VALUES (8102,'Coronel',8);</v>
      </c>
    </row>
    <row r="145" spans="1:4">
      <c r="A145" s="109">
        <v>8103</v>
      </c>
      <c r="B145" s="110" t="s">
        <v>1854</v>
      </c>
      <c r="C145" s="116" t="str">
        <f t="shared" si="4"/>
        <v>8</v>
      </c>
      <c r="D145" s="114" t="str">
        <f t="shared" si="5"/>
        <v>INSERT INTO COMUNAS (ID_COMUNA,NOMBRE,ID_REGION) VALUES (8103,'Chiguayante',8);</v>
      </c>
    </row>
    <row r="146" spans="1:4">
      <c r="A146" s="109">
        <v>8104</v>
      </c>
      <c r="B146" s="110" t="s">
        <v>1855</v>
      </c>
      <c r="C146" s="116" t="str">
        <f t="shared" si="4"/>
        <v>8</v>
      </c>
      <c r="D146" s="114" t="str">
        <f t="shared" si="5"/>
        <v>INSERT INTO COMUNAS (ID_COMUNA,NOMBRE,ID_REGION) VALUES (8104,'Florida',8);</v>
      </c>
    </row>
    <row r="147" spans="1:4">
      <c r="A147" s="109">
        <v>8105</v>
      </c>
      <c r="B147" s="110" t="s">
        <v>1856</v>
      </c>
      <c r="C147" s="116" t="str">
        <f t="shared" si="4"/>
        <v>8</v>
      </c>
      <c r="D147" s="114" t="str">
        <f t="shared" si="5"/>
        <v>INSERT INTO COMUNAS (ID_COMUNA,NOMBRE,ID_REGION) VALUES (8105,'Hualqui',8);</v>
      </c>
    </row>
    <row r="148" spans="1:4">
      <c r="A148" s="109">
        <v>8106</v>
      </c>
      <c r="B148" s="110" t="s">
        <v>1857</v>
      </c>
      <c r="C148" s="116" t="str">
        <f t="shared" si="4"/>
        <v>8</v>
      </c>
      <c r="D148" s="114" t="str">
        <f t="shared" si="5"/>
        <v>INSERT INTO COMUNAS (ID_COMUNA,NOMBRE,ID_REGION) VALUES (8106,'Lota',8);</v>
      </c>
    </row>
    <row r="149" spans="1:4">
      <c r="A149" s="109">
        <v>8107</v>
      </c>
      <c r="B149" s="110" t="s">
        <v>1858</v>
      </c>
      <c r="C149" s="116" t="str">
        <f t="shared" si="4"/>
        <v>8</v>
      </c>
      <c r="D149" s="114" t="str">
        <f t="shared" si="5"/>
        <v>INSERT INTO COMUNAS (ID_COMUNA,NOMBRE,ID_REGION) VALUES (8107,'Penco',8);</v>
      </c>
    </row>
    <row r="150" spans="1:4">
      <c r="A150" s="109">
        <v>8108</v>
      </c>
      <c r="B150" s="110" t="s">
        <v>1859</v>
      </c>
      <c r="C150" s="116" t="str">
        <f t="shared" si="4"/>
        <v>8</v>
      </c>
      <c r="D150" s="114" t="str">
        <f t="shared" si="5"/>
        <v>INSERT INTO COMUNAS (ID_COMUNA,NOMBRE,ID_REGION) VALUES (8108,'San Pedro De La Paz',8);</v>
      </c>
    </row>
    <row r="151" spans="1:4">
      <c r="A151" s="109">
        <v>8109</v>
      </c>
      <c r="B151" s="110" t="s">
        <v>1860</v>
      </c>
      <c r="C151" s="116" t="str">
        <f t="shared" si="4"/>
        <v>8</v>
      </c>
      <c r="D151" s="114" t="str">
        <f t="shared" si="5"/>
        <v>INSERT INTO COMUNAS (ID_COMUNA,NOMBRE,ID_REGION) VALUES (8109,'Santa Juana',8);</v>
      </c>
    </row>
    <row r="152" spans="1:4">
      <c r="A152" s="109">
        <v>8110</v>
      </c>
      <c r="B152" s="110" t="s">
        <v>1861</v>
      </c>
      <c r="C152" s="116" t="str">
        <f t="shared" si="4"/>
        <v>8</v>
      </c>
      <c r="D152" s="114" t="str">
        <f t="shared" si="5"/>
        <v>INSERT INTO COMUNAS (ID_COMUNA,NOMBRE,ID_REGION) VALUES (8110,'Talcahuano',8);</v>
      </c>
    </row>
    <row r="153" spans="1:4">
      <c r="A153" s="109">
        <v>8111</v>
      </c>
      <c r="B153" s="110" t="s">
        <v>1862</v>
      </c>
      <c r="C153" s="116" t="str">
        <f t="shared" si="4"/>
        <v>8</v>
      </c>
      <c r="D153" s="114" t="str">
        <f t="shared" si="5"/>
        <v>INSERT INTO COMUNAS (ID_COMUNA,NOMBRE,ID_REGION) VALUES (8111,'Tomé',8);</v>
      </c>
    </row>
    <row r="154" spans="1:4">
      <c r="A154" s="109">
        <v>8112</v>
      </c>
      <c r="B154" s="110" t="s">
        <v>1863</v>
      </c>
      <c r="C154" s="116" t="str">
        <f t="shared" si="4"/>
        <v>8</v>
      </c>
      <c r="D154" s="114" t="str">
        <f t="shared" si="5"/>
        <v>INSERT INTO COMUNAS (ID_COMUNA,NOMBRE,ID_REGION) VALUES (8112,'Hualpén',8);</v>
      </c>
    </row>
    <row r="155" spans="1:4">
      <c r="A155" s="109">
        <v>8201</v>
      </c>
      <c r="B155" s="110" t="s">
        <v>1864</v>
      </c>
      <c r="C155" s="116" t="str">
        <f t="shared" si="4"/>
        <v>8</v>
      </c>
      <c r="D155" s="114" t="str">
        <f t="shared" si="5"/>
        <v>INSERT INTO COMUNAS (ID_COMUNA,NOMBRE,ID_REGION) VALUES (8201,'Lebu',8);</v>
      </c>
    </row>
    <row r="156" spans="1:4">
      <c r="A156" s="109">
        <v>8202</v>
      </c>
      <c r="B156" s="110" t="s">
        <v>1865</v>
      </c>
      <c r="C156" s="116" t="str">
        <f t="shared" si="4"/>
        <v>8</v>
      </c>
      <c r="D156" s="114" t="str">
        <f t="shared" si="5"/>
        <v>INSERT INTO COMUNAS (ID_COMUNA,NOMBRE,ID_REGION) VALUES (8202,'Arauco',8);</v>
      </c>
    </row>
    <row r="157" spans="1:4">
      <c r="A157" s="109">
        <v>8203</v>
      </c>
      <c r="B157" s="110" t="s">
        <v>1866</v>
      </c>
      <c r="C157" s="116" t="str">
        <f t="shared" si="4"/>
        <v>8</v>
      </c>
      <c r="D157" s="114" t="str">
        <f t="shared" si="5"/>
        <v>INSERT INTO COMUNAS (ID_COMUNA,NOMBRE,ID_REGION) VALUES (8203,'Cañete',8);</v>
      </c>
    </row>
    <row r="158" spans="1:4">
      <c r="A158" s="109">
        <v>8204</v>
      </c>
      <c r="B158" s="110" t="s">
        <v>1867</v>
      </c>
      <c r="C158" s="116" t="str">
        <f t="shared" si="4"/>
        <v>8</v>
      </c>
      <c r="D158" s="114" t="str">
        <f t="shared" si="5"/>
        <v>INSERT INTO COMUNAS (ID_COMUNA,NOMBRE,ID_REGION) VALUES (8204,'Contulmo',8);</v>
      </c>
    </row>
    <row r="159" spans="1:4">
      <c r="A159" s="109">
        <v>8205</v>
      </c>
      <c r="B159" s="110" t="s">
        <v>1868</v>
      </c>
      <c r="C159" s="116" t="str">
        <f t="shared" si="4"/>
        <v>8</v>
      </c>
      <c r="D159" s="114" t="str">
        <f t="shared" si="5"/>
        <v>INSERT INTO COMUNAS (ID_COMUNA,NOMBRE,ID_REGION) VALUES (8205,'Curanilahue',8);</v>
      </c>
    </row>
    <row r="160" spans="1:4">
      <c r="A160" s="109">
        <v>8206</v>
      </c>
      <c r="B160" s="110" t="s">
        <v>1869</v>
      </c>
      <c r="C160" s="116" t="str">
        <f t="shared" si="4"/>
        <v>8</v>
      </c>
      <c r="D160" s="114" t="str">
        <f t="shared" si="5"/>
        <v>INSERT INTO COMUNAS (ID_COMUNA,NOMBRE,ID_REGION) VALUES (8206,'Los Alamos',8);</v>
      </c>
    </row>
    <row r="161" spans="1:4">
      <c r="A161" s="109">
        <v>8207</v>
      </c>
      <c r="B161" s="110" t="s">
        <v>1870</v>
      </c>
      <c r="C161" s="116" t="str">
        <f t="shared" si="4"/>
        <v>8</v>
      </c>
      <c r="D161" s="114" t="str">
        <f t="shared" si="5"/>
        <v>INSERT INTO COMUNAS (ID_COMUNA,NOMBRE,ID_REGION) VALUES (8207,'Tirua',8);</v>
      </c>
    </row>
    <row r="162" spans="1:4">
      <c r="A162" s="109">
        <v>8301</v>
      </c>
      <c r="B162" s="110" t="s">
        <v>1871</v>
      </c>
      <c r="C162" s="116" t="str">
        <f t="shared" si="4"/>
        <v>8</v>
      </c>
      <c r="D162" s="114" t="str">
        <f t="shared" si="5"/>
        <v>INSERT INTO COMUNAS (ID_COMUNA,NOMBRE,ID_REGION) VALUES (8301,'Los Angeles',8);</v>
      </c>
    </row>
    <row r="163" spans="1:4">
      <c r="A163" s="109">
        <v>8302</v>
      </c>
      <c r="B163" s="110" t="s">
        <v>1872</v>
      </c>
      <c r="C163" s="116" t="str">
        <f t="shared" si="4"/>
        <v>8</v>
      </c>
      <c r="D163" s="114" t="str">
        <f t="shared" si="5"/>
        <v>INSERT INTO COMUNAS (ID_COMUNA,NOMBRE,ID_REGION) VALUES (8302,'Antuco',8);</v>
      </c>
    </row>
    <row r="164" spans="1:4">
      <c r="A164" s="109">
        <v>8303</v>
      </c>
      <c r="B164" s="110" t="s">
        <v>1873</v>
      </c>
      <c r="C164" s="116" t="str">
        <f t="shared" si="4"/>
        <v>8</v>
      </c>
      <c r="D164" s="114" t="str">
        <f t="shared" si="5"/>
        <v>INSERT INTO COMUNAS (ID_COMUNA,NOMBRE,ID_REGION) VALUES (8303,'Cabrero',8);</v>
      </c>
    </row>
    <row r="165" spans="1:4">
      <c r="A165" s="109">
        <v>8304</v>
      </c>
      <c r="B165" s="110" t="s">
        <v>1874</v>
      </c>
      <c r="C165" s="116" t="str">
        <f t="shared" si="4"/>
        <v>8</v>
      </c>
      <c r="D165" s="114" t="str">
        <f t="shared" si="5"/>
        <v>INSERT INTO COMUNAS (ID_COMUNA,NOMBRE,ID_REGION) VALUES (8304,'Laja',8);</v>
      </c>
    </row>
    <row r="166" spans="1:4">
      <c r="A166" s="109">
        <v>8305</v>
      </c>
      <c r="B166" s="110" t="s">
        <v>1875</v>
      </c>
      <c r="C166" s="116" t="str">
        <f t="shared" si="4"/>
        <v>8</v>
      </c>
      <c r="D166" s="114" t="str">
        <f t="shared" si="5"/>
        <v>INSERT INTO COMUNAS (ID_COMUNA,NOMBRE,ID_REGION) VALUES (8305,'Mulchén',8);</v>
      </c>
    </row>
    <row r="167" spans="1:4">
      <c r="A167" s="109">
        <v>8306</v>
      </c>
      <c r="B167" s="110" t="s">
        <v>1876</v>
      </c>
      <c r="C167" s="116" t="str">
        <f t="shared" si="4"/>
        <v>8</v>
      </c>
      <c r="D167" s="114" t="str">
        <f t="shared" si="5"/>
        <v>INSERT INTO COMUNAS (ID_COMUNA,NOMBRE,ID_REGION) VALUES (8306,'Nacimiento',8);</v>
      </c>
    </row>
    <row r="168" spans="1:4">
      <c r="A168" s="109">
        <v>8307</v>
      </c>
      <c r="B168" s="110" t="s">
        <v>1877</v>
      </c>
      <c r="C168" s="116" t="str">
        <f t="shared" si="4"/>
        <v>8</v>
      </c>
      <c r="D168" s="114" t="str">
        <f t="shared" si="5"/>
        <v>INSERT INTO COMUNAS (ID_COMUNA,NOMBRE,ID_REGION) VALUES (8307,'Negrete',8);</v>
      </c>
    </row>
    <row r="169" spans="1:4">
      <c r="A169" s="109">
        <v>8308</v>
      </c>
      <c r="B169" s="110" t="s">
        <v>1878</v>
      </c>
      <c r="C169" s="116" t="str">
        <f t="shared" si="4"/>
        <v>8</v>
      </c>
      <c r="D169" s="114" t="str">
        <f t="shared" si="5"/>
        <v>INSERT INTO COMUNAS (ID_COMUNA,NOMBRE,ID_REGION) VALUES (8308,'Quilaco',8);</v>
      </c>
    </row>
    <row r="170" spans="1:4">
      <c r="A170" s="109">
        <v>8309</v>
      </c>
      <c r="B170" s="110" t="s">
        <v>1879</v>
      </c>
      <c r="C170" s="116" t="str">
        <f t="shared" si="4"/>
        <v>8</v>
      </c>
      <c r="D170" s="114" t="str">
        <f t="shared" si="5"/>
        <v>INSERT INTO COMUNAS (ID_COMUNA,NOMBRE,ID_REGION) VALUES (8309,'Quilleco',8);</v>
      </c>
    </row>
    <row r="171" spans="1:4">
      <c r="A171" s="109">
        <v>8310</v>
      </c>
      <c r="B171" s="110" t="s">
        <v>1880</v>
      </c>
      <c r="C171" s="116" t="str">
        <f t="shared" si="4"/>
        <v>8</v>
      </c>
      <c r="D171" s="114" t="str">
        <f t="shared" si="5"/>
        <v>INSERT INTO COMUNAS (ID_COMUNA,NOMBRE,ID_REGION) VALUES (8310,'San Rosendo',8);</v>
      </c>
    </row>
    <row r="172" spans="1:4">
      <c r="A172" s="109">
        <v>8311</v>
      </c>
      <c r="B172" s="110" t="s">
        <v>1881</v>
      </c>
      <c r="C172" s="116" t="str">
        <f t="shared" si="4"/>
        <v>8</v>
      </c>
      <c r="D172" s="114" t="str">
        <f t="shared" si="5"/>
        <v>INSERT INTO COMUNAS (ID_COMUNA,NOMBRE,ID_REGION) VALUES (8311,'Santa Bárbara',8);</v>
      </c>
    </row>
    <row r="173" spans="1:4">
      <c r="A173" s="109">
        <v>8312</v>
      </c>
      <c r="B173" s="110" t="s">
        <v>1882</v>
      </c>
      <c r="C173" s="116" t="str">
        <f t="shared" si="4"/>
        <v>8</v>
      </c>
      <c r="D173" s="114" t="str">
        <f t="shared" si="5"/>
        <v>INSERT INTO COMUNAS (ID_COMUNA,NOMBRE,ID_REGION) VALUES (8312,'Tucapel',8);</v>
      </c>
    </row>
    <row r="174" spans="1:4">
      <c r="A174" s="109">
        <v>8313</v>
      </c>
      <c r="B174" s="110" t="s">
        <v>1883</v>
      </c>
      <c r="C174" s="116" t="str">
        <f t="shared" si="4"/>
        <v>8</v>
      </c>
      <c r="D174" s="114" t="str">
        <f t="shared" si="5"/>
        <v>INSERT INTO COMUNAS (ID_COMUNA,NOMBRE,ID_REGION) VALUES (8313,'Yumbel',8);</v>
      </c>
    </row>
    <row r="175" spans="1:4">
      <c r="A175" s="109">
        <v>8314</v>
      </c>
      <c r="B175" s="110" t="s">
        <v>1884</v>
      </c>
      <c r="C175" s="116" t="str">
        <f t="shared" si="4"/>
        <v>8</v>
      </c>
      <c r="D175" s="114" t="str">
        <f t="shared" si="5"/>
        <v>INSERT INTO COMUNAS (ID_COMUNA,NOMBRE,ID_REGION) VALUES (8314,'Alto Biobío',8);</v>
      </c>
    </row>
    <row r="176" spans="1:4">
      <c r="A176" s="109">
        <v>8401</v>
      </c>
      <c r="B176" s="110" t="s">
        <v>1885</v>
      </c>
      <c r="C176" s="116" t="str">
        <f t="shared" si="4"/>
        <v>8</v>
      </c>
      <c r="D176" s="114" t="str">
        <f t="shared" si="5"/>
        <v>INSERT INTO COMUNAS (ID_COMUNA,NOMBRE,ID_REGION) VALUES (8401,'Chillán',8);</v>
      </c>
    </row>
    <row r="177" spans="1:4">
      <c r="A177" s="109">
        <v>8402</v>
      </c>
      <c r="B177" s="110" t="s">
        <v>1886</v>
      </c>
      <c r="C177" s="116" t="str">
        <f t="shared" si="4"/>
        <v>8</v>
      </c>
      <c r="D177" s="114" t="str">
        <f t="shared" si="5"/>
        <v>INSERT INTO COMUNAS (ID_COMUNA,NOMBRE,ID_REGION) VALUES (8402,'Bulnes',8);</v>
      </c>
    </row>
    <row r="178" spans="1:4">
      <c r="A178" s="109">
        <v>8403</v>
      </c>
      <c r="B178" s="110" t="s">
        <v>1887</v>
      </c>
      <c r="C178" s="116" t="str">
        <f t="shared" si="4"/>
        <v>8</v>
      </c>
      <c r="D178" s="114" t="str">
        <f t="shared" si="5"/>
        <v>INSERT INTO COMUNAS (ID_COMUNA,NOMBRE,ID_REGION) VALUES (8403,'Cobquecura',8);</v>
      </c>
    </row>
    <row r="179" spans="1:4">
      <c r="A179" s="109">
        <v>8404</v>
      </c>
      <c r="B179" s="110" t="s">
        <v>1888</v>
      </c>
      <c r="C179" s="116" t="str">
        <f t="shared" si="4"/>
        <v>8</v>
      </c>
      <c r="D179" s="114" t="str">
        <f t="shared" si="5"/>
        <v>INSERT INTO COMUNAS (ID_COMUNA,NOMBRE,ID_REGION) VALUES (8404,'Coelemu',8);</v>
      </c>
    </row>
    <row r="180" spans="1:4">
      <c r="A180" s="109">
        <v>8405</v>
      </c>
      <c r="B180" s="110" t="s">
        <v>1889</v>
      </c>
      <c r="C180" s="116" t="str">
        <f t="shared" si="4"/>
        <v>8</v>
      </c>
      <c r="D180" s="114" t="str">
        <f t="shared" si="5"/>
        <v>INSERT INTO COMUNAS (ID_COMUNA,NOMBRE,ID_REGION) VALUES (8405,'Coihueco',8);</v>
      </c>
    </row>
    <row r="181" spans="1:4">
      <c r="A181" s="109">
        <v>8406</v>
      </c>
      <c r="B181" s="110" t="s">
        <v>1890</v>
      </c>
      <c r="C181" s="116" t="str">
        <f t="shared" si="4"/>
        <v>8</v>
      </c>
      <c r="D181" s="114" t="str">
        <f t="shared" si="5"/>
        <v>INSERT INTO COMUNAS (ID_COMUNA,NOMBRE,ID_REGION) VALUES (8406,'Chillán Viejo',8);</v>
      </c>
    </row>
    <row r="182" spans="1:4">
      <c r="A182" s="109">
        <v>8407</v>
      </c>
      <c r="B182" s="110" t="s">
        <v>1891</v>
      </c>
      <c r="C182" s="116" t="str">
        <f t="shared" si="4"/>
        <v>8</v>
      </c>
      <c r="D182" s="114" t="str">
        <f t="shared" si="5"/>
        <v>INSERT INTO COMUNAS (ID_COMUNA,NOMBRE,ID_REGION) VALUES (8407,'El Carmen',8);</v>
      </c>
    </row>
    <row r="183" spans="1:4">
      <c r="A183" s="109">
        <v>8408</v>
      </c>
      <c r="B183" s="110" t="s">
        <v>1892</v>
      </c>
      <c r="C183" s="116" t="str">
        <f t="shared" si="4"/>
        <v>8</v>
      </c>
      <c r="D183" s="114" t="str">
        <f t="shared" si="5"/>
        <v>INSERT INTO COMUNAS (ID_COMUNA,NOMBRE,ID_REGION) VALUES (8408,'Ninhue',8);</v>
      </c>
    </row>
    <row r="184" spans="1:4">
      <c r="A184" s="109">
        <v>8409</v>
      </c>
      <c r="B184" s="110" t="s">
        <v>1893</v>
      </c>
      <c r="C184" s="116" t="str">
        <f t="shared" si="4"/>
        <v>8</v>
      </c>
      <c r="D184" s="114" t="str">
        <f t="shared" si="5"/>
        <v>INSERT INTO COMUNAS (ID_COMUNA,NOMBRE,ID_REGION) VALUES (8409,'Ñiquén',8);</v>
      </c>
    </row>
    <row r="185" spans="1:4">
      <c r="A185" s="109">
        <v>8410</v>
      </c>
      <c r="B185" s="110" t="s">
        <v>1894</v>
      </c>
      <c r="C185" s="116" t="str">
        <f t="shared" si="4"/>
        <v>8</v>
      </c>
      <c r="D185" s="114" t="str">
        <f t="shared" si="5"/>
        <v>INSERT INTO COMUNAS (ID_COMUNA,NOMBRE,ID_REGION) VALUES (8410,'Pemuco',8);</v>
      </c>
    </row>
    <row r="186" spans="1:4">
      <c r="A186" s="109">
        <v>8411</v>
      </c>
      <c r="B186" s="110" t="s">
        <v>1895</v>
      </c>
      <c r="C186" s="116" t="str">
        <f t="shared" si="4"/>
        <v>8</v>
      </c>
      <c r="D186" s="114" t="str">
        <f t="shared" si="5"/>
        <v>INSERT INTO COMUNAS (ID_COMUNA,NOMBRE,ID_REGION) VALUES (8411,'Pinto',8);</v>
      </c>
    </row>
    <row r="187" spans="1:4">
      <c r="A187" s="109">
        <v>8412</v>
      </c>
      <c r="B187" s="110" t="s">
        <v>1896</v>
      </c>
      <c r="C187" s="116" t="str">
        <f t="shared" si="4"/>
        <v>8</v>
      </c>
      <c r="D187" s="114" t="str">
        <f t="shared" si="5"/>
        <v>INSERT INTO COMUNAS (ID_COMUNA,NOMBRE,ID_REGION) VALUES (8412,'Portezuelo',8);</v>
      </c>
    </row>
    <row r="188" spans="1:4">
      <c r="A188" s="109">
        <v>8413</v>
      </c>
      <c r="B188" s="110" t="s">
        <v>1897</v>
      </c>
      <c r="C188" s="116" t="str">
        <f t="shared" si="4"/>
        <v>8</v>
      </c>
      <c r="D188" s="114" t="str">
        <f t="shared" si="5"/>
        <v>INSERT INTO COMUNAS (ID_COMUNA,NOMBRE,ID_REGION) VALUES (8413,'Quillón',8);</v>
      </c>
    </row>
    <row r="189" spans="1:4">
      <c r="A189" s="109">
        <v>8414</v>
      </c>
      <c r="B189" s="110" t="s">
        <v>1898</v>
      </c>
      <c r="C189" s="116" t="str">
        <f t="shared" si="4"/>
        <v>8</v>
      </c>
      <c r="D189" s="114" t="str">
        <f t="shared" si="5"/>
        <v>INSERT INTO COMUNAS (ID_COMUNA,NOMBRE,ID_REGION) VALUES (8414,'Quirihue',8);</v>
      </c>
    </row>
    <row r="190" spans="1:4">
      <c r="A190" s="109">
        <v>8415</v>
      </c>
      <c r="B190" s="110" t="s">
        <v>1899</v>
      </c>
      <c r="C190" s="116" t="str">
        <f t="shared" si="4"/>
        <v>8</v>
      </c>
      <c r="D190" s="114" t="str">
        <f t="shared" si="5"/>
        <v>INSERT INTO COMUNAS (ID_COMUNA,NOMBRE,ID_REGION) VALUES (8415,'Ranquil',8);</v>
      </c>
    </row>
    <row r="191" spans="1:4">
      <c r="A191" s="109">
        <v>8416</v>
      </c>
      <c r="B191" s="110" t="s">
        <v>1900</v>
      </c>
      <c r="C191" s="116" t="str">
        <f t="shared" si="4"/>
        <v>8</v>
      </c>
      <c r="D191" s="114" t="str">
        <f t="shared" si="5"/>
        <v>INSERT INTO COMUNAS (ID_COMUNA,NOMBRE,ID_REGION) VALUES (8416,'San Carlos',8);</v>
      </c>
    </row>
    <row r="192" spans="1:4">
      <c r="A192" s="109">
        <v>8417</v>
      </c>
      <c r="B192" s="110" t="s">
        <v>1901</v>
      </c>
      <c r="C192" s="116" t="str">
        <f t="shared" si="4"/>
        <v>8</v>
      </c>
      <c r="D192" s="114" t="str">
        <f t="shared" si="5"/>
        <v>INSERT INTO COMUNAS (ID_COMUNA,NOMBRE,ID_REGION) VALUES (8417,'San Fabián',8);</v>
      </c>
    </row>
    <row r="193" spans="1:4">
      <c r="A193" s="109">
        <v>8418</v>
      </c>
      <c r="B193" s="110" t="s">
        <v>1902</v>
      </c>
      <c r="C193" s="116" t="str">
        <f t="shared" si="4"/>
        <v>8</v>
      </c>
      <c r="D193" s="114" t="str">
        <f t="shared" si="5"/>
        <v>INSERT INTO COMUNAS (ID_COMUNA,NOMBRE,ID_REGION) VALUES (8418,'San Ignacio',8);</v>
      </c>
    </row>
    <row r="194" spans="1:4">
      <c r="A194" s="109">
        <v>8419</v>
      </c>
      <c r="B194" s="110" t="s">
        <v>1903</v>
      </c>
      <c r="C194" s="116" t="str">
        <f t="shared" si="4"/>
        <v>8</v>
      </c>
      <c r="D194" s="114" t="str">
        <f t="shared" si="5"/>
        <v>INSERT INTO COMUNAS (ID_COMUNA,NOMBRE,ID_REGION) VALUES (8419,'San Nicolás',8);</v>
      </c>
    </row>
    <row r="195" spans="1:4">
      <c r="A195" s="109">
        <v>8420</v>
      </c>
      <c r="B195" s="110" t="s">
        <v>1904</v>
      </c>
      <c r="C195" s="116" t="str">
        <f t="shared" ref="C195:C258" si="6">IF(LEN(A195)=5,LEFT(A195,2),LEFT(A195,1))</f>
        <v>8</v>
      </c>
      <c r="D195" s="114" t="str">
        <f t="shared" ref="D195:D258" si="7">CONCATENATE( "INSERT INTO COMUNAS (ID_COMUNA,NOMBRE,ID_REGION) VALUES (",A195,",'",B195,"',",C195,");")</f>
        <v>INSERT INTO COMUNAS (ID_COMUNA,NOMBRE,ID_REGION) VALUES (8420,'Trehuaco',8);</v>
      </c>
    </row>
    <row r="196" spans="1:4">
      <c r="A196" s="109">
        <v>8421</v>
      </c>
      <c r="B196" s="110" t="s">
        <v>1905</v>
      </c>
      <c r="C196" s="116" t="str">
        <f t="shared" si="6"/>
        <v>8</v>
      </c>
      <c r="D196" s="114" t="str">
        <f t="shared" si="7"/>
        <v>INSERT INTO COMUNAS (ID_COMUNA,NOMBRE,ID_REGION) VALUES (8421,'Yungay',8);</v>
      </c>
    </row>
    <row r="197" spans="1:4">
      <c r="A197" s="109">
        <v>9101</v>
      </c>
      <c r="B197" s="110" t="s">
        <v>1906</v>
      </c>
      <c r="C197" s="116" t="str">
        <f t="shared" si="6"/>
        <v>9</v>
      </c>
      <c r="D197" s="114" t="str">
        <f t="shared" si="7"/>
        <v>INSERT INTO COMUNAS (ID_COMUNA,NOMBRE,ID_REGION) VALUES (9101,'Temuco',9);</v>
      </c>
    </row>
    <row r="198" spans="1:4">
      <c r="A198" s="109">
        <v>9102</v>
      </c>
      <c r="B198" s="110" t="s">
        <v>1907</v>
      </c>
      <c r="C198" s="116" t="str">
        <f t="shared" si="6"/>
        <v>9</v>
      </c>
      <c r="D198" s="114" t="str">
        <f t="shared" si="7"/>
        <v>INSERT INTO COMUNAS (ID_COMUNA,NOMBRE,ID_REGION) VALUES (9102,'Carahue',9);</v>
      </c>
    </row>
    <row r="199" spans="1:4">
      <c r="A199" s="109">
        <v>9103</v>
      </c>
      <c r="B199" s="110" t="s">
        <v>1908</v>
      </c>
      <c r="C199" s="116" t="str">
        <f t="shared" si="6"/>
        <v>9</v>
      </c>
      <c r="D199" s="114" t="str">
        <f t="shared" si="7"/>
        <v>INSERT INTO COMUNAS (ID_COMUNA,NOMBRE,ID_REGION) VALUES (9103,'Cunco',9);</v>
      </c>
    </row>
    <row r="200" spans="1:4">
      <c r="A200" s="109">
        <v>9104</v>
      </c>
      <c r="B200" s="110" t="s">
        <v>1909</v>
      </c>
      <c r="C200" s="116" t="str">
        <f t="shared" si="6"/>
        <v>9</v>
      </c>
      <c r="D200" s="114" t="str">
        <f t="shared" si="7"/>
        <v>INSERT INTO COMUNAS (ID_COMUNA,NOMBRE,ID_REGION) VALUES (9104,'Curarrehue',9);</v>
      </c>
    </row>
    <row r="201" spans="1:4">
      <c r="A201" s="109">
        <v>9105</v>
      </c>
      <c r="B201" s="110" t="s">
        <v>1910</v>
      </c>
      <c r="C201" s="116" t="str">
        <f t="shared" si="6"/>
        <v>9</v>
      </c>
      <c r="D201" s="114" t="str">
        <f t="shared" si="7"/>
        <v>INSERT INTO COMUNAS (ID_COMUNA,NOMBRE,ID_REGION) VALUES (9105,'Freire',9);</v>
      </c>
    </row>
    <row r="202" spans="1:4">
      <c r="A202" s="109">
        <v>9106</v>
      </c>
      <c r="B202" s="110" t="s">
        <v>1911</v>
      </c>
      <c r="C202" s="116" t="str">
        <f t="shared" si="6"/>
        <v>9</v>
      </c>
      <c r="D202" s="114" t="str">
        <f t="shared" si="7"/>
        <v>INSERT INTO COMUNAS (ID_COMUNA,NOMBRE,ID_REGION) VALUES (9106,'Galvarino',9);</v>
      </c>
    </row>
    <row r="203" spans="1:4">
      <c r="A203" s="109">
        <v>9107</v>
      </c>
      <c r="B203" s="110" t="s">
        <v>1912</v>
      </c>
      <c r="C203" s="116" t="str">
        <f t="shared" si="6"/>
        <v>9</v>
      </c>
      <c r="D203" s="114" t="str">
        <f t="shared" si="7"/>
        <v>INSERT INTO COMUNAS (ID_COMUNA,NOMBRE,ID_REGION) VALUES (9107,'Gorbea',9);</v>
      </c>
    </row>
    <row r="204" spans="1:4">
      <c r="A204" s="109">
        <v>9108</v>
      </c>
      <c r="B204" s="110" t="s">
        <v>1913</v>
      </c>
      <c r="C204" s="116" t="str">
        <f t="shared" si="6"/>
        <v>9</v>
      </c>
      <c r="D204" s="114" t="str">
        <f t="shared" si="7"/>
        <v>INSERT INTO COMUNAS (ID_COMUNA,NOMBRE,ID_REGION) VALUES (9108,'Lautaro',9);</v>
      </c>
    </row>
    <row r="205" spans="1:4">
      <c r="A205" s="109">
        <v>9109</v>
      </c>
      <c r="B205" s="110" t="s">
        <v>1914</v>
      </c>
      <c r="C205" s="116" t="str">
        <f t="shared" si="6"/>
        <v>9</v>
      </c>
      <c r="D205" s="114" t="str">
        <f t="shared" si="7"/>
        <v>INSERT INTO COMUNAS (ID_COMUNA,NOMBRE,ID_REGION) VALUES (9109,'Loncoche',9);</v>
      </c>
    </row>
    <row r="206" spans="1:4">
      <c r="A206" s="109">
        <v>9110</v>
      </c>
      <c r="B206" s="110" t="s">
        <v>1915</v>
      </c>
      <c r="C206" s="116" t="str">
        <f t="shared" si="6"/>
        <v>9</v>
      </c>
      <c r="D206" s="114" t="str">
        <f t="shared" si="7"/>
        <v>INSERT INTO COMUNAS (ID_COMUNA,NOMBRE,ID_REGION) VALUES (9110,'Melipeuco',9);</v>
      </c>
    </row>
    <row r="207" spans="1:4">
      <c r="A207" s="109">
        <v>9111</v>
      </c>
      <c r="B207" s="110" t="s">
        <v>1916</v>
      </c>
      <c r="C207" s="116" t="str">
        <f t="shared" si="6"/>
        <v>9</v>
      </c>
      <c r="D207" s="114" t="str">
        <f t="shared" si="7"/>
        <v>INSERT INTO COMUNAS (ID_COMUNA,NOMBRE,ID_REGION) VALUES (9111,'Nueva Imperial',9);</v>
      </c>
    </row>
    <row r="208" spans="1:4">
      <c r="A208" s="109">
        <v>9112</v>
      </c>
      <c r="B208" s="110" t="s">
        <v>1917</v>
      </c>
      <c r="C208" s="116" t="str">
        <f t="shared" si="6"/>
        <v>9</v>
      </c>
      <c r="D208" s="114" t="str">
        <f t="shared" si="7"/>
        <v>INSERT INTO COMUNAS (ID_COMUNA,NOMBRE,ID_REGION) VALUES (9112,'Padre Las Casas',9);</v>
      </c>
    </row>
    <row r="209" spans="1:4">
      <c r="A209" s="109">
        <v>9113</v>
      </c>
      <c r="B209" s="110" t="s">
        <v>1918</v>
      </c>
      <c r="C209" s="116" t="str">
        <f t="shared" si="6"/>
        <v>9</v>
      </c>
      <c r="D209" s="114" t="str">
        <f t="shared" si="7"/>
        <v>INSERT INTO COMUNAS (ID_COMUNA,NOMBRE,ID_REGION) VALUES (9113,'Perquenco',9);</v>
      </c>
    </row>
    <row r="210" spans="1:4">
      <c r="A210" s="109">
        <v>9114</v>
      </c>
      <c r="B210" s="110" t="s">
        <v>1919</v>
      </c>
      <c r="C210" s="116" t="str">
        <f t="shared" si="6"/>
        <v>9</v>
      </c>
      <c r="D210" s="114" t="str">
        <f t="shared" si="7"/>
        <v>INSERT INTO COMUNAS (ID_COMUNA,NOMBRE,ID_REGION) VALUES (9114,'Pitrufquén',9);</v>
      </c>
    </row>
    <row r="211" spans="1:4">
      <c r="A211" s="109">
        <v>9115</v>
      </c>
      <c r="B211" s="110" t="s">
        <v>1920</v>
      </c>
      <c r="C211" s="116" t="str">
        <f t="shared" si="6"/>
        <v>9</v>
      </c>
      <c r="D211" s="114" t="str">
        <f t="shared" si="7"/>
        <v>INSERT INTO COMUNAS (ID_COMUNA,NOMBRE,ID_REGION) VALUES (9115,'Pucón',9);</v>
      </c>
    </row>
    <row r="212" spans="1:4">
      <c r="A212" s="109">
        <v>9116</v>
      </c>
      <c r="B212" s="110" t="s">
        <v>1921</v>
      </c>
      <c r="C212" s="116" t="str">
        <f t="shared" si="6"/>
        <v>9</v>
      </c>
      <c r="D212" s="114" t="str">
        <f t="shared" si="7"/>
        <v>INSERT INTO COMUNAS (ID_COMUNA,NOMBRE,ID_REGION) VALUES (9116,'Puerto Saavedra',9);</v>
      </c>
    </row>
    <row r="213" spans="1:4">
      <c r="A213" s="109">
        <v>9117</v>
      </c>
      <c r="B213" s="110" t="s">
        <v>1922</v>
      </c>
      <c r="C213" s="116" t="str">
        <f t="shared" si="6"/>
        <v>9</v>
      </c>
      <c r="D213" s="114" t="str">
        <f t="shared" si="7"/>
        <v>INSERT INTO COMUNAS (ID_COMUNA,NOMBRE,ID_REGION) VALUES (9117,'Teodoro Schmidt',9);</v>
      </c>
    </row>
    <row r="214" spans="1:4">
      <c r="A214" s="109">
        <v>9118</v>
      </c>
      <c r="B214" s="110" t="s">
        <v>1923</v>
      </c>
      <c r="C214" s="116" t="str">
        <f t="shared" si="6"/>
        <v>9</v>
      </c>
      <c r="D214" s="114" t="str">
        <f t="shared" si="7"/>
        <v>INSERT INTO COMUNAS (ID_COMUNA,NOMBRE,ID_REGION) VALUES (9118,'Toltén',9);</v>
      </c>
    </row>
    <row r="215" spans="1:4">
      <c r="A215" s="109">
        <v>9119</v>
      </c>
      <c r="B215" s="110" t="s">
        <v>1924</v>
      </c>
      <c r="C215" s="116" t="str">
        <f t="shared" si="6"/>
        <v>9</v>
      </c>
      <c r="D215" s="114" t="str">
        <f t="shared" si="7"/>
        <v>INSERT INTO COMUNAS (ID_COMUNA,NOMBRE,ID_REGION) VALUES (9119,'Vilcún',9);</v>
      </c>
    </row>
    <row r="216" spans="1:4">
      <c r="A216" s="109">
        <v>9120</v>
      </c>
      <c r="B216" s="110" t="s">
        <v>1925</v>
      </c>
      <c r="C216" s="116" t="str">
        <f t="shared" si="6"/>
        <v>9</v>
      </c>
      <c r="D216" s="114" t="str">
        <f t="shared" si="7"/>
        <v>INSERT INTO COMUNAS (ID_COMUNA,NOMBRE,ID_REGION) VALUES (9120,'Villarrica',9);</v>
      </c>
    </row>
    <row r="217" spans="1:4">
      <c r="A217" s="109">
        <v>9121</v>
      </c>
      <c r="B217" s="110" t="s">
        <v>1926</v>
      </c>
      <c r="C217" s="116" t="str">
        <f t="shared" si="6"/>
        <v>9</v>
      </c>
      <c r="D217" s="114" t="str">
        <f t="shared" si="7"/>
        <v>INSERT INTO COMUNAS (ID_COMUNA,NOMBRE,ID_REGION) VALUES (9121,'Cholchol',9);</v>
      </c>
    </row>
    <row r="218" spans="1:4">
      <c r="A218" s="109">
        <v>9201</v>
      </c>
      <c r="B218" s="110" t="s">
        <v>1927</v>
      </c>
      <c r="C218" s="116" t="str">
        <f t="shared" si="6"/>
        <v>9</v>
      </c>
      <c r="D218" s="114" t="str">
        <f t="shared" si="7"/>
        <v>INSERT INTO COMUNAS (ID_COMUNA,NOMBRE,ID_REGION) VALUES (9201,'Angol',9);</v>
      </c>
    </row>
    <row r="219" spans="1:4">
      <c r="A219" s="109">
        <v>9202</v>
      </c>
      <c r="B219" s="110" t="s">
        <v>1928</v>
      </c>
      <c r="C219" s="116" t="str">
        <f t="shared" si="6"/>
        <v>9</v>
      </c>
      <c r="D219" s="114" t="str">
        <f t="shared" si="7"/>
        <v>INSERT INTO COMUNAS (ID_COMUNA,NOMBRE,ID_REGION) VALUES (9202,'Collipulli',9);</v>
      </c>
    </row>
    <row r="220" spans="1:4">
      <c r="A220" s="109">
        <v>9203</v>
      </c>
      <c r="B220" s="110" t="s">
        <v>1929</v>
      </c>
      <c r="C220" s="116" t="str">
        <f t="shared" si="6"/>
        <v>9</v>
      </c>
      <c r="D220" s="114" t="str">
        <f t="shared" si="7"/>
        <v>INSERT INTO COMUNAS (ID_COMUNA,NOMBRE,ID_REGION) VALUES (9203,'Curacautín',9);</v>
      </c>
    </row>
    <row r="221" spans="1:4">
      <c r="A221" s="109">
        <v>9204</v>
      </c>
      <c r="B221" s="110" t="s">
        <v>1930</v>
      </c>
      <c r="C221" s="116" t="str">
        <f t="shared" si="6"/>
        <v>9</v>
      </c>
      <c r="D221" s="114" t="str">
        <f t="shared" si="7"/>
        <v>INSERT INTO COMUNAS (ID_COMUNA,NOMBRE,ID_REGION) VALUES (9204,'Ercilla',9);</v>
      </c>
    </row>
    <row r="222" spans="1:4">
      <c r="A222" s="109">
        <v>9205</v>
      </c>
      <c r="B222" s="110" t="s">
        <v>1931</v>
      </c>
      <c r="C222" s="116" t="str">
        <f t="shared" si="6"/>
        <v>9</v>
      </c>
      <c r="D222" s="114" t="str">
        <f t="shared" si="7"/>
        <v>INSERT INTO COMUNAS (ID_COMUNA,NOMBRE,ID_REGION) VALUES (9205,'Lonquimay',9);</v>
      </c>
    </row>
    <row r="223" spans="1:4">
      <c r="A223" s="109">
        <v>9206</v>
      </c>
      <c r="B223" s="110" t="s">
        <v>1932</v>
      </c>
      <c r="C223" s="116" t="str">
        <f t="shared" si="6"/>
        <v>9</v>
      </c>
      <c r="D223" s="114" t="str">
        <f t="shared" si="7"/>
        <v>INSERT INTO COMUNAS (ID_COMUNA,NOMBRE,ID_REGION) VALUES (9206,'Los Sauces',9);</v>
      </c>
    </row>
    <row r="224" spans="1:4">
      <c r="A224" s="109">
        <v>9207</v>
      </c>
      <c r="B224" s="110" t="s">
        <v>1933</v>
      </c>
      <c r="C224" s="116" t="str">
        <f t="shared" si="6"/>
        <v>9</v>
      </c>
      <c r="D224" s="114" t="str">
        <f t="shared" si="7"/>
        <v>INSERT INTO COMUNAS (ID_COMUNA,NOMBRE,ID_REGION) VALUES (9207,'Lumaco',9);</v>
      </c>
    </row>
    <row r="225" spans="1:4">
      <c r="A225" s="109">
        <v>9208</v>
      </c>
      <c r="B225" s="110" t="s">
        <v>1934</v>
      </c>
      <c r="C225" s="116" t="str">
        <f t="shared" si="6"/>
        <v>9</v>
      </c>
      <c r="D225" s="114" t="str">
        <f t="shared" si="7"/>
        <v>INSERT INTO COMUNAS (ID_COMUNA,NOMBRE,ID_REGION) VALUES (9208,'Purén',9);</v>
      </c>
    </row>
    <row r="226" spans="1:4">
      <c r="A226" s="109">
        <v>9209</v>
      </c>
      <c r="B226" s="110" t="s">
        <v>1935</v>
      </c>
      <c r="C226" s="116" t="str">
        <f t="shared" si="6"/>
        <v>9</v>
      </c>
      <c r="D226" s="114" t="str">
        <f t="shared" si="7"/>
        <v>INSERT INTO COMUNAS (ID_COMUNA,NOMBRE,ID_REGION) VALUES (9209,'Renaico',9);</v>
      </c>
    </row>
    <row r="227" spans="1:4">
      <c r="A227" s="109">
        <v>9210</v>
      </c>
      <c r="B227" s="110" t="s">
        <v>1936</v>
      </c>
      <c r="C227" s="116" t="str">
        <f t="shared" si="6"/>
        <v>9</v>
      </c>
      <c r="D227" s="114" t="str">
        <f t="shared" si="7"/>
        <v>INSERT INTO COMUNAS (ID_COMUNA,NOMBRE,ID_REGION) VALUES (9210,'Traiguén',9);</v>
      </c>
    </row>
    <row r="228" spans="1:4">
      <c r="A228" s="109">
        <v>9211</v>
      </c>
      <c r="B228" s="110" t="s">
        <v>1937</v>
      </c>
      <c r="C228" s="116" t="str">
        <f t="shared" si="6"/>
        <v>9</v>
      </c>
      <c r="D228" s="114" t="str">
        <f t="shared" si="7"/>
        <v>INSERT INTO COMUNAS (ID_COMUNA,NOMBRE,ID_REGION) VALUES (9211,'Victoria',9);</v>
      </c>
    </row>
    <row r="229" spans="1:4">
      <c r="A229" s="109">
        <v>10101</v>
      </c>
      <c r="B229" s="110" t="s">
        <v>1938</v>
      </c>
      <c r="C229" s="116" t="str">
        <f t="shared" si="6"/>
        <v>10</v>
      </c>
      <c r="D229" s="114" t="str">
        <f t="shared" si="7"/>
        <v>INSERT INTO COMUNAS (ID_COMUNA,NOMBRE,ID_REGION) VALUES (10101,'Puerto Montt',10);</v>
      </c>
    </row>
    <row r="230" spans="1:4">
      <c r="A230" s="109">
        <v>10102</v>
      </c>
      <c r="B230" s="110" t="s">
        <v>1939</v>
      </c>
      <c r="C230" s="116" t="str">
        <f t="shared" si="6"/>
        <v>10</v>
      </c>
      <c r="D230" s="114" t="str">
        <f t="shared" si="7"/>
        <v>INSERT INTO COMUNAS (ID_COMUNA,NOMBRE,ID_REGION) VALUES (10102,'Calbuco',10);</v>
      </c>
    </row>
    <row r="231" spans="1:4">
      <c r="A231" s="109">
        <v>10103</v>
      </c>
      <c r="B231" s="110" t="s">
        <v>1940</v>
      </c>
      <c r="C231" s="116" t="str">
        <f t="shared" si="6"/>
        <v>10</v>
      </c>
      <c r="D231" s="114" t="str">
        <f t="shared" si="7"/>
        <v>INSERT INTO COMUNAS (ID_COMUNA,NOMBRE,ID_REGION) VALUES (10103,'Cochamó',10);</v>
      </c>
    </row>
    <row r="232" spans="1:4">
      <c r="A232" s="109">
        <v>10104</v>
      </c>
      <c r="B232" s="110" t="s">
        <v>1941</v>
      </c>
      <c r="C232" s="116" t="str">
        <f t="shared" si="6"/>
        <v>10</v>
      </c>
      <c r="D232" s="114" t="str">
        <f t="shared" si="7"/>
        <v>INSERT INTO COMUNAS (ID_COMUNA,NOMBRE,ID_REGION) VALUES (10104,'Fresia',10);</v>
      </c>
    </row>
    <row r="233" spans="1:4">
      <c r="A233" s="109">
        <v>10105</v>
      </c>
      <c r="B233" s="110" t="s">
        <v>1942</v>
      </c>
      <c r="C233" s="116" t="str">
        <f t="shared" si="6"/>
        <v>10</v>
      </c>
      <c r="D233" s="114" t="str">
        <f t="shared" si="7"/>
        <v>INSERT INTO COMUNAS (ID_COMUNA,NOMBRE,ID_REGION) VALUES (10105,'Frutillar',10);</v>
      </c>
    </row>
    <row r="234" spans="1:4">
      <c r="A234" s="109">
        <v>10106</v>
      </c>
      <c r="B234" s="110" t="s">
        <v>1943</v>
      </c>
      <c r="C234" s="116" t="str">
        <f t="shared" si="6"/>
        <v>10</v>
      </c>
      <c r="D234" s="114" t="str">
        <f t="shared" si="7"/>
        <v>INSERT INTO COMUNAS (ID_COMUNA,NOMBRE,ID_REGION) VALUES (10106,'Los Muermos',10);</v>
      </c>
    </row>
    <row r="235" spans="1:4">
      <c r="A235" s="109">
        <v>10107</v>
      </c>
      <c r="B235" s="110" t="s">
        <v>1944</v>
      </c>
      <c r="C235" s="116" t="str">
        <f t="shared" si="6"/>
        <v>10</v>
      </c>
      <c r="D235" s="114" t="str">
        <f t="shared" si="7"/>
        <v>INSERT INTO COMUNAS (ID_COMUNA,NOMBRE,ID_REGION) VALUES (10107,'Llanquihue',10);</v>
      </c>
    </row>
    <row r="236" spans="1:4">
      <c r="A236" s="109">
        <v>10108</v>
      </c>
      <c r="B236" s="110" t="s">
        <v>1945</v>
      </c>
      <c r="C236" s="116" t="str">
        <f t="shared" si="6"/>
        <v>10</v>
      </c>
      <c r="D236" s="114" t="str">
        <f t="shared" si="7"/>
        <v>INSERT INTO COMUNAS (ID_COMUNA,NOMBRE,ID_REGION) VALUES (10108,'Maullín',10);</v>
      </c>
    </row>
    <row r="237" spans="1:4">
      <c r="A237" s="109">
        <v>10109</v>
      </c>
      <c r="B237" s="110" t="s">
        <v>1946</v>
      </c>
      <c r="C237" s="116" t="str">
        <f t="shared" si="6"/>
        <v>10</v>
      </c>
      <c r="D237" s="114" t="str">
        <f t="shared" si="7"/>
        <v>INSERT INTO COMUNAS (ID_COMUNA,NOMBRE,ID_REGION) VALUES (10109,'Puerto Varas',10);</v>
      </c>
    </row>
    <row r="238" spans="1:4">
      <c r="A238" s="109">
        <v>10201</v>
      </c>
      <c r="B238" s="110" t="s">
        <v>1947</v>
      </c>
      <c r="C238" s="116" t="str">
        <f t="shared" si="6"/>
        <v>10</v>
      </c>
      <c r="D238" s="114" t="str">
        <f t="shared" si="7"/>
        <v>INSERT INTO COMUNAS (ID_COMUNA,NOMBRE,ID_REGION) VALUES (10201,'Castro',10);</v>
      </c>
    </row>
    <row r="239" spans="1:4">
      <c r="A239" s="109">
        <v>10202</v>
      </c>
      <c r="B239" s="110" t="s">
        <v>1948</v>
      </c>
      <c r="C239" s="116" t="str">
        <f t="shared" si="6"/>
        <v>10</v>
      </c>
      <c r="D239" s="114" t="str">
        <f t="shared" si="7"/>
        <v>INSERT INTO COMUNAS (ID_COMUNA,NOMBRE,ID_REGION) VALUES (10202,'Ancud',10);</v>
      </c>
    </row>
    <row r="240" spans="1:4">
      <c r="A240" s="109">
        <v>10203</v>
      </c>
      <c r="B240" s="110" t="s">
        <v>1949</v>
      </c>
      <c r="C240" s="116" t="str">
        <f t="shared" si="6"/>
        <v>10</v>
      </c>
      <c r="D240" s="114" t="str">
        <f t="shared" si="7"/>
        <v>INSERT INTO COMUNAS (ID_COMUNA,NOMBRE,ID_REGION) VALUES (10203,'Chonchi',10);</v>
      </c>
    </row>
    <row r="241" spans="1:4">
      <c r="A241" s="109">
        <v>10204</v>
      </c>
      <c r="B241" s="110" t="s">
        <v>1950</v>
      </c>
      <c r="C241" s="116" t="str">
        <f t="shared" si="6"/>
        <v>10</v>
      </c>
      <c r="D241" s="114" t="str">
        <f t="shared" si="7"/>
        <v>INSERT INTO COMUNAS (ID_COMUNA,NOMBRE,ID_REGION) VALUES (10204,'Curaco de Vélez',10);</v>
      </c>
    </row>
    <row r="242" spans="1:4">
      <c r="A242" s="109">
        <v>10205</v>
      </c>
      <c r="B242" s="110" t="s">
        <v>1951</v>
      </c>
      <c r="C242" s="116" t="str">
        <f t="shared" si="6"/>
        <v>10</v>
      </c>
      <c r="D242" s="114" t="str">
        <f t="shared" si="7"/>
        <v>INSERT INTO COMUNAS (ID_COMUNA,NOMBRE,ID_REGION) VALUES (10205,'Dalcahue',10);</v>
      </c>
    </row>
    <row r="243" spans="1:4">
      <c r="A243" s="109">
        <v>10206</v>
      </c>
      <c r="B243" s="110" t="s">
        <v>1952</v>
      </c>
      <c r="C243" s="116" t="str">
        <f t="shared" si="6"/>
        <v>10</v>
      </c>
      <c r="D243" s="114" t="str">
        <f t="shared" si="7"/>
        <v>INSERT INTO COMUNAS (ID_COMUNA,NOMBRE,ID_REGION) VALUES (10206,'Puqueldón',10);</v>
      </c>
    </row>
    <row r="244" spans="1:4">
      <c r="A244" s="109">
        <v>10207</v>
      </c>
      <c r="B244" s="110" t="s">
        <v>1953</v>
      </c>
      <c r="C244" s="116" t="str">
        <f t="shared" si="6"/>
        <v>10</v>
      </c>
      <c r="D244" s="114" t="str">
        <f t="shared" si="7"/>
        <v>INSERT INTO COMUNAS (ID_COMUNA,NOMBRE,ID_REGION) VALUES (10207,'Queilén',10);</v>
      </c>
    </row>
    <row r="245" spans="1:4">
      <c r="A245" s="109">
        <v>10208</v>
      </c>
      <c r="B245" s="110" t="s">
        <v>1954</v>
      </c>
      <c r="C245" s="116" t="str">
        <f t="shared" si="6"/>
        <v>10</v>
      </c>
      <c r="D245" s="114" t="str">
        <f t="shared" si="7"/>
        <v>INSERT INTO COMUNAS (ID_COMUNA,NOMBRE,ID_REGION) VALUES (10208,'Quellón',10);</v>
      </c>
    </row>
    <row r="246" spans="1:4">
      <c r="A246" s="109">
        <v>10209</v>
      </c>
      <c r="B246" s="110" t="s">
        <v>1955</v>
      </c>
      <c r="C246" s="116" t="str">
        <f t="shared" si="6"/>
        <v>10</v>
      </c>
      <c r="D246" s="114" t="str">
        <f t="shared" si="7"/>
        <v>INSERT INTO COMUNAS (ID_COMUNA,NOMBRE,ID_REGION) VALUES (10209,'Quemchi',10);</v>
      </c>
    </row>
    <row r="247" spans="1:4">
      <c r="A247" s="109">
        <v>10210</v>
      </c>
      <c r="B247" s="110" t="s">
        <v>1956</v>
      </c>
      <c r="C247" s="116" t="str">
        <f t="shared" si="6"/>
        <v>10</v>
      </c>
      <c r="D247" s="114" t="str">
        <f t="shared" si="7"/>
        <v>INSERT INTO COMUNAS (ID_COMUNA,NOMBRE,ID_REGION) VALUES (10210,'Quinchao',10);</v>
      </c>
    </row>
    <row r="248" spans="1:4">
      <c r="A248" s="109">
        <v>10301</v>
      </c>
      <c r="B248" s="110" t="s">
        <v>1957</v>
      </c>
      <c r="C248" s="116" t="str">
        <f t="shared" si="6"/>
        <v>10</v>
      </c>
      <c r="D248" s="114" t="str">
        <f t="shared" si="7"/>
        <v>INSERT INTO COMUNAS (ID_COMUNA,NOMBRE,ID_REGION) VALUES (10301,'Osorno',10);</v>
      </c>
    </row>
    <row r="249" spans="1:4">
      <c r="A249" s="109">
        <v>10302</v>
      </c>
      <c r="B249" s="110" t="s">
        <v>1958</v>
      </c>
      <c r="C249" s="116" t="str">
        <f t="shared" si="6"/>
        <v>10</v>
      </c>
      <c r="D249" s="114" t="str">
        <f t="shared" si="7"/>
        <v>INSERT INTO COMUNAS (ID_COMUNA,NOMBRE,ID_REGION) VALUES (10302,'Puerto Octay',10);</v>
      </c>
    </row>
    <row r="250" spans="1:4">
      <c r="A250" s="109">
        <v>10303</v>
      </c>
      <c r="B250" s="110" t="s">
        <v>1959</v>
      </c>
      <c r="C250" s="116" t="str">
        <f t="shared" si="6"/>
        <v>10</v>
      </c>
      <c r="D250" s="114" t="str">
        <f t="shared" si="7"/>
        <v>INSERT INTO COMUNAS (ID_COMUNA,NOMBRE,ID_REGION) VALUES (10303,'Purranque',10);</v>
      </c>
    </row>
    <row r="251" spans="1:4">
      <c r="A251" s="109">
        <v>10304</v>
      </c>
      <c r="B251" s="110" t="s">
        <v>1960</v>
      </c>
      <c r="C251" s="116" t="str">
        <f t="shared" si="6"/>
        <v>10</v>
      </c>
      <c r="D251" s="114" t="str">
        <f t="shared" si="7"/>
        <v>INSERT INTO COMUNAS (ID_COMUNA,NOMBRE,ID_REGION) VALUES (10304,'Puyehue',10);</v>
      </c>
    </row>
    <row r="252" spans="1:4">
      <c r="A252" s="109">
        <v>10305</v>
      </c>
      <c r="B252" s="110" t="s">
        <v>1961</v>
      </c>
      <c r="C252" s="116" t="str">
        <f t="shared" si="6"/>
        <v>10</v>
      </c>
      <c r="D252" s="114" t="str">
        <f t="shared" si="7"/>
        <v>INSERT INTO COMUNAS (ID_COMUNA,NOMBRE,ID_REGION) VALUES (10305,'Río Negro',10);</v>
      </c>
    </row>
    <row r="253" spans="1:4">
      <c r="A253" s="109">
        <v>10306</v>
      </c>
      <c r="B253" s="110" t="s">
        <v>1962</v>
      </c>
      <c r="C253" s="116" t="str">
        <f t="shared" si="6"/>
        <v>10</v>
      </c>
      <c r="D253" s="114" t="str">
        <f t="shared" si="7"/>
        <v>INSERT INTO COMUNAS (ID_COMUNA,NOMBRE,ID_REGION) VALUES (10306,'San Juan de la Costa',10);</v>
      </c>
    </row>
    <row r="254" spans="1:4">
      <c r="A254" s="109">
        <v>10307</v>
      </c>
      <c r="B254" s="110" t="s">
        <v>1963</v>
      </c>
      <c r="C254" s="116" t="str">
        <f t="shared" si="6"/>
        <v>10</v>
      </c>
      <c r="D254" s="114" t="str">
        <f t="shared" si="7"/>
        <v>INSERT INTO COMUNAS (ID_COMUNA,NOMBRE,ID_REGION) VALUES (10307,'San Pablo',10);</v>
      </c>
    </row>
    <row r="255" spans="1:4">
      <c r="A255" s="109">
        <v>10401</v>
      </c>
      <c r="B255" s="110" t="s">
        <v>1964</v>
      </c>
      <c r="C255" s="116" t="str">
        <f t="shared" si="6"/>
        <v>10</v>
      </c>
      <c r="D255" s="114" t="str">
        <f t="shared" si="7"/>
        <v>INSERT INTO COMUNAS (ID_COMUNA,NOMBRE,ID_REGION) VALUES (10401,'Chaitén',10);</v>
      </c>
    </row>
    <row r="256" spans="1:4">
      <c r="A256" s="109">
        <v>10402</v>
      </c>
      <c r="B256" s="110" t="s">
        <v>1965</v>
      </c>
      <c r="C256" s="116" t="str">
        <f t="shared" si="6"/>
        <v>10</v>
      </c>
      <c r="D256" s="114" t="str">
        <f t="shared" si="7"/>
        <v>INSERT INTO COMUNAS (ID_COMUNA,NOMBRE,ID_REGION) VALUES (10402,'Futaleufú',10);</v>
      </c>
    </row>
    <row r="257" spans="1:4">
      <c r="A257" s="109">
        <v>10403</v>
      </c>
      <c r="B257" s="110" t="s">
        <v>1966</v>
      </c>
      <c r="C257" s="116" t="str">
        <f t="shared" si="6"/>
        <v>10</v>
      </c>
      <c r="D257" s="114" t="str">
        <f t="shared" si="7"/>
        <v>INSERT INTO COMUNAS (ID_COMUNA,NOMBRE,ID_REGION) VALUES (10403,'Hualaihue',10);</v>
      </c>
    </row>
    <row r="258" spans="1:4">
      <c r="A258" s="109">
        <v>10404</v>
      </c>
      <c r="B258" s="110" t="s">
        <v>465</v>
      </c>
      <c r="C258" s="116" t="str">
        <f t="shared" si="6"/>
        <v>10</v>
      </c>
      <c r="D258" s="114" t="str">
        <f t="shared" si="7"/>
        <v>INSERT INTO COMUNAS (ID_COMUNA,NOMBRE,ID_REGION) VALUES (10404,'Palena',10);</v>
      </c>
    </row>
    <row r="259" spans="1:4">
      <c r="A259" s="109">
        <v>11101</v>
      </c>
      <c r="B259" s="110" t="s">
        <v>1967</v>
      </c>
      <c r="C259" s="116" t="str">
        <f t="shared" ref="C259:C322" si="8">IF(LEN(A259)=5,LEFT(A259,2),LEFT(A259,1))</f>
        <v>11</v>
      </c>
      <c r="D259" s="114" t="str">
        <f t="shared" ref="D259:D322" si="9">CONCATENATE( "INSERT INTO COMUNAS (ID_COMUNA,NOMBRE,ID_REGION) VALUES (",A259,",'",B259,"',",C259,");")</f>
        <v>INSERT INTO COMUNAS (ID_COMUNA,NOMBRE,ID_REGION) VALUES (11101,'Coihaique',11);</v>
      </c>
    </row>
    <row r="260" spans="1:4">
      <c r="A260" s="109">
        <v>11102</v>
      </c>
      <c r="B260" s="110" t="s">
        <v>1968</v>
      </c>
      <c r="C260" s="116" t="str">
        <f t="shared" si="8"/>
        <v>11</v>
      </c>
      <c r="D260" s="114" t="str">
        <f t="shared" si="9"/>
        <v>INSERT INTO COMUNAS (ID_COMUNA,NOMBRE,ID_REGION) VALUES (11102,'Lago Verde',11);</v>
      </c>
    </row>
    <row r="261" spans="1:4">
      <c r="A261" s="109">
        <v>11201</v>
      </c>
      <c r="B261" s="110" t="s">
        <v>1969</v>
      </c>
      <c r="C261" s="116" t="str">
        <f t="shared" si="8"/>
        <v>11</v>
      </c>
      <c r="D261" s="114" t="str">
        <f t="shared" si="9"/>
        <v>INSERT INTO COMUNAS (ID_COMUNA,NOMBRE,ID_REGION) VALUES (11201,'Aisén',11);</v>
      </c>
    </row>
    <row r="262" spans="1:4">
      <c r="A262" s="109">
        <v>11202</v>
      </c>
      <c r="B262" s="110" t="s">
        <v>1970</v>
      </c>
      <c r="C262" s="116" t="str">
        <f t="shared" si="8"/>
        <v>11</v>
      </c>
      <c r="D262" s="114" t="str">
        <f t="shared" si="9"/>
        <v>INSERT INTO COMUNAS (ID_COMUNA,NOMBRE,ID_REGION) VALUES (11202,'Puerto Cisnes',11);</v>
      </c>
    </row>
    <row r="263" spans="1:4">
      <c r="A263" s="109">
        <v>11203</v>
      </c>
      <c r="B263" s="110" t="s">
        <v>1971</v>
      </c>
      <c r="C263" s="116" t="str">
        <f t="shared" si="8"/>
        <v>11</v>
      </c>
      <c r="D263" s="114" t="str">
        <f t="shared" si="9"/>
        <v>INSERT INTO COMUNAS (ID_COMUNA,NOMBRE,ID_REGION) VALUES (11203,'Guaitecas',11);</v>
      </c>
    </row>
    <row r="264" spans="1:4">
      <c r="A264" s="109">
        <v>11301</v>
      </c>
      <c r="B264" s="110" t="s">
        <v>1972</v>
      </c>
      <c r="C264" s="116" t="str">
        <f t="shared" si="8"/>
        <v>11</v>
      </c>
      <c r="D264" s="114" t="str">
        <f t="shared" si="9"/>
        <v>INSERT INTO COMUNAS (ID_COMUNA,NOMBRE,ID_REGION) VALUES (11301,'Cochrane',11);</v>
      </c>
    </row>
    <row r="265" spans="1:4">
      <c r="A265" s="109">
        <v>11302</v>
      </c>
      <c r="B265" s="110" t="s">
        <v>1973</v>
      </c>
      <c r="C265" s="116" t="str">
        <f t="shared" si="8"/>
        <v>11</v>
      </c>
      <c r="D265" s="114" t="str">
        <f t="shared" si="9"/>
        <v>INSERT INTO COMUNAS (ID_COMUNA,NOMBRE,ID_REGION) VALUES (11302,'Ohiggins',11);</v>
      </c>
    </row>
    <row r="266" spans="1:4">
      <c r="A266" s="109">
        <v>11303</v>
      </c>
      <c r="B266" s="110" t="s">
        <v>1974</v>
      </c>
      <c r="C266" s="116" t="str">
        <f t="shared" si="8"/>
        <v>11</v>
      </c>
      <c r="D266" s="114" t="str">
        <f t="shared" si="9"/>
        <v>INSERT INTO COMUNAS (ID_COMUNA,NOMBRE,ID_REGION) VALUES (11303,'Tortel',11);</v>
      </c>
    </row>
    <row r="267" spans="1:4">
      <c r="A267" s="109">
        <v>11401</v>
      </c>
      <c r="B267" s="110" t="s">
        <v>1975</v>
      </c>
      <c r="C267" s="116" t="str">
        <f t="shared" si="8"/>
        <v>11</v>
      </c>
      <c r="D267" s="114" t="str">
        <f t="shared" si="9"/>
        <v>INSERT INTO COMUNAS (ID_COMUNA,NOMBRE,ID_REGION) VALUES (11401,'Chile Chico',11);</v>
      </c>
    </row>
    <row r="268" spans="1:4">
      <c r="A268" s="109">
        <v>11402</v>
      </c>
      <c r="B268" s="110" t="s">
        <v>1976</v>
      </c>
      <c r="C268" s="116" t="str">
        <f t="shared" si="8"/>
        <v>11</v>
      </c>
      <c r="D268" s="114" t="str">
        <f t="shared" si="9"/>
        <v>INSERT INTO COMUNAS (ID_COMUNA,NOMBRE,ID_REGION) VALUES (11402,'Río Ibáñez',11);</v>
      </c>
    </row>
    <row r="269" spans="1:4">
      <c r="A269" s="109">
        <v>12101</v>
      </c>
      <c r="B269" s="110" t="s">
        <v>1977</v>
      </c>
      <c r="C269" s="116" t="str">
        <f t="shared" si="8"/>
        <v>12</v>
      </c>
      <c r="D269" s="114" t="str">
        <f t="shared" si="9"/>
        <v>INSERT INTO COMUNAS (ID_COMUNA,NOMBRE,ID_REGION) VALUES (12101,'Punta Arenas',12);</v>
      </c>
    </row>
    <row r="270" spans="1:4">
      <c r="A270" s="109">
        <v>12102</v>
      </c>
      <c r="B270" s="110" t="s">
        <v>1978</v>
      </c>
      <c r="C270" s="116" t="str">
        <f t="shared" si="8"/>
        <v>12</v>
      </c>
      <c r="D270" s="114" t="str">
        <f t="shared" si="9"/>
        <v>INSERT INTO COMUNAS (ID_COMUNA,NOMBRE,ID_REGION) VALUES (12102,'Laguna Blanca',12);</v>
      </c>
    </row>
    <row r="271" spans="1:4">
      <c r="A271" s="109">
        <v>12103</v>
      </c>
      <c r="B271" s="110" t="s">
        <v>1979</v>
      </c>
      <c r="C271" s="116" t="str">
        <f t="shared" si="8"/>
        <v>12</v>
      </c>
      <c r="D271" s="114" t="str">
        <f t="shared" si="9"/>
        <v>INSERT INTO COMUNAS (ID_COMUNA,NOMBRE,ID_REGION) VALUES (12103,'Río Verde',12);</v>
      </c>
    </row>
    <row r="272" spans="1:4">
      <c r="A272" s="109">
        <v>12104</v>
      </c>
      <c r="B272" s="110" t="s">
        <v>1980</v>
      </c>
      <c r="C272" s="116" t="str">
        <f t="shared" si="8"/>
        <v>12</v>
      </c>
      <c r="D272" s="114" t="str">
        <f t="shared" si="9"/>
        <v>INSERT INTO COMUNAS (ID_COMUNA,NOMBRE,ID_REGION) VALUES (12104,'San Gregorio',12);</v>
      </c>
    </row>
    <row r="273" spans="1:4">
      <c r="A273" s="109">
        <v>12201</v>
      </c>
      <c r="B273" s="110" t="s">
        <v>1981</v>
      </c>
      <c r="C273" s="116" t="str">
        <f t="shared" si="8"/>
        <v>12</v>
      </c>
      <c r="D273" s="114" t="str">
        <f t="shared" si="9"/>
        <v>INSERT INTO COMUNAS (ID_COMUNA,NOMBRE,ID_REGION) VALUES (12201,'Cabo de Hornos',12);</v>
      </c>
    </row>
    <row r="274" spans="1:4">
      <c r="A274" s="109">
        <v>12301</v>
      </c>
      <c r="B274" s="110" t="s">
        <v>1982</v>
      </c>
      <c r="C274" s="116" t="str">
        <f t="shared" si="8"/>
        <v>12</v>
      </c>
      <c r="D274" s="114" t="str">
        <f t="shared" si="9"/>
        <v>INSERT INTO COMUNAS (ID_COMUNA,NOMBRE,ID_REGION) VALUES (12301,'Porvenir',12);</v>
      </c>
    </row>
    <row r="275" spans="1:4">
      <c r="A275" s="109">
        <v>12302</v>
      </c>
      <c r="B275" s="110" t="s">
        <v>1983</v>
      </c>
      <c r="C275" s="116" t="str">
        <f t="shared" si="8"/>
        <v>12</v>
      </c>
      <c r="D275" s="114" t="str">
        <f t="shared" si="9"/>
        <v>INSERT INTO COMUNAS (ID_COMUNA,NOMBRE,ID_REGION) VALUES (12302,'Primavera',12);</v>
      </c>
    </row>
    <row r="276" spans="1:4">
      <c r="A276" s="109">
        <v>12303</v>
      </c>
      <c r="B276" s="110" t="s">
        <v>1984</v>
      </c>
      <c r="C276" s="116" t="str">
        <f t="shared" si="8"/>
        <v>12</v>
      </c>
      <c r="D276" s="114" t="str">
        <f t="shared" si="9"/>
        <v>INSERT INTO COMUNAS (ID_COMUNA,NOMBRE,ID_REGION) VALUES (12303,'Timaukel',12);</v>
      </c>
    </row>
    <row r="277" spans="1:4">
      <c r="A277" s="109">
        <v>12401</v>
      </c>
      <c r="B277" s="110" t="s">
        <v>1985</v>
      </c>
      <c r="C277" s="116" t="str">
        <f t="shared" si="8"/>
        <v>12</v>
      </c>
      <c r="D277" s="114" t="str">
        <f t="shared" si="9"/>
        <v>INSERT INTO COMUNAS (ID_COMUNA,NOMBRE,ID_REGION) VALUES (12401,'Puerto Natales',12);</v>
      </c>
    </row>
    <row r="278" spans="1:4">
      <c r="A278" s="109">
        <v>12402</v>
      </c>
      <c r="B278" s="110" t="s">
        <v>1986</v>
      </c>
      <c r="C278" s="116" t="str">
        <f t="shared" si="8"/>
        <v>12</v>
      </c>
      <c r="D278" s="114" t="str">
        <f t="shared" si="9"/>
        <v>INSERT INTO COMUNAS (ID_COMUNA,NOMBRE,ID_REGION) VALUES (12402,'Torres del Paine',12);</v>
      </c>
    </row>
    <row r="279" spans="1:4">
      <c r="A279" s="109">
        <v>13101</v>
      </c>
      <c r="B279" s="110" t="s">
        <v>1987</v>
      </c>
      <c r="C279" s="116" t="str">
        <f t="shared" si="8"/>
        <v>13</v>
      </c>
      <c r="D279" s="114" t="str">
        <f t="shared" si="9"/>
        <v>INSERT INTO COMUNAS (ID_COMUNA,NOMBRE,ID_REGION) VALUES (13101,'Santiago',13);</v>
      </c>
    </row>
    <row r="280" spans="1:4">
      <c r="A280" s="109">
        <v>13102</v>
      </c>
      <c r="B280" s="110" t="s">
        <v>1988</v>
      </c>
      <c r="C280" s="116" t="str">
        <f t="shared" si="8"/>
        <v>13</v>
      </c>
      <c r="D280" s="114" t="str">
        <f t="shared" si="9"/>
        <v>INSERT INTO COMUNAS (ID_COMUNA,NOMBRE,ID_REGION) VALUES (13102,'Cerrillos',13);</v>
      </c>
    </row>
    <row r="281" spans="1:4">
      <c r="A281" s="109">
        <v>13103</v>
      </c>
      <c r="B281" s="110" t="s">
        <v>1989</v>
      </c>
      <c r="C281" s="116" t="str">
        <f t="shared" si="8"/>
        <v>13</v>
      </c>
      <c r="D281" s="114" t="str">
        <f t="shared" si="9"/>
        <v>INSERT INTO COMUNAS (ID_COMUNA,NOMBRE,ID_REGION) VALUES (13103,'Cerro Navia',13);</v>
      </c>
    </row>
    <row r="282" spans="1:4">
      <c r="A282" s="109">
        <v>13104</v>
      </c>
      <c r="B282" s="110" t="s">
        <v>1990</v>
      </c>
      <c r="C282" s="116" t="str">
        <f t="shared" si="8"/>
        <v>13</v>
      </c>
      <c r="D282" s="114" t="str">
        <f t="shared" si="9"/>
        <v>INSERT INTO COMUNAS (ID_COMUNA,NOMBRE,ID_REGION) VALUES (13104,'Conchalí',13);</v>
      </c>
    </row>
    <row r="283" spans="1:4">
      <c r="A283" s="109">
        <v>13105</v>
      </c>
      <c r="B283" s="110" t="s">
        <v>1991</v>
      </c>
      <c r="C283" s="116" t="str">
        <f t="shared" si="8"/>
        <v>13</v>
      </c>
      <c r="D283" s="114" t="str">
        <f t="shared" si="9"/>
        <v>INSERT INTO COMUNAS (ID_COMUNA,NOMBRE,ID_REGION) VALUES (13105,'El Bosque',13);</v>
      </c>
    </row>
    <row r="284" spans="1:4">
      <c r="A284" s="109">
        <v>13106</v>
      </c>
      <c r="B284" s="110" t="s">
        <v>1992</v>
      </c>
      <c r="C284" s="116" t="str">
        <f t="shared" si="8"/>
        <v>13</v>
      </c>
      <c r="D284" s="114" t="str">
        <f t="shared" si="9"/>
        <v>INSERT INTO COMUNAS (ID_COMUNA,NOMBRE,ID_REGION) VALUES (13106,'Estación Central',13);</v>
      </c>
    </row>
    <row r="285" spans="1:4">
      <c r="A285" s="109">
        <v>13107</v>
      </c>
      <c r="B285" s="110" t="s">
        <v>1993</v>
      </c>
      <c r="C285" s="116" t="str">
        <f t="shared" si="8"/>
        <v>13</v>
      </c>
      <c r="D285" s="114" t="str">
        <f t="shared" si="9"/>
        <v>INSERT INTO COMUNAS (ID_COMUNA,NOMBRE,ID_REGION) VALUES (13107,'Huechuraba',13);</v>
      </c>
    </row>
    <row r="286" spans="1:4">
      <c r="A286" s="109">
        <v>13108</v>
      </c>
      <c r="B286" s="110" t="s">
        <v>1994</v>
      </c>
      <c r="C286" s="116" t="str">
        <f t="shared" si="8"/>
        <v>13</v>
      </c>
      <c r="D286" s="114" t="str">
        <f t="shared" si="9"/>
        <v>INSERT INTO COMUNAS (ID_COMUNA,NOMBRE,ID_REGION) VALUES (13108,'Independencia',13);</v>
      </c>
    </row>
    <row r="287" spans="1:4">
      <c r="A287" s="109">
        <v>13109</v>
      </c>
      <c r="B287" s="110" t="s">
        <v>1995</v>
      </c>
      <c r="C287" s="116" t="str">
        <f t="shared" si="8"/>
        <v>13</v>
      </c>
      <c r="D287" s="114" t="str">
        <f t="shared" si="9"/>
        <v>INSERT INTO COMUNAS (ID_COMUNA,NOMBRE,ID_REGION) VALUES (13109,'La Cisterna',13);</v>
      </c>
    </row>
    <row r="288" spans="1:4">
      <c r="A288" s="109">
        <v>13110</v>
      </c>
      <c r="B288" s="110" t="s">
        <v>1996</v>
      </c>
      <c r="C288" s="116" t="str">
        <f t="shared" si="8"/>
        <v>13</v>
      </c>
      <c r="D288" s="114" t="str">
        <f t="shared" si="9"/>
        <v>INSERT INTO COMUNAS (ID_COMUNA,NOMBRE,ID_REGION) VALUES (13110,'La Florida',13);</v>
      </c>
    </row>
    <row r="289" spans="1:4">
      <c r="A289" s="109">
        <v>13111</v>
      </c>
      <c r="B289" s="110" t="s">
        <v>1997</v>
      </c>
      <c r="C289" s="116" t="str">
        <f t="shared" si="8"/>
        <v>13</v>
      </c>
      <c r="D289" s="114" t="str">
        <f t="shared" si="9"/>
        <v>INSERT INTO COMUNAS (ID_COMUNA,NOMBRE,ID_REGION) VALUES (13111,'La Granja',13);</v>
      </c>
    </row>
    <row r="290" spans="1:4">
      <c r="A290" s="109">
        <v>13112</v>
      </c>
      <c r="B290" s="110" t="s">
        <v>1998</v>
      </c>
      <c r="C290" s="116" t="str">
        <f t="shared" si="8"/>
        <v>13</v>
      </c>
      <c r="D290" s="114" t="str">
        <f t="shared" si="9"/>
        <v>INSERT INTO COMUNAS (ID_COMUNA,NOMBRE,ID_REGION) VALUES (13112,'La Pintana',13);</v>
      </c>
    </row>
    <row r="291" spans="1:4">
      <c r="A291" s="109">
        <v>13113</v>
      </c>
      <c r="B291" s="110" t="s">
        <v>1999</v>
      </c>
      <c r="C291" s="116" t="str">
        <f t="shared" si="8"/>
        <v>13</v>
      </c>
      <c r="D291" s="114" t="str">
        <f t="shared" si="9"/>
        <v>INSERT INTO COMUNAS (ID_COMUNA,NOMBRE,ID_REGION) VALUES (13113,'La Reina',13);</v>
      </c>
    </row>
    <row r="292" spans="1:4">
      <c r="A292" s="109">
        <v>13114</v>
      </c>
      <c r="B292" s="110" t="s">
        <v>1084</v>
      </c>
      <c r="C292" s="116" t="str">
        <f t="shared" si="8"/>
        <v>13</v>
      </c>
      <c r="D292" s="114" t="str">
        <f t="shared" si="9"/>
        <v>INSERT INTO COMUNAS (ID_COMUNA,NOMBRE,ID_REGION) VALUES (13114,'Las Condes',13);</v>
      </c>
    </row>
    <row r="293" spans="1:4">
      <c r="A293" s="109">
        <v>13115</v>
      </c>
      <c r="B293" s="110" t="s">
        <v>2000</v>
      </c>
      <c r="C293" s="116" t="str">
        <f t="shared" si="8"/>
        <v>13</v>
      </c>
      <c r="D293" s="114" t="str">
        <f t="shared" si="9"/>
        <v>INSERT INTO COMUNAS (ID_COMUNA,NOMBRE,ID_REGION) VALUES (13115,'Lo Barnechea',13);</v>
      </c>
    </row>
    <row r="294" spans="1:4">
      <c r="A294" s="109">
        <v>13116</v>
      </c>
      <c r="B294" s="110" t="s">
        <v>2001</v>
      </c>
      <c r="C294" s="116" t="str">
        <f t="shared" si="8"/>
        <v>13</v>
      </c>
      <c r="D294" s="114" t="str">
        <f t="shared" si="9"/>
        <v>INSERT INTO COMUNAS (ID_COMUNA,NOMBRE,ID_REGION) VALUES (13116,'Lo Espejo',13);</v>
      </c>
    </row>
    <row r="295" spans="1:4">
      <c r="A295" s="109">
        <v>13117</v>
      </c>
      <c r="B295" s="110" t="s">
        <v>2002</v>
      </c>
      <c r="C295" s="116" t="str">
        <f t="shared" si="8"/>
        <v>13</v>
      </c>
      <c r="D295" s="114" t="str">
        <f t="shared" si="9"/>
        <v>INSERT INTO COMUNAS (ID_COMUNA,NOMBRE,ID_REGION) VALUES (13117,'Lo Prado',13);</v>
      </c>
    </row>
    <row r="296" spans="1:4">
      <c r="A296" s="109">
        <v>13118</v>
      </c>
      <c r="B296" s="110" t="s">
        <v>613</v>
      </c>
      <c r="C296" s="116" t="str">
        <f t="shared" si="8"/>
        <v>13</v>
      </c>
      <c r="D296" s="114" t="str">
        <f t="shared" si="9"/>
        <v>INSERT INTO COMUNAS (ID_COMUNA,NOMBRE,ID_REGION) VALUES (13118,'Macul',13);</v>
      </c>
    </row>
    <row r="297" spans="1:4">
      <c r="A297" s="109">
        <v>13119</v>
      </c>
      <c r="B297" s="110" t="s">
        <v>2003</v>
      </c>
      <c r="C297" s="116" t="str">
        <f t="shared" si="8"/>
        <v>13</v>
      </c>
      <c r="D297" s="114" t="str">
        <f t="shared" si="9"/>
        <v>INSERT INTO COMUNAS (ID_COMUNA,NOMBRE,ID_REGION) VALUES (13119,'Maipú',13);</v>
      </c>
    </row>
    <row r="298" spans="1:4">
      <c r="A298" s="109">
        <v>13120</v>
      </c>
      <c r="B298" s="110" t="s">
        <v>2004</v>
      </c>
      <c r="C298" s="116" t="str">
        <f t="shared" si="8"/>
        <v>13</v>
      </c>
      <c r="D298" s="114" t="str">
        <f t="shared" si="9"/>
        <v>INSERT INTO COMUNAS (ID_COMUNA,NOMBRE,ID_REGION) VALUES (13120,'Ñuñoa',13);</v>
      </c>
    </row>
    <row r="299" spans="1:4">
      <c r="A299" s="109">
        <v>13121</v>
      </c>
      <c r="B299" s="110" t="s">
        <v>2005</v>
      </c>
      <c r="C299" s="116" t="str">
        <f t="shared" si="8"/>
        <v>13</v>
      </c>
      <c r="D299" s="114" t="str">
        <f t="shared" si="9"/>
        <v>INSERT INTO COMUNAS (ID_COMUNA,NOMBRE,ID_REGION) VALUES (13121,'Pedro Aguirre Cerda',13);</v>
      </c>
    </row>
    <row r="300" spans="1:4">
      <c r="A300" s="109">
        <v>13122</v>
      </c>
      <c r="B300" s="110" t="s">
        <v>2006</v>
      </c>
      <c r="C300" s="116" t="str">
        <f t="shared" si="8"/>
        <v>13</v>
      </c>
      <c r="D300" s="114" t="str">
        <f t="shared" si="9"/>
        <v>INSERT INTO COMUNAS (ID_COMUNA,NOMBRE,ID_REGION) VALUES (13122,'Peñalolén',13);</v>
      </c>
    </row>
    <row r="301" spans="1:4">
      <c r="A301" s="109">
        <v>13123</v>
      </c>
      <c r="B301" s="110" t="s">
        <v>2007</v>
      </c>
      <c r="C301" s="116" t="str">
        <f t="shared" si="8"/>
        <v>13</v>
      </c>
      <c r="D301" s="114" t="str">
        <f t="shared" si="9"/>
        <v>INSERT INTO COMUNAS (ID_COMUNA,NOMBRE,ID_REGION) VALUES (13123,'Providencia',13);</v>
      </c>
    </row>
    <row r="302" spans="1:4">
      <c r="A302" s="109">
        <v>13124</v>
      </c>
      <c r="B302" s="110" t="s">
        <v>578</v>
      </c>
      <c r="C302" s="116" t="str">
        <f t="shared" si="8"/>
        <v>13</v>
      </c>
      <c r="D302" s="114" t="str">
        <f t="shared" si="9"/>
        <v>INSERT INTO COMUNAS (ID_COMUNA,NOMBRE,ID_REGION) VALUES (13124,'Pudahuel',13);</v>
      </c>
    </row>
    <row r="303" spans="1:4">
      <c r="A303" s="109">
        <v>13125</v>
      </c>
      <c r="B303" s="110" t="s">
        <v>2008</v>
      </c>
      <c r="C303" s="116" t="str">
        <f t="shared" si="8"/>
        <v>13</v>
      </c>
      <c r="D303" s="114" t="str">
        <f t="shared" si="9"/>
        <v>INSERT INTO COMUNAS (ID_COMUNA,NOMBRE,ID_REGION) VALUES (13125,'Quilicura',13);</v>
      </c>
    </row>
    <row r="304" spans="1:4">
      <c r="A304" s="109">
        <v>13126</v>
      </c>
      <c r="B304" s="110" t="s">
        <v>2009</v>
      </c>
      <c r="C304" s="116" t="str">
        <f t="shared" si="8"/>
        <v>13</v>
      </c>
      <c r="D304" s="114" t="str">
        <f t="shared" si="9"/>
        <v>INSERT INTO COMUNAS (ID_COMUNA,NOMBRE,ID_REGION) VALUES (13126,'Quinta Normal',13);</v>
      </c>
    </row>
    <row r="305" spans="1:4">
      <c r="A305" s="109">
        <v>13127</v>
      </c>
      <c r="B305" s="110" t="s">
        <v>2010</v>
      </c>
      <c r="C305" s="116" t="str">
        <f t="shared" si="8"/>
        <v>13</v>
      </c>
      <c r="D305" s="114" t="str">
        <f t="shared" si="9"/>
        <v>INSERT INTO COMUNAS (ID_COMUNA,NOMBRE,ID_REGION) VALUES (13127,'Recoleta',13);</v>
      </c>
    </row>
    <row r="306" spans="1:4">
      <c r="A306" s="109">
        <v>13128</v>
      </c>
      <c r="B306" s="110" t="s">
        <v>2011</v>
      </c>
      <c r="C306" s="116" t="str">
        <f t="shared" si="8"/>
        <v>13</v>
      </c>
      <c r="D306" s="114" t="str">
        <f t="shared" si="9"/>
        <v>INSERT INTO COMUNAS (ID_COMUNA,NOMBRE,ID_REGION) VALUES (13128,'Renca',13);</v>
      </c>
    </row>
    <row r="307" spans="1:4">
      <c r="A307" s="109">
        <v>13129</v>
      </c>
      <c r="B307" s="110" t="s">
        <v>2012</v>
      </c>
      <c r="C307" s="116" t="str">
        <f t="shared" si="8"/>
        <v>13</v>
      </c>
      <c r="D307" s="114" t="str">
        <f t="shared" si="9"/>
        <v>INSERT INTO COMUNAS (ID_COMUNA,NOMBRE,ID_REGION) VALUES (13129,'San Joaquín',13);</v>
      </c>
    </row>
    <row r="308" spans="1:4">
      <c r="A308" s="109">
        <v>13130</v>
      </c>
      <c r="B308" s="110" t="s">
        <v>577</v>
      </c>
      <c r="C308" s="116" t="str">
        <f t="shared" si="8"/>
        <v>13</v>
      </c>
      <c r="D308" s="114" t="str">
        <f t="shared" si="9"/>
        <v>INSERT INTO COMUNAS (ID_COMUNA,NOMBRE,ID_REGION) VALUES (13130,'San Miguel',13);</v>
      </c>
    </row>
    <row r="309" spans="1:4">
      <c r="A309" s="109">
        <v>13131</v>
      </c>
      <c r="B309" s="110" t="s">
        <v>2013</v>
      </c>
      <c r="C309" s="116" t="str">
        <f t="shared" si="8"/>
        <v>13</v>
      </c>
      <c r="D309" s="114" t="str">
        <f t="shared" si="9"/>
        <v>INSERT INTO COMUNAS (ID_COMUNA,NOMBRE,ID_REGION) VALUES (13131,'San Ramón',13);</v>
      </c>
    </row>
    <row r="310" spans="1:4">
      <c r="A310" s="109">
        <v>13132</v>
      </c>
      <c r="B310" s="110" t="s">
        <v>2014</v>
      </c>
      <c r="C310" s="116" t="str">
        <f t="shared" si="8"/>
        <v>13</v>
      </c>
      <c r="D310" s="114" t="str">
        <f t="shared" si="9"/>
        <v>INSERT INTO COMUNAS (ID_COMUNA,NOMBRE,ID_REGION) VALUES (13132,'Vitacura',13);</v>
      </c>
    </row>
    <row r="311" spans="1:4">
      <c r="A311" s="109">
        <v>13201</v>
      </c>
      <c r="B311" s="110" t="s">
        <v>2015</v>
      </c>
      <c r="C311" s="116" t="str">
        <f t="shared" si="8"/>
        <v>13</v>
      </c>
      <c r="D311" s="114" t="str">
        <f t="shared" si="9"/>
        <v>INSERT INTO COMUNAS (ID_COMUNA,NOMBRE,ID_REGION) VALUES (13201,'Puente Alto',13);</v>
      </c>
    </row>
    <row r="312" spans="1:4">
      <c r="A312" s="109">
        <v>13202</v>
      </c>
      <c r="B312" s="110" t="s">
        <v>2016</v>
      </c>
      <c r="C312" s="116" t="str">
        <f t="shared" si="8"/>
        <v>13</v>
      </c>
      <c r="D312" s="114" t="str">
        <f t="shared" si="9"/>
        <v>INSERT INTO COMUNAS (ID_COMUNA,NOMBRE,ID_REGION) VALUES (13202,'Pirque',13);</v>
      </c>
    </row>
    <row r="313" spans="1:4">
      <c r="A313" s="109">
        <v>13203</v>
      </c>
      <c r="B313" s="110" t="s">
        <v>2017</v>
      </c>
      <c r="C313" s="116" t="str">
        <f t="shared" si="8"/>
        <v>13</v>
      </c>
      <c r="D313" s="114" t="str">
        <f t="shared" si="9"/>
        <v>INSERT INTO COMUNAS (ID_COMUNA,NOMBRE,ID_REGION) VALUES (13203,'San José de Maipo',13);</v>
      </c>
    </row>
    <row r="314" spans="1:4">
      <c r="A314" s="109">
        <v>13301</v>
      </c>
      <c r="B314" s="110" t="s">
        <v>2018</v>
      </c>
      <c r="C314" s="116" t="str">
        <f t="shared" si="8"/>
        <v>13</v>
      </c>
      <c r="D314" s="114" t="str">
        <f t="shared" si="9"/>
        <v>INSERT INTO COMUNAS (ID_COMUNA,NOMBRE,ID_REGION) VALUES (13301,'Colina',13);</v>
      </c>
    </row>
    <row r="315" spans="1:4">
      <c r="A315" s="109">
        <v>13302</v>
      </c>
      <c r="B315" s="110" t="s">
        <v>2019</v>
      </c>
      <c r="C315" s="116" t="str">
        <f t="shared" si="8"/>
        <v>13</v>
      </c>
      <c r="D315" s="114" t="str">
        <f t="shared" si="9"/>
        <v>INSERT INTO COMUNAS (ID_COMUNA,NOMBRE,ID_REGION) VALUES (13302,'Lampa',13);</v>
      </c>
    </row>
    <row r="316" spans="1:4">
      <c r="A316" s="109">
        <v>13303</v>
      </c>
      <c r="B316" s="110" t="s">
        <v>2020</v>
      </c>
      <c r="C316" s="116" t="str">
        <f t="shared" si="8"/>
        <v>13</v>
      </c>
      <c r="D316" s="114" t="str">
        <f t="shared" si="9"/>
        <v>INSERT INTO COMUNAS (ID_COMUNA,NOMBRE,ID_REGION) VALUES (13303,'Til til',13);</v>
      </c>
    </row>
    <row r="317" spans="1:4">
      <c r="A317" s="109">
        <v>13401</v>
      </c>
      <c r="B317" s="110" t="s">
        <v>2021</v>
      </c>
      <c r="C317" s="116" t="str">
        <f t="shared" si="8"/>
        <v>13</v>
      </c>
      <c r="D317" s="114" t="str">
        <f t="shared" si="9"/>
        <v>INSERT INTO COMUNAS (ID_COMUNA,NOMBRE,ID_REGION) VALUES (13401,'San Bernardo',13);</v>
      </c>
    </row>
    <row r="318" spans="1:4">
      <c r="A318" s="109">
        <v>13402</v>
      </c>
      <c r="B318" s="110" t="s">
        <v>2022</v>
      </c>
      <c r="C318" s="116" t="str">
        <f t="shared" si="8"/>
        <v>13</v>
      </c>
      <c r="D318" s="114" t="str">
        <f t="shared" si="9"/>
        <v>INSERT INTO COMUNAS (ID_COMUNA,NOMBRE,ID_REGION) VALUES (13402,'Buin',13);</v>
      </c>
    </row>
    <row r="319" spans="1:4">
      <c r="A319" s="109">
        <v>13403</v>
      </c>
      <c r="B319" s="110" t="s">
        <v>2023</v>
      </c>
      <c r="C319" s="116" t="str">
        <f t="shared" si="8"/>
        <v>13</v>
      </c>
      <c r="D319" s="114" t="str">
        <f t="shared" si="9"/>
        <v>INSERT INTO COMUNAS (ID_COMUNA,NOMBRE,ID_REGION) VALUES (13403,'Calera de Tango',13);</v>
      </c>
    </row>
    <row r="320" spans="1:4">
      <c r="A320" s="109">
        <v>13404</v>
      </c>
      <c r="B320" s="110" t="s">
        <v>2024</v>
      </c>
      <c r="C320" s="116" t="str">
        <f t="shared" si="8"/>
        <v>13</v>
      </c>
      <c r="D320" s="114" t="str">
        <f t="shared" si="9"/>
        <v>INSERT INTO COMUNAS (ID_COMUNA,NOMBRE,ID_REGION) VALUES (13404,'Paine',13);</v>
      </c>
    </row>
    <row r="321" spans="1:4">
      <c r="A321" s="109">
        <v>13501</v>
      </c>
      <c r="B321" s="110" t="s">
        <v>2025</v>
      </c>
      <c r="C321" s="116" t="str">
        <f t="shared" si="8"/>
        <v>13</v>
      </c>
      <c r="D321" s="114" t="str">
        <f t="shared" si="9"/>
        <v>INSERT INTO COMUNAS (ID_COMUNA,NOMBRE,ID_REGION) VALUES (13501,'Melipilla',13);</v>
      </c>
    </row>
    <row r="322" spans="1:4">
      <c r="A322" s="109">
        <v>13502</v>
      </c>
      <c r="B322" s="110" t="s">
        <v>2026</v>
      </c>
      <c r="C322" s="116" t="str">
        <f t="shared" si="8"/>
        <v>13</v>
      </c>
      <c r="D322" s="114" t="str">
        <f t="shared" si="9"/>
        <v>INSERT INTO COMUNAS (ID_COMUNA,NOMBRE,ID_REGION) VALUES (13502,'Alhué',13);</v>
      </c>
    </row>
    <row r="323" spans="1:4">
      <c r="A323" s="109">
        <v>13503</v>
      </c>
      <c r="B323" s="110" t="s">
        <v>2027</v>
      </c>
      <c r="C323" s="116" t="str">
        <f t="shared" ref="C323:C346" si="10">IF(LEN(A323)=5,LEFT(A323,2),LEFT(A323,1))</f>
        <v>13</v>
      </c>
      <c r="D323" s="114" t="str">
        <f t="shared" ref="D323:D346" si="11">CONCATENATE( "INSERT INTO COMUNAS (ID_COMUNA,NOMBRE,ID_REGION) VALUES (",A323,",'",B323,"',",C323,");")</f>
        <v>INSERT INTO COMUNAS (ID_COMUNA,NOMBRE,ID_REGION) VALUES (13503,'Curacaví',13);</v>
      </c>
    </row>
    <row r="324" spans="1:4">
      <c r="A324" s="109">
        <v>13504</v>
      </c>
      <c r="B324" s="110" t="s">
        <v>2028</v>
      </c>
      <c r="C324" s="116" t="str">
        <f t="shared" si="10"/>
        <v>13</v>
      </c>
      <c r="D324" s="114" t="str">
        <f t="shared" si="11"/>
        <v>INSERT INTO COMUNAS (ID_COMUNA,NOMBRE,ID_REGION) VALUES (13504,'María Pinto',13);</v>
      </c>
    </row>
    <row r="325" spans="1:4">
      <c r="A325" s="109">
        <v>13505</v>
      </c>
      <c r="B325" s="110" t="s">
        <v>2029</v>
      </c>
      <c r="C325" s="116" t="str">
        <f t="shared" si="10"/>
        <v>13</v>
      </c>
      <c r="D325" s="114" t="str">
        <f t="shared" si="11"/>
        <v>INSERT INTO COMUNAS (ID_COMUNA,NOMBRE,ID_REGION) VALUES (13505,'San Pedro',13);</v>
      </c>
    </row>
    <row r="326" spans="1:4">
      <c r="A326" s="109">
        <v>13601</v>
      </c>
      <c r="B326" s="110" t="s">
        <v>2030</v>
      </c>
      <c r="C326" s="116" t="str">
        <f t="shared" si="10"/>
        <v>13</v>
      </c>
      <c r="D326" s="114" t="str">
        <f t="shared" si="11"/>
        <v>INSERT INTO COMUNAS (ID_COMUNA,NOMBRE,ID_REGION) VALUES (13601,'Talagante',13);</v>
      </c>
    </row>
    <row r="327" spans="1:4">
      <c r="A327" s="109">
        <v>13602</v>
      </c>
      <c r="B327" s="110" t="s">
        <v>2031</v>
      </c>
      <c r="C327" s="116" t="str">
        <f t="shared" si="10"/>
        <v>13</v>
      </c>
      <c r="D327" s="114" t="str">
        <f t="shared" si="11"/>
        <v>INSERT INTO COMUNAS (ID_COMUNA,NOMBRE,ID_REGION) VALUES (13602,'El Monte',13);</v>
      </c>
    </row>
    <row r="328" spans="1:4">
      <c r="A328" s="109">
        <v>13603</v>
      </c>
      <c r="B328" s="110" t="s">
        <v>2032</v>
      </c>
      <c r="C328" s="116" t="str">
        <f t="shared" si="10"/>
        <v>13</v>
      </c>
      <c r="D328" s="114" t="str">
        <f t="shared" si="11"/>
        <v>INSERT INTO COMUNAS (ID_COMUNA,NOMBRE,ID_REGION) VALUES (13603,'Isla de Maipo',13);</v>
      </c>
    </row>
    <row r="329" spans="1:4">
      <c r="A329" s="109">
        <v>13604</v>
      </c>
      <c r="B329" s="110" t="s">
        <v>2033</v>
      </c>
      <c r="C329" s="116" t="str">
        <f t="shared" si="10"/>
        <v>13</v>
      </c>
      <c r="D329" s="114" t="str">
        <f t="shared" si="11"/>
        <v>INSERT INTO COMUNAS (ID_COMUNA,NOMBRE,ID_REGION) VALUES (13604,'Padre Hurtado',13);</v>
      </c>
    </row>
    <row r="330" spans="1:4">
      <c r="A330" s="109">
        <v>13605</v>
      </c>
      <c r="B330" s="110" t="s">
        <v>2034</v>
      </c>
      <c r="C330" s="116" t="str">
        <f t="shared" si="10"/>
        <v>13</v>
      </c>
      <c r="D330" s="114" t="str">
        <f t="shared" si="11"/>
        <v>INSERT INTO COMUNAS (ID_COMUNA,NOMBRE,ID_REGION) VALUES (13605,'Peñaflor',13);</v>
      </c>
    </row>
    <row r="331" spans="1:4">
      <c r="A331" s="109">
        <v>14101</v>
      </c>
      <c r="B331" s="110" t="s">
        <v>2035</v>
      </c>
      <c r="C331" s="116" t="str">
        <f t="shared" si="10"/>
        <v>14</v>
      </c>
      <c r="D331" s="114" t="str">
        <f t="shared" si="11"/>
        <v>INSERT INTO COMUNAS (ID_COMUNA,NOMBRE,ID_REGION) VALUES (14101,'Valdivia',14);</v>
      </c>
    </row>
    <row r="332" spans="1:4">
      <c r="A332" s="109">
        <v>14102</v>
      </c>
      <c r="B332" s="110" t="s">
        <v>2036</v>
      </c>
      <c r="C332" s="116" t="str">
        <f t="shared" si="10"/>
        <v>14</v>
      </c>
      <c r="D332" s="114" t="str">
        <f t="shared" si="11"/>
        <v>INSERT INTO COMUNAS (ID_COMUNA,NOMBRE,ID_REGION) VALUES (14102,'Corral',14);</v>
      </c>
    </row>
    <row r="333" spans="1:4">
      <c r="A333" s="109">
        <v>14103</v>
      </c>
      <c r="B333" s="110" t="s">
        <v>2037</v>
      </c>
      <c r="C333" s="116" t="str">
        <f t="shared" si="10"/>
        <v>14</v>
      </c>
      <c r="D333" s="114" t="str">
        <f t="shared" si="11"/>
        <v>INSERT INTO COMUNAS (ID_COMUNA,NOMBRE,ID_REGION) VALUES (14103,'Lanco',14);</v>
      </c>
    </row>
    <row r="334" spans="1:4">
      <c r="A334" s="109">
        <v>14104</v>
      </c>
      <c r="B334" s="110" t="s">
        <v>2038</v>
      </c>
      <c r="C334" s="116" t="str">
        <f t="shared" si="10"/>
        <v>14</v>
      </c>
      <c r="D334" s="114" t="str">
        <f t="shared" si="11"/>
        <v>INSERT INTO COMUNAS (ID_COMUNA,NOMBRE,ID_REGION) VALUES (14104,'Los Lagos',14);</v>
      </c>
    </row>
    <row r="335" spans="1:4">
      <c r="A335" s="109">
        <v>14105</v>
      </c>
      <c r="B335" s="110" t="s">
        <v>2039</v>
      </c>
      <c r="C335" s="116" t="str">
        <f t="shared" si="10"/>
        <v>14</v>
      </c>
      <c r="D335" s="114" t="str">
        <f t="shared" si="11"/>
        <v>INSERT INTO COMUNAS (ID_COMUNA,NOMBRE,ID_REGION) VALUES (14105,'Máfil',14);</v>
      </c>
    </row>
    <row r="336" spans="1:4">
      <c r="A336" s="109">
        <v>14106</v>
      </c>
      <c r="B336" s="110" t="s">
        <v>2040</v>
      </c>
      <c r="C336" s="116" t="str">
        <f t="shared" si="10"/>
        <v>14</v>
      </c>
      <c r="D336" s="114" t="str">
        <f t="shared" si="11"/>
        <v>INSERT INTO COMUNAS (ID_COMUNA,NOMBRE,ID_REGION) VALUES (14106,'Mariquina',14);</v>
      </c>
    </row>
    <row r="337" spans="1:4">
      <c r="A337" s="109">
        <v>14107</v>
      </c>
      <c r="B337" s="110" t="s">
        <v>2041</v>
      </c>
      <c r="C337" s="116" t="str">
        <f t="shared" si="10"/>
        <v>14</v>
      </c>
      <c r="D337" s="114" t="str">
        <f t="shared" si="11"/>
        <v>INSERT INTO COMUNAS (ID_COMUNA,NOMBRE,ID_REGION) VALUES (14107,'Paillaco',14);</v>
      </c>
    </row>
    <row r="338" spans="1:4">
      <c r="A338" s="109">
        <v>14108</v>
      </c>
      <c r="B338" s="110" t="s">
        <v>2042</v>
      </c>
      <c r="C338" s="116" t="str">
        <f t="shared" si="10"/>
        <v>14</v>
      </c>
      <c r="D338" s="114" t="str">
        <f t="shared" si="11"/>
        <v>INSERT INTO COMUNAS (ID_COMUNA,NOMBRE,ID_REGION) VALUES (14108,'Panguipulli',14);</v>
      </c>
    </row>
    <row r="339" spans="1:4">
      <c r="A339" s="109">
        <v>14201</v>
      </c>
      <c r="B339" s="110" t="s">
        <v>2043</v>
      </c>
      <c r="C339" s="116" t="str">
        <f t="shared" si="10"/>
        <v>14</v>
      </c>
      <c r="D339" s="114" t="str">
        <f t="shared" si="11"/>
        <v>INSERT INTO COMUNAS (ID_COMUNA,NOMBRE,ID_REGION) VALUES (14201,'La Unión',14);</v>
      </c>
    </row>
    <row r="340" spans="1:4">
      <c r="A340" s="109">
        <v>14202</v>
      </c>
      <c r="B340" s="110" t="s">
        <v>2044</v>
      </c>
      <c r="C340" s="116" t="str">
        <f t="shared" si="10"/>
        <v>14</v>
      </c>
      <c r="D340" s="114" t="str">
        <f t="shared" si="11"/>
        <v>INSERT INTO COMUNAS (ID_COMUNA,NOMBRE,ID_REGION) VALUES (14202,'Futrono',14);</v>
      </c>
    </row>
    <row r="341" spans="1:4">
      <c r="A341" s="109">
        <v>14203</v>
      </c>
      <c r="B341" s="110" t="s">
        <v>2045</v>
      </c>
      <c r="C341" s="116" t="str">
        <f t="shared" si="10"/>
        <v>14</v>
      </c>
      <c r="D341" s="114" t="str">
        <f t="shared" si="11"/>
        <v>INSERT INTO COMUNAS (ID_COMUNA,NOMBRE,ID_REGION) VALUES (14203,'Lago Ranco',14);</v>
      </c>
    </row>
    <row r="342" spans="1:4">
      <c r="A342" s="109">
        <v>14204</v>
      </c>
      <c r="B342" s="110" t="s">
        <v>2046</v>
      </c>
      <c r="C342" s="116" t="str">
        <f t="shared" si="10"/>
        <v>14</v>
      </c>
      <c r="D342" s="114" t="str">
        <f t="shared" si="11"/>
        <v>INSERT INTO COMUNAS (ID_COMUNA,NOMBRE,ID_REGION) VALUES (14204,'Río Bueno',14);</v>
      </c>
    </row>
    <row r="343" spans="1:4">
      <c r="A343" s="109">
        <v>15101</v>
      </c>
      <c r="B343" s="110" t="s">
        <v>2047</v>
      </c>
      <c r="C343" s="116" t="str">
        <f t="shared" si="10"/>
        <v>15</v>
      </c>
      <c r="D343" s="114" t="str">
        <f t="shared" si="11"/>
        <v>INSERT INTO COMUNAS (ID_COMUNA,NOMBRE,ID_REGION) VALUES (15101,'Arica',15);</v>
      </c>
    </row>
    <row r="344" spans="1:4">
      <c r="A344" s="109">
        <v>15102</v>
      </c>
      <c r="B344" s="110" t="s">
        <v>2048</v>
      </c>
      <c r="C344" s="116" t="str">
        <f t="shared" si="10"/>
        <v>15</v>
      </c>
      <c r="D344" s="114" t="str">
        <f t="shared" si="11"/>
        <v>INSERT INTO COMUNAS (ID_COMUNA,NOMBRE,ID_REGION) VALUES (15102,'Camarones',15);</v>
      </c>
    </row>
    <row r="345" spans="1:4">
      <c r="A345" s="109">
        <v>15201</v>
      </c>
      <c r="B345" s="110" t="s">
        <v>2049</v>
      </c>
      <c r="C345" s="116" t="str">
        <f t="shared" si="10"/>
        <v>15</v>
      </c>
      <c r="D345" s="114" t="str">
        <f t="shared" si="11"/>
        <v>INSERT INTO COMUNAS (ID_COMUNA,NOMBRE,ID_REGION) VALUES (15201,'Putre',15);</v>
      </c>
    </row>
    <row r="346" spans="1:4">
      <c r="A346" s="109">
        <v>15202</v>
      </c>
      <c r="B346" s="110" t="s">
        <v>2050</v>
      </c>
      <c r="C346" s="116" t="str">
        <f t="shared" si="10"/>
        <v>15</v>
      </c>
      <c r="D346" s="114" t="str">
        <f t="shared" si="11"/>
        <v>INSERT INTO COMUNAS (ID_COMUNA,NOMBRE,ID_REGION) VALUES (15202,'General Lagos',15);</v>
      </c>
    </row>
    <row r="347" spans="1:4">
      <c r="D347" s="107" t="s">
        <v>2052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C2" sqref="C2:C5"/>
    </sheetView>
  </sheetViews>
  <sheetFormatPr baseColWidth="10" defaultRowHeight="13.2"/>
  <cols>
    <col min="1" max="1" width="7.33203125" bestFit="1" customWidth="1"/>
    <col min="2" max="2" width="15" bestFit="1" customWidth="1"/>
    <col min="3" max="3" width="77.109375" bestFit="1" customWidth="1"/>
  </cols>
  <sheetData>
    <row r="1" spans="1:3">
      <c r="A1" s="108" t="s">
        <v>2053</v>
      </c>
      <c r="B1" s="108" t="s">
        <v>1637</v>
      </c>
      <c r="C1" s="108" t="s">
        <v>1695</v>
      </c>
    </row>
    <row r="2" spans="1:3">
      <c r="A2">
        <v>1</v>
      </c>
      <c r="B2" s="107" t="s">
        <v>2054</v>
      </c>
      <c r="C2" t="str">
        <f>CONCATENATE("INSERT INTO TIPOS_DOCUMENTO(ID_TIPO,DESCRIPCION) VALUES(",A2,",'",B2,"');")</f>
        <v>INSERT INTO TIPOS_DOCUMENTO(ID_TIPO,DESCRIPCION) VALUES(1,'Boleta de Venta');</v>
      </c>
    </row>
    <row r="3" spans="1:3">
      <c r="A3">
        <v>2</v>
      </c>
      <c r="B3" s="107" t="s">
        <v>2055</v>
      </c>
      <c r="C3" t="str">
        <f t="shared" ref="C3:C4" si="0">CONCATENATE("INSERT INTO TIPOS_DOCUMENTO(ID_TIPO,DESCRIPCION) VALUES(",A3,",'",B3,"');")</f>
        <v>INSERT INTO TIPOS_DOCUMENTO(ID_TIPO,DESCRIPCION) VALUES(2,'Factura de Venta');</v>
      </c>
    </row>
    <row r="4" spans="1:3">
      <c r="A4">
        <v>3</v>
      </c>
      <c r="B4" s="107" t="s">
        <v>2056</v>
      </c>
      <c r="C4" t="str">
        <f t="shared" si="0"/>
        <v>INSERT INTO TIPOS_DOCUMENTO(ID_TIPO,DESCRIPCION) VALUES(3,'Nota de Crédito');</v>
      </c>
    </row>
    <row r="5" spans="1:3">
      <c r="C5" s="107" t="s">
        <v>2052</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topLeftCell="I1" workbookViewId="0">
      <selection activeCell="I14" sqref="I14"/>
    </sheetView>
  </sheetViews>
  <sheetFormatPr baseColWidth="10" defaultRowHeight="13.2"/>
  <cols>
    <col min="1" max="1" width="13.6640625" bestFit="1" customWidth="1"/>
    <col min="2" max="2" width="14.6640625" bestFit="1" customWidth="1"/>
    <col min="3" max="3" width="16.77734375" bestFit="1" customWidth="1"/>
    <col min="4" max="4" width="15.77734375" bestFit="1" customWidth="1"/>
    <col min="5" max="5" width="16.109375" bestFit="1" customWidth="1"/>
    <col min="6" max="6" width="24.88671875" bestFit="1" customWidth="1"/>
    <col min="7" max="7" width="26.33203125" bestFit="1" customWidth="1"/>
    <col min="8" max="8" width="17" style="118" bestFit="1" customWidth="1"/>
    <col min="9" max="9" width="10.77734375" bestFit="1" customWidth="1"/>
    <col min="10" max="10" width="9.6640625" bestFit="1" customWidth="1"/>
    <col min="11" max="11" width="182.21875" customWidth="1"/>
  </cols>
  <sheetData>
    <row r="1" spans="1:11">
      <c r="A1" s="112" t="s">
        <v>2057</v>
      </c>
      <c r="B1" s="112" t="s">
        <v>2058</v>
      </c>
      <c r="C1" s="112" t="s">
        <v>2059</v>
      </c>
      <c r="D1" s="112" t="s">
        <v>2060</v>
      </c>
      <c r="E1" s="112" t="s">
        <v>2061</v>
      </c>
      <c r="F1" s="112" t="s">
        <v>2062</v>
      </c>
      <c r="G1" s="112" t="s">
        <v>1072</v>
      </c>
      <c r="H1" s="117" t="s">
        <v>2063</v>
      </c>
      <c r="I1" s="112" t="s">
        <v>2051</v>
      </c>
      <c r="J1" s="112" t="s">
        <v>1693</v>
      </c>
      <c r="K1" s="112" t="s">
        <v>1695</v>
      </c>
    </row>
    <row r="2" spans="1:11" ht="26.4">
      <c r="A2" s="115" t="s">
        <v>2090</v>
      </c>
      <c r="B2" s="119" t="s">
        <v>2064</v>
      </c>
      <c r="C2" s="115" t="s">
        <v>2072</v>
      </c>
      <c r="D2" s="115" t="s">
        <v>2065</v>
      </c>
      <c r="E2" s="115" t="s">
        <v>2078</v>
      </c>
      <c r="F2" s="115" t="s">
        <v>2096</v>
      </c>
      <c r="G2" s="120" t="s">
        <v>2084</v>
      </c>
      <c r="H2" s="123" t="s">
        <v>2102</v>
      </c>
      <c r="I2" s="109">
        <v>13110</v>
      </c>
      <c r="J2" s="114">
        <v>13</v>
      </c>
      <c r="K2" s="122" t="str">
        <f>CONCATENATE("INSERT INTO EMPLEADOS (RUT_EMPLEADO, PRIMER_NOMBRE, SEGUNDO_NOMBRE, APELLIDO_PATERNO, APELLIDO_MATERNO, DIRECCION, CORREO, FECHA_NACIMIENTO, ID_COMUNA,  ID_REGION) VALUES (","'",A2,"','",B2,"','",C2,"','",D2,"','",E2,"','",F2,"','",G2,"',","TO_DATE('",H2,"','DD/MM/YYYY'),",I2,",",J2,");")</f>
        <v>INSERT INTO EMPLEADOS (RUT_EMPLEADO, PRIMER_NOMBRE, SEGUNDO_NOMBRE, APELLIDO_PATERNO, APELLIDO_MATERNO, DIRECCION, CORREO, FECHA_NACIMIENTO, ID_COMUNA,  ID_REGION) VALUES ('14526149-K','Fernando','Amaro','Figueroa','Aguirre','Avenida Departamental 111','Fernando.Figueroa@cayrap.cl',TO_DATE('05-07-1981','DD/MM/YYYY'),13110,13);</v>
      </c>
    </row>
    <row r="3" spans="1:11" ht="26.4">
      <c r="A3" s="115" t="s">
        <v>2094</v>
      </c>
      <c r="B3" s="119" t="s">
        <v>2066</v>
      </c>
      <c r="C3" s="115" t="s">
        <v>2073</v>
      </c>
      <c r="D3" s="115" t="s">
        <v>2068</v>
      </c>
      <c r="E3" s="115" t="s">
        <v>2079</v>
      </c>
      <c r="F3" s="115" t="s">
        <v>2100</v>
      </c>
      <c r="G3" s="120" t="s">
        <v>2085</v>
      </c>
      <c r="H3" s="123" t="s">
        <v>2103</v>
      </c>
      <c r="I3" s="109">
        <v>13201</v>
      </c>
      <c r="J3" s="114">
        <v>13</v>
      </c>
      <c r="K3" s="122" t="str">
        <f t="shared" ref="K3:K7" si="0">CONCATENATE("INSERT INTO EMPLEADOS (RUT_EMPLEADO, PRIMER_NOMBRE, SEGUNDO_NOMBRE, APELLIDO_PATERNO, APELLIDO_MATERNO, DIRECCION, CORREO, FECHA_NACIMIENTO, ID_COMUNA,  ID_REGION) VALUES (","'",A3,"','",B3,"','",C3,"','",D3,"','",E3,"','",F3,"','",G3,"',","TO_DATE('",H3,"','DD/MM/YYYY'),",I3,",",J3,");")</f>
        <v>INSERT INTO EMPLEADOS (RUT_EMPLEADO, PRIMER_NOMBRE, SEGUNDO_NOMBRE, APELLIDO_PATERNO, APELLIDO_MATERNO, DIRECCION, CORREO, FECHA_NACIMIENTO, ID_COMUNA,  ID_REGION) VALUES ('17866360-7','Amalia','Elena','Herrera','Santelices','Calle Nonato Coo 345','Amalia.Herrera@cayrap.cl',TO_DATE('24-02-1992','DD/MM/YYYY'),13201,13);</v>
      </c>
    </row>
    <row r="4" spans="1:11" ht="26.4">
      <c r="A4" s="115" t="s">
        <v>2091</v>
      </c>
      <c r="B4" s="119" t="s">
        <v>2067</v>
      </c>
      <c r="C4" s="115" t="s">
        <v>1021</v>
      </c>
      <c r="D4" s="115" t="s">
        <v>2068</v>
      </c>
      <c r="E4" s="115" t="s">
        <v>2080</v>
      </c>
      <c r="F4" s="115" t="s">
        <v>2098</v>
      </c>
      <c r="G4" s="120" t="s">
        <v>2086</v>
      </c>
      <c r="H4" s="123" t="s">
        <v>2104</v>
      </c>
      <c r="I4" s="109">
        <v>13118</v>
      </c>
      <c r="J4" s="114">
        <v>13</v>
      </c>
      <c r="K4" s="122" t="str">
        <f t="shared" si="0"/>
        <v>INSERT INTO EMPLEADOS (RUT_EMPLEADO, PRIMER_NOMBRE, SEGUNDO_NOMBRE, APELLIDO_PATERNO, APELLIDO_MATERNO, DIRECCION, CORREO, FECHA_NACIMIENTO, ID_COMUNA,  ID_REGION) VALUES ('19145461-8','Camila','Andrea','Herrera','Parra','Los Plátanos 3130','Camila.Herrera@cayrap.cl',TO_DATE('17-04-1996','DD/MM/YYYY'),13118,13);</v>
      </c>
    </row>
    <row r="5" spans="1:11" ht="26.4">
      <c r="A5" s="115" t="s">
        <v>2095</v>
      </c>
      <c r="B5" s="119" t="s">
        <v>2069</v>
      </c>
      <c r="C5" s="121" t="s">
        <v>2074</v>
      </c>
      <c r="D5" s="114" t="s">
        <v>2068</v>
      </c>
      <c r="E5" s="121" t="s">
        <v>2081</v>
      </c>
      <c r="F5" s="115" t="s">
        <v>2099</v>
      </c>
      <c r="G5" s="120" t="s">
        <v>2087</v>
      </c>
      <c r="H5" s="123" t="s">
        <v>2105</v>
      </c>
      <c r="I5" s="109">
        <v>13201</v>
      </c>
      <c r="J5" s="114">
        <v>13</v>
      </c>
      <c r="K5" s="122" t="str">
        <f t="shared" si="0"/>
        <v>INSERT INTO EMPLEADOS (RUT_EMPLEADO, PRIMER_NOMBRE, SEGUNDO_NOMBRE, APELLIDO_PATERNO, APELLIDO_MATERNO, DIRECCION, CORREO, FECHA_NACIMIENTO, ID_COMUNA,  ID_REGION) VALUES ('11383327-0','Claudia','Alejandra','Herrera','Nuñez','Avenida Concha y Toro 3452','Claudia.Herrera@cayrap.cl',TO_DATE('07-04-1969','DD/MM/YYYY'),13201,13);</v>
      </c>
    </row>
    <row r="6" spans="1:11" ht="26.4">
      <c r="A6" s="115" t="s">
        <v>2092</v>
      </c>
      <c r="B6" s="119" t="s">
        <v>2075</v>
      </c>
      <c r="C6" s="121" t="s">
        <v>2076</v>
      </c>
      <c r="D6" s="114" t="s">
        <v>2068</v>
      </c>
      <c r="E6" s="121" t="s">
        <v>2082</v>
      </c>
      <c r="F6" s="115" t="s">
        <v>2097</v>
      </c>
      <c r="G6" s="120" t="s">
        <v>2088</v>
      </c>
      <c r="H6" s="123" t="s">
        <v>2106</v>
      </c>
      <c r="I6" s="109">
        <v>13110</v>
      </c>
      <c r="J6" s="114">
        <v>13</v>
      </c>
      <c r="K6" s="122" t="str">
        <f t="shared" si="0"/>
        <v>INSERT INTO EMPLEADOS (RUT_EMPLEADO, PRIMER_NOMBRE, SEGUNDO_NOMBRE, APELLIDO_PATERNO, APELLIDO_MATERNO, DIRECCION, CORREO, FECHA_NACIMIENTO, ID_COMUNA,  ID_REGION) VALUES ('10554261-5','Juan','Carlos','Herrera','Fernandez','Diagonal Santa Irene 3015','Juan.Herrera@cayrap.cl',TO_DATE('11-09-1968','DD/MM/YYYY'),13110,13);</v>
      </c>
    </row>
    <row r="7" spans="1:11" ht="26.4">
      <c r="A7" s="115" t="s">
        <v>2093</v>
      </c>
      <c r="B7" s="119" t="s">
        <v>2070</v>
      </c>
      <c r="C7" s="121" t="s">
        <v>2077</v>
      </c>
      <c r="D7" s="114" t="s">
        <v>2071</v>
      </c>
      <c r="E7" s="121" t="s">
        <v>2083</v>
      </c>
      <c r="F7" s="115" t="s">
        <v>2101</v>
      </c>
      <c r="G7" s="120" t="s">
        <v>2089</v>
      </c>
      <c r="H7" s="123" t="s">
        <v>2107</v>
      </c>
      <c r="I7" s="109">
        <v>13129</v>
      </c>
      <c r="J7" s="114">
        <v>13</v>
      </c>
      <c r="K7" s="122" t="str">
        <f t="shared" si="0"/>
        <v>INSERT INTO EMPLEADOS (RUT_EMPLEADO, PRIMER_NOMBRE, SEGUNDO_NOMBRE, APELLIDO_PATERNO, APELLIDO_MATERNO, DIRECCION, CORREO, FECHA_NACIMIENTO, ID_COMUNA,  ID_REGION) VALUES ('13748252-5','Soledad','Ester','Saavedra','Gonzalez','Avenida Santa Rosa 2606','Soledad.Saavedra@cayrap.cl',TO_DATE('11-08-1974','DD/MM/YYYY'),13129,13);</v>
      </c>
    </row>
    <row r="8" spans="1:11">
      <c r="K8" s="107" t="s">
        <v>2052</v>
      </c>
    </row>
  </sheetData>
  <hyperlinks>
    <hyperlink ref="G4" r:id="rId1"/>
    <hyperlink ref="G5" r:id="rId2"/>
    <hyperlink ref="G6" r:id="rId3"/>
    <hyperlink ref="G7" r:id="rId4"/>
  </hyperlinks>
  <pageMargins left="0.7" right="0.7" top="0.75" bottom="0.75" header="0.3" footer="0.3"/>
  <pageSetup orientation="portrait"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6"/>
  <sheetViews>
    <sheetView topLeftCell="F495" workbookViewId="0">
      <selection activeCell="H505" sqref="H505"/>
    </sheetView>
  </sheetViews>
  <sheetFormatPr baseColWidth="10" defaultRowHeight="13.2"/>
  <cols>
    <col min="1" max="1" width="14.5546875" bestFit="1" customWidth="1"/>
    <col min="2" max="2" width="18.88671875" bestFit="1" customWidth="1"/>
    <col min="3" max="3" width="20.5546875" style="127" bestFit="1" customWidth="1"/>
    <col min="4" max="4" width="22.109375" bestFit="1" customWidth="1"/>
    <col min="5" max="5" width="60.88671875" bestFit="1" customWidth="1"/>
    <col min="8" max="8" width="17" bestFit="1" customWidth="1"/>
    <col min="9" max="9" width="134.88671875" customWidth="1"/>
    <col min="10" max="10" width="11.77734375" bestFit="1" customWidth="1"/>
  </cols>
  <sheetData>
    <row r="1" spans="2:9">
      <c r="D1" s="105" t="s">
        <v>2110</v>
      </c>
    </row>
    <row r="2" spans="2:9">
      <c r="D2" s="155" t="s">
        <v>2127</v>
      </c>
      <c r="E2" s="155"/>
      <c r="F2" s="155"/>
      <c r="G2" s="155"/>
      <c r="H2" s="155"/>
      <c r="I2" t="s">
        <v>1695</v>
      </c>
    </row>
    <row r="3" spans="2:9">
      <c r="C3" s="128"/>
      <c r="D3" s="125" t="s">
        <v>2111</v>
      </c>
      <c r="E3" s="107" t="s">
        <v>2114</v>
      </c>
      <c r="F3" s="124"/>
      <c r="G3" s="124"/>
      <c r="H3" s="124"/>
      <c r="I3" t="s">
        <v>2130</v>
      </c>
    </row>
    <row r="4" spans="2:9">
      <c r="C4" s="128"/>
      <c r="D4" s="125" t="s">
        <v>2112</v>
      </c>
      <c r="E4" s="107" t="s">
        <v>2128</v>
      </c>
      <c r="F4" s="124"/>
      <c r="G4" s="124"/>
      <c r="H4" s="124"/>
      <c r="I4" s="107" t="s">
        <v>2147</v>
      </c>
    </row>
    <row r="5" spans="2:9">
      <c r="D5" s="126" t="s">
        <v>2115</v>
      </c>
      <c r="E5" s="107" t="s">
        <v>2145</v>
      </c>
      <c r="I5" s="107" t="s">
        <v>2131</v>
      </c>
    </row>
    <row r="6" spans="2:9">
      <c r="D6" s="126" t="s">
        <v>2116</v>
      </c>
      <c r="E6" s="107" t="s">
        <v>2113</v>
      </c>
      <c r="I6" s="107" t="s">
        <v>2132</v>
      </c>
    </row>
    <row r="7" spans="2:9">
      <c r="D7" s="126" t="s">
        <v>2119</v>
      </c>
      <c r="E7" s="107" t="s">
        <v>2118</v>
      </c>
      <c r="I7" t="s">
        <v>2133</v>
      </c>
    </row>
    <row r="8" spans="2:9">
      <c r="D8" s="126" t="s">
        <v>2120</v>
      </c>
      <c r="E8" s="107" t="s">
        <v>2122</v>
      </c>
      <c r="I8" t="s">
        <v>2134</v>
      </c>
    </row>
    <row r="9" spans="2:9">
      <c r="D9" s="126" t="s">
        <v>2123</v>
      </c>
      <c r="E9" s="107" t="s">
        <v>2121</v>
      </c>
      <c r="I9" t="s">
        <v>2135</v>
      </c>
    </row>
    <row r="10" spans="2:9">
      <c r="D10" s="126" t="s">
        <v>2124</v>
      </c>
      <c r="E10" s="107" t="s">
        <v>2117</v>
      </c>
      <c r="I10" t="s">
        <v>2136</v>
      </c>
    </row>
    <row r="11" spans="2:9">
      <c r="D11" s="126" t="s">
        <v>2129</v>
      </c>
      <c r="E11" s="107" t="s">
        <v>2125</v>
      </c>
      <c r="I11" s="107" t="s">
        <v>2146</v>
      </c>
    </row>
    <row r="12" spans="2:9">
      <c r="D12" s="126"/>
      <c r="E12" s="107"/>
    </row>
    <row r="13" spans="2:9">
      <c r="D13" s="107"/>
      <c r="E13" s="107"/>
    </row>
    <row r="14" spans="2:9">
      <c r="D14" s="107"/>
      <c r="E14" s="107"/>
    </row>
    <row r="15" spans="2:9">
      <c r="D15" s="107"/>
      <c r="E15" s="107"/>
    </row>
    <row r="16" spans="2:9">
      <c r="B16" s="107" t="s">
        <v>2144</v>
      </c>
    </row>
    <row r="17" spans="1:9">
      <c r="A17" t="s">
        <v>1062</v>
      </c>
      <c r="B17" s="112" t="s">
        <v>2126</v>
      </c>
      <c r="C17" s="129" t="s">
        <v>2108</v>
      </c>
      <c r="D17" s="112" t="s">
        <v>2109</v>
      </c>
      <c r="E17" s="112" t="s">
        <v>2062</v>
      </c>
      <c r="F17" s="112" t="s">
        <v>2051</v>
      </c>
      <c r="G17" s="112" t="s">
        <v>1693</v>
      </c>
      <c r="H17" s="112" t="s">
        <v>2063</v>
      </c>
      <c r="I17" s="112" t="s">
        <v>1695</v>
      </c>
    </row>
    <row r="18" spans="1:9" ht="26.4">
      <c r="A18" t="str">
        <f>Clientes!A3</f>
        <v>Abuelita Lorenzo</v>
      </c>
      <c r="B18" s="115">
        <v>1</v>
      </c>
      <c r="C18" s="134" t="str">
        <f>IF(ISBLANK(Clientes!L3),"NULL",CONCATENATE("'",Clientes!L3,"'"))</f>
        <v>NULL</v>
      </c>
      <c r="D18" s="114" t="str">
        <f>CONCATENATE("'",Clientes!A3,"'")</f>
        <v>'Abuelita Lorenzo'</v>
      </c>
      <c r="E18" s="114" t="str">
        <f>IF(ISBLANK(Clientes!C3),"'Sin Direccion'",CONCATENATE("'",MID(Clientes!C3,1,95),"'"))</f>
        <v>'Marcela Paz 8334'</v>
      </c>
      <c r="F18" s="114">
        <v>13101</v>
      </c>
      <c r="G18" s="114">
        <v>13</v>
      </c>
      <c r="H18" s="135" t="s">
        <v>2137</v>
      </c>
      <c r="I18" s="122" t="str">
        <f>CONCATENATE("INSERT INTO CLIENTES(RUT_CLIENTE,RAZON_SOCIAL,DIRECCION,ID_COMUNA,ID_REGION,FECHA_NACIMIENTO) VALUES (",C18,",",D18,",",E18,",",F18,",",G18,",","TO_DATE('",H18,"','DD-MM-YYYY'));")</f>
        <v>INSERT INTO CLIENTES(RUT_CLIENTE,RAZON_SOCIAL,DIRECCION,ID_COMUNA,ID_REGION,FECHA_NACIMIENTO) VALUES (NULL,'Abuelita Lorenzo','Marcela Paz 8334',13101,13,TO_DATE('29-11-1967','DD-MM-YYYY'));</v>
      </c>
    </row>
    <row r="19" spans="1:9" ht="26.4">
      <c r="A19" t="str">
        <f>Clientes!A4</f>
        <v>Elizabeth Leyton</v>
      </c>
      <c r="B19" s="115">
        <f>B18+1</f>
        <v>2</v>
      </c>
      <c r="C19" s="134" t="str">
        <f>IF(ISBLANK(Clientes!L4),"NULL",CONCATENATE("'",Clientes!L4,"'"))</f>
        <v>NULL</v>
      </c>
      <c r="D19" s="114" t="str">
        <f>CONCATENATE("'",Clientes!A4,"'")</f>
        <v>'Elizabeth Leyton'</v>
      </c>
      <c r="E19" s="114" t="str">
        <f>IF(ISBLANK(Clientes!C4),"'Sin Direccion'",CONCATENATE("'",MID(Clientes!C4,1,95),"'"))</f>
        <v>'San Vicente de Paul 8186 la florida jardín alto'</v>
      </c>
      <c r="F19" s="114">
        <v>13102</v>
      </c>
      <c r="G19" s="114">
        <v>13</v>
      </c>
      <c r="H19" s="135" t="s">
        <v>2137</v>
      </c>
      <c r="I19" s="122" t="str">
        <f t="shared" ref="I19:I82" si="0">CONCATENATE("INSERT INTO CLIENTES(RUT_CLIENTE,RAZON_SOCIAL,DIRECCION,ID_COMUNA,ID_REGION,FECHA_NACIMIENTO) VALUES (",C19,",",D19,",",E19,",",F19,",",G19,",","TO_DATE('",H19,"','DD-MM-YYYY'));")</f>
        <v>INSERT INTO CLIENTES(RUT_CLIENTE,RAZON_SOCIAL,DIRECCION,ID_COMUNA,ID_REGION,FECHA_NACIMIENTO) VALUES (NULL,'Elizabeth Leyton','San Vicente de Paul 8186 la florida jardín alto',13102,13,TO_DATE('29-11-1967','DD-MM-YYYY'));</v>
      </c>
    </row>
    <row r="20" spans="1:9" ht="26.4">
      <c r="A20" t="str">
        <f>Clientes!A5</f>
        <v>Marcelo Clerc</v>
      </c>
      <c r="B20" s="115">
        <f t="shared" ref="B20:B83" si="1">B19+1</f>
        <v>3</v>
      </c>
      <c r="C20" s="134" t="str">
        <f>IF(ISBLANK(Clientes!L5),"NULL",CONCATENATE("'",Clientes!L5,"'"))</f>
        <v>NULL</v>
      </c>
      <c r="D20" s="114" t="str">
        <f>CONCATENATE("'",Clientes!A5,"'")</f>
        <v>'Marcelo Clerc'</v>
      </c>
      <c r="E20" s="114" t="str">
        <f>IF(ISBLANK(Clientes!C5),"'Sin Direccion'",CONCATENATE("'",MID(Clientes!C5,1,95),"'"))</f>
        <v>'Rungue 8615 / Doblar en Santa Julia a mano derecha'</v>
      </c>
      <c r="F20" s="114">
        <v>13103</v>
      </c>
      <c r="G20" s="114">
        <v>13</v>
      </c>
      <c r="H20" s="135" t="s">
        <v>2137</v>
      </c>
      <c r="I20" s="122" t="str">
        <f t="shared" si="0"/>
        <v>INSERT INTO CLIENTES(RUT_CLIENTE,RAZON_SOCIAL,DIRECCION,ID_COMUNA,ID_REGION,FECHA_NACIMIENTO) VALUES (NULL,'Marcelo Clerc','Rungue 8615 / Doblar en Santa Julia a mano derecha',13103,13,TO_DATE('29-11-1967','DD-MM-YYYY'));</v>
      </c>
    </row>
    <row r="21" spans="1:9" ht="26.4">
      <c r="A21" t="str">
        <f>Clientes!A6</f>
        <v>Lorena - Quilpolemu 7170</v>
      </c>
      <c r="B21" s="115">
        <f t="shared" si="1"/>
        <v>4</v>
      </c>
      <c r="C21" s="134" t="str">
        <f>IF(ISBLANK(Clientes!L6),"NULL",CONCATENATE("'",Clientes!L6,"'"))</f>
        <v>NULL</v>
      </c>
      <c r="D21" s="114" t="str">
        <f>CONCATENATE("'",Clientes!A6,"'")</f>
        <v>'Lorena - Quilpolemu 7170'</v>
      </c>
      <c r="E21" s="114" t="str">
        <f>IF(ISBLANK(Clientes!C6),"'Sin Direccion'",CONCATENATE("'",MID(Clientes!C6,1,95),"'"))</f>
        <v>'Quilpolemu 7170'</v>
      </c>
      <c r="F21" s="114">
        <v>13104</v>
      </c>
      <c r="G21" s="114">
        <v>13</v>
      </c>
      <c r="H21" s="135" t="s">
        <v>2137</v>
      </c>
      <c r="I21" s="122" t="str">
        <f t="shared" si="0"/>
        <v>INSERT INTO CLIENTES(RUT_CLIENTE,RAZON_SOCIAL,DIRECCION,ID_COMUNA,ID_REGION,FECHA_NACIMIENTO) VALUES (NULL,'Lorena - Quilpolemu 7170','Quilpolemu 7170',13104,13,TO_DATE('29-11-1967','DD-MM-YYYY'));</v>
      </c>
    </row>
    <row r="22" spans="1:9" ht="26.4">
      <c r="A22" t="str">
        <f>Clientes!A7</f>
        <v>Sandra Arriagada</v>
      </c>
      <c r="B22" s="115">
        <f t="shared" si="1"/>
        <v>5</v>
      </c>
      <c r="C22" s="134" t="str">
        <f>IF(ISBLANK(Clientes!L7),"NULL",CONCATENATE("'",Clientes!L7,"'"))</f>
        <v>NULL</v>
      </c>
      <c r="D22" s="114" t="str">
        <f>CONCATENATE("'",Clientes!A7,"'")</f>
        <v>'Sandra Arriagada'</v>
      </c>
      <c r="E22" s="114" t="str">
        <f>IF(ISBLANK(Clientes!C7),"'Sin Direccion'",CONCATENATE("'",MID(Clientes!C7,1,95),"'"))</f>
        <v>'Tacora 9421'</v>
      </c>
      <c r="F22" s="114">
        <v>13105</v>
      </c>
      <c r="G22" s="114">
        <v>13</v>
      </c>
      <c r="H22" s="135" t="s">
        <v>2137</v>
      </c>
      <c r="I22" s="122" t="str">
        <f t="shared" si="0"/>
        <v>INSERT INTO CLIENTES(RUT_CLIENTE,RAZON_SOCIAL,DIRECCION,ID_COMUNA,ID_REGION,FECHA_NACIMIENTO) VALUES (NULL,'Sandra Arriagada','Tacora 9421',13105,13,TO_DATE('29-11-1967','DD-MM-YYYY'));</v>
      </c>
    </row>
    <row r="23" spans="1:9" ht="26.4">
      <c r="A23" t="str">
        <f>Clientes!A8</f>
        <v>Yoli - Palena 2953</v>
      </c>
      <c r="B23" s="115">
        <f t="shared" si="1"/>
        <v>6</v>
      </c>
      <c r="C23" s="134" t="str">
        <f>IF(ISBLANK(Clientes!L8),"NULL",CONCATENATE("'",Clientes!L8,"'"))</f>
        <v>NULL</v>
      </c>
      <c r="D23" s="114" t="str">
        <f>CONCATENATE("'",Clientes!A8,"'")</f>
        <v>'Yoli - Palena 2953'</v>
      </c>
      <c r="E23" s="114" t="str">
        <f>IF(ISBLANK(Clientes!C8),"'Sin Direccion'",CONCATENATE("'",MID(Clientes!C8,1,95),"'"))</f>
        <v>'Palena 2953'</v>
      </c>
      <c r="F23" s="114">
        <v>13106</v>
      </c>
      <c r="G23" s="114">
        <v>13</v>
      </c>
      <c r="H23" s="135" t="s">
        <v>2137</v>
      </c>
      <c r="I23" s="122" t="str">
        <f t="shared" si="0"/>
        <v>INSERT INTO CLIENTES(RUT_CLIENTE,RAZON_SOCIAL,DIRECCION,ID_COMUNA,ID_REGION,FECHA_NACIMIENTO) VALUES (NULL,'Yoli - Palena 2953','Palena 2953',13106,13,TO_DATE('29-11-1967','DD-MM-YYYY'));</v>
      </c>
    </row>
    <row r="24" spans="1:9" ht="26.4">
      <c r="A24" t="str">
        <f>Clientes!A9</f>
        <v>Pamela Medina - Palena 2656</v>
      </c>
      <c r="B24" s="115">
        <f t="shared" si="1"/>
        <v>7</v>
      </c>
      <c r="C24" s="134" t="str">
        <f>IF(ISBLANK(Clientes!L9),"NULL",CONCATENATE("'",Clientes!L9,"'"))</f>
        <v>NULL</v>
      </c>
      <c r="D24" s="114" t="str">
        <f>CONCATENATE("'",Clientes!A9,"'")</f>
        <v>'Pamela Medina - Palena 2656'</v>
      </c>
      <c r="E24" s="114" t="str">
        <f>IF(ISBLANK(Clientes!C9),"'Sin Direccion'",CONCATENATE("'",MID(Clientes!C9,1,95),"'"))</f>
        <v>'Palena 2656'</v>
      </c>
      <c r="F24" s="114">
        <v>13107</v>
      </c>
      <c r="G24" s="114">
        <v>13</v>
      </c>
      <c r="H24" s="135" t="s">
        <v>2137</v>
      </c>
      <c r="I24" s="122" t="str">
        <f t="shared" si="0"/>
        <v>INSERT INTO CLIENTES(RUT_CLIENTE,RAZON_SOCIAL,DIRECCION,ID_COMUNA,ID_REGION,FECHA_NACIMIENTO) VALUES (NULL,'Pamela Medina - Palena 2656','Palena 2656',13107,13,TO_DATE('29-11-1967','DD-MM-YYYY'));</v>
      </c>
    </row>
    <row r="25" spans="1:9" ht="26.4">
      <c r="A25" t="str">
        <f>Clientes!A10</f>
        <v>Pilar Ortiz</v>
      </c>
      <c r="B25" s="115">
        <f t="shared" si="1"/>
        <v>8</v>
      </c>
      <c r="C25" s="134" t="str">
        <f>IF(ISBLANK(Clientes!L10),"NULL",CONCATENATE("'",Clientes!L10,"'"))</f>
        <v>NULL</v>
      </c>
      <c r="D25" s="114" t="str">
        <f>CONCATENATE("'",Clientes!A10,"'")</f>
        <v>'Pilar Ortiz'</v>
      </c>
      <c r="E25" s="114" t="str">
        <f>IF(ISBLANK(Clientes!C10),"'Sin Direccion'",CONCATENATE("'",MID(Clientes!C10,1,95),"'"))</f>
        <v>'San agustin 8165'</v>
      </c>
      <c r="F25" s="114">
        <v>13108</v>
      </c>
      <c r="G25" s="114">
        <v>13</v>
      </c>
      <c r="H25" s="135" t="s">
        <v>2137</v>
      </c>
      <c r="I25" s="122" t="str">
        <f t="shared" si="0"/>
        <v>INSERT INTO CLIENTES(RUT_CLIENTE,RAZON_SOCIAL,DIRECCION,ID_COMUNA,ID_REGION,FECHA_NACIMIENTO) VALUES (NULL,'Pilar Ortiz','San agustin 8165',13108,13,TO_DATE('29-11-1967','DD-MM-YYYY'));</v>
      </c>
    </row>
    <row r="26" spans="1:9" ht="26.4">
      <c r="A26" t="str">
        <f>Clientes!A11</f>
        <v>TRAVEL ABROAD EXPERIENCE S.P.A</v>
      </c>
      <c r="B26" s="115">
        <f t="shared" si="1"/>
        <v>9</v>
      </c>
      <c r="C26" s="134" t="str">
        <f>IF(ISBLANK(Clientes!L11),"NULL",CONCATENATE("'",Clientes!L11,"'"))</f>
        <v>'77890961-8'</v>
      </c>
      <c r="D26" s="114" t="str">
        <f>CONCATENATE("'",Clientes!A11,"'")</f>
        <v>'TRAVEL ABROAD EXPERIENCE S.P.A'</v>
      </c>
      <c r="E26" s="114" t="str">
        <f>IF(ISBLANK(Clientes!C11),"'Sin Direccion'",CONCATENATE("'",MID(Clientes!C11,1,95),"'"))</f>
        <v>'Avenida Suecia 0155, oficina 304, Providencia'</v>
      </c>
      <c r="F26" s="114">
        <v>13109</v>
      </c>
      <c r="G26" s="114">
        <v>13</v>
      </c>
      <c r="H26" s="135" t="s">
        <v>2137</v>
      </c>
      <c r="I26" s="122" t="str">
        <f t="shared" si="0"/>
        <v>INSERT INTO CLIENTES(RUT_CLIENTE,RAZON_SOCIAL,DIRECCION,ID_COMUNA,ID_REGION,FECHA_NACIMIENTO) VALUES ('77890961-8','TRAVEL ABROAD EXPERIENCE S.P.A','Avenida Suecia 0155, oficina 304, Providencia',13109,13,TO_DATE('29-11-1967','DD-MM-YYYY'));</v>
      </c>
    </row>
    <row r="27" spans="1:9" ht="26.4">
      <c r="A27" t="str">
        <f>Clientes!A12</f>
        <v>Giselle Rojas</v>
      </c>
      <c r="B27" s="115">
        <f t="shared" si="1"/>
        <v>10</v>
      </c>
      <c r="C27" s="134" t="str">
        <f>IF(ISBLANK(Clientes!L12),"NULL",CONCATENATE("'",Clientes!L12,"'"))</f>
        <v>NULL</v>
      </c>
      <c r="D27" s="114" t="str">
        <f>CONCATENATE("'",Clientes!A12,"'")</f>
        <v>'Giselle Rojas'</v>
      </c>
      <c r="E27" s="114" t="str">
        <f>IF(ISBLANK(Clientes!C12),"'Sin Direccion'",CONCATENATE("'",MID(Clientes!C12,1,95),"'"))</f>
        <v>'Vicente Huidobro 8268 la florida'</v>
      </c>
      <c r="F27" s="114">
        <v>13110</v>
      </c>
      <c r="G27" s="114">
        <v>13</v>
      </c>
      <c r="H27" s="135" t="s">
        <v>2137</v>
      </c>
      <c r="I27" s="122" t="str">
        <f t="shared" si="0"/>
        <v>INSERT INTO CLIENTES(RUT_CLIENTE,RAZON_SOCIAL,DIRECCION,ID_COMUNA,ID_REGION,FECHA_NACIMIENTO) VALUES (NULL,'Giselle Rojas','Vicente Huidobro 8268 la florida',13110,13,TO_DATE('29-11-1967','DD-MM-YYYY'));</v>
      </c>
    </row>
    <row r="28" spans="1:9" ht="26.4">
      <c r="A28" t="str">
        <f>Clientes!A13</f>
        <v xml:space="preserve">Soledad Gingko Amarillo 8807 </v>
      </c>
      <c r="B28" s="115">
        <f t="shared" si="1"/>
        <v>11</v>
      </c>
      <c r="C28" s="134" t="str">
        <f>IF(ISBLANK(Clientes!L13),"NULL",CONCATENATE("'",Clientes!L13,"'"))</f>
        <v>NULL</v>
      </c>
      <c r="D28" s="114" t="str">
        <f>CONCATENATE("'",Clientes!A13,"'")</f>
        <v>'Soledad Gingko Amarillo 8807 '</v>
      </c>
      <c r="E28" s="114" t="str">
        <f>IF(ISBLANK(Clientes!C13),"'Sin Direccion'",CONCATENATE("'",MID(Clientes!C13,1,95),"'"))</f>
        <v>'Gingko Amarillo #8807'</v>
      </c>
      <c r="F28" s="114">
        <v>13111</v>
      </c>
      <c r="G28" s="114">
        <v>13</v>
      </c>
      <c r="H28" s="135" t="s">
        <v>2137</v>
      </c>
      <c r="I28" s="122" t="str">
        <f t="shared" si="0"/>
        <v>INSERT INTO CLIENTES(RUT_CLIENTE,RAZON_SOCIAL,DIRECCION,ID_COMUNA,ID_REGION,FECHA_NACIMIENTO) VALUES (NULL,'Soledad Gingko Amarillo 8807 ','Gingko Amarillo #8807',13111,13,TO_DATE('29-11-1967','DD-MM-YYYY'));</v>
      </c>
    </row>
    <row r="29" spans="1:9" ht="26.4">
      <c r="A29" t="str">
        <f>Clientes!A14</f>
        <v>Luisa - Bosque Chileno 2418</v>
      </c>
      <c r="B29" s="115">
        <f t="shared" si="1"/>
        <v>12</v>
      </c>
      <c r="C29" s="134" t="str">
        <f>IF(ISBLANK(Clientes!L14),"NULL",CONCATENATE("'",Clientes!L14,"'"))</f>
        <v>NULL</v>
      </c>
      <c r="D29" s="114" t="str">
        <f>CONCATENATE("'",Clientes!A14,"'")</f>
        <v>'Luisa - Bosque Chileno 2418'</v>
      </c>
      <c r="E29" s="114" t="str">
        <f>IF(ISBLANK(Clientes!C14),"'Sin Direccion'",CONCATENATE("'",MID(Clientes!C14,1,95),"'"))</f>
        <v>'Bosque Chileno 2418'</v>
      </c>
      <c r="F29" s="114">
        <v>13112</v>
      </c>
      <c r="G29" s="114">
        <v>13</v>
      </c>
      <c r="H29" s="135" t="s">
        <v>2137</v>
      </c>
      <c r="I29" s="122" t="str">
        <f t="shared" si="0"/>
        <v>INSERT INTO CLIENTES(RUT_CLIENTE,RAZON_SOCIAL,DIRECCION,ID_COMUNA,ID_REGION,FECHA_NACIMIENTO) VALUES (NULL,'Luisa - Bosque Chileno 2418','Bosque Chileno 2418',13112,13,TO_DATE('29-11-1967','DD-MM-YYYY'));</v>
      </c>
    </row>
    <row r="30" spans="1:9" ht="26.4">
      <c r="A30" t="str">
        <f>Clientes!A15</f>
        <v>Poli Azocar</v>
      </c>
      <c r="B30" s="115">
        <f t="shared" si="1"/>
        <v>13</v>
      </c>
      <c r="C30" s="134" t="str">
        <f>IF(ISBLANK(Clientes!L15),"NULL",CONCATENATE("'",Clientes!L15,"'"))</f>
        <v>NULL</v>
      </c>
      <c r="D30" s="114" t="str">
        <f>CONCATENATE("'",Clientes!A15,"'")</f>
        <v>'Poli Azocar'</v>
      </c>
      <c r="E30" s="114" t="str">
        <f>IF(ISBLANK(Clientes!C15),"'Sin Direccion'",CONCATENATE("'",MID(Clientes!C15,1,95),"'"))</f>
        <v>'Portezuelo de colina 0870'</v>
      </c>
      <c r="F30" s="114">
        <v>13113</v>
      </c>
      <c r="G30" s="114">
        <v>13</v>
      </c>
      <c r="H30" s="135" t="s">
        <v>2137</v>
      </c>
      <c r="I30" s="122" t="str">
        <f t="shared" si="0"/>
        <v>INSERT INTO CLIENTES(RUT_CLIENTE,RAZON_SOCIAL,DIRECCION,ID_COMUNA,ID_REGION,FECHA_NACIMIENTO) VALUES (NULL,'Poli Azocar','Portezuelo de colina 0870',13113,13,TO_DATE('29-11-1967','DD-MM-YYYY'));</v>
      </c>
    </row>
    <row r="31" spans="1:9" ht="26.4">
      <c r="A31" t="str">
        <f>Clientes!A16</f>
        <v>Estefania Iglesias</v>
      </c>
      <c r="B31" s="115">
        <f t="shared" si="1"/>
        <v>14</v>
      </c>
      <c r="C31" s="134" t="str">
        <f>IF(ISBLANK(Clientes!L16),"NULL",CONCATENATE("'",Clientes!L16,"'"))</f>
        <v>NULL</v>
      </c>
      <c r="D31" s="114" t="str">
        <f>CONCATENATE("'",Clientes!A16,"'")</f>
        <v>'Estefania Iglesias'</v>
      </c>
      <c r="E31" s="114" t="str">
        <f>IF(ISBLANK(Clientes!C16),"'Sin Direccion'",CONCATENATE("'",MID(Clientes!C16,1,95),"'"))</f>
        <v>'Río Nilahue 4637'</v>
      </c>
      <c r="F31" s="114">
        <v>13114</v>
      </c>
      <c r="G31" s="114">
        <v>13</v>
      </c>
      <c r="H31" s="135" t="s">
        <v>2137</v>
      </c>
      <c r="I31" s="122" t="str">
        <f t="shared" si="0"/>
        <v>INSERT INTO CLIENTES(RUT_CLIENTE,RAZON_SOCIAL,DIRECCION,ID_COMUNA,ID_REGION,FECHA_NACIMIENTO) VALUES (NULL,'Estefania Iglesias','Río Nilahue 4637',13114,13,TO_DATE('29-11-1967','DD-MM-YYYY'));</v>
      </c>
    </row>
    <row r="32" spans="1:9" ht="26.4">
      <c r="A32" t="str">
        <f>Clientes!A17</f>
        <v>Stephie Ibañez</v>
      </c>
      <c r="B32" s="115">
        <f t="shared" si="1"/>
        <v>15</v>
      </c>
      <c r="C32" s="134" t="str">
        <f>IF(ISBLANK(Clientes!L17),"NULL",CONCATENATE("'",Clientes!L17,"'"))</f>
        <v>NULL</v>
      </c>
      <c r="D32" s="114" t="str">
        <f>CONCATENATE("'",Clientes!A17,"'")</f>
        <v>'Stephie Ibañez'</v>
      </c>
      <c r="E32" s="114" t="str">
        <f>IF(ISBLANK(Clientes!C17),"'Sin Direccion'",CONCATENATE("'",MID(Clientes!C17,1,95),"'"))</f>
        <v>'Avenida la Florida 10671, depto 307.'</v>
      </c>
      <c r="F32" s="114">
        <v>13115</v>
      </c>
      <c r="G32" s="114">
        <v>13</v>
      </c>
      <c r="H32" s="135" t="s">
        <v>2137</v>
      </c>
      <c r="I32" s="122" t="str">
        <f t="shared" si="0"/>
        <v>INSERT INTO CLIENTES(RUT_CLIENTE,RAZON_SOCIAL,DIRECCION,ID_COMUNA,ID_REGION,FECHA_NACIMIENTO) VALUES (NULL,'Stephie Ibañez','Avenida la Florida 10671, depto 307.',13115,13,TO_DATE('29-11-1967','DD-MM-YYYY'));</v>
      </c>
    </row>
    <row r="33" spans="1:9" ht="26.4">
      <c r="A33" t="str">
        <f>Clientes!A18</f>
        <v>Veronica Estay</v>
      </c>
      <c r="B33" s="115">
        <f t="shared" si="1"/>
        <v>16</v>
      </c>
      <c r="C33" s="134" t="str">
        <f>IF(ISBLANK(Clientes!L18),"NULL",CONCATENATE("'",Clientes!L18,"'"))</f>
        <v>NULL</v>
      </c>
      <c r="D33" s="114" t="str">
        <f>CONCATENATE("'",Clientes!A18,"'")</f>
        <v>'Veronica Estay'</v>
      </c>
      <c r="E33" s="114" t="str">
        <f>IF(ISBLANK(Clientes!C18),"'Sin Direccion'",CONCATENATE("'",MID(Clientes!C18,1,95),"'"))</f>
        <v>'Santa Rosa del Peral 4624.( problemas en numeracion de calle, está entre 4608 y 4620)'</v>
      </c>
      <c r="F33" s="114">
        <v>13116</v>
      </c>
      <c r="G33" s="114">
        <v>13</v>
      </c>
      <c r="H33" s="135" t="s">
        <v>2137</v>
      </c>
      <c r="I33" s="122" t="str">
        <f t="shared" si="0"/>
        <v>INSERT INTO CLIENTES(RUT_CLIENTE,RAZON_SOCIAL,DIRECCION,ID_COMUNA,ID_REGION,FECHA_NACIMIENTO) VALUES (NULL,'Veronica Estay','Santa Rosa del Peral 4624.( problemas en numeracion de calle, está entre 4608 y 4620)',13116,13,TO_DATE('29-11-1967','DD-MM-YYYY'));</v>
      </c>
    </row>
    <row r="34" spans="1:9" ht="26.4">
      <c r="A34" t="str">
        <f>Clientes!A19</f>
        <v>Roxana Villegas</v>
      </c>
      <c r="B34" s="115">
        <f t="shared" si="1"/>
        <v>17</v>
      </c>
      <c r="C34" s="134" t="str">
        <f>IF(ISBLANK(Clientes!L19),"NULL",CONCATENATE("'",Clientes!L19,"'"))</f>
        <v>NULL</v>
      </c>
      <c r="D34" s="114" t="str">
        <f>CONCATENATE("'",Clientes!A19,"'")</f>
        <v>'Roxana Villegas'</v>
      </c>
      <c r="E34" s="114" t="str">
        <f>IF(ISBLANK(Clientes!C19),"'Sin Direccion'",CONCATENATE("'",MID(Clientes!C19,1,95),"'"))</f>
        <v>'Ecuador 8857 depto 32'</v>
      </c>
      <c r="F34" s="114">
        <v>13117</v>
      </c>
      <c r="G34" s="114">
        <v>13</v>
      </c>
      <c r="H34" s="135" t="s">
        <v>2137</v>
      </c>
      <c r="I34" s="122" t="str">
        <f t="shared" si="0"/>
        <v>INSERT INTO CLIENTES(RUT_CLIENTE,RAZON_SOCIAL,DIRECCION,ID_COMUNA,ID_REGION,FECHA_NACIMIENTO) VALUES (NULL,'Roxana Villegas','Ecuador 8857 depto 32',13117,13,TO_DATE('29-11-1967','DD-MM-YYYY'));</v>
      </c>
    </row>
    <row r="35" spans="1:9" ht="26.4">
      <c r="A35" t="str">
        <f>Clientes!A20</f>
        <v>Manuel Cavero</v>
      </c>
      <c r="B35" s="115">
        <f t="shared" si="1"/>
        <v>18</v>
      </c>
      <c r="C35" s="134" t="str">
        <f>IF(ISBLANK(Clientes!L20),"NULL",CONCATENATE("'",Clientes!L20,"'"))</f>
        <v>NULL</v>
      </c>
      <c r="D35" s="114" t="str">
        <f>CONCATENATE("'",Clientes!A20,"'")</f>
        <v>'Manuel Cavero'</v>
      </c>
      <c r="E35" s="114" t="str">
        <f>IF(ISBLANK(Clientes!C20),"'Sin Direccion'",CONCATENATE("'",MID(Clientes!C20,1,95),"'"))</f>
        <v>'Húsares 1281'</v>
      </c>
      <c r="F35" s="114">
        <v>13118</v>
      </c>
      <c r="G35" s="114">
        <v>13</v>
      </c>
      <c r="H35" s="135" t="s">
        <v>2137</v>
      </c>
      <c r="I35" s="122" t="str">
        <f t="shared" si="0"/>
        <v>INSERT INTO CLIENTES(RUT_CLIENTE,RAZON_SOCIAL,DIRECCION,ID_COMUNA,ID_REGION,FECHA_NACIMIENTO) VALUES (NULL,'Manuel Cavero','Húsares 1281',13118,13,TO_DATE('29-11-1967','DD-MM-YYYY'));</v>
      </c>
    </row>
    <row r="36" spans="1:9" ht="26.4">
      <c r="A36" t="str">
        <f>Clientes!A21</f>
        <v>Felipe Severino</v>
      </c>
      <c r="B36" s="115">
        <f t="shared" si="1"/>
        <v>19</v>
      </c>
      <c r="C36" s="134" t="str">
        <f>IF(ISBLANK(Clientes!L21),"NULL",CONCATENATE("'",Clientes!L21,"'"))</f>
        <v>NULL</v>
      </c>
      <c r="D36" s="114" t="str">
        <f>CONCATENATE("'",Clientes!A21,"'")</f>
        <v>'Felipe Severino'</v>
      </c>
      <c r="E36" s="114" t="str">
        <f>IF(ISBLANK(Clientes!C21),"'Sin Direccion'",CONCATENATE("'",MID(Clientes!C21,1,95),"'"))</f>
        <v>'Del huerto norte 3523'</v>
      </c>
      <c r="F36" s="114">
        <v>13119</v>
      </c>
      <c r="G36" s="114">
        <v>13</v>
      </c>
      <c r="H36" s="135" t="s">
        <v>2137</v>
      </c>
      <c r="I36" s="122" t="str">
        <f t="shared" si="0"/>
        <v>INSERT INTO CLIENTES(RUT_CLIENTE,RAZON_SOCIAL,DIRECCION,ID_COMUNA,ID_REGION,FECHA_NACIMIENTO) VALUES (NULL,'Felipe Severino','Del huerto norte 3523',13119,13,TO_DATE('29-11-1967','DD-MM-YYYY'));</v>
      </c>
    </row>
    <row r="37" spans="1:9" ht="26.4">
      <c r="A37" t="str">
        <f>Clientes!A22</f>
        <v>Lucia Saucedo</v>
      </c>
      <c r="B37" s="115">
        <f t="shared" si="1"/>
        <v>20</v>
      </c>
      <c r="C37" s="134" t="str">
        <f>IF(ISBLANK(Clientes!L22),"NULL",CONCATENATE("'",Clientes!L22,"'"))</f>
        <v>'10172790-4'</v>
      </c>
      <c r="D37" s="114" t="str">
        <f>CONCATENATE("'",Clientes!A22,"'")</f>
        <v>'Lucia Saucedo'</v>
      </c>
      <c r="E37" s="114" t="str">
        <f>IF(ISBLANK(Clientes!C22),"'Sin Direccion'",CONCATENATE("'",MID(Clientes!C22,1,95),"'"))</f>
        <v>'Los tulipanes 8537'</v>
      </c>
      <c r="F37" s="114">
        <v>13120</v>
      </c>
      <c r="G37" s="114">
        <v>13</v>
      </c>
      <c r="H37" s="135" t="s">
        <v>2137</v>
      </c>
      <c r="I37" s="122" t="str">
        <f t="shared" si="0"/>
        <v>INSERT INTO CLIENTES(RUT_CLIENTE,RAZON_SOCIAL,DIRECCION,ID_COMUNA,ID_REGION,FECHA_NACIMIENTO) VALUES ('10172790-4','Lucia Saucedo','Los tulipanes 8537',13120,13,TO_DATE('29-11-1967','DD-MM-YYYY'));</v>
      </c>
    </row>
    <row r="38" spans="1:9" ht="26.4">
      <c r="A38" t="str">
        <f>Clientes!A23</f>
        <v>Carla Liebsch</v>
      </c>
      <c r="B38" s="115">
        <f t="shared" si="1"/>
        <v>21</v>
      </c>
      <c r="C38" s="134" t="str">
        <f>IF(ISBLANK(Clientes!L23),"NULL",CONCATENATE("'",Clientes!L23,"'"))</f>
        <v>NULL</v>
      </c>
      <c r="D38" s="114" t="str">
        <f>CONCATENATE("'",Clientes!A23,"'")</f>
        <v>'Carla Liebsch'</v>
      </c>
      <c r="E38" s="114" t="str">
        <f>IF(ISBLANK(Clientes!C23),"'Sin Direccion'",CONCATENATE("'",MID(Clientes!C23,1,95),"'"))</f>
        <v>'Santa Cruz 7966  / sector Geronimo Alderete con Vicuña Mackena'</v>
      </c>
      <c r="F38" s="114">
        <v>13121</v>
      </c>
      <c r="G38" s="114">
        <v>13</v>
      </c>
      <c r="H38" s="135" t="s">
        <v>2137</v>
      </c>
      <c r="I38" s="122" t="str">
        <f t="shared" si="0"/>
        <v>INSERT INTO CLIENTES(RUT_CLIENTE,RAZON_SOCIAL,DIRECCION,ID_COMUNA,ID_REGION,FECHA_NACIMIENTO) VALUES (NULL,'Carla Liebsch','Santa Cruz 7966  / sector Geronimo Alderete con Vicuña Mackena',13121,13,TO_DATE('29-11-1967','DD-MM-YYYY'));</v>
      </c>
    </row>
    <row r="39" spans="1:9" ht="26.4">
      <c r="A39" t="str">
        <f>Clientes!A24</f>
        <v>COMITE DE ADELANTO BELLOTO AZUCENA II</v>
      </c>
      <c r="B39" s="115">
        <f t="shared" si="1"/>
        <v>22</v>
      </c>
      <c r="C39" s="134" t="str">
        <f>IF(ISBLANK(Clientes!L24),"NULL",CONCATENATE("'",Clientes!L24,"'"))</f>
        <v>'65210252-2'</v>
      </c>
      <c r="D39" s="114" t="str">
        <f>CONCATENATE("'",Clientes!A24,"'")</f>
        <v>'COMITE DE ADELANTO BELLOTO AZUCENA II'</v>
      </c>
      <c r="E39" s="114" t="str">
        <f>IF(ISBLANK(Clientes!C24),"'Sin Direccion'",CONCATENATE("'",MID(Clientes!C24,1,95),"'"))</f>
        <v>'Caseta de Guardias'</v>
      </c>
      <c r="F39" s="114">
        <v>13122</v>
      </c>
      <c r="G39" s="114">
        <v>13</v>
      </c>
      <c r="H39" s="135" t="s">
        <v>2137</v>
      </c>
      <c r="I39" s="122" t="str">
        <f t="shared" si="0"/>
        <v>INSERT INTO CLIENTES(RUT_CLIENTE,RAZON_SOCIAL,DIRECCION,ID_COMUNA,ID_REGION,FECHA_NACIMIENTO) VALUES ('65210252-2','COMITE DE ADELANTO BELLOTO AZUCENA II','Caseta de Guardias',13122,13,TO_DATE('29-11-1967','DD-MM-YYYY'));</v>
      </c>
    </row>
    <row r="40" spans="1:9" ht="26.4">
      <c r="A40" t="str">
        <f>Clientes!A25</f>
        <v>Paulina Schwarze</v>
      </c>
      <c r="B40" s="115">
        <f t="shared" si="1"/>
        <v>23</v>
      </c>
      <c r="C40" s="134" t="str">
        <f>IF(ISBLANK(Clientes!L25),"NULL",CONCATENATE("'",Clientes!L25,"'"))</f>
        <v>NULL</v>
      </c>
      <c r="D40" s="114" t="str">
        <f>CONCATENATE("'",Clientes!A25,"'")</f>
        <v>'Paulina Schwarze'</v>
      </c>
      <c r="E40" s="114" t="str">
        <f>IF(ISBLANK(Clientes!C25),"'Sin Direccion'",CONCATENATE("'",MID(Clientes!C25,1,95),"'"))</f>
        <v>'Pellahuén 7184'</v>
      </c>
      <c r="F40" s="114">
        <v>13123</v>
      </c>
      <c r="G40" s="114">
        <v>13</v>
      </c>
      <c r="H40" s="135" t="s">
        <v>2137</v>
      </c>
      <c r="I40" s="122" t="str">
        <f t="shared" si="0"/>
        <v>INSERT INTO CLIENTES(RUT_CLIENTE,RAZON_SOCIAL,DIRECCION,ID_COMUNA,ID_REGION,FECHA_NACIMIENTO) VALUES (NULL,'Paulina Schwarze','Pellahuén 7184',13123,13,TO_DATE('29-11-1967','DD-MM-YYYY'));</v>
      </c>
    </row>
    <row r="41" spans="1:9" ht="26.4">
      <c r="A41" t="str">
        <f>Clientes!A26</f>
        <v>Paulina -Av Tobalaba 7321</v>
      </c>
      <c r="B41" s="115">
        <f t="shared" si="1"/>
        <v>24</v>
      </c>
      <c r="C41" s="134" t="str">
        <f>IF(ISBLANK(Clientes!L26),"NULL",CONCATENATE("'",Clientes!L26,"'"))</f>
        <v>NULL</v>
      </c>
      <c r="D41" s="114" t="str">
        <f>CONCATENATE("'",Clientes!A26,"'")</f>
        <v>'Paulina -Av Tobalaba 7321'</v>
      </c>
      <c r="E41" s="114" t="str">
        <f>IF(ISBLANK(Clientes!C26),"'Sin Direccion'",CONCATENATE("'",MID(Clientes!C26,1,95),"'"))</f>
        <v>'Av Tobalaba 7321,dept 102 torre 4'</v>
      </c>
      <c r="F41" s="114">
        <v>13124</v>
      </c>
      <c r="G41" s="114">
        <v>13</v>
      </c>
      <c r="H41" s="135" t="s">
        <v>2137</v>
      </c>
      <c r="I41" s="122" t="str">
        <f t="shared" si="0"/>
        <v>INSERT INTO CLIENTES(RUT_CLIENTE,RAZON_SOCIAL,DIRECCION,ID_COMUNA,ID_REGION,FECHA_NACIMIENTO) VALUES (NULL,'Paulina -Av Tobalaba 7321','Av Tobalaba 7321,dept 102 torre 4',13124,13,TO_DATE('29-11-1967','DD-MM-YYYY'));</v>
      </c>
    </row>
    <row r="42" spans="1:9" ht="26.4">
      <c r="A42" t="str">
        <f>Clientes!A27</f>
        <v>Loreto - Perpetua Freira 250</v>
      </c>
      <c r="B42" s="115">
        <f t="shared" si="1"/>
        <v>25</v>
      </c>
      <c r="C42" s="134" t="str">
        <f>IF(ISBLANK(Clientes!L27),"NULL",CONCATENATE("'",Clientes!L27,"'"))</f>
        <v>NULL</v>
      </c>
      <c r="D42" s="114" t="str">
        <f>CONCATENATE("'",Clientes!A27,"'")</f>
        <v>'Loreto - Perpetua Freira 250'</v>
      </c>
      <c r="E42" s="114" t="str">
        <f>IF(ISBLANK(Clientes!C27),"'Sin Direccion'",CONCATENATE("'",MID(Clientes!C27,1,95),"'"))</f>
        <v>'Perpetua Freire 250 casa 18, condominio Jardines de Freire'</v>
      </c>
      <c r="F42" s="114">
        <v>13125</v>
      </c>
      <c r="G42" s="114">
        <v>13</v>
      </c>
      <c r="H42" s="135" t="s">
        <v>2137</v>
      </c>
      <c r="I42" s="122" t="str">
        <f t="shared" si="0"/>
        <v>INSERT INTO CLIENTES(RUT_CLIENTE,RAZON_SOCIAL,DIRECCION,ID_COMUNA,ID_REGION,FECHA_NACIMIENTO) VALUES (NULL,'Loreto - Perpetua Freira 250','Perpetua Freire 250 casa 18, condominio Jardines de Freire',13125,13,TO_DATE('29-11-1967','DD-MM-YYYY'));</v>
      </c>
    </row>
    <row r="43" spans="1:9" ht="26.4">
      <c r="A43" t="str">
        <f>Clientes!A28</f>
        <v>Andrea - Azahares 8470</v>
      </c>
      <c r="B43" s="115">
        <f t="shared" si="1"/>
        <v>26</v>
      </c>
      <c r="C43" s="134" t="str">
        <f>IF(ISBLANK(Clientes!L28),"NULL",CONCATENATE("'",Clientes!L28,"'"))</f>
        <v>NULL</v>
      </c>
      <c r="D43" s="114" t="str">
        <f>CONCATENATE("'",Clientes!A28,"'")</f>
        <v>'Andrea - Azahares 8470'</v>
      </c>
      <c r="E43" s="114" t="str">
        <f>IF(ISBLANK(Clientes!C28),"'Sin Direccion'",CONCATENATE("'",MID(Clientes!C28,1,95),"'"))</f>
        <v>'Azahares 8470'</v>
      </c>
      <c r="F43" s="114">
        <v>13126</v>
      </c>
      <c r="G43" s="114">
        <v>13</v>
      </c>
      <c r="H43" s="135" t="s">
        <v>2137</v>
      </c>
      <c r="I43" s="122" t="str">
        <f t="shared" si="0"/>
        <v>INSERT INTO CLIENTES(RUT_CLIENTE,RAZON_SOCIAL,DIRECCION,ID_COMUNA,ID_REGION,FECHA_NACIMIENTO) VALUES (NULL,'Andrea - Azahares 8470','Azahares 8470',13126,13,TO_DATE('29-11-1967','DD-MM-YYYY'));</v>
      </c>
    </row>
    <row r="44" spans="1:9" ht="26.4">
      <c r="A44" t="str">
        <f>Clientes!A29</f>
        <v>ClauMery - Galilea 7707</v>
      </c>
      <c r="B44" s="115">
        <f t="shared" si="1"/>
        <v>27</v>
      </c>
      <c r="C44" s="134" t="str">
        <f>IF(ISBLANK(Clientes!L29),"NULL",CONCATENATE("'",Clientes!L29,"'"))</f>
        <v>NULL</v>
      </c>
      <c r="D44" s="114" t="str">
        <f>CONCATENATE("'",Clientes!A29,"'")</f>
        <v>'ClauMery - Galilea 7707'</v>
      </c>
      <c r="E44" s="114" t="str">
        <f>IF(ISBLANK(Clientes!C29),"'Sin Direccion'",CONCATENATE("'",MID(Clientes!C29,1,95),"'"))</f>
        <v>'Galilea 7707'</v>
      </c>
      <c r="F44" s="114">
        <v>13127</v>
      </c>
      <c r="G44" s="114">
        <v>13</v>
      </c>
      <c r="H44" s="135" t="s">
        <v>2137</v>
      </c>
      <c r="I44" s="122" t="str">
        <f t="shared" si="0"/>
        <v>INSERT INTO CLIENTES(RUT_CLIENTE,RAZON_SOCIAL,DIRECCION,ID_COMUNA,ID_REGION,FECHA_NACIMIENTO) VALUES (NULL,'ClauMery - Galilea 7707','Galilea 7707',13127,13,TO_DATE('29-11-1967','DD-MM-YYYY'));</v>
      </c>
    </row>
    <row r="45" spans="1:9" ht="26.4">
      <c r="A45" t="str">
        <f>Clientes!A30</f>
        <v>jumpmanexclusive2 - Santa Ema 2445</v>
      </c>
      <c r="B45" s="115">
        <f t="shared" si="1"/>
        <v>28</v>
      </c>
      <c r="C45" s="134" t="str">
        <f>IF(ISBLANK(Clientes!L30),"NULL",CONCATENATE("'",Clientes!L30,"'"))</f>
        <v>NULL</v>
      </c>
      <c r="D45" s="114" t="str">
        <f>CONCATENATE("'",Clientes!A30,"'")</f>
        <v>'jumpmanexclusive2 - Santa Ema 2445'</v>
      </c>
      <c r="E45" s="114" t="str">
        <f>IF(ISBLANK(Clientes!C30),"'Sin Direccion'",CONCATENATE("'",MID(Clientes!C30,1,95),"'"))</f>
        <v>'Santa Ema  2445 '</v>
      </c>
      <c r="F45" s="114">
        <v>13128</v>
      </c>
      <c r="G45" s="114">
        <v>13</v>
      </c>
      <c r="H45" s="135" t="s">
        <v>2137</v>
      </c>
      <c r="I45" s="122" t="str">
        <f t="shared" si="0"/>
        <v>INSERT INTO CLIENTES(RUT_CLIENTE,RAZON_SOCIAL,DIRECCION,ID_COMUNA,ID_REGION,FECHA_NACIMIENTO) VALUES (NULL,'jumpmanexclusive2 - Santa Ema 2445','Santa Ema  2445 ',13128,13,TO_DATE('29-11-1967','DD-MM-YYYY'));</v>
      </c>
    </row>
    <row r="46" spans="1:9" ht="26.4">
      <c r="A46" t="str">
        <f>Clientes!A31</f>
        <v>Cammy Sinai 9774</v>
      </c>
      <c r="B46" s="115">
        <f t="shared" si="1"/>
        <v>29</v>
      </c>
      <c r="C46" s="134" t="str">
        <f>IF(ISBLANK(Clientes!L31),"NULL",CONCATENATE("'",Clientes!L31,"'"))</f>
        <v>NULL</v>
      </c>
      <c r="D46" s="114" t="str">
        <f>CONCATENATE("'",Clientes!A31,"'")</f>
        <v>'Cammy Sinai 9774'</v>
      </c>
      <c r="E46" s="114" t="str">
        <f>IF(ISBLANK(Clientes!C31),"'Sin Direccion'",CONCATENATE("'",MID(Clientes!C31,1,95),"'"))</f>
        <v>'Sinai 9774'</v>
      </c>
      <c r="F46" s="114">
        <v>13129</v>
      </c>
      <c r="G46" s="114">
        <v>13</v>
      </c>
      <c r="H46" s="135" t="s">
        <v>2137</v>
      </c>
      <c r="I46" s="122" t="str">
        <f t="shared" si="0"/>
        <v>INSERT INTO CLIENTES(RUT_CLIENTE,RAZON_SOCIAL,DIRECCION,ID_COMUNA,ID_REGION,FECHA_NACIMIENTO) VALUES (NULL,'Cammy Sinai 9774','Sinai 9774',13129,13,TO_DATE('29-11-1967','DD-MM-YYYY'));</v>
      </c>
    </row>
    <row r="47" spans="1:9" ht="26.4">
      <c r="A47" t="str">
        <f>Clientes!A32</f>
        <v>Adrian Jardin del Eden</v>
      </c>
      <c r="B47" s="115">
        <f t="shared" si="1"/>
        <v>30</v>
      </c>
      <c r="C47" s="134" t="str">
        <f>IF(ISBLANK(Clientes!L32),"NULL",CONCATENATE("'",Clientes!L32,"'"))</f>
        <v>NULL</v>
      </c>
      <c r="D47" s="114" t="str">
        <f>CONCATENATE("'",Clientes!A32,"'")</f>
        <v>'Adrian Jardin del Eden'</v>
      </c>
      <c r="E47" s="114" t="str">
        <f>IF(ISBLANK(Clientes!C32),"'Sin Direccion'",CONCATENATE("'",MID(Clientes!C32,1,95),"'"))</f>
        <v>'Pitosporo 8628'</v>
      </c>
      <c r="F47" s="114">
        <v>13130</v>
      </c>
      <c r="G47" s="114">
        <v>13</v>
      </c>
      <c r="H47" s="135" t="s">
        <v>2137</v>
      </c>
      <c r="I47" s="122" t="str">
        <f t="shared" si="0"/>
        <v>INSERT INTO CLIENTES(RUT_CLIENTE,RAZON_SOCIAL,DIRECCION,ID_COMUNA,ID_REGION,FECHA_NACIMIENTO) VALUES (NULL,'Adrian Jardin del Eden','Pitosporo 8628',13130,13,TO_DATE('29-11-1967','DD-MM-YYYY'));</v>
      </c>
    </row>
    <row r="48" spans="1:9" ht="26.4">
      <c r="A48" t="str">
        <f>Clientes!A33</f>
        <v>Adriana  Ascencio</v>
      </c>
      <c r="B48" s="115">
        <f t="shared" si="1"/>
        <v>31</v>
      </c>
      <c r="C48" s="134" t="str">
        <f>IF(ISBLANK(Clientes!L33),"NULL",CONCATENATE("'",Clientes!L33,"'"))</f>
        <v>NULL</v>
      </c>
      <c r="D48" s="114" t="str">
        <f>CONCATENATE("'",Clientes!A33,"'")</f>
        <v>'Adriana  Ascencio'</v>
      </c>
      <c r="E48" s="114" t="str">
        <f>IF(ISBLANK(Clientes!C33),"'Sin Direccion'",CONCATENATE("'",MID(Clientes!C33,1,95),"'"))</f>
        <v>'Pasaje Generosidad 0667. Puente Alto'</v>
      </c>
      <c r="F48" s="114">
        <v>13131</v>
      </c>
      <c r="G48" s="114">
        <v>13</v>
      </c>
      <c r="H48" s="135" t="s">
        <v>2137</v>
      </c>
      <c r="I48" s="122" t="str">
        <f t="shared" si="0"/>
        <v>INSERT INTO CLIENTES(RUT_CLIENTE,RAZON_SOCIAL,DIRECCION,ID_COMUNA,ID_REGION,FECHA_NACIMIENTO) VALUES (NULL,'Adriana  Ascencio','Pasaje Generosidad 0667. Puente Alto',13131,13,TO_DATE('29-11-1967','DD-MM-YYYY'));</v>
      </c>
    </row>
    <row r="49" spans="1:9" ht="26.4">
      <c r="A49" t="str">
        <f>Clientes!A34</f>
        <v>Ahorro y Calidad</v>
      </c>
      <c r="B49" s="115">
        <f t="shared" si="1"/>
        <v>32</v>
      </c>
      <c r="C49" s="134" t="str">
        <f>IF(ISBLANK(Clientes!L34),"NULL",CONCATENATE("'",Clientes!L34,"'"))</f>
        <v>NULL</v>
      </c>
      <c r="D49" s="114" t="str">
        <f>CONCATENATE("'",Clientes!A34,"'")</f>
        <v>'Ahorro y Calidad'</v>
      </c>
      <c r="E49" s="114" t="str">
        <f>IF(ISBLANK(Clientes!C34),"'Sin Direccion'",CONCATENATE("'",MID(Clientes!C34,1,95),"'"))</f>
        <v>'Santa julia 2402'</v>
      </c>
      <c r="F49" s="114">
        <v>13132</v>
      </c>
      <c r="G49" s="114">
        <v>13</v>
      </c>
      <c r="H49" s="135" t="s">
        <v>2137</v>
      </c>
      <c r="I49" s="122" t="str">
        <f t="shared" si="0"/>
        <v>INSERT INTO CLIENTES(RUT_CLIENTE,RAZON_SOCIAL,DIRECCION,ID_COMUNA,ID_REGION,FECHA_NACIMIENTO) VALUES (NULL,'Ahorro y Calidad','Santa julia 2402',13132,13,TO_DATE('29-11-1967','DD-MM-YYYY'));</v>
      </c>
    </row>
    <row r="50" spans="1:9" ht="26.4">
      <c r="A50" t="str">
        <f>Clientes!A35</f>
        <v>Alejandra  Rosales</v>
      </c>
      <c r="B50" s="115">
        <f t="shared" si="1"/>
        <v>33</v>
      </c>
      <c r="C50" s="134" t="str">
        <f>IF(ISBLANK(Clientes!L35),"NULL",CONCATENATE("'",Clientes!L35,"'"))</f>
        <v>NULL</v>
      </c>
      <c r="D50" s="114" t="str">
        <f>CONCATENATE("'",Clientes!A35,"'")</f>
        <v>'Alejandra  Rosales'</v>
      </c>
      <c r="E50" s="114" t="str">
        <f>IF(ISBLANK(Clientes!C35),"'Sin Direccion'",CONCATENATE("'",MID(Clientes!C35,1,95),"'"))</f>
        <v>'Las Lomas 7860'</v>
      </c>
      <c r="F50" s="114">
        <v>13201</v>
      </c>
      <c r="G50" s="114">
        <v>13</v>
      </c>
      <c r="H50" s="135" t="s">
        <v>2137</v>
      </c>
      <c r="I50" s="122" t="str">
        <f t="shared" si="0"/>
        <v>INSERT INTO CLIENTES(RUT_CLIENTE,RAZON_SOCIAL,DIRECCION,ID_COMUNA,ID_REGION,FECHA_NACIMIENTO) VALUES (NULL,'Alejandra  Rosales','Las Lomas 7860',13201,13,TO_DATE('29-11-1967','DD-MM-YYYY'));</v>
      </c>
    </row>
    <row r="51" spans="1:9" ht="26.4">
      <c r="A51" t="str">
        <f>Clientes!A36</f>
        <v>Alejandra - Jardín del edén 3410</v>
      </c>
      <c r="B51" s="115">
        <f t="shared" si="1"/>
        <v>34</v>
      </c>
      <c r="C51" s="134" t="str">
        <f>IF(ISBLANK(Clientes!L36),"NULL",CONCATENATE("'",Clientes!L36,"'"))</f>
        <v>NULL</v>
      </c>
      <c r="D51" s="114" t="str">
        <f>CONCATENATE("'",Clientes!A36,"'")</f>
        <v>'Alejandra - Jardín del edén 3410'</v>
      </c>
      <c r="E51" s="114" t="str">
        <f>IF(ISBLANK(Clientes!C36),"'Sin Direccion'",CONCATENATE("'",MID(Clientes!C36,1,95),"'"))</f>
        <v>'Jardín del edén 3410'</v>
      </c>
      <c r="F51" s="114">
        <v>13202</v>
      </c>
      <c r="G51" s="114">
        <v>13</v>
      </c>
      <c r="H51" s="135" t="s">
        <v>2137</v>
      </c>
      <c r="I51" s="122" t="str">
        <f t="shared" si="0"/>
        <v>INSERT INTO CLIENTES(RUT_CLIENTE,RAZON_SOCIAL,DIRECCION,ID_COMUNA,ID_REGION,FECHA_NACIMIENTO) VALUES (NULL,'Alejandra - Jardín del edén 3410','Jardín del edén 3410',13202,13,TO_DATE('29-11-1967','DD-MM-YYYY'));</v>
      </c>
    </row>
    <row r="52" spans="1:9" ht="26.4">
      <c r="A52" t="str">
        <f>Clientes!A37</f>
        <v>Alejandra Araya Herrera</v>
      </c>
      <c r="B52" s="115">
        <f t="shared" si="1"/>
        <v>35</v>
      </c>
      <c r="C52" s="134" t="str">
        <f>IF(ISBLANK(Clientes!L37),"NULL",CONCATENATE("'",Clientes!L37,"'"))</f>
        <v>NULL</v>
      </c>
      <c r="D52" s="114" t="str">
        <f>CONCATENATE("'",Clientes!A37,"'")</f>
        <v>'Alejandra Araya Herrera'</v>
      </c>
      <c r="E52" s="114" t="str">
        <f>IF(ISBLANK(Clientes!C37),"'Sin Direccion'",CONCATENATE("'",MID(Clientes!C37,1,95),"'"))</f>
        <v>'Sin Direccion'</v>
      </c>
      <c r="F52" s="114">
        <v>13203</v>
      </c>
      <c r="G52" s="114">
        <v>13</v>
      </c>
      <c r="H52" s="135" t="s">
        <v>2137</v>
      </c>
      <c r="I52" s="122" t="str">
        <f t="shared" si="0"/>
        <v>INSERT INTO CLIENTES(RUT_CLIENTE,RAZON_SOCIAL,DIRECCION,ID_COMUNA,ID_REGION,FECHA_NACIMIENTO) VALUES (NULL,'Alejandra Araya Herrera','Sin Direccion',13203,13,TO_DATE('29-11-1967','DD-MM-YYYY'));</v>
      </c>
    </row>
    <row r="53" spans="1:9" ht="26.4">
      <c r="A53" t="str">
        <f>Clientes!A38</f>
        <v>Alejandra Gacitua</v>
      </c>
      <c r="B53" s="115">
        <f t="shared" si="1"/>
        <v>36</v>
      </c>
      <c r="C53" s="134" t="str">
        <f>IF(ISBLANK(Clientes!L38),"NULL",CONCATENATE("'",Clientes!L38,"'"))</f>
        <v>NULL</v>
      </c>
      <c r="D53" s="114" t="str">
        <f>CONCATENATE("'",Clientes!A38,"'")</f>
        <v>'Alejandra Gacitua'</v>
      </c>
      <c r="E53" s="114" t="str">
        <f>IF(ISBLANK(Clientes!C38),"'Sin Direccion'",CONCATENATE("'",MID(Clientes!C38,1,95),"'"))</f>
        <v>'Santa estela 2425'</v>
      </c>
      <c r="F53" s="114">
        <v>13301</v>
      </c>
      <c r="G53" s="114">
        <v>13</v>
      </c>
      <c r="H53" s="135" t="s">
        <v>2137</v>
      </c>
      <c r="I53" s="122" t="str">
        <f t="shared" si="0"/>
        <v>INSERT INTO CLIENTES(RUT_CLIENTE,RAZON_SOCIAL,DIRECCION,ID_COMUNA,ID_REGION,FECHA_NACIMIENTO) VALUES (NULL,'Alejandra Gacitua','Santa estela 2425',13301,13,TO_DATE('29-11-1967','DD-MM-YYYY'));</v>
      </c>
    </row>
    <row r="54" spans="1:9" ht="26.4">
      <c r="A54" t="str">
        <f>Clientes!A39</f>
        <v>Alejandra Labraña</v>
      </c>
      <c r="B54" s="115">
        <f t="shared" si="1"/>
        <v>37</v>
      </c>
      <c r="C54" s="134" t="str">
        <f>IF(ISBLANK(Clientes!L39),"NULL",CONCATENATE("'",Clientes!L39,"'"))</f>
        <v>NULL</v>
      </c>
      <c r="D54" s="114" t="str">
        <f>CONCATENATE("'",Clientes!A39,"'")</f>
        <v>'Alejandra Labraña'</v>
      </c>
      <c r="E54" s="114" t="str">
        <f>IF(ISBLANK(Clientes!C39),"'Sin Direccion'",CONCATENATE("'",MID(Clientes!C39,1,95),"'"))</f>
        <v>'Universidad Autonoma Chile /Ramón Subercaseaux 1404, San Miguel (Metro San Miguel, Línea 2)'</v>
      </c>
      <c r="F54" s="114">
        <v>13302</v>
      </c>
      <c r="G54" s="114">
        <v>13</v>
      </c>
      <c r="H54" s="135" t="s">
        <v>2137</v>
      </c>
      <c r="I54" s="122" t="str">
        <f t="shared" si="0"/>
        <v>INSERT INTO CLIENTES(RUT_CLIENTE,RAZON_SOCIAL,DIRECCION,ID_COMUNA,ID_REGION,FECHA_NACIMIENTO) VALUES (NULL,'Alejandra Labraña','Universidad Autonoma Chile /Ramón Subercaseaux 1404, San Miguel (Metro San Miguel, Línea 2)',13302,13,TO_DATE('29-11-1967','DD-MM-YYYY'));</v>
      </c>
    </row>
    <row r="55" spans="1:9" ht="26.4">
      <c r="A55" t="str">
        <f>Clientes!A40</f>
        <v>Alejandra Paz Muñoz</v>
      </c>
      <c r="B55" s="115">
        <f t="shared" si="1"/>
        <v>38</v>
      </c>
      <c r="C55" s="134" t="str">
        <f>IF(ISBLANK(Clientes!L40),"NULL",CONCATENATE("'",Clientes!L40,"'"))</f>
        <v>NULL</v>
      </c>
      <c r="D55" s="114" t="str">
        <f>CONCATENATE("'",Clientes!A40,"'")</f>
        <v>'Alejandra Paz Muñoz'</v>
      </c>
      <c r="E55" s="114" t="str">
        <f>IF(ISBLANK(Clientes!C40),"'Sin Direccion'",CONCATENATE("'",MID(Clientes!C40,1,95),"'"))</f>
        <v>'Rojas magallanes 2312, dpto 433'</v>
      </c>
      <c r="F55" s="114">
        <v>13303</v>
      </c>
      <c r="G55" s="114">
        <v>13</v>
      </c>
      <c r="H55" s="135" t="s">
        <v>2137</v>
      </c>
      <c r="I55" s="122" t="str">
        <f t="shared" si="0"/>
        <v>INSERT INTO CLIENTES(RUT_CLIENTE,RAZON_SOCIAL,DIRECCION,ID_COMUNA,ID_REGION,FECHA_NACIMIENTO) VALUES (NULL,'Alejandra Paz Muñoz','Rojas magallanes 2312, dpto 433',13303,13,TO_DATE('29-11-1967','DD-MM-YYYY'));</v>
      </c>
    </row>
    <row r="56" spans="1:9" ht="26.4">
      <c r="A56" t="str">
        <f>Clientes!A41</f>
        <v>Alejandra Pino - Almuerzos</v>
      </c>
      <c r="B56" s="115">
        <f t="shared" si="1"/>
        <v>39</v>
      </c>
      <c r="C56" s="134" t="str">
        <f>IF(ISBLANK(Clientes!L41),"NULL",CONCATENATE("'",Clientes!L41,"'"))</f>
        <v>NULL</v>
      </c>
      <c r="D56" s="114" t="str">
        <f>CONCATENATE("'",Clientes!A41,"'")</f>
        <v>'Alejandra Pino - Almuerzos'</v>
      </c>
      <c r="E56" s="114" t="str">
        <f>IF(ISBLANK(Clientes!C41),"'Sin Direccion'",CONCATENATE("'",MID(Clientes!C41,1,95),"'"))</f>
        <v>'Coligual 2472'</v>
      </c>
      <c r="F56" s="114">
        <v>13401</v>
      </c>
      <c r="G56" s="114">
        <v>13</v>
      </c>
      <c r="H56" s="135" t="s">
        <v>2137</v>
      </c>
      <c r="I56" s="122" t="str">
        <f t="shared" si="0"/>
        <v>INSERT INTO CLIENTES(RUT_CLIENTE,RAZON_SOCIAL,DIRECCION,ID_COMUNA,ID_REGION,FECHA_NACIMIENTO) VALUES (NULL,'Alejandra Pino - Almuerzos','Coligual 2472',13401,13,TO_DATE('29-11-1967','DD-MM-YYYY'));</v>
      </c>
    </row>
    <row r="57" spans="1:9" ht="26.4">
      <c r="A57" t="str">
        <f>Clientes!A42</f>
        <v>Alejandra Rios</v>
      </c>
      <c r="B57" s="115">
        <f t="shared" si="1"/>
        <v>40</v>
      </c>
      <c r="C57" s="134" t="str">
        <f>IF(ISBLANK(Clientes!L42),"NULL",CONCATENATE("'",Clientes!L42,"'"))</f>
        <v>NULL</v>
      </c>
      <c r="D57" s="114" t="str">
        <f>CONCATENATE("'",Clientes!A42,"'")</f>
        <v>'Alejandra Rios'</v>
      </c>
      <c r="E57" s="114" t="str">
        <f>IF(ISBLANK(Clientes!C42),"'Sin Direccion'",CONCATENATE("'",MID(Clientes!C42,1,95),"'"))</f>
        <v>'Azucena 9239'</v>
      </c>
      <c r="F57" s="114">
        <v>13402</v>
      </c>
      <c r="G57" s="114">
        <v>13</v>
      </c>
      <c r="H57" s="135" t="s">
        <v>2137</v>
      </c>
      <c r="I57" s="122" t="str">
        <f t="shared" si="0"/>
        <v>INSERT INTO CLIENTES(RUT_CLIENTE,RAZON_SOCIAL,DIRECCION,ID_COMUNA,ID_REGION,FECHA_NACIMIENTO) VALUES (NULL,'Alejandra Rios','Azucena 9239',13402,13,TO_DATE('29-11-1967','DD-MM-YYYY'));</v>
      </c>
    </row>
    <row r="58" spans="1:9" ht="26.4">
      <c r="A58" t="str">
        <f>Clientes!A43</f>
        <v>Alexandra Gallardo</v>
      </c>
      <c r="B58" s="115">
        <f t="shared" si="1"/>
        <v>41</v>
      </c>
      <c r="C58" s="134" t="str">
        <f>IF(ISBLANK(Clientes!L43),"NULL",CONCATENATE("'",Clientes!L43,"'"))</f>
        <v>NULL</v>
      </c>
      <c r="D58" s="114" t="str">
        <f>CONCATENATE("'",Clientes!A43,"'")</f>
        <v>'Alexandra Gallardo'</v>
      </c>
      <c r="E58" s="114" t="str">
        <f>IF(ISBLANK(Clientes!C43),"'Sin Direccion'",CONCATENATE("'",MID(Clientes!C43,1,95),"'"))</f>
        <v>'Walker Martínez 1612 , depto 78B'</v>
      </c>
      <c r="F58" s="114">
        <v>13403</v>
      </c>
      <c r="G58" s="114">
        <v>13</v>
      </c>
      <c r="H58" s="135" t="s">
        <v>2137</v>
      </c>
      <c r="I58" s="122" t="str">
        <f t="shared" si="0"/>
        <v>INSERT INTO CLIENTES(RUT_CLIENTE,RAZON_SOCIAL,DIRECCION,ID_COMUNA,ID_REGION,FECHA_NACIMIENTO) VALUES (NULL,'Alexandra Gallardo','Walker Martínez 1612 , depto 78B',13403,13,TO_DATE('29-11-1967','DD-MM-YYYY'));</v>
      </c>
    </row>
    <row r="59" spans="1:9" ht="26.4">
      <c r="A59" t="str">
        <f>Clientes!A44</f>
        <v>Alexis Deliz</v>
      </c>
      <c r="B59" s="115">
        <f t="shared" si="1"/>
        <v>42</v>
      </c>
      <c r="C59" s="134" t="str">
        <f>IF(ISBLANK(Clientes!L44),"NULL",CONCATENATE("'",Clientes!L44,"'"))</f>
        <v>NULL</v>
      </c>
      <c r="D59" s="114" t="str">
        <f>CONCATENATE("'",Clientes!A44,"'")</f>
        <v>'Alexis Deliz'</v>
      </c>
      <c r="E59" s="114" t="str">
        <f>IF(ISBLANK(Clientes!C44),"'Sin Direccion'",CONCATENATE("'",MID(Clientes!C44,1,95),"'"))</f>
        <v>'San Venancio 2819'</v>
      </c>
      <c r="F59" s="114">
        <v>13404</v>
      </c>
      <c r="G59" s="114">
        <v>13</v>
      </c>
      <c r="H59" s="135" t="s">
        <v>2137</v>
      </c>
      <c r="I59" s="122" t="str">
        <f t="shared" si="0"/>
        <v>INSERT INTO CLIENTES(RUT_CLIENTE,RAZON_SOCIAL,DIRECCION,ID_COMUNA,ID_REGION,FECHA_NACIMIENTO) VALUES (NULL,'Alexis Deliz','San Venancio 2819',13404,13,TO_DATE('29-11-1967','DD-MM-YYYY'));</v>
      </c>
    </row>
    <row r="60" spans="1:9" ht="26.4">
      <c r="A60" t="str">
        <f>Clientes!A45</f>
        <v>Alonso</v>
      </c>
      <c r="B60" s="115">
        <f t="shared" si="1"/>
        <v>43</v>
      </c>
      <c r="C60" s="134" t="str">
        <f>IF(ISBLANK(Clientes!L45),"NULL",CONCATENATE("'",Clientes!L45,"'"))</f>
        <v>NULL</v>
      </c>
      <c r="D60" s="114" t="str">
        <f>CONCATENATE("'",Clientes!A45,"'")</f>
        <v>'Alonso'</v>
      </c>
      <c r="E60" s="114" t="str">
        <f>IF(ISBLANK(Clientes!C45),"'Sin Direccion'",CONCATENATE("'",MID(Clientes!C45,1,95),"'"))</f>
        <v>'Sin Direccion'</v>
      </c>
      <c r="F60" s="114">
        <v>13501</v>
      </c>
      <c r="G60" s="114">
        <v>13</v>
      </c>
      <c r="H60" s="135" t="s">
        <v>2137</v>
      </c>
      <c r="I60" s="122" t="str">
        <f t="shared" si="0"/>
        <v>INSERT INTO CLIENTES(RUT_CLIENTE,RAZON_SOCIAL,DIRECCION,ID_COMUNA,ID_REGION,FECHA_NACIMIENTO) VALUES (NULL,'Alonso','Sin Direccion',13501,13,TO_DATE('29-11-1967','DD-MM-YYYY'));</v>
      </c>
    </row>
    <row r="61" spans="1:9" ht="26.4">
      <c r="A61" t="str">
        <f>Clientes!A46</f>
        <v>Alvaro Herrera</v>
      </c>
      <c r="B61" s="115">
        <f t="shared" si="1"/>
        <v>44</v>
      </c>
      <c r="C61" s="134" t="str">
        <f>IF(ISBLANK(Clientes!L46),"NULL",CONCATENATE("'",Clientes!L46,"'"))</f>
        <v>NULL</v>
      </c>
      <c r="D61" s="114" t="str">
        <f>CONCATENATE("'",Clientes!A46,"'")</f>
        <v>'Alvaro Herrera'</v>
      </c>
      <c r="E61" s="114" t="str">
        <f>IF(ISBLANK(Clientes!C46),"'Sin Direccion'",CONCATENATE("'",MID(Clientes!C46,1,95),"'"))</f>
        <v>'Sin Direccion'</v>
      </c>
      <c r="F61" s="114">
        <v>13502</v>
      </c>
      <c r="G61" s="114">
        <v>13</v>
      </c>
      <c r="H61" s="135" t="s">
        <v>2137</v>
      </c>
      <c r="I61" s="122" t="str">
        <f t="shared" si="0"/>
        <v>INSERT INTO CLIENTES(RUT_CLIENTE,RAZON_SOCIAL,DIRECCION,ID_COMUNA,ID_REGION,FECHA_NACIMIENTO) VALUES (NULL,'Alvaro Herrera','Sin Direccion',13502,13,TO_DATE('29-11-1967','DD-MM-YYYY'));</v>
      </c>
    </row>
    <row r="62" spans="1:9" ht="26.4">
      <c r="A62" t="str">
        <f>Clientes!A47</f>
        <v>Alvaro Saez</v>
      </c>
      <c r="B62" s="115">
        <f t="shared" si="1"/>
        <v>45</v>
      </c>
      <c r="C62" s="134" t="str">
        <f>IF(ISBLANK(Clientes!L47),"NULL",CONCATENATE("'",Clientes!L47,"'"))</f>
        <v>NULL</v>
      </c>
      <c r="D62" s="114" t="str">
        <f>CONCATENATE("'",Clientes!A47,"'")</f>
        <v>'Alvaro Saez'</v>
      </c>
      <c r="E62" s="114" t="str">
        <f>IF(ISBLANK(Clientes!C47),"'Sin Direccion'",CONCATENATE("'",MID(Clientes!C47,1,95),"'"))</f>
        <v>'Garcia hurtado de Mendoza 7620'</v>
      </c>
      <c r="F62" s="114">
        <v>13503</v>
      </c>
      <c r="G62" s="114">
        <v>13</v>
      </c>
      <c r="H62" s="135" t="s">
        <v>2137</v>
      </c>
      <c r="I62" s="122" t="str">
        <f t="shared" si="0"/>
        <v>INSERT INTO CLIENTES(RUT_CLIENTE,RAZON_SOCIAL,DIRECCION,ID_COMUNA,ID_REGION,FECHA_NACIMIENTO) VALUES (NULL,'Alvaro Saez','Garcia hurtado de Mendoza 7620',13503,13,TO_DATE('29-11-1967','DD-MM-YYYY'));</v>
      </c>
    </row>
    <row r="63" spans="1:9" ht="26.4">
      <c r="A63" t="str">
        <f>Clientes!A48</f>
        <v>Amalia Herrera</v>
      </c>
      <c r="B63" s="115">
        <f t="shared" si="1"/>
        <v>46</v>
      </c>
      <c r="C63" s="134" t="str">
        <f>IF(ISBLANK(Clientes!L48),"NULL",CONCATENATE("'",Clientes!L48,"'"))</f>
        <v>NULL</v>
      </c>
      <c r="D63" s="114" t="str">
        <f>CONCATENATE("'",Clientes!A48,"'")</f>
        <v>'Amalia Herrera'</v>
      </c>
      <c r="E63" s="114" t="str">
        <f>IF(ISBLANK(Clientes!C48),"'Sin Direccion'",CONCATENATE("'",MID(Clientes!C48,1,95),"'"))</f>
        <v>'Sin Direccion'</v>
      </c>
      <c r="F63" s="114">
        <v>13504</v>
      </c>
      <c r="G63" s="114">
        <v>13</v>
      </c>
      <c r="H63" s="135" t="s">
        <v>2137</v>
      </c>
      <c r="I63" s="122" t="str">
        <f t="shared" si="0"/>
        <v>INSERT INTO CLIENTES(RUT_CLIENTE,RAZON_SOCIAL,DIRECCION,ID_COMUNA,ID_REGION,FECHA_NACIMIENTO) VALUES (NULL,'Amalia Herrera','Sin Direccion',13504,13,TO_DATE('29-11-1967','DD-MM-YYYY'));</v>
      </c>
    </row>
    <row r="64" spans="1:9" ht="26.4">
      <c r="A64" t="str">
        <f>Clientes!A49</f>
        <v>Amanda Godoy</v>
      </c>
      <c r="B64" s="115">
        <f t="shared" si="1"/>
        <v>47</v>
      </c>
      <c r="C64" s="134" t="str">
        <f>IF(ISBLANK(Clientes!L49),"NULL",CONCATENATE("'",Clientes!L49,"'"))</f>
        <v>NULL</v>
      </c>
      <c r="D64" s="114" t="str">
        <f>CONCATENATE("'",Clientes!A49,"'")</f>
        <v>'Amanda Godoy'</v>
      </c>
      <c r="E64" s="114" t="str">
        <f>IF(ISBLANK(Clientes!C49),"'Sin Direccion'",CONCATENATE("'",MID(Clientes!C49,1,95),"'"))</f>
        <v>'Sin Direccion'</v>
      </c>
      <c r="F64" s="114">
        <v>13505</v>
      </c>
      <c r="G64" s="114">
        <v>13</v>
      </c>
      <c r="H64" s="135" t="s">
        <v>2137</v>
      </c>
      <c r="I64" s="122" t="str">
        <f t="shared" si="0"/>
        <v>INSERT INTO CLIENTES(RUT_CLIENTE,RAZON_SOCIAL,DIRECCION,ID_COMUNA,ID_REGION,FECHA_NACIMIENTO) VALUES (NULL,'Amanda Godoy','Sin Direccion',13505,13,TO_DATE('29-11-1967','DD-MM-YYYY'));</v>
      </c>
    </row>
    <row r="65" spans="1:9" ht="26.4">
      <c r="A65" t="str">
        <f>Clientes!A50</f>
        <v>Amanda Pacheco</v>
      </c>
      <c r="B65" s="115">
        <f t="shared" si="1"/>
        <v>48</v>
      </c>
      <c r="C65" s="134" t="str">
        <f>IF(ISBLANK(Clientes!L50),"NULL",CONCATENATE("'",Clientes!L50,"'"))</f>
        <v>NULL</v>
      </c>
      <c r="D65" s="114" t="str">
        <f>CONCATENATE("'",Clientes!A50,"'")</f>
        <v>'Amanda Pacheco'</v>
      </c>
      <c r="E65" s="114" t="str">
        <f>IF(ISBLANK(Clientes!C50),"'Sin Direccion'",CONCATENATE("'",MID(Clientes!C50,1,95),"'"))</f>
        <v>'Diamelos 8556'</v>
      </c>
      <c r="F65" s="114">
        <v>13601</v>
      </c>
      <c r="G65" s="114">
        <v>13</v>
      </c>
      <c r="H65" s="135" t="s">
        <v>2137</v>
      </c>
      <c r="I65" s="122" t="str">
        <f t="shared" si="0"/>
        <v>INSERT INTO CLIENTES(RUT_CLIENTE,RAZON_SOCIAL,DIRECCION,ID_COMUNA,ID_REGION,FECHA_NACIMIENTO) VALUES (NULL,'Amanda Pacheco','Diamelos 8556',13601,13,TO_DATE('29-11-1967','DD-MM-YYYY'));</v>
      </c>
    </row>
    <row r="66" spans="1:9" ht="26.4">
      <c r="A66" t="str">
        <f>Clientes!A51</f>
        <v>Andrea</v>
      </c>
      <c r="B66" s="115">
        <f t="shared" si="1"/>
        <v>49</v>
      </c>
      <c r="C66" s="134" t="str">
        <f>IF(ISBLANK(Clientes!L51),"NULL",CONCATENATE("'",Clientes!L51,"'"))</f>
        <v>NULL</v>
      </c>
      <c r="D66" s="114" t="str">
        <f>CONCATENATE("'",Clientes!A51,"'")</f>
        <v>'Andrea'</v>
      </c>
      <c r="E66" s="114" t="str">
        <f>IF(ISBLANK(Clientes!C51),"'Sin Direccion'",CONCATENATE("'",MID(Clientes!C51,1,95),"'"))</f>
        <v>'Sin Direccion'</v>
      </c>
      <c r="F66" s="114">
        <v>13602</v>
      </c>
      <c r="G66" s="114">
        <v>13</v>
      </c>
      <c r="H66" s="135" t="s">
        <v>2137</v>
      </c>
      <c r="I66" s="122" t="str">
        <f t="shared" si="0"/>
        <v>INSERT INTO CLIENTES(RUT_CLIENTE,RAZON_SOCIAL,DIRECCION,ID_COMUNA,ID_REGION,FECHA_NACIMIENTO) VALUES (NULL,'Andrea','Sin Direccion',13602,13,TO_DATE('29-11-1967','DD-MM-YYYY'));</v>
      </c>
    </row>
    <row r="67" spans="1:9" ht="26.4">
      <c r="A67" t="str">
        <f>Clientes!A52</f>
        <v>Andrea - El Arrayan 8453</v>
      </c>
      <c r="B67" s="115">
        <f t="shared" si="1"/>
        <v>50</v>
      </c>
      <c r="C67" s="134" t="str">
        <f>IF(ISBLANK(Clientes!L52),"NULL",CONCATENATE("'",Clientes!L52,"'"))</f>
        <v>NULL</v>
      </c>
      <c r="D67" s="114" t="str">
        <f>CONCATENATE("'",Clientes!A52,"'")</f>
        <v>'Andrea - El Arrayan 8453'</v>
      </c>
      <c r="E67" s="114" t="str">
        <f>IF(ISBLANK(Clientes!C52),"'Sin Direccion'",CONCATENATE("'",MID(Clientes!C52,1,95),"'"))</f>
        <v>'El Arrayan 8453'</v>
      </c>
      <c r="F67" s="114">
        <v>13603</v>
      </c>
      <c r="G67" s="114">
        <v>13</v>
      </c>
      <c r="H67" s="135" t="s">
        <v>2137</v>
      </c>
      <c r="I67" s="122" t="str">
        <f t="shared" si="0"/>
        <v>INSERT INTO CLIENTES(RUT_CLIENTE,RAZON_SOCIAL,DIRECCION,ID_COMUNA,ID_REGION,FECHA_NACIMIENTO) VALUES (NULL,'Andrea - El Arrayan 8453','El Arrayan 8453',13603,13,TO_DATE('29-11-1967','DD-MM-YYYY'));</v>
      </c>
    </row>
    <row r="68" spans="1:9" ht="26.4">
      <c r="A68" t="str">
        <f>Clientes!A53</f>
        <v>Andrea - Volcan Hornopiren 5853</v>
      </c>
      <c r="B68" s="115">
        <f t="shared" si="1"/>
        <v>51</v>
      </c>
      <c r="C68" s="134" t="str">
        <f>IF(ISBLANK(Clientes!L53),"NULL",CONCATENATE("'",Clientes!L53,"'"))</f>
        <v>NULL</v>
      </c>
      <c r="D68" s="114" t="str">
        <f>CONCATENATE("'",Clientes!A53,"'")</f>
        <v>'Andrea - Volcan Hornopiren 5853'</v>
      </c>
      <c r="E68" s="114" t="str">
        <f>IF(ISBLANK(Clientes!C53),"'Sin Direccion'",CONCATENATE("'",MID(Clientes!C53,1,95),"'"))</f>
        <v>'Volcan Hornopiren 5853'</v>
      </c>
      <c r="F68" s="114">
        <v>13604</v>
      </c>
      <c r="G68" s="114">
        <v>13</v>
      </c>
      <c r="H68" s="135" t="s">
        <v>2137</v>
      </c>
      <c r="I68" s="122" t="str">
        <f t="shared" si="0"/>
        <v>INSERT INTO CLIENTES(RUT_CLIENTE,RAZON_SOCIAL,DIRECCION,ID_COMUNA,ID_REGION,FECHA_NACIMIENTO) VALUES (NULL,'Andrea - Volcan Hornopiren 5853','Volcan Hornopiren 5853',13604,13,TO_DATE('29-11-1967','DD-MM-YYYY'));</v>
      </c>
    </row>
    <row r="69" spans="1:9" ht="26.4">
      <c r="A69" t="str">
        <f>Clientes!A54</f>
        <v>Andrea Alvarez</v>
      </c>
      <c r="B69" s="115">
        <f t="shared" si="1"/>
        <v>52</v>
      </c>
      <c r="C69" s="134" t="str">
        <f>IF(ISBLANK(Clientes!L54),"NULL",CONCATENATE("'",Clientes!L54,"'"))</f>
        <v>NULL</v>
      </c>
      <c r="D69" s="114" t="str">
        <f>CONCATENATE("'",Clientes!A54,"'")</f>
        <v>'Andrea Alvarez'</v>
      </c>
      <c r="E69" s="114" t="str">
        <f>IF(ISBLANK(Clientes!C54),"'Sin Direccion'",CONCATENATE("'",MID(Clientes!C54,1,95),"'"))</f>
        <v>'Diamelos 8453'</v>
      </c>
      <c r="F69" s="114">
        <v>13605</v>
      </c>
      <c r="G69" s="114">
        <v>13</v>
      </c>
      <c r="H69" s="135" t="s">
        <v>2137</v>
      </c>
      <c r="I69" s="122" t="str">
        <f t="shared" si="0"/>
        <v>INSERT INTO CLIENTES(RUT_CLIENTE,RAZON_SOCIAL,DIRECCION,ID_COMUNA,ID_REGION,FECHA_NACIMIENTO) VALUES (NULL,'Andrea Alvarez','Diamelos 8453',13605,13,TO_DATE('29-11-1967','DD-MM-YYYY'));</v>
      </c>
    </row>
    <row r="70" spans="1:9" ht="26.4">
      <c r="A70" t="str">
        <f>Clientes!A55</f>
        <v>Andrea Arelis Troncoso</v>
      </c>
      <c r="B70" s="115">
        <f t="shared" si="1"/>
        <v>53</v>
      </c>
      <c r="C70" s="134" t="str">
        <f>IF(ISBLANK(Clientes!L55),"NULL",CONCATENATE("'",Clientes!L55,"'"))</f>
        <v>NULL</v>
      </c>
      <c r="D70" s="114" t="str">
        <f>CONCATENATE("'",Clientes!A55,"'")</f>
        <v>'Andrea Arelis Troncoso'</v>
      </c>
      <c r="E70" s="114" t="str">
        <f>IF(ISBLANK(Clientes!C55),"'Sin Direccion'",CONCATENATE("'",MID(Clientes!C55,1,95),"'"))</f>
        <v>'Diamelos 8465'</v>
      </c>
      <c r="F70" s="114">
        <v>13101</v>
      </c>
      <c r="G70" s="114">
        <v>13</v>
      </c>
      <c r="H70" s="135" t="s">
        <v>2137</v>
      </c>
      <c r="I70" s="122" t="str">
        <f t="shared" si="0"/>
        <v>INSERT INTO CLIENTES(RUT_CLIENTE,RAZON_SOCIAL,DIRECCION,ID_COMUNA,ID_REGION,FECHA_NACIMIENTO) VALUES (NULL,'Andrea Arelis Troncoso','Diamelos 8465',13101,13,TO_DATE('29-11-1967','DD-MM-YYYY'));</v>
      </c>
    </row>
    <row r="71" spans="1:9" ht="26.4">
      <c r="A71" t="str">
        <f>Clientes!A56</f>
        <v>Andrea Bravo</v>
      </c>
      <c r="B71" s="115">
        <f t="shared" si="1"/>
        <v>54</v>
      </c>
      <c r="C71" s="134" t="str">
        <f>IF(ISBLANK(Clientes!L56),"NULL",CONCATENATE("'",Clientes!L56,"'"))</f>
        <v>NULL</v>
      </c>
      <c r="D71" s="114" t="str">
        <f>CONCATENATE("'",Clientes!A56,"'")</f>
        <v>'Andrea Bravo'</v>
      </c>
      <c r="E71" s="114" t="str">
        <f>IF(ISBLANK(Clientes!C56),"'Sin Direccion'",CONCATENATE("'",MID(Clientes!C56,1,95),"'"))</f>
        <v>'Pasaje Negrillo 9586'</v>
      </c>
      <c r="F71" s="114">
        <v>13102</v>
      </c>
      <c r="G71" s="114">
        <v>13</v>
      </c>
      <c r="H71" s="135" t="s">
        <v>2137</v>
      </c>
      <c r="I71" s="122" t="str">
        <f t="shared" si="0"/>
        <v>INSERT INTO CLIENTES(RUT_CLIENTE,RAZON_SOCIAL,DIRECCION,ID_COMUNA,ID_REGION,FECHA_NACIMIENTO) VALUES (NULL,'Andrea Bravo','Pasaje Negrillo 9586',13102,13,TO_DATE('29-11-1967','DD-MM-YYYY'));</v>
      </c>
    </row>
    <row r="72" spans="1:9" ht="26.4">
      <c r="A72" t="str">
        <f>Clientes!A57</f>
        <v>Andrea Marin</v>
      </c>
      <c r="B72" s="115">
        <f t="shared" si="1"/>
        <v>55</v>
      </c>
      <c r="C72" s="134" t="str">
        <f>IF(ISBLANK(Clientes!L57),"NULL",CONCATENATE("'",Clientes!L57,"'"))</f>
        <v>NULL</v>
      </c>
      <c r="D72" s="114" t="str">
        <f>CONCATENATE("'",Clientes!A57,"'")</f>
        <v>'Andrea Marin'</v>
      </c>
      <c r="E72" s="114" t="str">
        <f>IF(ISBLANK(Clientes!C57),"'Sin Direccion'",CONCATENATE("'",MID(Clientes!C57,1,95),"'"))</f>
        <v>'Azucena 9393 Villa Jardines de la viña'</v>
      </c>
      <c r="F72" s="114">
        <v>13103</v>
      </c>
      <c r="G72" s="114">
        <v>13</v>
      </c>
      <c r="H72" s="135" t="s">
        <v>2137</v>
      </c>
      <c r="I72" s="122" t="str">
        <f t="shared" si="0"/>
        <v>INSERT INTO CLIENTES(RUT_CLIENTE,RAZON_SOCIAL,DIRECCION,ID_COMUNA,ID_REGION,FECHA_NACIMIENTO) VALUES (NULL,'Andrea Marin','Azucena 9393 Villa Jardines de la viña',13103,13,TO_DATE('29-11-1967','DD-MM-YYYY'));</v>
      </c>
    </row>
    <row r="73" spans="1:9" ht="26.4">
      <c r="A73" t="str">
        <f>Clientes!A58</f>
        <v>Andrea Rubio</v>
      </c>
      <c r="B73" s="115">
        <f t="shared" si="1"/>
        <v>56</v>
      </c>
      <c r="C73" s="134" t="str">
        <f>IF(ISBLANK(Clientes!L58),"NULL",CONCATENATE("'",Clientes!L58,"'"))</f>
        <v>NULL</v>
      </c>
      <c r="D73" s="114" t="str">
        <f>CONCATENATE("'",Clientes!A58,"'")</f>
        <v>'Andrea Rubio'</v>
      </c>
      <c r="E73" s="114" t="str">
        <f>IF(ISBLANK(Clientes!C58),"'Sin Direccion'",CONCATENATE("'",MID(Clientes!C58,1,95),"'"))</f>
        <v>'Belloto del norte oriente 9357'</v>
      </c>
      <c r="F73" s="114">
        <v>13104</v>
      </c>
      <c r="G73" s="114">
        <v>13</v>
      </c>
      <c r="H73" s="135" t="s">
        <v>2137</v>
      </c>
      <c r="I73" s="122" t="str">
        <f t="shared" si="0"/>
        <v>INSERT INTO CLIENTES(RUT_CLIENTE,RAZON_SOCIAL,DIRECCION,ID_COMUNA,ID_REGION,FECHA_NACIMIENTO) VALUES (NULL,'Andrea Rubio','Belloto del norte oriente 9357',13104,13,TO_DATE('29-11-1967','DD-MM-YYYY'));</v>
      </c>
    </row>
    <row r="74" spans="1:9" ht="26.4">
      <c r="A74" t="str">
        <f>Clientes!A59</f>
        <v>Andrea Salas</v>
      </c>
      <c r="B74" s="115">
        <f t="shared" si="1"/>
        <v>57</v>
      </c>
      <c r="C74" s="134" t="str">
        <f>IF(ISBLANK(Clientes!L59),"NULL",CONCATENATE("'",Clientes!L59,"'"))</f>
        <v>NULL</v>
      </c>
      <c r="D74" s="114" t="str">
        <f>CONCATENATE("'",Clientes!A59,"'")</f>
        <v>'Andrea Salas'</v>
      </c>
      <c r="E74" s="114" t="str">
        <f>IF(ISBLANK(Clientes!C59),"'Sin Direccion'",CONCATENATE("'",MID(Clientes!C59,1,95),"'"))</f>
        <v>'Inés de Suarez 7990 depto 312'</v>
      </c>
      <c r="F74" s="114">
        <v>13105</v>
      </c>
      <c r="G74" s="114">
        <v>13</v>
      </c>
      <c r="H74" s="135" t="s">
        <v>2137</v>
      </c>
      <c r="I74" s="122" t="str">
        <f t="shared" si="0"/>
        <v>INSERT INTO CLIENTES(RUT_CLIENTE,RAZON_SOCIAL,DIRECCION,ID_COMUNA,ID_REGION,FECHA_NACIMIENTO) VALUES (NULL,'Andrea Salas','Inés de Suarez 7990 depto 312',13105,13,TO_DATE('29-11-1967','DD-MM-YYYY'));</v>
      </c>
    </row>
    <row r="75" spans="1:9" ht="26.4">
      <c r="A75" t="str">
        <f>Clientes!A60</f>
        <v>Andres Gonzalez</v>
      </c>
      <c r="B75" s="115">
        <f t="shared" si="1"/>
        <v>58</v>
      </c>
      <c r="C75" s="134" t="str">
        <f>IF(ISBLANK(Clientes!L60),"NULL",CONCATENATE("'",Clientes!L60,"'"))</f>
        <v>NULL</v>
      </c>
      <c r="D75" s="114" t="str">
        <f>CONCATENATE("'",Clientes!A60,"'")</f>
        <v>'Andres Gonzalez'</v>
      </c>
      <c r="E75" s="114" t="str">
        <f>IF(ISBLANK(Clientes!C60),"'Sin Direccion'",CONCATENATE("'",MID(Clientes!C60,1,95),"'"))</f>
        <v>'Yokohama 6916, La Florida'</v>
      </c>
      <c r="F75" s="114">
        <v>13106</v>
      </c>
      <c r="G75" s="114">
        <v>13</v>
      </c>
      <c r="H75" s="135" t="s">
        <v>2137</v>
      </c>
      <c r="I75" s="122" t="str">
        <f t="shared" si="0"/>
        <v>INSERT INTO CLIENTES(RUT_CLIENTE,RAZON_SOCIAL,DIRECCION,ID_COMUNA,ID_REGION,FECHA_NACIMIENTO) VALUES (NULL,'Andres Gonzalez','Yokohama 6916, La Florida',13106,13,TO_DATE('29-11-1967','DD-MM-YYYY'));</v>
      </c>
    </row>
    <row r="76" spans="1:9" ht="26.4">
      <c r="A76" t="str">
        <f>Clientes!A61</f>
        <v>Andres Ramis</v>
      </c>
      <c r="B76" s="115">
        <f t="shared" si="1"/>
        <v>59</v>
      </c>
      <c r="C76" s="134" t="str">
        <f>IF(ISBLANK(Clientes!L61),"NULL",CONCATENATE("'",Clientes!L61,"'"))</f>
        <v>NULL</v>
      </c>
      <c r="D76" s="114" t="str">
        <f>CONCATENATE("'",Clientes!A61,"'")</f>
        <v>'Andres Ramis'</v>
      </c>
      <c r="E76" s="114" t="str">
        <f>IF(ISBLANK(Clientes!C61),"'Sin Direccion'",CONCATENATE("'",MID(Clientes!C61,1,95),"'"))</f>
        <v>'Belloto del norte oriente 9286'</v>
      </c>
      <c r="F76" s="114">
        <v>13107</v>
      </c>
      <c r="G76" s="114">
        <v>13</v>
      </c>
      <c r="H76" s="135" t="s">
        <v>2137</v>
      </c>
      <c r="I76" s="122" t="str">
        <f t="shared" si="0"/>
        <v>INSERT INTO CLIENTES(RUT_CLIENTE,RAZON_SOCIAL,DIRECCION,ID_COMUNA,ID_REGION,FECHA_NACIMIENTO) VALUES (NULL,'Andres Ramis','Belloto del norte oriente 9286',13107,13,TO_DATE('29-11-1967','DD-MM-YYYY'));</v>
      </c>
    </row>
    <row r="77" spans="1:9" ht="26.4">
      <c r="A77" t="str">
        <f>Clientes!A62</f>
        <v>Angela - Colegio Concepcion</v>
      </c>
      <c r="B77" s="115">
        <f t="shared" si="1"/>
        <v>60</v>
      </c>
      <c r="C77" s="134" t="str">
        <f>IF(ISBLANK(Clientes!L62),"NULL",CONCATENATE("'",Clientes!L62,"'"))</f>
        <v>NULL</v>
      </c>
      <c r="D77" s="114" t="str">
        <f>CONCATENATE("'",Clientes!A62,"'")</f>
        <v>'Angela - Colegio Concepcion'</v>
      </c>
      <c r="E77" s="114" t="str">
        <f>IF(ISBLANK(Clientes!C62),"'Sin Direccion'",CONCATENATE("'",MID(Clientes!C62,1,95),"'"))</f>
        <v>'Sin Direccion'</v>
      </c>
      <c r="F77" s="114">
        <v>13108</v>
      </c>
      <c r="G77" s="114">
        <v>13</v>
      </c>
      <c r="H77" s="135" t="s">
        <v>2137</v>
      </c>
      <c r="I77" s="122" t="str">
        <f t="shared" si="0"/>
        <v>INSERT INTO CLIENTES(RUT_CLIENTE,RAZON_SOCIAL,DIRECCION,ID_COMUNA,ID_REGION,FECHA_NACIMIENTO) VALUES (NULL,'Angela - Colegio Concepcion','Sin Direccion',13108,13,TO_DATE('29-11-1967','DD-MM-YYYY'));</v>
      </c>
    </row>
    <row r="78" spans="1:9" ht="26.4">
      <c r="A78" t="str">
        <f>Clientes!A63</f>
        <v>Angela Navarrete</v>
      </c>
      <c r="B78" s="115">
        <f t="shared" si="1"/>
        <v>61</v>
      </c>
      <c r="C78" s="134" t="str">
        <f>IF(ISBLANK(Clientes!L63),"NULL",CONCATENATE("'",Clientes!L63,"'"))</f>
        <v>NULL</v>
      </c>
      <c r="D78" s="114" t="str">
        <f>CONCATENATE("'",Clientes!A63,"'")</f>
        <v>'Angela Navarrete'</v>
      </c>
      <c r="E78" s="114" t="str">
        <f>IF(ISBLANK(Clientes!C63),"'Sin Direccion'",CONCATENATE("'",MID(Clientes!C63,1,95),"'"))</f>
        <v>'Santa Amalia 3500 depto 21G'</v>
      </c>
      <c r="F78" s="114">
        <v>13109</v>
      </c>
      <c r="G78" s="114">
        <v>13</v>
      </c>
      <c r="H78" s="135" t="s">
        <v>2137</v>
      </c>
      <c r="I78" s="122" t="str">
        <f t="shared" si="0"/>
        <v>INSERT INTO CLIENTES(RUT_CLIENTE,RAZON_SOCIAL,DIRECCION,ID_COMUNA,ID_REGION,FECHA_NACIMIENTO) VALUES (NULL,'Angela Navarrete','Santa Amalia 3500 depto 21G',13109,13,TO_DATE('29-11-1967','DD-MM-YYYY'));</v>
      </c>
    </row>
    <row r="79" spans="1:9" ht="26.4">
      <c r="A79" t="str">
        <f>Clientes!A64</f>
        <v>Angela Neira Fritz</v>
      </c>
      <c r="B79" s="115">
        <f t="shared" si="1"/>
        <v>62</v>
      </c>
      <c r="C79" s="134" t="str">
        <f>IF(ISBLANK(Clientes!L64),"NULL",CONCATENATE("'",Clientes!L64,"'"))</f>
        <v>NULL</v>
      </c>
      <c r="D79" s="114" t="str">
        <f>CONCATENATE("'",Clientes!A64,"'")</f>
        <v>'Angela Neira Fritz'</v>
      </c>
      <c r="E79" s="114" t="str">
        <f>IF(ISBLANK(Clientes!C64),"'Sin Direccion'",CONCATENATE("'",MID(Clientes!C64,1,95),"'"))</f>
        <v>'Pasaje pitosporo 8581'</v>
      </c>
      <c r="F79" s="114">
        <v>13110</v>
      </c>
      <c r="G79" s="114">
        <v>13</v>
      </c>
      <c r="H79" s="135" t="s">
        <v>2137</v>
      </c>
      <c r="I79" s="122" t="str">
        <f t="shared" si="0"/>
        <v>INSERT INTO CLIENTES(RUT_CLIENTE,RAZON_SOCIAL,DIRECCION,ID_COMUNA,ID_REGION,FECHA_NACIMIENTO) VALUES (NULL,'Angela Neira Fritz','Pasaje pitosporo 8581',13110,13,TO_DATE('29-11-1967','DD-MM-YYYY'));</v>
      </c>
    </row>
    <row r="80" spans="1:9" ht="26.4">
      <c r="A80" t="str">
        <f>Clientes!A65</f>
        <v>Anita - Tuliperos 3402</v>
      </c>
      <c r="B80" s="115">
        <f t="shared" si="1"/>
        <v>63</v>
      </c>
      <c r="C80" s="134" t="str">
        <f>IF(ISBLANK(Clientes!L65),"NULL",CONCATENATE("'",Clientes!L65,"'"))</f>
        <v>NULL</v>
      </c>
      <c r="D80" s="114" t="str">
        <f>CONCATENATE("'",Clientes!A65,"'")</f>
        <v>'Anita - Tuliperos 3402'</v>
      </c>
      <c r="E80" s="114" t="str">
        <f>IF(ISBLANK(Clientes!C65),"'Sin Direccion'",CONCATENATE("'",MID(Clientes!C65,1,95),"'"))</f>
        <v>'Tuliperos 3402'</v>
      </c>
      <c r="F80" s="114">
        <v>13111</v>
      </c>
      <c r="G80" s="114">
        <v>13</v>
      </c>
      <c r="H80" s="135" t="s">
        <v>2137</v>
      </c>
      <c r="I80" s="122" t="str">
        <f t="shared" si="0"/>
        <v>INSERT INTO CLIENTES(RUT_CLIENTE,RAZON_SOCIAL,DIRECCION,ID_COMUNA,ID_REGION,FECHA_NACIMIENTO) VALUES (NULL,'Anita - Tuliperos 3402','Tuliperos 3402',13111,13,TO_DATE('29-11-1967','DD-MM-YYYY'));</v>
      </c>
    </row>
    <row r="81" spans="1:9" ht="26.4">
      <c r="A81" t="str">
        <f>Clientes!A66</f>
        <v>Anita Maria Rifo</v>
      </c>
      <c r="B81" s="115">
        <f t="shared" si="1"/>
        <v>64</v>
      </c>
      <c r="C81" s="134" t="str">
        <f>IF(ISBLANK(Clientes!L66),"NULL",CONCATENATE("'",Clientes!L66,"'"))</f>
        <v>NULL</v>
      </c>
      <c r="D81" s="114" t="str">
        <f>CONCATENATE("'",Clientes!A66,"'")</f>
        <v>'Anita Maria Rifo'</v>
      </c>
      <c r="E81" s="114" t="str">
        <f>IF(ISBLANK(Clientes!C66),"'Sin Direccion'",CONCATENATE("'",MID(Clientes!C66,1,95),"'"))</f>
        <v>'Sin Direccion'</v>
      </c>
      <c r="F81" s="114">
        <v>13112</v>
      </c>
      <c r="G81" s="114">
        <v>13</v>
      </c>
      <c r="H81" s="135" t="s">
        <v>2137</v>
      </c>
      <c r="I81" s="122" t="str">
        <f t="shared" si="0"/>
        <v>INSERT INTO CLIENTES(RUT_CLIENTE,RAZON_SOCIAL,DIRECCION,ID_COMUNA,ID_REGION,FECHA_NACIMIENTO) VALUES (NULL,'Anita Maria Rifo','Sin Direccion',13112,13,TO_DATE('29-11-1967','DD-MM-YYYY'));</v>
      </c>
    </row>
    <row r="82" spans="1:9" ht="26.4">
      <c r="A82" t="str">
        <f>Clientes!A67</f>
        <v>Anita Sandoval</v>
      </c>
      <c r="B82" s="115">
        <f t="shared" si="1"/>
        <v>65</v>
      </c>
      <c r="C82" s="134" t="str">
        <f>IF(ISBLANK(Clientes!L67),"NULL",CONCATENATE("'",Clientes!L67,"'"))</f>
        <v>NULL</v>
      </c>
      <c r="D82" s="114" t="str">
        <f>CONCATENATE("'",Clientes!A67,"'")</f>
        <v>'Anita Sandoval'</v>
      </c>
      <c r="E82" s="114" t="str">
        <f>IF(ISBLANK(Clientes!C67),"'Sin Direccion'",CONCATENATE("'",MID(Clientes!C67,1,95),"'"))</f>
        <v>'Medellín 9797'</v>
      </c>
      <c r="F82" s="114">
        <v>13113</v>
      </c>
      <c r="G82" s="114">
        <v>13</v>
      </c>
      <c r="H82" s="135" t="s">
        <v>2137</v>
      </c>
      <c r="I82" s="122" t="str">
        <f t="shared" si="0"/>
        <v>INSERT INTO CLIENTES(RUT_CLIENTE,RAZON_SOCIAL,DIRECCION,ID_COMUNA,ID_REGION,FECHA_NACIMIENTO) VALUES (NULL,'Anita Sandoval','Medellín 9797',13113,13,TO_DATE('29-11-1967','DD-MM-YYYY'));</v>
      </c>
    </row>
    <row r="83" spans="1:9" ht="26.4">
      <c r="A83" t="str">
        <f>Clientes!A68</f>
        <v>Anita Vecina JC</v>
      </c>
      <c r="B83" s="115">
        <f t="shared" si="1"/>
        <v>66</v>
      </c>
      <c r="C83" s="134" t="str">
        <f>IF(ISBLANK(Clientes!L68),"NULL",CONCATENATE("'",Clientes!L68,"'"))</f>
        <v>NULL</v>
      </c>
      <c r="D83" s="114" t="str">
        <f>CONCATENATE("'",Clientes!A68,"'")</f>
        <v>'Anita Vecina JC'</v>
      </c>
      <c r="E83" s="114" t="str">
        <f>IF(ISBLANK(Clientes!C68),"'Sin Direccion'",CONCATENATE("'",MID(Clientes!C68,1,95),"'"))</f>
        <v>'Sin Direccion'</v>
      </c>
      <c r="F83" s="114">
        <v>13114</v>
      </c>
      <c r="G83" s="114">
        <v>13</v>
      </c>
      <c r="H83" s="135" t="s">
        <v>2137</v>
      </c>
      <c r="I83" s="122" t="str">
        <f t="shared" ref="I83:I146" si="2">CONCATENATE("INSERT INTO CLIENTES(RUT_CLIENTE,RAZON_SOCIAL,DIRECCION,ID_COMUNA,ID_REGION,FECHA_NACIMIENTO) VALUES (",C83,",",D83,",",E83,",",F83,",",G83,",","TO_DATE('",H83,"','DD-MM-YYYY'));")</f>
        <v>INSERT INTO CLIENTES(RUT_CLIENTE,RAZON_SOCIAL,DIRECCION,ID_COMUNA,ID_REGION,FECHA_NACIMIENTO) VALUES (NULL,'Anita Vecina JC','Sin Direccion',13114,13,TO_DATE('29-11-1967','DD-MM-YYYY'));</v>
      </c>
    </row>
    <row r="84" spans="1:9" ht="26.4">
      <c r="A84" t="str">
        <f>Clientes!A69</f>
        <v>Antonio - oxford 9438</v>
      </c>
      <c r="B84" s="115">
        <f t="shared" ref="B84:B147" si="3">B83+1</f>
        <v>67</v>
      </c>
      <c r="C84" s="134" t="str">
        <f>IF(ISBLANK(Clientes!L69),"NULL",CONCATENATE("'",Clientes!L69,"'"))</f>
        <v>NULL</v>
      </c>
      <c r="D84" s="114" t="str">
        <f>CONCATENATE("'",Clientes!A69,"'")</f>
        <v>'Antonio - oxford 9438'</v>
      </c>
      <c r="E84" s="114" t="str">
        <f>IF(ISBLANK(Clientes!C69),"'Sin Direccion'",CONCATENATE("'",MID(Clientes!C69,1,95),"'"))</f>
        <v>'oxford 9438'</v>
      </c>
      <c r="F84" s="114">
        <v>13115</v>
      </c>
      <c r="G84" s="114">
        <v>13</v>
      </c>
      <c r="H84" s="135" t="s">
        <v>2137</v>
      </c>
      <c r="I84" s="122" t="str">
        <f t="shared" si="2"/>
        <v>INSERT INTO CLIENTES(RUT_CLIENTE,RAZON_SOCIAL,DIRECCION,ID_COMUNA,ID_REGION,FECHA_NACIMIENTO) VALUES (NULL,'Antonio - oxford 9438','oxford 9438',13115,13,TO_DATE('29-11-1967','DD-MM-YYYY'));</v>
      </c>
    </row>
    <row r="85" spans="1:9" ht="26.4">
      <c r="A85" t="str">
        <f>Clientes!A70</f>
        <v>Any - Los Robles 8572</v>
      </c>
      <c r="B85" s="115">
        <f t="shared" si="3"/>
        <v>68</v>
      </c>
      <c r="C85" s="134" t="str">
        <f>IF(ISBLANK(Clientes!L70),"NULL",CONCATENATE("'",Clientes!L70,"'"))</f>
        <v>NULL</v>
      </c>
      <c r="D85" s="114" t="str">
        <f>CONCATENATE("'",Clientes!A70,"'")</f>
        <v>'Any - Los Robles 8572'</v>
      </c>
      <c r="E85" s="114" t="str">
        <f>IF(ISBLANK(Clientes!C70),"'Sin Direccion'",CONCATENATE("'",MID(Clientes!C70,1,95),"'"))</f>
        <v>'Los Robles 8572'</v>
      </c>
      <c r="F85" s="114">
        <v>13116</v>
      </c>
      <c r="G85" s="114">
        <v>13</v>
      </c>
      <c r="H85" s="135" t="s">
        <v>2137</v>
      </c>
      <c r="I85" s="122" t="str">
        <f t="shared" si="2"/>
        <v>INSERT INTO CLIENTES(RUT_CLIENTE,RAZON_SOCIAL,DIRECCION,ID_COMUNA,ID_REGION,FECHA_NACIMIENTO) VALUES (NULL,'Any - Los Robles 8572','Los Robles 8572',13116,13,TO_DATE('29-11-1967','DD-MM-YYYY'));</v>
      </c>
    </row>
    <row r="86" spans="1:9" ht="26.4">
      <c r="A86" t="str">
        <f>Clientes!A71</f>
        <v>Arcoprime</v>
      </c>
      <c r="B86" s="115">
        <f t="shared" si="3"/>
        <v>69</v>
      </c>
      <c r="C86" s="134" t="str">
        <f>IF(ISBLANK(Clientes!L71),"NULL",CONCATENATE("'",Clientes!L71,"'"))</f>
        <v>'77215640-5'</v>
      </c>
      <c r="D86" s="114" t="str">
        <f>CONCATENATE("'",Clientes!A71,"'")</f>
        <v>'Arcoprime'</v>
      </c>
      <c r="E86" s="114" t="str">
        <f>IF(ISBLANK(Clientes!C71),"'Sin Direccion'",CONCATENATE("'",MID(Clientes!C71,1,95),"'"))</f>
        <v>'Vicente Valdés 87 dpto 126 torre las violetas'</v>
      </c>
      <c r="F86" s="114">
        <v>13117</v>
      </c>
      <c r="G86" s="114">
        <v>13</v>
      </c>
      <c r="H86" s="135" t="s">
        <v>2137</v>
      </c>
      <c r="I86" s="122" t="str">
        <f t="shared" si="2"/>
        <v>INSERT INTO CLIENTES(RUT_CLIENTE,RAZON_SOCIAL,DIRECCION,ID_COMUNA,ID_REGION,FECHA_NACIMIENTO) VALUES ('77215640-5','Arcoprime','Vicente Valdés 87 dpto 126 torre las violetas',13117,13,TO_DATE('29-11-1967','DD-MM-YYYY'));</v>
      </c>
    </row>
    <row r="87" spans="1:9" ht="26.4">
      <c r="A87" t="str">
        <f>Clientes!A72</f>
        <v>B Nicolas Diaz I.</v>
      </c>
      <c r="B87" s="115">
        <f t="shared" si="3"/>
        <v>70</v>
      </c>
      <c r="C87" s="134" t="str">
        <f>IF(ISBLANK(Clientes!L72),"NULL",CONCATENATE("'",Clientes!L72,"'"))</f>
        <v>'17.962.525-3'</v>
      </c>
      <c r="D87" s="114" t="str">
        <f>CONCATENATE("'",Clientes!A72,"'")</f>
        <v>'B Nicolas Diaz I.'</v>
      </c>
      <c r="E87" s="114" t="str">
        <f>IF(ISBLANK(Clientes!C72),"'Sin Direccion'",CONCATENATE("'",MID(Clientes!C72,1,95),"'"))</f>
        <v>'Av la florida 8220 Local 20'</v>
      </c>
      <c r="F87" s="114">
        <v>13118</v>
      </c>
      <c r="G87" s="114">
        <v>13</v>
      </c>
      <c r="H87" s="135" t="s">
        <v>2137</v>
      </c>
      <c r="I87" s="122" t="str">
        <f t="shared" si="2"/>
        <v>INSERT INTO CLIENTES(RUT_CLIENTE,RAZON_SOCIAL,DIRECCION,ID_COMUNA,ID_REGION,FECHA_NACIMIENTO) VALUES ('17.962.525-3','B Nicolas Diaz I.','Av la florida 8220 Local 20',13118,13,TO_DATE('29-11-1967','DD-MM-YYYY'));</v>
      </c>
    </row>
    <row r="88" spans="1:9" ht="26.4">
      <c r="A88" t="str">
        <f>Clientes!A73</f>
        <v>Barbara Bahamondes</v>
      </c>
      <c r="B88" s="115">
        <f t="shared" si="3"/>
        <v>71</v>
      </c>
      <c r="C88" s="134" t="str">
        <f>IF(ISBLANK(Clientes!L73),"NULL",CONCATENATE("'",Clientes!L73,"'"))</f>
        <v>NULL</v>
      </c>
      <c r="D88" s="114" t="str">
        <f>CONCATENATE("'",Clientes!A73,"'")</f>
        <v>'Barbara Bahamondes'</v>
      </c>
      <c r="E88" s="114" t="str">
        <f>IF(ISBLANK(Clientes!C73),"'Sin Direccion'",CONCATENATE("'",MID(Clientes!C73,1,95),"'"))</f>
        <v>'Sin Direccion'</v>
      </c>
      <c r="F88" s="114">
        <v>13119</v>
      </c>
      <c r="G88" s="114">
        <v>13</v>
      </c>
      <c r="H88" s="135" t="s">
        <v>2137</v>
      </c>
      <c r="I88" s="122" t="str">
        <f t="shared" si="2"/>
        <v>INSERT INTO CLIENTES(RUT_CLIENTE,RAZON_SOCIAL,DIRECCION,ID_COMUNA,ID_REGION,FECHA_NACIMIENTO) VALUES (NULL,'Barbara Bahamondes','Sin Direccion',13119,13,TO_DATE('29-11-1967','DD-MM-YYYY'));</v>
      </c>
    </row>
    <row r="89" spans="1:9" ht="26.4">
      <c r="A89" t="str">
        <f>Clientes!A74</f>
        <v>Beatriz Bredes</v>
      </c>
      <c r="B89" s="115">
        <f t="shared" si="3"/>
        <v>72</v>
      </c>
      <c r="C89" s="134" t="str">
        <f>IF(ISBLANK(Clientes!L74),"NULL",CONCATENATE("'",Clientes!L74,"'"))</f>
        <v>NULL</v>
      </c>
      <c r="D89" s="114" t="str">
        <f>CONCATENATE("'",Clientes!A74,"'")</f>
        <v>'Beatriz Bredes'</v>
      </c>
      <c r="E89" s="114" t="str">
        <f>IF(ISBLANK(Clientes!C74),"'Sin Direccion'",CONCATENATE("'",MID(Clientes!C74,1,95),"'"))</f>
        <v>'Belloto del norte Oriente 9369'</v>
      </c>
      <c r="F89" s="114">
        <v>13120</v>
      </c>
      <c r="G89" s="114">
        <v>13</v>
      </c>
      <c r="H89" s="135" t="s">
        <v>2137</v>
      </c>
      <c r="I89" s="122" t="str">
        <f t="shared" si="2"/>
        <v>INSERT INTO CLIENTES(RUT_CLIENTE,RAZON_SOCIAL,DIRECCION,ID_COMUNA,ID_REGION,FECHA_NACIMIENTO) VALUES (NULL,'Beatriz Bredes','Belloto del norte Oriente 9369',13120,13,TO_DATE('29-11-1967','DD-MM-YYYY'));</v>
      </c>
    </row>
    <row r="90" spans="1:9" ht="26.4">
      <c r="A90" t="str">
        <f>Clientes!A75</f>
        <v>Blanca Zenteno</v>
      </c>
      <c r="B90" s="115">
        <f t="shared" si="3"/>
        <v>73</v>
      </c>
      <c r="C90" s="134" t="str">
        <f>IF(ISBLANK(Clientes!L75),"NULL",CONCATENATE("'",Clientes!L75,"'"))</f>
        <v>NULL</v>
      </c>
      <c r="D90" s="114" t="str">
        <f>CONCATENATE("'",Clientes!A75,"'")</f>
        <v>'Blanca Zenteno'</v>
      </c>
      <c r="E90" s="114" t="str">
        <f>IF(ISBLANK(Clientes!C75),"'Sin Direccion'",CONCATENATE("'",MID(Clientes!C75,1,95),"'"))</f>
        <v>'Arrayan 3358'</v>
      </c>
      <c r="F90" s="114">
        <v>13121</v>
      </c>
      <c r="G90" s="114">
        <v>13</v>
      </c>
      <c r="H90" s="135" t="s">
        <v>2137</v>
      </c>
      <c r="I90" s="122" t="str">
        <f t="shared" si="2"/>
        <v>INSERT INTO CLIENTES(RUT_CLIENTE,RAZON_SOCIAL,DIRECCION,ID_COMUNA,ID_REGION,FECHA_NACIMIENTO) VALUES (NULL,'Blanca Zenteno','Arrayan 3358',13121,13,TO_DATE('29-11-1967','DD-MM-YYYY'));</v>
      </c>
    </row>
    <row r="91" spans="1:9" ht="26.4">
      <c r="A91" t="str">
        <f>Clientes!A76</f>
        <v>Caballero Bicicletas</v>
      </c>
      <c r="B91" s="115">
        <f t="shared" si="3"/>
        <v>74</v>
      </c>
      <c r="C91" s="134" t="str">
        <f>IF(ISBLANK(Clientes!L76),"NULL",CONCATENATE("'",Clientes!L76,"'"))</f>
        <v>NULL</v>
      </c>
      <c r="D91" s="114" t="str">
        <f>CONCATENATE("'",Clientes!A76,"'")</f>
        <v>'Caballero Bicicletas'</v>
      </c>
      <c r="E91" s="114" t="str">
        <f>IF(ISBLANK(Clientes!C76),"'Sin Direccion'",CONCATENATE("'",MID(Clientes!C76,1,95),"'"))</f>
        <v>'Sin Direccion'</v>
      </c>
      <c r="F91" s="114">
        <v>13122</v>
      </c>
      <c r="G91" s="114">
        <v>13</v>
      </c>
      <c r="H91" s="135" t="s">
        <v>2137</v>
      </c>
      <c r="I91" s="122" t="str">
        <f t="shared" si="2"/>
        <v>INSERT INTO CLIENTES(RUT_CLIENTE,RAZON_SOCIAL,DIRECCION,ID_COMUNA,ID_REGION,FECHA_NACIMIENTO) VALUES (NULL,'Caballero Bicicletas','Sin Direccion',13122,13,TO_DATE('29-11-1967','DD-MM-YYYY'));</v>
      </c>
    </row>
    <row r="92" spans="1:9" ht="26.4">
      <c r="A92" t="str">
        <f>Clientes!A77</f>
        <v>Camila Herrera</v>
      </c>
      <c r="B92" s="115">
        <f t="shared" si="3"/>
        <v>75</v>
      </c>
      <c r="C92" s="134" t="str">
        <f>IF(ISBLANK(Clientes!L77),"NULL",CONCATENATE("'",Clientes!L77,"'"))</f>
        <v>NULL</v>
      </c>
      <c r="D92" s="114" t="str">
        <f>CONCATENATE("'",Clientes!A77,"'")</f>
        <v>'Camila Herrera'</v>
      </c>
      <c r="E92" s="114" t="str">
        <f>IF(ISBLANK(Clientes!C77),"'Sin Direccion'",CONCATENATE("'",MID(Clientes!C77,1,95),"'"))</f>
        <v>'Sin Direccion'</v>
      </c>
      <c r="F92" s="114">
        <v>13123</v>
      </c>
      <c r="G92" s="114">
        <v>13</v>
      </c>
      <c r="H92" s="135" t="s">
        <v>2137</v>
      </c>
      <c r="I92" s="122" t="str">
        <f t="shared" si="2"/>
        <v>INSERT INTO CLIENTES(RUT_CLIENTE,RAZON_SOCIAL,DIRECCION,ID_COMUNA,ID_REGION,FECHA_NACIMIENTO) VALUES (NULL,'Camila Herrera','Sin Direccion',13123,13,TO_DATE('29-11-1967','DD-MM-YYYY'));</v>
      </c>
    </row>
    <row r="93" spans="1:9" ht="26.4">
      <c r="A93" t="str">
        <f>Clientes!A78</f>
        <v>Camila Muñoz - Guardia</v>
      </c>
      <c r="B93" s="115">
        <f t="shared" si="3"/>
        <v>76</v>
      </c>
      <c r="C93" s="134" t="str">
        <f>IF(ISBLANK(Clientes!L78),"NULL",CONCATENATE("'",Clientes!L78,"'"))</f>
        <v>NULL</v>
      </c>
      <c r="D93" s="114" t="str">
        <f>CONCATENATE("'",Clientes!A78,"'")</f>
        <v>'Camila Muñoz - Guardia'</v>
      </c>
      <c r="E93" s="114" t="str">
        <f>IF(ISBLANK(Clientes!C78),"'Sin Direccion'",CONCATENATE("'",MID(Clientes!C78,1,95),"'"))</f>
        <v>'Sin Direccion'</v>
      </c>
      <c r="F93" s="114">
        <v>13124</v>
      </c>
      <c r="G93" s="114">
        <v>13</v>
      </c>
      <c r="H93" s="135" t="s">
        <v>2137</v>
      </c>
      <c r="I93" s="122" t="str">
        <f t="shared" si="2"/>
        <v>INSERT INTO CLIENTES(RUT_CLIENTE,RAZON_SOCIAL,DIRECCION,ID_COMUNA,ID_REGION,FECHA_NACIMIENTO) VALUES (NULL,'Camila Muñoz - Guardia','Sin Direccion',13124,13,TO_DATE('29-11-1967','DD-MM-YYYY'));</v>
      </c>
    </row>
    <row r="94" spans="1:9" ht="26.4">
      <c r="A94" t="str">
        <f>Clientes!A79</f>
        <v>Carla Espinoza</v>
      </c>
      <c r="B94" s="115">
        <f t="shared" si="3"/>
        <v>77</v>
      </c>
      <c r="C94" s="134" t="str">
        <f>IF(ISBLANK(Clientes!L79),"NULL",CONCATENATE("'",Clientes!L79,"'"))</f>
        <v>NULL</v>
      </c>
      <c r="D94" s="114" t="str">
        <f>CONCATENATE("'",Clientes!A79,"'")</f>
        <v>'Carla Espinoza'</v>
      </c>
      <c r="E94" s="114" t="str">
        <f>IF(ISBLANK(Clientes!C79),"'Sin Direccion'",CONCATENATE("'",MID(Clientes!C79,1,95),"'"))</f>
        <v>'Doctor Sotero del rio 250 casa 1'</v>
      </c>
      <c r="F94" s="114">
        <v>13125</v>
      </c>
      <c r="G94" s="114">
        <v>13</v>
      </c>
      <c r="H94" s="135" t="s">
        <v>2137</v>
      </c>
      <c r="I94" s="122" t="str">
        <f t="shared" si="2"/>
        <v>INSERT INTO CLIENTES(RUT_CLIENTE,RAZON_SOCIAL,DIRECCION,ID_COMUNA,ID_REGION,FECHA_NACIMIENTO) VALUES (NULL,'Carla Espinoza','Doctor Sotero del rio 250 casa 1',13125,13,TO_DATE('29-11-1967','DD-MM-YYYY'));</v>
      </c>
    </row>
    <row r="95" spans="1:9" ht="26.4">
      <c r="A95" t="str">
        <f>Clientes!A80</f>
        <v>Carla Gonzalez</v>
      </c>
      <c r="B95" s="115">
        <f t="shared" si="3"/>
        <v>78</v>
      </c>
      <c r="C95" s="134" t="str">
        <f>IF(ISBLANK(Clientes!L80),"NULL",CONCATENATE("'",Clientes!L80,"'"))</f>
        <v>NULL</v>
      </c>
      <c r="D95" s="114" t="str">
        <f>CONCATENATE("'",Clientes!A80,"'")</f>
        <v>'Carla Gonzalez'</v>
      </c>
      <c r="E95" s="114" t="str">
        <f>IF(ISBLANK(Clientes!C80),"'Sin Direccion'",CONCATENATE("'",MID(Clientes!C80,1,95),"'"))</f>
        <v>'Sin Direccion'</v>
      </c>
      <c r="F95" s="114">
        <v>13126</v>
      </c>
      <c r="G95" s="114">
        <v>13</v>
      </c>
      <c r="H95" s="135" t="s">
        <v>2137</v>
      </c>
      <c r="I95" s="122" t="str">
        <f t="shared" si="2"/>
        <v>INSERT INTO CLIENTES(RUT_CLIENTE,RAZON_SOCIAL,DIRECCION,ID_COMUNA,ID_REGION,FECHA_NACIMIENTO) VALUES (NULL,'Carla Gonzalez','Sin Direccion',13126,13,TO_DATE('29-11-1967','DD-MM-YYYY'));</v>
      </c>
    </row>
    <row r="96" spans="1:9" ht="26.4">
      <c r="A96" t="str">
        <f>Clientes!A81</f>
        <v>Carlos Alberto Valenzuela Soto</v>
      </c>
      <c r="B96" s="115">
        <f t="shared" si="3"/>
        <v>79</v>
      </c>
      <c r="C96" s="134" t="str">
        <f>IF(ISBLANK(Clientes!L81),"NULL",CONCATENATE("'",Clientes!L81,"'"))</f>
        <v>NULL</v>
      </c>
      <c r="D96" s="114" t="str">
        <f>CONCATENATE("'",Clientes!A81,"'")</f>
        <v>'Carlos Alberto Valenzuela Soto'</v>
      </c>
      <c r="E96" s="114" t="str">
        <f>IF(ISBLANK(Clientes!C81),"'Sin Direccion'",CONCATENATE("'",MID(Clientes!C81,1,95),"'"))</f>
        <v>'Lantana 8477'</v>
      </c>
      <c r="F96" s="114">
        <v>13127</v>
      </c>
      <c r="G96" s="114">
        <v>13</v>
      </c>
      <c r="H96" s="135" t="s">
        <v>2137</v>
      </c>
      <c r="I96" s="122" t="str">
        <f t="shared" si="2"/>
        <v>INSERT INTO CLIENTES(RUT_CLIENTE,RAZON_SOCIAL,DIRECCION,ID_COMUNA,ID_REGION,FECHA_NACIMIENTO) VALUES (NULL,'Carlos Alberto Valenzuela Soto','Lantana 8477',13127,13,TO_DATE('29-11-1967','DD-MM-YYYY'));</v>
      </c>
    </row>
    <row r="97" spans="1:9" ht="26.4">
      <c r="A97" t="str">
        <f>Clientes!A82</f>
        <v>Carmen Diaz Torrea</v>
      </c>
      <c r="B97" s="115">
        <f t="shared" si="3"/>
        <v>80</v>
      </c>
      <c r="C97" s="134" t="str">
        <f>IF(ISBLANK(Clientes!L82),"NULL",CONCATENATE("'",Clientes!L82,"'"))</f>
        <v>NULL</v>
      </c>
      <c r="D97" s="114" t="str">
        <f>CONCATENATE("'",Clientes!A82,"'")</f>
        <v>'Carmen Diaz Torrea'</v>
      </c>
      <c r="E97" s="114" t="str">
        <f>IF(ISBLANK(Clientes!C82),"'Sin Direccion'",CONCATENATE("'",MID(Clientes!C82,1,95),"'"))</f>
        <v>'Jardin del eden 3462'</v>
      </c>
      <c r="F97" s="114">
        <v>13128</v>
      </c>
      <c r="G97" s="114">
        <v>13</v>
      </c>
      <c r="H97" s="135" t="s">
        <v>2137</v>
      </c>
      <c r="I97" s="122" t="str">
        <f t="shared" si="2"/>
        <v>INSERT INTO CLIENTES(RUT_CLIENTE,RAZON_SOCIAL,DIRECCION,ID_COMUNA,ID_REGION,FECHA_NACIMIENTO) VALUES (NULL,'Carmen Diaz Torrea','Jardin del eden 3462',13128,13,TO_DATE('29-11-1967','DD-MM-YYYY'));</v>
      </c>
    </row>
    <row r="98" spans="1:9" ht="26.4">
      <c r="A98" t="str">
        <f>Clientes!A83</f>
        <v>Carmen Martinez</v>
      </c>
      <c r="B98" s="115">
        <f t="shared" si="3"/>
        <v>81</v>
      </c>
      <c r="C98" s="134" t="str">
        <f>IF(ISBLANK(Clientes!L83),"NULL",CONCATENATE("'",Clientes!L83,"'"))</f>
        <v>NULL</v>
      </c>
      <c r="D98" s="114" t="str">
        <f>CONCATENATE("'",Clientes!A83,"'")</f>
        <v>'Carmen Martinez'</v>
      </c>
      <c r="E98" s="114" t="str">
        <f>IF(ISBLANK(Clientes!C83),"'Sin Direccion'",CONCATENATE("'",MID(Clientes!C83,1,95),"'"))</f>
        <v>'Inés de Suárez 7763 depto 705'</v>
      </c>
      <c r="F98" s="114">
        <v>13129</v>
      </c>
      <c r="G98" s="114">
        <v>13</v>
      </c>
      <c r="H98" s="135" t="s">
        <v>2137</v>
      </c>
      <c r="I98" s="122" t="str">
        <f t="shared" si="2"/>
        <v>INSERT INTO CLIENTES(RUT_CLIENTE,RAZON_SOCIAL,DIRECCION,ID_COMUNA,ID_REGION,FECHA_NACIMIENTO) VALUES (NULL,'Carmen Martinez','Inés de Suárez 7763 depto 705',13129,13,TO_DATE('29-11-1967','DD-MM-YYYY'));</v>
      </c>
    </row>
    <row r="99" spans="1:9" ht="26.4">
      <c r="A99" t="str">
        <f>Clientes!A84</f>
        <v>Carmen Vaccaro</v>
      </c>
      <c r="B99" s="115">
        <f t="shared" si="3"/>
        <v>82</v>
      </c>
      <c r="C99" s="134" t="str">
        <f>IF(ISBLANK(Clientes!L84),"NULL",CONCATENATE("'",Clientes!L84,"'"))</f>
        <v>NULL</v>
      </c>
      <c r="D99" s="114" t="str">
        <f>CONCATENATE("'",Clientes!A84,"'")</f>
        <v>'Carmen Vaccaro'</v>
      </c>
      <c r="E99" s="114" t="str">
        <f>IF(ISBLANK(Clientes!C84),"'Sin Direccion'",CONCATENATE("'",MID(Clientes!C84,1,95),"'"))</f>
        <v>'Los tuliperos 3371'</v>
      </c>
      <c r="F99" s="114">
        <v>13130</v>
      </c>
      <c r="G99" s="114">
        <v>13</v>
      </c>
      <c r="H99" s="135" t="s">
        <v>2137</v>
      </c>
      <c r="I99" s="122" t="str">
        <f t="shared" si="2"/>
        <v>INSERT INTO CLIENTES(RUT_CLIENTE,RAZON_SOCIAL,DIRECCION,ID_COMUNA,ID_REGION,FECHA_NACIMIENTO) VALUES (NULL,'Carmen Vaccaro','Los tuliperos 3371',13130,13,TO_DATE('29-11-1967','DD-MM-YYYY'));</v>
      </c>
    </row>
    <row r="100" spans="1:9" ht="26.4">
      <c r="A100" t="str">
        <f>Clientes!A85</f>
        <v>Carolina  Jardin de la viña</v>
      </c>
      <c r="B100" s="115">
        <f t="shared" si="3"/>
        <v>83</v>
      </c>
      <c r="C100" s="134" t="str">
        <f>IF(ISBLANK(Clientes!L85),"NULL",CONCATENATE("'",Clientes!L85,"'"))</f>
        <v>NULL</v>
      </c>
      <c r="D100" s="114" t="str">
        <f>CONCATENATE("'",Clientes!A85,"'")</f>
        <v>'Carolina  Jardin de la viña'</v>
      </c>
      <c r="E100" s="114" t="str">
        <f>IF(ISBLANK(Clientes!C85),"'Sin Direccion'",CONCATENATE("'",MID(Clientes!C85,1,95),"'"))</f>
        <v>'Belloto del norte oriente 9366'</v>
      </c>
      <c r="F100" s="114">
        <v>13131</v>
      </c>
      <c r="G100" s="114">
        <v>13</v>
      </c>
      <c r="H100" s="135" t="s">
        <v>2137</v>
      </c>
      <c r="I100" s="122" t="str">
        <f t="shared" si="2"/>
        <v>INSERT INTO CLIENTES(RUT_CLIENTE,RAZON_SOCIAL,DIRECCION,ID_COMUNA,ID_REGION,FECHA_NACIMIENTO) VALUES (NULL,'Carolina  Jardin de la viña','Belloto del norte oriente 9366',13131,13,TO_DATE('29-11-1967','DD-MM-YYYY'));</v>
      </c>
    </row>
    <row r="101" spans="1:9" ht="26.4">
      <c r="A101" t="str">
        <f>Clientes!A86</f>
        <v>Carolina Aros</v>
      </c>
      <c r="B101" s="115">
        <f t="shared" si="3"/>
        <v>84</v>
      </c>
      <c r="C101" s="134" t="str">
        <f>IF(ISBLANK(Clientes!L86),"NULL",CONCATENATE("'",Clientes!L86,"'"))</f>
        <v>NULL</v>
      </c>
      <c r="D101" s="114" t="str">
        <f>CONCATENATE("'",Clientes!A86,"'")</f>
        <v>'Carolina Aros'</v>
      </c>
      <c r="E101" s="114" t="str">
        <f>IF(ISBLANK(Clientes!C86),"'Sin Direccion'",CONCATENATE("'",MID(Clientes!C86,1,95),"'"))</f>
        <v>'Sin Direccion'</v>
      </c>
      <c r="F101" s="114">
        <v>13132</v>
      </c>
      <c r="G101" s="114">
        <v>13</v>
      </c>
      <c r="H101" s="135" t="s">
        <v>2137</v>
      </c>
      <c r="I101" s="122" t="str">
        <f t="shared" si="2"/>
        <v>INSERT INTO CLIENTES(RUT_CLIENTE,RAZON_SOCIAL,DIRECCION,ID_COMUNA,ID_REGION,FECHA_NACIMIENTO) VALUES (NULL,'Carolina Aros','Sin Direccion',13132,13,TO_DATE('29-11-1967','DD-MM-YYYY'));</v>
      </c>
    </row>
    <row r="102" spans="1:9" ht="26.4">
      <c r="A102" t="str">
        <f>Clientes!A87</f>
        <v>Carolina Gonzalez Morris</v>
      </c>
      <c r="B102" s="115">
        <f t="shared" si="3"/>
        <v>85</v>
      </c>
      <c r="C102" s="134" t="str">
        <f>IF(ISBLANK(Clientes!L87),"NULL",CONCATENATE("'",Clientes!L87,"'"))</f>
        <v>NULL</v>
      </c>
      <c r="D102" s="114" t="str">
        <f>CONCATENATE("'",Clientes!A87,"'")</f>
        <v>'Carolina Gonzalez Morris'</v>
      </c>
      <c r="E102" s="114" t="str">
        <f>IF(ISBLANK(Clientes!C87),"'Sin Direccion'",CONCATENATE("'",MID(Clientes!C87,1,95),"'"))</f>
        <v>'Enrique Olivares 3319'</v>
      </c>
      <c r="F102" s="114">
        <v>13201</v>
      </c>
      <c r="G102" s="114">
        <v>13</v>
      </c>
      <c r="H102" s="135" t="s">
        <v>2137</v>
      </c>
      <c r="I102" s="122" t="str">
        <f t="shared" si="2"/>
        <v>INSERT INTO CLIENTES(RUT_CLIENTE,RAZON_SOCIAL,DIRECCION,ID_COMUNA,ID_REGION,FECHA_NACIMIENTO) VALUES (NULL,'Carolina Gonzalez Morris','Enrique Olivares 3319',13201,13,TO_DATE('29-11-1967','DD-MM-YYYY'));</v>
      </c>
    </row>
    <row r="103" spans="1:9" ht="26.4">
      <c r="A103" t="str">
        <f>Clientes!A88</f>
        <v>Carolina Jauregui</v>
      </c>
      <c r="B103" s="115">
        <f t="shared" si="3"/>
        <v>86</v>
      </c>
      <c r="C103" s="134" t="str">
        <f>IF(ISBLANK(Clientes!L88),"NULL",CONCATENATE("'",Clientes!L88,"'"))</f>
        <v>NULL</v>
      </c>
      <c r="D103" s="114" t="str">
        <f>CONCATENATE("'",Clientes!A88,"'")</f>
        <v>'Carolina Jauregui'</v>
      </c>
      <c r="E103" s="114" t="str">
        <f>IF(ISBLANK(Clientes!C88),"'Sin Direccion'",CONCATENATE("'",MID(Clientes!C88,1,95),"'"))</f>
        <v>'Los Algarrobos 5065'</v>
      </c>
      <c r="F103" s="114">
        <v>13202</v>
      </c>
      <c r="G103" s="114">
        <v>13</v>
      </c>
      <c r="H103" s="135" t="s">
        <v>2137</v>
      </c>
      <c r="I103" s="122" t="str">
        <f t="shared" si="2"/>
        <v>INSERT INTO CLIENTES(RUT_CLIENTE,RAZON_SOCIAL,DIRECCION,ID_COMUNA,ID_REGION,FECHA_NACIMIENTO) VALUES (NULL,'Carolina Jauregui','Los Algarrobos 5065',13202,13,TO_DATE('29-11-1967','DD-MM-YYYY'));</v>
      </c>
    </row>
    <row r="104" spans="1:9" ht="26.4">
      <c r="A104" t="str">
        <f>Clientes!A89</f>
        <v>Carolina Moya</v>
      </c>
      <c r="B104" s="115">
        <f t="shared" si="3"/>
        <v>87</v>
      </c>
      <c r="C104" s="134" t="str">
        <f>IF(ISBLANK(Clientes!L89),"NULL",CONCATENATE("'",Clientes!L89,"'"))</f>
        <v>NULL</v>
      </c>
      <c r="D104" s="114" t="str">
        <f>CONCATENATE("'",Clientes!A89,"'")</f>
        <v>'Carolina Moya'</v>
      </c>
      <c r="E104" s="114" t="str">
        <f>IF(ISBLANK(Clientes!C89),"'Sin Direccion'",CONCATENATE("'",MID(Clientes!C89,1,95),"'"))</f>
        <v>'Santa Adela 2463'</v>
      </c>
      <c r="F104" s="114">
        <v>13203</v>
      </c>
      <c r="G104" s="114">
        <v>13</v>
      </c>
      <c r="H104" s="135" t="s">
        <v>2137</v>
      </c>
      <c r="I104" s="122" t="str">
        <f t="shared" si="2"/>
        <v>INSERT INTO CLIENTES(RUT_CLIENTE,RAZON_SOCIAL,DIRECCION,ID_COMUNA,ID_REGION,FECHA_NACIMIENTO) VALUES (NULL,'Carolina Moya','Santa Adela 2463',13203,13,TO_DATE('29-11-1967','DD-MM-YYYY'));</v>
      </c>
    </row>
    <row r="105" spans="1:9" ht="26.4">
      <c r="A105" t="str">
        <f>Clientes!A90</f>
        <v>Carolina Olivares</v>
      </c>
      <c r="B105" s="115">
        <f t="shared" si="3"/>
        <v>88</v>
      </c>
      <c r="C105" s="134" t="str">
        <f>IF(ISBLANK(Clientes!L90),"NULL",CONCATENATE("'",Clientes!L90,"'"))</f>
        <v>NULL</v>
      </c>
      <c r="D105" s="114" t="str">
        <f>CONCATENATE("'",Clientes!A90,"'")</f>
        <v>'Carolina Olivares'</v>
      </c>
      <c r="E105" s="114" t="str">
        <f>IF(ISBLANK(Clientes!C90),"'Sin Direccion'",CONCATENATE("'",MID(Clientes!C90,1,95),"'"))</f>
        <v>'Sin Direccion'</v>
      </c>
      <c r="F105" s="114">
        <v>13301</v>
      </c>
      <c r="G105" s="114">
        <v>13</v>
      </c>
      <c r="H105" s="135" t="s">
        <v>2137</v>
      </c>
      <c r="I105" s="122" t="str">
        <f t="shared" si="2"/>
        <v>INSERT INTO CLIENTES(RUT_CLIENTE,RAZON_SOCIAL,DIRECCION,ID_COMUNA,ID_REGION,FECHA_NACIMIENTO) VALUES (NULL,'Carolina Olivares','Sin Direccion',13301,13,TO_DATE('29-11-1967','DD-MM-YYYY'));</v>
      </c>
    </row>
    <row r="106" spans="1:9" ht="26.4">
      <c r="A106" t="str">
        <f>Clientes!A91</f>
        <v>Carolina Rojas</v>
      </c>
      <c r="B106" s="115">
        <f t="shared" si="3"/>
        <v>89</v>
      </c>
      <c r="C106" s="134" t="str">
        <f>IF(ISBLANK(Clientes!L91),"NULL",CONCATENATE("'",Clientes!L91,"'"))</f>
        <v>NULL</v>
      </c>
      <c r="D106" s="114" t="str">
        <f>CONCATENATE("'",Clientes!A91,"'")</f>
        <v>'Carolina Rojas'</v>
      </c>
      <c r="E106" s="114" t="str">
        <f>IF(ISBLANK(Clientes!C91),"'Sin Direccion'",CONCATENATE("'",MID(Clientes!C91,1,95),"'"))</f>
        <v>'Gerónimo de Alderete 3447 / Jardin Alto con Geronimo Alderete'</v>
      </c>
      <c r="F106" s="114">
        <v>13302</v>
      </c>
      <c r="G106" s="114">
        <v>13</v>
      </c>
      <c r="H106" s="135" t="s">
        <v>2137</v>
      </c>
      <c r="I106" s="122" t="str">
        <f t="shared" si="2"/>
        <v>INSERT INTO CLIENTES(RUT_CLIENTE,RAZON_SOCIAL,DIRECCION,ID_COMUNA,ID_REGION,FECHA_NACIMIENTO) VALUES (NULL,'Carolina Rojas','Gerónimo de Alderete 3447 / Jardin Alto con Geronimo Alderete',13302,13,TO_DATE('29-11-1967','DD-MM-YYYY'));</v>
      </c>
    </row>
    <row r="107" spans="1:9" ht="26.4">
      <c r="A107" t="str">
        <f>Clientes!A92</f>
        <v>Carolina Verdugo</v>
      </c>
      <c r="B107" s="115">
        <f t="shared" si="3"/>
        <v>90</v>
      </c>
      <c r="C107" s="134" t="str">
        <f>IF(ISBLANK(Clientes!L92),"NULL",CONCATENATE("'",Clientes!L92,"'"))</f>
        <v>NULL</v>
      </c>
      <c r="D107" s="114" t="str">
        <f>CONCATENATE("'",Clientes!A92,"'")</f>
        <v>'Carolina Verdugo'</v>
      </c>
      <c r="E107" s="114" t="str">
        <f>IF(ISBLANK(Clientes!C92),"'Sin Direccion'",CONCATENATE("'",MID(Clientes!C92,1,95),"'"))</f>
        <v>'Quilpoco 2026'</v>
      </c>
      <c r="F107" s="114">
        <v>13303</v>
      </c>
      <c r="G107" s="114">
        <v>13</v>
      </c>
      <c r="H107" s="135" t="s">
        <v>2137</v>
      </c>
      <c r="I107" s="122" t="str">
        <f t="shared" si="2"/>
        <v>INSERT INTO CLIENTES(RUT_CLIENTE,RAZON_SOCIAL,DIRECCION,ID_COMUNA,ID_REGION,FECHA_NACIMIENTO) VALUES (NULL,'Carolina Verdugo','Quilpoco 2026',13303,13,TO_DATE('29-11-1967','DD-MM-YYYY'));</v>
      </c>
    </row>
    <row r="108" spans="1:9" ht="26.4">
      <c r="A108" t="str">
        <f>Clientes!A93</f>
        <v>Caseta Guardias</v>
      </c>
      <c r="B108" s="115">
        <f t="shared" si="3"/>
        <v>91</v>
      </c>
      <c r="C108" s="134" t="str">
        <f>IF(ISBLANK(Clientes!L93),"NULL",CONCATENATE("'",Clientes!L93,"'"))</f>
        <v>NULL</v>
      </c>
      <c r="D108" s="114" t="str">
        <f>CONCATENATE("'",Clientes!A93,"'")</f>
        <v>'Caseta Guardias'</v>
      </c>
      <c r="E108" s="114" t="str">
        <f>IF(ISBLANK(Clientes!C93),"'Sin Direccion'",CONCATENATE("'",MID(Clientes!C93,1,95),"'"))</f>
        <v>'Guardias'</v>
      </c>
      <c r="F108" s="114">
        <v>13401</v>
      </c>
      <c r="G108" s="114">
        <v>13</v>
      </c>
      <c r="H108" s="135" t="s">
        <v>2137</v>
      </c>
      <c r="I108" s="122" t="str">
        <f t="shared" si="2"/>
        <v>INSERT INTO CLIENTES(RUT_CLIENTE,RAZON_SOCIAL,DIRECCION,ID_COMUNA,ID_REGION,FECHA_NACIMIENTO) VALUES (NULL,'Caseta Guardias','Guardias',13401,13,TO_DATE('29-11-1967','DD-MM-YYYY'));</v>
      </c>
    </row>
    <row r="109" spans="1:9" ht="26.4">
      <c r="A109" t="str">
        <f>Clientes!A94</f>
        <v>Catalina Abarca</v>
      </c>
      <c r="B109" s="115">
        <f t="shared" si="3"/>
        <v>92</v>
      </c>
      <c r="C109" s="134" t="str">
        <f>IF(ISBLANK(Clientes!L94),"NULL",CONCATENATE("'",Clientes!L94,"'"))</f>
        <v>NULL</v>
      </c>
      <c r="D109" s="114" t="str">
        <f>CONCATENATE("'",Clientes!A94,"'")</f>
        <v>'Catalina Abarca'</v>
      </c>
      <c r="E109" s="114" t="str">
        <f>IF(ISBLANK(Clientes!C94),"'Sin Direccion'",CONCATENATE("'",MID(Clientes!C94,1,95),"'"))</f>
        <v>'Belloto del norte oriente 9381'</v>
      </c>
      <c r="F109" s="114">
        <v>13402</v>
      </c>
      <c r="G109" s="114">
        <v>13</v>
      </c>
      <c r="H109" s="135" t="s">
        <v>2137</v>
      </c>
      <c r="I109" s="122" t="str">
        <f t="shared" si="2"/>
        <v>INSERT INTO CLIENTES(RUT_CLIENTE,RAZON_SOCIAL,DIRECCION,ID_COMUNA,ID_REGION,FECHA_NACIMIENTO) VALUES (NULL,'Catalina Abarca','Belloto del norte oriente 9381',13402,13,TO_DATE('29-11-1967','DD-MM-YYYY'));</v>
      </c>
    </row>
    <row r="110" spans="1:9" ht="26.4">
      <c r="A110" t="str">
        <f>Clientes!A95</f>
        <v>Catalina Cataldo</v>
      </c>
      <c r="B110" s="115">
        <f t="shared" si="3"/>
        <v>93</v>
      </c>
      <c r="C110" s="134" t="str">
        <f>IF(ISBLANK(Clientes!L95),"NULL",CONCATENATE("'",Clientes!L95,"'"))</f>
        <v>NULL</v>
      </c>
      <c r="D110" s="114" t="str">
        <f>CONCATENATE("'",Clientes!A95,"'")</f>
        <v>'Catalina Cataldo'</v>
      </c>
      <c r="E110" s="114" t="str">
        <f>IF(ISBLANK(Clientes!C95),"'Sin Direccion'",CONCATENATE("'",MID(Clientes!C95,1,95),"'"))</f>
        <v>'Sin Direccion'</v>
      </c>
      <c r="F110" s="114">
        <v>13403</v>
      </c>
      <c r="G110" s="114">
        <v>13</v>
      </c>
      <c r="H110" s="135" t="s">
        <v>2137</v>
      </c>
      <c r="I110" s="122" t="str">
        <f t="shared" si="2"/>
        <v>INSERT INTO CLIENTES(RUT_CLIENTE,RAZON_SOCIAL,DIRECCION,ID_COMUNA,ID_REGION,FECHA_NACIMIENTO) VALUES (NULL,'Catalina Cataldo','Sin Direccion',13403,13,TO_DATE('29-11-1967','DD-MM-YYYY'));</v>
      </c>
    </row>
    <row r="111" spans="1:9" ht="26.4">
      <c r="A111" t="str">
        <f>Clientes!A96</f>
        <v>Catalina Sanchez</v>
      </c>
      <c r="B111" s="115">
        <f t="shared" si="3"/>
        <v>94</v>
      </c>
      <c r="C111" s="134" t="str">
        <f>IF(ISBLANK(Clientes!L96),"NULL",CONCATENATE("'",Clientes!L96,"'"))</f>
        <v>NULL</v>
      </c>
      <c r="D111" s="114" t="str">
        <f>CONCATENATE("'",Clientes!A96,"'")</f>
        <v>'Catalina Sanchez'</v>
      </c>
      <c r="E111" s="114" t="str">
        <f>IF(ISBLANK(Clientes!C96),"'Sin Direccion'",CONCATENATE("'",MID(Clientes!C96,1,95),"'"))</f>
        <v>'Santa Estela 2461'</v>
      </c>
      <c r="F111" s="114">
        <v>13404</v>
      </c>
      <c r="G111" s="114">
        <v>13</v>
      </c>
      <c r="H111" s="135" t="s">
        <v>2137</v>
      </c>
      <c r="I111" s="122" t="str">
        <f t="shared" si="2"/>
        <v>INSERT INTO CLIENTES(RUT_CLIENTE,RAZON_SOCIAL,DIRECCION,ID_COMUNA,ID_REGION,FECHA_NACIMIENTO) VALUES (NULL,'Catalina Sanchez','Santa Estela 2461',13404,13,TO_DATE('29-11-1967','DD-MM-YYYY'));</v>
      </c>
    </row>
    <row r="112" spans="1:9" ht="26.4">
      <c r="A112" t="str">
        <f>Clientes!A97</f>
        <v>Catherine Enrique Olivares</v>
      </c>
      <c r="B112" s="115">
        <f t="shared" si="3"/>
        <v>95</v>
      </c>
      <c r="C112" s="134" t="str">
        <f>IF(ISBLANK(Clientes!L97),"NULL",CONCATENATE("'",Clientes!L97,"'"))</f>
        <v>NULL</v>
      </c>
      <c r="D112" s="114" t="str">
        <f>CONCATENATE("'",Clientes!A97,"'")</f>
        <v>'Catherine Enrique Olivares'</v>
      </c>
      <c r="E112" s="114" t="str">
        <f>IF(ISBLANK(Clientes!C97),"'Sin Direccion'",CONCATENATE("'",MID(Clientes!C97,1,95),"'"))</f>
        <v>'Pasaje Nuestra Señora de Los Dolores 1859'</v>
      </c>
      <c r="F112" s="114">
        <v>13501</v>
      </c>
      <c r="G112" s="114">
        <v>13</v>
      </c>
      <c r="H112" s="135" t="s">
        <v>2137</v>
      </c>
      <c r="I112" s="122" t="str">
        <f t="shared" si="2"/>
        <v>INSERT INTO CLIENTES(RUT_CLIENTE,RAZON_SOCIAL,DIRECCION,ID_COMUNA,ID_REGION,FECHA_NACIMIENTO) VALUES (NULL,'Catherine Enrique Olivares','Pasaje Nuestra Señora de Los Dolores 1859',13501,13,TO_DATE('29-11-1967','DD-MM-YYYY'));</v>
      </c>
    </row>
    <row r="113" spans="1:9" ht="26.4">
      <c r="A113" t="str">
        <f>Clientes!A98</f>
        <v>Cecilia Bustos</v>
      </c>
      <c r="B113" s="115">
        <f t="shared" si="3"/>
        <v>96</v>
      </c>
      <c r="C113" s="134" t="str">
        <f>IF(ISBLANK(Clientes!L98),"NULL",CONCATENATE("'",Clientes!L98,"'"))</f>
        <v>NULL</v>
      </c>
      <c r="D113" s="114" t="str">
        <f>CONCATENATE("'",Clientes!A98,"'")</f>
        <v>'Cecilia Bustos'</v>
      </c>
      <c r="E113" s="114" t="str">
        <f>IF(ISBLANK(Clientes!C98),"'Sin Direccion'",CONCATENATE("'",MID(Clientes!C98,1,95),"'"))</f>
        <v>'Santa Julia 3384'</v>
      </c>
      <c r="F113" s="114">
        <v>13502</v>
      </c>
      <c r="G113" s="114">
        <v>13</v>
      </c>
      <c r="H113" s="135" t="s">
        <v>2137</v>
      </c>
      <c r="I113" s="122" t="str">
        <f t="shared" si="2"/>
        <v>INSERT INTO CLIENTES(RUT_CLIENTE,RAZON_SOCIAL,DIRECCION,ID_COMUNA,ID_REGION,FECHA_NACIMIENTO) VALUES (NULL,'Cecilia Bustos','Santa Julia 3384',13502,13,TO_DATE('29-11-1967','DD-MM-YYYY'));</v>
      </c>
    </row>
    <row r="114" spans="1:9" ht="26.4">
      <c r="A114" t="str">
        <f>Clientes!A99</f>
        <v>Cecilia de los Angeles Cerna</v>
      </c>
      <c r="B114" s="115">
        <f t="shared" si="3"/>
        <v>97</v>
      </c>
      <c r="C114" s="134" t="str">
        <f>IF(ISBLANK(Clientes!L99),"NULL",CONCATENATE("'",Clientes!L99,"'"))</f>
        <v>NULL</v>
      </c>
      <c r="D114" s="114" t="str">
        <f>CONCATENATE("'",Clientes!A99,"'")</f>
        <v>'Cecilia de los Angeles Cerna'</v>
      </c>
      <c r="E114" s="114" t="str">
        <f>IF(ISBLANK(Clientes!C99),"'Sin Direccion'",CONCATENATE("'",MID(Clientes!C99,1,95),"'"))</f>
        <v>'Belloto del norte Oriente 9298'</v>
      </c>
      <c r="F114" s="114">
        <v>13503</v>
      </c>
      <c r="G114" s="114">
        <v>13</v>
      </c>
      <c r="H114" s="135" t="s">
        <v>2137</v>
      </c>
      <c r="I114" s="122" t="str">
        <f t="shared" si="2"/>
        <v>INSERT INTO CLIENTES(RUT_CLIENTE,RAZON_SOCIAL,DIRECCION,ID_COMUNA,ID_REGION,FECHA_NACIMIENTO) VALUES (NULL,'Cecilia de los Angeles Cerna','Belloto del norte Oriente 9298',13503,13,TO_DATE('29-11-1967','DD-MM-YYYY'));</v>
      </c>
    </row>
    <row r="115" spans="1:9" ht="26.4">
      <c r="A115" t="str">
        <f>Clientes!A100</f>
        <v>Cecilia Gomez</v>
      </c>
      <c r="B115" s="115">
        <f t="shared" si="3"/>
        <v>98</v>
      </c>
      <c r="C115" s="134" t="str">
        <f>IF(ISBLANK(Clientes!L100),"NULL",CONCATENATE("'",Clientes!L100,"'"))</f>
        <v>NULL</v>
      </c>
      <c r="D115" s="114" t="str">
        <f>CONCATENATE("'",Clientes!A100,"'")</f>
        <v>'Cecilia Gomez'</v>
      </c>
      <c r="E115" s="114" t="str">
        <f>IF(ISBLANK(Clientes!C100),"'Sin Direccion'",CONCATENATE("'",MID(Clientes!C100,1,95),"'"))</f>
        <v>'Walker Martinez 3611 Casa 120 (Frente tottus)'</v>
      </c>
      <c r="F115" s="114">
        <v>13504</v>
      </c>
      <c r="G115" s="114">
        <v>13</v>
      </c>
      <c r="H115" s="135" t="s">
        <v>2137</v>
      </c>
      <c r="I115" s="122" t="str">
        <f t="shared" si="2"/>
        <v>INSERT INTO CLIENTES(RUT_CLIENTE,RAZON_SOCIAL,DIRECCION,ID_COMUNA,ID_REGION,FECHA_NACIMIENTO) VALUES (NULL,'Cecilia Gomez','Walker Martinez 3611 Casa 120 (Frente tottus)',13504,13,TO_DATE('29-11-1967','DD-MM-YYYY'));</v>
      </c>
    </row>
    <row r="116" spans="1:9" ht="26.4">
      <c r="A116" t="str">
        <f>Clientes!A101</f>
        <v>Cecilia Marifil</v>
      </c>
      <c r="B116" s="115">
        <f t="shared" si="3"/>
        <v>99</v>
      </c>
      <c r="C116" s="134" t="str">
        <f>IF(ISBLANK(Clientes!L101),"NULL",CONCATENATE("'",Clientes!L101,"'"))</f>
        <v>NULL</v>
      </c>
      <c r="D116" s="114" t="str">
        <f>CONCATENATE("'",Clientes!A101,"'")</f>
        <v>'Cecilia Marifil'</v>
      </c>
      <c r="E116" s="114" t="str">
        <f>IF(ISBLANK(Clientes!C101),"'Sin Direccion'",CONCATENATE("'",MID(Clientes!C101,1,95),"'"))</f>
        <v>'Antofagasta 3450'</v>
      </c>
      <c r="F116" s="114">
        <v>13505</v>
      </c>
      <c r="G116" s="114">
        <v>13</v>
      </c>
      <c r="H116" s="135" t="s">
        <v>2137</v>
      </c>
      <c r="I116" s="122" t="str">
        <f t="shared" si="2"/>
        <v>INSERT INTO CLIENTES(RUT_CLIENTE,RAZON_SOCIAL,DIRECCION,ID_COMUNA,ID_REGION,FECHA_NACIMIENTO) VALUES (NULL,'Cecilia Marifil','Antofagasta 3450',13505,13,TO_DATE('29-11-1967','DD-MM-YYYY'));</v>
      </c>
    </row>
    <row r="117" spans="1:9" ht="26.4">
      <c r="A117" t="str">
        <f>Clientes!A102</f>
        <v>Cecilia Valderrama</v>
      </c>
      <c r="B117" s="115">
        <f t="shared" si="3"/>
        <v>100</v>
      </c>
      <c r="C117" s="134" t="str">
        <f>IF(ISBLANK(Clientes!L102),"NULL",CONCATENATE("'",Clientes!L102,"'"))</f>
        <v>NULL</v>
      </c>
      <c r="D117" s="114" t="str">
        <f>CONCATENATE("'",Clientes!A102,"'")</f>
        <v>'Cecilia Valderrama'</v>
      </c>
      <c r="E117" s="114" t="str">
        <f>IF(ISBLANK(Clientes!C102),"'Sin Direccion'",CONCATENATE("'",MID(Clientes!C102,1,95),"'"))</f>
        <v>'Rojas Magallanes 1121'</v>
      </c>
      <c r="F117" s="114">
        <v>13601</v>
      </c>
      <c r="G117" s="114">
        <v>13</v>
      </c>
      <c r="H117" s="135" t="s">
        <v>2137</v>
      </c>
      <c r="I117" s="122" t="str">
        <f t="shared" si="2"/>
        <v>INSERT INTO CLIENTES(RUT_CLIENTE,RAZON_SOCIAL,DIRECCION,ID_COMUNA,ID_REGION,FECHA_NACIMIENTO) VALUES (NULL,'Cecilia Valderrama','Rojas Magallanes 1121',13601,13,TO_DATE('29-11-1967','DD-MM-YYYY'));</v>
      </c>
    </row>
    <row r="118" spans="1:9" ht="26.4">
      <c r="A118" t="str">
        <f>Clientes!A103</f>
        <v>Centro Terapia WILUF SPA</v>
      </c>
      <c r="B118" s="115">
        <f t="shared" si="3"/>
        <v>101</v>
      </c>
      <c r="C118" s="134" t="str">
        <f>IF(ISBLANK(Clientes!L103),"NULL",CONCATENATE("'",Clientes!L103,"'"))</f>
        <v>'78122545-2'</v>
      </c>
      <c r="D118" s="114" t="str">
        <f>CONCATENATE("'",Clientes!A103,"'")</f>
        <v>'Centro Terapia WILUF SPA'</v>
      </c>
      <c r="E118" s="114" t="str">
        <f>IF(ISBLANK(Clientes!C103),"'Sin Direccion'",CONCATENATE("'",MID(Clientes!C103,1,95),"'"))</f>
        <v>'LOS ROBLES 8626'</v>
      </c>
      <c r="F118" s="114">
        <v>13602</v>
      </c>
      <c r="G118" s="114">
        <v>13</v>
      </c>
      <c r="H118" s="135" t="s">
        <v>2137</v>
      </c>
      <c r="I118" s="122" t="str">
        <f t="shared" si="2"/>
        <v>INSERT INTO CLIENTES(RUT_CLIENTE,RAZON_SOCIAL,DIRECCION,ID_COMUNA,ID_REGION,FECHA_NACIMIENTO) VALUES ('78122545-2','Centro Terapia WILUF SPA','LOS ROBLES 8626',13602,13,TO_DATE('29-11-1967','DD-MM-YYYY'));</v>
      </c>
    </row>
    <row r="119" spans="1:9" ht="26.4">
      <c r="A119" t="str">
        <f>Clientes!A104</f>
        <v>Cesar Donoso</v>
      </c>
      <c r="B119" s="115">
        <f t="shared" si="3"/>
        <v>102</v>
      </c>
      <c r="C119" s="134" t="str">
        <f>IF(ISBLANK(Clientes!L104),"NULL",CONCATENATE("'",Clientes!L104,"'"))</f>
        <v>NULL</v>
      </c>
      <c r="D119" s="114" t="str">
        <f>CONCATENATE("'",Clientes!A104,"'")</f>
        <v>'Cesar Donoso'</v>
      </c>
      <c r="E119" s="114" t="str">
        <f>IF(ISBLANK(Clientes!C104),"'Sin Direccion'",CONCATENATE("'",MID(Clientes!C104,1,95),"'"))</f>
        <v>'Los Alerces 8426'</v>
      </c>
      <c r="F119" s="114">
        <v>13603</v>
      </c>
      <c r="G119" s="114">
        <v>13</v>
      </c>
      <c r="H119" s="135" t="s">
        <v>2137</v>
      </c>
      <c r="I119" s="122" t="str">
        <f t="shared" si="2"/>
        <v>INSERT INTO CLIENTES(RUT_CLIENTE,RAZON_SOCIAL,DIRECCION,ID_COMUNA,ID_REGION,FECHA_NACIMIENTO) VALUES (NULL,'Cesar Donoso','Los Alerces 8426',13603,13,TO_DATE('29-11-1967','DD-MM-YYYY'));</v>
      </c>
    </row>
    <row r="120" spans="1:9" ht="26.4">
      <c r="A120" t="str">
        <f>Clientes!A105</f>
        <v>Cesar Eduardo Gutierrez</v>
      </c>
      <c r="B120" s="115">
        <f t="shared" si="3"/>
        <v>103</v>
      </c>
      <c r="C120" s="134" t="str">
        <f>IF(ISBLANK(Clientes!L105),"NULL",CONCATENATE("'",Clientes!L105,"'"))</f>
        <v>NULL</v>
      </c>
      <c r="D120" s="114" t="str">
        <f>CONCATENATE("'",Clientes!A105,"'")</f>
        <v>'Cesar Eduardo Gutierrez'</v>
      </c>
      <c r="E120" s="114" t="str">
        <f>IF(ISBLANK(Clientes!C105),"'Sin Direccion'",CONCATENATE("'",MID(Clientes!C105,1,95),"'"))</f>
        <v>'Las Mercedes 7655'</v>
      </c>
      <c r="F120" s="114">
        <v>13604</v>
      </c>
      <c r="G120" s="114">
        <v>13</v>
      </c>
      <c r="H120" s="135" t="s">
        <v>2137</v>
      </c>
      <c r="I120" s="122" t="str">
        <f t="shared" si="2"/>
        <v>INSERT INTO CLIENTES(RUT_CLIENTE,RAZON_SOCIAL,DIRECCION,ID_COMUNA,ID_REGION,FECHA_NACIMIENTO) VALUES (NULL,'Cesar Eduardo Gutierrez','Las Mercedes 7655',13604,13,TO_DATE('29-11-1967','DD-MM-YYYY'));</v>
      </c>
    </row>
    <row r="121" spans="1:9" ht="26.4">
      <c r="A121" t="str">
        <f>Clientes!A106</f>
        <v>Claudia  Sepulveda - Jardin Alto</v>
      </c>
      <c r="B121" s="115">
        <f t="shared" si="3"/>
        <v>104</v>
      </c>
      <c r="C121" s="134" t="str">
        <f>IF(ISBLANK(Clientes!L106),"NULL",CONCATENATE("'",Clientes!L106,"'"))</f>
        <v>NULL</v>
      </c>
      <c r="D121" s="114" t="str">
        <f>CONCATENATE("'",Clientes!A106,"'")</f>
        <v>'Claudia  Sepulveda - Jardin Alto'</v>
      </c>
      <c r="E121" s="114" t="str">
        <f>IF(ISBLANK(Clientes!C106),"'Sin Direccion'",CONCATENATE("'",MID(Clientes!C106,1,95),"'"))</f>
        <v>'Jardín alto 8994'</v>
      </c>
      <c r="F121" s="114">
        <v>13605</v>
      </c>
      <c r="G121" s="114">
        <v>13</v>
      </c>
      <c r="H121" s="135" t="s">
        <v>2137</v>
      </c>
      <c r="I121" s="122" t="str">
        <f t="shared" si="2"/>
        <v>INSERT INTO CLIENTES(RUT_CLIENTE,RAZON_SOCIAL,DIRECCION,ID_COMUNA,ID_REGION,FECHA_NACIMIENTO) VALUES (NULL,'Claudia  Sepulveda - Jardin Alto','Jardín alto 8994',13605,13,TO_DATE('29-11-1967','DD-MM-YYYY'));</v>
      </c>
    </row>
    <row r="122" spans="1:9" ht="26.4">
      <c r="A122" t="str">
        <f>Clientes!A107</f>
        <v>Claudia - Los ñirres 2112</v>
      </c>
      <c r="B122" s="115">
        <f t="shared" si="3"/>
        <v>105</v>
      </c>
      <c r="C122" s="134" t="str">
        <f>IF(ISBLANK(Clientes!L107),"NULL",CONCATENATE("'",Clientes!L107,"'"))</f>
        <v>NULL</v>
      </c>
      <c r="D122" s="114" t="str">
        <f>CONCATENATE("'",Clientes!A107,"'")</f>
        <v>'Claudia - Los ñirres 2112'</v>
      </c>
      <c r="E122" s="114" t="str">
        <f>IF(ISBLANK(Clientes!C107),"'Sin Direccion'",CONCATENATE("'",MID(Clientes!C107,1,95),"'"))</f>
        <v>'Los ñirres 2112, La florida'</v>
      </c>
      <c r="F122" s="114">
        <v>13101</v>
      </c>
      <c r="G122" s="114">
        <v>13</v>
      </c>
      <c r="H122" s="135" t="s">
        <v>2137</v>
      </c>
      <c r="I122" s="122" t="str">
        <f t="shared" si="2"/>
        <v>INSERT INTO CLIENTES(RUT_CLIENTE,RAZON_SOCIAL,DIRECCION,ID_COMUNA,ID_REGION,FECHA_NACIMIENTO) VALUES (NULL,'Claudia - Los ñirres 2112','Los ñirres 2112, La florida',13101,13,TO_DATE('29-11-1967','DD-MM-YYYY'));</v>
      </c>
    </row>
    <row r="123" spans="1:9" ht="26.4">
      <c r="A123" t="str">
        <f>Clientes!A108</f>
        <v>Claudia - Sofia</v>
      </c>
      <c r="B123" s="115">
        <f t="shared" si="3"/>
        <v>106</v>
      </c>
      <c r="C123" s="134" t="str">
        <f>IF(ISBLANK(Clientes!L108),"NULL",CONCATENATE("'",Clientes!L108,"'"))</f>
        <v>NULL</v>
      </c>
      <c r="D123" s="114" t="str">
        <f>CONCATENATE("'",Clientes!A108,"'")</f>
        <v>'Claudia - Sofia'</v>
      </c>
      <c r="E123" s="114" t="str">
        <f>IF(ISBLANK(Clientes!C108),"'Sin Direccion'",CONCATENATE("'",MID(Clientes!C108,1,95),"'"))</f>
        <v>'Sin Direccion'</v>
      </c>
      <c r="F123" s="114">
        <v>13102</v>
      </c>
      <c r="G123" s="114">
        <v>13</v>
      </c>
      <c r="H123" s="135" t="s">
        <v>2137</v>
      </c>
      <c r="I123" s="122" t="str">
        <f t="shared" si="2"/>
        <v>INSERT INTO CLIENTES(RUT_CLIENTE,RAZON_SOCIAL,DIRECCION,ID_COMUNA,ID_REGION,FECHA_NACIMIENTO) VALUES (NULL,'Claudia - Sofia','Sin Direccion',13102,13,TO_DATE('29-11-1967','DD-MM-YYYY'));</v>
      </c>
    </row>
    <row r="124" spans="1:9" ht="26.4">
      <c r="A124" t="str">
        <f>Clientes!A109</f>
        <v>Claudia - Tomas de Aquino 7995</v>
      </c>
      <c r="B124" s="115">
        <f t="shared" si="3"/>
        <v>107</v>
      </c>
      <c r="C124" s="134" t="str">
        <f>IF(ISBLANK(Clientes!L109),"NULL",CONCATENATE("'",Clientes!L109,"'"))</f>
        <v>NULL</v>
      </c>
      <c r="D124" s="114" t="str">
        <f>CONCATENATE("'",Clientes!A109,"'")</f>
        <v>'Claudia - Tomas de Aquino 7995'</v>
      </c>
      <c r="E124" s="114" t="str">
        <f>IF(ISBLANK(Clientes!C109),"'Sin Direccion'",CONCATENATE("'",MID(Clientes!C109,1,95),"'"))</f>
        <v>'Tomas de Aquino 7995'</v>
      </c>
      <c r="F124" s="114">
        <v>13103</v>
      </c>
      <c r="G124" s="114">
        <v>13</v>
      </c>
      <c r="H124" s="135" t="s">
        <v>2137</v>
      </c>
      <c r="I124" s="122" t="str">
        <f t="shared" si="2"/>
        <v>INSERT INTO CLIENTES(RUT_CLIENTE,RAZON_SOCIAL,DIRECCION,ID_COMUNA,ID_REGION,FECHA_NACIMIENTO) VALUES (NULL,'Claudia - Tomas de Aquino 7995','Tomas de Aquino 7995',13103,13,TO_DATE('29-11-1967','DD-MM-YYYY'));</v>
      </c>
    </row>
    <row r="125" spans="1:9" ht="26.4">
      <c r="A125" t="str">
        <f>Clientes!A110</f>
        <v>Claudia Castillo</v>
      </c>
      <c r="B125" s="115">
        <f t="shared" si="3"/>
        <v>108</v>
      </c>
      <c r="C125" s="134" t="str">
        <f>IF(ISBLANK(Clientes!L110),"NULL",CONCATENATE("'",Clientes!L110,"'"))</f>
        <v>NULL</v>
      </c>
      <c r="D125" s="114" t="str">
        <f>CONCATENATE("'",Clientes!A110,"'")</f>
        <v>'Claudia Castillo'</v>
      </c>
      <c r="E125" s="114" t="str">
        <f>IF(ISBLANK(Clientes!C110),"'Sin Direccion'",CONCATENATE("'",MID(Clientes!C110,1,95),"'"))</f>
        <v>'Sin Direccion'</v>
      </c>
      <c r="F125" s="114">
        <v>13104</v>
      </c>
      <c r="G125" s="114">
        <v>13</v>
      </c>
      <c r="H125" s="135" t="s">
        <v>2137</v>
      </c>
      <c r="I125" s="122" t="str">
        <f t="shared" si="2"/>
        <v>INSERT INTO CLIENTES(RUT_CLIENTE,RAZON_SOCIAL,DIRECCION,ID_COMUNA,ID_REGION,FECHA_NACIMIENTO) VALUES (NULL,'Claudia Castillo','Sin Direccion',13104,13,TO_DATE('29-11-1967','DD-MM-YYYY'));</v>
      </c>
    </row>
    <row r="126" spans="1:9" ht="26.4">
      <c r="A126" t="str">
        <f>Clientes!A111</f>
        <v>Claudia Contreras</v>
      </c>
      <c r="B126" s="115">
        <f t="shared" si="3"/>
        <v>109</v>
      </c>
      <c r="C126" s="134" t="str">
        <f>IF(ISBLANK(Clientes!L111),"NULL",CONCATENATE("'",Clientes!L111,"'"))</f>
        <v>NULL</v>
      </c>
      <c r="D126" s="114" t="str">
        <f>CONCATENATE("'",Clientes!A111,"'")</f>
        <v>'Claudia Contreras'</v>
      </c>
      <c r="E126" s="114" t="str">
        <f>IF(ISBLANK(Clientes!C111),"'Sin Direccion'",CONCATENATE("'",MID(Clientes!C111,1,95),"'"))</f>
        <v>'Señora del Carmen 9710, la florida'</v>
      </c>
      <c r="F126" s="114">
        <v>13105</v>
      </c>
      <c r="G126" s="114">
        <v>13</v>
      </c>
      <c r="H126" s="135" t="s">
        <v>2137</v>
      </c>
      <c r="I126" s="122" t="str">
        <f t="shared" si="2"/>
        <v>INSERT INTO CLIENTES(RUT_CLIENTE,RAZON_SOCIAL,DIRECCION,ID_COMUNA,ID_REGION,FECHA_NACIMIENTO) VALUES (NULL,'Claudia Contreras','Señora del Carmen 9710, la florida',13105,13,TO_DATE('29-11-1967','DD-MM-YYYY'));</v>
      </c>
    </row>
    <row r="127" spans="1:9" ht="26.4">
      <c r="A127" t="str">
        <f>Clientes!A112</f>
        <v>Claudia Escalona</v>
      </c>
      <c r="B127" s="115">
        <f t="shared" si="3"/>
        <v>110</v>
      </c>
      <c r="C127" s="134" t="str">
        <f>IF(ISBLANK(Clientes!L112),"NULL",CONCATENATE("'",Clientes!L112,"'"))</f>
        <v>NULL</v>
      </c>
      <c r="D127" s="114" t="str">
        <f>CONCATENATE("'",Clientes!A112,"'")</f>
        <v>'Claudia Escalona'</v>
      </c>
      <c r="E127" s="114" t="str">
        <f>IF(ISBLANK(Clientes!C112),"'Sin Direccion'",CONCATENATE("'",MID(Clientes!C112,1,95),"'"))</f>
        <v>'Belloto del norte oriente 9381'</v>
      </c>
      <c r="F127" s="114">
        <v>13106</v>
      </c>
      <c r="G127" s="114">
        <v>13</v>
      </c>
      <c r="H127" s="135" t="s">
        <v>2137</v>
      </c>
      <c r="I127" s="122" t="str">
        <f t="shared" si="2"/>
        <v>INSERT INTO CLIENTES(RUT_CLIENTE,RAZON_SOCIAL,DIRECCION,ID_COMUNA,ID_REGION,FECHA_NACIMIENTO) VALUES (NULL,'Claudia Escalona','Belloto del norte oriente 9381',13106,13,TO_DATE('29-11-1967','DD-MM-YYYY'));</v>
      </c>
    </row>
    <row r="128" spans="1:9" ht="26.4">
      <c r="A128" t="str">
        <f>Clientes!A113</f>
        <v>Claudia Flores</v>
      </c>
      <c r="B128" s="115">
        <f t="shared" si="3"/>
        <v>111</v>
      </c>
      <c r="C128" s="134" t="str">
        <f>IF(ISBLANK(Clientes!L113),"NULL",CONCATENATE("'",Clientes!L113,"'"))</f>
        <v>NULL</v>
      </c>
      <c r="D128" s="114" t="str">
        <f>CONCATENATE("'",Clientes!A113,"'")</f>
        <v>'Claudia Flores'</v>
      </c>
      <c r="E128" s="114" t="str">
        <f>IF(ISBLANK(Clientes!C113),"'Sin Direccion'",CONCATENATE("'",MID(Clientes!C113,1,95),"'"))</f>
        <v>'Belloto del norte oriente 9225'</v>
      </c>
      <c r="F128" s="114">
        <v>13107</v>
      </c>
      <c r="G128" s="114">
        <v>13</v>
      </c>
      <c r="H128" s="135" t="s">
        <v>2137</v>
      </c>
      <c r="I128" s="122" t="str">
        <f t="shared" si="2"/>
        <v>INSERT INTO CLIENTES(RUT_CLIENTE,RAZON_SOCIAL,DIRECCION,ID_COMUNA,ID_REGION,FECHA_NACIMIENTO) VALUES (NULL,'Claudia Flores','Belloto del norte oriente 9225',13107,13,TO_DATE('29-11-1967','DD-MM-YYYY'));</v>
      </c>
    </row>
    <row r="129" spans="1:9" ht="26.4">
      <c r="A129" t="str">
        <f>Clientes!A114</f>
        <v>Claudia Herrera</v>
      </c>
      <c r="B129" s="115">
        <f t="shared" si="3"/>
        <v>112</v>
      </c>
      <c r="C129" s="134" t="str">
        <f>IF(ISBLANK(Clientes!L114),"NULL",CONCATENATE("'",Clientes!L114,"'"))</f>
        <v>NULL</v>
      </c>
      <c r="D129" s="114" t="str">
        <f>CONCATENATE("'",Clientes!A114,"'")</f>
        <v>'Claudia Herrera'</v>
      </c>
      <c r="E129" s="114" t="str">
        <f>IF(ISBLANK(Clientes!C114),"'Sin Direccion'",CONCATENATE("'",MID(Clientes!C114,1,95),"'"))</f>
        <v>'Sin Direccion'</v>
      </c>
      <c r="F129" s="114">
        <v>13108</v>
      </c>
      <c r="G129" s="114">
        <v>13</v>
      </c>
      <c r="H129" s="135" t="s">
        <v>2137</v>
      </c>
      <c r="I129" s="122" t="str">
        <f t="shared" si="2"/>
        <v>INSERT INTO CLIENTES(RUT_CLIENTE,RAZON_SOCIAL,DIRECCION,ID_COMUNA,ID_REGION,FECHA_NACIMIENTO) VALUES (NULL,'Claudia Herrera','Sin Direccion',13108,13,TO_DATE('29-11-1967','DD-MM-YYYY'));</v>
      </c>
    </row>
    <row r="130" spans="1:9" ht="26.4">
      <c r="A130" t="str">
        <f>Clientes!A115</f>
        <v>Claudia Leyton</v>
      </c>
      <c r="B130" s="115">
        <f t="shared" si="3"/>
        <v>113</v>
      </c>
      <c r="C130" s="134" t="str">
        <f>IF(ISBLANK(Clientes!L115),"NULL",CONCATENATE("'",Clientes!L115,"'"))</f>
        <v>NULL</v>
      </c>
      <c r="D130" s="114" t="str">
        <f>CONCATENATE("'",Clientes!A115,"'")</f>
        <v>'Claudia Leyton'</v>
      </c>
      <c r="E130" s="114" t="str">
        <f>IF(ISBLANK(Clientes!C115),"'Sin Direccion'",CONCATENATE("'",MID(Clientes!C115,1,95),"'"))</f>
        <v>'Calle Nueva 120 depto 403'</v>
      </c>
      <c r="F130" s="114">
        <v>13109</v>
      </c>
      <c r="G130" s="114">
        <v>13</v>
      </c>
      <c r="H130" s="135" t="s">
        <v>2137</v>
      </c>
      <c r="I130" s="122" t="str">
        <f t="shared" si="2"/>
        <v>INSERT INTO CLIENTES(RUT_CLIENTE,RAZON_SOCIAL,DIRECCION,ID_COMUNA,ID_REGION,FECHA_NACIMIENTO) VALUES (NULL,'Claudia Leyton','Calle Nueva 120 depto 403',13109,13,TO_DATE('29-11-1967','DD-MM-YYYY'));</v>
      </c>
    </row>
    <row r="131" spans="1:9" ht="26.4">
      <c r="A131" t="str">
        <f>Clientes!A116</f>
        <v>Claudia Rojas Parra</v>
      </c>
      <c r="B131" s="115">
        <f t="shared" si="3"/>
        <v>114</v>
      </c>
      <c r="C131" s="134" t="str">
        <f>IF(ISBLANK(Clientes!L116),"NULL",CONCATENATE("'",Clientes!L116,"'"))</f>
        <v>NULL</v>
      </c>
      <c r="D131" s="114" t="str">
        <f>CONCATENATE("'",Clientes!A116,"'")</f>
        <v>'Claudia Rojas Parra'</v>
      </c>
      <c r="E131" s="114" t="str">
        <f>IF(ISBLANK(Clientes!C116),"'Sin Direccion'",CONCATENATE("'",MID(Clientes!C116,1,95),"'"))</f>
        <v>'Del huerto norte 3553'</v>
      </c>
      <c r="F131" s="114">
        <v>13110</v>
      </c>
      <c r="G131" s="114">
        <v>13</v>
      </c>
      <c r="H131" s="135" t="s">
        <v>2137</v>
      </c>
      <c r="I131" s="122" t="str">
        <f t="shared" si="2"/>
        <v>INSERT INTO CLIENTES(RUT_CLIENTE,RAZON_SOCIAL,DIRECCION,ID_COMUNA,ID_REGION,FECHA_NACIMIENTO) VALUES (NULL,'Claudia Rojas Parra','Del huerto norte 3553',13110,13,TO_DATE('29-11-1967','DD-MM-YYYY'));</v>
      </c>
    </row>
    <row r="132" spans="1:9" ht="26.4">
      <c r="A132" t="str">
        <f>Clientes!A117</f>
        <v>Claudia Ugarte</v>
      </c>
      <c r="B132" s="115">
        <f t="shared" si="3"/>
        <v>115</v>
      </c>
      <c r="C132" s="134" t="str">
        <f>IF(ISBLANK(Clientes!L117),"NULL",CONCATENATE("'",Clientes!L117,"'"))</f>
        <v>NULL</v>
      </c>
      <c r="D132" s="114" t="str">
        <f>CONCATENATE("'",Clientes!A117,"'")</f>
        <v>'Claudia Ugarte'</v>
      </c>
      <c r="E132" s="114" t="str">
        <f>IF(ISBLANK(Clientes!C117),"'Sin Direccion'",CONCATENATE("'",MID(Clientes!C117,1,95),"'"))</f>
        <v>'Pasaje El Coihue 8578'</v>
      </c>
      <c r="F132" s="114">
        <v>13111</v>
      </c>
      <c r="G132" s="114">
        <v>13</v>
      </c>
      <c r="H132" s="135" t="s">
        <v>2137</v>
      </c>
      <c r="I132" s="122" t="str">
        <f t="shared" si="2"/>
        <v>INSERT INTO CLIENTES(RUT_CLIENTE,RAZON_SOCIAL,DIRECCION,ID_COMUNA,ID_REGION,FECHA_NACIMIENTO) VALUES (NULL,'Claudia Ugarte','Pasaje El Coihue 8578',13111,13,TO_DATE('29-11-1967','DD-MM-YYYY'));</v>
      </c>
    </row>
    <row r="133" spans="1:9" ht="26.4">
      <c r="A133" t="str">
        <f>Clientes!A118</f>
        <v>Claudia Urrutia Muñoz</v>
      </c>
      <c r="B133" s="115">
        <f t="shared" si="3"/>
        <v>116</v>
      </c>
      <c r="C133" s="134" t="str">
        <f>IF(ISBLANK(Clientes!L118),"NULL",CONCATENATE("'",Clientes!L118,"'"))</f>
        <v>NULL</v>
      </c>
      <c r="D133" s="114" t="str">
        <f>CONCATENATE("'",Clientes!A118,"'")</f>
        <v>'Claudia Urrutia Muñoz'</v>
      </c>
      <c r="E133" s="114" t="str">
        <f>IF(ISBLANK(Clientes!C118),"'Sin Direccion'",CONCATENATE("'",MID(Clientes!C118,1,95),"'"))</f>
        <v>'Azucena del campo Oriente 9415'</v>
      </c>
      <c r="F133" s="114">
        <v>13112</v>
      </c>
      <c r="G133" s="114">
        <v>13</v>
      </c>
      <c r="H133" s="135" t="s">
        <v>2137</v>
      </c>
      <c r="I133" s="122" t="str">
        <f t="shared" si="2"/>
        <v>INSERT INTO CLIENTES(RUT_CLIENTE,RAZON_SOCIAL,DIRECCION,ID_COMUNA,ID_REGION,FECHA_NACIMIENTO) VALUES (NULL,'Claudia Urrutia Muñoz','Azucena del campo Oriente 9415',13112,13,TO_DATE('29-11-1967','DD-MM-YYYY'));</v>
      </c>
    </row>
    <row r="134" spans="1:9" ht="26.4">
      <c r="A134" t="str">
        <f>Clientes!A119</f>
        <v>Claudia Valenzuela</v>
      </c>
      <c r="B134" s="115">
        <f t="shared" si="3"/>
        <v>117</v>
      </c>
      <c r="C134" s="134" t="str">
        <f>IF(ISBLANK(Clientes!L119),"NULL",CONCATENATE("'",Clientes!L119,"'"))</f>
        <v>NULL</v>
      </c>
      <c r="D134" s="114" t="str">
        <f>CONCATENATE("'",Clientes!A119,"'")</f>
        <v>'Claudia Valenzuela'</v>
      </c>
      <c r="E134" s="114" t="str">
        <f>IF(ISBLANK(Clientes!C119),"'Sin Direccion'",CONCATENATE("'",MID(Clientes!C119,1,95),"'"))</f>
        <v>'El hualle sur 9469.'</v>
      </c>
      <c r="F134" s="114">
        <v>13113</v>
      </c>
      <c r="G134" s="114">
        <v>13</v>
      </c>
      <c r="H134" s="135" t="s">
        <v>2137</v>
      </c>
      <c r="I134" s="122" t="str">
        <f t="shared" si="2"/>
        <v>INSERT INTO CLIENTES(RUT_CLIENTE,RAZON_SOCIAL,DIRECCION,ID_COMUNA,ID_REGION,FECHA_NACIMIENTO) VALUES (NULL,'Claudia Valenzuela','El hualle sur 9469.',13113,13,TO_DATE('29-11-1967','DD-MM-YYYY'));</v>
      </c>
    </row>
    <row r="135" spans="1:9" ht="26.4">
      <c r="A135" t="str">
        <f>Clientes!A120</f>
        <v>Claudia Valenzuela</v>
      </c>
      <c r="B135" s="115">
        <f t="shared" si="3"/>
        <v>118</v>
      </c>
      <c r="C135" s="134" t="str">
        <f>IF(ISBLANK(Clientes!L120),"NULL",CONCATENATE("'",Clientes!L120,"'"))</f>
        <v>NULL</v>
      </c>
      <c r="D135" s="114" t="str">
        <f>CONCATENATE("'",Clientes!A120,"'")</f>
        <v>'Claudia Valenzuela'</v>
      </c>
      <c r="E135" s="114" t="str">
        <f>IF(ISBLANK(Clientes!C120),"'Sin Direccion'",CONCATENATE("'",MID(Clientes!C120,1,95),"'"))</f>
        <v>'Sin Direccion'</v>
      </c>
      <c r="F135" s="114">
        <v>13114</v>
      </c>
      <c r="G135" s="114">
        <v>13</v>
      </c>
      <c r="H135" s="135" t="s">
        <v>2137</v>
      </c>
      <c r="I135" s="122" t="str">
        <f t="shared" si="2"/>
        <v>INSERT INTO CLIENTES(RUT_CLIENTE,RAZON_SOCIAL,DIRECCION,ID_COMUNA,ID_REGION,FECHA_NACIMIENTO) VALUES (NULL,'Claudia Valenzuela','Sin Direccion',13114,13,TO_DATE('29-11-1967','DD-MM-YYYY'));</v>
      </c>
    </row>
    <row r="136" spans="1:9" ht="26.4">
      <c r="A136" t="str">
        <f>Clientes!A121</f>
        <v>Claudia Zuleta</v>
      </c>
      <c r="B136" s="115">
        <f t="shared" si="3"/>
        <v>119</v>
      </c>
      <c r="C136" s="134" t="str">
        <f>IF(ISBLANK(Clientes!L121),"NULL",CONCATENATE("'",Clientes!L121,"'"))</f>
        <v>NULL</v>
      </c>
      <c r="D136" s="114" t="str">
        <f>CONCATENATE("'",Clientes!A121,"'")</f>
        <v>'Claudia Zuleta'</v>
      </c>
      <c r="E136" s="114" t="str">
        <f>IF(ISBLANK(Clientes!C121),"'Sin Direccion'",CONCATENATE("'",MID(Clientes!C121,1,95),"'"))</f>
        <v>'Azahares 8549'</v>
      </c>
      <c r="F136" s="114">
        <v>13115</v>
      </c>
      <c r="G136" s="114">
        <v>13</v>
      </c>
      <c r="H136" s="135" t="s">
        <v>2137</v>
      </c>
      <c r="I136" s="122" t="str">
        <f t="shared" si="2"/>
        <v>INSERT INTO CLIENTES(RUT_CLIENTE,RAZON_SOCIAL,DIRECCION,ID_COMUNA,ID_REGION,FECHA_NACIMIENTO) VALUES (NULL,'Claudia Zuleta','Azahares 8549',13115,13,TO_DATE('29-11-1967','DD-MM-YYYY'));</v>
      </c>
    </row>
    <row r="137" spans="1:9" ht="26.4">
      <c r="A137" t="str">
        <f>Clientes!A122</f>
        <v>Claudio Castro Urrutia</v>
      </c>
      <c r="B137" s="115">
        <f t="shared" si="3"/>
        <v>120</v>
      </c>
      <c r="C137" s="134" t="str">
        <f>IF(ISBLANK(Clientes!L122),"NULL",CONCATENATE("'",Clientes!L122,"'"))</f>
        <v>NULL</v>
      </c>
      <c r="D137" s="114" t="str">
        <f>CONCATENATE("'",Clientes!A122,"'")</f>
        <v>'Claudio Castro Urrutia'</v>
      </c>
      <c r="E137" s="114" t="str">
        <f>IF(ISBLANK(Clientes!C122),"'Sin Direccion'",CONCATENATE("'",MID(Clientes!C122,1,95),"'"))</f>
        <v>'Azucena del campo Oriente 9415'</v>
      </c>
      <c r="F137" s="114">
        <v>13116</v>
      </c>
      <c r="G137" s="114">
        <v>13</v>
      </c>
      <c r="H137" s="135" t="s">
        <v>2137</v>
      </c>
      <c r="I137" s="122" t="str">
        <f t="shared" si="2"/>
        <v>INSERT INTO CLIENTES(RUT_CLIENTE,RAZON_SOCIAL,DIRECCION,ID_COMUNA,ID_REGION,FECHA_NACIMIENTO) VALUES (NULL,'Claudio Castro Urrutia','Azucena del campo Oriente 9415',13116,13,TO_DATE('29-11-1967','DD-MM-YYYY'));</v>
      </c>
    </row>
    <row r="138" spans="1:9" ht="26.4">
      <c r="A138" t="str">
        <f>Clientes!A123</f>
        <v>Claudio Saldias</v>
      </c>
      <c r="B138" s="115">
        <f t="shared" si="3"/>
        <v>121</v>
      </c>
      <c r="C138" s="134" t="str">
        <f>IF(ISBLANK(Clientes!L123),"NULL",CONCATENATE("'",Clientes!L123,"'"))</f>
        <v>NULL</v>
      </c>
      <c r="D138" s="114" t="str">
        <f>CONCATENATE("'",Clientes!A123,"'")</f>
        <v>'Claudio Saldias'</v>
      </c>
      <c r="E138" s="114" t="str">
        <f>IF(ISBLANK(Clientes!C123),"'Sin Direccion'",CONCATENATE("'",MID(Clientes!C123,1,95),"'"))</f>
        <v>'Antofagasta 3404'</v>
      </c>
      <c r="F138" s="114">
        <v>13117</v>
      </c>
      <c r="G138" s="114">
        <v>13</v>
      </c>
      <c r="H138" s="135" t="s">
        <v>2137</v>
      </c>
      <c r="I138" s="122" t="str">
        <f t="shared" si="2"/>
        <v>INSERT INTO CLIENTES(RUT_CLIENTE,RAZON_SOCIAL,DIRECCION,ID_COMUNA,ID_REGION,FECHA_NACIMIENTO) VALUES (NULL,'Claudio Saldias','Antofagasta 3404',13117,13,TO_DATE('29-11-1967','DD-MM-YYYY'));</v>
      </c>
    </row>
    <row r="139" spans="1:9" ht="26.4">
      <c r="A139" t="str">
        <f>Clientes!A124</f>
        <v>Clemira Riffo</v>
      </c>
      <c r="B139" s="115">
        <f t="shared" si="3"/>
        <v>122</v>
      </c>
      <c r="C139" s="134" t="str">
        <f>IF(ISBLANK(Clientes!L124),"NULL",CONCATENATE("'",Clientes!L124,"'"))</f>
        <v>NULL</v>
      </c>
      <c r="D139" s="114" t="str">
        <f>CONCATENATE("'",Clientes!A124,"'")</f>
        <v>'Clemira Riffo'</v>
      </c>
      <c r="E139" s="114" t="str">
        <f>IF(ISBLANK(Clientes!C124),"'Sin Direccion'",CONCATENATE("'",MID(Clientes!C124,1,95),"'"))</f>
        <v>'Sin Direccion'</v>
      </c>
      <c r="F139" s="114">
        <v>13118</v>
      </c>
      <c r="G139" s="114">
        <v>13</v>
      </c>
      <c r="H139" s="135" t="s">
        <v>2137</v>
      </c>
      <c r="I139" s="122" t="str">
        <f t="shared" si="2"/>
        <v>INSERT INTO CLIENTES(RUT_CLIENTE,RAZON_SOCIAL,DIRECCION,ID_COMUNA,ID_REGION,FECHA_NACIMIENTO) VALUES (NULL,'Clemira Riffo','Sin Direccion',13118,13,TO_DATE('29-11-1967','DD-MM-YYYY'));</v>
      </c>
    </row>
    <row r="140" spans="1:9" ht="26.4">
      <c r="A140" t="str">
        <f>Clientes!A125</f>
        <v>Constanza - Ecuador 8952</v>
      </c>
      <c r="B140" s="115">
        <f t="shared" si="3"/>
        <v>123</v>
      </c>
      <c r="C140" s="134" t="str">
        <f>IF(ISBLANK(Clientes!L125),"NULL",CONCATENATE("'",Clientes!L125,"'"))</f>
        <v>NULL</v>
      </c>
      <c r="D140" s="114" t="str">
        <f>CONCATENATE("'",Clientes!A125,"'")</f>
        <v>'Constanza - Ecuador 8952'</v>
      </c>
      <c r="E140" s="114" t="str">
        <f>IF(ISBLANK(Clientes!C125),"'Sin Direccion'",CONCATENATE("'",MID(Clientes!C125,1,95),"'"))</f>
        <v>'Ecuador 8952'</v>
      </c>
      <c r="F140" s="114">
        <v>13119</v>
      </c>
      <c r="G140" s="114">
        <v>13</v>
      </c>
      <c r="H140" s="135" t="s">
        <v>2137</v>
      </c>
      <c r="I140" s="122" t="str">
        <f t="shared" si="2"/>
        <v>INSERT INTO CLIENTES(RUT_CLIENTE,RAZON_SOCIAL,DIRECCION,ID_COMUNA,ID_REGION,FECHA_NACIMIENTO) VALUES (NULL,'Constanza - Ecuador 8952','Ecuador 8952',13119,13,TO_DATE('29-11-1967','DD-MM-YYYY'));</v>
      </c>
    </row>
    <row r="141" spans="1:9" ht="26.4">
      <c r="A141" t="str">
        <f>Clientes!A126</f>
        <v>Constanza - Macarena</v>
      </c>
      <c r="B141" s="115">
        <f t="shared" si="3"/>
        <v>124</v>
      </c>
      <c r="C141" s="134" t="str">
        <f>IF(ISBLANK(Clientes!L126),"NULL",CONCATENATE("'",Clientes!L126,"'"))</f>
        <v>NULL</v>
      </c>
      <c r="D141" s="114" t="str">
        <f>CONCATENATE("'",Clientes!A126,"'")</f>
        <v>'Constanza - Macarena'</v>
      </c>
      <c r="E141" s="114" t="str">
        <f>IF(ISBLANK(Clientes!C126),"'Sin Direccion'",CONCATENATE("'",MID(Clientes!C126,1,95),"'"))</f>
        <v>'Azucena del campo poniente 9427'</v>
      </c>
      <c r="F141" s="114">
        <v>13120</v>
      </c>
      <c r="G141" s="114">
        <v>13</v>
      </c>
      <c r="H141" s="135" t="s">
        <v>2137</v>
      </c>
      <c r="I141" s="122" t="str">
        <f t="shared" si="2"/>
        <v>INSERT INTO CLIENTES(RUT_CLIENTE,RAZON_SOCIAL,DIRECCION,ID_COMUNA,ID_REGION,FECHA_NACIMIENTO) VALUES (NULL,'Constanza - Macarena','Azucena del campo poniente 9427',13120,13,TO_DATE('29-11-1967','DD-MM-YYYY'));</v>
      </c>
    </row>
    <row r="142" spans="1:9" ht="26.4">
      <c r="A142" t="str">
        <f>Clientes!A127</f>
        <v>Corporacion Educacional Dame la Mano</v>
      </c>
      <c r="B142" s="115">
        <f t="shared" si="3"/>
        <v>125</v>
      </c>
      <c r="C142" s="134" t="str">
        <f>IF(ISBLANK(Clientes!L127),"NULL",CONCATENATE("'",Clientes!L127,"'"))</f>
        <v>'65146417-K'</v>
      </c>
      <c r="D142" s="114" t="str">
        <f>CONCATENATE("'",Clientes!A127,"'")</f>
        <v>'Corporacion Educacional Dame la Mano'</v>
      </c>
      <c r="E142" s="114" t="str">
        <f>IF(ISBLANK(Clientes!C127),"'Sin Direccion'",CONCATENATE("'",MID(Clientes!C127,1,95),"'"))</f>
        <v>'Antofagasta 3341'</v>
      </c>
      <c r="F142" s="114">
        <v>13121</v>
      </c>
      <c r="G142" s="114">
        <v>13</v>
      </c>
      <c r="H142" s="135" t="s">
        <v>2137</v>
      </c>
      <c r="I142" s="122" t="str">
        <f t="shared" si="2"/>
        <v>INSERT INTO CLIENTES(RUT_CLIENTE,RAZON_SOCIAL,DIRECCION,ID_COMUNA,ID_REGION,FECHA_NACIMIENTO) VALUES ('65146417-K','Corporacion Educacional Dame la Mano','Antofagasta 3341',13121,13,TO_DATE('29-11-1967','DD-MM-YYYY'));</v>
      </c>
    </row>
    <row r="143" spans="1:9" ht="26.4">
      <c r="A143" t="str">
        <f>Clientes!A128</f>
        <v>Cristian Arriagada</v>
      </c>
      <c r="B143" s="115">
        <f t="shared" si="3"/>
        <v>126</v>
      </c>
      <c r="C143" s="134" t="str">
        <f>IF(ISBLANK(Clientes!L128),"NULL",CONCATENATE("'",Clientes!L128,"'"))</f>
        <v>NULL</v>
      </c>
      <c r="D143" s="114" t="str">
        <f>CONCATENATE("'",Clientes!A128,"'")</f>
        <v>'Cristian Arriagada'</v>
      </c>
      <c r="E143" s="114" t="str">
        <f>IF(ISBLANK(Clientes!C128),"'Sin Direccion'",CONCATENATE("'",MID(Clientes!C128,1,95),"'"))</f>
        <v>'Santa Delia 8927'</v>
      </c>
      <c r="F143" s="114">
        <v>13122</v>
      </c>
      <c r="G143" s="114">
        <v>13</v>
      </c>
      <c r="H143" s="135" t="s">
        <v>2137</v>
      </c>
      <c r="I143" s="122" t="str">
        <f t="shared" si="2"/>
        <v>INSERT INTO CLIENTES(RUT_CLIENTE,RAZON_SOCIAL,DIRECCION,ID_COMUNA,ID_REGION,FECHA_NACIMIENTO) VALUES (NULL,'Cristian Arriagada','Santa Delia 8927',13122,13,TO_DATE('29-11-1967','DD-MM-YYYY'));</v>
      </c>
    </row>
    <row r="144" spans="1:9" ht="26.4">
      <c r="A144" t="str">
        <f>Clientes!A129</f>
        <v>Cristian Kuramix</v>
      </c>
      <c r="B144" s="115">
        <f t="shared" si="3"/>
        <v>127</v>
      </c>
      <c r="C144" s="134" t="str">
        <f>IF(ISBLANK(Clientes!L129),"NULL",CONCATENATE("'",Clientes!L129,"'"))</f>
        <v>NULL</v>
      </c>
      <c r="D144" s="114" t="str">
        <f>CONCATENATE("'",Clientes!A129,"'")</f>
        <v>'Cristian Kuramix'</v>
      </c>
      <c r="E144" s="114" t="str">
        <f>IF(ISBLANK(Clientes!C129),"'Sin Direccion'",CONCATENATE("'",MID(Clientes!C129,1,95),"'"))</f>
        <v>'Vicente valdes 87.  Departamento 141 las violetas'</v>
      </c>
      <c r="F144" s="114">
        <v>13123</v>
      </c>
      <c r="G144" s="114">
        <v>13</v>
      </c>
      <c r="H144" s="135" t="s">
        <v>2137</v>
      </c>
      <c r="I144" s="122" t="str">
        <f t="shared" si="2"/>
        <v>INSERT INTO CLIENTES(RUT_CLIENTE,RAZON_SOCIAL,DIRECCION,ID_COMUNA,ID_REGION,FECHA_NACIMIENTO) VALUES (NULL,'Cristian Kuramix','Vicente valdes 87.  Departamento 141 las violetas',13123,13,TO_DATE('29-11-1967','DD-MM-YYYY'));</v>
      </c>
    </row>
    <row r="145" spans="1:9" ht="26.4">
      <c r="A145" t="str">
        <f>Clientes!A130</f>
        <v>Cristian Segura</v>
      </c>
      <c r="B145" s="115">
        <f t="shared" si="3"/>
        <v>128</v>
      </c>
      <c r="C145" s="134" t="str">
        <f>IF(ISBLANK(Clientes!L130),"NULL",CONCATENATE("'",Clientes!L130,"'"))</f>
        <v>NULL</v>
      </c>
      <c r="D145" s="114" t="str">
        <f>CONCATENATE("'",Clientes!A130,"'")</f>
        <v>'Cristian Segura'</v>
      </c>
      <c r="E145" s="114" t="str">
        <f>IF(ISBLANK(Clientes!C130),"'Sin Direccion'",CONCATENATE("'",MID(Clientes!C130,1,95),"'"))</f>
        <v>'Azucena del Campo Poniente 3964 (Plaza)'</v>
      </c>
      <c r="F145" s="114">
        <v>13124</v>
      </c>
      <c r="G145" s="114">
        <v>13</v>
      </c>
      <c r="H145" s="135" t="s">
        <v>2137</v>
      </c>
      <c r="I145" s="122" t="str">
        <f t="shared" si="2"/>
        <v>INSERT INTO CLIENTES(RUT_CLIENTE,RAZON_SOCIAL,DIRECCION,ID_COMUNA,ID_REGION,FECHA_NACIMIENTO) VALUES (NULL,'Cristian Segura','Azucena del Campo Poniente 3964 (Plaza)',13124,13,TO_DATE('29-11-1967','DD-MM-YYYY'));</v>
      </c>
    </row>
    <row r="146" spans="1:9" ht="26.4">
      <c r="A146" t="str">
        <f>Clientes!A131</f>
        <v>Cristian Tsutsumi</v>
      </c>
      <c r="B146" s="115">
        <f t="shared" si="3"/>
        <v>129</v>
      </c>
      <c r="C146" s="134" t="str">
        <f>IF(ISBLANK(Clientes!L131),"NULL",CONCATENATE("'",Clientes!L131,"'"))</f>
        <v>NULL</v>
      </c>
      <c r="D146" s="114" t="str">
        <f>CONCATENATE("'",Clientes!A131,"'")</f>
        <v>'Cristian Tsutsumi'</v>
      </c>
      <c r="E146" s="114" t="str">
        <f>IF(ISBLANK(Clientes!C131),"'Sin Direccion'",CONCATENATE("'",MID(Clientes!C131,1,95),"'"))</f>
        <v>'Selva Oscura 1921'</v>
      </c>
      <c r="F146" s="114">
        <v>13125</v>
      </c>
      <c r="G146" s="114">
        <v>13</v>
      </c>
      <c r="H146" s="135" t="s">
        <v>2137</v>
      </c>
      <c r="I146" s="122" t="str">
        <f t="shared" si="2"/>
        <v>INSERT INTO CLIENTES(RUT_CLIENTE,RAZON_SOCIAL,DIRECCION,ID_COMUNA,ID_REGION,FECHA_NACIMIENTO) VALUES (NULL,'Cristian Tsutsumi','Selva Oscura 1921',13125,13,TO_DATE('29-11-1967','DD-MM-YYYY'));</v>
      </c>
    </row>
    <row r="147" spans="1:9" ht="26.4">
      <c r="A147" t="str">
        <f>Clientes!A132</f>
        <v>Cristina Olivero</v>
      </c>
      <c r="B147" s="115">
        <f t="shared" si="3"/>
        <v>130</v>
      </c>
      <c r="C147" s="134" t="str">
        <f>IF(ISBLANK(Clientes!L132),"NULL",CONCATENATE("'",Clientes!L132,"'"))</f>
        <v>NULL</v>
      </c>
      <c r="D147" s="114" t="str">
        <f>CONCATENATE("'",Clientes!A132,"'")</f>
        <v>'Cristina Olivero'</v>
      </c>
      <c r="E147" s="114" t="str">
        <f>IF(ISBLANK(Clientes!C132),"'Sin Direccion'",CONCATENATE("'",MID(Clientes!C132,1,95),"'"))</f>
        <v>'Los tulipanes 8501'</v>
      </c>
      <c r="F147" s="114">
        <v>13126</v>
      </c>
      <c r="G147" s="114">
        <v>13</v>
      </c>
      <c r="H147" s="135" t="s">
        <v>2137</v>
      </c>
      <c r="I147" s="122" t="str">
        <f t="shared" ref="I147:I210" si="4">CONCATENATE("INSERT INTO CLIENTES(RUT_CLIENTE,RAZON_SOCIAL,DIRECCION,ID_COMUNA,ID_REGION,FECHA_NACIMIENTO) VALUES (",C147,",",D147,",",E147,",",F147,",",G147,",","TO_DATE('",H147,"','DD-MM-YYYY'));")</f>
        <v>INSERT INTO CLIENTES(RUT_CLIENTE,RAZON_SOCIAL,DIRECCION,ID_COMUNA,ID_REGION,FECHA_NACIMIENTO) VALUES (NULL,'Cristina Olivero','Los tulipanes 8501',13126,13,TO_DATE('29-11-1967','DD-MM-YYYY'));</v>
      </c>
    </row>
    <row r="148" spans="1:9" ht="26.4">
      <c r="A148" t="str">
        <f>Clientes!A133</f>
        <v>Cristy Palena 2985</v>
      </c>
      <c r="B148" s="115">
        <f t="shared" ref="B148:B211" si="5">B147+1</f>
        <v>131</v>
      </c>
      <c r="C148" s="134" t="str">
        <f>IF(ISBLANK(Clientes!L133),"NULL",CONCATENATE("'",Clientes!L133,"'"))</f>
        <v>NULL</v>
      </c>
      <c r="D148" s="114" t="str">
        <f>CONCATENATE("'",Clientes!A133,"'")</f>
        <v>'Cristy Palena 2985'</v>
      </c>
      <c r="E148" s="114" t="str">
        <f>IF(ISBLANK(Clientes!C133),"'Sin Direccion'",CONCATENATE("'",MID(Clientes!C133,1,95),"'"))</f>
        <v>'Palena 2985'</v>
      </c>
      <c r="F148" s="114">
        <v>13127</v>
      </c>
      <c r="G148" s="114">
        <v>13</v>
      </c>
      <c r="H148" s="135" t="s">
        <v>2137</v>
      </c>
      <c r="I148" s="122" t="str">
        <f t="shared" si="4"/>
        <v>INSERT INTO CLIENTES(RUT_CLIENTE,RAZON_SOCIAL,DIRECCION,ID_COMUNA,ID_REGION,FECHA_NACIMIENTO) VALUES (NULL,'Cristy Palena 2985','Palena 2985',13127,13,TO_DATE('29-11-1967','DD-MM-YYYY'));</v>
      </c>
    </row>
    <row r="149" spans="1:9" ht="26.4">
      <c r="A149" t="str">
        <f>Clientes!A134</f>
        <v>Cyinthia Fraser</v>
      </c>
      <c r="B149" s="115">
        <f t="shared" si="5"/>
        <v>132</v>
      </c>
      <c r="C149" s="134" t="str">
        <f>IF(ISBLANK(Clientes!L134),"NULL",CONCATENATE("'",Clientes!L134,"'"))</f>
        <v>NULL</v>
      </c>
      <c r="D149" s="114" t="str">
        <f>CONCATENATE("'",Clientes!A134,"'")</f>
        <v>'Cyinthia Fraser'</v>
      </c>
      <c r="E149" s="114" t="str">
        <f>IF(ISBLANK(Clientes!C134),"'Sin Direccion'",CONCATENATE("'",MID(Clientes!C134,1,95),"'"))</f>
        <v>'Belloto del norte oriente 9384'</v>
      </c>
      <c r="F149" s="114">
        <v>13128</v>
      </c>
      <c r="G149" s="114">
        <v>13</v>
      </c>
      <c r="H149" s="135" t="s">
        <v>2137</v>
      </c>
      <c r="I149" s="122" t="str">
        <f t="shared" si="4"/>
        <v>INSERT INTO CLIENTES(RUT_CLIENTE,RAZON_SOCIAL,DIRECCION,ID_COMUNA,ID_REGION,FECHA_NACIMIENTO) VALUES (NULL,'Cyinthia Fraser','Belloto del norte oriente 9384',13128,13,TO_DATE('29-11-1967','DD-MM-YYYY'));</v>
      </c>
    </row>
    <row r="150" spans="1:9" ht="26.4">
      <c r="A150" t="str">
        <f>Clientes!A135</f>
        <v>Cynthia - Huilquehue 7228</v>
      </c>
      <c r="B150" s="115">
        <f t="shared" si="5"/>
        <v>133</v>
      </c>
      <c r="C150" s="134" t="str">
        <f>IF(ISBLANK(Clientes!L135),"NULL",CONCATENATE("'",Clientes!L135,"'"))</f>
        <v>NULL</v>
      </c>
      <c r="D150" s="114" t="str">
        <f>CONCATENATE("'",Clientes!A135,"'")</f>
        <v>'Cynthia - Huilquehue 7228'</v>
      </c>
      <c r="E150" s="114" t="str">
        <f>IF(ISBLANK(Clientes!C135),"'Sin Direccion'",CONCATENATE("'",MID(Clientes!C135,1,95),"'"))</f>
        <v>'Huilquehue 7228'</v>
      </c>
      <c r="F150" s="114">
        <v>13129</v>
      </c>
      <c r="G150" s="114">
        <v>13</v>
      </c>
      <c r="H150" s="135" t="s">
        <v>2137</v>
      </c>
      <c r="I150" s="122" t="str">
        <f t="shared" si="4"/>
        <v>INSERT INTO CLIENTES(RUT_CLIENTE,RAZON_SOCIAL,DIRECCION,ID_COMUNA,ID_REGION,FECHA_NACIMIENTO) VALUES (NULL,'Cynthia - Huilquehue 7228','Huilquehue 7228',13129,13,TO_DATE('29-11-1967','DD-MM-YYYY'));</v>
      </c>
    </row>
    <row r="151" spans="1:9" ht="26.4">
      <c r="A151" t="str">
        <f>Clientes!A136</f>
        <v>Cynthia Pereira</v>
      </c>
      <c r="B151" s="115">
        <f t="shared" si="5"/>
        <v>134</v>
      </c>
      <c r="C151" s="134" t="str">
        <f>IF(ISBLANK(Clientes!L136),"NULL",CONCATENATE("'",Clientes!L136,"'"))</f>
        <v>NULL</v>
      </c>
      <c r="D151" s="114" t="str">
        <f>CONCATENATE("'",Clientes!A136,"'")</f>
        <v>'Cynthia Pereira'</v>
      </c>
      <c r="E151" s="114" t="str">
        <f>IF(ISBLANK(Clientes!C136),"'Sin Direccion'",CONCATENATE("'",MID(Clientes!C136,1,95),"'"))</f>
        <v>'Colombia 7000 - depto 87'</v>
      </c>
      <c r="F151" s="114">
        <v>13130</v>
      </c>
      <c r="G151" s="114">
        <v>13</v>
      </c>
      <c r="H151" s="135" t="s">
        <v>2137</v>
      </c>
      <c r="I151" s="122" t="str">
        <f t="shared" si="4"/>
        <v>INSERT INTO CLIENTES(RUT_CLIENTE,RAZON_SOCIAL,DIRECCION,ID_COMUNA,ID_REGION,FECHA_NACIMIENTO) VALUES (NULL,'Cynthia Pereira','Colombia 7000 - depto 87',13130,13,TO_DATE('29-11-1967','DD-MM-YYYY'));</v>
      </c>
    </row>
    <row r="152" spans="1:9" ht="26.4">
      <c r="A152" t="str">
        <f>Clientes!A137</f>
        <v>Daisy Contreras</v>
      </c>
      <c r="B152" s="115">
        <f t="shared" si="5"/>
        <v>135</v>
      </c>
      <c r="C152" s="134" t="str">
        <f>IF(ISBLANK(Clientes!L137),"NULL",CONCATENATE("'",Clientes!L137,"'"))</f>
        <v>NULL</v>
      </c>
      <c r="D152" s="114" t="str">
        <f>CONCATENATE("'",Clientes!A137,"'")</f>
        <v>'Daisy Contreras'</v>
      </c>
      <c r="E152" s="114" t="str">
        <f>IF(ISBLANK(Clientes!C137),"'Sin Direccion'",CONCATENATE("'",MID(Clientes!C137,1,95),"'"))</f>
        <v>'Pasaje Noviciado 850 / Valentina Lepe con Sta Amalia'</v>
      </c>
      <c r="F152" s="114">
        <v>13131</v>
      </c>
      <c r="G152" s="114">
        <v>13</v>
      </c>
      <c r="H152" s="135" t="s">
        <v>2137</v>
      </c>
      <c r="I152" s="122" t="str">
        <f t="shared" si="4"/>
        <v>INSERT INTO CLIENTES(RUT_CLIENTE,RAZON_SOCIAL,DIRECCION,ID_COMUNA,ID_REGION,FECHA_NACIMIENTO) VALUES (NULL,'Daisy Contreras','Pasaje Noviciado 850 / Valentina Lepe con Sta Amalia',13131,13,TO_DATE('29-11-1967','DD-MM-YYYY'));</v>
      </c>
    </row>
    <row r="153" spans="1:9" ht="26.4">
      <c r="A153" t="str">
        <f>Clientes!A138</f>
        <v>Dani Vidal</v>
      </c>
      <c r="B153" s="115">
        <f t="shared" si="5"/>
        <v>136</v>
      </c>
      <c r="C153" s="134" t="str">
        <f>IF(ISBLANK(Clientes!L138),"NULL",CONCATENATE("'",Clientes!L138,"'"))</f>
        <v>NULL</v>
      </c>
      <c r="D153" s="114" t="str">
        <f>CONCATENATE("'",Clientes!A138,"'")</f>
        <v>'Dani Vidal'</v>
      </c>
      <c r="E153" s="114" t="str">
        <f>IF(ISBLANK(Clientes!C138),"'Sin Direccion'",CONCATENATE("'",MID(Clientes!C138,1,95),"'"))</f>
        <v>'Vicente Valdez 89 / Casillero Depto 32 Camelia'</v>
      </c>
      <c r="F153" s="114">
        <v>13132</v>
      </c>
      <c r="G153" s="114">
        <v>13</v>
      </c>
      <c r="H153" s="135" t="s">
        <v>2137</v>
      </c>
      <c r="I153" s="122" t="str">
        <f t="shared" si="4"/>
        <v>INSERT INTO CLIENTES(RUT_CLIENTE,RAZON_SOCIAL,DIRECCION,ID_COMUNA,ID_REGION,FECHA_NACIMIENTO) VALUES (NULL,'Dani Vidal','Vicente Valdez 89 / Casillero Depto 32 Camelia',13132,13,TO_DATE('29-11-1967','DD-MM-YYYY'));</v>
      </c>
    </row>
    <row r="154" spans="1:9" ht="26.4">
      <c r="A154" t="str">
        <f>Clientes!A139</f>
        <v>Daniela - La Montura 4577</v>
      </c>
      <c r="B154" s="115">
        <f t="shared" si="5"/>
        <v>137</v>
      </c>
      <c r="C154" s="134" t="str">
        <f>IF(ISBLANK(Clientes!L139),"NULL",CONCATENATE("'",Clientes!L139,"'"))</f>
        <v>NULL</v>
      </c>
      <c r="D154" s="114" t="str">
        <f>CONCATENATE("'",Clientes!A139,"'")</f>
        <v>'Daniela - La Montura 4577'</v>
      </c>
      <c r="E154" s="114" t="str">
        <f>IF(ISBLANK(Clientes!C139),"'Sin Direccion'",CONCATENATE("'",MID(Clientes!C139,1,95),"'"))</f>
        <v>'La Montura 4577'</v>
      </c>
      <c r="F154" s="114">
        <v>13201</v>
      </c>
      <c r="G154" s="114">
        <v>13</v>
      </c>
      <c r="H154" s="135" t="s">
        <v>2137</v>
      </c>
      <c r="I154" s="122" t="str">
        <f t="shared" si="4"/>
        <v>INSERT INTO CLIENTES(RUT_CLIENTE,RAZON_SOCIAL,DIRECCION,ID_COMUNA,ID_REGION,FECHA_NACIMIENTO) VALUES (NULL,'Daniela - La Montura 4577','La Montura 4577',13201,13,TO_DATE('29-11-1967','DD-MM-YYYY'));</v>
      </c>
    </row>
    <row r="155" spans="1:9" ht="26.4">
      <c r="A155" t="str">
        <f>Clientes!A140</f>
        <v>Daniela Alejandra J.Eden</v>
      </c>
      <c r="B155" s="115">
        <f t="shared" si="5"/>
        <v>138</v>
      </c>
      <c r="C155" s="134" t="str">
        <f>IF(ISBLANK(Clientes!L140),"NULL",CONCATENATE("'",Clientes!L140,"'"))</f>
        <v>NULL</v>
      </c>
      <c r="D155" s="114" t="str">
        <f>CONCATENATE("'",Clientes!A140,"'")</f>
        <v>'Daniela Alejandra J.Eden'</v>
      </c>
      <c r="E155" s="114" t="str">
        <f>IF(ISBLANK(Clientes!C140),"'Sin Direccion'",CONCATENATE("'",MID(Clientes!C140,1,95),"'"))</f>
        <v>'Magnolio 3366'</v>
      </c>
      <c r="F155" s="114">
        <v>13202</v>
      </c>
      <c r="G155" s="114">
        <v>13</v>
      </c>
      <c r="H155" s="135" t="s">
        <v>2137</v>
      </c>
      <c r="I155" s="122" t="str">
        <f t="shared" si="4"/>
        <v>INSERT INTO CLIENTES(RUT_CLIENTE,RAZON_SOCIAL,DIRECCION,ID_COMUNA,ID_REGION,FECHA_NACIMIENTO) VALUES (NULL,'Daniela Alejandra J.Eden','Magnolio 3366',13202,13,TO_DATE('29-11-1967','DD-MM-YYYY'));</v>
      </c>
    </row>
    <row r="156" spans="1:9" ht="26.4">
      <c r="A156" t="str">
        <f>Clientes!A141</f>
        <v>Daniela Beiza</v>
      </c>
      <c r="B156" s="115">
        <f t="shared" si="5"/>
        <v>139</v>
      </c>
      <c r="C156" s="134" t="str">
        <f>IF(ISBLANK(Clientes!L141),"NULL",CONCATENATE("'",Clientes!L141,"'"))</f>
        <v>NULL</v>
      </c>
      <c r="D156" s="114" t="str">
        <f>CONCATENATE("'",Clientes!A141,"'")</f>
        <v>'Daniela Beiza'</v>
      </c>
      <c r="E156" s="114" t="str">
        <f>IF(ISBLANK(Clientes!C141),"'Sin Direccion'",CONCATENATE("'",MID(Clientes!C141,1,95),"'"))</f>
        <v>'Lantana 8599'</v>
      </c>
      <c r="F156" s="114">
        <v>13203</v>
      </c>
      <c r="G156" s="114">
        <v>13</v>
      </c>
      <c r="H156" s="135" t="s">
        <v>2137</v>
      </c>
      <c r="I156" s="122" t="str">
        <f t="shared" si="4"/>
        <v>INSERT INTO CLIENTES(RUT_CLIENTE,RAZON_SOCIAL,DIRECCION,ID_COMUNA,ID_REGION,FECHA_NACIMIENTO) VALUES (NULL,'Daniela Beiza','Lantana 8599',13203,13,TO_DATE('29-11-1967','DD-MM-YYYY'));</v>
      </c>
    </row>
    <row r="157" spans="1:9" ht="26.4">
      <c r="A157" t="str">
        <f>Clientes!A142</f>
        <v>Daniela Ramirez</v>
      </c>
      <c r="B157" s="115">
        <f t="shared" si="5"/>
        <v>140</v>
      </c>
      <c r="C157" s="134" t="str">
        <f>IF(ISBLANK(Clientes!L142),"NULL",CONCATENATE("'",Clientes!L142,"'"))</f>
        <v>NULL</v>
      </c>
      <c r="D157" s="114" t="str">
        <f>CONCATENATE("'",Clientes!A142,"'")</f>
        <v>'Daniela Ramirez'</v>
      </c>
      <c r="E157" s="114" t="str">
        <f>IF(ISBLANK(Clientes!C142),"'Sin Direccion'",CONCATENATE("'",MID(Clientes!C142,1,95),"'"))</f>
        <v>'Cumelen Bajo 8948 entrar por loma oriente'</v>
      </c>
      <c r="F157" s="114">
        <v>13301</v>
      </c>
      <c r="G157" s="114">
        <v>13</v>
      </c>
      <c r="H157" s="135" t="s">
        <v>2137</v>
      </c>
      <c r="I157" s="122" t="str">
        <f t="shared" si="4"/>
        <v>INSERT INTO CLIENTES(RUT_CLIENTE,RAZON_SOCIAL,DIRECCION,ID_COMUNA,ID_REGION,FECHA_NACIMIENTO) VALUES (NULL,'Daniela Ramirez','Cumelen Bajo 8948 entrar por loma oriente',13301,13,TO_DATE('29-11-1967','DD-MM-YYYY'));</v>
      </c>
    </row>
    <row r="158" spans="1:9" ht="26.4">
      <c r="A158" t="str">
        <f>Clientes!A143</f>
        <v>Daniela Torres</v>
      </c>
      <c r="B158" s="115">
        <f t="shared" si="5"/>
        <v>141</v>
      </c>
      <c r="C158" s="134" t="str">
        <f>IF(ISBLANK(Clientes!L143),"NULL",CONCATENATE("'",Clientes!L143,"'"))</f>
        <v>NULL</v>
      </c>
      <c r="D158" s="114" t="str">
        <f>CONCATENATE("'",Clientes!A143,"'")</f>
        <v>'Daniela Torres'</v>
      </c>
      <c r="E158" s="114" t="str">
        <f>IF(ISBLANK(Clientes!C143),"'Sin Direccion'",CONCATENATE("'",MID(Clientes!C143,1,95),"'"))</f>
        <v>'Walker Martínez 3142 depto. 404'</v>
      </c>
      <c r="F158" s="114">
        <v>13302</v>
      </c>
      <c r="G158" s="114">
        <v>13</v>
      </c>
      <c r="H158" s="135" t="s">
        <v>2137</v>
      </c>
      <c r="I158" s="122" t="str">
        <f t="shared" si="4"/>
        <v>INSERT INTO CLIENTES(RUT_CLIENTE,RAZON_SOCIAL,DIRECCION,ID_COMUNA,ID_REGION,FECHA_NACIMIENTO) VALUES (NULL,'Daniela Torres','Walker Martínez 3142 depto. 404',13302,13,TO_DATE('29-11-1967','DD-MM-YYYY'));</v>
      </c>
    </row>
    <row r="159" spans="1:9" ht="26.4">
      <c r="A159" t="str">
        <f>Clientes!A144</f>
        <v>Danna C Vidal</v>
      </c>
      <c r="B159" s="115">
        <f t="shared" si="5"/>
        <v>142</v>
      </c>
      <c r="C159" s="134" t="str">
        <f>IF(ISBLANK(Clientes!L144),"NULL",CONCATENATE("'",Clientes!L144,"'"))</f>
        <v>NULL</v>
      </c>
      <c r="D159" s="114" t="str">
        <f>CONCATENATE("'",Clientes!A144,"'")</f>
        <v>'Danna C Vidal'</v>
      </c>
      <c r="E159" s="114" t="str">
        <f>IF(ISBLANK(Clientes!C144),"'Sin Direccion'",CONCATENATE("'",MID(Clientes!C144,1,95),"'"))</f>
        <v>'Hurtado Mendoza'</v>
      </c>
      <c r="F159" s="114">
        <v>13303</v>
      </c>
      <c r="G159" s="114">
        <v>13</v>
      </c>
      <c r="H159" s="135" t="s">
        <v>2137</v>
      </c>
      <c r="I159" s="122" t="str">
        <f t="shared" si="4"/>
        <v>INSERT INTO CLIENTES(RUT_CLIENTE,RAZON_SOCIAL,DIRECCION,ID_COMUNA,ID_REGION,FECHA_NACIMIENTO) VALUES (NULL,'Danna C Vidal','Hurtado Mendoza',13303,13,TO_DATE('29-11-1967','DD-MM-YYYY'));</v>
      </c>
    </row>
    <row r="160" spans="1:9" ht="26.4">
      <c r="A160" t="str">
        <f>Clientes!A145</f>
        <v>Débora Garrido</v>
      </c>
      <c r="B160" s="115">
        <f t="shared" si="5"/>
        <v>143</v>
      </c>
      <c r="C160" s="134" t="str">
        <f>IF(ISBLANK(Clientes!L145),"NULL",CONCATENATE("'",Clientes!L145,"'"))</f>
        <v>NULL</v>
      </c>
      <c r="D160" s="114" t="str">
        <f>CONCATENATE("'",Clientes!A145,"'")</f>
        <v>'Débora Garrido'</v>
      </c>
      <c r="E160" s="114" t="str">
        <f>IF(ISBLANK(Clientes!C145),"'Sin Direccion'",CONCATENATE("'",MID(Clientes!C145,1,95),"'"))</f>
        <v>'Sin Direccion'</v>
      </c>
      <c r="F160" s="114">
        <v>13401</v>
      </c>
      <c r="G160" s="114">
        <v>13</v>
      </c>
      <c r="H160" s="135" t="s">
        <v>2137</v>
      </c>
      <c r="I160" s="122" t="str">
        <f t="shared" si="4"/>
        <v>INSERT INTO CLIENTES(RUT_CLIENTE,RAZON_SOCIAL,DIRECCION,ID_COMUNA,ID_REGION,FECHA_NACIMIENTO) VALUES (NULL,'Débora Garrido','Sin Direccion',13401,13,TO_DATE('29-11-1967','DD-MM-YYYY'));</v>
      </c>
    </row>
    <row r="161" spans="1:9" ht="26.4">
      <c r="A161" t="str">
        <f>Clientes!A146</f>
        <v>Denisse Castro</v>
      </c>
      <c r="B161" s="115">
        <f t="shared" si="5"/>
        <v>144</v>
      </c>
      <c r="C161" s="134" t="str">
        <f>IF(ISBLANK(Clientes!L146),"NULL",CONCATENATE("'",Clientes!L146,"'"))</f>
        <v>NULL</v>
      </c>
      <c r="D161" s="114" t="str">
        <f>CONCATENATE("'",Clientes!A146,"'")</f>
        <v>'Denisse Castro'</v>
      </c>
      <c r="E161" s="114" t="str">
        <f>IF(ISBLANK(Clientes!C146),"'Sin Direccion'",CONCATENATE("'",MID(Clientes!C146,1,95),"'"))</f>
        <v>'Sin Direccion'</v>
      </c>
      <c r="F161" s="114">
        <v>13402</v>
      </c>
      <c r="G161" s="114">
        <v>13</v>
      </c>
      <c r="H161" s="135" t="s">
        <v>2137</v>
      </c>
      <c r="I161" s="122" t="str">
        <f t="shared" si="4"/>
        <v>INSERT INTO CLIENTES(RUT_CLIENTE,RAZON_SOCIAL,DIRECCION,ID_COMUNA,ID_REGION,FECHA_NACIMIENTO) VALUES (NULL,'Denisse Castro','Sin Direccion',13402,13,TO_DATE('29-11-1967','DD-MM-YYYY'));</v>
      </c>
    </row>
    <row r="162" spans="1:9" ht="26.4">
      <c r="A162" t="str">
        <f>Clientes!A147</f>
        <v>Denisse Martel (Niss Calusari)</v>
      </c>
      <c r="B162" s="115">
        <f t="shared" si="5"/>
        <v>145</v>
      </c>
      <c r="C162" s="134" t="str">
        <f>IF(ISBLANK(Clientes!L147),"NULL",CONCATENATE("'",Clientes!L147,"'"))</f>
        <v>NULL</v>
      </c>
      <c r="D162" s="114" t="str">
        <f>CONCATENATE("'",Clientes!A147,"'")</f>
        <v>'Denisse Martel (Niss Calusari)'</v>
      </c>
      <c r="E162" s="114" t="str">
        <f>IF(ISBLANK(Clientes!C147),"'Sin Direccion'",CONCATENATE("'",MID(Clientes!C147,1,95),"'"))</f>
        <v>'Ginko amarillo 8840'</v>
      </c>
      <c r="F162" s="114">
        <v>13403</v>
      </c>
      <c r="G162" s="114">
        <v>13</v>
      </c>
      <c r="H162" s="135" t="s">
        <v>2137</v>
      </c>
      <c r="I162" s="122" t="str">
        <f t="shared" si="4"/>
        <v>INSERT INTO CLIENTES(RUT_CLIENTE,RAZON_SOCIAL,DIRECCION,ID_COMUNA,ID_REGION,FECHA_NACIMIENTO) VALUES (NULL,'Denisse Martel (Niss Calusari)','Ginko amarillo 8840',13403,13,TO_DATE('29-11-1967','DD-MM-YYYY'));</v>
      </c>
    </row>
    <row r="163" spans="1:9" ht="26.4">
      <c r="A163" t="str">
        <f>Clientes!A148</f>
        <v>Diana Carolina Ramirez</v>
      </c>
      <c r="B163" s="115">
        <f t="shared" si="5"/>
        <v>146</v>
      </c>
      <c r="C163" s="134" t="str">
        <f>IF(ISBLANK(Clientes!L148),"NULL",CONCATENATE("'",Clientes!L148,"'"))</f>
        <v>NULL</v>
      </c>
      <c r="D163" s="114" t="str">
        <f>CONCATENATE("'",Clientes!A148,"'")</f>
        <v>'Diana Carolina Ramirez'</v>
      </c>
      <c r="E163" s="114" t="str">
        <f>IF(ISBLANK(Clientes!C148),"'Sin Direccion'",CONCATENATE("'",MID(Clientes!C148,1,95),"'"))</f>
        <v>'Sin Direccion'</v>
      </c>
      <c r="F163" s="114">
        <v>13404</v>
      </c>
      <c r="G163" s="114">
        <v>13</v>
      </c>
      <c r="H163" s="135" t="s">
        <v>2137</v>
      </c>
      <c r="I163" s="122" t="str">
        <f t="shared" si="4"/>
        <v>INSERT INTO CLIENTES(RUT_CLIENTE,RAZON_SOCIAL,DIRECCION,ID_COMUNA,ID_REGION,FECHA_NACIMIENTO) VALUES (NULL,'Diana Carolina Ramirez','Sin Direccion',13404,13,TO_DATE('29-11-1967','DD-MM-YYYY'));</v>
      </c>
    </row>
    <row r="164" spans="1:9" ht="26.4">
      <c r="A164" t="str">
        <f>Clientes!A149</f>
        <v>Diana Grudechut</v>
      </c>
      <c r="B164" s="115">
        <f t="shared" si="5"/>
        <v>147</v>
      </c>
      <c r="C164" s="134" t="str">
        <f>IF(ISBLANK(Clientes!L149),"NULL",CONCATENATE("'",Clientes!L149,"'"))</f>
        <v>NULL</v>
      </c>
      <c r="D164" s="114" t="str">
        <f>CONCATENATE("'",Clientes!A149,"'")</f>
        <v>'Diana Grudechut'</v>
      </c>
      <c r="E164" s="114" t="str">
        <f>IF(ISBLANK(Clientes!C149),"'Sin Direccion'",CONCATENATE("'",MID(Clientes!C149,1,95),"'"))</f>
        <v>'Rojas Magallanes 2085 Depto 401'</v>
      </c>
      <c r="F164" s="114">
        <v>13501</v>
      </c>
      <c r="G164" s="114">
        <v>13</v>
      </c>
      <c r="H164" s="135" t="s">
        <v>2137</v>
      </c>
      <c r="I164" s="122" t="str">
        <f t="shared" si="4"/>
        <v>INSERT INTO CLIENTES(RUT_CLIENTE,RAZON_SOCIAL,DIRECCION,ID_COMUNA,ID_REGION,FECHA_NACIMIENTO) VALUES (NULL,'Diana Grudechut','Rojas Magallanes 2085 Depto 401',13501,13,TO_DATE('29-11-1967','DD-MM-YYYY'));</v>
      </c>
    </row>
    <row r="165" spans="1:9" ht="26.4">
      <c r="A165" t="str">
        <f>Clientes!A150</f>
        <v>Dinka - Fukui 6853</v>
      </c>
      <c r="B165" s="115">
        <f t="shared" si="5"/>
        <v>148</v>
      </c>
      <c r="C165" s="134" t="str">
        <f>IF(ISBLANK(Clientes!L150),"NULL",CONCATENATE("'",Clientes!L150,"'"))</f>
        <v>NULL</v>
      </c>
      <c r="D165" s="114" t="str">
        <f>CONCATENATE("'",Clientes!A150,"'")</f>
        <v>'Dinka - Fukui 6853'</v>
      </c>
      <c r="E165" s="114" t="str">
        <f>IF(ISBLANK(Clientes!C150),"'Sin Direccion'",CONCATENATE("'",MID(Clientes!C150,1,95),"'"))</f>
        <v>'Fukui 6853'</v>
      </c>
      <c r="F165" s="114">
        <v>13502</v>
      </c>
      <c r="G165" s="114">
        <v>13</v>
      </c>
      <c r="H165" s="135" t="s">
        <v>2137</v>
      </c>
      <c r="I165" s="122" t="str">
        <f t="shared" si="4"/>
        <v>INSERT INTO CLIENTES(RUT_CLIENTE,RAZON_SOCIAL,DIRECCION,ID_COMUNA,ID_REGION,FECHA_NACIMIENTO) VALUES (NULL,'Dinka - Fukui 6853','Fukui 6853',13502,13,TO_DATE('29-11-1967','DD-MM-YYYY'));</v>
      </c>
    </row>
    <row r="166" spans="1:9" ht="26.4">
      <c r="A166" t="str">
        <f>Clientes!A151</f>
        <v xml:space="preserve">Edith - Ñique </v>
      </c>
      <c r="B166" s="115">
        <f t="shared" si="5"/>
        <v>149</v>
      </c>
      <c r="C166" s="134" t="str">
        <f>IF(ISBLANK(Clientes!L151),"NULL",CONCATENATE("'",Clientes!L151,"'"))</f>
        <v>NULL</v>
      </c>
      <c r="D166" s="114" t="str">
        <f>CONCATENATE("'",Clientes!A151,"'")</f>
        <v>'Edith - Ñique '</v>
      </c>
      <c r="E166" s="114" t="str">
        <f>IF(ISBLANK(Clientes!C151),"'Sin Direccion'",CONCATENATE("'",MID(Clientes!C151,1,95),"'"))</f>
        <v>'Ñipa 1087 villa areas verdes  la Florida'</v>
      </c>
      <c r="F166" s="114">
        <v>13503</v>
      </c>
      <c r="G166" s="114">
        <v>13</v>
      </c>
      <c r="H166" s="135" t="s">
        <v>2137</v>
      </c>
      <c r="I166" s="122" t="str">
        <f t="shared" si="4"/>
        <v>INSERT INTO CLIENTES(RUT_CLIENTE,RAZON_SOCIAL,DIRECCION,ID_COMUNA,ID_REGION,FECHA_NACIMIENTO) VALUES (NULL,'Edith - Ñique ','Ñipa 1087 villa areas verdes  la Florida',13503,13,TO_DATE('29-11-1967','DD-MM-YYYY'));</v>
      </c>
    </row>
    <row r="167" spans="1:9" ht="26.4">
      <c r="A167" t="str">
        <f>Clientes!A152</f>
        <v>Eduardo Gonzalez</v>
      </c>
      <c r="B167" s="115">
        <f t="shared" si="5"/>
        <v>150</v>
      </c>
      <c r="C167" s="134" t="str">
        <f>IF(ISBLANK(Clientes!L152),"NULL",CONCATENATE("'",Clientes!L152,"'"))</f>
        <v>NULL</v>
      </c>
      <c r="D167" s="114" t="str">
        <f>CONCATENATE("'",Clientes!A152,"'")</f>
        <v>'Eduardo Gonzalez'</v>
      </c>
      <c r="E167" s="114" t="str">
        <f>IF(ISBLANK(Clientes!C152),"'Sin Direccion'",CONCATENATE("'",MID(Clientes!C152,1,95),"'"))</f>
        <v>'Sin Direccion'</v>
      </c>
      <c r="F167" s="114">
        <v>13504</v>
      </c>
      <c r="G167" s="114">
        <v>13</v>
      </c>
      <c r="H167" s="135" t="s">
        <v>2137</v>
      </c>
      <c r="I167" s="122" t="str">
        <f t="shared" si="4"/>
        <v>INSERT INTO CLIENTES(RUT_CLIENTE,RAZON_SOCIAL,DIRECCION,ID_COMUNA,ID_REGION,FECHA_NACIMIENTO) VALUES (NULL,'Eduardo Gonzalez','Sin Direccion',13504,13,TO_DATE('29-11-1967','DD-MM-YYYY'));</v>
      </c>
    </row>
    <row r="168" spans="1:9" ht="26.4">
      <c r="A168" t="str">
        <f>Clientes!A153</f>
        <v>Tamara Pino</v>
      </c>
      <c r="B168" s="115">
        <f t="shared" si="5"/>
        <v>151</v>
      </c>
      <c r="C168" s="134" t="str">
        <f>IF(ISBLANK(Clientes!L153),"NULL",CONCATENATE("'",Clientes!L153,"'"))</f>
        <v>NULL</v>
      </c>
      <c r="D168" s="114" t="str">
        <f>CONCATENATE("'",Clientes!A153,"'")</f>
        <v>'Tamara Pino'</v>
      </c>
      <c r="E168" s="114" t="str">
        <f>IF(ISBLANK(Clientes!C153),"'Sin Direccion'",CONCATENATE("'",MID(Clientes!C153,1,95),"'"))</f>
        <v>'Belloto del norte (vecina al lado izquierdo)'</v>
      </c>
      <c r="F168" s="114">
        <v>13505</v>
      </c>
      <c r="G168" s="114">
        <v>13</v>
      </c>
      <c r="H168" s="135" t="s">
        <v>2137</v>
      </c>
      <c r="I168" s="122" t="str">
        <f t="shared" si="4"/>
        <v>INSERT INTO CLIENTES(RUT_CLIENTE,RAZON_SOCIAL,DIRECCION,ID_COMUNA,ID_REGION,FECHA_NACIMIENTO) VALUES (NULL,'Tamara Pino','Belloto del norte (vecina al lado izquierdo)',13505,13,TO_DATE('29-11-1967','DD-MM-YYYY'));</v>
      </c>
    </row>
    <row r="169" spans="1:9" ht="26.4">
      <c r="A169" t="str">
        <f>Clientes!A154</f>
        <v>Eliabeth Soto</v>
      </c>
      <c r="B169" s="115">
        <f t="shared" si="5"/>
        <v>152</v>
      </c>
      <c r="C169" s="134" t="str">
        <f>IF(ISBLANK(Clientes!L154),"NULL",CONCATENATE("'",Clientes!L154,"'"))</f>
        <v>NULL</v>
      </c>
      <c r="D169" s="114" t="str">
        <f>CONCATENATE("'",Clientes!A154,"'")</f>
        <v>'Eliabeth Soto'</v>
      </c>
      <c r="E169" s="114" t="str">
        <f>IF(ISBLANK(Clientes!C154),"'Sin Direccion'",CONCATENATE("'",MID(Clientes!C154,1,95),"'"))</f>
        <v>'Alonso de Ercilla 8689 depto C401'</v>
      </c>
      <c r="F169" s="114">
        <v>13601</v>
      </c>
      <c r="G169" s="114">
        <v>13</v>
      </c>
      <c r="H169" s="135" t="s">
        <v>2137</v>
      </c>
      <c r="I169" s="122" t="str">
        <f t="shared" si="4"/>
        <v>INSERT INTO CLIENTES(RUT_CLIENTE,RAZON_SOCIAL,DIRECCION,ID_COMUNA,ID_REGION,FECHA_NACIMIENTO) VALUES (NULL,'Eliabeth Soto','Alonso de Ercilla 8689 depto C401',13601,13,TO_DATE('29-11-1967','DD-MM-YYYY'));</v>
      </c>
    </row>
    <row r="170" spans="1:9" ht="26.4">
      <c r="A170" t="str">
        <f>Clientes!A155</f>
        <v>Esteban Michea</v>
      </c>
      <c r="B170" s="115">
        <f t="shared" si="5"/>
        <v>153</v>
      </c>
      <c r="C170" s="134" t="str">
        <f>IF(ISBLANK(Clientes!L155),"NULL",CONCATENATE("'",Clientes!L155,"'"))</f>
        <v>NULL</v>
      </c>
      <c r="D170" s="114" t="str">
        <f>CONCATENATE("'",Clientes!A155,"'")</f>
        <v>'Esteban Michea'</v>
      </c>
      <c r="E170" s="114" t="str">
        <f>IF(ISBLANK(Clientes!C155),"'Sin Direccion'",CONCATENATE("'",MID(Clientes!C155,1,95),"'"))</f>
        <v>'Santa Elvira 8445'</v>
      </c>
      <c r="F170" s="114">
        <v>13602</v>
      </c>
      <c r="G170" s="114">
        <v>13</v>
      </c>
      <c r="H170" s="135" t="s">
        <v>2137</v>
      </c>
      <c r="I170" s="122" t="str">
        <f t="shared" si="4"/>
        <v>INSERT INTO CLIENTES(RUT_CLIENTE,RAZON_SOCIAL,DIRECCION,ID_COMUNA,ID_REGION,FECHA_NACIMIENTO) VALUES (NULL,'Esteban Michea','Santa Elvira 8445',13602,13,TO_DATE('29-11-1967','DD-MM-YYYY'));</v>
      </c>
    </row>
    <row r="171" spans="1:9" ht="26.4">
      <c r="A171" t="str">
        <f>Clientes!A156</f>
        <v>Elizabeth Martinez</v>
      </c>
      <c r="B171" s="115">
        <f t="shared" si="5"/>
        <v>154</v>
      </c>
      <c r="C171" s="134" t="str">
        <f>IF(ISBLANK(Clientes!L156),"NULL",CONCATENATE("'",Clientes!L156,"'"))</f>
        <v>NULL</v>
      </c>
      <c r="D171" s="114" t="str">
        <f>CONCATENATE("'",Clientes!A156,"'")</f>
        <v>'Elizabeth Martinez'</v>
      </c>
      <c r="E171" s="114" t="str">
        <f>IF(ISBLANK(Clientes!C156),"'Sin Direccion'",CONCATENATE("'",MID(Clientes!C156,1,95),"'"))</f>
        <v>'Santa Elvira 8445'</v>
      </c>
      <c r="F171" s="114">
        <v>13603</v>
      </c>
      <c r="G171" s="114">
        <v>13</v>
      </c>
      <c r="H171" s="135" t="s">
        <v>2137</v>
      </c>
      <c r="I171" s="122" t="str">
        <f t="shared" si="4"/>
        <v>INSERT INTO CLIENTES(RUT_CLIENTE,RAZON_SOCIAL,DIRECCION,ID_COMUNA,ID_REGION,FECHA_NACIMIENTO) VALUES (NULL,'Elizabeth Martinez','Santa Elvira 8445',13603,13,TO_DATE('29-11-1967','DD-MM-YYYY'));</v>
      </c>
    </row>
    <row r="172" spans="1:9" ht="26.4">
      <c r="A172" t="str">
        <f>Clientes!A157</f>
        <v>Elizabeth Yevenez</v>
      </c>
      <c r="B172" s="115">
        <f t="shared" si="5"/>
        <v>155</v>
      </c>
      <c r="C172" s="134" t="str">
        <f>IF(ISBLANK(Clientes!L157),"NULL",CONCATENATE("'",Clientes!L157,"'"))</f>
        <v>NULL</v>
      </c>
      <c r="D172" s="114" t="str">
        <f>CONCATENATE("'",Clientes!A157,"'")</f>
        <v>'Elizabeth Yevenez'</v>
      </c>
      <c r="E172" s="114" t="str">
        <f>IF(ISBLANK(Clientes!C157),"'Sin Direccion'",CONCATENATE("'",MID(Clientes!C157,1,95),"'"))</f>
        <v>'Yokohama 6916, La Florida'</v>
      </c>
      <c r="F172" s="114">
        <v>13604</v>
      </c>
      <c r="G172" s="114">
        <v>13</v>
      </c>
      <c r="H172" s="135" t="s">
        <v>2137</v>
      </c>
      <c r="I172" s="122" t="str">
        <f t="shared" si="4"/>
        <v>INSERT INTO CLIENTES(RUT_CLIENTE,RAZON_SOCIAL,DIRECCION,ID_COMUNA,ID_REGION,FECHA_NACIMIENTO) VALUES (NULL,'Elizabeth Yevenez','Yokohama 6916, La Florida',13604,13,TO_DATE('29-11-1967','DD-MM-YYYY'));</v>
      </c>
    </row>
    <row r="173" spans="1:9" ht="26.4">
      <c r="A173" t="str">
        <f>Clientes!A158</f>
        <v>Enzo Basso</v>
      </c>
      <c r="B173" s="115">
        <f t="shared" si="5"/>
        <v>156</v>
      </c>
      <c r="C173" s="134" t="str">
        <f>IF(ISBLANK(Clientes!L158),"NULL",CONCATENATE("'",Clientes!L158,"'"))</f>
        <v>NULL</v>
      </c>
      <c r="D173" s="114" t="str">
        <f>CONCATENATE("'",Clientes!A158,"'")</f>
        <v>'Enzo Basso'</v>
      </c>
      <c r="E173" s="114" t="str">
        <f>IF(ISBLANK(Clientes!C158),"'Sin Direccion'",CONCATENATE("'",MID(Clientes!C158,1,95),"'"))</f>
        <v>'Sándalo Poniente # 8391'</v>
      </c>
      <c r="F173" s="114">
        <v>13605</v>
      </c>
      <c r="G173" s="114">
        <v>13</v>
      </c>
      <c r="H173" s="135" t="s">
        <v>2137</v>
      </c>
      <c r="I173" s="122" t="str">
        <f t="shared" si="4"/>
        <v>INSERT INTO CLIENTES(RUT_CLIENTE,RAZON_SOCIAL,DIRECCION,ID_COMUNA,ID_REGION,FECHA_NACIMIENTO) VALUES (NULL,'Enzo Basso','Sándalo Poniente # 8391',13605,13,TO_DATE('29-11-1967','DD-MM-YYYY'));</v>
      </c>
    </row>
    <row r="174" spans="1:9" ht="26.4">
      <c r="A174" t="str">
        <f>Clientes!A159</f>
        <v>Erica- capernaum</v>
      </c>
      <c r="B174" s="115">
        <f t="shared" si="5"/>
        <v>157</v>
      </c>
      <c r="C174" s="134" t="str">
        <f>IF(ISBLANK(Clientes!L159),"NULL",CONCATENATE("'",Clientes!L159,"'"))</f>
        <v>NULL</v>
      </c>
      <c r="D174" s="114" t="str">
        <f>CONCATENATE("'",Clientes!A159,"'")</f>
        <v>'Erica- capernaum'</v>
      </c>
      <c r="E174" s="114" t="str">
        <f>IF(ISBLANK(Clientes!C159),"'Sin Direccion'",CONCATENATE("'",MID(Clientes!C159,1,95),"'"))</f>
        <v>'capernaum 3473 con Jardin Alto'</v>
      </c>
      <c r="F174" s="114">
        <v>13101</v>
      </c>
      <c r="G174" s="114">
        <v>13</v>
      </c>
      <c r="H174" s="135" t="s">
        <v>2137</v>
      </c>
      <c r="I174" s="122" t="str">
        <f t="shared" si="4"/>
        <v>INSERT INTO CLIENTES(RUT_CLIENTE,RAZON_SOCIAL,DIRECCION,ID_COMUNA,ID_REGION,FECHA_NACIMIENTO) VALUES (NULL,'Erica- capernaum','capernaum 3473 con Jardin Alto',13101,13,TO_DATE('29-11-1967','DD-MM-YYYY'));</v>
      </c>
    </row>
    <row r="175" spans="1:9" ht="26.4">
      <c r="A175" t="str">
        <f>Clientes!A160</f>
        <v>Erika Torres</v>
      </c>
      <c r="B175" s="115">
        <f t="shared" si="5"/>
        <v>158</v>
      </c>
      <c r="C175" s="134" t="str">
        <f>IF(ISBLANK(Clientes!L160),"NULL",CONCATENATE("'",Clientes!L160,"'"))</f>
        <v>NULL</v>
      </c>
      <c r="D175" s="114" t="str">
        <f>CONCATENATE("'",Clientes!A160,"'")</f>
        <v>'Erika Torres'</v>
      </c>
      <c r="E175" s="114" t="str">
        <f>IF(ISBLANK(Clientes!C160),"'Sin Direccion'",CONCATENATE("'",MID(Clientes!C160,1,95),"'"))</f>
        <v>'Sin Direccion'</v>
      </c>
      <c r="F175" s="114">
        <v>13102</v>
      </c>
      <c r="G175" s="114">
        <v>13</v>
      </c>
      <c r="H175" s="135" t="s">
        <v>2137</v>
      </c>
      <c r="I175" s="122" t="str">
        <f t="shared" si="4"/>
        <v>INSERT INTO CLIENTES(RUT_CLIENTE,RAZON_SOCIAL,DIRECCION,ID_COMUNA,ID_REGION,FECHA_NACIMIENTO) VALUES (NULL,'Erika Torres','Sin Direccion',13102,13,TO_DATE('29-11-1967','DD-MM-YYYY'));</v>
      </c>
    </row>
    <row r="176" spans="1:9" ht="26.4">
      <c r="A176" t="str">
        <f>Clientes!A161</f>
        <v>Esteban Huilquehue 2783</v>
      </c>
      <c r="B176" s="115">
        <f t="shared" si="5"/>
        <v>159</v>
      </c>
      <c r="C176" s="134" t="str">
        <f>IF(ISBLANK(Clientes!L161),"NULL",CONCATENATE("'",Clientes!L161,"'"))</f>
        <v>NULL</v>
      </c>
      <c r="D176" s="114" t="str">
        <f>CONCATENATE("'",Clientes!A161,"'")</f>
        <v>'Esteban Huilquehue 2783'</v>
      </c>
      <c r="E176" s="114" t="str">
        <f>IF(ISBLANK(Clientes!C161),"'Sin Direccion'",CONCATENATE("'",MID(Clientes!C161,1,95),"'"))</f>
        <v>'Huilquehue 2783, La Florida'</v>
      </c>
      <c r="F176" s="114">
        <v>13103</v>
      </c>
      <c r="G176" s="114">
        <v>13</v>
      </c>
      <c r="H176" s="135" t="s">
        <v>2137</v>
      </c>
      <c r="I176" s="122" t="str">
        <f t="shared" si="4"/>
        <v>INSERT INTO CLIENTES(RUT_CLIENTE,RAZON_SOCIAL,DIRECCION,ID_COMUNA,ID_REGION,FECHA_NACIMIENTO) VALUES (NULL,'Esteban Huilquehue 2783','Huilquehue 2783, La Florida',13103,13,TO_DATE('29-11-1967','DD-MM-YYYY'));</v>
      </c>
    </row>
    <row r="177" spans="1:9" ht="26.4">
      <c r="A177" t="str">
        <f>Clientes!A162</f>
        <v>Estefania Vergara</v>
      </c>
      <c r="B177" s="115">
        <f t="shared" si="5"/>
        <v>160</v>
      </c>
      <c r="C177" s="134" t="str">
        <f>IF(ISBLANK(Clientes!L162),"NULL",CONCATENATE("'",Clientes!L162,"'"))</f>
        <v>NULL</v>
      </c>
      <c r="D177" s="114" t="str">
        <f>CONCATENATE("'",Clientes!A162,"'")</f>
        <v>'Estefania Vergara'</v>
      </c>
      <c r="E177" s="114" t="str">
        <f>IF(ISBLANK(Clientes!C162),"'Sin Direccion'",CONCATENATE("'",MID(Clientes!C162,1,95),"'"))</f>
        <v>'San Iñigo 3319'</v>
      </c>
      <c r="F177" s="114">
        <v>13104</v>
      </c>
      <c r="G177" s="114">
        <v>13</v>
      </c>
      <c r="H177" s="135" t="s">
        <v>2137</v>
      </c>
      <c r="I177" s="122" t="str">
        <f t="shared" si="4"/>
        <v>INSERT INTO CLIENTES(RUT_CLIENTE,RAZON_SOCIAL,DIRECCION,ID_COMUNA,ID_REGION,FECHA_NACIMIENTO) VALUES (NULL,'Estefania Vergara','San Iñigo 3319',13104,13,TO_DATE('29-11-1967','DD-MM-YYYY'));</v>
      </c>
    </row>
    <row r="178" spans="1:9" ht="26.4">
      <c r="A178" t="str">
        <f>Clientes!A163</f>
        <v>Eugenia Trujillo Navarro</v>
      </c>
      <c r="B178" s="115">
        <f t="shared" si="5"/>
        <v>161</v>
      </c>
      <c r="C178" s="134" t="str">
        <f>IF(ISBLANK(Clientes!L163),"NULL",CONCATENATE("'",Clientes!L163,"'"))</f>
        <v>NULL</v>
      </c>
      <c r="D178" s="114" t="str">
        <f>CONCATENATE("'",Clientes!A163,"'")</f>
        <v>'Eugenia Trujillo Navarro'</v>
      </c>
      <c r="E178" s="114" t="str">
        <f>IF(ISBLANK(Clientes!C163),"'Sin Direccion'",CONCATENATE("'",MID(Clientes!C163,1,95),"'"))</f>
        <v>'Azucena 9227'</v>
      </c>
      <c r="F178" s="114">
        <v>13105</v>
      </c>
      <c r="G178" s="114">
        <v>13</v>
      </c>
      <c r="H178" s="135" t="s">
        <v>2137</v>
      </c>
      <c r="I178" s="122" t="str">
        <f t="shared" si="4"/>
        <v>INSERT INTO CLIENTES(RUT_CLIENTE,RAZON_SOCIAL,DIRECCION,ID_COMUNA,ID_REGION,FECHA_NACIMIENTO) VALUES (NULL,'Eugenia Trujillo Navarro','Azucena 9227',13105,13,TO_DATE('29-11-1967','DD-MM-YYYY'));</v>
      </c>
    </row>
    <row r="179" spans="1:9" ht="26.4">
      <c r="A179" t="str">
        <f>Clientes!A164</f>
        <v>Eve Colegio Antilhue</v>
      </c>
      <c r="B179" s="115">
        <f t="shared" si="5"/>
        <v>162</v>
      </c>
      <c r="C179" s="134" t="str">
        <f>IF(ISBLANK(Clientes!L164),"NULL",CONCATENATE("'",Clientes!L164,"'"))</f>
        <v>NULL</v>
      </c>
      <c r="D179" s="114" t="str">
        <f>CONCATENATE("'",Clientes!A164,"'")</f>
        <v>'Eve Colegio Antilhue'</v>
      </c>
      <c r="E179" s="114" t="str">
        <f>IF(ISBLANK(Clientes!C164),"'Sin Direccion'",CONCATENATE("'",MID(Clientes!C164,1,95),"'"))</f>
        <v>'Sin Direccion'</v>
      </c>
      <c r="F179" s="114">
        <v>13106</v>
      </c>
      <c r="G179" s="114">
        <v>13</v>
      </c>
      <c r="H179" s="135" t="s">
        <v>2137</v>
      </c>
      <c r="I179" s="122" t="str">
        <f t="shared" si="4"/>
        <v>INSERT INTO CLIENTES(RUT_CLIENTE,RAZON_SOCIAL,DIRECCION,ID_COMUNA,ID_REGION,FECHA_NACIMIENTO) VALUES (NULL,'Eve Colegio Antilhue','Sin Direccion',13106,13,TO_DATE('29-11-1967','DD-MM-YYYY'));</v>
      </c>
    </row>
    <row r="180" spans="1:9" ht="26.4">
      <c r="A180" t="str">
        <f>Clientes!A165</f>
        <v>Evelyn Arroyo</v>
      </c>
      <c r="B180" s="115">
        <f t="shared" si="5"/>
        <v>163</v>
      </c>
      <c r="C180" s="134" t="str">
        <f>IF(ISBLANK(Clientes!L165),"NULL",CONCATENATE("'",Clientes!L165,"'"))</f>
        <v>NULL</v>
      </c>
      <c r="D180" s="114" t="str">
        <f>CONCATENATE("'",Clientes!A165,"'")</f>
        <v>'Evelyn Arroyo'</v>
      </c>
      <c r="E180" s="114" t="str">
        <f>IF(ISBLANK(Clientes!C165),"'Sin Direccion'",CONCATENATE("'",MID(Clientes!C165,1,95),"'"))</f>
        <v>'Antofagasta 3490 '</v>
      </c>
      <c r="F180" s="114">
        <v>13107</v>
      </c>
      <c r="G180" s="114">
        <v>13</v>
      </c>
      <c r="H180" s="135" t="s">
        <v>2137</v>
      </c>
      <c r="I180" s="122" t="str">
        <f t="shared" si="4"/>
        <v>INSERT INTO CLIENTES(RUT_CLIENTE,RAZON_SOCIAL,DIRECCION,ID_COMUNA,ID_REGION,FECHA_NACIMIENTO) VALUES (NULL,'Evelyn Arroyo','Antofagasta 3490 ',13107,13,TO_DATE('29-11-1967','DD-MM-YYYY'));</v>
      </c>
    </row>
    <row r="181" spans="1:9" ht="26.4">
      <c r="A181" t="str">
        <f>Clientes!A166</f>
        <v>Evelyn Cortes</v>
      </c>
      <c r="B181" s="115">
        <f t="shared" si="5"/>
        <v>164</v>
      </c>
      <c r="C181" s="134" t="str">
        <f>IF(ISBLANK(Clientes!L166),"NULL",CONCATENATE("'",Clientes!L166,"'"))</f>
        <v>NULL</v>
      </c>
      <c r="D181" s="114" t="str">
        <f>CONCATENATE("'",Clientes!A166,"'")</f>
        <v>'Evelyn Cortes'</v>
      </c>
      <c r="E181" s="114" t="str">
        <f>IF(ISBLANK(Clientes!C166),"'Sin Direccion'",CONCATENATE("'",MID(Clientes!C166,1,95),"'"))</f>
        <v>'Walker Martinez 2991 Torre A Depto 1204'</v>
      </c>
      <c r="F181" s="114">
        <v>13108</v>
      </c>
      <c r="G181" s="114">
        <v>13</v>
      </c>
      <c r="H181" s="135" t="s">
        <v>2137</v>
      </c>
      <c r="I181" s="122" t="str">
        <f t="shared" si="4"/>
        <v>INSERT INTO CLIENTES(RUT_CLIENTE,RAZON_SOCIAL,DIRECCION,ID_COMUNA,ID_REGION,FECHA_NACIMIENTO) VALUES (NULL,'Evelyn Cortes','Walker Martinez 2991 Torre A Depto 1204',13108,13,TO_DATE('29-11-1967','DD-MM-YYYY'));</v>
      </c>
    </row>
    <row r="182" spans="1:9" ht="26.4">
      <c r="A182" t="str">
        <f>Clientes!A167</f>
        <v>Fabiola Campos</v>
      </c>
      <c r="B182" s="115">
        <f t="shared" si="5"/>
        <v>165</v>
      </c>
      <c r="C182" s="134" t="str">
        <f>IF(ISBLANK(Clientes!L167),"NULL",CONCATENATE("'",Clientes!L167,"'"))</f>
        <v>NULL</v>
      </c>
      <c r="D182" s="114" t="str">
        <f>CONCATENATE("'",Clientes!A167,"'")</f>
        <v>'Fabiola Campos'</v>
      </c>
      <c r="E182" s="114" t="str">
        <f>IF(ISBLANK(Clientes!C167),"'Sin Direccion'",CONCATENATE("'",MID(Clientes!C167,1,95),"'"))</f>
        <v>'Belloto del norte oriente 9358'</v>
      </c>
      <c r="F182" s="114">
        <v>13109</v>
      </c>
      <c r="G182" s="114">
        <v>13</v>
      </c>
      <c r="H182" s="135" t="s">
        <v>2137</v>
      </c>
      <c r="I182" s="122" t="str">
        <f t="shared" si="4"/>
        <v>INSERT INTO CLIENTES(RUT_CLIENTE,RAZON_SOCIAL,DIRECCION,ID_COMUNA,ID_REGION,FECHA_NACIMIENTO) VALUES (NULL,'Fabiola Campos','Belloto del norte oriente 9358',13109,13,TO_DATE('29-11-1967','DD-MM-YYYY'));</v>
      </c>
    </row>
    <row r="183" spans="1:9" ht="26.4">
      <c r="A183" t="str">
        <f>Clientes!A168</f>
        <v>Fabiola Rojas</v>
      </c>
      <c r="B183" s="115">
        <f t="shared" si="5"/>
        <v>166</v>
      </c>
      <c r="C183" s="134" t="str">
        <f>IF(ISBLANK(Clientes!L168),"NULL",CONCATENATE("'",Clientes!L168,"'"))</f>
        <v>NULL</v>
      </c>
      <c r="D183" s="114" t="str">
        <f>CONCATENATE("'",Clientes!A168,"'")</f>
        <v>'Fabiola Rojas'</v>
      </c>
      <c r="E183" s="114" t="str">
        <f>IF(ISBLANK(Clientes!C168),"'Sin Direccion'",CONCATENATE("'",MID(Clientes!C168,1,95),"'"))</f>
        <v>'Sin Direccion'</v>
      </c>
      <c r="F183" s="114">
        <v>13110</v>
      </c>
      <c r="G183" s="114">
        <v>13</v>
      </c>
      <c r="H183" s="135" t="s">
        <v>2137</v>
      </c>
      <c r="I183" s="122" t="str">
        <f t="shared" si="4"/>
        <v>INSERT INTO CLIENTES(RUT_CLIENTE,RAZON_SOCIAL,DIRECCION,ID_COMUNA,ID_REGION,FECHA_NACIMIENTO) VALUES (NULL,'Fabiola Rojas','Sin Direccion',13110,13,TO_DATE('29-11-1967','DD-MM-YYYY'));</v>
      </c>
    </row>
    <row r="184" spans="1:9" ht="26.4">
      <c r="A184" t="str">
        <f>Clientes!A169</f>
        <v>Fanny  Lincoqueo</v>
      </c>
      <c r="B184" s="115">
        <f t="shared" si="5"/>
        <v>167</v>
      </c>
      <c r="C184" s="134" t="str">
        <f>IF(ISBLANK(Clientes!L169),"NULL",CONCATENATE("'",Clientes!L169,"'"))</f>
        <v>NULL</v>
      </c>
      <c r="D184" s="114" t="str">
        <f>CONCATENATE("'",Clientes!A169,"'")</f>
        <v>'Fanny  Lincoqueo'</v>
      </c>
      <c r="E184" s="114" t="str">
        <f>IF(ISBLANK(Clientes!C169),"'Sin Direccion'",CONCATENATE("'",MID(Clientes!C169,1,95),"'"))</f>
        <v>'Voz de arauco 7155'</v>
      </c>
      <c r="F184" s="114">
        <v>13111</v>
      </c>
      <c r="G184" s="114">
        <v>13</v>
      </c>
      <c r="H184" s="135" t="s">
        <v>2137</v>
      </c>
      <c r="I184" s="122" t="str">
        <f t="shared" si="4"/>
        <v>INSERT INTO CLIENTES(RUT_CLIENTE,RAZON_SOCIAL,DIRECCION,ID_COMUNA,ID_REGION,FECHA_NACIMIENTO) VALUES (NULL,'Fanny  Lincoqueo','Voz de arauco 7155',13111,13,TO_DATE('29-11-1967','DD-MM-YYYY'));</v>
      </c>
    </row>
    <row r="185" spans="1:9" ht="26.4">
      <c r="A185" t="str">
        <f>Clientes!A170</f>
        <v>Faviara Aleska Quintana</v>
      </c>
      <c r="B185" s="115">
        <f t="shared" si="5"/>
        <v>168</v>
      </c>
      <c r="C185" s="134" t="str">
        <f>IF(ISBLANK(Clientes!L170),"NULL",CONCATENATE("'",Clientes!L170,"'"))</f>
        <v>NULL</v>
      </c>
      <c r="D185" s="114" t="str">
        <f>CONCATENATE("'",Clientes!A170,"'")</f>
        <v>'Faviara Aleska Quintana'</v>
      </c>
      <c r="E185" s="114" t="str">
        <f>IF(ISBLANK(Clientes!C170),"'Sin Direccion'",CONCATENATE("'",MID(Clientes!C170,1,95),"'"))</f>
        <v>'Sin Direccion'</v>
      </c>
      <c r="F185" s="114">
        <v>13112</v>
      </c>
      <c r="G185" s="114">
        <v>13</v>
      </c>
      <c r="H185" s="135" t="s">
        <v>2137</v>
      </c>
      <c r="I185" s="122" t="str">
        <f t="shared" si="4"/>
        <v>INSERT INTO CLIENTES(RUT_CLIENTE,RAZON_SOCIAL,DIRECCION,ID_COMUNA,ID_REGION,FECHA_NACIMIENTO) VALUES (NULL,'Faviara Aleska Quintana','Sin Direccion',13112,13,TO_DATE('29-11-1967','DD-MM-YYYY'));</v>
      </c>
    </row>
    <row r="186" spans="1:9" ht="26.4">
      <c r="A186" t="str">
        <f>Clientes!A171</f>
        <v>Felipe</v>
      </c>
      <c r="B186" s="115">
        <f t="shared" si="5"/>
        <v>169</v>
      </c>
      <c r="C186" s="134" t="str">
        <f>IF(ISBLANK(Clientes!L171),"NULL",CONCATENATE("'",Clientes!L171,"'"))</f>
        <v>NULL</v>
      </c>
      <c r="D186" s="114" t="str">
        <f>CONCATENATE("'",Clientes!A171,"'")</f>
        <v>'Felipe'</v>
      </c>
      <c r="E186" s="114" t="str">
        <f>IF(ISBLANK(Clientes!C171),"'Sin Direccion'",CONCATENATE("'",MID(Clientes!C171,1,95),"'"))</f>
        <v>'Sin Direccion'</v>
      </c>
      <c r="F186" s="114">
        <v>13113</v>
      </c>
      <c r="G186" s="114">
        <v>13</v>
      </c>
      <c r="H186" s="135" t="s">
        <v>2137</v>
      </c>
      <c r="I186" s="122" t="str">
        <f t="shared" si="4"/>
        <v>INSERT INTO CLIENTES(RUT_CLIENTE,RAZON_SOCIAL,DIRECCION,ID_COMUNA,ID_REGION,FECHA_NACIMIENTO) VALUES (NULL,'Felipe','Sin Direccion',13113,13,TO_DATE('29-11-1967','DD-MM-YYYY'));</v>
      </c>
    </row>
    <row r="187" spans="1:9" ht="26.4">
      <c r="A187" t="str">
        <f>Clientes!A172</f>
        <v>Felipe Acevedo</v>
      </c>
      <c r="B187" s="115">
        <f t="shared" si="5"/>
        <v>170</v>
      </c>
      <c r="C187" s="134" t="str">
        <f>IF(ISBLANK(Clientes!L172),"NULL",CONCATENATE("'",Clientes!L172,"'"))</f>
        <v>NULL</v>
      </c>
      <c r="D187" s="114" t="str">
        <f>CONCATENATE("'",Clientes!A172,"'")</f>
        <v>'Felipe Acevedo'</v>
      </c>
      <c r="E187" s="114" t="str">
        <f>IF(ISBLANK(Clientes!C172),"'Sin Direccion'",CONCATENATE("'",MID(Clientes!C172,1,95),"'"))</f>
        <v>'Geronimo Alderete 8061'</v>
      </c>
      <c r="F187" s="114">
        <v>13114</v>
      </c>
      <c r="G187" s="114">
        <v>13</v>
      </c>
      <c r="H187" s="135" t="s">
        <v>2137</v>
      </c>
      <c r="I187" s="122" t="str">
        <f t="shared" si="4"/>
        <v>INSERT INTO CLIENTES(RUT_CLIENTE,RAZON_SOCIAL,DIRECCION,ID_COMUNA,ID_REGION,FECHA_NACIMIENTO) VALUES (NULL,'Felipe Acevedo','Geronimo Alderete 8061',13114,13,TO_DATE('29-11-1967','DD-MM-YYYY'));</v>
      </c>
    </row>
    <row r="188" spans="1:9" ht="26.4">
      <c r="A188" t="str">
        <f>Clientes!A173</f>
        <v>Felipe Cajas</v>
      </c>
      <c r="B188" s="115">
        <f t="shared" si="5"/>
        <v>171</v>
      </c>
      <c r="C188" s="134" t="str">
        <f>IF(ISBLANK(Clientes!L173),"NULL",CONCATENATE("'",Clientes!L173,"'"))</f>
        <v>NULL</v>
      </c>
      <c r="D188" s="114" t="str">
        <f>CONCATENATE("'",Clientes!A173,"'")</f>
        <v>'Felipe Cajas'</v>
      </c>
      <c r="E188" s="114" t="str">
        <f>IF(ISBLANK(Clientes!C173),"'Sin Direccion'",CONCATENATE("'",MID(Clientes!C173,1,95),"'"))</f>
        <v>'Diagonal Santa Irene 3053 B'</v>
      </c>
      <c r="F188" s="114">
        <v>13115</v>
      </c>
      <c r="G188" s="114">
        <v>13</v>
      </c>
      <c r="H188" s="135" t="s">
        <v>2137</v>
      </c>
      <c r="I188" s="122" t="str">
        <f t="shared" si="4"/>
        <v>INSERT INTO CLIENTES(RUT_CLIENTE,RAZON_SOCIAL,DIRECCION,ID_COMUNA,ID_REGION,FECHA_NACIMIENTO) VALUES (NULL,'Felipe Cajas','Diagonal Santa Irene 3053 B',13115,13,TO_DATE('29-11-1967','DD-MM-YYYY'));</v>
      </c>
    </row>
    <row r="189" spans="1:9" ht="26.4">
      <c r="A189" t="str">
        <f>Clientes!A174</f>
        <v>Feria Las pulgas colegio Concepción</v>
      </c>
      <c r="B189" s="115">
        <f t="shared" si="5"/>
        <v>172</v>
      </c>
      <c r="C189" s="134" t="str">
        <f>IF(ISBLANK(Clientes!L174),"NULL",CONCATENATE("'",Clientes!L174,"'"))</f>
        <v>NULL</v>
      </c>
      <c r="D189" s="114" t="str">
        <f>CONCATENATE("'",Clientes!A174,"'")</f>
        <v>'Feria Las pulgas colegio Concepción'</v>
      </c>
      <c r="E189" s="114" t="str">
        <f>IF(ISBLANK(Clientes!C174),"'Sin Direccion'",CONCATENATE("'",MID(Clientes!C174,1,95),"'"))</f>
        <v>'Hurtado Mendoza'</v>
      </c>
      <c r="F189" s="114">
        <v>13116</v>
      </c>
      <c r="G189" s="114">
        <v>13</v>
      </c>
      <c r="H189" s="135" t="s">
        <v>2137</v>
      </c>
      <c r="I189" s="122" t="str">
        <f t="shared" si="4"/>
        <v>INSERT INTO CLIENTES(RUT_CLIENTE,RAZON_SOCIAL,DIRECCION,ID_COMUNA,ID_REGION,FECHA_NACIMIENTO) VALUES (NULL,'Feria Las pulgas colegio Concepción','Hurtado Mendoza',13116,13,TO_DATE('29-11-1967','DD-MM-YYYY'));</v>
      </c>
    </row>
    <row r="190" spans="1:9" ht="26.4">
      <c r="A190" t="str">
        <f>Clientes!A175</f>
        <v>Fernanda Fuentes</v>
      </c>
      <c r="B190" s="115">
        <f t="shared" si="5"/>
        <v>173</v>
      </c>
      <c r="C190" s="134" t="str">
        <f>IF(ISBLANK(Clientes!L175),"NULL",CONCATENATE("'",Clientes!L175,"'"))</f>
        <v>NULL</v>
      </c>
      <c r="D190" s="114" t="str">
        <f>CONCATENATE("'",Clientes!A175,"'")</f>
        <v>'Fernanda Fuentes'</v>
      </c>
      <c r="E190" s="114" t="str">
        <f>IF(ISBLANK(Clientes!C175),"'Sin Direccion'",CONCATENATE("'",MID(Clientes!C175,1,95),"'"))</f>
        <v>'El Llaverio 7373 la Florida'</v>
      </c>
      <c r="F190" s="114">
        <v>13117</v>
      </c>
      <c r="G190" s="114">
        <v>13</v>
      </c>
      <c r="H190" s="135" t="s">
        <v>2137</v>
      </c>
      <c r="I190" s="122" t="str">
        <f t="shared" si="4"/>
        <v>INSERT INTO CLIENTES(RUT_CLIENTE,RAZON_SOCIAL,DIRECCION,ID_COMUNA,ID_REGION,FECHA_NACIMIENTO) VALUES (NULL,'Fernanda Fuentes','El Llaverio 7373 la Florida',13117,13,TO_DATE('29-11-1967','DD-MM-YYYY'));</v>
      </c>
    </row>
    <row r="191" spans="1:9" ht="26.4">
      <c r="A191" t="str">
        <f>Clientes!A176</f>
        <v>Fernanda Peralta</v>
      </c>
      <c r="B191" s="115">
        <f t="shared" si="5"/>
        <v>174</v>
      </c>
      <c r="C191" s="134" t="str">
        <f>IF(ISBLANK(Clientes!L176),"NULL",CONCATENATE("'",Clientes!L176,"'"))</f>
        <v>NULL</v>
      </c>
      <c r="D191" s="114" t="str">
        <f>CONCATENATE("'",Clientes!A176,"'")</f>
        <v>'Fernanda Peralta'</v>
      </c>
      <c r="E191" s="114" t="str">
        <f>IF(ISBLANK(Clientes!C176),"'Sin Direccion'",CONCATENATE("'",MID(Clientes!C176,1,95),"'"))</f>
        <v>'Azucena del campo poniente 9369'</v>
      </c>
      <c r="F191" s="114">
        <v>13118</v>
      </c>
      <c r="G191" s="114">
        <v>13</v>
      </c>
      <c r="H191" s="135" t="s">
        <v>2137</v>
      </c>
      <c r="I191" s="122" t="str">
        <f t="shared" si="4"/>
        <v>INSERT INTO CLIENTES(RUT_CLIENTE,RAZON_SOCIAL,DIRECCION,ID_COMUNA,ID_REGION,FECHA_NACIMIENTO) VALUES (NULL,'Fernanda Peralta','Azucena del campo poniente 9369',13118,13,TO_DATE('29-11-1967','DD-MM-YYYY'));</v>
      </c>
    </row>
    <row r="192" spans="1:9" ht="26.4">
      <c r="A192" t="str">
        <f>Clientes!A177</f>
        <v>Fernanda Veliz</v>
      </c>
      <c r="B192" s="115">
        <f t="shared" si="5"/>
        <v>175</v>
      </c>
      <c r="C192" s="134" t="str">
        <f>IF(ISBLANK(Clientes!L177),"NULL",CONCATENATE("'",Clientes!L177,"'"))</f>
        <v>NULL</v>
      </c>
      <c r="D192" s="114" t="str">
        <f>CONCATENATE("'",Clientes!A177,"'")</f>
        <v>'Fernanda Veliz'</v>
      </c>
      <c r="E192" s="114" t="str">
        <f>IF(ISBLANK(Clientes!C177),"'Sin Direccion'",CONCATENATE("'",MID(Clientes!C177,1,95),"'"))</f>
        <v>'Sin Direccion'</v>
      </c>
      <c r="F192" s="114">
        <v>13119</v>
      </c>
      <c r="G192" s="114">
        <v>13</v>
      </c>
      <c r="H192" s="135" t="s">
        <v>2137</v>
      </c>
      <c r="I192" s="122" t="str">
        <f t="shared" si="4"/>
        <v>INSERT INTO CLIENTES(RUT_CLIENTE,RAZON_SOCIAL,DIRECCION,ID_COMUNA,ID_REGION,FECHA_NACIMIENTO) VALUES (NULL,'Fernanda Veliz','Sin Direccion',13119,13,TO_DATE('29-11-1967','DD-MM-YYYY'));</v>
      </c>
    </row>
    <row r="193" spans="1:9" ht="39.6">
      <c r="A193" t="str">
        <f>Clientes!A178</f>
        <v>Fernando Valenzuela</v>
      </c>
      <c r="B193" s="115">
        <f t="shared" si="5"/>
        <v>176</v>
      </c>
      <c r="C193" s="134" t="str">
        <f>IF(ISBLANK(Clientes!L178),"NULL",CONCATENATE("'",Clientes!L178,"'"))</f>
        <v>NULL</v>
      </c>
      <c r="D193" s="114" t="str">
        <f>CONCATENATE("'",Clientes!A178,"'")</f>
        <v>'Fernando Valenzuela'</v>
      </c>
      <c r="E193" s="114" t="str">
        <f>IF(ISBLANK(Clientes!C178),"'Sin Direccion'",CONCATENATE("'",MID(Clientes!C178,1,95),"'"))</f>
        <v>'Universidad Autonoma Chile /Ramón Subercaseaux 1404, San Miguel (Metro San Miguel, Línea 2)'</v>
      </c>
      <c r="F193" s="114">
        <v>13120</v>
      </c>
      <c r="G193" s="114">
        <v>13</v>
      </c>
      <c r="H193" s="135" t="s">
        <v>2137</v>
      </c>
      <c r="I193" s="122" t="str">
        <f t="shared" si="4"/>
        <v>INSERT INTO CLIENTES(RUT_CLIENTE,RAZON_SOCIAL,DIRECCION,ID_COMUNA,ID_REGION,FECHA_NACIMIENTO) VALUES (NULL,'Fernando Valenzuela','Universidad Autonoma Chile /Ramón Subercaseaux 1404, San Miguel (Metro San Miguel, Línea 2)',13120,13,TO_DATE('29-11-1967','DD-MM-YYYY'));</v>
      </c>
    </row>
    <row r="194" spans="1:9" ht="26.4">
      <c r="A194" t="str">
        <f>Clientes!A179</f>
        <v>Fran - Negrillo 9507</v>
      </c>
      <c r="B194" s="115">
        <f t="shared" si="5"/>
        <v>177</v>
      </c>
      <c r="C194" s="134" t="str">
        <f>IF(ISBLANK(Clientes!L179),"NULL",CONCATENATE("'",Clientes!L179,"'"))</f>
        <v>NULL</v>
      </c>
      <c r="D194" s="114" t="str">
        <f>CONCATENATE("'",Clientes!A179,"'")</f>
        <v>'Fran - Negrillo 9507'</v>
      </c>
      <c r="E194" s="114" t="str">
        <f>IF(ISBLANK(Clientes!C179),"'Sin Direccion'",CONCATENATE("'",MID(Clientes!C179,1,95),"'"))</f>
        <v>'Negrillo 9507'</v>
      </c>
      <c r="F194" s="114">
        <v>13121</v>
      </c>
      <c r="G194" s="114">
        <v>13</v>
      </c>
      <c r="H194" s="135" t="s">
        <v>2137</v>
      </c>
      <c r="I194" s="122" t="str">
        <f t="shared" si="4"/>
        <v>INSERT INTO CLIENTES(RUT_CLIENTE,RAZON_SOCIAL,DIRECCION,ID_COMUNA,ID_REGION,FECHA_NACIMIENTO) VALUES (NULL,'Fran - Negrillo 9507','Negrillo 9507',13121,13,TO_DATE('29-11-1967','DD-MM-YYYY'));</v>
      </c>
    </row>
    <row r="195" spans="1:9" ht="26.4">
      <c r="A195" t="str">
        <f>Clientes!A180</f>
        <v>Franco Rodriguez</v>
      </c>
      <c r="B195" s="115">
        <f t="shared" si="5"/>
        <v>178</v>
      </c>
      <c r="C195" s="134" t="str">
        <f>IF(ISBLANK(Clientes!L180),"NULL",CONCATENATE("'",Clientes!L180,"'"))</f>
        <v>NULL</v>
      </c>
      <c r="D195" s="114" t="str">
        <f>CONCATENATE("'",Clientes!A180,"'")</f>
        <v>'Franco Rodriguez'</v>
      </c>
      <c r="E195" s="114" t="str">
        <f>IF(ISBLANK(Clientes!C180),"'Sin Direccion'",CONCATENATE("'",MID(Clientes!C180,1,95),"'"))</f>
        <v>'Geronimo de Alderete 1800'</v>
      </c>
      <c r="F195" s="114">
        <v>13122</v>
      </c>
      <c r="G195" s="114">
        <v>13</v>
      </c>
      <c r="H195" s="135" t="s">
        <v>2137</v>
      </c>
      <c r="I195" s="122" t="str">
        <f t="shared" si="4"/>
        <v>INSERT INTO CLIENTES(RUT_CLIENTE,RAZON_SOCIAL,DIRECCION,ID_COMUNA,ID_REGION,FECHA_NACIMIENTO) VALUES (NULL,'Franco Rodriguez','Geronimo de Alderete 1800',13122,13,TO_DATE('29-11-1967','DD-MM-YYYY'));</v>
      </c>
    </row>
    <row r="196" spans="1:9" ht="26.4">
      <c r="A196" t="str">
        <f>Clientes!A181</f>
        <v>Fresia Denebola 1064</v>
      </c>
      <c r="B196" s="115">
        <f t="shared" si="5"/>
        <v>179</v>
      </c>
      <c r="C196" s="134" t="str">
        <f>IF(ISBLANK(Clientes!L181),"NULL",CONCATENATE("'",Clientes!L181,"'"))</f>
        <v>NULL</v>
      </c>
      <c r="D196" s="114" t="str">
        <f>CONCATENATE("'",Clientes!A181,"'")</f>
        <v>'Fresia Denebola 1064'</v>
      </c>
      <c r="E196" s="114" t="str">
        <f>IF(ISBLANK(Clientes!C181),"'Sin Direccion'",CONCATENATE("'",MID(Clientes!C181,1,95),"'"))</f>
        <v>'Denebola 1064'</v>
      </c>
      <c r="F196" s="114">
        <v>13123</v>
      </c>
      <c r="G196" s="114">
        <v>13</v>
      </c>
      <c r="H196" s="135" t="s">
        <v>2137</v>
      </c>
      <c r="I196" s="122" t="str">
        <f t="shared" si="4"/>
        <v>INSERT INTO CLIENTES(RUT_CLIENTE,RAZON_SOCIAL,DIRECCION,ID_COMUNA,ID_REGION,FECHA_NACIMIENTO) VALUES (NULL,'Fresia Denebola 1064','Denebola 1064',13123,13,TO_DATE('29-11-1967','DD-MM-YYYY'));</v>
      </c>
    </row>
    <row r="197" spans="1:9" ht="26.4">
      <c r="A197" t="str">
        <f>Clientes!A182</f>
        <v>Fyrma Grafica Limitada</v>
      </c>
      <c r="B197" s="115">
        <f t="shared" si="5"/>
        <v>180</v>
      </c>
      <c r="C197" s="134" t="str">
        <f>IF(ISBLANK(Clientes!L182),"NULL",CONCATENATE("'",Clientes!L182,"'"))</f>
        <v>'89046600-1'</v>
      </c>
      <c r="D197" s="114" t="str">
        <f>CONCATENATE("'",Clientes!A182,"'")</f>
        <v>'Fyrma Grafica Limitada'</v>
      </c>
      <c r="E197" s="114" t="str">
        <f>IF(ISBLANK(Clientes!C182),"'Sin Direccion'",CONCATENATE("'",MID(Clientes!C182,1,95),"'"))</f>
        <v>'Salar de Atacama 1287, Pudahuel'</v>
      </c>
      <c r="F197" s="114">
        <v>13124</v>
      </c>
      <c r="G197" s="114">
        <v>13</v>
      </c>
      <c r="H197" s="135" t="s">
        <v>2137</v>
      </c>
      <c r="I197" s="122" t="str">
        <f t="shared" si="4"/>
        <v>INSERT INTO CLIENTES(RUT_CLIENTE,RAZON_SOCIAL,DIRECCION,ID_COMUNA,ID_REGION,FECHA_NACIMIENTO) VALUES ('89046600-1','Fyrma Grafica Limitada','Salar de Atacama 1287, Pudahuel',13124,13,TO_DATE('29-11-1967','DD-MM-YYYY'));</v>
      </c>
    </row>
    <row r="198" spans="1:9" ht="26.4">
      <c r="A198" t="str">
        <f>Clientes!A183</f>
        <v>Gaby - Hualle 8312</v>
      </c>
      <c r="B198" s="115">
        <f t="shared" si="5"/>
        <v>181</v>
      </c>
      <c r="C198" s="134" t="str">
        <f>IF(ISBLANK(Clientes!L183),"NULL",CONCATENATE("'",Clientes!L183,"'"))</f>
        <v>NULL</v>
      </c>
      <c r="D198" s="114" t="str">
        <f>CONCATENATE("'",Clientes!A183,"'")</f>
        <v>'Gaby - Hualle 8312'</v>
      </c>
      <c r="E198" s="114" t="str">
        <f>IF(ISBLANK(Clientes!C183),"'Sin Direccion'",CONCATENATE("'",MID(Clientes!C183,1,95),"'"))</f>
        <v>'Hualle Sur 8312'</v>
      </c>
      <c r="F198" s="114">
        <v>13125</v>
      </c>
      <c r="G198" s="114">
        <v>13</v>
      </c>
      <c r="H198" s="135" t="s">
        <v>2137</v>
      </c>
      <c r="I198" s="122" t="str">
        <f t="shared" si="4"/>
        <v>INSERT INTO CLIENTES(RUT_CLIENTE,RAZON_SOCIAL,DIRECCION,ID_COMUNA,ID_REGION,FECHA_NACIMIENTO) VALUES (NULL,'Gaby - Hualle 8312','Hualle Sur 8312',13125,13,TO_DATE('29-11-1967','DD-MM-YYYY'));</v>
      </c>
    </row>
    <row r="199" spans="1:9" ht="26.4">
      <c r="A199" t="str">
        <f>Clientes!A184</f>
        <v>Gary Roa</v>
      </c>
      <c r="B199" s="115">
        <f t="shared" si="5"/>
        <v>182</v>
      </c>
      <c r="C199" s="134" t="str">
        <f>IF(ISBLANK(Clientes!L184),"NULL",CONCATENATE("'",Clientes!L184,"'"))</f>
        <v>NULL</v>
      </c>
      <c r="D199" s="114" t="str">
        <f>CONCATENATE("'",Clientes!A184,"'")</f>
        <v>'Gary Roa'</v>
      </c>
      <c r="E199" s="114" t="str">
        <f>IF(ISBLANK(Clientes!C184),"'Sin Direccion'",CONCATENATE("'",MID(Clientes!C184,1,95),"'"))</f>
        <v>'Jardin del Eden 3367'</v>
      </c>
      <c r="F199" s="114">
        <v>13126</v>
      </c>
      <c r="G199" s="114">
        <v>13</v>
      </c>
      <c r="H199" s="135" t="s">
        <v>2137</v>
      </c>
      <c r="I199" s="122" t="str">
        <f t="shared" si="4"/>
        <v>INSERT INTO CLIENTES(RUT_CLIENTE,RAZON_SOCIAL,DIRECCION,ID_COMUNA,ID_REGION,FECHA_NACIMIENTO) VALUES (NULL,'Gary Roa','Jardin del Eden 3367',13126,13,TO_DATE('29-11-1967','DD-MM-YYYY'));</v>
      </c>
    </row>
    <row r="200" spans="1:9" ht="26.4">
      <c r="A200" t="str">
        <f>Clientes!A185</f>
        <v>Gems NDT Spa</v>
      </c>
      <c r="B200" s="115">
        <f t="shared" si="5"/>
        <v>183</v>
      </c>
      <c r="C200" s="134" t="str">
        <f>IF(ISBLANK(Clientes!L185),"NULL",CONCATENATE("'",Clientes!L185,"'"))</f>
        <v>'76258505-7'</v>
      </c>
      <c r="D200" s="114" t="str">
        <f>CONCATENATE("'",Clientes!A185,"'")</f>
        <v>'Gems NDT Spa'</v>
      </c>
      <c r="E200" s="114" t="str">
        <f>IF(ISBLANK(Clientes!C185),"'Sin Direccion'",CONCATENATE("'",MID(Clientes!C185,1,95),"'"))</f>
        <v>'Rojas Magallanes 416, la Florida'</v>
      </c>
      <c r="F200" s="114">
        <v>13127</v>
      </c>
      <c r="G200" s="114">
        <v>13</v>
      </c>
      <c r="H200" s="135" t="s">
        <v>2137</v>
      </c>
      <c r="I200" s="122" t="str">
        <f t="shared" si="4"/>
        <v>INSERT INTO CLIENTES(RUT_CLIENTE,RAZON_SOCIAL,DIRECCION,ID_COMUNA,ID_REGION,FECHA_NACIMIENTO) VALUES ('76258505-7','Gems NDT Spa','Rojas Magallanes 416, la Florida',13127,13,TO_DATE('29-11-1967','DD-MM-YYYY'));</v>
      </c>
    </row>
    <row r="201" spans="1:9" ht="26.4">
      <c r="A201" t="str">
        <f>Clientes!A186</f>
        <v>Geraldine Espinoza</v>
      </c>
      <c r="B201" s="115">
        <f t="shared" si="5"/>
        <v>184</v>
      </c>
      <c r="C201" s="134" t="str">
        <f>IF(ISBLANK(Clientes!L186),"NULL",CONCATENATE("'",Clientes!L186,"'"))</f>
        <v>NULL</v>
      </c>
      <c r="D201" s="114" t="str">
        <f>CONCATENATE("'",Clientes!A186,"'")</f>
        <v>'Geraldine Espinoza'</v>
      </c>
      <c r="E201" s="114" t="str">
        <f>IF(ISBLANK(Clientes!C186),"'Sin Direccion'",CONCATENATE("'",MID(Clientes!C186,1,95),"'"))</f>
        <v>'Azucena 9356  (Mamá Panda)'</v>
      </c>
      <c r="F201" s="114">
        <v>13128</v>
      </c>
      <c r="G201" s="114">
        <v>13</v>
      </c>
      <c r="H201" s="135" t="s">
        <v>2137</v>
      </c>
      <c r="I201" s="122" t="str">
        <f t="shared" si="4"/>
        <v>INSERT INTO CLIENTES(RUT_CLIENTE,RAZON_SOCIAL,DIRECCION,ID_COMUNA,ID_REGION,FECHA_NACIMIENTO) VALUES (NULL,'Geraldine Espinoza','Azucena 9356  (Mamá Panda)',13128,13,TO_DATE('29-11-1967','DD-MM-YYYY'));</v>
      </c>
    </row>
    <row r="202" spans="1:9" ht="26.4">
      <c r="A202" t="str">
        <f>Clientes!A187</f>
        <v>Gestica SpA</v>
      </c>
      <c r="B202" s="115">
        <f t="shared" si="5"/>
        <v>185</v>
      </c>
      <c r="C202" s="134" t="str">
        <f>IF(ISBLANK(Clientes!L187),"NULL",CONCATENATE("'",Clientes!L187,"'"))</f>
        <v>'76278132-8'</v>
      </c>
      <c r="D202" s="114" t="str">
        <f>CONCATENATE("'",Clientes!A187,"'")</f>
        <v>'Gestica SpA'</v>
      </c>
      <c r="E202" s="114" t="str">
        <f>IF(ISBLANK(Clientes!C187),"'Sin Direccion'",CONCATENATE("'",MID(Clientes!C187,1,95),"'"))</f>
        <v>'Azucena 9382 Villa Jardines de la viña'</v>
      </c>
      <c r="F202" s="114">
        <v>13129</v>
      </c>
      <c r="G202" s="114">
        <v>13</v>
      </c>
      <c r="H202" s="135" t="s">
        <v>2137</v>
      </c>
      <c r="I202" s="122" t="str">
        <f t="shared" si="4"/>
        <v>INSERT INTO CLIENTES(RUT_CLIENTE,RAZON_SOCIAL,DIRECCION,ID_COMUNA,ID_REGION,FECHA_NACIMIENTO) VALUES ('76278132-8','Gestica SpA','Azucena 9382 Villa Jardines de la viña',13129,13,TO_DATE('29-11-1967','DD-MM-YYYY'));</v>
      </c>
    </row>
    <row r="203" spans="1:9" ht="26.4">
      <c r="A203" t="str">
        <f>Clientes!A188</f>
        <v>Gina</v>
      </c>
      <c r="B203" s="115">
        <f t="shared" si="5"/>
        <v>186</v>
      </c>
      <c r="C203" s="134" t="str">
        <f>IF(ISBLANK(Clientes!L188),"NULL",CONCATENATE("'",Clientes!L188,"'"))</f>
        <v>NULL</v>
      </c>
      <c r="D203" s="114" t="str">
        <f>CONCATENATE("'",Clientes!A188,"'")</f>
        <v>'Gina'</v>
      </c>
      <c r="E203" s="114" t="str">
        <f>IF(ISBLANK(Clientes!C188),"'Sin Direccion'",CONCATENATE("'",MID(Clientes!C188,1,95),"'"))</f>
        <v>'Sin Direccion'</v>
      </c>
      <c r="F203" s="114">
        <v>13130</v>
      </c>
      <c r="G203" s="114">
        <v>13</v>
      </c>
      <c r="H203" s="135" t="s">
        <v>2137</v>
      </c>
      <c r="I203" s="122" t="str">
        <f t="shared" si="4"/>
        <v>INSERT INTO CLIENTES(RUT_CLIENTE,RAZON_SOCIAL,DIRECCION,ID_COMUNA,ID_REGION,FECHA_NACIMIENTO) VALUES (NULL,'Gina','Sin Direccion',13130,13,TO_DATE('29-11-1967','DD-MM-YYYY'));</v>
      </c>
    </row>
    <row r="204" spans="1:9" ht="26.4">
      <c r="A204" t="str">
        <f>Clientes!A189</f>
        <v>Gino Suarez Fuentes</v>
      </c>
      <c r="B204" s="115">
        <f t="shared" si="5"/>
        <v>187</v>
      </c>
      <c r="C204" s="134" t="str">
        <f>IF(ISBLANK(Clientes!L189),"NULL",CONCATENATE("'",Clientes!L189,"'"))</f>
        <v>NULL</v>
      </c>
      <c r="D204" s="114" t="str">
        <f>CONCATENATE("'",Clientes!A189,"'")</f>
        <v>'Gino Suarez Fuentes'</v>
      </c>
      <c r="E204" s="114" t="str">
        <f>IF(ISBLANK(Clientes!C189),"'Sin Direccion'",CONCATENATE("'",MID(Clientes!C189,1,95),"'"))</f>
        <v>'Los ceibos oriente 9277'</v>
      </c>
      <c r="F204" s="114">
        <v>13131</v>
      </c>
      <c r="G204" s="114">
        <v>13</v>
      </c>
      <c r="H204" s="135" t="s">
        <v>2137</v>
      </c>
      <c r="I204" s="122" t="str">
        <f t="shared" si="4"/>
        <v>INSERT INTO CLIENTES(RUT_CLIENTE,RAZON_SOCIAL,DIRECCION,ID_COMUNA,ID_REGION,FECHA_NACIMIENTO) VALUES (NULL,'Gino Suarez Fuentes','Los ceibos oriente 9277',13131,13,TO_DATE('29-11-1967','DD-MM-YYYY'));</v>
      </c>
    </row>
    <row r="205" spans="1:9" ht="26.4">
      <c r="A205" t="str">
        <f>Clientes!A190</f>
        <v>Gisela Olea</v>
      </c>
      <c r="B205" s="115">
        <f t="shared" si="5"/>
        <v>188</v>
      </c>
      <c r="C205" s="134" t="str">
        <f>IF(ISBLANK(Clientes!L190),"NULL",CONCATENATE("'",Clientes!L190,"'"))</f>
        <v>NULL</v>
      </c>
      <c r="D205" s="114" t="str">
        <f>CONCATENATE("'",Clientes!A190,"'")</f>
        <v>'Gisela Olea'</v>
      </c>
      <c r="E205" s="114" t="str">
        <f>IF(ISBLANK(Clientes!C190),"'Sin Direccion'",CONCATENATE("'",MID(Clientes!C190,1,95),"'"))</f>
        <v>'Estela 2417'</v>
      </c>
      <c r="F205" s="114">
        <v>13132</v>
      </c>
      <c r="G205" s="114">
        <v>13</v>
      </c>
      <c r="H205" s="135" t="s">
        <v>2137</v>
      </c>
      <c r="I205" s="122" t="str">
        <f t="shared" si="4"/>
        <v>INSERT INTO CLIENTES(RUT_CLIENTE,RAZON_SOCIAL,DIRECCION,ID_COMUNA,ID_REGION,FECHA_NACIMIENTO) VALUES (NULL,'Gisela Olea','Estela 2417',13132,13,TO_DATE('29-11-1967','DD-MM-YYYY'));</v>
      </c>
    </row>
    <row r="206" spans="1:9" ht="26.4">
      <c r="A206" t="str">
        <f>Clientes!A191</f>
        <v>Gladys - Ayudante Valeria</v>
      </c>
      <c r="B206" s="115">
        <f t="shared" si="5"/>
        <v>189</v>
      </c>
      <c r="C206" s="134" t="str">
        <f>IF(ISBLANK(Clientes!L191),"NULL",CONCATENATE("'",Clientes!L191,"'"))</f>
        <v>NULL</v>
      </c>
      <c r="D206" s="114" t="str">
        <f>CONCATENATE("'",Clientes!A191,"'")</f>
        <v>'Gladys - Ayudante Valeria'</v>
      </c>
      <c r="E206" s="114" t="str">
        <f>IF(ISBLANK(Clientes!C191),"'Sin Direccion'",CONCATENATE("'",MID(Clientes!C191,1,95),"'"))</f>
        <v>'Antofagasta 3341'</v>
      </c>
      <c r="F206" s="114">
        <v>13201</v>
      </c>
      <c r="G206" s="114">
        <v>13</v>
      </c>
      <c r="H206" s="135" t="s">
        <v>2137</v>
      </c>
      <c r="I206" s="122" t="str">
        <f t="shared" si="4"/>
        <v>INSERT INTO CLIENTES(RUT_CLIENTE,RAZON_SOCIAL,DIRECCION,ID_COMUNA,ID_REGION,FECHA_NACIMIENTO) VALUES (NULL,'Gladys - Ayudante Valeria','Antofagasta 3341',13201,13,TO_DATE('29-11-1967','DD-MM-YYYY'));</v>
      </c>
    </row>
    <row r="207" spans="1:9" ht="26.4">
      <c r="A207" t="str">
        <f>Clientes!A192</f>
        <v>Gladys - Condominio Las Cumbres</v>
      </c>
      <c r="B207" s="115">
        <f t="shared" si="5"/>
        <v>190</v>
      </c>
      <c r="C207" s="134" t="str">
        <f>IF(ISBLANK(Clientes!L192),"NULL",CONCATENATE("'",Clientes!L192,"'"))</f>
        <v>NULL</v>
      </c>
      <c r="D207" s="114" t="str">
        <f>CONCATENATE("'",Clientes!A192,"'")</f>
        <v>'Gladys - Condominio Las Cumbres'</v>
      </c>
      <c r="E207" s="114" t="str">
        <f>IF(ISBLANK(Clientes!C192),"'Sin Direccion'",CONCATENATE("'",MID(Clientes!C192,1,95),"'"))</f>
        <v>'Rojas Magallanes 2312(Condominio Las Cumbres departamento 154 Torre 5)'</v>
      </c>
      <c r="F207" s="114">
        <v>13202</v>
      </c>
      <c r="G207" s="114">
        <v>13</v>
      </c>
      <c r="H207" s="135" t="s">
        <v>2137</v>
      </c>
      <c r="I207" s="122" t="str">
        <f t="shared" si="4"/>
        <v>INSERT INTO CLIENTES(RUT_CLIENTE,RAZON_SOCIAL,DIRECCION,ID_COMUNA,ID_REGION,FECHA_NACIMIENTO) VALUES (NULL,'Gladys - Condominio Las Cumbres','Rojas Magallanes 2312(Condominio Las Cumbres departamento 154 Torre 5)',13202,13,TO_DATE('29-11-1967','DD-MM-YYYY'));</v>
      </c>
    </row>
    <row r="208" spans="1:9" ht="26.4">
      <c r="A208" t="str">
        <f>Clientes!A193</f>
        <v>Gloria Pereira</v>
      </c>
      <c r="B208" s="115">
        <f t="shared" si="5"/>
        <v>191</v>
      </c>
      <c r="C208" s="134" t="str">
        <f>IF(ISBLANK(Clientes!L193),"NULL",CONCATENATE("'",Clientes!L193,"'"))</f>
        <v>NULL</v>
      </c>
      <c r="D208" s="114" t="str">
        <f>CONCATENATE("'",Clientes!A193,"'")</f>
        <v>'Gloria Pereira'</v>
      </c>
      <c r="E208" s="114" t="str">
        <f>IF(ISBLANK(Clientes!C193),"'Sin Direccion'",CONCATENATE("'",MID(Clientes!C193,1,95),"'"))</f>
        <v>'cuñada Rosanna Contreras'</v>
      </c>
      <c r="F208" s="114">
        <v>13203</v>
      </c>
      <c r="G208" s="114">
        <v>13</v>
      </c>
      <c r="H208" s="135" t="s">
        <v>2137</v>
      </c>
      <c r="I208" s="122" t="str">
        <f t="shared" si="4"/>
        <v>INSERT INTO CLIENTES(RUT_CLIENTE,RAZON_SOCIAL,DIRECCION,ID_COMUNA,ID_REGION,FECHA_NACIMIENTO) VALUES (NULL,'Gloria Pereira','cuñada Rosanna Contreras',13203,13,TO_DATE('29-11-1967','DD-MM-YYYY'));</v>
      </c>
    </row>
    <row r="209" spans="1:9" ht="26.4">
      <c r="A209" t="str">
        <f>Clientes!A194</f>
        <v>Gloria Zavala</v>
      </c>
      <c r="B209" s="115">
        <f t="shared" si="5"/>
        <v>192</v>
      </c>
      <c r="C209" s="134" t="str">
        <f>IF(ISBLANK(Clientes!L194),"NULL",CONCATENATE("'",Clientes!L194,"'"))</f>
        <v>NULL</v>
      </c>
      <c r="D209" s="114" t="str">
        <f>CONCATENATE("'",Clientes!A194,"'")</f>
        <v>'Gloria Zavala'</v>
      </c>
      <c r="E209" s="114" t="str">
        <f>IF(ISBLANK(Clientes!C194),"'Sin Direccion'",CONCATENATE("'",MID(Clientes!C194,1,95),"'"))</f>
        <v>'Belloto del norte oriente 9395'</v>
      </c>
      <c r="F209" s="114">
        <v>13301</v>
      </c>
      <c r="G209" s="114">
        <v>13</v>
      </c>
      <c r="H209" s="135" t="s">
        <v>2137</v>
      </c>
      <c r="I209" s="122" t="str">
        <f t="shared" si="4"/>
        <v>INSERT INTO CLIENTES(RUT_CLIENTE,RAZON_SOCIAL,DIRECCION,ID_COMUNA,ID_REGION,FECHA_NACIMIENTO) VALUES (NULL,'Gloria Zavala','Belloto del norte oriente 9395',13301,13,TO_DATE('29-11-1967','DD-MM-YYYY'));</v>
      </c>
    </row>
    <row r="210" spans="1:9" ht="26.4">
      <c r="A210" t="str">
        <f>Clientes!A195</f>
        <v>Gonzalo Dawson</v>
      </c>
      <c r="B210" s="115">
        <f t="shared" si="5"/>
        <v>193</v>
      </c>
      <c r="C210" s="134" t="str">
        <f>IF(ISBLANK(Clientes!L195),"NULL",CONCATENATE("'",Clientes!L195,"'"))</f>
        <v>NULL</v>
      </c>
      <c r="D210" s="114" t="str">
        <f>CONCATENATE("'",Clientes!A195,"'")</f>
        <v>'Gonzalo Dawson'</v>
      </c>
      <c r="E210" s="114" t="str">
        <f>IF(ISBLANK(Clientes!C195),"'Sin Direccion'",CONCATENATE("'",MID(Clientes!C195,1,95),"'"))</f>
        <v>'Walker Martinez 3491'</v>
      </c>
      <c r="F210" s="114">
        <v>13302</v>
      </c>
      <c r="G210" s="114">
        <v>13</v>
      </c>
      <c r="H210" s="135" t="s">
        <v>2137</v>
      </c>
      <c r="I210" s="122" t="str">
        <f t="shared" si="4"/>
        <v>INSERT INTO CLIENTES(RUT_CLIENTE,RAZON_SOCIAL,DIRECCION,ID_COMUNA,ID_REGION,FECHA_NACIMIENTO) VALUES (NULL,'Gonzalo Dawson','Walker Martinez 3491',13302,13,TO_DATE('29-11-1967','DD-MM-YYYY'));</v>
      </c>
    </row>
    <row r="211" spans="1:9" ht="26.4">
      <c r="A211" t="str">
        <f>Clientes!A196</f>
        <v>Grace Huentel</v>
      </c>
      <c r="B211" s="115">
        <f t="shared" si="5"/>
        <v>194</v>
      </c>
      <c r="C211" s="134" t="str">
        <f>IF(ISBLANK(Clientes!L196),"NULL",CONCATENATE("'",Clientes!L196,"'"))</f>
        <v>NULL</v>
      </c>
      <c r="D211" s="114" t="str">
        <f>CONCATENATE("'",Clientes!A196,"'")</f>
        <v>'Grace Huentel'</v>
      </c>
      <c r="E211" s="114" t="str">
        <f>IF(ISBLANK(Clientes!C196),"'Sin Direccion'",CONCATENATE("'",MID(Clientes!C196,1,95),"'"))</f>
        <v>'Salar de Atacama 1287, Pudahuel'</v>
      </c>
      <c r="F211" s="114">
        <v>13303</v>
      </c>
      <c r="G211" s="114">
        <v>13</v>
      </c>
      <c r="H211" s="135" t="s">
        <v>2137</v>
      </c>
      <c r="I211" s="122" t="str">
        <f t="shared" ref="I211:I274" si="6">CONCATENATE("INSERT INTO CLIENTES(RUT_CLIENTE,RAZON_SOCIAL,DIRECCION,ID_COMUNA,ID_REGION,FECHA_NACIMIENTO) VALUES (",C211,",",D211,",",E211,",",F211,",",G211,",","TO_DATE('",H211,"','DD-MM-YYYY'));")</f>
        <v>INSERT INTO CLIENTES(RUT_CLIENTE,RAZON_SOCIAL,DIRECCION,ID_COMUNA,ID_REGION,FECHA_NACIMIENTO) VALUES (NULL,'Grace Huentel','Salar de Atacama 1287, Pudahuel',13303,13,TO_DATE('29-11-1967','DD-MM-YYYY'));</v>
      </c>
    </row>
    <row r="212" spans="1:9" ht="26.4">
      <c r="A212" t="str">
        <f>Clientes!A197</f>
        <v>Greici Huentel</v>
      </c>
      <c r="B212" s="115">
        <f t="shared" ref="B212:B275" si="7">B211+1</f>
        <v>195</v>
      </c>
      <c r="C212" s="134" t="str">
        <f>IF(ISBLANK(Clientes!L197),"NULL",CONCATENATE("'",Clientes!L197,"'"))</f>
        <v>NULL</v>
      </c>
      <c r="D212" s="114" t="str">
        <f>CONCATENATE("'",Clientes!A197,"'")</f>
        <v>'Greici Huentel'</v>
      </c>
      <c r="E212" s="114" t="str">
        <f>IF(ISBLANK(Clientes!C197),"'Sin Direccion'",CONCATENATE("'",MID(Clientes!C197,1,95),"'"))</f>
        <v>'Sin Direccion'</v>
      </c>
      <c r="F212" s="114">
        <v>13401</v>
      </c>
      <c r="G212" s="114">
        <v>13</v>
      </c>
      <c r="H212" s="135" t="s">
        <v>2137</v>
      </c>
      <c r="I212" s="122" t="str">
        <f t="shared" si="6"/>
        <v>INSERT INTO CLIENTES(RUT_CLIENTE,RAZON_SOCIAL,DIRECCION,ID_COMUNA,ID_REGION,FECHA_NACIMIENTO) VALUES (NULL,'Greici Huentel','Sin Direccion',13401,13,TO_DATE('29-11-1967','DD-MM-YYYY'));</v>
      </c>
    </row>
    <row r="213" spans="1:9" ht="26.4">
      <c r="A213" t="str">
        <f>Clientes!A198</f>
        <v>Guido Araya</v>
      </c>
      <c r="B213" s="115">
        <f t="shared" si="7"/>
        <v>196</v>
      </c>
      <c r="C213" s="134" t="str">
        <f>IF(ISBLANK(Clientes!L198),"NULL",CONCATENATE("'",Clientes!L198,"'"))</f>
        <v>NULL</v>
      </c>
      <c r="D213" s="114" t="str">
        <f>CONCATENATE("'",Clientes!A198,"'")</f>
        <v>'Guido Araya'</v>
      </c>
      <c r="E213" s="114" t="str">
        <f>IF(ISBLANK(Clientes!C198),"'Sin Direccion'",CONCATENATE("'",MID(Clientes!C198,1,95),"'"))</f>
        <v>'Santa Julia 3468, esquina Diamelos'</v>
      </c>
      <c r="F213" s="114">
        <v>13402</v>
      </c>
      <c r="G213" s="114">
        <v>13</v>
      </c>
      <c r="H213" s="135" t="s">
        <v>2137</v>
      </c>
      <c r="I213" s="122" t="str">
        <f t="shared" si="6"/>
        <v>INSERT INTO CLIENTES(RUT_CLIENTE,RAZON_SOCIAL,DIRECCION,ID_COMUNA,ID_REGION,FECHA_NACIMIENTO) VALUES (NULL,'Guido Araya','Santa Julia 3468, esquina Diamelos',13402,13,TO_DATE('29-11-1967','DD-MM-YYYY'));</v>
      </c>
    </row>
    <row r="214" spans="1:9" ht="26.4">
      <c r="A214" t="str">
        <f>Clientes!A199</f>
        <v>Hector Boza</v>
      </c>
      <c r="B214" s="115">
        <f t="shared" si="7"/>
        <v>197</v>
      </c>
      <c r="C214" s="134" t="str">
        <f>IF(ISBLANK(Clientes!L199),"NULL",CONCATENATE("'",Clientes!L199,"'"))</f>
        <v>NULL</v>
      </c>
      <c r="D214" s="114" t="str">
        <f>CONCATENATE("'",Clientes!A199,"'")</f>
        <v>'Hector Boza'</v>
      </c>
      <c r="E214" s="114" t="str">
        <f>IF(ISBLANK(Clientes!C199),"'Sin Direccion'",CONCATENATE("'",MID(Clientes!C199,1,95),"'"))</f>
        <v>'Sin Direccion'</v>
      </c>
      <c r="F214" s="114">
        <v>13403</v>
      </c>
      <c r="G214" s="114">
        <v>13</v>
      </c>
      <c r="H214" s="135" t="s">
        <v>2137</v>
      </c>
      <c r="I214" s="122" t="str">
        <f t="shared" si="6"/>
        <v>INSERT INTO CLIENTES(RUT_CLIENTE,RAZON_SOCIAL,DIRECCION,ID_COMUNA,ID_REGION,FECHA_NACIMIENTO) VALUES (NULL,'Hector Boza','Sin Direccion',13403,13,TO_DATE('29-11-1967','DD-MM-YYYY'));</v>
      </c>
    </row>
    <row r="215" spans="1:9" ht="26.4">
      <c r="A215" t="str">
        <f>Clientes!A200</f>
        <v>Hector Sepulveda</v>
      </c>
      <c r="B215" s="115">
        <f t="shared" si="7"/>
        <v>198</v>
      </c>
      <c r="C215" s="134" t="str">
        <f>IF(ISBLANK(Clientes!L200),"NULL",CONCATENATE("'",Clientes!L200,"'"))</f>
        <v>NULL</v>
      </c>
      <c r="D215" s="114" t="str">
        <f>CONCATENATE("'",Clientes!A200,"'")</f>
        <v>'Hector Sepulveda'</v>
      </c>
      <c r="E215" s="114" t="str">
        <f>IF(ISBLANK(Clientes!C200),"'Sin Direccion'",CONCATENATE("'",MID(Clientes!C200,1,95),"'"))</f>
        <v>'Sin Direccion'</v>
      </c>
      <c r="F215" s="114">
        <v>13404</v>
      </c>
      <c r="G215" s="114">
        <v>13</v>
      </c>
      <c r="H215" s="135" t="s">
        <v>2137</v>
      </c>
      <c r="I215" s="122" t="str">
        <f t="shared" si="6"/>
        <v>INSERT INTO CLIENTES(RUT_CLIENTE,RAZON_SOCIAL,DIRECCION,ID_COMUNA,ID_REGION,FECHA_NACIMIENTO) VALUES (NULL,'Hector Sepulveda','Sin Direccion',13404,13,TO_DATE('29-11-1967','DD-MM-YYYY'));</v>
      </c>
    </row>
    <row r="216" spans="1:9" ht="26.4">
      <c r="A216" t="str">
        <f>Clientes!A201</f>
        <v>Hemaly Cornejo Chacon</v>
      </c>
      <c r="B216" s="115">
        <f t="shared" si="7"/>
        <v>199</v>
      </c>
      <c r="C216" s="134" t="str">
        <f>IF(ISBLANK(Clientes!L201),"NULL",CONCATENATE("'",Clientes!L201,"'"))</f>
        <v>NULL</v>
      </c>
      <c r="D216" s="114" t="str">
        <f>CONCATENATE("'",Clientes!A201,"'")</f>
        <v>'Hemaly Cornejo Chacon'</v>
      </c>
      <c r="E216" s="114" t="str">
        <f>IF(ISBLANK(Clientes!C201),"'Sin Direccion'",CONCATENATE("'",MID(Clientes!C201,1,95),"'"))</f>
        <v>'Lapihue 7222'</v>
      </c>
      <c r="F216" s="114">
        <v>13501</v>
      </c>
      <c r="G216" s="114">
        <v>13</v>
      </c>
      <c r="H216" s="135" t="s">
        <v>2137</v>
      </c>
      <c r="I216" s="122" t="str">
        <f t="shared" si="6"/>
        <v>INSERT INTO CLIENTES(RUT_CLIENTE,RAZON_SOCIAL,DIRECCION,ID_COMUNA,ID_REGION,FECHA_NACIMIENTO) VALUES (NULL,'Hemaly Cornejo Chacon','Lapihue 7222',13501,13,TO_DATE('29-11-1967','DD-MM-YYYY'));</v>
      </c>
    </row>
    <row r="217" spans="1:9" ht="26.4">
      <c r="A217" t="str">
        <f>Clientes!A202</f>
        <v>Hernan Ureta</v>
      </c>
      <c r="B217" s="115">
        <f t="shared" si="7"/>
        <v>200</v>
      </c>
      <c r="C217" s="134" t="str">
        <f>IF(ISBLANK(Clientes!L202),"NULL",CONCATENATE("'",Clientes!L202,"'"))</f>
        <v>NULL</v>
      </c>
      <c r="D217" s="114" t="str">
        <f>CONCATENATE("'",Clientes!A202,"'")</f>
        <v>'Hernan Ureta'</v>
      </c>
      <c r="E217" s="114" t="str">
        <f>IF(ISBLANK(Clientes!C202),"'Sin Direccion'",CONCATENATE("'",MID(Clientes!C202,1,95),"'"))</f>
        <v>'Psje. Toconay 7698'</v>
      </c>
      <c r="F217" s="114">
        <v>13502</v>
      </c>
      <c r="G217" s="114">
        <v>13</v>
      </c>
      <c r="H217" s="135" t="s">
        <v>2137</v>
      </c>
      <c r="I217" s="122" t="str">
        <f t="shared" si="6"/>
        <v>INSERT INTO CLIENTES(RUT_CLIENTE,RAZON_SOCIAL,DIRECCION,ID_COMUNA,ID_REGION,FECHA_NACIMIENTO) VALUES (NULL,'Hernan Ureta','Psje. Toconay 7698',13502,13,TO_DATE('29-11-1967','DD-MM-YYYY'));</v>
      </c>
    </row>
    <row r="218" spans="1:9" ht="26.4">
      <c r="A218" t="str">
        <f>Clientes!A203</f>
        <v>Ibis - Bristol 9431</v>
      </c>
      <c r="B218" s="115">
        <f t="shared" si="7"/>
        <v>201</v>
      </c>
      <c r="C218" s="134" t="str">
        <f>IF(ISBLANK(Clientes!L203),"NULL",CONCATENATE("'",Clientes!L203,"'"))</f>
        <v>NULL</v>
      </c>
      <c r="D218" s="114" t="str">
        <f>CONCATENATE("'",Clientes!A203,"'")</f>
        <v>'Ibis - Bristol 9431'</v>
      </c>
      <c r="E218" s="114" t="str">
        <f>IF(ISBLANK(Clientes!C203),"'Sin Direccion'",CONCATENATE("'",MID(Clientes!C203,1,95),"'"))</f>
        <v>'Bristol 9431  /  Por Enrique Olivares doblar en Oxford/ cerca de AvLaflorida'</v>
      </c>
      <c r="F218" s="114">
        <v>13503</v>
      </c>
      <c r="G218" s="114">
        <v>13</v>
      </c>
      <c r="H218" s="135" t="s">
        <v>2137</v>
      </c>
      <c r="I218" s="122" t="str">
        <f t="shared" si="6"/>
        <v>INSERT INTO CLIENTES(RUT_CLIENTE,RAZON_SOCIAL,DIRECCION,ID_COMUNA,ID_REGION,FECHA_NACIMIENTO) VALUES (NULL,'Ibis - Bristol 9431','Bristol 9431  /  Por Enrique Olivares doblar en Oxford/ cerca de AvLaflorida',13503,13,TO_DATE('29-11-1967','DD-MM-YYYY'));</v>
      </c>
    </row>
    <row r="219" spans="1:9" ht="26.4">
      <c r="A219" t="str">
        <f>Clientes!A204</f>
        <v>Ignacio Martinez</v>
      </c>
      <c r="B219" s="115">
        <f t="shared" si="7"/>
        <v>202</v>
      </c>
      <c r="C219" s="134" t="str">
        <f>IF(ISBLANK(Clientes!L204),"NULL",CONCATENATE("'",Clientes!L204,"'"))</f>
        <v>NULL</v>
      </c>
      <c r="D219" s="114" t="str">
        <f>CONCATENATE("'",Clientes!A204,"'")</f>
        <v>'Ignacio Martinez'</v>
      </c>
      <c r="E219" s="114" t="str">
        <f>IF(ISBLANK(Clientes!C204),"'Sin Direccion'",CONCATENATE("'",MID(Clientes!C204,1,95),"'"))</f>
        <v>'Belloto del norte oriente 9357'</v>
      </c>
      <c r="F219" s="114">
        <v>13504</v>
      </c>
      <c r="G219" s="114">
        <v>13</v>
      </c>
      <c r="H219" s="135" t="s">
        <v>2137</v>
      </c>
      <c r="I219" s="122" t="str">
        <f t="shared" si="6"/>
        <v>INSERT INTO CLIENTES(RUT_CLIENTE,RAZON_SOCIAL,DIRECCION,ID_COMUNA,ID_REGION,FECHA_NACIMIENTO) VALUES (NULL,'Ignacio Martinez','Belloto del norte oriente 9357',13504,13,TO_DATE('29-11-1967','DD-MM-YYYY'));</v>
      </c>
    </row>
    <row r="220" spans="1:9" ht="26.4">
      <c r="A220" t="str">
        <f>Clientes!A205</f>
        <v>INAM TOUR EIRL</v>
      </c>
      <c r="B220" s="115">
        <f t="shared" si="7"/>
        <v>203</v>
      </c>
      <c r="C220" s="134" t="str">
        <f>IF(ISBLANK(Clientes!L205),"NULL",CONCATENATE("'",Clientes!L205,"'"))</f>
        <v>'76134158-8'</v>
      </c>
      <c r="D220" s="114" t="str">
        <f>CONCATENATE("'",Clientes!A205,"'")</f>
        <v>'INAM TOUR EIRL'</v>
      </c>
      <c r="E220" s="114" t="str">
        <f>IF(ISBLANK(Clientes!C205),"'Sin Direccion'",CONCATENATE("'",MID(Clientes!C205,1,95),"'"))</f>
        <v>'Belloto del norte oriente 9395'</v>
      </c>
      <c r="F220" s="114">
        <v>13505</v>
      </c>
      <c r="G220" s="114">
        <v>13</v>
      </c>
      <c r="H220" s="135" t="s">
        <v>2137</v>
      </c>
      <c r="I220" s="122" t="str">
        <f t="shared" si="6"/>
        <v>INSERT INTO CLIENTES(RUT_CLIENTE,RAZON_SOCIAL,DIRECCION,ID_COMUNA,ID_REGION,FECHA_NACIMIENTO) VALUES ('76134158-8','INAM TOUR EIRL','Belloto del norte oriente 9395',13505,13,TO_DATE('29-11-1967','DD-MM-YYYY'));</v>
      </c>
    </row>
    <row r="221" spans="1:9" ht="26.4">
      <c r="A221" t="str">
        <f>Clientes!A206</f>
        <v xml:space="preserve">Ines - HM 7550 A </v>
      </c>
      <c r="B221" s="115">
        <f t="shared" si="7"/>
        <v>204</v>
      </c>
      <c r="C221" s="134" t="str">
        <f>IF(ISBLANK(Clientes!L206),"NULL",CONCATENATE("'",Clientes!L206,"'"))</f>
        <v>NULL</v>
      </c>
      <c r="D221" s="114" t="str">
        <f>CONCATENATE("'",Clientes!A206,"'")</f>
        <v>'Ines - HM 7550 A '</v>
      </c>
      <c r="E221" s="114" t="str">
        <f>IF(ISBLANK(Clientes!C206),"'Sin Direccion'",CONCATENATE("'",MID(Clientes!C206,1,95),"'"))</f>
        <v>'Hurtado Mendoza 7550 A'</v>
      </c>
      <c r="F221" s="114">
        <v>13601</v>
      </c>
      <c r="G221" s="114">
        <v>13</v>
      </c>
      <c r="H221" s="135" t="s">
        <v>2137</v>
      </c>
      <c r="I221" s="122" t="str">
        <f t="shared" si="6"/>
        <v>INSERT INTO CLIENTES(RUT_CLIENTE,RAZON_SOCIAL,DIRECCION,ID_COMUNA,ID_REGION,FECHA_NACIMIENTO) VALUES (NULL,'Ines - HM 7550 A ','Hurtado Mendoza 7550 A',13601,13,TO_DATE('29-11-1967','DD-MM-YYYY'));</v>
      </c>
    </row>
    <row r="222" spans="1:9" ht="26.4">
      <c r="A222" t="str">
        <f>Clientes!A207</f>
        <v>Inexsol Spa</v>
      </c>
      <c r="B222" s="115">
        <f t="shared" si="7"/>
        <v>205</v>
      </c>
      <c r="C222" s="134" t="str">
        <f>IF(ISBLANK(Clientes!L207),"NULL",CONCATENATE("'",Clientes!L207,"'"))</f>
        <v>'77334103-6'</v>
      </c>
      <c r="D222" s="114" t="str">
        <f>CONCATENATE("'",Clientes!A207,"'")</f>
        <v>'Inexsol Spa'</v>
      </c>
      <c r="E222" s="114" t="str">
        <f>IF(ISBLANK(Clientes!C207),"'Sin Direccion'",CONCATENATE("'",MID(Clientes!C207,1,95),"'"))</f>
        <v>'La Concepción 7633 dpto 38'</v>
      </c>
      <c r="F222" s="114">
        <v>13602</v>
      </c>
      <c r="G222" s="114">
        <v>13</v>
      </c>
      <c r="H222" s="135" t="s">
        <v>2137</v>
      </c>
      <c r="I222" s="122" t="str">
        <f t="shared" si="6"/>
        <v>INSERT INTO CLIENTES(RUT_CLIENTE,RAZON_SOCIAL,DIRECCION,ID_COMUNA,ID_REGION,FECHA_NACIMIENTO) VALUES ('77334103-6','Inexsol Spa','La Concepción 7633 dpto 38',13602,13,TO_DATE('29-11-1967','DD-MM-YYYY'));</v>
      </c>
    </row>
    <row r="223" spans="1:9" ht="26.4">
      <c r="A223" t="str">
        <f>Clientes!A208</f>
        <v>Ingrid - Niebla 413</v>
      </c>
      <c r="B223" s="115">
        <f t="shared" si="7"/>
        <v>206</v>
      </c>
      <c r="C223" s="134" t="str">
        <f>IF(ISBLANK(Clientes!L208),"NULL",CONCATENATE("'",Clientes!L208,"'"))</f>
        <v>NULL</v>
      </c>
      <c r="D223" s="114" t="str">
        <f>CONCATENATE("'",Clientes!A208,"'")</f>
        <v>'Ingrid - Niebla 413'</v>
      </c>
      <c r="E223" s="114" t="str">
        <f>IF(ISBLANK(Clientes!C208),"'Sin Direccion'",CONCATENATE("'",MID(Clientes!C208,1,95),"'"))</f>
        <v>'Niebla 413'</v>
      </c>
      <c r="F223" s="114">
        <v>13603</v>
      </c>
      <c r="G223" s="114">
        <v>13</v>
      </c>
      <c r="H223" s="135" t="s">
        <v>2137</v>
      </c>
      <c r="I223" s="122" t="str">
        <f t="shared" si="6"/>
        <v>INSERT INTO CLIENTES(RUT_CLIENTE,RAZON_SOCIAL,DIRECCION,ID_COMUNA,ID_REGION,FECHA_NACIMIENTO) VALUES (NULL,'Ingrid - Niebla 413','Niebla 413',13603,13,TO_DATE('29-11-1967','DD-MM-YYYY'));</v>
      </c>
    </row>
    <row r="224" spans="1:9" ht="26.4">
      <c r="A224" t="str">
        <f>Clientes!A209</f>
        <v>Ingrid Maldonado</v>
      </c>
      <c r="B224" s="115">
        <f t="shared" si="7"/>
        <v>207</v>
      </c>
      <c r="C224" s="134" t="str">
        <f>IF(ISBLANK(Clientes!L209),"NULL",CONCATENATE("'",Clientes!L209,"'"))</f>
        <v>NULL</v>
      </c>
      <c r="D224" s="114" t="str">
        <f>CONCATENATE("'",Clientes!A209,"'")</f>
        <v>'Ingrid Maldonado'</v>
      </c>
      <c r="E224" s="114" t="str">
        <f>IF(ISBLANK(Clientes!C209),"'Sin Direccion'",CONCATENATE("'",MID(Clientes!C209,1,95),"'"))</f>
        <v>'Walker Martínez 3142 depto. 804'</v>
      </c>
      <c r="F224" s="114">
        <v>13604</v>
      </c>
      <c r="G224" s="114">
        <v>13</v>
      </c>
      <c r="H224" s="135" t="s">
        <v>2137</v>
      </c>
      <c r="I224" s="122" t="str">
        <f t="shared" si="6"/>
        <v>INSERT INTO CLIENTES(RUT_CLIENTE,RAZON_SOCIAL,DIRECCION,ID_COMUNA,ID_REGION,FECHA_NACIMIENTO) VALUES (NULL,'Ingrid Maldonado','Walker Martínez 3142 depto. 804',13604,13,TO_DATE('29-11-1967','DD-MM-YYYY'));</v>
      </c>
    </row>
    <row r="225" spans="1:9" ht="26.4">
      <c r="A225" t="str">
        <f>Clientes!A210</f>
        <v>Ingrid Maturana</v>
      </c>
      <c r="B225" s="115">
        <f t="shared" si="7"/>
        <v>208</v>
      </c>
      <c r="C225" s="134" t="str">
        <f>IF(ISBLANK(Clientes!L210),"NULL",CONCATENATE("'",Clientes!L210,"'"))</f>
        <v>NULL</v>
      </c>
      <c r="D225" s="114" t="str">
        <f>CONCATENATE("'",Clientes!A210,"'")</f>
        <v>'Ingrid Maturana'</v>
      </c>
      <c r="E225" s="114" t="str">
        <f>IF(ISBLANK(Clientes!C210),"'Sin Direccion'",CONCATENATE("'",MID(Clientes!C210,1,95),"'"))</f>
        <v>'Perú 8389'</v>
      </c>
      <c r="F225" s="114">
        <v>13605</v>
      </c>
      <c r="G225" s="114">
        <v>13</v>
      </c>
      <c r="H225" s="135" t="s">
        <v>2137</v>
      </c>
      <c r="I225" s="122" t="str">
        <f t="shared" si="6"/>
        <v>INSERT INTO CLIENTES(RUT_CLIENTE,RAZON_SOCIAL,DIRECCION,ID_COMUNA,ID_REGION,FECHA_NACIMIENTO) VALUES (NULL,'Ingrid Maturana','Perú 8389',13605,13,TO_DATE('29-11-1967','DD-MM-YYYY'));</v>
      </c>
    </row>
    <row r="226" spans="1:9" ht="26.4">
      <c r="A226" t="str">
        <f>Clientes!A211</f>
        <v>Irene Santa Delia</v>
      </c>
      <c r="B226" s="115">
        <f t="shared" si="7"/>
        <v>209</v>
      </c>
      <c r="C226" s="134" t="str">
        <f>IF(ISBLANK(Clientes!L211),"NULL",CONCATENATE("'",Clientes!L211,"'"))</f>
        <v>NULL</v>
      </c>
      <c r="D226" s="114" t="str">
        <f>CONCATENATE("'",Clientes!A211,"'")</f>
        <v>'Irene Santa Delia'</v>
      </c>
      <c r="E226" s="114" t="str">
        <f>IF(ISBLANK(Clientes!C211),"'Sin Direccion'",CONCATENATE("'",MID(Clientes!C211,1,95),"'"))</f>
        <v>'Santa NeLly 8931'</v>
      </c>
      <c r="F226" s="114">
        <v>13101</v>
      </c>
      <c r="G226" s="114">
        <v>13</v>
      </c>
      <c r="H226" s="135" t="s">
        <v>2137</v>
      </c>
      <c r="I226" s="122" t="str">
        <f t="shared" si="6"/>
        <v>INSERT INTO CLIENTES(RUT_CLIENTE,RAZON_SOCIAL,DIRECCION,ID_COMUNA,ID_REGION,FECHA_NACIMIENTO) VALUES (NULL,'Irene Santa Delia','Santa NeLly 8931',13101,13,TO_DATE('29-11-1967','DD-MM-YYYY'));</v>
      </c>
    </row>
    <row r="227" spans="1:9" ht="26.4">
      <c r="A227" t="str">
        <f>Clientes!A212</f>
        <v>Isabel Briseño</v>
      </c>
      <c r="B227" s="115">
        <f t="shared" si="7"/>
        <v>210</v>
      </c>
      <c r="C227" s="134" t="str">
        <f>IF(ISBLANK(Clientes!L212),"NULL",CONCATENATE("'",Clientes!L212,"'"))</f>
        <v>NULL</v>
      </c>
      <c r="D227" s="114" t="str">
        <f>CONCATENATE("'",Clientes!A212,"'")</f>
        <v>'Isabel Briseño'</v>
      </c>
      <c r="E227" s="114" t="str">
        <f>IF(ISBLANK(Clientes!C212),"'Sin Direccion'",CONCATENATE("'",MID(Clientes!C212,1,95),"'"))</f>
        <v>'Sin Direccion'</v>
      </c>
      <c r="F227" s="114">
        <v>13102</v>
      </c>
      <c r="G227" s="114">
        <v>13</v>
      </c>
      <c r="H227" s="135" t="s">
        <v>2137</v>
      </c>
      <c r="I227" s="122" t="str">
        <f t="shared" si="6"/>
        <v>INSERT INTO CLIENTES(RUT_CLIENTE,RAZON_SOCIAL,DIRECCION,ID_COMUNA,ID_REGION,FECHA_NACIMIENTO) VALUES (NULL,'Isabel Briseño','Sin Direccion',13102,13,TO_DATE('29-11-1967','DD-MM-YYYY'));</v>
      </c>
    </row>
    <row r="228" spans="1:9" ht="26.4">
      <c r="A228" t="str">
        <f>Clientes!A213</f>
        <v>Isabel Margarita</v>
      </c>
      <c r="B228" s="115">
        <f t="shared" si="7"/>
        <v>211</v>
      </c>
      <c r="C228" s="134" t="str">
        <f>IF(ISBLANK(Clientes!L213),"NULL",CONCATENATE("'",Clientes!L213,"'"))</f>
        <v>NULL</v>
      </c>
      <c r="D228" s="114" t="str">
        <f>CONCATENATE("'",Clientes!A213,"'")</f>
        <v>'Isabel Margarita'</v>
      </c>
      <c r="E228" s="114" t="str">
        <f>IF(ISBLANK(Clientes!C213),"'Sin Direccion'",CONCATENATE("'",MID(Clientes!C213,1,95),"'"))</f>
        <v>'Belloto del norte oriente 9407'</v>
      </c>
      <c r="F228" s="114">
        <v>13103</v>
      </c>
      <c r="G228" s="114">
        <v>13</v>
      </c>
      <c r="H228" s="135" t="s">
        <v>2137</v>
      </c>
      <c r="I228" s="122" t="str">
        <f t="shared" si="6"/>
        <v>INSERT INTO CLIENTES(RUT_CLIENTE,RAZON_SOCIAL,DIRECCION,ID_COMUNA,ID_REGION,FECHA_NACIMIENTO) VALUES (NULL,'Isabel Margarita','Belloto del norte oriente 9407',13103,13,TO_DATE('29-11-1967','DD-MM-YYYY'));</v>
      </c>
    </row>
    <row r="229" spans="1:9" ht="26.4">
      <c r="A229" t="str">
        <f>Clientes!A214</f>
        <v>Isadora Andrea Fuentealba</v>
      </c>
      <c r="B229" s="115">
        <f t="shared" si="7"/>
        <v>212</v>
      </c>
      <c r="C229" s="134" t="str">
        <f>IF(ISBLANK(Clientes!L214),"NULL",CONCATENATE("'",Clientes!L214,"'"))</f>
        <v>NULL</v>
      </c>
      <c r="D229" s="114" t="str">
        <f>CONCATENATE("'",Clientes!A214,"'")</f>
        <v>'Isadora Andrea Fuentealba'</v>
      </c>
      <c r="E229" s="114" t="str">
        <f>IF(ISBLANK(Clientes!C214),"'Sin Direccion'",CONCATENATE("'",MID(Clientes!C214,1,95),"'"))</f>
        <v>'El Arrayán 3346'</v>
      </c>
      <c r="F229" s="114">
        <v>13104</v>
      </c>
      <c r="G229" s="114">
        <v>13</v>
      </c>
      <c r="H229" s="135" t="s">
        <v>2137</v>
      </c>
      <c r="I229" s="122" t="str">
        <f t="shared" si="6"/>
        <v>INSERT INTO CLIENTES(RUT_CLIENTE,RAZON_SOCIAL,DIRECCION,ID_COMUNA,ID_REGION,FECHA_NACIMIENTO) VALUES (NULL,'Isadora Andrea Fuentealba','El Arrayán 3346',13104,13,TO_DATE('29-11-1967','DD-MM-YYYY'));</v>
      </c>
    </row>
    <row r="230" spans="1:9" ht="26.4">
      <c r="A230" t="str">
        <f>Clientes!A215</f>
        <v>Isolina Colegio Antilhue</v>
      </c>
      <c r="B230" s="115">
        <f t="shared" si="7"/>
        <v>213</v>
      </c>
      <c r="C230" s="134" t="str">
        <f>IF(ISBLANK(Clientes!L215),"NULL",CONCATENATE("'",Clientes!L215,"'"))</f>
        <v>NULL</v>
      </c>
      <c r="D230" s="114" t="str">
        <f>CONCATENATE("'",Clientes!A215,"'")</f>
        <v>'Isolina Colegio Antilhue'</v>
      </c>
      <c r="E230" s="114" t="str">
        <f>IF(ISBLANK(Clientes!C215),"'Sin Direccion'",CONCATENATE("'",MID(Clientes!C215,1,95),"'"))</f>
        <v>'Sin Direccion'</v>
      </c>
      <c r="F230" s="114">
        <v>13105</v>
      </c>
      <c r="G230" s="114">
        <v>13</v>
      </c>
      <c r="H230" s="135" t="s">
        <v>2137</v>
      </c>
      <c r="I230" s="122" t="str">
        <f t="shared" si="6"/>
        <v>INSERT INTO CLIENTES(RUT_CLIENTE,RAZON_SOCIAL,DIRECCION,ID_COMUNA,ID_REGION,FECHA_NACIMIENTO) VALUES (NULL,'Isolina Colegio Antilhue','Sin Direccion',13105,13,TO_DATE('29-11-1967','DD-MM-YYYY'));</v>
      </c>
    </row>
    <row r="231" spans="1:9" ht="26.4">
      <c r="A231" t="str">
        <f>Clientes!A216</f>
        <v>Ivan Herrera</v>
      </c>
      <c r="B231" s="115">
        <f t="shared" si="7"/>
        <v>214</v>
      </c>
      <c r="C231" s="134" t="str">
        <f>IF(ISBLANK(Clientes!L216),"NULL",CONCATENATE("'",Clientes!L216,"'"))</f>
        <v>NULL</v>
      </c>
      <c r="D231" s="114" t="str">
        <f>CONCATENATE("'",Clientes!A216,"'")</f>
        <v>'Ivan Herrera'</v>
      </c>
      <c r="E231" s="114" t="str">
        <f>IF(ISBLANK(Clientes!C216),"'Sin Direccion'",CONCATENATE("'",MID(Clientes!C216,1,95),"'"))</f>
        <v>'Sin Direccion'</v>
      </c>
      <c r="F231" s="114">
        <v>13106</v>
      </c>
      <c r="G231" s="114">
        <v>13</v>
      </c>
      <c r="H231" s="135" t="s">
        <v>2137</v>
      </c>
      <c r="I231" s="122" t="str">
        <f t="shared" si="6"/>
        <v>INSERT INTO CLIENTES(RUT_CLIENTE,RAZON_SOCIAL,DIRECCION,ID_COMUNA,ID_REGION,FECHA_NACIMIENTO) VALUES (NULL,'Ivan Herrera','Sin Direccion',13106,13,TO_DATE('29-11-1967','DD-MM-YYYY'));</v>
      </c>
    </row>
    <row r="232" spans="1:9" ht="26.4">
      <c r="A232" t="str">
        <f>Clientes!A217</f>
        <v>Ivania Leal Campos</v>
      </c>
      <c r="B232" s="115">
        <f t="shared" si="7"/>
        <v>215</v>
      </c>
      <c r="C232" s="134" t="str">
        <f>IF(ISBLANK(Clientes!L217),"NULL",CONCATENATE("'",Clientes!L217,"'"))</f>
        <v>NULL</v>
      </c>
      <c r="D232" s="114" t="str">
        <f>CONCATENATE("'",Clientes!A217,"'")</f>
        <v>'Ivania Leal Campos'</v>
      </c>
      <c r="E232" s="114" t="str">
        <f>IF(ISBLANK(Clientes!C217),"'Sin Direccion'",CONCATENATE("'",MID(Clientes!C217,1,95),"'"))</f>
        <v>'Las campanulas 8487 (México con perpetúa Freire Aprox)'</v>
      </c>
      <c r="F232" s="114">
        <v>13107</v>
      </c>
      <c r="G232" s="114">
        <v>13</v>
      </c>
      <c r="H232" s="135" t="s">
        <v>2137</v>
      </c>
      <c r="I232" s="122" t="str">
        <f t="shared" si="6"/>
        <v>INSERT INTO CLIENTES(RUT_CLIENTE,RAZON_SOCIAL,DIRECCION,ID_COMUNA,ID_REGION,FECHA_NACIMIENTO) VALUES (NULL,'Ivania Leal Campos','Las campanulas 8487 (México con perpetúa Freire Aprox)',13107,13,TO_DATE('29-11-1967','DD-MM-YYYY'));</v>
      </c>
    </row>
    <row r="233" spans="1:9" ht="26.4">
      <c r="A233" t="str">
        <f>Clientes!A218</f>
        <v>Jacqueline Puente</v>
      </c>
      <c r="B233" s="115">
        <f t="shared" si="7"/>
        <v>216</v>
      </c>
      <c r="C233" s="134" t="str">
        <f>IF(ISBLANK(Clientes!L218),"NULL",CONCATENATE("'",Clientes!L218,"'"))</f>
        <v>NULL</v>
      </c>
      <c r="D233" s="114" t="str">
        <f>CONCATENATE("'",Clientes!A218,"'")</f>
        <v>'Jacqueline Puente'</v>
      </c>
      <c r="E233" s="114" t="str">
        <f>IF(ISBLANK(Clientes!C218),"'Sin Direccion'",CONCATENATE("'",MID(Clientes!C218,1,95),"'"))</f>
        <v>'Santa Delia 8858'</v>
      </c>
      <c r="F233" s="114">
        <v>13108</v>
      </c>
      <c r="G233" s="114">
        <v>13</v>
      </c>
      <c r="H233" s="135" t="s">
        <v>2137</v>
      </c>
      <c r="I233" s="122" t="str">
        <f t="shared" si="6"/>
        <v>INSERT INTO CLIENTES(RUT_CLIENTE,RAZON_SOCIAL,DIRECCION,ID_COMUNA,ID_REGION,FECHA_NACIMIENTO) VALUES (NULL,'Jacqueline Puente','Santa Delia 8858',13108,13,TO_DATE('29-11-1967','DD-MM-YYYY'));</v>
      </c>
    </row>
    <row r="234" spans="1:9" ht="26.4">
      <c r="A234" t="str">
        <f>Clientes!A219</f>
        <v>Jaki Alarcon</v>
      </c>
      <c r="B234" s="115">
        <f t="shared" si="7"/>
        <v>217</v>
      </c>
      <c r="C234" s="134" t="str">
        <f>IF(ISBLANK(Clientes!L219),"NULL",CONCATENATE("'",Clientes!L219,"'"))</f>
        <v>NULL</v>
      </c>
      <c r="D234" s="114" t="str">
        <f>CONCATENATE("'",Clientes!A219,"'")</f>
        <v>'Jaki Alarcon'</v>
      </c>
      <c r="E234" s="114" t="str">
        <f>IF(ISBLANK(Clientes!C219),"'Sin Direccion'",CONCATENATE("'",MID(Clientes!C219,1,95),"'"))</f>
        <v>'Huichahue 2790'</v>
      </c>
      <c r="F234" s="114">
        <v>13109</v>
      </c>
      <c r="G234" s="114">
        <v>13</v>
      </c>
      <c r="H234" s="135" t="s">
        <v>2137</v>
      </c>
      <c r="I234" s="122" t="str">
        <f t="shared" si="6"/>
        <v>INSERT INTO CLIENTES(RUT_CLIENTE,RAZON_SOCIAL,DIRECCION,ID_COMUNA,ID_REGION,FECHA_NACIMIENTO) VALUES (NULL,'Jaki Alarcon','Huichahue 2790',13109,13,TO_DATE('29-11-1967','DD-MM-YYYY'));</v>
      </c>
    </row>
    <row r="235" spans="1:9" ht="26.4">
      <c r="A235" t="str">
        <f>Clientes!A220</f>
        <v>Javiera Abigail Maldonado</v>
      </c>
      <c r="B235" s="115">
        <f t="shared" si="7"/>
        <v>218</v>
      </c>
      <c r="C235" s="134" t="str">
        <f>IF(ISBLANK(Clientes!L220),"NULL",CONCATENATE("'",Clientes!L220,"'"))</f>
        <v>NULL</v>
      </c>
      <c r="D235" s="114" t="str">
        <f>CONCATENATE("'",Clientes!A220,"'")</f>
        <v>'Javiera Abigail Maldonado'</v>
      </c>
      <c r="E235" s="114" t="str">
        <f>IF(ISBLANK(Clientes!C220),"'Sin Direccion'",CONCATENATE("'",MID(Clientes!C220,1,95),"'"))</f>
        <v>'La concepción 7633, depto 23'</v>
      </c>
      <c r="F235" s="114">
        <v>13110</v>
      </c>
      <c r="G235" s="114">
        <v>13</v>
      </c>
      <c r="H235" s="135" t="s">
        <v>2137</v>
      </c>
      <c r="I235" s="122" t="str">
        <f t="shared" si="6"/>
        <v>INSERT INTO CLIENTES(RUT_CLIENTE,RAZON_SOCIAL,DIRECCION,ID_COMUNA,ID_REGION,FECHA_NACIMIENTO) VALUES (NULL,'Javiera Abigail Maldonado','La concepción 7633, depto 23',13110,13,TO_DATE('29-11-1967','DD-MM-YYYY'));</v>
      </c>
    </row>
    <row r="236" spans="1:9" ht="26.4">
      <c r="A236" t="str">
        <f>Clientes!A221</f>
        <v>Javiera Santa Amalia</v>
      </c>
      <c r="B236" s="115">
        <f t="shared" si="7"/>
        <v>219</v>
      </c>
      <c r="C236" s="134" t="str">
        <f>IF(ISBLANK(Clientes!L221),"NULL",CONCATENATE("'",Clientes!L221,"'"))</f>
        <v>NULL</v>
      </c>
      <c r="D236" s="114" t="str">
        <f>CONCATENATE("'",Clientes!A221,"'")</f>
        <v>'Javiera Santa Amalia'</v>
      </c>
      <c r="E236" s="114" t="str">
        <f>IF(ISBLANK(Clientes!C221),"'Sin Direccion'",CONCATENATE("'",MID(Clientes!C221,1,95),"'"))</f>
        <v>'Alicahue 9633'</v>
      </c>
      <c r="F236" s="114">
        <v>13111</v>
      </c>
      <c r="G236" s="114">
        <v>13</v>
      </c>
      <c r="H236" s="135" t="s">
        <v>2137</v>
      </c>
      <c r="I236" s="122" t="str">
        <f t="shared" si="6"/>
        <v>INSERT INTO CLIENTES(RUT_CLIENTE,RAZON_SOCIAL,DIRECCION,ID_COMUNA,ID_REGION,FECHA_NACIMIENTO) VALUES (NULL,'Javiera Santa Amalia','Alicahue 9633',13111,13,TO_DATE('29-11-1967','DD-MM-YYYY'));</v>
      </c>
    </row>
    <row r="237" spans="1:9" ht="26.4">
      <c r="A237" t="str">
        <f>Clientes!A222</f>
        <v>JavierZuñiga</v>
      </c>
      <c r="B237" s="115">
        <f t="shared" si="7"/>
        <v>220</v>
      </c>
      <c r="C237" s="134" t="str">
        <f>IF(ISBLANK(Clientes!L222),"NULL",CONCATENATE("'",Clientes!L222,"'"))</f>
        <v>NULL</v>
      </c>
      <c r="D237" s="114" t="str">
        <f>CONCATENATE("'",Clientes!A222,"'")</f>
        <v>'JavierZuñiga'</v>
      </c>
      <c r="E237" s="114" t="str">
        <f>IF(ISBLANK(Clientes!C222),"'Sin Direccion'",CONCATENATE("'",MID(Clientes!C222,1,95),"'"))</f>
        <v>'Palena 2632 /  Trabajo:  Av. central 4321'</v>
      </c>
      <c r="F237" s="114">
        <v>13112</v>
      </c>
      <c r="G237" s="114">
        <v>13</v>
      </c>
      <c r="H237" s="135" t="s">
        <v>2137</v>
      </c>
      <c r="I237" s="122" t="str">
        <f t="shared" si="6"/>
        <v>INSERT INTO CLIENTES(RUT_CLIENTE,RAZON_SOCIAL,DIRECCION,ID_COMUNA,ID_REGION,FECHA_NACIMIENTO) VALUES (NULL,'JavierZuñiga','Palena 2632 /  Trabajo:  Av. central 4321',13112,13,TO_DATE('29-11-1967','DD-MM-YYYY'));</v>
      </c>
    </row>
    <row r="238" spans="1:9" ht="26.4">
      <c r="A238" t="str">
        <f>Clientes!A223</f>
        <v>Jeanette Santa Delia</v>
      </c>
      <c r="B238" s="115">
        <f t="shared" si="7"/>
        <v>221</v>
      </c>
      <c r="C238" s="134" t="str">
        <f>IF(ISBLANK(Clientes!L223),"NULL",CONCATENATE("'",Clientes!L223,"'"))</f>
        <v>NULL</v>
      </c>
      <c r="D238" s="114" t="str">
        <f>CONCATENATE("'",Clientes!A223,"'")</f>
        <v>'Jeanette Santa Delia'</v>
      </c>
      <c r="E238" s="114" t="str">
        <f>IF(ISBLANK(Clientes!C223),"'Sin Direccion'",CONCATENATE("'",MID(Clientes!C223,1,95),"'"))</f>
        <v>'Santa Nelly 8871'</v>
      </c>
      <c r="F238" s="114">
        <v>13113</v>
      </c>
      <c r="G238" s="114">
        <v>13</v>
      </c>
      <c r="H238" s="135" t="s">
        <v>2137</v>
      </c>
      <c r="I238" s="122" t="str">
        <f t="shared" si="6"/>
        <v>INSERT INTO CLIENTES(RUT_CLIENTE,RAZON_SOCIAL,DIRECCION,ID_COMUNA,ID_REGION,FECHA_NACIMIENTO) VALUES (NULL,'Jeanette Santa Delia','Santa Nelly 8871',13113,13,TO_DATE('29-11-1967','DD-MM-YYYY'));</v>
      </c>
    </row>
    <row r="239" spans="1:9" ht="26.4">
      <c r="A239" t="str">
        <f>Clientes!A224</f>
        <v>Jeannette Olguin (vecina Marcia)</v>
      </c>
      <c r="B239" s="115">
        <f t="shared" si="7"/>
        <v>222</v>
      </c>
      <c r="C239" s="134" t="str">
        <f>IF(ISBLANK(Clientes!L224),"NULL",CONCATENATE("'",Clientes!L224,"'"))</f>
        <v>NULL</v>
      </c>
      <c r="D239" s="114" t="str">
        <f>CONCATENATE("'",Clientes!A224,"'")</f>
        <v>'Jeannette Olguin (vecina Marcia)'</v>
      </c>
      <c r="E239" s="114" t="str">
        <f>IF(ISBLANK(Clientes!C224),"'Sin Direccion'",CONCATENATE("'",MID(Clientes!C224,1,95),"'"))</f>
        <v>'Santa Isidora 2435 Villa Santa Delia'</v>
      </c>
      <c r="F239" s="114">
        <v>13114</v>
      </c>
      <c r="G239" s="114">
        <v>13</v>
      </c>
      <c r="H239" s="135" t="s">
        <v>2137</v>
      </c>
      <c r="I239" s="122" t="str">
        <f t="shared" si="6"/>
        <v>INSERT INTO CLIENTES(RUT_CLIENTE,RAZON_SOCIAL,DIRECCION,ID_COMUNA,ID_REGION,FECHA_NACIMIENTO) VALUES (NULL,'Jeannette Olguin (vecina Marcia)','Santa Isidora 2435 Villa Santa Delia',13114,13,TO_DATE('29-11-1967','DD-MM-YYYY'));</v>
      </c>
    </row>
    <row r="240" spans="1:9" ht="26.4">
      <c r="A240" t="str">
        <f>Clientes!A225</f>
        <v>Jenny Contreras (Hermana Rossana)</v>
      </c>
      <c r="B240" s="115">
        <f t="shared" si="7"/>
        <v>223</v>
      </c>
      <c r="C240" s="134" t="str">
        <f>IF(ISBLANK(Clientes!L225),"NULL",CONCATENATE("'",Clientes!L225,"'"))</f>
        <v>NULL</v>
      </c>
      <c r="D240" s="114" t="str">
        <f>CONCATENATE("'",Clientes!A225,"'")</f>
        <v>'Jenny Contreras (Hermana Rossana)'</v>
      </c>
      <c r="E240" s="114" t="str">
        <f>IF(ISBLANK(Clientes!C225),"'Sin Direccion'",CONCATENATE("'",MID(Clientes!C225,1,95),"'"))</f>
        <v>'Enrique olivares 536'</v>
      </c>
      <c r="F240" s="114">
        <v>13115</v>
      </c>
      <c r="G240" s="114">
        <v>13</v>
      </c>
      <c r="H240" s="135" t="s">
        <v>2137</v>
      </c>
      <c r="I240" s="122" t="str">
        <f t="shared" si="6"/>
        <v>INSERT INTO CLIENTES(RUT_CLIENTE,RAZON_SOCIAL,DIRECCION,ID_COMUNA,ID_REGION,FECHA_NACIMIENTO) VALUES (NULL,'Jenny Contreras (Hermana Rossana)','Enrique olivares 536',13115,13,TO_DATE('29-11-1967','DD-MM-YYYY'));</v>
      </c>
    </row>
    <row r="241" spans="1:9" ht="26.4">
      <c r="A241" t="str">
        <f>Clientes!A226</f>
        <v>Jessica Delgado</v>
      </c>
      <c r="B241" s="115">
        <f t="shared" si="7"/>
        <v>224</v>
      </c>
      <c r="C241" s="134" t="str">
        <f>IF(ISBLANK(Clientes!L226),"NULL",CONCATENATE("'",Clientes!L226,"'"))</f>
        <v>NULL</v>
      </c>
      <c r="D241" s="114" t="str">
        <f>CONCATENATE("'",Clientes!A226,"'")</f>
        <v>'Jessica Delgado'</v>
      </c>
      <c r="E241" s="114" t="str">
        <f>IF(ISBLANK(Clientes!C226),"'Sin Direccion'",CONCATENATE("'",MID(Clientes!C226,1,95),"'"))</f>
        <v>'Pasaje los tuliperos 3378'</v>
      </c>
      <c r="F241" s="114">
        <v>13116</v>
      </c>
      <c r="G241" s="114">
        <v>13</v>
      </c>
      <c r="H241" s="135" t="s">
        <v>2137</v>
      </c>
      <c r="I241" s="122" t="str">
        <f t="shared" si="6"/>
        <v>INSERT INTO CLIENTES(RUT_CLIENTE,RAZON_SOCIAL,DIRECCION,ID_COMUNA,ID_REGION,FECHA_NACIMIENTO) VALUES (NULL,'Jessica Delgado','Pasaje los tuliperos 3378',13116,13,TO_DATE('29-11-1967','DD-MM-YYYY'));</v>
      </c>
    </row>
    <row r="242" spans="1:9" ht="26.4">
      <c r="A242" t="str">
        <f>Clientes!A227</f>
        <v>Jessica Marchese</v>
      </c>
      <c r="B242" s="115">
        <f t="shared" si="7"/>
        <v>225</v>
      </c>
      <c r="C242" s="134" t="str">
        <f>IF(ISBLANK(Clientes!L227),"NULL",CONCATENATE("'",Clientes!L227,"'"))</f>
        <v>NULL</v>
      </c>
      <c r="D242" s="114" t="str">
        <f>CONCATENATE("'",Clientes!A227,"'")</f>
        <v>'Jessica Marchese'</v>
      </c>
      <c r="E242" s="114" t="str">
        <f>IF(ISBLANK(Clientes!C227),"'Sin Direccion'",CONCATENATE("'",MID(Clientes!C227,1,95),"'"))</f>
        <v>'Pitosporo 8494'</v>
      </c>
      <c r="F242" s="114">
        <v>13117</v>
      </c>
      <c r="G242" s="114">
        <v>13</v>
      </c>
      <c r="H242" s="135" t="s">
        <v>2137</v>
      </c>
      <c r="I242" s="122" t="str">
        <f t="shared" si="6"/>
        <v>INSERT INTO CLIENTES(RUT_CLIENTE,RAZON_SOCIAL,DIRECCION,ID_COMUNA,ID_REGION,FECHA_NACIMIENTO) VALUES (NULL,'Jessica Marchese','Pitosporo 8494',13117,13,TO_DATE('29-11-1967','DD-MM-YYYY'));</v>
      </c>
    </row>
    <row r="243" spans="1:9" ht="26.4">
      <c r="A243" t="str">
        <f>Clientes!A228</f>
        <v>Joaquin Mascaró</v>
      </c>
      <c r="B243" s="115">
        <f t="shared" si="7"/>
        <v>226</v>
      </c>
      <c r="C243" s="134" t="str">
        <f>IF(ISBLANK(Clientes!L228),"NULL",CONCATENATE("'",Clientes!L228,"'"))</f>
        <v>NULL</v>
      </c>
      <c r="D243" s="114" t="str">
        <f>CONCATENATE("'",Clientes!A228,"'")</f>
        <v>'Joaquin Mascaró'</v>
      </c>
      <c r="E243" s="114" t="str">
        <f>IF(ISBLANK(Clientes!C228),"'Sin Direccion'",CONCATENATE("'",MID(Clientes!C228,1,95),"'"))</f>
        <v>'Sin Direccion'</v>
      </c>
      <c r="F243" s="114">
        <v>13118</v>
      </c>
      <c r="G243" s="114">
        <v>13</v>
      </c>
      <c r="H243" s="135" t="s">
        <v>2137</v>
      </c>
      <c r="I243" s="122" t="str">
        <f t="shared" si="6"/>
        <v>INSERT INTO CLIENTES(RUT_CLIENTE,RAZON_SOCIAL,DIRECCION,ID_COMUNA,ID_REGION,FECHA_NACIMIENTO) VALUES (NULL,'Joaquin Mascaró','Sin Direccion',13118,13,TO_DATE('29-11-1967','DD-MM-YYYY'));</v>
      </c>
    </row>
    <row r="244" spans="1:9" ht="26.4">
      <c r="A244" t="str">
        <f>Clientes!A229</f>
        <v>Johaniss Cocteleria</v>
      </c>
      <c r="B244" s="115">
        <f t="shared" si="7"/>
        <v>227</v>
      </c>
      <c r="C244" s="134" t="str">
        <f>IF(ISBLANK(Clientes!L229),"NULL",CONCATENATE("'",Clientes!L229,"'"))</f>
        <v>NULL</v>
      </c>
      <c r="D244" s="114" t="str">
        <f>CONCATENATE("'",Clientes!A229,"'")</f>
        <v>'Johaniss Cocteleria'</v>
      </c>
      <c r="E244" s="114" t="str">
        <f>IF(ISBLANK(Clientes!C229),"'Sin Direccion'",CONCATENATE("'",MID(Clientes!C229,1,95),"'"))</f>
        <v>'Jorge robledo 3069'</v>
      </c>
      <c r="F244" s="114">
        <v>13119</v>
      </c>
      <c r="G244" s="114">
        <v>13</v>
      </c>
      <c r="H244" s="135" t="s">
        <v>2137</v>
      </c>
      <c r="I244" s="122" t="str">
        <f t="shared" si="6"/>
        <v>INSERT INTO CLIENTES(RUT_CLIENTE,RAZON_SOCIAL,DIRECCION,ID_COMUNA,ID_REGION,FECHA_NACIMIENTO) VALUES (NULL,'Johaniss Cocteleria','Jorge robledo 3069',13119,13,TO_DATE('29-11-1967','DD-MM-YYYY'));</v>
      </c>
    </row>
    <row r="245" spans="1:9" ht="26.4">
      <c r="A245" t="str">
        <f>Clientes!A230</f>
        <v>Jose de Grez Pavez</v>
      </c>
      <c r="B245" s="115">
        <f t="shared" si="7"/>
        <v>228</v>
      </c>
      <c r="C245" s="134" t="str">
        <f>IF(ISBLANK(Clientes!L230),"NULL",CONCATENATE("'",Clientes!L230,"'"))</f>
        <v>NULL</v>
      </c>
      <c r="D245" s="114" t="str">
        <f>CONCATENATE("'",Clientes!A230,"'")</f>
        <v>'Jose de Grez Pavez'</v>
      </c>
      <c r="E245" s="114" t="str">
        <f>IF(ISBLANK(Clientes!C230),"'Sin Direccion'",CONCATENATE("'",MID(Clientes!C230,1,95),"'"))</f>
        <v>'El Pastizal 1621'</v>
      </c>
      <c r="F245" s="114">
        <v>13120</v>
      </c>
      <c r="G245" s="114">
        <v>13</v>
      </c>
      <c r="H245" s="135" t="s">
        <v>2137</v>
      </c>
      <c r="I245" s="122" t="str">
        <f t="shared" si="6"/>
        <v>INSERT INTO CLIENTES(RUT_CLIENTE,RAZON_SOCIAL,DIRECCION,ID_COMUNA,ID_REGION,FECHA_NACIMIENTO) VALUES (NULL,'Jose de Grez Pavez','El Pastizal 1621',13120,13,TO_DATE('29-11-1967','DD-MM-YYYY'));</v>
      </c>
    </row>
    <row r="246" spans="1:9" ht="26.4">
      <c r="A246" t="str">
        <f>Clientes!A231</f>
        <v>Juan 8:12</v>
      </c>
      <c r="B246" s="115">
        <f t="shared" si="7"/>
        <v>229</v>
      </c>
      <c r="C246" s="134" t="str">
        <f>IF(ISBLANK(Clientes!L231),"NULL",CONCATENATE("'",Clientes!L231,"'"))</f>
        <v>NULL</v>
      </c>
      <c r="D246" s="114" t="str">
        <f>CONCATENATE("'",Clientes!A231,"'")</f>
        <v>'Juan 8:12'</v>
      </c>
      <c r="E246" s="114" t="str">
        <f>IF(ISBLANK(Clientes!C231),"'Sin Direccion'",CONCATENATE("'",MID(Clientes!C231,1,95),"'"))</f>
        <v>'Santa Adriana 1631'</v>
      </c>
      <c r="F246" s="114">
        <v>13121</v>
      </c>
      <c r="G246" s="114">
        <v>13</v>
      </c>
      <c r="H246" s="135" t="s">
        <v>2137</v>
      </c>
      <c r="I246" s="122" t="str">
        <f t="shared" si="6"/>
        <v>INSERT INTO CLIENTES(RUT_CLIENTE,RAZON_SOCIAL,DIRECCION,ID_COMUNA,ID_REGION,FECHA_NACIMIENTO) VALUES (NULL,'Juan 8:12','Santa Adriana 1631',13121,13,TO_DATE('29-11-1967','DD-MM-YYYY'));</v>
      </c>
    </row>
    <row r="247" spans="1:9" ht="26.4">
      <c r="A247" t="str">
        <f>Clientes!A232</f>
        <v>Juan Carlos Herrera</v>
      </c>
      <c r="B247" s="115">
        <f t="shared" si="7"/>
        <v>230</v>
      </c>
      <c r="C247" s="134" t="str">
        <f>IF(ISBLANK(Clientes!L232),"NULL",CONCATENATE("'",Clientes!L232,"'"))</f>
        <v>NULL</v>
      </c>
      <c r="D247" s="114" t="str">
        <f>CONCATENATE("'",Clientes!A232,"'")</f>
        <v>'Juan Carlos Herrera'</v>
      </c>
      <c r="E247" s="114" t="str">
        <f>IF(ISBLANK(Clientes!C232),"'Sin Direccion'",CONCATENATE("'",MID(Clientes!C232,1,95),"'"))</f>
        <v>'Sin Direccion'</v>
      </c>
      <c r="F247" s="114">
        <v>13122</v>
      </c>
      <c r="G247" s="114">
        <v>13</v>
      </c>
      <c r="H247" s="135" t="s">
        <v>2137</v>
      </c>
      <c r="I247" s="122" t="str">
        <f t="shared" si="6"/>
        <v>INSERT INTO CLIENTES(RUT_CLIENTE,RAZON_SOCIAL,DIRECCION,ID_COMUNA,ID_REGION,FECHA_NACIMIENTO) VALUES (NULL,'Juan Carlos Herrera','Sin Direccion',13122,13,TO_DATE('29-11-1967','DD-MM-YYYY'));</v>
      </c>
    </row>
    <row r="248" spans="1:9" ht="26.4">
      <c r="A248" t="str">
        <f>Clientes!A233</f>
        <v>Juan Carlos Perez</v>
      </c>
      <c r="B248" s="115">
        <f t="shared" si="7"/>
        <v>231</v>
      </c>
      <c r="C248" s="134" t="str">
        <f>IF(ISBLANK(Clientes!L233),"NULL",CONCATENATE("'",Clientes!L233,"'"))</f>
        <v>NULL</v>
      </c>
      <c r="D248" s="114" t="str">
        <f>CONCATENATE("'",Clientes!A233,"'")</f>
        <v>'Juan Carlos Perez'</v>
      </c>
      <c r="E248" s="114" t="str">
        <f>IF(ISBLANK(Clientes!C233),"'Sin Direccion'",CONCATENATE("'",MID(Clientes!C233,1,95),"'"))</f>
        <v>'Santa Lidia 8872, La Florida'</v>
      </c>
      <c r="F248" s="114">
        <v>13123</v>
      </c>
      <c r="G248" s="114">
        <v>13</v>
      </c>
      <c r="H248" s="135" t="s">
        <v>2137</v>
      </c>
      <c r="I248" s="122" t="str">
        <f t="shared" si="6"/>
        <v>INSERT INTO CLIENTES(RUT_CLIENTE,RAZON_SOCIAL,DIRECCION,ID_COMUNA,ID_REGION,FECHA_NACIMIENTO) VALUES (NULL,'Juan Carlos Perez','Santa Lidia 8872, La Florida',13123,13,TO_DATE('29-11-1967','DD-MM-YYYY'));</v>
      </c>
    </row>
    <row r="249" spans="1:9" ht="26.4">
      <c r="A249" t="str">
        <f>Clientes!A234</f>
        <v>Juan Farfan</v>
      </c>
      <c r="B249" s="115">
        <f t="shared" si="7"/>
        <v>232</v>
      </c>
      <c r="C249" s="134" t="str">
        <f>IF(ISBLANK(Clientes!L234),"NULL",CONCATENATE("'",Clientes!L234,"'"))</f>
        <v>NULL</v>
      </c>
      <c r="D249" s="114" t="str">
        <f>CONCATENATE("'",Clientes!A234,"'")</f>
        <v>'Juan Farfan'</v>
      </c>
      <c r="E249" s="114" t="str">
        <f>IF(ISBLANK(Clientes!C234),"'Sin Direccion'",CONCATENATE("'",MID(Clientes!C234,1,95),"'"))</f>
        <v>'Sin Direccion'</v>
      </c>
      <c r="F249" s="114">
        <v>13124</v>
      </c>
      <c r="G249" s="114">
        <v>13</v>
      </c>
      <c r="H249" s="135" t="s">
        <v>2137</v>
      </c>
      <c r="I249" s="122" t="str">
        <f t="shared" si="6"/>
        <v>INSERT INTO CLIENTES(RUT_CLIENTE,RAZON_SOCIAL,DIRECCION,ID_COMUNA,ID_REGION,FECHA_NACIMIENTO) VALUES (NULL,'Juan Farfan','Sin Direccion',13124,13,TO_DATE('29-11-1967','DD-MM-YYYY'));</v>
      </c>
    </row>
    <row r="250" spans="1:9" ht="26.4">
      <c r="A250" t="str">
        <f>Clientes!A235</f>
        <v>Juan Luis Quezada</v>
      </c>
      <c r="B250" s="115">
        <f t="shared" si="7"/>
        <v>233</v>
      </c>
      <c r="C250" s="134" t="str">
        <f>IF(ISBLANK(Clientes!L235),"NULL",CONCATENATE("'",Clientes!L235,"'"))</f>
        <v>NULL</v>
      </c>
      <c r="D250" s="114" t="str">
        <f>CONCATENATE("'",Clientes!A235,"'")</f>
        <v>'Juan Luis Quezada'</v>
      </c>
      <c r="E250" s="114" t="str">
        <f>IF(ISBLANK(Clientes!C235),"'Sin Direccion'",CONCATENATE("'",MID(Clientes!C235,1,95),"'"))</f>
        <v>'Azucena del campo poniente 9375'</v>
      </c>
      <c r="F250" s="114">
        <v>13125</v>
      </c>
      <c r="G250" s="114">
        <v>13</v>
      </c>
      <c r="H250" s="135" t="s">
        <v>2137</v>
      </c>
      <c r="I250" s="122" t="str">
        <f t="shared" si="6"/>
        <v>INSERT INTO CLIENTES(RUT_CLIENTE,RAZON_SOCIAL,DIRECCION,ID_COMUNA,ID_REGION,FECHA_NACIMIENTO) VALUES (NULL,'Juan Luis Quezada','Azucena del campo poniente 9375',13125,13,TO_DATE('29-11-1967','DD-MM-YYYY'));</v>
      </c>
    </row>
    <row r="251" spans="1:9" ht="26.4">
      <c r="A251" t="str">
        <f>Clientes!A236</f>
        <v>Juana Ester Rojas Alarcon</v>
      </c>
      <c r="B251" s="115">
        <f t="shared" si="7"/>
        <v>234</v>
      </c>
      <c r="C251" s="134" t="str">
        <f>IF(ISBLANK(Clientes!L236),"NULL",CONCATENATE("'",Clientes!L236,"'"))</f>
        <v>NULL</v>
      </c>
      <c r="D251" s="114" t="str">
        <f>CONCATENATE("'",Clientes!A236,"'")</f>
        <v>'Juana Ester Rojas Alarcon'</v>
      </c>
      <c r="E251" s="114" t="str">
        <f>IF(ISBLANK(Clientes!C236),"'Sin Direccion'",CONCATENATE("'",MID(Clientes!C236,1,95),"'"))</f>
        <v>'Pitosporo 8500'</v>
      </c>
      <c r="F251" s="114">
        <v>13126</v>
      </c>
      <c r="G251" s="114">
        <v>13</v>
      </c>
      <c r="H251" s="135" t="s">
        <v>2137</v>
      </c>
      <c r="I251" s="122" t="str">
        <f t="shared" si="6"/>
        <v>INSERT INTO CLIENTES(RUT_CLIENTE,RAZON_SOCIAL,DIRECCION,ID_COMUNA,ID_REGION,FECHA_NACIMIENTO) VALUES (NULL,'Juana Ester Rojas Alarcon','Pitosporo 8500',13126,13,TO_DATE('29-11-1967','DD-MM-YYYY'));</v>
      </c>
    </row>
    <row r="252" spans="1:9" ht="26.4">
      <c r="A252" t="str">
        <f>Clientes!A237</f>
        <v>Juaquin Mascaso</v>
      </c>
      <c r="B252" s="115">
        <f t="shared" si="7"/>
        <v>235</v>
      </c>
      <c r="C252" s="134" t="str">
        <f>IF(ISBLANK(Clientes!L237),"NULL",CONCATENATE("'",Clientes!L237,"'"))</f>
        <v>NULL</v>
      </c>
      <c r="D252" s="114" t="str">
        <f>CONCATENATE("'",Clientes!A237,"'")</f>
        <v>'Juaquin Mascaso'</v>
      </c>
      <c r="E252" s="114" t="str">
        <f>IF(ISBLANK(Clientes!C237),"'Sin Direccion'",CONCATENATE("'",MID(Clientes!C237,1,95),"'"))</f>
        <v>'Sin Direccion'</v>
      </c>
      <c r="F252" s="114">
        <v>13127</v>
      </c>
      <c r="G252" s="114">
        <v>13</v>
      </c>
      <c r="H252" s="135" t="s">
        <v>2137</v>
      </c>
      <c r="I252" s="122" t="str">
        <f t="shared" si="6"/>
        <v>INSERT INTO CLIENTES(RUT_CLIENTE,RAZON_SOCIAL,DIRECCION,ID_COMUNA,ID_REGION,FECHA_NACIMIENTO) VALUES (NULL,'Juaquin Mascaso','Sin Direccion',13127,13,TO_DATE('29-11-1967','DD-MM-YYYY'));</v>
      </c>
    </row>
    <row r="253" spans="1:9" ht="26.4">
      <c r="A253" t="str">
        <f>Clientes!A238</f>
        <v>Judith Pons</v>
      </c>
      <c r="B253" s="115">
        <f t="shared" si="7"/>
        <v>236</v>
      </c>
      <c r="C253" s="134" t="str">
        <f>IF(ISBLANK(Clientes!L238),"NULL",CONCATENATE("'",Clientes!L238,"'"))</f>
        <v>NULL</v>
      </c>
      <c r="D253" s="114" t="str">
        <f>CONCATENATE("'",Clientes!A238,"'")</f>
        <v>'Judith Pons'</v>
      </c>
      <c r="E253" s="114" t="str">
        <f>IF(ISBLANK(Clientes!C238),"'Sin Direccion'",CONCATENATE("'",MID(Clientes!C238,1,95),"'"))</f>
        <v>'Santa Estela 2445'</v>
      </c>
      <c r="F253" s="114">
        <v>13128</v>
      </c>
      <c r="G253" s="114">
        <v>13</v>
      </c>
      <c r="H253" s="135" t="s">
        <v>2137</v>
      </c>
      <c r="I253" s="122" t="str">
        <f t="shared" si="6"/>
        <v>INSERT INTO CLIENTES(RUT_CLIENTE,RAZON_SOCIAL,DIRECCION,ID_COMUNA,ID_REGION,FECHA_NACIMIENTO) VALUES (NULL,'Judith Pons','Santa Estela 2445',13128,13,TO_DATE('29-11-1967','DD-MM-YYYY'));</v>
      </c>
    </row>
    <row r="254" spans="1:9" ht="26.4">
      <c r="A254" t="str">
        <f>Clientes!A239</f>
        <v>Julieta Monge</v>
      </c>
      <c r="B254" s="115">
        <f t="shared" si="7"/>
        <v>237</v>
      </c>
      <c r="C254" s="134" t="str">
        <f>IF(ISBLANK(Clientes!L239),"NULL",CONCATENATE("'",Clientes!L239,"'"))</f>
        <v>NULL</v>
      </c>
      <c r="D254" s="114" t="str">
        <f>CONCATENATE("'",Clientes!A239,"'")</f>
        <v>'Julieta Monge'</v>
      </c>
      <c r="E254" s="114" t="str">
        <f>IF(ISBLANK(Clientes!C239),"'Sin Direccion'",CONCATENATE("'",MID(Clientes!C239,1,95),"'"))</f>
        <v>'Rojas Magallanes 2312 Depto 327 t3'</v>
      </c>
      <c r="F254" s="114">
        <v>13129</v>
      </c>
      <c r="G254" s="114">
        <v>13</v>
      </c>
      <c r="H254" s="135" t="s">
        <v>2137</v>
      </c>
      <c r="I254" s="122" t="str">
        <f t="shared" si="6"/>
        <v>INSERT INTO CLIENTES(RUT_CLIENTE,RAZON_SOCIAL,DIRECCION,ID_COMUNA,ID_REGION,FECHA_NACIMIENTO) VALUES (NULL,'Julieta Monge','Rojas Magallanes 2312 Depto 327 t3',13129,13,TO_DATE('29-11-1967','DD-MM-YYYY'));</v>
      </c>
    </row>
    <row r="255" spans="1:9" ht="26.4">
      <c r="A255" t="str">
        <f>Clientes!A240</f>
        <v>Julio Romero</v>
      </c>
      <c r="B255" s="115">
        <f t="shared" si="7"/>
        <v>238</v>
      </c>
      <c r="C255" s="134" t="str">
        <f>IF(ISBLANK(Clientes!L240),"NULL",CONCATENATE("'",Clientes!L240,"'"))</f>
        <v>NULL</v>
      </c>
      <c r="D255" s="114" t="str">
        <f>CONCATENATE("'",Clientes!A240,"'")</f>
        <v>'Julio Romero'</v>
      </c>
      <c r="E255" s="114" t="str">
        <f>IF(ISBLANK(Clientes!C240),"'Sin Direccion'",CONCATENATE("'",MID(Clientes!C240,1,95),"'"))</f>
        <v>'Azahares 8566'</v>
      </c>
      <c r="F255" s="114">
        <v>13130</v>
      </c>
      <c r="G255" s="114">
        <v>13</v>
      </c>
      <c r="H255" s="135" t="s">
        <v>2137</v>
      </c>
      <c r="I255" s="122" t="str">
        <f t="shared" si="6"/>
        <v>INSERT INTO CLIENTES(RUT_CLIENTE,RAZON_SOCIAL,DIRECCION,ID_COMUNA,ID_REGION,FECHA_NACIMIENTO) VALUES (NULL,'Julio Romero','Azahares 8566',13130,13,TO_DATE('29-11-1967','DD-MM-YYYY'));</v>
      </c>
    </row>
    <row r="256" spans="1:9" ht="26.4">
      <c r="A256" t="str">
        <f>Clientes!A241</f>
        <v>Junta Vecinal 20</v>
      </c>
      <c r="B256" s="115">
        <f t="shared" si="7"/>
        <v>239</v>
      </c>
      <c r="C256" s="134" t="str">
        <f>IF(ISBLANK(Clientes!L241),"NULL",CONCATENATE("'",Clientes!L241,"'"))</f>
        <v>NULL</v>
      </c>
      <c r="D256" s="114" t="str">
        <f>CONCATENATE("'",Clientes!A241,"'")</f>
        <v>'Junta Vecinal 20'</v>
      </c>
      <c r="E256" s="114" t="str">
        <f>IF(ISBLANK(Clientes!C241),"'Sin Direccion'",CONCATENATE("'",MID(Clientes!C241,1,95),"'"))</f>
        <v>'Sin Direccion'</v>
      </c>
      <c r="F256" s="114">
        <v>13131</v>
      </c>
      <c r="G256" s="114">
        <v>13</v>
      </c>
      <c r="H256" s="135" t="s">
        <v>2137</v>
      </c>
      <c r="I256" s="122" t="str">
        <f t="shared" si="6"/>
        <v>INSERT INTO CLIENTES(RUT_CLIENTE,RAZON_SOCIAL,DIRECCION,ID_COMUNA,ID_REGION,FECHA_NACIMIENTO) VALUES (NULL,'Junta Vecinal 20','Sin Direccion',13131,13,TO_DATE('29-11-1967','DD-MM-YYYY'));</v>
      </c>
    </row>
    <row r="257" spans="1:9" ht="26.4">
      <c r="A257" t="str">
        <f>Clientes!A242</f>
        <v>Kafremontt by Katherine</v>
      </c>
      <c r="B257" s="115">
        <f t="shared" si="7"/>
        <v>240</v>
      </c>
      <c r="C257" s="134" t="str">
        <f>IF(ISBLANK(Clientes!L242),"NULL",CONCATENATE("'",Clientes!L242,"'"))</f>
        <v>NULL</v>
      </c>
      <c r="D257" s="114" t="str">
        <f>CONCATENATE("'",Clientes!A242,"'")</f>
        <v>'Kafremontt by Katherine'</v>
      </c>
      <c r="E257" s="114" t="str">
        <f>IF(ISBLANK(Clientes!C242),"'Sin Direccion'",CONCATENATE("'",MID(Clientes!C242,1,95),"'"))</f>
        <v>'Los Instaladores 5664-5626, Peñalolén'</v>
      </c>
      <c r="F257" s="114">
        <v>13132</v>
      </c>
      <c r="G257" s="114">
        <v>13</v>
      </c>
      <c r="H257" s="135" t="s">
        <v>2137</v>
      </c>
      <c r="I257" s="122" t="str">
        <f t="shared" si="6"/>
        <v>INSERT INTO CLIENTES(RUT_CLIENTE,RAZON_SOCIAL,DIRECCION,ID_COMUNA,ID_REGION,FECHA_NACIMIENTO) VALUES (NULL,'Kafremontt by Katherine','Los Instaladores 5664-5626, Peñalolén',13132,13,TO_DATE('29-11-1967','DD-MM-YYYY'));</v>
      </c>
    </row>
    <row r="258" spans="1:9" ht="26.4">
      <c r="A258" t="str">
        <f>Clientes!A243</f>
        <v>Karem Pozo</v>
      </c>
      <c r="B258" s="115">
        <f t="shared" si="7"/>
        <v>241</v>
      </c>
      <c r="C258" s="134" t="str">
        <f>IF(ISBLANK(Clientes!L243),"NULL",CONCATENATE("'",Clientes!L243,"'"))</f>
        <v>NULL</v>
      </c>
      <c r="D258" s="114" t="str">
        <f>CONCATENATE("'",Clientes!A243,"'")</f>
        <v>'Karem Pozo'</v>
      </c>
      <c r="E258" s="114" t="str">
        <f>IF(ISBLANK(Clientes!C243),"'Sin Direccion'",CONCATENATE("'",MID(Clientes!C243,1,95),"'"))</f>
        <v>'Pasaje Tulipanes 8579'</v>
      </c>
      <c r="F258" s="114">
        <v>13201</v>
      </c>
      <c r="G258" s="114">
        <v>13</v>
      </c>
      <c r="H258" s="135" t="s">
        <v>2137</v>
      </c>
      <c r="I258" s="122" t="str">
        <f t="shared" si="6"/>
        <v>INSERT INTO CLIENTES(RUT_CLIENTE,RAZON_SOCIAL,DIRECCION,ID_COMUNA,ID_REGION,FECHA_NACIMIENTO) VALUES (NULL,'Karem Pozo','Pasaje Tulipanes 8579',13201,13,TO_DATE('29-11-1967','DD-MM-YYYY'));</v>
      </c>
    </row>
    <row r="259" spans="1:9" ht="26.4">
      <c r="A259" t="str">
        <f>Clientes!A244</f>
        <v>Karen - Hualle SUR</v>
      </c>
      <c r="B259" s="115">
        <f t="shared" si="7"/>
        <v>242</v>
      </c>
      <c r="C259" s="134" t="str">
        <f>IF(ISBLANK(Clientes!L244),"NULL",CONCATENATE("'",Clientes!L244,"'"))</f>
        <v>NULL</v>
      </c>
      <c r="D259" s="114" t="str">
        <f>CONCATENATE("'",Clientes!A244,"'")</f>
        <v>'Karen - Hualle SUR'</v>
      </c>
      <c r="E259" s="114" t="str">
        <f>IF(ISBLANK(Clientes!C244),"'Sin Direccion'",CONCATENATE("'",MID(Clientes!C244,1,95),"'"))</f>
        <v>'Hualle Sur 8852'</v>
      </c>
      <c r="F259" s="114">
        <v>13202</v>
      </c>
      <c r="G259" s="114">
        <v>13</v>
      </c>
      <c r="H259" s="135" t="s">
        <v>2137</v>
      </c>
      <c r="I259" s="122" t="str">
        <f t="shared" si="6"/>
        <v>INSERT INTO CLIENTES(RUT_CLIENTE,RAZON_SOCIAL,DIRECCION,ID_COMUNA,ID_REGION,FECHA_NACIMIENTO) VALUES (NULL,'Karen - Hualle SUR','Hualle Sur 8852',13202,13,TO_DATE('29-11-1967','DD-MM-YYYY'));</v>
      </c>
    </row>
    <row r="260" spans="1:9" ht="26.4">
      <c r="A260" t="str">
        <f>Clientes!A245</f>
        <v>Karen Reyes</v>
      </c>
      <c r="B260" s="115">
        <f t="shared" si="7"/>
        <v>243</v>
      </c>
      <c r="C260" s="134" t="str">
        <f>IF(ISBLANK(Clientes!L245),"NULL",CONCATENATE("'",Clientes!L245,"'"))</f>
        <v>NULL</v>
      </c>
      <c r="D260" s="114" t="str">
        <f>CONCATENATE("'",Clientes!A245,"'")</f>
        <v>'Karen Reyes'</v>
      </c>
      <c r="E260" s="114" t="str">
        <f>IF(ISBLANK(Clientes!C245),"'Sin Direccion'",CONCATENATE("'",MID(Clientes!C245,1,95),"'"))</f>
        <v>'Av vicuña poniente 6839 la florida depto 1912'</v>
      </c>
      <c r="F260" s="114">
        <v>13203</v>
      </c>
      <c r="G260" s="114">
        <v>13</v>
      </c>
      <c r="H260" s="135" t="s">
        <v>2137</v>
      </c>
      <c r="I260" s="122" t="str">
        <f t="shared" si="6"/>
        <v>INSERT INTO CLIENTES(RUT_CLIENTE,RAZON_SOCIAL,DIRECCION,ID_COMUNA,ID_REGION,FECHA_NACIMIENTO) VALUES (NULL,'Karen Reyes','Av vicuña poniente 6839 la florida depto 1912',13203,13,TO_DATE('29-11-1967','DD-MM-YYYY'));</v>
      </c>
    </row>
    <row r="261" spans="1:9" ht="26.4">
      <c r="A261" t="str">
        <f>Clientes!A246</f>
        <v>Karen Tello</v>
      </c>
      <c r="B261" s="115">
        <f t="shared" si="7"/>
        <v>244</v>
      </c>
      <c r="C261" s="134" t="str">
        <f>IF(ISBLANK(Clientes!L246),"NULL",CONCATENATE("'",Clientes!L246,"'"))</f>
        <v>NULL</v>
      </c>
      <c r="D261" s="114" t="str">
        <f>CONCATENATE("'",Clientes!A246,"'")</f>
        <v>'Karen Tello'</v>
      </c>
      <c r="E261" s="114" t="str">
        <f>IF(ISBLANK(Clientes!C246),"'Sin Direccion'",CONCATENATE("'",MID(Clientes!C246,1,95),"'"))</f>
        <v>'El Fenal 7006, la Florida (referencia Walker Martínez, Chacón Zamora, los ararios) al final del'</v>
      </c>
      <c r="F261" s="114">
        <v>13301</v>
      </c>
      <c r="G261" s="114">
        <v>13</v>
      </c>
      <c r="H261" s="135" t="s">
        <v>2137</v>
      </c>
      <c r="I261" s="122" t="str">
        <f t="shared" si="6"/>
        <v>INSERT INTO CLIENTES(RUT_CLIENTE,RAZON_SOCIAL,DIRECCION,ID_COMUNA,ID_REGION,FECHA_NACIMIENTO) VALUES (NULL,'Karen Tello','El Fenal 7006, la Florida (referencia Walker Martínez, Chacón Zamora, los ararios) al final del',13301,13,TO_DATE('29-11-1967','DD-MM-YYYY'));</v>
      </c>
    </row>
    <row r="262" spans="1:9" ht="26.4">
      <c r="A262" t="str">
        <f>Clientes!A247</f>
        <v>Karina Cornejo</v>
      </c>
      <c r="B262" s="115">
        <f t="shared" si="7"/>
        <v>245</v>
      </c>
      <c r="C262" s="134" t="str">
        <f>IF(ISBLANK(Clientes!L247),"NULL",CONCATENATE("'",Clientes!L247,"'"))</f>
        <v>NULL</v>
      </c>
      <c r="D262" s="114" t="str">
        <f>CONCATENATE("'",Clientes!A247,"'")</f>
        <v>'Karina Cornejo'</v>
      </c>
      <c r="E262" s="114" t="str">
        <f>IF(ISBLANK(Clientes!C247),"'Sin Direccion'",CONCATENATE("'",MID(Clientes!C247,1,95),"'"))</f>
        <v>'Nueva Aldea 1917'</v>
      </c>
      <c r="F262" s="114">
        <v>13302</v>
      </c>
      <c r="G262" s="114">
        <v>13</v>
      </c>
      <c r="H262" s="135" t="s">
        <v>2137</v>
      </c>
      <c r="I262" s="122" t="str">
        <f t="shared" si="6"/>
        <v>INSERT INTO CLIENTES(RUT_CLIENTE,RAZON_SOCIAL,DIRECCION,ID_COMUNA,ID_REGION,FECHA_NACIMIENTO) VALUES (NULL,'Karina Cornejo','Nueva Aldea 1917',13302,13,TO_DATE('29-11-1967','DD-MM-YYYY'));</v>
      </c>
    </row>
    <row r="263" spans="1:9" ht="26.4">
      <c r="A263" t="str">
        <f>Clientes!A248</f>
        <v>Karina Hernandez</v>
      </c>
      <c r="B263" s="115">
        <f t="shared" si="7"/>
        <v>246</v>
      </c>
      <c r="C263" s="134" t="str">
        <f>IF(ISBLANK(Clientes!L248),"NULL",CONCATENATE("'",Clientes!L248,"'"))</f>
        <v>NULL</v>
      </c>
      <c r="D263" s="114" t="str">
        <f>CONCATENATE("'",Clientes!A248,"'")</f>
        <v>'Karina Hernandez'</v>
      </c>
      <c r="E263" s="114" t="str">
        <f>IF(ISBLANK(Clientes!C248),"'Sin Direccion'",CONCATENATE("'",MID(Clientes!C248,1,95),"'"))</f>
        <v>'Jardin del eden 3437'</v>
      </c>
      <c r="F263" s="114">
        <v>13303</v>
      </c>
      <c r="G263" s="114">
        <v>13</v>
      </c>
      <c r="H263" s="135" t="s">
        <v>2137</v>
      </c>
      <c r="I263" s="122" t="str">
        <f t="shared" si="6"/>
        <v>INSERT INTO CLIENTES(RUT_CLIENTE,RAZON_SOCIAL,DIRECCION,ID_COMUNA,ID_REGION,FECHA_NACIMIENTO) VALUES (NULL,'Karina Hernandez','Jardin del eden 3437',13303,13,TO_DATE('29-11-1967','DD-MM-YYYY'));</v>
      </c>
    </row>
    <row r="264" spans="1:9" ht="26.4">
      <c r="A264" t="str">
        <f>Clientes!A249</f>
        <v>Kata Herrera</v>
      </c>
      <c r="B264" s="115">
        <f t="shared" si="7"/>
        <v>247</v>
      </c>
      <c r="C264" s="134" t="str">
        <f>IF(ISBLANK(Clientes!L249),"NULL",CONCATENATE("'",Clientes!L249,"'"))</f>
        <v>NULL</v>
      </c>
      <c r="D264" s="114" t="str">
        <f>CONCATENATE("'",Clientes!A249,"'")</f>
        <v>'Kata Herrera'</v>
      </c>
      <c r="E264" s="114" t="str">
        <f>IF(ISBLANK(Clientes!C249),"'Sin Direccion'",CONCATENATE("'",MID(Clientes!C249,1,95),"'"))</f>
        <v>'Sin Direccion'</v>
      </c>
      <c r="F264" s="114">
        <v>13401</v>
      </c>
      <c r="G264" s="114">
        <v>13</v>
      </c>
      <c r="H264" s="135" t="s">
        <v>2137</v>
      </c>
      <c r="I264" s="122" t="str">
        <f t="shared" si="6"/>
        <v>INSERT INTO CLIENTES(RUT_CLIENTE,RAZON_SOCIAL,DIRECCION,ID_COMUNA,ID_REGION,FECHA_NACIMIENTO) VALUES (NULL,'Kata Herrera','Sin Direccion',13401,13,TO_DATE('29-11-1967','DD-MM-YYYY'));</v>
      </c>
    </row>
    <row r="265" spans="1:9" ht="26.4">
      <c r="A265" t="str">
        <f>Clientes!A250</f>
        <v>Kata Inostroza</v>
      </c>
      <c r="B265" s="115">
        <f t="shared" si="7"/>
        <v>248</v>
      </c>
      <c r="C265" s="134" t="str">
        <f>IF(ISBLANK(Clientes!L250),"NULL",CONCATENATE("'",Clientes!L250,"'"))</f>
        <v>NULL</v>
      </c>
      <c r="D265" s="114" t="str">
        <f>CONCATENATE("'",Clientes!A250,"'")</f>
        <v>'Kata Inostroza'</v>
      </c>
      <c r="E265" s="114" t="str">
        <f>IF(ISBLANK(Clientes!C250),"'Sin Direccion'",CONCATENATE("'",MID(Clientes!C250,1,95),"'"))</f>
        <v>'Sin Direccion'</v>
      </c>
      <c r="F265" s="114">
        <v>13402</v>
      </c>
      <c r="G265" s="114">
        <v>13</v>
      </c>
      <c r="H265" s="135" t="s">
        <v>2137</v>
      </c>
      <c r="I265" s="122" t="str">
        <f t="shared" si="6"/>
        <v>INSERT INTO CLIENTES(RUT_CLIENTE,RAZON_SOCIAL,DIRECCION,ID_COMUNA,ID_REGION,FECHA_NACIMIENTO) VALUES (NULL,'Kata Inostroza','Sin Direccion',13402,13,TO_DATE('29-11-1967','DD-MM-YYYY'));</v>
      </c>
    </row>
    <row r="266" spans="1:9" ht="26.4">
      <c r="A266" t="str">
        <f>Clientes!A251</f>
        <v>Katherine Irribarra</v>
      </c>
      <c r="B266" s="115">
        <f t="shared" si="7"/>
        <v>249</v>
      </c>
      <c r="C266" s="134" t="str">
        <f>IF(ISBLANK(Clientes!L251),"NULL",CONCATENATE("'",Clientes!L251,"'"))</f>
        <v>NULL</v>
      </c>
      <c r="D266" s="114" t="str">
        <f>CONCATENATE("'",Clientes!A251,"'")</f>
        <v>'Katherine Irribarra'</v>
      </c>
      <c r="E266" s="114" t="str">
        <f>IF(ISBLANK(Clientes!C251),"'Sin Direccion'",CONCATENATE("'",MID(Clientes!C251,1,95),"'"))</f>
        <v>'Sin Direccion'</v>
      </c>
      <c r="F266" s="114">
        <v>13403</v>
      </c>
      <c r="G266" s="114">
        <v>13</v>
      </c>
      <c r="H266" s="135" t="s">
        <v>2137</v>
      </c>
      <c r="I266" s="122" t="str">
        <f t="shared" si="6"/>
        <v>INSERT INTO CLIENTES(RUT_CLIENTE,RAZON_SOCIAL,DIRECCION,ID_COMUNA,ID_REGION,FECHA_NACIMIENTO) VALUES (NULL,'Katherine Irribarra','Sin Direccion',13403,13,TO_DATE('29-11-1967','DD-MM-YYYY'));</v>
      </c>
    </row>
    <row r="267" spans="1:9" ht="26.4">
      <c r="A267" t="str">
        <f>Clientes!A252</f>
        <v>Katherine Julissa Illanes</v>
      </c>
      <c r="B267" s="115">
        <f t="shared" si="7"/>
        <v>250</v>
      </c>
      <c r="C267" s="134" t="str">
        <f>IF(ISBLANK(Clientes!L252),"NULL",CONCATENATE("'",Clientes!L252,"'"))</f>
        <v>NULL</v>
      </c>
      <c r="D267" s="114" t="str">
        <f>CONCATENATE("'",Clientes!A252,"'")</f>
        <v>'Katherine Julissa Illanes'</v>
      </c>
      <c r="E267" s="114" t="str">
        <f>IF(ISBLANK(Clientes!C252),"'Sin Direccion'",CONCATENATE("'",MID(Clientes!C252,1,95),"'"))</f>
        <v>'Sin Direccion'</v>
      </c>
      <c r="F267" s="114">
        <v>13404</v>
      </c>
      <c r="G267" s="114">
        <v>13</v>
      </c>
      <c r="H267" s="135" t="s">
        <v>2137</v>
      </c>
      <c r="I267" s="122" t="str">
        <f t="shared" si="6"/>
        <v>INSERT INTO CLIENTES(RUT_CLIENTE,RAZON_SOCIAL,DIRECCION,ID_COMUNA,ID_REGION,FECHA_NACIMIENTO) VALUES (NULL,'Katherine Julissa Illanes','Sin Direccion',13404,13,TO_DATE('29-11-1967','DD-MM-YYYY'));</v>
      </c>
    </row>
    <row r="268" spans="1:9" ht="26.4">
      <c r="A268" t="str">
        <f>Clientes!A253</f>
        <v>Katherine Orellana</v>
      </c>
      <c r="B268" s="115">
        <f t="shared" si="7"/>
        <v>251</v>
      </c>
      <c r="C268" s="134" t="str">
        <f>IF(ISBLANK(Clientes!L253),"NULL",CONCATENATE("'",Clientes!L253,"'"))</f>
        <v>NULL</v>
      </c>
      <c r="D268" s="114" t="str">
        <f>CONCATENATE("'",Clientes!A253,"'")</f>
        <v>'Katherine Orellana'</v>
      </c>
      <c r="E268" s="114" t="str">
        <f>IF(ISBLANK(Clientes!C253),"'Sin Direccion'",CONCATENATE("'",MID(Clientes!C253,1,95),"'"))</f>
        <v>'Ongolmo 7471 torre g depto 203'</v>
      </c>
      <c r="F268" s="114">
        <v>13501</v>
      </c>
      <c r="G268" s="114">
        <v>13</v>
      </c>
      <c r="H268" s="135" t="s">
        <v>2137</v>
      </c>
      <c r="I268" s="122" t="str">
        <f t="shared" si="6"/>
        <v>INSERT INTO CLIENTES(RUT_CLIENTE,RAZON_SOCIAL,DIRECCION,ID_COMUNA,ID_REGION,FECHA_NACIMIENTO) VALUES (NULL,'Katherine Orellana','Ongolmo 7471 torre g depto 203',13501,13,TO_DATE('29-11-1967','DD-MM-YYYY'));</v>
      </c>
    </row>
    <row r="269" spans="1:9" ht="26.4">
      <c r="A269" t="str">
        <f>Clientes!A254</f>
        <v>Katherine Valenzuela Colipi</v>
      </c>
      <c r="B269" s="115">
        <f t="shared" si="7"/>
        <v>252</v>
      </c>
      <c r="C269" s="134" t="str">
        <f>IF(ISBLANK(Clientes!L254),"NULL",CONCATENATE("'",Clientes!L254,"'"))</f>
        <v>NULL</v>
      </c>
      <c r="D269" s="114" t="str">
        <f>CONCATENATE("'",Clientes!A254,"'")</f>
        <v>'Katherine Valenzuela Colipi'</v>
      </c>
      <c r="E269" s="114" t="str">
        <f>IF(ISBLANK(Clientes!C254),"'Sin Direccion'",CONCATENATE("'",MID(Clientes!C254,1,95),"'"))</f>
        <v>'El quillay 8345, La Florida (subir por Santa Julia)'</v>
      </c>
      <c r="F269" s="114">
        <v>13502</v>
      </c>
      <c r="G269" s="114">
        <v>13</v>
      </c>
      <c r="H269" s="135" t="s">
        <v>2137</v>
      </c>
      <c r="I269" s="122" t="str">
        <f t="shared" si="6"/>
        <v>INSERT INTO CLIENTES(RUT_CLIENTE,RAZON_SOCIAL,DIRECCION,ID_COMUNA,ID_REGION,FECHA_NACIMIENTO) VALUES (NULL,'Katherine Valenzuela Colipi','El quillay 8345, La Florida (subir por Santa Julia)',13502,13,TO_DATE('29-11-1967','DD-MM-YYYY'));</v>
      </c>
    </row>
    <row r="270" spans="1:9" ht="26.4">
      <c r="A270" t="str">
        <f>Clientes!A255</f>
        <v>Katherine Zambrano</v>
      </c>
      <c r="B270" s="115">
        <f t="shared" si="7"/>
        <v>253</v>
      </c>
      <c r="C270" s="134" t="str">
        <f>IF(ISBLANK(Clientes!L255),"NULL",CONCATENATE("'",Clientes!L255,"'"))</f>
        <v>NULL</v>
      </c>
      <c r="D270" s="114" t="str">
        <f>CONCATENATE("'",Clientes!A255,"'")</f>
        <v>'Katherine Zambrano'</v>
      </c>
      <c r="E270" s="114" t="str">
        <f>IF(ISBLANK(Clientes!C255),"'Sin Direccion'",CONCATENATE("'",MID(Clientes!C255,1,95),"'"))</f>
        <v>'Garcia Hurtado de mendoza 8293 Depto 206D'</v>
      </c>
      <c r="F270" s="114">
        <v>13503</v>
      </c>
      <c r="G270" s="114">
        <v>13</v>
      </c>
      <c r="H270" s="135" t="s">
        <v>2137</v>
      </c>
      <c r="I270" s="122" t="str">
        <f t="shared" si="6"/>
        <v>INSERT INTO CLIENTES(RUT_CLIENTE,RAZON_SOCIAL,DIRECCION,ID_COMUNA,ID_REGION,FECHA_NACIMIENTO) VALUES (NULL,'Katherine Zambrano','Garcia Hurtado de mendoza 8293 Depto 206D',13503,13,TO_DATE('29-11-1967','DD-MM-YYYY'));</v>
      </c>
    </row>
    <row r="271" spans="1:9" ht="26.4">
      <c r="A271" t="str">
        <f>Clientes!A256</f>
        <v>Katty Letelier</v>
      </c>
      <c r="B271" s="115">
        <f t="shared" si="7"/>
        <v>254</v>
      </c>
      <c r="C271" s="134" t="str">
        <f>IF(ISBLANK(Clientes!L256),"NULL",CONCATENATE("'",Clientes!L256,"'"))</f>
        <v>NULL</v>
      </c>
      <c r="D271" s="114" t="str">
        <f>CONCATENATE("'",Clientes!A256,"'")</f>
        <v>'Katty Letelier'</v>
      </c>
      <c r="E271" s="114" t="str">
        <f>IF(ISBLANK(Clientes!C256),"'Sin Direccion'",CONCATENATE("'",MID(Clientes!C256,1,95),"'"))</f>
        <v>'Sin Direccion'</v>
      </c>
      <c r="F271" s="114">
        <v>13504</v>
      </c>
      <c r="G271" s="114">
        <v>13</v>
      </c>
      <c r="H271" s="135" t="s">
        <v>2137</v>
      </c>
      <c r="I271" s="122" t="str">
        <f t="shared" si="6"/>
        <v>INSERT INTO CLIENTES(RUT_CLIENTE,RAZON_SOCIAL,DIRECCION,ID_COMUNA,ID_REGION,FECHA_NACIMIENTO) VALUES (NULL,'Katty Letelier','Sin Direccion',13504,13,TO_DATE('29-11-1967','DD-MM-YYYY'));</v>
      </c>
    </row>
    <row r="272" spans="1:9" ht="26.4">
      <c r="A272" t="str">
        <f>Clientes!A257</f>
        <v>Lauren Cuello</v>
      </c>
      <c r="B272" s="115">
        <f t="shared" si="7"/>
        <v>255</v>
      </c>
      <c r="C272" s="134" t="str">
        <f>IF(ISBLANK(Clientes!L257),"NULL",CONCATENATE("'",Clientes!L257,"'"))</f>
        <v>NULL</v>
      </c>
      <c r="D272" s="114" t="str">
        <f>CONCATENATE("'",Clientes!A257,"'")</f>
        <v>'Lauren Cuello'</v>
      </c>
      <c r="E272" s="114" t="str">
        <f>IF(ISBLANK(Clientes!C257),"'Sin Direccion'",CONCATENATE("'",MID(Clientes!C257,1,95),"'"))</f>
        <v>'Sin Direccion'</v>
      </c>
      <c r="F272" s="114">
        <v>13505</v>
      </c>
      <c r="G272" s="114">
        <v>13</v>
      </c>
      <c r="H272" s="135" t="s">
        <v>2137</v>
      </c>
      <c r="I272" s="122" t="str">
        <f t="shared" si="6"/>
        <v>INSERT INTO CLIENTES(RUT_CLIENTE,RAZON_SOCIAL,DIRECCION,ID_COMUNA,ID_REGION,FECHA_NACIMIENTO) VALUES (NULL,'Lauren Cuello','Sin Direccion',13505,13,TO_DATE('29-11-1967','DD-MM-YYYY'));</v>
      </c>
    </row>
    <row r="273" spans="1:9" ht="26.4">
      <c r="A273" t="str">
        <f>Clientes!A258</f>
        <v>Lauri Yulie</v>
      </c>
      <c r="B273" s="115">
        <f t="shared" si="7"/>
        <v>256</v>
      </c>
      <c r="C273" s="134" t="str">
        <f>IF(ISBLANK(Clientes!L258),"NULL",CONCATENATE("'",Clientes!L258,"'"))</f>
        <v>NULL</v>
      </c>
      <c r="D273" s="114" t="str">
        <f>CONCATENATE("'",Clientes!A258,"'")</f>
        <v>'Lauri Yulie'</v>
      </c>
      <c r="E273" s="114" t="str">
        <f>IF(ISBLANK(Clientes!C258),"'Sin Direccion'",CONCATENATE("'",MID(Clientes!C258,1,95),"'"))</f>
        <v>'Antofagasta 3367'</v>
      </c>
      <c r="F273" s="114">
        <v>13601</v>
      </c>
      <c r="G273" s="114">
        <v>13</v>
      </c>
      <c r="H273" s="135" t="s">
        <v>2137</v>
      </c>
      <c r="I273" s="122" t="str">
        <f t="shared" si="6"/>
        <v>INSERT INTO CLIENTES(RUT_CLIENTE,RAZON_SOCIAL,DIRECCION,ID_COMUNA,ID_REGION,FECHA_NACIMIENTO) VALUES (NULL,'Lauri Yulie','Antofagasta 3367',13601,13,TO_DATE('29-11-1967','DD-MM-YYYY'));</v>
      </c>
    </row>
    <row r="274" spans="1:9" ht="26.4">
      <c r="A274" t="str">
        <f>Clientes!A259</f>
        <v>Leonardo Tapia</v>
      </c>
      <c r="B274" s="115">
        <f t="shared" si="7"/>
        <v>257</v>
      </c>
      <c r="C274" s="134" t="str">
        <f>IF(ISBLANK(Clientes!L259),"NULL",CONCATENATE("'",Clientes!L259,"'"))</f>
        <v>NULL</v>
      </c>
      <c r="D274" s="114" t="str">
        <f>CONCATENATE("'",Clientes!A259,"'")</f>
        <v>'Leonardo Tapia'</v>
      </c>
      <c r="E274" s="114" t="str">
        <f>IF(ISBLANK(Clientes!C259),"'Sin Direccion'",CONCATENATE("'",MID(Clientes!C259,1,95),"'"))</f>
        <v>'Sin Direccion'</v>
      </c>
      <c r="F274" s="114">
        <v>13602</v>
      </c>
      <c r="G274" s="114">
        <v>13</v>
      </c>
      <c r="H274" s="135" t="s">
        <v>2137</v>
      </c>
      <c r="I274" s="122" t="str">
        <f t="shared" si="6"/>
        <v>INSERT INTO CLIENTES(RUT_CLIENTE,RAZON_SOCIAL,DIRECCION,ID_COMUNA,ID_REGION,FECHA_NACIMIENTO) VALUES (NULL,'Leonardo Tapia','Sin Direccion',13602,13,TO_DATE('29-11-1967','DD-MM-YYYY'));</v>
      </c>
    </row>
    <row r="275" spans="1:9" ht="26.4">
      <c r="A275" t="str">
        <f>Clientes!A260</f>
        <v>Leonora Espinoza</v>
      </c>
      <c r="B275" s="115">
        <f t="shared" si="7"/>
        <v>258</v>
      </c>
      <c r="C275" s="134" t="str">
        <f>IF(ISBLANK(Clientes!L260),"NULL",CONCATENATE("'",Clientes!L260,"'"))</f>
        <v>NULL</v>
      </c>
      <c r="D275" s="114" t="str">
        <f>CONCATENATE("'",Clientes!A260,"'")</f>
        <v>'Leonora Espinoza'</v>
      </c>
      <c r="E275" s="114" t="str">
        <f>IF(ISBLANK(Clientes!C260),"'Sin Direccion'",CONCATENATE("'",MID(Clientes!C260,1,95),"'"))</f>
        <v>'Sin Direccion'</v>
      </c>
      <c r="F275" s="114">
        <v>13603</v>
      </c>
      <c r="G275" s="114">
        <v>13</v>
      </c>
      <c r="H275" s="135" t="s">
        <v>2137</v>
      </c>
      <c r="I275" s="122" t="str">
        <f t="shared" ref="I275:I338" si="8">CONCATENATE("INSERT INTO CLIENTES(RUT_CLIENTE,RAZON_SOCIAL,DIRECCION,ID_COMUNA,ID_REGION,FECHA_NACIMIENTO) VALUES (",C275,",",D275,",",E275,",",F275,",",G275,",","TO_DATE('",H275,"','DD-MM-YYYY'));")</f>
        <v>INSERT INTO CLIENTES(RUT_CLIENTE,RAZON_SOCIAL,DIRECCION,ID_COMUNA,ID_REGION,FECHA_NACIMIENTO) VALUES (NULL,'Leonora Espinoza','Sin Direccion',13603,13,TO_DATE('29-11-1967','DD-MM-YYYY'));</v>
      </c>
    </row>
    <row r="276" spans="1:9" ht="26.4">
      <c r="A276" t="str">
        <f>Clientes!A261</f>
        <v>Leyla Guerra</v>
      </c>
      <c r="B276" s="115">
        <f t="shared" ref="B276:B339" si="9">B275+1</f>
        <v>259</v>
      </c>
      <c r="C276" s="134" t="str">
        <f>IF(ISBLANK(Clientes!L261),"NULL",CONCATENATE("'",Clientes!L261,"'"))</f>
        <v>NULL</v>
      </c>
      <c r="D276" s="114" t="str">
        <f>CONCATENATE("'",Clientes!A261,"'")</f>
        <v>'Leyla Guerra'</v>
      </c>
      <c r="E276" s="114" t="str">
        <f>IF(ISBLANK(Clientes!C261),"'Sin Direccion'",CONCATENATE("'",MID(Clientes!C261,1,95),"'"))</f>
        <v>'Trinidad Oriente 8633'</v>
      </c>
      <c r="F276" s="114">
        <v>13604</v>
      </c>
      <c r="G276" s="114">
        <v>13</v>
      </c>
      <c r="H276" s="135" t="s">
        <v>2137</v>
      </c>
      <c r="I276" s="122" t="str">
        <f t="shared" si="8"/>
        <v>INSERT INTO CLIENTES(RUT_CLIENTE,RAZON_SOCIAL,DIRECCION,ID_COMUNA,ID_REGION,FECHA_NACIMIENTO) VALUES (NULL,'Leyla Guerra','Trinidad Oriente 8633',13604,13,TO_DATE('29-11-1967','DD-MM-YYYY'));</v>
      </c>
    </row>
    <row r="277" spans="1:9" ht="26.4">
      <c r="A277" t="str">
        <f>Clientes!A262</f>
        <v>Lidia Marlene Rojas</v>
      </c>
      <c r="B277" s="115">
        <f t="shared" si="9"/>
        <v>260</v>
      </c>
      <c r="C277" s="134" t="str">
        <f>IF(ISBLANK(Clientes!L262),"NULL",CONCATENATE("'",Clientes!L262,"'"))</f>
        <v>NULL</v>
      </c>
      <c r="D277" s="114" t="str">
        <f>CONCATENATE("'",Clientes!A262,"'")</f>
        <v>'Lidia Marlene Rojas'</v>
      </c>
      <c r="E277" s="114" t="str">
        <f>IF(ISBLANK(Clientes!C262),"'Sin Direccion'",CONCATENATE("'",MID(Clientes!C262,1,95),"'"))</f>
        <v>'Sin Direccion'</v>
      </c>
      <c r="F277" s="114">
        <v>13605</v>
      </c>
      <c r="G277" s="114">
        <v>13</v>
      </c>
      <c r="H277" s="135" t="s">
        <v>2137</v>
      </c>
      <c r="I277" s="122" t="str">
        <f t="shared" si="8"/>
        <v>INSERT INTO CLIENTES(RUT_CLIENTE,RAZON_SOCIAL,DIRECCION,ID_COMUNA,ID_REGION,FECHA_NACIMIENTO) VALUES (NULL,'Lidia Marlene Rojas','Sin Direccion',13605,13,TO_DATE('29-11-1967','DD-MM-YYYY'));</v>
      </c>
    </row>
    <row r="278" spans="1:9" ht="26.4">
      <c r="A278" t="str">
        <f>Clientes!A263</f>
        <v>Liki Star</v>
      </c>
      <c r="B278" s="115">
        <f t="shared" si="9"/>
        <v>261</v>
      </c>
      <c r="C278" s="134" t="str">
        <f>IF(ISBLANK(Clientes!L263),"NULL",CONCATENATE("'",Clientes!L263,"'"))</f>
        <v>NULL</v>
      </c>
      <c r="D278" s="114" t="str">
        <f>CONCATENATE("'",Clientes!A263,"'")</f>
        <v>'Liki Star'</v>
      </c>
      <c r="E278" s="114" t="str">
        <f>IF(ISBLANK(Clientes!C263),"'Sin Direccion'",CONCATENATE("'",MID(Clientes!C263,1,95),"'"))</f>
        <v>'Sin Direccion'</v>
      </c>
      <c r="F278" s="114">
        <v>13101</v>
      </c>
      <c r="G278" s="114">
        <v>13</v>
      </c>
      <c r="H278" s="135" t="s">
        <v>2137</v>
      </c>
      <c r="I278" s="122" t="str">
        <f t="shared" si="8"/>
        <v>INSERT INTO CLIENTES(RUT_CLIENTE,RAZON_SOCIAL,DIRECCION,ID_COMUNA,ID_REGION,FECHA_NACIMIENTO) VALUES (NULL,'Liki Star','Sin Direccion',13101,13,TO_DATE('29-11-1967','DD-MM-YYYY'));</v>
      </c>
    </row>
    <row r="279" spans="1:9" ht="26.4">
      <c r="A279" t="str">
        <f>Clientes!A264</f>
        <v>Lilian Valdes</v>
      </c>
      <c r="B279" s="115">
        <f t="shared" si="9"/>
        <v>262</v>
      </c>
      <c r="C279" s="134" t="str">
        <f>IF(ISBLANK(Clientes!L264),"NULL",CONCATENATE("'",Clientes!L264,"'"))</f>
        <v>NULL</v>
      </c>
      <c r="D279" s="114" t="str">
        <f>CONCATENATE("'",Clientes!A264,"'")</f>
        <v>'Lilian Valdes'</v>
      </c>
      <c r="E279" s="114" t="str">
        <f>IF(ISBLANK(Clientes!C264),"'Sin Direccion'",CONCATENATE("'",MID(Clientes!C264,1,95),"'"))</f>
        <v>'Vicuña Mackenna Oriente 6187 depto 1002 torre D'</v>
      </c>
      <c r="F279" s="114">
        <v>13102</v>
      </c>
      <c r="G279" s="114">
        <v>13</v>
      </c>
      <c r="H279" s="135" t="s">
        <v>2137</v>
      </c>
      <c r="I279" s="122" t="str">
        <f t="shared" si="8"/>
        <v>INSERT INTO CLIENTES(RUT_CLIENTE,RAZON_SOCIAL,DIRECCION,ID_COMUNA,ID_REGION,FECHA_NACIMIENTO) VALUES (NULL,'Lilian Valdes','Vicuña Mackenna Oriente 6187 depto 1002 torre D',13102,13,TO_DATE('29-11-1967','DD-MM-YYYY'));</v>
      </c>
    </row>
    <row r="280" spans="1:9" ht="26.4">
      <c r="A280" t="str">
        <f>Clientes!A265</f>
        <v>Liliana Russ</v>
      </c>
      <c r="B280" s="115">
        <f t="shared" si="9"/>
        <v>263</v>
      </c>
      <c r="C280" s="134" t="str">
        <f>IF(ISBLANK(Clientes!L265),"NULL",CONCATENATE("'",Clientes!L265,"'"))</f>
        <v>NULL</v>
      </c>
      <c r="D280" s="114" t="str">
        <f>CONCATENATE("'",Clientes!A265,"'")</f>
        <v>'Liliana Russ'</v>
      </c>
      <c r="E280" s="114" t="str">
        <f>IF(ISBLANK(Clientes!C265),"'Sin Direccion'",CONCATENATE("'",MID(Clientes!C265,1,95),"'"))</f>
        <v>'Los Barbechos Sur 9041'</v>
      </c>
      <c r="F280" s="114">
        <v>13103</v>
      </c>
      <c r="G280" s="114">
        <v>13</v>
      </c>
      <c r="H280" s="135" t="s">
        <v>2137</v>
      </c>
      <c r="I280" s="122" t="str">
        <f t="shared" si="8"/>
        <v>INSERT INTO CLIENTES(RUT_CLIENTE,RAZON_SOCIAL,DIRECCION,ID_COMUNA,ID_REGION,FECHA_NACIMIENTO) VALUES (NULL,'Liliana Russ','Los Barbechos Sur 9041',13103,13,TO_DATE('29-11-1967','DD-MM-YYYY'));</v>
      </c>
    </row>
    <row r="281" spans="1:9" ht="26.4">
      <c r="A281" t="str">
        <f>Clientes!A266</f>
        <v>Lisita Jimenez</v>
      </c>
      <c r="B281" s="115">
        <f t="shared" si="9"/>
        <v>264</v>
      </c>
      <c r="C281" s="134" t="str">
        <f>IF(ISBLANK(Clientes!L266),"NULL",CONCATENATE("'",Clientes!L266,"'"))</f>
        <v>NULL</v>
      </c>
      <c r="D281" s="114" t="str">
        <f>CONCATENATE("'",Clientes!A266,"'")</f>
        <v>'Lisita Jimenez'</v>
      </c>
      <c r="E281" s="114" t="str">
        <f>IF(ISBLANK(Clientes!C266),"'Sin Direccion'",CONCATENATE("'",MID(Clientes!C266,1,95),"'"))</f>
        <v>'El arrayan 3365'</v>
      </c>
      <c r="F281" s="114">
        <v>13104</v>
      </c>
      <c r="G281" s="114">
        <v>13</v>
      </c>
      <c r="H281" s="135" t="s">
        <v>2137</v>
      </c>
      <c r="I281" s="122" t="str">
        <f t="shared" si="8"/>
        <v>INSERT INTO CLIENTES(RUT_CLIENTE,RAZON_SOCIAL,DIRECCION,ID_COMUNA,ID_REGION,FECHA_NACIMIENTO) VALUES (NULL,'Lisita Jimenez','El arrayan 3365',13104,13,TO_DATE('29-11-1967','DD-MM-YYYY'));</v>
      </c>
    </row>
    <row r="282" spans="1:9" ht="26.4">
      <c r="A282" t="str">
        <f>Clientes!A267</f>
        <v>Lorena - Santa Julia 3323</v>
      </c>
      <c r="B282" s="115">
        <f t="shared" si="9"/>
        <v>265</v>
      </c>
      <c r="C282" s="134" t="str">
        <f>IF(ISBLANK(Clientes!L267),"NULL",CONCATENATE("'",Clientes!L267,"'"))</f>
        <v>NULL</v>
      </c>
      <c r="D282" s="114" t="str">
        <f>CONCATENATE("'",Clientes!A267,"'")</f>
        <v>'Lorena - Santa Julia 3323'</v>
      </c>
      <c r="E282" s="114" t="str">
        <f>IF(ISBLANK(Clientes!C267),"'Sin Direccion'",CONCATENATE("'",MID(Clientes!C267,1,95),"'"))</f>
        <v>'Santa Julia 3323'</v>
      </c>
      <c r="F282" s="114">
        <v>13105</v>
      </c>
      <c r="G282" s="114">
        <v>13</v>
      </c>
      <c r="H282" s="135" t="s">
        <v>2137</v>
      </c>
      <c r="I282" s="122" t="str">
        <f t="shared" si="8"/>
        <v>INSERT INTO CLIENTES(RUT_CLIENTE,RAZON_SOCIAL,DIRECCION,ID_COMUNA,ID_REGION,FECHA_NACIMIENTO) VALUES (NULL,'Lorena - Santa Julia 3323','Santa Julia 3323',13105,13,TO_DATE('29-11-1967','DD-MM-YYYY'));</v>
      </c>
    </row>
    <row r="283" spans="1:9" ht="26.4">
      <c r="A283" t="str">
        <f>Clientes!A268</f>
        <v>Lorena Contreras Rojas</v>
      </c>
      <c r="B283" s="115">
        <f t="shared" si="9"/>
        <v>266</v>
      </c>
      <c r="C283" s="134" t="str">
        <f>IF(ISBLANK(Clientes!L268),"NULL",CONCATENATE("'",Clientes!L268,"'"))</f>
        <v>NULL</v>
      </c>
      <c r="D283" s="114" t="str">
        <f>CONCATENATE("'",Clientes!A268,"'")</f>
        <v>'Lorena Contreras Rojas'</v>
      </c>
      <c r="E283" s="114" t="str">
        <f>IF(ISBLANK(Clientes!C268),"'Sin Direccion'",CONCATENATE("'",MID(Clientes!C268,1,95),"'"))</f>
        <v>'Pasaje Argentina'</v>
      </c>
      <c r="F283" s="114">
        <v>13106</v>
      </c>
      <c r="G283" s="114">
        <v>13</v>
      </c>
      <c r="H283" s="135" t="s">
        <v>2137</v>
      </c>
      <c r="I283" s="122" t="str">
        <f t="shared" si="8"/>
        <v>INSERT INTO CLIENTES(RUT_CLIENTE,RAZON_SOCIAL,DIRECCION,ID_COMUNA,ID_REGION,FECHA_NACIMIENTO) VALUES (NULL,'Lorena Contreras Rojas','Pasaje Argentina',13106,13,TO_DATE('29-11-1967','DD-MM-YYYY'));</v>
      </c>
    </row>
    <row r="284" spans="1:9" ht="26.4">
      <c r="A284" t="str">
        <f>Clientes!A269</f>
        <v>Lorena Herrera</v>
      </c>
      <c r="B284" s="115">
        <f t="shared" si="9"/>
        <v>267</v>
      </c>
      <c r="C284" s="134" t="str">
        <f>IF(ISBLANK(Clientes!L269),"NULL",CONCATENATE("'",Clientes!L269,"'"))</f>
        <v>NULL</v>
      </c>
      <c r="D284" s="114" t="str">
        <f>CONCATENATE("'",Clientes!A269,"'")</f>
        <v>'Lorena Herrera'</v>
      </c>
      <c r="E284" s="114" t="str">
        <f>IF(ISBLANK(Clientes!C269),"'Sin Direccion'",CONCATENATE("'",MID(Clientes!C269,1,95),"'"))</f>
        <v>'Sin Direccion'</v>
      </c>
      <c r="F284" s="114">
        <v>13107</v>
      </c>
      <c r="G284" s="114">
        <v>13</v>
      </c>
      <c r="H284" s="135" t="s">
        <v>2137</v>
      </c>
      <c r="I284" s="122" t="str">
        <f t="shared" si="8"/>
        <v>INSERT INTO CLIENTES(RUT_CLIENTE,RAZON_SOCIAL,DIRECCION,ID_COMUNA,ID_REGION,FECHA_NACIMIENTO) VALUES (NULL,'Lorena Herrera','Sin Direccion',13107,13,TO_DATE('29-11-1967','DD-MM-YYYY'));</v>
      </c>
    </row>
    <row r="285" spans="1:9" ht="26.4">
      <c r="A285" t="str">
        <f>Clientes!A270</f>
        <v>Loreto Zambrano</v>
      </c>
      <c r="B285" s="115">
        <f t="shared" si="9"/>
        <v>268</v>
      </c>
      <c r="C285" s="134" t="str">
        <f>IF(ISBLANK(Clientes!L270),"NULL",CONCATENATE("'",Clientes!L270,"'"))</f>
        <v>NULL</v>
      </c>
      <c r="D285" s="114" t="str">
        <f>CONCATENATE("'",Clientes!A270,"'")</f>
        <v>'Loreto Zambrano'</v>
      </c>
      <c r="E285" s="114" t="str">
        <f>IF(ISBLANK(Clientes!C270),"'Sin Direccion'",CONCATENATE("'",MID(Clientes!C270,1,95),"'"))</f>
        <v>'Los Tulipanes 8573'</v>
      </c>
      <c r="F285" s="114">
        <v>13108</v>
      </c>
      <c r="G285" s="114">
        <v>13</v>
      </c>
      <c r="H285" s="135" t="s">
        <v>2137</v>
      </c>
      <c r="I285" s="122" t="str">
        <f t="shared" si="8"/>
        <v>INSERT INTO CLIENTES(RUT_CLIENTE,RAZON_SOCIAL,DIRECCION,ID_COMUNA,ID_REGION,FECHA_NACIMIENTO) VALUES (NULL,'Loreto Zambrano','Los Tulipanes 8573',13108,13,TO_DATE('29-11-1967','DD-MM-YYYY'));</v>
      </c>
    </row>
    <row r="286" spans="1:9" ht="26.4">
      <c r="A286" t="str">
        <f>Clientes!A271</f>
        <v>Luis - Antilhue</v>
      </c>
      <c r="B286" s="115">
        <f t="shared" si="9"/>
        <v>269</v>
      </c>
      <c r="C286" s="134" t="str">
        <f>IF(ISBLANK(Clientes!L271),"NULL",CONCATENATE("'",Clientes!L271,"'"))</f>
        <v>NULL</v>
      </c>
      <c r="D286" s="114" t="str">
        <f>CONCATENATE("'",Clientes!A271,"'")</f>
        <v>'Luis - Antilhue'</v>
      </c>
      <c r="E286" s="114" t="str">
        <f>IF(ISBLANK(Clientes!C271),"'Sin Direccion'",CONCATENATE("'",MID(Clientes!C271,1,95),"'"))</f>
        <v>'Sin Direccion'</v>
      </c>
      <c r="F286" s="114">
        <v>13109</v>
      </c>
      <c r="G286" s="114">
        <v>13</v>
      </c>
      <c r="H286" s="135" t="s">
        <v>2137</v>
      </c>
      <c r="I286" s="122" t="str">
        <f t="shared" si="8"/>
        <v>INSERT INTO CLIENTES(RUT_CLIENTE,RAZON_SOCIAL,DIRECCION,ID_COMUNA,ID_REGION,FECHA_NACIMIENTO) VALUES (NULL,'Luis - Antilhue','Sin Direccion',13109,13,TO_DATE('29-11-1967','DD-MM-YYYY'));</v>
      </c>
    </row>
    <row r="287" spans="1:9" ht="26.4">
      <c r="A287" t="str">
        <f>Clientes!A272</f>
        <v>Luis - Santa Ema 2478</v>
      </c>
      <c r="B287" s="115">
        <f t="shared" si="9"/>
        <v>270</v>
      </c>
      <c r="C287" s="134" t="str">
        <f>IF(ISBLANK(Clientes!L272),"NULL",CONCATENATE("'",Clientes!L272,"'"))</f>
        <v>NULL</v>
      </c>
      <c r="D287" s="114" t="str">
        <f>CONCATENATE("'",Clientes!A272,"'")</f>
        <v>'Luis - Santa Ema 2478'</v>
      </c>
      <c r="E287" s="114" t="str">
        <f>IF(ISBLANK(Clientes!C272),"'Sin Direccion'",CONCATENATE("'",MID(Clientes!C272,1,95),"'"))</f>
        <v>'Santa Ema 2478'</v>
      </c>
      <c r="F287" s="114">
        <v>13110</v>
      </c>
      <c r="G287" s="114">
        <v>13</v>
      </c>
      <c r="H287" s="135" t="s">
        <v>2137</v>
      </c>
      <c r="I287" s="122" t="str">
        <f t="shared" si="8"/>
        <v>INSERT INTO CLIENTES(RUT_CLIENTE,RAZON_SOCIAL,DIRECCION,ID_COMUNA,ID_REGION,FECHA_NACIMIENTO) VALUES (NULL,'Luis - Santa Ema 2478','Santa Ema 2478',13110,13,TO_DATE('29-11-1967','DD-MM-YYYY'));</v>
      </c>
    </row>
    <row r="288" spans="1:9" ht="26.4">
      <c r="A288" t="str">
        <f>Clientes!A273</f>
        <v>Luis Acuña</v>
      </c>
      <c r="B288" s="115">
        <f t="shared" si="9"/>
        <v>271</v>
      </c>
      <c r="C288" s="134" t="str">
        <f>IF(ISBLANK(Clientes!L273),"NULL",CONCATENATE("'",Clientes!L273,"'"))</f>
        <v>NULL</v>
      </c>
      <c r="D288" s="114" t="str">
        <f>CONCATENATE("'",Clientes!A273,"'")</f>
        <v>'Luis Acuña'</v>
      </c>
      <c r="E288" s="114" t="str">
        <f>IF(ISBLANK(Clientes!C273),"'Sin Direccion'",CONCATENATE("'",MID(Clientes!C273,1,95),"'"))</f>
        <v>'El Hualle Sur 9487'</v>
      </c>
      <c r="F288" s="114">
        <v>13111</v>
      </c>
      <c r="G288" s="114">
        <v>13</v>
      </c>
      <c r="H288" s="135" t="s">
        <v>2137</v>
      </c>
      <c r="I288" s="122" t="str">
        <f t="shared" si="8"/>
        <v>INSERT INTO CLIENTES(RUT_CLIENTE,RAZON_SOCIAL,DIRECCION,ID_COMUNA,ID_REGION,FECHA_NACIMIENTO) VALUES (NULL,'Luis Acuña','El Hualle Sur 9487',13111,13,TO_DATE('29-11-1967','DD-MM-YYYY'));</v>
      </c>
    </row>
    <row r="289" spans="1:9" ht="26.4">
      <c r="A289" t="str">
        <f>Clientes!A274</f>
        <v>Luis Fernando Concha</v>
      </c>
      <c r="B289" s="115">
        <f t="shared" si="9"/>
        <v>272</v>
      </c>
      <c r="C289" s="134" t="str">
        <f>IF(ISBLANK(Clientes!L274),"NULL",CONCATENATE("'",Clientes!L274,"'"))</f>
        <v>NULL</v>
      </c>
      <c r="D289" s="114" t="str">
        <f>CONCATENATE("'",Clientes!A274,"'")</f>
        <v>'Luis Fernando Concha'</v>
      </c>
      <c r="E289" s="114" t="str">
        <f>IF(ISBLANK(Clientes!C274),"'Sin Direccion'",CONCATENATE("'",MID(Clientes!C274,1,95),"'"))</f>
        <v>'Sin Direccion'</v>
      </c>
      <c r="F289" s="114">
        <v>13112</v>
      </c>
      <c r="G289" s="114">
        <v>13</v>
      </c>
      <c r="H289" s="135" t="s">
        <v>2137</v>
      </c>
      <c r="I289" s="122" t="str">
        <f t="shared" si="8"/>
        <v>INSERT INTO CLIENTES(RUT_CLIENTE,RAZON_SOCIAL,DIRECCION,ID_COMUNA,ID_REGION,FECHA_NACIMIENTO) VALUES (NULL,'Luis Fernando Concha','Sin Direccion',13112,13,TO_DATE('29-11-1967','DD-MM-YYYY'));</v>
      </c>
    </row>
    <row r="290" spans="1:9" ht="26.4">
      <c r="A290" t="str">
        <f>Clientes!A275</f>
        <v>Luis Uribe</v>
      </c>
      <c r="B290" s="115">
        <f t="shared" si="9"/>
        <v>273</v>
      </c>
      <c r="C290" s="134" t="str">
        <f>IF(ISBLANK(Clientes!L275),"NULL",CONCATENATE("'",Clientes!L275,"'"))</f>
        <v>NULL</v>
      </c>
      <c r="D290" s="114" t="str">
        <f>CONCATENATE("'",Clientes!A275,"'")</f>
        <v>'Luis Uribe'</v>
      </c>
      <c r="E290" s="114" t="str">
        <f>IF(ISBLANK(Clientes!C275),"'Sin Direccion'",CONCATENATE("'",MID(Clientes!C275,1,95),"'"))</f>
        <v>'Sin Direccion'</v>
      </c>
      <c r="F290" s="114">
        <v>13113</v>
      </c>
      <c r="G290" s="114">
        <v>13</v>
      </c>
      <c r="H290" s="135" t="s">
        <v>2137</v>
      </c>
      <c r="I290" s="122" t="str">
        <f t="shared" si="8"/>
        <v>INSERT INTO CLIENTES(RUT_CLIENTE,RAZON_SOCIAL,DIRECCION,ID_COMUNA,ID_REGION,FECHA_NACIMIENTO) VALUES (NULL,'Luis Uribe','Sin Direccion',13113,13,TO_DATE('29-11-1967','DD-MM-YYYY'));</v>
      </c>
    </row>
    <row r="291" spans="1:9" ht="26.4">
      <c r="A291" t="str">
        <f>Clientes!A276</f>
        <v>Luisa - Enrique Olivares</v>
      </c>
      <c r="B291" s="115">
        <f t="shared" si="9"/>
        <v>274</v>
      </c>
      <c r="C291" s="134" t="str">
        <f>IF(ISBLANK(Clientes!L276),"NULL",CONCATENATE("'",Clientes!L276,"'"))</f>
        <v>NULL</v>
      </c>
      <c r="D291" s="114" t="str">
        <f>CONCATENATE("'",Clientes!A276,"'")</f>
        <v>'Luisa - Enrique Olivares'</v>
      </c>
      <c r="E291" s="114" t="str">
        <f>IF(ISBLANK(Clientes!C276),"'Sin Direccion'",CONCATENATE("'",MID(Clientes!C276,1,95),"'"))</f>
        <v>'Nuestra Señora Fatima 9506  '</v>
      </c>
      <c r="F291" s="114">
        <v>13114</v>
      </c>
      <c r="G291" s="114">
        <v>13</v>
      </c>
      <c r="H291" s="135" t="s">
        <v>2137</v>
      </c>
      <c r="I291" s="122" t="str">
        <f t="shared" si="8"/>
        <v>INSERT INTO CLIENTES(RUT_CLIENTE,RAZON_SOCIAL,DIRECCION,ID_COMUNA,ID_REGION,FECHA_NACIMIENTO) VALUES (NULL,'Luisa - Enrique Olivares','Nuestra Señora Fatima 9506  ',13114,13,TO_DATE('29-11-1967','DD-MM-YYYY'));</v>
      </c>
    </row>
    <row r="292" spans="1:9" ht="26.4">
      <c r="A292" t="str">
        <f>Clientes!A277</f>
        <v>Luz Maria Gonzalez Maggi</v>
      </c>
      <c r="B292" s="115">
        <f t="shared" si="9"/>
        <v>275</v>
      </c>
      <c r="C292" s="134" t="str">
        <f>IF(ISBLANK(Clientes!L277),"NULL",CONCATENATE("'",Clientes!L277,"'"))</f>
        <v>NULL</v>
      </c>
      <c r="D292" s="114" t="str">
        <f>CONCATENATE("'",Clientes!A277,"'")</f>
        <v>'Luz Maria Gonzalez Maggi'</v>
      </c>
      <c r="E292" s="114" t="str">
        <f>IF(ISBLANK(Clientes!C277),"'Sin Direccion'",CONCATENATE("'",MID(Clientes!C277,1,95),"'"))</f>
        <v>'Sin Direccion'</v>
      </c>
      <c r="F292" s="114">
        <v>13115</v>
      </c>
      <c r="G292" s="114">
        <v>13</v>
      </c>
      <c r="H292" s="135" t="s">
        <v>2137</v>
      </c>
      <c r="I292" s="122" t="str">
        <f t="shared" si="8"/>
        <v>INSERT INTO CLIENTES(RUT_CLIENTE,RAZON_SOCIAL,DIRECCION,ID_COMUNA,ID_REGION,FECHA_NACIMIENTO) VALUES (NULL,'Luz Maria Gonzalez Maggi','Sin Direccion',13115,13,TO_DATE('29-11-1967','DD-MM-YYYY'));</v>
      </c>
    </row>
    <row r="293" spans="1:9" ht="26.4">
      <c r="A293" t="str">
        <f>Clientes!A278</f>
        <v>M.Soledad - Lancaster 9452</v>
      </c>
      <c r="B293" s="115">
        <f t="shared" si="9"/>
        <v>276</v>
      </c>
      <c r="C293" s="134" t="str">
        <f>IF(ISBLANK(Clientes!L278),"NULL",CONCATENATE("'",Clientes!L278,"'"))</f>
        <v>NULL</v>
      </c>
      <c r="D293" s="114" t="str">
        <f>CONCATENATE("'",Clientes!A278,"'")</f>
        <v>'M.Soledad - Lancaster 9452'</v>
      </c>
      <c r="E293" s="114" t="str">
        <f>IF(ISBLANK(Clientes!C278),"'Sin Direccion'",CONCATENATE("'",MID(Clientes!C278,1,95),"'"))</f>
        <v>'Lancaster 9452'</v>
      </c>
      <c r="F293" s="114">
        <v>13116</v>
      </c>
      <c r="G293" s="114">
        <v>13</v>
      </c>
      <c r="H293" s="135" t="s">
        <v>2137</v>
      </c>
      <c r="I293" s="122" t="str">
        <f t="shared" si="8"/>
        <v>INSERT INTO CLIENTES(RUT_CLIENTE,RAZON_SOCIAL,DIRECCION,ID_COMUNA,ID_REGION,FECHA_NACIMIENTO) VALUES (NULL,'M.Soledad - Lancaster 9452','Lancaster 9452',13116,13,TO_DATE('29-11-1967','DD-MM-YYYY'));</v>
      </c>
    </row>
    <row r="294" spans="1:9" ht="26.4">
      <c r="A294" t="str">
        <f>Clientes!A279</f>
        <v>Ma José Ferreira</v>
      </c>
      <c r="B294" s="115">
        <f t="shared" si="9"/>
        <v>277</v>
      </c>
      <c r="C294" s="134" t="str">
        <f>IF(ISBLANK(Clientes!L279),"NULL",CONCATENATE("'",Clientes!L279,"'"))</f>
        <v>NULL</v>
      </c>
      <c r="D294" s="114" t="str">
        <f>CONCATENATE("'",Clientes!A279,"'")</f>
        <v>'Ma José Ferreira'</v>
      </c>
      <c r="E294" s="114" t="str">
        <f>IF(ISBLANK(Clientes!C279),"'Sin Direccion'",CONCATENATE("'",MID(Clientes!C279,1,95),"'"))</f>
        <v>'Santa Cristina 2161'</v>
      </c>
      <c r="F294" s="114">
        <v>13117</v>
      </c>
      <c r="G294" s="114">
        <v>13</v>
      </c>
      <c r="H294" s="135" t="s">
        <v>2137</v>
      </c>
      <c r="I294" s="122" t="str">
        <f t="shared" si="8"/>
        <v>INSERT INTO CLIENTES(RUT_CLIENTE,RAZON_SOCIAL,DIRECCION,ID_COMUNA,ID_REGION,FECHA_NACIMIENTO) VALUES (NULL,'Ma José Ferreira','Santa Cristina 2161',13117,13,TO_DATE('29-11-1967','DD-MM-YYYY'));</v>
      </c>
    </row>
    <row r="295" spans="1:9" ht="26.4">
      <c r="A295" t="str">
        <f>Clientes!A280</f>
        <v>Mabel Romero</v>
      </c>
      <c r="B295" s="115">
        <f t="shared" si="9"/>
        <v>278</v>
      </c>
      <c r="C295" s="134" t="str">
        <f>IF(ISBLANK(Clientes!L280),"NULL",CONCATENATE("'",Clientes!L280,"'"))</f>
        <v>NULL</v>
      </c>
      <c r="D295" s="114" t="str">
        <f>CONCATENATE("'",Clientes!A280,"'")</f>
        <v>'Mabel Romero'</v>
      </c>
      <c r="E295" s="114" t="str">
        <f>IF(ISBLANK(Clientes!C280),"'Sin Direccion'",CONCATENATE("'",MID(Clientes!C280,1,95),"'"))</f>
        <v>'Sin Direccion'</v>
      </c>
      <c r="F295" s="114">
        <v>13118</v>
      </c>
      <c r="G295" s="114">
        <v>13</v>
      </c>
      <c r="H295" s="135" t="s">
        <v>2137</v>
      </c>
      <c r="I295" s="122" t="str">
        <f t="shared" si="8"/>
        <v>INSERT INTO CLIENTES(RUT_CLIENTE,RAZON_SOCIAL,DIRECCION,ID_COMUNA,ID_REGION,FECHA_NACIMIENTO) VALUES (NULL,'Mabel Romero','Sin Direccion',13118,13,TO_DATE('29-11-1967','DD-MM-YYYY'));</v>
      </c>
    </row>
    <row r="296" spans="1:9" ht="26.4">
      <c r="A296" t="str">
        <f>Clientes!A281</f>
        <v>Maca Marticorena</v>
      </c>
      <c r="B296" s="115">
        <f t="shared" si="9"/>
        <v>279</v>
      </c>
      <c r="C296" s="134" t="str">
        <f>IF(ISBLANK(Clientes!L281),"NULL",CONCATENATE("'",Clientes!L281,"'"))</f>
        <v>NULL</v>
      </c>
      <c r="D296" s="114" t="str">
        <f>CONCATENATE("'",Clientes!A281,"'")</f>
        <v>'Maca Marticorena'</v>
      </c>
      <c r="E296" s="114" t="str">
        <f>IF(ISBLANK(Clientes!C281),"'Sin Direccion'",CONCATENATE("'",MID(Clientes!C281,1,95),"'"))</f>
        <v>'Lo.alamos poniente 9310, Condominio los Robles'</v>
      </c>
      <c r="F296" s="114">
        <v>13119</v>
      </c>
      <c r="G296" s="114">
        <v>13</v>
      </c>
      <c r="H296" s="135" t="s">
        <v>2137</v>
      </c>
      <c r="I296" s="122" t="str">
        <f t="shared" si="8"/>
        <v>INSERT INTO CLIENTES(RUT_CLIENTE,RAZON_SOCIAL,DIRECCION,ID_COMUNA,ID_REGION,FECHA_NACIMIENTO) VALUES (NULL,'Maca Marticorena','Lo.alamos poniente 9310, Condominio los Robles',13119,13,TO_DATE('29-11-1967','DD-MM-YYYY'));</v>
      </c>
    </row>
    <row r="297" spans="1:9" ht="26.4">
      <c r="A297" t="str">
        <f>Clientes!A282</f>
        <v>Macarena</v>
      </c>
      <c r="B297" s="115">
        <f t="shared" si="9"/>
        <v>280</v>
      </c>
      <c r="C297" s="134" t="str">
        <f>IF(ISBLANK(Clientes!L282),"NULL",CONCATENATE("'",Clientes!L282,"'"))</f>
        <v>NULL</v>
      </c>
      <c r="D297" s="114" t="str">
        <f>CONCATENATE("'",Clientes!A282,"'")</f>
        <v>'Macarena'</v>
      </c>
      <c r="E297" s="114" t="str">
        <f>IF(ISBLANK(Clientes!C282),"'Sin Direccion'",CONCATENATE("'",MID(Clientes!C282,1,95),"'"))</f>
        <v>'Sin Direccion'</v>
      </c>
      <c r="F297" s="114">
        <v>13120</v>
      </c>
      <c r="G297" s="114">
        <v>13</v>
      </c>
      <c r="H297" s="135" t="s">
        <v>2137</v>
      </c>
      <c r="I297" s="122" t="str">
        <f t="shared" si="8"/>
        <v>INSERT INTO CLIENTES(RUT_CLIENTE,RAZON_SOCIAL,DIRECCION,ID_COMUNA,ID_REGION,FECHA_NACIMIENTO) VALUES (NULL,'Macarena','Sin Direccion',13120,13,TO_DATE('29-11-1967','DD-MM-YYYY'));</v>
      </c>
    </row>
    <row r="298" spans="1:9" ht="26.4">
      <c r="A298" t="str">
        <f>Clientes!A283</f>
        <v>Macarena Lopez</v>
      </c>
      <c r="B298" s="115">
        <f t="shared" si="9"/>
        <v>281</v>
      </c>
      <c r="C298" s="134" t="str">
        <f>IF(ISBLANK(Clientes!L283),"NULL",CONCATENATE("'",Clientes!L283,"'"))</f>
        <v>NULL</v>
      </c>
      <c r="D298" s="114" t="str">
        <f>CONCATENATE("'",Clientes!A283,"'")</f>
        <v>'Macarena Lopez'</v>
      </c>
      <c r="E298" s="114" t="str">
        <f>IF(ISBLANK(Clientes!C283),"'Sin Direccion'",CONCATENATE("'",MID(Clientes!C283,1,95),"'"))</f>
        <v>'El hualle sur 9622'</v>
      </c>
      <c r="F298" s="114">
        <v>13121</v>
      </c>
      <c r="G298" s="114">
        <v>13</v>
      </c>
      <c r="H298" s="135" t="s">
        <v>2137</v>
      </c>
      <c r="I298" s="122" t="str">
        <f t="shared" si="8"/>
        <v>INSERT INTO CLIENTES(RUT_CLIENTE,RAZON_SOCIAL,DIRECCION,ID_COMUNA,ID_REGION,FECHA_NACIMIENTO) VALUES (NULL,'Macarena Lopez','El hualle sur 9622',13121,13,TO_DATE('29-11-1967','DD-MM-YYYY'));</v>
      </c>
    </row>
    <row r="299" spans="1:9" ht="26.4">
      <c r="A299" t="str">
        <f>Clientes!A284</f>
        <v>Mackusha - Huilquehue 2773</v>
      </c>
      <c r="B299" s="115">
        <f t="shared" si="9"/>
        <v>282</v>
      </c>
      <c r="C299" s="134" t="str">
        <f>IF(ISBLANK(Clientes!L284),"NULL",CONCATENATE("'",Clientes!L284,"'"))</f>
        <v>NULL</v>
      </c>
      <c r="D299" s="114" t="str">
        <f>CONCATENATE("'",Clientes!A284,"'")</f>
        <v>'Mackusha - Huilquehue 2773'</v>
      </c>
      <c r="E299" s="114" t="str">
        <f>IF(ISBLANK(Clientes!C284),"'Sin Direccion'",CONCATENATE("'",MID(Clientes!C284,1,95),"'"))</f>
        <v>'Huilquehue 2773'</v>
      </c>
      <c r="F299" s="114">
        <v>13122</v>
      </c>
      <c r="G299" s="114">
        <v>13</v>
      </c>
      <c r="H299" s="135" t="s">
        <v>2137</v>
      </c>
      <c r="I299" s="122" t="str">
        <f t="shared" si="8"/>
        <v>INSERT INTO CLIENTES(RUT_CLIENTE,RAZON_SOCIAL,DIRECCION,ID_COMUNA,ID_REGION,FECHA_NACIMIENTO) VALUES (NULL,'Mackusha - Huilquehue 2773','Huilquehue 2773',13122,13,TO_DATE('29-11-1967','DD-MM-YYYY'));</v>
      </c>
    </row>
    <row r="300" spans="1:9" ht="26.4">
      <c r="A300" t="str">
        <f>Clientes!A285</f>
        <v>Madeleanne Cabrera</v>
      </c>
      <c r="B300" s="115">
        <f t="shared" si="9"/>
        <v>283</v>
      </c>
      <c r="C300" s="134" t="str">
        <f>IF(ISBLANK(Clientes!L285),"NULL",CONCATENATE("'",Clientes!L285,"'"))</f>
        <v>NULL</v>
      </c>
      <c r="D300" s="114" t="str">
        <f>CONCATENATE("'",Clientes!A285,"'")</f>
        <v>'Madeleanne Cabrera'</v>
      </c>
      <c r="E300" s="114" t="str">
        <f>IF(ISBLANK(Clientes!C285),"'Sin Direccion'",CONCATENATE("'",MID(Clientes!C285,1,95),"'"))</f>
        <v>'Sin Direccion'</v>
      </c>
      <c r="F300" s="114">
        <v>13123</v>
      </c>
      <c r="G300" s="114">
        <v>13</v>
      </c>
      <c r="H300" s="135" t="s">
        <v>2137</v>
      </c>
      <c r="I300" s="122" t="str">
        <f t="shared" si="8"/>
        <v>INSERT INTO CLIENTES(RUT_CLIENTE,RAZON_SOCIAL,DIRECCION,ID_COMUNA,ID_REGION,FECHA_NACIMIENTO) VALUES (NULL,'Madeleanne Cabrera','Sin Direccion',13123,13,TO_DATE('29-11-1967','DD-MM-YYYY'));</v>
      </c>
    </row>
    <row r="301" spans="1:9" ht="26.4">
      <c r="A301" t="str">
        <f>Clientes!A286</f>
        <v>Mady - Las Nalcas Sur 9365</v>
      </c>
      <c r="B301" s="115">
        <f t="shared" si="9"/>
        <v>284</v>
      </c>
      <c r="C301" s="134" t="str">
        <f>IF(ISBLANK(Clientes!L286),"NULL",CONCATENATE("'",Clientes!L286,"'"))</f>
        <v>NULL</v>
      </c>
      <c r="D301" s="114" t="str">
        <f>CONCATENATE("'",Clientes!A286,"'")</f>
        <v>'Mady - Las Nalcas Sur 9365'</v>
      </c>
      <c r="E301" s="114" t="str">
        <f>IF(ISBLANK(Clientes!C286),"'Sin Direccion'",CONCATENATE("'",MID(Clientes!C286,1,95),"'"))</f>
        <v>'Las Nalcas Sur 9365'</v>
      </c>
      <c r="F301" s="114">
        <v>13124</v>
      </c>
      <c r="G301" s="114">
        <v>13</v>
      </c>
      <c r="H301" s="135" t="s">
        <v>2137</v>
      </c>
      <c r="I301" s="122" t="str">
        <f t="shared" si="8"/>
        <v>INSERT INTO CLIENTES(RUT_CLIENTE,RAZON_SOCIAL,DIRECCION,ID_COMUNA,ID_REGION,FECHA_NACIMIENTO) VALUES (NULL,'Mady - Las Nalcas Sur 9365','Las Nalcas Sur 9365',13124,13,TO_DATE('29-11-1967','DD-MM-YYYY'));</v>
      </c>
    </row>
    <row r="302" spans="1:9" ht="26.4">
      <c r="A302" t="str">
        <f>Clientes!A287</f>
        <v>MaeMuki</v>
      </c>
      <c r="B302" s="115">
        <f t="shared" si="9"/>
        <v>285</v>
      </c>
      <c r="C302" s="134" t="str">
        <f>IF(ISBLANK(Clientes!L287),"NULL",CONCATENATE("'",Clientes!L287,"'"))</f>
        <v>NULL</v>
      </c>
      <c r="D302" s="114" t="str">
        <f>CONCATENATE("'",Clientes!A287,"'")</f>
        <v>'MaeMuki'</v>
      </c>
      <c r="E302" s="114" t="str">
        <f>IF(ISBLANK(Clientes!C287),"'Sin Direccion'",CONCATENATE("'",MID(Clientes!C287,1,95),"'"))</f>
        <v>'Jardín del edén 3498'</v>
      </c>
      <c r="F302" s="114">
        <v>13125</v>
      </c>
      <c r="G302" s="114">
        <v>13</v>
      </c>
      <c r="H302" s="135" t="s">
        <v>2137</v>
      </c>
      <c r="I302" s="122" t="str">
        <f t="shared" si="8"/>
        <v>INSERT INTO CLIENTES(RUT_CLIENTE,RAZON_SOCIAL,DIRECCION,ID_COMUNA,ID_REGION,FECHA_NACIMIENTO) VALUES (NULL,'MaeMuki','Jardín del edén 3498',13125,13,TO_DATE('29-11-1967','DD-MM-YYYY'));</v>
      </c>
    </row>
    <row r="303" spans="1:9" ht="26.4">
      <c r="A303" t="str">
        <f>Clientes!A288</f>
        <v>Magaly Araneda</v>
      </c>
      <c r="B303" s="115">
        <f t="shared" si="9"/>
        <v>286</v>
      </c>
      <c r="C303" s="134" t="str">
        <f>IF(ISBLANK(Clientes!L288),"NULL",CONCATENATE("'",Clientes!L288,"'"))</f>
        <v>NULL</v>
      </c>
      <c r="D303" s="114" t="str">
        <f>CONCATENATE("'",Clientes!A288,"'")</f>
        <v>'Magaly Araneda'</v>
      </c>
      <c r="E303" s="114" t="str">
        <f>IF(ISBLANK(Clientes!C288),"'Sin Direccion'",CONCATENATE("'",MID(Clientes!C288,1,95),"'"))</f>
        <v>'Belloto del norte oriente 9286'</v>
      </c>
      <c r="F303" s="114">
        <v>13126</v>
      </c>
      <c r="G303" s="114">
        <v>13</v>
      </c>
      <c r="H303" s="135" t="s">
        <v>2137</v>
      </c>
      <c r="I303" s="122" t="str">
        <f t="shared" si="8"/>
        <v>INSERT INTO CLIENTES(RUT_CLIENTE,RAZON_SOCIAL,DIRECCION,ID_COMUNA,ID_REGION,FECHA_NACIMIENTO) VALUES (NULL,'Magaly Araneda','Belloto del norte oriente 9286',13126,13,TO_DATE('29-11-1967','DD-MM-YYYY'));</v>
      </c>
    </row>
    <row r="304" spans="1:9" ht="26.4">
      <c r="A304" t="str">
        <f>Clientes!A289</f>
        <v>Magaly Valenzuela</v>
      </c>
      <c r="B304" s="115">
        <f t="shared" si="9"/>
        <v>287</v>
      </c>
      <c r="C304" s="134" t="str">
        <f>IF(ISBLANK(Clientes!L289),"NULL",CONCATENATE("'",Clientes!L289,"'"))</f>
        <v>NULL</v>
      </c>
      <c r="D304" s="114" t="str">
        <f>CONCATENATE("'",Clientes!A289,"'")</f>
        <v>'Magaly Valenzuela'</v>
      </c>
      <c r="E304" s="114" t="str">
        <f>IF(ISBLANK(Clientes!C289),"'Sin Direccion'",CONCATENATE("'",MID(Clientes!C289,1,95),"'"))</f>
        <v>'Antofagasta 3426'</v>
      </c>
      <c r="F304" s="114">
        <v>13127</v>
      </c>
      <c r="G304" s="114">
        <v>13</v>
      </c>
      <c r="H304" s="135" t="s">
        <v>2137</v>
      </c>
      <c r="I304" s="122" t="str">
        <f t="shared" si="8"/>
        <v>INSERT INTO CLIENTES(RUT_CLIENTE,RAZON_SOCIAL,DIRECCION,ID_COMUNA,ID_REGION,FECHA_NACIMIENTO) VALUES (NULL,'Magaly Valenzuela','Antofagasta 3426',13127,13,TO_DATE('29-11-1967','DD-MM-YYYY'));</v>
      </c>
    </row>
    <row r="305" spans="1:9" ht="26.4">
      <c r="A305" t="str">
        <f>Clientes!A290</f>
        <v>Magdalena - Jorge Robledo</v>
      </c>
      <c r="B305" s="115">
        <f t="shared" si="9"/>
        <v>288</v>
      </c>
      <c r="C305" s="134" t="str">
        <f>IF(ISBLANK(Clientes!L290),"NULL",CONCATENATE("'",Clientes!L290,"'"))</f>
        <v>NULL</v>
      </c>
      <c r="D305" s="114" t="str">
        <f>CONCATENATE("'",Clientes!A290,"'")</f>
        <v>'Magdalena - Jorge Robledo'</v>
      </c>
      <c r="E305" s="114" t="str">
        <f>IF(ISBLANK(Clientes!C290),"'Sin Direccion'",CONCATENATE("'",MID(Clientes!C290,1,95),"'"))</f>
        <v>'jorge robledo 3084 con Carlos witting'</v>
      </c>
      <c r="F305" s="114">
        <v>13128</v>
      </c>
      <c r="G305" s="114">
        <v>13</v>
      </c>
      <c r="H305" s="135" t="s">
        <v>2137</v>
      </c>
      <c r="I305" s="122" t="str">
        <f t="shared" si="8"/>
        <v>INSERT INTO CLIENTES(RUT_CLIENTE,RAZON_SOCIAL,DIRECCION,ID_COMUNA,ID_REGION,FECHA_NACIMIENTO) VALUES (NULL,'Magdalena - Jorge Robledo','jorge robledo 3084 con Carlos witting',13128,13,TO_DATE('29-11-1967','DD-MM-YYYY'));</v>
      </c>
    </row>
    <row r="306" spans="1:9" ht="26.4">
      <c r="A306" t="str">
        <f>Clientes!A291</f>
        <v>Magdalena - Tiendita online</v>
      </c>
      <c r="B306" s="115">
        <f t="shared" si="9"/>
        <v>289</v>
      </c>
      <c r="C306" s="134" t="str">
        <f>IF(ISBLANK(Clientes!L291),"NULL",CONCATENATE("'",Clientes!L291,"'"))</f>
        <v>NULL</v>
      </c>
      <c r="D306" s="114" t="str">
        <f>CONCATENATE("'",Clientes!A291,"'")</f>
        <v>'Magdalena - Tiendita online'</v>
      </c>
      <c r="E306" s="114" t="str">
        <f>IF(ISBLANK(Clientes!C291),"'Sin Direccion'",CONCATENATE("'",MID(Clientes!C291,1,95),"'"))</f>
        <v>'San Bernabé 3302 la florida'</v>
      </c>
      <c r="F306" s="114">
        <v>13129</v>
      </c>
      <c r="G306" s="114">
        <v>13</v>
      </c>
      <c r="H306" s="135" t="s">
        <v>2137</v>
      </c>
      <c r="I306" s="122" t="str">
        <f t="shared" si="8"/>
        <v>INSERT INTO CLIENTES(RUT_CLIENTE,RAZON_SOCIAL,DIRECCION,ID_COMUNA,ID_REGION,FECHA_NACIMIENTO) VALUES (NULL,'Magdalena - Tiendita online','San Bernabé 3302 la florida',13129,13,TO_DATE('29-11-1967','DD-MM-YYYY'));</v>
      </c>
    </row>
    <row r="307" spans="1:9" ht="26.4">
      <c r="A307" t="str">
        <f>Clientes!A292</f>
        <v>Mama Dany</v>
      </c>
      <c r="B307" s="115">
        <f t="shared" si="9"/>
        <v>290</v>
      </c>
      <c r="C307" s="134" t="str">
        <f>IF(ISBLANK(Clientes!L292),"NULL",CONCATENATE("'",Clientes!L292,"'"))</f>
        <v>NULL</v>
      </c>
      <c r="D307" s="114" t="str">
        <f>CONCATENATE("'",Clientes!A292,"'")</f>
        <v>'Mama Dany'</v>
      </c>
      <c r="E307" s="114" t="str">
        <f>IF(ISBLANK(Clientes!C292),"'Sin Direccion'",CONCATENATE("'",MID(Clientes!C292,1,95),"'"))</f>
        <v>'Sin Direccion'</v>
      </c>
      <c r="F307" s="114">
        <v>13130</v>
      </c>
      <c r="G307" s="114">
        <v>13</v>
      </c>
      <c r="H307" s="135" t="s">
        <v>2137</v>
      </c>
      <c r="I307" s="122" t="str">
        <f t="shared" si="8"/>
        <v>INSERT INTO CLIENTES(RUT_CLIENTE,RAZON_SOCIAL,DIRECCION,ID_COMUNA,ID_REGION,FECHA_NACIMIENTO) VALUES (NULL,'Mama Dany','Sin Direccion',13130,13,TO_DATE('29-11-1967','DD-MM-YYYY'));</v>
      </c>
    </row>
    <row r="308" spans="1:9" ht="26.4">
      <c r="A308" t="str">
        <f>Clientes!A293</f>
        <v>Mamá Isi</v>
      </c>
      <c r="B308" s="115">
        <f t="shared" si="9"/>
        <v>291</v>
      </c>
      <c r="C308" s="134" t="str">
        <f>IF(ISBLANK(Clientes!L293),"NULL",CONCATENATE("'",Clientes!L293,"'"))</f>
        <v>NULL</v>
      </c>
      <c r="D308" s="114" t="str">
        <f>CONCATENATE("'",Clientes!A293,"'")</f>
        <v>'Mamá Isi'</v>
      </c>
      <c r="E308" s="114" t="str">
        <f>IF(ISBLANK(Clientes!C293),"'Sin Direccion'",CONCATENATE("'",MID(Clientes!C293,1,95),"'"))</f>
        <v>'Sin Direccion'</v>
      </c>
      <c r="F308" s="114">
        <v>13131</v>
      </c>
      <c r="G308" s="114">
        <v>13</v>
      </c>
      <c r="H308" s="135" t="s">
        <v>2137</v>
      </c>
      <c r="I308" s="122" t="str">
        <f t="shared" si="8"/>
        <v>INSERT INTO CLIENTES(RUT_CLIENTE,RAZON_SOCIAL,DIRECCION,ID_COMUNA,ID_REGION,FECHA_NACIMIENTO) VALUES (NULL,'Mamá Isi','Sin Direccion',13131,13,TO_DATE('29-11-1967','DD-MM-YYYY'));</v>
      </c>
    </row>
    <row r="309" spans="1:9" ht="26.4">
      <c r="A309" t="str">
        <f>Clientes!A294</f>
        <v>Mama Javi</v>
      </c>
      <c r="B309" s="115">
        <f t="shared" si="9"/>
        <v>292</v>
      </c>
      <c r="C309" s="134" t="str">
        <f>IF(ISBLANK(Clientes!L294),"NULL",CONCATENATE("'",Clientes!L294,"'"))</f>
        <v>NULL</v>
      </c>
      <c r="D309" s="114" t="str">
        <f>CONCATENATE("'",Clientes!A294,"'")</f>
        <v>'Mama Javi'</v>
      </c>
      <c r="E309" s="114" t="str">
        <f>IF(ISBLANK(Clientes!C294),"'Sin Direccion'",CONCATENATE("'",MID(Clientes!C294,1,95),"'"))</f>
        <v>'Sin Direccion'</v>
      </c>
      <c r="F309" s="114">
        <v>13132</v>
      </c>
      <c r="G309" s="114">
        <v>13</v>
      </c>
      <c r="H309" s="135" t="s">
        <v>2137</v>
      </c>
      <c r="I309" s="122" t="str">
        <f t="shared" si="8"/>
        <v>INSERT INTO CLIENTES(RUT_CLIENTE,RAZON_SOCIAL,DIRECCION,ID_COMUNA,ID_REGION,FECHA_NACIMIENTO) VALUES (NULL,'Mama Javi','Sin Direccion',13132,13,TO_DATE('29-11-1967','DD-MM-YYYY'));</v>
      </c>
    </row>
    <row r="310" spans="1:9" ht="26.4">
      <c r="A310" t="str">
        <f>Clientes!A295</f>
        <v>Mama Laura</v>
      </c>
      <c r="B310" s="115">
        <f t="shared" si="9"/>
        <v>293</v>
      </c>
      <c r="C310" s="134" t="str">
        <f>IF(ISBLANK(Clientes!L295),"NULL",CONCATENATE("'",Clientes!L295,"'"))</f>
        <v>NULL</v>
      </c>
      <c r="D310" s="114" t="str">
        <f>CONCATENATE("'",Clientes!A295,"'")</f>
        <v>'Mama Laura'</v>
      </c>
      <c r="E310" s="114" t="str">
        <f>IF(ISBLANK(Clientes!C295),"'Sin Direccion'",CONCATENATE("'",MID(Clientes!C295,1,95),"'"))</f>
        <v>'Sin Direccion'</v>
      </c>
      <c r="F310" s="114">
        <v>13201</v>
      </c>
      <c r="G310" s="114">
        <v>13</v>
      </c>
      <c r="H310" s="135" t="s">
        <v>2137</v>
      </c>
      <c r="I310" s="122" t="str">
        <f t="shared" si="8"/>
        <v>INSERT INTO CLIENTES(RUT_CLIENTE,RAZON_SOCIAL,DIRECCION,ID_COMUNA,ID_REGION,FECHA_NACIMIENTO) VALUES (NULL,'Mama Laura','Sin Direccion',13201,13,TO_DATE('29-11-1967','DD-MM-YYYY'));</v>
      </c>
    </row>
    <row r="311" spans="1:9" ht="26.4">
      <c r="A311" t="str">
        <f>Clientes!A296</f>
        <v>Mama Marcia</v>
      </c>
      <c r="B311" s="115">
        <f t="shared" si="9"/>
        <v>294</v>
      </c>
      <c r="C311" s="134" t="str">
        <f>IF(ISBLANK(Clientes!L296),"NULL",CONCATENATE("'",Clientes!L296,"'"))</f>
        <v>NULL</v>
      </c>
      <c r="D311" s="114" t="str">
        <f>CONCATENATE("'",Clientes!A296,"'")</f>
        <v>'Mama Marcia'</v>
      </c>
      <c r="E311" s="114" t="str">
        <f>IF(ISBLANK(Clientes!C296),"'Sin Direccion'",CONCATENATE("'",MID(Clientes!C296,1,95),"'"))</f>
        <v>'Sin Direccion'</v>
      </c>
      <c r="F311" s="114">
        <v>13202</v>
      </c>
      <c r="G311" s="114">
        <v>13</v>
      </c>
      <c r="H311" s="135" t="s">
        <v>2137</v>
      </c>
      <c r="I311" s="122" t="str">
        <f t="shared" si="8"/>
        <v>INSERT INTO CLIENTES(RUT_CLIENTE,RAZON_SOCIAL,DIRECCION,ID_COMUNA,ID_REGION,FECHA_NACIMIENTO) VALUES (NULL,'Mama Marcia','Sin Direccion',13202,13,TO_DATE('29-11-1967','DD-MM-YYYY'));</v>
      </c>
    </row>
    <row r="312" spans="1:9" ht="26.4">
      <c r="A312" t="str">
        <f>Clientes!A297</f>
        <v xml:space="preserve">Mantención e Infraestructura German Muñoz Diet EIRL </v>
      </c>
      <c r="B312" s="115">
        <f t="shared" si="9"/>
        <v>295</v>
      </c>
      <c r="C312" s="134" t="str">
        <f>IF(ISBLANK(Clientes!L297),"NULL",CONCATENATE("'",Clientes!L297,"'"))</f>
        <v>'76875935-9'</v>
      </c>
      <c r="D312" s="114" t="str">
        <f>CONCATENATE("'",Clientes!A297,"'")</f>
        <v>'Mantención e Infraestructura German Muñoz Diet EIRL '</v>
      </c>
      <c r="E312" s="114" t="str">
        <f>IF(ISBLANK(Clientes!C297),"'Sin Direccion'",CONCATENATE("'",MID(Clientes!C297,1,95),"'"))</f>
        <v>'Sin Direccion'</v>
      </c>
      <c r="F312" s="114">
        <v>13203</v>
      </c>
      <c r="G312" s="114">
        <v>13</v>
      </c>
      <c r="H312" s="135" t="s">
        <v>2137</v>
      </c>
      <c r="I312" s="122" t="str">
        <f t="shared" si="8"/>
        <v>INSERT INTO CLIENTES(RUT_CLIENTE,RAZON_SOCIAL,DIRECCION,ID_COMUNA,ID_REGION,FECHA_NACIMIENTO) VALUES ('76875935-9','Mantención e Infraestructura German Muñoz Diet EIRL ','Sin Direccion',13203,13,TO_DATE('29-11-1967','DD-MM-YYYY'));</v>
      </c>
    </row>
    <row r="313" spans="1:9" ht="26.4">
      <c r="A313" t="str">
        <f>Clientes!A298</f>
        <v>Manuel Peñaloza</v>
      </c>
      <c r="B313" s="115">
        <f t="shared" si="9"/>
        <v>296</v>
      </c>
      <c r="C313" s="134" t="str">
        <f>IF(ISBLANK(Clientes!L298),"NULL",CONCATENATE("'",Clientes!L298,"'"))</f>
        <v>NULL</v>
      </c>
      <c r="D313" s="114" t="str">
        <f>CONCATENATE("'",Clientes!A298,"'")</f>
        <v>'Manuel Peñaloza'</v>
      </c>
      <c r="E313" s="114" t="str">
        <f>IF(ISBLANK(Clientes!C298),"'Sin Direccion'",CONCATENATE("'",MID(Clientes!C298,1,95),"'"))</f>
        <v>'Belloto del norte oriente 9384'</v>
      </c>
      <c r="F313" s="114">
        <v>13301</v>
      </c>
      <c r="G313" s="114">
        <v>13</v>
      </c>
      <c r="H313" s="135" t="s">
        <v>2137</v>
      </c>
      <c r="I313" s="122" t="str">
        <f t="shared" si="8"/>
        <v>INSERT INTO CLIENTES(RUT_CLIENTE,RAZON_SOCIAL,DIRECCION,ID_COMUNA,ID_REGION,FECHA_NACIMIENTO) VALUES (NULL,'Manuel Peñaloza','Belloto del norte oriente 9384',13301,13,TO_DATE('29-11-1967','DD-MM-YYYY'));</v>
      </c>
    </row>
    <row r="314" spans="1:9" ht="26.4">
      <c r="A314" t="str">
        <f>Clientes!A299</f>
        <v>Marcela - Fray Jorge</v>
      </c>
      <c r="B314" s="115">
        <f t="shared" si="9"/>
        <v>297</v>
      </c>
      <c r="C314" s="134" t="str">
        <f>IF(ISBLANK(Clientes!L299),"NULL",CONCATENATE("'",Clientes!L299,"'"))</f>
        <v>NULL</v>
      </c>
      <c r="D314" s="114" t="str">
        <f>CONCATENATE("'",Clientes!A299,"'")</f>
        <v>'Marcela - Fray Jorge'</v>
      </c>
      <c r="E314" s="114" t="str">
        <f>IF(ISBLANK(Clientes!C299),"'Sin Direccion'",CONCATENATE("'",MID(Clientes!C299,1,95),"'"))</f>
        <v>'Fray Jorge 6863, la florida'</v>
      </c>
      <c r="F314" s="114">
        <v>13302</v>
      </c>
      <c r="G314" s="114">
        <v>13</v>
      </c>
      <c r="H314" s="135" t="s">
        <v>2137</v>
      </c>
      <c r="I314" s="122" t="str">
        <f t="shared" si="8"/>
        <v>INSERT INTO CLIENTES(RUT_CLIENTE,RAZON_SOCIAL,DIRECCION,ID_COMUNA,ID_REGION,FECHA_NACIMIENTO) VALUES (NULL,'Marcela - Fray Jorge','Fray Jorge 6863, la florida',13302,13,TO_DATE('29-11-1967','DD-MM-YYYY'));</v>
      </c>
    </row>
    <row r="315" spans="1:9" ht="26.4">
      <c r="A315" t="str">
        <f>Clientes!A300</f>
        <v>Marcela Cabezas</v>
      </c>
      <c r="B315" s="115">
        <f t="shared" si="9"/>
        <v>298</v>
      </c>
      <c r="C315" s="134" t="str">
        <f>IF(ISBLANK(Clientes!L300),"NULL",CONCATENATE("'",Clientes!L300,"'"))</f>
        <v>NULL</v>
      </c>
      <c r="D315" s="114" t="str">
        <f>CONCATENATE("'",Clientes!A300,"'")</f>
        <v>'Marcela Cabezas'</v>
      </c>
      <c r="E315" s="114" t="str">
        <f>IF(ISBLANK(Clientes!C300),"'Sin Direccion'",CONCATENATE("'",MID(Clientes!C300,1,95),"'"))</f>
        <v>'Parina 9583'</v>
      </c>
      <c r="F315" s="114">
        <v>13303</v>
      </c>
      <c r="G315" s="114">
        <v>13</v>
      </c>
      <c r="H315" s="135" t="s">
        <v>2137</v>
      </c>
      <c r="I315" s="122" t="str">
        <f t="shared" si="8"/>
        <v>INSERT INTO CLIENTES(RUT_CLIENTE,RAZON_SOCIAL,DIRECCION,ID_COMUNA,ID_REGION,FECHA_NACIMIENTO) VALUES (NULL,'Marcela Cabezas','Parina 9583',13303,13,TO_DATE('29-11-1967','DD-MM-YYYY'));</v>
      </c>
    </row>
    <row r="316" spans="1:9" ht="26.4">
      <c r="A316" t="str">
        <f>Clientes!A301</f>
        <v>Marcela Diaz</v>
      </c>
      <c r="B316" s="115">
        <f t="shared" si="9"/>
        <v>299</v>
      </c>
      <c r="C316" s="134" t="str">
        <f>IF(ISBLANK(Clientes!L301),"NULL",CONCATENATE("'",Clientes!L301,"'"))</f>
        <v>NULL</v>
      </c>
      <c r="D316" s="114" t="str">
        <f>CONCATENATE("'",Clientes!A301,"'")</f>
        <v>'Marcela Diaz'</v>
      </c>
      <c r="E316" s="114" t="str">
        <f>IF(ISBLANK(Clientes!C301),"'Sin Direccion'",CONCATENATE("'",MID(Clientes!C301,1,95),"'"))</f>
        <v>'Santa Ema 2442'</v>
      </c>
      <c r="F316" s="114">
        <v>13401</v>
      </c>
      <c r="G316" s="114">
        <v>13</v>
      </c>
      <c r="H316" s="135" t="s">
        <v>2137</v>
      </c>
      <c r="I316" s="122" t="str">
        <f t="shared" si="8"/>
        <v>INSERT INTO CLIENTES(RUT_CLIENTE,RAZON_SOCIAL,DIRECCION,ID_COMUNA,ID_REGION,FECHA_NACIMIENTO) VALUES (NULL,'Marcela Diaz','Santa Ema 2442',13401,13,TO_DATE('29-11-1967','DD-MM-YYYY'));</v>
      </c>
    </row>
    <row r="317" spans="1:9" ht="26.4">
      <c r="A317" t="str">
        <f>Clientes!A302</f>
        <v>Marcela Erazo</v>
      </c>
      <c r="B317" s="115">
        <f t="shared" si="9"/>
        <v>300</v>
      </c>
      <c r="C317" s="134" t="str">
        <f>IF(ISBLANK(Clientes!L302),"NULL",CONCATENATE("'",Clientes!L302,"'"))</f>
        <v>NULL</v>
      </c>
      <c r="D317" s="114" t="str">
        <f>CONCATENATE("'",Clientes!A302,"'")</f>
        <v>'Marcela Erazo'</v>
      </c>
      <c r="E317" s="114" t="str">
        <f>IF(ISBLANK(Clientes!C302),"'Sin Direccion'",CONCATENATE("'",MID(Clientes!C302,1,95),"'"))</f>
        <v>'Azucena 9250'</v>
      </c>
      <c r="F317" s="114">
        <v>13402</v>
      </c>
      <c r="G317" s="114">
        <v>13</v>
      </c>
      <c r="H317" s="135" t="s">
        <v>2137</v>
      </c>
      <c r="I317" s="122" t="str">
        <f t="shared" si="8"/>
        <v>INSERT INTO CLIENTES(RUT_CLIENTE,RAZON_SOCIAL,DIRECCION,ID_COMUNA,ID_REGION,FECHA_NACIMIENTO) VALUES (NULL,'Marcela Erazo','Azucena 9250',13402,13,TO_DATE('29-11-1967','DD-MM-YYYY'));</v>
      </c>
    </row>
    <row r="318" spans="1:9" ht="26.4">
      <c r="A318" t="str">
        <f>Clientes!A303</f>
        <v>Marcela Fredes</v>
      </c>
      <c r="B318" s="115">
        <f t="shared" si="9"/>
        <v>301</v>
      </c>
      <c r="C318" s="134" t="str">
        <f>IF(ISBLANK(Clientes!L303),"NULL",CONCATENATE("'",Clientes!L303,"'"))</f>
        <v>NULL</v>
      </c>
      <c r="D318" s="114" t="str">
        <f>CONCATENATE("'",Clientes!A303,"'")</f>
        <v>'Marcela Fredes'</v>
      </c>
      <c r="E318" s="114" t="str">
        <f>IF(ISBLANK(Clientes!C303),"'Sin Direccion'",CONCATENATE("'",MID(Clientes!C303,1,95),"'"))</f>
        <v>'Los carrera 7373'</v>
      </c>
      <c r="F318" s="114">
        <v>13403</v>
      </c>
      <c r="G318" s="114">
        <v>13</v>
      </c>
      <c r="H318" s="135" t="s">
        <v>2137</v>
      </c>
      <c r="I318" s="122" t="str">
        <f t="shared" si="8"/>
        <v>INSERT INTO CLIENTES(RUT_CLIENTE,RAZON_SOCIAL,DIRECCION,ID_COMUNA,ID_REGION,FECHA_NACIMIENTO) VALUES (NULL,'Marcela Fredes','Los carrera 7373',13403,13,TO_DATE('29-11-1967','DD-MM-YYYY'));</v>
      </c>
    </row>
    <row r="319" spans="1:9" ht="26.4">
      <c r="A319" t="str">
        <f>Clientes!A304</f>
        <v>Marcela Galvez</v>
      </c>
      <c r="B319" s="115">
        <f t="shared" si="9"/>
        <v>302</v>
      </c>
      <c r="C319" s="134" t="str">
        <f>IF(ISBLANK(Clientes!L304),"NULL",CONCATENATE("'",Clientes!L304,"'"))</f>
        <v>NULL</v>
      </c>
      <c r="D319" s="114" t="str">
        <f>CONCATENATE("'",Clientes!A304,"'")</f>
        <v>'Marcela Galvez'</v>
      </c>
      <c r="E319" s="114" t="str">
        <f>IF(ISBLANK(Clientes!C304),"'Sin Direccion'",CONCATENATE("'",MID(Clientes!C304,1,95),"'"))</f>
        <v>'Walker Martinez 750 depto 85 (walker con colombia)'</v>
      </c>
      <c r="F319" s="114">
        <v>13404</v>
      </c>
      <c r="G319" s="114">
        <v>13</v>
      </c>
      <c r="H319" s="135" t="s">
        <v>2137</v>
      </c>
      <c r="I319" s="122" t="str">
        <f t="shared" si="8"/>
        <v>INSERT INTO CLIENTES(RUT_CLIENTE,RAZON_SOCIAL,DIRECCION,ID_COMUNA,ID_REGION,FECHA_NACIMIENTO) VALUES (NULL,'Marcela Galvez','Walker Martinez 750 depto 85 (walker con colombia)',13404,13,TO_DATE('29-11-1967','DD-MM-YYYY'));</v>
      </c>
    </row>
    <row r="320" spans="1:9" ht="26.4">
      <c r="A320" t="str">
        <f>Clientes!A305</f>
        <v>Marcela Guerrero</v>
      </c>
      <c r="B320" s="115">
        <f t="shared" si="9"/>
        <v>303</v>
      </c>
      <c r="C320" s="134" t="str">
        <f>IF(ISBLANK(Clientes!L305),"NULL",CONCATENATE("'",Clientes!L305,"'"))</f>
        <v>NULL</v>
      </c>
      <c r="D320" s="114" t="str">
        <f>CONCATENATE("'",Clientes!A305,"'")</f>
        <v>'Marcela Guerrero'</v>
      </c>
      <c r="E320" s="114" t="str">
        <f>IF(ISBLANK(Clientes!C305),"'Sin Direccion'",CONCATENATE("'",MID(Clientes!C305,1,95),"'"))</f>
        <v>'Azucena 9226'</v>
      </c>
      <c r="F320" s="114">
        <v>13501</v>
      </c>
      <c r="G320" s="114">
        <v>13</v>
      </c>
      <c r="H320" s="135" t="s">
        <v>2137</v>
      </c>
      <c r="I320" s="122" t="str">
        <f t="shared" si="8"/>
        <v>INSERT INTO CLIENTES(RUT_CLIENTE,RAZON_SOCIAL,DIRECCION,ID_COMUNA,ID_REGION,FECHA_NACIMIENTO) VALUES (NULL,'Marcela Guerrero','Azucena 9226',13501,13,TO_DATE('29-11-1967','DD-MM-YYYY'));</v>
      </c>
    </row>
    <row r="321" spans="1:9" ht="26.4">
      <c r="A321" t="str">
        <f>Clientes!A306</f>
        <v>Marcela Herrera</v>
      </c>
      <c r="B321" s="115">
        <f t="shared" si="9"/>
        <v>304</v>
      </c>
      <c r="C321" s="134" t="str">
        <f>IF(ISBLANK(Clientes!L306),"NULL",CONCATENATE("'",Clientes!L306,"'"))</f>
        <v>NULL</v>
      </c>
      <c r="D321" s="114" t="str">
        <f>CONCATENATE("'",Clientes!A306,"'")</f>
        <v>'Marcela Herrera'</v>
      </c>
      <c r="E321" s="114" t="str">
        <f>IF(ISBLANK(Clientes!C306),"'Sin Direccion'",CONCATENATE("'",MID(Clientes!C306,1,95),"'"))</f>
        <v>'Sin Direccion'</v>
      </c>
      <c r="F321" s="114">
        <v>13502</v>
      </c>
      <c r="G321" s="114">
        <v>13</v>
      </c>
      <c r="H321" s="135" t="s">
        <v>2137</v>
      </c>
      <c r="I321" s="122" t="str">
        <f t="shared" si="8"/>
        <v>INSERT INTO CLIENTES(RUT_CLIENTE,RAZON_SOCIAL,DIRECCION,ID_COMUNA,ID_REGION,FECHA_NACIMIENTO) VALUES (NULL,'Marcela Herrera','Sin Direccion',13502,13,TO_DATE('29-11-1967','DD-MM-YYYY'));</v>
      </c>
    </row>
    <row r="322" spans="1:9" ht="26.4">
      <c r="A322" t="str">
        <f>Clientes!A307</f>
        <v>Marcela Inostroza</v>
      </c>
      <c r="B322" s="115">
        <f t="shared" si="9"/>
        <v>305</v>
      </c>
      <c r="C322" s="134" t="str">
        <f>IF(ISBLANK(Clientes!L307),"NULL",CONCATENATE("'",Clientes!L307,"'"))</f>
        <v>NULL</v>
      </c>
      <c r="D322" s="114" t="str">
        <f>CONCATENATE("'",Clientes!A307,"'")</f>
        <v>'Marcela Inostroza'</v>
      </c>
      <c r="E322" s="114" t="str">
        <f>IF(ISBLANK(Clientes!C307),"'Sin Direccion'",CONCATENATE("'",MID(Clientes!C307,1,95),"'"))</f>
        <v>'Lientur 7386 departamento 407'</v>
      </c>
      <c r="F322" s="114">
        <v>13503</v>
      </c>
      <c r="G322" s="114">
        <v>13</v>
      </c>
      <c r="H322" s="135" t="s">
        <v>2137</v>
      </c>
      <c r="I322" s="122" t="str">
        <f t="shared" si="8"/>
        <v>INSERT INTO CLIENTES(RUT_CLIENTE,RAZON_SOCIAL,DIRECCION,ID_COMUNA,ID_REGION,FECHA_NACIMIENTO) VALUES (NULL,'Marcela Inostroza','Lientur 7386 departamento 407',13503,13,TO_DATE('29-11-1967','DD-MM-YYYY'));</v>
      </c>
    </row>
    <row r="323" spans="1:9" ht="26.4">
      <c r="A323" t="str">
        <f>Clientes!A308</f>
        <v>Marcela Neira</v>
      </c>
      <c r="B323" s="115">
        <f t="shared" si="9"/>
        <v>306</v>
      </c>
      <c r="C323" s="134" t="str">
        <f>IF(ISBLANK(Clientes!L308),"NULL",CONCATENATE("'",Clientes!L308,"'"))</f>
        <v>NULL</v>
      </c>
      <c r="D323" s="114" t="str">
        <f>CONCATENATE("'",Clientes!A308,"'")</f>
        <v>'Marcela Neira'</v>
      </c>
      <c r="E323" s="114" t="str">
        <f>IF(ISBLANK(Clientes!C308),"'Sin Direccion'",CONCATENATE("'",MID(Clientes!C308,1,95),"'"))</f>
        <v>'Garcia Hurtado de Mendoza 7958 B'</v>
      </c>
      <c r="F323" s="114">
        <v>13504</v>
      </c>
      <c r="G323" s="114">
        <v>13</v>
      </c>
      <c r="H323" s="135" t="s">
        <v>2137</v>
      </c>
      <c r="I323" s="122" t="str">
        <f t="shared" si="8"/>
        <v>INSERT INTO CLIENTES(RUT_CLIENTE,RAZON_SOCIAL,DIRECCION,ID_COMUNA,ID_REGION,FECHA_NACIMIENTO) VALUES (NULL,'Marcela Neira','Garcia Hurtado de Mendoza 7958 B',13504,13,TO_DATE('29-11-1967','DD-MM-YYYY'));</v>
      </c>
    </row>
    <row r="324" spans="1:9" ht="26.4">
      <c r="A324" t="str">
        <f>Clientes!A309</f>
        <v>Marcela Valdebenito</v>
      </c>
      <c r="B324" s="115">
        <f t="shared" si="9"/>
        <v>307</v>
      </c>
      <c r="C324" s="134" t="str">
        <f>IF(ISBLANK(Clientes!L309),"NULL",CONCATENATE("'",Clientes!L309,"'"))</f>
        <v>NULL</v>
      </c>
      <c r="D324" s="114" t="str">
        <f>CONCATENATE("'",Clientes!A309,"'")</f>
        <v>'Marcela Valdebenito'</v>
      </c>
      <c r="E324" s="114" t="str">
        <f>IF(ISBLANK(Clientes!C309),"'Sin Direccion'",CONCATENATE("'",MID(Clientes!C309,1,95),"'"))</f>
        <v>'Sin Direccion'</v>
      </c>
      <c r="F324" s="114">
        <v>13505</v>
      </c>
      <c r="G324" s="114">
        <v>13</v>
      </c>
      <c r="H324" s="135" t="s">
        <v>2137</v>
      </c>
      <c r="I324" s="122" t="str">
        <f t="shared" si="8"/>
        <v>INSERT INTO CLIENTES(RUT_CLIENTE,RAZON_SOCIAL,DIRECCION,ID_COMUNA,ID_REGION,FECHA_NACIMIENTO) VALUES (NULL,'Marcela Valdebenito','Sin Direccion',13505,13,TO_DATE('29-11-1967','DD-MM-YYYY'));</v>
      </c>
    </row>
    <row r="325" spans="1:9" ht="26.4">
      <c r="A325" t="str">
        <f>Clientes!A310</f>
        <v>Marcela- Santa Julia 3287</v>
      </c>
      <c r="B325" s="115">
        <f t="shared" si="9"/>
        <v>308</v>
      </c>
      <c r="C325" s="134" t="str">
        <f>IF(ISBLANK(Clientes!L310),"NULL",CONCATENATE("'",Clientes!L310,"'"))</f>
        <v>NULL</v>
      </c>
      <c r="D325" s="114" t="str">
        <f>CONCATENATE("'",Clientes!A310,"'")</f>
        <v>'Marcela- Santa Julia 3287'</v>
      </c>
      <c r="E325" s="114" t="str">
        <f>IF(ISBLANK(Clientes!C310),"'Sin Direccion'",CONCATENATE("'",MID(Clientes!C310,1,95),"'"))</f>
        <v>'Santa Julia 3287, Hacia la costa'</v>
      </c>
      <c r="F325" s="114">
        <v>13601</v>
      </c>
      <c r="G325" s="114">
        <v>13</v>
      </c>
      <c r="H325" s="135" t="s">
        <v>2137</v>
      </c>
      <c r="I325" s="122" t="str">
        <f t="shared" si="8"/>
        <v>INSERT INTO CLIENTES(RUT_CLIENTE,RAZON_SOCIAL,DIRECCION,ID_COMUNA,ID_REGION,FECHA_NACIMIENTO) VALUES (NULL,'Marcela- Santa Julia 3287','Santa Julia 3287, Hacia la costa',13601,13,TO_DATE('29-11-1967','DD-MM-YYYY'));</v>
      </c>
    </row>
    <row r="326" spans="1:9" ht="26.4">
      <c r="A326" t="str">
        <f>Clientes!A311</f>
        <v>Marcelo Acuña</v>
      </c>
      <c r="B326" s="115">
        <f t="shared" si="9"/>
        <v>309</v>
      </c>
      <c r="C326" s="134" t="str">
        <f>IF(ISBLANK(Clientes!L311),"NULL",CONCATENATE("'",Clientes!L311,"'"))</f>
        <v>NULL</v>
      </c>
      <c r="D326" s="114" t="str">
        <f>CONCATENATE("'",Clientes!A311,"'")</f>
        <v>'Marcelo Acuña'</v>
      </c>
      <c r="E326" s="114" t="str">
        <f>IF(ISBLANK(Clientes!C311),"'Sin Direccion'",CONCATENATE("'",MID(Clientes!C311,1,95),"'"))</f>
        <v>'Sin Direccion'</v>
      </c>
      <c r="F326" s="114">
        <v>13602</v>
      </c>
      <c r="G326" s="114">
        <v>13</v>
      </c>
      <c r="H326" s="135" t="s">
        <v>2137</v>
      </c>
      <c r="I326" s="122" t="str">
        <f t="shared" si="8"/>
        <v>INSERT INTO CLIENTES(RUT_CLIENTE,RAZON_SOCIAL,DIRECCION,ID_COMUNA,ID_REGION,FECHA_NACIMIENTO) VALUES (NULL,'Marcelo Acuña','Sin Direccion',13602,13,TO_DATE('29-11-1967','DD-MM-YYYY'));</v>
      </c>
    </row>
    <row r="327" spans="1:9" ht="26.4">
      <c r="A327" t="str">
        <f>Clientes!A312</f>
        <v>Marcia Ballara</v>
      </c>
      <c r="B327" s="115">
        <f t="shared" si="9"/>
        <v>310</v>
      </c>
      <c r="C327" s="134" t="str">
        <f>IF(ISBLANK(Clientes!L312),"NULL",CONCATENATE("'",Clientes!L312,"'"))</f>
        <v>NULL</v>
      </c>
      <c r="D327" s="114" t="str">
        <f>CONCATENATE("'",Clientes!A312,"'")</f>
        <v>'Marcia Ballara'</v>
      </c>
      <c r="E327" s="114" t="str">
        <f>IF(ISBLANK(Clientes!C312),"'Sin Direccion'",CONCATENATE("'",MID(Clientes!C312,1,95),"'"))</f>
        <v>'Sin Direccion'</v>
      </c>
      <c r="F327" s="114">
        <v>13603</v>
      </c>
      <c r="G327" s="114">
        <v>13</v>
      </c>
      <c r="H327" s="135" t="s">
        <v>2137</v>
      </c>
      <c r="I327" s="122" t="str">
        <f t="shared" si="8"/>
        <v>INSERT INTO CLIENTES(RUT_CLIENTE,RAZON_SOCIAL,DIRECCION,ID_COMUNA,ID_REGION,FECHA_NACIMIENTO) VALUES (NULL,'Marcia Ballara','Sin Direccion',13603,13,TO_DATE('29-11-1967','DD-MM-YYYY'));</v>
      </c>
    </row>
    <row r="328" spans="1:9" ht="26.4">
      <c r="A328" t="str">
        <f>Clientes!A313</f>
        <v>Marcia Jara</v>
      </c>
      <c r="B328" s="115">
        <f t="shared" si="9"/>
        <v>311</v>
      </c>
      <c r="C328" s="134" t="str">
        <f>IF(ISBLANK(Clientes!L313),"NULL",CONCATENATE("'",Clientes!L313,"'"))</f>
        <v>NULL</v>
      </c>
      <c r="D328" s="114" t="str">
        <f>CONCATENATE("'",Clientes!A313,"'")</f>
        <v>'Marcia Jara'</v>
      </c>
      <c r="E328" s="114" t="str">
        <f>IF(ISBLANK(Clientes!C313),"'Sin Direccion'",CONCATENATE("'",MID(Clientes!C313,1,95),"'"))</f>
        <v>'Sin Direccion'</v>
      </c>
      <c r="F328" s="114">
        <v>13604</v>
      </c>
      <c r="G328" s="114">
        <v>13</v>
      </c>
      <c r="H328" s="135" t="s">
        <v>2137</v>
      </c>
      <c r="I328" s="122" t="str">
        <f t="shared" si="8"/>
        <v>INSERT INTO CLIENTES(RUT_CLIENTE,RAZON_SOCIAL,DIRECCION,ID_COMUNA,ID_REGION,FECHA_NACIMIENTO) VALUES (NULL,'Marcia Jara','Sin Direccion',13604,13,TO_DATE('29-11-1967','DD-MM-YYYY'));</v>
      </c>
    </row>
    <row r="329" spans="1:9" ht="26.4">
      <c r="A329" t="str">
        <f>Clientes!A314</f>
        <v>Marcia Quiroga</v>
      </c>
      <c r="B329" s="115">
        <f t="shared" si="9"/>
        <v>312</v>
      </c>
      <c r="C329" s="134" t="str">
        <f>IF(ISBLANK(Clientes!L314),"NULL",CONCATENATE("'",Clientes!L314,"'"))</f>
        <v>NULL</v>
      </c>
      <c r="D329" s="114" t="str">
        <f>CONCATENATE("'",Clientes!A314,"'")</f>
        <v>'Marcia Quiroga'</v>
      </c>
      <c r="E329" s="114" t="str">
        <f>IF(ISBLANK(Clientes!C314),"'Sin Direccion'",CONCATENATE("'",MID(Clientes!C314,1,95),"'"))</f>
        <v>'Wule 9469'</v>
      </c>
      <c r="F329" s="114">
        <v>13605</v>
      </c>
      <c r="G329" s="114">
        <v>13</v>
      </c>
      <c r="H329" s="135" t="s">
        <v>2137</v>
      </c>
      <c r="I329" s="122" t="str">
        <f t="shared" si="8"/>
        <v>INSERT INTO CLIENTES(RUT_CLIENTE,RAZON_SOCIAL,DIRECCION,ID_COMUNA,ID_REGION,FECHA_NACIMIENTO) VALUES (NULL,'Marcia Quiroga','Wule 9469',13605,13,TO_DATE('29-11-1967','DD-MM-YYYY'));</v>
      </c>
    </row>
    <row r="330" spans="1:9" ht="26.4">
      <c r="A330" t="str">
        <f>Clientes!A315</f>
        <v>Marcos Vergara</v>
      </c>
      <c r="B330" s="115">
        <f t="shared" si="9"/>
        <v>313</v>
      </c>
      <c r="C330" s="134" t="str">
        <f>IF(ISBLANK(Clientes!L315),"NULL",CONCATENATE("'",Clientes!L315,"'"))</f>
        <v>NULL</v>
      </c>
      <c r="D330" s="114" t="str">
        <f>CONCATENATE("'",Clientes!A315,"'")</f>
        <v>'Marcos Vergara'</v>
      </c>
      <c r="E330" s="114" t="str">
        <f>IF(ISBLANK(Clientes!C315),"'Sin Direccion'",CONCATENATE("'",MID(Clientes!C315,1,95),"'"))</f>
        <v>'Palena 2815 casa J / Alicahue'</v>
      </c>
      <c r="F330" s="114">
        <v>13101</v>
      </c>
      <c r="G330" s="114">
        <v>13</v>
      </c>
      <c r="H330" s="135" t="s">
        <v>2137</v>
      </c>
      <c r="I330" s="122" t="str">
        <f t="shared" si="8"/>
        <v>INSERT INTO CLIENTES(RUT_CLIENTE,RAZON_SOCIAL,DIRECCION,ID_COMUNA,ID_REGION,FECHA_NACIMIENTO) VALUES (NULL,'Marcos Vergara','Palena 2815 casa J / Alicahue',13101,13,TO_DATE('29-11-1967','DD-MM-YYYY'));</v>
      </c>
    </row>
    <row r="331" spans="1:9" ht="26.4">
      <c r="A331" t="str">
        <f>Clientes!A316</f>
        <v>Marcus Berrios</v>
      </c>
      <c r="B331" s="115">
        <f t="shared" si="9"/>
        <v>314</v>
      </c>
      <c r="C331" s="134" t="str">
        <f>IF(ISBLANK(Clientes!L316),"NULL",CONCATENATE("'",Clientes!L316,"'"))</f>
        <v>NULL</v>
      </c>
      <c r="D331" s="114" t="str">
        <f>CONCATENATE("'",Clientes!A316,"'")</f>
        <v>'Marcus Berrios'</v>
      </c>
      <c r="E331" s="114" t="str">
        <f>IF(ISBLANK(Clientes!C316),"'Sin Direccion'",CONCATENATE("'",MID(Clientes!C316,1,95),"'"))</f>
        <v>'Sin Direccion'</v>
      </c>
      <c r="F331" s="114">
        <v>13102</v>
      </c>
      <c r="G331" s="114">
        <v>13</v>
      </c>
      <c r="H331" s="135" t="s">
        <v>2137</v>
      </c>
      <c r="I331" s="122" t="str">
        <f t="shared" si="8"/>
        <v>INSERT INTO CLIENTES(RUT_CLIENTE,RAZON_SOCIAL,DIRECCION,ID_COMUNA,ID_REGION,FECHA_NACIMIENTO) VALUES (NULL,'Marcus Berrios','Sin Direccion',13102,13,TO_DATE('29-11-1967','DD-MM-YYYY'));</v>
      </c>
    </row>
    <row r="332" spans="1:9" ht="26.4">
      <c r="A332" t="str">
        <f>Clientes!A317</f>
        <v>Maria Angelica Vera</v>
      </c>
      <c r="B332" s="115">
        <f t="shared" si="9"/>
        <v>315</v>
      </c>
      <c r="C332" s="134" t="str">
        <f>IF(ISBLANK(Clientes!L317),"NULL",CONCATENATE("'",Clientes!L317,"'"))</f>
        <v>NULL</v>
      </c>
      <c r="D332" s="114" t="str">
        <f>CONCATENATE("'",Clientes!A317,"'")</f>
        <v>'Maria Angelica Vera'</v>
      </c>
      <c r="E332" s="114" t="str">
        <f>IF(ISBLANK(Clientes!C317),"'Sin Direccion'",CONCATENATE("'",MID(Clientes!C317,1,95),"'"))</f>
        <v>'Azucena 9382 Villa Jardines de la viña'</v>
      </c>
      <c r="F332" s="114">
        <v>13103</v>
      </c>
      <c r="G332" s="114">
        <v>13</v>
      </c>
      <c r="H332" s="135" t="s">
        <v>2137</v>
      </c>
      <c r="I332" s="122" t="str">
        <f t="shared" si="8"/>
        <v>INSERT INTO CLIENTES(RUT_CLIENTE,RAZON_SOCIAL,DIRECCION,ID_COMUNA,ID_REGION,FECHA_NACIMIENTO) VALUES (NULL,'Maria Angelica Vera','Azucena 9382 Villa Jardines de la viña',13103,13,TO_DATE('29-11-1967','DD-MM-YYYY'));</v>
      </c>
    </row>
    <row r="333" spans="1:9" ht="26.4">
      <c r="A333" t="str">
        <f>Clientes!A318</f>
        <v>Maria Carola Pinochet Alcaino</v>
      </c>
      <c r="B333" s="115">
        <f t="shared" si="9"/>
        <v>316</v>
      </c>
      <c r="C333" s="134" t="str">
        <f>IF(ISBLANK(Clientes!L318),"NULL",CONCATENATE("'",Clientes!L318,"'"))</f>
        <v>NULL</v>
      </c>
      <c r="D333" s="114" t="str">
        <f>CONCATENATE("'",Clientes!A318,"'")</f>
        <v>'Maria Carola Pinochet Alcaino'</v>
      </c>
      <c r="E333" s="114" t="str">
        <f>IF(ISBLANK(Clientes!C318),"'Sin Direccion'",CONCATENATE("'",MID(Clientes!C318,1,95),"'"))</f>
        <v>'Hurtado Mendoza 8111 - Depto 201'</v>
      </c>
      <c r="F333" s="114">
        <v>13104</v>
      </c>
      <c r="G333" s="114">
        <v>13</v>
      </c>
      <c r="H333" s="135" t="s">
        <v>2137</v>
      </c>
      <c r="I333" s="122" t="str">
        <f t="shared" si="8"/>
        <v>INSERT INTO CLIENTES(RUT_CLIENTE,RAZON_SOCIAL,DIRECCION,ID_COMUNA,ID_REGION,FECHA_NACIMIENTO) VALUES (NULL,'Maria Carola Pinochet Alcaino','Hurtado Mendoza 8111 - Depto 201',13104,13,TO_DATE('29-11-1967','DD-MM-YYYY'));</v>
      </c>
    </row>
    <row r="334" spans="1:9" ht="26.4">
      <c r="A334" t="str">
        <f>Clientes!A319</f>
        <v>Maria Cecilia Vargas</v>
      </c>
      <c r="B334" s="115">
        <f t="shared" si="9"/>
        <v>317</v>
      </c>
      <c r="C334" s="134" t="str">
        <f>IF(ISBLANK(Clientes!L319),"NULL",CONCATENATE("'",Clientes!L319,"'"))</f>
        <v>NULL</v>
      </c>
      <c r="D334" s="114" t="str">
        <f>CONCATENATE("'",Clientes!A319,"'")</f>
        <v>'Maria Cecilia Vargas'</v>
      </c>
      <c r="E334" s="114" t="str">
        <f>IF(ISBLANK(Clientes!C319),"'Sin Direccion'",CONCATENATE("'",MID(Clientes!C319,1,95),"'"))</f>
        <v>'Huinganes  2615 con Vecinal  / Villa Santa María de la florida'</v>
      </c>
      <c r="F334" s="114">
        <v>13105</v>
      </c>
      <c r="G334" s="114">
        <v>13</v>
      </c>
      <c r="H334" s="135" t="s">
        <v>2137</v>
      </c>
      <c r="I334" s="122" t="str">
        <f t="shared" si="8"/>
        <v>INSERT INTO CLIENTES(RUT_CLIENTE,RAZON_SOCIAL,DIRECCION,ID_COMUNA,ID_REGION,FECHA_NACIMIENTO) VALUES (NULL,'Maria Cecilia Vargas','Huinganes  2615 con Vecinal  / Villa Santa María de la florida',13105,13,TO_DATE('29-11-1967','DD-MM-YYYY'));</v>
      </c>
    </row>
    <row r="335" spans="1:9" ht="26.4">
      <c r="A335" t="str">
        <f>Clientes!A320</f>
        <v>Maria Constanza Vergara</v>
      </c>
      <c r="B335" s="115">
        <f t="shared" si="9"/>
        <v>318</v>
      </c>
      <c r="C335" s="134" t="str">
        <f>IF(ISBLANK(Clientes!L320),"NULL",CONCATENATE("'",Clientes!L320,"'"))</f>
        <v>NULL</v>
      </c>
      <c r="D335" s="114" t="str">
        <f>CONCATENATE("'",Clientes!A320,"'")</f>
        <v>'Maria Constanza Vergara'</v>
      </c>
      <c r="E335" s="114" t="str">
        <f>IF(ISBLANK(Clientes!C320),"'Sin Direccion'",CONCATENATE("'",MID(Clientes!C320,1,95),"'"))</f>
        <v>'Huilqueco 7351'</v>
      </c>
      <c r="F335" s="114">
        <v>13106</v>
      </c>
      <c r="G335" s="114">
        <v>13</v>
      </c>
      <c r="H335" s="135" t="s">
        <v>2137</v>
      </c>
      <c r="I335" s="122" t="str">
        <f t="shared" si="8"/>
        <v>INSERT INTO CLIENTES(RUT_CLIENTE,RAZON_SOCIAL,DIRECCION,ID_COMUNA,ID_REGION,FECHA_NACIMIENTO) VALUES (NULL,'Maria Constanza Vergara','Huilqueco 7351',13106,13,TO_DATE('29-11-1967','DD-MM-YYYY'));</v>
      </c>
    </row>
    <row r="336" spans="1:9" ht="26.4">
      <c r="A336" t="str">
        <f>Clientes!A321</f>
        <v>Maria de los Angeles J-Viña</v>
      </c>
      <c r="B336" s="115">
        <f t="shared" si="9"/>
        <v>319</v>
      </c>
      <c r="C336" s="134" t="str">
        <f>IF(ISBLANK(Clientes!L321),"NULL",CONCATENATE("'",Clientes!L321,"'"))</f>
        <v>NULL</v>
      </c>
      <c r="D336" s="114" t="str">
        <f>CONCATENATE("'",Clientes!A321,"'")</f>
        <v>'Maria de los Angeles J-Viña'</v>
      </c>
      <c r="E336" s="114" t="str">
        <f>IF(ISBLANK(Clientes!C321),"'Sin Direccion'",CONCATENATE("'",MID(Clientes!C321,1,95),"'"))</f>
        <v>'Belloto del norte oriente 9246'</v>
      </c>
      <c r="F336" s="114">
        <v>13107</v>
      </c>
      <c r="G336" s="114">
        <v>13</v>
      </c>
      <c r="H336" s="135" t="s">
        <v>2137</v>
      </c>
      <c r="I336" s="122" t="str">
        <f t="shared" si="8"/>
        <v>INSERT INTO CLIENTES(RUT_CLIENTE,RAZON_SOCIAL,DIRECCION,ID_COMUNA,ID_REGION,FECHA_NACIMIENTO) VALUES (NULL,'Maria de los Angeles J-Viña','Belloto del norte oriente 9246',13107,13,TO_DATE('29-11-1967','DD-MM-YYYY'));</v>
      </c>
    </row>
    <row r="337" spans="1:9" ht="26.4">
      <c r="A337" t="str">
        <f>Clientes!A322</f>
        <v>Maria Isabel Muñoz</v>
      </c>
      <c r="B337" s="115">
        <f t="shared" si="9"/>
        <v>320</v>
      </c>
      <c r="C337" s="134" t="str">
        <f>IF(ISBLANK(Clientes!L322),"NULL",CONCATENATE("'",Clientes!L322,"'"))</f>
        <v>NULL</v>
      </c>
      <c r="D337" s="114" t="str">
        <f>CONCATENATE("'",Clientes!A322,"'")</f>
        <v>'Maria Isabel Muñoz'</v>
      </c>
      <c r="E337" s="114" t="str">
        <f>IF(ISBLANK(Clientes!C322),"'Sin Direccion'",CONCATENATE("'",MID(Clientes!C322,1,95),"'"))</f>
        <v>'Azucena 9251'</v>
      </c>
      <c r="F337" s="114">
        <v>13108</v>
      </c>
      <c r="G337" s="114">
        <v>13</v>
      </c>
      <c r="H337" s="135" t="s">
        <v>2137</v>
      </c>
      <c r="I337" s="122" t="str">
        <f t="shared" si="8"/>
        <v>INSERT INTO CLIENTES(RUT_CLIENTE,RAZON_SOCIAL,DIRECCION,ID_COMUNA,ID_REGION,FECHA_NACIMIENTO) VALUES (NULL,'Maria Isabel Muñoz','Azucena 9251',13108,13,TO_DATE('29-11-1967','DD-MM-YYYY'));</v>
      </c>
    </row>
    <row r="338" spans="1:9" ht="26.4">
      <c r="A338" t="str">
        <f>Clientes!A323</f>
        <v>Maria Isabel Osorio</v>
      </c>
      <c r="B338" s="115">
        <f t="shared" si="9"/>
        <v>321</v>
      </c>
      <c r="C338" s="134" t="str">
        <f>IF(ISBLANK(Clientes!L323),"NULL",CONCATENATE("'",Clientes!L323,"'"))</f>
        <v>NULL</v>
      </c>
      <c r="D338" s="114" t="str">
        <f>CONCATENATE("'",Clientes!A323,"'")</f>
        <v>'Maria Isabel Osorio'</v>
      </c>
      <c r="E338" s="114" t="str">
        <f>IF(ISBLANK(Clientes!C323),"'Sin Direccion'",CONCATENATE("'",MID(Clientes!C323,1,95),"'"))</f>
        <v>'Entrega en Colegio Antilhue'</v>
      </c>
      <c r="F338" s="114">
        <v>13109</v>
      </c>
      <c r="G338" s="114">
        <v>13</v>
      </c>
      <c r="H338" s="135" t="s">
        <v>2137</v>
      </c>
      <c r="I338" s="122" t="str">
        <f t="shared" si="8"/>
        <v>INSERT INTO CLIENTES(RUT_CLIENTE,RAZON_SOCIAL,DIRECCION,ID_COMUNA,ID_REGION,FECHA_NACIMIENTO) VALUES (NULL,'Maria Isabel Osorio','Entrega en Colegio Antilhue',13109,13,TO_DATE('29-11-1967','DD-MM-YYYY'));</v>
      </c>
    </row>
    <row r="339" spans="1:9" ht="26.4">
      <c r="A339" t="str">
        <f>Clientes!A324</f>
        <v>Maria Jesus Hualle Sur 9526</v>
      </c>
      <c r="B339" s="115">
        <f t="shared" si="9"/>
        <v>322</v>
      </c>
      <c r="C339" s="134" t="str">
        <f>IF(ISBLANK(Clientes!L324),"NULL",CONCATENATE("'",Clientes!L324,"'"))</f>
        <v>NULL</v>
      </c>
      <c r="D339" s="114" t="str">
        <f>CONCATENATE("'",Clientes!A324,"'")</f>
        <v>'Maria Jesus Hualle Sur 9526'</v>
      </c>
      <c r="E339" s="114" t="str">
        <f>IF(ISBLANK(Clientes!C324),"'Sin Direccion'",CONCATENATE("'",MID(Clientes!C324,1,95),"'"))</f>
        <v>'Hualle Sur 9526'</v>
      </c>
      <c r="F339" s="114">
        <v>13110</v>
      </c>
      <c r="G339" s="114">
        <v>13</v>
      </c>
      <c r="H339" s="135" t="s">
        <v>2137</v>
      </c>
      <c r="I339" s="122" t="str">
        <f t="shared" ref="I339:I402" si="10">CONCATENATE("INSERT INTO CLIENTES(RUT_CLIENTE,RAZON_SOCIAL,DIRECCION,ID_COMUNA,ID_REGION,FECHA_NACIMIENTO) VALUES (",C339,",",D339,",",E339,",",F339,",",G339,",","TO_DATE('",H339,"','DD-MM-YYYY'));")</f>
        <v>INSERT INTO CLIENTES(RUT_CLIENTE,RAZON_SOCIAL,DIRECCION,ID_COMUNA,ID_REGION,FECHA_NACIMIENTO) VALUES (NULL,'Maria Jesus Hualle Sur 9526','Hualle Sur 9526',13110,13,TO_DATE('29-11-1967','DD-MM-YYYY'));</v>
      </c>
    </row>
    <row r="340" spans="1:9" ht="26.4">
      <c r="A340" t="str">
        <f>Clientes!A325</f>
        <v>Maria José Espinoza</v>
      </c>
      <c r="B340" s="115">
        <f t="shared" ref="B340:B403" si="11">B339+1</f>
        <v>323</v>
      </c>
      <c r="C340" s="134" t="str">
        <f>IF(ISBLANK(Clientes!L325),"NULL",CONCATENATE("'",Clientes!L325,"'"))</f>
        <v>NULL</v>
      </c>
      <c r="D340" s="114" t="str">
        <f>CONCATENATE("'",Clientes!A325,"'")</f>
        <v>'Maria José Espinoza'</v>
      </c>
      <c r="E340" s="114" t="str">
        <f>IF(ISBLANK(Clientes!C325),"'Sin Direccion'",CONCATENATE("'",MID(Clientes!C325,1,95),"'"))</f>
        <v>'Azucena Sur 9397'</v>
      </c>
      <c r="F340" s="114">
        <v>13111</v>
      </c>
      <c r="G340" s="114">
        <v>13</v>
      </c>
      <c r="H340" s="135" t="s">
        <v>2137</v>
      </c>
      <c r="I340" s="122" t="str">
        <f t="shared" si="10"/>
        <v>INSERT INTO CLIENTES(RUT_CLIENTE,RAZON_SOCIAL,DIRECCION,ID_COMUNA,ID_REGION,FECHA_NACIMIENTO) VALUES (NULL,'Maria José Espinoza','Azucena Sur 9397',13111,13,TO_DATE('29-11-1967','DD-MM-YYYY'));</v>
      </c>
    </row>
    <row r="341" spans="1:9" ht="26.4">
      <c r="A341" t="str">
        <f>Clientes!A326</f>
        <v>Maria Jose Marambio Muñoz</v>
      </c>
      <c r="B341" s="115">
        <f t="shared" si="11"/>
        <v>324</v>
      </c>
      <c r="C341" s="134" t="str">
        <f>IF(ISBLANK(Clientes!L326),"NULL",CONCATENATE("'",Clientes!L326,"'"))</f>
        <v>NULL</v>
      </c>
      <c r="D341" s="114" t="str">
        <f>CONCATENATE("'",Clientes!A326,"'")</f>
        <v>'Maria Jose Marambio Muñoz'</v>
      </c>
      <c r="E341" s="114" t="str">
        <f>IF(ISBLANK(Clientes!C326),"'Sin Direccion'",CONCATENATE("'",MID(Clientes!C326,1,95),"'"))</f>
        <v>'Pasaje Piedra Blanca 4348, Puente Alto'</v>
      </c>
      <c r="F341" s="114">
        <v>13112</v>
      </c>
      <c r="G341" s="114">
        <v>13</v>
      </c>
      <c r="H341" s="135" t="s">
        <v>2137</v>
      </c>
      <c r="I341" s="122" t="str">
        <f t="shared" si="10"/>
        <v>INSERT INTO CLIENTES(RUT_CLIENTE,RAZON_SOCIAL,DIRECCION,ID_COMUNA,ID_REGION,FECHA_NACIMIENTO) VALUES (NULL,'Maria Jose Marambio Muñoz','Pasaje Piedra Blanca 4348, Puente Alto',13112,13,TO_DATE('29-11-1967','DD-MM-YYYY'));</v>
      </c>
    </row>
    <row r="342" spans="1:9" ht="26.4">
      <c r="A342" t="str">
        <f>Clientes!A327</f>
        <v>Maria Jose Oriente 9402</v>
      </c>
      <c r="B342" s="115">
        <f t="shared" si="11"/>
        <v>325</v>
      </c>
      <c r="C342" s="134" t="str">
        <f>IF(ISBLANK(Clientes!L327),"NULL",CONCATENATE("'",Clientes!L327,"'"))</f>
        <v>NULL</v>
      </c>
      <c r="D342" s="114" t="str">
        <f>CONCATENATE("'",Clientes!A327,"'")</f>
        <v>'Maria Jose Oriente 9402'</v>
      </c>
      <c r="E342" s="114" t="str">
        <f>IF(ISBLANK(Clientes!C327),"'Sin Direccion'",CONCATENATE("'",MID(Clientes!C327,1,95),"'"))</f>
        <v>'Oriente 9402'</v>
      </c>
      <c r="F342" s="114">
        <v>13113</v>
      </c>
      <c r="G342" s="114">
        <v>13</v>
      </c>
      <c r="H342" s="135" t="s">
        <v>2137</v>
      </c>
      <c r="I342" s="122" t="str">
        <f t="shared" si="10"/>
        <v>INSERT INTO CLIENTES(RUT_CLIENTE,RAZON_SOCIAL,DIRECCION,ID_COMUNA,ID_REGION,FECHA_NACIMIENTO) VALUES (NULL,'Maria Jose Oriente 9402','Oriente 9402',13113,13,TO_DATE('29-11-1967','DD-MM-YYYY'));</v>
      </c>
    </row>
    <row r="343" spans="1:9" ht="26.4">
      <c r="A343" t="str">
        <f>Clientes!A328</f>
        <v>Maria Jose Parada Mirador</v>
      </c>
      <c r="B343" s="115">
        <f t="shared" si="11"/>
        <v>326</v>
      </c>
      <c r="C343" s="134" t="str">
        <f>IF(ISBLANK(Clientes!L328),"NULL",CONCATENATE("'",Clientes!L328,"'"))</f>
        <v>NULL</v>
      </c>
      <c r="D343" s="114" t="str">
        <f>CONCATENATE("'",Clientes!A328,"'")</f>
        <v>'Maria Jose Parada Mirador'</v>
      </c>
      <c r="E343" s="114" t="str">
        <f>IF(ISBLANK(Clientes!C328),"'Sin Direccion'",CONCATENATE("'",MID(Clientes!C328,1,95),"'"))</f>
        <v>'Liverpool 6428, La Florida. Metro Mirador, cerca Unimarc'</v>
      </c>
      <c r="F343" s="114">
        <v>13114</v>
      </c>
      <c r="G343" s="114">
        <v>13</v>
      </c>
      <c r="H343" s="135" t="s">
        <v>2137</v>
      </c>
      <c r="I343" s="122" t="str">
        <f t="shared" si="10"/>
        <v>INSERT INTO CLIENTES(RUT_CLIENTE,RAZON_SOCIAL,DIRECCION,ID_COMUNA,ID_REGION,FECHA_NACIMIENTO) VALUES (NULL,'Maria Jose Parada Mirador','Liverpool 6428, La Florida. Metro Mirador, cerca Unimarc',13114,13,TO_DATE('29-11-1967','DD-MM-YYYY'));</v>
      </c>
    </row>
    <row r="344" spans="1:9" ht="26.4">
      <c r="A344" t="str">
        <f>Clientes!A329</f>
        <v>Maria Jose Rojas Magallanes</v>
      </c>
      <c r="B344" s="115">
        <f t="shared" si="11"/>
        <v>327</v>
      </c>
      <c r="C344" s="134" t="str">
        <f>IF(ISBLANK(Clientes!L329),"NULL",CONCATENATE("'",Clientes!L329,"'"))</f>
        <v>'21937208-6'</v>
      </c>
      <c r="D344" s="114" t="str">
        <f>CONCATENATE("'",Clientes!A329,"'")</f>
        <v>'Maria Jose Rojas Magallanes'</v>
      </c>
      <c r="E344" s="114" t="str">
        <f>IF(ISBLANK(Clientes!C329),"'Sin Direccion'",CONCATENATE("'",MID(Clientes!C329,1,95),"'"))</f>
        <v>'Los Ceibos 4190'</v>
      </c>
      <c r="F344" s="114">
        <v>13115</v>
      </c>
      <c r="G344" s="114">
        <v>13</v>
      </c>
      <c r="H344" s="135" t="s">
        <v>2137</v>
      </c>
      <c r="I344" s="122" t="str">
        <f t="shared" si="10"/>
        <v>INSERT INTO CLIENTES(RUT_CLIENTE,RAZON_SOCIAL,DIRECCION,ID_COMUNA,ID_REGION,FECHA_NACIMIENTO) VALUES ('21937208-6','Maria Jose Rojas Magallanes','Los Ceibos 4190',13115,13,TO_DATE('29-11-1967','DD-MM-YYYY'));</v>
      </c>
    </row>
    <row r="345" spans="1:9" ht="26.4">
      <c r="A345" t="str">
        <f>Clientes!A330</f>
        <v>Maria Jose Vargas</v>
      </c>
      <c r="B345" s="115">
        <f t="shared" si="11"/>
        <v>328</v>
      </c>
      <c r="C345" s="134" t="str">
        <f>IF(ISBLANK(Clientes!L330),"NULL",CONCATENATE("'",Clientes!L330,"'"))</f>
        <v>NULL</v>
      </c>
      <c r="D345" s="114" t="str">
        <f>CONCATENATE("'",Clientes!A330,"'")</f>
        <v>'Maria Jose Vargas'</v>
      </c>
      <c r="E345" s="114" t="str">
        <f>IF(ISBLANK(Clientes!C330),"'Sin Direccion'",CONCATENATE("'",MID(Clientes!C330,1,95),"'"))</f>
        <v>'Andalien 7273'</v>
      </c>
      <c r="F345" s="114">
        <v>13116</v>
      </c>
      <c r="G345" s="114">
        <v>13</v>
      </c>
      <c r="H345" s="135" t="s">
        <v>2137</v>
      </c>
      <c r="I345" s="122" t="str">
        <f t="shared" si="10"/>
        <v>INSERT INTO CLIENTES(RUT_CLIENTE,RAZON_SOCIAL,DIRECCION,ID_COMUNA,ID_REGION,FECHA_NACIMIENTO) VALUES (NULL,'Maria Jose Vargas','Andalien 7273',13116,13,TO_DATE('29-11-1967','DD-MM-YYYY'));</v>
      </c>
    </row>
    <row r="346" spans="1:9" ht="26.4">
      <c r="A346" t="str">
        <f>Clientes!A331</f>
        <v>Maria Jose Vargas</v>
      </c>
      <c r="B346" s="115">
        <f t="shared" si="11"/>
        <v>329</v>
      </c>
      <c r="C346" s="134" t="str">
        <f>IF(ISBLANK(Clientes!L331),"NULL",CONCATENATE("'",Clientes!L331,"'"))</f>
        <v>NULL</v>
      </c>
      <c r="D346" s="114" t="str">
        <f>CONCATENATE("'",Clientes!A331,"'")</f>
        <v>'Maria Jose Vargas'</v>
      </c>
      <c r="E346" s="114" t="str">
        <f>IF(ISBLANK(Clientes!C331),"'Sin Direccion'",CONCATENATE("'",MID(Clientes!C331,1,95),"'"))</f>
        <v>'Andalien 7273'</v>
      </c>
      <c r="F346" s="114">
        <v>13117</v>
      </c>
      <c r="G346" s="114">
        <v>13</v>
      </c>
      <c r="H346" s="135" t="s">
        <v>2137</v>
      </c>
      <c r="I346" s="122" t="str">
        <f t="shared" si="10"/>
        <v>INSERT INTO CLIENTES(RUT_CLIENTE,RAZON_SOCIAL,DIRECCION,ID_COMUNA,ID_REGION,FECHA_NACIMIENTO) VALUES (NULL,'Maria Jose Vargas','Andalien 7273',13117,13,TO_DATE('29-11-1967','DD-MM-YYYY'));</v>
      </c>
    </row>
    <row r="347" spans="1:9" ht="26.4">
      <c r="A347" t="str">
        <f>Clientes!A332</f>
        <v>Maria Provoste</v>
      </c>
      <c r="B347" s="115">
        <f t="shared" si="11"/>
        <v>330</v>
      </c>
      <c r="C347" s="134" t="str">
        <f>IF(ISBLANK(Clientes!L332),"NULL",CONCATENATE("'",Clientes!L332,"'"))</f>
        <v>NULL</v>
      </c>
      <c r="D347" s="114" t="str">
        <f>CONCATENATE("'",Clientes!A332,"'")</f>
        <v>'Maria Provoste'</v>
      </c>
      <c r="E347" s="114" t="str">
        <f>IF(ISBLANK(Clientes!C332),"'Sin Direccion'",CONCATENATE("'",MID(Clientes!C332,1,95),"'"))</f>
        <v>'Junta Vecinal 20'</v>
      </c>
      <c r="F347" s="114">
        <v>13118</v>
      </c>
      <c r="G347" s="114">
        <v>13</v>
      </c>
      <c r="H347" s="135" t="s">
        <v>2137</v>
      </c>
      <c r="I347" s="122" t="str">
        <f t="shared" si="10"/>
        <v>INSERT INTO CLIENTES(RUT_CLIENTE,RAZON_SOCIAL,DIRECCION,ID_COMUNA,ID_REGION,FECHA_NACIMIENTO) VALUES (NULL,'Maria Provoste','Junta Vecinal 20',13118,13,TO_DATE('29-11-1967','DD-MM-YYYY'));</v>
      </c>
    </row>
    <row r="348" spans="1:9" ht="26.4">
      <c r="A348" t="str">
        <f>Clientes!A333</f>
        <v>Maria Teresa</v>
      </c>
      <c r="B348" s="115">
        <f t="shared" si="11"/>
        <v>331</v>
      </c>
      <c r="C348" s="134" t="str">
        <f>IF(ISBLANK(Clientes!L333),"NULL",CONCATENATE("'",Clientes!L333,"'"))</f>
        <v>NULL</v>
      </c>
      <c r="D348" s="114" t="str">
        <f>CONCATENATE("'",Clientes!A333,"'")</f>
        <v>'Maria Teresa'</v>
      </c>
      <c r="E348" s="114" t="str">
        <f>IF(ISBLANK(Clientes!C333),"'Sin Direccion'",CONCATENATE("'",MID(Clientes!C333,1,95),"'"))</f>
        <v>'Sin Direccion'</v>
      </c>
      <c r="F348" s="114">
        <v>13119</v>
      </c>
      <c r="G348" s="114">
        <v>13</v>
      </c>
      <c r="H348" s="135" t="s">
        <v>2137</v>
      </c>
      <c r="I348" s="122" t="str">
        <f t="shared" si="10"/>
        <v>INSERT INTO CLIENTES(RUT_CLIENTE,RAZON_SOCIAL,DIRECCION,ID_COMUNA,ID_REGION,FECHA_NACIMIENTO) VALUES (NULL,'Maria Teresa','Sin Direccion',13119,13,TO_DATE('29-11-1967','DD-MM-YYYY'));</v>
      </c>
    </row>
    <row r="349" spans="1:9" ht="26.4">
      <c r="A349" t="str">
        <f>Clientes!A334</f>
        <v>Mariela Garin</v>
      </c>
      <c r="B349" s="115">
        <f t="shared" si="11"/>
        <v>332</v>
      </c>
      <c r="C349" s="134" t="str">
        <f>IF(ISBLANK(Clientes!L334),"NULL",CONCATENATE("'",Clientes!L334,"'"))</f>
        <v>NULL</v>
      </c>
      <c r="D349" s="114" t="str">
        <f>CONCATENATE("'",Clientes!A334,"'")</f>
        <v>'Mariela Garin'</v>
      </c>
      <c r="E349" s="114" t="str">
        <f>IF(ISBLANK(Clientes!C334),"'Sin Direccion'",CONCATENATE("'",MID(Clientes!C334,1,95),"'"))</f>
        <v>'Sin Direccion'</v>
      </c>
      <c r="F349" s="114">
        <v>13120</v>
      </c>
      <c r="G349" s="114">
        <v>13</v>
      </c>
      <c r="H349" s="135" t="s">
        <v>2137</v>
      </c>
      <c r="I349" s="122" t="str">
        <f t="shared" si="10"/>
        <v>INSERT INTO CLIENTES(RUT_CLIENTE,RAZON_SOCIAL,DIRECCION,ID_COMUNA,ID_REGION,FECHA_NACIMIENTO) VALUES (NULL,'Mariela Garin','Sin Direccion',13120,13,TO_DATE('29-11-1967','DD-MM-YYYY'));</v>
      </c>
    </row>
    <row r="350" spans="1:9" ht="26.4">
      <c r="A350" t="str">
        <f>Clientes!A335</f>
        <v>Mariela Lagos</v>
      </c>
      <c r="B350" s="115">
        <f t="shared" si="11"/>
        <v>333</v>
      </c>
      <c r="C350" s="134" t="str">
        <f>IF(ISBLANK(Clientes!L335),"NULL",CONCATENATE("'",Clientes!L335,"'"))</f>
        <v>NULL</v>
      </c>
      <c r="D350" s="114" t="str">
        <f>CONCATENATE("'",Clientes!A335,"'")</f>
        <v>'Mariela Lagos'</v>
      </c>
      <c r="E350" s="114" t="str">
        <f>IF(ISBLANK(Clientes!C335),"'Sin Direccion'",CONCATENATE("'",MID(Clientes!C335,1,95),"'"))</f>
        <v>'Sin Direccion'</v>
      </c>
      <c r="F350" s="114">
        <v>13121</v>
      </c>
      <c r="G350" s="114">
        <v>13</v>
      </c>
      <c r="H350" s="135" t="s">
        <v>2137</v>
      </c>
      <c r="I350" s="122" t="str">
        <f t="shared" si="10"/>
        <v>INSERT INTO CLIENTES(RUT_CLIENTE,RAZON_SOCIAL,DIRECCION,ID_COMUNA,ID_REGION,FECHA_NACIMIENTO) VALUES (NULL,'Mariela Lagos','Sin Direccion',13121,13,TO_DATE('29-11-1967','DD-MM-YYYY'));</v>
      </c>
    </row>
    <row r="351" spans="1:9" ht="26.4">
      <c r="A351" t="str">
        <f>Clientes!A336</f>
        <v>Mario Abarca</v>
      </c>
      <c r="B351" s="115">
        <f t="shared" si="11"/>
        <v>334</v>
      </c>
      <c r="C351" s="134" t="str">
        <f>IF(ISBLANK(Clientes!L336),"NULL",CONCATENATE("'",Clientes!L336,"'"))</f>
        <v>NULL</v>
      </c>
      <c r="D351" s="114" t="str">
        <f>CONCATENATE("'",Clientes!A336,"'")</f>
        <v>'Mario Abarca'</v>
      </c>
      <c r="E351" s="114" t="str">
        <f>IF(ISBLANK(Clientes!C336),"'Sin Direccion'",CONCATENATE("'",MID(Clientes!C336,1,95),"'"))</f>
        <v>'Sin Direccion'</v>
      </c>
      <c r="F351" s="114">
        <v>13122</v>
      </c>
      <c r="G351" s="114">
        <v>13</v>
      </c>
      <c r="H351" s="135" t="s">
        <v>2137</v>
      </c>
      <c r="I351" s="122" t="str">
        <f t="shared" si="10"/>
        <v>INSERT INTO CLIENTES(RUT_CLIENTE,RAZON_SOCIAL,DIRECCION,ID_COMUNA,ID_REGION,FECHA_NACIMIENTO) VALUES (NULL,'Mario Abarca','Sin Direccion',13122,13,TO_DATE('29-11-1967','DD-MM-YYYY'));</v>
      </c>
    </row>
    <row r="352" spans="1:9" ht="26.4">
      <c r="A352" t="str">
        <f>Clientes!A337</f>
        <v>Mario Vecino</v>
      </c>
      <c r="B352" s="115">
        <f t="shared" si="11"/>
        <v>335</v>
      </c>
      <c r="C352" s="134" t="str">
        <f>IF(ISBLANK(Clientes!L337),"NULL",CONCATENATE("'",Clientes!L337,"'"))</f>
        <v>NULL</v>
      </c>
      <c r="D352" s="114" t="str">
        <f>CONCATENATE("'",Clientes!A337,"'")</f>
        <v>'Mario Vecino'</v>
      </c>
      <c r="E352" s="114" t="str">
        <f>IF(ISBLANK(Clientes!C337),"'Sin Direccion'",CONCATENATE("'",MID(Clientes!C337,1,95),"'"))</f>
        <v>'Sin Direccion'</v>
      </c>
      <c r="F352" s="114">
        <v>13123</v>
      </c>
      <c r="G352" s="114">
        <v>13</v>
      </c>
      <c r="H352" s="135" t="s">
        <v>2137</v>
      </c>
      <c r="I352" s="122" t="str">
        <f t="shared" si="10"/>
        <v>INSERT INTO CLIENTES(RUT_CLIENTE,RAZON_SOCIAL,DIRECCION,ID_COMUNA,ID_REGION,FECHA_NACIMIENTO) VALUES (NULL,'Mario Vecino','Sin Direccion',13123,13,TO_DATE('29-11-1967','DD-MM-YYYY'));</v>
      </c>
    </row>
    <row r="353" spans="1:9" ht="26.4">
      <c r="A353" t="str">
        <f>Clientes!A338</f>
        <v>Marisel Bolbaran</v>
      </c>
      <c r="B353" s="115">
        <f t="shared" si="11"/>
        <v>336</v>
      </c>
      <c r="C353" s="134" t="str">
        <f>IF(ISBLANK(Clientes!L338),"NULL",CONCATENATE("'",Clientes!L338,"'"))</f>
        <v>NULL</v>
      </c>
      <c r="D353" s="114" t="str">
        <f>CONCATENATE("'",Clientes!A338,"'")</f>
        <v>'Marisel Bolbaran'</v>
      </c>
      <c r="E353" s="114" t="str">
        <f>IF(ISBLANK(Clientes!C338),"'Sin Direccion'",CONCATENATE("'",MID(Clientes!C338,1,95),"'"))</f>
        <v>'Sin Direccion'</v>
      </c>
      <c r="F353" s="114">
        <v>13124</v>
      </c>
      <c r="G353" s="114">
        <v>13</v>
      </c>
      <c r="H353" s="135" t="s">
        <v>2137</v>
      </c>
      <c r="I353" s="122" t="str">
        <f t="shared" si="10"/>
        <v>INSERT INTO CLIENTES(RUT_CLIENTE,RAZON_SOCIAL,DIRECCION,ID_COMUNA,ID_REGION,FECHA_NACIMIENTO) VALUES (NULL,'Marisel Bolbaran','Sin Direccion',13124,13,TO_DATE('29-11-1967','DD-MM-YYYY'));</v>
      </c>
    </row>
    <row r="354" spans="1:9" ht="26.4">
      <c r="A354" t="str">
        <f>Clientes!A339</f>
        <v>Marisol Ramirez</v>
      </c>
      <c r="B354" s="115">
        <f t="shared" si="11"/>
        <v>337</v>
      </c>
      <c r="C354" s="134" t="str">
        <f>IF(ISBLANK(Clientes!L339),"NULL",CONCATENATE("'",Clientes!L339,"'"))</f>
        <v>NULL</v>
      </c>
      <c r="D354" s="114" t="str">
        <f>CONCATENATE("'",Clientes!A339,"'")</f>
        <v>'Marisol Ramirez'</v>
      </c>
      <c r="E354" s="114" t="str">
        <f>IF(ISBLANK(Clientes!C339),"'Sin Direccion'",CONCATENATE("'",MID(Clientes!C339,1,95),"'"))</f>
        <v>'Diamelos 8447, Jardin del Eden'</v>
      </c>
      <c r="F354" s="114">
        <v>13125</v>
      </c>
      <c r="G354" s="114">
        <v>13</v>
      </c>
      <c r="H354" s="135" t="s">
        <v>2137</v>
      </c>
      <c r="I354" s="122" t="str">
        <f t="shared" si="10"/>
        <v>INSERT INTO CLIENTES(RUT_CLIENTE,RAZON_SOCIAL,DIRECCION,ID_COMUNA,ID_REGION,FECHA_NACIMIENTO) VALUES (NULL,'Marisol Ramirez','Diamelos 8447, Jardin del Eden',13125,13,TO_DATE('29-11-1967','DD-MM-YYYY'));</v>
      </c>
    </row>
    <row r="355" spans="1:9" ht="26.4">
      <c r="A355" t="str">
        <f>Clientes!A340</f>
        <v>Marisol Toro</v>
      </c>
      <c r="B355" s="115">
        <f t="shared" si="11"/>
        <v>338</v>
      </c>
      <c r="C355" s="134" t="str">
        <f>IF(ISBLANK(Clientes!L340),"NULL",CONCATENATE("'",Clientes!L340,"'"))</f>
        <v>NULL</v>
      </c>
      <c r="D355" s="114" t="str">
        <f>CONCATENATE("'",Clientes!A340,"'")</f>
        <v>'Marisol Toro'</v>
      </c>
      <c r="E355" s="114" t="str">
        <f>IF(ISBLANK(Clientes!C340),"'Sin Direccion'",CONCATENATE("'",MID(Clientes!C340,1,95),"'"))</f>
        <v>'Quipulco 7191 villa santa María'</v>
      </c>
      <c r="F355" s="114">
        <v>13126</v>
      </c>
      <c r="G355" s="114">
        <v>13</v>
      </c>
      <c r="H355" s="135" t="s">
        <v>2137</v>
      </c>
      <c r="I355" s="122" t="str">
        <f t="shared" si="10"/>
        <v>INSERT INTO CLIENTES(RUT_CLIENTE,RAZON_SOCIAL,DIRECCION,ID_COMUNA,ID_REGION,FECHA_NACIMIENTO) VALUES (NULL,'Marisol Toro','Quipulco 7191 villa santa María',13126,13,TO_DATE('29-11-1967','DD-MM-YYYY'));</v>
      </c>
    </row>
    <row r="356" spans="1:9" ht="26.4">
      <c r="A356" t="str">
        <f>Clientes!A341</f>
        <v>Maritza Herrera</v>
      </c>
      <c r="B356" s="115">
        <f t="shared" si="11"/>
        <v>339</v>
      </c>
      <c r="C356" s="134" t="str">
        <f>IF(ISBLANK(Clientes!L341),"NULL",CONCATENATE("'",Clientes!L341,"'"))</f>
        <v>NULL</v>
      </c>
      <c r="D356" s="114" t="str">
        <f>CONCATENATE("'",Clientes!A341,"'")</f>
        <v>'Maritza Herrera'</v>
      </c>
      <c r="E356" s="114" t="str">
        <f>IF(ISBLANK(Clientes!C341),"'Sin Direccion'",CONCATENATE("'",MID(Clientes!C341,1,95),"'"))</f>
        <v>'Sin Direccion'</v>
      </c>
      <c r="F356" s="114">
        <v>13127</v>
      </c>
      <c r="G356" s="114">
        <v>13</v>
      </c>
      <c r="H356" s="135" t="s">
        <v>2137</v>
      </c>
      <c r="I356" s="122" t="str">
        <f t="shared" si="10"/>
        <v>INSERT INTO CLIENTES(RUT_CLIENTE,RAZON_SOCIAL,DIRECCION,ID_COMUNA,ID_REGION,FECHA_NACIMIENTO) VALUES (NULL,'Maritza Herrera','Sin Direccion',13127,13,TO_DATE('29-11-1967','DD-MM-YYYY'));</v>
      </c>
    </row>
    <row r="357" spans="1:9" ht="26.4">
      <c r="A357" t="str">
        <f>Clientes!A342</f>
        <v>Maritza Villablanca</v>
      </c>
      <c r="B357" s="115">
        <f t="shared" si="11"/>
        <v>340</v>
      </c>
      <c r="C357" s="134" t="str">
        <f>IF(ISBLANK(Clientes!L342),"NULL",CONCATENATE("'",Clientes!L342,"'"))</f>
        <v>NULL</v>
      </c>
      <c r="D357" s="114" t="str">
        <f>CONCATENATE("'",Clientes!A342,"'")</f>
        <v>'Maritza Villablanca'</v>
      </c>
      <c r="E357" s="114" t="str">
        <f>IF(ISBLANK(Clientes!C342),"'Sin Direccion'",CONCATENATE("'",MID(Clientes!C342,1,95),"'"))</f>
        <v>'Azucena del campo poniente 9239'</v>
      </c>
      <c r="F357" s="114">
        <v>13128</v>
      </c>
      <c r="G357" s="114">
        <v>13</v>
      </c>
      <c r="H357" s="135" t="s">
        <v>2137</v>
      </c>
      <c r="I357" s="122" t="str">
        <f t="shared" si="10"/>
        <v>INSERT INTO CLIENTES(RUT_CLIENTE,RAZON_SOCIAL,DIRECCION,ID_COMUNA,ID_REGION,FECHA_NACIMIENTO) VALUES (NULL,'Maritza Villablanca','Azucena del campo poniente 9239',13128,13,TO_DATE('29-11-1967','DD-MM-YYYY'));</v>
      </c>
    </row>
    <row r="358" spans="1:9" ht="26.4">
      <c r="A358" t="str">
        <f>Clientes!A343</f>
        <v>Mary Isabel de Martino</v>
      </c>
      <c r="B358" s="115">
        <f t="shared" si="11"/>
        <v>341</v>
      </c>
      <c r="C358" s="134" t="str">
        <f>IF(ISBLANK(Clientes!L343),"NULL",CONCATENATE("'",Clientes!L343,"'"))</f>
        <v>NULL</v>
      </c>
      <c r="D358" s="114" t="str">
        <f>CONCATENATE("'",Clientes!A343,"'")</f>
        <v>'Mary Isabel de Martino'</v>
      </c>
      <c r="E358" s="114" t="str">
        <f>IF(ISBLANK(Clientes!C343),"'Sin Direccion'",CONCATENATE("'",MID(Clientes!C343,1,95),"'"))</f>
        <v>'Sin Direccion'</v>
      </c>
      <c r="F358" s="114">
        <v>13129</v>
      </c>
      <c r="G358" s="114">
        <v>13</v>
      </c>
      <c r="H358" s="135" t="s">
        <v>2137</v>
      </c>
      <c r="I358" s="122" t="str">
        <f t="shared" si="10"/>
        <v>INSERT INTO CLIENTES(RUT_CLIENTE,RAZON_SOCIAL,DIRECCION,ID_COMUNA,ID_REGION,FECHA_NACIMIENTO) VALUES (NULL,'Mary Isabel de Martino','Sin Direccion',13129,13,TO_DATE('29-11-1967','DD-MM-YYYY'));</v>
      </c>
    </row>
    <row r="359" spans="1:9" ht="26.4">
      <c r="A359" t="str">
        <f>Clientes!A344</f>
        <v>Marylen Ximena Salinas</v>
      </c>
      <c r="B359" s="115">
        <f t="shared" si="11"/>
        <v>342</v>
      </c>
      <c r="C359" s="134" t="str">
        <f>IF(ISBLANK(Clientes!L344),"NULL",CONCATENATE("'",Clientes!L344,"'"))</f>
        <v>NULL</v>
      </c>
      <c r="D359" s="114" t="str">
        <f>CONCATENATE("'",Clientes!A344,"'")</f>
        <v>'Marylen Ximena Salinas'</v>
      </c>
      <c r="E359" s="114" t="str">
        <f>IF(ISBLANK(Clientes!C344),"'Sin Direccion'",CONCATENATE("'",MID(Clientes!C344,1,95),"'"))</f>
        <v>'Abedul plateado central 9202. Jardines de la viña'</v>
      </c>
      <c r="F359" s="114">
        <v>13130</v>
      </c>
      <c r="G359" s="114">
        <v>13</v>
      </c>
      <c r="H359" s="135" t="s">
        <v>2137</v>
      </c>
      <c r="I359" s="122" t="str">
        <f t="shared" si="10"/>
        <v>INSERT INTO CLIENTES(RUT_CLIENTE,RAZON_SOCIAL,DIRECCION,ID_COMUNA,ID_REGION,FECHA_NACIMIENTO) VALUES (NULL,'Marylen Ximena Salinas','Abedul plateado central 9202. Jardines de la viña',13130,13,TO_DATE('29-11-1967','DD-MM-YYYY'));</v>
      </c>
    </row>
    <row r="360" spans="1:9" ht="26.4">
      <c r="A360" t="str">
        <f>Clientes!A345</f>
        <v>Mauricio Aguirre</v>
      </c>
      <c r="B360" s="115">
        <f t="shared" si="11"/>
        <v>343</v>
      </c>
      <c r="C360" s="134" t="str">
        <f>IF(ISBLANK(Clientes!L345),"NULL",CONCATENATE("'",Clientes!L345,"'"))</f>
        <v>NULL</v>
      </c>
      <c r="D360" s="114" t="str">
        <f>CONCATENATE("'",Clientes!A345,"'")</f>
        <v>'Mauricio Aguirre'</v>
      </c>
      <c r="E360" s="114" t="str">
        <f>IF(ISBLANK(Clientes!C345),"'Sin Direccion'",CONCATENATE("'",MID(Clientes!C345,1,95),"'"))</f>
        <v>'Jardín del Edén 3452'</v>
      </c>
      <c r="F360" s="114">
        <v>13131</v>
      </c>
      <c r="G360" s="114">
        <v>13</v>
      </c>
      <c r="H360" s="135" t="s">
        <v>2137</v>
      </c>
      <c r="I360" s="122" t="str">
        <f t="shared" si="10"/>
        <v>INSERT INTO CLIENTES(RUT_CLIENTE,RAZON_SOCIAL,DIRECCION,ID_COMUNA,ID_REGION,FECHA_NACIMIENTO) VALUES (NULL,'Mauricio Aguirre','Jardín del Edén 3452',13131,13,TO_DATE('29-11-1967','DD-MM-YYYY'));</v>
      </c>
    </row>
    <row r="361" spans="1:9" ht="26.4">
      <c r="A361" t="str">
        <f>Clientes!A346</f>
        <v>Mauro - Geronimo 760</v>
      </c>
      <c r="B361" s="115">
        <f t="shared" si="11"/>
        <v>344</v>
      </c>
      <c r="C361" s="134" t="str">
        <f>IF(ISBLANK(Clientes!L346),"NULL",CONCATENATE("'",Clientes!L346,"'"))</f>
        <v>NULL</v>
      </c>
      <c r="D361" s="114" t="str">
        <f>CONCATENATE("'",Clientes!A346,"'")</f>
        <v>'Mauro - Geronimo 760'</v>
      </c>
      <c r="E361" s="114" t="str">
        <f>IF(ISBLANK(Clientes!C346),"'Sin Direccion'",CONCATENATE("'",MID(Clientes!C346,1,95),"'"))</f>
        <v>'Geronimo de alderete 790 Depto 207 Torre C'</v>
      </c>
      <c r="F361" s="114">
        <v>13132</v>
      </c>
      <c r="G361" s="114">
        <v>13</v>
      </c>
      <c r="H361" s="135" t="s">
        <v>2137</v>
      </c>
      <c r="I361" s="122" t="str">
        <f t="shared" si="10"/>
        <v>INSERT INTO CLIENTES(RUT_CLIENTE,RAZON_SOCIAL,DIRECCION,ID_COMUNA,ID_REGION,FECHA_NACIMIENTO) VALUES (NULL,'Mauro - Geronimo 760','Geronimo de alderete 790 Depto 207 Torre C',13132,13,TO_DATE('29-11-1967','DD-MM-YYYY'));</v>
      </c>
    </row>
    <row r="362" spans="1:9" ht="26.4">
      <c r="A362" t="str">
        <f>Clientes!A347</f>
        <v>Meike Bolados</v>
      </c>
      <c r="B362" s="115">
        <f t="shared" si="11"/>
        <v>345</v>
      </c>
      <c r="C362" s="134" t="str">
        <f>IF(ISBLANK(Clientes!L347),"NULL",CONCATENATE("'",Clientes!L347,"'"))</f>
        <v>NULL</v>
      </c>
      <c r="D362" s="114" t="str">
        <f>CONCATENATE("'",Clientes!A347,"'")</f>
        <v>'Meike Bolados'</v>
      </c>
      <c r="E362" s="114" t="str">
        <f>IF(ISBLANK(Clientes!C347),"'Sin Direccion'",CONCATENATE("'",MID(Clientes!C347,1,95),"'"))</f>
        <v>'Kutral 9493'</v>
      </c>
      <c r="F362" s="114">
        <v>13201</v>
      </c>
      <c r="G362" s="114">
        <v>13</v>
      </c>
      <c r="H362" s="135" t="s">
        <v>2137</v>
      </c>
      <c r="I362" s="122" t="str">
        <f t="shared" si="10"/>
        <v>INSERT INTO CLIENTES(RUT_CLIENTE,RAZON_SOCIAL,DIRECCION,ID_COMUNA,ID_REGION,FECHA_NACIMIENTO) VALUES (NULL,'Meike Bolados','Kutral 9493',13201,13,TO_DATE('29-11-1967','DD-MM-YYYY'));</v>
      </c>
    </row>
    <row r="363" spans="1:9" ht="26.4">
      <c r="A363" t="str">
        <f>Clientes!A348</f>
        <v>Mercedes Sanchez</v>
      </c>
      <c r="B363" s="115">
        <f t="shared" si="11"/>
        <v>346</v>
      </c>
      <c r="C363" s="134" t="str">
        <f>IF(ISBLANK(Clientes!L348),"NULL",CONCATENATE("'",Clientes!L348,"'"))</f>
        <v>NULL</v>
      </c>
      <c r="D363" s="114" t="str">
        <f>CONCATENATE("'",Clientes!A348,"'")</f>
        <v>'Mercedes Sanchez'</v>
      </c>
      <c r="E363" s="114" t="str">
        <f>IF(ISBLANK(Clientes!C348),"'Sin Direccion'",CONCATENATE("'",MID(Clientes!C348,1,95),"'"))</f>
        <v>'Laguna del Inca 4309'</v>
      </c>
      <c r="F363" s="114">
        <v>13202</v>
      </c>
      <c r="G363" s="114">
        <v>13</v>
      </c>
      <c r="H363" s="135" t="s">
        <v>2137</v>
      </c>
      <c r="I363" s="122" t="str">
        <f t="shared" si="10"/>
        <v>INSERT INTO CLIENTES(RUT_CLIENTE,RAZON_SOCIAL,DIRECCION,ID_COMUNA,ID_REGION,FECHA_NACIMIENTO) VALUES (NULL,'Mercedes Sanchez','Laguna del Inca 4309',13202,13,TO_DATE('29-11-1967','DD-MM-YYYY'));</v>
      </c>
    </row>
    <row r="364" spans="1:9" ht="26.4">
      <c r="A364" t="str">
        <f>Clientes!A349</f>
        <v>Michael Evans</v>
      </c>
      <c r="B364" s="115">
        <f t="shared" si="11"/>
        <v>347</v>
      </c>
      <c r="C364" s="134" t="str">
        <f>IF(ISBLANK(Clientes!L349),"NULL",CONCATENATE("'",Clientes!L349,"'"))</f>
        <v>NULL</v>
      </c>
      <c r="D364" s="114" t="str">
        <f>CONCATENATE("'",Clientes!A349,"'")</f>
        <v>'Michael Evans'</v>
      </c>
      <c r="E364" s="114" t="str">
        <f>IF(ISBLANK(Clientes!C349),"'Sin Direccion'",CONCATENATE("'",MID(Clientes!C349,1,95),"'"))</f>
        <v>'Pasaje Andromeda 0652 esquina de Rio Claro'</v>
      </c>
      <c r="F364" s="114">
        <v>13203</v>
      </c>
      <c r="G364" s="114">
        <v>13</v>
      </c>
      <c r="H364" s="135" t="s">
        <v>2137</v>
      </c>
      <c r="I364" s="122" t="str">
        <f t="shared" si="10"/>
        <v>INSERT INTO CLIENTES(RUT_CLIENTE,RAZON_SOCIAL,DIRECCION,ID_COMUNA,ID_REGION,FECHA_NACIMIENTO) VALUES (NULL,'Michael Evans','Pasaje Andromeda 0652 esquina de Rio Claro',13203,13,TO_DATE('29-11-1967','DD-MM-YYYY'));</v>
      </c>
    </row>
    <row r="365" spans="1:9" ht="26.4">
      <c r="A365" t="str">
        <f>Clientes!A350</f>
        <v>Milena MIHOVILOVIC - Hualle Sur</v>
      </c>
      <c r="B365" s="115">
        <f t="shared" si="11"/>
        <v>348</v>
      </c>
      <c r="C365" s="134" t="str">
        <f>IF(ISBLANK(Clientes!L350),"NULL",CONCATENATE("'",Clientes!L350,"'"))</f>
        <v>NULL</v>
      </c>
      <c r="D365" s="114" t="str">
        <f>CONCATENATE("'",Clientes!A350,"'")</f>
        <v>'Milena MIHOVILOVIC - Hualle Sur'</v>
      </c>
      <c r="E365" s="114" t="str">
        <f>IF(ISBLANK(Clientes!C350),"'Sin Direccion'",CONCATENATE("'",MID(Clientes!C350,1,95),"'"))</f>
        <v>'El Hualle Sur 9074'</v>
      </c>
      <c r="F365" s="114">
        <v>13301</v>
      </c>
      <c r="G365" s="114">
        <v>13</v>
      </c>
      <c r="H365" s="135" t="s">
        <v>2137</v>
      </c>
      <c r="I365" s="122" t="str">
        <f t="shared" si="10"/>
        <v>INSERT INTO CLIENTES(RUT_CLIENTE,RAZON_SOCIAL,DIRECCION,ID_COMUNA,ID_REGION,FECHA_NACIMIENTO) VALUES (NULL,'Milena MIHOVILOVIC - Hualle Sur','El Hualle Sur 9074',13301,13,TO_DATE('29-11-1967','DD-MM-YYYY'));</v>
      </c>
    </row>
    <row r="366" spans="1:9" ht="26.4">
      <c r="A366" t="str">
        <f>Clientes!A351</f>
        <v>Millaray Anais</v>
      </c>
      <c r="B366" s="115">
        <f t="shared" si="11"/>
        <v>349</v>
      </c>
      <c r="C366" s="134" t="str">
        <f>IF(ISBLANK(Clientes!L351),"NULL",CONCATENATE("'",Clientes!L351,"'"))</f>
        <v>NULL</v>
      </c>
      <c r="D366" s="114" t="str">
        <f>CONCATENATE("'",Clientes!A351,"'")</f>
        <v>'Millaray Anais'</v>
      </c>
      <c r="E366" s="114" t="str">
        <f>IF(ISBLANK(Clientes!C351),"'Sin Direccion'",CONCATENATE("'",MID(Clientes!C351,1,95),"'"))</f>
        <v>'San René 1962'</v>
      </c>
      <c r="F366" s="114">
        <v>13302</v>
      </c>
      <c r="G366" s="114">
        <v>13</v>
      </c>
      <c r="H366" s="135" t="s">
        <v>2137</v>
      </c>
      <c r="I366" s="122" t="str">
        <f t="shared" si="10"/>
        <v>INSERT INTO CLIENTES(RUT_CLIENTE,RAZON_SOCIAL,DIRECCION,ID_COMUNA,ID_REGION,FECHA_NACIMIENTO) VALUES (NULL,'Millaray Anais','San René 1962',13302,13,TO_DATE('29-11-1967','DD-MM-YYYY'));</v>
      </c>
    </row>
    <row r="367" spans="1:9" ht="26.4">
      <c r="A367" t="str">
        <f>Clientes!A352</f>
        <v>Mily - Diamelos 8562</v>
      </c>
      <c r="B367" s="115">
        <f t="shared" si="11"/>
        <v>350</v>
      </c>
      <c r="C367" s="134" t="str">
        <f>IF(ISBLANK(Clientes!L352),"NULL",CONCATENATE("'",Clientes!L352,"'"))</f>
        <v>NULL</v>
      </c>
      <c r="D367" s="114" t="str">
        <f>CONCATENATE("'",Clientes!A352,"'")</f>
        <v>'Mily - Diamelos 8562'</v>
      </c>
      <c r="E367" s="114" t="str">
        <f>IF(ISBLANK(Clientes!C352),"'Sin Direccion'",CONCATENATE("'",MID(Clientes!C352,1,95),"'"))</f>
        <v>'Diamelos 8562'</v>
      </c>
      <c r="F367" s="114">
        <v>13303</v>
      </c>
      <c r="G367" s="114">
        <v>13</v>
      </c>
      <c r="H367" s="135" t="s">
        <v>2137</v>
      </c>
      <c r="I367" s="122" t="str">
        <f t="shared" si="10"/>
        <v>INSERT INTO CLIENTES(RUT_CLIENTE,RAZON_SOCIAL,DIRECCION,ID_COMUNA,ID_REGION,FECHA_NACIMIENTO) VALUES (NULL,'Mily - Diamelos 8562','Diamelos 8562',13303,13,TO_DATE('29-11-1967','DD-MM-YYYY'));</v>
      </c>
    </row>
    <row r="368" spans="1:9" ht="26.4">
      <c r="A368" t="str">
        <f>Clientes!A353</f>
        <v>Mirsa  Penalillo</v>
      </c>
      <c r="B368" s="115">
        <f t="shared" si="11"/>
        <v>351</v>
      </c>
      <c r="C368" s="134" t="str">
        <f>IF(ISBLANK(Clientes!L353),"NULL",CONCATENATE("'",Clientes!L353,"'"))</f>
        <v>NULL</v>
      </c>
      <c r="D368" s="114" t="str">
        <f>CONCATENATE("'",Clientes!A353,"'")</f>
        <v>'Mirsa  Penalillo'</v>
      </c>
      <c r="E368" s="114" t="str">
        <f>IF(ISBLANK(Clientes!C353),"'Sin Direccion'",CONCATENATE("'",MID(Clientes!C353,1,95),"'"))</f>
        <v>'Geronimo de alderete 790 dpto 505 t3'</v>
      </c>
      <c r="F368" s="114">
        <v>13401</v>
      </c>
      <c r="G368" s="114">
        <v>13</v>
      </c>
      <c r="H368" s="135" t="s">
        <v>2137</v>
      </c>
      <c r="I368" s="122" t="str">
        <f t="shared" si="10"/>
        <v>INSERT INTO CLIENTES(RUT_CLIENTE,RAZON_SOCIAL,DIRECCION,ID_COMUNA,ID_REGION,FECHA_NACIMIENTO) VALUES (NULL,'Mirsa  Penalillo','Geronimo de alderete 790 dpto 505 t3',13401,13,TO_DATE('29-11-1967','DD-MM-YYYY'));</v>
      </c>
    </row>
    <row r="369" spans="1:9" ht="26.4">
      <c r="A369" t="str">
        <f>Clientes!A354</f>
        <v>Monica - Chapihue 7123</v>
      </c>
      <c r="B369" s="115">
        <f t="shared" si="11"/>
        <v>352</v>
      </c>
      <c r="C369" s="134" t="str">
        <f>IF(ISBLANK(Clientes!L354),"NULL",CONCATENATE("'",Clientes!L354,"'"))</f>
        <v>NULL</v>
      </c>
      <c r="D369" s="114" t="str">
        <f>CONCATENATE("'",Clientes!A354,"'")</f>
        <v>'Monica - Chapihue 7123'</v>
      </c>
      <c r="E369" s="114" t="str">
        <f>IF(ISBLANK(Clientes!C354),"'Sin Direccion'",CONCATENATE("'",MID(Clientes!C354,1,95),"'"))</f>
        <v>'Chapihue 7123'</v>
      </c>
      <c r="F369" s="114">
        <v>13402</v>
      </c>
      <c r="G369" s="114">
        <v>13</v>
      </c>
      <c r="H369" s="135" t="s">
        <v>2137</v>
      </c>
      <c r="I369" s="122" t="str">
        <f t="shared" si="10"/>
        <v>INSERT INTO CLIENTES(RUT_CLIENTE,RAZON_SOCIAL,DIRECCION,ID_COMUNA,ID_REGION,FECHA_NACIMIENTO) VALUES (NULL,'Monica - Chapihue 7123','Chapihue 7123',13402,13,TO_DATE('29-11-1967','DD-MM-YYYY'));</v>
      </c>
    </row>
    <row r="370" spans="1:9" ht="26.4">
      <c r="A370" t="str">
        <f>Clientes!A355</f>
        <v>Monica Godoy</v>
      </c>
      <c r="B370" s="115">
        <f t="shared" si="11"/>
        <v>353</v>
      </c>
      <c r="C370" s="134" t="str">
        <f>IF(ISBLANK(Clientes!L355),"NULL",CONCATENATE("'",Clientes!L355,"'"))</f>
        <v>NULL</v>
      </c>
      <c r="D370" s="114" t="str">
        <f>CONCATENATE("'",Clientes!A355,"'")</f>
        <v>'Monica Godoy'</v>
      </c>
      <c r="E370" s="114" t="str">
        <f>IF(ISBLANK(Clientes!C355),"'Sin Direccion'",CONCATENATE("'",MID(Clientes!C355,1,95),"'"))</f>
        <v>'Santa Nelly 8927'</v>
      </c>
      <c r="F370" s="114">
        <v>13403</v>
      </c>
      <c r="G370" s="114">
        <v>13</v>
      </c>
      <c r="H370" s="135" t="s">
        <v>2137</v>
      </c>
      <c r="I370" s="122" t="str">
        <f t="shared" si="10"/>
        <v>INSERT INTO CLIENTES(RUT_CLIENTE,RAZON_SOCIAL,DIRECCION,ID_COMUNA,ID_REGION,FECHA_NACIMIENTO) VALUES (NULL,'Monica Godoy','Santa Nelly 8927',13403,13,TO_DATE('29-11-1967','DD-MM-YYYY'));</v>
      </c>
    </row>
    <row r="371" spans="1:9" ht="26.4">
      <c r="A371" t="str">
        <f>Clientes!A356</f>
        <v>Myrian Fernandez</v>
      </c>
      <c r="B371" s="115">
        <f t="shared" si="11"/>
        <v>354</v>
      </c>
      <c r="C371" s="134" t="str">
        <f>IF(ISBLANK(Clientes!L356),"NULL",CONCATENATE("'",Clientes!L356,"'"))</f>
        <v>NULL</v>
      </c>
      <c r="D371" s="114" t="str">
        <f>CONCATENATE("'",Clientes!A356,"'")</f>
        <v>'Myrian Fernandez'</v>
      </c>
      <c r="E371" s="114" t="str">
        <f>IF(ISBLANK(Clientes!C356),"'Sin Direccion'",CONCATENATE("'",MID(Clientes!C356,1,95),"'"))</f>
        <v>'Sin Direccion'</v>
      </c>
      <c r="F371" s="114">
        <v>13404</v>
      </c>
      <c r="G371" s="114">
        <v>13</v>
      </c>
      <c r="H371" s="135" t="s">
        <v>2137</v>
      </c>
      <c r="I371" s="122" t="str">
        <f t="shared" si="10"/>
        <v>INSERT INTO CLIENTES(RUT_CLIENTE,RAZON_SOCIAL,DIRECCION,ID_COMUNA,ID_REGION,FECHA_NACIMIENTO) VALUES (NULL,'Myrian Fernandez','Sin Direccion',13404,13,TO_DATE('29-11-1967','DD-MM-YYYY'));</v>
      </c>
    </row>
    <row r="372" spans="1:9" ht="26.4">
      <c r="A372" t="str">
        <f>Clientes!A357</f>
        <v>N-N Villa Alemana 7870</v>
      </c>
      <c r="B372" s="115">
        <f t="shared" si="11"/>
        <v>355</v>
      </c>
      <c r="C372" s="134" t="str">
        <f>IF(ISBLANK(Clientes!L357),"NULL",CONCATENATE("'",Clientes!L357,"'"))</f>
        <v>NULL</v>
      </c>
      <c r="D372" s="114" t="str">
        <f>CONCATENATE("'",Clientes!A357,"'")</f>
        <v>'N-N Villa Alemana 7870'</v>
      </c>
      <c r="E372" s="114" t="str">
        <f>IF(ISBLANK(Clientes!C357),"'Sin Direccion'",CONCATENATE("'",MID(Clientes!C357,1,95),"'"))</f>
        <v>'Villa Alemana 7870'</v>
      </c>
      <c r="F372" s="114">
        <v>13501</v>
      </c>
      <c r="G372" s="114">
        <v>13</v>
      </c>
      <c r="H372" s="135" t="s">
        <v>2137</v>
      </c>
      <c r="I372" s="122" t="str">
        <f t="shared" si="10"/>
        <v>INSERT INTO CLIENTES(RUT_CLIENTE,RAZON_SOCIAL,DIRECCION,ID_COMUNA,ID_REGION,FECHA_NACIMIENTO) VALUES (NULL,'N-N Villa Alemana 7870','Villa Alemana 7870',13501,13,TO_DATE('29-11-1967','DD-MM-YYYY'));</v>
      </c>
    </row>
    <row r="373" spans="1:9" ht="26.4">
      <c r="A373" t="str">
        <f>Clientes!A358</f>
        <v>Nancy - Ceibos</v>
      </c>
      <c r="B373" s="115">
        <f t="shared" si="11"/>
        <v>356</v>
      </c>
      <c r="C373" s="134" t="str">
        <f>IF(ISBLANK(Clientes!L358),"NULL",CONCATENATE("'",Clientes!L358,"'"))</f>
        <v>NULL</v>
      </c>
      <c r="D373" s="114" t="str">
        <f>CONCATENATE("'",Clientes!A358,"'")</f>
        <v>'Nancy - Ceibos'</v>
      </c>
      <c r="E373" s="114" t="str">
        <f>IF(ISBLANK(Clientes!C358),"'Sin Direccion'",CONCATENATE("'",MID(Clientes!C358,1,95),"'"))</f>
        <v>'Los ceibos oriente 9277'</v>
      </c>
      <c r="F373" s="114">
        <v>13502</v>
      </c>
      <c r="G373" s="114">
        <v>13</v>
      </c>
      <c r="H373" s="135" t="s">
        <v>2137</v>
      </c>
      <c r="I373" s="122" t="str">
        <f t="shared" si="10"/>
        <v>INSERT INTO CLIENTES(RUT_CLIENTE,RAZON_SOCIAL,DIRECCION,ID_COMUNA,ID_REGION,FECHA_NACIMIENTO) VALUES (NULL,'Nancy - Ceibos','Los ceibos oriente 9277',13502,13,TO_DATE('29-11-1967','DD-MM-YYYY'));</v>
      </c>
    </row>
    <row r="374" spans="1:9" ht="26.4">
      <c r="A374" t="str">
        <f>Clientes!A359</f>
        <v>Nancy Diaz Castro</v>
      </c>
      <c r="B374" s="115">
        <f t="shared" si="11"/>
        <v>357</v>
      </c>
      <c r="C374" s="134" t="str">
        <f>IF(ISBLANK(Clientes!L359),"NULL",CONCATENATE("'",Clientes!L359,"'"))</f>
        <v>NULL</v>
      </c>
      <c r="D374" s="114" t="str">
        <f>CONCATENATE("'",Clientes!A359,"'")</f>
        <v>'Nancy Diaz Castro'</v>
      </c>
      <c r="E374" s="114" t="str">
        <f>IF(ISBLANK(Clientes!C359),"'Sin Direccion'",CONCATENATE("'",MID(Clientes!C359,1,95),"'"))</f>
        <v>'Bristol 9431  /  Por Enrique Olivares doblar en Oxford/ cerca de AvLaflorida'</v>
      </c>
      <c r="F374" s="114">
        <v>13503</v>
      </c>
      <c r="G374" s="114">
        <v>13</v>
      </c>
      <c r="H374" s="135" t="s">
        <v>2137</v>
      </c>
      <c r="I374" s="122" t="str">
        <f t="shared" si="10"/>
        <v>INSERT INTO CLIENTES(RUT_CLIENTE,RAZON_SOCIAL,DIRECCION,ID_COMUNA,ID_REGION,FECHA_NACIMIENTO) VALUES (NULL,'Nancy Diaz Castro','Bristol 9431  /  Por Enrique Olivares doblar en Oxford/ cerca de AvLaflorida',13503,13,TO_DATE('29-11-1967','DD-MM-YYYY'));</v>
      </c>
    </row>
    <row r="375" spans="1:9" ht="26.4">
      <c r="A375" t="str">
        <f>Clientes!A360</f>
        <v>Natalia - Las Cumbres</v>
      </c>
      <c r="B375" s="115">
        <f t="shared" si="11"/>
        <v>358</v>
      </c>
      <c r="C375" s="134" t="str">
        <f>IF(ISBLANK(Clientes!L360),"NULL",CONCATENATE("'",Clientes!L360,"'"))</f>
        <v>NULL</v>
      </c>
      <c r="D375" s="114" t="str">
        <f>CONCATENATE("'",Clientes!A360,"'")</f>
        <v>'Natalia - Las Cumbres'</v>
      </c>
      <c r="E375" s="114" t="str">
        <f>IF(ISBLANK(Clientes!C360),"'Sin Direccion'",CONCATENATE("'",MID(Clientes!C360,1,95),"'"))</f>
        <v>'Condominio Las cumbres Torre 5 dpto. 651'</v>
      </c>
      <c r="F375" s="114">
        <v>13504</v>
      </c>
      <c r="G375" s="114">
        <v>13</v>
      </c>
      <c r="H375" s="135" t="s">
        <v>2137</v>
      </c>
      <c r="I375" s="122" t="str">
        <f t="shared" si="10"/>
        <v>INSERT INTO CLIENTES(RUT_CLIENTE,RAZON_SOCIAL,DIRECCION,ID_COMUNA,ID_REGION,FECHA_NACIMIENTO) VALUES (NULL,'Natalia - Las Cumbres','Condominio Las cumbres Torre 5 dpto. 651',13504,13,TO_DATE('29-11-1967','DD-MM-YYYY'));</v>
      </c>
    </row>
    <row r="376" spans="1:9" ht="26.4">
      <c r="A376" t="str">
        <f>Clientes!A361</f>
        <v>Natalia Zamora Orellana</v>
      </c>
      <c r="B376" s="115">
        <f t="shared" si="11"/>
        <v>359</v>
      </c>
      <c r="C376" s="134" t="str">
        <f>IF(ISBLANK(Clientes!L361),"NULL",CONCATENATE("'",Clientes!L361,"'"))</f>
        <v>NULL</v>
      </c>
      <c r="D376" s="114" t="str">
        <f>CONCATENATE("'",Clientes!A361,"'")</f>
        <v>'Natalia Zamora Orellana'</v>
      </c>
      <c r="E376" s="114" t="str">
        <f>IF(ISBLANK(Clientes!C361),"'Sin Direccion'",CONCATENATE("'",MID(Clientes!C361,1,95),"'"))</f>
        <v>'Sin Direccion'</v>
      </c>
      <c r="F376" s="114">
        <v>13505</v>
      </c>
      <c r="G376" s="114">
        <v>13</v>
      </c>
      <c r="H376" s="135" t="s">
        <v>2137</v>
      </c>
      <c r="I376" s="122" t="str">
        <f t="shared" si="10"/>
        <v>INSERT INTO CLIENTES(RUT_CLIENTE,RAZON_SOCIAL,DIRECCION,ID_COMUNA,ID_REGION,FECHA_NACIMIENTO) VALUES (NULL,'Natalia Zamora Orellana','Sin Direccion',13505,13,TO_DATE('29-11-1967','DD-MM-YYYY'));</v>
      </c>
    </row>
    <row r="377" spans="1:9" ht="26.4">
      <c r="A377" t="str">
        <f>Clientes!A362</f>
        <v>Nathaly Gajardo</v>
      </c>
      <c r="B377" s="115">
        <f t="shared" si="11"/>
        <v>360</v>
      </c>
      <c r="C377" s="134" t="str">
        <f>IF(ISBLANK(Clientes!L362),"NULL",CONCATENATE("'",Clientes!L362,"'"))</f>
        <v>NULL</v>
      </c>
      <c r="D377" s="114" t="str">
        <f>CONCATENATE("'",Clientes!A362,"'")</f>
        <v>'Nathaly Gajardo'</v>
      </c>
      <c r="E377" s="114" t="str">
        <f>IF(ISBLANK(Clientes!C362),"'Sin Direccion'",CONCATENATE("'",MID(Clientes!C362,1,95),"'"))</f>
        <v>'Depto 703'</v>
      </c>
      <c r="F377" s="114">
        <v>13601</v>
      </c>
      <c r="G377" s="114">
        <v>13</v>
      </c>
      <c r="H377" s="135" t="s">
        <v>2137</v>
      </c>
      <c r="I377" s="122" t="str">
        <f t="shared" si="10"/>
        <v>INSERT INTO CLIENTES(RUT_CLIENTE,RAZON_SOCIAL,DIRECCION,ID_COMUNA,ID_REGION,FECHA_NACIMIENTO) VALUES (NULL,'Nathaly Gajardo','Depto 703',13601,13,TO_DATE('29-11-1967','DD-MM-YYYY'));</v>
      </c>
    </row>
    <row r="378" spans="1:9" ht="26.4">
      <c r="A378" t="str">
        <f>Clientes!A363</f>
        <v>Nicole - Jardin del Eden</v>
      </c>
      <c r="B378" s="115">
        <f t="shared" si="11"/>
        <v>361</v>
      </c>
      <c r="C378" s="134" t="str">
        <f>IF(ISBLANK(Clientes!L363),"NULL",CONCATENATE("'",Clientes!L363,"'"))</f>
        <v>NULL</v>
      </c>
      <c r="D378" s="114" t="str">
        <f>CONCATENATE("'",Clientes!A363,"'")</f>
        <v>'Nicole - Jardin del Eden'</v>
      </c>
      <c r="E378" s="114" t="str">
        <f>IF(ISBLANK(Clientes!C363),"'Sin Direccion'",CONCATENATE("'",MID(Clientes!C363,1,95),"'"))</f>
        <v>'Plaza el Lingue 3477'</v>
      </c>
      <c r="F378" s="114">
        <v>13602</v>
      </c>
      <c r="G378" s="114">
        <v>13</v>
      </c>
      <c r="H378" s="135" t="s">
        <v>2137</v>
      </c>
      <c r="I378" s="122" t="str">
        <f t="shared" si="10"/>
        <v>INSERT INTO CLIENTES(RUT_CLIENTE,RAZON_SOCIAL,DIRECCION,ID_COMUNA,ID_REGION,FECHA_NACIMIENTO) VALUES (NULL,'Nicole - Jardin del Eden','Plaza el Lingue 3477',13602,13,TO_DATE('29-11-1967','DD-MM-YYYY'));</v>
      </c>
    </row>
    <row r="379" spans="1:9" ht="26.4">
      <c r="A379" t="str">
        <f>Clientes!A364</f>
        <v>Nicole - San Luis</v>
      </c>
      <c r="B379" s="115">
        <f t="shared" si="11"/>
        <v>362</v>
      </c>
      <c r="C379" s="134" t="str">
        <f>IF(ISBLANK(Clientes!L364),"NULL",CONCATENATE("'",Clientes!L364,"'"))</f>
        <v>NULL</v>
      </c>
      <c r="D379" s="114" t="str">
        <f>CONCATENATE("'",Clientes!A364,"'")</f>
        <v>'Nicole - San Luis'</v>
      </c>
      <c r="E379" s="114" t="str">
        <f>IF(ISBLANK(Clientes!C364),"'Sin Direccion'",CONCATENATE("'",MID(Clientes!C364,1,95),"'"))</f>
        <v>'Pasaje 403 casa 5761 Peñalolén'</v>
      </c>
      <c r="F379" s="114">
        <v>13603</v>
      </c>
      <c r="G379" s="114">
        <v>13</v>
      </c>
      <c r="H379" s="135" t="s">
        <v>2137</v>
      </c>
      <c r="I379" s="122" t="str">
        <f t="shared" si="10"/>
        <v>INSERT INTO CLIENTES(RUT_CLIENTE,RAZON_SOCIAL,DIRECCION,ID_COMUNA,ID_REGION,FECHA_NACIMIENTO) VALUES (NULL,'Nicole - San Luis','Pasaje 403 casa 5761 Peñalolén',13603,13,TO_DATE('29-11-1967','DD-MM-YYYY'));</v>
      </c>
    </row>
    <row r="380" spans="1:9" ht="26.4">
      <c r="A380" t="str">
        <f>Clientes!A365</f>
        <v>Nicole Guzman</v>
      </c>
      <c r="B380" s="115">
        <f t="shared" si="11"/>
        <v>363</v>
      </c>
      <c r="C380" s="134" t="str">
        <f>IF(ISBLANK(Clientes!L365),"NULL",CONCATENATE("'",Clientes!L365,"'"))</f>
        <v>NULL</v>
      </c>
      <c r="D380" s="114" t="str">
        <f>CONCATENATE("'",Clientes!A365,"'")</f>
        <v>'Nicole Guzman'</v>
      </c>
      <c r="E380" s="114" t="str">
        <f>IF(ISBLANK(Clientes!C365),"'Sin Direccion'",CONCATENATE("'",MID(Clientes!C365,1,95),"'"))</f>
        <v>'Jardin del eden 3316'</v>
      </c>
      <c r="F380" s="114">
        <v>13604</v>
      </c>
      <c r="G380" s="114">
        <v>13</v>
      </c>
      <c r="H380" s="135" t="s">
        <v>2137</v>
      </c>
      <c r="I380" s="122" t="str">
        <f t="shared" si="10"/>
        <v>INSERT INTO CLIENTES(RUT_CLIENTE,RAZON_SOCIAL,DIRECCION,ID_COMUNA,ID_REGION,FECHA_NACIMIENTO) VALUES (NULL,'Nicole Guzman','Jardin del eden 3316',13604,13,TO_DATE('29-11-1967','DD-MM-YYYY'));</v>
      </c>
    </row>
    <row r="381" spans="1:9" ht="26.4">
      <c r="A381" t="str">
        <f>Clientes!A366</f>
        <v>NIDO DEL CARPINTERIO SPA</v>
      </c>
      <c r="B381" s="115">
        <f t="shared" si="11"/>
        <v>364</v>
      </c>
      <c r="C381" s="134" t="str">
        <f>IF(ISBLANK(Clientes!L366),"NULL",CONCATENATE("'",Clientes!L366,"'"))</f>
        <v>'78084059-5'</v>
      </c>
      <c r="D381" s="114" t="str">
        <f>CONCATENATE("'",Clientes!A366,"'")</f>
        <v>'NIDO DEL CARPINTERIO SPA'</v>
      </c>
      <c r="E381" s="114" t="str">
        <f>IF(ISBLANK(Clientes!C366),"'Sin Direccion'",CONCATENATE("'",MID(Clientes!C366,1,95),"'"))</f>
        <v>'Canquen 8826 / en araucania llegando a rojas magallanes'</v>
      </c>
      <c r="F381" s="114">
        <v>13605</v>
      </c>
      <c r="G381" s="114">
        <v>13</v>
      </c>
      <c r="H381" s="135" t="s">
        <v>2137</v>
      </c>
      <c r="I381" s="122" t="str">
        <f t="shared" si="10"/>
        <v>INSERT INTO CLIENTES(RUT_CLIENTE,RAZON_SOCIAL,DIRECCION,ID_COMUNA,ID_REGION,FECHA_NACIMIENTO) VALUES ('78084059-5','NIDO DEL CARPINTERIO SPA','Canquen 8826 / en araucania llegando a rojas magallanes',13605,13,TO_DATE('29-11-1967','DD-MM-YYYY'));</v>
      </c>
    </row>
    <row r="382" spans="1:9" ht="26.4">
      <c r="A382" t="str">
        <f>Clientes!A367</f>
        <v>Nora - Dante</v>
      </c>
      <c r="B382" s="115">
        <f t="shared" si="11"/>
        <v>365</v>
      </c>
      <c r="C382" s="134" t="str">
        <f>IF(ISBLANK(Clientes!L367),"NULL",CONCATENATE("'",Clientes!L367,"'"))</f>
        <v>NULL</v>
      </c>
      <c r="D382" s="114" t="str">
        <f>CONCATENATE("'",Clientes!A367,"'")</f>
        <v>'Nora - Dante'</v>
      </c>
      <c r="E382" s="114" t="str">
        <f>IF(ISBLANK(Clientes!C367),"'Sin Direccion'",CONCATENATE("'",MID(Clientes!C367,1,95),"'"))</f>
        <v>'Sandalo sur 3429'</v>
      </c>
      <c r="F382" s="114">
        <v>13101</v>
      </c>
      <c r="G382" s="114">
        <v>13</v>
      </c>
      <c r="H382" s="135" t="s">
        <v>2137</v>
      </c>
      <c r="I382" s="122" t="str">
        <f t="shared" si="10"/>
        <v>INSERT INTO CLIENTES(RUT_CLIENTE,RAZON_SOCIAL,DIRECCION,ID_COMUNA,ID_REGION,FECHA_NACIMIENTO) VALUES (NULL,'Nora - Dante','Sandalo sur 3429',13101,13,TO_DATE('29-11-1967','DD-MM-YYYY'));</v>
      </c>
    </row>
    <row r="383" spans="1:9" ht="26.4">
      <c r="A383" t="str">
        <f>Clientes!A368</f>
        <v>Octavio Puertas</v>
      </c>
      <c r="B383" s="115">
        <f t="shared" si="11"/>
        <v>366</v>
      </c>
      <c r="C383" s="134" t="str">
        <f>IF(ISBLANK(Clientes!L368),"NULL",CONCATENATE("'",Clientes!L368,"'"))</f>
        <v>NULL</v>
      </c>
      <c r="D383" s="114" t="str">
        <f>CONCATENATE("'",Clientes!A368,"'")</f>
        <v>'Octavio Puertas'</v>
      </c>
      <c r="E383" s="114" t="str">
        <f>IF(ISBLANK(Clientes!C368),"'Sin Direccion'",CONCATENATE("'",MID(Clientes!C368,1,95),"'"))</f>
        <v>'Del Bosque 3555'</v>
      </c>
      <c r="F383" s="114">
        <v>13102</v>
      </c>
      <c r="G383" s="114">
        <v>13</v>
      </c>
      <c r="H383" s="135" t="s">
        <v>2137</v>
      </c>
      <c r="I383" s="122" t="str">
        <f t="shared" si="10"/>
        <v>INSERT INTO CLIENTES(RUT_CLIENTE,RAZON_SOCIAL,DIRECCION,ID_COMUNA,ID_REGION,FECHA_NACIMIENTO) VALUES (NULL,'Octavio Puertas','Del Bosque 3555',13102,13,TO_DATE('29-11-1967','DD-MM-YYYY'));</v>
      </c>
    </row>
    <row r="384" spans="1:9" ht="26.4">
      <c r="A384" t="str">
        <f>Clientes!A369</f>
        <v>Oscar Leiva</v>
      </c>
      <c r="B384" s="115">
        <f t="shared" si="11"/>
        <v>367</v>
      </c>
      <c r="C384" s="134" t="str">
        <f>IF(ISBLANK(Clientes!L369),"NULL",CONCATENATE("'",Clientes!L369,"'"))</f>
        <v>NULL</v>
      </c>
      <c r="D384" s="114" t="str">
        <f>CONCATENATE("'",Clientes!A369,"'")</f>
        <v>'Oscar Leiva'</v>
      </c>
      <c r="E384" s="114" t="str">
        <f>IF(ISBLANK(Clientes!C369),"'Sin Direccion'",CONCATENATE("'",MID(Clientes!C369,1,95),"'"))</f>
        <v>'Alicahue 7377 casa 20'</v>
      </c>
      <c r="F384" s="114">
        <v>13103</v>
      </c>
      <c r="G384" s="114">
        <v>13</v>
      </c>
      <c r="H384" s="135" t="s">
        <v>2137</v>
      </c>
      <c r="I384" s="122" t="str">
        <f t="shared" si="10"/>
        <v>INSERT INTO CLIENTES(RUT_CLIENTE,RAZON_SOCIAL,DIRECCION,ID_COMUNA,ID_REGION,FECHA_NACIMIENTO) VALUES (NULL,'Oscar Leiva','Alicahue 7377 casa 20',13103,13,TO_DATE('29-11-1967','DD-MM-YYYY'));</v>
      </c>
    </row>
    <row r="385" spans="1:9" ht="26.4">
      <c r="A385" t="str">
        <f>Clientes!A370</f>
        <v>Oscar Martinez</v>
      </c>
      <c r="B385" s="115">
        <f t="shared" si="11"/>
        <v>368</v>
      </c>
      <c r="C385" s="134" t="str">
        <f>IF(ISBLANK(Clientes!L370),"NULL",CONCATENATE("'",Clientes!L370,"'"))</f>
        <v>NULL</v>
      </c>
      <c r="D385" s="114" t="str">
        <f>CONCATENATE("'",Clientes!A370,"'")</f>
        <v>'Oscar Martinez'</v>
      </c>
      <c r="E385" s="114" t="str">
        <f>IF(ISBLANK(Clientes!C370),"'Sin Direccion'",CONCATENATE("'",MID(Clientes!C370,1,95),"'"))</f>
        <v>'Santa Isidora 2458'</v>
      </c>
      <c r="F385" s="114">
        <v>13104</v>
      </c>
      <c r="G385" s="114">
        <v>13</v>
      </c>
      <c r="H385" s="135" t="s">
        <v>2137</v>
      </c>
      <c r="I385" s="122" t="str">
        <f t="shared" si="10"/>
        <v>INSERT INTO CLIENTES(RUT_CLIENTE,RAZON_SOCIAL,DIRECCION,ID_COMUNA,ID_REGION,FECHA_NACIMIENTO) VALUES (NULL,'Oscar Martinez','Santa Isidora 2458',13104,13,TO_DATE('29-11-1967','DD-MM-YYYY'));</v>
      </c>
    </row>
    <row r="386" spans="1:9" ht="26.4">
      <c r="A386" t="str">
        <f>Clientes!A371</f>
        <v>Pablo León</v>
      </c>
      <c r="B386" s="115">
        <f t="shared" si="11"/>
        <v>369</v>
      </c>
      <c r="C386" s="134" t="str">
        <f>IF(ISBLANK(Clientes!L371),"NULL",CONCATENATE("'",Clientes!L371,"'"))</f>
        <v>NULL</v>
      </c>
      <c r="D386" s="114" t="str">
        <f>CONCATENATE("'",Clientes!A371,"'")</f>
        <v>'Pablo León'</v>
      </c>
      <c r="E386" s="114" t="str">
        <f>IF(ISBLANK(Clientes!C371),"'Sin Direccion'",CONCATENATE("'",MID(Clientes!C371,1,95),"'"))</f>
        <v>'Trukur 9536'</v>
      </c>
      <c r="F386" s="114">
        <v>13105</v>
      </c>
      <c r="G386" s="114">
        <v>13</v>
      </c>
      <c r="H386" s="135" t="s">
        <v>2137</v>
      </c>
      <c r="I386" s="122" t="str">
        <f t="shared" si="10"/>
        <v>INSERT INTO CLIENTES(RUT_CLIENTE,RAZON_SOCIAL,DIRECCION,ID_COMUNA,ID_REGION,FECHA_NACIMIENTO) VALUES (NULL,'Pablo León','Trukur 9536',13105,13,TO_DATE('29-11-1967','DD-MM-YYYY'));</v>
      </c>
    </row>
    <row r="387" spans="1:9" ht="26.4">
      <c r="A387" t="str">
        <f>Clientes!A372</f>
        <v>Pamela - Las Chilcas Poniente</v>
      </c>
      <c r="B387" s="115">
        <f t="shared" si="11"/>
        <v>370</v>
      </c>
      <c r="C387" s="134" t="str">
        <f>IF(ISBLANK(Clientes!L372),"NULL",CONCATENATE("'",Clientes!L372,"'"))</f>
        <v>NULL</v>
      </c>
      <c r="D387" s="114" t="str">
        <f>CONCATENATE("'",Clientes!A372,"'")</f>
        <v>'Pamela - Las Chilcas Poniente'</v>
      </c>
      <c r="E387" s="114" t="str">
        <f>IF(ISBLANK(Clientes!C372),"'Sin Direccion'",CONCATENATE("'",MID(Clientes!C372,1,95),"'"))</f>
        <v>'Rojas Magallanes 4210'</v>
      </c>
      <c r="F387" s="114">
        <v>13106</v>
      </c>
      <c r="G387" s="114">
        <v>13</v>
      </c>
      <c r="H387" s="135" t="s">
        <v>2137</v>
      </c>
      <c r="I387" s="122" t="str">
        <f t="shared" si="10"/>
        <v>INSERT INTO CLIENTES(RUT_CLIENTE,RAZON_SOCIAL,DIRECCION,ID_COMUNA,ID_REGION,FECHA_NACIMIENTO) VALUES (NULL,'Pamela - Las Chilcas Poniente','Rojas Magallanes 4210',13106,13,TO_DATE('29-11-1967','DD-MM-YYYY'));</v>
      </c>
    </row>
    <row r="388" spans="1:9" ht="26.4">
      <c r="A388" t="str">
        <f>Clientes!A373</f>
        <v>Pamela Bahamondes</v>
      </c>
      <c r="B388" s="115">
        <f t="shared" si="11"/>
        <v>371</v>
      </c>
      <c r="C388" s="134" t="str">
        <f>IF(ISBLANK(Clientes!L373),"NULL",CONCATENATE("'",Clientes!L373,"'"))</f>
        <v>NULL</v>
      </c>
      <c r="D388" s="114" t="str">
        <f>CONCATENATE("'",Clientes!A373,"'")</f>
        <v>'Pamela Bahamondes'</v>
      </c>
      <c r="E388" s="114" t="str">
        <f>IF(ISBLANK(Clientes!C373),"'Sin Direccion'",CONCATENATE("'",MID(Clientes!C373,1,95),"'"))</f>
        <v>'Sin Direccion'</v>
      </c>
      <c r="F388" s="114">
        <v>13107</v>
      </c>
      <c r="G388" s="114">
        <v>13</v>
      </c>
      <c r="H388" s="135" t="s">
        <v>2137</v>
      </c>
      <c r="I388" s="122" t="str">
        <f t="shared" si="10"/>
        <v>INSERT INTO CLIENTES(RUT_CLIENTE,RAZON_SOCIAL,DIRECCION,ID_COMUNA,ID_REGION,FECHA_NACIMIENTO) VALUES (NULL,'Pamela Bahamondes','Sin Direccion',13107,13,TO_DATE('29-11-1967','DD-MM-YYYY'));</v>
      </c>
    </row>
    <row r="389" spans="1:9" ht="26.4">
      <c r="A389" t="str">
        <f>Clientes!A374</f>
        <v>Pamela Droguet</v>
      </c>
      <c r="B389" s="115">
        <f t="shared" si="11"/>
        <v>372</v>
      </c>
      <c r="C389" s="134" t="str">
        <f>IF(ISBLANK(Clientes!L374),"NULL",CONCATENATE("'",Clientes!L374,"'"))</f>
        <v>NULL</v>
      </c>
      <c r="D389" s="114" t="str">
        <f>CONCATENATE("'",Clientes!A374,"'")</f>
        <v>'Pamela Droguet'</v>
      </c>
      <c r="E389" s="114" t="str">
        <f>IF(ISBLANK(Clientes!C374),"'Sin Direccion'",CONCATENATE("'",MID(Clientes!C374,1,95),"'"))</f>
        <v>'Sin Direccion'</v>
      </c>
      <c r="F389" s="114">
        <v>13108</v>
      </c>
      <c r="G389" s="114">
        <v>13</v>
      </c>
      <c r="H389" s="135" t="s">
        <v>2137</v>
      </c>
      <c r="I389" s="122" t="str">
        <f t="shared" si="10"/>
        <v>INSERT INTO CLIENTES(RUT_CLIENTE,RAZON_SOCIAL,DIRECCION,ID_COMUNA,ID_REGION,FECHA_NACIMIENTO) VALUES (NULL,'Pamela Droguet','Sin Direccion',13108,13,TO_DATE('29-11-1967','DD-MM-YYYY'));</v>
      </c>
    </row>
    <row r="390" spans="1:9" ht="26.4">
      <c r="A390" t="str">
        <f>Clientes!A375</f>
        <v>Pamela Navarro</v>
      </c>
      <c r="B390" s="115">
        <f t="shared" si="11"/>
        <v>373</v>
      </c>
      <c r="C390" s="134" t="str">
        <f>IF(ISBLANK(Clientes!L375),"NULL",CONCATENATE("'",Clientes!L375,"'"))</f>
        <v>NULL</v>
      </c>
      <c r="D390" s="114" t="str">
        <f>CONCATENATE("'",Clientes!A375,"'")</f>
        <v>'Pamela Navarro'</v>
      </c>
      <c r="E390" s="114" t="str">
        <f>IF(ISBLANK(Clientes!C375),"'Sin Direccion'",CONCATENATE("'",MID(Clientes!C375,1,95),"'"))</f>
        <v>'Sin Direccion'</v>
      </c>
      <c r="F390" s="114">
        <v>13109</v>
      </c>
      <c r="G390" s="114">
        <v>13</v>
      </c>
      <c r="H390" s="135" t="s">
        <v>2137</v>
      </c>
      <c r="I390" s="122" t="str">
        <f t="shared" si="10"/>
        <v>INSERT INTO CLIENTES(RUT_CLIENTE,RAZON_SOCIAL,DIRECCION,ID_COMUNA,ID_REGION,FECHA_NACIMIENTO) VALUES (NULL,'Pamela Navarro','Sin Direccion',13109,13,TO_DATE('29-11-1967','DD-MM-YYYY'));</v>
      </c>
    </row>
    <row r="391" spans="1:9" ht="26.4">
      <c r="A391" t="str">
        <f>Clientes!A376</f>
        <v>Pamela Rojas</v>
      </c>
      <c r="B391" s="115">
        <f t="shared" si="11"/>
        <v>374</v>
      </c>
      <c r="C391" s="134" t="str">
        <f>IF(ISBLANK(Clientes!L376),"NULL",CONCATENATE("'",Clientes!L376,"'"))</f>
        <v>NULL</v>
      </c>
      <c r="D391" s="114" t="str">
        <f>CONCATENATE("'",Clientes!A376,"'")</f>
        <v>'Pamela Rojas'</v>
      </c>
      <c r="E391" s="114" t="str">
        <f>IF(ISBLANK(Clientes!C376),"'Sin Direccion'",CONCATENATE("'",MID(Clientes!C376,1,95),"'"))</f>
        <v>'Sin Direccion'</v>
      </c>
      <c r="F391" s="114">
        <v>13110</v>
      </c>
      <c r="G391" s="114">
        <v>13</v>
      </c>
      <c r="H391" s="135" t="s">
        <v>2137</v>
      </c>
      <c r="I391" s="122" t="str">
        <f t="shared" si="10"/>
        <v>INSERT INTO CLIENTES(RUT_CLIENTE,RAZON_SOCIAL,DIRECCION,ID_COMUNA,ID_REGION,FECHA_NACIMIENTO) VALUES (NULL,'Pamela Rojas','Sin Direccion',13110,13,TO_DATE('29-11-1967','DD-MM-YYYY'));</v>
      </c>
    </row>
    <row r="392" spans="1:9" ht="26.4">
      <c r="A392" t="str">
        <f>Clientes!A377</f>
        <v>Pamela Romero</v>
      </c>
      <c r="B392" s="115">
        <f t="shared" si="11"/>
        <v>375</v>
      </c>
      <c r="C392" s="134" t="str">
        <f>IF(ISBLANK(Clientes!L377),"NULL",CONCATENATE("'",Clientes!L377,"'"))</f>
        <v>NULL</v>
      </c>
      <c r="D392" s="114" t="str">
        <f>CONCATENATE("'",Clientes!A377,"'")</f>
        <v>'Pamela Romero'</v>
      </c>
      <c r="E392" s="114" t="str">
        <f>IF(ISBLANK(Clientes!C377),"'Sin Direccion'",CONCATENATE("'",MID(Clientes!C377,1,95),"'"))</f>
        <v>'Sin Direccion'</v>
      </c>
      <c r="F392" s="114">
        <v>13111</v>
      </c>
      <c r="G392" s="114">
        <v>13</v>
      </c>
      <c r="H392" s="135" t="s">
        <v>2137</v>
      </c>
      <c r="I392" s="122" t="str">
        <f t="shared" si="10"/>
        <v>INSERT INTO CLIENTES(RUT_CLIENTE,RAZON_SOCIAL,DIRECCION,ID_COMUNA,ID_REGION,FECHA_NACIMIENTO) VALUES (NULL,'Pamela Romero','Sin Direccion',13111,13,TO_DATE('29-11-1967','DD-MM-YYYY'));</v>
      </c>
    </row>
    <row r="393" spans="1:9" ht="26.4">
      <c r="A393" t="str">
        <f>Clientes!A378</f>
        <v>Pamela Ruiz</v>
      </c>
      <c r="B393" s="115">
        <f t="shared" si="11"/>
        <v>376</v>
      </c>
      <c r="C393" s="134" t="str">
        <f>IF(ISBLANK(Clientes!L378),"NULL",CONCATENATE("'",Clientes!L378,"'"))</f>
        <v>NULL</v>
      </c>
      <c r="D393" s="114" t="str">
        <f>CONCATENATE("'",Clientes!A378,"'")</f>
        <v>'Pamela Ruiz'</v>
      </c>
      <c r="E393" s="114" t="str">
        <f>IF(ISBLANK(Clientes!C378),"'Sin Direccion'",CONCATENATE("'",MID(Clientes!C378,1,95),"'"))</f>
        <v>'Rojas Magallenes 2312, Depto 147'</v>
      </c>
      <c r="F393" s="114">
        <v>13112</v>
      </c>
      <c r="G393" s="114">
        <v>13</v>
      </c>
      <c r="H393" s="135" t="s">
        <v>2137</v>
      </c>
      <c r="I393" s="122" t="str">
        <f t="shared" si="10"/>
        <v>INSERT INTO CLIENTES(RUT_CLIENTE,RAZON_SOCIAL,DIRECCION,ID_COMUNA,ID_REGION,FECHA_NACIMIENTO) VALUES (NULL,'Pamela Ruiz','Rojas Magallenes 2312, Depto 147',13112,13,TO_DATE('29-11-1967','DD-MM-YYYY'));</v>
      </c>
    </row>
    <row r="394" spans="1:9" ht="26.4">
      <c r="A394" t="str">
        <f>Clientes!A379</f>
        <v>Pamela Santa Delia</v>
      </c>
      <c r="B394" s="115">
        <f t="shared" si="11"/>
        <v>377</v>
      </c>
      <c r="C394" s="134" t="str">
        <f>IF(ISBLANK(Clientes!L379),"NULL",CONCATENATE("'",Clientes!L379,"'"))</f>
        <v>NULL</v>
      </c>
      <c r="D394" s="114" t="str">
        <f>CONCATENATE("'",Clientes!A379,"'")</f>
        <v>'Pamela Santa Delia'</v>
      </c>
      <c r="E394" s="114" t="str">
        <f>IF(ISBLANK(Clientes!C379),"'Sin Direccion'",CONCATENATE("'",MID(Clientes!C379,1,95),"'"))</f>
        <v>'Santa aurora 2452. Frente a la plaza queda ..santa aurora'</v>
      </c>
      <c r="F394" s="114">
        <v>13113</v>
      </c>
      <c r="G394" s="114">
        <v>13</v>
      </c>
      <c r="H394" s="135" t="s">
        <v>2137</v>
      </c>
      <c r="I394" s="122" t="str">
        <f t="shared" si="10"/>
        <v>INSERT INTO CLIENTES(RUT_CLIENTE,RAZON_SOCIAL,DIRECCION,ID_COMUNA,ID_REGION,FECHA_NACIMIENTO) VALUES (NULL,'Pamela Santa Delia','Santa aurora 2452. Frente a la plaza queda ..santa aurora',13113,13,TO_DATE('29-11-1967','DD-MM-YYYY'));</v>
      </c>
    </row>
    <row r="395" spans="1:9" ht="26.4">
      <c r="A395" t="str">
        <f>Clientes!A380</f>
        <v>Pamela-Leonardo</v>
      </c>
      <c r="B395" s="115">
        <f t="shared" si="11"/>
        <v>378</v>
      </c>
      <c r="C395" s="134" t="str">
        <f>IF(ISBLANK(Clientes!L380),"NULL",CONCATENATE("'",Clientes!L380,"'"))</f>
        <v>NULL</v>
      </c>
      <c r="D395" s="114" t="str">
        <f>CONCATENATE("'",Clientes!A380,"'")</f>
        <v>'Pamela-Leonardo'</v>
      </c>
      <c r="E395" s="114" t="str">
        <f>IF(ISBLANK(Clientes!C380),"'Sin Direccion'",CONCATENATE("'",MID(Clientes!C380,1,95),"'"))</f>
        <v>'tbd'</v>
      </c>
      <c r="F395" s="114">
        <v>13114</v>
      </c>
      <c r="G395" s="114">
        <v>13</v>
      </c>
      <c r="H395" s="135" t="s">
        <v>2137</v>
      </c>
      <c r="I395" s="122" t="str">
        <f t="shared" si="10"/>
        <v>INSERT INTO CLIENTES(RUT_CLIENTE,RAZON_SOCIAL,DIRECCION,ID_COMUNA,ID_REGION,FECHA_NACIMIENTO) VALUES (NULL,'Pamela-Leonardo','tbd',13114,13,TO_DATE('29-11-1967','DD-MM-YYYY'));</v>
      </c>
    </row>
    <row r="396" spans="1:9" ht="26.4">
      <c r="A396" t="str">
        <f>Clientes!A381</f>
        <v>Paola - 21 Enero 7901</v>
      </c>
      <c r="B396" s="115">
        <f t="shared" si="11"/>
        <v>379</v>
      </c>
      <c r="C396" s="134" t="str">
        <f>IF(ISBLANK(Clientes!L381),"NULL",CONCATENATE("'",Clientes!L381,"'"))</f>
        <v>NULL</v>
      </c>
      <c r="D396" s="114" t="str">
        <f>CONCATENATE("'",Clientes!A381,"'")</f>
        <v>'Paola - 21 Enero 7901'</v>
      </c>
      <c r="E396" s="114" t="str">
        <f>IF(ISBLANK(Clientes!C381),"'Sin Direccion'",CONCATENATE("'",MID(Clientes!C381,1,95),"'"))</f>
        <v>'21 Enero 7901 / Geronimo Alderete'</v>
      </c>
      <c r="F396" s="114">
        <v>13115</v>
      </c>
      <c r="G396" s="114">
        <v>13</v>
      </c>
      <c r="H396" s="135" t="s">
        <v>2137</v>
      </c>
      <c r="I396" s="122" t="str">
        <f t="shared" si="10"/>
        <v>INSERT INTO CLIENTES(RUT_CLIENTE,RAZON_SOCIAL,DIRECCION,ID_COMUNA,ID_REGION,FECHA_NACIMIENTO) VALUES (NULL,'Paola - 21 Enero 7901','21 Enero 7901 / Geronimo Alderete',13115,13,TO_DATE('29-11-1967','DD-MM-YYYY'));</v>
      </c>
    </row>
    <row r="397" spans="1:9" ht="26.4">
      <c r="A397" t="str">
        <f>Clientes!A382</f>
        <v>Paola - Jardin del Eden</v>
      </c>
      <c r="B397" s="115">
        <f t="shared" si="11"/>
        <v>380</v>
      </c>
      <c r="C397" s="134" t="str">
        <f>IF(ISBLANK(Clientes!L382),"NULL",CONCATENATE("'",Clientes!L382,"'"))</f>
        <v>NULL</v>
      </c>
      <c r="D397" s="114" t="str">
        <f>CONCATENATE("'",Clientes!A382,"'")</f>
        <v>'Paola - Jardin del Eden'</v>
      </c>
      <c r="E397" s="114" t="str">
        <f>IF(ISBLANK(Clientes!C382),"'Sin Direccion'",CONCATENATE("'",MID(Clientes!C382,1,95),"'"))</f>
        <v>'Sin Direccion'</v>
      </c>
      <c r="F397" s="114">
        <v>13116</v>
      </c>
      <c r="G397" s="114">
        <v>13</v>
      </c>
      <c r="H397" s="135" t="s">
        <v>2137</v>
      </c>
      <c r="I397" s="122" t="str">
        <f t="shared" si="10"/>
        <v>INSERT INTO CLIENTES(RUT_CLIENTE,RAZON_SOCIAL,DIRECCION,ID_COMUNA,ID_REGION,FECHA_NACIMIENTO) VALUES (NULL,'Paola - Jardin del Eden','Sin Direccion',13116,13,TO_DATE('29-11-1967','DD-MM-YYYY'));</v>
      </c>
    </row>
    <row r="398" spans="1:9" ht="26.4">
      <c r="A398" t="str">
        <f>Clientes!A383</f>
        <v>Paola Araya Lopez</v>
      </c>
      <c r="B398" s="115">
        <f t="shared" si="11"/>
        <v>381</v>
      </c>
      <c r="C398" s="134" t="str">
        <f>IF(ISBLANK(Clientes!L383),"NULL",CONCATENATE("'",Clientes!L383,"'"))</f>
        <v>NULL</v>
      </c>
      <c r="D398" s="114" t="str">
        <f>CONCATENATE("'",Clientes!A383,"'")</f>
        <v>'Paola Araya Lopez'</v>
      </c>
      <c r="E398" s="114" t="str">
        <f>IF(ISBLANK(Clientes!C383),"'Sin Direccion'",CONCATENATE("'",MID(Clientes!C383,1,95),"'"))</f>
        <v>'Sin Direccion'</v>
      </c>
      <c r="F398" s="114">
        <v>13117</v>
      </c>
      <c r="G398" s="114">
        <v>13</v>
      </c>
      <c r="H398" s="135" t="s">
        <v>2137</v>
      </c>
      <c r="I398" s="122" t="str">
        <f t="shared" si="10"/>
        <v>INSERT INTO CLIENTES(RUT_CLIENTE,RAZON_SOCIAL,DIRECCION,ID_COMUNA,ID_REGION,FECHA_NACIMIENTO) VALUES (NULL,'Paola Araya Lopez','Sin Direccion',13117,13,TO_DATE('29-11-1967','DD-MM-YYYY'));</v>
      </c>
    </row>
    <row r="399" spans="1:9" ht="26.4">
      <c r="A399" t="str">
        <f>Clientes!A384</f>
        <v>Paola Encina</v>
      </c>
      <c r="B399" s="115">
        <f t="shared" si="11"/>
        <v>382</v>
      </c>
      <c r="C399" s="134" t="str">
        <f>IF(ISBLANK(Clientes!L384),"NULL",CONCATENATE("'",Clientes!L384,"'"))</f>
        <v>NULL</v>
      </c>
      <c r="D399" s="114" t="str">
        <f>CONCATENATE("'",Clientes!A384,"'")</f>
        <v>'Paola Encina'</v>
      </c>
      <c r="E399" s="114" t="str">
        <f>IF(ISBLANK(Clientes!C384),"'Sin Direccion'",CONCATENATE("'",MID(Clientes!C384,1,95),"'"))</f>
        <v>'Azucena del campo poniente 9262'</v>
      </c>
      <c r="F399" s="114">
        <v>13118</v>
      </c>
      <c r="G399" s="114">
        <v>13</v>
      </c>
      <c r="H399" s="135" t="s">
        <v>2137</v>
      </c>
      <c r="I399" s="122" t="str">
        <f t="shared" si="10"/>
        <v>INSERT INTO CLIENTES(RUT_CLIENTE,RAZON_SOCIAL,DIRECCION,ID_COMUNA,ID_REGION,FECHA_NACIMIENTO) VALUES (NULL,'Paola Encina','Azucena del campo poniente 9262',13118,13,TO_DATE('29-11-1967','DD-MM-YYYY'));</v>
      </c>
    </row>
    <row r="400" spans="1:9" ht="26.4">
      <c r="A400" t="str">
        <f>Clientes!A385</f>
        <v>Paola Mr</v>
      </c>
      <c r="B400" s="115">
        <f t="shared" si="11"/>
        <v>383</v>
      </c>
      <c r="C400" s="134" t="str">
        <f>IF(ISBLANK(Clientes!L385),"NULL",CONCATENATE("'",Clientes!L385,"'"))</f>
        <v>NULL</v>
      </c>
      <c r="D400" s="114" t="str">
        <f>CONCATENATE("'",Clientes!A385,"'")</f>
        <v>'Paola Mr'</v>
      </c>
      <c r="E400" s="114" t="str">
        <f>IF(ISBLANK(Clientes!C385),"'Sin Direccion'",CONCATENATE("'",MID(Clientes!C385,1,95),"'"))</f>
        <v>'Sin Direccion'</v>
      </c>
      <c r="F400" s="114">
        <v>13119</v>
      </c>
      <c r="G400" s="114">
        <v>13</v>
      </c>
      <c r="H400" s="135" t="s">
        <v>2137</v>
      </c>
      <c r="I400" s="122" t="str">
        <f t="shared" si="10"/>
        <v>INSERT INTO CLIENTES(RUT_CLIENTE,RAZON_SOCIAL,DIRECCION,ID_COMUNA,ID_REGION,FECHA_NACIMIENTO) VALUES (NULL,'Paola Mr','Sin Direccion',13119,13,TO_DATE('29-11-1967','DD-MM-YYYY'));</v>
      </c>
    </row>
    <row r="401" spans="1:9" ht="26.4">
      <c r="A401" t="str">
        <f>Clientes!A386</f>
        <v>Papa Fabiola Rojas</v>
      </c>
      <c r="B401" s="115">
        <f t="shared" si="11"/>
        <v>384</v>
      </c>
      <c r="C401" s="134" t="str">
        <f>IF(ISBLANK(Clientes!L386),"NULL",CONCATENATE("'",Clientes!L386,"'"))</f>
        <v>NULL</v>
      </c>
      <c r="D401" s="114" t="str">
        <f>CONCATENATE("'",Clientes!A386,"'")</f>
        <v>'Papa Fabiola Rojas'</v>
      </c>
      <c r="E401" s="114" t="str">
        <f>IF(ISBLANK(Clientes!C386),"'Sin Direccion'",CONCATENATE("'",MID(Clientes!C386,1,95),"'"))</f>
        <v>'Sin Direccion'</v>
      </c>
      <c r="F401" s="114">
        <v>13120</v>
      </c>
      <c r="G401" s="114">
        <v>13</v>
      </c>
      <c r="H401" s="135" t="s">
        <v>2137</v>
      </c>
      <c r="I401" s="122" t="str">
        <f t="shared" si="10"/>
        <v>INSERT INTO CLIENTES(RUT_CLIENTE,RAZON_SOCIAL,DIRECCION,ID_COMUNA,ID_REGION,FECHA_NACIMIENTO) VALUES (NULL,'Papa Fabiola Rojas','Sin Direccion',13120,13,TO_DATE('29-11-1967','DD-MM-YYYY'));</v>
      </c>
    </row>
    <row r="402" spans="1:9" ht="26.4">
      <c r="A402" t="str">
        <f>Clientes!A387</f>
        <v>Patricia - Mama de Tomas Castillo</v>
      </c>
      <c r="B402" s="115">
        <f t="shared" si="11"/>
        <v>385</v>
      </c>
      <c r="C402" s="134" t="str">
        <f>IF(ISBLANK(Clientes!L387),"NULL",CONCATENATE("'",Clientes!L387,"'"))</f>
        <v>NULL</v>
      </c>
      <c r="D402" s="114" t="str">
        <f>CONCATENATE("'",Clientes!A387,"'")</f>
        <v>'Patricia - Mama de Tomas Castillo'</v>
      </c>
      <c r="E402" s="114" t="str">
        <f>IF(ISBLANK(Clientes!C387),"'Sin Direccion'",CONCATENATE("'",MID(Clientes!C387,1,95),"'"))</f>
        <v>'Sin Direccion'</v>
      </c>
      <c r="F402" s="114">
        <v>13121</v>
      </c>
      <c r="G402" s="114">
        <v>13</v>
      </c>
      <c r="H402" s="135" t="s">
        <v>2137</v>
      </c>
      <c r="I402" s="122" t="str">
        <f t="shared" si="10"/>
        <v>INSERT INTO CLIENTES(RUT_CLIENTE,RAZON_SOCIAL,DIRECCION,ID_COMUNA,ID_REGION,FECHA_NACIMIENTO) VALUES (NULL,'Patricia - Mama de Tomas Castillo','Sin Direccion',13121,13,TO_DATE('29-11-1967','DD-MM-YYYY'));</v>
      </c>
    </row>
    <row r="403" spans="1:9" ht="26.4">
      <c r="A403" t="str">
        <f>Clientes!A388</f>
        <v>Patricia Flores</v>
      </c>
      <c r="B403" s="115">
        <f t="shared" si="11"/>
        <v>386</v>
      </c>
      <c r="C403" s="134" t="str">
        <f>IF(ISBLANK(Clientes!L388),"NULL",CONCATENATE("'",Clientes!L388,"'"))</f>
        <v>NULL</v>
      </c>
      <c r="D403" s="114" t="str">
        <f>CONCATENATE("'",Clientes!A388,"'")</f>
        <v>'Patricia Flores'</v>
      </c>
      <c r="E403" s="114" t="str">
        <f>IF(ISBLANK(Clientes!C388),"'Sin Direccion'",CONCATENATE("'",MID(Clientes!C388,1,95),"'"))</f>
        <v>'Belloto del norte oriente 9324'</v>
      </c>
      <c r="F403" s="114">
        <v>13122</v>
      </c>
      <c r="G403" s="114">
        <v>13</v>
      </c>
      <c r="H403" s="135" t="s">
        <v>2137</v>
      </c>
      <c r="I403" s="122" t="str">
        <f t="shared" ref="I403:I466" si="12">CONCATENATE("INSERT INTO CLIENTES(RUT_CLIENTE,RAZON_SOCIAL,DIRECCION,ID_COMUNA,ID_REGION,FECHA_NACIMIENTO) VALUES (",C403,",",D403,",",E403,",",F403,",",G403,",","TO_DATE('",H403,"','DD-MM-YYYY'));")</f>
        <v>INSERT INTO CLIENTES(RUT_CLIENTE,RAZON_SOCIAL,DIRECCION,ID_COMUNA,ID_REGION,FECHA_NACIMIENTO) VALUES (NULL,'Patricia Flores','Belloto del norte oriente 9324',13122,13,TO_DATE('29-11-1967','DD-MM-YYYY'));</v>
      </c>
    </row>
    <row r="404" spans="1:9" ht="26.4">
      <c r="A404" t="str">
        <f>Clientes!A389</f>
        <v>Patricia Friz</v>
      </c>
      <c r="B404" s="115">
        <f t="shared" ref="B404:B467" si="13">B403+1</f>
        <v>387</v>
      </c>
      <c r="C404" s="134" t="str">
        <f>IF(ISBLANK(Clientes!L389),"NULL",CONCATENATE("'",Clientes!L389,"'"))</f>
        <v>NULL</v>
      </c>
      <c r="D404" s="114" t="str">
        <f>CONCATENATE("'",Clientes!A389,"'")</f>
        <v>'Patricia Friz'</v>
      </c>
      <c r="E404" s="114" t="str">
        <f>IF(ISBLANK(Clientes!C389),"'Sin Direccion'",CONCATENATE("'",MID(Clientes!C389,1,95),"'"))</f>
        <v>'Alicahue 9266 / Rojas Magallanes'</v>
      </c>
      <c r="F404" s="114">
        <v>13123</v>
      </c>
      <c r="G404" s="114">
        <v>13</v>
      </c>
      <c r="H404" s="135" t="s">
        <v>2137</v>
      </c>
      <c r="I404" s="122" t="str">
        <f t="shared" si="12"/>
        <v>INSERT INTO CLIENTES(RUT_CLIENTE,RAZON_SOCIAL,DIRECCION,ID_COMUNA,ID_REGION,FECHA_NACIMIENTO) VALUES (NULL,'Patricia Friz','Alicahue 9266 / Rojas Magallanes',13123,13,TO_DATE('29-11-1967','DD-MM-YYYY'));</v>
      </c>
    </row>
    <row r="405" spans="1:9" ht="26.4">
      <c r="A405" t="str">
        <f>Clientes!A390</f>
        <v>Patricia Rojas (Mama Martina)</v>
      </c>
      <c r="B405" s="115">
        <f t="shared" si="13"/>
        <v>388</v>
      </c>
      <c r="C405" s="134" t="str">
        <f>IF(ISBLANK(Clientes!L390),"NULL",CONCATENATE("'",Clientes!L390,"'"))</f>
        <v>NULL</v>
      </c>
      <c r="D405" s="114" t="str">
        <f>CONCATENATE("'",Clientes!A390,"'")</f>
        <v>'Patricia Rojas (Mama Martina)'</v>
      </c>
      <c r="E405" s="114" t="str">
        <f>IF(ISBLANK(Clientes!C390),"'Sin Direccion'",CONCATENATE("'",MID(Clientes!C390,1,95),"'"))</f>
        <v>'Sin Direccion'</v>
      </c>
      <c r="F405" s="114">
        <v>13124</v>
      </c>
      <c r="G405" s="114">
        <v>13</v>
      </c>
      <c r="H405" s="135" t="s">
        <v>2137</v>
      </c>
      <c r="I405" s="122" t="str">
        <f t="shared" si="12"/>
        <v>INSERT INTO CLIENTES(RUT_CLIENTE,RAZON_SOCIAL,DIRECCION,ID_COMUNA,ID_REGION,FECHA_NACIMIENTO) VALUES (NULL,'Patricia Rojas (Mama Martina)','Sin Direccion',13124,13,TO_DATE('29-11-1967','DD-MM-YYYY'));</v>
      </c>
    </row>
    <row r="406" spans="1:9" ht="26.4">
      <c r="A406" t="str">
        <f>Clientes!A391</f>
        <v>Patricia Saavedra</v>
      </c>
      <c r="B406" s="115">
        <f t="shared" si="13"/>
        <v>389</v>
      </c>
      <c r="C406" s="134" t="str">
        <f>IF(ISBLANK(Clientes!L391),"NULL",CONCATENATE("'",Clientes!L391,"'"))</f>
        <v>NULL</v>
      </c>
      <c r="D406" s="114" t="str">
        <f>CONCATENATE("'",Clientes!A391,"'")</f>
        <v>'Patricia Saavedra'</v>
      </c>
      <c r="E406" s="114" t="str">
        <f>IF(ISBLANK(Clientes!C391),"'Sin Direccion'",CONCATENATE("'",MID(Clientes!C391,1,95),"'"))</f>
        <v>'Sin Direccion'</v>
      </c>
      <c r="F406" s="114">
        <v>13125</v>
      </c>
      <c r="G406" s="114">
        <v>13</v>
      </c>
      <c r="H406" s="135" t="s">
        <v>2137</v>
      </c>
      <c r="I406" s="122" t="str">
        <f t="shared" si="12"/>
        <v>INSERT INTO CLIENTES(RUT_CLIENTE,RAZON_SOCIAL,DIRECCION,ID_COMUNA,ID_REGION,FECHA_NACIMIENTO) VALUES (NULL,'Patricia Saavedra','Sin Direccion',13125,13,TO_DATE('29-11-1967','DD-MM-YYYY'));</v>
      </c>
    </row>
    <row r="407" spans="1:9" ht="26.4">
      <c r="A407" t="str">
        <f>Clientes!A392</f>
        <v>Patricio Castro</v>
      </c>
      <c r="B407" s="115">
        <f t="shared" si="13"/>
        <v>390</v>
      </c>
      <c r="C407" s="134" t="str">
        <f>IF(ISBLANK(Clientes!L392),"NULL",CONCATENATE("'",Clientes!L392,"'"))</f>
        <v>NULL</v>
      </c>
      <c r="D407" s="114" t="str">
        <f>CONCATENATE("'",Clientes!A392,"'")</f>
        <v>'Patricio Castro'</v>
      </c>
      <c r="E407" s="114" t="str">
        <f>IF(ISBLANK(Clientes!C392),"'Sin Direccion'",CONCATENATE("'",MID(Clientes!C392,1,95),"'"))</f>
        <v>'Sin Direccion'</v>
      </c>
      <c r="F407" s="114">
        <v>13126</v>
      </c>
      <c r="G407" s="114">
        <v>13</v>
      </c>
      <c r="H407" s="135" t="s">
        <v>2137</v>
      </c>
      <c r="I407" s="122" t="str">
        <f t="shared" si="12"/>
        <v>INSERT INTO CLIENTES(RUT_CLIENTE,RAZON_SOCIAL,DIRECCION,ID_COMUNA,ID_REGION,FECHA_NACIMIENTO) VALUES (NULL,'Patricio Castro','Sin Direccion',13126,13,TO_DATE('29-11-1967','DD-MM-YYYY'));</v>
      </c>
    </row>
    <row r="408" spans="1:9" ht="26.4">
      <c r="A408" t="str">
        <f>Clientes!A393</f>
        <v>Patricio Ortiz</v>
      </c>
      <c r="B408" s="115">
        <f t="shared" si="13"/>
        <v>391</v>
      </c>
      <c r="C408" s="134" t="str">
        <f>IF(ISBLANK(Clientes!L393),"NULL",CONCATENATE("'",Clientes!L393,"'"))</f>
        <v>NULL</v>
      </c>
      <c r="D408" s="114" t="str">
        <f>CONCATENATE("'",Clientes!A393,"'")</f>
        <v>'Patricio Ortiz'</v>
      </c>
      <c r="E408" s="114" t="str">
        <f>IF(ISBLANK(Clientes!C393),"'Sin Direccion'",CONCATENATE("'",MID(Clientes!C393,1,95),"'"))</f>
        <v>'México 9375'</v>
      </c>
      <c r="F408" s="114">
        <v>13127</v>
      </c>
      <c r="G408" s="114">
        <v>13</v>
      </c>
      <c r="H408" s="135" t="s">
        <v>2137</v>
      </c>
      <c r="I408" s="122" t="str">
        <f t="shared" si="12"/>
        <v>INSERT INTO CLIENTES(RUT_CLIENTE,RAZON_SOCIAL,DIRECCION,ID_COMUNA,ID_REGION,FECHA_NACIMIENTO) VALUES (NULL,'Patricio Ortiz','México 9375',13127,13,TO_DATE('29-11-1967','DD-MM-YYYY'));</v>
      </c>
    </row>
    <row r="409" spans="1:9" ht="26.4">
      <c r="A409" t="str">
        <f>Clientes!A394</f>
        <v>Patty Jardin del Eden</v>
      </c>
      <c r="B409" s="115">
        <f t="shared" si="13"/>
        <v>392</v>
      </c>
      <c r="C409" s="134" t="str">
        <f>IF(ISBLANK(Clientes!L394),"NULL",CONCATENATE("'",Clientes!L394,"'"))</f>
        <v>NULL</v>
      </c>
      <c r="D409" s="114" t="str">
        <f>CONCATENATE("'",Clientes!A394,"'")</f>
        <v>'Patty Jardin del Eden'</v>
      </c>
      <c r="E409" s="114" t="str">
        <f>IF(ISBLANK(Clientes!C394),"'Sin Direccion'",CONCATENATE("'",MID(Clientes!C394,1,95),"'"))</f>
        <v>'Plaza El Lingue 3468 '</v>
      </c>
      <c r="F409" s="114">
        <v>13128</v>
      </c>
      <c r="G409" s="114">
        <v>13</v>
      </c>
      <c r="H409" s="135" t="s">
        <v>2137</v>
      </c>
      <c r="I409" s="122" t="str">
        <f t="shared" si="12"/>
        <v>INSERT INTO CLIENTES(RUT_CLIENTE,RAZON_SOCIAL,DIRECCION,ID_COMUNA,ID_REGION,FECHA_NACIMIENTO) VALUES (NULL,'Patty Jardin del Eden','Plaza El Lingue 3468 ',13128,13,TO_DATE('29-11-1967','DD-MM-YYYY'));</v>
      </c>
    </row>
    <row r="410" spans="1:9" ht="26.4">
      <c r="A410" t="str">
        <f>Clientes!A395</f>
        <v>Paula - Rojas Magallanes</v>
      </c>
      <c r="B410" s="115">
        <f t="shared" si="13"/>
        <v>393</v>
      </c>
      <c r="C410" s="134" t="str">
        <f>IF(ISBLANK(Clientes!L395),"NULL",CONCATENATE("'",Clientes!L395,"'"))</f>
        <v>NULL</v>
      </c>
      <c r="D410" s="114" t="str">
        <f>CONCATENATE("'",Clientes!A395,"'")</f>
        <v>'Paula - Rojas Magallanes'</v>
      </c>
      <c r="E410" s="114" t="str">
        <f>IF(ISBLANK(Clientes!C395),"'Sin Direccion'",CONCATENATE("'",MID(Clientes!C395,1,95),"'"))</f>
        <v>'Avenida Rojas Magallanes 4237 '</v>
      </c>
      <c r="F410" s="114">
        <v>13129</v>
      </c>
      <c r="G410" s="114">
        <v>13</v>
      </c>
      <c r="H410" s="135" t="s">
        <v>2137</v>
      </c>
      <c r="I410" s="122" t="str">
        <f t="shared" si="12"/>
        <v>INSERT INTO CLIENTES(RUT_CLIENTE,RAZON_SOCIAL,DIRECCION,ID_COMUNA,ID_REGION,FECHA_NACIMIENTO) VALUES (NULL,'Paula - Rojas Magallanes','Avenida Rojas Magallanes 4237 ',13129,13,TO_DATE('29-11-1967','DD-MM-YYYY'));</v>
      </c>
    </row>
    <row r="411" spans="1:9" ht="26.4">
      <c r="A411" t="str">
        <f>Clientes!A396</f>
        <v>Paula Andrea - Macul</v>
      </c>
      <c r="B411" s="115">
        <f t="shared" si="13"/>
        <v>394</v>
      </c>
      <c r="C411" s="134" t="str">
        <f>IF(ISBLANK(Clientes!L396),"NULL",CONCATENATE("'",Clientes!L396,"'"))</f>
        <v>NULL</v>
      </c>
      <c r="D411" s="114" t="str">
        <f>CONCATENATE("'",Clientes!A396,"'")</f>
        <v>'Paula Andrea - Macul'</v>
      </c>
      <c r="E411" s="114" t="str">
        <f>IF(ISBLANK(Clientes!C396),"'Sin Direccion'",CONCATENATE("'",MID(Clientes!C396,1,95),"'"))</f>
        <v>'Gregorio de la fuente 3267'</v>
      </c>
      <c r="F411" s="114">
        <v>13130</v>
      </c>
      <c r="G411" s="114">
        <v>13</v>
      </c>
      <c r="H411" s="135" t="s">
        <v>2137</v>
      </c>
      <c r="I411" s="122" t="str">
        <f t="shared" si="12"/>
        <v>INSERT INTO CLIENTES(RUT_CLIENTE,RAZON_SOCIAL,DIRECCION,ID_COMUNA,ID_REGION,FECHA_NACIMIENTO) VALUES (NULL,'Paula Andrea - Macul','Gregorio de la fuente 3267',13130,13,TO_DATE('29-11-1967','DD-MM-YYYY'));</v>
      </c>
    </row>
    <row r="412" spans="1:9" ht="26.4">
      <c r="A412" t="str">
        <f>Clientes!A397</f>
        <v>Paula Medina</v>
      </c>
      <c r="B412" s="115">
        <f t="shared" si="13"/>
        <v>395</v>
      </c>
      <c r="C412" s="134" t="str">
        <f>IF(ISBLANK(Clientes!L397),"NULL",CONCATENATE("'",Clientes!L397,"'"))</f>
        <v>NULL</v>
      </c>
      <c r="D412" s="114" t="str">
        <f>CONCATENATE("'",Clientes!A397,"'")</f>
        <v>'Paula Medina'</v>
      </c>
      <c r="E412" s="114" t="str">
        <f>IF(ISBLANK(Clientes!C397),"'Sin Direccion'",CONCATENATE("'",MID(Clientes!C397,1,95),"'"))</f>
        <v>'Sin Direccion'</v>
      </c>
      <c r="F412" s="114">
        <v>13131</v>
      </c>
      <c r="G412" s="114">
        <v>13</v>
      </c>
      <c r="H412" s="135" t="s">
        <v>2137</v>
      </c>
      <c r="I412" s="122" t="str">
        <f t="shared" si="12"/>
        <v>INSERT INTO CLIENTES(RUT_CLIENTE,RAZON_SOCIAL,DIRECCION,ID_COMUNA,ID_REGION,FECHA_NACIMIENTO) VALUES (NULL,'Paula Medina','Sin Direccion',13131,13,TO_DATE('29-11-1967','DD-MM-YYYY'));</v>
      </c>
    </row>
    <row r="413" spans="1:9" ht="26.4">
      <c r="A413" t="str">
        <f>Clientes!A398</f>
        <v>Paula Ramírez</v>
      </c>
      <c r="B413" s="115">
        <f t="shared" si="13"/>
        <v>396</v>
      </c>
      <c r="C413" s="134" t="str">
        <f>IF(ISBLANK(Clientes!L398),"NULL",CONCATENATE("'",Clientes!L398,"'"))</f>
        <v>NULL</v>
      </c>
      <c r="D413" s="114" t="str">
        <f>CONCATENATE("'",Clientes!A398,"'")</f>
        <v>'Paula Ramírez'</v>
      </c>
      <c r="E413" s="114" t="str">
        <f>IF(ISBLANK(Clientes!C398),"'Sin Direccion'",CONCATENATE("'",MID(Clientes!C398,1,95),"'"))</f>
        <v>'Huilquehue 7311'</v>
      </c>
      <c r="F413" s="114">
        <v>13132</v>
      </c>
      <c r="G413" s="114">
        <v>13</v>
      </c>
      <c r="H413" s="135" t="s">
        <v>2137</v>
      </c>
      <c r="I413" s="122" t="str">
        <f t="shared" si="12"/>
        <v>INSERT INTO CLIENTES(RUT_CLIENTE,RAZON_SOCIAL,DIRECCION,ID_COMUNA,ID_REGION,FECHA_NACIMIENTO) VALUES (NULL,'Paula Ramírez','Huilquehue 7311',13132,13,TO_DATE('29-11-1967','DD-MM-YYYY'));</v>
      </c>
    </row>
    <row r="414" spans="1:9" ht="26.4">
      <c r="A414" t="str">
        <f>Clientes!A399</f>
        <v>Paulina Saavedra</v>
      </c>
      <c r="B414" s="115">
        <f t="shared" si="13"/>
        <v>397</v>
      </c>
      <c r="C414" s="134" t="str">
        <f>IF(ISBLANK(Clientes!L399),"NULL",CONCATENATE("'",Clientes!L399,"'"))</f>
        <v>NULL</v>
      </c>
      <c r="D414" s="114" t="str">
        <f>CONCATENATE("'",Clientes!A399,"'")</f>
        <v>'Paulina Saavedra'</v>
      </c>
      <c r="E414" s="114" t="str">
        <f>IF(ISBLANK(Clientes!C399),"'Sin Direccion'",CONCATENATE("'",MID(Clientes!C399,1,95),"'"))</f>
        <v>'Sin Direccion'</v>
      </c>
      <c r="F414" s="114">
        <v>13201</v>
      </c>
      <c r="G414" s="114">
        <v>13</v>
      </c>
      <c r="H414" s="135" t="s">
        <v>2137</v>
      </c>
      <c r="I414" s="122" t="str">
        <f t="shared" si="12"/>
        <v>INSERT INTO CLIENTES(RUT_CLIENTE,RAZON_SOCIAL,DIRECCION,ID_COMUNA,ID_REGION,FECHA_NACIMIENTO) VALUES (NULL,'Paulina Saavedra','Sin Direccion',13201,13,TO_DATE('29-11-1967','DD-MM-YYYY'));</v>
      </c>
    </row>
    <row r="415" spans="1:9" ht="26.4">
      <c r="A415" t="str">
        <f>Clientes!A400</f>
        <v>Paulina Swinburn Y.</v>
      </c>
      <c r="B415" s="115">
        <f t="shared" si="13"/>
        <v>398</v>
      </c>
      <c r="C415" s="134" t="str">
        <f>IF(ISBLANK(Clientes!L400),"NULL",CONCATENATE("'",Clientes!L400,"'"))</f>
        <v>NULL</v>
      </c>
      <c r="D415" s="114" t="str">
        <f>CONCATENATE("'",Clientes!A400,"'")</f>
        <v>'Paulina Swinburn Y.'</v>
      </c>
      <c r="E415" s="114" t="str">
        <f>IF(ISBLANK(Clientes!C400),"'Sin Direccion'",CONCATENATE("'",MID(Clientes!C400,1,95),"'"))</f>
        <v>'Santa Estela 2453'</v>
      </c>
      <c r="F415" s="114">
        <v>13202</v>
      </c>
      <c r="G415" s="114">
        <v>13</v>
      </c>
      <c r="H415" s="135" t="s">
        <v>2137</v>
      </c>
      <c r="I415" s="122" t="str">
        <f t="shared" si="12"/>
        <v>INSERT INTO CLIENTES(RUT_CLIENTE,RAZON_SOCIAL,DIRECCION,ID_COMUNA,ID_REGION,FECHA_NACIMIENTO) VALUES (NULL,'Paulina Swinburn Y.','Santa Estela 2453',13202,13,TO_DATE('29-11-1967','DD-MM-YYYY'));</v>
      </c>
    </row>
    <row r="416" spans="1:9" ht="26.4">
      <c r="A416" t="str">
        <f>Clientes!A401</f>
        <v>Pedro Lavin</v>
      </c>
      <c r="B416" s="115">
        <f t="shared" si="13"/>
        <v>399</v>
      </c>
      <c r="C416" s="134" t="str">
        <f>IF(ISBLANK(Clientes!L401),"NULL",CONCATENATE("'",Clientes!L401,"'"))</f>
        <v>NULL</v>
      </c>
      <c r="D416" s="114" t="str">
        <f>CONCATENATE("'",Clientes!A401,"'")</f>
        <v>'Pedro Lavin'</v>
      </c>
      <c r="E416" s="114" t="str">
        <f>IF(ISBLANK(Clientes!C401),"'Sin Direccion'",CONCATENATE("'",MID(Clientes!C401,1,95),"'"))</f>
        <v>'Lantana 8459 ,villa Jardín del Edén'</v>
      </c>
      <c r="F416" s="114">
        <v>13203</v>
      </c>
      <c r="G416" s="114">
        <v>13</v>
      </c>
      <c r="H416" s="135" t="s">
        <v>2137</v>
      </c>
      <c r="I416" s="122" t="str">
        <f t="shared" si="12"/>
        <v>INSERT INTO CLIENTES(RUT_CLIENTE,RAZON_SOCIAL,DIRECCION,ID_COMUNA,ID_REGION,FECHA_NACIMIENTO) VALUES (NULL,'Pedro Lavin','Lantana 8459 ,villa Jardín del Edén',13203,13,TO_DATE('29-11-1967','DD-MM-YYYY'));</v>
      </c>
    </row>
    <row r="417" spans="1:9" ht="26.4">
      <c r="A417" t="str">
        <f>Clientes!A402</f>
        <v>Pedro Orellana</v>
      </c>
      <c r="B417" s="115">
        <f t="shared" si="13"/>
        <v>400</v>
      </c>
      <c r="C417" s="134" t="str">
        <f>IF(ISBLANK(Clientes!L402),"NULL",CONCATENATE("'",Clientes!L402,"'"))</f>
        <v>NULL</v>
      </c>
      <c r="D417" s="114" t="str">
        <f>CONCATENATE("'",Clientes!A402,"'")</f>
        <v>'Pedro Orellana'</v>
      </c>
      <c r="E417" s="114" t="str">
        <f>IF(ISBLANK(Clientes!C402),"'Sin Direccion'",CONCATENATE("'",MID(Clientes!C402,1,95),"'"))</f>
        <v>'Uva de la Cordillera 9057'</v>
      </c>
      <c r="F417" s="114">
        <v>13301</v>
      </c>
      <c r="G417" s="114">
        <v>13</v>
      </c>
      <c r="H417" s="135" t="s">
        <v>2137</v>
      </c>
      <c r="I417" s="122" t="str">
        <f t="shared" si="12"/>
        <v>INSERT INTO CLIENTES(RUT_CLIENTE,RAZON_SOCIAL,DIRECCION,ID_COMUNA,ID_REGION,FECHA_NACIMIENTO) VALUES (NULL,'Pedro Orellana','Uva de la Cordillera 9057',13301,13,TO_DATE('29-11-1967','DD-MM-YYYY'));</v>
      </c>
    </row>
    <row r="418" spans="1:9" ht="26.4">
      <c r="A418" t="str">
        <f>Clientes!A403</f>
        <v>Perla - Gingko Amarillo 8779</v>
      </c>
      <c r="B418" s="115">
        <f t="shared" si="13"/>
        <v>401</v>
      </c>
      <c r="C418" s="134" t="str">
        <f>IF(ISBLANK(Clientes!L403),"NULL",CONCATENATE("'",Clientes!L403,"'"))</f>
        <v>NULL</v>
      </c>
      <c r="D418" s="114" t="str">
        <f>CONCATENATE("'",Clientes!A403,"'")</f>
        <v>'Perla - Gingko Amarillo 8779'</v>
      </c>
      <c r="E418" s="114" t="str">
        <f>IF(ISBLANK(Clientes!C403),"'Sin Direccion'",CONCATENATE("'",MID(Clientes!C403,1,95),"'"))</f>
        <v>'Gingko Amarillo 8779'</v>
      </c>
      <c r="F418" s="114">
        <v>13302</v>
      </c>
      <c r="G418" s="114">
        <v>13</v>
      </c>
      <c r="H418" s="135" t="s">
        <v>2137</v>
      </c>
      <c r="I418" s="122" t="str">
        <f t="shared" si="12"/>
        <v>INSERT INTO CLIENTES(RUT_CLIENTE,RAZON_SOCIAL,DIRECCION,ID_COMUNA,ID_REGION,FECHA_NACIMIENTO) VALUES (NULL,'Perla - Gingko Amarillo 8779','Gingko Amarillo 8779',13302,13,TO_DATE('29-11-1967','DD-MM-YYYY'));</v>
      </c>
    </row>
    <row r="419" spans="1:9" ht="26.4">
      <c r="A419" t="str">
        <f>Clientes!A404</f>
        <v>Pilar Consuelo Hudson</v>
      </c>
      <c r="B419" s="115">
        <f t="shared" si="13"/>
        <v>402</v>
      </c>
      <c r="C419" s="134" t="str">
        <f>IF(ISBLANK(Clientes!L404),"NULL",CONCATENATE("'",Clientes!L404,"'"))</f>
        <v>NULL</v>
      </c>
      <c r="D419" s="114" t="str">
        <f>CONCATENATE("'",Clientes!A404,"'")</f>
        <v>'Pilar Consuelo Hudson'</v>
      </c>
      <c r="E419" s="114" t="str">
        <f>IF(ISBLANK(Clientes!C404),"'Sin Direccion'",CONCATENATE("'",MID(Clientes!C404,1,95),"'"))</f>
        <v>'Azucena del campo poniente 9215'</v>
      </c>
      <c r="F419" s="114">
        <v>13303</v>
      </c>
      <c r="G419" s="114">
        <v>13</v>
      </c>
      <c r="H419" s="135" t="s">
        <v>2137</v>
      </c>
      <c r="I419" s="122" t="str">
        <f t="shared" si="12"/>
        <v>INSERT INTO CLIENTES(RUT_CLIENTE,RAZON_SOCIAL,DIRECCION,ID_COMUNA,ID_REGION,FECHA_NACIMIENTO) VALUES (NULL,'Pilar Consuelo Hudson','Azucena del campo poniente 9215',13303,13,TO_DATE('29-11-1967','DD-MM-YYYY'));</v>
      </c>
    </row>
    <row r="420" spans="1:9" ht="26.4">
      <c r="A420" t="str">
        <f>Clientes!A405</f>
        <v>Pilar Jara</v>
      </c>
      <c r="B420" s="115">
        <f t="shared" si="13"/>
        <v>403</v>
      </c>
      <c r="C420" s="134" t="str">
        <f>IF(ISBLANK(Clientes!L405),"NULL",CONCATENATE("'",Clientes!L405,"'"))</f>
        <v>NULL</v>
      </c>
      <c r="D420" s="114" t="str">
        <f>CONCATENATE("'",Clientes!A405,"'")</f>
        <v>'Pilar Jara'</v>
      </c>
      <c r="E420" s="114" t="str">
        <f>IF(ISBLANK(Clientes!C405),"'Sin Direccion'",CONCATENATE("'",MID(Clientes!C405,1,95),"'"))</f>
        <v>'Santa ema 2417'</v>
      </c>
      <c r="F420" s="114">
        <v>13401</v>
      </c>
      <c r="G420" s="114">
        <v>13</v>
      </c>
      <c r="H420" s="135" t="s">
        <v>2137</v>
      </c>
      <c r="I420" s="122" t="str">
        <f t="shared" si="12"/>
        <v>INSERT INTO CLIENTES(RUT_CLIENTE,RAZON_SOCIAL,DIRECCION,ID_COMUNA,ID_REGION,FECHA_NACIMIENTO) VALUES (NULL,'Pilar Jara','Santa ema 2417',13401,13,TO_DATE('29-11-1967','DD-MM-YYYY'));</v>
      </c>
    </row>
    <row r="421" spans="1:9" ht="26.4">
      <c r="A421" t="str">
        <f>Clientes!A406</f>
        <v>Pola Guzman</v>
      </c>
      <c r="B421" s="115">
        <f t="shared" si="13"/>
        <v>404</v>
      </c>
      <c r="C421" s="134" t="str">
        <f>IF(ISBLANK(Clientes!L406),"NULL",CONCATENATE("'",Clientes!L406,"'"))</f>
        <v>NULL</v>
      </c>
      <c r="D421" s="114" t="str">
        <f>CONCATENATE("'",Clientes!A406,"'")</f>
        <v>'Pola Guzman'</v>
      </c>
      <c r="E421" s="114" t="str">
        <f>IF(ISBLANK(Clientes!C406),"'Sin Direccion'",CONCATENATE("'",MID(Clientes!C406,1,95),"'"))</f>
        <v>'El Mármol 10562'</v>
      </c>
      <c r="F421" s="114">
        <v>13402</v>
      </c>
      <c r="G421" s="114">
        <v>13</v>
      </c>
      <c r="H421" s="135" t="s">
        <v>2137</v>
      </c>
      <c r="I421" s="122" t="str">
        <f t="shared" si="12"/>
        <v>INSERT INTO CLIENTES(RUT_CLIENTE,RAZON_SOCIAL,DIRECCION,ID_COMUNA,ID_REGION,FECHA_NACIMIENTO) VALUES (NULL,'Pola Guzman','El Mármol 10562',13402,13,TO_DATE('29-11-1967','DD-MM-YYYY'));</v>
      </c>
    </row>
    <row r="422" spans="1:9" ht="26.4">
      <c r="A422" t="str">
        <f>Clientes!A407</f>
        <v>Priscy - Las Lomas 7815</v>
      </c>
      <c r="B422" s="115">
        <f t="shared" si="13"/>
        <v>405</v>
      </c>
      <c r="C422" s="134" t="str">
        <f>IF(ISBLANK(Clientes!L407),"NULL",CONCATENATE("'",Clientes!L407,"'"))</f>
        <v>NULL</v>
      </c>
      <c r="D422" s="114" t="str">
        <f>CONCATENATE("'",Clientes!A407,"'")</f>
        <v>'Priscy - Las Lomas 7815'</v>
      </c>
      <c r="E422" s="114" t="str">
        <f>IF(ISBLANK(Clientes!C407),"'Sin Direccion'",CONCATENATE("'",MID(Clientes!C407,1,95),"'"))</f>
        <v>'Las Lomas 7815 / Las Clarisas'</v>
      </c>
      <c r="F422" s="114">
        <v>13403</v>
      </c>
      <c r="G422" s="114">
        <v>13</v>
      </c>
      <c r="H422" s="135" t="s">
        <v>2137</v>
      </c>
      <c r="I422" s="122" t="str">
        <f t="shared" si="12"/>
        <v>INSERT INTO CLIENTES(RUT_CLIENTE,RAZON_SOCIAL,DIRECCION,ID_COMUNA,ID_REGION,FECHA_NACIMIENTO) VALUES (NULL,'Priscy - Las Lomas 7815','Las Lomas 7815 / Las Clarisas',13403,13,TO_DATE('29-11-1967','DD-MM-YYYY'));</v>
      </c>
    </row>
    <row r="423" spans="1:9" ht="26.4">
      <c r="A423" t="str">
        <f>Clientes!A408</f>
        <v>Profe Zumba</v>
      </c>
      <c r="B423" s="115">
        <f t="shared" si="13"/>
        <v>406</v>
      </c>
      <c r="C423" s="134" t="str">
        <f>IF(ISBLANK(Clientes!L408),"NULL",CONCATENATE("'",Clientes!L408,"'"))</f>
        <v>NULL</v>
      </c>
      <c r="D423" s="114" t="str">
        <f>CONCATENATE("'",Clientes!A408,"'")</f>
        <v>'Profe Zumba'</v>
      </c>
      <c r="E423" s="114" t="str">
        <f>IF(ISBLANK(Clientes!C408),"'Sin Direccion'",CONCATENATE("'",MID(Clientes!C408,1,95),"'"))</f>
        <v>'Sin Direccion'</v>
      </c>
      <c r="F423" s="114">
        <v>13404</v>
      </c>
      <c r="G423" s="114">
        <v>13</v>
      </c>
      <c r="H423" s="135" t="s">
        <v>2137</v>
      </c>
      <c r="I423" s="122" t="str">
        <f t="shared" si="12"/>
        <v>INSERT INTO CLIENTES(RUT_CLIENTE,RAZON_SOCIAL,DIRECCION,ID_COMUNA,ID_REGION,FECHA_NACIMIENTO) VALUES (NULL,'Profe Zumba','Sin Direccion',13404,13,TO_DATE('29-11-1967','DD-MM-YYYY'));</v>
      </c>
    </row>
    <row r="424" spans="1:9" ht="26.4">
      <c r="A424" t="str">
        <f>Clientes!A409</f>
        <v>Rafael Castro</v>
      </c>
      <c r="B424" s="115">
        <f t="shared" si="13"/>
        <v>407</v>
      </c>
      <c r="C424" s="134" t="str">
        <f>IF(ISBLANK(Clientes!L409),"NULL",CONCATENATE("'",Clientes!L409,"'"))</f>
        <v>NULL</v>
      </c>
      <c r="D424" s="114" t="str">
        <f>CONCATENATE("'",Clientes!A409,"'")</f>
        <v>'Rafael Castro'</v>
      </c>
      <c r="E424" s="114" t="str">
        <f>IF(ISBLANK(Clientes!C409),"'Sin Direccion'",CONCATENATE("'",MID(Clientes!C409,1,95),"'"))</f>
        <v>'Belloto del norte oriente 9245'</v>
      </c>
      <c r="F424" s="114">
        <v>13501</v>
      </c>
      <c r="G424" s="114">
        <v>13</v>
      </c>
      <c r="H424" s="135" t="s">
        <v>2137</v>
      </c>
      <c r="I424" s="122" t="str">
        <f t="shared" si="12"/>
        <v>INSERT INTO CLIENTES(RUT_CLIENTE,RAZON_SOCIAL,DIRECCION,ID_COMUNA,ID_REGION,FECHA_NACIMIENTO) VALUES (NULL,'Rafael Castro','Belloto del norte oriente 9245',13501,13,TO_DATE('29-11-1967','DD-MM-YYYY'));</v>
      </c>
    </row>
    <row r="425" spans="1:9" ht="26.4">
      <c r="A425" t="str">
        <f>Clientes!A410</f>
        <v>Raul Acosta</v>
      </c>
      <c r="B425" s="115">
        <f t="shared" si="13"/>
        <v>408</v>
      </c>
      <c r="C425" s="134" t="str">
        <f>IF(ISBLANK(Clientes!L410),"NULL",CONCATENATE("'",Clientes!L410,"'"))</f>
        <v>NULL</v>
      </c>
      <c r="D425" s="114" t="str">
        <f>CONCATENATE("'",Clientes!A410,"'")</f>
        <v>'Raul Acosta'</v>
      </c>
      <c r="E425" s="114" t="str">
        <f>IF(ISBLANK(Clientes!C410),"'Sin Direccion'",CONCATENATE("'",MID(Clientes!C410,1,95),"'"))</f>
        <v>'Sin Direccion'</v>
      </c>
      <c r="F425" s="114">
        <v>13502</v>
      </c>
      <c r="G425" s="114">
        <v>13</v>
      </c>
      <c r="H425" s="135" t="s">
        <v>2137</v>
      </c>
      <c r="I425" s="122" t="str">
        <f t="shared" si="12"/>
        <v>INSERT INTO CLIENTES(RUT_CLIENTE,RAZON_SOCIAL,DIRECCION,ID_COMUNA,ID_REGION,FECHA_NACIMIENTO) VALUES (NULL,'Raul Acosta','Sin Direccion',13502,13,TO_DATE('29-11-1967','DD-MM-YYYY'));</v>
      </c>
    </row>
    <row r="426" spans="1:9" ht="26.4">
      <c r="A426" t="str">
        <f>Clientes!A411</f>
        <v>Raul Fredes</v>
      </c>
      <c r="B426" s="115">
        <f t="shared" si="13"/>
        <v>409</v>
      </c>
      <c r="C426" s="134" t="str">
        <f>IF(ISBLANK(Clientes!L411),"NULL",CONCATENATE("'",Clientes!L411,"'"))</f>
        <v>'19681280-6'</v>
      </c>
      <c r="D426" s="114" t="str">
        <f>CONCATENATE("'",Clientes!A411,"'")</f>
        <v>'Raul Fredes'</v>
      </c>
      <c r="E426" s="114" t="str">
        <f>IF(ISBLANK(Clientes!C411),"'Sin Direccion'",CONCATENATE("'",MID(Clientes!C411,1,95),"'"))</f>
        <v>'Av departamental 4141 (restaurante Los Naranjos)'</v>
      </c>
      <c r="F426" s="114">
        <v>13503</v>
      </c>
      <c r="G426" s="114">
        <v>13</v>
      </c>
      <c r="H426" s="135" t="s">
        <v>2137</v>
      </c>
      <c r="I426" s="122" t="str">
        <f t="shared" si="12"/>
        <v>INSERT INTO CLIENTES(RUT_CLIENTE,RAZON_SOCIAL,DIRECCION,ID_COMUNA,ID_REGION,FECHA_NACIMIENTO) VALUES ('19681280-6','Raul Fredes','Av departamental 4141 (restaurante Los Naranjos)',13503,13,TO_DATE('29-11-1967','DD-MM-YYYY'));</v>
      </c>
    </row>
    <row r="427" spans="1:9" ht="26.4">
      <c r="A427" t="str">
        <f>Clientes!A412</f>
        <v>Rebeca</v>
      </c>
      <c r="B427" s="115">
        <f t="shared" si="13"/>
        <v>410</v>
      </c>
      <c r="C427" s="134" t="str">
        <f>IF(ISBLANK(Clientes!L412),"NULL",CONCATENATE("'",Clientes!L412,"'"))</f>
        <v>NULL</v>
      </c>
      <c r="D427" s="114" t="str">
        <f>CONCATENATE("'",Clientes!A412,"'")</f>
        <v>'Rebeca'</v>
      </c>
      <c r="E427" s="114" t="str">
        <f>IF(ISBLANK(Clientes!C412),"'Sin Direccion'",CONCATENATE("'",MID(Clientes!C412,1,95),"'"))</f>
        <v>'Belloto del norte oriente 9263 '</v>
      </c>
      <c r="F427" s="114">
        <v>13504</v>
      </c>
      <c r="G427" s="114">
        <v>13</v>
      </c>
      <c r="H427" s="135" t="s">
        <v>2137</v>
      </c>
      <c r="I427" s="122" t="str">
        <f t="shared" si="12"/>
        <v>INSERT INTO CLIENTES(RUT_CLIENTE,RAZON_SOCIAL,DIRECCION,ID_COMUNA,ID_REGION,FECHA_NACIMIENTO) VALUES (NULL,'Rebeca','Belloto del norte oriente 9263 ',13504,13,TO_DATE('29-11-1967','DD-MM-YYYY'));</v>
      </c>
    </row>
    <row r="428" spans="1:9" ht="26.4">
      <c r="A428" t="str">
        <f>Clientes!A413</f>
        <v>Rebeca Traslaviña</v>
      </c>
      <c r="B428" s="115">
        <f t="shared" si="13"/>
        <v>411</v>
      </c>
      <c r="C428" s="134" t="str">
        <f>IF(ISBLANK(Clientes!L413),"NULL",CONCATENATE("'",Clientes!L413,"'"))</f>
        <v>NULL</v>
      </c>
      <c r="D428" s="114" t="str">
        <f>CONCATENATE("'",Clientes!A413,"'")</f>
        <v>'Rebeca Traslaviña'</v>
      </c>
      <c r="E428" s="114" t="str">
        <f>IF(ISBLANK(Clientes!C413),"'Sin Direccion'",CONCATENATE("'",MID(Clientes!C413,1,95),"'"))</f>
        <v>'Belloto del norte oriente 9263 '</v>
      </c>
      <c r="F428" s="114">
        <v>13505</v>
      </c>
      <c r="G428" s="114">
        <v>13</v>
      </c>
      <c r="H428" s="135" t="s">
        <v>2137</v>
      </c>
      <c r="I428" s="122" t="str">
        <f t="shared" si="12"/>
        <v>INSERT INTO CLIENTES(RUT_CLIENTE,RAZON_SOCIAL,DIRECCION,ID_COMUNA,ID_REGION,FECHA_NACIMIENTO) VALUES (NULL,'Rebeca Traslaviña','Belloto del norte oriente 9263 ',13505,13,TO_DATE('29-11-1967','DD-MM-YYYY'));</v>
      </c>
    </row>
    <row r="429" spans="1:9" ht="26.4">
      <c r="A429" t="str">
        <f>Clientes!A414</f>
        <v>Rene Rodriguez</v>
      </c>
      <c r="B429" s="115">
        <f t="shared" si="13"/>
        <v>412</v>
      </c>
      <c r="C429" s="134" t="str">
        <f>IF(ISBLANK(Clientes!L414),"NULL",CONCATENATE("'",Clientes!L414,"'"))</f>
        <v>NULL</v>
      </c>
      <c r="D429" s="114" t="str">
        <f>CONCATENATE("'",Clientes!A414,"'")</f>
        <v>'Rene Rodriguez'</v>
      </c>
      <c r="E429" s="114" t="str">
        <f>IF(ISBLANK(Clientes!C414),"'Sin Direccion'",CONCATENATE("'",MID(Clientes!C414,1,95),"'"))</f>
        <v>'El arrayan 3359'</v>
      </c>
      <c r="F429" s="114">
        <v>13601</v>
      </c>
      <c r="G429" s="114">
        <v>13</v>
      </c>
      <c r="H429" s="135" t="s">
        <v>2137</v>
      </c>
      <c r="I429" s="122" t="str">
        <f t="shared" si="12"/>
        <v>INSERT INTO CLIENTES(RUT_CLIENTE,RAZON_SOCIAL,DIRECCION,ID_COMUNA,ID_REGION,FECHA_NACIMIENTO) VALUES (NULL,'Rene Rodriguez','El arrayan 3359',13601,13,TO_DATE('29-11-1967','DD-MM-YYYY'));</v>
      </c>
    </row>
    <row r="430" spans="1:9" ht="26.4">
      <c r="A430" t="str">
        <f>Clientes!A415</f>
        <v>Restaurante Los Naranjos</v>
      </c>
      <c r="B430" s="115">
        <f t="shared" si="13"/>
        <v>413</v>
      </c>
      <c r="C430" s="134" t="str">
        <f>IF(ISBLANK(Clientes!L415),"NULL",CONCATENATE("'",Clientes!L415,"'"))</f>
        <v>'19681280-6'</v>
      </c>
      <c r="D430" s="114" t="str">
        <f>CONCATENATE("'",Clientes!A415,"'")</f>
        <v>'Restaurante Los Naranjos'</v>
      </c>
      <c r="E430" s="114" t="str">
        <f>IF(ISBLANK(Clientes!C415),"'Sin Direccion'",CONCATENATE("'",MID(Clientes!C415,1,95),"'"))</f>
        <v>'Av departamental 4141 (restaurante Los Naranjos)'</v>
      </c>
      <c r="F430" s="114">
        <v>13602</v>
      </c>
      <c r="G430" s="114">
        <v>13</v>
      </c>
      <c r="H430" s="135" t="s">
        <v>2137</v>
      </c>
      <c r="I430" s="122" t="str">
        <f t="shared" si="12"/>
        <v>INSERT INTO CLIENTES(RUT_CLIENTE,RAZON_SOCIAL,DIRECCION,ID_COMUNA,ID_REGION,FECHA_NACIMIENTO) VALUES ('19681280-6','Restaurante Los Naranjos','Av departamental 4141 (restaurante Los Naranjos)',13602,13,TO_DATE('29-11-1967','DD-MM-YYYY'));</v>
      </c>
    </row>
    <row r="431" spans="1:9" ht="26.4">
      <c r="A431" t="str">
        <f>Clientes!A416</f>
        <v>Ricardo Alarcon - Jardin Alto 8525</v>
      </c>
      <c r="B431" s="115">
        <f t="shared" si="13"/>
        <v>414</v>
      </c>
      <c r="C431" s="134" t="str">
        <f>IF(ISBLANK(Clientes!L416),"NULL",CONCATENATE("'",Clientes!L416,"'"))</f>
        <v>NULL</v>
      </c>
      <c r="D431" s="114" t="str">
        <f>CONCATENATE("'",Clientes!A416,"'")</f>
        <v>'Ricardo Alarcon - Jardin Alto 8525'</v>
      </c>
      <c r="E431" s="114" t="str">
        <f>IF(ISBLANK(Clientes!C416),"'Sin Direccion'",CONCATENATE("'",MID(Clientes!C416,1,95),"'"))</f>
        <v>'Jardin Alto 8525'</v>
      </c>
      <c r="F431" s="114">
        <v>13603</v>
      </c>
      <c r="G431" s="114">
        <v>13</v>
      </c>
      <c r="H431" s="135" t="s">
        <v>2137</v>
      </c>
      <c r="I431" s="122" t="str">
        <f t="shared" si="12"/>
        <v>INSERT INTO CLIENTES(RUT_CLIENTE,RAZON_SOCIAL,DIRECCION,ID_COMUNA,ID_REGION,FECHA_NACIMIENTO) VALUES (NULL,'Ricardo Alarcon - Jardin Alto 8525','Jardin Alto 8525',13603,13,TO_DATE('29-11-1967','DD-MM-YYYY'));</v>
      </c>
    </row>
    <row r="432" spans="1:9" ht="26.4">
      <c r="A432" t="str">
        <f>Clientes!A417</f>
        <v>Ricardo Contreras</v>
      </c>
      <c r="B432" s="115">
        <f t="shared" si="13"/>
        <v>415</v>
      </c>
      <c r="C432" s="134" t="str">
        <f>IF(ISBLANK(Clientes!L417),"NULL",CONCATENATE("'",Clientes!L417,"'"))</f>
        <v>NULL</v>
      </c>
      <c r="D432" s="114" t="str">
        <f>CONCATENATE("'",Clientes!A417,"'")</f>
        <v>'Ricardo Contreras'</v>
      </c>
      <c r="E432" s="114" t="str">
        <f>IF(ISBLANK(Clientes!C417),"'Sin Direccion'",CONCATENATE("'",MID(Clientes!C417,1,95),"'"))</f>
        <v>'Sin Direccion'</v>
      </c>
      <c r="F432" s="114">
        <v>13604</v>
      </c>
      <c r="G432" s="114">
        <v>13</v>
      </c>
      <c r="H432" s="135" t="s">
        <v>2137</v>
      </c>
      <c r="I432" s="122" t="str">
        <f t="shared" si="12"/>
        <v>INSERT INTO CLIENTES(RUT_CLIENTE,RAZON_SOCIAL,DIRECCION,ID_COMUNA,ID_REGION,FECHA_NACIMIENTO) VALUES (NULL,'Ricardo Contreras','Sin Direccion',13604,13,TO_DATE('29-11-1967','DD-MM-YYYY'));</v>
      </c>
    </row>
    <row r="433" spans="1:9" ht="26.4">
      <c r="A433" t="str">
        <f>Clientes!A418</f>
        <v>Robert Kerkhoff</v>
      </c>
      <c r="B433" s="115">
        <f t="shared" si="13"/>
        <v>416</v>
      </c>
      <c r="C433" s="134" t="str">
        <f>IF(ISBLANK(Clientes!L418),"NULL",CONCATENATE("'",Clientes!L418,"'"))</f>
        <v>NULL</v>
      </c>
      <c r="D433" s="114" t="str">
        <f>CONCATENATE("'",Clientes!A418,"'")</f>
        <v>'Robert Kerkhoff'</v>
      </c>
      <c r="E433" s="114" t="str">
        <f>IF(ISBLANK(Clientes!C418),"'Sin Direccion'",CONCATENATE("'",MID(Clientes!C418,1,95),"'"))</f>
        <v>'Belloto del norte oriente 9298'</v>
      </c>
      <c r="F433" s="114">
        <v>13605</v>
      </c>
      <c r="G433" s="114">
        <v>13</v>
      </c>
      <c r="H433" s="135" t="s">
        <v>2137</v>
      </c>
      <c r="I433" s="122" t="str">
        <f t="shared" si="12"/>
        <v>INSERT INTO CLIENTES(RUT_CLIENTE,RAZON_SOCIAL,DIRECCION,ID_COMUNA,ID_REGION,FECHA_NACIMIENTO) VALUES (NULL,'Robert Kerkhoff','Belloto del norte oriente 9298',13605,13,TO_DATE('29-11-1967','DD-MM-YYYY'));</v>
      </c>
    </row>
    <row r="434" spans="1:9" ht="26.4">
      <c r="A434" t="str">
        <f>Clientes!A419</f>
        <v>Roberto Jimenez</v>
      </c>
      <c r="B434" s="115">
        <f t="shared" si="13"/>
        <v>417</v>
      </c>
      <c r="C434" s="134" t="str">
        <f>IF(ISBLANK(Clientes!L419),"NULL",CONCATENATE("'",Clientes!L419,"'"))</f>
        <v>NULL</v>
      </c>
      <c r="D434" s="114" t="str">
        <f>CONCATENATE("'",Clientes!A419,"'")</f>
        <v>'Roberto Jimenez'</v>
      </c>
      <c r="E434" s="114" t="str">
        <f>IF(ISBLANK(Clientes!C419),"'Sin Direccion'",CONCATENATE("'",MID(Clientes!C419,1,95),"'"))</f>
        <v>'Sin Direccion'</v>
      </c>
      <c r="F434" s="114">
        <v>13101</v>
      </c>
      <c r="G434" s="114">
        <v>13</v>
      </c>
      <c r="H434" s="135" t="s">
        <v>2137</v>
      </c>
      <c r="I434" s="122" t="str">
        <f t="shared" si="12"/>
        <v>INSERT INTO CLIENTES(RUT_CLIENTE,RAZON_SOCIAL,DIRECCION,ID_COMUNA,ID_REGION,FECHA_NACIMIENTO) VALUES (NULL,'Roberto Jimenez','Sin Direccion',13101,13,TO_DATE('29-11-1967','DD-MM-YYYY'));</v>
      </c>
    </row>
    <row r="435" spans="1:9" ht="26.4">
      <c r="A435" t="str">
        <f>Clientes!A420</f>
        <v>Rodrigo Arredondo</v>
      </c>
      <c r="B435" s="115">
        <f t="shared" si="13"/>
        <v>418</v>
      </c>
      <c r="C435" s="134" t="str">
        <f>IF(ISBLANK(Clientes!L420),"NULL",CONCATENATE("'",Clientes!L420,"'"))</f>
        <v>NULL</v>
      </c>
      <c r="D435" s="114" t="str">
        <f>CONCATENATE("'",Clientes!A420,"'")</f>
        <v>'Rodrigo Arredondo'</v>
      </c>
      <c r="E435" s="114" t="str">
        <f>IF(ISBLANK(Clientes!C420),"'Sin Direccion'",CONCATENATE("'",MID(Clientes!C420,1,95),"'"))</f>
        <v>'Azucena del campo poniente 9409'</v>
      </c>
      <c r="F435" s="114">
        <v>13102</v>
      </c>
      <c r="G435" s="114">
        <v>13</v>
      </c>
      <c r="H435" s="135" t="s">
        <v>2137</v>
      </c>
      <c r="I435" s="122" t="str">
        <f t="shared" si="12"/>
        <v>INSERT INTO CLIENTES(RUT_CLIENTE,RAZON_SOCIAL,DIRECCION,ID_COMUNA,ID_REGION,FECHA_NACIMIENTO) VALUES (NULL,'Rodrigo Arredondo','Azucena del campo poniente 9409',13102,13,TO_DATE('29-11-1967','DD-MM-YYYY'));</v>
      </c>
    </row>
    <row r="436" spans="1:9" ht="26.4">
      <c r="A436" t="str">
        <f>Clientes!A421</f>
        <v>Rodrigo Black</v>
      </c>
      <c r="B436" s="115">
        <f t="shared" si="13"/>
        <v>419</v>
      </c>
      <c r="C436" s="134" t="str">
        <f>IF(ISBLANK(Clientes!L421),"NULL",CONCATENATE("'",Clientes!L421,"'"))</f>
        <v>NULL</v>
      </c>
      <c r="D436" s="114" t="str">
        <f>CONCATENATE("'",Clientes!A421,"'")</f>
        <v>'Rodrigo Black'</v>
      </c>
      <c r="E436" s="114" t="str">
        <f>IF(ISBLANK(Clientes!C421),"'Sin Direccion'",CONCATENATE("'",MID(Clientes!C421,1,95),"'"))</f>
        <v>'Belloto del norte oriente 9263 '</v>
      </c>
      <c r="F436" s="114">
        <v>13103</v>
      </c>
      <c r="G436" s="114">
        <v>13</v>
      </c>
      <c r="H436" s="135" t="s">
        <v>2137</v>
      </c>
      <c r="I436" s="122" t="str">
        <f t="shared" si="12"/>
        <v>INSERT INTO CLIENTES(RUT_CLIENTE,RAZON_SOCIAL,DIRECCION,ID_COMUNA,ID_REGION,FECHA_NACIMIENTO) VALUES (NULL,'Rodrigo Black','Belloto del norte oriente 9263 ',13103,13,TO_DATE('29-11-1967','DD-MM-YYYY'));</v>
      </c>
    </row>
    <row r="437" spans="1:9" ht="26.4">
      <c r="A437" t="str">
        <f>Clientes!A422</f>
        <v>Rodrigo Fonseca</v>
      </c>
      <c r="B437" s="115">
        <f t="shared" si="13"/>
        <v>420</v>
      </c>
      <c r="C437" s="134" t="str">
        <f>IF(ISBLANK(Clientes!L422),"NULL",CONCATENATE("'",Clientes!L422,"'"))</f>
        <v>NULL</v>
      </c>
      <c r="D437" s="114" t="str">
        <f>CONCATENATE("'",Clientes!A422,"'")</f>
        <v>'Rodrigo Fonseca'</v>
      </c>
      <c r="E437" s="114" t="str">
        <f>IF(ISBLANK(Clientes!C422),"'Sin Direccion'",CONCATENATE("'",MID(Clientes!C422,1,95),"'"))</f>
        <v>'Garcia Hurtado de Mendoza 8608'</v>
      </c>
      <c r="F437" s="114">
        <v>13104</v>
      </c>
      <c r="G437" s="114">
        <v>13</v>
      </c>
      <c r="H437" s="135" t="s">
        <v>2137</v>
      </c>
      <c r="I437" s="122" t="str">
        <f t="shared" si="12"/>
        <v>INSERT INTO CLIENTES(RUT_CLIENTE,RAZON_SOCIAL,DIRECCION,ID_COMUNA,ID_REGION,FECHA_NACIMIENTO) VALUES (NULL,'Rodrigo Fonseca','Garcia Hurtado de Mendoza 8608',13104,13,TO_DATE('29-11-1967','DD-MM-YYYY'));</v>
      </c>
    </row>
    <row r="438" spans="1:9" ht="26.4">
      <c r="A438" t="str">
        <f>Clientes!A423</f>
        <v>Rodrigo Mendez</v>
      </c>
      <c r="B438" s="115">
        <f t="shared" si="13"/>
        <v>421</v>
      </c>
      <c r="C438" s="134" t="str">
        <f>IF(ISBLANK(Clientes!L423),"NULL",CONCATENATE("'",Clientes!L423,"'"))</f>
        <v>NULL</v>
      </c>
      <c r="D438" s="114" t="str">
        <f>CONCATENATE("'",Clientes!A423,"'")</f>
        <v>'Rodrigo Mendez'</v>
      </c>
      <c r="E438" s="114" t="str">
        <f>IF(ISBLANK(Clientes!C423),"'Sin Direccion'",CONCATENATE("'",MID(Clientes!C423,1,95),"'"))</f>
        <v>'Sin Direccion'</v>
      </c>
      <c r="F438" s="114">
        <v>13105</v>
      </c>
      <c r="G438" s="114">
        <v>13</v>
      </c>
      <c r="H438" s="135" t="s">
        <v>2137</v>
      </c>
      <c r="I438" s="122" t="str">
        <f t="shared" si="12"/>
        <v>INSERT INTO CLIENTES(RUT_CLIENTE,RAZON_SOCIAL,DIRECCION,ID_COMUNA,ID_REGION,FECHA_NACIMIENTO) VALUES (NULL,'Rodrigo Mendez','Sin Direccion',13105,13,TO_DATE('29-11-1967','DD-MM-YYYY'));</v>
      </c>
    </row>
    <row r="439" spans="1:9" ht="26.4">
      <c r="A439" t="str">
        <f>Clientes!A424</f>
        <v>Rodrigo Muñoz</v>
      </c>
      <c r="B439" s="115">
        <f t="shared" si="13"/>
        <v>422</v>
      </c>
      <c r="C439" s="134" t="str">
        <f>IF(ISBLANK(Clientes!L424),"NULL",CONCATENATE("'",Clientes!L424,"'"))</f>
        <v>NULL</v>
      </c>
      <c r="D439" s="114" t="str">
        <f>CONCATENATE("'",Clientes!A424,"'")</f>
        <v>'Rodrigo Muñoz'</v>
      </c>
      <c r="E439" s="114" t="str">
        <f>IF(ISBLANK(Clientes!C424),"'Sin Direccion'",CONCATENATE("'",MID(Clientes!C424,1,95),"'"))</f>
        <v>'Sin Direccion'</v>
      </c>
      <c r="F439" s="114">
        <v>13106</v>
      </c>
      <c r="G439" s="114">
        <v>13</v>
      </c>
      <c r="H439" s="135" t="s">
        <v>2137</v>
      </c>
      <c r="I439" s="122" t="str">
        <f t="shared" si="12"/>
        <v>INSERT INTO CLIENTES(RUT_CLIENTE,RAZON_SOCIAL,DIRECCION,ID_COMUNA,ID_REGION,FECHA_NACIMIENTO) VALUES (NULL,'Rodrigo Muñoz','Sin Direccion',13106,13,TO_DATE('29-11-1967','DD-MM-YYYY'));</v>
      </c>
    </row>
    <row r="440" spans="1:9" ht="26.4">
      <c r="A440" t="str">
        <f>Clientes!A425</f>
        <v>Rodrigo Salinas</v>
      </c>
      <c r="B440" s="115">
        <f t="shared" si="13"/>
        <v>423</v>
      </c>
      <c r="C440" s="134" t="str">
        <f>IF(ISBLANK(Clientes!L425),"NULL",CONCATENATE("'",Clientes!L425,"'"))</f>
        <v>'19681280-6'</v>
      </c>
      <c r="D440" s="114" t="str">
        <f>CONCATENATE("'",Clientes!A425,"'")</f>
        <v>'Rodrigo Salinas'</v>
      </c>
      <c r="E440" s="114" t="str">
        <f>IF(ISBLANK(Clientes!C425),"'Sin Direccion'",CONCATENATE("'",MID(Clientes!C425,1,95),"'"))</f>
        <v>'Av departamental 4141 (restaurante Los Naranjos)'</v>
      </c>
      <c r="F440" s="114">
        <v>13107</v>
      </c>
      <c r="G440" s="114">
        <v>13</v>
      </c>
      <c r="H440" s="135" t="s">
        <v>2137</v>
      </c>
      <c r="I440" s="122" t="str">
        <f t="shared" si="12"/>
        <v>INSERT INTO CLIENTES(RUT_CLIENTE,RAZON_SOCIAL,DIRECCION,ID_COMUNA,ID_REGION,FECHA_NACIMIENTO) VALUES ('19681280-6','Rodrigo Salinas','Av departamental 4141 (restaurante Los Naranjos)',13107,13,TO_DATE('29-11-1967','DD-MM-YYYY'));</v>
      </c>
    </row>
    <row r="441" spans="1:9" ht="26.4">
      <c r="A441" t="str">
        <f>Clientes!A426</f>
        <v>Rodrigo Sepúlveda</v>
      </c>
      <c r="B441" s="115">
        <f t="shared" si="13"/>
        <v>424</v>
      </c>
      <c r="C441" s="134" t="str">
        <f>IF(ISBLANK(Clientes!L426),"NULL",CONCATENATE("'",Clientes!L426,"'"))</f>
        <v>NULL</v>
      </c>
      <c r="D441" s="114" t="str">
        <f>CONCATENATE("'",Clientes!A426,"'")</f>
        <v>'Rodrigo Sepúlveda'</v>
      </c>
      <c r="E441" s="114" t="str">
        <f>IF(ISBLANK(Clientes!C426),"'Sin Direccion'",CONCATENATE("'",MID(Clientes!C426,1,95),"'"))</f>
        <v>'Sin Direccion'</v>
      </c>
      <c r="F441" s="114">
        <v>13108</v>
      </c>
      <c r="G441" s="114">
        <v>13</v>
      </c>
      <c r="H441" s="135" t="s">
        <v>2137</v>
      </c>
      <c r="I441" s="122" t="str">
        <f t="shared" si="12"/>
        <v>INSERT INTO CLIENTES(RUT_CLIENTE,RAZON_SOCIAL,DIRECCION,ID_COMUNA,ID_REGION,FECHA_NACIMIENTO) VALUES (NULL,'Rodrigo Sepúlveda','Sin Direccion',13108,13,TO_DATE('29-11-1967','DD-MM-YYYY'));</v>
      </c>
    </row>
    <row r="442" spans="1:9" ht="26.4">
      <c r="A442" t="str">
        <f>Clientes!A427</f>
        <v>Rodrigo Toloza</v>
      </c>
      <c r="B442" s="115">
        <f t="shared" si="13"/>
        <v>425</v>
      </c>
      <c r="C442" s="134" t="str">
        <f>IF(ISBLANK(Clientes!L427),"NULL",CONCATENATE("'",Clientes!L427,"'"))</f>
        <v>NULL</v>
      </c>
      <c r="D442" s="114" t="str">
        <f>CONCATENATE("'",Clientes!A427,"'")</f>
        <v>'Rodrigo Toloza'</v>
      </c>
      <c r="E442" s="114" t="str">
        <f>IF(ISBLANK(Clientes!C427),"'Sin Direccion'",CONCATENATE("'",MID(Clientes!C427,1,95),"'"))</f>
        <v>'Sin Direccion'</v>
      </c>
      <c r="F442" s="114">
        <v>13109</v>
      </c>
      <c r="G442" s="114">
        <v>13</v>
      </c>
      <c r="H442" s="135" t="s">
        <v>2137</v>
      </c>
      <c r="I442" s="122" t="str">
        <f t="shared" si="12"/>
        <v>INSERT INTO CLIENTES(RUT_CLIENTE,RAZON_SOCIAL,DIRECCION,ID_COMUNA,ID_REGION,FECHA_NACIMIENTO) VALUES (NULL,'Rodrigo Toloza','Sin Direccion',13109,13,TO_DATE('29-11-1967','DD-MM-YYYY'));</v>
      </c>
    </row>
    <row r="443" spans="1:9" ht="26.4">
      <c r="A443" t="str">
        <f>Clientes!A428</f>
        <v>Romi - Pasteles</v>
      </c>
      <c r="B443" s="115">
        <f t="shared" si="13"/>
        <v>426</v>
      </c>
      <c r="C443" s="134" t="str">
        <f>IF(ISBLANK(Clientes!L428),"NULL",CONCATENATE("'",Clientes!L428,"'"))</f>
        <v>NULL</v>
      </c>
      <c r="D443" s="114" t="str">
        <f>CONCATENATE("'",Clientes!A428,"'")</f>
        <v>'Romi - Pasteles'</v>
      </c>
      <c r="E443" s="114" t="str">
        <f>IF(ISBLANK(Clientes!C428),"'Sin Direccion'",CONCATENATE("'",MID(Clientes!C428,1,95),"'"))</f>
        <v>'Capernaum'</v>
      </c>
      <c r="F443" s="114">
        <v>13110</v>
      </c>
      <c r="G443" s="114">
        <v>13</v>
      </c>
      <c r="H443" s="135" t="s">
        <v>2137</v>
      </c>
      <c r="I443" s="122" t="str">
        <f t="shared" si="12"/>
        <v>INSERT INTO CLIENTES(RUT_CLIENTE,RAZON_SOCIAL,DIRECCION,ID_COMUNA,ID_REGION,FECHA_NACIMIENTO) VALUES (NULL,'Romi - Pasteles','Capernaum',13110,13,TO_DATE('29-11-1967','DD-MM-YYYY'));</v>
      </c>
    </row>
    <row r="444" spans="1:9" ht="26.4">
      <c r="A444" t="str">
        <f>Clientes!A429</f>
        <v xml:space="preserve">Romi-Huanque </v>
      </c>
      <c r="B444" s="115">
        <f t="shared" si="13"/>
        <v>427</v>
      </c>
      <c r="C444" s="134" t="str">
        <f>IF(ISBLANK(Clientes!L429),"NULL",CONCATENATE("'",Clientes!L429,"'"))</f>
        <v>NULL</v>
      </c>
      <c r="D444" s="114" t="str">
        <f>CONCATENATE("'",Clientes!A429,"'")</f>
        <v>'Romi-Huanque '</v>
      </c>
      <c r="E444" s="114" t="str">
        <f>IF(ISBLANK(Clientes!C429),"'Sin Direccion'",CONCATENATE("'",MID(Clientes!C429,1,95),"'"))</f>
        <v>'Huanque 2494 la Florida'</v>
      </c>
      <c r="F444" s="114">
        <v>13111</v>
      </c>
      <c r="G444" s="114">
        <v>13</v>
      </c>
      <c r="H444" s="135" t="s">
        <v>2137</v>
      </c>
      <c r="I444" s="122" t="str">
        <f t="shared" si="12"/>
        <v>INSERT INTO CLIENTES(RUT_CLIENTE,RAZON_SOCIAL,DIRECCION,ID_COMUNA,ID_REGION,FECHA_NACIMIENTO) VALUES (NULL,'Romi-Huanque ','Huanque 2494 la Florida',13111,13,TO_DATE('29-11-1967','DD-MM-YYYY'));</v>
      </c>
    </row>
    <row r="445" spans="1:9" ht="26.4">
      <c r="A445" t="str">
        <f>Clientes!A430</f>
        <v>Romina Diaz</v>
      </c>
      <c r="B445" s="115">
        <f t="shared" si="13"/>
        <v>428</v>
      </c>
      <c r="C445" s="134" t="str">
        <f>IF(ISBLANK(Clientes!L430),"NULL",CONCATENATE("'",Clientes!L430,"'"))</f>
        <v>NULL</v>
      </c>
      <c r="D445" s="114" t="str">
        <f>CONCATENATE("'",Clientes!A430,"'")</f>
        <v>'Romina Diaz'</v>
      </c>
      <c r="E445" s="114" t="str">
        <f>IF(ISBLANK(Clientes!C430),"'Sin Direccion'",CONCATENATE("'",MID(Clientes!C430,1,95),"'"))</f>
        <v>'Vecinal 7164'</v>
      </c>
      <c r="F445" s="114">
        <v>13112</v>
      </c>
      <c r="G445" s="114">
        <v>13</v>
      </c>
      <c r="H445" s="135" t="s">
        <v>2137</v>
      </c>
      <c r="I445" s="122" t="str">
        <f t="shared" si="12"/>
        <v>INSERT INTO CLIENTES(RUT_CLIENTE,RAZON_SOCIAL,DIRECCION,ID_COMUNA,ID_REGION,FECHA_NACIMIENTO) VALUES (NULL,'Romina Diaz','Vecinal 7164',13112,13,TO_DATE('29-11-1967','DD-MM-YYYY'));</v>
      </c>
    </row>
    <row r="446" spans="1:9" ht="26.4">
      <c r="A446" t="str">
        <f>Clientes!A431</f>
        <v>Rosa - Pellahuen 7216</v>
      </c>
      <c r="B446" s="115">
        <f t="shared" si="13"/>
        <v>429</v>
      </c>
      <c r="C446" s="134" t="str">
        <f>IF(ISBLANK(Clientes!L431),"NULL",CONCATENATE("'",Clientes!L431,"'"))</f>
        <v>NULL</v>
      </c>
      <c r="D446" s="114" t="str">
        <f>CONCATENATE("'",Clientes!A431,"'")</f>
        <v>'Rosa - Pellahuen 7216'</v>
      </c>
      <c r="E446" s="114" t="str">
        <f>IF(ISBLANK(Clientes!C431),"'Sin Direccion'",CONCATENATE("'",MID(Clientes!C431,1,95),"'"))</f>
        <v>'Pellahuen 7216  / 2 pasajes antes de Vecinal'</v>
      </c>
      <c r="F446" s="114">
        <v>13113</v>
      </c>
      <c r="G446" s="114">
        <v>13</v>
      </c>
      <c r="H446" s="135" t="s">
        <v>2137</v>
      </c>
      <c r="I446" s="122" t="str">
        <f t="shared" si="12"/>
        <v>INSERT INTO CLIENTES(RUT_CLIENTE,RAZON_SOCIAL,DIRECCION,ID_COMUNA,ID_REGION,FECHA_NACIMIENTO) VALUES (NULL,'Rosa - Pellahuen 7216','Pellahuen 7216  / 2 pasajes antes de Vecinal',13113,13,TO_DATE('29-11-1967','DD-MM-YYYY'));</v>
      </c>
    </row>
    <row r="447" spans="1:9" ht="26.4">
      <c r="A447" t="str">
        <f>Clientes!A432</f>
        <v>Rosanna Contreras</v>
      </c>
      <c r="B447" s="115">
        <f t="shared" si="13"/>
        <v>430</v>
      </c>
      <c r="C447" s="134" t="str">
        <f>IF(ISBLANK(Clientes!L432),"NULL",CONCATENATE("'",Clientes!L432,"'"))</f>
        <v>NULL</v>
      </c>
      <c r="D447" s="114" t="str">
        <f>CONCATENATE("'",Clientes!A432,"'")</f>
        <v>'Rosanna Contreras'</v>
      </c>
      <c r="E447" s="114" t="str">
        <f>IF(ISBLANK(Clientes!C432),"'Sin Direccion'",CONCATENATE("'",MID(Clientes!C432,1,95),"'"))</f>
        <v>'Santa isidora 2418'</v>
      </c>
      <c r="F447" s="114">
        <v>13114</v>
      </c>
      <c r="G447" s="114">
        <v>13</v>
      </c>
      <c r="H447" s="135" t="s">
        <v>2137</v>
      </c>
      <c r="I447" s="122" t="str">
        <f t="shared" si="12"/>
        <v>INSERT INTO CLIENTES(RUT_CLIENTE,RAZON_SOCIAL,DIRECCION,ID_COMUNA,ID_REGION,FECHA_NACIMIENTO) VALUES (NULL,'Rosanna Contreras','Santa isidora 2418',13114,13,TO_DATE('29-11-1967','DD-MM-YYYY'));</v>
      </c>
    </row>
    <row r="448" spans="1:9" ht="26.4">
      <c r="A448" t="str">
        <f>Clientes!A433</f>
        <v>Ruben Moreno</v>
      </c>
      <c r="B448" s="115">
        <f t="shared" si="13"/>
        <v>431</v>
      </c>
      <c r="C448" s="134" t="str">
        <f>IF(ISBLANK(Clientes!L433),"NULL",CONCATENATE("'",Clientes!L433,"'"))</f>
        <v>NULL</v>
      </c>
      <c r="D448" s="114" t="str">
        <f>CONCATENATE("'",Clientes!A433,"'")</f>
        <v>'Ruben Moreno'</v>
      </c>
      <c r="E448" s="114" t="str">
        <f>IF(ISBLANK(Clientes!C433),"'Sin Direccion'",CONCATENATE("'",MID(Clientes!C433,1,95),"'"))</f>
        <v>'Hualle Sur 9432'</v>
      </c>
      <c r="F448" s="114">
        <v>13115</v>
      </c>
      <c r="G448" s="114">
        <v>13</v>
      </c>
      <c r="H448" s="135" t="s">
        <v>2137</v>
      </c>
      <c r="I448" s="122" t="str">
        <f t="shared" si="12"/>
        <v>INSERT INTO CLIENTES(RUT_CLIENTE,RAZON_SOCIAL,DIRECCION,ID_COMUNA,ID_REGION,FECHA_NACIMIENTO) VALUES (NULL,'Ruben Moreno','Hualle Sur 9432',13115,13,TO_DATE('29-11-1967','DD-MM-YYYY'));</v>
      </c>
    </row>
    <row r="449" spans="1:9" ht="26.4">
      <c r="A449" t="str">
        <f>Clientes!A434</f>
        <v>Ruth Gomez</v>
      </c>
      <c r="B449" s="115">
        <f t="shared" si="13"/>
        <v>432</v>
      </c>
      <c r="C449" s="134" t="str">
        <f>IF(ISBLANK(Clientes!L434),"NULL",CONCATENATE("'",Clientes!L434,"'"))</f>
        <v>NULL</v>
      </c>
      <c r="D449" s="114" t="str">
        <f>CONCATENATE("'",Clientes!A434,"'")</f>
        <v>'Ruth Gomez'</v>
      </c>
      <c r="E449" s="114" t="str">
        <f>IF(ISBLANK(Clientes!C434),"'Sin Direccion'",CONCATENATE("'",MID(Clientes!C434,1,95),"'"))</f>
        <v>'Diamelos 8568'</v>
      </c>
      <c r="F449" s="114">
        <v>13116</v>
      </c>
      <c r="G449" s="114">
        <v>13</v>
      </c>
      <c r="H449" s="135" t="s">
        <v>2137</v>
      </c>
      <c r="I449" s="122" t="str">
        <f t="shared" si="12"/>
        <v>INSERT INTO CLIENTES(RUT_CLIENTE,RAZON_SOCIAL,DIRECCION,ID_COMUNA,ID_REGION,FECHA_NACIMIENTO) VALUES (NULL,'Ruth Gomez','Diamelos 8568',13116,13,TO_DATE('29-11-1967','DD-MM-YYYY'));</v>
      </c>
    </row>
    <row r="450" spans="1:9" ht="26.4">
      <c r="A450" t="str">
        <f>Clientes!A435</f>
        <v>Samuel Zuñiga</v>
      </c>
      <c r="B450" s="115">
        <f t="shared" si="13"/>
        <v>433</v>
      </c>
      <c r="C450" s="134" t="str">
        <f>IF(ISBLANK(Clientes!L435),"NULL",CONCATENATE("'",Clientes!L435,"'"))</f>
        <v>NULL</v>
      </c>
      <c r="D450" s="114" t="str">
        <f>CONCATENATE("'",Clientes!A435,"'")</f>
        <v>'Samuel Zuñiga'</v>
      </c>
      <c r="E450" s="114" t="str">
        <f>IF(ISBLANK(Clientes!C435),"'Sin Direccion'",CONCATENATE("'",MID(Clientes!C435,1,95),"'"))</f>
        <v>'Sin Direccion'</v>
      </c>
      <c r="F450" s="114">
        <v>13117</v>
      </c>
      <c r="G450" s="114">
        <v>13</v>
      </c>
      <c r="H450" s="135" t="s">
        <v>2137</v>
      </c>
      <c r="I450" s="122" t="str">
        <f t="shared" si="12"/>
        <v>INSERT INTO CLIENTES(RUT_CLIENTE,RAZON_SOCIAL,DIRECCION,ID_COMUNA,ID_REGION,FECHA_NACIMIENTO) VALUES (NULL,'Samuel Zuñiga','Sin Direccion',13117,13,TO_DATE('29-11-1967','DD-MM-YYYY'));</v>
      </c>
    </row>
    <row r="451" spans="1:9" ht="26.4">
      <c r="A451" t="str">
        <f>Clientes!A436</f>
        <v>Sandra</v>
      </c>
      <c r="B451" s="115">
        <f t="shared" si="13"/>
        <v>434</v>
      </c>
      <c r="C451" s="134" t="str">
        <f>IF(ISBLANK(Clientes!L436),"NULL",CONCATENATE("'",Clientes!L436,"'"))</f>
        <v>NULL</v>
      </c>
      <c r="D451" s="114" t="str">
        <f>CONCATENATE("'",Clientes!A436,"'")</f>
        <v>'Sandra'</v>
      </c>
      <c r="E451" s="114" t="str">
        <f>IF(ISBLANK(Clientes!C436),"'Sin Direccion'",CONCATENATE("'",MID(Clientes!C436,1,95),"'"))</f>
        <v>'Sin Direccion'</v>
      </c>
      <c r="F451" s="114">
        <v>13118</v>
      </c>
      <c r="G451" s="114">
        <v>13</v>
      </c>
      <c r="H451" s="135" t="s">
        <v>2137</v>
      </c>
      <c r="I451" s="122" t="str">
        <f t="shared" si="12"/>
        <v>INSERT INTO CLIENTES(RUT_CLIENTE,RAZON_SOCIAL,DIRECCION,ID_COMUNA,ID_REGION,FECHA_NACIMIENTO) VALUES (NULL,'Sandra','Sin Direccion',13118,13,TO_DATE('29-11-1967','DD-MM-YYYY'));</v>
      </c>
    </row>
    <row r="452" spans="1:9" ht="26.4">
      <c r="A452" t="str">
        <f>Clientes!A437</f>
        <v>Sandra - Santa Estela 2437</v>
      </c>
      <c r="B452" s="115">
        <f t="shared" si="13"/>
        <v>435</v>
      </c>
      <c r="C452" s="134" t="str">
        <f>IF(ISBLANK(Clientes!L437),"NULL",CONCATENATE("'",Clientes!L437,"'"))</f>
        <v>NULL</v>
      </c>
      <c r="D452" s="114" t="str">
        <f>CONCATENATE("'",Clientes!A437,"'")</f>
        <v>'Sandra - Santa Estela 2437'</v>
      </c>
      <c r="E452" s="114" t="str">
        <f>IF(ISBLANK(Clientes!C437),"'Sin Direccion'",CONCATENATE("'",MID(Clientes!C437,1,95),"'"))</f>
        <v>'Santa Estela 2437'</v>
      </c>
      <c r="F452" s="114">
        <v>13119</v>
      </c>
      <c r="G452" s="114">
        <v>13</v>
      </c>
      <c r="H452" s="135" t="s">
        <v>2137</v>
      </c>
      <c r="I452" s="122" t="str">
        <f t="shared" si="12"/>
        <v>INSERT INTO CLIENTES(RUT_CLIENTE,RAZON_SOCIAL,DIRECCION,ID_COMUNA,ID_REGION,FECHA_NACIMIENTO) VALUES (NULL,'Sandra - Santa Estela 2437','Santa Estela 2437',13119,13,TO_DATE('29-11-1967','DD-MM-YYYY'));</v>
      </c>
    </row>
    <row r="453" spans="1:9" ht="26.4">
      <c r="A453" t="str">
        <f>Clientes!A438</f>
        <v>Sandra Gallardo</v>
      </c>
      <c r="B453" s="115">
        <f t="shared" si="13"/>
        <v>436</v>
      </c>
      <c r="C453" s="134" t="str">
        <f>IF(ISBLANK(Clientes!L438),"NULL",CONCATENATE("'",Clientes!L438,"'"))</f>
        <v>NULL</v>
      </c>
      <c r="D453" s="114" t="str">
        <f>CONCATENATE("'",Clientes!A438,"'")</f>
        <v>'Sandra Gallardo'</v>
      </c>
      <c r="E453" s="114" t="str">
        <f>IF(ISBLANK(Clientes!C438),"'Sin Direccion'",CONCATENATE("'",MID(Clientes!C438,1,95),"'"))</f>
        <v>'México 8960 depto 304'</v>
      </c>
      <c r="F453" s="114">
        <v>13120</v>
      </c>
      <c r="G453" s="114">
        <v>13</v>
      </c>
      <c r="H453" s="135" t="s">
        <v>2137</v>
      </c>
      <c r="I453" s="122" t="str">
        <f t="shared" si="12"/>
        <v>INSERT INTO CLIENTES(RUT_CLIENTE,RAZON_SOCIAL,DIRECCION,ID_COMUNA,ID_REGION,FECHA_NACIMIENTO) VALUES (NULL,'Sandra Gallardo','México 8960 depto 304',13120,13,TO_DATE('29-11-1967','DD-MM-YYYY'));</v>
      </c>
    </row>
    <row r="454" spans="1:9" ht="26.4">
      <c r="A454" t="str">
        <f>Clientes!A439</f>
        <v>Sandra Narvaez</v>
      </c>
      <c r="B454" s="115">
        <f t="shared" si="13"/>
        <v>437</v>
      </c>
      <c r="C454" s="134" t="str">
        <f>IF(ISBLANK(Clientes!L439),"NULL",CONCATENATE("'",Clientes!L439,"'"))</f>
        <v>NULL</v>
      </c>
      <c r="D454" s="114" t="str">
        <f>CONCATENATE("'",Clientes!A439,"'")</f>
        <v>'Sandra Narvaez'</v>
      </c>
      <c r="E454" s="114" t="str">
        <f>IF(ISBLANK(Clientes!C439),"'Sin Direccion'",CONCATENATE("'",MID(Clientes!C439,1,95),"'"))</f>
        <v>'Walker Martínez 3350 Depto 91'</v>
      </c>
      <c r="F454" s="114">
        <v>13121</v>
      </c>
      <c r="G454" s="114">
        <v>13</v>
      </c>
      <c r="H454" s="135" t="s">
        <v>2137</v>
      </c>
      <c r="I454" s="122" t="str">
        <f t="shared" si="12"/>
        <v>INSERT INTO CLIENTES(RUT_CLIENTE,RAZON_SOCIAL,DIRECCION,ID_COMUNA,ID_REGION,FECHA_NACIMIENTO) VALUES (NULL,'Sandra Narvaez','Walker Martínez 3350 Depto 91',13121,13,TO_DATE('29-11-1967','DD-MM-YYYY'));</v>
      </c>
    </row>
    <row r="455" spans="1:9" ht="26.4">
      <c r="A455" t="str">
        <f>Clientes!A440</f>
        <v>Sergio Edmundo Araya</v>
      </c>
      <c r="B455" s="115">
        <f t="shared" si="13"/>
        <v>438</v>
      </c>
      <c r="C455" s="134" t="str">
        <f>IF(ISBLANK(Clientes!L440),"NULL",CONCATENATE("'",Clientes!L440,"'"))</f>
        <v>NULL</v>
      </c>
      <c r="D455" s="114" t="str">
        <f>CONCATENATE("'",Clientes!A440,"'")</f>
        <v>'Sergio Edmundo Araya'</v>
      </c>
      <c r="E455" s="114" t="str">
        <f>IF(ISBLANK(Clientes!C440),"'Sin Direccion'",CONCATENATE("'",MID(Clientes!C440,1,95),"'"))</f>
        <v>'Belloto del norte oriente 9407'</v>
      </c>
      <c r="F455" s="114">
        <v>13122</v>
      </c>
      <c r="G455" s="114">
        <v>13</v>
      </c>
      <c r="H455" s="135" t="s">
        <v>2137</v>
      </c>
      <c r="I455" s="122" t="str">
        <f t="shared" si="12"/>
        <v>INSERT INTO CLIENTES(RUT_CLIENTE,RAZON_SOCIAL,DIRECCION,ID_COMUNA,ID_REGION,FECHA_NACIMIENTO) VALUES (NULL,'Sergio Edmundo Araya','Belloto del norte oriente 9407',13122,13,TO_DATE('29-11-1967','DD-MM-YYYY'));</v>
      </c>
    </row>
    <row r="456" spans="1:9" ht="26.4">
      <c r="A456" t="str">
        <f>Clientes!A441</f>
        <v>Sergio Peralta</v>
      </c>
      <c r="B456" s="115">
        <f t="shared" si="13"/>
        <v>439</v>
      </c>
      <c r="C456" s="134" t="str">
        <f>IF(ISBLANK(Clientes!L441),"NULL",CONCATENATE("'",Clientes!L441,"'"))</f>
        <v>NULL</v>
      </c>
      <c r="D456" s="114" t="str">
        <f>CONCATENATE("'",Clientes!A441,"'")</f>
        <v>'Sergio Peralta'</v>
      </c>
      <c r="E456" s="114" t="str">
        <f>IF(ISBLANK(Clientes!C441),"'Sin Direccion'",CONCATENATE("'",MID(Clientes!C441,1,95),"'"))</f>
        <v>'Santa Estela 2441'</v>
      </c>
      <c r="F456" s="114">
        <v>13123</v>
      </c>
      <c r="G456" s="114">
        <v>13</v>
      </c>
      <c r="H456" s="135" t="s">
        <v>2137</v>
      </c>
      <c r="I456" s="122" t="str">
        <f t="shared" si="12"/>
        <v>INSERT INTO CLIENTES(RUT_CLIENTE,RAZON_SOCIAL,DIRECCION,ID_COMUNA,ID_REGION,FECHA_NACIMIENTO) VALUES (NULL,'Sergio Peralta','Santa Estela 2441',13123,13,TO_DATE('29-11-1967','DD-MM-YYYY'));</v>
      </c>
    </row>
    <row r="457" spans="1:9" ht="26.4">
      <c r="A457" t="str">
        <f>Clientes!A442</f>
        <v>Sofia Carrillo</v>
      </c>
      <c r="B457" s="115">
        <f t="shared" si="13"/>
        <v>440</v>
      </c>
      <c r="C457" s="134" t="str">
        <f>IF(ISBLANK(Clientes!L442),"NULL",CONCATENATE("'",Clientes!L442,"'"))</f>
        <v>NULL</v>
      </c>
      <c r="D457" s="114" t="str">
        <f>CONCATENATE("'",Clientes!A442,"'")</f>
        <v>'Sofia Carrillo'</v>
      </c>
      <c r="E457" s="114" t="str">
        <f>IF(ISBLANK(Clientes!C442),"'Sin Direccion'",CONCATENATE("'",MID(Clientes!C442,1,95),"'"))</f>
        <v>'Palhuen 2620'</v>
      </c>
      <c r="F457" s="114">
        <v>13124</v>
      </c>
      <c r="G457" s="114">
        <v>13</v>
      </c>
      <c r="H457" s="135" t="s">
        <v>2137</v>
      </c>
      <c r="I457" s="122" t="str">
        <f t="shared" si="12"/>
        <v>INSERT INTO CLIENTES(RUT_CLIENTE,RAZON_SOCIAL,DIRECCION,ID_COMUNA,ID_REGION,FECHA_NACIMIENTO) VALUES (NULL,'Sofia Carrillo','Palhuen 2620',13124,13,TO_DATE('29-11-1967','DD-MM-YYYY'));</v>
      </c>
    </row>
    <row r="458" spans="1:9" ht="26.4">
      <c r="A458" t="str">
        <f>Clientes!A443</f>
        <v>Sofia Godoy</v>
      </c>
      <c r="B458" s="115">
        <f t="shared" si="13"/>
        <v>441</v>
      </c>
      <c r="C458" s="134" t="str">
        <f>IF(ISBLANK(Clientes!L443),"NULL",CONCATENATE("'",Clientes!L443,"'"))</f>
        <v>NULL</v>
      </c>
      <c r="D458" s="114" t="str">
        <f>CONCATENATE("'",Clientes!A443,"'")</f>
        <v>'Sofia Godoy'</v>
      </c>
      <c r="E458" s="114" t="str">
        <f>IF(ISBLANK(Clientes!C443),"'Sin Direccion'",CONCATENATE("'",MID(Clientes!C443,1,95),"'"))</f>
        <v>'Sin Direccion'</v>
      </c>
      <c r="F458" s="114">
        <v>13125</v>
      </c>
      <c r="G458" s="114">
        <v>13</v>
      </c>
      <c r="H458" s="135" t="s">
        <v>2137</v>
      </c>
      <c r="I458" s="122" t="str">
        <f t="shared" si="12"/>
        <v>INSERT INTO CLIENTES(RUT_CLIENTE,RAZON_SOCIAL,DIRECCION,ID_COMUNA,ID_REGION,FECHA_NACIMIENTO) VALUES (NULL,'Sofia Godoy','Sin Direccion',13125,13,TO_DATE('29-11-1967','DD-MM-YYYY'));</v>
      </c>
    </row>
    <row r="459" spans="1:9" ht="26.4">
      <c r="A459" t="str">
        <f>Clientes!A444</f>
        <v>Soledad Padilla</v>
      </c>
      <c r="B459" s="115">
        <f t="shared" si="13"/>
        <v>442</v>
      </c>
      <c r="C459" s="134" t="str">
        <f>IF(ISBLANK(Clientes!L444),"NULL",CONCATENATE("'",Clientes!L444,"'"))</f>
        <v>NULL</v>
      </c>
      <c r="D459" s="114" t="str">
        <f>CONCATENATE("'",Clientes!A444,"'")</f>
        <v>'Soledad Padilla'</v>
      </c>
      <c r="E459" s="114" t="str">
        <f>IF(ISBLANK(Clientes!C444),"'Sin Direccion'",CONCATENATE("'",MID(Clientes!C444,1,95),"'"))</f>
        <v>'Las lilas 1681, La Florida'</v>
      </c>
      <c r="F459" s="114">
        <v>13126</v>
      </c>
      <c r="G459" s="114">
        <v>13</v>
      </c>
      <c r="H459" s="135" t="s">
        <v>2137</v>
      </c>
      <c r="I459" s="122" t="str">
        <f t="shared" si="12"/>
        <v>INSERT INTO CLIENTES(RUT_CLIENTE,RAZON_SOCIAL,DIRECCION,ID_COMUNA,ID_REGION,FECHA_NACIMIENTO) VALUES (NULL,'Soledad Padilla','Las lilas 1681, La Florida',13126,13,TO_DATE('29-11-1967','DD-MM-YYYY'));</v>
      </c>
    </row>
    <row r="460" spans="1:9" ht="26.4">
      <c r="A460" t="str">
        <f>Clientes!A445</f>
        <v>Soledad Saavedra</v>
      </c>
      <c r="B460" s="115">
        <f t="shared" si="13"/>
        <v>443</v>
      </c>
      <c r="C460" s="134" t="str">
        <f>IF(ISBLANK(Clientes!L445),"NULL",CONCATENATE("'",Clientes!L445,"'"))</f>
        <v>NULL</v>
      </c>
      <c r="D460" s="114" t="str">
        <f>CONCATENATE("'",Clientes!A445,"'")</f>
        <v>'Soledad Saavedra'</v>
      </c>
      <c r="E460" s="114" t="str">
        <f>IF(ISBLANK(Clientes!C445),"'Sin Direccion'",CONCATENATE("'",MID(Clientes!C445,1,95),"'"))</f>
        <v>'Sin Direccion'</v>
      </c>
      <c r="F460" s="114">
        <v>13127</v>
      </c>
      <c r="G460" s="114">
        <v>13</v>
      </c>
      <c r="H460" s="135" t="s">
        <v>2137</v>
      </c>
      <c r="I460" s="122" t="str">
        <f t="shared" si="12"/>
        <v>INSERT INTO CLIENTES(RUT_CLIENTE,RAZON_SOCIAL,DIRECCION,ID_COMUNA,ID_REGION,FECHA_NACIMIENTO) VALUES (NULL,'Soledad Saavedra','Sin Direccion',13127,13,TO_DATE('29-11-1967','DD-MM-YYYY'));</v>
      </c>
    </row>
    <row r="461" spans="1:9" ht="26.4">
      <c r="A461" t="str">
        <f>Clientes!A446</f>
        <v>Soledad Valdebenito</v>
      </c>
      <c r="B461" s="115">
        <f t="shared" si="13"/>
        <v>444</v>
      </c>
      <c r="C461" s="134" t="str">
        <f>IF(ISBLANK(Clientes!L446),"NULL",CONCATENATE("'",Clientes!L446,"'"))</f>
        <v>NULL</v>
      </c>
      <c r="D461" s="114" t="str">
        <f>CONCATENATE("'",Clientes!A446,"'")</f>
        <v>'Soledad Valdebenito'</v>
      </c>
      <c r="E461" s="114" t="str">
        <f>IF(ISBLANK(Clientes!C446),"'Sin Direccion'",CONCATENATE("'",MID(Clientes!C446,1,95),"'"))</f>
        <v>'Pasaje El Arrayán , 3361, Villa Jardín del Edén.'</v>
      </c>
      <c r="F461" s="114">
        <v>13128</v>
      </c>
      <c r="G461" s="114">
        <v>13</v>
      </c>
      <c r="H461" s="135" t="s">
        <v>2137</v>
      </c>
      <c r="I461" s="122" t="str">
        <f t="shared" si="12"/>
        <v>INSERT INTO CLIENTES(RUT_CLIENTE,RAZON_SOCIAL,DIRECCION,ID_COMUNA,ID_REGION,FECHA_NACIMIENTO) VALUES (NULL,'Soledad Valdebenito','Pasaje El Arrayán , 3361, Villa Jardín del Edén.',13128,13,TO_DATE('29-11-1967','DD-MM-YYYY'));</v>
      </c>
    </row>
    <row r="462" spans="1:9" ht="26.4">
      <c r="A462" t="str">
        <f>Clientes!A447</f>
        <v>Sonia Martinez</v>
      </c>
      <c r="B462" s="115">
        <f t="shared" si="13"/>
        <v>445</v>
      </c>
      <c r="C462" s="134" t="str">
        <f>IF(ISBLANK(Clientes!L447),"NULL",CONCATENATE("'",Clientes!L447,"'"))</f>
        <v>NULL</v>
      </c>
      <c r="D462" s="114" t="str">
        <f>CONCATENATE("'",Clientes!A447,"'")</f>
        <v>'Sonia Martinez'</v>
      </c>
      <c r="E462" s="114" t="str">
        <f>IF(ISBLANK(Clientes!C447),"'Sin Direccion'",CONCATENATE("'",MID(Clientes!C447,1,95),"'"))</f>
        <v>'Santa Amalia 3500, depto 23B'</v>
      </c>
      <c r="F462" s="114">
        <v>13129</v>
      </c>
      <c r="G462" s="114">
        <v>13</v>
      </c>
      <c r="H462" s="135" t="s">
        <v>2137</v>
      </c>
      <c r="I462" s="122" t="str">
        <f t="shared" si="12"/>
        <v>INSERT INTO CLIENTES(RUT_CLIENTE,RAZON_SOCIAL,DIRECCION,ID_COMUNA,ID_REGION,FECHA_NACIMIENTO) VALUES (NULL,'Sonia Martinez','Santa Amalia 3500, depto 23B',13129,13,TO_DATE('29-11-1967','DD-MM-YYYY'));</v>
      </c>
    </row>
    <row r="463" spans="1:9" ht="26.4">
      <c r="A463" t="str">
        <f>Clientes!A448</f>
        <v>Sonia Noche</v>
      </c>
      <c r="B463" s="115">
        <f t="shared" si="13"/>
        <v>446</v>
      </c>
      <c r="C463" s="134" t="str">
        <f>IF(ISBLANK(Clientes!L448),"NULL",CONCATENATE("'",Clientes!L448,"'"))</f>
        <v>NULL</v>
      </c>
      <c r="D463" s="114" t="str">
        <f>CONCATENATE("'",Clientes!A448,"'")</f>
        <v>'Sonia Noche'</v>
      </c>
      <c r="E463" s="114" t="str">
        <f>IF(ISBLANK(Clientes!C448),"'Sin Direccion'",CONCATENATE("'",MID(Clientes!C448,1,95),"'"))</f>
        <v>'Belloto del norte 9378'</v>
      </c>
      <c r="F463" s="114">
        <v>13130</v>
      </c>
      <c r="G463" s="114">
        <v>13</v>
      </c>
      <c r="H463" s="135" t="s">
        <v>2137</v>
      </c>
      <c r="I463" s="122" t="str">
        <f t="shared" si="12"/>
        <v>INSERT INTO CLIENTES(RUT_CLIENTE,RAZON_SOCIAL,DIRECCION,ID_COMUNA,ID_REGION,FECHA_NACIMIENTO) VALUES (NULL,'Sonia Noche','Belloto del norte 9378',13130,13,TO_DATE('29-11-1967','DD-MM-YYYY'));</v>
      </c>
    </row>
    <row r="464" spans="1:9" ht="26.4">
      <c r="A464" t="str">
        <f>Clientes!A449</f>
        <v>Sra Eugenia</v>
      </c>
      <c r="B464" s="115">
        <f t="shared" si="13"/>
        <v>447</v>
      </c>
      <c r="C464" s="134" t="str">
        <f>IF(ISBLANK(Clientes!L449),"NULL",CONCATENATE("'",Clientes!L449,"'"))</f>
        <v>NULL</v>
      </c>
      <c r="D464" s="114" t="str">
        <f>CONCATENATE("'",Clientes!A449,"'")</f>
        <v>'Sra Eugenia'</v>
      </c>
      <c r="E464" s="114" t="str">
        <f>IF(ISBLANK(Clientes!C449),"'Sin Direccion'",CONCATENATE("'",MID(Clientes!C449,1,95),"'"))</f>
        <v>'Sin Direccion'</v>
      </c>
      <c r="F464" s="114">
        <v>13131</v>
      </c>
      <c r="G464" s="114">
        <v>13</v>
      </c>
      <c r="H464" s="135" t="s">
        <v>2137</v>
      </c>
      <c r="I464" s="122" t="str">
        <f t="shared" si="12"/>
        <v>INSERT INTO CLIENTES(RUT_CLIENTE,RAZON_SOCIAL,DIRECCION,ID_COMUNA,ID_REGION,FECHA_NACIMIENTO) VALUES (NULL,'Sra Eugenia','Sin Direccion',13131,13,TO_DATE('29-11-1967','DD-MM-YYYY'));</v>
      </c>
    </row>
    <row r="465" spans="1:9" ht="26.4">
      <c r="A465" t="str">
        <f>Clientes!A450</f>
        <v>Stefany - Santa Delia</v>
      </c>
      <c r="B465" s="115">
        <f t="shared" si="13"/>
        <v>448</v>
      </c>
      <c r="C465" s="134" t="str">
        <f>IF(ISBLANK(Clientes!L450),"NULL",CONCATENATE("'",Clientes!L450,"'"))</f>
        <v>NULL</v>
      </c>
      <c r="D465" s="114" t="str">
        <f>CONCATENATE("'",Clientes!A450,"'")</f>
        <v>'Stefany - Santa Delia'</v>
      </c>
      <c r="E465" s="114" t="str">
        <f>IF(ISBLANK(Clientes!C450),"'Sin Direccion'",CONCATENATE("'",MID(Clientes!C450,1,95),"'"))</f>
        <v>'Santa nelly 8931, la Florida'</v>
      </c>
      <c r="F465" s="114">
        <v>13132</v>
      </c>
      <c r="G465" s="114">
        <v>13</v>
      </c>
      <c r="H465" s="135" t="s">
        <v>2137</v>
      </c>
      <c r="I465" s="122" t="str">
        <f t="shared" si="12"/>
        <v>INSERT INTO CLIENTES(RUT_CLIENTE,RAZON_SOCIAL,DIRECCION,ID_COMUNA,ID_REGION,FECHA_NACIMIENTO) VALUES (NULL,'Stefany - Santa Delia','Santa nelly 8931, la Florida',13132,13,TO_DATE('29-11-1967','DD-MM-YYYY'));</v>
      </c>
    </row>
    <row r="466" spans="1:9" ht="26.4">
      <c r="A466" t="str">
        <f>Clientes!A451</f>
        <v>Stefi - Huilquehue 7298</v>
      </c>
      <c r="B466" s="115">
        <f t="shared" si="13"/>
        <v>449</v>
      </c>
      <c r="C466" s="134" t="str">
        <f>IF(ISBLANK(Clientes!L451),"NULL",CONCATENATE("'",Clientes!L451,"'"))</f>
        <v>NULL</v>
      </c>
      <c r="D466" s="114" t="str">
        <f>CONCATENATE("'",Clientes!A451,"'")</f>
        <v>'Stefi - Huilquehue 7298'</v>
      </c>
      <c r="E466" s="114" t="str">
        <f>IF(ISBLANK(Clientes!C451),"'Sin Direccion'",CONCATENATE("'",MID(Clientes!C451,1,95),"'"))</f>
        <v>'Huilquehue 7298'</v>
      </c>
      <c r="F466" s="114">
        <v>13201</v>
      </c>
      <c r="G466" s="114">
        <v>13</v>
      </c>
      <c r="H466" s="135" t="s">
        <v>2137</v>
      </c>
      <c r="I466" s="122" t="str">
        <f t="shared" si="12"/>
        <v>INSERT INTO CLIENTES(RUT_CLIENTE,RAZON_SOCIAL,DIRECCION,ID_COMUNA,ID_REGION,FECHA_NACIMIENTO) VALUES (NULL,'Stefi - Huilquehue 7298','Huilquehue 7298',13201,13,TO_DATE('29-11-1967','DD-MM-YYYY'));</v>
      </c>
    </row>
    <row r="467" spans="1:9" ht="26.4">
      <c r="A467" t="str">
        <f>Clientes!A452</f>
        <v>Suilan Leighton</v>
      </c>
      <c r="B467" s="115">
        <f t="shared" si="13"/>
        <v>450</v>
      </c>
      <c r="C467" s="134" t="str">
        <f>IF(ISBLANK(Clientes!L452),"NULL",CONCATENATE("'",Clientes!L452,"'"))</f>
        <v>NULL</v>
      </c>
      <c r="D467" s="114" t="str">
        <f>CONCATENATE("'",Clientes!A452,"'")</f>
        <v>'Suilan Leighton'</v>
      </c>
      <c r="E467" s="114" t="str">
        <f>IF(ISBLANK(Clientes!C452),"'Sin Direccion'",CONCATENATE("'",MID(Clientes!C452,1,95),"'"))</f>
        <v>'Sin Direccion'</v>
      </c>
      <c r="F467" s="114">
        <v>13202</v>
      </c>
      <c r="G467" s="114">
        <v>13</v>
      </c>
      <c r="H467" s="135" t="s">
        <v>2137</v>
      </c>
      <c r="I467" s="122" t="str">
        <f t="shared" ref="I467:I505" si="14">CONCATENATE("INSERT INTO CLIENTES(RUT_CLIENTE,RAZON_SOCIAL,DIRECCION,ID_COMUNA,ID_REGION,FECHA_NACIMIENTO) VALUES (",C467,",",D467,",",E467,",",F467,",",G467,",","TO_DATE('",H467,"','DD-MM-YYYY'));")</f>
        <v>INSERT INTO CLIENTES(RUT_CLIENTE,RAZON_SOCIAL,DIRECCION,ID_COMUNA,ID_REGION,FECHA_NACIMIENTO) VALUES (NULL,'Suilan Leighton','Sin Direccion',13202,13,TO_DATE('29-11-1967','DD-MM-YYYY'));</v>
      </c>
    </row>
    <row r="468" spans="1:9" ht="26.4">
      <c r="A468" t="str">
        <f>Clientes!A453</f>
        <v>Susan Black</v>
      </c>
      <c r="B468" s="115">
        <f t="shared" ref="B468:B505" si="15">B467+1</f>
        <v>451</v>
      </c>
      <c r="C468" s="134" t="str">
        <f>IF(ISBLANK(Clientes!L453),"NULL",CONCATENATE("'",Clientes!L453,"'"))</f>
        <v>NULL</v>
      </c>
      <c r="D468" s="114" t="str">
        <f>CONCATENATE("'",Clientes!A453,"'")</f>
        <v>'Susan Black'</v>
      </c>
      <c r="E468" s="114" t="str">
        <f>IF(ISBLANK(Clientes!C453),"'Sin Direccion'",CONCATENATE("'",MID(Clientes!C453,1,95),"'"))</f>
        <v>'casa 3958 '</v>
      </c>
      <c r="F468" s="114">
        <v>13203</v>
      </c>
      <c r="G468" s="114">
        <v>13</v>
      </c>
      <c r="H468" s="135" t="s">
        <v>2137</v>
      </c>
      <c r="I468" s="122" t="str">
        <f t="shared" si="14"/>
        <v>INSERT INTO CLIENTES(RUT_CLIENTE,RAZON_SOCIAL,DIRECCION,ID_COMUNA,ID_REGION,FECHA_NACIMIENTO) VALUES (NULL,'Susan Black','casa 3958 ',13203,13,TO_DATE('29-11-1967','DD-MM-YYYY'));</v>
      </c>
    </row>
    <row r="469" spans="1:9" ht="26.4">
      <c r="A469" t="str">
        <f>Clientes!A454</f>
        <v>Susana Aguilar</v>
      </c>
      <c r="B469" s="115">
        <f t="shared" si="15"/>
        <v>452</v>
      </c>
      <c r="C469" s="134" t="str">
        <f>IF(ISBLANK(Clientes!L454),"NULL",CONCATENATE("'",Clientes!L454,"'"))</f>
        <v>NULL</v>
      </c>
      <c r="D469" s="114" t="str">
        <f>CONCATENATE("'",Clientes!A454,"'")</f>
        <v>'Susana Aguilar'</v>
      </c>
      <c r="E469" s="114" t="str">
        <f>IF(ISBLANK(Clientes!C454),"'Sin Direccion'",CONCATENATE("'",MID(Clientes!C454,1,95),"'"))</f>
        <v>'Azucena 9409'</v>
      </c>
      <c r="F469" s="114">
        <v>13301</v>
      </c>
      <c r="G469" s="114">
        <v>13</v>
      </c>
      <c r="H469" s="135" t="s">
        <v>2137</v>
      </c>
      <c r="I469" s="122" t="str">
        <f t="shared" si="14"/>
        <v>INSERT INTO CLIENTES(RUT_CLIENTE,RAZON_SOCIAL,DIRECCION,ID_COMUNA,ID_REGION,FECHA_NACIMIENTO) VALUES (NULL,'Susana Aguilar','Azucena 9409',13301,13,TO_DATE('29-11-1967','DD-MM-YYYY'));</v>
      </c>
    </row>
    <row r="470" spans="1:9" ht="26.4">
      <c r="A470" t="str">
        <f>Clientes!A455</f>
        <v>Susana Pizarro</v>
      </c>
      <c r="B470" s="115">
        <f t="shared" si="15"/>
        <v>453</v>
      </c>
      <c r="C470" s="134" t="str">
        <f>IF(ISBLANK(Clientes!L455),"NULL",CONCATENATE("'",Clientes!L455,"'"))</f>
        <v>NULL</v>
      </c>
      <c r="D470" s="114" t="str">
        <f>CONCATENATE("'",Clientes!A455,"'")</f>
        <v>'Susana Pizarro'</v>
      </c>
      <c r="E470" s="114" t="str">
        <f>IF(ISBLANK(Clientes!C455),"'Sin Direccion'",CONCATENATE("'",MID(Clientes!C455,1,95),"'"))</f>
        <v>'Jardín Alto 7921'</v>
      </c>
      <c r="F470" s="114">
        <v>13302</v>
      </c>
      <c r="G470" s="114">
        <v>13</v>
      </c>
      <c r="H470" s="135" t="s">
        <v>2137</v>
      </c>
      <c r="I470" s="122" t="str">
        <f t="shared" si="14"/>
        <v>INSERT INTO CLIENTES(RUT_CLIENTE,RAZON_SOCIAL,DIRECCION,ID_COMUNA,ID_REGION,FECHA_NACIMIENTO) VALUES (NULL,'Susana Pizarro','Jardín Alto 7921',13302,13,TO_DATE('29-11-1967','DD-MM-YYYY'));</v>
      </c>
    </row>
    <row r="471" spans="1:9" ht="26.4">
      <c r="A471" t="str">
        <f>Clientes!A456</f>
        <v>Susana Zuñiga</v>
      </c>
      <c r="B471" s="115">
        <f t="shared" si="15"/>
        <v>454</v>
      </c>
      <c r="C471" s="134" t="str">
        <f>IF(ISBLANK(Clientes!L456),"NULL",CONCATENATE("'",Clientes!L456,"'"))</f>
        <v>NULL</v>
      </c>
      <c r="D471" s="114" t="str">
        <f>CONCATENATE("'",Clientes!A456,"'")</f>
        <v>'Susana Zuñiga'</v>
      </c>
      <c r="E471" s="114" t="str">
        <f>IF(ISBLANK(Clientes!C456),"'Sin Direccion'",CONCATENATE("'",MID(Clientes!C456,1,95),"'"))</f>
        <v>'Lago Cochrane 9650'</v>
      </c>
      <c r="F471" s="114">
        <v>13303</v>
      </c>
      <c r="G471" s="114">
        <v>13</v>
      </c>
      <c r="H471" s="135" t="s">
        <v>2137</v>
      </c>
      <c r="I471" s="122" t="str">
        <f t="shared" si="14"/>
        <v>INSERT INTO CLIENTES(RUT_CLIENTE,RAZON_SOCIAL,DIRECCION,ID_COMUNA,ID_REGION,FECHA_NACIMIENTO) VALUES (NULL,'Susana Zuñiga','Lago Cochrane 9650',13303,13,TO_DATE('29-11-1967','DD-MM-YYYY'));</v>
      </c>
    </row>
    <row r="472" spans="1:9" ht="26.4">
      <c r="A472" t="str">
        <f>Clientes!A457</f>
        <v>Tabita - Jardin Alto</v>
      </c>
      <c r="B472" s="115">
        <f t="shared" si="15"/>
        <v>455</v>
      </c>
      <c r="C472" s="134" t="str">
        <f>IF(ISBLANK(Clientes!L457),"NULL",CONCATENATE("'",Clientes!L457,"'"))</f>
        <v>NULL</v>
      </c>
      <c r="D472" s="114" t="str">
        <f>CONCATENATE("'",Clientes!A457,"'")</f>
        <v>'Tabita - Jardin Alto'</v>
      </c>
      <c r="E472" s="114" t="str">
        <f>IF(ISBLANK(Clientes!C457),"'Sin Direccion'",CONCATENATE("'",MID(Clientes!C457,1,95),"'"))</f>
        <v>'San Agustín 7872'</v>
      </c>
      <c r="F472" s="114">
        <v>13401</v>
      </c>
      <c r="G472" s="114">
        <v>13</v>
      </c>
      <c r="H472" s="135" t="s">
        <v>2137</v>
      </c>
      <c r="I472" s="122" t="str">
        <f t="shared" si="14"/>
        <v>INSERT INTO CLIENTES(RUT_CLIENTE,RAZON_SOCIAL,DIRECCION,ID_COMUNA,ID_REGION,FECHA_NACIMIENTO) VALUES (NULL,'Tabita - Jardin Alto','San Agustín 7872',13401,13,TO_DATE('29-11-1967','DD-MM-YYYY'));</v>
      </c>
    </row>
    <row r="473" spans="1:9" ht="26.4">
      <c r="A473" t="str">
        <f>Clientes!A458</f>
        <v>Tatan</v>
      </c>
      <c r="B473" s="115">
        <f t="shared" si="15"/>
        <v>456</v>
      </c>
      <c r="C473" s="134" t="str">
        <f>IF(ISBLANK(Clientes!L458),"NULL",CONCATENATE("'",Clientes!L458,"'"))</f>
        <v>NULL</v>
      </c>
      <c r="D473" s="114" t="str">
        <f>CONCATENATE("'",Clientes!A458,"'")</f>
        <v>'Tatan'</v>
      </c>
      <c r="E473" s="114" t="str">
        <f>IF(ISBLANK(Clientes!C458),"'Sin Direccion'",CONCATENATE("'",MID(Clientes!C458,1,95),"'"))</f>
        <v>'Sin Direccion'</v>
      </c>
      <c r="F473" s="114">
        <v>13402</v>
      </c>
      <c r="G473" s="114">
        <v>13</v>
      </c>
      <c r="H473" s="135" t="s">
        <v>2137</v>
      </c>
      <c r="I473" s="122" t="str">
        <f t="shared" si="14"/>
        <v>INSERT INTO CLIENTES(RUT_CLIENTE,RAZON_SOCIAL,DIRECCION,ID_COMUNA,ID_REGION,FECHA_NACIMIENTO) VALUES (NULL,'Tatan','Sin Direccion',13402,13,TO_DATE('29-11-1967','DD-MM-YYYY'));</v>
      </c>
    </row>
    <row r="474" spans="1:9" ht="26.4">
      <c r="A474" t="str">
        <f>Clientes!A459</f>
        <v>Taty Contador</v>
      </c>
      <c r="B474" s="115">
        <f t="shared" si="15"/>
        <v>457</v>
      </c>
      <c r="C474" s="134" t="str">
        <f>IF(ISBLANK(Clientes!L459),"NULL",CONCATENATE("'",Clientes!L459,"'"))</f>
        <v>NULL</v>
      </c>
      <c r="D474" s="114" t="str">
        <f>CONCATENATE("'",Clientes!A459,"'")</f>
        <v>'Taty Contador'</v>
      </c>
      <c r="E474" s="114" t="str">
        <f>IF(ISBLANK(Clientes!C459),"'Sin Direccion'",CONCATENATE("'",MID(Clientes!C459,1,95),"'"))</f>
        <v>'Antilco 7340'</v>
      </c>
      <c r="F474" s="114">
        <v>13403</v>
      </c>
      <c r="G474" s="114">
        <v>13</v>
      </c>
      <c r="H474" s="135" t="s">
        <v>2137</v>
      </c>
      <c r="I474" s="122" t="str">
        <f t="shared" si="14"/>
        <v>INSERT INTO CLIENTES(RUT_CLIENTE,RAZON_SOCIAL,DIRECCION,ID_COMUNA,ID_REGION,FECHA_NACIMIENTO) VALUES (NULL,'Taty Contador','Antilco 7340',13403,13,TO_DATE('29-11-1967','DD-MM-YYYY'));</v>
      </c>
    </row>
    <row r="475" spans="1:9" ht="26.4">
      <c r="A475" t="str">
        <f>Clientes!A460</f>
        <v>Thermival Refrigeración ltda.</v>
      </c>
      <c r="B475" s="115">
        <f t="shared" si="15"/>
        <v>458</v>
      </c>
      <c r="C475" s="134" t="str">
        <f>IF(ISBLANK(Clientes!L460),"NULL",CONCATENATE("'",Clientes!L460,"'"))</f>
        <v>'76099911-3'</v>
      </c>
      <c r="D475" s="114" t="str">
        <f>CONCATENATE("'",Clientes!A460,"'")</f>
        <v>'Thermival Refrigeración ltda.'</v>
      </c>
      <c r="E475" s="114" t="str">
        <f>IF(ISBLANK(Clientes!C460),"'Sin Direccion'",CONCATENATE("'",MID(Clientes!C460,1,95),"'"))</f>
        <v>'Rojas Magallanes 1121'</v>
      </c>
      <c r="F475" s="114">
        <v>13404</v>
      </c>
      <c r="G475" s="114">
        <v>13</v>
      </c>
      <c r="H475" s="135" t="s">
        <v>2137</v>
      </c>
      <c r="I475" s="122" t="str">
        <f t="shared" si="14"/>
        <v>INSERT INTO CLIENTES(RUT_CLIENTE,RAZON_SOCIAL,DIRECCION,ID_COMUNA,ID_REGION,FECHA_NACIMIENTO) VALUES ('76099911-3','Thermival Refrigeración ltda.','Rojas Magallanes 1121',13404,13,TO_DATE('29-11-1967','DD-MM-YYYY'));</v>
      </c>
    </row>
    <row r="476" spans="1:9" ht="26.4">
      <c r="A476" t="str">
        <f>Clientes!A461</f>
        <v>Tía - Katty Letelier</v>
      </c>
      <c r="B476" s="115">
        <f t="shared" si="15"/>
        <v>459</v>
      </c>
      <c r="C476" s="134" t="str">
        <f>IF(ISBLANK(Clientes!L461),"NULL",CONCATENATE("'",Clientes!L461,"'"))</f>
        <v>NULL</v>
      </c>
      <c r="D476" s="114" t="str">
        <f>CONCATENATE("'",Clientes!A461,"'")</f>
        <v>'Tía - Katty Letelier'</v>
      </c>
      <c r="E476" s="114" t="str">
        <f>IF(ISBLANK(Clientes!C461),"'Sin Direccion'",CONCATENATE("'",MID(Clientes!C461,1,95),"'"))</f>
        <v>'Sin Direccion'</v>
      </c>
      <c r="F476" s="114">
        <v>13501</v>
      </c>
      <c r="G476" s="114">
        <v>13</v>
      </c>
      <c r="H476" s="135" t="s">
        <v>2137</v>
      </c>
      <c r="I476" s="122" t="str">
        <f t="shared" si="14"/>
        <v>INSERT INTO CLIENTES(RUT_CLIENTE,RAZON_SOCIAL,DIRECCION,ID_COMUNA,ID_REGION,FECHA_NACIMIENTO) VALUES (NULL,'Tía - Katty Letelier','Sin Direccion',13501,13,TO_DATE('29-11-1967','DD-MM-YYYY'));</v>
      </c>
    </row>
    <row r="477" spans="1:9" ht="26.4">
      <c r="A477" t="str">
        <f>Clientes!A462</f>
        <v>Tia Mary Antilhue</v>
      </c>
      <c r="B477" s="115">
        <f t="shared" si="15"/>
        <v>460</v>
      </c>
      <c r="C477" s="134" t="str">
        <f>IF(ISBLANK(Clientes!L462),"NULL",CONCATENATE("'",Clientes!L462,"'"))</f>
        <v>NULL</v>
      </c>
      <c r="D477" s="114" t="str">
        <f>CONCATENATE("'",Clientes!A462,"'")</f>
        <v>'Tia Mary Antilhue'</v>
      </c>
      <c r="E477" s="114" t="str">
        <f>IF(ISBLANK(Clientes!C462),"'Sin Direccion'",CONCATENATE("'",MID(Clientes!C462,1,95),"'"))</f>
        <v>'Sin Direccion'</v>
      </c>
      <c r="F477" s="114">
        <v>13502</v>
      </c>
      <c r="G477" s="114">
        <v>13</v>
      </c>
      <c r="H477" s="135" t="s">
        <v>2137</v>
      </c>
      <c r="I477" s="122" t="str">
        <f t="shared" si="14"/>
        <v>INSERT INTO CLIENTES(RUT_CLIENTE,RAZON_SOCIAL,DIRECCION,ID_COMUNA,ID_REGION,FECHA_NACIMIENTO) VALUES (NULL,'Tia Mary Antilhue','Sin Direccion',13502,13,TO_DATE('29-11-1967','DD-MM-YYYY'));</v>
      </c>
    </row>
    <row r="478" spans="1:9" ht="26.4">
      <c r="A478" t="str">
        <f>Clientes!A463</f>
        <v>Tia Mina</v>
      </c>
      <c r="B478" s="115">
        <f t="shared" si="15"/>
        <v>461</v>
      </c>
      <c r="C478" s="134" t="str">
        <f>IF(ISBLANK(Clientes!L463),"NULL",CONCATENATE("'",Clientes!L463,"'"))</f>
        <v>NULL</v>
      </c>
      <c r="D478" s="114" t="str">
        <f>CONCATENATE("'",Clientes!A463,"'")</f>
        <v>'Tia Mina'</v>
      </c>
      <c r="E478" s="114" t="str">
        <f>IF(ISBLANK(Clientes!C463),"'Sin Direccion'",CONCATENATE("'",MID(Clientes!C463,1,95),"'"))</f>
        <v>'Sánchez Fontecilla 9150'</v>
      </c>
      <c r="F478" s="114">
        <v>13503</v>
      </c>
      <c r="G478" s="114">
        <v>13</v>
      </c>
      <c r="H478" s="135" t="s">
        <v>2137</v>
      </c>
      <c r="I478" s="122" t="str">
        <f t="shared" si="14"/>
        <v>INSERT INTO CLIENTES(RUT_CLIENTE,RAZON_SOCIAL,DIRECCION,ID_COMUNA,ID_REGION,FECHA_NACIMIENTO) VALUES (NULL,'Tia Mina','Sánchez Fontecilla 9150',13503,13,TO_DATE('29-11-1967','DD-MM-YYYY'));</v>
      </c>
    </row>
    <row r="479" spans="1:9" ht="26.4">
      <c r="A479" t="str">
        <f>Clientes!A464</f>
        <v>Ursula Villouta</v>
      </c>
      <c r="B479" s="115">
        <f t="shared" si="15"/>
        <v>462</v>
      </c>
      <c r="C479" s="134" t="str">
        <f>IF(ISBLANK(Clientes!L464),"NULL",CONCATENATE("'",Clientes!L464,"'"))</f>
        <v>NULL</v>
      </c>
      <c r="D479" s="114" t="str">
        <f>CONCATENATE("'",Clientes!A464,"'")</f>
        <v>'Ursula Villouta'</v>
      </c>
      <c r="E479" s="114" t="str">
        <f>IF(ISBLANK(Clientes!C464),"'Sin Direccion'",CONCATENATE("'",MID(Clientes!C464,1,95),"'"))</f>
        <v>'Rucapequen poniente 9661'</v>
      </c>
      <c r="F479" s="114">
        <v>13504</v>
      </c>
      <c r="G479" s="114">
        <v>13</v>
      </c>
      <c r="H479" s="135" t="s">
        <v>2137</v>
      </c>
      <c r="I479" s="122" t="str">
        <f t="shared" si="14"/>
        <v>INSERT INTO CLIENTES(RUT_CLIENTE,RAZON_SOCIAL,DIRECCION,ID_COMUNA,ID_REGION,FECHA_NACIMIENTO) VALUES (NULL,'Ursula Villouta','Rucapequen poniente 9661',13504,13,TO_DATE('29-11-1967','DD-MM-YYYY'));</v>
      </c>
    </row>
    <row r="480" spans="1:9" ht="26.4">
      <c r="A480" t="str">
        <f>Clientes!A465</f>
        <v>Ursula- Santa Delia 7721</v>
      </c>
      <c r="B480" s="115">
        <f t="shared" si="15"/>
        <v>463</v>
      </c>
      <c r="C480" s="134" t="str">
        <f>IF(ISBLANK(Clientes!L465),"NULL",CONCATENATE("'",Clientes!L465,"'"))</f>
        <v>NULL</v>
      </c>
      <c r="D480" s="114" t="str">
        <f>CONCATENATE("'",Clientes!A465,"'")</f>
        <v>'Ursula- Santa Delia 7721'</v>
      </c>
      <c r="E480" s="114" t="str">
        <f>IF(ISBLANK(Clientes!C465),"'Sin Direccion'",CONCATENATE("'",MID(Clientes!C465,1,95),"'"))</f>
        <v>'Santa Delia 7721'</v>
      </c>
      <c r="F480" s="114">
        <v>13505</v>
      </c>
      <c r="G480" s="114">
        <v>13</v>
      </c>
      <c r="H480" s="135" t="s">
        <v>2137</v>
      </c>
      <c r="I480" s="122" t="str">
        <f t="shared" si="14"/>
        <v>INSERT INTO CLIENTES(RUT_CLIENTE,RAZON_SOCIAL,DIRECCION,ID_COMUNA,ID_REGION,FECHA_NACIMIENTO) VALUES (NULL,'Ursula- Santa Delia 7721','Santa Delia 7721',13505,13,TO_DATE('29-11-1967','DD-MM-YYYY'));</v>
      </c>
    </row>
    <row r="481" spans="1:9" ht="26.4">
      <c r="A481" t="str">
        <f>Clientes!A466</f>
        <v>Valeria Mesina</v>
      </c>
      <c r="B481" s="115">
        <f t="shared" si="15"/>
        <v>464</v>
      </c>
      <c r="C481" s="134" t="str">
        <f>IF(ISBLANK(Clientes!L466),"NULL",CONCATENATE("'",Clientes!L466,"'"))</f>
        <v>NULL</v>
      </c>
      <c r="D481" s="114" t="str">
        <f>CONCATENATE("'",Clientes!A466,"'")</f>
        <v>'Valeria Mesina'</v>
      </c>
      <c r="E481" s="114" t="str">
        <f>IF(ISBLANK(Clientes!C466),"'Sin Direccion'",CONCATENATE("'",MID(Clientes!C466,1,95),"'"))</f>
        <v>'Antofagasta 3341'</v>
      </c>
      <c r="F481" s="114">
        <v>13601</v>
      </c>
      <c r="G481" s="114">
        <v>13</v>
      </c>
      <c r="H481" s="135" t="s">
        <v>2137</v>
      </c>
      <c r="I481" s="122" t="str">
        <f t="shared" si="14"/>
        <v>INSERT INTO CLIENTES(RUT_CLIENTE,RAZON_SOCIAL,DIRECCION,ID_COMUNA,ID_REGION,FECHA_NACIMIENTO) VALUES (NULL,'Valeria Mesina','Antofagasta 3341',13601,13,TO_DATE('29-11-1967','DD-MM-YYYY'));</v>
      </c>
    </row>
    <row r="482" spans="1:9" ht="26.4">
      <c r="A482" t="str">
        <f>Clientes!A467</f>
        <v>Vanesa Acosta</v>
      </c>
      <c r="B482" s="115">
        <f t="shared" si="15"/>
        <v>465</v>
      </c>
      <c r="C482" s="134" t="str">
        <f>IF(ISBLANK(Clientes!L467),"NULL",CONCATENATE("'",Clientes!L467,"'"))</f>
        <v>NULL</v>
      </c>
      <c r="D482" s="114" t="str">
        <f>CONCATENATE("'",Clientes!A467,"'")</f>
        <v>'Vanesa Acosta'</v>
      </c>
      <c r="E482" s="114" t="str">
        <f>IF(ISBLANK(Clientes!C467),"'Sin Direccion'",CONCATENATE("'",MID(Clientes!C467,1,95),"'"))</f>
        <v>'Sin Direccion'</v>
      </c>
      <c r="F482" s="114">
        <v>13602</v>
      </c>
      <c r="G482" s="114">
        <v>13</v>
      </c>
      <c r="H482" s="135" t="s">
        <v>2137</v>
      </c>
      <c r="I482" s="122" t="str">
        <f t="shared" si="14"/>
        <v>INSERT INTO CLIENTES(RUT_CLIENTE,RAZON_SOCIAL,DIRECCION,ID_COMUNA,ID_REGION,FECHA_NACIMIENTO) VALUES (NULL,'Vanesa Acosta','Sin Direccion',13602,13,TO_DATE('29-11-1967','DD-MM-YYYY'));</v>
      </c>
    </row>
    <row r="483" spans="1:9" ht="26.4">
      <c r="A483" t="str">
        <f>Clientes!A468</f>
        <v>Vanessa Brevis</v>
      </c>
      <c r="B483" s="115">
        <f t="shared" si="15"/>
        <v>466</v>
      </c>
      <c r="C483" s="134" t="str">
        <f>IF(ISBLANK(Clientes!L468),"NULL",CONCATENATE("'",Clientes!L468,"'"))</f>
        <v>NULL</v>
      </c>
      <c r="D483" s="114" t="str">
        <f>CONCATENATE("'",Clientes!A468,"'")</f>
        <v>'Vanessa Brevis'</v>
      </c>
      <c r="E483" s="114" t="str">
        <f>IF(ISBLANK(Clientes!C468),"'Sin Direccion'",CONCATENATE("'",MID(Clientes!C468,1,95),"'"))</f>
        <v>'Las palmas norte 4853'</v>
      </c>
      <c r="F483" s="114">
        <v>13603</v>
      </c>
      <c r="G483" s="114">
        <v>13</v>
      </c>
      <c r="H483" s="135" t="s">
        <v>2137</v>
      </c>
      <c r="I483" s="122" t="str">
        <f t="shared" si="14"/>
        <v>INSERT INTO CLIENTES(RUT_CLIENTE,RAZON_SOCIAL,DIRECCION,ID_COMUNA,ID_REGION,FECHA_NACIMIENTO) VALUES (NULL,'Vanessa Brevis','Las palmas norte 4853',13603,13,TO_DATE('29-11-1967','DD-MM-YYYY'));</v>
      </c>
    </row>
    <row r="484" spans="1:9" ht="26.4">
      <c r="A484" t="str">
        <f>Clientes!A469</f>
        <v>Vanessa Portuguez</v>
      </c>
      <c r="B484" s="115">
        <f t="shared" si="15"/>
        <v>467</v>
      </c>
      <c r="C484" s="134" t="str">
        <f>IF(ISBLANK(Clientes!L469),"NULL",CONCATENATE("'",Clientes!L469,"'"))</f>
        <v>NULL</v>
      </c>
      <c r="D484" s="114" t="str">
        <f>CONCATENATE("'",Clientes!A469,"'")</f>
        <v>'Vanessa Portuguez'</v>
      </c>
      <c r="E484" s="114" t="str">
        <f>IF(ISBLANK(Clientes!C469),"'Sin Direccion'",CONCATENATE("'",MID(Clientes!C469,1,95),"'"))</f>
        <v>'Diamelos 8447, Jardin del Eden'</v>
      </c>
      <c r="F484" s="114">
        <v>13604</v>
      </c>
      <c r="G484" s="114">
        <v>13</v>
      </c>
      <c r="H484" s="135" t="s">
        <v>2137</v>
      </c>
      <c r="I484" s="122" t="str">
        <f t="shared" si="14"/>
        <v>INSERT INTO CLIENTES(RUT_CLIENTE,RAZON_SOCIAL,DIRECCION,ID_COMUNA,ID_REGION,FECHA_NACIMIENTO) VALUES (NULL,'Vanessa Portuguez','Diamelos 8447, Jardin del Eden',13604,13,TO_DATE('29-11-1967','DD-MM-YYYY'));</v>
      </c>
    </row>
    <row r="485" spans="1:9" ht="26.4">
      <c r="A485" t="str">
        <f>Clientes!A470</f>
        <v>Vania Salinas</v>
      </c>
      <c r="B485" s="115">
        <f t="shared" si="15"/>
        <v>468</v>
      </c>
      <c r="C485" s="134" t="str">
        <f>IF(ISBLANK(Clientes!L470),"NULL",CONCATENATE("'",Clientes!L470,"'"))</f>
        <v>NULL</v>
      </c>
      <c r="D485" s="114" t="str">
        <f>CONCATENATE("'",Clientes!A470,"'")</f>
        <v>'Vania Salinas'</v>
      </c>
      <c r="E485" s="114" t="str">
        <f>IF(ISBLANK(Clientes!C470),"'Sin Direccion'",CONCATENATE("'",MID(Clientes!C470,1,95),"'"))</f>
        <v>'Azucena 9383'</v>
      </c>
      <c r="F485" s="114">
        <v>13605</v>
      </c>
      <c r="G485" s="114">
        <v>13</v>
      </c>
      <c r="H485" s="135" t="s">
        <v>2137</v>
      </c>
      <c r="I485" s="122" t="str">
        <f t="shared" si="14"/>
        <v>INSERT INTO CLIENTES(RUT_CLIENTE,RAZON_SOCIAL,DIRECCION,ID_COMUNA,ID_REGION,FECHA_NACIMIENTO) VALUES (NULL,'Vania Salinas','Azucena 9383',13605,13,TO_DATE('29-11-1967','DD-MM-YYYY'));</v>
      </c>
    </row>
    <row r="486" spans="1:9" ht="26.4">
      <c r="A486" t="str">
        <f>Clientes!A471</f>
        <v>Vecina Monica</v>
      </c>
      <c r="B486" s="115">
        <f t="shared" si="15"/>
        <v>469</v>
      </c>
      <c r="C486" s="134" t="str">
        <f>IF(ISBLANK(Clientes!L471),"NULL",CONCATENATE("'",Clientes!L471,"'"))</f>
        <v>NULL</v>
      </c>
      <c r="D486" s="114" t="str">
        <f>CONCATENATE("'",Clientes!A471,"'")</f>
        <v>'Vecina Monica'</v>
      </c>
      <c r="E486" s="114" t="str">
        <f>IF(ISBLANK(Clientes!C471),"'Sin Direccion'",CONCATENATE("'",MID(Clientes!C471,1,95),"'"))</f>
        <v>'Sin Direccion'</v>
      </c>
      <c r="F486" s="114">
        <v>13101</v>
      </c>
      <c r="G486" s="114">
        <v>13</v>
      </c>
      <c r="H486" s="135" t="s">
        <v>2137</v>
      </c>
      <c r="I486" s="122" t="str">
        <f t="shared" si="14"/>
        <v>INSERT INTO CLIENTES(RUT_CLIENTE,RAZON_SOCIAL,DIRECCION,ID_COMUNA,ID_REGION,FECHA_NACIMIENTO) VALUES (NULL,'Vecina Monica','Sin Direccion',13101,13,TO_DATE('29-11-1967','DD-MM-YYYY'));</v>
      </c>
    </row>
    <row r="487" spans="1:9" ht="26.4">
      <c r="A487" t="str">
        <f>Clientes!A472</f>
        <v>Vecina Villa sin datos</v>
      </c>
      <c r="B487" s="115">
        <f t="shared" si="15"/>
        <v>470</v>
      </c>
      <c r="C487" s="134" t="str">
        <f>IF(ISBLANK(Clientes!L472),"NULL",CONCATENATE("'",Clientes!L472,"'"))</f>
        <v>NULL</v>
      </c>
      <c r="D487" s="114" t="str">
        <f>CONCATENATE("'",Clientes!A472,"'")</f>
        <v>'Vecina Villa sin datos'</v>
      </c>
      <c r="E487" s="114" t="str">
        <f>IF(ISBLANK(Clientes!C472),"'Sin Direccion'",CONCATENATE("'",MID(Clientes!C472,1,95),"'"))</f>
        <v>'Sin Direccion'</v>
      </c>
      <c r="F487" s="114">
        <v>13102</v>
      </c>
      <c r="G487" s="114">
        <v>13</v>
      </c>
      <c r="H487" s="135" t="s">
        <v>2137</v>
      </c>
      <c r="I487" s="122" t="str">
        <f t="shared" si="14"/>
        <v>INSERT INTO CLIENTES(RUT_CLIENTE,RAZON_SOCIAL,DIRECCION,ID_COMUNA,ID_REGION,FECHA_NACIMIENTO) VALUES (NULL,'Vecina Villa sin datos','Sin Direccion',13102,13,TO_DATE('29-11-1967','DD-MM-YYYY'));</v>
      </c>
    </row>
    <row r="488" spans="1:9" ht="26.4">
      <c r="A488" t="str">
        <f>Clientes!A473</f>
        <v>Veronica Montenegro</v>
      </c>
      <c r="B488" s="115">
        <f t="shared" si="15"/>
        <v>471</v>
      </c>
      <c r="C488" s="134" t="str">
        <f>IF(ISBLANK(Clientes!L473),"NULL",CONCATENATE("'",Clientes!L473,"'"))</f>
        <v>NULL</v>
      </c>
      <c r="D488" s="114" t="str">
        <f>CONCATENATE("'",Clientes!A473,"'")</f>
        <v>'Veronica Montenegro'</v>
      </c>
      <c r="E488" s="114" t="str">
        <f>IF(ISBLANK(Clientes!C473),"'Sin Direccion'",CONCATENATE("'",MID(Clientes!C473,1,95),"'"))</f>
        <v>'Pitosporo 8459'</v>
      </c>
      <c r="F488" s="114">
        <v>13103</v>
      </c>
      <c r="G488" s="114">
        <v>13</v>
      </c>
      <c r="H488" s="135" t="s">
        <v>2137</v>
      </c>
      <c r="I488" s="122" t="str">
        <f t="shared" si="14"/>
        <v>INSERT INTO CLIENTES(RUT_CLIENTE,RAZON_SOCIAL,DIRECCION,ID_COMUNA,ID_REGION,FECHA_NACIMIENTO) VALUES (NULL,'Veronica Montenegro','Pitosporo 8459',13103,13,TO_DATE('29-11-1967','DD-MM-YYYY'));</v>
      </c>
    </row>
    <row r="489" spans="1:9" ht="26.4">
      <c r="A489" t="str">
        <f>Clientes!A474</f>
        <v>Veronica Velasquez</v>
      </c>
      <c r="B489" s="115">
        <f t="shared" si="15"/>
        <v>472</v>
      </c>
      <c r="C489" s="134" t="str">
        <f>IF(ISBLANK(Clientes!L474),"NULL",CONCATENATE("'",Clientes!L474,"'"))</f>
        <v>NULL</v>
      </c>
      <c r="D489" s="114" t="str">
        <f>CONCATENATE("'",Clientes!A474,"'")</f>
        <v>'Veronica Velasquez'</v>
      </c>
      <c r="E489" s="114" t="str">
        <f>IF(ISBLANK(Clientes!C474),"'Sin Direccion'",CONCATENATE("'",MID(Clientes!C474,1,95),"'"))</f>
        <v>'Sin Direccion'</v>
      </c>
      <c r="F489" s="114">
        <v>13104</v>
      </c>
      <c r="G489" s="114">
        <v>13</v>
      </c>
      <c r="H489" s="135" t="s">
        <v>2137</v>
      </c>
      <c r="I489" s="122" t="str">
        <f t="shared" si="14"/>
        <v>INSERT INTO CLIENTES(RUT_CLIENTE,RAZON_SOCIAL,DIRECCION,ID_COMUNA,ID_REGION,FECHA_NACIMIENTO) VALUES (NULL,'Veronica Velasquez','Sin Direccion',13104,13,TO_DATE('29-11-1967','DD-MM-YYYY'));</v>
      </c>
    </row>
    <row r="490" spans="1:9" ht="26.4">
      <c r="A490" t="str">
        <f>Clientes!A475</f>
        <v>Veronica Vergara</v>
      </c>
      <c r="B490" s="115">
        <f t="shared" si="15"/>
        <v>473</v>
      </c>
      <c r="C490" s="134" t="str">
        <f>IF(ISBLANK(Clientes!L475),"NULL",CONCATENATE("'",Clientes!L475,"'"))</f>
        <v>NULL</v>
      </c>
      <c r="D490" s="114" t="str">
        <f>CONCATENATE("'",Clientes!A475,"'")</f>
        <v>'Veronica Vergara'</v>
      </c>
      <c r="E490" s="114" t="str">
        <f>IF(ISBLANK(Clientes!C475),"'Sin Direccion'",CONCATENATE("'",MID(Clientes!C475,1,95),"'"))</f>
        <v>'Britania 1770'</v>
      </c>
      <c r="F490" s="114">
        <v>13105</v>
      </c>
      <c r="G490" s="114">
        <v>13</v>
      </c>
      <c r="H490" s="135" t="s">
        <v>2137</v>
      </c>
      <c r="I490" s="122" t="str">
        <f t="shared" si="14"/>
        <v>INSERT INTO CLIENTES(RUT_CLIENTE,RAZON_SOCIAL,DIRECCION,ID_COMUNA,ID_REGION,FECHA_NACIMIENTO) VALUES (NULL,'Veronica Vergara','Britania 1770',13105,13,TO_DATE('29-11-1967','DD-MM-YYYY'));</v>
      </c>
    </row>
    <row r="491" spans="1:9" ht="26.4">
      <c r="A491" t="str">
        <f>Clientes!A476</f>
        <v>Victor Herrera</v>
      </c>
      <c r="B491" s="115">
        <f t="shared" si="15"/>
        <v>474</v>
      </c>
      <c r="C491" s="134" t="str">
        <f>IF(ISBLANK(Clientes!L476),"NULL",CONCATENATE("'",Clientes!L476,"'"))</f>
        <v>NULL</v>
      </c>
      <c r="D491" s="114" t="str">
        <f>CONCATENATE("'",Clientes!A476,"'")</f>
        <v>'Victor Herrera'</v>
      </c>
      <c r="E491" s="114" t="str">
        <f>IF(ISBLANK(Clientes!C476),"'Sin Direccion'",CONCATENATE("'",MID(Clientes!C476,1,95),"'"))</f>
        <v>'Rojas Magallanes 4080'</v>
      </c>
      <c r="F491" s="114">
        <v>13106</v>
      </c>
      <c r="G491" s="114">
        <v>13</v>
      </c>
      <c r="H491" s="135" t="s">
        <v>2137</v>
      </c>
      <c r="I491" s="122" t="str">
        <f t="shared" si="14"/>
        <v>INSERT INTO CLIENTES(RUT_CLIENTE,RAZON_SOCIAL,DIRECCION,ID_COMUNA,ID_REGION,FECHA_NACIMIENTO) VALUES (NULL,'Victor Herrera','Rojas Magallanes 4080',13106,13,TO_DATE('29-11-1967','DD-MM-YYYY'));</v>
      </c>
    </row>
    <row r="492" spans="1:9" ht="26.4">
      <c r="A492" t="str">
        <f>Clientes!A477</f>
        <v>Victor Hevia</v>
      </c>
      <c r="B492" s="115">
        <f t="shared" si="15"/>
        <v>475</v>
      </c>
      <c r="C492" s="134" t="str">
        <f>IF(ISBLANK(Clientes!L477),"NULL",CONCATENATE("'",Clientes!L477,"'"))</f>
        <v>NULL</v>
      </c>
      <c r="D492" s="114" t="str">
        <f>CONCATENATE("'",Clientes!A477,"'")</f>
        <v>'Victor Hevia'</v>
      </c>
      <c r="E492" s="114" t="str">
        <f>IF(ISBLANK(Clientes!C477),"'Sin Direccion'",CONCATENATE("'",MID(Clientes!C477,1,95),"'"))</f>
        <v>'Tromen 7301 la florida'</v>
      </c>
      <c r="F492" s="114">
        <v>13107</v>
      </c>
      <c r="G492" s="114">
        <v>13</v>
      </c>
      <c r="H492" s="135" t="s">
        <v>2137</v>
      </c>
      <c r="I492" s="122" t="str">
        <f t="shared" si="14"/>
        <v>INSERT INTO CLIENTES(RUT_CLIENTE,RAZON_SOCIAL,DIRECCION,ID_COMUNA,ID_REGION,FECHA_NACIMIENTO) VALUES (NULL,'Victor Hevia','Tromen 7301 la florida',13107,13,TO_DATE('29-11-1967','DD-MM-YYYY'));</v>
      </c>
    </row>
    <row r="493" spans="1:9" ht="26.4">
      <c r="A493" t="str">
        <f>Clientes!A478</f>
        <v>Victor Ojeda</v>
      </c>
      <c r="B493" s="115">
        <f t="shared" si="15"/>
        <v>476</v>
      </c>
      <c r="C493" s="134" t="str">
        <f>IF(ISBLANK(Clientes!L478),"NULL",CONCATENATE("'",Clientes!L478,"'"))</f>
        <v>NULL</v>
      </c>
      <c r="D493" s="114" t="str">
        <f>CONCATENATE("'",Clientes!A478,"'")</f>
        <v>'Victor Ojeda'</v>
      </c>
      <c r="E493" s="114" t="str">
        <f>IF(ISBLANK(Clientes!C478),"'Sin Direccion'",CONCATENATE("'",MID(Clientes!C478,1,95),"'"))</f>
        <v>'Belloto del norte oriente 9262'</v>
      </c>
      <c r="F493" s="114">
        <v>13108</v>
      </c>
      <c r="G493" s="114">
        <v>13</v>
      </c>
      <c r="H493" s="135" t="s">
        <v>2137</v>
      </c>
      <c r="I493" s="122" t="str">
        <f t="shared" si="14"/>
        <v>INSERT INTO CLIENTES(RUT_CLIENTE,RAZON_SOCIAL,DIRECCION,ID_COMUNA,ID_REGION,FECHA_NACIMIENTO) VALUES (NULL,'Victor Ojeda','Belloto del norte oriente 9262',13108,13,TO_DATE('29-11-1967','DD-MM-YYYY'));</v>
      </c>
    </row>
    <row r="494" spans="1:9" ht="26.4">
      <c r="A494" t="str">
        <f>Clientes!A479</f>
        <v>Vivi - Paicavi 2880 (Casa E)</v>
      </c>
      <c r="B494" s="115">
        <f t="shared" si="15"/>
        <v>477</v>
      </c>
      <c r="C494" s="134" t="str">
        <f>IF(ISBLANK(Clientes!L479),"NULL",CONCATENATE("'",Clientes!L479,"'"))</f>
        <v>NULL</v>
      </c>
      <c r="D494" s="114" t="str">
        <f>CONCATENATE("'",Clientes!A479,"'")</f>
        <v>'Vivi - Paicavi 2880 (Casa E)'</v>
      </c>
      <c r="E494" s="114" t="str">
        <f>IF(ISBLANK(Clientes!C479),"'Sin Direccion'",CONCATENATE("'",MID(Clientes!C479,1,95),"'"))</f>
        <v>'Paicavi 2880 (Casa E)'</v>
      </c>
      <c r="F494" s="114">
        <v>13109</v>
      </c>
      <c r="G494" s="114">
        <v>13</v>
      </c>
      <c r="H494" s="135" t="s">
        <v>2137</v>
      </c>
      <c r="I494" s="122" t="str">
        <f t="shared" si="14"/>
        <v>INSERT INTO CLIENTES(RUT_CLIENTE,RAZON_SOCIAL,DIRECCION,ID_COMUNA,ID_REGION,FECHA_NACIMIENTO) VALUES (NULL,'Vivi - Paicavi 2880 (Casa E)','Paicavi 2880 (Casa E)',13109,13,TO_DATE('29-11-1967','DD-MM-YYYY'));</v>
      </c>
    </row>
    <row r="495" spans="1:9" ht="26.4">
      <c r="A495" t="str">
        <f>Clientes!A480</f>
        <v>Vivian Amiiiiga</v>
      </c>
      <c r="B495" s="115">
        <f t="shared" si="15"/>
        <v>478</v>
      </c>
      <c r="C495" s="134" t="str">
        <f>IF(ISBLANK(Clientes!L480),"NULL",CONCATENATE("'",Clientes!L480,"'"))</f>
        <v>NULL</v>
      </c>
      <c r="D495" s="114" t="str">
        <f>CONCATENATE("'",Clientes!A480,"'")</f>
        <v>'Vivian Amiiiiga'</v>
      </c>
      <c r="E495" s="114" t="str">
        <f>IF(ISBLANK(Clientes!C480),"'Sin Direccion'",CONCATENATE("'",MID(Clientes!C480,1,95),"'"))</f>
        <v>'Sin Direccion'</v>
      </c>
      <c r="F495" s="114">
        <v>13110</v>
      </c>
      <c r="G495" s="114">
        <v>13</v>
      </c>
      <c r="H495" s="135" t="s">
        <v>2137</v>
      </c>
      <c r="I495" s="122" t="str">
        <f t="shared" si="14"/>
        <v>INSERT INTO CLIENTES(RUT_CLIENTE,RAZON_SOCIAL,DIRECCION,ID_COMUNA,ID_REGION,FECHA_NACIMIENTO) VALUES (NULL,'Vivian Amiiiiga','Sin Direccion',13110,13,TO_DATE('29-11-1967','DD-MM-YYYY'));</v>
      </c>
    </row>
    <row r="496" spans="1:9" ht="26.4">
      <c r="A496" t="str">
        <f>Clientes!A481</f>
        <v>Viviana - Hualle Sur 9362</v>
      </c>
      <c r="B496" s="115">
        <f t="shared" si="15"/>
        <v>479</v>
      </c>
      <c r="C496" s="134" t="str">
        <f>IF(ISBLANK(Clientes!L481),"NULL",CONCATENATE("'",Clientes!L481,"'"))</f>
        <v>NULL</v>
      </c>
      <c r="D496" s="114" t="str">
        <f>CONCATENATE("'",Clientes!A481,"'")</f>
        <v>'Viviana - Hualle Sur 9362'</v>
      </c>
      <c r="E496" s="114" t="str">
        <f>IF(ISBLANK(Clientes!C481),"'Sin Direccion'",CONCATENATE("'",MID(Clientes!C481,1,95),"'"))</f>
        <v>'Hualle Sur 9362'</v>
      </c>
      <c r="F496" s="114">
        <v>13111</v>
      </c>
      <c r="G496" s="114">
        <v>13</v>
      </c>
      <c r="H496" s="135" t="s">
        <v>2137</v>
      </c>
      <c r="I496" s="122" t="str">
        <f t="shared" si="14"/>
        <v>INSERT INTO CLIENTES(RUT_CLIENTE,RAZON_SOCIAL,DIRECCION,ID_COMUNA,ID_REGION,FECHA_NACIMIENTO) VALUES (NULL,'Viviana - Hualle Sur 9362','Hualle Sur 9362',13111,13,TO_DATE('29-11-1967','DD-MM-YYYY'));</v>
      </c>
    </row>
    <row r="497" spans="1:9" ht="26.4">
      <c r="A497" t="str">
        <f>Clientes!A482</f>
        <v>Viviana Saavedra</v>
      </c>
      <c r="B497" s="115">
        <f t="shared" si="15"/>
        <v>480</v>
      </c>
      <c r="C497" s="134" t="str">
        <f>IF(ISBLANK(Clientes!L482),"NULL",CONCATENATE("'",Clientes!L482,"'"))</f>
        <v>NULL</v>
      </c>
      <c r="D497" s="114" t="str">
        <f>CONCATENATE("'",Clientes!A482,"'")</f>
        <v>'Viviana Saavedra'</v>
      </c>
      <c r="E497" s="114" t="str">
        <f>IF(ISBLANK(Clientes!C482),"'Sin Direccion'",CONCATENATE("'",MID(Clientes!C482,1,95),"'"))</f>
        <v>'Volcán Lonquimay 5899-5911, La Florida, Región Metropolitana'</v>
      </c>
      <c r="F497" s="114">
        <v>13112</v>
      </c>
      <c r="G497" s="114">
        <v>13</v>
      </c>
      <c r="H497" s="135" t="s">
        <v>2137</v>
      </c>
      <c r="I497" s="122" t="str">
        <f t="shared" si="14"/>
        <v>INSERT INTO CLIENTES(RUT_CLIENTE,RAZON_SOCIAL,DIRECCION,ID_COMUNA,ID_REGION,FECHA_NACIMIENTO) VALUES (NULL,'Viviana Saavedra','Volcán Lonquimay 5899-5911, La Florida, Región Metropolitana',13112,13,TO_DATE('29-11-1967','DD-MM-YYYY'));</v>
      </c>
    </row>
    <row r="498" spans="1:9" ht="26.4">
      <c r="A498" t="str">
        <f>Clientes!A483</f>
        <v>Wendys Arianiz Sanchez</v>
      </c>
      <c r="B498" s="115">
        <f t="shared" si="15"/>
        <v>481</v>
      </c>
      <c r="C498" s="134" t="str">
        <f>IF(ISBLANK(Clientes!L483),"NULL",CONCATENATE("'",Clientes!L483,"'"))</f>
        <v>NULL</v>
      </c>
      <c r="D498" s="114" t="str">
        <f>CONCATENATE("'",Clientes!A483,"'")</f>
        <v>'Wendys Arianiz Sanchez'</v>
      </c>
      <c r="E498" s="114" t="str">
        <f>IF(ISBLANK(Clientes!C483),"'Sin Direccion'",CONCATENATE("'",MID(Clientes!C483,1,95),"'"))</f>
        <v>'Sin Direccion'</v>
      </c>
      <c r="F498" s="114">
        <v>13113</v>
      </c>
      <c r="G498" s="114">
        <v>13</v>
      </c>
      <c r="H498" s="135" t="s">
        <v>2137</v>
      </c>
      <c r="I498" s="122" t="str">
        <f t="shared" si="14"/>
        <v>INSERT INTO CLIENTES(RUT_CLIENTE,RAZON_SOCIAL,DIRECCION,ID_COMUNA,ID_REGION,FECHA_NACIMIENTO) VALUES (NULL,'Wendys Arianiz Sanchez','Sin Direccion',13113,13,TO_DATE('29-11-1967','DD-MM-YYYY'));</v>
      </c>
    </row>
    <row r="499" spans="1:9" ht="26.4">
      <c r="A499" t="str">
        <f>Clientes!A484</f>
        <v>Ximena Catalan</v>
      </c>
      <c r="B499" s="115">
        <f t="shared" si="15"/>
        <v>482</v>
      </c>
      <c r="C499" s="134" t="str">
        <f>IF(ISBLANK(Clientes!L484),"NULL",CONCATENATE("'",Clientes!L484,"'"))</f>
        <v>NULL</v>
      </c>
      <c r="D499" s="114" t="str">
        <f>CONCATENATE("'",Clientes!A484,"'")</f>
        <v>'Ximena Catalan'</v>
      </c>
      <c r="E499" s="114" t="str">
        <f>IF(ISBLANK(Clientes!C484),"'Sin Direccion'",CONCATENATE("'",MID(Clientes!C484,1,95),"'"))</f>
        <v>'Diamelos 8453'</v>
      </c>
      <c r="F499" s="114">
        <v>13114</v>
      </c>
      <c r="G499" s="114">
        <v>13</v>
      </c>
      <c r="H499" s="135" t="s">
        <v>2137</v>
      </c>
      <c r="I499" s="122" t="str">
        <f t="shared" si="14"/>
        <v>INSERT INTO CLIENTES(RUT_CLIENTE,RAZON_SOCIAL,DIRECCION,ID_COMUNA,ID_REGION,FECHA_NACIMIENTO) VALUES (NULL,'Ximena Catalan','Diamelos 8453',13114,13,TO_DATE('29-11-1967','DD-MM-YYYY'));</v>
      </c>
    </row>
    <row r="500" spans="1:9" ht="26.4">
      <c r="A500" t="str">
        <f>Clientes!A485</f>
        <v>Ximena Oyarse</v>
      </c>
      <c r="B500" s="115">
        <f t="shared" si="15"/>
        <v>483</v>
      </c>
      <c r="C500" s="134" t="str">
        <f>IF(ISBLANK(Clientes!L485),"NULL",CONCATENATE("'",Clientes!L485,"'"))</f>
        <v>NULL</v>
      </c>
      <c r="D500" s="114" t="str">
        <f>CONCATENATE("'",Clientes!A485,"'")</f>
        <v>'Ximena Oyarse'</v>
      </c>
      <c r="E500" s="114" t="str">
        <f>IF(ISBLANK(Clientes!C485),"'Sin Direccion'",CONCATENATE("'",MID(Clientes!C485,1,95),"'"))</f>
        <v>'Los tulipanes 8615'</v>
      </c>
      <c r="F500" s="114">
        <v>13115</v>
      </c>
      <c r="G500" s="114">
        <v>13</v>
      </c>
      <c r="H500" s="135" t="s">
        <v>2137</v>
      </c>
      <c r="I500" s="122" t="str">
        <f t="shared" si="14"/>
        <v>INSERT INTO CLIENTES(RUT_CLIENTE,RAZON_SOCIAL,DIRECCION,ID_COMUNA,ID_REGION,FECHA_NACIMIENTO) VALUES (NULL,'Ximena Oyarse','Los tulipanes 8615',13115,13,TO_DATE('29-11-1967','DD-MM-YYYY'));</v>
      </c>
    </row>
    <row r="501" spans="1:9" ht="26.4">
      <c r="A501" t="str">
        <f>Clientes!A486</f>
        <v>Yazmin Torres</v>
      </c>
      <c r="B501" s="115">
        <f t="shared" si="15"/>
        <v>484</v>
      </c>
      <c r="C501" s="134" t="str">
        <f>IF(ISBLANK(Clientes!L486),"NULL",CONCATENATE("'",Clientes!L486,"'"))</f>
        <v>NULL</v>
      </c>
      <c r="D501" s="114" t="str">
        <f>CONCATENATE("'",Clientes!A486,"'")</f>
        <v>'Yazmin Torres'</v>
      </c>
      <c r="E501" s="114" t="str">
        <f>IF(ISBLANK(Clientes!C486),"'Sin Direccion'",CONCATENATE("'",MID(Clientes!C486,1,95),"'"))</f>
        <v>'Santa Lidia 8904'</v>
      </c>
      <c r="F501" s="114">
        <v>13116</v>
      </c>
      <c r="G501" s="114">
        <v>13</v>
      </c>
      <c r="H501" s="135" t="s">
        <v>2137</v>
      </c>
      <c r="I501" s="122" t="str">
        <f t="shared" si="14"/>
        <v>INSERT INTO CLIENTES(RUT_CLIENTE,RAZON_SOCIAL,DIRECCION,ID_COMUNA,ID_REGION,FECHA_NACIMIENTO) VALUES (NULL,'Yazmin Torres','Santa Lidia 8904',13116,13,TO_DATE('29-11-1967','DD-MM-YYYY'));</v>
      </c>
    </row>
    <row r="502" spans="1:9" ht="26.4">
      <c r="A502" t="str">
        <f>Clientes!A487</f>
        <v>Yoli - Sándalo Poniente 8391</v>
      </c>
      <c r="B502" s="115">
        <f t="shared" si="15"/>
        <v>485</v>
      </c>
      <c r="C502" s="134" t="str">
        <f>IF(ISBLANK(Clientes!L487),"NULL",CONCATENATE("'",Clientes!L487,"'"))</f>
        <v>NULL</v>
      </c>
      <c r="D502" s="114" t="str">
        <f>CONCATENATE("'",Clientes!A487,"'")</f>
        <v>'Yoli - Sándalo Poniente 8391'</v>
      </c>
      <c r="E502" s="114" t="str">
        <f>IF(ISBLANK(Clientes!C487),"'Sin Direccion'",CONCATENATE("'",MID(Clientes!C487,1,95),"'"))</f>
        <v>'Sándalo Poniente 8391'</v>
      </c>
      <c r="F502" s="114">
        <v>13117</v>
      </c>
      <c r="G502" s="114">
        <v>13</v>
      </c>
      <c r="H502" s="135" t="s">
        <v>2137</v>
      </c>
      <c r="I502" s="122" t="str">
        <f t="shared" si="14"/>
        <v>INSERT INTO CLIENTES(RUT_CLIENTE,RAZON_SOCIAL,DIRECCION,ID_COMUNA,ID_REGION,FECHA_NACIMIENTO) VALUES (NULL,'Yoli - Sándalo Poniente 8391','Sándalo Poniente 8391',13117,13,TO_DATE('29-11-1967','DD-MM-YYYY'));</v>
      </c>
    </row>
    <row r="503" spans="1:9" ht="26.4">
      <c r="A503" t="str">
        <f>Clientes!A488</f>
        <v>Yosslian Arancibia</v>
      </c>
      <c r="B503" s="115">
        <f t="shared" si="15"/>
        <v>486</v>
      </c>
      <c r="C503" s="134" t="str">
        <f>IF(ISBLANK(Clientes!L488),"NULL",CONCATENATE("'",Clientes!L488,"'"))</f>
        <v>NULL</v>
      </c>
      <c r="D503" s="114" t="str">
        <f>CONCATENATE("'",Clientes!A488,"'")</f>
        <v>'Yosslian Arancibia'</v>
      </c>
      <c r="E503" s="114" t="str">
        <f>IF(ISBLANK(Clientes!C488),"'Sin Direccion'",CONCATENATE("'",MID(Clientes!C488,1,95),"'"))</f>
        <v>'El Llaverio 7332'</v>
      </c>
      <c r="F503" s="114">
        <v>13118</v>
      </c>
      <c r="G503" s="114">
        <v>13</v>
      </c>
      <c r="H503" s="135" t="s">
        <v>2137</v>
      </c>
      <c r="I503" s="122" t="str">
        <f t="shared" si="14"/>
        <v>INSERT INTO CLIENTES(RUT_CLIENTE,RAZON_SOCIAL,DIRECCION,ID_COMUNA,ID_REGION,FECHA_NACIMIENTO) VALUES (NULL,'Yosslian Arancibia','El Llaverio 7332',13118,13,TO_DATE('29-11-1967','DD-MM-YYYY'));</v>
      </c>
    </row>
    <row r="504" spans="1:9" ht="26.4">
      <c r="A504" t="str">
        <f>Clientes!A489</f>
        <v>Yu Chu Chen</v>
      </c>
      <c r="B504" s="115">
        <f t="shared" si="15"/>
        <v>487</v>
      </c>
      <c r="C504" s="134" t="str">
        <f>IF(ISBLANK(Clientes!L489),"NULL",CONCATENATE("'",Clientes!L489,"'"))</f>
        <v>NULL</v>
      </c>
      <c r="D504" s="114" t="str">
        <f>CONCATENATE("'",Clientes!A489,"'")</f>
        <v>'Yu Chu Chen'</v>
      </c>
      <c r="E504" s="114" t="str">
        <f>IF(ISBLANK(Clientes!C489),"'Sin Direccion'",CONCATENATE("'",MID(Clientes!C489,1,95),"'"))</f>
        <v>'Sin Direccion'</v>
      </c>
      <c r="F504" s="114">
        <v>13119</v>
      </c>
      <c r="G504" s="114">
        <v>13</v>
      </c>
      <c r="H504" s="135" t="s">
        <v>2137</v>
      </c>
      <c r="I504" s="122" t="str">
        <f t="shared" si="14"/>
        <v>INSERT INTO CLIENTES(RUT_CLIENTE,RAZON_SOCIAL,DIRECCION,ID_COMUNA,ID_REGION,FECHA_NACIMIENTO) VALUES (NULL,'Yu Chu Chen','Sin Direccion',13119,13,TO_DATE('29-11-1967','DD-MM-YYYY'));</v>
      </c>
    </row>
    <row r="505" spans="1:9" ht="26.4">
      <c r="A505" t="str">
        <f>Clientes!A490</f>
        <v>Daca Pastelería</v>
      </c>
      <c r="B505" s="115">
        <f t="shared" si="15"/>
        <v>488</v>
      </c>
      <c r="C505" s="134" t="str">
        <f>IF(ISBLANK(Clientes!L490),"NULL",CONCATENATE("'",Clientes!L490,"'"))</f>
        <v>'77588015-5'</v>
      </c>
      <c r="D505" s="114" t="str">
        <f>CONCATENATE("'",Clientes!A490,"'")</f>
        <v>'Daca Pastelería'</v>
      </c>
      <c r="E505" s="114" t="str">
        <f>IF(ISBLANK(Clientes!C490),"'Sin Direccion'",CONCATENATE("'",MID(Clientes!C490,1,95),"'"))</f>
        <v>'Rojas Magallanes 055 frente a la estación'</v>
      </c>
      <c r="F505" s="114">
        <v>13120</v>
      </c>
      <c r="G505" s="114">
        <v>13</v>
      </c>
      <c r="H505" s="135" t="s">
        <v>2137</v>
      </c>
      <c r="I505" s="122" t="str">
        <f t="shared" si="14"/>
        <v>INSERT INTO CLIENTES(RUT_CLIENTE,RAZON_SOCIAL,DIRECCION,ID_COMUNA,ID_REGION,FECHA_NACIMIENTO) VALUES ('77588015-5','Daca Pastelería','Rojas Magallanes 055 frente a la estación',13120,13,TO_DATE('29-11-1967','DD-MM-YYYY'));</v>
      </c>
    </row>
    <row r="506" spans="1:9">
      <c r="A506">
        <f>Clientes!A491</f>
        <v>0</v>
      </c>
      <c r="I506" s="133" t="s">
        <v>2052</v>
      </c>
    </row>
  </sheetData>
  <mergeCells count="1">
    <mergeCell ref="D2:H2"/>
  </mergeCells>
  <pageMargins left="0.7" right="0.7" top="0.75" bottom="0.75" header="0.3" footer="0.3"/>
  <pageSetup orientation="portrait"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92"/>
  <sheetViews>
    <sheetView topLeftCell="B359" workbookViewId="0">
      <selection activeCell="D2" sqref="D2:D389"/>
    </sheetView>
  </sheetViews>
  <sheetFormatPr baseColWidth="10" defaultRowHeight="13.2"/>
  <cols>
    <col min="1" max="1" width="52.77734375" bestFit="1" customWidth="1"/>
    <col min="3" max="3" width="54.6640625" bestFit="1" customWidth="1"/>
    <col min="4" max="4" width="116.21875" bestFit="1" customWidth="1"/>
  </cols>
  <sheetData>
    <row r="1" spans="1:4">
      <c r="A1" s="107" t="s">
        <v>1579</v>
      </c>
      <c r="B1" s="112" t="s">
        <v>2148</v>
      </c>
      <c r="C1" s="112" t="s">
        <v>1694</v>
      </c>
      <c r="D1" s="112" t="s">
        <v>1695</v>
      </c>
    </row>
    <row r="2" spans="1:4">
      <c r="A2" t="str">
        <f>MID(Precios!B2,1,60)</f>
        <v>2 Bandeja HUEVOS EXTRA 30 Huevos</v>
      </c>
      <c r="B2" s="114">
        <v>1</v>
      </c>
      <c r="C2" s="114" t="str">
        <f>CONCATENATE("'",MID(Precios!B2,1,60),"'")</f>
        <v>'2 Bandeja HUEVOS EXTRA 30 Huevos'</v>
      </c>
      <c r="D2" s="114" t="str">
        <f>CONCATENATE("INSERT INTO PRODUCTOS (ID_PRODUCTO,NOMBRE) VALUES (",B2,",",C2,");")</f>
        <v>INSERT INTO PRODUCTOS (ID_PRODUCTO,NOMBRE) VALUES (1,'2 Bandeja HUEVOS EXTRA 30 Huevos');</v>
      </c>
    </row>
    <row r="3" spans="1:4">
      <c r="A3" t="str">
        <f>MID(Precios!B3,1,60)</f>
        <v>TE CEYLAN PREMIUN 100 bolsas</v>
      </c>
      <c r="B3" s="114">
        <f>B2+1</f>
        <v>2</v>
      </c>
      <c r="C3" s="114" t="str">
        <f>CONCATENATE("'",MID(Precios!B3,1,60),"'")</f>
        <v>'TE CEYLAN PREMIUN 100 bolsas'</v>
      </c>
      <c r="D3" s="114" t="str">
        <f t="shared" ref="D3:D66" si="0">CONCATENATE("INSERT INTO PRODUCTOS (ID_PRODUCTO,NOMBRE) VALUES (",B3,",",C3,");")</f>
        <v>INSERT INTO PRODUCTOS (ID_PRODUCTO,NOMBRE) VALUES (2,'TE CEYLAN PREMIUN 100 bolsas');</v>
      </c>
    </row>
    <row r="4" spans="1:4">
      <c r="A4" t="str">
        <f>MID(Precios!B4,1,60)</f>
        <v>Natura List Alulosa 90ml</v>
      </c>
      <c r="B4" s="114">
        <f t="shared" ref="B4:B67" si="1">B3+1</f>
        <v>3</v>
      </c>
      <c r="C4" s="114" t="str">
        <f>CONCATENATE("'",MID(Precios!B4,1,60),"'")</f>
        <v>'Natura List Alulosa 90ml'</v>
      </c>
      <c r="D4" s="114" t="str">
        <f t="shared" si="0"/>
        <v>INSERT INTO PRODUCTOS (ID_PRODUCTO,NOMBRE) VALUES (3,'Natura List Alulosa 90ml');</v>
      </c>
    </row>
    <row r="5" spans="1:4">
      <c r="A5" t="str">
        <f>MID(Precios!B5,1,60)</f>
        <v>Recarga Nescafé 130grs</v>
      </c>
      <c r="B5" s="114">
        <f t="shared" si="1"/>
        <v>4</v>
      </c>
      <c r="C5" s="114" t="str">
        <f>CONCATENATE("'",MID(Precios!B5,1,60),"'")</f>
        <v>'Recarga Nescafé 130grs'</v>
      </c>
      <c r="D5" s="114" t="str">
        <f t="shared" si="0"/>
        <v>INSERT INTO PRODUCTOS (ID_PRODUCTO,NOMBRE) VALUES (4,'Recarga Nescafé 130grs');</v>
      </c>
    </row>
    <row r="6" spans="1:4">
      <c r="A6" t="str">
        <f>MID(Precios!B6,1,60)</f>
        <v>2 x Film Embalaje 1,7kg (1,4kg Neto/350 Metros aprox.)</v>
      </c>
      <c r="B6" s="114">
        <f t="shared" si="1"/>
        <v>5</v>
      </c>
      <c r="C6" s="114" t="str">
        <f>CONCATENATE("'",MID(Precios!B6,1,60),"'")</f>
        <v>'2 x Film Embalaje 1,7kg (1,4kg Neto/350 Metros aprox.)'</v>
      </c>
      <c r="D6" s="114" t="str">
        <f t="shared" si="0"/>
        <v>INSERT INTO PRODUCTOS (ID_PRODUCTO,NOMBRE) VALUES (5,'2 x Film Embalaje 1,7kg (1,4kg Neto/350 Metros aprox.)');</v>
      </c>
    </row>
    <row r="7" spans="1:4">
      <c r="A7" t="str">
        <f>MID(Precios!B7,1,60)</f>
        <v>2 x Queso Rueda Cabra / 200 gramos)</v>
      </c>
      <c r="B7" s="114">
        <f t="shared" si="1"/>
        <v>6</v>
      </c>
      <c r="C7" s="114" t="str">
        <f>CONCATENATE("'",MID(Precios!B7,1,60),"'")</f>
        <v>'2 x Queso Rueda Cabra / 200 gramos)'</v>
      </c>
      <c r="D7" s="114" t="str">
        <f t="shared" si="0"/>
        <v>INSERT INTO PRODUCTOS (ID_PRODUCTO,NOMBRE) VALUES (6,'2 x Queso Rueda Cabra / 200 gramos)');</v>
      </c>
    </row>
    <row r="8" spans="1:4">
      <c r="A8" t="str">
        <f>MID(Precios!B8,1,60)</f>
        <v>2 x Queso Rueda Sabores / 200 gramos)</v>
      </c>
      <c r="B8" s="114">
        <f t="shared" si="1"/>
        <v>7</v>
      </c>
      <c r="C8" s="114" t="str">
        <f>CONCATENATE("'",MID(Precios!B8,1,60),"'")</f>
        <v>'2 x Queso Rueda Sabores / 200 gramos)'</v>
      </c>
      <c r="D8" s="114" t="str">
        <f t="shared" si="0"/>
        <v>INSERT INTO PRODUCTOS (ID_PRODUCTO,NOMBRE) VALUES (7,'2 x Queso Rueda Sabores / 200 gramos)');</v>
      </c>
    </row>
    <row r="9" spans="1:4">
      <c r="A9" t="str">
        <f>MID(Precios!B9,1,60)</f>
        <v>3 Bandeja HUEVOS EXTRA 30 Huevos</v>
      </c>
      <c r="B9" s="114">
        <f t="shared" si="1"/>
        <v>8</v>
      </c>
      <c r="C9" s="114" t="str">
        <f>CONCATENATE("'",MID(Precios!B9,1,60),"'")</f>
        <v>'3 Bandeja HUEVOS EXTRA 30 Huevos'</v>
      </c>
      <c r="D9" s="114" t="str">
        <f t="shared" si="0"/>
        <v>INSERT INTO PRODUCTOS (ID_PRODUCTO,NOMBRE) VALUES (8,'3 Bandeja HUEVOS EXTRA 30 Huevos');</v>
      </c>
    </row>
    <row r="10" spans="1:4">
      <c r="A10" t="str">
        <f>MID(Precios!B10,1,60)</f>
        <v>3 Toalla Jumbo OVELLA D/H / 100 metros</v>
      </c>
      <c r="B10" s="114">
        <f t="shared" si="1"/>
        <v>9</v>
      </c>
      <c r="C10" s="114" t="str">
        <f>CONCATENATE("'",MID(Precios!B10,1,60),"'")</f>
        <v>'3 Toalla Jumbo OVELLA D/H / 100 metros'</v>
      </c>
      <c r="D10" s="114" t="str">
        <f t="shared" si="0"/>
        <v>INSERT INTO PRODUCTOS (ID_PRODUCTO,NOMBRE) VALUES (9,'3 Toalla Jumbo OVELLA D/H / 100 metros');</v>
      </c>
    </row>
    <row r="11" spans="1:4">
      <c r="A11" t="str">
        <f>MID(Precios!B11,1,60)</f>
        <v>Paños Cocina Fibra (30x50 cm)</v>
      </c>
      <c r="B11" s="114">
        <f t="shared" si="1"/>
        <v>10</v>
      </c>
      <c r="C11" s="114" t="str">
        <f>CONCATENATE("'",MID(Precios!B11,1,60),"'")</f>
        <v>'Paños Cocina Fibra (30x50 cm)'</v>
      </c>
      <c r="D11" s="114" t="str">
        <f t="shared" si="0"/>
        <v>INSERT INTO PRODUCTOS (ID_PRODUCTO,NOMBRE) VALUES (10,'Paños Cocina Fibra (30x50 cm)');</v>
      </c>
    </row>
    <row r="12" spans="1:4">
      <c r="A12" t="str">
        <f>MID(Precios!B12,1,60)</f>
        <v>Pack 3 Paños Cocina Fibra (30x50 cm)</v>
      </c>
      <c r="B12" s="114">
        <f t="shared" si="1"/>
        <v>11</v>
      </c>
      <c r="C12" s="114" t="str">
        <f>CONCATENATE("'",MID(Precios!B12,1,60),"'")</f>
        <v>'Pack 3 Paños Cocina Fibra (30x50 cm)'</v>
      </c>
      <c r="D12" s="114" t="str">
        <f t="shared" si="0"/>
        <v>INSERT INTO PRODUCTOS (ID_PRODUCTO,NOMBRE) VALUES (11,'Pack 3 Paños Cocina Fibra (30x50 cm)');</v>
      </c>
    </row>
    <row r="13" spans="1:4">
      <c r="A13" t="str">
        <f>MID(Precios!B13,1,60)</f>
        <v>Guantes Latex Talle M</v>
      </c>
      <c r="B13" s="114">
        <f t="shared" si="1"/>
        <v>12</v>
      </c>
      <c r="C13" s="114" t="str">
        <f>CONCATENATE("'",MID(Precios!B13,1,60),"'")</f>
        <v>'Guantes Latex Talle M'</v>
      </c>
      <c r="D13" s="114" t="str">
        <f t="shared" si="0"/>
        <v>INSERT INTO PRODUCTOS (ID_PRODUCTO,NOMBRE) VALUES (12,'Guantes Latex Talle M');</v>
      </c>
    </row>
    <row r="14" spans="1:4">
      <c r="A14" t="str">
        <f>MID(Precios!B14,1,60)</f>
        <v>Guantes Latex Talle S</v>
      </c>
      <c r="B14" s="114">
        <f t="shared" si="1"/>
        <v>13</v>
      </c>
      <c r="C14" s="114" t="str">
        <f>CONCATENATE("'",MID(Precios!B14,1,60),"'")</f>
        <v>'Guantes Latex Talle S'</v>
      </c>
      <c r="D14" s="114" t="str">
        <f t="shared" si="0"/>
        <v>INSERT INTO PRODUCTOS (ID_PRODUCTO,NOMBRE) VALUES (13,'Guantes Latex Talle S');</v>
      </c>
    </row>
    <row r="15" spans="1:4">
      <c r="A15" t="str">
        <f>MID(Precios!B15,1,60)</f>
        <v>Tableta Cloro envase 1K (200 g c/tableta)</v>
      </c>
      <c r="B15" s="114">
        <f t="shared" si="1"/>
        <v>14</v>
      </c>
      <c r="C15" s="114" t="str">
        <f>CONCATENATE("'",MID(Precios!B15,1,60),"'")</f>
        <v>'Tableta Cloro envase 1K (200 g c/tableta)'</v>
      </c>
      <c r="D15" s="114" t="str">
        <f t="shared" si="0"/>
        <v>INSERT INTO PRODUCTOS (ID_PRODUCTO,NOMBRE) VALUES (14,'Tableta Cloro envase 1K (200 g c/tableta)');</v>
      </c>
    </row>
    <row r="16" spans="1:4">
      <c r="A16" t="str">
        <f>MID(Precios!B16,1,60)</f>
        <v>Pastillas Estanque WC (3 unidades)</v>
      </c>
      <c r="B16" s="114">
        <f t="shared" si="1"/>
        <v>15</v>
      </c>
      <c r="C16" s="114" t="str">
        <f>CONCATENATE("'",MID(Precios!B16,1,60),"'")</f>
        <v>'Pastillas Estanque WC (3 unidades)'</v>
      </c>
      <c r="D16" s="114" t="str">
        <f t="shared" si="0"/>
        <v>INSERT INTO PRODUCTOS (ID_PRODUCTO,NOMBRE) VALUES (15,'Pastillas Estanque WC (3 unidades)');</v>
      </c>
    </row>
    <row r="17" spans="1:4">
      <c r="A17" t="str">
        <f>MID(Precios!B17,1,60)</f>
        <v>Pack 3 x Pastillas Estanque WC (3 unidades)</v>
      </c>
      <c r="B17" s="114">
        <f t="shared" si="1"/>
        <v>16</v>
      </c>
      <c r="C17" s="114" t="str">
        <f>CONCATENATE("'",MID(Precios!B17,1,60),"'")</f>
        <v>'Pack 3 x Pastillas Estanque WC (3 unidades)'</v>
      </c>
      <c r="D17" s="114" t="str">
        <f t="shared" si="0"/>
        <v>INSERT INTO PRODUCTOS (ID_PRODUCTO,NOMBRE) VALUES (16,'Pack 3 x Pastillas Estanque WC (3 unidades)');</v>
      </c>
    </row>
    <row r="18" spans="1:4">
      <c r="A18" t="str">
        <f>MID(Precios!B18,1,60)</f>
        <v>Pasta Diente Pepsodent 3x2</v>
      </c>
      <c r="B18" s="114">
        <f t="shared" si="1"/>
        <v>17</v>
      </c>
      <c r="C18" s="114" t="str">
        <f>CONCATENATE("'",MID(Precios!B18,1,60),"'")</f>
        <v>'Pasta Diente Pepsodent 3x2'</v>
      </c>
      <c r="D18" s="114" t="str">
        <f t="shared" si="0"/>
        <v>INSERT INTO PRODUCTOS (ID_PRODUCTO,NOMBRE) VALUES (17,'Pasta Diente Pepsodent 3x2');</v>
      </c>
    </row>
    <row r="19" spans="1:4">
      <c r="A19" t="str">
        <f>MID(Precios!B19,1,60)</f>
        <v>Pinzas de Ropa (24 unidades)</v>
      </c>
      <c r="B19" s="114">
        <f t="shared" si="1"/>
        <v>18</v>
      </c>
      <c r="C19" s="114" t="str">
        <f>CONCATENATE("'",MID(Precios!B19,1,60),"'")</f>
        <v>'Pinzas de Ropa (24 unidades)'</v>
      </c>
      <c r="D19" s="114" t="str">
        <f t="shared" si="0"/>
        <v>INSERT INTO PRODUCTOS (ID_PRODUCTO,NOMBRE) VALUES (18,'Pinzas de Ropa (24 unidades)');</v>
      </c>
    </row>
    <row r="20" spans="1:4">
      <c r="A20" t="str">
        <f>MID(Precios!B20,1,60)</f>
        <v>Pack 3 x Pinzas de Ropa (24 unidades)</v>
      </c>
      <c r="B20" s="114">
        <f t="shared" si="1"/>
        <v>19</v>
      </c>
      <c r="C20" s="114" t="str">
        <f>CONCATENATE("'",MID(Precios!B20,1,60),"'")</f>
        <v>'Pack 3 x Pinzas de Ropa (24 unidades)'</v>
      </c>
      <c r="D20" s="114" t="str">
        <f t="shared" si="0"/>
        <v>INSERT INTO PRODUCTOS (ID_PRODUCTO,NOMBRE) VALUES (19,'Pack 3 x Pinzas de Ropa (24 unidades)');</v>
      </c>
    </row>
    <row r="21" spans="1:4">
      <c r="A21" t="str">
        <f>MID(Precios!B21,1,60)</f>
        <v>Velas Grandes (4 Unidades)</v>
      </c>
      <c r="B21" s="114">
        <f t="shared" si="1"/>
        <v>20</v>
      </c>
      <c r="C21" s="114" t="str">
        <f>CONCATENATE("'",MID(Precios!B21,1,60),"'")</f>
        <v>'Velas Grandes (4 Unidades)'</v>
      </c>
      <c r="D21" s="114" t="str">
        <f t="shared" si="0"/>
        <v>INSERT INTO PRODUCTOS (ID_PRODUCTO,NOMBRE) VALUES (20,'Velas Grandes (4 Unidades)');</v>
      </c>
    </row>
    <row r="22" spans="1:4">
      <c r="A22" t="str">
        <f>MID(Precios!B22,1,60)</f>
        <v>Pack 3 x Velas Grandes (4 unidades)</v>
      </c>
      <c r="B22" s="114">
        <f t="shared" si="1"/>
        <v>21</v>
      </c>
      <c r="C22" s="114" t="str">
        <f>CONCATENATE("'",MID(Precios!B22,1,60),"'")</f>
        <v>'Pack 3 x Velas Grandes (4 unidades)'</v>
      </c>
      <c r="D22" s="114" t="str">
        <f t="shared" si="0"/>
        <v>INSERT INTO PRODUCTOS (ID_PRODUCTO,NOMBRE) VALUES (21,'Pack 3 x Velas Grandes (4 unidades)');</v>
      </c>
    </row>
    <row r="23" spans="1:4">
      <c r="A23" t="str">
        <f>MID(Precios!B23,1,60)</f>
        <v>Velas Pequeñas (4 unidades)</v>
      </c>
      <c r="B23" s="114">
        <f t="shared" si="1"/>
        <v>22</v>
      </c>
      <c r="C23" s="114" t="str">
        <f>CONCATENATE("'",MID(Precios!B23,1,60),"'")</f>
        <v>'Velas Pequeñas (4 unidades)'</v>
      </c>
      <c r="D23" s="114" t="str">
        <f t="shared" si="0"/>
        <v>INSERT INTO PRODUCTOS (ID_PRODUCTO,NOMBRE) VALUES (22,'Velas Pequeñas (4 unidades)');</v>
      </c>
    </row>
    <row r="24" spans="1:4">
      <c r="A24" t="str">
        <f>MID(Precios!B24,1,60)</f>
        <v>Pack 3 x Velas Pequeñas (4 unidades)</v>
      </c>
      <c r="B24" s="114">
        <f t="shared" si="1"/>
        <v>23</v>
      </c>
      <c r="C24" s="114" t="str">
        <f>CONCATENATE("'",MID(Precios!B24,1,60),"'")</f>
        <v>'Pack 3 x Velas Pequeñas (4 unidades)'</v>
      </c>
      <c r="D24" s="114" t="str">
        <f t="shared" si="0"/>
        <v>INSERT INTO PRODUCTOS (ID_PRODUCTO,NOMBRE) VALUES (23,'Pack 3 x Velas Pequeñas (4 unidades)');</v>
      </c>
    </row>
    <row r="25" spans="1:4">
      <c r="A25" t="str">
        <f>MID(Precios!B25,1,60)</f>
        <v>3 x Bolsa Basura Teddy 45x55 c/asas</v>
      </c>
      <c r="B25" s="114">
        <f t="shared" si="1"/>
        <v>24</v>
      </c>
      <c r="C25" s="114" t="str">
        <f>CONCATENATE("'",MID(Precios!B25,1,60),"'")</f>
        <v>'3 x Bolsa Basura Teddy 45x55 c/asas'</v>
      </c>
      <c r="D25" s="114" t="str">
        <f t="shared" si="0"/>
        <v>INSERT INTO PRODUCTOS (ID_PRODUCTO,NOMBRE) VALUES (24,'3 x Bolsa Basura Teddy 45x55 c/asas');</v>
      </c>
    </row>
    <row r="26" spans="1:4">
      <c r="A26" t="str">
        <f>MID(Precios!B26,1,60)</f>
        <v>3 x Bolsa Basura Teddy 50x70</v>
      </c>
      <c r="B26" s="114">
        <f t="shared" si="1"/>
        <v>25</v>
      </c>
      <c r="C26" s="114" t="str">
        <f>CONCATENATE("'",MID(Precios!B26,1,60),"'")</f>
        <v>'3 x Bolsa Basura Teddy 50x70'</v>
      </c>
      <c r="D26" s="114" t="str">
        <f t="shared" si="0"/>
        <v>INSERT INTO PRODUCTOS (ID_PRODUCTO,NOMBRE) VALUES (25,'3 x Bolsa Basura Teddy 50x70');</v>
      </c>
    </row>
    <row r="27" spans="1:4">
      <c r="A27" t="str">
        <f>MID(Precios!B27,1,60)</f>
        <v>3 x Bolsa Basura Teddy 70x90</v>
      </c>
      <c r="B27" s="114">
        <f t="shared" si="1"/>
        <v>26</v>
      </c>
      <c r="C27" s="114" t="str">
        <f>CONCATENATE("'",MID(Precios!B27,1,60),"'")</f>
        <v>'3 x Bolsa Basura Teddy 70x90'</v>
      </c>
      <c r="D27" s="114" t="str">
        <f t="shared" si="0"/>
        <v>INSERT INTO PRODUCTOS (ID_PRODUCTO,NOMBRE) VALUES (26,'3 x Bolsa Basura Teddy 70x90');</v>
      </c>
    </row>
    <row r="28" spans="1:4">
      <c r="A28" t="str">
        <f>MID(Precios!B28,1,60)</f>
        <v>3 x Bolsa Basura Teddy 90x120</v>
      </c>
      <c r="B28" s="114">
        <f t="shared" si="1"/>
        <v>27</v>
      </c>
      <c r="C28" s="114" t="str">
        <f>CONCATENATE("'",MID(Precios!B28,1,60),"'")</f>
        <v>'3 x Bolsa Basura Teddy 90x120'</v>
      </c>
      <c r="D28" s="114" t="str">
        <f t="shared" si="0"/>
        <v>INSERT INTO PRODUCTOS (ID_PRODUCTO,NOMBRE) VALUES (27,'3 x Bolsa Basura Teddy 90x120');</v>
      </c>
    </row>
    <row r="29" spans="1:4">
      <c r="A29" t="str">
        <f>MID(Precios!B29,1,60)</f>
        <v>3 x Film Embalaje 1,7kg (1,4kg Neto/350 Metros aprox.)</v>
      </c>
      <c r="B29" s="114">
        <f t="shared" si="1"/>
        <v>28</v>
      </c>
      <c r="C29" s="114" t="str">
        <f>CONCATENATE("'",MID(Precios!B29,1,60),"'")</f>
        <v>'3 x Film Embalaje 1,7kg (1,4kg Neto/350 Metros aprox.)'</v>
      </c>
      <c r="D29" s="114" t="str">
        <f t="shared" si="0"/>
        <v>INSERT INTO PRODUCTOS (ID_PRODUCTO,NOMBRE) VALUES (28,'3 x Film Embalaje 1,7kg (1,4kg Neto/350 Metros aprox.)');</v>
      </c>
    </row>
    <row r="30" spans="1:4">
      <c r="A30" t="str">
        <f>MID(Precios!B30,1,60)</f>
        <v>5 Esponja Escalonada</v>
      </c>
      <c r="B30" s="114">
        <f t="shared" si="1"/>
        <v>29</v>
      </c>
      <c r="C30" s="114" t="str">
        <f>CONCATENATE("'",MID(Precios!B30,1,60),"'")</f>
        <v>'5 Esponja Escalonada'</v>
      </c>
      <c r="D30" s="114" t="str">
        <f t="shared" si="0"/>
        <v>INSERT INTO PRODUCTOS (ID_PRODUCTO,NOMBRE) VALUES (29,'5 Esponja Escalonada');</v>
      </c>
    </row>
    <row r="31" spans="1:4">
      <c r="A31" t="str">
        <f>MID(Precios!B31,1,60)</f>
        <v>6 x Bolsa Basura Teddy 45x55 c/asas</v>
      </c>
      <c r="B31" s="114">
        <f t="shared" si="1"/>
        <v>30</v>
      </c>
      <c r="C31" s="114" t="str">
        <f>CONCATENATE("'",MID(Precios!B31,1,60),"'")</f>
        <v>'6 x Bolsa Basura Teddy 45x55 c/asas'</v>
      </c>
      <c r="D31" s="114" t="str">
        <f t="shared" si="0"/>
        <v>INSERT INTO PRODUCTOS (ID_PRODUCTO,NOMBRE) VALUES (30,'6 x Bolsa Basura Teddy 45x55 c/asas');</v>
      </c>
    </row>
    <row r="32" spans="1:4">
      <c r="A32" t="str">
        <f>MID(Precios!B32,1,60)</f>
        <v>6 x Bolsa Basura Teddy 50x70</v>
      </c>
      <c r="B32" s="114">
        <f t="shared" si="1"/>
        <v>31</v>
      </c>
      <c r="C32" s="114" t="str">
        <f>CONCATENATE("'",MID(Precios!B32,1,60),"'")</f>
        <v>'6 x Bolsa Basura Teddy 50x70'</v>
      </c>
      <c r="D32" s="114" t="str">
        <f t="shared" si="0"/>
        <v>INSERT INTO PRODUCTOS (ID_PRODUCTO,NOMBRE) VALUES (31,'6 x Bolsa Basura Teddy 50x70');</v>
      </c>
    </row>
    <row r="33" spans="1:4">
      <c r="A33" t="str">
        <f>MID(Precios!B33,1,60)</f>
        <v>6 x Bolsa Basura Teddy 70x90</v>
      </c>
      <c r="B33" s="114">
        <f t="shared" si="1"/>
        <v>32</v>
      </c>
      <c r="C33" s="114" t="str">
        <f>CONCATENATE("'",MID(Precios!B33,1,60),"'")</f>
        <v>'6 x Bolsa Basura Teddy 70x90'</v>
      </c>
      <c r="D33" s="114" t="str">
        <f t="shared" si="0"/>
        <v>INSERT INTO PRODUCTOS (ID_PRODUCTO,NOMBRE) VALUES (32,'6 x Bolsa Basura Teddy 70x90');</v>
      </c>
    </row>
    <row r="34" spans="1:4">
      <c r="A34" t="str">
        <f>MID(Precios!B34,1,60)</f>
        <v>6 x Bolsa Basura Teddy 90x120</v>
      </c>
      <c r="B34" s="114">
        <f t="shared" si="1"/>
        <v>33</v>
      </c>
      <c r="C34" s="114" t="str">
        <f>CONCATENATE("'",MID(Precios!B34,1,60),"'")</f>
        <v>'6 x Bolsa Basura Teddy 90x120'</v>
      </c>
      <c r="D34" s="114" t="str">
        <f t="shared" si="0"/>
        <v>INSERT INTO PRODUCTOS (ID_PRODUCTO,NOMBRE) VALUES (33,'6 x Bolsa Basura Teddy 90x120');</v>
      </c>
    </row>
    <row r="35" spans="1:4">
      <c r="A35" t="str">
        <f>MID(Precios!B35,1,60)</f>
        <v>Aceituna Grandes Remate / 1000 gramos</v>
      </c>
      <c r="B35" s="114">
        <f t="shared" si="1"/>
        <v>34</v>
      </c>
      <c r="C35" s="114" t="str">
        <f>CONCATENATE("'",MID(Precios!B35,1,60),"'")</f>
        <v>'Aceituna Grandes Remate / 1000 gramos'</v>
      </c>
      <c r="D35" s="114" t="str">
        <f t="shared" si="0"/>
        <v>INSERT INTO PRODUCTOS (ID_PRODUCTO,NOMBRE) VALUES (34,'Aceituna Grandes Remate / 1000 gramos');</v>
      </c>
    </row>
    <row r="36" spans="1:4">
      <c r="A36" t="str">
        <f>MID(Precios!B36,1,60)</f>
        <v>Aceituna Negra / 1000 gramos</v>
      </c>
      <c r="B36" s="114">
        <f t="shared" si="1"/>
        <v>35</v>
      </c>
      <c r="C36" s="114" t="str">
        <f>CONCATENATE("'",MID(Precios!B36,1,60),"'")</f>
        <v>'Aceituna Negra / 1000 gramos'</v>
      </c>
      <c r="D36" s="114" t="str">
        <f t="shared" si="0"/>
        <v>INSERT INTO PRODUCTOS (ID_PRODUCTO,NOMBRE) VALUES (35,'Aceituna Negra / 1000 gramos');</v>
      </c>
    </row>
    <row r="37" spans="1:4">
      <c r="A37" t="str">
        <f>MID(Precios!B37,1,60)</f>
        <v>Aceituna Negra - Grande / 1000 gramos</v>
      </c>
      <c r="B37" s="114">
        <f t="shared" si="1"/>
        <v>36</v>
      </c>
      <c r="C37" s="114" t="str">
        <f>CONCATENATE("'",MID(Precios!B37,1,60),"'")</f>
        <v>'Aceituna Negra - Grande / 1000 gramos'</v>
      </c>
      <c r="D37" s="114" t="str">
        <f t="shared" si="0"/>
        <v>INSERT INTO PRODUCTOS (ID_PRODUCTO,NOMBRE) VALUES (36,'Aceituna Negra - Grande / 1000 gramos');</v>
      </c>
    </row>
    <row r="38" spans="1:4">
      <c r="A38" t="str">
        <f>MID(Precios!B38,1,60)</f>
        <v>Aceituna Rellena Pimentón / 1000 gramos</v>
      </c>
      <c r="B38" s="114">
        <f t="shared" si="1"/>
        <v>37</v>
      </c>
      <c r="C38" s="114" t="str">
        <f>CONCATENATE("'",MID(Precios!B38,1,60),"'")</f>
        <v>'Aceituna Rellena Pimentón / 1000 gramos'</v>
      </c>
      <c r="D38" s="114" t="str">
        <f t="shared" si="0"/>
        <v>INSERT INTO PRODUCTOS (ID_PRODUCTO,NOMBRE) VALUES (37,'Aceituna Rellena Pimentón / 1000 gramos');</v>
      </c>
    </row>
    <row r="39" spans="1:4">
      <c r="A39" t="str">
        <f>MID(Precios!B39,1,60)</f>
        <v>Aceituna Verde / 1000 gramos</v>
      </c>
      <c r="B39" s="114">
        <f t="shared" si="1"/>
        <v>38</v>
      </c>
      <c r="C39" s="114" t="str">
        <f>CONCATENATE("'",MID(Precios!B39,1,60),"'")</f>
        <v>'Aceituna Verde / 1000 gramos'</v>
      </c>
      <c r="D39" s="114" t="str">
        <f t="shared" si="0"/>
        <v>INSERT INTO PRODUCTOS (ID_PRODUCTO,NOMBRE) VALUES (38,'Aceituna Verde / 1000 gramos');</v>
      </c>
    </row>
    <row r="40" spans="1:4">
      <c r="A40" t="str">
        <f>MID(Precios!B40,1,60)</f>
        <v>Aceituna Verde - Grande / 1000 gramos</v>
      </c>
      <c r="B40" s="114">
        <f t="shared" si="1"/>
        <v>39</v>
      </c>
      <c r="C40" s="114" t="str">
        <f>CONCATENATE("'",MID(Precios!B40,1,60),"'")</f>
        <v>'Aceituna Verde - Grande / 1000 gramos'</v>
      </c>
      <c r="D40" s="114" t="str">
        <f t="shared" si="0"/>
        <v>INSERT INTO PRODUCTOS (ID_PRODUCTO,NOMBRE) VALUES (39,'Aceituna Verde - Grande / 1000 gramos');</v>
      </c>
    </row>
    <row r="41" spans="1:4">
      <c r="A41" t="str">
        <f>MID(Precios!B41,1,60)</f>
        <v>Almendra Entera / 1000 gramos</v>
      </c>
      <c r="B41" s="114">
        <f t="shared" si="1"/>
        <v>40</v>
      </c>
      <c r="C41" s="114" t="str">
        <f>CONCATENATE("'",MID(Precios!B41,1,60),"'")</f>
        <v>'Almendra Entera / 1000 gramos'</v>
      </c>
      <c r="D41" s="114" t="str">
        <f t="shared" si="0"/>
        <v>INSERT INTO PRODUCTOS (ID_PRODUCTO,NOMBRE) VALUES (40,'Almendra Entera / 1000 gramos');</v>
      </c>
    </row>
    <row r="42" spans="1:4">
      <c r="A42" t="str">
        <f>MID(Precios!B42,1,60)</f>
        <v>Almendra Entera / 250 gramos</v>
      </c>
      <c r="B42" s="114">
        <f t="shared" si="1"/>
        <v>41</v>
      </c>
      <c r="C42" s="114" t="str">
        <f>CONCATENATE("'",MID(Precios!B42,1,60),"'")</f>
        <v>'Almendra Entera / 250 gramos'</v>
      </c>
      <c r="D42" s="114" t="str">
        <f t="shared" si="0"/>
        <v>INSERT INTO PRODUCTOS (ID_PRODUCTO,NOMBRE) VALUES (41,'Almendra Entera / 250 gramos');</v>
      </c>
    </row>
    <row r="43" spans="1:4">
      <c r="A43" t="str">
        <f>MID(Precios!B43,1,60)</f>
        <v>Almendra Entera / 400 gramos</v>
      </c>
      <c r="B43" s="114">
        <f t="shared" si="1"/>
        <v>42</v>
      </c>
      <c r="C43" s="114" t="str">
        <f>CONCATENATE("'",MID(Precios!B43,1,60),"'")</f>
        <v>'Almendra Entera / 400 gramos'</v>
      </c>
      <c r="D43" s="114" t="str">
        <f t="shared" si="0"/>
        <v>INSERT INTO PRODUCTOS (ID_PRODUCTO,NOMBRE) VALUES (42,'Almendra Entera / 400 gramos');</v>
      </c>
    </row>
    <row r="44" spans="1:4">
      <c r="A44" t="str">
        <f>MID(Precios!B44,1,60)</f>
        <v>Almendra Entera / 45 gramos</v>
      </c>
      <c r="B44" s="114">
        <f t="shared" si="1"/>
        <v>43</v>
      </c>
      <c r="C44" s="114" t="str">
        <f>CONCATENATE("'",MID(Precios!B44,1,60),"'")</f>
        <v>'Almendra Entera / 45 gramos'</v>
      </c>
      <c r="D44" s="114" t="str">
        <f t="shared" si="0"/>
        <v>INSERT INTO PRODUCTOS (ID_PRODUCTO,NOMBRE) VALUES (43,'Almendra Entera / 45 gramos');</v>
      </c>
    </row>
    <row r="45" spans="1:4">
      <c r="A45" t="str">
        <f>MID(Precios!B45,1,60)</f>
        <v>Almendra Entera / 500 gramos</v>
      </c>
      <c r="B45" s="114">
        <f t="shared" si="1"/>
        <v>44</v>
      </c>
      <c r="C45" s="114" t="str">
        <f>CONCATENATE("'",MID(Precios!B45,1,60),"'")</f>
        <v>'Almendra Entera / 500 gramos'</v>
      </c>
      <c r="D45" s="114" t="str">
        <f t="shared" si="0"/>
        <v>INSERT INTO PRODUCTOS (ID_PRODUCTO,NOMBRE) VALUES (44,'Almendra Entera / 500 gramos');</v>
      </c>
    </row>
    <row r="46" spans="1:4">
      <c r="A46" t="str">
        <f>MID(Precios!B46,1,60)</f>
        <v>Caja 50 Mascarillas Triple Pliegue</v>
      </c>
      <c r="B46" s="114">
        <f t="shared" si="1"/>
        <v>45</v>
      </c>
      <c r="C46" s="114" t="str">
        <f>CONCATENATE("'",MID(Precios!B46,1,60),"'")</f>
        <v>'Caja 50 Mascarillas Triple Pliegue'</v>
      </c>
      <c r="D46" s="114" t="str">
        <f t="shared" si="0"/>
        <v>INSERT INTO PRODUCTOS (ID_PRODUCTO,NOMBRE) VALUES (45,'Caja 50 Mascarillas Triple Pliegue');</v>
      </c>
    </row>
    <row r="47" spans="1:4">
      <c r="A47" t="str">
        <f>MID(Precios!B47,1,60)</f>
        <v>Cofias</v>
      </c>
      <c r="B47" s="114">
        <f t="shared" si="1"/>
        <v>46</v>
      </c>
      <c r="C47" s="114" t="str">
        <f>CONCATENATE("'",MID(Precios!B47,1,60),"'")</f>
        <v>'Cofias'</v>
      </c>
      <c r="D47" s="114" t="str">
        <f t="shared" si="0"/>
        <v>INSERT INTO PRODUCTOS (ID_PRODUCTO,NOMBRE) VALUES (46,'Cofias');</v>
      </c>
    </row>
    <row r="48" spans="1:4">
      <c r="A48" t="str">
        <f>MID(Precios!B48,1,60)</f>
        <v>Caja 100 Guantes NITRILO Talla XL</v>
      </c>
      <c r="B48" s="114">
        <f t="shared" si="1"/>
        <v>47</v>
      </c>
      <c r="C48" s="114" t="str">
        <f>CONCATENATE("'",MID(Precios!B48,1,60),"'")</f>
        <v>'Caja 100 Guantes NITRILO Talla XL'</v>
      </c>
      <c r="D48" s="114" t="str">
        <f t="shared" si="0"/>
        <v>INSERT INTO PRODUCTOS (ID_PRODUCTO,NOMBRE) VALUES (47,'Caja 100 Guantes NITRILO Talla XL');</v>
      </c>
    </row>
    <row r="49" spans="1:4">
      <c r="A49" t="str">
        <f>MID(Precios!B49,1,60)</f>
        <v>10 Cajas 100 Guantes NITRILO Talla XL</v>
      </c>
      <c r="B49" s="114">
        <f t="shared" si="1"/>
        <v>48</v>
      </c>
      <c r="C49" s="114" t="str">
        <f>CONCATENATE("'",MID(Precios!B49,1,60),"'")</f>
        <v>'10 Cajas 100 Guantes NITRILO Talla XL'</v>
      </c>
      <c r="D49" s="114" t="str">
        <f t="shared" si="0"/>
        <v>INSERT INTO PRODUCTOS (ID_PRODUCTO,NOMBRE) VALUES (48,'10 Cajas 100 Guantes NITRILO Talla XL');</v>
      </c>
    </row>
    <row r="50" spans="1:4">
      <c r="A50" t="str">
        <f>MID(Precios!B50,1,60)</f>
        <v>Caja 100 Guantes NITRILO Talla L</v>
      </c>
      <c r="B50" s="114">
        <f t="shared" si="1"/>
        <v>49</v>
      </c>
      <c r="C50" s="114" t="str">
        <f>CONCATENATE("'",MID(Precios!B50,1,60),"'")</f>
        <v>'Caja 100 Guantes NITRILO Talla L'</v>
      </c>
      <c r="D50" s="114" t="str">
        <f t="shared" si="0"/>
        <v>INSERT INTO PRODUCTOS (ID_PRODUCTO,NOMBRE) VALUES (49,'Caja 100 Guantes NITRILO Talla L');</v>
      </c>
    </row>
    <row r="51" spans="1:4">
      <c r="A51" t="str">
        <f>MID(Precios!B51,1,60)</f>
        <v>10 Cajas Guantes NITRILO Talla L</v>
      </c>
      <c r="B51" s="114">
        <f t="shared" si="1"/>
        <v>50</v>
      </c>
      <c r="C51" s="114" t="str">
        <f>CONCATENATE("'",MID(Precios!B51,1,60),"'")</f>
        <v>'10 Cajas Guantes NITRILO Talla L'</v>
      </c>
      <c r="D51" s="114" t="str">
        <f t="shared" si="0"/>
        <v>INSERT INTO PRODUCTOS (ID_PRODUCTO,NOMBRE) VALUES (50,'10 Cajas Guantes NITRILO Talla L');</v>
      </c>
    </row>
    <row r="52" spans="1:4">
      <c r="A52" t="str">
        <f>MID(Precios!B52,1,60)</f>
        <v>Caja 100 Guantes NITRILO Talla M</v>
      </c>
      <c r="B52" s="114">
        <f t="shared" si="1"/>
        <v>51</v>
      </c>
      <c r="C52" s="114" t="str">
        <f>CONCATENATE("'",MID(Precios!B52,1,60),"'")</f>
        <v>'Caja 100 Guantes NITRILO Talla M'</v>
      </c>
      <c r="D52" s="114" t="str">
        <f t="shared" si="0"/>
        <v>INSERT INTO PRODUCTOS (ID_PRODUCTO,NOMBRE) VALUES (51,'Caja 100 Guantes NITRILO Talla M');</v>
      </c>
    </row>
    <row r="53" spans="1:4">
      <c r="A53" t="str">
        <f>MID(Precios!B53,1,60)</f>
        <v>10 Cajas Guantes NITRILO Talla M</v>
      </c>
      <c r="B53" s="114">
        <f t="shared" si="1"/>
        <v>52</v>
      </c>
      <c r="C53" s="114" t="str">
        <f>CONCATENATE("'",MID(Precios!B53,1,60),"'")</f>
        <v>'10 Cajas Guantes NITRILO Talla M'</v>
      </c>
      <c r="D53" s="114" t="str">
        <f t="shared" si="0"/>
        <v>INSERT INTO PRODUCTOS (ID_PRODUCTO,NOMBRE) VALUES (52,'10 Cajas Guantes NITRILO Talla M');</v>
      </c>
    </row>
    <row r="54" spans="1:4">
      <c r="A54" t="str">
        <f>MID(Precios!B54,1,60)</f>
        <v>Caja 100 Guantes NITRILO Talla S</v>
      </c>
      <c r="B54" s="114">
        <f t="shared" si="1"/>
        <v>53</v>
      </c>
      <c r="C54" s="114" t="str">
        <f>CONCATENATE("'",MID(Precios!B54,1,60),"'")</f>
        <v>'Caja 100 Guantes NITRILO Talla S'</v>
      </c>
      <c r="D54" s="114" t="str">
        <f t="shared" si="0"/>
        <v>INSERT INTO PRODUCTOS (ID_PRODUCTO,NOMBRE) VALUES (53,'Caja 100 Guantes NITRILO Talla S');</v>
      </c>
    </row>
    <row r="55" spans="1:4">
      <c r="A55" t="str">
        <f>MID(Precios!B55,1,60)</f>
        <v>10 Cajas Guantes NITRILO Talla S</v>
      </c>
      <c r="B55" s="114">
        <f t="shared" si="1"/>
        <v>54</v>
      </c>
      <c r="C55" s="114" t="str">
        <f>CONCATENATE("'",MID(Precios!B55,1,60),"'")</f>
        <v>'10 Cajas Guantes NITRILO Talla S'</v>
      </c>
      <c r="D55" s="114" t="str">
        <f t="shared" si="0"/>
        <v>INSERT INTO PRODUCTOS (ID_PRODUCTO,NOMBRE) VALUES (54,'10 Cajas Guantes NITRILO Talla S');</v>
      </c>
    </row>
    <row r="56" spans="1:4">
      <c r="A56" t="str">
        <f>MID(Precios!B56,1,60)</f>
        <v>Ambiental cono Lavanda</v>
      </c>
      <c r="B56" s="114">
        <f t="shared" si="1"/>
        <v>55</v>
      </c>
      <c r="C56" s="114" t="str">
        <f>CONCATENATE("'",MID(Precios!B56,1,60),"'")</f>
        <v>'Ambiental cono Lavanda'</v>
      </c>
      <c r="D56" s="114" t="str">
        <f t="shared" si="0"/>
        <v>INSERT INTO PRODUCTOS (ID_PRODUCTO,NOMBRE) VALUES (55,'Ambiental cono Lavanda');</v>
      </c>
    </row>
    <row r="57" spans="1:4">
      <c r="A57" t="str">
        <f>MID(Precios!B57,1,60)</f>
        <v>Ambiental Tubo</v>
      </c>
      <c r="B57" s="114">
        <f t="shared" si="1"/>
        <v>56</v>
      </c>
      <c r="C57" s="114" t="str">
        <f>CONCATENATE("'",MID(Precios!B57,1,60),"'")</f>
        <v>'Ambiental Tubo'</v>
      </c>
      <c r="D57" s="114" t="str">
        <f t="shared" si="0"/>
        <v>INSERT INTO PRODUCTOS (ID_PRODUCTO,NOMBRE) VALUES (56,'Ambiental Tubo');</v>
      </c>
    </row>
    <row r="58" spans="1:4">
      <c r="A58" t="str">
        <f>MID(Precios!B58,1,60)</f>
        <v>Antigrasa / 5 Litros</v>
      </c>
      <c r="B58" s="114">
        <f t="shared" si="1"/>
        <v>57</v>
      </c>
      <c r="C58" s="114" t="str">
        <f>CONCATENATE("'",MID(Precios!B58,1,60),"'")</f>
        <v>'Antigrasa / 5 Litros'</v>
      </c>
      <c r="D58" s="114" t="str">
        <f t="shared" si="0"/>
        <v>INSERT INTO PRODUCTOS (ID_PRODUCTO,NOMBRE) VALUES (57,'Antigrasa / 5 Litros');</v>
      </c>
    </row>
    <row r="59" spans="1:4">
      <c r="A59" t="str">
        <f>MID(Precios!B59,1,60)</f>
        <v>Avena / 1000 gramos</v>
      </c>
      <c r="B59" s="114">
        <f t="shared" si="1"/>
        <v>58</v>
      </c>
      <c r="C59" s="114" t="str">
        <f>CONCATENATE("'",MID(Precios!B59,1,60),"'")</f>
        <v>'Avena / 1000 gramos'</v>
      </c>
      <c r="D59" s="114" t="str">
        <f t="shared" si="0"/>
        <v>INSERT INTO PRODUCTOS (ID_PRODUCTO,NOMBRE) VALUES (58,'Avena / 1000 gramos');</v>
      </c>
    </row>
    <row r="60" spans="1:4">
      <c r="A60" t="str">
        <f>MID(Precios!B60,1,60)</f>
        <v>Avena / 250 gramos</v>
      </c>
      <c r="B60" s="114">
        <f t="shared" si="1"/>
        <v>59</v>
      </c>
      <c r="C60" s="114" t="str">
        <f>CONCATENATE("'",MID(Precios!B60,1,60),"'")</f>
        <v>'Avena / 250 gramos'</v>
      </c>
      <c r="D60" s="114" t="str">
        <f t="shared" si="0"/>
        <v>INSERT INTO PRODUCTOS (ID_PRODUCTO,NOMBRE) VALUES (59,'Avena / 250 gramos');</v>
      </c>
    </row>
    <row r="61" spans="1:4">
      <c r="A61" t="str">
        <f>MID(Precios!B61,1,60)</f>
        <v>Avena / 500 gramos</v>
      </c>
      <c r="B61" s="114">
        <f t="shared" si="1"/>
        <v>60</v>
      </c>
      <c r="C61" s="114" t="str">
        <f>CONCATENATE("'",MID(Precios!B61,1,60),"'")</f>
        <v>'Avena / 500 gramos'</v>
      </c>
      <c r="D61" s="114" t="str">
        <f t="shared" si="0"/>
        <v>INSERT INTO PRODUCTOS (ID_PRODUCTO,NOMBRE) VALUES (60,'Avena / 500 gramos');</v>
      </c>
    </row>
    <row r="62" spans="1:4">
      <c r="A62" t="str">
        <f>MID(Precios!B62,1,60)</f>
        <v>Bebida 1.5 Litros</v>
      </c>
      <c r="B62" s="114">
        <f t="shared" si="1"/>
        <v>61</v>
      </c>
      <c r="C62" s="114" t="str">
        <f>CONCATENATE("'",MID(Precios!B62,1,60),"'")</f>
        <v>'Bebida 1.5 Litros'</v>
      </c>
      <c r="D62" s="114" t="str">
        <f t="shared" si="0"/>
        <v>INSERT INTO PRODUCTOS (ID_PRODUCTO,NOMBRE) VALUES (61,'Bebida 1.5 Litros');</v>
      </c>
    </row>
    <row r="63" spans="1:4">
      <c r="A63" t="str">
        <f>MID(Precios!B63,1,60)</f>
        <v>Bolitas rojas / 250 gramos / $1400</v>
      </c>
      <c r="B63" s="114">
        <f t="shared" si="1"/>
        <v>62</v>
      </c>
      <c r="C63" s="114" t="str">
        <f>CONCATENATE("'",MID(Precios!B63,1,60),"'")</f>
        <v>'Bolitas rojas / 250 gramos / $1400'</v>
      </c>
      <c r="D63" s="114" t="str">
        <f t="shared" si="0"/>
        <v>INSERT INTO PRODUCTOS (ID_PRODUCTO,NOMBRE) VALUES (62,'Bolitas rojas / 250 gramos / $1400');</v>
      </c>
    </row>
    <row r="64" spans="1:4">
      <c r="A64" t="str">
        <f>MID(Precios!B64,1,60)</f>
        <v>Bolitas rojas / 50 gramos / $500</v>
      </c>
      <c r="B64" s="114">
        <f t="shared" si="1"/>
        <v>63</v>
      </c>
      <c r="C64" s="114" t="str">
        <f>CONCATENATE("'",MID(Precios!B64,1,60),"'")</f>
        <v>'Bolitas rojas / 50 gramos / $500'</v>
      </c>
      <c r="D64" s="114" t="str">
        <f t="shared" si="0"/>
        <v>INSERT INTO PRODUCTOS (ID_PRODUCTO,NOMBRE) VALUES (63,'Bolitas rojas / 50 gramos / $500');</v>
      </c>
    </row>
    <row r="65" spans="1:4">
      <c r="A65" t="str">
        <f>MID(Precios!B65,1,60)</f>
        <v>Bolsa Basura 50x70</v>
      </c>
      <c r="B65" s="114">
        <f t="shared" si="1"/>
        <v>64</v>
      </c>
      <c r="C65" s="114" t="str">
        <f>CONCATENATE("'",MID(Precios!B65,1,60),"'")</f>
        <v>'Bolsa Basura 50x70'</v>
      </c>
      <c r="D65" s="114" t="str">
        <f t="shared" si="0"/>
        <v>INSERT INTO PRODUCTOS (ID_PRODUCTO,NOMBRE) VALUES (64,'Bolsa Basura 50x70');</v>
      </c>
    </row>
    <row r="66" spans="1:4">
      <c r="A66" t="str">
        <f>MID(Precios!B66,1,60)</f>
        <v>Bolsa Basura 70x90</v>
      </c>
      <c r="B66" s="114">
        <f t="shared" si="1"/>
        <v>65</v>
      </c>
      <c r="C66" s="114" t="str">
        <f>CONCATENATE("'",MID(Precios!B66,1,60),"'")</f>
        <v>'Bolsa Basura 70x90'</v>
      </c>
      <c r="D66" s="114" t="str">
        <f t="shared" si="0"/>
        <v>INSERT INTO PRODUCTOS (ID_PRODUCTO,NOMBRE) VALUES (65,'Bolsa Basura 70x90');</v>
      </c>
    </row>
    <row r="67" spans="1:4">
      <c r="A67" t="str">
        <f>MID(Precios!B67,1,60)</f>
        <v>Bolsa Basura Teddy 45x55 c/asas</v>
      </c>
      <c r="B67" s="114">
        <f t="shared" si="1"/>
        <v>66</v>
      </c>
      <c r="C67" s="114" t="str">
        <f>CONCATENATE("'",MID(Precios!B67,1,60),"'")</f>
        <v>'Bolsa Basura Teddy 45x55 c/asas'</v>
      </c>
      <c r="D67" s="114" t="str">
        <f t="shared" ref="D67:D130" si="2">CONCATENATE("INSERT INTO PRODUCTOS (ID_PRODUCTO,NOMBRE) VALUES (",B67,",",C67,");")</f>
        <v>INSERT INTO PRODUCTOS (ID_PRODUCTO,NOMBRE) VALUES (66,'Bolsa Basura Teddy 45x55 c/asas');</v>
      </c>
    </row>
    <row r="68" spans="1:4">
      <c r="A68" t="str">
        <f>MID(Precios!B68,1,60)</f>
        <v>Bolsa Basura Teddy 50x70</v>
      </c>
      <c r="B68" s="114">
        <f t="shared" ref="B68:B131" si="3">B67+1</f>
        <v>67</v>
      </c>
      <c r="C68" s="114" t="str">
        <f>CONCATENATE("'",MID(Precios!B68,1,60),"'")</f>
        <v>'Bolsa Basura Teddy 50x70'</v>
      </c>
      <c r="D68" s="114" t="str">
        <f t="shared" si="2"/>
        <v>INSERT INTO PRODUCTOS (ID_PRODUCTO,NOMBRE) VALUES (67,'Bolsa Basura Teddy 50x70');</v>
      </c>
    </row>
    <row r="69" spans="1:4">
      <c r="A69" t="str">
        <f>MID(Precios!B69,1,60)</f>
        <v>Bolsa Basura Teddy 70x90</v>
      </c>
      <c r="B69" s="114">
        <f t="shared" si="3"/>
        <v>68</v>
      </c>
      <c r="C69" s="114" t="str">
        <f>CONCATENATE("'",MID(Precios!B69,1,60),"'")</f>
        <v>'Bolsa Basura Teddy 70x90'</v>
      </c>
      <c r="D69" s="114" t="str">
        <f t="shared" si="2"/>
        <v>INSERT INTO PRODUCTOS (ID_PRODUCTO,NOMBRE) VALUES (68,'Bolsa Basura Teddy 70x90');</v>
      </c>
    </row>
    <row r="70" spans="1:4">
      <c r="A70" t="str">
        <f>MID(Precios!B70,1,60)</f>
        <v>Bolsa Basura Teddy 90x120</v>
      </c>
      <c r="B70" s="114">
        <f t="shared" si="3"/>
        <v>69</v>
      </c>
      <c r="C70" s="114" t="str">
        <f>CONCATENATE("'",MID(Precios!B70,1,60),"'")</f>
        <v>'Bolsa Basura Teddy 90x120'</v>
      </c>
      <c r="D70" s="114" t="str">
        <f t="shared" si="2"/>
        <v>INSERT INTO PRODUCTOS (ID_PRODUCTO,NOMBRE) VALUES (69,'Bolsa Basura Teddy 90x120');</v>
      </c>
    </row>
    <row r="71" spans="1:4">
      <c r="A71" t="str">
        <f>MID(Precios!B71,1,60)</f>
        <v>Cafe trigo / 250 gramos</v>
      </c>
      <c r="B71" s="114">
        <f t="shared" si="3"/>
        <v>70</v>
      </c>
      <c r="C71" s="114" t="str">
        <f>CONCATENATE("'",MID(Precios!B71,1,60),"'")</f>
        <v>'Cafe trigo / 250 gramos'</v>
      </c>
      <c r="D71" s="114" t="str">
        <f t="shared" si="2"/>
        <v>INSERT INTO PRODUCTOS (ID_PRODUCTO,NOMBRE) VALUES (70,'Cafe trigo / 250 gramos');</v>
      </c>
    </row>
    <row r="72" spans="1:4">
      <c r="A72" t="str">
        <f>MID(Precios!B72,1,60)</f>
        <v>Caja - Dulzura / 300 gramos</v>
      </c>
      <c r="B72" s="114">
        <f t="shared" si="3"/>
        <v>71</v>
      </c>
      <c r="C72" s="114" t="str">
        <f>CONCATENATE("'",MID(Precios!B72,1,60),"'")</f>
        <v>'Caja - Dulzura / 300 gramos'</v>
      </c>
      <c r="D72" s="114" t="str">
        <f t="shared" si="2"/>
        <v>INSERT INTO PRODUCTOS (ID_PRODUCTO,NOMBRE) VALUES (71,'Caja - Dulzura / 300 gramos');</v>
      </c>
    </row>
    <row r="73" spans="1:4">
      <c r="A73" t="str">
        <f>MID(Precios!B73,1,60)</f>
        <v>Caja - Mix - 01 Normal / 300 gramos</v>
      </c>
      <c r="B73" s="114">
        <f t="shared" si="3"/>
        <v>72</v>
      </c>
      <c r="C73" s="114" t="str">
        <f>CONCATENATE("'",MID(Precios!B73,1,60),"'")</f>
        <v>'Caja - Mix - 01 Normal / 300 gramos'</v>
      </c>
      <c r="D73" s="114" t="str">
        <f t="shared" si="2"/>
        <v>INSERT INTO PRODUCTOS (ID_PRODUCTO,NOMBRE) VALUES (72,'Caja - Mix - 01 Normal / 300 gramos');</v>
      </c>
    </row>
    <row r="74" spans="1:4">
      <c r="A74" t="str">
        <f>MID(Precios!B74,1,60)</f>
        <v>Caja - Mix - 02 Premium / 300 gramos</v>
      </c>
      <c r="B74" s="114">
        <f t="shared" si="3"/>
        <v>73</v>
      </c>
      <c r="C74" s="114" t="str">
        <f>CONCATENATE("'",MID(Precios!B74,1,60),"'")</f>
        <v>'Caja - Mix - 02 Premium / 300 gramos'</v>
      </c>
      <c r="D74" s="114" t="str">
        <f t="shared" si="2"/>
        <v>INSERT INTO PRODUCTOS (ID_PRODUCTO,NOMBRE) VALUES (73,'Caja - Mix - 02 Premium / 300 gramos');</v>
      </c>
    </row>
    <row r="75" spans="1:4">
      <c r="A75" t="str">
        <f>MID(Precios!B75,1,60)</f>
        <v>CAJA 10 Pack Servilleta / 300 unidades</v>
      </c>
      <c r="B75" s="114">
        <f t="shared" si="3"/>
        <v>74</v>
      </c>
      <c r="C75" s="114" t="str">
        <f>CONCATENATE("'",MID(Precios!B75,1,60),"'")</f>
        <v>'CAJA 10 Pack Servilleta / 300 unidades'</v>
      </c>
      <c r="D75" s="114" t="str">
        <f t="shared" si="2"/>
        <v>INSERT INTO PRODUCTOS (ID_PRODUCTO,NOMBRE) VALUES (74,'CAJA 10 Pack Servilleta / 300 unidades');</v>
      </c>
    </row>
    <row r="76" spans="1:4">
      <c r="A76" t="str">
        <f>MID(Precios!B76,1,60)</f>
        <v>Castañas Cajú / 1000 gramos</v>
      </c>
      <c r="B76" s="114">
        <f t="shared" si="3"/>
        <v>75</v>
      </c>
      <c r="C76" s="114" t="str">
        <f>CONCATENATE("'",MID(Precios!B76,1,60),"'")</f>
        <v>'Castañas Cajú / 1000 gramos'</v>
      </c>
      <c r="D76" s="114" t="str">
        <f t="shared" si="2"/>
        <v>INSERT INTO PRODUCTOS (ID_PRODUCTO,NOMBRE) VALUES (75,'Castañas Cajú / 1000 gramos');</v>
      </c>
    </row>
    <row r="77" spans="1:4">
      <c r="A77" t="str">
        <f>MID(Precios!B77,1,60)</f>
        <v>Castañas Cajú / 200 gramos</v>
      </c>
      <c r="B77" s="114">
        <f t="shared" si="3"/>
        <v>76</v>
      </c>
      <c r="C77" s="114" t="str">
        <f>CONCATENATE("'",MID(Precios!B77,1,60),"'")</f>
        <v>'Castañas Cajú / 200 gramos'</v>
      </c>
      <c r="D77" s="114" t="str">
        <f t="shared" si="2"/>
        <v>INSERT INTO PRODUCTOS (ID_PRODUCTO,NOMBRE) VALUES (76,'Castañas Cajú / 200 gramos');</v>
      </c>
    </row>
    <row r="78" spans="1:4">
      <c r="A78" t="str">
        <f>MID(Precios!B78,1,60)</f>
        <v>Castañas Cajú / 250 gramos</v>
      </c>
      <c r="B78" s="114">
        <f t="shared" si="3"/>
        <v>77</v>
      </c>
      <c r="C78" s="114" t="str">
        <f>CONCATENATE("'",MID(Precios!B78,1,60),"'")</f>
        <v>'Castañas Cajú / 250 gramos'</v>
      </c>
      <c r="D78" s="114" t="str">
        <f t="shared" si="2"/>
        <v>INSERT INTO PRODUCTOS (ID_PRODUCTO,NOMBRE) VALUES (77,'Castañas Cajú / 250 gramos');</v>
      </c>
    </row>
    <row r="79" spans="1:4">
      <c r="A79" t="str">
        <f>MID(Precios!B79,1,60)</f>
        <v>Castañas Cajú / 40 gramos</v>
      </c>
      <c r="B79" s="114">
        <f t="shared" si="3"/>
        <v>78</v>
      </c>
      <c r="C79" s="114" t="str">
        <f>CONCATENATE("'",MID(Precios!B79,1,60),"'")</f>
        <v>'Castañas Cajú / 40 gramos'</v>
      </c>
      <c r="D79" s="114" t="str">
        <f t="shared" si="2"/>
        <v>INSERT INTO PRODUCTOS (ID_PRODUCTO,NOMBRE) VALUES (78,'Castañas Cajú / 40 gramos');</v>
      </c>
    </row>
    <row r="80" spans="1:4">
      <c r="A80" t="str">
        <f>MID(Precios!B80,1,60)</f>
        <v>Castañas Cajú / 500 gramos</v>
      </c>
      <c r="B80" s="114">
        <f t="shared" si="3"/>
        <v>79</v>
      </c>
      <c r="C80" s="114" t="str">
        <f>CONCATENATE("'",MID(Precios!B80,1,60),"'")</f>
        <v>'Castañas Cajú / 500 gramos'</v>
      </c>
      <c r="D80" s="114" t="str">
        <f t="shared" si="2"/>
        <v>INSERT INTO PRODUCTOS (ID_PRODUCTO,NOMBRE) VALUES (79,'Castañas Cajú / 500 gramos');</v>
      </c>
    </row>
    <row r="81" spans="1:4">
      <c r="A81" t="str">
        <f>MID(Precios!B81,1,60)</f>
        <v>Cera Amarilla Brillina 340 cc</v>
      </c>
      <c r="B81" s="114">
        <f t="shared" si="3"/>
        <v>80</v>
      </c>
      <c r="C81" s="114" t="str">
        <f>CONCATENATE("'",MID(Precios!B81,1,60),"'")</f>
        <v>'Cera Amarilla Brillina 340 cc'</v>
      </c>
      <c r="D81" s="114" t="str">
        <f t="shared" si="2"/>
        <v>INSERT INTO PRODUCTOS (ID_PRODUCTO,NOMBRE) VALUES (80,'Cera Amarilla Brillina 340 cc');</v>
      </c>
    </row>
    <row r="82" spans="1:4">
      <c r="A82" t="str">
        <f>MID(Precios!B82,1,60)</f>
        <v>Cera con Tierra Color 340 cc</v>
      </c>
      <c r="B82" s="114">
        <f t="shared" si="3"/>
        <v>81</v>
      </c>
      <c r="C82" s="114" t="str">
        <f>CONCATENATE("'",MID(Precios!B82,1,60),"'")</f>
        <v>'Cera con Tierra Color 340 cc'</v>
      </c>
      <c r="D82" s="114" t="str">
        <f t="shared" si="2"/>
        <v>INSERT INTO PRODUCTOS (ID_PRODUCTO,NOMBRE) VALUES (81,'Cera con Tierra Color 340 cc');</v>
      </c>
    </row>
    <row r="83" spans="1:4">
      <c r="A83" t="str">
        <f>MID(Precios!B83,1,60)</f>
        <v>Cera Incolora Brillina 340 cc</v>
      </c>
      <c r="B83" s="114">
        <f t="shared" si="3"/>
        <v>82</v>
      </c>
      <c r="C83" s="114" t="str">
        <f>CONCATENATE("'",MID(Precios!B83,1,60),"'")</f>
        <v>'Cera Incolora Brillina 340 cc'</v>
      </c>
      <c r="D83" s="114" t="str">
        <f t="shared" si="2"/>
        <v>INSERT INTO PRODUCTOS (ID_PRODUCTO,NOMBRE) VALUES (82,'Cera Incolora Brillina 340 cc');</v>
      </c>
    </row>
    <row r="84" spans="1:4">
      <c r="A84" t="str">
        <f>MID(Precios!B84,1,60)</f>
        <v>Cera Roja Brillina 340 cc</v>
      </c>
      <c r="B84" s="114">
        <f t="shared" si="3"/>
        <v>83</v>
      </c>
      <c r="C84" s="114" t="str">
        <f>CONCATENATE("'",MID(Precios!B84,1,60),"'")</f>
        <v>'Cera Roja Brillina 340 cc'</v>
      </c>
      <c r="D84" s="114" t="str">
        <f t="shared" si="2"/>
        <v>INSERT INTO PRODUCTOS (ID_PRODUCTO,NOMBRE) VALUES (83,'Cera Roja Brillina 340 cc');</v>
      </c>
    </row>
    <row r="85" spans="1:4">
      <c r="A85" t="str">
        <f>MID(Precios!B85,1,60)</f>
        <v>Chocolates / 250 gramos / $1400</v>
      </c>
      <c r="B85" s="114">
        <f t="shared" si="3"/>
        <v>84</v>
      </c>
      <c r="C85" s="114" t="str">
        <f>CONCATENATE("'",MID(Precios!B85,1,60),"'")</f>
        <v>'Chocolates / 250 gramos / $1400'</v>
      </c>
      <c r="D85" s="114" t="str">
        <f t="shared" si="2"/>
        <v>INSERT INTO PRODUCTOS (ID_PRODUCTO,NOMBRE) VALUES (84,'Chocolates / 250 gramos / $1400');</v>
      </c>
    </row>
    <row r="86" spans="1:4">
      <c r="A86" t="str">
        <f>MID(Precios!B86,1,60)</f>
        <v>Chocolates / 45 gramos / $500</v>
      </c>
      <c r="B86" s="114">
        <f t="shared" si="3"/>
        <v>85</v>
      </c>
      <c r="C86" s="114" t="str">
        <f>CONCATENATE("'",MID(Precios!B86,1,60),"'")</f>
        <v>'Chocolates / 45 gramos / $500'</v>
      </c>
      <c r="D86" s="114" t="str">
        <f t="shared" si="2"/>
        <v>INSERT INTO PRODUCTOS (ID_PRODUCTO,NOMBRE) VALUES (85,'Chocolates / 45 gramos / $500');</v>
      </c>
    </row>
    <row r="87" spans="1:4">
      <c r="A87" t="str">
        <f>MID(Precios!B87,1,60)</f>
        <v>Cholitos / 178 gramos / $1000</v>
      </c>
      <c r="B87" s="114">
        <f t="shared" si="3"/>
        <v>86</v>
      </c>
      <c r="C87" s="114" t="str">
        <f>CONCATENATE("'",MID(Precios!B87,1,60),"'")</f>
        <v>'Cholitos / 178 gramos / $1000'</v>
      </c>
      <c r="D87" s="114" t="str">
        <f t="shared" si="2"/>
        <v>INSERT INTO PRODUCTOS (ID_PRODUCTO,NOMBRE) VALUES (86,'Cholitos / 178 gramos / $1000');</v>
      </c>
    </row>
    <row r="88" spans="1:4">
      <c r="A88" t="str">
        <f>MID(Precios!B88,1,60)</f>
        <v>Cholitos / 250 gramos / $1400</v>
      </c>
      <c r="B88" s="114">
        <f t="shared" si="3"/>
        <v>87</v>
      </c>
      <c r="C88" s="114" t="str">
        <f>CONCATENATE("'",MID(Precios!B88,1,60),"'")</f>
        <v>'Cholitos / 250 gramos / $1400'</v>
      </c>
      <c r="D88" s="114" t="str">
        <f t="shared" si="2"/>
        <v>INSERT INTO PRODUCTOS (ID_PRODUCTO,NOMBRE) VALUES (87,'Cholitos / 250 gramos / $1400');</v>
      </c>
    </row>
    <row r="89" spans="1:4">
      <c r="A89" t="str">
        <f>MID(Precios!B89,1,60)</f>
        <v>Cholitos / 45 gramos / $500</v>
      </c>
      <c r="B89" s="114">
        <f t="shared" si="3"/>
        <v>88</v>
      </c>
      <c r="C89" s="114" t="str">
        <f>CONCATENATE("'",MID(Precios!B89,1,60),"'")</f>
        <v>'Cholitos / 45 gramos / $500'</v>
      </c>
      <c r="D89" s="114" t="str">
        <f t="shared" si="2"/>
        <v>INSERT INTO PRODUCTOS (ID_PRODUCTO,NOMBRE) VALUES (88,'Cholitos / 45 gramos / $500');</v>
      </c>
    </row>
    <row r="90" spans="1:4">
      <c r="A90" t="str">
        <f>MID(Precios!B90,1,60)</f>
        <v>Cholitos / 500 gramos / $2800</v>
      </c>
      <c r="B90" s="114">
        <f t="shared" si="3"/>
        <v>89</v>
      </c>
      <c r="C90" s="114" t="str">
        <f>CONCATENATE("'",MID(Precios!B90,1,60),"'")</f>
        <v>'Cholitos / 500 gramos / $2800'</v>
      </c>
      <c r="D90" s="114" t="str">
        <f t="shared" si="2"/>
        <v>INSERT INTO PRODUCTOS (ID_PRODUCTO,NOMBRE) VALUES (89,'Cholitos / 500 gramos / $2800');</v>
      </c>
    </row>
    <row r="91" spans="1:4">
      <c r="A91" t="str">
        <f>MID(Precios!B91,1,60)</f>
        <v>Cholitos / 528 gramos / $2000</v>
      </c>
      <c r="B91" s="114">
        <f t="shared" si="3"/>
        <v>90</v>
      </c>
      <c r="C91" s="114" t="str">
        <f>CONCATENATE("'",MID(Precios!B91,1,60),"'")</f>
        <v>'Cholitos / 528 gramos / $2000'</v>
      </c>
      <c r="D91" s="114" t="str">
        <f t="shared" si="2"/>
        <v>INSERT INTO PRODUCTOS (ID_PRODUCTO,NOMBRE) VALUES (90,'Cholitos / 528 gramos / $2000');</v>
      </c>
    </row>
    <row r="92" spans="1:4">
      <c r="A92" t="str">
        <f>MID(Precios!B92,1,60)</f>
        <v>Chubis / 125 gramos / $1000</v>
      </c>
      <c r="B92" s="114">
        <f t="shared" si="3"/>
        <v>91</v>
      </c>
      <c r="C92" s="114" t="str">
        <f>CONCATENATE("'",MID(Precios!B92,1,60),"'")</f>
        <v>'Chubis / 125 gramos / $1000'</v>
      </c>
      <c r="D92" s="114" t="str">
        <f t="shared" si="2"/>
        <v>INSERT INTO PRODUCTOS (ID_PRODUCTO,NOMBRE) VALUES (91,'Chubis / 125 gramos / $1000');</v>
      </c>
    </row>
    <row r="93" spans="1:4">
      <c r="A93" t="str">
        <f>MID(Precios!B93,1,60)</f>
        <v>Chubis / 250 gramos / $2700</v>
      </c>
      <c r="B93" s="114">
        <f t="shared" si="3"/>
        <v>92</v>
      </c>
      <c r="C93" s="114" t="str">
        <f>CONCATENATE("'",MID(Precios!B93,1,60),"'")</f>
        <v>'Chubis / 250 gramos / $2700'</v>
      </c>
      <c r="D93" s="114" t="str">
        <f t="shared" si="2"/>
        <v>INSERT INTO PRODUCTOS (ID_PRODUCTO,NOMBRE) VALUES (92,'Chubis / 250 gramos / $2700');</v>
      </c>
    </row>
    <row r="94" spans="1:4">
      <c r="A94" t="str">
        <f>MID(Precios!B94,1,60)</f>
        <v>Chubis / 42 gramos / $500</v>
      </c>
      <c r="B94" s="114">
        <f t="shared" si="3"/>
        <v>93</v>
      </c>
      <c r="C94" s="114" t="str">
        <f>CONCATENATE("'",MID(Precios!B94,1,60),"'")</f>
        <v>'Chubis / 42 gramos / $500'</v>
      </c>
      <c r="D94" s="114" t="str">
        <f t="shared" si="2"/>
        <v>INSERT INTO PRODUCTOS (ID_PRODUCTO,NOMBRE) VALUES (93,'Chubis / 42 gramos / $500');</v>
      </c>
    </row>
    <row r="95" spans="1:4">
      <c r="A95" t="str">
        <f>MID(Precios!B95,1,60)</f>
        <v>Chubis / 500 gramos / $5300</v>
      </c>
      <c r="B95" s="114">
        <f t="shared" si="3"/>
        <v>94</v>
      </c>
      <c r="C95" s="114" t="str">
        <f>CONCATENATE("'",MID(Precios!B95,1,60),"'")</f>
        <v>'Chubis / 500 gramos / $5300'</v>
      </c>
      <c r="D95" s="114" t="str">
        <f t="shared" si="2"/>
        <v>INSERT INTO PRODUCTOS (ID_PRODUCTO,NOMBRE) VALUES (94,'Chubis / 500 gramos / $5300');</v>
      </c>
    </row>
    <row r="96" spans="1:4">
      <c r="A96" t="str">
        <f>MID(Precios!B96,1,60)</f>
        <v>Cif 750 cc</v>
      </c>
      <c r="B96" s="114">
        <f t="shared" si="3"/>
        <v>95</v>
      </c>
      <c r="C96" s="114" t="str">
        <f>CONCATENATE("'",MID(Precios!B96,1,60),"'")</f>
        <v>'Cif 750 cc'</v>
      </c>
      <c r="D96" s="114" t="str">
        <f t="shared" si="2"/>
        <v>INSERT INTO PRODUCTOS (ID_PRODUCTO,NOMBRE) VALUES (95,'Cif 750 cc');</v>
      </c>
    </row>
    <row r="97" spans="1:4">
      <c r="A97" t="str">
        <f>MID(Precios!B97,1,60)</f>
        <v>Ciruelas / 500 gramos</v>
      </c>
      <c r="B97" s="114">
        <f t="shared" si="3"/>
        <v>96</v>
      </c>
      <c r="C97" s="114" t="str">
        <f>CONCATENATE("'",MID(Precios!B97,1,60),"'")</f>
        <v>'Ciruelas / 500 gramos'</v>
      </c>
      <c r="D97" s="114" t="str">
        <f t="shared" si="2"/>
        <v>INSERT INTO PRODUCTOS (ID_PRODUCTO,NOMBRE) VALUES (96,'Ciruelas / 500 gramos');</v>
      </c>
    </row>
    <row r="98" spans="1:4">
      <c r="A98" t="str">
        <f>MID(Precios!B98,1,60)</f>
        <v>Cloro / 5 Litros</v>
      </c>
      <c r="B98" s="114">
        <f t="shared" si="3"/>
        <v>97</v>
      </c>
      <c r="C98" s="114" t="str">
        <f>CONCATENATE("'",MID(Precios!B98,1,60),"'")</f>
        <v>'Cloro / 5 Litros'</v>
      </c>
      <c r="D98" s="114" t="str">
        <f t="shared" si="2"/>
        <v>INSERT INTO PRODUCTOS (ID_PRODUCTO,NOMBRE) VALUES (97,'Cloro / 5 Litros');</v>
      </c>
    </row>
    <row r="99" spans="1:4">
      <c r="A99" t="str">
        <f>MID(Precios!B99,1,60)</f>
        <v>Cloro Gel / 5 Litros</v>
      </c>
      <c r="B99" s="114">
        <f t="shared" si="3"/>
        <v>98</v>
      </c>
      <c r="C99" s="114" t="str">
        <f>CONCATENATE("'",MID(Precios!B99,1,60),"'")</f>
        <v>'Cloro Gel / 5 Litros'</v>
      </c>
      <c r="D99" s="114" t="str">
        <f t="shared" si="2"/>
        <v>INSERT INTO PRODUCTOS (ID_PRODUCTO,NOMBRE) VALUES (98,'Cloro Gel / 5 Litros');</v>
      </c>
    </row>
    <row r="100" spans="1:4">
      <c r="A100" t="str">
        <f>MID(Precios!B100,1,60)</f>
        <v>Cloro Gel IGENIX 900 ml</v>
      </c>
      <c r="B100" s="114">
        <f t="shared" si="3"/>
        <v>99</v>
      </c>
      <c r="C100" s="114" t="str">
        <f>CONCATENATE("'",MID(Precios!B100,1,60),"'")</f>
        <v>'Cloro Gel IGENIX 900 ml'</v>
      </c>
      <c r="D100" s="114" t="str">
        <f t="shared" si="2"/>
        <v>INSERT INTO PRODUCTOS (ID_PRODUCTO,NOMBRE) VALUES (99,'Cloro Gel IGENIX 900 ml');</v>
      </c>
    </row>
    <row r="101" spans="1:4">
      <c r="A101" t="str">
        <f>MID(Precios!B101,1,60)</f>
        <v>Cloro Gel EXCELL 900 ml</v>
      </c>
      <c r="B101" s="114">
        <f t="shared" si="3"/>
        <v>100</v>
      </c>
      <c r="C101" s="114" t="str">
        <f>CONCATENATE("'",MID(Precios!B101,1,60),"'")</f>
        <v>'Cloro Gel EXCELL 900 ml'</v>
      </c>
      <c r="D101" s="114" t="str">
        <f t="shared" si="2"/>
        <v>INSERT INTO PRODUCTOS (ID_PRODUCTO,NOMBRE) VALUES (100,'Cloro Gel EXCELL 900 ml');</v>
      </c>
    </row>
    <row r="102" spans="1:4">
      <c r="A102" t="str">
        <f>MID(Precios!B102,1,60)</f>
        <v>Coco Chips / 200 gramos</v>
      </c>
      <c r="B102" s="114">
        <f t="shared" si="3"/>
        <v>101</v>
      </c>
      <c r="C102" s="114" t="str">
        <f>CONCATENATE("'",MID(Precios!B102,1,60),"'")</f>
        <v>'Coco Chips / 200 gramos'</v>
      </c>
      <c r="D102" s="114" t="str">
        <f t="shared" si="2"/>
        <v>INSERT INTO PRODUCTOS (ID_PRODUCTO,NOMBRE) VALUES (101,'Coco Chips / 200 gramos');</v>
      </c>
    </row>
    <row r="103" spans="1:4">
      <c r="A103" t="str">
        <f>MID(Precios!B103,1,60)</f>
        <v>Coco Chips / 250 gramos</v>
      </c>
      <c r="B103" s="114">
        <f t="shared" si="3"/>
        <v>102</v>
      </c>
      <c r="C103" s="114" t="str">
        <f>CONCATENATE("'",MID(Precios!B103,1,60),"'")</f>
        <v>'Coco Chips / 250 gramos'</v>
      </c>
      <c r="D103" s="114" t="str">
        <f t="shared" si="2"/>
        <v>INSERT INTO PRODUCTOS (ID_PRODUCTO,NOMBRE) VALUES (102,'Coco Chips / 250 gramos');</v>
      </c>
    </row>
    <row r="104" spans="1:4">
      <c r="A104" t="str">
        <f>MID(Precios!B104,1,60)</f>
        <v>Coco Chips / 500 gramos</v>
      </c>
      <c r="B104" s="114">
        <f t="shared" si="3"/>
        <v>103</v>
      </c>
      <c r="C104" s="114" t="str">
        <f>CONCATENATE("'",MID(Precios!B104,1,60),"'")</f>
        <v>'Coco Chips / 500 gramos'</v>
      </c>
      <c r="D104" s="114" t="str">
        <f t="shared" si="2"/>
        <v>INSERT INTO PRODUCTOS (ID_PRODUCTO,NOMBRE) VALUES (103,'Coco Chips / 500 gramos');</v>
      </c>
    </row>
    <row r="105" spans="1:4">
      <c r="A105" t="str">
        <f>MID(Precios!B105,1,60)</f>
        <v>CranBerry / 100 gramos</v>
      </c>
      <c r="B105" s="114">
        <f t="shared" si="3"/>
        <v>104</v>
      </c>
      <c r="C105" s="114" t="str">
        <f>CONCATENATE("'",MID(Precios!B105,1,60),"'")</f>
        <v>'CranBerry / 100 gramos'</v>
      </c>
      <c r="D105" s="114" t="str">
        <f t="shared" si="2"/>
        <v>INSERT INTO PRODUCTOS (ID_PRODUCTO,NOMBRE) VALUES (104,'CranBerry / 100 gramos');</v>
      </c>
    </row>
    <row r="106" spans="1:4">
      <c r="A106" t="str">
        <f>MID(Precios!B106,1,60)</f>
        <v>CranBerry / 1000 gramos</v>
      </c>
      <c r="B106" s="114">
        <f t="shared" si="3"/>
        <v>105</v>
      </c>
      <c r="C106" s="114" t="str">
        <f>CONCATENATE("'",MID(Precios!B106,1,60),"'")</f>
        <v>'CranBerry / 1000 gramos'</v>
      </c>
      <c r="D106" s="114" t="str">
        <f t="shared" si="2"/>
        <v>INSERT INTO PRODUCTOS (ID_PRODUCTO,NOMBRE) VALUES (105,'CranBerry / 1000 gramos');</v>
      </c>
    </row>
    <row r="107" spans="1:4">
      <c r="A107" t="str">
        <f>MID(Precios!B107,1,60)</f>
        <v>CranBerry / 200 gramos</v>
      </c>
      <c r="B107" s="114">
        <f t="shared" si="3"/>
        <v>106</v>
      </c>
      <c r="C107" s="114" t="str">
        <f>CONCATENATE("'",MID(Precios!B107,1,60),"'")</f>
        <v>'CranBerry / 200 gramos'</v>
      </c>
      <c r="D107" s="114" t="str">
        <f t="shared" si="2"/>
        <v>INSERT INTO PRODUCTOS (ID_PRODUCTO,NOMBRE) VALUES (106,'CranBerry / 200 gramos');</v>
      </c>
    </row>
    <row r="108" spans="1:4">
      <c r="A108" t="str">
        <f>MID(Precios!B108,1,60)</f>
        <v>CranBerry / 250 gramos</v>
      </c>
      <c r="B108" s="114">
        <f t="shared" si="3"/>
        <v>107</v>
      </c>
      <c r="C108" s="114" t="str">
        <f>CONCATENATE("'",MID(Precios!B108,1,60),"'")</f>
        <v>'CranBerry / 250 gramos'</v>
      </c>
      <c r="D108" s="114" t="str">
        <f t="shared" si="2"/>
        <v>INSERT INTO PRODUCTOS (ID_PRODUCTO,NOMBRE) VALUES (107,'CranBerry / 250 gramos');</v>
      </c>
    </row>
    <row r="109" spans="1:4">
      <c r="A109" t="str">
        <f>MID(Precios!B109,1,60)</f>
        <v>CranBerry / 400 gramos</v>
      </c>
      <c r="B109" s="114">
        <f t="shared" si="3"/>
        <v>108</v>
      </c>
      <c r="C109" s="114" t="str">
        <f>CONCATENATE("'",MID(Precios!B109,1,60),"'")</f>
        <v>'CranBerry / 400 gramos'</v>
      </c>
      <c r="D109" s="114" t="str">
        <f t="shared" si="2"/>
        <v>INSERT INTO PRODUCTOS (ID_PRODUCTO,NOMBRE) VALUES (108,'CranBerry / 400 gramos');</v>
      </c>
    </row>
    <row r="110" spans="1:4">
      <c r="A110" t="str">
        <f>MID(Precios!B110,1,60)</f>
        <v>CranBerry / 45 gramos</v>
      </c>
      <c r="B110" s="114">
        <f t="shared" si="3"/>
        <v>109</v>
      </c>
      <c r="C110" s="114" t="str">
        <f>CONCATENATE("'",MID(Precios!B110,1,60),"'")</f>
        <v>'CranBerry / 45 gramos'</v>
      </c>
      <c r="D110" s="114" t="str">
        <f t="shared" si="2"/>
        <v>INSERT INTO PRODUCTOS (ID_PRODUCTO,NOMBRE) VALUES (109,'CranBerry / 45 gramos');</v>
      </c>
    </row>
    <row r="111" spans="1:4">
      <c r="A111" t="str">
        <f>MID(Precios!B111,1,60)</f>
        <v>CranBerry / 500 gramos</v>
      </c>
      <c r="B111" s="114">
        <f t="shared" si="3"/>
        <v>110</v>
      </c>
      <c r="C111" s="114" t="str">
        <f>CONCATENATE("'",MID(Precios!B111,1,60),"'")</f>
        <v>'CranBerry / 500 gramos'</v>
      </c>
      <c r="D111" s="114" t="str">
        <f t="shared" si="2"/>
        <v>INSERT INTO PRODUCTOS (ID_PRODUCTO,NOMBRE) VALUES (110,'CranBerry / 500 gramos');</v>
      </c>
    </row>
    <row r="112" spans="1:4">
      <c r="A112" t="str">
        <f>MID(Precios!B112,1,60)</f>
        <v>Transporte</v>
      </c>
      <c r="B112" s="114">
        <f t="shared" si="3"/>
        <v>111</v>
      </c>
      <c r="C112" s="114" t="str">
        <f>CONCATENATE("'",MID(Precios!B112,1,60),"'")</f>
        <v>'Transporte'</v>
      </c>
      <c r="D112" s="114" t="str">
        <f t="shared" si="2"/>
        <v>INSERT INTO PRODUCTOS (ID_PRODUCTO,NOMBRE) VALUES (111,'Transporte');</v>
      </c>
    </row>
    <row r="113" spans="1:4">
      <c r="A113" t="str">
        <f>MID(Precios!B113,1,60)</f>
        <v>Descuentos</v>
      </c>
      <c r="B113" s="114">
        <f t="shared" si="3"/>
        <v>112</v>
      </c>
      <c r="C113" s="114" t="str">
        <f>CONCATENATE("'",MID(Precios!B113,1,60),"'")</f>
        <v>'Descuentos'</v>
      </c>
      <c r="D113" s="114" t="str">
        <f t="shared" si="2"/>
        <v>INSERT INTO PRODUCTOS (ID_PRODUCTO,NOMBRE) VALUES (112,'Descuentos');</v>
      </c>
    </row>
    <row r="114" spans="1:4">
      <c r="A114" t="str">
        <f>MID(Precios!B114,1,60)</f>
        <v>Detergente Azul / 5 Litros</v>
      </c>
      <c r="B114" s="114">
        <f t="shared" si="3"/>
        <v>113</v>
      </c>
      <c r="C114" s="114" t="str">
        <f>CONCATENATE("'",MID(Precios!B114,1,60),"'")</f>
        <v>'Detergente Azul / 5 Litros'</v>
      </c>
      <c r="D114" s="114" t="str">
        <f t="shared" si="2"/>
        <v>INSERT INTO PRODUCTOS (ID_PRODUCTO,NOMBRE) VALUES (113,'Detergente Azul / 5 Litros');</v>
      </c>
    </row>
    <row r="115" spans="1:4">
      <c r="A115" t="str">
        <f>MID(Precios!B115,1,60)</f>
        <v>Detergente Bio Frescura Bosque Nativo (Verde) / 800 gramos</v>
      </c>
      <c r="B115" s="114">
        <f t="shared" si="3"/>
        <v>114</v>
      </c>
      <c r="C115" s="114" t="str">
        <f>CONCATENATE("'",MID(Precios!B115,1,60),"'")</f>
        <v>'Detergente Bio Frescura Bosque Nativo (Verde) / 800 gramos'</v>
      </c>
      <c r="D115" s="114" t="str">
        <f t="shared" si="2"/>
        <v>INSERT INTO PRODUCTOS (ID_PRODUCTO,NOMBRE) VALUES (114,'Detergente Bio Frescura Bosque Nativo (Verde) / 800 gramos');</v>
      </c>
    </row>
    <row r="116" spans="1:4">
      <c r="A116" t="str">
        <f>MID(Precios!B116,1,60)</f>
        <v>Detergente Bio Frescura Campos de Hielo (Azul) / 800 gramos</v>
      </c>
      <c r="B116" s="114">
        <f t="shared" si="3"/>
        <v>115</v>
      </c>
      <c r="C116" s="114" t="str">
        <f>CONCATENATE("'",MID(Precios!B116,1,60),"'")</f>
        <v>'Detergente Bio Frescura Campos de Hielo (Azul) / 800 gramos'</v>
      </c>
      <c r="D116" s="114" t="str">
        <f t="shared" si="2"/>
        <v>INSERT INTO PRODUCTOS (ID_PRODUCTO,NOMBRE) VALUES (115,'Detergente Bio Frescura Campos de Hielo (Azul) / 800 gramos');</v>
      </c>
    </row>
    <row r="117" spans="1:4">
      <c r="A117" t="str">
        <f>MID(Precios!B117,1,60)</f>
        <v>Detergente Bio Frescura Desierto Florido (Naranjo) / 800 gra</v>
      </c>
      <c r="B117" s="114">
        <f t="shared" si="3"/>
        <v>116</v>
      </c>
      <c r="C117" s="114" t="str">
        <f>CONCATENATE("'",MID(Precios!B117,1,60),"'")</f>
        <v>'Detergente Bio Frescura Desierto Florido (Naranjo) / 800 gra'</v>
      </c>
      <c r="D117" s="114" t="str">
        <f t="shared" si="2"/>
        <v>INSERT INTO PRODUCTOS (ID_PRODUCTO,NOMBRE) VALUES (116,'Detergente Bio Frescura Desierto Florido (Naranjo) / 800 gra');</v>
      </c>
    </row>
    <row r="118" spans="1:4">
      <c r="A118" t="str">
        <f>MID(Precios!B118,1,60)</f>
        <v>Detergente Piel Sensible / 5 Litros</v>
      </c>
      <c r="B118" s="114">
        <f t="shared" si="3"/>
        <v>117</v>
      </c>
      <c r="C118" s="114" t="str">
        <f>CONCATENATE("'",MID(Precios!B118,1,60),"'")</f>
        <v>'Detergente Piel Sensible / 5 Litros'</v>
      </c>
      <c r="D118" s="114" t="str">
        <f t="shared" si="2"/>
        <v>INSERT INTO PRODUCTOS (ID_PRODUCTO,NOMBRE) VALUES (117,'Detergente Piel Sensible / 5 Litros');</v>
      </c>
    </row>
    <row r="119" spans="1:4">
      <c r="A119" t="str">
        <f>MID(Precios!B119,1,60)</f>
        <v>Detergente Premium / 5 Litros</v>
      </c>
      <c r="B119" s="114">
        <f t="shared" si="3"/>
        <v>118</v>
      </c>
      <c r="C119" s="114" t="str">
        <f>CONCATENATE("'",MID(Precios!B119,1,60),"'")</f>
        <v>'Detergente Premium / 5 Litros'</v>
      </c>
      <c r="D119" s="114" t="str">
        <f t="shared" si="2"/>
        <v>INSERT INTO PRODUCTOS (ID_PRODUCTO,NOMBRE) VALUES (118,'Detergente Premium / 5 Litros');</v>
      </c>
    </row>
    <row r="120" spans="1:4">
      <c r="A120" t="str">
        <f>MID(Precios!B120,1,60)</f>
        <v>Dulces varios / 50 gramos / $500</v>
      </c>
      <c r="B120" s="114">
        <f t="shared" si="3"/>
        <v>119</v>
      </c>
      <c r="C120" s="114" t="str">
        <f>CONCATENATE("'",MID(Precios!B120,1,60),"'")</f>
        <v>'Dulces varios / 50 gramos / $500'</v>
      </c>
      <c r="D120" s="114" t="str">
        <f t="shared" si="2"/>
        <v>INSERT INTO PRODUCTOS (ID_PRODUCTO,NOMBRE) VALUES (119,'Dulces varios / 50 gramos / $500');</v>
      </c>
    </row>
    <row r="121" spans="1:4">
      <c r="A121" t="str">
        <f>MID(Precios!B121,1,60)</f>
        <v>Escobillon</v>
      </c>
      <c r="B121" s="114">
        <f t="shared" si="3"/>
        <v>120</v>
      </c>
      <c r="C121" s="114" t="str">
        <f>CONCATENATE("'",MID(Precios!B121,1,60),"'")</f>
        <v>'Escobillon'</v>
      </c>
      <c r="D121" s="114" t="str">
        <f t="shared" si="2"/>
        <v>INSERT INTO PRODUCTOS (ID_PRODUCTO,NOMBRE) VALUES (120,'Escobillon');</v>
      </c>
    </row>
    <row r="122" spans="1:4">
      <c r="A122" t="str">
        <f>MID(Precios!B122,1,60)</f>
        <v>Esponja Escalonada</v>
      </c>
      <c r="B122" s="114">
        <f t="shared" si="3"/>
        <v>121</v>
      </c>
      <c r="C122" s="114" t="str">
        <f>CONCATENATE("'",MID(Precios!B122,1,60),"'")</f>
        <v>'Esponja Escalonada'</v>
      </c>
      <c r="D122" s="114" t="str">
        <f t="shared" si="2"/>
        <v>INSERT INTO PRODUCTOS (ID_PRODUCTO,NOMBRE) VALUES (121,'Esponja Escalonada');</v>
      </c>
    </row>
    <row r="123" spans="1:4">
      <c r="A123" t="str">
        <f>MID(Precios!B123,1,60)</f>
        <v>Film Embalaje 1,7kg (1,4kg Neto/350 Metros aprox.)</v>
      </c>
      <c r="B123" s="114">
        <f t="shared" si="3"/>
        <v>122</v>
      </c>
      <c r="C123" s="114" t="str">
        <f>CONCATENATE("'",MID(Precios!B123,1,60),"'")</f>
        <v>'Film Embalaje 1,7kg (1,4kg Neto/350 Metros aprox.)'</v>
      </c>
      <c r="D123" s="114" t="str">
        <f t="shared" si="2"/>
        <v>INSERT INTO PRODUCTOS (ID_PRODUCTO,NOMBRE) VALUES (122,'Film Embalaje 1,7kg (1,4kg Neto/350 Metros aprox.)');</v>
      </c>
    </row>
    <row r="124" spans="1:4">
      <c r="A124" t="str">
        <f>MID(Precios!B124,1,60)</f>
        <v>Film Plástico 1.400 Metros</v>
      </c>
      <c r="B124" s="114">
        <f t="shared" si="3"/>
        <v>123</v>
      </c>
      <c r="C124" s="114" t="str">
        <f>CONCATENATE("'",MID(Precios!B124,1,60),"'")</f>
        <v>'Film Plástico 1.400 Metros'</v>
      </c>
      <c r="D124" s="114" t="str">
        <f t="shared" si="2"/>
        <v>INSERT INTO PRODUCTOS (ID_PRODUCTO,NOMBRE) VALUES (123,'Film Plástico 1.400 Metros');</v>
      </c>
    </row>
    <row r="125" spans="1:4">
      <c r="A125" t="str">
        <f>MID(Precios!B125,1,60)</f>
        <v>Film Plástico 100 Metros</v>
      </c>
      <c r="B125" s="114">
        <f t="shared" si="3"/>
        <v>124</v>
      </c>
      <c r="C125" s="114" t="str">
        <f>CONCATENATE("'",MID(Precios!B125,1,60),"'")</f>
        <v>'Film Plástico 100 Metros'</v>
      </c>
      <c r="D125" s="114" t="str">
        <f t="shared" si="2"/>
        <v>INSERT INTO PRODUCTOS (ID_PRODUCTO,NOMBRE) VALUES (124,'Film Plástico 100 Metros');</v>
      </c>
    </row>
    <row r="126" spans="1:4">
      <c r="A126" t="str">
        <f>MID(Precios!B126,1,60)</f>
        <v>Film Plástico 30 Metros</v>
      </c>
      <c r="B126" s="114">
        <f t="shared" si="3"/>
        <v>125</v>
      </c>
      <c r="C126" s="114" t="str">
        <f>CONCATENATE("'",MID(Precios!B126,1,60),"'")</f>
        <v>'Film Plástico 30 Metros'</v>
      </c>
      <c r="D126" s="114" t="str">
        <f t="shared" si="2"/>
        <v>INSERT INTO PRODUCTOS (ID_PRODUCTO,NOMBRE) VALUES (125,'Film Plástico 30 Metros');</v>
      </c>
    </row>
    <row r="127" spans="1:4">
      <c r="A127" t="str">
        <f>MID(Precios!B127,1,60)</f>
        <v>Film Plástico 300 Metros</v>
      </c>
      <c r="B127" s="114">
        <f t="shared" si="3"/>
        <v>126</v>
      </c>
      <c r="C127" s="114" t="str">
        <f>CONCATENATE("'",MID(Precios!B127,1,60),"'")</f>
        <v>'Film Plástico 300 Metros'</v>
      </c>
      <c r="D127" s="114" t="str">
        <f t="shared" si="2"/>
        <v>INSERT INTO PRODUCTOS (ID_PRODUCTO,NOMBRE) VALUES (126,'Film Plástico 300 Metros');</v>
      </c>
    </row>
    <row r="128" spans="1:4">
      <c r="A128" t="str">
        <f>MID(Precios!B128,1,60)</f>
        <v>Garbanzos / 1000 gramos</v>
      </c>
      <c r="B128" s="114">
        <f t="shared" si="3"/>
        <v>127</v>
      </c>
      <c r="C128" s="114" t="str">
        <f>CONCATENATE("'",MID(Precios!B128,1,60),"'")</f>
        <v>'Garbanzos / 1000 gramos'</v>
      </c>
      <c r="D128" s="114" t="str">
        <f t="shared" si="2"/>
        <v>INSERT INTO PRODUCTOS (ID_PRODUCTO,NOMBRE) VALUES (127,'Garbanzos / 1000 gramos');</v>
      </c>
    </row>
    <row r="129" spans="1:4">
      <c r="A129" t="str">
        <f>MID(Precios!B129,1,60)</f>
        <v>Gomas - trufas / 250 gramos / $1400</v>
      </c>
      <c r="B129" s="114">
        <f t="shared" si="3"/>
        <v>128</v>
      </c>
      <c r="C129" s="114" t="str">
        <f>CONCATENATE("'",MID(Precios!B129,1,60),"'")</f>
        <v>'Gomas - trufas / 250 gramos / $1400'</v>
      </c>
      <c r="D129" s="114" t="str">
        <f t="shared" si="2"/>
        <v>INSERT INTO PRODUCTOS (ID_PRODUCTO,NOMBRE) VALUES (128,'Gomas - trufas / 250 gramos / $1400');</v>
      </c>
    </row>
    <row r="130" spans="1:4">
      <c r="A130" t="str">
        <f>MID(Precios!B130,1,60)</f>
        <v>Gomas - trufas / 50 gramos / $500</v>
      </c>
      <c r="B130" s="114">
        <f t="shared" si="3"/>
        <v>129</v>
      </c>
      <c r="C130" s="114" t="str">
        <f>CONCATENATE("'",MID(Precios!B130,1,60),"'")</f>
        <v>'Gomas - trufas / 50 gramos / $500'</v>
      </c>
      <c r="D130" s="114" t="str">
        <f t="shared" si="2"/>
        <v>INSERT INTO PRODUCTOS (ID_PRODUCTO,NOMBRE) VALUES (129,'Gomas - trufas / 50 gramos / $500');</v>
      </c>
    </row>
    <row r="131" spans="1:4">
      <c r="A131" t="str">
        <f>MID(Precios!B131,1,60)</f>
        <v>Gomitas azucaradas / 250 gramos / $1400</v>
      </c>
      <c r="B131" s="114">
        <f t="shared" si="3"/>
        <v>130</v>
      </c>
      <c r="C131" s="114" t="str">
        <f>CONCATENATE("'",MID(Precios!B131,1,60),"'")</f>
        <v>'Gomitas azucaradas / 250 gramos / $1400'</v>
      </c>
      <c r="D131" s="114" t="str">
        <f t="shared" ref="D131:D194" si="4">CONCATENATE("INSERT INTO PRODUCTOS (ID_PRODUCTO,NOMBRE) VALUES (",B131,",",C131,");")</f>
        <v>INSERT INTO PRODUCTOS (ID_PRODUCTO,NOMBRE) VALUES (130,'Gomitas azucaradas / 250 gramos / $1400');</v>
      </c>
    </row>
    <row r="132" spans="1:4">
      <c r="A132" t="str">
        <f>MID(Precios!B132,1,60)</f>
        <v>Gomitas azucaradas / 70 gramos / $500</v>
      </c>
      <c r="B132" s="114">
        <f t="shared" ref="B132:B195" si="5">B131+1</f>
        <v>131</v>
      </c>
      <c r="C132" s="114" t="str">
        <f>CONCATENATE("'",MID(Precios!B132,1,60),"'")</f>
        <v>'Gomitas azucaradas / 70 gramos / $500'</v>
      </c>
      <c r="D132" s="114" t="str">
        <f t="shared" si="4"/>
        <v>INSERT INTO PRODUCTOS (ID_PRODUCTO,NOMBRE) VALUES (131,'Gomitas azucaradas / 70 gramos / $500');</v>
      </c>
    </row>
    <row r="133" spans="1:4">
      <c r="A133" t="str">
        <f>MID(Precios!B133,1,60)</f>
        <v>Guaguitas / 250 gramos / $1400</v>
      </c>
      <c r="B133" s="114">
        <f t="shared" si="5"/>
        <v>132</v>
      </c>
      <c r="C133" s="114" t="str">
        <f>CONCATENATE("'",MID(Precios!B133,1,60),"'")</f>
        <v>'Guaguitas / 250 gramos / $1400'</v>
      </c>
      <c r="D133" s="114" t="str">
        <f t="shared" si="4"/>
        <v>INSERT INTO PRODUCTOS (ID_PRODUCTO,NOMBRE) VALUES (132,'Guaguitas / 250 gramos / $1400');</v>
      </c>
    </row>
    <row r="134" spans="1:4">
      <c r="A134" t="str">
        <f>MID(Precios!B134,1,60)</f>
        <v>Guaguitas / 50 gramos / $500</v>
      </c>
      <c r="B134" s="114">
        <f t="shared" si="5"/>
        <v>133</v>
      </c>
      <c r="C134" s="114" t="str">
        <f>CONCATENATE("'",MID(Precios!B134,1,60),"'")</f>
        <v>'Guaguitas / 50 gramos / $500'</v>
      </c>
      <c r="D134" s="114" t="str">
        <f t="shared" si="4"/>
        <v>INSERT INTO PRODUCTOS (ID_PRODUCTO,NOMBRE) VALUES (133,'Guaguitas / 50 gramos / $500');</v>
      </c>
    </row>
    <row r="135" spans="1:4">
      <c r="A135" t="str">
        <f>MID(Precios!B135,1,60)</f>
        <v>Guaguitas / 500 gramos / $2500</v>
      </c>
      <c r="B135" s="114">
        <f t="shared" si="5"/>
        <v>134</v>
      </c>
      <c r="C135" s="114" t="str">
        <f>CONCATENATE("'",MID(Precios!B135,1,60),"'")</f>
        <v>'Guaguitas / 500 gramos / $2500'</v>
      </c>
      <c r="D135" s="114" t="str">
        <f t="shared" si="4"/>
        <v>INSERT INTO PRODUCTOS (ID_PRODUCTO,NOMBRE) VALUES (134,'Guaguitas / 500 gramos / $2500');</v>
      </c>
    </row>
    <row r="136" spans="1:4">
      <c r="A136" t="str">
        <f>MID(Precios!B136,1,60)</f>
        <v>Hielo 1 Kilo</v>
      </c>
      <c r="B136" s="114">
        <f t="shared" si="5"/>
        <v>135</v>
      </c>
      <c r="C136" s="114" t="str">
        <f>CONCATENATE("'",MID(Precios!B136,1,60),"'")</f>
        <v>'Hielo 1 Kilo'</v>
      </c>
      <c r="D136" s="114" t="str">
        <f t="shared" si="4"/>
        <v>INSERT INTO PRODUCTOS (ID_PRODUCTO,NOMBRE) VALUES (135,'Hielo 1 Kilo');</v>
      </c>
    </row>
    <row r="137" spans="1:4">
      <c r="A137" t="str">
        <f>MID(Precios!B137,1,60)</f>
        <v>Pack 5 Bolsas Hielo 1 Kilo</v>
      </c>
      <c r="B137" s="114">
        <f t="shared" si="5"/>
        <v>136</v>
      </c>
      <c r="C137" s="114" t="str">
        <f>CONCATENATE("'",MID(Precios!B137,1,60),"'")</f>
        <v>'Pack 5 Bolsas Hielo 1 Kilo'</v>
      </c>
      <c r="D137" s="114" t="str">
        <f t="shared" si="4"/>
        <v>INSERT INTO PRODUCTOS (ID_PRODUCTO,NOMBRE) VALUES (136,'Pack 5 Bolsas Hielo 1 Kilo');</v>
      </c>
    </row>
    <row r="138" spans="1:4">
      <c r="A138" t="str">
        <f>MID(Precios!B138,1,60)</f>
        <v>Huesillos / 1000 gramos</v>
      </c>
      <c r="B138" s="114">
        <f t="shared" si="5"/>
        <v>137</v>
      </c>
      <c r="C138" s="114" t="str">
        <f>CONCATENATE("'",MID(Precios!B138,1,60),"'")</f>
        <v>'Huesillos / 1000 gramos'</v>
      </c>
      <c r="D138" s="114" t="str">
        <f t="shared" si="4"/>
        <v>INSERT INTO PRODUCTOS (ID_PRODUCTO,NOMBRE) VALUES (137,'Huesillos / 1000 gramos');</v>
      </c>
    </row>
    <row r="139" spans="1:4">
      <c r="A139" t="str">
        <f>MID(Precios!B139,1,60)</f>
        <v>Huesillos / 400 gramos</v>
      </c>
      <c r="B139" s="114">
        <f t="shared" si="5"/>
        <v>138</v>
      </c>
      <c r="C139" s="114" t="str">
        <f>CONCATENATE("'",MID(Precios!B139,1,60),"'")</f>
        <v>'Huesillos / 400 gramos'</v>
      </c>
      <c r="D139" s="114" t="str">
        <f t="shared" si="4"/>
        <v>INSERT INTO PRODUCTOS (ID_PRODUCTO,NOMBRE) VALUES (138,'Huesillos / 400 gramos');</v>
      </c>
    </row>
    <row r="140" spans="1:4">
      <c r="A140" t="str">
        <f>MID(Precios!B140,1,60)</f>
        <v>Huesillos / 500 gramos</v>
      </c>
      <c r="B140" s="114">
        <f t="shared" si="5"/>
        <v>139</v>
      </c>
      <c r="C140" s="114" t="str">
        <f>CONCATENATE("'",MID(Precios!B140,1,60),"'")</f>
        <v>'Huesillos / 500 gramos'</v>
      </c>
      <c r="D140" s="114" t="str">
        <f t="shared" si="4"/>
        <v>INSERT INTO PRODUCTOS (ID_PRODUCTO,NOMBRE) VALUES (139,'Huesillos / 500 gramos');</v>
      </c>
    </row>
    <row r="141" spans="1:4">
      <c r="A141" t="str">
        <f>MID(Precios!B141,1,60)</f>
        <v>HUEVOS EXTRA 12 Huevos</v>
      </c>
      <c r="B141" s="114">
        <f t="shared" si="5"/>
        <v>140</v>
      </c>
      <c r="C141" s="114" t="str">
        <f>CONCATENATE("'",MID(Precios!B141,1,60),"'")</f>
        <v>'HUEVOS EXTRA 12 Huevos'</v>
      </c>
      <c r="D141" s="114" t="str">
        <f t="shared" si="4"/>
        <v>INSERT INTO PRODUCTOS (ID_PRODUCTO,NOMBRE) VALUES (140,'HUEVOS EXTRA 12 Huevos');</v>
      </c>
    </row>
    <row r="142" spans="1:4">
      <c r="A142" t="str">
        <f>MID(Precios!B142,1,60)</f>
        <v>HUEVOS EXTRA 15 Huevos</v>
      </c>
      <c r="B142" s="114">
        <f t="shared" si="5"/>
        <v>141</v>
      </c>
      <c r="C142" s="114" t="str">
        <f>CONCATENATE("'",MID(Precios!B142,1,60),"'")</f>
        <v>'HUEVOS EXTRA 15 Huevos'</v>
      </c>
      <c r="D142" s="114" t="str">
        <f t="shared" si="4"/>
        <v>INSERT INTO PRODUCTOS (ID_PRODUCTO,NOMBRE) VALUES (141,'HUEVOS EXTRA 15 Huevos');</v>
      </c>
    </row>
    <row r="143" spans="1:4">
      <c r="A143" t="str">
        <f>MID(Precios!B143,1,60)</f>
        <v>HUEVOS EXTRA 20 Huevos</v>
      </c>
      <c r="B143" s="114">
        <f t="shared" si="5"/>
        <v>142</v>
      </c>
      <c r="C143" s="114" t="str">
        <f>CONCATENATE("'",MID(Precios!B143,1,60),"'")</f>
        <v>'HUEVOS EXTRA 20 Huevos'</v>
      </c>
      <c r="D143" s="114" t="str">
        <f t="shared" si="4"/>
        <v>INSERT INTO PRODUCTOS (ID_PRODUCTO,NOMBRE) VALUES (142,'HUEVOS EXTRA 20 Huevos');</v>
      </c>
    </row>
    <row r="144" spans="1:4">
      <c r="A144" t="str">
        <f>MID(Precios!B144,1,60)</f>
        <v>HUEVOS EXTRA 30 Huevos</v>
      </c>
      <c r="B144" s="114">
        <f t="shared" si="5"/>
        <v>143</v>
      </c>
      <c r="C144" s="114" t="str">
        <f>CONCATENATE("'",MID(Precios!B144,1,60),"'")</f>
        <v>'HUEVOS EXTRA 30 Huevos'</v>
      </c>
      <c r="D144" s="114" t="str">
        <f t="shared" si="4"/>
        <v>INSERT INTO PRODUCTOS (ID_PRODUCTO,NOMBRE) VALUES (143,'HUEVOS EXTRA 30 Huevos');</v>
      </c>
    </row>
    <row r="145" spans="1:4">
      <c r="A145" t="str">
        <f>MID(Precios!B145,1,60)</f>
        <v>HUEVOS JUMBO 20 Huevos</v>
      </c>
      <c r="B145" s="114">
        <f t="shared" si="5"/>
        <v>144</v>
      </c>
      <c r="C145" s="114" t="str">
        <f>CONCATENATE("'",MID(Precios!B145,1,60),"'")</f>
        <v>'HUEVOS JUMBO 20 Huevos'</v>
      </c>
      <c r="D145" s="114" t="str">
        <f t="shared" si="4"/>
        <v>INSERT INTO PRODUCTOS (ID_PRODUCTO,NOMBRE) VALUES (144,'HUEVOS JUMBO 20 Huevos');</v>
      </c>
    </row>
    <row r="146" spans="1:4">
      <c r="A146" t="str">
        <f>MID(Precios!B146,1,60)</f>
        <v>HUEVOS JUMBO 30 Huevos</v>
      </c>
      <c r="B146" s="114">
        <f t="shared" si="5"/>
        <v>145</v>
      </c>
      <c r="C146" s="114" t="str">
        <f>CONCATENATE("'",MID(Precios!B146,1,60),"'")</f>
        <v>'HUEVOS JUMBO 30 Huevos'</v>
      </c>
      <c r="D146" s="114" t="str">
        <f t="shared" si="4"/>
        <v>INSERT INTO PRODUCTOS (ID_PRODUCTO,NOMBRE) VALUES (145,'HUEVOS JUMBO 30 Huevos');</v>
      </c>
    </row>
    <row r="147" spans="1:4">
      <c r="A147" t="str">
        <f>MID(Precios!B147,1,60)</f>
        <v>HUEVOS PRIMERA 12 Huevos</v>
      </c>
      <c r="B147" s="114">
        <f t="shared" si="5"/>
        <v>146</v>
      </c>
      <c r="C147" s="114" t="str">
        <f>CONCATENATE("'",MID(Precios!B147,1,60),"'")</f>
        <v>'HUEVOS PRIMERA 12 Huevos'</v>
      </c>
      <c r="D147" s="114" t="str">
        <f t="shared" si="4"/>
        <v>INSERT INTO PRODUCTOS (ID_PRODUCTO,NOMBRE) VALUES (146,'HUEVOS PRIMERA 12 Huevos');</v>
      </c>
    </row>
    <row r="148" spans="1:4">
      <c r="A148" t="str">
        <f>MID(Precios!B148,1,60)</f>
        <v>HUEVOS PRIMERA 15 Huevos</v>
      </c>
      <c r="B148" s="114">
        <f t="shared" si="5"/>
        <v>147</v>
      </c>
      <c r="C148" s="114" t="str">
        <f>CONCATENATE("'",MID(Precios!B148,1,60),"'")</f>
        <v>'HUEVOS PRIMERA 15 Huevos'</v>
      </c>
      <c r="D148" s="114" t="str">
        <f t="shared" si="4"/>
        <v>INSERT INTO PRODUCTOS (ID_PRODUCTO,NOMBRE) VALUES (147,'HUEVOS PRIMERA 15 Huevos');</v>
      </c>
    </row>
    <row r="149" spans="1:4">
      <c r="A149" t="str">
        <f>MID(Precios!B149,1,60)</f>
        <v>HUEVOS PRIMERA 20 Huevos</v>
      </c>
      <c r="B149" s="114">
        <f t="shared" si="5"/>
        <v>148</v>
      </c>
      <c r="C149" s="114" t="str">
        <f>CONCATENATE("'",MID(Precios!B149,1,60),"'")</f>
        <v>'HUEVOS PRIMERA 20 Huevos'</v>
      </c>
      <c r="D149" s="114" t="str">
        <f t="shared" si="4"/>
        <v>INSERT INTO PRODUCTOS (ID_PRODUCTO,NOMBRE) VALUES (148,'HUEVOS PRIMERA 20 Huevos');</v>
      </c>
    </row>
    <row r="150" spans="1:4">
      <c r="A150" t="str">
        <f>MID(Precios!B150,1,60)</f>
        <v>HUEVOS PRIMERA 30 Huevos</v>
      </c>
      <c r="B150" s="114">
        <f t="shared" si="5"/>
        <v>149</v>
      </c>
      <c r="C150" s="114" t="str">
        <f>CONCATENATE("'",MID(Precios!B150,1,60),"'")</f>
        <v>'HUEVOS PRIMERA 30 Huevos'</v>
      </c>
      <c r="D150" s="114" t="str">
        <f t="shared" si="4"/>
        <v>INSERT INTO PRODUCTOS (ID_PRODUCTO,NOMBRE) VALUES (149,'HUEVOS PRIMERA 30 Huevos');</v>
      </c>
    </row>
    <row r="151" spans="1:4">
      <c r="A151" t="str">
        <f>MID(Precios!B151,1,60)</f>
        <v>Insecticida RAID 360 cc Casa Jardin (Naranjo)</v>
      </c>
      <c r="B151" s="114">
        <f t="shared" si="5"/>
        <v>150</v>
      </c>
      <c r="C151" s="114" t="str">
        <f>CONCATENATE("'",MID(Precios!B151,1,60),"'")</f>
        <v>'Insecticida RAID 360 cc Casa Jardin (Naranjo)'</v>
      </c>
      <c r="D151" s="114" t="str">
        <f t="shared" si="4"/>
        <v>INSERT INTO PRODUCTOS (ID_PRODUCTO,NOMBRE) VALUES (150,'Insecticida RAID 360 cc Casa Jardin (Naranjo)');</v>
      </c>
    </row>
    <row r="152" spans="1:4">
      <c r="A152" t="str">
        <f>MID(Precios!B152,1,60)</f>
        <v>Insecticida RAID 360 cc Mata en 10 seg (Azul)</v>
      </c>
      <c r="B152" s="114">
        <f t="shared" si="5"/>
        <v>151</v>
      </c>
      <c r="C152" s="114" t="str">
        <f>CONCATENATE("'",MID(Precios!B152,1,60),"'")</f>
        <v>'Insecticida RAID 360 cc Mata en 10 seg (Azul)'</v>
      </c>
      <c r="D152" s="114" t="str">
        <f t="shared" si="4"/>
        <v>INSERT INTO PRODUCTOS (ID_PRODUCTO,NOMBRE) VALUES (151,'Insecticida RAID 360 cc Mata en 10 seg (Azul)');</v>
      </c>
    </row>
    <row r="153" spans="1:4">
      <c r="A153" t="str">
        <f>MID(Precios!B153,1,60)</f>
        <v>Insecticida RAID 360 cc Todo Insecto (Morado)</v>
      </c>
      <c r="B153" s="114">
        <f t="shared" si="5"/>
        <v>152</v>
      </c>
      <c r="C153" s="114" t="str">
        <f>CONCATENATE("'",MID(Precios!B153,1,60),"'")</f>
        <v>'Insecticida RAID 360 cc Todo Insecto (Morado)'</v>
      </c>
      <c r="D153" s="114" t="str">
        <f t="shared" si="4"/>
        <v>INSERT INTO PRODUCTOS (ID_PRODUCTO,NOMBRE) VALUES (152,'Insecticida RAID 360 cc Todo Insecto (Morado)');</v>
      </c>
    </row>
    <row r="154" spans="1:4">
      <c r="A154" t="str">
        <f>MID(Precios!B154,1,60)</f>
        <v>Jabon  Popeye- 170 g</v>
      </c>
      <c r="B154" s="114">
        <f t="shared" si="5"/>
        <v>153</v>
      </c>
      <c r="C154" s="114" t="str">
        <f>CONCATENATE("'",MID(Precios!B154,1,60),"'")</f>
        <v>'Jabon  Popeye- 170 g'</v>
      </c>
      <c r="D154" s="114" t="str">
        <f t="shared" si="4"/>
        <v>INSERT INTO PRODUCTOS (ID_PRODUCTO,NOMBRE) VALUES (153,'Jabon  Popeye- 170 g');</v>
      </c>
    </row>
    <row r="155" spans="1:4">
      <c r="A155" t="str">
        <f>MID(Precios!B155,1,60)</f>
        <v>Pack 3 Jabon  Popeye- 170 g</v>
      </c>
      <c r="B155" s="114">
        <f t="shared" si="5"/>
        <v>154</v>
      </c>
      <c r="C155" s="114" t="str">
        <f>CONCATENATE("'",MID(Precios!B155,1,60),"'")</f>
        <v>'Pack 3 Jabon  Popeye- 170 g'</v>
      </c>
      <c r="D155" s="114" t="str">
        <f t="shared" si="4"/>
        <v>INSERT INTO PRODUCTOS (ID_PRODUCTO,NOMBRE) VALUES (154,'Pack 3 Jabon  Popeye- 170 g');</v>
      </c>
    </row>
    <row r="156" spans="1:4">
      <c r="A156" t="str">
        <f>MID(Precios!B156,1,60)</f>
        <v>Jabon  Ballerina - 750 ml</v>
      </c>
      <c r="B156" s="114">
        <f t="shared" si="5"/>
        <v>155</v>
      </c>
      <c r="C156" s="114" t="str">
        <f>CONCATENATE("'",MID(Precios!B156,1,60),"'")</f>
        <v>'Jabon  Ballerina - 750 ml'</v>
      </c>
      <c r="D156" s="114" t="str">
        <f t="shared" si="4"/>
        <v>INSERT INTO PRODUCTOS (ID_PRODUCTO,NOMBRE) VALUES (155,'Jabon  Ballerina - 750 ml');</v>
      </c>
    </row>
    <row r="157" spans="1:4">
      <c r="A157" t="str">
        <f>MID(Precios!B157,1,60)</f>
        <v>Jabon  Teddy - 750 ml</v>
      </c>
      <c r="B157" s="114">
        <f t="shared" si="5"/>
        <v>156</v>
      </c>
      <c r="C157" s="114" t="str">
        <f>CONCATENATE("'",MID(Precios!B157,1,60),"'")</f>
        <v>'Jabon  Teddy - 750 ml'</v>
      </c>
      <c r="D157" s="114" t="str">
        <f t="shared" si="4"/>
        <v>INSERT INTO PRODUCTOS (ID_PRODUCTO,NOMBRE) VALUES (156,'Jabon  Teddy - 750 ml');</v>
      </c>
    </row>
    <row r="158" spans="1:4">
      <c r="A158" t="str">
        <f>MID(Precios!B158,1,60)</f>
        <v>Lavaloza / 5 Litros</v>
      </c>
      <c r="B158" s="114">
        <f t="shared" si="5"/>
        <v>157</v>
      </c>
      <c r="C158" s="114" t="str">
        <f>CONCATENATE("'",MID(Precios!B158,1,60),"'")</f>
        <v>'Lavaloza / 5 Litros'</v>
      </c>
      <c r="D158" s="114" t="str">
        <f t="shared" si="4"/>
        <v>INSERT INTO PRODUCTOS (ID_PRODUCTO,NOMBRE) VALUES (157,'Lavaloza / 5 Litros');</v>
      </c>
    </row>
    <row r="159" spans="1:4">
      <c r="A159" t="str">
        <f>MID(Precios!B159,1,60)</f>
        <v>Licores Pack 1: Alto del Carmen+ Coca Zero + Hielo</v>
      </c>
      <c r="B159" s="114">
        <f t="shared" si="5"/>
        <v>158</v>
      </c>
      <c r="C159" s="114" t="str">
        <f>CONCATENATE("'",MID(Precios!B159,1,60),"'")</f>
        <v>'Licores Pack 1: Alto del Carmen+ Coca Zero + Hielo'</v>
      </c>
      <c r="D159" s="114" t="str">
        <f t="shared" si="4"/>
        <v>INSERT INTO PRODUCTOS (ID_PRODUCTO,NOMBRE) VALUES (158,'Licores Pack 1: Alto del Carmen+ Coca Zero + Hielo');</v>
      </c>
    </row>
    <row r="160" spans="1:4">
      <c r="A160" t="str">
        <f>MID(Precios!B160,1,60)</f>
        <v>Licores Pack 2: Mistral + Coca Zero + Hielo</v>
      </c>
      <c r="B160" s="114">
        <f t="shared" si="5"/>
        <v>159</v>
      </c>
      <c r="C160" s="114" t="str">
        <f>CONCATENATE("'",MID(Precios!B160,1,60),"'")</f>
        <v>'Licores Pack 2: Mistral + Coca Zero + Hielo'</v>
      </c>
      <c r="D160" s="114" t="str">
        <f t="shared" si="4"/>
        <v>INSERT INTO PRODUCTOS (ID_PRODUCTO,NOMBRE) VALUES (159,'Licores Pack 2: Mistral + Coca Zero + Hielo');</v>
      </c>
    </row>
    <row r="161" spans="1:4">
      <c r="A161" t="str">
        <f>MID(Precios!B161,1,60)</f>
        <v>Licores Pack 3: Alto del Camen + Mistral + 2 Coca Zero + Hie</v>
      </c>
      <c r="B161" s="114">
        <f t="shared" si="5"/>
        <v>160</v>
      </c>
      <c r="C161" s="114" t="str">
        <f>CONCATENATE("'",MID(Precios!B161,1,60),"'")</f>
        <v>'Licores Pack 3: Alto del Camen + Mistral + 2 Coca Zero + Hie'</v>
      </c>
      <c r="D161" s="114" t="str">
        <f t="shared" si="4"/>
        <v>INSERT INTO PRODUCTOS (ID_PRODUCTO,NOMBRE) VALUES (160,'Licores Pack 3: Alto del Camen + Mistral + 2 Coca Zero + Hie');</v>
      </c>
    </row>
    <row r="162" spans="1:4">
      <c r="A162" t="str">
        <f>MID(Precios!B162,1,60)</f>
        <v>Licores Pack 4: 6 cervezas</v>
      </c>
      <c r="B162" s="114">
        <f t="shared" si="5"/>
        <v>161</v>
      </c>
      <c r="C162" s="114" t="str">
        <f>CONCATENATE("'",MID(Precios!B162,1,60),"'")</f>
        <v>'Licores Pack 4: 6 cervezas'</v>
      </c>
      <c r="D162" s="114" t="str">
        <f t="shared" si="4"/>
        <v>INSERT INTO PRODUCTOS (ID_PRODUCTO,NOMBRE) VALUES (161,'Licores Pack 4: 6 cervezas');</v>
      </c>
    </row>
    <row r="163" spans="1:4">
      <c r="A163" t="str">
        <f>MID(Precios!B163,1,60)</f>
        <v>Limpia Inodoro 500 ml</v>
      </c>
      <c r="B163" s="114">
        <f t="shared" si="5"/>
        <v>162</v>
      </c>
      <c r="C163" s="114" t="str">
        <f>CONCATENATE("'",MID(Precios!B163,1,60),"'")</f>
        <v>'Limpia Inodoro 500 ml'</v>
      </c>
      <c r="D163" s="114" t="str">
        <f t="shared" si="4"/>
        <v>INSERT INTO PRODUCTOS (ID_PRODUCTO,NOMBRE) VALUES (162,'Limpia Inodoro 500 ml');</v>
      </c>
    </row>
    <row r="164" spans="1:4">
      <c r="A164" t="str">
        <f>MID(Precios!B164,1,60)</f>
        <v>LImpia Vidrio / 500 ml</v>
      </c>
      <c r="B164" s="114">
        <f t="shared" si="5"/>
        <v>163</v>
      </c>
      <c r="C164" s="114" t="str">
        <f>CONCATENATE("'",MID(Precios!B164,1,60),"'")</f>
        <v>'LImpia Vidrio / 500 ml'</v>
      </c>
      <c r="D164" s="114" t="str">
        <f t="shared" si="4"/>
        <v>INSERT INTO PRODUCTOS (ID_PRODUCTO,NOMBRE) VALUES (163,'LImpia Vidrio / 500 ml');</v>
      </c>
    </row>
    <row r="165" spans="1:4">
      <c r="A165" t="str">
        <f>MID(Precios!B165,1,60)</f>
        <v>LImpia Vidrio / 5 Litros</v>
      </c>
      <c r="B165" s="114">
        <f t="shared" si="5"/>
        <v>164</v>
      </c>
      <c r="C165" s="114" t="str">
        <f>CONCATENATE("'",MID(Precios!B165,1,60),"'")</f>
        <v>'LImpia Vidrio / 5 Litros'</v>
      </c>
      <c r="D165" s="114" t="str">
        <f t="shared" si="4"/>
        <v>INSERT INTO PRODUCTOS (ID_PRODUCTO,NOMBRE) VALUES (164,'LImpia Vidrio / 5 Litros');</v>
      </c>
    </row>
    <row r="166" spans="1:4">
      <c r="A166" t="str">
        <f>MID(Precios!B166,1,60)</f>
        <v>Limpiapiso / 5 Litros</v>
      </c>
      <c r="B166" s="114">
        <f t="shared" si="5"/>
        <v>165</v>
      </c>
      <c r="C166" s="114" t="str">
        <f>CONCATENATE("'",MID(Precios!B166,1,60),"'")</f>
        <v>'Limpiapiso / 5 Litros'</v>
      </c>
      <c r="D166" s="114" t="str">
        <f t="shared" si="4"/>
        <v>INSERT INTO PRODUCTOS (ID_PRODUCTO,NOMBRE) VALUES (165,'Limpiapiso / 5 Litros');</v>
      </c>
    </row>
    <row r="167" spans="1:4">
      <c r="A167" t="str">
        <f>MID(Precios!B167,1,60)</f>
        <v>Limpiapiso POETT 900ml</v>
      </c>
      <c r="B167" s="114">
        <f t="shared" si="5"/>
        <v>166</v>
      </c>
      <c r="C167" s="114" t="str">
        <f>CONCATENATE("'",MID(Precios!B167,1,60),"'")</f>
        <v>'Limpiapiso POETT 900ml'</v>
      </c>
      <c r="D167" s="114" t="str">
        <f t="shared" si="4"/>
        <v>INSERT INTO PRODUCTOS (ID_PRODUCTO,NOMBRE) VALUES (166,'Limpiapiso POETT 900ml');</v>
      </c>
    </row>
    <row r="168" spans="1:4">
      <c r="A168" t="str">
        <f>MID(Precios!B168,1,60)</f>
        <v>Longanizas VILLABLANCA / 1 Kilo</v>
      </c>
      <c r="B168" s="114">
        <f t="shared" si="5"/>
        <v>167</v>
      </c>
      <c r="C168" s="114" t="str">
        <f>CONCATENATE("'",MID(Precios!B168,1,60),"'")</f>
        <v>'Longanizas VILLABLANCA / 1 Kilo'</v>
      </c>
      <c r="D168" s="114" t="str">
        <f t="shared" si="4"/>
        <v>INSERT INTO PRODUCTOS (ID_PRODUCTO,NOMBRE) VALUES (167,'Longanizas VILLABLANCA / 1 Kilo');</v>
      </c>
    </row>
    <row r="169" spans="1:4">
      <c r="A169" t="str">
        <f>MID(Precios!B169,1,60)</f>
        <v>Lustra Mueble 240 ml</v>
      </c>
      <c r="B169" s="114">
        <f t="shared" si="5"/>
        <v>168</v>
      </c>
      <c r="C169" s="114" t="str">
        <f>CONCATENATE("'",MID(Precios!B169,1,60),"'")</f>
        <v>'Lustra Mueble 240 ml'</v>
      </c>
      <c r="D169" s="114" t="str">
        <f t="shared" si="4"/>
        <v>INSERT INTO PRODUCTOS (ID_PRODUCTO,NOMBRE) VALUES (168,'Lustra Mueble 240 ml');</v>
      </c>
    </row>
    <row r="170" spans="1:4">
      <c r="A170" t="str">
        <f>MID(Precios!B170,1,60)</f>
        <v>Desinfectante IGENIX 360 ml</v>
      </c>
      <c r="B170" s="114">
        <f t="shared" si="5"/>
        <v>169</v>
      </c>
      <c r="C170" s="114" t="str">
        <f>CONCATENATE("'",MID(Precios!B170,1,60),"'")</f>
        <v>'Desinfectante IGENIX 360 ml'</v>
      </c>
      <c r="D170" s="114" t="str">
        <f t="shared" si="4"/>
        <v>INSERT INTO PRODUCTOS (ID_PRODUCTO,NOMBRE) VALUES (169,'Desinfectante IGENIX 360 ml');</v>
      </c>
    </row>
    <row r="171" spans="1:4">
      <c r="A171" t="str">
        <f>MID(Precios!B171,1,60)</f>
        <v>LYSOFORM 420 ML</v>
      </c>
      <c r="B171" s="114">
        <f t="shared" si="5"/>
        <v>170</v>
      </c>
      <c r="C171" s="114" t="str">
        <f>CONCATENATE("'",MID(Precios!B171,1,60),"'")</f>
        <v>'LYSOFORM 420 ML'</v>
      </c>
      <c r="D171" s="114" t="str">
        <f t="shared" si="4"/>
        <v>INSERT INTO PRODUCTOS (ID_PRODUCTO,NOMBRE) VALUES (170,'LYSOFORM 420 ML');</v>
      </c>
    </row>
    <row r="172" spans="1:4">
      <c r="A172" t="str">
        <f>MID(Precios!B172,1,60)</f>
        <v>Magistral 500 cc</v>
      </c>
      <c r="B172" s="114">
        <f t="shared" si="5"/>
        <v>171</v>
      </c>
      <c r="C172" s="114" t="str">
        <f>CONCATENATE("'",MID(Precios!B172,1,60),"'")</f>
        <v>'Magistral 500 cc'</v>
      </c>
      <c r="D172" s="114" t="str">
        <f t="shared" si="4"/>
        <v>INSERT INTO PRODUCTOS (ID_PRODUCTO,NOMBRE) VALUES (171,'Magistral 500 cc');</v>
      </c>
    </row>
    <row r="173" spans="1:4">
      <c r="A173" t="str">
        <f>MID(Precios!B173,1,60)</f>
        <v>Maiz Curagua (Pop Corn) / 1000 gramos</v>
      </c>
      <c r="B173" s="114">
        <f t="shared" si="5"/>
        <v>172</v>
      </c>
      <c r="C173" s="114" t="str">
        <f>CONCATENATE("'",MID(Precios!B173,1,60),"'")</f>
        <v>'Maiz Curagua (Pop Corn) / 1000 gramos'</v>
      </c>
      <c r="D173" s="114" t="str">
        <f t="shared" si="4"/>
        <v>INSERT INTO PRODUCTOS (ID_PRODUCTO,NOMBRE) VALUES (172,'Maiz Curagua (Pop Corn) / 1000 gramos');</v>
      </c>
    </row>
    <row r="174" spans="1:4">
      <c r="A174" t="str">
        <f>MID(Precios!B174,1,60)</f>
        <v>Maiz Curagua (Pop Corn) / 1000 gramos</v>
      </c>
      <c r="B174" s="114">
        <f t="shared" si="5"/>
        <v>173</v>
      </c>
      <c r="C174" s="114" t="str">
        <f>CONCATENATE("'",MID(Precios!B174,1,60),"'")</f>
        <v>'Maiz Curagua (Pop Corn) / 1000 gramos'</v>
      </c>
      <c r="D174" s="114" t="str">
        <f t="shared" si="4"/>
        <v>INSERT INTO PRODUCTOS (ID_PRODUCTO,NOMBRE) VALUES (173,'Maiz Curagua (Pop Corn) / 1000 gramos');</v>
      </c>
    </row>
    <row r="175" spans="1:4">
      <c r="A175" t="str">
        <f>MID(Precios!B175,1,60)</f>
        <v>Maiz Curagua (Pop Corn) / 250 gramos</v>
      </c>
      <c r="B175" s="114">
        <f t="shared" si="5"/>
        <v>174</v>
      </c>
      <c r="C175" s="114" t="str">
        <f>CONCATENATE("'",MID(Precios!B175,1,60),"'")</f>
        <v>'Maiz Curagua (Pop Corn) / 250 gramos'</v>
      </c>
      <c r="D175" s="114" t="str">
        <f t="shared" si="4"/>
        <v>INSERT INTO PRODUCTOS (ID_PRODUCTO,NOMBRE) VALUES (174,'Maiz Curagua (Pop Corn) / 250 gramos');</v>
      </c>
    </row>
    <row r="176" spans="1:4">
      <c r="A176" t="str">
        <f>MID(Precios!B176,1,60)</f>
        <v>Maiz Curagua (Pop Corn) / 500 gramos</v>
      </c>
      <c r="B176" s="114">
        <f t="shared" si="5"/>
        <v>175</v>
      </c>
      <c r="C176" s="114" t="str">
        <f>CONCATENATE("'",MID(Precios!B176,1,60),"'")</f>
        <v>'Maiz Curagua (Pop Corn) / 500 gramos'</v>
      </c>
      <c r="D176" s="114" t="str">
        <f t="shared" si="4"/>
        <v>INSERT INTO PRODUCTOS (ID_PRODUCTO,NOMBRE) VALUES (175,'Maiz Curagua (Pop Corn) / 500 gramos');</v>
      </c>
    </row>
    <row r="177" spans="1:4">
      <c r="A177" t="str">
        <f>MID(Precios!B177,1,60)</f>
        <v>Mani / 250 gramos</v>
      </c>
      <c r="B177" s="114">
        <f t="shared" si="5"/>
        <v>176</v>
      </c>
      <c r="C177" s="114" t="str">
        <f>CONCATENATE("'",MID(Precios!B177,1,60),"'")</f>
        <v>'Mani / 250 gramos'</v>
      </c>
      <c r="D177" s="114" t="str">
        <f t="shared" si="4"/>
        <v>INSERT INTO PRODUCTOS (ID_PRODUCTO,NOMBRE) VALUES (176,'Mani / 250 gramos');</v>
      </c>
    </row>
    <row r="178" spans="1:4">
      <c r="A178" t="str">
        <f>MID(Precios!B178,1,60)</f>
        <v>Mani / 50 gramos</v>
      </c>
      <c r="B178" s="114">
        <f t="shared" si="5"/>
        <v>177</v>
      </c>
      <c r="C178" s="114" t="str">
        <f>CONCATENATE("'",MID(Precios!B178,1,60),"'")</f>
        <v>'Mani / 50 gramos'</v>
      </c>
      <c r="D178" s="114" t="str">
        <f t="shared" si="4"/>
        <v>INSERT INTO PRODUCTOS (ID_PRODUCTO,NOMBRE) VALUES (177,'Mani / 50 gramos');</v>
      </c>
    </row>
    <row r="179" spans="1:4">
      <c r="A179" t="str">
        <f>MID(Precios!B179,1,60)</f>
        <v>Mani / 500 gramos</v>
      </c>
      <c r="B179" s="114">
        <f t="shared" si="5"/>
        <v>178</v>
      </c>
      <c r="C179" s="114" t="str">
        <f>CONCATENATE("'",MID(Precios!B179,1,60),"'")</f>
        <v>'Mani / 500 gramos'</v>
      </c>
      <c r="D179" s="114" t="str">
        <f t="shared" si="4"/>
        <v>INSERT INTO PRODUCTOS (ID_PRODUCTO,NOMBRE) VALUES (178,'Mani / 500 gramos');</v>
      </c>
    </row>
    <row r="180" spans="1:4">
      <c r="A180" t="str">
        <f>MID(Precios!B180,1,60)</f>
        <v>Mani - New / 100 gramos</v>
      </c>
      <c r="B180" s="114">
        <f t="shared" si="5"/>
        <v>179</v>
      </c>
      <c r="C180" s="114" t="str">
        <f>CONCATENATE("'",MID(Precios!B180,1,60),"'")</f>
        <v>'Mani - New / 100 gramos'</v>
      </c>
      <c r="D180" s="114" t="str">
        <f t="shared" si="4"/>
        <v>INSERT INTO PRODUCTOS (ID_PRODUCTO,NOMBRE) VALUES (179,'Mani - New / 100 gramos');</v>
      </c>
    </row>
    <row r="181" spans="1:4">
      <c r="A181" t="str">
        <f>MID(Precios!B181,1,60)</f>
        <v>Mani - New / 1000 gramos</v>
      </c>
      <c r="B181" s="114">
        <f t="shared" si="5"/>
        <v>180</v>
      </c>
      <c r="C181" s="114" t="str">
        <f>CONCATENATE("'",MID(Precios!B181,1,60),"'")</f>
        <v>'Mani - New / 1000 gramos'</v>
      </c>
      <c r="D181" s="114" t="str">
        <f t="shared" si="4"/>
        <v>INSERT INTO PRODUCTOS (ID_PRODUCTO,NOMBRE) VALUES (180,'Mani - New / 1000 gramos');</v>
      </c>
    </row>
    <row r="182" spans="1:4">
      <c r="A182" t="str">
        <f>MID(Precios!B182,1,60)</f>
        <v>Mani - New / 250 gramos</v>
      </c>
      <c r="B182" s="114">
        <f t="shared" si="5"/>
        <v>181</v>
      </c>
      <c r="C182" s="114" t="str">
        <f>CONCATENATE("'",MID(Precios!B182,1,60),"'")</f>
        <v>'Mani - New / 250 gramos'</v>
      </c>
      <c r="D182" s="114" t="str">
        <f t="shared" si="4"/>
        <v>INSERT INTO PRODUCTOS (ID_PRODUCTO,NOMBRE) VALUES (181,'Mani - New / 250 gramos');</v>
      </c>
    </row>
    <row r="183" spans="1:4">
      <c r="A183" t="str">
        <f>MID(Precios!B183,1,60)</f>
        <v>Mani - New / 500 gramos</v>
      </c>
      <c r="B183" s="114">
        <f t="shared" si="5"/>
        <v>182</v>
      </c>
      <c r="C183" s="114" t="str">
        <f>CONCATENATE("'",MID(Precios!B183,1,60),"'")</f>
        <v>'Mani - New / 500 gramos'</v>
      </c>
      <c r="D183" s="114" t="str">
        <f t="shared" si="4"/>
        <v>INSERT INTO PRODUCTOS (ID_PRODUCTO,NOMBRE) VALUES (182,'Mani - New / 500 gramos');</v>
      </c>
    </row>
    <row r="184" spans="1:4">
      <c r="A184" t="str">
        <f>MID(Precios!B184,1,60)</f>
        <v>Mani confitado / 200 gramos / $1120</v>
      </c>
      <c r="B184" s="114">
        <f t="shared" si="5"/>
        <v>183</v>
      </c>
      <c r="C184" s="114" t="str">
        <f>CONCATENATE("'",MID(Precios!B184,1,60),"'")</f>
        <v>'Mani confitado / 200 gramos / $1120'</v>
      </c>
      <c r="D184" s="114" t="str">
        <f t="shared" si="4"/>
        <v>INSERT INTO PRODUCTOS (ID_PRODUCTO,NOMBRE) VALUES (183,'Mani confitado / 200 gramos / $1120');</v>
      </c>
    </row>
    <row r="185" spans="1:4">
      <c r="A185" t="str">
        <f>MID(Precios!B185,1,60)</f>
        <v>Mani confitado / 250 gramos / $1400</v>
      </c>
      <c r="B185" s="114">
        <f t="shared" si="5"/>
        <v>184</v>
      </c>
      <c r="C185" s="114" t="str">
        <f>CONCATENATE("'",MID(Precios!B185,1,60),"'")</f>
        <v>'Mani confitado / 250 gramos / $1400'</v>
      </c>
      <c r="D185" s="114" t="str">
        <f t="shared" si="4"/>
        <v>INSERT INTO PRODUCTOS (ID_PRODUCTO,NOMBRE) VALUES (184,'Mani confitado / 250 gramos / $1400');</v>
      </c>
    </row>
    <row r="186" spans="1:4">
      <c r="A186" t="str">
        <f>MID(Precios!B186,1,60)</f>
        <v>Mani confitado / 50 gramos / $500</v>
      </c>
      <c r="B186" s="114">
        <f t="shared" si="5"/>
        <v>185</v>
      </c>
      <c r="C186" s="114" t="str">
        <f>CONCATENATE("'",MID(Precios!B186,1,60),"'")</f>
        <v>'Mani confitado / 50 gramos / $500'</v>
      </c>
      <c r="D186" s="114" t="str">
        <f t="shared" si="4"/>
        <v>INSERT INTO PRODUCTOS (ID_PRODUCTO,NOMBRE) VALUES (185,'Mani confitado / 50 gramos / $500');</v>
      </c>
    </row>
    <row r="187" spans="1:4">
      <c r="A187" t="str">
        <f>MID(Precios!B187,1,60)</f>
        <v>Mani Japones / 200 gramos</v>
      </c>
      <c r="B187" s="114">
        <f t="shared" si="5"/>
        <v>186</v>
      </c>
      <c r="C187" s="114" t="str">
        <f>CONCATENATE("'",MID(Precios!B187,1,60),"'")</f>
        <v>'Mani Japones / 200 gramos'</v>
      </c>
      <c r="D187" s="114" t="str">
        <f t="shared" si="4"/>
        <v>INSERT INTO PRODUCTOS (ID_PRODUCTO,NOMBRE) VALUES (186,'Mani Japones / 200 gramos');</v>
      </c>
    </row>
    <row r="188" spans="1:4">
      <c r="A188" t="str">
        <f>MID(Precios!B188,1,60)</f>
        <v>Mani Japones / 250 gramos</v>
      </c>
      <c r="B188" s="114">
        <f t="shared" si="5"/>
        <v>187</v>
      </c>
      <c r="C188" s="114" t="str">
        <f>CONCATENATE("'",MID(Precios!B188,1,60),"'")</f>
        <v>'Mani Japones / 250 gramos'</v>
      </c>
      <c r="D188" s="114" t="str">
        <f t="shared" si="4"/>
        <v>INSERT INTO PRODUCTOS (ID_PRODUCTO,NOMBRE) VALUES (187,'Mani Japones / 250 gramos');</v>
      </c>
    </row>
    <row r="189" spans="1:4">
      <c r="A189" t="str">
        <f>MID(Precios!B189,1,60)</f>
        <v>Mani Japones / 45 gramos</v>
      </c>
      <c r="B189" s="114">
        <f t="shared" si="5"/>
        <v>188</v>
      </c>
      <c r="C189" s="114" t="str">
        <f>CONCATENATE("'",MID(Precios!B189,1,60),"'")</f>
        <v>'Mani Japones / 45 gramos'</v>
      </c>
      <c r="D189" s="114" t="str">
        <f t="shared" si="4"/>
        <v>INSERT INTO PRODUCTOS (ID_PRODUCTO,NOMBRE) VALUES (188,'Mani Japones / 45 gramos');</v>
      </c>
    </row>
    <row r="190" spans="1:4">
      <c r="A190" t="str">
        <f>MID(Precios!B190,1,60)</f>
        <v>Mani Japones / 500 gramos</v>
      </c>
      <c r="B190" s="114">
        <f t="shared" si="5"/>
        <v>189</v>
      </c>
      <c r="C190" s="114" t="str">
        <f>CONCATENATE("'",MID(Precios!B190,1,60),"'")</f>
        <v>'Mani Japones / 500 gramos'</v>
      </c>
      <c r="D190" s="114" t="str">
        <f t="shared" si="4"/>
        <v>INSERT INTO PRODUCTOS (ID_PRODUCTO,NOMBRE) VALUES (189,'Mani Japones / 500 gramos');</v>
      </c>
    </row>
    <row r="191" spans="1:4">
      <c r="A191" t="str">
        <f>MID(Precios!B191,1,60)</f>
        <v>Mantequilla COLUN / 250 gramos)</v>
      </c>
      <c r="B191" s="114">
        <f t="shared" si="5"/>
        <v>190</v>
      </c>
      <c r="C191" s="114" t="str">
        <f>CONCATENATE("'",MID(Precios!B191,1,60),"'")</f>
        <v>'Mantequilla COLUN / 250 gramos)'</v>
      </c>
      <c r="D191" s="114" t="str">
        <f t="shared" si="4"/>
        <v>INSERT INTO PRODUCTOS (ID_PRODUCTO,NOMBRE) VALUES (190,'Mantequilla COLUN / 250 gramos)');</v>
      </c>
    </row>
    <row r="192" spans="1:4">
      <c r="A192" t="str">
        <f>MID(Precios!B192,1,60)</f>
        <v>Mantequilla RUMAY / 200 gramos)</v>
      </c>
      <c r="B192" s="114">
        <f t="shared" si="5"/>
        <v>191</v>
      </c>
      <c r="C192" s="114" t="str">
        <f>CONCATENATE("'",MID(Precios!B192,1,60),"'")</f>
        <v>'Mantequilla RUMAY / 200 gramos)'</v>
      </c>
      <c r="D192" s="114" t="str">
        <f t="shared" si="4"/>
        <v>INSERT INTO PRODUCTOS (ID_PRODUCTO,NOMBRE) VALUES (191,'Mantequilla RUMAY / 200 gramos)');</v>
      </c>
    </row>
    <row r="193" spans="1:4">
      <c r="A193" t="str">
        <f>MID(Precios!B193,1,60)</f>
        <v>Mix / 250 gramos</v>
      </c>
      <c r="B193" s="114">
        <f t="shared" si="5"/>
        <v>192</v>
      </c>
      <c r="C193" s="114" t="str">
        <f>CONCATENATE("'",MID(Precios!B193,1,60),"'")</f>
        <v>'Mix / 250 gramos'</v>
      </c>
      <c r="D193" s="114" t="str">
        <f t="shared" si="4"/>
        <v>INSERT INTO PRODUCTOS (ID_PRODUCTO,NOMBRE) VALUES (192,'Mix / 250 gramos');</v>
      </c>
    </row>
    <row r="194" spans="1:4">
      <c r="A194" t="str">
        <f>MID(Precios!B194,1,60)</f>
        <v>Mix / 50 gramos</v>
      </c>
      <c r="B194" s="114">
        <f t="shared" si="5"/>
        <v>193</v>
      </c>
      <c r="C194" s="114" t="str">
        <f>CONCATENATE("'",MID(Precios!B194,1,60),"'")</f>
        <v>'Mix / 50 gramos'</v>
      </c>
      <c r="D194" s="114" t="str">
        <f t="shared" si="4"/>
        <v>INSERT INTO PRODUCTOS (ID_PRODUCTO,NOMBRE) VALUES (193,'Mix / 50 gramos');</v>
      </c>
    </row>
    <row r="195" spans="1:4">
      <c r="A195" t="str">
        <f>MID(Precios!B195,1,60)</f>
        <v>Mix (Almendra-varios) / 250 gramos</v>
      </c>
      <c r="B195" s="114">
        <f t="shared" si="5"/>
        <v>194</v>
      </c>
      <c r="C195" s="114" t="str">
        <f>CONCATENATE("'",MID(Precios!B195,1,60),"'")</f>
        <v>'Mix (Almendra-varios) / 250 gramos'</v>
      </c>
      <c r="D195" s="114" t="str">
        <f t="shared" ref="D195:D258" si="6">CONCATENATE("INSERT INTO PRODUCTOS (ID_PRODUCTO,NOMBRE) VALUES (",B195,",",C195,");")</f>
        <v>INSERT INTO PRODUCTOS (ID_PRODUCTO,NOMBRE) VALUES (194,'Mix (Almendra-varios) / 250 gramos');</v>
      </c>
    </row>
    <row r="196" spans="1:4">
      <c r="A196" t="str">
        <f>MID(Precios!B196,1,60)</f>
        <v>Mix (Almendra-varios) / 250 gramos</v>
      </c>
      <c r="B196" s="114">
        <f t="shared" ref="B196:B259" si="7">B195+1</f>
        <v>195</v>
      </c>
      <c r="C196" s="114" t="str">
        <f>CONCATENATE("'",MID(Precios!B196,1,60),"'")</f>
        <v>'Mix (Almendra-varios) / 250 gramos'</v>
      </c>
      <c r="D196" s="114" t="str">
        <f t="shared" si="6"/>
        <v>INSERT INTO PRODUCTOS (ID_PRODUCTO,NOMBRE) VALUES (195,'Mix (Almendra-varios) / 250 gramos');</v>
      </c>
    </row>
    <row r="197" spans="1:4">
      <c r="A197" t="str">
        <f>MID(Precios!B197,1,60)</f>
        <v>Mix (Pistachos-Pasas-Cran-Zapallo-Mani) / 500 gramos</v>
      </c>
      <c r="B197" s="114">
        <f t="shared" si="7"/>
        <v>196</v>
      </c>
      <c r="C197" s="114" t="str">
        <f>CONCATENATE("'",MID(Precios!B197,1,60),"'")</f>
        <v>'Mix (Pistachos-Pasas-Cran-Zapallo-Mani) / 500 gramos'</v>
      </c>
      <c r="D197" s="114" t="str">
        <f t="shared" si="6"/>
        <v>INSERT INTO PRODUCTOS (ID_PRODUCTO,NOMBRE) VALUES (196,'Mix (Pistachos-Pasas-Cran-Zapallo-Mani) / 500 gramos');</v>
      </c>
    </row>
    <row r="198" spans="1:4">
      <c r="A198" t="str">
        <f>MID(Precios!B198,1,60)</f>
        <v>Mix Dulces / 250 gramos / $1400</v>
      </c>
      <c r="B198" s="114">
        <f t="shared" si="7"/>
        <v>197</v>
      </c>
      <c r="C198" s="114" t="str">
        <f>CONCATENATE("'",MID(Precios!B198,1,60),"'")</f>
        <v>'Mix Dulces / 250 gramos / $1400'</v>
      </c>
      <c r="D198" s="114" t="str">
        <f t="shared" si="6"/>
        <v>INSERT INTO PRODUCTOS (ID_PRODUCTO,NOMBRE) VALUES (197,'Mix Dulces / 250 gramos / $1400');</v>
      </c>
    </row>
    <row r="199" spans="1:4">
      <c r="A199" t="str">
        <f>MID(Precios!B199,1,60)</f>
        <v>Mix Dulces / 357 gramos / $2000</v>
      </c>
      <c r="B199" s="114">
        <f t="shared" si="7"/>
        <v>198</v>
      </c>
      <c r="C199" s="114" t="str">
        <f>CONCATENATE("'",MID(Precios!B199,1,60),"'")</f>
        <v>'Mix Dulces / 357 gramos / $2000'</v>
      </c>
      <c r="D199" s="114" t="str">
        <f t="shared" si="6"/>
        <v>INSERT INTO PRODUCTOS (ID_PRODUCTO,NOMBRE) VALUES (198,'Mix Dulces / 357 gramos / $2000');</v>
      </c>
    </row>
    <row r="200" spans="1:4">
      <c r="A200" t="str">
        <f>MID(Precios!B200,1,60)</f>
        <v>Mix Dulces / 625 gramos / $3500</v>
      </c>
      <c r="B200" s="114">
        <f t="shared" si="7"/>
        <v>199</v>
      </c>
      <c r="C200" s="114" t="str">
        <f>CONCATENATE("'",MID(Precios!B200,1,60),"'")</f>
        <v>'Mix Dulces / 625 gramos / $3500'</v>
      </c>
      <c r="D200" s="114" t="str">
        <f t="shared" si="6"/>
        <v>INSERT INTO PRODUCTOS (ID_PRODUCTO,NOMBRE) VALUES (199,'Mix Dulces / 625 gramos / $3500');</v>
      </c>
    </row>
    <row r="201" spans="1:4">
      <c r="A201" t="str">
        <f>MID(Precios!B201,1,60)</f>
        <v>Mix Dulces / 700 gramos / $3930</v>
      </c>
      <c r="B201" s="114">
        <f t="shared" si="7"/>
        <v>200</v>
      </c>
      <c r="C201" s="114" t="str">
        <f>CONCATENATE("'",MID(Precios!B201,1,60),"'")</f>
        <v>'Mix Dulces / 700 gramos / $3930'</v>
      </c>
      <c r="D201" s="114" t="str">
        <f t="shared" si="6"/>
        <v>INSERT INTO PRODUCTOS (ID_PRODUCTO,NOMBRE) VALUES (200,'Mix Dulces / 700 gramos / $3930');</v>
      </c>
    </row>
    <row r="202" spans="1:4">
      <c r="A202" t="str">
        <f>MID(Precios!B202,1,60)</f>
        <v>Mix Dulces / 800 gramos / $4500</v>
      </c>
      <c r="B202" s="114">
        <f t="shared" si="7"/>
        <v>201</v>
      </c>
      <c r="C202" s="114" t="str">
        <f>CONCATENATE("'",MID(Precios!B202,1,60),"'")</f>
        <v>'Mix Dulces / 800 gramos / $4500'</v>
      </c>
      <c r="D202" s="114" t="str">
        <f t="shared" si="6"/>
        <v>INSERT INTO PRODUCTOS (ID_PRODUCTO,NOMBRE) VALUES (201,'Mix Dulces / 800 gramos / $4500');</v>
      </c>
    </row>
    <row r="203" spans="1:4">
      <c r="A203" t="str">
        <f>MID(Precios!B203,1,60)</f>
        <v>Mix Normal / 50 gramos</v>
      </c>
      <c r="B203" s="114">
        <f t="shared" si="7"/>
        <v>202</v>
      </c>
      <c r="C203" s="114" t="str">
        <f>CONCATENATE("'",MID(Precios!B203,1,60),"'")</f>
        <v>'Mix Normal / 50 gramos'</v>
      </c>
      <c r="D203" s="114" t="str">
        <f t="shared" si="6"/>
        <v>INSERT INTO PRODUCTOS (ID_PRODUCTO,NOMBRE) VALUES (202,'Mix Normal / 50 gramos');</v>
      </c>
    </row>
    <row r="204" spans="1:4">
      <c r="A204" t="str">
        <f>MID(Precios!B204,1,60)</f>
        <v>Mix Pasas - Mani / 250 gramos</v>
      </c>
      <c r="B204" s="114">
        <f t="shared" si="7"/>
        <v>203</v>
      </c>
      <c r="C204" s="114" t="str">
        <f>CONCATENATE("'",MID(Precios!B204,1,60),"'")</f>
        <v>'Mix Pasas - Mani / 250 gramos'</v>
      </c>
      <c r="D204" s="114" t="str">
        <f t="shared" si="6"/>
        <v>INSERT INTO PRODUCTOS (ID_PRODUCTO,NOMBRE) VALUES (203,'Mix Pasas - Mani / 250 gramos');</v>
      </c>
    </row>
    <row r="205" spans="1:4">
      <c r="A205" t="str">
        <f>MID(Precios!B205,1,60)</f>
        <v>Mix Pasas - Mani / 250 gramos</v>
      </c>
      <c r="B205" s="114">
        <f t="shared" si="7"/>
        <v>204</v>
      </c>
      <c r="C205" s="114" t="str">
        <f>CONCATENATE("'",MID(Precios!B205,1,60),"'")</f>
        <v>'Mix Pasas - Mani / 250 gramos'</v>
      </c>
      <c r="D205" s="114" t="str">
        <f t="shared" si="6"/>
        <v>INSERT INTO PRODUCTOS (ID_PRODUCTO,NOMBRE) VALUES (204,'Mix Pasas - Mani / 250 gramos');</v>
      </c>
    </row>
    <row r="206" spans="1:4">
      <c r="A206" t="str">
        <f>MID(Precios!B206,1,60)</f>
        <v>Mote / 1000 gramos</v>
      </c>
      <c r="B206" s="114">
        <f t="shared" si="7"/>
        <v>205</v>
      </c>
      <c r="C206" s="114" t="str">
        <f>CONCATENATE("'",MID(Precios!B206,1,60),"'")</f>
        <v>'Mote / 1000 gramos'</v>
      </c>
      <c r="D206" s="114" t="str">
        <f t="shared" si="6"/>
        <v>INSERT INTO PRODUCTOS (ID_PRODUCTO,NOMBRE) VALUES (205,'Mote / 1000 gramos');</v>
      </c>
    </row>
    <row r="207" spans="1:4">
      <c r="A207" t="str">
        <f>MID(Precios!B207,1,60)</f>
        <v>Nuez Mariposa / 1000 gramos</v>
      </c>
      <c r="B207" s="114">
        <f t="shared" si="7"/>
        <v>206</v>
      </c>
      <c r="C207" s="114" t="str">
        <f>CONCATENATE("'",MID(Precios!B207,1,60),"'")</f>
        <v>'Nuez Mariposa / 1000 gramos'</v>
      </c>
      <c r="D207" s="114" t="str">
        <f t="shared" si="6"/>
        <v>INSERT INTO PRODUCTOS (ID_PRODUCTO,NOMBRE) VALUES (206,'Nuez Mariposa / 1000 gramos');</v>
      </c>
    </row>
    <row r="208" spans="1:4">
      <c r="A208" t="str">
        <f>MID(Precios!B208,1,60)</f>
        <v>Nuez Mariposa / 170 gramos</v>
      </c>
      <c r="B208" s="114">
        <f t="shared" si="7"/>
        <v>207</v>
      </c>
      <c r="C208" s="114" t="str">
        <f>CONCATENATE("'",MID(Precios!B208,1,60),"'")</f>
        <v>'Nuez Mariposa / 170 gramos'</v>
      </c>
      <c r="D208" s="114" t="str">
        <f t="shared" si="6"/>
        <v>INSERT INTO PRODUCTOS (ID_PRODUCTO,NOMBRE) VALUES (207,'Nuez Mariposa / 170 gramos');</v>
      </c>
    </row>
    <row r="209" spans="1:4">
      <c r="A209" t="str">
        <f>MID(Precios!B209,1,60)</f>
        <v>Nuez Mariposa / 200 gramos</v>
      </c>
      <c r="B209" s="114">
        <f t="shared" si="7"/>
        <v>208</v>
      </c>
      <c r="C209" s="114" t="str">
        <f>CONCATENATE("'",MID(Precios!B209,1,60),"'")</f>
        <v>'Nuez Mariposa / 200 gramos'</v>
      </c>
      <c r="D209" s="114" t="str">
        <f t="shared" si="6"/>
        <v>INSERT INTO PRODUCTOS (ID_PRODUCTO,NOMBRE) VALUES (208,'Nuez Mariposa / 200 gramos');</v>
      </c>
    </row>
    <row r="210" spans="1:4">
      <c r="A210" t="str">
        <f>MID(Precios!B210,1,60)</f>
        <v>Nuez Mariposa / 250 gramos</v>
      </c>
      <c r="B210" s="114">
        <f t="shared" si="7"/>
        <v>209</v>
      </c>
      <c r="C210" s="114" t="str">
        <f>CONCATENATE("'",MID(Precios!B210,1,60),"'")</f>
        <v>'Nuez Mariposa / 250 gramos'</v>
      </c>
      <c r="D210" s="114" t="str">
        <f t="shared" si="6"/>
        <v>INSERT INTO PRODUCTOS (ID_PRODUCTO,NOMBRE) VALUES (209,'Nuez Mariposa / 250 gramos');</v>
      </c>
    </row>
    <row r="211" spans="1:4">
      <c r="A211" t="str">
        <f>MID(Precios!B211,1,60)</f>
        <v>Nuez Mariposa / 250 gramos</v>
      </c>
      <c r="B211" s="114">
        <f t="shared" si="7"/>
        <v>210</v>
      </c>
      <c r="C211" s="114" t="str">
        <f>CONCATENATE("'",MID(Precios!B211,1,60),"'")</f>
        <v>'Nuez Mariposa / 250 gramos'</v>
      </c>
      <c r="D211" s="114" t="str">
        <f t="shared" si="6"/>
        <v>INSERT INTO PRODUCTOS (ID_PRODUCTO,NOMBRE) VALUES (210,'Nuez Mariposa / 250 gramos');</v>
      </c>
    </row>
    <row r="212" spans="1:4">
      <c r="A212" t="str">
        <f>MID(Precios!B212,1,60)</f>
        <v>Nuez Mariposa / 348 gramos</v>
      </c>
      <c r="B212" s="114">
        <f t="shared" si="7"/>
        <v>211</v>
      </c>
      <c r="C212" s="114" t="str">
        <f>CONCATENATE("'",MID(Precios!B212,1,60),"'")</f>
        <v>'Nuez Mariposa / 348 gramos'</v>
      </c>
      <c r="D212" s="114" t="str">
        <f t="shared" si="6"/>
        <v>INSERT INTO PRODUCTOS (ID_PRODUCTO,NOMBRE) VALUES (211,'Nuez Mariposa / 348 gramos');</v>
      </c>
    </row>
    <row r="213" spans="1:4">
      <c r="A213" t="str">
        <f>MID(Precios!B213,1,60)</f>
        <v>Nuez Mariposa / 400 gramos</v>
      </c>
      <c r="B213" s="114">
        <f t="shared" si="7"/>
        <v>212</v>
      </c>
      <c r="C213" s="114" t="str">
        <f>CONCATENATE("'",MID(Precios!B213,1,60),"'")</f>
        <v>'Nuez Mariposa / 400 gramos'</v>
      </c>
      <c r="D213" s="114" t="str">
        <f t="shared" si="6"/>
        <v>INSERT INTO PRODUCTOS (ID_PRODUCTO,NOMBRE) VALUES (212,'Nuez Mariposa / 400 gramos');</v>
      </c>
    </row>
    <row r="214" spans="1:4">
      <c r="A214" t="str">
        <f>MID(Precios!B214,1,60)</f>
        <v>Nuez Mariposa / 45 gramos</v>
      </c>
      <c r="B214" s="114">
        <f t="shared" si="7"/>
        <v>213</v>
      </c>
      <c r="C214" s="114" t="str">
        <f>CONCATENATE("'",MID(Precios!B214,1,60),"'")</f>
        <v>'Nuez Mariposa / 45 gramos'</v>
      </c>
      <c r="D214" s="114" t="str">
        <f t="shared" si="6"/>
        <v>INSERT INTO PRODUCTOS (ID_PRODUCTO,NOMBRE) VALUES (213,'Nuez Mariposa / 45 gramos');</v>
      </c>
    </row>
    <row r="215" spans="1:4">
      <c r="A215" t="str">
        <f>MID(Precios!B215,1,60)</f>
        <v>Nuez Mariposa / 500 gramos</v>
      </c>
      <c r="B215" s="114">
        <f t="shared" si="7"/>
        <v>214</v>
      </c>
      <c r="C215" s="114" t="str">
        <f>CONCATENATE("'",MID(Precios!B215,1,60),"'")</f>
        <v>'Nuez Mariposa / 500 gramos'</v>
      </c>
      <c r="D215" s="114" t="str">
        <f t="shared" si="6"/>
        <v>INSERT INTO PRODUCTOS (ID_PRODUCTO,NOMBRE) VALUES (214,'Nuez Mariposa / 500 gramos');</v>
      </c>
    </row>
    <row r="216" spans="1:4">
      <c r="A216" t="str">
        <f>MID(Precios!B216,1,60)</f>
        <v>Nuez Partida / 250 gramos</v>
      </c>
      <c r="B216" s="114">
        <f t="shared" si="7"/>
        <v>215</v>
      </c>
      <c r="C216" s="114" t="str">
        <f>CONCATENATE("'",MID(Precios!B216,1,60),"'")</f>
        <v>'Nuez Partida / 250 gramos'</v>
      </c>
      <c r="D216" s="114" t="str">
        <f t="shared" si="6"/>
        <v>INSERT INTO PRODUCTOS (ID_PRODUCTO,NOMBRE) VALUES (215,'Nuez Partida / 250 gramos');</v>
      </c>
    </row>
    <row r="217" spans="1:4">
      <c r="A217" t="str">
        <f>MID(Precios!B217,1,60)</f>
        <v>Nuez Partida / 500 gramos</v>
      </c>
      <c r="B217" s="114">
        <f t="shared" si="7"/>
        <v>216</v>
      </c>
      <c r="C217" s="114" t="str">
        <f>CONCATENATE("'",MID(Precios!B217,1,60),"'")</f>
        <v>'Nuez Partida / 500 gramos'</v>
      </c>
      <c r="D217" s="114" t="str">
        <f t="shared" si="6"/>
        <v>INSERT INTO PRODUCTOS (ID_PRODUCTO,NOMBRE) VALUES (216,'Nuez Partida / 500 gramos');</v>
      </c>
    </row>
    <row r="218" spans="1:4">
      <c r="A218" t="str">
        <f>MID(Precios!B218,1,60)</f>
        <v>OFERTA 2x Cloro5</v>
      </c>
      <c r="B218" s="114">
        <f t="shared" si="7"/>
        <v>217</v>
      </c>
      <c r="C218" s="114" t="str">
        <f>CONCATENATE("'",MID(Precios!B218,1,60),"'")</f>
        <v>'OFERTA 2x Cloro5'</v>
      </c>
      <c r="D218" s="114" t="str">
        <f t="shared" si="6"/>
        <v>INSERT INTO PRODUCTOS (ID_PRODUCTO,NOMBRE) VALUES (217,'OFERTA 2x Cloro5');</v>
      </c>
    </row>
    <row r="219" spans="1:4">
      <c r="A219" t="str">
        <f>MID(Precios!B219,1,60)</f>
        <v>OFERTA 2x Detergente Premium</v>
      </c>
      <c r="B219" s="114">
        <f t="shared" si="7"/>
        <v>218</v>
      </c>
      <c r="C219" s="114" t="str">
        <f>CONCATENATE("'",MID(Precios!B219,1,60),"'")</f>
        <v>'OFERTA 2x Detergente Premium'</v>
      </c>
      <c r="D219" s="114" t="str">
        <f t="shared" si="6"/>
        <v>INSERT INTO PRODUCTOS (ID_PRODUCTO,NOMBRE) VALUES (218,'OFERTA 2x Detergente Premium');</v>
      </c>
    </row>
    <row r="220" spans="1:4">
      <c r="A220" t="str">
        <f>MID(Precios!B220,1,60)</f>
        <v>OFERTA 2x Lavaloza</v>
      </c>
      <c r="B220" s="114">
        <f t="shared" si="7"/>
        <v>219</v>
      </c>
      <c r="C220" s="114" t="str">
        <f>CONCATENATE("'",MID(Precios!B220,1,60),"'")</f>
        <v>'OFERTA 2x Lavaloza'</v>
      </c>
      <c r="D220" s="114" t="str">
        <f t="shared" si="6"/>
        <v>INSERT INTO PRODUCTOS (ID_PRODUCTO,NOMBRE) VALUES (219,'OFERTA 2x Lavaloza');</v>
      </c>
    </row>
    <row r="221" spans="1:4">
      <c r="A221" t="str">
        <f>MID(Precios!B221,1,60)</f>
        <v>OFERTA 2x Limpiapiso</v>
      </c>
      <c r="B221" s="114">
        <f t="shared" si="7"/>
        <v>220</v>
      </c>
      <c r="C221" s="114" t="str">
        <f>CONCATENATE("'",MID(Precios!B221,1,60),"'")</f>
        <v>'OFERTA 2x Limpiapiso'</v>
      </c>
      <c r="D221" s="114" t="str">
        <f t="shared" si="6"/>
        <v>INSERT INTO PRODUCTOS (ID_PRODUCTO,NOMBRE) VALUES (220,'OFERTA 2x Limpiapiso');</v>
      </c>
    </row>
    <row r="222" spans="1:4">
      <c r="A222" t="str">
        <f>MID(Precios!B222,1,60)</f>
        <v>OFERTA 2x Suavizante</v>
      </c>
      <c r="B222" s="114">
        <f t="shared" si="7"/>
        <v>221</v>
      </c>
      <c r="C222" s="114" t="str">
        <f>CONCATENATE("'",MID(Precios!B222,1,60),"'")</f>
        <v>'OFERTA 2x Suavizante'</v>
      </c>
      <c r="D222" s="114" t="str">
        <f t="shared" si="6"/>
        <v>INSERT INTO PRODUCTOS (ID_PRODUCTO,NOMBRE) VALUES (221,'OFERTA 2x Suavizante');</v>
      </c>
    </row>
    <row r="223" spans="1:4">
      <c r="A223" t="str">
        <f>MID(Precios!B223,1,60)</f>
        <v>OFERTA 4 Longanizas VILLABLANCA / 4 Kilos</v>
      </c>
      <c r="B223" s="114">
        <f t="shared" si="7"/>
        <v>222</v>
      </c>
      <c r="C223" s="114" t="str">
        <f>CONCATENATE("'",MID(Precios!B223,1,60),"'")</f>
        <v>'OFERTA 4 Longanizas VILLABLANCA / 4 Kilos'</v>
      </c>
      <c r="D223" s="114" t="str">
        <f t="shared" si="6"/>
        <v>INSERT INTO PRODUCTOS (ID_PRODUCTO,NOMBRE) VALUES (222,'OFERTA 4 Longanizas VILLABLANCA / 4 Kilos');</v>
      </c>
    </row>
    <row r="224" spans="1:4">
      <c r="A224" t="str">
        <f>MID(Precios!B224,1,60)</f>
        <v>OFERTA 3 Longanizas VILLABLANCA / 3 Kilos</v>
      </c>
      <c r="B224" s="114">
        <f t="shared" si="7"/>
        <v>223</v>
      </c>
      <c r="C224" s="114" t="str">
        <f>CONCATENATE("'",MID(Precios!B224,1,60),"'")</f>
        <v>'OFERTA 3 Longanizas VILLABLANCA / 3 Kilos'</v>
      </c>
      <c r="D224" s="114" t="str">
        <f t="shared" si="6"/>
        <v>INSERT INTO PRODUCTOS (ID_PRODUCTO,NOMBRE) VALUES (223,'OFERTA 3 Longanizas VILLABLANCA / 3 Kilos');</v>
      </c>
    </row>
    <row r="225" spans="1:4">
      <c r="A225" t="str">
        <f>MID(Precios!B225,1,60)</f>
        <v>OFERTA 3 Pack Servilleta SPUM / $4550</v>
      </c>
      <c r="B225" s="114">
        <f t="shared" si="7"/>
        <v>224</v>
      </c>
      <c r="C225" s="114" t="str">
        <f>CONCATENATE("'",MID(Precios!B225,1,60),"'")</f>
        <v>'OFERTA 3 Pack Servilleta SPUM / $4550'</v>
      </c>
      <c r="D225" s="114" t="str">
        <f t="shared" si="6"/>
        <v>INSERT INTO PRODUCTOS (ID_PRODUCTO,NOMBRE) VALUES (224,'OFERTA 3 Pack Servilleta SPUM / $4550');</v>
      </c>
    </row>
    <row r="226" spans="1:4">
      <c r="A226" t="str">
        <f>MID(Precios!B226,1,60)</f>
        <v>OFERTA 6 Toalla Jumbo AZUL SWAN 100 mts</v>
      </c>
      <c r="B226" s="114">
        <f t="shared" si="7"/>
        <v>225</v>
      </c>
      <c r="C226" s="114" t="str">
        <f>CONCATENATE("'",MID(Precios!B226,1,60),"'")</f>
        <v>'OFERTA 6 Toalla Jumbo AZUL SWAN 100 mts'</v>
      </c>
      <c r="D226" s="114" t="str">
        <f t="shared" si="6"/>
        <v>INSERT INTO PRODUCTOS (ID_PRODUCTO,NOMBRE) VALUES (225,'OFERTA 6 Toalla Jumbo AZUL SWAN 100 mts');</v>
      </c>
    </row>
    <row r="227" spans="1:4">
      <c r="A227" t="str">
        <f>MID(Precios!B227,1,60)</f>
        <v>OFERTA 8 Toalla NOVA 70 mts</v>
      </c>
      <c r="B227" s="114">
        <f t="shared" si="7"/>
        <v>226</v>
      </c>
      <c r="C227" s="114" t="str">
        <f>CONCATENATE("'",MID(Precios!B227,1,60),"'")</f>
        <v>'OFERTA 8 Toalla NOVA 70 mts'</v>
      </c>
      <c r="D227" s="114" t="str">
        <f t="shared" si="6"/>
        <v>INSERT INTO PRODUCTOS (ID_PRODUCTO,NOMBRE) VALUES (226,'OFERTA 8 Toalla NOVA 70 mts');</v>
      </c>
    </row>
    <row r="228" spans="1:4">
      <c r="A228" t="str">
        <f>MID(Precios!B228,1,60)</f>
        <v>OFERTA CAJA 10 Pack Servilleta / 300 unidades</v>
      </c>
      <c r="B228" s="114">
        <f t="shared" si="7"/>
        <v>227</v>
      </c>
      <c r="C228" s="114" t="str">
        <f>CONCATENATE("'",MID(Precios!B228,1,60),"'")</f>
        <v>'OFERTA CAJA 10 Pack Servilleta / 300 unidades'</v>
      </c>
      <c r="D228" s="114" t="str">
        <f t="shared" si="6"/>
        <v>INSERT INTO PRODUCTOS (ID_PRODUCTO,NOMBRE) VALUES (227,'OFERTA CAJA 10 Pack Servilleta / 300 unidades');</v>
      </c>
    </row>
    <row r="229" spans="1:4">
      <c r="A229" t="str">
        <f>MID(Precios!B229,1,60)</f>
        <v>OFERTA Pack 6 Toalla Jumbo OVELLA D/H / 100 metros</v>
      </c>
      <c r="B229" s="114">
        <f t="shared" si="7"/>
        <v>228</v>
      </c>
      <c r="C229" s="114" t="str">
        <f>CONCATENATE("'",MID(Precios!B229,1,60),"'")</f>
        <v>'OFERTA Pack 6 Toalla Jumbo OVELLA D/H / 100 metros'</v>
      </c>
      <c r="D229" s="114" t="str">
        <f t="shared" si="6"/>
        <v>INSERT INTO PRODUCTOS (ID_PRODUCTO,NOMBRE) VALUES (228,'OFERTA Pack 6 Toalla Jumbo OVELLA D/H / 100 metros');</v>
      </c>
    </row>
    <row r="230" spans="1:4">
      <c r="A230" t="str">
        <f>MID(Precios!B230,1,60)</f>
        <v>OFERTA Pack 6 Toalla Jumbo SWAN D/H / 100 metros</v>
      </c>
      <c r="B230" s="114">
        <f t="shared" si="7"/>
        <v>229</v>
      </c>
      <c r="C230" s="114" t="str">
        <f>CONCATENATE("'",MID(Precios!B230,1,60),"'")</f>
        <v>'OFERTA Pack 6 Toalla Jumbo SWAN D/H / 100 metros'</v>
      </c>
      <c r="D230" s="114" t="str">
        <f t="shared" si="6"/>
        <v>INSERT INTO PRODUCTOS (ID_PRODUCTO,NOMBRE) VALUES (229,'OFERTA Pack 6 Toalla Jumbo SWAN D/H / 100 metros');</v>
      </c>
    </row>
    <row r="231" spans="1:4">
      <c r="A231" t="str">
        <f>MID(Precios!B231,1,60)</f>
        <v xml:space="preserve">OFERTA Papel Higiénico ELITE 24 rollos </v>
      </c>
      <c r="B231" s="114">
        <f t="shared" si="7"/>
        <v>230</v>
      </c>
      <c r="C231" s="114" t="str">
        <f>CONCATENATE("'",MID(Precios!B231,1,60),"'")</f>
        <v>'OFERTA Papel Higiénico ELITE 24 rollos '</v>
      </c>
      <c r="D231" s="114" t="str">
        <f t="shared" si="6"/>
        <v>INSERT INTO PRODUCTOS (ID_PRODUCTO,NOMBRE) VALUES (230,'OFERTA Papel Higiénico ELITE 24 rollos ');</v>
      </c>
    </row>
    <row r="232" spans="1:4">
      <c r="A232" t="str">
        <f>MID(Precios!B232,1,60)</f>
        <v xml:space="preserve">OFERTA Papel Higiénico ELITE 32 rollos </v>
      </c>
      <c r="B232" s="114">
        <f t="shared" si="7"/>
        <v>231</v>
      </c>
      <c r="C232" s="114" t="str">
        <f>CONCATENATE("'",MID(Precios!B232,1,60),"'")</f>
        <v>'OFERTA Papel Higiénico ELITE 32 rollos '</v>
      </c>
      <c r="D232" s="114" t="str">
        <f t="shared" si="6"/>
        <v>INSERT INTO PRODUCTOS (ID_PRODUCTO,NOMBRE) VALUES (231,'OFERTA Papel Higiénico ELITE 32 rollos ');</v>
      </c>
    </row>
    <row r="233" spans="1:4">
      <c r="A233" t="str">
        <f>MID(Precios!B233,1,60)</f>
        <v xml:space="preserve">OFERTA Papel Higiénico SWAN 400 d/h 24 rollos </v>
      </c>
      <c r="B233" s="114">
        <f t="shared" si="7"/>
        <v>232</v>
      </c>
      <c r="C233" s="114" t="str">
        <f>CONCATENATE("'",MID(Precios!B233,1,60),"'")</f>
        <v>'OFERTA Papel Higiénico SWAN 400 d/h 24 rollos '</v>
      </c>
      <c r="D233" s="114" t="str">
        <f t="shared" si="6"/>
        <v>INSERT INTO PRODUCTOS (ID_PRODUCTO,NOMBRE) VALUES (232,'OFERTA Papel Higiénico SWAN 400 d/h 24 rollos ');</v>
      </c>
    </row>
    <row r="234" spans="1:4">
      <c r="A234" t="str">
        <f>MID(Precios!B234,1,60)</f>
        <v xml:space="preserve">OFERTA Papel Higiénico SWAN 400 d/h 32 rollos </v>
      </c>
      <c r="B234" s="114">
        <f t="shared" si="7"/>
        <v>233</v>
      </c>
      <c r="C234" s="114" t="str">
        <f>CONCATENATE("'",MID(Precios!B234,1,60),"'")</f>
        <v>'OFERTA Papel Higiénico SWAN 400 d/h 32 rollos '</v>
      </c>
      <c r="D234" s="114" t="str">
        <f t="shared" si="6"/>
        <v>INSERT INTO PRODUCTOS (ID_PRODUCTO,NOMBRE) VALUES (233,'OFERTA Papel Higiénico SWAN 400 d/h 32 rollos ');</v>
      </c>
    </row>
    <row r="235" spans="1:4">
      <c r="A235" t="str">
        <f>MID(Precios!B235,1,60)</f>
        <v xml:space="preserve">OFERTA Papel Higiénico SWAN 400 d/h 40 rollos </v>
      </c>
      <c r="B235" s="114">
        <f t="shared" si="7"/>
        <v>234</v>
      </c>
      <c r="C235" s="114" t="str">
        <f>CONCATENATE("'",MID(Precios!B235,1,60),"'")</f>
        <v>'OFERTA Papel Higiénico SWAN 400 d/h 40 rollos '</v>
      </c>
      <c r="D235" s="114" t="str">
        <f t="shared" si="6"/>
        <v>INSERT INTO PRODUCTOS (ID_PRODUCTO,NOMBRE) VALUES (234,'OFERTA Papel Higiénico SWAN 400 d/h 40 rollos ');</v>
      </c>
    </row>
    <row r="236" spans="1:4">
      <c r="A236" t="str">
        <f>MID(Precios!B236,1,60)</f>
        <v xml:space="preserve">OFERTA Papel Higiénico SWAN 50 mts d/h 24 rollos </v>
      </c>
      <c r="B236" s="114">
        <f t="shared" si="7"/>
        <v>235</v>
      </c>
      <c r="C236" s="114" t="str">
        <f>CONCATENATE("'",MID(Precios!B236,1,60),"'")</f>
        <v>'OFERTA Papel Higiénico SWAN 50 mts d/h 24 rollos '</v>
      </c>
      <c r="D236" s="114" t="str">
        <f t="shared" si="6"/>
        <v>INSERT INTO PRODUCTOS (ID_PRODUCTO,NOMBRE) VALUES (235,'OFERTA Papel Higiénico SWAN 50 mts d/h 24 rollos ');</v>
      </c>
    </row>
    <row r="237" spans="1:4">
      <c r="A237" t="str">
        <f>MID(Precios!B237,1,60)</f>
        <v>OFERTA Papel Higiénico SWAN 50 mts d/h 32 rollos</v>
      </c>
      <c r="B237" s="114">
        <f t="shared" si="7"/>
        <v>236</v>
      </c>
      <c r="C237" s="114" t="str">
        <f>CONCATENATE("'",MID(Precios!B237,1,60),"'")</f>
        <v>'OFERTA Papel Higiénico SWAN 50 mts d/h 32 rollos'</v>
      </c>
      <c r="D237" s="114" t="str">
        <f t="shared" si="6"/>
        <v>INSERT INTO PRODUCTOS (ID_PRODUCTO,NOMBRE) VALUES (236,'OFERTA Papel Higiénico SWAN 50 mts d/h 32 rollos');</v>
      </c>
    </row>
    <row r="238" spans="1:4">
      <c r="A238" t="str">
        <f>MID(Precios!B238,1,60)</f>
        <v xml:space="preserve">OFERTA Toalla NOVA MANGA 12 rollos </v>
      </c>
      <c r="B238" s="114">
        <f t="shared" si="7"/>
        <v>237</v>
      </c>
      <c r="C238" s="114" t="str">
        <f>CONCATENATE("'",MID(Precios!B238,1,60),"'")</f>
        <v>'OFERTA Toalla NOVA MANGA 12 rollos '</v>
      </c>
      <c r="D238" s="114" t="str">
        <f t="shared" si="6"/>
        <v>INSERT INTO PRODUCTOS (ID_PRODUCTO,NOMBRE) VALUES (237,'OFERTA Toalla NOVA MANGA 12 rollos ');</v>
      </c>
    </row>
    <row r="239" spans="1:4">
      <c r="A239" t="str">
        <f>MID(Precios!B239,1,60)</f>
        <v xml:space="preserve">OFERTA Toalla NOVA MANGA 24 rollos </v>
      </c>
      <c r="B239" s="114">
        <f t="shared" si="7"/>
        <v>238</v>
      </c>
      <c r="C239" s="114" t="str">
        <f>CONCATENATE("'",MID(Precios!B239,1,60),"'")</f>
        <v>'OFERTA Toalla NOVA MANGA 24 rollos '</v>
      </c>
      <c r="D239" s="114" t="str">
        <f t="shared" si="6"/>
        <v>INSERT INTO PRODUCTOS (ID_PRODUCTO,NOMBRE) VALUES (238,'OFERTA Toalla NOVA MANGA 24 rollos ');</v>
      </c>
    </row>
    <row r="240" spans="1:4">
      <c r="A240" t="str">
        <f>MID(Precios!B240,1,60)</f>
        <v xml:space="preserve">OFERTA Toalla NOVA MANGA 9 rollos </v>
      </c>
      <c r="B240" s="114">
        <f t="shared" si="7"/>
        <v>239</v>
      </c>
      <c r="C240" s="114" t="str">
        <f>CONCATENATE("'",MID(Precios!B240,1,60),"'")</f>
        <v>'OFERTA Toalla NOVA MANGA 9 rollos '</v>
      </c>
      <c r="D240" s="114" t="str">
        <f t="shared" si="6"/>
        <v>INSERT INTO PRODUCTOS (ID_PRODUCTO,NOMBRE) VALUES (239,'OFERTA Toalla NOVA MANGA 9 rollos ');</v>
      </c>
    </row>
    <row r="241" spans="1:4">
      <c r="A241" t="str">
        <f>MID(Precios!B241,1,60)</f>
        <v>OFERTA Toalla Papel SWAN MANGA 24 rollos</v>
      </c>
      <c r="B241" s="114">
        <f t="shared" si="7"/>
        <v>240</v>
      </c>
      <c r="C241" s="114" t="str">
        <f>CONCATENATE("'",MID(Precios!B241,1,60),"'")</f>
        <v>'OFERTA Toalla Papel SWAN MANGA 24 rollos'</v>
      </c>
      <c r="D241" s="114" t="str">
        <f t="shared" si="6"/>
        <v>INSERT INTO PRODUCTOS (ID_PRODUCTO,NOMBRE) VALUES (240,'OFERTA Toalla Papel SWAN MANGA 24 rollos');</v>
      </c>
    </row>
    <row r="242" spans="1:4">
      <c r="A242" t="str">
        <f>MID(Precios!B242,1,60)</f>
        <v>Pack  3 Jabon  Teddy - 750 ml</v>
      </c>
      <c r="B242" s="114">
        <f t="shared" si="7"/>
        <v>241</v>
      </c>
      <c r="C242" s="114" t="str">
        <f>CONCATENATE("'",MID(Precios!B242,1,60),"'")</f>
        <v>'Pack  3 Jabon  Teddy - 750 ml'</v>
      </c>
      <c r="D242" s="114" t="str">
        <f t="shared" si="6"/>
        <v>INSERT INTO PRODUCTOS (ID_PRODUCTO,NOMBRE) VALUES (241,'Pack  3 Jabon  Teddy - 750 ml');</v>
      </c>
    </row>
    <row r="243" spans="1:4">
      <c r="A243" t="str">
        <f>MID(Precios!B243,1,60)</f>
        <v>Pack 0: 3 Toalla  Spum/ 12 PH Regio/ 1 servilleta</v>
      </c>
      <c r="B243" s="114">
        <f t="shared" si="7"/>
        <v>242</v>
      </c>
      <c r="C243" s="114" t="str">
        <f>CONCATENATE("'",MID(Precios!B243,1,60),"'")</f>
        <v>'Pack 0: 3 Toalla  Spum/ 12 PH Regio/ 1 servilleta'</v>
      </c>
      <c r="D243" s="114" t="str">
        <f t="shared" si="6"/>
        <v>INSERT INTO PRODUCTOS (ID_PRODUCTO,NOMBRE) VALUES (242,'Pack 0: 3 Toalla  Spum/ 12 PH Regio/ 1 servilleta');</v>
      </c>
    </row>
    <row r="244" spans="1:4">
      <c r="A244" t="str">
        <f>MID(Precios!B244,1,60)</f>
        <v>Pack 1: 3 Toalla  Spum/ 12 PH Spum / 1 servilleta</v>
      </c>
      <c r="B244" s="114">
        <f t="shared" si="7"/>
        <v>243</v>
      </c>
      <c r="C244" s="114" t="str">
        <f>CONCATENATE("'",MID(Precios!B244,1,60),"'")</f>
        <v>'Pack 1: 3 Toalla  Spum/ 12 PH Spum / 1 servilleta'</v>
      </c>
      <c r="D244" s="114" t="str">
        <f t="shared" si="6"/>
        <v>INSERT INTO PRODUCTOS (ID_PRODUCTO,NOMBRE) VALUES (243,'Pack 1: 3 Toalla  Spum/ 12 PH Spum / 1 servilleta');</v>
      </c>
    </row>
    <row r="245" spans="1:4">
      <c r="A245" t="str">
        <f>MID(Precios!B245,1,60)</f>
        <v>Pack 16 Toalla NOVA 26 mts</v>
      </c>
      <c r="B245" s="114">
        <f t="shared" si="7"/>
        <v>244</v>
      </c>
      <c r="C245" s="114" t="str">
        <f>CONCATENATE("'",MID(Precios!B245,1,60),"'")</f>
        <v>'Pack 16 Toalla NOVA 26 mts'</v>
      </c>
      <c r="D245" s="114" t="str">
        <f t="shared" si="6"/>
        <v>INSERT INTO PRODUCTOS (ID_PRODUCTO,NOMBRE) VALUES (244,'Pack 16 Toalla NOVA 26 mts');</v>
      </c>
    </row>
    <row r="246" spans="1:4">
      <c r="A246" t="str">
        <f>MID(Precios!B246,1,60)</f>
        <v>Ambiental Tubo AROM</v>
      </c>
      <c r="B246" s="114">
        <f t="shared" si="7"/>
        <v>245</v>
      </c>
      <c r="C246" s="114" t="str">
        <f>CONCATENATE("'",MID(Precios!B246,1,60),"'")</f>
        <v>'Ambiental Tubo AROM'</v>
      </c>
      <c r="D246" s="114" t="str">
        <f t="shared" si="6"/>
        <v>INSERT INTO PRODUCTOS (ID_PRODUCTO,NOMBRE) VALUES (245,'Ambiental Tubo AROM');</v>
      </c>
    </row>
    <row r="247" spans="1:4">
      <c r="A247" t="str">
        <f>MID(Precios!B247,1,60)</f>
        <v>Pack 2 Ambiental cono Lavanda</v>
      </c>
      <c r="B247" s="114">
        <f t="shared" si="7"/>
        <v>246</v>
      </c>
      <c r="C247" s="114" t="str">
        <f>CONCATENATE("'",MID(Precios!B247,1,60),"'")</f>
        <v>'Pack 2 Ambiental cono Lavanda'</v>
      </c>
      <c r="D247" s="114" t="str">
        <f t="shared" si="6"/>
        <v>INSERT INTO PRODUCTOS (ID_PRODUCTO,NOMBRE) VALUES (246,'Pack 2 Ambiental cono Lavanda');</v>
      </c>
    </row>
    <row r="248" spans="1:4">
      <c r="A248" t="str">
        <f>MID(Precios!B248,1,60)</f>
        <v>Pack 2 Ambiental Tubo</v>
      </c>
      <c r="B248" s="114">
        <f t="shared" si="7"/>
        <v>247</v>
      </c>
      <c r="C248" s="114" t="str">
        <f>CONCATENATE("'",MID(Precios!B248,1,60),"'")</f>
        <v>'Pack 2 Ambiental Tubo'</v>
      </c>
      <c r="D248" s="114" t="str">
        <f t="shared" si="6"/>
        <v>INSERT INTO PRODUCTOS (ID_PRODUCTO,NOMBRE) VALUES (247,'Pack 2 Ambiental Tubo');</v>
      </c>
    </row>
    <row r="249" spans="1:4">
      <c r="A249" t="str">
        <f>MID(Precios!B249,1,60)</f>
        <v>Pack 2 Cif 750 cc</v>
      </c>
      <c r="B249" s="114">
        <f t="shared" si="7"/>
        <v>248</v>
      </c>
      <c r="C249" s="114" t="str">
        <f>CONCATENATE("'",MID(Precios!B249,1,60),"'")</f>
        <v>'Pack 2 Cif 750 cc'</v>
      </c>
      <c r="D249" s="114" t="str">
        <f t="shared" si="6"/>
        <v>INSERT INTO PRODUCTOS (ID_PRODUCTO,NOMBRE) VALUES (248,'Pack 2 Cif 750 cc');</v>
      </c>
    </row>
    <row r="250" spans="1:4">
      <c r="A250" t="str">
        <f>MID(Precios!B250,1,60)</f>
        <v>LYSOFORM 360 ML</v>
      </c>
      <c r="B250" s="114">
        <f t="shared" si="7"/>
        <v>249</v>
      </c>
      <c r="C250" s="114" t="str">
        <f>CONCATENATE("'",MID(Precios!B250,1,60),"'")</f>
        <v>'LYSOFORM 360 ML'</v>
      </c>
      <c r="D250" s="114" t="str">
        <f t="shared" si="6"/>
        <v>INSERT INTO PRODUCTOS (ID_PRODUCTO,NOMBRE) VALUES (249,'LYSOFORM 360 ML');</v>
      </c>
    </row>
    <row r="251" spans="1:4">
      <c r="A251" t="str">
        <f>MID(Precios!B251,1,60)</f>
        <v>Pack 2 LYSOFORM 420 ML</v>
      </c>
      <c r="B251" s="114">
        <f t="shared" si="7"/>
        <v>250</v>
      </c>
      <c r="C251" s="114" t="str">
        <f>CONCATENATE("'",MID(Precios!B251,1,60),"'")</f>
        <v>'Pack 2 LYSOFORM 420 ML'</v>
      </c>
      <c r="D251" s="114" t="str">
        <f t="shared" si="6"/>
        <v>INSERT INTO PRODUCTOS (ID_PRODUCTO,NOMBRE) VALUES (250,'Pack 2 LYSOFORM 420 ML');</v>
      </c>
    </row>
    <row r="252" spans="1:4">
      <c r="A252" t="str">
        <f>MID(Precios!B252,1,60)</f>
        <v>Pack 2 Magistral 500 cc</v>
      </c>
      <c r="B252" s="114">
        <f t="shared" si="7"/>
        <v>251</v>
      </c>
      <c r="C252" s="114" t="str">
        <f>CONCATENATE("'",MID(Precios!B252,1,60),"'")</f>
        <v>'Pack 2 Magistral 500 cc'</v>
      </c>
      <c r="D252" s="114" t="str">
        <f t="shared" si="6"/>
        <v>INSERT INTO PRODUCTOS (ID_PRODUCTO,NOMBRE) VALUES (251,'Pack 2 Magistral 500 cc');</v>
      </c>
    </row>
    <row r="253" spans="1:4">
      <c r="A253" t="str">
        <f>MID(Precios!B253,1,60)</f>
        <v>Pack 2 Quix 750 cc</v>
      </c>
      <c r="B253" s="114">
        <f t="shared" si="7"/>
        <v>252</v>
      </c>
      <c r="C253" s="114" t="str">
        <f>CONCATENATE("'",MID(Precios!B253,1,60),"'")</f>
        <v>'Pack 2 Quix 750 cc'</v>
      </c>
      <c r="D253" s="114" t="str">
        <f t="shared" si="6"/>
        <v>INSERT INTO PRODUCTOS (ID_PRODUCTO,NOMBRE) VALUES (252,'Pack 2 Quix 750 cc');</v>
      </c>
    </row>
    <row r="254" spans="1:4">
      <c r="A254" t="str">
        <f>MID(Precios!B254,1,60)</f>
        <v>Pack 2 Toalla Jumbo ECONOMIX U/H / 300 metros</v>
      </c>
      <c r="B254" s="114">
        <f t="shared" si="7"/>
        <v>253</v>
      </c>
      <c r="C254" s="114" t="str">
        <f>CONCATENATE("'",MID(Precios!B254,1,60),"'")</f>
        <v>'Pack 2 Toalla Jumbo ECONOMIX U/H / 300 metros'</v>
      </c>
      <c r="D254" s="114" t="str">
        <f t="shared" si="6"/>
        <v>INSERT INTO PRODUCTOS (ID_PRODUCTO,NOMBRE) VALUES (253,'Pack 2 Toalla Jumbo ECONOMIX U/H / 300 metros');</v>
      </c>
    </row>
    <row r="255" spans="1:4">
      <c r="A255" t="str">
        <f>MID(Precios!B255,1,60)</f>
        <v>Pack 2 Toalla NOVA 26 mts</v>
      </c>
      <c r="B255" s="114">
        <f t="shared" si="7"/>
        <v>254</v>
      </c>
      <c r="C255" s="114" t="str">
        <f>CONCATENATE("'",MID(Precios!B255,1,60),"'")</f>
        <v>'Pack 2 Toalla NOVA 26 mts'</v>
      </c>
      <c r="D255" s="114" t="str">
        <f t="shared" si="6"/>
        <v>INSERT INTO PRODUCTOS (ID_PRODUCTO,NOMBRE) VALUES (254,'Pack 2 Toalla NOVA 26 mts');</v>
      </c>
    </row>
    <row r="256" spans="1:4">
      <c r="A256" t="str">
        <f>MID(Precios!B256,1,60)</f>
        <v>Pack 2 Toallitas Húmedas Adulto Teddy 50 Unidades</v>
      </c>
      <c r="B256" s="114">
        <f t="shared" si="7"/>
        <v>255</v>
      </c>
      <c r="C256" s="114" t="str">
        <f>CONCATENATE("'",MID(Precios!B256,1,60),"'")</f>
        <v>'Pack 2 Toallitas Húmedas Adulto Teddy 50 Unidades'</v>
      </c>
      <c r="D256" s="114" t="str">
        <f t="shared" si="6"/>
        <v>INSERT INTO PRODUCTOS (ID_PRODUCTO,NOMBRE) VALUES (255,'Pack 2 Toallitas Húmedas Adulto Teddy 50 Unidades');</v>
      </c>
    </row>
    <row r="257" spans="1:4">
      <c r="A257" t="str">
        <f>MID(Precios!B257,1,60)</f>
        <v>Pack 2 Toallitas Húmedas Bebe Teddy 80 Unidades</v>
      </c>
      <c r="B257" s="114">
        <f t="shared" si="7"/>
        <v>256</v>
      </c>
      <c r="C257" s="114" t="str">
        <f>CONCATENATE("'",MID(Precios!B257,1,60),"'")</f>
        <v>'Pack 2 Toallitas Húmedas Bebe Teddy 80 Unidades'</v>
      </c>
      <c r="D257" s="114" t="str">
        <f t="shared" si="6"/>
        <v>INSERT INTO PRODUCTOS (ID_PRODUCTO,NOMBRE) VALUES (256,'Pack 2 Toallitas Húmedas Bebe Teddy 80 Unidades');</v>
      </c>
    </row>
    <row r="258" spans="1:4">
      <c r="A258" t="str">
        <f>MID(Precios!B258,1,60)</f>
        <v>Pack 2: 48 PH Spum / $14200</v>
      </c>
      <c r="B258" s="114">
        <f t="shared" si="7"/>
        <v>257</v>
      </c>
      <c r="C258" s="114" t="str">
        <f>CONCATENATE("'",MID(Precios!B258,1,60),"'")</f>
        <v>'Pack 2: 48 PH Spum / $14200'</v>
      </c>
      <c r="D258" s="114" t="str">
        <f t="shared" si="6"/>
        <v>INSERT INTO PRODUCTOS (ID_PRODUCTO,NOMBRE) VALUES (257,'Pack 2: 48 PH Spum / $14200');</v>
      </c>
    </row>
    <row r="259" spans="1:4">
      <c r="A259" t="str">
        <f>MID(Precios!B259,1,60)</f>
        <v>Pack 3 Film Plástico 30 Metros</v>
      </c>
      <c r="B259" s="114">
        <f t="shared" si="7"/>
        <v>258</v>
      </c>
      <c r="C259" s="114" t="str">
        <f>CONCATENATE("'",MID(Precios!B259,1,60),"'")</f>
        <v>'Pack 3 Film Plástico 30 Metros'</v>
      </c>
      <c r="D259" s="114" t="str">
        <f t="shared" ref="D259:D322" si="8">CONCATENATE("INSERT INTO PRODUCTOS (ID_PRODUCTO,NOMBRE) VALUES (",B259,",",C259,");")</f>
        <v>INSERT INTO PRODUCTOS (ID_PRODUCTO,NOMBRE) VALUES (258,'Pack 3 Film Plástico 30 Metros');</v>
      </c>
    </row>
    <row r="260" spans="1:4">
      <c r="A260" t="str">
        <f>MID(Precios!B260,1,60)</f>
        <v>Pack 3 Jabon  Ballerina - 750 ml</v>
      </c>
      <c r="B260" s="114">
        <f t="shared" ref="B260:B323" si="9">B259+1</f>
        <v>259</v>
      </c>
      <c r="C260" s="114" t="str">
        <f>CONCATENATE("'",MID(Precios!B260,1,60),"'")</f>
        <v>'Pack 3 Jabon  Ballerina - 750 ml'</v>
      </c>
      <c r="D260" s="114" t="str">
        <f t="shared" si="8"/>
        <v>INSERT INTO PRODUCTOS (ID_PRODUCTO,NOMBRE) VALUES (259,'Pack 3 Jabon  Ballerina - 750 ml');</v>
      </c>
    </row>
    <row r="261" spans="1:4">
      <c r="A261" t="str">
        <f>MID(Precios!B261,1,60)</f>
        <v>Pack 3 Mantequilla COLUN / 250 gramos)</v>
      </c>
      <c r="B261" s="114">
        <f t="shared" si="9"/>
        <v>260</v>
      </c>
      <c r="C261" s="114" t="str">
        <f>CONCATENATE("'",MID(Precios!B261,1,60),"'")</f>
        <v>'Pack 3 Mantequilla COLUN / 250 gramos)'</v>
      </c>
      <c r="D261" s="114" t="str">
        <f t="shared" si="8"/>
        <v>INSERT INTO PRODUCTOS (ID_PRODUCTO,NOMBRE) VALUES (260,'Pack 3 Mantequilla COLUN / 250 gramos)');</v>
      </c>
    </row>
    <row r="262" spans="1:4">
      <c r="A262" t="str">
        <f>MID(Precios!B262,1,60)</f>
        <v>Pack 3 Mantequilla RUMAY / 200 gramos)</v>
      </c>
      <c r="B262" s="114">
        <f t="shared" si="9"/>
        <v>261</v>
      </c>
      <c r="C262" s="114" t="str">
        <f>CONCATENATE("'",MID(Precios!B262,1,60),"'")</f>
        <v>'Pack 3 Mantequilla RUMAY / 200 gramos)'</v>
      </c>
      <c r="D262" s="114" t="str">
        <f t="shared" si="8"/>
        <v>INSERT INTO PRODUCTOS (ID_PRODUCTO,NOMBRE) VALUES (261,'Pack 3 Mantequilla RUMAY / 200 gramos)');</v>
      </c>
    </row>
    <row r="263" spans="1:4">
      <c r="A263" t="str">
        <f>MID(Precios!B263,1,60)</f>
        <v>Pack 3 Papel Aluminio 7.5 Metros</v>
      </c>
      <c r="B263" s="114">
        <f t="shared" si="9"/>
        <v>262</v>
      </c>
      <c r="C263" s="114" t="str">
        <f>CONCATENATE("'",MID(Precios!B263,1,60),"'")</f>
        <v>'Pack 3 Papel Aluminio 7.5 Metros'</v>
      </c>
      <c r="D263" s="114" t="str">
        <f t="shared" si="8"/>
        <v>INSERT INTO PRODUCTOS (ID_PRODUCTO,NOMBRE) VALUES (262,'Pack 3 Papel Aluminio 7.5 Metros');</v>
      </c>
    </row>
    <row r="264" spans="1:4">
      <c r="A264" t="str">
        <f>MID(Precios!B264,1,60)</f>
        <v>Pack 3 Provoleta Parrillera / 135 gramos)</v>
      </c>
      <c r="B264" s="114">
        <f t="shared" si="9"/>
        <v>263</v>
      </c>
      <c r="C264" s="114" t="str">
        <f>CONCATENATE("'",MID(Precios!B264,1,60),"'")</f>
        <v>'Pack 3 Provoleta Parrillera / 135 gramos)'</v>
      </c>
      <c r="D264" s="114" t="str">
        <f t="shared" si="8"/>
        <v>INSERT INTO PRODUCTOS (ID_PRODUCTO,NOMBRE) VALUES (263,'Pack 3 Provoleta Parrillera / 135 gramos)');</v>
      </c>
    </row>
    <row r="265" spans="1:4">
      <c r="A265" t="str">
        <f>MID(Precios!B265,1,60)</f>
        <v>Pack 3 Servilleta / 300 unidades c/u</v>
      </c>
      <c r="B265" s="114">
        <f t="shared" si="9"/>
        <v>264</v>
      </c>
      <c r="C265" s="114" t="str">
        <f>CONCATENATE("'",MID(Precios!B265,1,60),"'")</f>
        <v>'Pack 3 Servilleta / 300 unidades c/u'</v>
      </c>
      <c r="D265" s="114" t="str">
        <f t="shared" si="8"/>
        <v>INSERT INTO PRODUCTOS (ID_PRODUCTO,NOMBRE) VALUES (264,'Pack 3 Servilleta / 300 unidades c/u');</v>
      </c>
    </row>
    <row r="266" spans="1:4">
      <c r="A266" t="str">
        <f>MID(Precios!B266,1,60)</f>
        <v>Pack 3 Toalla Jumbo AZUL SWAN 100 mts</v>
      </c>
      <c r="B266" s="114">
        <f t="shared" si="9"/>
        <v>265</v>
      </c>
      <c r="C266" s="114" t="str">
        <f>CONCATENATE("'",MID(Precios!B266,1,60),"'")</f>
        <v>'Pack 3 Toalla Jumbo AZUL SWAN 100 mts'</v>
      </c>
      <c r="D266" s="114" t="str">
        <f t="shared" si="8"/>
        <v>INSERT INTO PRODUCTOS (ID_PRODUCTO,NOMBRE) VALUES (265,'Pack 3 Toalla Jumbo AZUL SWAN 100 mts');</v>
      </c>
    </row>
    <row r="267" spans="1:4">
      <c r="A267" t="str">
        <f>MID(Precios!B267,1,60)</f>
        <v>Pack 3 Toalla Jumbo SWAN D/H / 100 metros</v>
      </c>
      <c r="B267" s="114">
        <f t="shared" si="9"/>
        <v>266</v>
      </c>
      <c r="C267" s="114" t="str">
        <f>CONCATENATE("'",MID(Precios!B267,1,60),"'")</f>
        <v>'Pack 3 Toalla Jumbo SWAN D/H / 100 metros'</v>
      </c>
      <c r="D267" s="114" t="str">
        <f t="shared" si="8"/>
        <v>INSERT INTO PRODUCTOS (ID_PRODUCTO,NOMBRE) VALUES (266,'Pack 3 Toalla Jumbo SWAN D/H / 100 metros');</v>
      </c>
    </row>
    <row r="268" spans="1:4">
      <c r="A268" t="str">
        <f>MID(Precios!B268,1,60)</f>
        <v>Mopa Repuesto</v>
      </c>
      <c r="B268" s="114">
        <f t="shared" si="9"/>
        <v>267</v>
      </c>
      <c r="C268" s="114" t="str">
        <f>CONCATENATE("'",MID(Precios!B268,1,60),"'")</f>
        <v>'Mopa Repuesto'</v>
      </c>
      <c r="D268" s="114" t="str">
        <f t="shared" si="8"/>
        <v>INSERT INTO PRODUCTOS (ID_PRODUCTO,NOMBRE) VALUES (267,'Mopa Repuesto');</v>
      </c>
    </row>
    <row r="269" spans="1:4">
      <c r="A269" t="str">
        <f>MID(Precios!B269,1,60)</f>
        <v>Virutilla Dorada</v>
      </c>
      <c r="B269" s="114">
        <f t="shared" si="9"/>
        <v>268</v>
      </c>
      <c r="C269" s="114" t="str">
        <f>CONCATENATE("'",MID(Precios!B269,1,60),"'")</f>
        <v>'Virutilla Dorada'</v>
      </c>
      <c r="D269" s="114" t="str">
        <f t="shared" si="8"/>
        <v>INSERT INTO PRODUCTOS (ID_PRODUCTO,NOMBRE) VALUES (268,'Virutilla Dorada');</v>
      </c>
    </row>
    <row r="270" spans="1:4">
      <c r="A270" t="str">
        <f>MID(Precios!B270,1,60)</f>
        <v>Pack 3 x Virutilla Dorada</v>
      </c>
      <c r="B270" s="114">
        <f t="shared" si="9"/>
        <v>269</v>
      </c>
      <c r="C270" s="114" t="str">
        <f>CONCATENATE("'",MID(Precios!B270,1,60),"'")</f>
        <v>'Pack 3 x Virutilla Dorada'</v>
      </c>
      <c r="D270" s="114" t="str">
        <f t="shared" si="8"/>
        <v>INSERT INTO PRODUCTOS (ID_PRODUCTO,NOMBRE) VALUES (269,'Pack 3 x Virutilla Dorada');</v>
      </c>
    </row>
    <row r="271" spans="1:4">
      <c r="A271" t="str">
        <f>MID(Precios!B271,1,60)</f>
        <v>Pack 6 x Virutilla Dorada</v>
      </c>
      <c r="B271" s="114">
        <f t="shared" si="9"/>
        <v>270</v>
      </c>
      <c r="C271" s="114" t="str">
        <f>CONCATENATE("'",MID(Precios!B271,1,60),"'")</f>
        <v>'Pack 6 x Virutilla Dorada'</v>
      </c>
      <c r="D271" s="114" t="str">
        <f t="shared" si="8"/>
        <v>INSERT INTO PRODUCTOS (ID_PRODUCTO,NOMBRE) VALUES (270,'Pack 6 x Virutilla Dorada');</v>
      </c>
    </row>
    <row r="272" spans="1:4">
      <c r="A272" t="str">
        <f>MID(Precios!B272,1,60)</f>
        <v>Virutilla Plateada</v>
      </c>
      <c r="B272" s="114">
        <f t="shared" si="9"/>
        <v>271</v>
      </c>
      <c r="C272" s="114" t="str">
        <f>CONCATENATE("'",MID(Precios!B272,1,60),"'")</f>
        <v>'Virutilla Plateada'</v>
      </c>
      <c r="D272" s="114" t="str">
        <f t="shared" si="8"/>
        <v>INSERT INTO PRODUCTOS (ID_PRODUCTO,NOMBRE) VALUES (271,'Virutilla Plateada');</v>
      </c>
    </row>
    <row r="273" spans="1:4">
      <c r="A273" t="str">
        <f>MID(Precios!B273,1,60)</f>
        <v>Pack 3 x Virutilla Plateada</v>
      </c>
      <c r="B273" s="114">
        <f t="shared" si="9"/>
        <v>272</v>
      </c>
      <c r="C273" s="114" t="str">
        <f>CONCATENATE("'",MID(Precios!B273,1,60),"'")</f>
        <v>'Pack 3 x Virutilla Plateada'</v>
      </c>
      <c r="D273" s="114" t="str">
        <f t="shared" si="8"/>
        <v>INSERT INTO PRODUCTOS (ID_PRODUCTO,NOMBRE) VALUES (272,'Pack 3 x Virutilla Plateada');</v>
      </c>
    </row>
    <row r="274" spans="1:4">
      <c r="A274" t="str">
        <f>MID(Precios!B274,1,60)</f>
        <v>Pack 6 x Virutilla Plateada</v>
      </c>
      <c r="B274" s="114">
        <f t="shared" si="9"/>
        <v>273</v>
      </c>
      <c r="C274" s="114" t="str">
        <f>CONCATENATE("'",MID(Precios!B274,1,60),"'")</f>
        <v>'Pack 6 x Virutilla Plateada'</v>
      </c>
      <c r="D274" s="114" t="str">
        <f t="shared" si="8"/>
        <v>INSERT INTO PRODUCTOS (ID_PRODUCTO,NOMBRE) VALUES (273,'Pack 6 x Virutilla Plateada');</v>
      </c>
    </row>
    <row r="275" spans="1:4">
      <c r="A275" t="str">
        <f>MID(Precios!B275,1,60)</f>
        <v>Pack 3 Trapero Húmedo EXCELL</v>
      </c>
      <c r="B275" s="114">
        <f t="shared" si="9"/>
        <v>274</v>
      </c>
      <c r="C275" s="114" t="str">
        <f>CONCATENATE("'",MID(Precios!B275,1,60),"'")</f>
        <v>'Pack 3 Trapero Húmedo EXCELL'</v>
      </c>
      <c r="D275" s="114" t="str">
        <f t="shared" si="8"/>
        <v>INSERT INTO PRODUCTOS (ID_PRODUCTO,NOMBRE) VALUES (274,'Pack 3 Trapero Húmedo EXCELL');</v>
      </c>
    </row>
    <row r="276" spans="1:4">
      <c r="A276" t="str">
        <f>MID(Precios!B276,1,60)</f>
        <v>Pack 3 Trapero Húmedo TEDDY</v>
      </c>
      <c r="B276" s="114">
        <f t="shared" si="9"/>
        <v>275</v>
      </c>
      <c r="C276" s="114" t="str">
        <f>CONCATENATE("'",MID(Precios!B276,1,60),"'")</f>
        <v>'Pack 3 Trapero Húmedo TEDDY'</v>
      </c>
      <c r="D276" s="114" t="str">
        <f t="shared" si="8"/>
        <v>INSERT INTO PRODUCTOS (ID_PRODUCTO,NOMBRE) VALUES (275,'Pack 3 Trapero Húmedo TEDDY');</v>
      </c>
    </row>
    <row r="277" spans="1:4">
      <c r="A277" t="str">
        <f>MID(Precios!B277,1,60)</f>
        <v>Pack 3 Trapero Húmedo VIRGINIA</v>
      </c>
      <c r="B277" s="114">
        <f t="shared" si="9"/>
        <v>276</v>
      </c>
      <c r="C277" s="114" t="str">
        <f>CONCATENATE("'",MID(Precios!B277,1,60),"'")</f>
        <v>'Pack 3 Trapero Húmedo VIRGINIA'</v>
      </c>
      <c r="D277" s="114" t="str">
        <f t="shared" si="8"/>
        <v>INSERT INTO PRODUCTOS (ID_PRODUCTO,NOMBRE) VALUES (276,'Pack 3 Trapero Húmedo VIRGINIA');</v>
      </c>
    </row>
    <row r="278" spans="1:4">
      <c r="A278" t="str">
        <f>MID(Precios!B278,1,60)</f>
        <v>Pack 4 Toalla Jumbo SPUM D/H / 400 metros</v>
      </c>
      <c r="B278" s="114">
        <f t="shared" si="9"/>
        <v>277</v>
      </c>
      <c r="C278" s="114" t="str">
        <f>CONCATENATE("'",MID(Precios!B278,1,60),"'")</f>
        <v>'Pack 4 Toalla Jumbo SPUM D/H / 400 metros'</v>
      </c>
      <c r="D278" s="114" t="str">
        <f t="shared" si="8"/>
        <v>INSERT INTO PRODUCTOS (ID_PRODUCTO,NOMBRE) VALUES (277,'Pack 4 Toalla Jumbo SPUM D/H / 400 metros');</v>
      </c>
    </row>
    <row r="279" spans="1:4">
      <c r="A279" t="str">
        <f>MID(Precios!B279,1,60)</f>
        <v>Pack 4 Toalla NOVA 70 mts</v>
      </c>
      <c r="B279" s="114">
        <f t="shared" si="9"/>
        <v>278</v>
      </c>
      <c r="C279" s="114" t="str">
        <f>CONCATENATE("'",MID(Precios!B279,1,60),"'")</f>
        <v>'Pack 4 Toalla NOVA 70 mts'</v>
      </c>
      <c r="D279" s="114" t="str">
        <f t="shared" si="8"/>
        <v>INSERT INTO PRODUCTOS (ID_PRODUCTO,NOMBRE) VALUES (278,'Pack 4 Toalla NOVA 70 mts');</v>
      </c>
    </row>
    <row r="280" spans="1:4">
      <c r="A280" t="str">
        <f>MID(Precios!B280,1,60)</f>
        <v>Pack 5 Film Plástico 30 Metros</v>
      </c>
      <c r="B280" s="114">
        <f t="shared" si="9"/>
        <v>279</v>
      </c>
      <c r="C280" s="114" t="str">
        <f>CONCATENATE("'",MID(Precios!B280,1,60),"'")</f>
        <v>'Pack 5 Film Plástico 30 Metros'</v>
      </c>
      <c r="D280" s="114" t="str">
        <f t="shared" si="8"/>
        <v>INSERT INTO PRODUCTOS (ID_PRODUCTO,NOMBRE) VALUES (279,'Pack 5 Film Plástico 30 Metros');</v>
      </c>
    </row>
    <row r="281" spans="1:4">
      <c r="A281" t="str">
        <f>MID(Precios!B281,1,60)</f>
        <v>Pack 5 Papel Aluminio 7.5 Metros</v>
      </c>
      <c r="B281" s="114">
        <f t="shared" si="9"/>
        <v>280</v>
      </c>
      <c r="C281" s="114" t="str">
        <f>CONCATENATE("'",MID(Precios!B281,1,60),"'")</f>
        <v>'Pack 5 Papel Aluminio 7.5 Metros'</v>
      </c>
      <c r="D281" s="114" t="str">
        <f t="shared" si="8"/>
        <v>INSERT INTO PRODUCTOS (ID_PRODUCTO,NOMBRE) VALUES (280,'Pack 5 Papel Aluminio 7.5 Metros');</v>
      </c>
    </row>
    <row r="282" spans="1:4">
      <c r="A282" t="str">
        <f>MID(Precios!B282,1,60)</f>
        <v>Pack 5 Provoleta Parrillera / 135 gramos)</v>
      </c>
      <c r="B282" s="114">
        <f t="shared" si="9"/>
        <v>281</v>
      </c>
      <c r="C282" s="114" t="str">
        <f>CONCATENATE("'",MID(Precios!B282,1,60),"'")</f>
        <v>'Pack 5 Provoleta Parrillera / 135 gramos)'</v>
      </c>
      <c r="D282" s="114" t="str">
        <f t="shared" si="8"/>
        <v>INSERT INTO PRODUCTOS (ID_PRODUCTO,NOMBRE) VALUES (281,'Pack 5 Provoleta Parrillera / 135 gramos)');</v>
      </c>
    </row>
    <row r="283" spans="1:4">
      <c r="A283" t="str">
        <f>MID(Precios!B283,1,60)</f>
        <v>Pack 6 Toalla Jumbo SWAN U/H / 100 metros</v>
      </c>
      <c r="B283" s="114">
        <f t="shared" si="9"/>
        <v>282</v>
      </c>
      <c r="C283" s="114" t="str">
        <f>CONCATENATE("'",MID(Precios!B283,1,60),"'")</f>
        <v>'Pack 6 Toalla Jumbo SWAN U/H / 100 metros'</v>
      </c>
      <c r="D283" s="114" t="str">
        <f t="shared" si="8"/>
        <v>INSERT INTO PRODUCTOS (ID_PRODUCTO,NOMBRE) VALUES (282,'Pack 6 Toalla Jumbo SWAN U/H / 100 metros');</v>
      </c>
    </row>
    <row r="284" spans="1:4">
      <c r="A284" t="str">
        <f>MID(Precios!B284,1,60)</f>
        <v>Pack 8 Toalla NOVA 26 mts</v>
      </c>
      <c r="B284" s="114">
        <f t="shared" si="9"/>
        <v>283</v>
      </c>
      <c r="C284" s="114" t="str">
        <f>CONCATENATE("'",MID(Precios!B284,1,60),"'")</f>
        <v>'Pack 8 Toalla NOVA 26 mts'</v>
      </c>
      <c r="D284" s="114" t="str">
        <f t="shared" si="8"/>
        <v>INSERT INTO PRODUCTOS (ID_PRODUCTO,NOMBRE) VALUES (283,'Pack 8 Toalla NOVA 26 mts');</v>
      </c>
    </row>
    <row r="285" spans="1:4">
      <c r="A285" t="str">
        <f>MID(Precios!B285,1,60)</f>
        <v>Paños MultiUso</v>
      </c>
      <c r="B285" s="114">
        <f t="shared" si="9"/>
        <v>284</v>
      </c>
      <c r="C285" s="114" t="str">
        <f>CONCATENATE("'",MID(Precios!B285,1,60),"'")</f>
        <v>'Paños MultiUso'</v>
      </c>
      <c r="D285" s="114" t="str">
        <f t="shared" si="8"/>
        <v>INSERT INTO PRODUCTOS (ID_PRODUCTO,NOMBRE) VALUES (284,'Paños MultiUso');</v>
      </c>
    </row>
    <row r="286" spans="1:4">
      <c r="A286" t="str">
        <f>MID(Precios!B286,1,60)</f>
        <v>3 x Paños MultiUso</v>
      </c>
      <c r="B286" s="114">
        <f t="shared" si="9"/>
        <v>285</v>
      </c>
      <c r="C286" s="114" t="str">
        <f>CONCATENATE("'",MID(Precios!B286,1,60),"'")</f>
        <v>'3 x Paños MultiUso'</v>
      </c>
      <c r="D286" s="114" t="str">
        <f t="shared" si="8"/>
        <v>INSERT INTO PRODUCTOS (ID_PRODUCTO,NOMBRE) VALUES (285,'3 x Paños MultiUso');</v>
      </c>
    </row>
    <row r="287" spans="1:4">
      <c r="A287" t="str">
        <f>MID(Precios!B287,1,60)</f>
        <v>Paños esponja Teddy (3)</v>
      </c>
      <c r="B287" s="114">
        <f t="shared" si="9"/>
        <v>286</v>
      </c>
      <c r="C287" s="114" t="str">
        <f>CONCATENATE("'",MID(Precios!B287,1,60),"'")</f>
        <v>'Paños esponja Teddy (3)'</v>
      </c>
      <c r="D287" s="114" t="str">
        <f t="shared" si="8"/>
        <v>INSERT INTO PRODUCTOS (ID_PRODUCTO,NOMBRE) VALUES (286,'Paños esponja Teddy (3)');</v>
      </c>
    </row>
    <row r="288" spans="1:4">
      <c r="A288" t="str">
        <f>MID(Precios!B288,1,60)</f>
        <v>Paños esponja Teddy (Pack 3)</v>
      </c>
      <c r="B288" s="114">
        <f t="shared" si="9"/>
        <v>287</v>
      </c>
      <c r="C288" s="114" t="str">
        <f>CONCATENATE("'",MID(Precios!B288,1,60),"'")</f>
        <v>'Paños esponja Teddy (Pack 3)'</v>
      </c>
      <c r="D288" s="114" t="str">
        <f t="shared" si="8"/>
        <v>INSERT INTO PRODUCTOS (ID_PRODUCTO,NOMBRE) VALUES (287,'Paños esponja Teddy (Pack 3)');</v>
      </c>
    </row>
    <row r="289" spans="1:4">
      <c r="A289" t="str">
        <f>MID(Precios!B289,1,60)</f>
        <v>Papel Aluminio 100 Metros</v>
      </c>
      <c r="B289" s="114">
        <f t="shared" si="9"/>
        <v>288</v>
      </c>
      <c r="C289" s="114" t="str">
        <f>CONCATENATE("'",MID(Precios!B289,1,60),"'")</f>
        <v>'Papel Aluminio 100 Metros'</v>
      </c>
      <c r="D289" s="114" t="str">
        <f t="shared" si="8"/>
        <v>INSERT INTO PRODUCTOS (ID_PRODUCTO,NOMBRE) VALUES (288,'Papel Aluminio 100 Metros');</v>
      </c>
    </row>
    <row r="290" spans="1:4">
      <c r="A290" t="str">
        <f>MID(Precios!B290,1,60)</f>
        <v>Papel Aluminio 300 Metros</v>
      </c>
      <c r="B290" s="114">
        <f t="shared" si="9"/>
        <v>289</v>
      </c>
      <c r="C290" s="114" t="str">
        <f>CONCATENATE("'",MID(Precios!B290,1,60),"'")</f>
        <v>'Papel Aluminio 300 Metros'</v>
      </c>
      <c r="D290" s="114" t="str">
        <f t="shared" si="8"/>
        <v>INSERT INTO PRODUCTOS (ID_PRODUCTO,NOMBRE) VALUES (289,'Papel Aluminio 300 Metros');</v>
      </c>
    </row>
    <row r="291" spans="1:4">
      <c r="A291" t="str">
        <f>MID(Precios!B291,1,60)</f>
        <v>Papel Aluminio 7.5 Metros</v>
      </c>
      <c r="B291" s="114">
        <f t="shared" si="9"/>
        <v>290</v>
      </c>
      <c r="C291" s="114" t="str">
        <f>CONCATENATE("'",MID(Precios!B291,1,60),"'")</f>
        <v>'Papel Aluminio 7.5 Metros'</v>
      </c>
      <c r="D291" s="114" t="str">
        <f t="shared" si="8"/>
        <v>INSERT INTO PRODUCTOS (ID_PRODUCTO,NOMBRE) VALUES (290,'Papel Aluminio 7.5 Metros');</v>
      </c>
    </row>
    <row r="292" spans="1:4">
      <c r="A292" t="str">
        <f>MID(Precios!B292,1,60)</f>
        <v>Papel Higènico Regio Pack 4 rollos</v>
      </c>
      <c r="B292" s="114">
        <f t="shared" si="9"/>
        <v>291</v>
      </c>
      <c r="C292" s="114" t="str">
        <f>CONCATENATE("'",MID(Precios!B292,1,60),"'")</f>
        <v>'Papel Higènico Regio Pack 4 rollos'</v>
      </c>
      <c r="D292" s="114" t="str">
        <f t="shared" si="8"/>
        <v>INSERT INTO PRODUCTOS (ID_PRODUCTO,NOMBRE) VALUES (291,'Papel Higènico Regio Pack 4 rollos');</v>
      </c>
    </row>
    <row r="293" spans="1:4">
      <c r="A293" t="str">
        <f>MID(Precios!B293,1,60)</f>
        <v>Papel Higènico Spum Pack 6 rollos</v>
      </c>
      <c r="B293" s="114">
        <f t="shared" si="9"/>
        <v>292</v>
      </c>
      <c r="C293" s="114" t="str">
        <f>CONCATENATE("'",MID(Precios!B293,1,60),"'")</f>
        <v>'Papel Higènico Spum Pack 6 rollos'</v>
      </c>
      <c r="D293" s="114" t="str">
        <f t="shared" si="8"/>
        <v>INSERT INTO PRODUCTOS (ID_PRODUCTO,NOMBRE) VALUES (292,'Papel Higènico Spum Pack 6 rollos');</v>
      </c>
    </row>
    <row r="294" spans="1:4">
      <c r="A294" t="str">
        <f>MID(Precios!B294,1,60)</f>
        <v xml:space="preserve">Papel Higiénico ELITE 12 rollos </v>
      </c>
      <c r="B294" s="114">
        <f t="shared" si="9"/>
        <v>293</v>
      </c>
      <c r="C294" s="114" t="str">
        <f>CONCATENATE("'",MID(Precios!B294,1,60),"'")</f>
        <v>'Papel Higiénico ELITE 12 rollos '</v>
      </c>
      <c r="D294" s="114" t="str">
        <f t="shared" si="8"/>
        <v>INSERT INTO PRODUCTOS (ID_PRODUCTO,NOMBRE) VALUES (293,'Papel Higiénico ELITE 12 rollos ');</v>
      </c>
    </row>
    <row r="295" spans="1:4">
      <c r="A295" t="str">
        <f>MID(Precios!B295,1,60)</f>
        <v xml:space="preserve">Papel Higiénico ELITE 24 rollos </v>
      </c>
      <c r="B295" s="114">
        <f t="shared" si="9"/>
        <v>294</v>
      </c>
      <c r="C295" s="114" t="str">
        <f>CONCATENATE("'",MID(Precios!B295,1,60),"'")</f>
        <v>'Papel Higiénico ELITE 24 rollos '</v>
      </c>
      <c r="D295" s="114" t="str">
        <f t="shared" si="8"/>
        <v>INSERT INTO PRODUCTOS (ID_PRODUCTO,NOMBRE) VALUES (294,'Papel Higiénico ELITE 24 rollos ');</v>
      </c>
    </row>
    <row r="296" spans="1:4">
      <c r="A296" t="str">
        <f>MID(Precios!B296,1,60)</f>
        <v xml:space="preserve">Papel Higiénico ELITE 32 rollos </v>
      </c>
      <c r="B296" s="114">
        <f t="shared" si="9"/>
        <v>295</v>
      </c>
      <c r="C296" s="114" t="str">
        <f>CONCATENATE("'",MID(Precios!B296,1,60),"'")</f>
        <v>'Papel Higiénico ELITE 32 rollos '</v>
      </c>
      <c r="D296" s="114" t="str">
        <f t="shared" si="8"/>
        <v>INSERT INTO PRODUCTOS (ID_PRODUCTO,NOMBRE) VALUES (295,'Papel Higiénico ELITE 32 rollos ');</v>
      </c>
    </row>
    <row r="297" spans="1:4">
      <c r="A297" t="str">
        <f>MID(Precios!B297,1,60)</f>
        <v xml:space="preserve">Papel Higiénico ELITE 50 Metros 4 rollos </v>
      </c>
      <c r="B297" s="114">
        <f t="shared" si="9"/>
        <v>296</v>
      </c>
      <c r="C297" s="114" t="str">
        <f>CONCATENATE("'",MID(Precios!B297,1,60),"'")</f>
        <v>'Papel Higiénico ELITE 50 Metros 4 rollos '</v>
      </c>
      <c r="D297" s="114" t="str">
        <f t="shared" si="8"/>
        <v>INSERT INTO PRODUCTOS (ID_PRODUCTO,NOMBRE) VALUES (296,'Papel Higiénico ELITE 50 Metros 4 rollos ');</v>
      </c>
    </row>
    <row r="298" spans="1:4">
      <c r="A298" t="str">
        <f>MID(Precios!B298,1,60)</f>
        <v xml:space="preserve">Papel Higiénico SWAN 400 d/h 12 rollos </v>
      </c>
      <c r="B298" s="114">
        <f t="shared" si="9"/>
        <v>297</v>
      </c>
      <c r="C298" s="114" t="str">
        <f>CONCATENATE("'",MID(Precios!B298,1,60),"'")</f>
        <v>'Papel Higiénico SWAN 400 d/h 12 rollos '</v>
      </c>
      <c r="D298" s="114" t="str">
        <f t="shared" si="8"/>
        <v>INSERT INTO PRODUCTOS (ID_PRODUCTO,NOMBRE) VALUES (297,'Papel Higiénico SWAN 400 d/h 12 rollos ');</v>
      </c>
    </row>
    <row r="299" spans="1:4">
      <c r="A299" t="str">
        <f>MID(Precios!B299,1,60)</f>
        <v xml:space="preserve">Papel Higiénico SWAN 400 d/h 4 rollos </v>
      </c>
      <c r="B299" s="114">
        <f t="shared" si="9"/>
        <v>298</v>
      </c>
      <c r="C299" s="114" t="str">
        <f>CONCATENATE("'",MID(Precios!B299,1,60),"'")</f>
        <v>'Papel Higiénico SWAN 400 d/h 4 rollos '</v>
      </c>
      <c r="D299" s="114" t="str">
        <f t="shared" si="8"/>
        <v>INSERT INTO PRODUCTOS (ID_PRODUCTO,NOMBRE) VALUES (298,'Papel Higiénico SWAN 400 d/h 4 rollos ');</v>
      </c>
    </row>
    <row r="300" spans="1:4">
      <c r="A300" t="str">
        <f>MID(Precios!B300,1,60)</f>
        <v xml:space="preserve">Papel Higiénico SWAN 50 mts 4 rollos </v>
      </c>
      <c r="B300" s="114">
        <f t="shared" si="9"/>
        <v>299</v>
      </c>
      <c r="C300" s="114" t="str">
        <f>CONCATENATE("'",MID(Precios!B300,1,60),"'")</f>
        <v>'Papel Higiénico SWAN 50 mts 4 rollos '</v>
      </c>
      <c r="D300" s="114" t="str">
        <f t="shared" si="8"/>
        <v>INSERT INTO PRODUCTOS (ID_PRODUCTO,NOMBRE) VALUES (299,'Papel Higiénico SWAN 50 mts 4 rollos ');</v>
      </c>
    </row>
    <row r="301" spans="1:4">
      <c r="A301" t="str">
        <f>MID(Precios!B301,1,60)</f>
        <v xml:space="preserve">Papel Higiénico SWAN 50 mts d/h 12 rollos </v>
      </c>
      <c r="B301" s="114">
        <f t="shared" si="9"/>
        <v>300</v>
      </c>
      <c r="C301" s="114" t="str">
        <f>CONCATENATE("'",MID(Precios!B301,1,60),"'")</f>
        <v>'Papel Higiénico SWAN 50 mts d/h 12 rollos '</v>
      </c>
      <c r="D301" s="114" t="str">
        <f t="shared" si="8"/>
        <v>INSERT INTO PRODUCTOS (ID_PRODUCTO,NOMBRE) VALUES (300,'Papel Higiénico SWAN 50 mts d/h 12 rollos ');</v>
      </c>
    </row>
    <row r="302" spans="1:4">
      <c r="A302" t="str">
        <f>MID(Precios!B302,1,60)</f>
        <v>Pasas Rubias / 100 gramos</v>
      </c>
      <c r="B302" s="114">
        <f t="shared" si="9"/>
        <v>301</v>
      </c>
      <c r="C302" s="114" t="str">
        <f>CONCATENATE("'",MID(Precios!B302,1,60),"'")</f>
        <v>'Pasas Rubias / 100 gramos'</v>
      </c>
      <c r="D302" s="114" t="str">
        <f t="shared" si="8"/>
        <v>INSERT INTO PRODUCTOS (ID_PRODUCTO,NOMBRE) VALUES (301,'Pasas Rubias / 100 gramos');</v>
      </c>
    </row>
    <row r="303" spans="1:4">
      <c r="A303" t="str">
        <f>MID(Precios!B303,1,60)</f>
        <v>Pasas Rubias / 1000 gramos</v>
      </c>
      <c r="B303" s="114">
        <f t="shared" si="9"/>
        <v>302</v>
      </c>
      <c r="C303" s="114" t="str">
        <f>CONCATENATE("'",MID(Precios!B303,1,60),"'")</f>
        <v>'Pasas Rubias / 1000 gramos'</v>
      </c>
      <c r="D303" s="114" t="str">
        <f t="shared" si="8"/>
        <v>INSERT INTO PRODUCTOS (ID_PRODUCTO,NOMBRE) VALUES (302,'Pasas Rubias / 1000 gramos');</v>
      </c>
    </row>
    <row r="304" spans="1:4">
      <c r="A304" t="str">
        <f>MID(Precios!B304,1,60)</f>
        <v>Pasas Rubias / 250 gramos</v>
      </c>
      <c r="B304" s="114">
        <f t="shared" si="9"/>
        <v>303</v>
      </c>
      <c r="C304" s="114" t="str">
        <f>CONCATENATE("'",MID(Precios!B304,1,60),"'")</f>
        <v>'Pasas Rubias / 250 gramos'</v>
      </c>
      <c r="D304" s="114" t="str">
        <f t="shared" si="8"/>
        <v>INSERT INTO PRODUCTOS (ID_PRODUCTO,NOMBRE) VALUES (303,'Pasas Rubias / 250 gramos');</v>
      </c>
    </row>
    <row r="305" spans="1:4">
      <c r="A305" t="str">
        <f>MID(Precios!B305,1,60)</f>
        <v>Pasas Rubias / 45 gramos</v>
      </c>
      <c r="B305" s="114">
        <f t="shared" si="9"/>
        <v>304</v>
      </c>
      <c r="C305" s="114" t="str">
        <f>CONCATENATE("'",MID(Precios!B305,1,60),"'")</f>
        <v>'Pasas Rubias / 45 gramos'</v>
      </c>
      <c r="D305" s="114" t="str">
        <f t="shared" si="8"/>
        <v>INSERT INTO PRODUCTOS (ID_PRODUCTO,NOMBRE) VALUES (304,'Pasas Rubias / 45 gramos');</v>
      </c>
    </row>
    <row r="306" spans="1:4">
      <c r="A306" t="str">
        <f>MID(Precios!B306,1,60)</f>
        <v>Pasas Rubias / 500 gramos</v>
      </c>
      <c r="B306" s="114">
        <f t="shared" si="9"/>
        <v>305</v>
      </c>
      <c r="C306" s="114" t="str">
        <f>CONCATENATE("'",MID(Precios!B306,1,60),"'")</f>
        <v>'Pasas Rubias / 500 gramos'</v>
      </c>
      <c r="D306" s="114" t="str">
        <f t="shared" si="8"/>
        <v>INSERT INTO PRODUCTOS (ID_PRODUCTO,NOMBRE) VALUES (305,'Pasas Rubias / 500 gramos');</v>
      </c>
    </row>
    <row r="307" spans="1:4">
      <c r="A307" t="str">
        <f>MID(Precios!B307,1,60)</f>
        <v>Pistachos / 100 gramos</v>
      </c>
      <c r="B307" s="114">
        <f t="shared" si="9"/>
        <v>306</v>
      </c>
      <c r="C307" s="114" t="str">
        <f>CONCATENATE("'",MID(Precios!B307,1,60),"'")</f>
        <v>'Pistachos / 100 gramos'</v>
      </c>
      <c r="D307" s="114" t="str">
        <f t="shared" si="8"/>
        <v>INSERT INTO PRODUCTOS (ID_PRODUCTO,NOMBRE) VALUES (306,'Pistachos / 100 gramos');</v>
      </c>
    </row>
    <row r="308" spans="1:4">
      <c r="A308" t="str">
        <f>MID(Precios!B308,1,60)</f>
        <v>Pistachos / 200 gramos</v>
      </c>
      <c r="B308" s="114">
        <f t="shared" si="9"/>
        <v>307</v>
      </c>
      <c r="C308" s="114" t="str">
        <f>CONCATENATE("'",MID(Precios!B308,1,60),"'")</f>
        <v>'Pistachos / 200 gramos'</v>
      </c>
      <c r="D308" s="114" t="str">
        <f t="shared" si="8"/>
        <v>INSERT INTO PRODUCTOS (ID_PRODUCTO,NOMBRE) VALUES (307,'Pistachos / 200 gramos');</v>
      </c>
    </row>
    <row r="309" spans="1:4">
      <c r="A309" t="str">
        <f>MID(Precios!B309,1,60)</f>
        <v>Pistachos / 250 gramos</v>
      </c>
      <c r="B309" s="114">
        <f t="shared" si="9"/>
        <v>308</v>
      </c>
      <c r="C309" s="114" t="str">
        <f>CONCATENATE("'",MID(Precios!B309,1,60),"'")</f>
        <v>'Pistachos / 250 gramos'</v>
      </c>
      <c r="D309" s="114" t="str">
        <f t="shared" si="8"/>
        <v>INSERT INTO PRODUCTOS (ID_PRODUCTO,NOMBRE) VALUES (308,'Pistachos / 250 gramos');</v>
      </c>
    </row>
    <row r="310" spans="1:4">
      <c r="A310" t="str">
        <f>MID(Precios!B310,1,60)</f>
        <v>Pistachos / 250 gramos</v>
      </c>
      <c r="B310" s="114">
        <f t="shared" si="9"/>
        <v>309</v>
      </c>
      <c r="C310" s="114" t="str">
        <f>CONCATENATE("'",MID(Precios!B310,1,60),"'")</f>
        <v>'Pistachos / 250 gramos'</v>
      </c>
      <c r="D310" s="114" t="str">
        <f t="shared" si="8"/>
        <v>INSERT INTO PRODUCTOS (ID_PRODUCTO,NOMBRE) VALUES (309,'Pistachos / 250 gramos');</v>
      </c>
    </row>
    <row r="311" spans="1:4">
      <c r="A311" t="str">
        <f>MID(Precios!B311,1,60)</f>
        <v>Pistachos / 40 gramos</v>
      </c>
      <c r="B311" s="114">
        <f t="shared" si="9"/>
        <v>310</v>
      </c>
      <c r="C311" s="114" t="str">
        <f>CONCATENATE("'",MID(Precios!B311,1,60),"'")</f>
        <v>'Pistachos / 40 gramos'</v>
      </c>
      <c r="D311" s="114" t="str">
        <f t="shared" si="8"/>
        <v>INSERT INTO PRODUCTOS (ID_PRODUCTO,NOMBRE) VALUES (310,'Pistachos / 40 gramos');</v>
      </c>
    </row>
    <row r="312" spans="1:4">
      <c r="A312" t="str">
        <f>MID(Precios!B312,1,60)</f>
        <v>Pistachos / 400 gramos</v>
      </c>
      <c r="B312" s="114">
        <f t="shared" si="9"/>
        <v>311</v>
      </c>
      <c r="C312" s="114" t="str">
        <f>CONCATENATE("'",MID(Precios!B312,1,60),"'")</f>
        <v>'Pistachos / 400 gramos'</v>
      </c>
      <c r="D312" s="114" t="str">
        <f t="shared" si="8"/>
        <v>INSERT INTO PRODUCTOS (ID_PRODUCTO,NOMBRE) VALUES (311,'Pistachos / 400 gramos');</v>
      </c>
    </row>
    <row r="313" spans="1:4">
      <c r="A313" t="str">
        <f>MID(Precios!B313,1,60)</f>
        <v>Pistachos / 500 gramos</v>
      </c>
      <c r="B313" s="114">
        <f t="shared" si="9"/>
        <v>312</v>
      </c>
      <c r="C313" s="114" t="str">
        <f>CONCATENATE("'",MID(Precios!B313,1,60),"'")</f>
        <v>'Pistachos / 500 gramos'</v>
      </c>
      <c r="D313" s="114" t="str">
        <f t="shared" si="8"/>
        <v>INSERT INTO PRODUCTOS (ID_PRODUCTO,NOMBRE) VALUES (312,'Pistachos / 500 gramos');</v>
      </c>
    </row>
    <row r="314" spans="1:4">
      <c r="A314" t="str">
        <f>MID(Precios!B314,1,60)</f>
        <v>Platanos / 1000 gramos</v>
      </c>
      <c r="B314" s="114">
        <f t="shared" si="9"/>
        <v>313</v>
      </c>
      <c r="C314" s="114" t="str">
        <f>CONCATENATE("'",MID(Precios!B314,1,60),"'")</f>
        <v>'Platanos / 1000 gramos'</v>
      </c>
      <c r="D314" s="114" t="str">
        <f t="shared" si="8"/>
        <v>INSERT INTO PRODUCTOS (ID_PRODUCTO,NOMBRE) VALUES (313,'Platanos / 1000 gramos');</v>
      </c>
    </row>
    <row r="315" spans="1:4">
      <c r="A315" t="str">
        <f>MID(Precios!B315,1,60)</f>
        <v>Platanos / 200 gramos</v>
      </c>
      <c r="B315" s="114">
        <f t="shared" si="9"/>
        <v>314</v>
      </c>
      <c r="C315" s="114" t="str">
        <f>CONCATENATE("'",MID(Precios!B315,1,60),"'")</f>
        <v>'Platanos / 200 gramos'</v>
      </c>
      <c r="D315" s="114" t="str">
        <f t="shared" si="8"/>
        <v>INSERT INTO PRODUCTOS (ID_PRODUCTO,NOMBRE) VALUES (314,'Platanos / 200 gramos');</v>
      </c>
    </row>
    <row r="316" spans="1:4">
      <c r="A316" t="str">
        <f>MID(Precios!B316,1,60)</f>
        <v>Platanos / 250 gramos</v>
      </c>
      <c r="B316" s="114">
        <f t="shared" si="9"/>
        <v>315</v>
      </c>
      <c r="C316" s="114" t="str">
        <f>CONCATENATE("'",MID(Precios!B316,1,60),"'")</f>
        <v>'Platanos / 250 gramos'</v>
      </c>
      <c r="D316" s="114" t="str">
        <f t="shared" si="8"/>
        <v>INSERT INTO PRODUCTOS (ID_PRODUCTO,NOMBRE) VALUES (315,'Platanos / 250 gramos');</v>
      </c>
    </row>
    <row r="317" spans="1:4">
      <c r="A317" t="str">
        <f>MID(Precios!B317,1,60)</f>
        <v>Platanos / 42 gramos</v>
      </c>
      <c r="B317" s="114">
        <f t="shared" si="9"/>
        <v>316</v>
      </c>
      <c r="C317" s="114" t="str">
        <f>CONCATENATE("'",MID(Precios!B317,1,60),"'")</f>
        <v>'Platanos / 42 gramos'</v>
      </c>
      <c r="D317" s="114" t="str">
        <f t="shared" si="8"/>
        <v>INSERT INTO PRODUCTOS (ID_PRODUCTO,NOMBRE) VALUES (316,'Platanos / 42 gramos');</v>
      </c>
    </row>
    <row r="318" spans="1:4">
      <c r="A318" t="str">
        <f>MID(Precios!B318,1,60)</f>
        <v>Platanos / 750 gramos</v>
      </c>
      <c r="B318" s="114">
        <f t="shared" si="9"/>
        <v>317</v>
      </c>
      <c r="C318" s="114" t="str">
        <f>CONCATENATE("'",MID(Precios!B318,1,60),"'")</f>
        <v>'Platanos / 750 gramos'</v>
      </c>
      <c r="D318" s="114" t="str">
        <f t="shared" si="8"/>
        <v>INSERT INTO PRODUCTOS (ID_PRODUCTO,NOMBRE) VALUES (317,'Platanos / 750 gramos');</v>
      </c>
    </row>
    <row r="319" spans="1:4">
      <c r="A319" t="str">
        <f>MID(Precios!B319,1,60)</f>
        <v>Porotos / 1000 gramos</v>
      </c>
      <c r="B319" s="114">
        <f t="shared" si="9"/>
        <v>318</v>
      </c>
      <c r="C319" s="114" t="str">
        <f>CONCATENATE("'",MID(Precios!B319,1,60),"'")</f>
        <v>'Porotos / 1000 gramos'</v>
      </c>
      <c r="D319" s="114" t="str">
        <f t="shared" si="8"/>
        <v>INSERT INTO PRODUCTOS (ID_PRODUCTO,NOMBRE) VALUES (318,'Porotos / 1000 gramos');</v>
      </c>
    </row>
    <row r="320" spans="1:4">
      <c r="A320" t="str">
        <f>MID(Precios!B320,1,60)</f>
        <v>Provoleta Parrillera / 135 gramos)</v>
      </c>
      <c r="B320" s="114">
        <f t="shared" si="9"/>
        <v>319</v>
      </c>
      <c r="C320" s="114" t="str">
        <f>CONCATENATE("'",MID(Precios!B320,1,60),"'")</f>
        <v>'Provoleta Parrillera / 135 gramos)'</v>
      </c>
      <c r="D320" s="114" t="str">
        <f t="shared" si="8"/>
        <v>INSERT INTO PRODUCTOS (ID_PRODUCTO,NOMBRE) VALUES (319,'Provoleta Parrillera / 135 gramos)');</v>
      </c>
    </row>
    <row r="321" spans="1:4">
      <c r="A321" t="str">
        <f>MID(Precios!B321,1,60)</f>
        <v>Queso Mantecoso Laminado / 1000 gramos</v>
      </c>
      <c r="B321" s="114">
        <f t="shared" si="9"/>
        <v>320</v>
      </c>
      <c r="C321" s="114" t="str">
        <f>CONCATENATE("'",MID(Precios!B321,1,60),"'")</f>
        <v>'Queso Mantecoso Laminado / 1000 gramos'</v>
      </c>
      <c r="D321" s="114" t="str">
        <f t="shared" si="8"/>
        <v>INSERT INTO PRODUCTOS (ID_PRODUCTO,NOMBRE) VALUES (320,'Queso Mantecoso Laminado / 1000 gramos');</v>
      </c>
    </row>
    <row r="322" spans="1:4">
      <c r="A322" t="str">
        <f>MID(Precios!B322,1,60)</f>
        <v>Queso Mantecoso Laminado / 500 gramos</v>
      </c>
      <c r="B322" s="114">
        <f t="shared" si="9"/>
        <v>321</v>
      </c>
      <c r="C322" s="114" t="str">
        <f>CONCATENATE("'",MID(Precios!B322,1,60),"'")</f>
        <v>'Queso Mantecoso Laminado / 500 gramos'</v>
      </c>
      <c r="D322" s="114" t="str">
        <f t="shared" si="8"/>
        <v>INSERT INTO PRODUCTOS (ID_PRODUCTO,NOMBRE) VALUES (321,'Queso Mantecoso Laminado / 500 gramos');</v>
      </c>
    </row>
    <row r="323" spans="1:4">
      <c r="A323" t="str">
        <f>MID(Precios!B323,1,60)</f>
        <v>Queso Mantecoso Laminado / 750 gramos</v>
      </c>
      <c r="B323" s="114">
        <f t="shared" si="9"/>
        <v>322</v>
      </c>
      <c r="C323" s="114" t="str">
        <f>CONCATENATE("'",MID(Precios!B323,1,60),"'")</f>
        <v>'Queso Mantecoso Laminado / 750 gramos'</v>
      </c>
      <c r="D323" s="114" t="str">
        <f t="shared" ref="D323:D386" si="10">CONCATENATE("INSERT INTO PRODUCTOS (ID_PRODUCTO,NOMBRE) VALUES (",B323,",",C323,");")</f>
        <v>INSERT INTO PRODUCTOS (ID_PRODUCTO,NOMBRE) VALUES (322,'Queso Mantecoso Laminado / 750 gramos');</v>
      </c>
    </row>
    <row r="324" spans="1:4">
      <c r="A324" t="str">
        <f>MID(Precios!B324,1,60)</f>
        <v>Queso Mantecoso Laminado / 250 gramos</v>
      </c>
      <c r="B324" s="114">
        <f t="shared" ref="B324:B387" si="11">B323+1</f>
        <v>323</v>
      </c>
      <c r="C324" s="114" t="str">
        <f>CONCATENATE("'",MID(Precios!B324,1,60),"'")</f>
        <v>'Queso Mantecoso Laminado / 250 gramos'</v>
      </c>
      <c r="D324" s="114" t="str">
        <f t="shared" si="10"/>
        <v>INSERT INTO PRODUCTOS (ID_PRODUCTO,NOMBRE) VALUES (323,'Queso Mantecoso Laminado / 250 gramos');</v>
      </c>
    </row>
    <row r="325" spans="1:4">
      <c r="A325" t="str">
        <f>MID(Precios!B325,1,60)</f>
        <v>Queso Mantecoso / 1000 gramos</v>
      </c>
      <c r="B325" s="114">
        <f t="shared" si="11"/>
        <v>324</v>
      </c>
      <c r="C325" s="114" t="str">
        <f>CONCATENATE("'",MID(Precios!B325,1,60),"'")</f>
        <v>'Queso Mantecoso / 1000 gramos'</v>
      </c>
      <c r="D325" s="114" t="str">
        <f t="shared" si="10"/>
        <v>INSERT INTO PRODUCTOS (ID_PRODUCTO,NOMBRE) VALUES (324,'Queso Mantecoso / 1000 gramos');</v>
      </c>
    </row>
    <row r="326" spans="1:4">
      <c r="A326" t="str">
        <f>MID(Precios!B326,1,60)</f>
        <v>Queso Mantecoso / 950 gramos</v>
      </c>
      <c r="B326" s="114">
        <f t="shared" si="11"/>
        <v>325</v>
      </c>
      <c r="C326" s="114" t="str">
        <f>CONCATENATE("'",MID(Precios!B326,1,60),"'")</f>
        <v>'Queso Mantecoso / 950 gramos'</v>
      </c>
      <c r="D326" s="114" t="str">
        <f t="shared" si="10"/>
        <v>INSERT INTO PRODUCTOS (ID_PRODUCTO,NOMBRE) VALUES (325,'Queso Mantecoso / 950 gramos');</v>
      </c>
    </row>
    <row r="327" spans="1:4">
      <c r="A327" t="str">
        <f>MID(Precios!B327,1,60)</f>
        <v>Queso Mantecoso / 150 gramos</v>
      </c>
      <c r="B327" s="114">
        <f t="shared" si="11"/>
        <v>326</v>
      </c>
      <c r="C327" s="114" t="str">
        <f>CONCATENATE("'",MID(Precios!B327,1,60),"'")</f>
        <v>'Queso Mantecoso / 150 gramos'</v>
      </c>
      <c r="D327" s="114" t="str">
        <f t="shared" si="10"/>
        <v>INSERT INTO PRODUCTOS (ID_PRODUCTO,NOMBRE) VALUES (326,'Queso Mantecoso / 150 gramos');</v>
      </c>
    </row>
    <row r="328" spans="1:4">
      <c r="A328" t="str">
        <f>MID(Precios!B328,1,60)</f>
        <v>Queso Mantecoso / 250 gramos</v>
      </c>
      <c r="B328" s="114">
        <f t="shared" si="11"/>
        <v>327</v>
      </c>
      <c r="C328" s="114" t="str">
        <f>CONCATENATE("'",MID(Precios!B328,1,60),"'")</f>
        <v>'Queso Mantecoso / 250 gramos'</v>
      </c>
      <c r="D328" s="114" t="str">
        <f t="shared" si="10"/>
        <v>INSERT INTO PRODUCTOS (ID_PRODUCTO,NOMBRE) VALUES (327,'Queso Mantecoso / 250 gramos');</v>
      </c>
    </row>
    <row r="329" spans="1:4">
      <c r="A329" t="str">
        <f>MID(Precios!B329,1,60)</f>
        <v>Queso Mantecoso / 417 gramos</v>
      </c>
      <c r="B329" s="114">
        <f t="shared" si="11"/>
        <v>328</v>
      </c>
      <c r="C329" s="114" t="str">
        <f>CONCATENATE("'",MID(Precios!B329,1,60),"'")</f>
        <v>'Queso Mantecoso / 417 gramos'</v>
      </c>
      <c r="D329" s="114" t="str">
        <f t="shared" si="10"/>
        <v>INSERT INTO PRODUCTOS (ID_PRODUCTO,NOMBRE) VALUES (328,'Queso Mantecoso / 417 gramos');</v>
      </c>
    </row>
    <row r="330" spans="1:4">
      <c r="A330" t="str">
        <f>MID(Precios!B330,1,60)</f>
        <v>Queso Mantecoso / 500 gramos</v>
      </c>
      <c r="B330" s="114">
        <f t="shared" si="11"/>
        <v>329</v>
      </c>
      <c r="C330" s="114" t="str">
        <f>CONCATENATE("'",MID(Precios!B330,1,60),"'")</f>
        <v>'Queso Mantecoso / 500 gramos'</v>
      </c>
      <c r="D330" s="114" t="str">
        <f t="shared" si="10"/>
        <v>INSERT INTO PRODUCTOS (ID_PRODUCTO,NOMBRE) VALUES (329,'Queso Mantecoso / 500 gramos');</v>
      </c>
    </row>
    <row r="331" spans="1:4">
      <c r="A331" t="str">
        <f>MID(Precios!B331,1,60)</f>
        <v>Queso Rueda Cabra / 200 gramos)</v>
      </c>
      <c r="B331" s="114">
        <f t="shared" si="11"/>
        <v>330</v>
      </c>
      <c r="C331" s="114" t="str">
        <f>CONCATENATE("'",MID(Precios!B331,1,60),"'")</f>
        <v>'Queso Rueda Cabra / 200 gramos)'</v>
      </c>
      <c r="D331" s="114" t="str">
        <f t="shared" si="10"/>
        <v>INSERT INTO PRODUCTOS (ID_PRODUCTO,NOMBRE) VALUES (330,'Queso Rueda Cabra / 200 gramos)');</v>
      </c>
    </row>
    <row r="332" spans="1:4">
      <c r="A332" t="str">
        <f>MID(Precios!B332,1,60)</f>
        <v>Queso Rueda Sabores / 200 gramos)</v>
      </c>
      <c r="B332" s="114">
        <f t="shared" si="11"/>
        <v>331</v>
      </c>
      <c r="C332" s="114" t="str">
        <f>CONCATENATE("'",MID(Precios!B332,1,60),"'")</f>
        <v>'Queso Rueda Sabores / 200 gramos)'</v>
      </c>
      <c r="D332" s="114" t="str">
        <f t="shared" si="10"/>
        <v>INSERT INTO PRODUCTOS (ID_PRODUCTO,NOMBRE) VALUES (331,'Queso Rueda Sabores / 200 gramos)');</v>
      </c>
    </row>
    <row r="333" spans="1:4">
      <c r="A333" t="str">
        <f>MID(Precios!B333,1,60)</f>
        <v>Quix 750 cc</v>
      </c>
      <c r="B333" s="114">
        <f t="shared" si="11"/>
        <v>332</v>
      </c>
      <c r="C333" s="114" t="str">
        <f>CONCATENATE("'",MID(Precios!B333,1,60),"'")</f>
        <v>'Quix 750 cc'</v>
      </c>
      <c r="D333" s="114" t="str">
        <f t="shared" si="10"/>
        <v>INSERT INTO PRODUCTOS (ID_PRODUCTO,NOMBRE) VALUES (332,'Quix 750 cc');</v>
      </c>
    </row>
    <row r="334" spans="1:4">
      <c r="A334" t="str">
        <f>MID(Precios!B334,1,60)</f>
        <v>REMATE: Caja Servilletas / $13000</v>
      </c>
      <c r="B334" s="114">
        <f t="shared" si="11"/>
        <v>333</v>
      </c>
      <c r="C334" s="114" t="str">
        <f>CONCATENATE("'",MID(Precios!B334,1,60),"'")</f>
        <v>'REMATE: Caja Servilletas / $13000'</v>
      </c>
      <c r="D334" s="114" t="str">
        <f t="shared" si="10"/>
        <v>INSERT INTO PRODUCTOS (ID_PRODUCTO,NOMBRE) VALUES (333,'REMATE: Caja Servilletas / $13000');</v>
      </c>
    </row>
    <row r="335" spans="1:4">
      <c r="A335" t="str">
        <f>MID(Precios!B335,1,60)</f>
        <v>REMATE: Manga Papel Higienico (48)</v>
      </c>
      <c r="B335" s="114">
        <f t="shared" si="11"/>
        <v>334</v>
      </c>
      <c r="C335" s="114" t="str">
        <f>CONCATENATE("'",MID(Precios!B335,1,60),"'")</f>
        <v>'REMATE: Manga Papel Higienico (48)'</v>
      </c>
      <c r="D335" s="114" t="str">
        <f t="shared" si="10"/>
        <v>INSERT INTO PRODUCTOS (ID_PRODUCTO,NOMBRE) VALUES (334,'REMATE: Manga Papel Higienico (48)');</v>
      </c>
    </row>
    <row r="336" spans="1:4">
      <c r="A336" t="str">
        <f>MID(Precios!B336,1,60)</f>
        <v>REMATE: Manga Toalla Nova (24)</v>
      </c>
      <c r="B336" s="114">
        <f t="shared" si="11"/>
        <v>335</v>
      </c>
      <c r="C336" s="114" t="str">
        <f>CONCATENATE("'",MID(Precios!B336,1,60),"'")</f>
        <v>'REMATE: Manga Toalla Nova (24)'</v>
      </c>
      <c r="D336" s="114" t="str">
        <f t="shared" si="10"/>
        <v>INSERT INTO PRODUCTOS (ID_PRODUCTO,NOMBRE) VALUES (335,'REMATE: Manga Toalla Nova (24)');</v>
      </c>
    </row>
    <row r="337" spans="1:4">
      <c r="A337" t="str">
        <f>MID(Precios!B337,1,60)</f>
        <v>REMATE: Toalla Nova 1 hoja(4)</v>
      </c>
      <c r="B337" s="114">
        <f t="shared" si="11"/>
        <v>336</v>
      </c>
      <c r="C337" s="114" t="str">
        <f>CONCATENATE("'",MID(Precios!B337,1,60),"'")</f>
        <v>'REMATE: Toalla Nova 1 hoja(4)'</v>
      </c>
      <c r="D337" s="114" t="str">
        <f t="shared" si="10"/>
        <v>INSERT INTO PRODUCTOS (ID_PRODUCTO,NOMBRE) VALUES (336,'REMATE: Toalla Nova 1 hoja(4)');</v>
      </c>
    </row>
    <row r="338" spans="1:4">
      <c r="A338" t="str">
        <f>MID(Precios!B338,1,60)</f>
        <v>REMATE: Toalla Nova Doble hoja(4)</v>
      </c>
      <c r="B338" s="114">
        <f t="shared" si="11"/>
        <v>337</v>
      </c>
      <c r="C338" s="114" t="str">
        <f>CONCATENATE("'",MID(Precios!B338,1,60),"'")</f>
        <v>'REMATE: Toalla Nova Doble hoja(4)'</v>
      </c>
      <c r="D338" s="114" t="str">
        <f t="shared" si="10"/>
        <v>INSERT INTO PRODUCTOS (ID_PRODUCTO,NOMBRE) VALUES (337,'REMATE: Toalla Nova Doble hoja(4)');</v>
      </c>
    </row>
    <row r="339" spans="1:4">
      <c r="A339" t="str">
        <f>MID(Precios!B339,1,60)</f>
        <v>Rocklets / 250 gramos / $1400</v>
      </c>
      <c r="B339" s="114">
        <f t="shared" si="11"/>
        <v>338</v>
      </c>
      <c r="C339" s="114" t="str">
        <f>CONCATENATE("'",MID(Precios!B339,1,60),"'")</f>
        <v>'Rocklets / 250 gramos / $1400'</v>
      </c>
      <c r="D339" s="114" t="str">
        <f t="shared" si="10"/>
        <v>INSERT INTO PRODUCTOS (ID_PRODUCTO,NOMBRE) VALUES (338,'Rocklets / 250 gramos / $1400');</v>
      </c>
    </row>
    <row r="340" spans="1:4">
      <c r="A340" t="str">
        <f>MID(Precios!B340,1,60)</f>
        <v>Rocklets / 50 gramos / $500</v>
      </c>
      <c r="B340" s="114">
        <f t="shared" si="11"/>
        <v>339</v>
      </c>
      <c r="C340" s="114" t="str">
        <f>CONCATENATE("'",MID(Precios!B340,1,60),"'")</f>
        <v>'Rocklets / 50 gramos / $500'</v>
      </c>
      <c r="D340" s="114" t="str">
        <f t="shared" si="10"/>
        <v>INSERT INTO PRODUCTOS (ID_PRODUCTO,NOMBRE) VALUES (339,'Rocklets / 50 gramos / $500');</v>
      </c>
    </row>
    <row r="341" spans="1:4">
      <c r="A341" t="str">
        <f>MID(Precios!B341,1,60)</f>
        <v>Semillas Chia / 1000 gramos</v>
      </c>
      <c r="B341" s="114">
        <f t="shared" si="11"/>
        <v>340</v>
      </c>
      <c r="C341" s="114" t="str">
        <f>CONCATENATE("'",MID(Precios!B341,1,60),"'")</f>
        <v>'Semillas Chia / 1000 gramos'</v>
      </c>
      <c r="D341" s="114" t="str">
        <f t="shared" si="10"/>
        <v>INSERT INTO PRODUCTOS (ID_PRODUCTO,NOMBRE) VALUES (340,'Semillas Chia / 1000 gramos');</v>
      </c>
    </row>
    <row r="342" spans="1:4">
      <c r="A342" t="str">
        <f>MID(Precios!B342,1,60)</f>
        <v>Semillas Chia / 250 gramos</v>
      </c>
      <c r="B342" s="114">
        <f t="shared" si="11"/>
        <v>341</v>
      </c>
      <c r="C342" s="114" t="str">
        <f>CONCATENATE("'",MID(Precios!B342,1,60),"'")</f>
        <v>'Semillas Chia / 250 gramos'</v>
      </c>
      <c r="D342" s="114" t="str">
        <f t="shared" si="10"/>
        <v>INSERT INTO PRODUCTOS (ID_PRODUCTO,NOMBRE) VALUES (341,'Semillas Chia / 250 gramos');</v>
      </c>
    </row>
    <row r="343" spans="1:4">
      <c r="A343" t="str">
        <f>MID(Precios!B343,1,60)</f>
        <v>Semillas Chia / 50 gramos</v>
      </c>
      <c r="B343" s="114">
        <f t="shared" si="11"/>
        <v>342</v>
      </c>
      <c r="C343" s="114" t="str">
        <f>CONCATENATE("'",MID(Precios!B343,1,60),"'")</f>
        <v>'Semillas Chia / 50 gramos'</v>
      </c>
      <c r="D343" s="114" t="str">
        <f t="shared" si="10"/>
        <v>INSERT INTO PRODUCTOS (ID_PRODUCTO,NOMBRE) VALUES (342,'Semillas Chia / 50 gramos');</v>
      </c>
    </row>
    <row r="344" spans="1:4">
      <c r="A344" t="str">
        <f>MID(Precios!B344,1,60)</f>
        <v>Semillas Chia / 500 gramos</v>
      </c>
      <c r="B344" s="114">
        <f t="shared" si="11"/>
        <v>343</v>
      </c>
      <c r="C344" s="114" t="str">
        <f>CONCATENATE("'",MID(Precios!B344,1,60),"'")</f>
        <v>'Semillas Chia / 500 gramos'</v>
      </c>
      <c r="D344" s="114" t="str">
        <f t="shared" si="10"/>
        <v>INSERT INTO PRODUCTOS (ID_PRODUCTO,NOMBRE) VALUES (343,'Semillas Chia / 500 gramos');</v>
      </c>
    </row>
    <row r="345" spans="1:4">
      <c r="A345" t="str">
        <f>MID(Precios!B345,1,60)</f>
        <v>Semillas Linaza / 1000 gramos</v>
      </c>
      <c r="B345" s="114">
        <f t="shared" si="11"/>
        <v>344</v>
      </c>
      <c r="C345" s="114" t="str">
        <f>CONCATENATE("'",MID(Precios!B345,1,60),"'")</f>
        <v>'Semillas Linaza / 1000 gramos'</v>
      </c>
      <c r="D345" s="114" t="str">
        <f t="shared" si="10"/>
        <v>INSERT INTO PRODUCTOS (ID_PRODUCTO,NOMBRE) VALUES (344,'Semillas Linaza / 1000 gramos');</v>
      </c>
    </row>
    <row r="346" spans="1:4">
      <c r="A346" t="str">
        <f>MID(Precios!B346,1,60)</f>
        <v>Semillas Linaza / 250 gramos</v>
      </c>
      <c r="B346" s="114">
        <f t="shared" si="11"/>
        <v>345</v>
      </c>
      <c r="C346" s="114" t="str">
        <f>CONCATENATE("'",MID(Precios!B346,1,60),"'")</f>
        <v>'Semillas Linaza / 250 gramos'</v>
      </c>
      <c r="D346" s="114" t="str">
        <f t="shared" si="10"/>
        <v>INSERT INTO PRODUCTOS (ID_PRODUCTO,NOMBRE) VALUES (345,'Semillas Linaza / 250 gramos');</v>
      </c>
    </row>
    <row r="347" spans="1:4">
      <c r="A347" t="str">
        <f>MID(Precios!B347,1,60)</f>
        <v>Semillas Linaza / 500 gramos</v>
      </c>
      <c r="B347" s="114">
        <f t="shared" si="11"/>
        <v>346</v>
      </c>
      <c r="C347" s="114" t="str">
        <f>CONCATENATE("'",MID(Precios!B347,1,60),"'")</f>
        <v>'Semillas Linaza / 500 gramos'</v>
      </c>
      <c r="D347" s="114" t="str">
        <f t="shared" si="10"/>
        <v>INSERT INTO PRODUCTOS (ID_PRODUCTO,NOMBRE) VALUES (346,'Semillas Linaza / 500 gramos');</v>
      </c>
    </row>
    <row r="348" spans="1:4">
      <c r="A348" t="str">
        <f>MID(Precios!B348,1,60)</f>
        <v>Semillas Maravilla / 250 gramos</v>
      </c>
      <c r="B348" s="114">
        <f t="shared" si="11"/>
        <v>347</v>
      </c>
      <c r="C348" s="114" t="str">
        <f>CONCATENATE("'",MID(Precios!B348,1,60),"'")</f>
        <v>'Semillas Maravilla / 250 gramos'</v>
      </c>
      <c r="D348" s="114" t="str">
        <f t="shared" si="10"/>
        <v>INSERT INTO PRODUCTOS (ID_PRODUCTO,NOMBRE) VALUES (347,'Semillas Maravilla / 250 gramos');</v>
      </c>
    </row>
    <row r="349" spans="1:4">
      <c r="A349" t="str">
        <f>MID(Precios!B349,1,60)</f>
        <v>Semillas Maravilla / 500 gramos</v>
      </c>
      <c r="B349" s="114">
        <f t="shared" si="11"/>
        <v>348</v>
      </c>
      <c r="C349" s="114" t="str">
        <f>CONCATENATE("'",MID(Precios!B349,1,60),"'")</f>
        <v>'Semillas Maravilla / 500 gramos'</v>
      </c>
      <c r="D349" s="114" t="str">
        <f t="shared" si="10"/>
        <v>INSERT INTO PRODUCTOS (ID_PRODUCTO,NOMBRE) VALUES (348,'Semillas Maravilla / 500 gramos');</v>
      </c>
    </row>
    <row r="350" spans="1:4">
      <c r="A350" t="str">
        <f>MID(Precios!B350,1,60)</f>
        <v>Semillas Zapallo / 100 gramos</v>
      </c>
      <c r="B350" s="114">
        <f t="shared" si="11"/>
        <v>349</v>
      </c>
      <c r="C350" s="114" t="str">
        <f>CONCATENATE("'",MID(Precios!B350,1,60),"'")</f>
        <v>'Semillas Zapallo / 100 gramos'</v>
      </c>
      <c r="D350" s="114" t="str">
        <f t="shared" si="10"/>
        <v>INSERT INTO PRODUCTOS (ID_PRODUCTO,NOMBRE) VALUES (349,'Semillas Zapallo / 100 gramos');</v>
      </c>
    </row>
    <row r="351" spans="1:4">
      <c r="A351" t="str">
        <f>MID(Precios!B351,1,60)</f>
        <v>Semillas Zapallo / 1000 gramos</v>
      </c>
      <c r="B351" s="114">
        <f t="shared" si="11"/>
        <v>350</v>
      </c>
      <c r="C351" s="114" t="str">
        <f>CONCATENATE("'",MID(Precios!B351,1,60),"'")</f>
        <v>'Semillas Zapallo / 1000 gramos'</v>
      </c>
      <c r="D351" s="114" t="str">
        <f t="shared" si="10"/>
        <v>INSERT INTO PRODUCTOS (ID_PRODUCTO,NOMBRE) VALUES (350,'Semillas Zapallo / 1000 gramos');</v>
      </c>
    </row>
    <row r="352" spans="1:4">
      <c r="A352" t="str">
        <f>MID(Precios!B352,1,60)</f>
        <v>Semillas Zapallo / 250 gramos</v>
      </c>
      <c r="B352" s="114">
        <f t="shared" si="11"/>
        <v>351</v>
      </c>
      <c r="C352" s="114" t="str">
        <f>CONCATENATE("'",MID(Precios!B352,1,60),"'")</f>
        <v>'Semillas Zapallo / 250 gramos'</v>
      </c>
      <c r="D352" s="114" t="str">
        <f t="shared" si="10"/>
        <v>INSERT INTO PRODUCTOS (ID_PRODUCTO,NOMBRE) VALUES (351,'Semillas Zapallo / 250 gramos');</v>
      </c>
    </row>
    <row r="353" spans="1:4">
      <c r="A353" t="str">
        <f>MID(Precios!B353,1,60)</f>
        <v>Semillas Zapallo / 50 gramos</v>
      </c>
      <c r="B353" s="114">
        <f t="shared" si="11"/>
        <v>352</v>
      </c>
      <c r="C353" s="114" t="str">
        <f>CONCATENATE("'",MID(Precios!B353,1,60),"'")</f>
        <v>'Semillas Zapallo / 50 gramos'</v>
      </c>
      <c r="D353" s="114" t="str">
        <f t="shared" si="10"/>
        <v>INSERT INTO PRODUCTOS (ID_PRODUCTO,NOMBRE) VALUES (352,'Semillas Zapallo / 50 gramos');</v>
      </c>
    </row>
    <row r="354" spans="1:4">
      <c r="A354" t="str">
        <f>MID(Precios!B354,1,60)</f>
        <v>Semillas Zapallo / 500 gramos</v>
      </c>
      <c r="B354" s="114">
        <f t="shared" si="11"/>
        <v>353</v>
      </c>
      <c r="C354" s="114" t="str">
        <f>CONCATENATE("'",MID(Precios!B354,1,60),"'")</f>
        <v>'Semillas Zapallo / 500 gramos'</v>
      </c>
      <c r="D354" s="114" t="str">
        <f t="shared" si="10"/>
        <v>INSERT INTO PRODUCTOS (ID_PRODUCTO,NOMBRE) VALUES (353,'Semillas Zapallo / 500 gramos');</v>
      </c>
    </row>
    <row r="355" spans="1:4">
      <c r="A355" t="str">
        <f>MID(Precios!B355,1,60)</f>
        <v>Servilleta / 300 unidades</v>
      </c>
      <c r="B355" s="114">
        <f t="shared" si="11"/>
        <v>354</v>
      </c>
      <c r="C355" s="114" t="str">
        <f>CONCATENATE("'",MID(Precios!B355,1,60),"'")</f>
        <v>'Servilleta / 300 unidades'</v>
      </c>
      <c r="D355" s="114" t="str">
        <f t="shared" si="10"/>
        <v>INSERT INTO PRODUCTOS (ID_PRODUCTO,NOMBRE) VALUES (354,'Servilleta / 300 unidades');</v>
      </c>
    </row>
    <row r="356" spans="1:4">
      <c r="A356" t="str">
        <f>MID(Precios!B356,1,60)</f>
        <v>Sesamo / 250 gramos</v>
      </c>
      <c r="B356" s="114">
        <f t="shared" si="11"/>
        <v>355</v>
      </c>
      <c r="C356" s="114" t="str">
        <f>CONCATENATE("'",MID(Precios!B356,1,60),"'")</f>
        <v>'Sesamo / 250 gramos'</v>
      </c>
      <c r="D356" s="114" t="str">
        <f t="shared" si="10"/>
        <v>INSERT INTO PRODUCTOS (ID_PRODUCTO,NOMBRE) VALUES (355,'Sesamo / 250 gramos');</v>
      </c>
    </row>
    <row r="357" spans="1:4">
      <c r="A357" t="str">
        <f>MID(Precios!B357,1,60)</f>
        <v>Suavizante / 5 Litros</v>
      </c>
      <c r="B357" s="114">
        <f t="shared" si="11"/>
        <v>356</v>
      </c>
      <c r="C357" s="114" t="str">
        <f>CONCATENATE("'",MID(Precios!B357,1,60),"'")</f>
        <v>'Suavizante / 5 Litros'</v>
      </c>
      <c r="D357" s="114" t="str">
        <f t="shared" si="10"/>
        <v>INSERT INTO PRODUCTOS (ID_PRODUCTO,NOMBRE) VALUES (356,'Suavizante / 5 Litros');</v>
      </c>
    </row>
    <row r="358" spans="1:4">
      <c r="A358" t="str">
        <f>MID(Precios!B358,1,60)</f>
        <v>Toalla desinfectantes 30 Unidades</v>
      </c>
      <c r="B358" s="114">
        <f t="shared" si="11"/>
        <v>357</v>
      </c>
      <c r="C358" s="114" t="str">
        <f>CONCATENATE("'",MID(Precios!B358,1,60),"'")</f>
        <v>'Toalla desinfectantes 30 Unidades'</v>
      </c>
      <c r="D358" s="114" t="str">
        <f t="shared" si="10"/>
        <v>INSERT INTO PRODUCTOS (ID_PRODUCTO,NOMBRE) VALUES (357,'Toalla desinfectantes 30 Unidades');</v>
      </c>
    </row>
    <row r="359" spans="1:4">
      <c r="A359" t="str">
        <f>MID(Precios!B359,1,60)</f>
        <v>Toalla desinfectantes Tubo 50 Unidades</v>
      </c>
      <c r="B359" s="114">
        <f t="shared" si="11"/>
        <v>358</v>
      </c>
      <c r="C359" s="114" t="str">
        <f>CONCATENATE("'",MID(Precios!B359,1,60),"'")</f>
        <v>'Toalla desinfectantes Tubo 50 Unidades'</v>
      </c>
      <c r="D359" s="114" t="str">
        <f t="shared" si="10"/>
        <v>INSERT INTO PRODUCTOS (ID_PRODUCTO,NOMBRE) VALUES (358,'Toalla desinfectantes Tubo 50 Unidades');</v>
      </c>
    </row>
    <row r="360" spans="1:4">
      <c r="A360" t="str">
        <f>MID(Precios!B360,1,60)</f>
        <v>Toalla desinfectantes 50 Unidades</v>
      </c>
      <c r="B360" s="114">
        <f t="shared" si="11"/>
        <v>359</v>
      </c>
      <c r="C360" s="114" t="str">
        <f>CONCATENATE("'",MID(Precios!B360,1,60),"'")</f>
        <v>'Toalla desinfectantes 50 Unidades'</v>
      </c>
      <c r="D360" s="114" t="str">
        <f t="shared" si="10"/>
        <v>INSERT INTO PRODUCTOS (ID_PRODUCTO,NOMBRE) VALUES (359,'Toalla desinfectantes 50 Unidades');</v>
      </c>
    </row>
    <row r="361" spans="1:4">
      <c r="A361" t="str">
        <f>MID(Precios!B361,1,60)</f>
        <v>Toalla desinfectantes 80 Unidades</v>
      </c>
      <c r="B361" s="114">
        <f t="shared" si="11"/>
        <v>360</v>
      </c>
      <c r="C361" s="114" t="str">
        <f>CONCATENATE("'",MID(Precios!B361,1,60),"'")</f>
        <v>'Toalla desinfectantes 80 Unidades'</v>
      </c>
      <c r="D361" s="114" t="str">
        <f t="shared" si="10"/>
        <v>INSERT INTO PRODUCTOS (ID_PRODUCTO,NOMBRE) VALUES (360,'Toalla desinfectantes 80 Unidades');</v>
      </c>
    </row>
    <row r="362" spans="1:4">
      <c r="A362" t="str">
        <f>MID(Precios!B362,1,60)</f>
        <v>Toalla Jumbo AZUL SWAN 100 mts</v>
      </c>
      <c r="B362" s="114">
        <f t="shared" si="11"/>
        <v>361</v>
      </c>
      <c r="C362" s="114" t="str">
        <f>CONCATENATE("'",MID(Precios!B362,1,60),"'")</f>
        <v>'Toalla Jumbo AZUL SWAN 100 mts'</v>
      </c>
      <c r="D362" s="114" t="str">
        <f t="shared" si="10"/>
        <v>INSERT INTO PRODUCTOS (ID_PRODUCTO,NOMBRE) VALUES (361,'Toalla Jumbo AZUL SWAN 100 mts');</v>
      </c>
    </row>
    <row r="363" spans="1:4">
      <c r="A363" t="str">
        <f>MID(Precios!B363,1,60)</f>
        <v>Toalla Jumbo ECONOMIX U/H / 150 metros</v>
      </c>
      <c r="B363" s="114">
        <f t="shared" si="11"/>
        <v>362</v>
      </c>
      <c r="C363" s="114" t="str">
        <f>CONCATENATE("'",MID(Precios!B363,1,60),"'")</f>
        <v>'Toalla Jumbo ECONOMIX U/H / 150 metros'</v>
      </c>
      <c r="D363" s="114" t="str">
        <f t="shared" si="10"/>
        <v>INSERT INTO PRODUCTOS (ID_PRODUCTO,NOMBRE) VALUES (362,'Toalla Jumbo ECONOMIX U/H / 150 metros');</v>
      </c>
    </row>
    <row r="364" spans="1:4">
      <c r="A364" t="str">
        <f>MID(Precios!B364,1,60)</f>
        <v>Toalla Jumbo OVELLA D/H / 100 metros</v>
      </c>
      <c r="B364" s="114">
        <f t="shared" si="11"/>
        <v>363</v>
      </c>
      <c r="C364" s="114" t="str">
        <f>CONCATENATE("'",MID(Precios!B364,1,60),"'")</f>
        <v>'Toalla Jumbo OVELLA D/H / 100 metros'</v>
      </c>
      <c r="D364" s="114" t="str">
        <f t="shared" si="10"/>
        <v>INSERT INTO PRODUCTOS (ID_PRODUCTO,NOMBRE) VALUES (363,'Toalla Jumbo OVELLA D/H / 100 metros');</v>
      </c>
    </row>
    <row r="365" spans="1:4">
      <c r="A365" t="str">
        <f>MID(Precios!B365,1,60)</f>
        <v>Toalla Jumbo SPUM D/H / 100 metros</v>
      </c>
      <c r="B365" s="114">
        <f t="shared" si="11"/>
        <v>364</v>
      </c>
      <c r="C365" s="114" t="str">
        <f>CONCATENATE("'",MID(Precios!B365,1,60),"'")</f>
        <v>'Toalla Jumbo SPUM D/H / 100 metros'</v>
      </c>
      <c r="D365" s="114" t="str">
        <f t="shared" si="10"/>
        <v>INSERT INTO PRODUCTOS (ID_PRODUCTO,NOMBRE) VALUES (364,'Toalla Jumbo SPUM D/H / 100 metros');</v>
      </c>
    </row>
    <row r="366" spans="1:4">
      <c r="A366" t="str">
        <f>MID(Precios!B366,1,60)</f>
        <v>Toalla Jumbo SWAN D/H / 100 metros</v>
      </c>
      <c r="B366" s="114">
        <f t="shared" si="11"/>
        <v>365</v>
      </c>
      <c r="C366" s="114" t="str">
        <f>CONCATENATE("'",MID(Precios!B366,1,60),"'")</f>
        <v>'Toalla Jumbo SWAN D/H / 100 metros'</v>
      </c>
      <c r="D366" s="114" t="str">
        <f t="shared" si="10"/>
        <v>INSERT INTO PRODUCTOS (ID_PRODUCTO,NOMBRE) VALUES (365,'Toalla Jumbo SWAN D/H / 100 metros');</v>
      </c>
    </row>
    <row r="367" spans="1:4">
      <c r="A367" t="str">
        <f>MID(Precios!B367,1,60)</f>
        <v>Toalla Jumbo SWAN U/H / 100 metros</v>
      </c>
      <c r="B367" s="114">
        <f t="shared" si="11"/>
        <v>366</v>
      </c>
      <c r="C367" s="114" t="str">
        <f>CONCATENATE("'",MID(Precios!B367,1,60),"'")</f>
        <v>'Toalla Jumbo SWAN U/H / 100 metros'</v>
      </c>
      <c r="D367" s="114" t="str">
        <f t="shared" si="10"/>
        <v>INSERT INTO PRODUCTOS (ID_PRODUCTO,NOMBRE) VALUES (366,'Toalla Jumbo SWAN U/H / 100 metros');</v>
      </c>
    </row>
    <row r="368" spans="1:4">
      <c r="A368" t="str">
        <f>MID(Precios!B368,1,60)</f>
        <v>Toalla Nova 3 rollos</v>
      </c>
      <c r="B368" s="114">
        <f t="shared" si="11"/>
        <v>367</v>
      </c>
      <c r="C368" s="114" t="str">
        <f>CONCATENATE("'",MID(Precios!B368,1,60),"'")</f>
        <v>'Toalla Nova 3 rollos'</v>
      </c>
      <c r="D368" s="114" t="str">
        <f t="shared" si="10"/>
        <v>INSERT INTO PRODUCTOS (ID_PRODUCTO,NOMBRE) VALUES (367,'Toalla Nova 3 rollos');</v>
      </c>
    </row>
    <row r="369" spans="1:4">
      <c r="A369" t="str">
        <f>MID(Precios!B369,1,60)</f>
        <v>Toalla NOVA 70 mts</v>
      </c>
      <c r="B369" s="114">
        <f t="shared" si="11"/>
        <v>368</v>
      </c>
      <c r="C369" s="114" t="str">
        <f>CONCATENATE("'",MID(Precios!B369,1,60),"'")</f>
        <v>'Toalla NOVA 70 mts'</v>
      </c>
      <c r="D369" s="114" t="str">
        <f t="shared" si="10"/>
        <v>INSERT INTO PRODUCTOS (ID_PRODUCTO,NOMBRE) VALUES (368,'Toalla NOVA 70 mts');</v>
      </c>
    </row>
    <row r="370" spans="1:4">
      <c r="A370" t="str">
        <f>MID(Precios!B370,1,60)</f>
        <v xml:space="preserve">Toalla NOVA MANGA 24 rollos </v>
      </c>
      <c r="B370" s="114">
        <f t="shared" si="11"/>
        <v>369</v>
      </c>
      <c r="C370" s="114" t="str">
        <f>CONCATENATE("'",MID(Precios!B370,1,60),"'")</f>
        <v>'Toalla NOVA MANGA 24 rollos '</v>
      </c>
      <c r="D370" s="114" t="str">
        <f t="shared" si="10"/>
        <v>INSERT INTO PRODUCTOS (ID_PRODUCTO,NOMBRE) VALUES (369,'Toalla NOVA MANGA 24 rollos ');</v>
      </c>
    </row>
    <row r="371" spans="1:4">
      <c r="A371" t="str">
        <f>MID(Precios!B371,1,60)</f>
        <v xml:space="preserve">Toalla NOVA MANGA 9 rollos </v>
      </c>
      <c r="B371" s="114">
        <f t="shared" si="11"/>
        <v>370</v>
      </c>
      <c r="C371" s="114" t="str">
        <f>CONCATENATE("'",MID(Precios!B371,1,60),"'")</f>
        <v>'Toalla NOVA MANGA 9 rollos '</v>
      </c>
      <c r="D371" s="114" t="str">
        <f t="shared" si="10"/>
        <v>INSERT INTO PRODUCTOS (ID_PRODUCTO,NOMBRE) VALUES (370,'Toalla NOVA MANGA 9 rollos ');</v>
      </c>
    </row>
    <row r="372" spans="1:4">
      <c r="A372" t="str">
        <f>MID(Precios!B372,1,60)</f>
        <v>Toalla Papel Jumbo 250 mts (Pack 2)</v>
      </c>
      <c r="B372" s="114">
        <f t="shared" si="11"/>
        <v>371</v>
      </c>
      <c r="C372" s="114" t="str">
        <f>CONCATENATE("'",MID(Precios!B372,1,60),"'")</f>
        <v>'Toalla Papel Jumbo 250 mts (Pack 2)'</v>
      </c>
      <c r="D372" s="114" t="str">
        <f t="shared" si="10"/>
        <v>INSERT INTO PRODUCTOS (ID_PRODUCTO,NOMBRE) VALUES (371,'Toalla Papel Jumbo 250 mts (Pack 2)');</v>
      </c>
    </row>
    <row r="373" spans="1:4">
      <c r="A373" t="str">
        <f>MID(Precios!B373,1,60)</f>
        <v>Toalla Papel SWAN 3 rollos</v>
      </c>
      <c r="B373" s="114">
        <f t="shared" si="11"/>
        <v>372</v>
      </c>
      <c r="C373" s="114" t="str">
        <f>CONCATENATE("'",MID(Precios!B373,1,60),"'")</f>
        <v>'Toalla Papel SWAN 3 rollos'</v>
      </c>
      <c r="D373" s="114" t="str">
        <f t="shared" si="10"/>
        <v>INSERT INTO PRODUCTOS (ID_PRODUCTO,NOMBRE) VALUES (372,'Toalla Papel SWAN 3 rollos');</v>
      </c>
    </row>
    <row r="374" spans="1:4">
      <c r="A374" t="str">
        <f>MID(Precios!B374,1,60)</f>
        <v>Toalla Papel SWAN 9 rollos</v>
      </c>
      <c r="B374" s="114">
        <f t="shared" si="11"/>
        <v>373</v>
      </c>
      <c r="C374" s="114" t="str">
        <f>CONCATENATE("'",MID(Precios!B374,1,60),"'")</f>
        <v>'Toalla Papel SWAN 9 rollos'</v>
      </c>
      <c r="D374" s="114" t="str">
        <f t="shared" si="10"/>
        <v>INSERT INTO PRODUCTOS (ID_PRODUCTO,NOMBRE) VALUES (373,'Toalla Papel SWAN 9 rollos');</v>
      </c>
    </row>
    <row r="375" spans="1:4">
      <c r="A375" t="str">
        <f>MID(Precios!B375,1,60)</f>
        <v>Toalla Papel SWAN MANGA 24 rollos</v>
      </c>
      <c r="B375" s="114">
        <f t="shared" si="11"/>
        <v>374</v>
      </c>
      <c r="C375" s="114" t="str">
        <f>CONCATENATE("'",MID(Precios!B375,1,60),"'")</f>
        <v>'Toalla Papel SWAN MANGA 24 rollos'</v>
      </c>
      <c r="D375" s="114" t="str">
        <f t="shared" si="10"/>
        <v>INSERT INTO PRODUCTOS (ID_PRODUCTO,NOMBRE) VALUES (374,'Toalla Papel SWAN MANGA 24 rollos');</v>
      </c>
    </row>
    <row r="376" spans="1:4">
      <c r="A376" t="str">
        <f>MID(Precios!B376,1,60)</f>
        <v>Toalla SPUM / 12 metros</v>
      </c>
      <c r="B376" s="114">
        <f t="shared" si="11"/>
        <v>375</v>
      </c>
      <c r="C376" s="114" t="str">
        <f>CONCATENATE("'",MID(Precios!B376,1,60),"'")</f>
        <v>'Toalla SPUM / 12 metros'</v>
      </c>
      <c r="D376" s="114" t="str">
        <f t="shared" si="10"/>
        <v>INSERT INTO PRODUCTOS (ID_PRODUCTO,NOMBRE) VALUES (375,'Toalla SPUM / 12 metros');</v>
      </c>
    </row>
    <row r="377" spans="1:4">
      <c r="A377" t="str">
        <f>MID(Precios!B377,1,60)</f>
        <v>Toallitas Húmedas Adulto Teddy 50 Unidades</v>
      </c>
      <c r="B377" s="114">
        <f t="shared" si="11"/>
        <v>376</v>
      </c>
      <c r="C377" s="114" t="str">
        <f>CONCATENATE("'",MID(Precios!B377,1,60),"'")</f>
        <v>'Toallitas Húmedas Adulto Teddy 50 Unidades'</v>
      </c>
      <c r="D377" s="114" t="str">
        <f t="shared" si="10"/>
        <v>INSERT INTO PRODUCTOS (ID_PRODUCTO,NOMBRE) VALUES (376,'Toallitas Húmedas Adulto Teddy 50 Unidades');</v>
      </c>
    </row>
    <row r="378" spans="1:4">
      <c r="A378" t="str">
        <f>MID(Precios!B378,1,60)</f>
        <v>Toallitas Húmedas Bebe Teddy 80 Unidades</v>
      </c>
      <c r="B378" s="114">
        <f t="shared" si="11"/>
        <v>377</v>
      </c>
      <c r="C378" s="114" t="str">
        <f>CONCATENATE("'",MID(Precios!B378,1,60),"'")</f>
        <v>'Toallitas Húmedas Bebe Teddy 80 Unidades'</v>
      </c>
      <c r="D378" s="114" t="str">
        <f t="shared" si="10"/>
        <v>INSERT INTO PRODUCTOS (ID_PRODUCTO,NOMBRE) VALUES (377,'Toallitas Húmedas Bebe Teddy 80 Unidades');</v>
      </c>
    </row>
    <row r="379" spans="1:4">
      <c r="A379" t="str">
        <f>MID(Precios!B379,1,60)</f>
        <v>Trapero Algodón TEDDY (con Ojal)</v>
      </c>
      <c r="B379" s="114">
        <f t="shared" si="11"/>
        <v>378</v>
      </c>
      <c r="C379" s="114" t="str">
        <f>CONCATENATE("'",MID(Precios!B379,1,60),"'")</f>
        <v>'Trapero Algodón TEDDY (con Ojal)'</v>
      </c>
      <c r="D379" s="114" t="str">
        <f t="shared" si="10"/>
        <v>INSERT INTO PRODUCTOS (ID_PRODUCTO,NOMBRE) VALUES (378,'Trapero Algodón TEDDY (con Ojal)');</v>
      </c>
    </row>
    <row r="380" spans="1:4">
      <c r="A380" t="str">
        <f>MID(Precios!B380,1,60)</f>
        <v>Trapero Fibra EXCELL 50x60 (con Ojal)</v>
      </c>
      <c r="B380" s="114">
        <f t="shared" si="11"/>
        <v>379</v>
      </c>
      <c r="C380" s="114" t="str">
        <f>CONCATENATE("'",MID(Precios!B380,1,60),"'")</f>
        <v>'Trapero Fibra EXCELL 50x60 (con Ojal)'</v>
      </c>
      <c r="D380" s="114" t="str">
        <f t="shared" si="10"/>
        <v>INSERT INTO PRODUCTOS (ID_PRODUCTO,NOMBRE) VALUES (379,'Trapero Fibra EXCELL 50x60 (con Ojal)');</v>
      </c>
    </row>
    <row r="381" spans="1:4">
      <c r="A381" t="str">
        <f>MID(Precios!B381,1,60)</f>
        <v>Pack 3 Trapero Húmedo Piso Flotante TEDDY</v>
      </c>
      <c r="B381" s="114">
        <f t="shared" si="11"/>
        <v>380</v>
      </c>
      <c r="C381" s="114" t="str">
        <f>CONCATENATE("'",MID(Precios!B381,1,60),"'")</f>
        <v>'Pack 3 Trapero Húmedo Piso Flotante TEDDY'</v>
      </c>
      <c r="D381" s="114" t="str">
        <f t="shared" si="10"/>
        <v>INSERT INTO PRODUCTOS (ID_PRODUCTO,NOMBRE) VALUES (380,'Pack 3 Trapero Húmedo Piso Flotante TEDDY');</v>
      </c>
    </row>
    <row r="382" spans="1:4">
      <c r="A382" t="str">
        <f>MID(Precios!B382,1,60)</f>
        <v>Trapero Húmedo Piso Flotante TEDDY</v>
      </c>
      <c r="B382" s="114">
        <f t="shared" si="11"/>
        <v>381</v>
      </c>
      <c r="C382" s="114" t="str">
        <f>CONCATENATE("'",MID(Precios!B382,1,60),"'")</f>
        <v>'Trapero Húmedo Piso Flotante TEDDY'</v>
      </c>
      <c r="D382" s="114" t="str">
        <f t="shared" si="10"/>
        <v>INSERT INTO PRODUCTOS (ID_PRODUCTO,NOMBRE) VALUES (381,'Trapero Húmedo Piso Flotante TEDDY');</v>
      </c>
    </row>
    <row r="383" spans="1:4">
      <c r="A383" t="str">
        <f>MID(Precios!B383,1,60)</f>
        <v>Trapero Húmedo EXCELL</v>
      </c>
      <c r="B383" s="114">
        <f t="shared" si="11"/>
        <v>382</v>
      </c>
      <c r="C383" s="114" t="str">
        <f>CONCATENATE("'",MID(Precios!B383,1,60),"'")</f>
        <v>'Trapero Húmedo EXCELL'</v>
      </c>
      <c r="D383" s="114" t="str">
        <f t="shared" si="10"/>
        <v>INSERT INTO PRODUCTOS (ID_PRODUCTO,NOMBRE) VALUES (382,'Trapero Húmedo EXCELL');</v>
      </c>
    </row>
    <row r="384" spans="1:4">
      <c r="A384" t="str">
        <f>MID(Precios!B384,1,60)</f>
        <v>Trapero Húmedo TEDDY</v>
      </c>
      <c r="B384" s="114">
        <f t="shared" si="11"/>
        <v>383</v>
      </c>
      <c r="C384" s="114" t="str">
        <f>CONCATENATE("'",MID(Precios!B384,1,60),"'")</f>
        <v>'Trapero Húmedo TEDDY'</v>
      </c>
      <c r="D384" s="114" t="str">
        <f t="shared" si="10"/>
        <v>INSERT INTO PRODUCTOS (ID_PRODUCTO,NOMBRE) VALUES (383,'Trapero Húmedo TEDDY');</v>
      </c>
    </row>
    <row r="385" spans="1:4">
      <c r="A385" t="str">
        <f>MID(Precios!B385,1,60)</f>
        <v>Trapero Húmedo VIRGINIA</v>
      </c>
      <c r="B385" s="114">
        <f t="shared" si="11"/>
        <v>384</v>
      </c>
      <c r="C385" s="114" t="str">
        <f>CONCATENATE("'",MID(Precios!B385,1,60),"'")</f>
        <v>'Trapero Húmedo VIRGINIA'</v>
      </c>
      <c r="D385" s="114" t="str">
        <f t="shared" si="10"/>
        <v>INSERT INTO PRODUCTOS (ID_PRODUCTO,NOMBRE) VALUES (384,'Trapero Húmedo VIRGINIA');</v>
      </c>
    </row>
    <row r="386" spans="1:4">
      <c r="A386" t="str">
        <f>MID(Precios!B386,1,60)</f>
        <v>Utilidad RIFA</v>
      </c>
      <c r="B386" s="114">
        <f t="shared" si="11"/>
        <v>385</v>
      </c>
      <c r="C386" s="114" t="str">
        <f>CONCATENATE("'",MID(Precios!B386,1,60),"'")</f>
        <v>'Utilidad RIFA'</v>
      </c>
      <c r="D386" s="114" t="str">
        <f t="shared" si="10"/>
        <v>INSERT INTO PRODUCTOS (ID_PRODUCTO,NOMBRE) VALUES (385,'Utilidad RIFA');</v>
      </c>
    </row>
    <row r="387" spans="1:4">
      <c r="A387" t="str">
        <f>MID(Precios!B387,1,60)</f>
        <v>Wyn 1.5 lt</v>
      </c>
      <c r="B387" s="114">
        <f t="shared" si="11"/>
        <v>386</v>
      </c>
      <c r="C387" s="114" t="str">
        <f>CONCATENATE("'",MID(Precios!B387,1,60),"'")</f>
        <v>'Wyn 1.5 lt'</v>
      </c>
      <c r="D387" s="114" t="str">
        <f t="shared" ref="D387:D388" si="12">CONCATENATE("INSERT INTO PRODUCTOS (ID_PRODUCTO,NOMBRE) VALUES (",B387,",",C387,");")</f>
        <v>INSERT INTO PRODUCTOS (ID_PRODUCTO,NOMBRE) VALUES (386,'Wyn 1.5 lt');</v>
      </c>
    </row>
    <row r="388" spans="1:4">
      <c r="A388" t="str">
        <f>MID(Precios!B388,1,60)</f>
        <v>Wyn 750 cc</v>
      </c>
      <c r="B388" s="114">
        <f t="shared" ref="B388" si="13">B387+1</f>
        <v>387</v>
      </c>
      <c r="C388" s="114" t="str">
        <f>CONCATENATE("'",MID(Precios!B388,1,60),"'")</f>
        <v>'Wyn 750 cc'</v>
      </c>
      <c r="D388" s="114" t="str">
        <f t="shared" si="12"/>
        <v>INSERT INTO PRODUCTOS (ID_PRODUCTO,NOMBRE) VALUES (387,'Wyn 750 cc');</v>
      </c>
    </row>
    <row r="389" spans="1:4">
      <c r="A389" t="str">
        <f>MID(Precios!B389,1,60)</f>
        <v/>
      </c>
      <c r="D389" s="107" t="s">
        <v>2052</v>
      </c>
    </row>
    <row r="392" spans="1:4">
      <c r="A392" s="107"/>
    </row>
  </sheetData>
  <pageMargins left="0.7" right="0.7" top="0.75" bottom="0.75" header="0.3" footer="0.3"/>
  <pageSetup orientation="portrait" horizontalDpi="360" verticalDpi="36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9"/>
  <sheetViews>
    <sheetView topLeftCell="A359" workbookViewId="0">
      <selection activeCell="E2" sqref="E2:E389"/>
    </sheetView>
  </sheetViews>
  <sheetFormatPr baseColWidth="10" defaultRowHeight="13.2"/>
  <cols>
    <col min="3" max="3" width="11.77734375" bestFit="1" customWidth="1"/>
    <col min="5" max="5" width="156.21875" bestFit="1" customWidth="1"/>
  </cols>
  <sheetData>
    <row r="1" spans="1:5">
      <c r="A1" s="112" t="s">
        <v>2150</v>
      </c>
      <c r="B1" s="112" t="s">
        <v>2151</v>
      </c>
      <c r="C1" s="112" t="s">
        <v>2152</v>
      </c>
      <c r="D1" s="112" t="s">
        <v>2148</v>
      </c>
      <c r="E1" s="112" t="s">
        <v>1695</v>
      </c>
    </row>
    <row r="2" spans="1:5">
      <c r="A2" s="136" t="s">
        <v>2153</v>
      </c>
      <c r="B2" s="136" t="s">
        <v>2154</v>
      </c>
      <c r="C2" s="137">
        <f>ROUND(Precios!M2,0)</f>
        <v>18639</v>
      </c>
      <c r="D2" s="114">
        <v>1</v>
      </c>
      <c r="E2" s="114" t="str">
        <f>CONCATENATE("INSERT INTO PRECIOS (FECHA_INICIO, FECHA_FIN,PRECIO,ID_PRODUCTO) VALUES ( TO_DATE(","'",A2,"'",",'DD-MM-YYYY')",", TO_DATE(","'",B2,"'",",'DD-MM-YYYY')",",",C2,",",D2,");")</f>
        <v>INSERT INTO PRECIOS (FECHA_INICIO, FECHA_FIN,PRECIO,ID_PRODUCTO) VALUES ( TO_DATE('01-01-2025','DD-MM-YYYY'), TO_DATE('31-12-2025','DD-MM-YYYY'),18639,1);</v>
      </c>
    </row>
    <row r="3" spans="1:5">
      <c r="A3" s="136" t="s">
        <v>2153</v>
      </c>
      <c r="B3" s="136" t="s">
        <v>2154</v>
      </c>
      <c r="C3" s="137">
        <f>ROUND(Precios!M3,0)</f>
        <v>5000</v>
      </c>
      <c r="D3" s="114">
        <f>D2+1</f>
        <v>2</v>
      </c>
      <c r="E3" s="114" t="str">
        <f t="shared" ref="E3:E66" si="0">CONCATENATE("INSERT INTO PRECIOS (FECHA_INICIO, FECHA_FIN,PRECIO,ID_PRODUCTO) VALUES ( TO_DATE(","'",A3,"'",",'DD-MM-YYYY')",", TO_DATE(","'",B3,"'",",'DD-MM-YYYY')",",",C3,",",D3,");")</f>
        <v>INSERT INTO PRECIOS (FECHA_INICIO, FECHA_FIN,PRECIO,ID_PRODUCTO) VALUES ( TO_DATE('01-01-2025','DD-MM-YYYY'), TO_DATE('31-12-2025','DD-MM-YYYY'),5000,2);</v>
      </c>
    </row>
    <row r="4" spans="1:5">
      <c r="A4" s="136" t="s">
        <v>2153</v>
      </c>
      <c r="B4" s="136" t="s">
        <v>2154</v>
      </c>
      <c r="C4" s="137">
        <f>ROUND(Precios!M4,0)</f>
        <v>2300</v>
      </c>
      <c r="D4" s="114">
        <f t="shared" ref="D4:D67" si="1">D3+1</f>
        <v>3</v>
      </c>
      <c r="E4" s="114" t="str">
        <f t="shared" si="0"/>
        <v>INSERT INTO PRECIOS (FECHA_INICIO, FECHA_FIN,PRECIO,ID_PRODUCTO) VALUES ( TO_DATE('01-01-2025','DD-MM-YYYY'), TO_DATE('31-12-2025','DD-MM-YYYY'),2300,3);</v>
      </c>
    </row>
    <row r="5" spans="1:5">
      <c r="A5" s="136" t="s">
        <v>2153</v>
      </c>
      <c r="B5" s="136" t="s">
        <v>2154</v>
      </c>
      <c r="C5" s="137">
        <f>ROUND(Precios!M5,0)</f>
        <v>5000</v>
      </c>
      <c r="D5" s="114">
        <f t="shared" si="1"/>
        <v>4</v>
      </c>
      <c r="E5" s="114" t="str">
        <f t="shared" si="0"/>
        <v>INSERT INTO PRECIOS (FECHA_INICIO, FECHA_FIN,PRECIO,ID_PRODUCTO) VALUES ( TO_DATE('01-01-2025','DD-MM-YYYY'), TO_DATE('31-12-2025','DD-MM-YYYY'),5000,4);</v>
      </c>
    </row>
    <row r="6" spans="1:5">
      <c r="A6" s="136" t="s">
        <v>2153</v>
      </c>
      <c r="B6" s="136" t="s">
        <v>2154</v>
      </c>
      <c r="C6" s="137">
        <f>ROUND(Precios!M6,0)</f>
        <v>11000</v>
      </c>
      <c r="D6" s="114">
        <f t="shared" si="1"/>
        <v>5</v>
      </c>
      <c r="E6" s="114" t="str">
        <f t="shared" si="0"/>
        <v>INSERT INTO PRECIOS (FECHA_INICIO, FECHA_FIN,PRECIO,ID_PRODUCTO) VALUES ( TO_DATE('01-01-2025','DD-MM-YYYY'), TO_DATE('31-12-2025','DD-MM-YYYY'),11000,5);</v>
      </c>
    </row>
    <row r="7" spans="1:5">
      <c r="A7" s="136" t="s">
        <v>2153</v>
      </c>
      <c r="B7" s="136" t="s">
        <v>2154</v>
      </c>
      <c r="C7" s="137">
        <f>ROUND(Precios!M7,0)</f>
        <v>9400</v>
      </c>
      <c r="D7" s="114">
        <f t="shared" si="1"/>
        <v>6</v>
      </c>
      <c r="E7" s="114" t="str">
        <f t="shared" si="0"/>
        <v>INSERT INTO PRECIOS (FECHA_INICIO, FECHA_FIN,PRECIO,ID_PRODUCTO) VALUES ( TO_DATE('01-01-2025','DD-MM-YYYY'), TO_DATE('31-12-2025','DD-MM-YYYY'),9400,6);</v>
      </c>
    </row>
    <row r="8" spans="1:5">
      <c r="A8" s="136" t="s">
        <v>2153</v>
      </c>
      <c r="B8" s="136" t="s">
        <v>2154</v>
      </c>
      <c r="C8" s="137">
        <f>ROUND(Precios!M8,0)</f>
        <v>7000</v>
      </c>
      <c r="D8" s="114">
        <f t="shared" si="1"/>
        <v>7</v>
      </c>
      <c r="E8" s="114" t="str">
        <f t="shared" si="0"/>
        <v>INSERT INTO PRECIOS (FECHA_INICIO, FECHA_FIN,PRECIO,ID_PRODUCTO) VALUES ( TO_DATE('01-01-2025','DD-MM-YYYY'), TO_DATE('31-12-2025','DD-MM-YYYY'),7000,7);</v>
      </c>
    </row>
    <row r="9" spans="1:5">
      <c r="A9" s="136" t="s">
        <v>2153</v>
      </c>
      <c r="B9" s="136" t="s">
        <v>2154</v>
      </c>
      <c r="C9" s="137">
        <f>ROUND(Precios!M9,0)</f>
        <v>27620</v>
      </c>
      <c r="D9" s="114">
        <f t="shared" si="1"/>
        <v>8</v>
      </c>
      <c r="E9" s="114" t="str">
        <f t="shared" si="0"/>
        <v>INSERT INTO PRECIOS (FECHA_INICIO, FECHA_FIN,PRECIO,ID_PRODUCTO) VALUES ( TO_DATE('01-01-2025','DD-MM-YYYY'), TO_DATE('31-12-2025','DD-MM-YYYY'),27620,8);</v>
      </c>
    </row>
    <row r="10" spans="1:5">
      <c r="A10" s="136" t="s">
        <v>2153</v>
      </c>
      <c r="B10" s="136" t="s">
        <v>2154</v>
      </c>
      <c r="C10" s="137">
        <f>ROUND(Precios!M10,0)</f>
        <v>10900</v>
      </c>
      <c r="D10" s="114">
        <f t="shared" si="1"/>
        <v>9</v>
      </c>
      <c r="E10" s="114" t="str">
        <f t="shared" si="0"/>
        <v>INSERT INTO PRECIOS (FECHA_INICIO, FECHA_FIN,PRECIO,ID_PRODUCTO) VALUES ( TO_DATE('01-01-2025','DD-MM-YYYY'), TO_DATE('31-12-2025','DD-MM-YYYY'),10900,9);</v>
      </c>
    </row>
    <row r="11" spans="1:5">
      <c r="A11" s="136" t="s">
        <v>2153</v>
      </c>
      <c r="B11" s="136" t="s">
        <v>2154</v>
      </c>
      <c r="C11" s="137">
        <f>ROUND(Precios!M11,0)</f>
        <v>1000</v>
      </c>
      <c r="D11" s="114">
        <f t="shared" si="1"/>
        <v>10</v>
      </c>
      <c r="E11" s="114" t="str">
        <f t="shared" si="0"/>
        <v>INSERT INTO PRECIOS (FECHA_INICIO, FECHA_FIN,PRECIO,ID_PRODUCTO) VALUES ( TO_DATE('01-01-2025','DD-MM-YYYY'), TO_DATE('31-12-2025','DD-MM-YYYY'),1000,10);</v>
      </c>
    </row>
    <row r="12" spans="1:5">
      <c r="A12" s="136" t="s">
        <v>2153</v>
      </c>
      <c r="B12" s="136" t="s">
        <v>2154</v>
      </c>
      <c r="C12" s="137">
        <f>ROUND(Precios!M12,0)</f>
        <v>2500</v>
      </c>
      <c r="D12" s="114">
        <f t="shared" si="1"/>
        <v>11</v>
      </c>
      <c r="E12" s="114" t="str">
        <f t="shared" si="0"/>
        <v>INSERT INTO PRECIOS (FECHA_INICIO, FECHA_FIN,PRECIO,ID_PRODUCTO) VALUES ( TO_DATE('01-01-2025','DD-MM-YYYY'), TO_DATE('31-12-2025','DD-MM-YYYY'),2500,11);</v>
      </c>
    </row>
    <row r="13" spans="1:5">
      <c r="A13" s="136" t="s">
        <v>2153</v>
      </c>
      <c r="B13" s="136" t="s">
        <v>2154</v>
      </c>
      <c r="C13" s="137">
        <f>ROUND(Precios!M13,0)</f>
        <v>700</v>
      </c>
      <c r="D13" s="114">
        <f t="shared" si="1"/>
        <v>12</v>
      </c>
      <c r="E13" s="114" t="str">
        <f t="shared" si="0"/>
        <v>INSERT INTO PRECIOS (FECHA_INICIO, FECHA_FIN,PRECIO,ID_PRODUCTO) VALUES ( TO_DATE('01-01-2025','DD-MM-YYYY'), TO_DATE('31-12-2025','DD-MM-YYYY'),700,12);</v>
      </c>
    </row>
    <row r="14" spans="1:5">
      <c r="A14" s="136" t="s">
        <v>2153</v>
      </c>
      <c r="B14" s="136" t="s">
        <v>2154</v>
      </c>
      <c r="C14" s="137">
        <f>ROUND(Precios!M14,0)</f>
        <v>700</v>
      </c>
      <c r="D14" s="114">
        <f t="shared" si="1"/>
        <v>13</v>
      </c>
      <c r="E14" s="114" t="str">
        <f t="shared" si="0"/>
        <v>INSERT INTO PRECIOS (FECHA_INICIO, FECHA_FIN,PRECIO,ID_PRODUCTO) VALUES ( TO_DATE('01-01-2025','DD-MM-YYYY'), TO_DATE('31-12-2025','DD-MM-YYYY'),700,13);</v>
      </c>
    </row>
    <row r="15" spans="1:5">
      <c r="A15" s="136" t="s">
        <v>2153</v>
      </c>
      <c r="B15" s="136" t="s">
        <v>2154</v>
      </c>
      <c r="C15" s="137">
        <f>ROUND(Precios!M15,0)</f>
        <v>4600</v>
      </c>
      <c r="D15" s="114">
        <f t="shared" si="1"/>
        <v>14</v>
      </c>
      <c r="E15" s="114" t="str">
        <f t="shared" si="0"/>
        <v>INSERT INTO PRECIOS (FECHA_INICIO, FECHA_FIN,PRECIO,ID_PRODUCTO) VALUES ( TO_DATE('01-01-2025','DD-MM-YYYY'), TO_DATE('31-12-2025','DD-MM-YYYY'),4600,14);</v>
      </c>
    </row>
    <row r="16" spans="1:5">
      <c r="A16" s="136" t="s">
        <v>2153</v>
      </c>
      <c r="B16" s="136" t="s">
        <v>2154</v>
      </c>
      <c r="C16" s="137">
        <f>ROUND(Precios!M16,0)</f>
        <v>1500</v>
      </c>
      <c r="D16" s="114">
        <f t="shared" si="1"/>
        <v>15</v>
      </c>
      <c r="E16" s="114" t="str">
        <f t="shared" si="0"/>
        <v>INSERT INTO PRECIOS (FECHA_INICIO, FECHA_FIN,PRECIO,ID_PRODUCTO) VALUES ( TO_DATE('01-01-2025','DD-MM-YYYY'), TO_DATE('31-12-2025','DD-MM-YYYY'),1500,15);</v>
      </c>
    </row>
    <row r="17" spans="1:5">
      <c r="A17" s="136" t="s">
        <v>2153</v>
      </c>
      <c r="B17" s="136" t="s">
        <v>2154</v>
      </c>
      <c r="C17" s="137">
        <f>ROUND(Precios!M17,0)</f>
        <v>4200</v>
      </c>
      <c r="D17" s="114">
        <f t="shared" si="1"/>
        <v>16</v>
      </c>
      <c r="E17" s="114" t="str">
        <f t="shared" si="0"/>
        <v>INSERT INTO PRECIOS (FECHA_INICIO, FECHA_FIN,PRECIO,ID_PRODUCTO) VALUES ( TO_DATE('01-01-2025','DD-MM-YYYY'), TO_DATE('31-12-2025','DD-MM-YYYY'),4200,16);</v>
      </c>
    </row>
    <row r="18" spans="1:5">
      <c r="A18" s="136" t="s">
        <v>2153</v>
      </c>
      <c r="B18" s="136" t="s">
        <v>2154</v>
      </c>
      <c r="C18" s="137">
        <f>ROUND(Precios!M18,0)</f>
        <v>3400</v>
      </c>
      <c r="D18" s="114">
        <f t="shared" si="1"/>
        <v>17</v>
      </c>
      <c r="E18" s="114" t="str">
        <f t="shared" si="0"/>
        <v>INSERT INTO PRECIOS (FECHA_INICIO, FECHA_FIN,PRECIO,ID_PRODUCTO) VALUES ( TO_DATE('01-01-2025','DD-MM-YYYY'), TO_DATE('31-12-2025','DD-MM-YYYY'),3400,17);</v>
      </c>
    </row>
    <row r="19" spans="1:5">
      <c r="A19" s="136" t="s">
        <v>2153</v>
      </c>
      <c r="B19" s="136" t="s">
        <v>2154</v>
      </c>
      <c r="C19" s="137">
        <f>ROUND(Precios!M19,0)</f>
        <v>1000</v>
      </c>
      <c r="D19" s="114">
        <f t="shared" si="1"/>
        <v>18</v>
      </c>
      <c r="E19" s="114" t="str">
        <f t="shared" si="0"/>
        <v>INSERT INTO PRECIOS (FECHA_INICIO, FECHA_FIN,PRECIO,ID_PRODUCTO) VALUES ( TO_DATE('01-01-2025','DD-MM-YYYY'), TO_DATE('31-12-2025','DD-MM-YYYY'),1000,18);</v>
      </c>
    </row>
    <row r="20" spans="1:5">
      <c r="A20" s="136" t="s">
        <v>2153</v>
      </c>
      <c r="B20" s="136" t="s">
        <v>2154</v>
      </c>
      <c r="C20" s="137">
        <f>ROUND(Precios!M20,0)</f>
        <v>2600</v>
      </c>
      <c r="D20" s="114">
        <f t="shared" si="1"/>
        <v>19</v>
      </c>
      <c r="E20" s="114" t="str">
        <f t="shared" si="0"/>
        <v>INSERT INTO PRECIOS (FECHA_INICIO, FECHA_FIN,PRECIO,ID_PRODUCTO) VALUES ( TO_DATE('01-01-2025','DD-MM-YYYY'), TO_DATE('31-12-2025','DD-MM-YYYY'),2600,19);</v>
      </c>
    </row>
    <row r="21" spans="1:5">
      <c r="A21" s="136" t="s">
        <v>2153</v>
      </c>
      <c r="B21" s="136" t="s">
        <v>2154</v>
      </c>
      <c r="C21" s="137">
        <f>ROUND(Precios!M21,0)</f>
        <v>1200</v>
      </c>
      <c r="D21" s="114">
        <f t="shared" si="1"/>
        <v>20</v>
      </c>
      <c r="E21" s="114" t="str">
        <f t="shared" si="0"/>
        <v>INSERT INTO PRECIOS (FECHA_INICIO, FECHA_FIN,PRECIO,ID_PRODUCTO) VALUES ( TO_DATE('01-01-2025','DD-MM-YYYY'), TO_DATE('31-12-2025','DD-MM-YYYY'),1200,20);</v>
      </c>
    </row>
    <row r="22" spans="1:5">
      <c r="A22" s="136" t="s">
        <v>2153</v>
      </c>
      <c r="B22" s="136" t="s">
        <v>2154</v>
      </c>
      <c r="C22" s="137">
        <f>ROUND(Precios!M22,0)</f>
        <v>3200</v>
      </c>
      <c r="D22" s="114">
        <f t="shared" si="1"/>
        <v>21</v>
      </c>
      <c r="E22" s="114" t="str">
        <f t="shared" si="0"/>
        <v>INSERT INTO PRECIOS (FECHA_INICIO, FECHA_FIN,PRECIO,ID_PRODUCTO) VALUES ( TO_DATE('01-01-2025','DD-MM-YYYY'), TO_DATE('31-12-2025','DD-MM-YYYY'),3200,21);</v>
      </c>
    </row>
    <row r="23" spans="1:5">
      <c r="A23" s="136" t="s">
        <v>2153</v>
      </c>
      <c r="B23" s="136" t="s">
        <v>2154</v>
      </c>
      <c r="C23" s="137">
        <f>ROUND(Precios!M23,0)</f>
        <v>650</v>
      </c>
      <c r="D23" s="114">
        <f t="shared" si="1"/>
        <v>22</v>
      </c>
      <c r="E23" s="114" t="str">
        <f t="shared" si="0"/>
        <v>INSERT INTO PRECIOS (FECHA_INICIO, FECHA_FIN,PRECIO,ID_PRODUCTO) VALUES ( TO_DATE('01-01-2025','DD-MM-YYYY'), TO_DATE('31-12-2025','DD-MM-YYYY'),650,22);</v>
      </c>
    </row>
    <row r="24" spans="1:5">
      <c r="A24" s="136" t="s">
        <v>2153</v>
      </c>
      <c r="B24" s="136" t="s">
        <v>2154</v>
      </c>
      <c r="C24" s="137">
        <f>ROUND(Precios!M24,0)</f>
        <v>1600</v>
      </c>
      <c r="D24" s="114">
        <f t="shared" si="1"/>
        <v>23</v>
      </c>
      <c r="E24" s="114" t="str">
        <f t="shared" si="0"/>
        <v>INSERT INTO PRECIOS (FECHA_INICIO, FECHA_FIN,PRECIO,ID_PRODUCTO) VALUES ( TO_DATE('01-01-2025','DD-MM-YYYY'), TO_DATE('31-12-2025','DD-MM-YYYY'),1600,23);</v>
      </c>
    </row>
    <row r="25" spans="1:5">
      <c r="A25" s="136" t="s">
        <v>2153</v>
      </c>
      <c r="B25" s="136" t="s">
        <v>2154</v>
      </c>
      <c r="C25" s="137">
        <f>ROUND(Precios!M25,0)</f>
        <v>1650</v>
      </c>
      <c r="D25" s="114">
        <f t="shared" si="1"/>
        <v>24</v>
      </c>
      <c r="E25" s="114" t="str">
        <f t="shared" si="0"/>
        <v>INSERT INTO PRECIOS (FECHA_INICIO, FECHA_FIN,PRECIO,ID_PRODUCTO) VALUES ( TO_DATE('01-01-2025','DD-MM-YYYY'), TO_DATE('31-12-2025','DD-MM-YYYY'),1650,24);</v>
      </c>
    </row>
    <row r="26" spans="1:5">
      <c r="A26" s="136" t="s">
        <v>2153</v>
      </c>
      <c r="B26" s="136" t="s">
        <v>2154</v>
      </c>
      <c r="C26" s="137">
        <f>ROUND(Precios!M26,0)</f>
        <v>1800</v>
      </c>
      <c r="D26" s="114">
        <f t="shared" si="1"/>
        <v>25</v>
      </c>
      <c r="E26" s="114" t="str">
        <f t="shared" si="0"/>
        <v>INSERT INTO PRECIOS (FECHA_INICIO, FECHA_FIN,PRECIO,ID_PRODUCTO) VALUES ( TO_DATE('01-01-2025','DD-MM-YYYY'), TO_DATE('31-12-2025','DD-MM-YYYY'),1800,25);</v>
      </c>
    </row>
    <row r="27" spans="1:5">
      <c r="A27" s="136" t="s">
        <v>2153</v>
      </c>
      <c r="B27" s="136" t="s">
        <v>2154</v>
      </c>
      <c r="C27" s="137">
        <f>ROUND(Precios!M27,0)</f>
        <v>3400</v>
      </c>
      <c r="D27" s="114">
        <f t="shared" si="1"/>
        <v>26</v>
      </c>
      <c r="E27" s="114" t="str">
        <f t="shared" si="0"/>
        <v>INSERT INTO PRECIOS (FECHA_INICIO, FECHA_FIN,PRECIO,ID_PRODUCTO) VALUES ( TO_DATE('01-01-2025','DD-MM-YYYY'), TO_DATE('31-12-2025','DD-MM-YYYY'),3400,26);</v>
      </c>
    </row>
    <row r="28" spans="1:5">
      <c r="A28" s="136" t="s">
        <v>2153</v>
      </c>
      <c r="B28" s="136" t="s">
        <v>2154</v>
      </c>
      <c r="C28" s="137">
        <f>ROUND(Precios!M28,0)</f>
        <v>8700</v>
      </c>
      <c r="D28" s="114">
        <f t="shared" si="1"/>
        <v>27</v>
      </c>
      <c r="E28" s="114" t="str">
        <f t="shared" si="0"/>
        <v>INSERT INTO PRECIOS (FECHA_INICIO, FECHA_FIN,PRECIO,ID_PRODUCTO) VALUES ( TO_DATE('01-01-2025','DD-MM-YYYY'), TO_DATE('31-12-2025','DD-MM-YYYY'),8700,27);</v>
      </c>
    </row>
    <row r="29" spans="1:5">
      <c r="A29" s="136" t="s">
        <v>2153</v>
      </c>
      <c r="B29" s="136" t="s">
        <v>2154</v>
      </c>
      <c r="C29" s="137">
        <f>ROUND(Precios!M29,0)</f>
        <v>16000</v>
      </c>
      <c r="D29" s="114">
        <f t="shared" si="1"/>
        <v>28</v>
      </c>
      <c r="E29" s="114" t="str">
        <f t="shared" si="0"/>
        <v>INSERT INTO PRECIOS (FECHA_INICIO, FECHA_FIN,PRECIO,ID_PRODUCTO) VALUES ( TO_DATE('01-01-2025','DD-MM-YYYY'), TO_DATE('31-12-2025','DD-MM-YYYY'),16000,28);</v>
      </c>
    </row>
    <row r="30" spans="1:5">
      <c r="A30" s="136" t="s">
        <v>2153</v>
      </c>
      <c r="B30" s="136" t="s">
        <v>2154</v>
      </c>
      <c r="C30" s="137">
        <f>ROUND(Precios!M30,0)</f>
        <v>1000</v>
      </c>
      <c r="D30" s="114">
        <f t="shared" si="1"/>
        <v>29</v>
      </c>
      <c r="E30" s="114" t="str">
        <f t="shared" si="0"/>
        <v>INSERT INTO PRECIOS (FECHA_INICIO, FECHA_FIN,PRECIO,ID_PRODUCTO) VALUES ( TO_DATE('01-01-2025','DD-MM-YYYY'), TO_DATE('31-12-2025','DD-MM-YYYY'),1000,29);</v>
      </c>
    </row>
    <row r="31" spans="1:5">
      <c r="A31" s="136" t="s">
        <v>2153</v>
      </c>
      <c r="B31" s="136" t="s">
        <v>2154</v>
      </c>
      <c r="C31" s="137">
        <f>ROUND(Precios!M31,0)</f>
        <v>3000</v>
      </c>
      <c r="D31" s="114">
        <f t="shared" si="1"/>
        <v>30</v>
      </c>
      <c r="E31" s="114" t="str">
        <f t="shared" si="0"/>
        <v>INSERT INTO PRECIOS (FECHA_INICIO, FECHA_FIN,PRECIO,ID_PRODUCTO) VALUES ( TO_DATE('01-01-2025','DD-MM-YYYY'), TO_DATE('31-12-2025','DD-MM-YYYY'),3000,30);</v>
      </c>
    </row>
    <row r="32" spans="1:5">
      <c r="A32" s="136" t="s">
        <v>2153</v>
      </c>
      <c r="B32" s="136" t="s">
        <v>2154</v>
      </c>
      <c r="C32" s="137">
        <f>ROUND(Precios!M32,0)</f>
        <v>3400</v>
      </c>
      <c r="D32" s="114">
        <f t="shared" si="1"/>
        <v>31</v>
      </c>
      <c r="E32" s="114" t="str">
        <f t="shared" si="0"/>
        <v>INSERT INTO PRECIOS (FECHA_INICIO, FECHA_FIN,PRECIO,ID_PRODUCTO) VALUES ( TO_DATE('01-01-2025','DD-MM-YYYY'), TO_DATE('31-12-2025','DD-MM-YYYY'),3400,31);</v>
      </c>
    </row>
    <row r="33" spans="1:5">
      <c r="A33" s="136" t="s">
        <v>2153</v>
      </c>
      <c r="B33" s="136" t="s">
        <v>2154</v>
      </c>
      <c r="C33" s="137">
        <f>ROUND(Precios!M33,0)</f>
        <v>6500</v>
      </c>
      <c r="D33" s="114">
        <f t="shared" si="1"/>
        <v>32</v>
      </c>
      <c r="E33" s="114" t="str">
        <f t="shared" si="0"/>
        <v>INSERT INTO PRECIOS (FECHA_INICIO, FECHA_FIN,PRECIO,ID_PRODUCTO) VALUES ( TO_DATE('01-01-2025','DD-MM-YYYY'), TO_DATE('31-12-2025','DD-MM-YYYY'),6500,32);</v>
      </c>
    </row>
    <row r="34" spans="1:5">
      <c r="A34" s="136" t="s">
        <v>2153</v>
      </c>
      <c r="B34" s="136" t="s">
        <v>2154</v>
      </c>
      <c r="C34" s="137">
        <f>ROUND(Precios!M34,0)</f>
        <v>17000</v>
      </c>
      <c r="D34" s="114">
        <f t="shared" si="1"/>
        <v>33</v>
      </c>
      <c r="E34" s="114" t="str">
        <f t="shared" si="0"/>
        <v>INSERT INTO PRECIOS (FECHA_INICIO, FECHA_FIN,PRECIO,ID_PRODUCTO) VALUES ( TO_DATE('01-01-2025','DD-MM-YYYY'), TO_DATE('31-12-2025','DD-MM-YYYY'),17000,33);</v>
      </c>
    </row>
    <row r="35" spans="1:5">
      <c r="A35" s="136" t="s">
        <v>2153</v>
      </c>
      <c r="B35" s="136" t="s">
        <v>2154</v>
      </c>
      <c r="C35" s="137">
        <f>ROUND(Precios!M35,0)</f>
        <v>4000</v>
      </c>
      <c r="D35" s="114">
        <f t="shared" si="1"/>
        <v>34</v>
      </c>
      <c r="E35" s="114" t="str">
        <f t="shared" si="0"/>
        <v>INSERT INTO PRECIOS (FECHA_INICIO, FECHA_FIN,PRECIO,ID_PRODUCTO) VALUES ( TO_DATE('01-01-2025','DD-MM-YYYY'), TO_DATE('31-12-2025','DD-MM-YYYY'),4000,34);</v>
      </c>
    </row>
    <row r="36" spans="1:5">
      <c r="A36" s="136" t="s">
        <v>2153</v>
      </c>
      <c r="B36" s="136" t="s">
        <v>2154</v>
      </c>
      <c r="C36" s="137">
        <f>ROUND(Precios!M36,0)</f>
        <v>3500</v>
      </c>
      <c r="D36" s="114">
        <f t="shared" si="1"/>
        <v>35</v>
      </c>
      <c r="E36" s="114" t="str">
        <f t="shared" si="0"/>
        <v>INSERT INTO PRECIOS (FECHA_INICIO, FECHA_FIN,PRECIO,ID_PRODUCTO) VALUES ( TO_DATE('01-01-2025','DD-MM-YYYY'), TO_DATE('31-12-2025','DD-MM-YYYY'),3500,35);</v>
      </c>
    </row>
    <row r="37" spans="1:5">
      <c r="A37" s="136" t="s">
        <v>2153</v>
      </c>
      <c r="B37" s="136" t="s">
        <v>2154</v>
      </c>
      <c r="C37" s="137">
        <f>ROUND(Precios!M37,0)</f>
        <v>4800</v>
      </c>
      <c r="D37" s="114">
        <f t="shared" si="1"/>
        <v>36</v>
      </c>
      <c r="E37" s="114" t="str">
        <f t="shared" si="0"/>
        <v>INSERT INTO PRECIOS (FECHA_INICIO, FECHA_FIN,PRECIO,ID_PRODUCTO) VALUES ( TO_DATE('01-01-2025','DD-MM-YYYY'), TO_DATE('31-12-2025','DD-MM-YYYY'),4800,36);</v>
      </c>
    </row>
    <row r="38" spans="1:5">
      <c r="A38" s="136" t="s">
        <v>2153</v>
      </c>
      <c r="B38" s="136" t="s">
        <v>2154</v>
      </c>
      <c r="C38" s="137">
        <f>ROUND(Precios!M38,0)</f>
        <v>4200</v>
      </c>
      <c r="D38" s="114">
        <f t="shared" si="1"/>
        <v>37</v>
      </c>
      <c r="E38" s="114" t="str">
        <f t="shared" si="0"/>
        <v>INSERT INTO PRECIOS (FECHA_INICIO, FECHA_FIN,PRECIO,ID_PRODUCTO) VALUES ( TO_DATE('01-01-2025','DD-MM-YYYY'), TO_DATE('31-12-2025','DD-MM-YYYY'),4200,37);</v>
      </c>
    </row>
    <row r="39" spans="1:5">
      <c r="A39" s="136" t="s">
        <v>2153</v>
      </c>
      <c r="B39" s="136" t="s">
        <v>2154</v>
      </c>
      <c r="C39" s="137">
        <f>ROUND(Precios!M39,0)</f>
        <v>3200</v>
      </c>
      <c r="D39" s="114">
        <f t="shared" si="1"/>
        <v>38</v>
      </c>
      <c r="E39" s="114" t="str">
        <f t="shared" si="0"/>
        <v>INSERT INTO PRECIOS (FECHA_INICIO, FECHA_FIN,PRECIO,ID_PRODUCTO) VALUES ( TO_DATE('01-01-2025','DD-MM-YYYY'), TO_DATE('31-12-2025','DD-MM-YYYY'),3200,38);</v>
      </c>
    </row>
    <row r="40" spans="1:5">
      <c r="A40" s="136" t="s">
        <v>2153</v>
      </c>
      <c r="B40" s="136" t="s">
        <v>2154</v>
      </c>
      <c r="C40" s="137">
        <f>ROUND(Precios!M40,0)</f>
        <v>4800</v>
      </c>
      <c r="D40" s="114">
        <f t="shared" si="1"/>
        <v>39</v>
      </c>
      <c r="E40" s="114" t="str">
        <f t="shared" si="0"/>
        <v>INSERT INTO PRECIOS (FECHA_INICIO, FECHA_FIN,PRECIO,ID_PRODUCTO) VALUES ( TO_DATE('01-01-2025','DD-MM-YYYY'), TO_DATE('31-12-2025','DD-MM-YYYY'),4800,39);</v>
      </c>
    </row>
    <row r="41" spans="1:5">
      <c r="A41" s="136" t="s">
        <v>2153</v>
      </c>
      <c r="B41" s="136" t="s">
        <v>2154</v>
      </c>
      <c r="C41" s="137">
        <f>ROUND(Precios!M41,0)</f>
        <v>12000</v>
      </c>
      <c r="D41" s="114">
        <f t="shared" si="1"/>
        <v>40</v>
      </c>
      <c r="E41" s="114" t="str">
        <f t="shared" si="0"/>
        <v>INSERT INTO PRECIOS (FECHA_INICIO, FECHA_FIN,PRECIO,ID_PRODUCTO) VALUES ( TO_DATE('01-01-2025','DD-MM-YYYY'), TO_DATE('31-12-2025','DD-MM-YYYY'),12000,40);</v>
      </c>
    </row>
    <row r="42" spans="1:5">
      <c r="A42" s="136" t="s">
        <v>2153</v>
      </c>
      <c r="B42" s="136" t="s">
        <v>2154</v>
      </c>
      <c r="C42" s="137">
        <f>ROUND(Precios!M42,0)</f>
        <v>3200</v>
      </c>
      <c r="D42" s="114">
        <f t="shared" si="1"/>
        <v>41</v>
      </c>
      <c r="E42" s="114" t="str">
        <f t="shared" si="0"/>
        <v>INSERT INTO PRECIOS (FECHA_INICIO, FECHA_FIN,PRECIO,ID_PRODUCTO) VALUES ( TO_DATE('01-01-2025','DD-MM-YYYY'), TO_DATE('31-12-2025','DD-MM-YYYY'),3200,41);</v>
      </c>
    </row>
    <row r="43" spans="1:5">
      <c r="A43" s="136" t="s">
        <v>2153</v>
      </c>
      <c r="B43" s="136" t="s">
        <v>2154</v>
      </c>
      <c r="C43" s="137">
        <f>ROUND(Precios!M43,0)</f>
        <v>5280</v>
      </c>
      <c r="D43" s="114">
        <f t="shared" si="1"/>
        <v>42</v>
      </c>
      <c r="E43" s="114" t="str">
        <f t="shared" si="0"/>
        <v>INSERT INTO PRECIOS (FECHA_INICIO, FECHA_FIN,PRECIO,ID_PRODUCTO) VALUES ( TO_DATE('01-01-2025','DD-MM-YYYY'), TO_DATE('31-12-2025','DD-MM-YYYY'),5280,42);</v>
      </c>
    </row>
    <row r="44" spans="1:5">
      <c r="A44" s="136" t="s">
        <v>2153</v>
      </c>
      <c r="B44" s="136" t="s">
        <v>2154</v>
      </c>
      <c r="C44" s="137">
        <f>ROUND(Precios!M44,0)</f>
        <v>1000</v>
      </c>
      <c r="D44" s="114">
        <f t="shared" si="1"/>
        <v>43</v>
      </c>
      <c r="E44" s="114" t="str">
        <f t="shared" si="0"/>
        <v>INSERT INTO PRECIOS (FECHA_INICIO, FECHA_FIN,PRECIO,ID_PRODUCTO) VALUES ( TO_DATE('01-01-2025','DD-MM-YYYY'), TO_DATE('31-12-2025','DD-MM-YYYY'),1000,43);</v>
      </c>
    </row>
    <row r="45" spans="1:5">
      <c r="A45" s="136" t="s">
        <v>2153</v>
      </c>
      <c r="B45" s="136" t="s">
        <v>2154</v>
      </c>
      <c r="C45" s="137">
        <f>ROUND(Precios!M45,0)</f>
        <v>6000</v>
      </c>
      <c r="D45" s="114">
        <f t="shared" si="1"/>
        <v>44</v>
      </c>
      <c r="E45" s="114" t="str">
        <f t="shared" si="0"/>
        <v>INSERT INTO PRECIOS (FECHA_INICIO, FECHA_FIN,PRECIO,ID_PRODUCTO) VALUES ( TO_DATE('01-01-2025','DD-MM-YYYY'), TO_DATE('31-12-2025','DD-MM-YYYY'),6000,44);</v>
      </c>
    </row>
    <row r="46" spans="1:5">
      <c r="A46" s="136" t="s">
        <v>2153</v>
      </c>
      <c r="B46" s="136" t="s">
        <v>2154</v>
      </c>
      <c r="C46" s="137">
        <f>ROUND(Precios!M46,0)</f>
        <v>1600</v>
      </c>
      <c r="D46" s="114">
        <f t="shared" si="1"/>
        <v>45</v>
      </c>
      <c r="E46" s="114" t="str">
        <f t="shared" si="0"/>
        <v>INSERT INTO PRECIOS (FECHA_INICIO, FECHA_FIN,PRECIO,ID_PRODUCTO) VALUES ( TO_DATE('01-01-2025','DD-MM-YYYY'), TO_DATE('31-12-2025','DD-MM-YYYY'),1600,45);</v>
      </c>
    </row>
    <row r="47" spans="1:5">
      <c r="A47" s="136" t="s">
        <v>2153</v>
      </c>
      <c r="B47" s="136" t="s">
        <v>2154</v>
      </c>
      <c r="C47" s="137">
        <f>ROUND(Precios!M47,0)</f>
        <v>2500</v>
      </c>
      <c r="D47" s="114">
        <f t="shared" si="1"/>
        <v>46</v>
      </c>
      <c r="E47" s="114" t="str">
        <f t="shared" si="0"/>
        <v>INSERT INTO PRECIOS (FECHA_INICIO, FECHA_FIN,PRECIO,ID_PRODUCTO) VALUES ( TO_DATE('01-01-2025','DD-MM-YYYY'), TO_DATE('31-12-2025','DD-MM-YYYY'),2500,46);</v>
      </c>
    </row>
    <row r="48" spans="1:5">
      <c r="A48" s="136" t="s">
        <v>2153</v>
      </c>
      <c r="B48" s="136" t="s">
        <v>2154</v>
      </c>
      <c r="C48" s="137">
        <f>ROUND(Precios!M48,0)</f>
        <v>4200</v>
      </c>
      <c r="D48" s="114">
        <f t="shared" si="1"/>
        <v>47</v>
      </c>
      <c r="E48" s="114" t="str">
        <f t="shared" si="0"/>
        <v>INSERT INTO PRECIOS (FECHA_INICIO, FECHA_FIN,PRECIO,ID_PRODUCTO) VALUES ( TO_DATE('01-01-2025','DD-MM-YYYY'), TO_DATE('31-12-2025','DD-MM-YYYY'),4200,47);</v>
      </c>
    </row>
    <row r="49" spans="1:5">
      <c r="A49" s="136" t="s">
        <v>2153</v>
      </c>
      <c r="B49" s="136" t="s">
        <v>2154</v>
      </c>
      <c r="C49" s="137">
        <f>ROUND(Precios!M49,0)</f>
        <v>40000</v>
      </c>
      <c r="D49" s="114">
        <f t="shared" si="1"/>
        <v>48</v>
      </c>
      <c r="E49" s="114" t="str">
        <f t="shared" si="0"/>
        <v>INSERT INTO PRECIOS (FECHA_INICIO, FECHA_FIN,PRECIO,ID_PRODUCTO) VALUES ( TO_DATE('01-01-2025','DD-MM-YYYY'), TO_DATE('31-12-2025','DD-MM-YYYY'),40000,48);</v>
      </c>
    </row>
    <row r="50" spans="1:5">
      <c r="A50" s="136" t="s">
        <v>2153</v>
      </c>
      <c r="B50" s="136" t="s">
        <v>2154</v>
      </c>
      <c r="C50" s="137">
        <f>ROUND(Precios!M50,0)</f>
        <v>4200</v>
      </c>
      <c r="D50" s="114">
        <f t="shared" si="1"/>
        <v>49</v>
      </c>
      <c r="E50" s="114" t="str">
        <f t="shared" si="0"/>
        <v>INSERT INTO PRECIOS (FECHA_INICIO, FECHA_FIN,PRECIO,ID_PRODUCTO) VALUES ( TO_DATE('01-01-2025','DD-MM-YYYY'), TO_DATE('31-12-2025','DD-MM-YYYY'),4200,49);</v>
      </c>
    </row>
    <row r="51" spans="1:5">
      <c r="A51" s="136" t="s">
        <v>2153</v>
      </c>
      <c r="B51" s="136" t="s">
        <v>2154</v>
      </c>
      <c r="C51" s="137">
        <f>ROUND(Precios!M51,0)</f>
        <v>40000</v>
      </c>
      <c r="D51" s="114">
        <f t="shared" si="1"/>
        <v>50</v>
      </c>
      <c r="E51" s="114" t="str">
        <f t="shared" si="0"/>
        <v>INSERT INTO PRECIOS (FECHA_INICIO, FECHA_FIN,PRECIO,ID_PRODUCTO) VALUES ( TO_DATE('01-01-2025','DD-MM-YYYY'), TO_DATE('31-12-2025','DD-MM-YYYY'),40000,50);</v>
      </c>
    </row>
    <row r="52" spans="1:5">
      <c r="A52" s="136" t="s">
        <v>2153</v>
      </c>
      <c r="B52" s="136" t="s">
        <v>2154</v>
      </c>
      <c r="C52" s="137">
        <f>ROUND(Precios!M52,0)</f>
        <v>4200</v>
      </c>
      <c r="D52" s="114">
        <f t="shared" si="1"/>
        <v>51</v>
      </c>
      <c r="E52" s="114" t="str">
        <f t="shared" si="0"/>
        <v>INSERT INTO PRECIOS (FECHA_INICIO, FECHA_FIN,PRECIO,ID_PRODUCTO) VALUES ( TO_DATE('01-01-2025','DD-MM-YYYY'), TO_DATE('31-12-2025','DD-MM-YYYY'),4200,51);</v>
      </c>
    </row>
    <row r="53" spans="1:5">
      <c r="A53" s="136" t="s">
        <v>2153</v>
      </c>
      <c r="B53" s="136" t="s">
        <v>2154</v>
      </c>
      <c r="C53" s="137">
        <f>ROUND(Precios!M53,0)</f>
        <v>40000</v>
      </c>
      <c r="D53" s="114">
        <f t="shared" si="1"/>
        <v>52</v>
      </c>
      <c r="E53" s="114" t="str">
        <f t="shared" si="0"/>
        <v>INSERT INTO PRECIOS (FECHA_INICIO, FECHA_FIN,PRECIO,ID_PRODUCTO) VALUES ( TO_DATE('01-01-2025','DD-MM-YYYY'), TO_DATE('31-12-2025','DD-MM-YYYY'),40000,52);</v>
      </c>
    </row>
    <row r="54" spans="1:5">
      <c r="A54" s="136" t="s">
        <v>2153</v>
      </c>
      <c r="B54" s="136" t="s">
        <v>2154</v>
      </c>
      <c r="C54" s="137">
        <f>ROUND(Precios!M54,0)</f>
        <v>4200</v>
      </c>
      <c r="D54" s="114">
        <f t="shared" si="1"/>
        <v>53</v>
      </c>
      <c r="E54" s="114" t="str">
        <f t="shared" si="0"/>
        <v>INSERT INTO PRECIOS (FECHA_INICIO, FECHA_FIN,PRECIO,ID_PRODUCTO) VALUES ( TO_DATE('01-01-2025','DD-MM-YYYY'), TO_DATE('31-12-2025','DD-MM-YYYY'),4200,53);</v>
      </c>
    </row>
    <row r="55" spans="1:5">
      <c r="A55" s="136" t="s">
        <v>2153</v>
      </c>
      <c r="B55" s="136" t="s">
        <v>2154</v>
      </c>
      <c r="C55" s="137">
        <f>ROUND(Precios!M55,0)</f>
        <v>40000</v>
      </c>
      <c r="D55" s="114">
        <f t="shared" si="1"/>
        <v>54</v>
      </c>
      <c r="E55" s="114" t="str">
        <f t="shared" si="0"/>
        <v>INSERT INTO PRECIOS (FECHA_INICIO, FECHA_FIN,PRECIO,ID_PRODUCTO) VALUES ( TO_DATE('01-01-2025','DD-MM-YYYY'), TO_DATE('31-12-2025','DD-MM-YYYY'),40000,54);</v>
      </c>
    </row>
    <row r="56" spans="1:5">
      <c r="A56" s="136" t="s">
        <v>2153</v>
      </c>
      <c r="B56" s="136" t="s">
        <v>2154</v>
      </c>
      <c r="C56" s="137">
        <f>ROUND(Precios!M56,0)</f>
        <v>1600</v>
      </c>
      <c r="D56" s="114">
        <f t="shared" si="1"/>
        <v>55</v>
      </c>
      <c r="E56" s="114" t="str">
        <f t="shared" si="0"/>
        <v>INSERT INTO PRECIOS (FECHA_INICIO, FECHA_FIN,PRECIO,ID_PRODUCTO) VALUES ( TO_DATE('01-01-2025','DD-MM-YYYY'), TO_DATE('31-12-2025','DD-MM-YYYY'),1600,55);</v>
      </c>
    </row>
    <row r="57" spans="1:5">
      <c r="A57" s="136" t="s">
        <v>2153</v>
      </c>
      <c r="B57" s="136" t="s">
        <v>2154</v>
      </c>
      <c r="C57" s="137">
        <f>ROUND(Precios!M57,0)</f>
        <v>1500</v>
      </c>
      <c r="D57" s="114">
        <f t="shared" si="1"/>
        <v>56</v>
      </c>
      <c r="E57" s="114" t="str">
        <f t="shared" si="0"/>
        <v>INSERT INTO PRECIOS (FECHA_INICIO, FECHA_FIN,PRECIO,ID_PRODUCTO) VALUES ( TO_DATE('01-01-2025','DD-MM-YYYY'), TO_DATE('31-12-2025','DD-MM-YYYY'),1500,56);</v>
      </c>
    </row>
    <row r="58" spans="1:5">
      <c r="A58" s="136" t="s">
        <v>2153</v>
      </c>
      <c r="B58" s="136" t="s">
        <v>2154</v>
      </c>
      <c r="C58" s="137">
        <f>ROUND(Precios!M58,0)</f>
        <v>4000</v>
      </c>
      <c r="D58" s="114">
        <f t="shared" si="1"/>
        <v>57</v>
      </c>
      <c r="E58" s="114" t="str">
        <f t="shared" si="0"/>
        <v>INSERT INTO PRECIOS (FECHA_INICIO, FECHA_FIN,PRECIO,ID_PRODUCTO) VALUES ( TO_DATE('01-01-2025','DD-MM-YYYY'), TO_DATE('31-12-2025','DD-MM-YYYY'),4000,57);</v>
      </c>
    </row>
    <row r="59" spans="1:5">
      <c r="A59" s="136" t="s">
        <v>2153</v>
      </c>
      <c r="B59" s="136" t="s">
        <v>2154</v>
      </c>
      <c r="C59" s="137">
        <f>ROUND(Precios!M59,0)</f>
        <v>2200</v>
      </c>
      <c r="D59" s="114">
        <f t="shared" si="1"/>
        <v>58</v>
      </c>
      <c r="E59" s="114" t="str">
        <f t="shared" si="0"/>
        <v>INSERT INTO PRECIOS (FECHA_INICIO, FECHA_FIN,PRECIO,ID_PRODUCTO) VALUES ( TO_DATE('01-01-2025','DD-MM-YYYY'), TO_DATE('31-12-2025','DD-MM-YYYY'),2200,58);</v>
      </c>
    </row>
    <row r="60" spans="1:5">
      <c r="A60" s="136" t="s">
        <v>2153</v>
      </c>
      <c r="B60" s="136" t="s">
        <v>2154</v>
      </c>
      <c r="C60" s="137">
        <f>ROUND(Precios!M60,0)</f>
        <v>800</v>
      </c>
      <c r="D60" s="114">
        <f t="shared" si="1"/>
        <v>59</v>
      </c>
      <c r="E60" s="114" t="str">
        <f t="shared" si="0"/>
        <v>INSERT INTO PRECIOS (FECHA_INICIO, FECHA_FIN,PRECIO,ID_PRODUCTO) VALUES ( TO_DATE('01-01-2025','DD-MM-YYYY'), TO_DATE('31-12-2025','DD-MM-YYYY'),800,59);</v>
      </c>
    </row>
    <row r="61" spans="1:5">
      <c r="A61" s="136" t="s">
        <v>2153</v>
      </c>
      <c r="B61" s="136" t="s">
        <v>2154</v>
      </c>
      <c r="C61" s="137">
        <f>ROUND(Precios!M61,0)</f>
        <v>1300</v>
      </c>
      <c r="D61" s="114">
        <f t="shared" si="1"/>
        <v>60</v>
      </c>
      <c r="E61" s="114" t="str">
        <f t="shared" si="0"/>
        <v>INSERT INTO PRECIOS (FECHA_INICIO, FECHA_FIN,PRECIO,ID_PRODUCTO) VALUES ( TO_DATE('01-01-2025','DD-MM-YYYY'), TO_DATE('31-12-2025','DD-MM-YYYY'),1300,60);</v>
      </c>
    </row>
    <row r="62" spans="1:5">
      <c r="A62" s="136" t="s">
        <v>2153</v>
      </c>
      <c r="B62" s="136" t="s">
        <v>2154</v>
      </c>
      <c r="C62" s="137">
        <f>ROUND(Precios!M62,0)</f>
        <v>2600</v>
      </c>
      <c r="D62" s="114">
        <f t="shared" si="1"/>
        <v>61</v>
      </c>
      <c r="E62" s="114" t="str">
        <f t="shared" si="0"/>
        <v>INSERT INTO PRECIOS (FECHA_INICIO, FECHA_FIN,PRECIO,ID_PRODUCTO) VALUES ( TO_DATE('01-01-2025','DD-MM-YYYY'), TO_DATE('31-12-2025','DD-MM-YYYY'),2600,61);</v>
      </c>
    </row>
    <row r="63" spans="1:5">
      <c r="A63" s="136" t="s">
        <v>2153</v>
      </c>
      <c r="B63" s="136" t="s">
        <v>2154</v>
      </c>
      <c r="C63" s="137">
        <f>ROUND(Precios!M63,0)</f>
        <v>1400</v>
      </c>
      <c r="D63" s="114">
        <f t="shared" si="1"/>
        <v>62</v>
      </c>
      <c r="E63" s="114" t="str">
        <f t="shared" si="0"/>
        <v>INSERT INTO PRECIOS (FECHA_INICIO, FECHA_FIN,PRECIO,ID_PRODUCTO) VALUES ( TO_DATE('01-01-2025','DD-MM-YYYY'), TO_DATE('31-12-2025','DD-MM-YYYY'),1400,62);</v>
      </c>
    </row>
    <row r="64" spans="1:5">
      <c r="A64" s="136" t="s">
        <v>2153</v>
      </c>
      <c r="B64" s="136" t="s">
        <v>2154</v>
      </c>
      <c r="C64" s="137">
        <f>ROUND(Precios!M64,0)</f>
        <v>500</v>
      </c>
      <c r="D64" s="114">
        <f t="shared" si="1"/>
        <v>63</v>
      </c>
      <c r="E64" s="114" t="str">
        <f t="shared" si="0"/>
        <v>INSERT INTO PRECIOS (FECHA_INICIO, FECHA_FIN,PRECIO,ID_PRODUCTO) VALUES ( TO_DATE('01-01-2025','DD-MM-YYYY'), TO_DATE('31-12-2025','DD-MM-YYYY'),500,63);</v>
      </c>
    </row>
    <row r="65" spans="1:5">
      <c r="A65" s="136" t="s">
        <v>2153</v>
      </c>
      <c r="B65" s="136" t="s">
        <v>2154</v>
      </c>
      <c r="C65" s="137">
        <f>ROUND(Precios!M65,0)</f>
        <v>550</v>
      </c>
      <c r="D65" s="114">
        <f t="shared" si="1"/>
        <v>64</v>
      </c>
      <c r="E65" s="114" t="str">
        <f t="shared" si="0"/>
        <v>INSERT INTO PRECIOS (FECHA_INICIO, FECHA_FIN,PRECIO,ID_PRODUCTO) VALUES ( TO_DATE('01-01-2025','DD-MM-YYYY'), TO_DATE('31-12-2025','DD-MM-YYYY'),550,64);</v>
      </c>
    </row>
    <row r="66" spans="1:5">
      <c r="A66" s="136" t="s">
        <v>2153</v>
      </c>
      <c r="B66" s="136" t="s">
        <v>2154</v>
      </c>
      <c r="C66" s="137">
        <f>ROUND(Precios!M66,0)</f>
        <v>1100</v>
      </c>
      <c r="D66" s="114">
        <f t="shared" si="1"/>
        <v>65</v>
      </c>
      <c r="E66" s="114" t="str">
        <f t="shared" si="0"/>
        <v>INSERT INTO PRECIOS (FECHA_INICIO, FECHA_FIN,PRECIO,ID_PRODUCTO) VALUES ( TO_DATE('01-01-2025','DD-MM-YYYY'), TO_DATE('31-12-2025','DD-MM-YYYY'),1100,65);</v>
      </c>
    </row>
    <row r="67" spans="1:5">
      <c r="A67" s="136" t="s">
        <v>2153</v>
      </c>
      <c r="B67" s="136" t="s">
        <v>2154</v>
      </c>
      <c r="C67" s="137">
        <f>ROUND(Precios!M67,0)</f>
        <v>600</v>
      </c>
      <c r="D67" s="114">
        <f t="shared" si="1"/>
        <v>66</v>
      </c>
      <c r="E67" s="114" t="str">
        <f t="shared" ref="E67:E130" si="2">CONCATENATE("INSERT INTO PRECIOS (FECHA_INICIO, FECHA_FIN,PRECIO,ID_PRODUCTO) VALUES ( TO_DATE(","'",A67,"'",",'DD-MM-YYYY')",", TO_DATE(","'",B67,"'",",'DD-MM-YYYY')",",",C67,",",D67,");")</f>
        <v>INSERT INTO PRECIOS (FECHA_INICIO, FECHA_FIN,PRECIO,ID_PRODUCTO) VALUES ( TO_DATE('01-01-2025','DD-MM-YYYY'), TO_DATE('31-12-2025','DD-MM-YYYY'),600,66);</v>
      </c>
    </row>
    <row r="68" spans="1:5">
      <c r="A68" s="136" t="s">
        <v>2153</v>
      </c>
      <c r="B68" s="136" t="s">
        <v>2154</v>
      </c>
      <c r="C68" s="137">
        <f>ROUND(Precios!M68,0)</f>
        <v>650</v>
      </c>
      <c r="D68" s="114">
        <f t="shared" ref="D68:D131" si="3">D67+1</f>
        <v>67</v>
      </c>
      <c r="E68" s="114" t="str">
        <f t="shared" si="2"/>
        <v>INSERT INTO PRECIOS (FECHA_INICIO, FECHA_FIN,PRECIO,ID_PRODUCTO) VALUES ( TO_DATE('01-01-2025','DD-MM-YYYY'), TO_DATE('31-12-2025','DD-MM-YYYY'),650,67);</v>
      </c>
    </row>
    <row r="69" spans="1:5">
      <c r="A69" s="136" t="s">
        <v>2153</v>
      </c>
      <c r="B69" s="136" t="s">
        <v>2154</v>
      </c>
      <c r="C69" s="137">
        <f>ROUND(Precios!M69,0)</f>
        <v>1200</v>
      </c>
      <c r="D69" s="114">
        <f t="shared" si="3"/>
        <v>68</v>
      </c>
      <c r="E69" s="114" t="str">
        <f t="shared" si="2"/>
        <v>INSERT INTO PRECIOS (FECHA_INICIO, FECHA_FIN,PRECIO,ID_PRODUCTO) VALUES ( TO_DATE('01-01-2025','DD-MM-YYYY'), TO_DATE('31-12-2025','DD-MM-YYYY'),1200,68);</v>
      </c>
    </row>
    <row r="70" spans="1:5">
      <c r="A70" s="136" t="s">
        <v>2153</v>
      </c>
      <c r="B70" s="136" t="s">
        <v>2154</v>
      </c>
      <c r="C70" s="137">
        <f>ROUND(Precios!M70,0)</f>
        <v>3000</v>
      </c>
      <c r="D70" s="114">
        <f t="shared" si="3"/>
        <v>69</v>
      </c>
      <c r="E70" s="114" t="str">
        <f t="shared" si="2"/>
        <v>INSERT INTO PRECIOS (FECHA_INICIO, FECHA_FIN,PRECIO,ID_PRODUCTO) VALUES ( TO_DATE('01-01-2025','DD-MM-YYYY'), TO_DATE('31-12-2025','DD-MM-YYYY'),3000,69);</v>
      </c>
    </row>
    <row r="71" spans="1:5">
      <c r="A71" s="136" t="s">
        <v>2153</v>
      </c>
      <c r="B71" s="136" t="s">
        <v>2154</v>
      </c>
      <c r="C71" s="137">
        <f>ROUND(Precios!M71,0)</f>
        <v>3000</v>
      </c>
      <c r="D71" s="114">
        <f t="shared" si="3"/>
        <v>70</v>
      </c>
      <c r="E71" s="114" t="str">
        <f t="shared" si="2"/>
        <v>INSERT INTO PRECIOS (FECHA_INICIO, FECHA_FIN,PRECIO,ID_PRODUCTO) VALUES ( TO_DATE('01-01-2025','DD-MM-YYYY'), TO_DATE('31-12-2025','DD-MM-YYYY'),3000,70);</v>
      </c>
    </row>
    <row r="72" spans="1:5">
      <c r="A72" s="136" t="s">
        <v>2153</v>
      </c>
      <c r="B72" s="136" t="s">
        <v>2154</v>
      </c>
      <c r="C72" s="137">
        <f>ROUND(Precios!M72,0)</f>
        <v>3000</v>
      </c>
      <c r="D72" s="114">
        <f t="shared" si="3"/>
        <v>71</v>
      </c>
      <c r="E72" s="114" t="str">
        <f t="shared" si="2"/>
        <v>INSERT INTO PRECIOS (FECHA_INICIO, FECHA_FIN,PRECIO,ID_PRODUCTO) VALUES ( TO_DATE('01-01-2025','DD-MM-YYYY'), TO_DATE('31-12-2025','DD-MM-YYYY'),3000,71);</v>
      </c>
    </row>
    <row r="73" spans="1:5">
      <c r="A73" s="136" t="s">
        <v>2153</v>
      </c>
      <c r="B73" s="136" t="s">
        <v>2154</v>
      </c>
      <c r="C73" s="137">
        <f>ROUND(Precios!M73,0)</f>
        <v>3000</v>
      </c>
      <c r="D73" s="114">
        <f t="shared" si="3"/>
        <v>72</v>
      </c>
      <c r="E73" s="114" t="str">
        <f t="shared" si="2"/>
        <v>INSERT INTO PRECIOS (FECHA_INICIO, FECHA_FIN,PRECIO,ID_PRODUCTO) VALUES ( TO_DATE('01-01-2025','DD-MM-YYYY'), TO_DATE('31-12-2025','DD-MM-YYYY'),3000,72);</v>
      </c>
    </row>
    <row r="74" spans="1:5">
      <c r="A74" s="136" t="s">
        <v>2153</v>
      </c>
      <c r="B74" s="136" t="s">
        <v>2154</v>
      </c>
      <c r="C74" s="137">
        <f>ROUND(Precios!M74,0)</f>
        <v>4500</v>
      </c>
      <c r="D74" s="114">
        <f t="shared" si="3"/>
        <v>73</v>
      </c>
      <c r="E74" s="114" t="str">
        <f t="shared" si="2"/>
        <v>INSERT INTO PRECIOS (FECHA_INICIO, FECHA_FIN,PRECIO,ID_PRODUCTO) VALUES ( TO_DATE('01-01-2025','DD-MM-YYYY'), TO_DATE('31-12-2025','DD-MM-YYYY'),4500,73);</v>
      </c>
    </row>
    <row r="75" spans="1:5">
      <c r="A75" s="136" t="s">
        <v>2153</v>
      </c>
      <c r="B75" s="136" t="s">
        <v>2154</v>
      </c>
      <c r="C75" s="137">
        <f>ROUND(Precios!M75,0)</f>
        <v>11500</v>
      </c>
      <c r="D75" s="114">
        <f t="shared" si="3"/>
        <v>74</v>
      </c>
      <c r="E75" s="114" t="str">
        <f t="shared" si="2"/>
        <v>INSERT INTO PRECIOS (FECHA_INICIO, FECHA_FIN,PRECIO,ID_PRODUCTO) VALUES ( TO_DATE('01-01-2025','DD-MM-YYYY'), TO_DATE('31-12-2025','DD-MM-YYYY'),11500,74);</v>
      </c>
    </row>
    <row r="76" spans="1:5">
      <c r="A76" s="136" t="s">
        <v>2153</v>
      </c>
      <c r="B76" s="136" t="s">
        <v>2154</v>
      </c>
      <c r="C76" s="137">
        <f>ROUND(Precios!M76,0)</f>
        <v>16500</v>
      </c>
      <c r="D76" s="114">
        <f t="shared" si="3"/>
        <v>75</v>
      </c>
      <c r="E76" s="114" t="str">
        <f t="shared" si="2"/>
        <v>INSERT INTO PRECIOS (FECHA_INICIO, FECHA_FIN,PRECIO,ID_PRODUCTO) VALUES ( TO_DATE('01-01-2025','DD-MM-YYYY'), TO_DATE('31-12-2025','DD-MM-YYYY'),16500,75);</v>
      </c>
    </row>
    <row r="77" spans="1:5">
      <c r="A77" s="136" t="s">
        <v>2153</v>
      </c>
      <c r="B77" s="136" t="s">
        <v>2154</v>
      </c>
      <c r="C77" s="137">
        <f>ROUND(Precios!M77,0)</f>
        <v>3400</v>
      </c>
      <c r="D77" s="114">
        <f t="shared" si="3"/>
        <v>76</v>
      </c>
      <c r="E77" s="114" t="str">
        <f t="shared" si="2"/>
        <v>INSERT INTO PRECIOS (FECHA_INICIO, FECHA_FIN,PRECIO,ID_PRODUCTO) VALUES ( TO_DATE('01-01-2025','DD-MM-YYYY'), TO_DATE('31-12-2025','DD-MM-YYYY'),3400,76);</v>
      </c>
    </row>
    <row r="78" spans="1:5">
      <c r="A78" s="136" t="s">
        <v>2153</v>
      </c>
      <c r="B78" s="136" t="s">
        <v>2154</v>
      </c>
      <c r="C78" s="137">
        <f>ROUND(Precios!M78,0)</f>
        <v>4250</v>
      </c>
      <c r="D78" s="114">
        <f t="shared" si="3"/>
        <v>77</v>
      </c>
      <c r="E78" s="114" t="str">
        <f t="shared" si="2"/>
        <v>INSERT INTO PRECIOS (FECHA_INICIO, FECHA_FIN,PRECIO,ID_PRODUCTO) VALUES ( TO_DATE('01-01-2025','DD-MM-YYYY'), TO_DATE('31-12-2025','DD-MM-YYYY'),4250,77);</v>
      </c>
    </row>
    <row r="79" spans="1:5">
      <c r="A79" s="136" t="s">
        <v>2153</v>
      </c>
      <c r="B79" s="136" t="s">
        <v>2154</v>
      </c>
      <c r="C79" s="137">
        <f>ROUND(Precios!M79,0)</f>
        <v>1000</v>
      </c>
      <c r="D79" s="114">
        <f t="shared" si="3"/>
        <v>78</v>
      </c>
      <c r="E79" s="114" t="str">
        <f t="shared" si="2"/>
        <v>INSERT INTO PRECIOS (FECHA_INICIO, FECHA_FIN,PRECIO,ID_PRODUCTO) VALUES ( TO_DATE('01-01-2025','DD-MM-YYYY'), TO_DATE('31-12-2025','DD-MM-YYYY'),1000,78);</v>
      </c>
    </row>
    <row r="80" spans="1:5">
      <c r="A80" s="136" t="s">
        <v>2153</v>
      </c>
      <c r="B80" s="136" t="s">
        <v>2154</v>
      </c>
      <c r="C80" s="137">
        <f>ROUND(Precios!M80,0)</f>
        <v>8500</v>
      </c>
      <c r="D80" s="114">
        <f t="shared" si="3"/>
        <v>79</v>
      </c>
      <c r="E80" s="114" t="str">
        <f t="shared" si="2"/>
        <v>INSERT INTO PRECIOS (FECHA_INICIO, FECHA_FIN,PRECIO,ID_PRODUCTO) VALUES ( TO_DATE('01-01-2025','DD-MM-YYYY'), TO_DATE('31-12-2025','DD-MM-YYYY'),8500,79);</v>
      </c>
    </row>
    <row r="81" spans="1:5">
      <c r="A81" s="136" t="s">
        <v>2153</v>
      </c>
      <c r="B81" s="136" t="s">
        <v>2154</v>
      </c>
      <c r="C81" s="137">
        <f>ROUND(Precios!M81,0)</f>
        <v>1600</v>
      </c>
      <c r="D81" s="114">
        <f t="shared" si="3"/>
        <v>80</v>
      </c>
      <c r="E81" s="114" t="str">
        <f t="shared" si="2"/>
        <v>INSERT INTO PRECIOS (FECHA_INICIO, FECHA_FIN,PRECIO,ID_PRODUCTO) VALUES ( TO_DATE('01-01-2025','DD-MM-YYYY'), TO_DATE('31-12-2025','DD-MM-YYYY'),1600,80);</v>
      </c>
    </row>
    <row r="82" spans="1:5">
      <c r="A82" s="136" t="s">
        <v>2153</v>
      </c>
      <c r="B82" s="136" t="s">
        <v>2154</v>
      </c>
      <c r="C82" s="137">
        <f>ROUND(Precios!M82,0)</f>
        <v>1600</v>
      </c>
      <c r="D82" s="114">
        <f t="shared" si="3"/>
        <v>81</v>
      </c>
      <c r="E82" s="114" t="str">
        <f t="shared" si="2"/>
        <v>INSERT INTO PRECIOS (FECHA_INICIO, FECHA_FIN,PRECIO,ID_PRODUCTO) VALUES ( TO_DATE('01-01-2025','DD-MM-YYYY'), TO_DATE('31-12-2025','DD-MM-YYYY'),1600,81);</v>
      </c>
    </row>
    <row r="83" spans="1:5">
      <c r="A83" s="136" t="s">
        <v>2153</v>
      </c>
      <c r="B83" s="136" t="s">
        <v>2154</v>
      </c>
      <c r="C83" s="137">
        <f>ROUND(Precios!M83,0)</f>
        <v>1600</v>
      </c>
      <c r="D83" s="114">
        <f t="shared" si="3"/>
        <v>82</v>
      </c>
      <c r="E83" s="114" t="str">
        <f t="shared" si="2"/>
        <v>INSERT INTO PRECIOS (FECHA_INICIO, FECHA_FIN,PRECIO,ID_PRODUCTO) VALUES ( TO_DATE('01-01-2025','DD-MM-YYYY'), TO_DATE('31-12-2025','DD-MM-YYYY'),1600,82);</v>
      </c>
    </row>
    <row r="84" spans="1:5">
      <c r="A84" s="136" t="s">
        <v>2153</v>
      </c>
      <c r="B84" s="136" t="s">
        <v>2154</v>
      </c>
      <c r="C84" s="137">
        <f>ROUND(Precios!M84,0)</f>
        <v>1600</v>
      </c>
      <c r="D84" s="114">
        <f t="shared" si="3"/>
        <v>83</v>
      </c>
      <c r="E84" s="114" t="str">
        <f t="shared" si="2"/>
        <v>INSERT INTO PRECIOS (FECHA_INICIO, FECHA_FIN,PRECIO,ID_PRODUCTO) VALUES ( TO_DATE('01-01-2025','DD-MM-YYYY'), TO_DATE('31-12-2025','DD-MM-YYYY'),1600,83);</v>
      </c>
    </row>
    <row r="85" spans="1:5">
      <c r="A85" s="136" t="s">
        <v>2153</v>
      </c>
      <c r="B85" s="136" t="s">
        <v>2154</v>
      </c>
      <c r="C85" s="137">
        <f>ROUND(Precios!M85,0)</f>
        <v>1400</v>
      </c>
      <c r="D85" s="114">
        <f t="shared" si="3"/>
        <v>84</v>
      </c>
      <c r="E85" s="114" t="str">
        <f t="shared" si="2"/>
        <v>INSERT INTO PRECIOS (FECHA_INICIO, FECHA_FIN,PRECIO,ID_PRODUCTO) VALUES ( TO_DATE('01-01-2025','DD-MM-YYYY'), TO_DATE('31-12-2025','DD-MM-YYYY'),1400,84);</v>
      </c>
    </row>
    <row r="86" spans="1:5">
      <c r="A86" s="136" t="s">
        <v>2153</v>
      </c>
      <c r="B86" s="136" t="s">
        <v>2154</v>
      </c>
      <c r="C86" s="137">
        <f>ROUND(Precios!M86,0)</f>
        <v>500</v>
      </c>
      <c r="D86" s="114">
        <f t="shared" si="3"/>
        <v>85</v>
      </c>
      <c r="E86" s="114" t="str">
        <f t="shared" si="2"/>
        <v>INSERT INTO PRECIOS (FECHA_INICIO, FECHA_FIN,PRECIO,ID_PRODUCTO) VALUES ( TO_DATE('01-01-2025','DD-MM-YYYY'), TO_DATE('31-12-2025','DD-MM-YYYY'),500,85);</v>
      </c>
    </row>
    <row r="87" spans="1:5">
      <c r="A87" s="136" t="s">
        <v>2153</v>
      </c>
      <c r="B87" s="136" t="s">
        <v>2154</v>
      </c>
      <c r="C87" s="137">
        <f>ROUND(Precios!M87,0)</f>
        <v>1000</v>
      </c>
      <c r="D87" s="114">
        <f t="shared" si="3"/>
        <v>86</v>
      </c>
      <c r="E87" s="114" t="str">
        <f t="shared" si="2"/>
        <v>INSERT INTO PRECIOS (FECHA_INICIO, FECHA_FIN,PRECIO,ID_PRODUCTO) VALUES ( TO_DATE('01-01-2025','DD-MM-YYYY'), TO_DATE('31-12-2025','DD-MM-YYYY'),1000,86);</v>
      </c>
    </row>
    <row r="88" spans="1:5">
      <c r="A88" s="136" t="s">
        <v>2153</v>
      </c>
      <c r="B88" s="136" t="s">
        <v>2154</v>
      </c>
      <c r="C88" s="137">
        <f>ROUND(Precios!M88,0)</f>
        <v>1400</v>
      </c>
      <c r="D88" s="114">
        <f t="shared" si="3"/>
        <v>87</v>
      </c>
      <c r="E88" s="114" t="str">
        <f t="shared" si="2"/>
        <v>INSERT INTO PRECIOS (FECHA_INICIO, FECHA_FIN,PRECIO,ID_PRODUCTO) VALUES ( TO_DATE('01-01-2025','DD-MM-YYYY'), TO_DATE('31-12-2025','DD-MM-YYYY'),1400,87);</v>
      </c>
    </row>
    <row r="89" spans="1:5">
      <c r="A89" s="136" t="s">
        <v>2153</v>
      </c>
      <c r="B89" s="136" t="s">
        <v>2154</v>
      </c>
      <c r="C89" s="137">
        <f>ROUND(Precios!M89,0)</f>
        <v>500</v>
      </c>
      <c r="D89" s="114">
        <f t="shared" si="3"/>
        <v>88</v>
      </c>
      <c r="E89" s="114" t="str">
        <f t="shared" si="2"/>
        <v>INSERT INTO PRECIOS (FECHA_INICIO, FECHA_FIN,PRECIO,ID_PRODUCTO) VALUES ( TO_DATE('01-01-2025','DD-MM-YYYY'), TO_DATE('31-12-2025','DD-MM-YYYY'),500,88);</v>
      </c>
    </row>
    <row r="90" spans="1:5">
      <c r="A90" s="136" t="s">
        <v>2153</v>
      </c>
      <c r="B90" s="136" t="s">
        <v>2154</v>
      </c>
      <c r="C90" s="137">
        <f>ROUND(Precios!M90,0)</f>
        <v>2800</v>
      </c>
      <c r="D90" s="114">
        <f t="shared" si="3"/>
        <v>89</v>
      </c>
      <c r="E90" s="114" t="str">
        <f t="shared" si="2"/>
        <v>INSERT INTO PRECIOS (FECHA_INICIO, FECHA_FIN,PRECIO,ID_PRODUCTO) VALUES ( TO_DATE('01-01-2025','DD-MM-YYYY'), TO_DATE('31-12-2025','DD-MM-YYYY'),2800,89);</v>
      </c>
    </row>
    <row r="91" spans="1:5">
      <c r="A91" s="136" t="s">
        <v>2153</v>
      </c>
      <c r="B91" s="136" t="s">
        <v>2154</v>
      </c>
      <c r="C91" s="137">
        <f>ROUND(Precios!M91,0)</f>
        <v>2000</v>
      </c>
      <c r="D91" s="114">
        <f t="shared" si="3"/>
        <v>90</v>
      </c>
      <c r="E91" s="114" t="str">
        <f t="shared" si="2"/>
        <v>INSERT INTO PRECIOS (FECHA_INICIO, FECHA_FIN,PRECIO,ID_PRODUCTO) VALUES ( TO_DATE('01-01-2025','DD-MM-YYYY'), TO_DATE('31-12-2025','DD-MM-YYYY'),2000,90);</v>
      </c>
    </row>
    <row r="92" spans="1:5">
      <c r="A92" s="136" t="s">
        <v>2153</v>
      </c>
      <c r="B92" s="136" t="s">
        <v>2154</v>
      </c>
      <c r="C92" s="137">
        <f>ROUND(Precios!M92,0)</f>
        <v>1000</v>
      </c>
      <c r="D92" s="114">
        <f t="shared" si="3"/>
        <v>91</v>
      </c>
      <c r="E92" s="114" t="str">
        <f t="shared" si="2"/>
        <v>INSERT INTO PRECIOS (FECHA_INICIO, FECHA_FIN,PRECIO,ID_PRODUCTO) VALUES ( TO_DATE('01-01-2025','DD-MM-YYYY'), TO_DATE('31-12-2025','DD-MM-YYYY'),1000,91);</v>
      </c>
    </row>
    <row r="93" spans="1:5">
      <c r="A93" s="136" t="s">
        <v>2153</v>
      </c>
      <c r="B93" s="136" t="s">
        <v>2154</v>
      </c>
      <c r="C93" s="137">
        <f>ROUND(Precios!M93,0)</f>
        <v>2700</v>
      </c>
      <c r="D93" s="114">
        <f t="shared" si="3"/>
        <v>92</v>
      </c>
      <c r="E93" s="114" t="str">
        <f t="shared" si="2"/>
        <v>INSERT INTO PRECIOS (FECHA_INICIO, FECHA_FIN,PRECIO,ID_PRODUCTO) VALUES ( TO_DATE('01-01-2025','DD-MM-YYYY'), TO_DATE('31-12-2025','DD-MM-YYYY'),2700,92);</v>
      </c>
    </row>
    <row r="94" spans="1:5">
      <c r="A94" s="136" t="s">
        <v>2153</v>
      </c>
      <c r="B94" s="136" t="s">
        <v>2154</v>
      </c>
      <c r="C94" s="137">
        <f>ROUND(Precios!M94,0)</f>
        <v>500</v>
      </c>
      <c r="D94" s="114">
        <f t="shared" si="3"/>
        <v>93</v>
      </c>
      <c r="E94" s="114" t="str">
        <f t="shared" si="2"/>
        <v>INSERT INTO PRECIOS (FECHA_INICIO, FECHA_FIN,PRECIO,ID_PRODUCTO) VALUES ( TO_DATE('01-01-2025','DD-MM-YYYY'), TO_DATE('31-12-2025','DD-MM-YYYY'),500,93);</v>
      </c>
    </row>
    <row r="95" spans="1:5">
      <c r="A95" s="136" t="s">
        <v>2153</v>
      </c>
      <c r="B95" s="136" t="s">
        <v>2154</v>
      </c>
      <c r="C95" s="137">
        <f>ROUND(Precios!M95,0)</f>
        <v>5300</v>
      </c>
      <c r="D95" s="114">
        <f t="shared" si="3"/>
        <v>94</v>
      </c>
      <c r="E95" s="114" t="str">
        <f t="shared" si="2"/>
        <v>INSERT INTO PRECIOS (FECHA_INICIO, FECHA_FIN,PRECIO,ID_PRODUCTO) VALUES ( TO_DATE('01-01-2025','DD-MM-YYYY'), TO_DATE('31-12-2025','DD-MM-YYYY'),5300,94);</v>
      </c>
    </row>
    <row r="96" spans="1:5">
      <c r="A96" s="136" t="s">
        <v>2153</v>
      </c>
      <c r="B96" s="136" t="s">
        <v>2154</v>
      </c>
      <c r="C96" s="137">
        <f>ROUND(Precios!M96,0)</f>
        <v>2400</v>
      </c>
      <c r="D96" s="114">
        <f t="shared" si="3"/>
        <v>95</v>
      </c>
      <c r="E96" s="114" t="str">
        <f t="shared" si="2"/>
        <v>INSERT INTO PRECIOS (FECHA_INICIO, FECHA_FIN,PRECIO,ID_PRODUCTO) VALUES ( TO_DATE('01-01-2025','DD-MM-YYYY'), TO_DATE('31-12-2025','DD-MM-YYYY'),2400,95);</v>
      </c>
    </row>
    <row r="97" spans="1:5">
      <c r="A97" s="136" t="s">
        <v>2153</v>
      </c>
      <c r="B97" s="136" t="s">
        <v>2154</v>
      </c>
      <c r="C97" s="137">
        <f>ROUND(Precios!M97,0)</f>
        <v>2500</v>
      </c>
      <c r="D97" s="114">
        <f t="shared" si="3"/>
        <v>96</v>
      </c>
      <c r="E97" s="114" t="str">
        <f t="shared" si="2"/>
        <v>INSERT INTO PRECIOS (FECHA_INICIO, FECHA_FIN,PRECIO,ID_PRODUCTO) VALUES ( TO_DATE('01-01-2025','DD-MM-YYYY'), TO_DATE('31-12-2025','DD-MM-YYYY'),2500,96);</v>
      </c>
    </row>
    <row r="98" spans="1:5">
      <c r="A98" s="136" t="s">
        <v>2153</v>
      </c>
      <c r="B98" s="136" t="s">
        <v>2154</v>
      </c>
      <c r="C98" s="137">
        <f>ROUND(Precios!M98,0)</f>
        <v>2000</v>
      </c>
      <c r="D98" s="114">
        <f t="shared" si="3"/>
        <v>97</v>
      </c>
      <c r="E98" s="114" t="str">
        <f t="shared" si="2"/>
        <v>INSERT INTO PRECIOS (FECHA_INICIO, FECHA_FIN,PRECIO,ID_PRODUCTO) VALUES ( TO_DATE('01-01-2025','DD-MM-YYYY'), TO_DATE('31-12-2025','DD-MM-YYYY'),2000,97);</v>
      </c>
    </row>
    <row r="99" spans="1:5">
      <c r="A99" s="136" t="s">
        <v>2153</v>
      </c>
      <c r="B99" s="136" t="s">
        <v>2154</v>
      </c>
      <c r="C99" s="137">
        <f>ROUND(Precios!M99,0)</f>
        <v>3500</v>
      </c>
      <c r="D99" s="114">
        <f t="shared" si="3"/>
        <v>98</v>
      </c>
      <c r="E99" s="114" t="str">
        <f t="shared" si="2"/>
        <v>INSERT INTO PRECIOS (FECHA_INICIO, FECHA_FIN,PRECIO,ID_PRODUCTO) VALUES ( TO_DATE('01-01-2025','DD-MM-YYYY'), TO_DATE('31-12-2025','DD-MM-YYYY'),3500,98);</v>
      </c>
    </row>
    <row r="100" spans="1:5">
      <c r="A100" s="136" t="s">
        <v>2153</v>
      </c>
      <c r="B100" s="136" t="s">
        <v>2154</v>
      </c>
      <c r="C100" s="137">
        <f>ROUND(Precios!M100,0)</f>
        <v>1700</v>
      </c>
      <c r="D100" s="114">
        <f t="shared" si="3"/>
        <v>99</v>
      </c>
      <c r="E100" s="114" t="str">
        <f t="shared" si="2"/>
        <v>INSERT INTO PRECIOS (FECHA_INICIO, FECHA_FIN,PRECIO,ID_PRODUCTO) VALUES ( TO_DATE('01-01-2025','DD-MM-YYYY'), TO_DATE('31-12-2025','DD-MM-YYYY'),1700,99);</v>
      </c>
    </row>
    <row r="101" spans="1:5">
      <c r="A101" s="136" t="s">
        <v>2153</v>
      </c>
      <c r="B101" s="136" t="s">
        <v>2154</v>
      </c>
      <c r="C101" s="137">
        <f>ROUND(Precios!M101,0)</f>
        <v>1500</v>
      </c>
      <c r="D101" s="114">
        <f t="shared" si="3"/>
        <v>100</v>
      </c>
      <c r="E101" s="114" t="str">
        <f t="shared" si="2"/>
        <v>INSERT INTO PRECIOS (FECHA_INICIO, FECHA_FIN,PRECIO,ID_PRODUCTO) VALUES ( TO_DATE('01-01-2025','DD-MM-YYYY'), TO_DATE('31-12-2025','DD-MM-YYYY'),1500,100);</v>
      </c>
    </row>
    <row r="102" spans="1:5">
      <c r="A102" s="136" t="s">
        <v>2153</v>
      </c>
      <c r="B102" s="136" t="s">
        <v>2154</v>
      </c>
      <c r="C102" s="137">
        <f>ROUND(Precios!M102,0)</f>
        <v>1900</v>
      </c>
      <c r="D102" s="114">
        <f t="shared" si="3"/>
        <v>101</v>
      </c>
      <c r="E102" s="114" t="str">
        <f t="shared" si="2"/>
        <v>INSERT INTO PRECIOS (FECHA_INICIO, FECHA_FIN,PRECIO,ID_PRODUCTO) VALUES ( TO_DATE('01-01-2025','DD-MM-YYYY'), TO_DATE('31-12-2025','DD-MM-YYYY'),1900,101);</v>
      </c>
    </row>
    <row r="103" spans="1:5">
      <c r="A103" s="136" t="s">
        <v>2153</v>
      </c>
      <c r="B103" s="136" t="s">
        <v>2154</v>
      </c>
      <c r="C103" s="137">
        <f>ROUND(Precios!M103,0)</f>
        <v>2380</v>
      </c>
      <c r="D103" s="114">
        <f t="shared" si="3"/>
        <v>102</v>
      </c>
      <c r="E103" s="114" t="str">
        <f t="shared" si="2"/>
        <v>INSERT INTO PRECIOS (FECHA_INICIO, FECHA_FIN,PRECIO,ID_PRODUCTO) VALUES ( TO_DATE('01-01-2025','DD-MM-YYYY'), TO_DATE('31-12-2025','DD-MM-YYYY'),2380,102);</v>
      </c>
    </row>
    <row r="104" spans="1:5">
      <c r="A104" s="136" t="s">
        <v>2153</v>
      </c>
      <c r="B104" s="136" t="s">
        <v>2154</v>
      </c>
      <c r="C104" s="137">
        <f>ROUND(Precios!M104,0)</f>
        <v>4650</v>
      </c>
      <c r="D104" s="114">
        <f t="shared" si="3"/>
        <v>103</v>
      </c>
      <c r="E104" s="114" t="str">
        <f t="shared" si="2"/>
        <v>INSERT INTO PRECIOS (FECHA_INICIO, FECHA_FIN,PRECIO,ID_PRODUCTO) VALUES ( TO_DATE('01-01-2025','DD-MM-YYYY'), TO_DATE('31-12-2025','DD-MM-YYYY'),4650,103);</v>
      </c>
    </row>
    <row r="105" spans="1:5">
      <c r="A105" s="136" t="s">
        <v>2153</v>
      </c>
      <c r="B105" s="136" t="s">
        <v>2154</v>
      </c>
      <c r="C105" s="137">
        <f>ROUND(Precios!M105,0)</f>
        <v>1000</v>
      </c>
      <c r="D105" s="114">
        <f t="shared" si="3"/>
        <v>104</v>
      </c>
      <c r="E105" s="114" t="str">
        <f t="shared" si="2"/>
        <v>INSERT INTO PRECIOS (FECHA_INICIO, FECHA_FIN,PRECIO,ID_PRODUCTO) VALUES ( TO_DATE('01-01-2025','DD-MM-YYYY'), TO_DATE('31-12-2025','DD-MM-YYYY'),1000,104);</v>
      </c>
    </row>
    <row r="106" spans="1:5">
      <c r="A106" s="136" t="s">
        <v>2153</v>
      </c>
      <c r="B106" s="136" t="s">
        <v>2154</v>
      </c>
      <c r="C106" s="137">
        <f>ROUND(Precios!M106,0)</f>
        <v>9000</v>
      </c>
      <c r="D106" s="114">
        <f t="shared" si="3"/>
        <v>105</v>
      </c>
      <c r="E106" s="114" t="str">
        <f t="shared" si="2"/>
        <v>INSERT INTO PRECIOS (FECHA_INICIO, FECHA_FIN,PRECIO,ID_PRODUCTO) VALUES ( TO_DATE('01-01-2025','DD-MM-YYYY'), TO_DATE('31-12-2025','DD-MM-YYYY'),9000,105);</v>
      </c>
    </row>
    <row r="107" spans="1:5">
      <c r="A107" s="136" t="s">
        <v>2153</v>
      </c>
      <c r="B107" s="136" t="s">
        <v>2154</v>
      </c>
      <c r="C107" s="137">
        <f>ROUND(Precios!M107,0)</f>
        <v>2000</v>
      </c>
      <c r="D107" s="114">
        <f t="shared" si="3"/>
        <v>106</v>
      </c>
      <c r="E107" s="114" t="str">
        <f t="shared" si="2"/>
        <v>INSERT INTO PRECIOS (FECHA_INICIO, FECHA_FIN,PRECIO,ID_PRODUCTO) VALUES ( TO_DATE('01-01-2025','DD-MM-YYYY'), TO_DATE('31-12-2025','DD-MM-YYYY'),2000,106);</v>
      </c>
    </row>
    <row r="108" spans="1:5">
      <c r="A108" s="136" t="s">
        <v>2153</v>
      </c>
      <c r="B108" s="136" t="s">
        <v>2154</v>
      </c>
      <c r="C108" s="137">
        <f>ROUND(Precios!M108,0)</f>
        <v>2500</v>
      </c>
      <c r="D108" s="114">
        <f t="shared" si="3"/>
        <v>107</v>
      </c>
      <c r="E108" s="114" t="str">
        <f t="shared" si="2"/>
        <v>INSERT INTO PRECIOS (FECHA_INICIO, FECHA_FIN,PRECIO,ID_PRODUCTO) VALUES ( TO_DATE('01-01-2025','DD-MM-YYYY'), TO_DATE('31-12-2025','DD-MM-YYYY'),2500,107);</v>
      </c>
    </row>
    <row r="109" spans="1:5">
      <c r="A109" s="136" t="s">
        <v>2153</v>
      </c>
      <c r="B109" s="136" t="s">
        <v>2154</v>
      </c>
      <c r="C109" s="137">
        <f>ROUND(Precios!M109,0)</f>
        <v>4000</v>
      </c>
      <c r="D109" s="114">
        <f t="shared" si="3"/>
        <v>108</v>
      </c>
      <c r="E109" s="114" t="str">
        <f t="shared" si="2"/>
        <v>INSERT INTO PRECIOS (FECHA_INICIO, FECHA_FIN,PRECIO,ID_PRODUCTO) VALUES ( TO_DATE('01-01-2025','DD-MM-YYYY'), TO_DATE('31-12-2025','DD-MM-YYYY'),4000,108);</v>
      </c>
    </row>
    <row r="110" spans="1:5">
      <c r="A110" s="136" t="s">
        <v>2153</v>
      </c>
      <c r="B110" s="136" t="s">
        <v>2154</v>
      </c>
      <c r="C110" s="137">
        <f>ROUND(Precios!M110,0)</f>
        <v>500</v>
      </c>
      <c r="D110" s="114">
        <f t="shared" si="3"/>
        <v>109</v>
      </c>
      <c r="E110" s="114" t="str">
        <f t="shared" si="2"/>
        <v>INSERT INTO PRECIOS (FECHA_INICIO, FECHA_FIN,PRECIO,ID_PRODUCTO) VALUES ( TO_DATE('01-01-2025','DD-MM-YYYY'), TO_DATE('31-12-2025','DD-MM-YYYY'),500,109);</v>
      </c>
    </row>
    <row r="111" spans="1:5">
      <c r="A111" s="136" t="s">
        <v>2153</v>
      </c>
      <c r="B111" s="136" t="s">
        <v>2154</v>
      </c>
      <c r="C111" s="137">
        <f>ROUND(Precios!M111,0)</f>
        <v>4500</v>
      </c>
      <c r="D111" s="114">
        <f t="shared" si="3"/>
        <v>110</v>
      </c>
      <c r="E111" s="114" t="str">
        <f t="shared" si="2"/>
        <v>INSERT INTO PRECIOS (FECHA_INICIO, FECHA_FIN,PRECIO,ID_PRODUCTO) VALUES ( TO_DATE('01-01-2025','DD-MM-YYYY'), TO_DATE('31-12-2025','DD-MM-YYYY'),4500,110);</v>
      </c>
    </row>
    <row r="112" spans="1:5">
      <c r="A112" s="136" t="s">
        <v>2153</v>
      </c>
      <c r="B112" s="136" t="s">
        <v>2154</v>
      </c>
      <c r="C112" s="137">
        <f>ROUND(Precios!M112,0)</f>
        <v>0</v>
      </c>
      <c r="D112" s="114">
        <f t="shared" si="3"/>
        <v>111</v>
      </c>
      <c r="E112" s="114" t="str">
        <f t="shared" si="2"/>
        <v>INSERT INTO PRECIOS (FECHA_INICIO, FECHA_FIN,PRECIO,ID_PRODUCTO) VALUES ( TO_DATE('01-01-2025','DD-MM-YYYY'), TO_DATE('31-12-2025','DD-MM-YYYY'),0,111);</v>
      </c>
    </row>
    <row r="113" spans="1:5">
      <c r="A113" s="136" t="s">
        <v>2153</v>
      </c>
      <c r="B113" s="136" t="s">
        <v>2154</v>
      </c>
      <c r="C113" s="137">
        <f>ROUND(Precios!M113,0)</f>
        <v>0</v>
      </c>
      <c r="D113" s="114">
        <f t="shared" si="3"/>
        <v>112</v>
      </c>
      <c r="E113" s="114" t="str">
        <f t="shared" si="2"/>
        <v>INSERT INTO PRECIOS (FECHA_INICIO, FECHA_FIN,PRECIO,ID_PRODUCTO) VALUES ( TO_DATE('01-01-2025','DD-MM-YYYY'), TO_DATE('31-12-2025','DD-MM-YYYY'),0,112);</v>
      </c>
    </row>
    <row r="114" spans="1:5">
      <c r="A114" s="136" t="s">
        <v>2153</v>
      </c>
      <c r="B114" s="136" t="s">
        <v>2154</v>
      </c>
      <c r="C114" s="137">
        <f>ROUND(Precios!M114,0)</f>
        <v>2500</v>
      </c>
      <c r="D114" s="114">
        <f t="shared" si="3"/>
        <v>113</v>
      </c>
      <c r="E114" s="114" t="str">
        <f t="shared" si="2"/>
        <v>INSERT INTO PRECIOS (FECHA_INICIO, FECHA_FIN,PRECIO,ID_PRODUCTO) VALUES ( TO_DATE('01-01-2025','DD-MM-YYYY'), TO_DATE('31-12-2025','DD-MM-YYYY'),2500,113);</v>
      </c>
    </row>
    <row r="115" spans="1:5">
      <c r="A115" s="136" t="s">
        <v>2153</v>
      </c>
      <c r="B115" s="136" t="s">
        <v>2154</v>
      </c>
      <c r="C115" s="137">
        <f>ROUND(Precios!M115,0)</f>
        <v>1600</v>
      </c>
      <c r="D115" s="114">
        <f t="shared" si="3"/>
        <v>114</v>
      </c>
      <c r="E115" s="114" t="str">
        <f t="shared" si="2"/>
        <v>INSERT INTO PRECIOS (FECHA_INICIO, FECHA_FIN,PRECIO,ID_PRODUCTO) VALUES ( TO_DATE('01-01-2025','DD-MM-YYYY'), TO_DATE('31-12-2025','DD-MM-YYYY'),1600,114);</v>
      </c>
    </row>
    <row r="116" spans="1:5">
      <c r="A116" s="136" t="s">
        <v>2153</v>
      </c>
      <c r="B116" s="136" t="s">
        <v>2154</v>
      </c>
      <c r="C116" s="137">
        <f>ROUND(Precios!M116,0)</f>
        <v>1600</v>
      </c>
      <c r="D116" s="114">
        <f t="shared" si="3"/>
        <v>115</v>
      </c>
      <c r="E116" s="114" t="str">
        <f t="shared" si="2"/>
        <v>INSERT INTO PRECIOS (FECHA_INICIO, FECHA_FIN,PRECIO,ID_PRODUCTO) VALUES ( TO_DATE('01-01-2025','DD-MM-YYYY'), TO_DATE('31-12-2025','DD-MM-YYYY'),1600,115);</v>
      </c>
    </row>
    <row r="117" spans="1:5">
      <c r="A117" s="136" t="s">
        <v>2153</v>
      </c>
      <c r="B117" s="136" t="s">
        <v>2154</v>
      </c>
      <c r="C117" s="137">
        <f>ROUND(Precios!M117,0)</f>
        <v>1600</v>
      </c>
      <c r="D117" s="114">
        <f t="shared" si="3"/>
        <v>116</v>
      </c>
      <c r="E117" s="114" t="str">
        <f t="shared" si="2"/>
        <v>INSERT INTO PRECIOS (FECHA_INICIO, FECHA_FIN,PRECIO,ID_PRODUCTO) VALUES ( TO_DATE('01-01-2025','DD-MM-YYYY'), TO_DATE('31-12-2025','DD-MM-YYYY'),1600,116);</v>
      </c>
    </row>
    <row r="118" spans="1:5">
      <c r="A118" s="136" t="s">
        <v>2153</v>
      </c>
      <c r="B118" s="136" t="s">
        <v>2154</v>
      </c>
      <c r="C118" s="137">
        <f>ROUND(Precios!M118,0)</f>
        <v>3500</v>
      </c>
      <c r="D118" s="114">
        <f t="shared" si="3"/>
        <v>117</v>
      </c>
      <c r="E118" s="114" t="str">
        <f t="shared" si="2"/>
        <v>INSERT INTO PRECIOS (FECHA_INICIO, FECHA_FIN,PRECIO,ID_PRODUCTO) VALUES ( TO_DATE('01-01-2025','DD-MM-YYYY'), TO_DATE('31-12-2025','DD-MM-YYYY'),3500,117);</v>
      </c>
    </row>
    <row r="119" spans="1:5">
      <c r="A119" s="136" t="s">
        <v>2153</v>
      </c>
      <c r="B119" s="136" t="s">
        <v>2154</v>
      </c>
      <c r="C119" s="137">
        <f>ROUND(Precios!M119,0)</f>
        <v>3500</v>
      </c>
      <c r="D119" s="114">
        <f t="shared" si="3"/>
        <v>118</v>
      </c>
      <c r="E119" s="114" t="str">
        <f t="shared" si="2"/>
        <v>INSERT INTO PRECIOS (FECHA_INICIO, FECHA_FIN,PRECIO,ID_PRODUCTO) VALUES ( TO_DATE('01-01-2025','DD-MM-YYYY'), TO_DATE('31-12-2025','DD-MM-YYYY'),3500,118);</v>
      </c>
    </row>
    <row r="120" spans="1:5">
      <c r="A120" s="136" t="s">
        <v>2153</v>
      </c>
      <c r="B120" s="136" t="s">
        <v>2154</v>
      </c>
      <c r="C120" s="137">
        <f>ROUND(Precios!M120,0)</f>
        <v>500</v>
      </c>
      <c r="D120" s="114">
        <f t="shared" si="3"/>
        <v>119</v>
      </c>
      <c r="E120" s="114" t="str">
        <f t="shared" si="2"/>
        <v>INSERT INTO PRECIOS (FECHA_INICIO, FECHA_FIN,PRECIO,ID_PRODUCTO) VALUES ( TO_DATE('01-01-2025','DD-MM-YYYY'), TO_DATE('31-12-2025','DD-MM-YYYY'),500,119);</v>
      </c>
    </row>
    <row r="121" spans="1:5">
      <c r="A121" s="136" t="s">
        <v>2153</v>
      </c>
      <c r="B121" s="136" t="s">
        <v>2154</v>
      </c>
      <c r="C121" s="137">
        <f>ROUND(Precios!M121,0)</f>
        <v>1900</v>
      </c>
      <c r="D121" s="114">
        <f t="shared" si="3"/>
        <v>120</v>
      </c>
      <c r="E121" s="114" t="str">
        <f t="shared" si="2"/>
        <v>INSERT INTO PRECIOS (FECHA_INICIO, FECHA_FIN,PRECIO,ID_PRODUCTO) VALUES ( TO_DATE('01-01-2025','DD-MM-YYYY'), TO_DATE('31-12-2025','DD-MM-YYYY'),1900,120);</v>
      </c>
    </row>
    <row r="122" spans="1:5">
      <c r="A122" s="136" t="s">
        <v>2153</v>
      </c>
      <c r="B122" s="136" t="s">
        <v>2154</v>
      </c>
      <c r="C122" s="137">
        <f>ROUND(Precios!M122,0)</f>
        <v>250</v>
      </c>
      <c r="D122" s="114">
        <f t="shared" si="3"/>
        <v>121</v>
      </c>
      <c r="E122" s="114" t="str">
        <f t="shared" si="2"/>
        <v>INSERT INTO PRECIOS (FECHA_INICIO, FECHA_FIN,PRECIO,ID_PRODUCTO) VALUES ( TO_DATE('01-01-2025','DD-MM-YYYY'), TO_DATE('31-12-2025','DD-MM-YYYY'),250,121);</v>
      </c>
    </row>
    <row r="123" spans="1:5">
      <c r="A123" s="136" t="s">
        <v>2153</v>
      </c>
      <c r="B123" s="136" t="s">
        <v>2154</v>
      </c>
      <c r="C123" s="137">
        <f>ROUND(Precios!M123,0)</f>
        <v>6000</v>
      </c>
      <c r="D123" s="114">
        <f t="shared" si="3"/>
        <v>122</v>
      </c>
      <c r="E123" s="114" t="str">
        <f t="shared" si="2"/>
        <v>INSERT INTO PRECIOS (FECHA_INICIO, FECHA_FIN,PRECIO,ID_PRODUCTO) VALUES ( TO_DATE('01-01-2025','DD-MM-YYYY'), TO_DATE('31-12-2025','DD-MM-YYYY'),6000,122);</v>
      </c>
    </row>
    <row r="124" spans="1:5">
      <c r="A124" s="136" t="s">
        <v>2153</v>
      </c>
      <c r="B124" s="136" t="s">
        <v>2154</v>
      </c>
      <c r="C124" s="137">
        <f>ROUND(Precios!M124,0)</f>
        <v>24000</v>
      </c>
      <c r="D124" s="114">
        <f t="shared" si="3"/>
        <v>123</v>
      </c>
      <c r="E124" s="114" t="str">
        <f t="shared" si="2"/>
        <v>INSERT INTO PRECIOS (FECHA_INICIO, FECHA_FIN,PRECIO,ID_PRODUCTO) VALUES ( TO_DATE('01-01-2025','DD-MM-YYYY'), TO_DATE('31-12-2025','DD-MM-YYYY'),24000,123);</v>
      </c>
    </row>
    <row r="125" spans="1:5">
      <c r="A125" s="136" t="s">
        <v>2153</v>
      </c>
      <c r="B125" s="136" t="s">
        <v>2154</v>
      </c>
      <c r="C125" s="137">
        <f>ROUND(Precios!M125,0)</f>
        <v>4000</v>
      </c>
      <c r="D125" s="114">
        <f t="shared" si="3"/>
        <v>124</v>
      </c>
      <c r="E125" s="114" t="str">
        <f t="shared" si="2"/>
        <v>INSERT INTO PRECIOS (FECHA_INICIO, FECHA_FIN,PRECIO,ID_PRODUCTO) VALUES ( TO_DATE('01-01-2025','DD-MM-YYYY'), TO_DATE('31-12-2025','DD-MM-YYYY'),4000,124);</v>
      </c>
    </row>
    <row r="126" spans="1:5">
      <c r="A126" s="136" t="s">
        <v>2153</v>
      </c>
      <c r="B126" s="136" t="s">
        <v>2154</v>
      </c>
      <c r="C126" s="137">
        <f>ROUND(Precios!M126,0)</f>
        <v>1700</v>
      </c>
      <c r="D126" s="114">
        <f t="shared" si="3"/>
        <v>125</v>
      </c>
      <c r="E126" s="114" t="str">
        <f t="shared" si="2"/>
        <v>INSERT INTO PRECIOS (FECHA_INICIO, FECHA_FIN,PRECIO,ID_PRODUCTO) VALUES ( TO_DATE('01-01-2025','DD-MM-YYYY'), TO_DATE('31-12-2025','DD-MM-YYYY'),1700,125);</v>
      </c>
    </row>
    <row r="127" spans="1:5">
      <c r="A127" s="136" t="s">
        <v>2153</v>
      </c>
      <c r="B127" s="136" t="s">
        <v>2154</v>
      </c>
      <c r="C127" s="137">
        <f>ROUND(Precios!M127,0)</f>
        <v>9000</v>
      </c>
      <c r="D127" s="114">
        <f t="shared" si="3"/>
        <v>126</v>
      </c>
      <c r="E127" s="114" t="str">
        <f t="shared" si="2"/>
        <v>INSERT INTO PRECIOS (FECHA_INICIO, FECHA_FIN,PRECIO,ID_PRODUCTO) VALUES ( TO_DATE('01-01-2025','DD-MM-YYYY'), TO_DATE('31-12-2025','DD-MM-YYYY'),9000,126);</v>
      </c>
    </row>
    <row r="128" spans="1:5">
      <c r="A128" s="136" t="s">
        <v>2153</v>
      </c>
      <c r="B128" s="136" t="s">
        <v>2154</v>
      </c>
      <c r="C128" s="137">
        <f>ROUND(Precios!M128,0)</f>
        <v>3000</v>
      </c>
      <c r="D128" s="114">
        <f t="shared" si="3"/>
        <v>127</v>
      </c>
      <c r="E128" s="114" t="str">
        <f t="shared" si="2"/>
        <v>INSERT INTO PRECIOS (FECHA_INICIO, FECHA_FIN,PRECIO,ID_PRODUCTO) VALUES ( TO_DATE('01-01-2025','DD-MM-YYYY'), TO_DATE('31-12-2025','DD-MM-YYYY'),3000,127);</v>
      </c>
    </row>
    <row r="129" spans="1:5">
      <c r="A129" s="136" t="s">
        <v>2153</v>
      </c>
      <c r="B129" s="136" t="s">
        <v>2154</v>
      </c>
      <c r="C129" s="137">
        <f>ROUND(Precios!M129,0)</f>
        <v>1400</v>
      </c>
      <c r="D129" s="114">
        <f t="shared" si="3"/>
        <v>128</v>
      </c>
      <c r="E129" s="114" t="str">
        <f t="shared" si="2"/>
        <v>INSERT INTO PRECIOS (FECHA_INICIO, FECHA_FIN,PRECIO,ID_PRODUCTO) VALUES ( TO_DATE('01-01-2025','DD-MM-YYYY'), TO_DATE('31-12-2025','DD-MM-YYYY'),1400,128);</v>
      </c>
    </row>
    <row r="130" spans="1:5">
      <c r="A130" s="136" t="s">
        <v>2153</v>
      </c>
      <c r="B130" s="136" t="s">
        <v>2154</v>
      </c>
      <c r="C130" s="137">
        <f>ROUND(Precios!M130,0)</f>
        <v>500</v>
      </c>
      <c r="D130" s="114">
        <f t="shared" si="3"/>
        <v>129</v>
      </c>
      <c r="E130" s="114" t="str">
        <f t="shared" si="2"/>
        <v>INSERT INTO PRECIOS (FECHA_INICIO, FECHA_FIN,PRECIO,ID_PRODUCTO) VALUES ( TO_DATE('01-01-2025','DD-MM-YYYY'), TO_DATE('31-12-2025','DD-MM-YYYY'),500,129);</v>
      </c>
    </row>
    <row r="131" spans="1:5">
      <c r="A131" s="136" t="s">
        <v>2153</v>
      </c>
      <c r="B131" s="136" t="s">
        <v>2154</v>
      </c>
      <c r="C131" s="137">
        <f>ROUND(Precios!M131,0)</f>
        <v>1400</v>
      </c>
      <c r="D131" s="114">
        <f t="shared" si="3"/>
        <v>130</v>
      </c>
      <c r="E131" s="114" t="str">
        <f t="shared" ref="E131:E194" si="4">CONCATENATE("INSERT INTO PRECIOS (FECHA_INICIO, FECHA_FIN,PRECIO,ID_PRODUCTO) VALUES ( TO_DATE(","'",A131,"'",",'DD-MM-YYYY')",", TO_DATE(","'",B131,"'",",'DD-MM-YYYY')",",",C131,",",D131,");")</f>
        <v>INSERT INTO PRECIOS (FECHA_INICIO, FECHA_FIN,PRECIO,ID_PRODUCTO) VALUES ( TO_DATE('01-01-2025','DD-MM-YYYY'), TO_DATE('31-12-2025','DD-MM-YYYY'),1400,130);</v>
      </c>
    </row>
    <row r="132" spans="1:5">
      <c r="A132" s="136" t="s">
        <v>2153</v>
      </c>
      <c r="B132" s="136" t="s">
        <v>2154</v>
      </c>
      <c r="C132" s="137">
        <f>ROUND(Precios!M132,0)</f>
        <v>500</v>
      </c>
      <c r="D132" s="114">
        <f t="shared" ref="D132:D195" si="5">D131+1</f>
        <v>131</v>
      </c>
      <c r="E132" s="114" t="str">
        <f t="shared" si="4"/>
        <v>INSERT INTO PRECIOS (FECHA_INICIO, FECHA_FIN,PRECIO,ID_PRODUCTO) VALUES ( TO_DATE('01-01-2025','DD-MM-YYYY'), TO_DATE('31-12-2025','DD-MM-YYYY'),500,131);</v>
      </c>
    </row>
    <row r="133" spans="1:5">
      <c r="A133" s="136" t="s">
        <v>2153</v>
      </c>
      <c r="B133" s="136" t="s">
        <v>2154</v>
      </c>
      <c r="C133" s="137">
        <f>ROUND(Precios!M133,0)</f>
        <v>1400</v>
      </c>
      <c r="D133" s="114">
        <f t="shared" si="5"/>
        <v>132</v>
      </c>
      <c r="E133" s="114" t="str">
        <f t="shared" si="4"/>
        <v>INSERT INTO PRECIOS (FECHA_INICIO, FECHA_FIN,PRECIO,ID_PRODUCTO) VALUES ( TO_DATE('01-01-2025','DD-MM-YYYY'), TO_DATE('31-12-2025','DD-MM-YYYY'),1400,132);</v>
      </c>
    </row>
    <row r="134" spans="1:5">
      <c r="A134" s="136" t="s">
        <v>2153</v>
      </c>
      <c r="B134" s="136" t="s">
        <v>2154</v>
      </c>
      <c r="C134" s="137">
        <f>ROUND(Precios!M134,0)</f>
        <v>500</v>
      </c>
      <c r="D134" s="114">
        <f t="shared" si="5"/>
        <v>133</v>
      </c>
      <c r="E134" s="114" t="str">
        <f t="shared" si="4"/>
        <v>INSERT INTO PRECIOS (FECHA_INICIO, FECHA_FIN,PRECIO,ID_PRODUCTO) VALUES ( TO_DATE('01-01-2025','DD-MM-YYYY'), TO_DATE('31-12-2025','DD-MM-YYYY'),500,133);</v>
      </c>
    </row>
    <row r="135" spans="1:5">
      <c r="A135" s="136" t="s">
        <v>2153</v>
      </c>
      <c r="B135" s="136" t="s">
        <v>2154</v>
      </c>
      <c r="C135" s="137">
        <f>ROUND(Precios!M135,0)</f>
        <v>2500</v>
      </c>
      <c r="D135" s="114">
        <f t="shared" si="5"/>
        <v>134</v>
      </c>
      <c r="E135" s="114" t="str">
        <f t="shared" si="4"/>
        <v>INSERT INTO PRECIOS (FECHA_INICIO, FECHA_FIN,PRECIO,ID_PRODUCTO) VALUES ( TO_DATE('01-01-2025','DD-MM-YYYY'), TO_DATE('31-12-2025','DD-MM-YYYY'),2500,134);</v>
      </c>
    </row>
    <row r="136" spans="1:5">
      <c r="A136" s="136" t="s">
        <v>2153</v>
      </c>
      <c r="B136" s="136" t="s">
        <v>2154</v>
      </c>
      <c r="C136" s="137">
        <f>ROUND(Precios!M136,0)</f>
        <v>1000</v>
      </c>
      <c r="D136" s="114">
        <f t="shared" si="5"/>
        <v>135</v>
      </c>
      <c r="E136" s="114" t="str">
        <f t="shared" si="4"/>
        <v>INSERT INTO PRECIOS (FECHA_INICIO, FECHA_FIN,PRECIO,ID_PRODUCTO) VALUES ( TO_DATE('01-01-2025','DD-MM-YYYY'), TO_DATE('31-12-2025','DD-MM-YYYY'),1000,135);</v>
      </c>
    </row>
    <row r="137" spans="1:5">
      <c r="A137" s="136" t="s">
        <v>2153</v>
      </c>
      <c r="B137" s="136" t="s">
        <v>2154</v>
      </c>
      <c r="C137" s="137">
        <f>ROUND(Precios!M137,0)</f>
        <v>4500</v>
      </c>
      <c r="D137" s="114">
        <f t="shared" si="5"/>
        <v>136</v>
      </c>
      <c r="E137" s="114" t="str">
        <f t="shared" si="4"/>
        <v>INSERT INTO PRECIOS (FECHA_INICIO, FECHA_FIN,PRECIO,ID_PRODUCTO) VALUES ( TO_DATE('01-01-2025','DD-MM-YYYY'), TO_DATE('31-12-2025','DD-MM-YYYY'),4500,136);</v>
      </c>
    </row>
    <row r="138" spans="1:5">
      <c r="A138" s="136" t="s">
        <v>2153</v>
      </c>
      <c r="B138" s="136" t="s">
        <v>2154</v>
      </c>
      <c r="C138" s="137">
        <f>ROUND(Precios!M138,0)</f>
        <v>8000</v>
      </c>
      <c r="D138" s="114">
        <f t="shared" si="5"/>
        <v>137</v>
      </c>
      <c r="E138" s="114" t="str">
        <f t="shared" si="4"/>
        <v>INSERT INTO PRECIOS (FECHA_INICIO, FECHA_FIN,PRECIO,ID_PRODUCTO) VALUES ( TO_DATE('01-01-2025','DD-MM-YYYY'), TO_DATE('31-12-2025','DD-MM-YYYY'),8000,137);</v>
      </c>
    </row>
    <row r="139" spans="1:5">
      <c r="A139" s="136" t="s">
        <v>2153</v>
      </c>
      <c r="B139" s="136" t="s">
        <v>2154</v>
      </c>
      <c r="C139" s="137">
        <f>ROUND(Precios!M139,0)</f>
        <v>3440</v>
      </c>
      <c r="D139" s="114">
        <f t="shared" si="5"/>
        <v>138</v>
      </c>
      <c r="E139" s="114" t="str">
        <f t="shared" si="4"/>
        <v>INSERT INTO PRECIOS (FECHA_INICIO, FECHA_FIN,PRECIO,ID_PRODUCTO) VALUES ( TO_DATE('01-01-2025','DD-MM-YYYY'), TO_DATE('31-12-2025','DD-MM-YYYY'),3440,138);</v>
      </c>
    </row>
    <row r="140" spans="1:5">
      <c r="A140" s="136" t="s">
        <v>2153</v>
      </c>
      <c r="B140" s="136" t="s">
        <v>2154</v>
      </c>
      <c r="C140" s="137">
        <f>ROUND(Precios!M140,0)</f>
        <v>4000</v>
      </c>
      <c r="D140" s="114">
        <f t="shared" si="5"/>
        <v>139</v>
      </c>
      <c r="E140" s="114" t="str">
        <f t="shared" si="4"/>
        <v>INSERT INTO PRECIOS (FECHA_INICIO, FECHA_FIN,PRECIO,ID_PRODUCTO) VALUES ( TO_DATE('01-01-2025','DD-MM-YYYY'), TO_DATE('31-12-2025','DD-MM-YYYY'),4000,139);</v>
      </c>
    </row>
    <row r="141" spans="1:5">
      <c r="A141" s="136" t="s">
        <v>2153</v>
      </c>
      <c r="B141" s="136" t="s">
        <v>2154</v>
      </c>
      <c r="C141" s="137">
        <f>ROUND(Precios!M141,0)</f>
        <v>3700</v>
      </c>
      <c r="D141" s="114">
        <f t="shared" si="5"/>
        <v>140</v>
      </c>
      <c r="E141" s="114" t="str">
        <f t="shared" si="4"/>
        <v>INSERT INTO PRECIOS (FECHA_INICIO, FECHA_FIN,PRECIO,ID_PRODUCTO) VALUES ( TO_DATE('01-01-2025','DD-MM-YYYY'), TO_DATE('31-12-2025','DD-MM-YYYY'),3700,140);</v>
      </c>
    </row>
    <row r="142" spans="1:5">
      <c r="A142" s="136" t="s">
        <v>2153</v>
      </c>
      <c r="B142" s="136" t="s">
        <v>2154</v>
      </c>
      <c r="C142" s="137">
        <f>ROUND(Precios!M142,0)</f>
        <v>4650</v>
      </c>
      <c r="D142" s="114">
        <f t="shared" si="5"/>
        <v>141</v>
      </c>
      <c r="E142" s="114" t="str">
        <f t="shared" si="4"/>
        <v>INSERT INTO PRECIOS (FECHA_INICIO, FECHA_FIN,PRECIO,ID_PRODUCTO) VALUES ( TO_DATE('01-01-2025','DD-MM-YYYY'), TO_DATE('31-12-2025','DD-MM-YYYY'),4650,141);</v>
      </c>
    </row>
    <row r="143" spans="1:5">
      <c r="A143" s="136" t="s">
        <v>2153</v>
      </c>
      <c r="B143" s="136" t="s">
        <v>2154</v>
      </c>
      <c r="C143" s="137">
        <f>ROUND(Precios!M143,0)</f>
        <v>6300</v>
      </c>
      <c r="D143" s="114">
        <f t="shared" si="5"/>
        <v>142</v>
      </c>
      <c r="E143" s="114" t="str">
        <f t="shared" si="4"/>
        <v>INSERT INTO PRECIOS (FECHA_INICIO, FECHA_FIN,PRECIO,ID_PRODUCTO) VALUES ( TO_DATE('01-01-2025','DD-MM-YYYY'), TO_DATE('31-12-2025','DD-MM-YYYY'),6300,142);</v>
      </c>
    </row>
    <row r="144" spans="1:5">
      <c r="A144" s="136" t="s">
        <v>2153</v>
      </c>
      <c r="B144" s="136" t="s">
        <v>2154</v>
      </c>
      <c r="C144" s="137">
        <f>ROUND(Precios!M144,0)</f>
        <v>8000</v>
      </c>
      <c r="D144" s="114">
        <f t="shared" si="5"/>
        <v>143</v>
      </c>
      <c r="E144" s="114" t="str">
        <f t="shared" si="4"/>
        <v>INSERT INTO PRECIOS (FECHA_INICIO, FECHA_FIN,PRECIO,ID_PRODUCTO) VALUES ( TO_DATE('01-01-2025','DD-MM-YYYY'), TO_DATE('31-12-2025','DD-MM-YYYY'),8000,143);</v>
      </c>
    </row>
    <row r="145" spans="1:5">
      <c r="A145" s="136" t="s">
        <v>2153</v>
      </c>
      <c r="B145" s="136" t="s">
        <v>2154</v>
      </c>
      <c r="C145" s="137">
        <f>ROUND(Precios!M145,0)</f>
        <v>6000</v>
      </c>
      <c r="D145" s="114">
        <f t="shared" si="5"/>
        <v>144</v>
      </c>
      <c r="E145" s="114" t="str">
        <f t="shared" si="4"/>
        <v>INSERT INTO PRECIOS (FECHA_INICIO, FECHA_FIN,PRECIO,ID_PRODUCTO) VALUES ( TO_DATE('01-01-2025','DD-MM-YYYY'), TO_DATE('31-12-2025','DD-MM-YYYY'),6000,144);</v>
      </c>
    </row>
    <row r="146" spans="1:5">
      <c r="A146" s="136" t="s">
        <v>2153</v>
      </c>
      <c r="B146" s="136" t="s">
        <v>2154</v>
      </c>
      <c r="C146" s="137">
        <f>ROUND(Precios!M146,0)</f>
        <v>8900</v>
      </c>
      <c r="D146" s="114">
        <f t="shared" si="5"/>
        <v>145</v>
      </c>
      <c r="E146" s="114" t="str">
        <f t="shared" si="4"/>
        <v>INSERT INTO PRECIOS (FECHA_INICIO, FECHA_FIN,PRECIO,ID_PRODUCTO) VALUES ( TO_DATE('01-01-2025','DD-MM-YYYY'), TO_DATE('31-12-2025','DD-MM-YYYY'),8900,145);</v>
      </c>
    </row>
    <row r="147" spans="1:5">
      <c r="A147" s="136" t="s">
        <v>2153</v>
      </c>
      <c r="B147" s="136" t="s">
        <v>2154</v>
      </c>
      <c r="C147" s="137">
        <f>ROUND(Precios!M147,0)</f>
        <v>3800</v>
      </c>
      <c r="D147" s="114">
        <f t="shared" si="5"/>
        <v>146</v>
      </c>
      <c r="E147" s="114" t="str">
        <f t="shared" si="4"/>
        <v>INSERT INTO PRECIOS (FECHA_INICIO, FECHA_FIN,PRECIO,ID_PRODUCTO) VALUES ( TO_DATE('01-01-2025','DD-MM-YYYY'), TO_DATE('31-12-2025','DD-MM-YYYY'),3800,146);</v>
      </c>
    </row>
    <row r="148" spans="1:5">
      <c r="A148" s="136" t="s">
        <v>2153</v>
      </c>
      <c r="B148" s="136" t="s">
        <v>2154</v>
      </c>
      <c r="C148" s="137">
        <f>ROUND(Precios!M148,0)</f>
        <v>4800</v>
      </c>
      <c r="D148" s="114">
        <f t="shared" si="5"/>
        <v>147</v>
      </c>
      <c r="E148" s="114" t="str">
        <f t="shared" si="4"/>
        <v>INSERT INTO PRECIOS (FECHA_INICIO, FECHA_FIN,PRECIO,ID_PRODUCTO) VALUES ( TO_DATE('01-01-2025','DD-MM-YYYY'), TO_DATE('31-12-2025','DD-MM-YYYY'),4800,147);</v>
      </c>
    </row>
    <row r="149" spans="1:5">
      <c r="A149" s="136" t="s">
        <v>2153</v>
      </c>
      <c r="B149" s="136" t="s">
        <v>2154</v>
      </c>
      <c r="C149" s="137">
        <f>ROUND(Precios!M149,0)</f>
        <v>5800</v>
      </c>
      <c r="D149" s="114">
        <f t="shared" si="5"/>
        <v>148</v>
      </c>
      <c r="E149" s="114" t="str">
        <f t="shared" si="4"/>
        <v>INSERT INTO PRECIOS (FECHA_INICIO, FECHA_FIN,PRECIO,ID_PRODUCTO) VALUES ( TO_DATE('01-01-2025','DD-MM-YYYY'), TO_DATE('31-12-2025','DD-MM-YYYY'),5800,148);</v>
      </c>
    </row>
    <row r="150" spans="1:5">
      <c r="A150" s="136" t="s">
        <v>2153</v>
      </c>
      <c r="B150" s="136" t="s">
        <v>2154</v>
      </c>
      <c r="C150" s="137">
        <f>ROUND(Precios!M150,0)</f>
        <v>7500</v>
      </c>
      <c r="D150" s="114">
        <f t="shared" si="5"/>
        <v>149</v>
      </c>
      <c r="E150" s="114" t="str">
        <f t="shared" si="4"/>
        <v>INSERT INTO PRECIOS (FECHA_INICIO, FECHA_FIN,PRECIO,ID_PRODUCTO) VALUES ( TO_DATE('01-01-2025','DD-MM-YYYY'), TO_DATE('31-12-2025','DD-MM-YYYY'),7500,149);</v>
      </c>
    </row>
    <row r="151" spans="1:5">
      <c r="A151" s="136" t="s">
        <v>2153</v>
      </c>
      <c r="B151" s="136" t="s">
        <v>2154</v>
      </c>
      <c r="C151" s="137">
        <f>ROUND(Precios!M151,0)</f>
        <v>4200</v>
      </c>
      <c r="D151" s="114">
        <f t="shared" si="5"/>
        <v>150</v>
      </c>
      <c r="E151" s="114" t="str">
        <f t="shared" si="4"/>
        <v>INSERT INTO PRECIOS (FECHA_INICIO, FECHA_FIN,PRECIO,ID_PRODUCTO) VALUES ( TO_DATE('01-01-2025','DD-MM-YYYY'), TO_DATE('31-12-2025','DD-MM-YYYY'),4200,150);</v>
      </c>
    </row>
    <row r="152" spans="1:5">
      <c r="A152" s="136" t="s">
        <v>2153</v>
      </c>
      <c r="B152" s="136" t="s">
        <v>2154</v>
      </c>
      <c r="C152" s="137">
        <f>ROUND(Precios!M152,0)</f>
        <v>4200</v>
      </c>
      <c r="D152" s="114">
        <f t="shared" si="5"/>
        <v>151</v>
      </c>
      <c r="E152" s="114" t="str">
        <f t="shared" si="4"/>
        <v>INSERT INTO PRECIOS (FECHA_INICIO, FECHA_FIN,PRECIO,ID_PRODUCTO) VALUES ( TO_DATE('01-01-2025','DD-MM-YYYY'), TO_DATE('31-12-2025','DD-MM-YYYY'),4200,151);</v>
      </c>
    </row>
    <row r="153" spans="1:5">
      <c r="A153" s="136" t="s">
        <v>2153</v>
      </c>
      <c r="B153" s="136" t="s">
        <v>2154</v>
      </c>
      <c r="C153" s="137">
        <f>ROUND(Precios!M153,0)</f>
        <v>4200</v>
      </c>
      <c r="D153" s="114">
        <f t="shared" si="5"/>
        <v>152</v>
      </c>
      <c r="E153" s="114" t="str">
        <f t="shared" si="4"/>
        <v>INSERT INTO PRECIOS (FECHA_INICIO, FECHA_FIN,PRECIO,ID_PRODUCTO) VALUES ( TO_DATE('01-01-2025','DD-MM-YYYY'), TO_DATE('31-12-2025','DD-MM-YYYY'),4200,152);</v>
      </c>
    </row>
    <row r="154" spans="1:5">
      <c r="A154" s="136" t="s">
        <v>2153</v>
      </c>
      <c r="B154" s="136" t="s">
        <v>2154</v>
      </c>
      <c r="C154" s="137">
        <f>ROUND(Precios!M154,0)</f>
        <v>1200</v>
      </c>
      <c r="D154" s="114">
        <f t="shared" si="5"/>
        <v>153</v>
      </c>
      <c r="E154" s="114" t="str">
        <f t="shared" si="4"/>
        <v>INSERT INTO PRECIOS (FECHA_INICIO, FECHA_FIN,PRECIO,ID_PRODUCTO) VALUES ( TO_DATE('01-01-2025','DD-MM-YYYY'), TO_DATE('31-12-2025','DD-MM-YYYY'),1200,153);</v>
      </c>
    </row>
    <row r="155" spans="1:5">
      <c r="A155" s="136" t="s">
        <v>2153</v>
      </c>
      <c r="B155" s="136" t="s">
        <v>2154</v>
      </c>
      <c r="C155" s="137">
        <f>ROUND(Precios!M155,0)</f>
        <v>3200</v>
      </c>
      <c r="D155" s="114">
        <f t="shared" si="5"/>
        <v>154</v>
      </c>
      <c r="E155" s="114" t="str">
        <f t="shared" si="4"/>
        <v>INSERT INTO PRECIOS (FECHA_INICIO, FECHA_FIN,PRECIO,ID_PRODUCTO) VALUES ( TO_DATE('01-01-2025','DD-MM-YYYY'), TO_DATE('31-12-2025','DD-MM-YYYY'),3200,154);</v>
      </c>
    </row>
    <row r="156" spans="1:5">
      <c r="A156" s="136" t="s">
        <v>2153</v>
      </c>
      <c r="B156" s="136" t="s">
        <v>2154</v>
      </c>
      <c r="C156" s="137">
        <f>ROUND(Precios!M156,0)</f>
        <v>1650</v>
      </c>
      <c r="D156" s="114">
        <f t="shared" si="5"/>
        <v>155</v>
      </c>
      <c r="E156" s="114" t="str">
        <f t="shared" si="4"/>
        <v>INSERT INTO PRECIOS (FECHA_INICIO, FECHA_FIN,PRECIO,ID_PRODUCTO) VALUES ( TO_DATE('01-01-2025','DD-MM-YYYY'), TO_DATE('31-12-2025','DD-MM-YYYY'),1650,155);</v>
      </c>
    </row>
    <row r="157" spans="1:5">
      <c r="A157" s="136" t="s">
        <v>2153</v>
      </c>
      <c r="B157" s="136" t="s">
        <v>2154</v>
      </c>
      <c r="C157" s="137">
        <f>ROUND(Precios!M157,0)</f>
        <v>1400</v>
      </c>
      <c r="D157" s="114">
        <f t="shared" si="5"/>
        <v>156</v>
      </c>
      <c r="E157" s="114" t="str">
        <f t="shared" si="4"/>
        <v>INSERT INTO PRECIOS (FECHA_INICIO, FECHA_FIN,PRECIO,ID_PRODUCTO) VALUES ( TO_DATE('01-01-2025','DD-MM-YYYY'), TO_DATE('31-12-2025','DD-MM-YYYY'),1400,156);</v>
      </c>
    </row>
    <row r="158" spans="1:5">
      <c r="A158" s="136" t="s">
        <v>2153</v>
      </c>
      <c r="B158" s="136" t="s">
        <v>2154</v>
      </c>
      <c r="C158" s="137">
        <f>ROUND(Precios!M158,0)</f>
        <v>4300</v>
      </c>
      <c r="D158" s="114">
        <f t="shared" si="5"/>
        <v>157</v>
      </c>
      <c r="E158" s="114" t="str">
        <f t="shared" si="4"/>
        <v>INSERT INTO PRECIOS (FECHA_INICIO, FECHA_FIN,PRECIO,ID_PRODUCTO) VALUES ( TO_DATE('01-01-2025','DD-MM-YYYY'), TO_DATE('31-12-2025','DD-MM-YYYY'),4300,157);</v>
      </c>
    </row>
    <row r="159" spans="1:5">
      <c r="A159" s="136" t="s">
        <v>2153</v>
      </c>
      <c r="B159" s="136" t="s">
        <v>2154</v>
      </c>
      <c r="C159" s="137">
        <f>ROUND(Precios!M159,0)</f>
        <v>10500</v>
      </c>
      <c r="D159" s="114">
        <f t="shared" si="5"/>
        <v>158</v>
      </c>
      <c r="E159" s="114" t="str">
        <f t="shared" si="4"/>
        <v>INSERT INTO PRECIOS (FECHA_INICIO, FECHA_FIN,PRECIO,ID_PRODUCTO) VALUES ( TO_DATE('01-01-2025','DD-MM-YYYY'), TO_DATE('31-12-2025','DD-MM-YYYY'),10500,158);</v>
      </c>
    </row>
    <row r="160" spans="1:5">
      <c r="A160" s="136" t="s">
        <v>2153</v>
      </c>
      <c r="B160" s="136" t="s">
        <v>2154</v>
      </c>
      <c r="C160" s="137">
        <f>ROUND(Precios!M160,0)</f>
        <v>11500</v>
      </c>
      <c r="D160" s="114">
        <f t="shared" si="5"/>
        <v>159</v>
      </c>
      <c r="E160" s="114" t="str">
        <f t="shared" si="4"/>
        <v>INSERT INTO PRECIOS (FECHA_INICIO, FECHA_FIN,PRECIO,ID_PRODUCTO) VALUES ( TO_DATE('01-01-2025','DD-MM-YYYY'), TO_DATE('31-12-2025','DD-MM-YYYY'),11500,159);</v>
      </c>
    </row>
    <row r="161" spans="1:5">
      <c r="A161" s="136" t="s">
        <v>2153</v>
      </c>
      <c r="B161" s="136" t="s">
        <v>2154</v>
      </c>
      <c r="C161" s="137">
        <f>ROUND(Precios!M161,0)</f>
        <v>21000</v>
      </c>
      <c r="D161" s="114">
        <f t="shared" si="5"/>
        <v>160</v>
      </c>
      <c r="E161" s="114" t="str">
        <f t="shared" si="4"/>
        <v>INSERT INTO PRECIOS (FECHA_INICIO, FECHA_FIN,PRECIO,ID_PRODUCTO) VALUES ( TO_DATE('01-01-2025','DD-MM-YYYY'), TO_DATE('31-12-2025','DD-MM-YYYY'),21000,160);</v>
      </c>
    </row>
    <row r="162" spans="1:5">
      <c r="A162" s="136" t="s">
        <v>2153</v>
      </c>
      <c r="B162" s="136" t="s">
        <v>2154</v>
      </c>
      <c r="C162" s="137">
        <f>ROUND(Precios!M162,0)</f>
        <v>6500</v>
      </c>
      <c r="D162" s="114">
        <f t="shared" si="5"/>
        <v>161</v>
      </c>
      <c r="E162" s="114" t="str">
        <f t="shared" si="4"/>
        <v>INSERT INTO PRECIOS (FECHA_INICIO, FECHA_FIN,PRECIO,ID_PRODUCTO) VALUES ( TO_DATE('01-01-2025','DD-MM-YYYY'), TO_DATE('31-12-2025','DD-MM-YYYY'),6500,161);</v>
      </c>
    </row>
    <row r="163" spans="1:5">
      <c r="A163" s="136" t="s">
        <v>2153</v>
      </c>
      <c r="B163" s="136" t="s">
        <v>2154</v>
      </c>
      <c r="C163" s="137">
        <f>ROUND(Precios!M163,0)</f>
        <v>1600</v>
      </c>
      <c r="D163" s="114">
        <f t="shared" si="5"/>
        <v>162</v>
      </c>
      <c r="E163" s="114" t="str">
        <f t="shared" si="4"/>
        <v>INSERT INTO PRECIOS (FECHA_INICIO, FECHA_FIN,PRECIO,ID_PRODUCTO) VALUES ( TO_DATE('01-01-2025','DD-MM-YYYY'), TO_DATE('31-12-2025','DD-MM-YYYY'),1600,162);</v>
      </c>
    </row>
    <row r="164" spans="1:5">
      <c r="A164" s="136" t="s">
        <v>2153</v>
      </c>
      <c r="B164" s="136" t="s">
        <v>2154</v>
      </c>
      <c r="C164" s="137">
        <f>ROUND(Precios!M164,0)</f>
        <v>1500</v>
      </c>
      <c r="D164" s="114">
        <f t="shared" si="5"/>
        <v>163</v>
      </c>
      <c r="E164" s="114" t="str">
        <f t="shared" si="4"/>
        <v>INSERT INTO PRECIOS (FECHA_INICIO, FECHA_FIN,PRECIO,ID_PRODUCTO) VALUES ( TO_DATE('01-01-2025','DD-MM-YYYY'), TO_DATE('31-12-2025','DD-MM-YYYY'),1500,163);</v>
      </c>
    </row>
    <row r="165" spans="1:5">
      <c r="A165" s="136" t="s">
        <v>2153</v>
      </c>
      <c r="B165" s="136" t="s">
        <v>2154</v>
      </c>
      <c r="C165" s="137">
        <f>ROUND(Precios!M165,0)</f>
        <v>3200</v>
      </c>
      <c r="D165" s="114">
        <f t="shared" si="5"/>
        <v>164</v>
      </c>
      <c r="E165" s="114" t="str">
        <f t="shared" si="4"/>
        <v>INSERT INTO PRECIOS (FECHA_INICIO, FECHA_FIN,PRECIO,ID_PRODUCTO) VALUES ( TO_DATE('01-01-2025','DD-MM-YYYY'), TO_DATE('31-12-2025','DD-MM-YYYY'),3200,164);</v>
      </c>
    </row>
    <row r="166" spans="1:5">
      <c r="A166" s="136" t="s">
        <v>2153</v>
      </c>
      <c r="B166" s="136" t="s">
        <v>2154</v>
      </c>
      <c r="C166" s="137">
        <f>ROUND(Precios!M166,0)</f>
        <v>2000</v>
      </c>
      <c r="D166" s="114">
        <f t="shared" si="5"/>
        <v>165</v>
      </c>
      <c r="E166" s="114" t="str">
        <f t="shared" si="4"/>
        <v>INSERT INTO PRECIOS (FECHA_INICIO, FECHA_FIN,PRECIO,ID_PRODUCTO) VALUES ( TO_DATE('01-01-2025','DD-MM-YYYY'), TO_DATE('31-12-2025','DD-MM-YYYY'),2000,165);</v>
      </c>
    </row>
    <row r="167" spans="1:5">
      <c r="A167" s="136" t="s">
        <v>2153</v>
      </c>
      <c r="B167" s="136" t="s">
        <v>2154</v>
      </c>
      <c r="C167" s="137">
        <f>ROUND(Precios!M167,0)</f>
        <v>1600</v>
      </c>
      <c r="D167" s="114">
        <f t="shared" si="5"/>
        <v>166</v>
      </c>
      <c r="E167" s="114" t="str">
        <f t="shared" si="4"/>
        <v>INSERT INTO PRECIOS (FECHA_INICIO, FECHA_FIN,PRECIO,ID_PRODUCTO) VALUES ( TO_DATE('01-01-2025','DD-MM-YYYY'), TO_DATE('31-12-2025','DD-MM-YYYY'),1600,166);</v>
      </c>
    </row>
    <row r="168" spans="1:5">
      <c r="A168" s="136" t="s">
        <v>2153</v>
      </c>
      <c r="B168" s="136" t="s">
        <v>2154</v>
      </c>
      <c r="C168" s="137">
        <f>ROUND(Precios!M168,0)</f>
        <v>8200</v>
      </c>
      <c r="D168" s="114">
        <f t="shared" si="5"/>
        <v>167</v>
      </c>
      <c r="E168" s="114" t="str">
        <f t="shared" si="4"/>
        <v>INSERT INTO PRECIOS (FECHA_INICIO, FECHA_FIN,PRECIO,ID_PRODUCTO) VALUES ( TO_DATE('01-01-2025','DD-MM-YYYY'), TO_DATE('31-12-2025','DD-MM-YYYY'),8200,167);</v>
      </c>
    </row>
    <row r="169" spans="1:5">
      <c r="A169" s="136" t="s">
        <v>2153</v>
      </c>
      <c r="B169" s="136" t="s">
        <v>2154</v>
      </c>
      <c r="C169" s="137">
        <f>ROUND(Precios!M169,0)</f>
        <v>1500</v>
      </c>
      <c r="D169" s="114">
        <f t="shared" si="5"/>
        <v>168</v>
      </c>
      <c r="E169" s="114" t="str">
        <f t="shared" si="4"/>
        <v>INSERT INTO PRECIOS (FECHA_INICIO, FECHA_FIN,PRECIO,ID_PRODUCTO) VALUES ( TO_DATE('01-01-2025','DD-MM-YYYY'), TO_DATE('31-12-2025','DD-MM-YYYY'),1500,168);</v>
      </c>
    </row>
    <row r="170" spans="1:5">
      <c r="A170" s="136" t="s">
        <v>2153</v>
      </c>
      <c r="B170" s="136" t="s">
        <v>2154</v>
      </c>
      <c r="C170" s="137">
        <f>ROUND(Precios!M170,0)</f>
        <v>2700</v>
      </c>
      <c r="D170" s="114">
        <f t="shared" si="5"/>
        <v>169</v>
      </c>
      <c r="E170" s="114" t="str">
        <f t="shared" si="4"/>
        <v>INSERT INTO PRECIOS (FECHA_INICIO, FECHA_FIN,PRECIO,ID_PRODUCTO) VALUES ( TO_DATE('01-01-2025','DD-MM-YYYY'), TO_DATE('31-12-2025','DD-MM-YYYY'),2700,169);</v>
      </c>
    </row>
    <row r="171" spans="1:5">
      <c r="A171" s="136" t="s">
        <v>2153</v>
      </c>
      <c r="B171" s="136" t="s">
        <v>2154</v>
      </c>
      <c r="C171" s="137">
        <f>ROUND(Precios!M171,0)</f>
        <v>3600</v>
      </c>
      <c r="D171" s="114">
        <f t="shared" si="5"/>
        <v>170</v>
      </c>
      <c r="E171" s="114" t="str">
        <f t="shared" si="4"/>
        <v>INSERT INTO PRECIOS (FECHA_INICIO, FECHA_FIN,PRECIO,ID_PRODUCTO) VALUES ( TO_DATE('01-01-2025','DD-MM-YYYY'), TO_DATE('31-12-2025','DD-MM-YYYY'),3600,170);</v>
      </c>
    </row>
    <row r="172" spans="1:5">
      <c r="A172" s="136" t="s">
        <v>2153</v>
      </c>
      <c r="B172" s="136" t="s">
        <v>2154</v>
      </c>
      <c r="C172" s="137">
        <f>ROUND(Precios!M172,0)</f>
        <v>3700</v>
      </c>
      <c r="D172" s="114">
        <f t="shared" si="5"/>
        <v>171</v>
      </c>
      <c r="E172" s="114" t="str">
        <f t="shared" si="4"/>
        <v>INSERT INTO PRECIOS (FECHA_INICIO, FECHA_FIN,PRECIO,ID_PRODUCTO) VALUES ( TO_DATE('01-01-2025','DD-MM-YYYY'), TO_DATE('31-12-2025','DD-MM-YYYY'),3700,171);</v>
      </c>
    </row>
    <row r="173" spans="1:5">
      <c r="A173" s="136" t="s">
        <v>2153</v>
      </c>
      <c r="B173" s="136" t="s">
        <v>2154</v>
      </c>
      <c r="C173" s="137">
        <f>ROUND(Precios!M173,0)</f>
        <v>2300</v>
      </c>
      <c r="D173" s="114">
        <f t="shared" si="5"/>
        <v>172</v>
      </c>
      <c r="E173" s="114" t="str">
        <f t="shared" si="4"/>
        <v>INSERT INTO PRECIOS (FECHA_INICIO, FECHA_FIN,PRECIO,ID_PRODUCTO) VALUES ( TO_DATE('01-01-2025','DD-MM-YYYY'), TO_DATE('31-12-2025','DD-MM-YYYY'),2300,172);</v>
      </c>
    </row>
    <row r="174" spans="1:5">
      <c r="A174" s="136" t="s">
        <v>2153</v>
      </c>
      <c r="B174" s="136" t="s">
        <v>2154</v>
      </c>
      <c r="C174" s="137">
        <f>ROUND(Precios!M174,0)</f>
        <v>2000</v>
      </c>
      <c r="D174" s="114">
        <f t="shared" si="5"/>
        <v>173</v>
      </c>
      <c r="E174" s="114" t="str">
        <f t="shared" si="4"/>
        <v>INSERT INTO PRECIOS (FECHA_INICIO, FECHA_FIN,PRECIO,ID_PRODUCTO) VALUES ( TO_DATE('01-01-2025','DD-MM-YYYY'), TO_DATE('31-12-2025','DD-MM-YYYY'),2000,173);</v>
      </c>
    </row>
    <row r="175" spans="1:5">
      <c r="A175" s="136" t="s">
        <v>2153</v>
      </c>
      <c r="B175" s="136" t="s">
        <v>2154</v>
      </c>
      <c r="C175" s="137">
        <f>ROUND(Precios!M175,0)</f>
        <v>700</v>
      </c>
      <c r="D175" s="114">
        <f t="shared" si="5"/>
        <v>174</v>
      </c>
      <c r="E175" s="114" t="str">
        <f t="shared" si="4"/>
        <v>INSERT INTO PRECIOS (FECHA_INICIO, FECHA_FIN,PRECIO,ID_PRODUCTO) VALUES ( TO_DATE('01-01-2025','DD-MM-YYYY'), TO_DATE('31-12-2025','DD-MM-YYYY'),700,174);</v>
      </c>
    </row>
    <row r="176" spans="1:5">
      <c r="A176" s="136" t="s">
        <v>2153</v>
      </c>
      <c r="B176" s="136" t="s">
        <v>2154</v>
      </c>
      <c r="C176" s="137">
        <f>ROUND(Precios!M176,0)</f>
        <v>1300</v>
      </c>
      <c r="D176" s="114">
        <f t="shared" si="5"/>
        <v>175</v>
      </c>
      <c r="E176" s="114" t="str">
        <f t="shared" si="4"/>
        <v>INSERT INTO PRECIOS (FECHA_INICIO, FECHA_FIN,PRECIO,ID_PRODUCTO) VALUES ( TO_DATE('01-01-2025','DD-MM-YYYY'), TO_DATE('31-12-2025','DD-MM-YYYY'),1300,175);</v>
      </c>
    </row>
    <row r="177" spans="1:5">
      <c r="A177" s="136" t="s">
        <v>2153</v>
      </c>
      <c r="B177" s="136" t="s">
        <v>2154</v>
      </c>
      <c r="C177" s="137">
        <f>ROUND(Precios!M177,0)</f>
        <v>800</v>
      </c>
      <c r="D177" s="114">
        <f t="shared" si="5"/>
        <v>176</v>
      </c>
      <c r="E177" s="114" t="str">
        <f t="shared" si="4"/>
        <v>INSERT INTO PRECIOS (FECHA_INICIO, FECHA_FIN,PRECIO,ID_PRODUCTO) VALUES ( TO_DATE('01-01-2025','DD-MM-YYYY'), TO_DATE('31-12-2025','DD-MM-YYYY'),800,176);</v>
      </c>
    </row>
    <row r="178" spans="1:5">
      <c r="A178" s="136" t="s">
        <v>2153</v>
      </c>
      <c r="B178" s="136" t="s">
        <v>2154</v>
      </c>
      <c r="C178" s="137">
        <f>ROUND(Precios!M178,0)</f>
        <v>500</v>
      </c>
      <c r="D178" s="114">
        <f t="shared" si="5"/>
        <v>177</v>
      </c>
      <c r="E178" s="114" t="str">
        <f t="shared" si="4"/>
        <v>INSERT INTO PRECIOS (FECHA_INICIO, FECHA_FIN,PRECIO,ID_PRODUCTO) VALUES ( TO_DATE('01-01-2025','DD-MM-YYYY'), TO_DATE('31-12-2025','DD-MM-YYYY'),500,177);</v>
      </c>
    </row>
    <row r="179" spans="1:5">
      <c r="A179" s="136" t="s">
        <v>2153</v>
      </c>
      <c r="B179" s="136" t="s">
        <v>2154</v>
      </c>
      <c r="C179" s="137">
        <f>ROUND(Precios!M179,0)</f>
        <v>1500</v>
      </c>
      <c r="D179" s="114">
        <f t="shared" si="5"/>
        <v>178</v>
      </c>
      <c r="E179" s="114" t="str">
        <f t="shared" si="4"/>
        <v>INSERT INTO PRECIOS (FECHA_INICIO, FECHA_FIN,PRECIO,ID_PRODUCTO) VALUES ( TO_DATE('01-01-2025','DD-MM-YYYY'), TO_DATE('31-12-2025','DD-MM-YYYY'),1500,178);</v>
      </c>
    </row>
    <row r="180" spans="1:5">
      <c r="A180" s="136" t="s">
        <v>2153</v>
      </c>
      <c r="B180" s="136" t="s">
        <v>2154</v>
      </c>
      <c r="C180" s="137">
        <f>ROUND(Precios!M180,0)</f>
        <v>500</v>
      </c>
      <c r="D180" s="114">
        <f t="shared" si="5"/>
        <v>179</v>
      </c>
      <c r="E180" s="114" t="str">
        <f t="shared" si="4"/>
        <v>INSERT INTO PRECIOS (FECHA_INICIO, FECHA_FIN,PRECIO,ID_PRODUCTO) VALUES ( TO_DATE('01-01-2025','DD-MM-YYYY'), TO_DATE('31-12-2025','DD-MM-YYYY'),500,179);</v>
      </c>
    </row>
    <row r="181" spans="1:5">
      <c r="A181" s="136" t="s">
        <v>2153</v>
      </c>
      <c r="B181" s="136" t="s">
        <v>2154</v>
      </c>
      <c r="C181" s="137">
        <f>ROUND(Precios!M181,0)</f>
        <v>4000</v>
      </c>
      <c r="D181" s="114">
        <f t="shared" si="5"/>
        <v>180</v>
      </c>
      <c r="E181" s="114" t="str">
        <f t="shared" si="4"/>
        <v>INSERT INTO PRECIOS (FECHA_INICIO, FECHA_FIN,PRECIO,ID_PRODUCTO) VALUES ( TO_DATE('01-01-2025','DD-MM-YYYY'), TO_DATE('31-12-2025','DD-MM-YYYY'),4000,180);</v>
      </c>
    </row>
    <row r="182" spans="1:5">
      <c r="A182" s="136" t="s">
        <v>2153</v>
      </c>
      <c r="B182" s="136" t="s">
        <v>2154</v>
      </c>
      <c r="C182" s="137">
        <f>ROUND(Precios!M182,0)</f>
        <v>1200</v>
      </c>
      <c r="D182" s="114">
        <f t="shared" si="5"/>
        <v>181</v>
      </c>
      <c r="E182" s="114" t="str">
        <f t="shared" si="4"/>
        <v>INSERT INTO PRECIOS (FECHA_INICIO, FECHA_FIN,PRECIO,ID_PRODUCTO) VALUES ( TO_DATE('01-01-2025','DD-MM-YYYY'), TO_DATE('31-12-2025','DD-MM-YYYY'),1200,181);</v>
      </c>
    </row>
    <row r="183" spans="1:5">
      <c r="A183" s="136" t="s">
        <v>2153</v>
      </c>
      <c r="B183" s="136" t="s">
        <v>2154</v>
      </c>
      <c r="C183" s="137">
        <f>ROUND(Precios!M183,0)</f>
        <v>2000</v>
      </c>
      <c r="D183" s="114">
        <f t="shared" si="5"/>
        <v>182</v>
      </c>
      <c r="E183" s="114" t="str">
        <f t="shared" si="4"/>
        <v>INSERT INTO PRECIOS (FECHA_INICIO, FECHA_FIN,PRECIO,ID_PRODUCTO) VALUES ( TO_DATE('01-01-2025','DD-MM-YYYY'), TO_DATE('31-12-2025','DD-MM-YYYY'),2000,182);</v>
      </c>
    </row>
    <row r="184" spans="1:5">
      <c r="A184" s="136" t="s">
        <v>2153</v>
      </c>
      <c r="B184" s="136" t="s">
        <v>2154</v>
      </c>
      <c r="C184" s="137">
        <f>ROUND(Precios!M184,0)</f>
        <v>1120</v>
      </c>
      <c r="D184" s="114">
        <f t="shared" si="5"/>
        <v>183</v>
      </c>
      <c r="E184" s="114" t="str">
        <f t="shared" si="4"/>
        <v>INSERT INTO PRECIOS (FECHA_INICIO, FECHA_FIN,PRECIO,ID_PRODUCTO) VALUES ( TO_DATE('01-01-2025','DD-MM-YYYY'), TO_DATE('31-12-2025','DD-MM-YYYY'),1120,183);</v>
      </c>
    </row>
    <row r="185" spans="1:5">
      <c r="A185" s="136" t="s">
        <v>2153</v>
      </c>
      <c r="B185" s="136" t="s">
        <v>2154</v>
      </c>
      <c r="C185" s="137">
        <f>ROUND(Precios!M185,0)</f>
        <v>1400</v>
      </c>
      <c r="D185" s="114">
        <f t="shared" si="5"/>
        <v>184</v>
      </c>
      <c r="E185" s="114" t="str">
        <f t="shared" si="4"/>
        <v>INSERT INTO PRECIOS (FECHA_INICIO, FECHA_FIN,PRECIO,ID_PRODUCTO) VALUES ( TO_DATE('01-01-2025','DD-MM-YYYY'), TO_DATE('31-12-2025','DD-MM-YYYY'),1400,184);</v>
      </c>
    </row>
    <row r="186" spans="1:5">
      <c r="A186" s="136" t="s">
        <v>2153</v>
      </c>
      <c r="B186" s="136" t="s">
        <v>2154</v>
      </c>
      <c r="C186" s="137">
        <f>ROUND(Precios!M186,0)</f>
        <v>500</v>
      </c>
      <c r="D186" s="114">
        <f t="shared" si="5"/>
        <v>185</v>
      </c>
      <c r="E186" s="114" t="str">
        <f t="shared" si="4"/>
        <v>INSERT INTO PRECIOS (FECHA_INICIO, FECHA_FIN,PRECIO,ID_PRODUCTO) VALUES ( TO_DATE('01-01-2025','DD-MM-YYYY'), TO_DATE('31-12-2025','DD-MM-YYYY'),500,185);</v>
      </c>
    </row>
    <row r="187" spans="1:5">
      <c r="A187" s="136" t="s">
        <v>2153</v>
      </c>
      <c r="B187" s="136" t="s">
        <v>2154</v>
      </c>
      <c r="C187" s="137">
        <f>ROUND(Precios!M187,0)</f>
        <v>1200</v>
      </c>
      <c r="D187" s="114">
        <f t="shared" si="5"/>
        <v>186</v>
      </c>
      <c r="E187" s="114" t="str">
        <f t="shared" si="4"/>
        <v>INSERT INTO PRECIOS (FECHA_INICIO, FECHA_FIN,PRECIO,ID_PRODUCTO) VALUES ( TO_DATE('01-01-2025','DD-MM-YYYY'), TO_DATE('31-12-2025','DD-MM-YYYY'),1200,186);</v>
      </c>
    </row>
    <row r="188" spans="1:5">
      <c r="A188" s="136" t="s">
        <v>2153</v>
      </c>
      <c r="B188" s="136" t="s">
        <v>2154</v>
      </c>
      <c r="C188" s="137">
        <f>ROUND(Precios!M188,0)</f>
        <v>1500</v>
      </c>
      <c r="D188" s="114">
        <f t="shared" si="5"/>
        <v>187</v>
      </c>
      <c r="E188" s="114" t="str">
        <f t="shared" si="4"/>
        <v>INSERT INTO PRECIOS (FECHA_INICIO, FECHA_FIN,PRECIO,ID_PRODUCTO) VALUES ( TO_DATE('01-01-2025','DD-MM-YYYY'), TO_DATE('31-12-2025','DD-MM-YYYY'),1500,187);</v>
      </c>
    </row>
    <row r="189" spans="1:5">
      <c r="A189" s="136" t="s">
        <v>2153</v>
      </c>
      <c r="B189" s="136" t="s">
        <v>2154</v>
      </c>
      <c r="C189" s="137">
        <f>ROUND(Precios!M189,0)</f>
        <v>500</v>
      </c>
      <c r="D189" s="114">
        <f t="shared" si="5"/>
        <v>188</v>
      </c>
      <c r="E189" s="114" t="str">
        <f t="shared" si="4"/>
        <v>INSERT INTO PRECIOS (FECHA_INICIO, FECHA_FIN,PRECIO,ID_PRODUCTO) VALUES ( TO_DATE('01-01-2025','DD-MM-YYYY'), TO_DATE('31-12-2025','DD-MM-YYYY'),500,188);</v>
      </c>
    </row>
    <row r="190" spans="1:5">
      <c r="A190" s="136" t="s">
        <v>2153</v>
      </c>
      <c r="B190" s="136" t="s">
        <v>2154</v>
      </c>
      <c r="C190" s="137">
        <f>ROUND(Precios!M190,0)</f>
        <v>3000</v>
      </c>
      <c r="D190" s="114">
        <f t="shared" si="5"/>
        <v>189</v>
      </c>
      <c r="E190" s="114" t="str">
        <f t="shared" si="4"/>
        <v>INSERT INTO PRECIOS (FECHA_INICIO, FECHA_FIN,PRECIO,ID_PRODUCTO) VALUES ( TO_DATE('01-01-2025','DD-MM-YYYY'), TO_DATE('31-12-2025','DD-MM-YYYY'),3000,189);</v>
      </c>
    </row>
    <row r="191" spans="1:5">
      <c r="A191" s="136" t="s">
        <v>2153</v>
      </c>
      <c r="B191" s="136" t="s">
        <v>2154</v>
      </c>
      <c r="C191" s="137">
        <f>ROUND(Precios!M191,0)</f>
        <v>2750</v>
      </c>
      <c r="D191" s="114">
        <f t="shared" si="5"/>
        <v>190</v>
      </c>
      <c r="E191" s="114" t="str">
        <f t="shared" si="4"/>
        <v>INSERT INTO PRECIOS (FECHA_INICIO, FECHA_FIN,PRECIO,ID_PRODUCTO) VALUES ( TO_DATE('01-01-2025','DD-MM-YYYY'), TO_DATE('31-12-2025','DD-MM-YYYY'),2750,190);</v>
      </c>
    </row>
    <row r="192" spans="1:5">
      <c r="A192" s="136" t="s">
        <v>2153</v>
      </c>
      <c r="B192" s="136" t="s">
        <v>2154</v>
      </c>
      <c r="C192" s="137">
        <f>ROUND(Precios!M192,0)</f>
        <v>2500</v>
      </c>
      <c r="D192" s="114">
        <f t="shared" si="5"/>
        <v>191</v>
      </c>
      <c r="E192" s="114" t="str">
        <f t="shared" si="4"/>
        <v>INSERT INTO PRECIOS (FECHA_INICIO, FECHA_FIN,PRECIO,ID_PRODUCTO) VALUES ( TO_DATE('01-01-2025','DD-MM-YYYY'), TO_DATE('31-12-2025','DD-MM-YYYY'),2500,191);</v>
      </c>
    </row>
    <row r="193" spans="1:5">
      <c r="A193" s="136" t="s">
        <v>2153</v>
      </c>
      <c r="B193" s="136" t="s">
        <v>2154</v>
      </c>
      <c r="C193" s="137">
        <f>ROUND(Precios!M193,0)</f>
        <v>2000</v>
      </c>
      <c r="D193" s="114">
        <f t="shared" si="5"/>
        <v>192</v>
      </c>
      <c r="E193" s="114" t="str">
        <f t="shared" si="4"/>
        <v>INSERT INTO PRECIOS (FECHA_INICIO, FECHA_FIN,PRECIO,ID_PRODUCTO) VALUES ( TO_DATE('01-01-2025','DD-MM-YYYY'), TO_DATE('31-12-2025','DD-MM-YYYY'),2000,192);</v>
      </c>
    </row>
    <row r="194" spans="1:5">
      <c r="A194" s="136" t="s">
        <v>2153</v>
      </c>
      <c r="B194" s="136" t="s">
        <v>2154</v>
      </c>
      <c r="C194" s="137">
        <f>ROUND(Precios!M194,0)</f>
        <v>1000</v>
      </c>
      <c r="D194" s="114">
        <f t="shared" si="5"/>
        <v>193</v>
      </c>
      <c r="E194" s="114" t="str">
        <f t="shared" si="4"/>
        <v>INSERT INTO PRECIOS (FECHA_INICIO, FECHA_FIN,PRECIO,ID_PRODUCTO) VALUES ( TO_DATE('01-01-2025','DD-MM-YYYY'), TO_DATE('31-12-2025','DD-MM-YYYY'),1000,193);</v>
      </c>
    </row>
    <row r="195" spans="1:5">
      <c r="A195" s="136" t="s">
        <v>2153</v>
      </c>
      <c r="B195" s="136" t="s">
        <v>2154</v>
      </c>
      <c r="C195" s="137">
        <f>ROUND(Precios!M195,0)</f>
        <v>2500</v>
      </c>
      <c r="D195" s="114">
        <f t="shared" si="5"/>
        <v>194</v>
      </c>
      <c r="E195" s="114" t="str">
        <f t="shared" ref="E195:E258" si="6">CONCATENATE("INSERT INTO PRECIOS (FECHA_INICIO, FECHA_FIN,PRECIO,ID_PRODUCTO) VALUES ( TO_DATE(","'",A195,"'",",'DD-MM-YYYY')",", TO_DATE(","'",B195,"'",",'DD-MM-YYYY')",",",C195,",",D195,");")</f>
        <v>INSERT INTO PRECIOS (FECHA_INICIO, FECHA_FIN,PRECIO,ID_PRODUCTO) VALUES ( TO_DATE('01-01-2025','DD-MM-YYYY'), TO_DATE('31-12-2025','DD-MM-YYYY'),2500,194);</v>
      </c>
    </row>
    <row r="196" spans="1:5">
      <c r="A196" s="136" t="s">
        <v>2153</v>
      </c>
      <c r="B196" s="136" t="s">
        <v>2154</v>
      </c>
      <c r="C196" s="137">
        <f>ROUND(Precios!M196,0)</f>
        <v>2500</v>
      </c>
      <c r="D196" s="114">
        <f t="shared" ref="D196:D259" si="7">D195+1</f>
        <v>195</v>
      </c>
      <c r="E196" s="114" t="str">
        <f t="shared" si="6"/>
        <v>INSERT INTO PRECIOS (FECHA_INICIO, FECHA_FIN,PRECIO,ID_PRODUCTO) VALUES ( TO_DATE('01-01-2025','DD-MM-YYYY'), TO_DATE('31-12-2025','DD-MM-YYYY'),2500,195);</v>
      </c>
    </row>
    <row r="197" spans="1:5">
      <c r="A197" s="136" t="s">
        <v>2153</v>
      </c>
      <c r="B197" s="136" t="s">
        <v>2154</v>
      </c>
      <c r="C197" s="137">
        <f>ROUND(Precios!M197,0)</f>
        <v>4500</v>
      </c>
      <c r="D197" s="114">
        <f t="shared" si="7"/>
        <v>196</v>
      </c>
      <c r="E197" s="114" t="str">
        <f t="shared" si="6"/>
        <v>INSERT INTO PRECIOS (FECHA_INICIO, FECHA_FIN,PRECIO,ID_PRODUCTO) VALUES ( TO_DATE('01-01-2025','DD-MM-YYYY'), TO_DATE('31-12-2025','DD-MM-YYYY'),4500,196);</v>
      </c>
    </row>
    <row r="198" spans="1:5">
      <c r="A198" s="136" t="s">
        <v>2153</v>
      </c>
      <c r="B198" s="136" t="s">
        <v>2154</v>
      </c>
      <c r="C198" s="137">
        <f>ROUND(Precios!M198,0)</f>
        <v>1400</v>
      </c>
      <c r="D198" s="114">
        <f t="shared" si="7"/>
        <v>197</v>
      </c>
      <c r="E198" s="114" t="str">
        <f t="shared" si="6"/>
        <v>INSERT INTO PRECIOS (FECHA_INICIO, FECHA_FIN,PRECIO,ID_PRODUCTO) VALUES ( TO_DATE('01-01-2025','DD-MM-YYYY'), TO_DATE('31-12-2025','DD-MM-YYYY'),1400,197);</v>
      </c>
    </row>
    <row r="199" spans="1:5">
      <c r="A199" s="136" t="s">
        <v>2153</v>
      </c>
      <c r="B199" s="136" t="s">
        <v>2154</v>
      </c>
      <c r="C199" s="137">
        <f>ROUND(Precios!M199,0)</f>
        <v>2000</v>
      </c>
      <c r="D199" s="114">
        <f t="shared" si="7"/>
        <v>198</v>
      </c>
      <c r="E199" s="114" t="str">
        <f t="shared" si="6"/>
        <v>INSERT INTO PRECIOS (FECHA_INICIO, FECHA_FIN,PRECIO,ID_PRODUCTO) VALUES ( TO_DATE('01-01-2025','DD-MM-YYYY'), TO_DATE('31-12-2025','DD-MM-YYYY'),2000,198);</v>
      </c>
    </row>
    <row r="200" spans="1:5">
      <c r="A200" s="136" t="s">
        <v>2153</v>
      </c>
      <c r="B200" s="136" t="s">
        <v>2154</v>
      </c>
      <c r="C200" s="137">
        <f>ROUND(Precios!M200,0)</f>
        <v>3500</v>
      </c>
      <c r="D200" s="114">
        <f t="shared" si="7"/>
        <v>199</v>
      </c>
      <c r="E200" s="114" t="str">
        <f t="shared" si="6"/>
        <v>INSERT INTO PRECIOS (FECHA_INICIO, FECHA_FIN,PRECIO,ID_PRODUCTO) VALUES ( TO_DATE('01-01-2025','DD-MM-YYYY'), TO_DATE('31-12-2025','DD-MM-YYYY'),3500,199);</v>
      </c>
    </row>
    <row r="201" spans="1:5">
      <c r="A201" s="136" t="s">
        <v>2153</v>
      </c>
      <c r="B201" s="136" t="s">
        <v>2154</v>
      </c>
      <c r="C201" s="137">
        <f>ROUND(Precios!M201,0)</f>
        <v>3930</v>
      </c>
      <c r="D201" s="114">
        <f t="shared" si="7"/>
        <v>200</v>
      </c>
      <c r="E201" s="114" t="str">
        <f t="shared" si="6"/>
        <v>INSERT INTO PRECIOS (FECHA_INICIO, FECHA_FIN,PRECIO,ID_PRODUCTO) VALUES ( TO_DATE('01-01-2025','DD-MM-YYYY'), TO_DATE('31-12-2025','DD-MM-YYYY'),3930,200);</v>
      </c>
    </row>
    <row r="202" spans="1:5">
      <c r="A202" s="136" t="s">
        <v>2153</v>
      </c>
      <c r="B202" s="136" t="s">
        <v>2154</v>
      </c>
      <c r="C202" s="137">
        <f>ROUND(Precios!M202,0)</f>
        <v>4500</v>
      </c>
      <c r="D202" s="114">
        <f t="shared" si="7"/>
        <v>201</v>
      </c>
      <c r="E202" s="114" t="str">
        <f t="shared" si="6"/>
        <v>INSERT INTO PRECIOS (FECHA_INICIO, FECHA_FIN,PRECIO,ID_PRODUCTO) VALUES ( TO_DATE('01-01-2025','DD-MM-YYYY'), TO_DATE('31-12-2025','DD-MM-YYYY'),4500,201);</v>
      </c>
    </row>
    <row r="203" spans="1:5">
      <c r="A203" s="136" t="s">
        <v>2153</v>
      </c>
      <c r="B203" s="136" t="s">
        <v>2154</v>
      </c>
      <c r="C203" s="137">
        <f>ROUND(Precios!M203,0)</f>
        <v>500</v>
      </c>
      <c r="D203" s="114">
        <f t="shared" si="7"/>
        <v>202</v>
      </c>
      <c r="E203" s="114" t="str">
        <f t="shared" si="6"/>
        <v>INSERT INTO PRECIOS (FECHA_INICIO, FECHA_FIN,PRECIO,ID_PRODUCTO) VALUES ( TO_DATE('01-01-2025','DD-MM-YYYY'), TO_DATE('31-12-2025','DD-MM-YYYY'),500,202);</v>
      </c>
    </row>
    <row r="204" spans="1:5">
      <c r="A204" s="136" t="s">
        <v>2153</v>
      </c>
      <c r="B204" s="136" t="s">
        <v>2154</v>
      </c>
      <c r="C204" s="137">
        <f>ROUND(Precios!M204,0)</f>
        <v>1250</v>
      </c>
      <c r="D204" s="114">
        <f t="shared" si="7"/>
        <v>203</v>
      </c>
      <c r="E204" s="114" t="str">
        <f t="shared" si="6"/>
        <v>INSERT INTO PRECIOS (FECHA_INICIO, FECHA_FIN,PRECIO,ID_PRODUCTO) VALUES ( TO_DATE('01-01-2025','DD-MM-YYYY'), TO_DATE('31-12-2025','DD-MM-YYYY'),1250,203);</v>
      </c>
    </row>
    <row r="205" spans="1:5">
      <c r="A205" s="136" t="s">
        <v>2153</v>
      </c>
      <c r="B205" s="136" t="s">
        <v>2154</v>
      </c>
      <c r="C205" s="137">
        <f>ROUND(Precios!M205,0)</f>
        <v>1200</v>
      </c>
      <c r="D205" s="114">
        <f t="shared" si="7"/>
        <v>204</v>
      </c>
      <c r="E205" s="114" t="str">
        <f t="shared" si="6"/>
        <v>INSERT INTO PRECIOS (FECHA_INICIO, FECHA_FIN,PRECIO,ID_PRODUCTO) VALUES ( TO_DATE('01-01-2025','DD-MM-YYYY'), TO_DATE('31-12-2025','DD-MM-YYYY'),1200,204);</v>
      </c>
    </row>
    <row r="206" spans="1:5">
      <c r="A206" s="136" t="s">
        <v>2153</v>
      </c>
      <c r="B206" s="136" t="s">
        <v>2154</v>
      </c>
      <c r="C206" s="137">
        <f>ROUND(Precios!M206,0)</f>
        <v>2000</v>
      </c>
      <c r="D206" s="114">
        <f t="shared" si="7"/>
        <v>205</v>
      </c>
      <c r="E206" s="114" t="str">
        <f t="shared" si="6"/>
        <v>INSERT INTO PRECIOS (FECHA_INICIO, FECHA_FIN,PRECIO,ID_PRODUCTO) VALUES ( TO_DATE('01-01-2025','DD-MM-YYYY'), TO_DATE('31-12-2025','DD-MM-YYYY'),2000,205);</v>
      </c>
    </row>
    <row r="207" spans="1:5">
      <c r="A207" s="136" t="s">
        <v>2153</v>
      </c>
      <c r="B207" s="136" t="s">
        <v>2154</v>
      </c>
      <c r="C207" s="137">
        <f>ROUND(Precios!M207,0)</f>
        <v>12000</v>
      </c>
      <c r="D207" s="114">
        <f t="shared" si="7"/>
        <v>206</v>
      </c>
      <c r="E207" s="114" t="str">
        <f t="shared" si="6"/>
        <v>INSERT INTO PRECIOS (FECHA_INICIO, FECHA_FIN,PRECIO,ID_PRODUCTO) VALUES ( TO_DATE('01-01-2025','DD-MM-YYYY'), TO_DATE('31-12-2025','DD-MM-YYYY'),12000,206);</v>
      </c>
    </row>
    <row r="208" spans="1:5">
      <c r="A208" s="136" t="s">
        <v>2153</v>
      </c>
      <c r="B208" s="136" t="s">
        <v>2154</v>
      </c>
      <c r="C208" s="137">
        <f>ROUND(Precios!M208,0)</f>
        <v>2100</v>
      </c>
      <c r="D208" s="114">
        <f t="shared" si="7"/>
        <v>207</v>
      </c>
      <c r="E208" s="114" t="str">
        <f t="shared" si="6"/>
        <v>INSERT INTO PRECIOS (FECHA_INICIO, FECHA_FIN,PRECIO,ID_PRODUCTO) VALUES ( TO_DATE('01-01-2025','DD-MM-YYYY'), TO_DATE('31-12-2025','DD-MM-YYYY'),2100,207);</v>
      </c>
    </row>
    <row r="209" spans="1:5">
      <c r="A209" s="136" t="s">
        <v>2153</v>
      </c>
      <c r="B209" s="136" t="s">
        <v>2154</v>
      </c>
      <c r="C209" s="137">
        <f>ROUND(Precios!M209,0)</f>
        <v>2600</v>
      </c>
      <c r="D209" s="114">
        <f t="shared" si="7"/>
        <v>208</v>
      </c>
      <c r="E209" s="114" t="str">
        <f t="shared" si="6"/>
        <v>INSERT INTO PRECIOS (FECHA_INICIO, FECHA_FIN,PRECIO,ID_PRODUCTO) VALUES ( TO_DATE('01-01-2025','DD-MM-YYYY'), TO_DATE('31-12-2025','DD-MM-YYYY'),2600,208);</v>
      </c>
    </row>
    <row r="210" spans="1:5">
      <c r="A210" s="136" t="s">
        <v>2153</v>
      </c>
      <c r="B210" s="136" t="s">
        <v>2154</v>
      </c>
      <c r="C210" s="137">
        <f>ROUND(Precios!M210,0)</f>
        <v>3200</v>
      </c>
      <c r="D210" s="114">
        <f t="shared" si="7"/>
        <v>209</v>
      </c>
      <c r="E210" s="114" t="str">
        <f t="shared" si="6"/>
        <v>INSERT INTO PRECIOS (FECHA_INICIO, FECHA_FIN,PRECIO,ID_PRODUCTO) VALUES ( TO_DATE('01-01-2025','DD-MM-YYYY'), TO_DATE('31-12-2025','DD-MM-YYYY'),3200,209);</v>
      </c>
    </row>
    <row r="211" spans="1:5">
      <c r="A211" s="136" t="s">
        <v>2153</v>
      </c>
      <c r="B211" s="136" t="s">
        <v>2154</v>
      </c>
      <c r="C211" s="137">
        <f>ROUND(Precios!M211,0)</f>
        <v>3200</v>
      </c>
      <c r="D211" s="114">
        <f t="shared" si="7"/>
        <v>210</v>
      </c>
      <c r="E211" s="114" t="str">
        <f t="shared" si="6"/>
        <v>INSERT INTO PRECIOS (FECHA_INICIO, FECHA_FIN,PRECIO,ID_PRODUCTO) VALUES ( TO_DATE('01-01-2025','DD-MM-YYYY'), TO_DATE('31-12-2025','DD-MM-YYYY'),3200,210);</v>
      </c>
    </row>
    <row r="212" spans="1:5">
      <c r="A212" s="136" t="s">
        <v>2153</v>
      </c>
      <c r="B212" s="136" t="s">
        <v>2154</v>
      </c>
      <c r="C212" s="137">
        <f>ROUND(Precios!M212,0)</f>
        <v>4600</v>
      </c>
      <c r="D212" s="114">
        <f t="shared" si="7"/>
        <v>211</v>
      </c>
      <c r="E212" s="114" t="str">
        <f t="shared" si="6"/>
        <v>INSERT INTO PRECIOS (FECHA_INICIO, FECHA_FIN,PRECIO,ID_PRODUCTO) VALUES ( TO_DATE('01-01-2025','DD-MM-YYYY'), TO_DATE('31-12-2025','DD-MM-YYYY'),4600,211);</v>
      </c>
    </row>
    <row r="213" spans="1:5">
      <c r="A213" s="136" t="s">
        <v>2153</v>
      </c>
      <c r="B213" s="136" t="s">
        <v>2154</v>
      </c>
      <c r="C213" s="137">
        <f>ROUND(Precios!M213,0)</f>
        <v>4800</v>
      </c>
      <c r="D213" s="114">
        <f t="shared" si="7"/>
        <v>212</v>
      </c>
      <c r="E213" s="114" t="str">
        <f t="shared" si="6"/>
        <v>INSERT INTO PRECIOS (FECHA_INICIO, FECHA_FIN,PRECIO,ID_PRODUCTO) VALUES ( TO_DATE('01-01-2025','DD-MM-YYYY'), TO_DATE('31-12-2025','DD-MM-YYYY'),4800,212);</v>
      </c>
    </row>
    <row r="214" spans="1:5">
      <c r="A214" s="136" t="s">
        <v>2153</v>
      </c>
      <c r="B214" s="136" t="s">
        <v>2154</v>
      </c>
      <c r="C214" s="137">
        <f>ROUND(Precios!M214,0)</f>
        <v>1000</v>
      </c>
      <c r="D214" s="114">
        <f t="shared" si="7"/>
        <v>213</v>
      </c>
      <c r="E214" s="114" t="str">
        <f t="shared" si="6"/>
        <v>INSERT INTO PRECIOS (FECHA_INICIO, FECHA_FIN,PRECIO,ID_PRODUCTO) VALUES ( TO_DATE('01-01-2025','DD-MM-YYYY'), TO_DATE('31-12-2025','DD-MM-YYYY'),1000,213);</v>
      </c>
    </row>
    <row r="215" spans="1:5">
      <c r="A215" s="136" t="s">
        <v>2153</v>
      </c>
      <c r="B215" s="136" t="s">
        <v>2154</v>
      </c>
      <c r="C215" s="137">
        <f>ROUND(Precios!M215,0)</f>
        <v>6000</v>
      </c>
      <c r="D215" s="114">
        <f t="shared" si="7"/>
        <v>214</v>
      </c>
      <c r="E215" s="114" t="str">
        <f t="shared" si="6"/>
        <v>INSERT INTO PRECIOS (FECHA_INICIO, FECHA_FIN,PRECIO,ID_PRODUCTO) VALUES ( TO_DATE('01-01-2025','DD-MM-YYYY'), TO_DATE('31-12-2025','DD-MM-YYYY'),6000,214);</v>
      </c>
    </row>
    <row r="216" spans="1:5">
      <c r="A216" s="136" t="s">
        <v>2153</v>
      </c>
      <c r="B216" s="136" t="s">
        <v>2154</v>
      </c>
      <c r="C216" s="137">
        <f>ROUND(Precios!M216,0)</f>
        <v>3000</v>
      </c>
      <c r="D216" s="114">
        <f t="shared" si="7"/>
        <v>215</v>
      </c>
      <c r="E216" s="114" t="str">
        <f t="shared" si="6"/>
        <v>INSERT INTO PRECIOS (FECHA_INICIO, FECHA_FIN,PRECIO,ID_PRODUCTO) VALUES ( TO_DATE('01-01-2025','DD-MM-YYYY'), TO_DATE('31-12-2025','DD-MM-YYYY'),3000,215);</v>
      </c>
    </row>
    <row r="217" spans="1:5">
      <c r="A217" s="136" t="s">
        <v>2153</v>
      </c>
      <c r="B217" s="136" t="s">
        <v>2154</v>
      </c>
      <c r="C217" s="137">
        <f>ROUND(Precios!M217,0)</f>
        <v>5000</v>
      </c>
      <c r="D217" s="114">
        <f t="shared" si="7"/>
        <v>216</v>
      </c>
      <c r="E217" s="114" t="str">
        <f t="shared" si="6"/>
        <v>INSERT INTO PRECIOS (FECHA_INICIO, FECHA_FIN,PRECIO,ID_PRODUCTO) VALUES ( TO_DATE('01-01-2025','DD-MM-YYYY'), TO_DATE('31-12-2025','DD-MM-YYYY'),5000,216);</v>
      </c>
    </row>
    <row r="218" spans="1:5">
      <c r="A218" s="136" t="s">
        <v>2153</v>
      </c>
      <c r="B218" s="136" t="s">
        <v>2154</v>
      </c>
      <c r="C218" s="137">
        <f>ROUND(Precios!M218,0)</f>
        <v>3500</v>
      </c>
      <c r="D218" s="114">
        <f t="shared" si="7"/>
        <v>217</v>
      </c>
      <c r="E218" s="114" t="str">
        <f t="shared" si="6"/>
        <v>INSERT INTO PRECIOS (FECHA_INICIO, FECHA_FIN,PRECIO,ID_PRODUCTO) VALUES ( TO_DATE('01-01-2025','DD-MM-YYYY'), TO_DATE('31-12-2025','DD-MM-YYYY'),3500,217);</v>
      </c>
    </row>
    <row r="219" spans="1:5">
      <c r="A219" s="136" t="s">
        <v>2153</v>
      </c>
      <c r="B219" s="136" t="s">
        <v>2154</v>
      </c>
      <c r="C219" s="137">
        <f>ROUND(Precios!M219,0)</f>
        <v>6500</v>
      </c>
      <c r="D219" s="114">
        <f t="shared" si="7"/>
        <v>218</v>
      </c>
      <c r="E219" s="114" t="str">
        <f t="shared" si="6"/>
        <v>INSERT INTO PRECIOS (FECHA_INICIO, FECHA_FIN,PRECIO,ID_PRODUCTO) VALUES ( TO_DATE('01-01-2025','DD-MM-YYYY'), TO_DATE('31-12-2025','DD-MM-YYYY'),6500,218);</v>
      </c>
    </row>
    <row r="220" spans="1:5">
      <c r="A220" s="136" t="s">
        <v>2153</v>
      </c>
      <c r="B220" s="136" t="s">
        <v>2154</v>
      </c>
      <c r="C220" s="137">
        <f>ROUND(Precios!M220,0)</f>
        <v>8000</v>
      </c>
      <c r="D220" s="114">
        <f t="shared" si="7"/>
        <v>219</v>
      </c>
      <c r="E220" s="114" t="str">
        <f t="shared" si="6"/>
        <v>INSERT INTO PRECIOS (FECHA_INICIO, FECHA_FIN,PRECIO,ID_PRODUCTO) VALUES ( TO_DATE('01-01-2025','DD-MM-YYYY'), TO_DATE('31-12-2025','DD-MM-YYYY'),8000,219);</v>
      </c>
    </row>
    <row r="221" spans="1:5">
      <c r="A221" s="136" t="s">
        <v>2153</v>
      </c>
      <c r="B221" s="136" t="s">
        <v>2154</v>
      </c>
      <c r="C221" s="137">
        <f>ROUND(Precios!M221,0)</f>
        <v>3500</v>
      </c>
      <c r="D221" s="114">
        <f t="shared" si="7"/>
        <v>220</v>
      </c>
      <c r="E221" s="114" t="str">
        <f t="shared" si="6"/>
        <v>INSERT INTO PRECIOS (FECHA_INICIO, FECHA_FIN,PRECIO,ID_PRODUCTO) VALUES ( TO_DATE('01-01-2025','DD-MM-YYYY'), TO_DATE('31-12-2025','DD-MM-YYYY'),3500,220);</v>
      </c>
    </row>
    <row r="222" spans="1:5">
      <c r="A222" s="136" t="s">
        <v>2153</v>
      </c>
      <c r="B222" s="136" t="s">
        <v>2154</v>
      </c>
      <c r="C222" s="137">
        <f>ROUND(Precios!M222,0)</f>
        <v>5500</v>
      </c>
      <c r="D222" s="114">
        <f t="shared" si="7"/>
        <v>221</v>
      </c>
      <c r="E222" s="114" t="str">
        <f t="shared" si="6"/>
        <v>INSERT INTO PRECIOS (FECHA_INICIO, FECHA_FIN,PRECIO,ID_PRODUCTO) VALUES ( TO_DATE('01-01-2025','DD-MM-YYYY'), TO_DATE('31-12-2025','DD-MM-YYYY'),5500,221);</v>
      </c>
    </row>
    <row r="223" spans="1:5">
      <c r="A223" s="136" t="s">
        <v>2153</v>
      </c>
      <c r="B223" s="136" t="s">
        <v>2154</v>
      </c>
      <c r="C223" s="137">
        <f>ROUND(Precios!M223,0)</f>
        <v>32000</v>
      </c>
      <c r="D223" s="114">
        <f t="shared" si="7"/>
        <v>222</v>
      </c>
      <c r="E223" s="114" t="str">
        <f t="shared" si="6"/>
        <v>INSERT INTO PRECIOS (FECHA_INICIO, FECHA_FIN,PRECIO,ID_PRODUCTO) VALUES ( TO_DATE('01-01-2025','DD-MM-YYYY'), TO_DATE('31-12-2025','DD-MM-YYYY'),32000,222);</v>
      </c>
    </row>
    <row r="224" spans="1:5">
      <c r="A224" s="136" t="s">
        <v>2153</v>
      </c>
      <c r="B224" s="136" t="s">
        <v>2154</v>
      </c>
      <c r="C224" s="137">
        <f>ROUND(Precios!M224,0)</f>
        <v>24000</v>
      </c>
      <c r="D224" s="114">
        <f t="shared" si="7"/>
        <v>223</v>
      </c>
      <c r="E224" s="114" t="str">
        <f t="shared" si="6"/>
        <v>INSERT INTO PRECIOS (FECHA_INICIO, FECHA_FIN,PRECIO,ID_PRODUCTO) VALUES ( TO_DATE('01-01-2025','DD-MM-YYYY'), TO_DATE('31-12-2025','DD-MM-YYYY'),24000,223);</v>
      </c>
    </row>
    <row r="225" spans="1:5">
      <c r="A225" s="136" t="s">
        <v>2153</v>
      </c>
      <c r="B225" s="136" t="s">
        <v>2154</v>
      </c>
      <c r="C225" s="137">
        <f>ROUND(Precios!M225,0)</f>
        <v>4550</v>
      </c>
      <c r="D225" s="114">
        <f t="shared" si="7"/>
        <v>224</v>
      </c>
      <c r="E225" s="114" t="str">
        <f t="shared" si="6"/>
        <v>INSERT INTO PRECIOS (FECHA_INICIO, FECHA_FIN,PRECIO,ID_PRODUCTO) VALUES ( TO_DATE('01-01-2025','DD-MM-YYYY'), TO_DATE('31-12-2025','DD-MM-YYYY'),4550,224);</v>
      </c>
    </row>
    <row r="226" spans="1:5">
      <c r="A226" s="136" t="s">
        <v>2153</v>
      </c>
      <c r="B226" s="136" t="s">
        <v>2154</v>
      </c>
      <c r="C226" s="137">
        <f>ROUND(Precios!M226,0)</f>
        <v>19500</v>
      </c>
      <c r="D226" s="114">
        <f t="shared" si="7"/>
        <v>225</v>
      </c>
      <c r="E226" s="114" t="str">
        <f t="shared" si="6"/>
        <v>INSERT INTO PRECIOS (FECHA_INICIO, FECHA_FIN,PRECIO,ID_PRODUCTO) VALUES ( TO_DATE('01-01-2025','DD-MM-YYYY'), TO_DATE('31-12-2025','DD-MM-YYYY'),19500,225);</v>
      </c>
    </row>
    <row r="227" spans="1:5">
      <c r="A227" s="136" t="s">
        <v>2153</v>
      </c>
      <c r="B227" s="136" t="s">
        <v>2154</v>
      </c>
      <c r="C227" s="137">
        <f>ROUND(Precios!M227,0)</f>
        <v>22500</v>
      </c>
      <c r="D227" s="114">
        <f t="shared" si="7"/>
        <v>226</v>
      </c>
      <c r="E227" s="114" t="str">
        <f t="shared" si="6"/>
        <v>INSERT INTO PRECIOS (FECHA_INICIO, FECHA_FIN,PRECIO,ID_PRODUCTO) VALUES ( TO_DATE('01-01-2025','DD-MM-YYYY'), TO_DATE('31-12-2025','DD-MM-YYYY'),22500,226);</v>
      </c>
    </row>
    <row r="228" spans="1:5">
      <c r="A228" s="136" t="s">
        <v>2153</v>
      </c>
      <c r="B228" s="136" t="s">
        <v>2154</v>
      </c>
      <c r="C228" s="137">
        <f>ROUND(Precios!M228,0)</f>
        <v>13500</v>
      </c>
      <c r="D228" s="114">
        <f t="shared" si="7"/>
        <v>227</v>
      </c>
      <c r="E228" s="114" t="str">
        <f t="shared" si="6"/>
        <v>INSERT INTO PRECIOS (FECHA_INICIO, FECHA_FIN,PRECIO,ID_PRODUCTO) VALUES ( TO_DATE('01-01-2025','DD-MM-YYYY'), TO_DATE('31-12-2025','DD-MM-YYYY'),13500,227);</v>
      </c>
    </row>
    <row r="229" spans="1:5">
      <c r="A229" s="136" t="s">
        <v>2153</v>
      </c>
      <c r="B229" s="136" t="s">
        <v>2154</v>
      </c>
      <c r="C229" s="137">
        <f>ROUND(Precios!M229,0)</f>
        <v>21500</v>
      </c>
      <c r="D229" s="114">
        <f t="shared" si="7"/>
        <v>228</v>
      </c>
      <c r="E229" s="114" t="str">
        <f t="shared" si="6"/>
        <v>INSERT INTO PRECIOS (FECHA_INICIO, FECHA_FIN,PRECIO,ID_PRODUCTO) VALUES ( TO_DATE('01-01-2025','DD-MM-YYYY'), TO_DATE('31-12-2025','DD-MM-YYYY'),21500,228);</v>
      </c>
    </row>
    <row r="230" spans="1:5">
      <c r="A230" s="136" t="s">
        <v>2153</v>
      </c>
      <c r="B230" s="136" t="s">
        <v>2154</v>
      </c>
      <c r="C230" s="137">
        <f>ROUND(Precios!M230,0)</f>
        <v>18500</v>
      </c>
      <c r="D230" s="114">
        <f t="shared" si="7"/>
        <v>229</v>
      </c>
      <c r="E230" s="114" t="str">
        <f t="shared" si="6"/>
        <v>INSERT INTO PRECIOS (FECHA_INICIO, FECHA_FIN,PRECIO,ID_PRODUCTO) VALUES ( TO_DATE('01-01-2025','DD-MM-YYYY'), TO_DATE('31-12-2025','DD-MM-YYYY'),18500,229);</v>
      </c>
    </row>
    <row r="231" spans="1:5">
      <c r="A231" s="136" t="s">
        <v>2153</v>
      </c>
      <c r="B231" s="136" t="s">
        <v>2154</v>
      </c>
      <c r="C231" s="137">
        <f>ROUND(Precios!M231,0)</f>
        <v>16500</v>
      </c>
      <c r="D231" s="114">
        <f t="shared" si="7"/>
        <v>230</v>
      </c>
      <c r="E231" s="114" t="str">
        <f t="shared" si="6"/>
        <v>INSERT INTO PRECIOS (FECHA_INICIO, FECHA_FIN,PRECIO,ID_PRODUCTO) VALUES ( TO_DATE('01-01-2025','DD-MM-YYYY'), TO_DATE('31-12-2025','DD-MM-YYYY'),16500,230);</v>
      </c>
    </row>
    <row r="232" spans="1:5">
      <c r="A232" s="136" t="s">
        <v>2153</v>
      </c>
      <c r="B232" s="136" t="s">
        <v>2154</v>
      </c>
      <c r="C232" s="137">
        <f>ROUND(Precios!M232,0)</f>
        <v>20900</v>
      </c>
      <c r="D232" s="114">
        <f t="shared" si="7"/>
        <v>231</v>
      </c>
      <c r="E232" s="114" t="str">
        <f t="shared" si="6"/>
        <v>INSERT INTO PRECIOS (FECHA_INICIO, FECHA_FIN,PRECIO,ID_PRODUCTO) VALUES ( TO_DATE('01-01-2025','DD-MM-YYYY'), TO_DATE('31-12-2025','DD-MM-YYYY'),20900,231);</v>
      </c>
    </row>
    <row r="233" spans="1:5">
      <c r="A233" s="136" t="s">
        <v>2153</v>
      </c>
      <c r="B233" s="136" t="s">
        <v>2154</v>
      </c>
      <c r="C233" s="137">
        <f>ROUND(Precios!M233,0)</f>
        <v>12500</v>
      </c>
      <c r="D233" s="114">
        <f t="shared" si="7"/>
        <v>232</v>
      </c>
      <c r="E233" s="114" t="str">
        <f t="shared" si="6"/>
        <v>INSERT INTO PRECIOS (FECHA_INICIO, FECHA_FIN,PRECIO,ID_PRODUCTO) VALUES ( TO_DATE('01-01-2025','DD-MM-YYYY'), TO_DATE('31-12-2025','DD-MM-YYYY'),12500,232);</v>
      </c>
    </row>
    <row r="234" spans="1:5">
      <c r="A234" s="136" t="s">
        <v>2153</v>
      </c>
      <c r="B234" s="136" t="s">
        <v>2154</v>
      </c>
      <c r="C234" s="137">
        <f>ROUND(Precios!M234,0)</f>
        <v>16000</v>
      </c>
      <c r="D234" s="114">
        <f t="shared" si="7"/>
        <v>233</v>
      </c>
      <c r="E234" s="114" t="str">
        <f t="shared" si="6"/>
        <v>INSERT INTO PRECIOS (FECHA_INICIO, FECHA_FIN,PRECIO,ID_PRODUCTO) VALUES ( TO_DATE('01-01-2025','DD-MM-YYYY'), TO_DATE('31-12-2025','DD-MM-YYYY'),16000,233);</v>
      </c>
    </row>
    <row r="235" spans="1:5">
      <c r="A235" s="136" t="s">
        <v>2153</v>
      </c>
      <c r="B235" s="136" t="s">
        <v>2154</v>
      </c>
      <c r="C235" s="137">
        <f>ROUND(Precios!M235,0)</f>
        <v>19500</v>
      </c>
      <c r="D235" s="114">
        <f t="shared" si="7"/>
        <v>234</v>
      </c>
      <c r="E235" s="114" t="str">
        <f t="shared" si="6"/>
        <v>INSERT INTO PRECIOS (FECHA_INICIO, FECHA_FIN,PRECIO,ID_PRODUCTO) VALUES ( TO_DATE('01-01-2025','DD-MM-YYYY'), TO_DATE('31-12-2025','DD-MM-YYYY'),19500,234);</v>
      </c>
    </row>
    <row r="236" spans="1:5">
      <c r="A236" s="136" t="s">
        <v>2153</v>
      </c>
      <c r="B236" s="136" t="s">
        <v>2154</v>
      </c>
      <c r="C236" s="137">
        <f>ROUND(Precios!M236,0)</f>
        <v>15500</v>
      </c>
      <c r="D236" s="114">
        <f t="shared" si="7"/>
        <v>235</v>
      </c>
      <c r="E236" s="114" t="str">
        <f t="shared" si="6"/>
        <v>INSERT INTO PRECIOS (FECHA_INICIO, FECHA_FIN,PRECIO,ID_PRODUCTO) VALUES ( TO_DATE('01-01-2025','DD-MM-YYYY'), TO_DATE('31-12-2025','DD-MM-YYYY'),15500,235);</v>
      </c>
    </row>
    <row r="237" spans="1:5">
      <c r="A237" s="136" t="s">
        <v>2153</v>
      </c>
      <c r="B237" s="136" t="s">
        <v>2154</v>
      </c>
      <c r="C237" s="137">
        <f>ROUND(Precios!M237,0)</f>
        <v>19900</v>
      </c>
      <c r="D237" s="114">
        <f t="shared" si="7"/>
        <v>236</v>
      </c>
      <c r="E237" s="114" t="str">
        <f t="shared" si="6"/>
        <v>INSERT INTO PRECIOS (FECHA_INICIO, FECHA_FIN,PRECIO,ID_PRODUCTO) VALUES ( TO_DATE('01-01-2025','DD-MM-YYYY'), TO_DATE('31-12-2025','DD-MM-YYYY'),19900,236);</v>
      </c>
    </row>
    <row r="238" spans="1:5">
      <c r="A238" s="136" t="s">
        <v>2153</v>
      </c>
      <c r="B238" s="136" t="s">
        <v>2154</v>
      </c>
      <c r="C238" s="137">
        <f>ROUND(Precios!M238,0)</f>
        <v>5200</v>
      </c>
      <c r="D238" s="114">
        <f t="shared" si="7"/>
        <v>237</v>
      </c>
      <c r="E238" s="114" t="str">
        <f t="shared" si="6"/>
        <v>INSERT INTO PRECIOS (FECHA_INICIO, FECHA_FIN,PRECIO,ID_PRODUCTO) VALUES ( TO_DATE('01-01-2025','DD-MM-YYYY'), TO_DATE('31-12-2025','DD-MM-YYYY'),5200,237);</v>
      </c>
    </row>
    <row r="239" spans="1:5">
      <c r="A239" s="136" t="s">
        <v>2153</v>
      </c>
      <c r="B239" s="136" t="s">
        <v>2154</v>
      </c>
      <c r="C239" s="137">
        <f>ROUND(Precios!M239,0)</f>
        <v>9900</v>
      </c>
      <c r="D239" s="114">
        <f t="shared" si="7"/>
        <v>238</v>
      </c>
      <c r="E239" s="114" t="str">
        <f t="shared" si="6"/>
        <v>INSERT INTO PRECIOS (FECHA_INICIO, FECHA_FIN,PRECIO,ID_PRODUCTO) VALUES ( TO_DATE('01-01-2025','DD-MM-YYYY'), TO_DATE('31-12-2025','DD-MM-YYYY'),9900,238);</v>
      </c>
    </row>
    <row r="240" spans="1:5">
      <c r="A240" s="136" t="s">
        <v>2153</v>
      </c>
      <c r="B240" s="136" t="s">
        <v>2154</v>
      </c>
      <c r="C240" s="137">
        <f>ROUND(Precios!M240,0)</f>
        <v>4100</v>
      </c>
      <c r="D240" s="114">
        <f t="shared" si="7"/>
        <v>239</v>
      </c>
      <c r="E240" s="114" t="str">
        <f t="shared" si="6"/>
        <v>INSERT INTO PRECIOS (FECHA_INICIO, FECHA_FIN,PRECIO,ID_PRODUCTO) VALUES ( TO_DATE('01-01-2025','DD-MM-YYYY'), TO_DATE('31-12-2025','DD-MM-YYYY'),4100,239);</v>
      </c>
    </row>
    <row r="241" spans="1:5">
      <c r="A241" s="136" t="s">
        <v>2153</v>
      </c>
      <c r="B241" s="136" t="s">
        <v>2154</v>
      </c>
      <c r="C241" s="137">
        <f>ROUND(Precios!M241,0)</f>
        <v>9200</v>
      </c>
      <c r="D241" s="114">
        <f t="shared" si="7"/>
        <v>240</v>
      </c>
      <c r="E241" s="114" t="str">
        <f t="shared" si="6"/>
        <v>INSERT INTO PRECIOS (FECHA_INICIO, FECHA_FIN,PRECIO,ID_PRODUCTO) VALUES ( TO_DATE('01-01-2025','DD-MM-YYYY'), TO_DATE('31-12-2025','DD-MM-YYYY'),9200,240);</v>
      </c>
    </row>
    <row r="242" spans="1:5">
      <c r="A242" s="136" t="s">
        <v>2153</v>
      </c>
      <c r="B242" s="136" t="s">
        <v>2154</v>
      </c>
      <c r="C242" s="137">
        <f>ROUND(Precios!M242,0)</f>
        <v>4000</v>
      </c>
      <c r="D242" s="114">
        <f t="shared" si="7"/>
        <v>241</v>
      </c>
      <c r="E242" s="114" t="str">
        <f t="shared" si="6"/>
        <v>INSERT INTO PRECIOS (FECHA_INICIO, FECHA_FIN,PRECIO,ID_PRODUCTO) VALUES ( TO_DATE('01-01-2025','DD-MM-YYYY'), TO_DATE('31-12-2025','DD-MM-YYYY'),4000,241);</v>
      </c>
    </row>
    <row r="243" spans="1:5">
      <c r="A243" s="136" t="s">
        <v>2153</v>
      </c>
      <c r="B243" s="136" t="s">
        <v>2154</v>
      </c>
      <c r="C243" s="137">
        <f>ROUND(Precios!M243,0)</f>
        <v>7000</v>
      </c>
      <c r="D243" s="114">
        <f t="shared" si="7"/>
        <v>242</v>
      </c>
      <c r="E243" s="114" t="str">
        <f t="shared" si="6"/>
        <v>INSERT INTO PRECIOS (FECHA_INICIO, FECHA_FIN,PRECIO,ID_PRODUCTO) VALUES ( TO_DATE('01-01-2025','DD-MM-YYYY'), TO_DATE('31-12-2025','DD-MM-YYYY'),7000,242);</v>
      </c>
    </row>
    <row r="244" spans="1:5">
      <c r="A244" s="136" t="s">
        <v>2153</v>
      </c>
      <c r="B244" s="136" t="s">
        <v>2154</v>
      </c>
      <c r="C244" s="137">
        <f>ROUND(Precios!M244,0)</f>
        <v>7000</v>
      </c>
      <c r="D244" s="114">
        <f t="shared" si="7"/>
        <v>243</v>
      </c>
      <c r="E244" s="114" t="str">
        <f t="shared" si="6"/>
        <v>INSERT INTO PRECIOS (FECHA_INICIO, FECHA_FIN,PRECIO,ID_PRODUCTO) VALUES ( TO_DATE('01-01-2025','DD-MM-YYYY'), TO_DATE('31-12-2025','DD-MM-YYYY'),7000,243);</v>
      </c>
    </row>
    <row r="245" spans="1:5">
      <c r="A245" s="136" t="s">
        <v>2153</v>
      </c>
      <c r="B245" s="136" t="s">
        <v>2154</v>
      </c>
      <c r="C245" s="137">
        <f>ROUND(Precios!M245,0)</f>
        <v>14900</v>
      </c>
      <c r="D245" s="114">
        <f t="shared" si="7"/>
        <v>244</v>
      </c>
      <c r="E245" s="114" t="str">
        <f t="shared" si="6"/>
        <v>INSERT INTO PRECIOS (FECHA_INICIO, FECHA_FIN,PRECIO,ID_PRODUCTO) VALUES ( TO_DATE('01-01-2025','DD-MM-YYYY'), TO_DATE('31-12-2025','DD-MM-YYYY'),14900,244);</v>
      </c>
    </row>
    <row r="246" spans="1:5">
      <c r="A246" s="136" t="s">
        <v>2153</v>
      </c>
      <c r="B246" s="136" t="s">
        <v>2154</v>
      </c>
      <c r="C246" s="137">
        <f>ROUND(Precios!M246,0)</f>
        <v>1800</v>
      </c>
      <c r="D246" s="114">
        <f t="shared" si="7"/>
        <v>245</v>
      </c>
      <c r="E246" s="114" t="str">
        <f t="shared" si="6"/>
        <v>INSERT INTO PRECIOS (FECHA_INICIO, FECHA_FIN,PRECIO,ID_PRODUCTO) VALUES ( TO_DATE('01-01-2025','DD-MM-YYYY'), TO_DATE('31-12-2025','DD-MM-YYYY'),1800,245);</v>
      </c>
    </row>
    <row r="247" spans="1:5">
      <c r="A247" s="136" t="s">
        <v>2153</v>
      </c>
      <c r="B247" s="136" t="s">
        <v>2154</v>
      </c>
      <c r="C247" s="137">
        <f>ROUND(Precios!M247,0)</f>
        <v>3000</v>
      </c>
      <c r="D247" s="114">
        <f t="shared" si="7"/>
        <v>246</v>
      </c>
      <c r="E247" s="114" t="str">
        <f t="shared" si="6"/>
        <v>INSERT INTO PRECIOS (FECHA_INICIO, FECHA_FIN,PRECIO,ID_PRODUCTO) VALUES ( TO_DATE('01-01-2025','DD-MM-YYYY'), TO_DATE('31-12-2025','DD-MM-YYYY'),3000,246);</v>
      </c>
    </row>
    <row r="248" spans="1:5">
      <c r="A248" s="136" t="s">
        <v>2153</v>
      </c>
      <c r="B248" s="136" t="s">
        <v>2154</v>
      </c>
      <c r="C248" s="137">
        <f>ROUND(Precios!M248,0)</f>
        <v>2800</v>
      </c>
      <c r="D248" s="114">
        <f t="shared" si="7"/>
        <v>247</v>
      </c>
      <c r="E248" s="114" t="str">
        <f t="shared" si="6"/>
        <v>INSERT INTO PRECIOS (FECHA_INICIO, FECHA_FIN,PRECIO,ID_PRODUCTO) VALUES ( TO_DATE('01-01-2025','DD-MM-YYYY'), TO_DATE('31-12-2025','DD-MM-YYYY'),2800,247);</v>
      </c>
    </row>
    <row r="249" spans="1:5">
      <c r="A249" s="136" t="s">
        <v>2153</v>
      </c>
      <c r="B249" s="136" t="s">
        <v>2154</v>
      </c>
      <c r="C249" s="137">
        <f>ROUND(Precios!M249,0)</f>
        <v>4500</v>
      </c>
      <c r="D249" s="114">
        <f t="shared" si="7"/>
        <v>248</v>
      </c>
      <c r="E249" s="114" t="str">
        <f t="shared" si="6"/>
        <v>INSERT INTO PRECIOS (FECHA_INICIO, FECHA_FIN,PRECIO,ID_PRODUCTO) VALUES ( TO_DATE('01-01-2025','DD-MM-YYYY'), TO_DATE('31-12-2025','DD-MM-YYYY'),4500,248);</v>
      </c>
    </row>
    <row r="250" spans="1:5">
      <c r="A250" s="136" t="s">
        <v>2153</v>
      </c>
      <c r="B250" s="136" t="s">
        <v>2154</v>
      </c>
      <c r="C250" s="137">
        <f>ROUND(Precios!M250,0)</f>
        <v>4000</v>
      </c>
      <c r="D250" s="114">
        <f t="shared" si="7"/>
        <v>249</v>
      </c>
      <c r="E250" s="114" t="str">
        <f t="shared" si="6"/>
        <v>INSERT INTO PRECIOS (FECHA_INICIO, FECHA_FIN,PRECIO,ID_PRODUCTO) VALUES ( TO_DATE('01-01-2025','DD-MM-YYYY'), TO_DATE('31-12-2025','DD-MM-YYYY'),4000,249);</v>
      </c>
    </row>
    <row r="251" spans="1:5">
      <c r="A251" s="136" t="s">
        <v>2153</v>
      </c>
      <c r="B251" s="136" t="s">
        <v>2154</v>
      </c>
      <c r="C251" s="137">
        <f>ROUND(Precios!M251,0)</f>
        <v>6800</v>
      </c>
      <c r="D251" s="114">
        <f t="shared" si="7"/>
        <v>250</v>
      </c>
      <c r="E251" s="114" t="str">
        <f t="shared" si="6"/>
        <v>INSERT INTO PRECIOS (FECHA_INICIO, FECHA_FIN,PRECIO,ID_PRODUCTO) VALUES ( TO_DATE('01-01-2025','DD-MM-YYYY'), TO_DATE('31-12-2025','DD-MM-YYYY'),6800,250);</v>
      </c>
    </row>
    <row r="252" spans="1:5">
      <c r="A252" s="136" t="s">
        <v>2153</v>
      </c>
      <c r="B252" s="136" t="s">
        <v>2154</v>
      </c>
      <c r="C252" s="137">
        <f>ROUND(Precios!M252,0)</f>
        <v>7000</v>
      </c>
      <c r="D252" s="114">
        <f t="shared" si="7"/>
        <v>251</v>
      </c>
      <c r="E252" s="114" t="str">
        <f t="shared" si="6"/>
        <v>INSERT INTO PRECIOS (FECHA_INICIO, FECHA_FIN,PRECIO,ID_PRODUCTO) VALUES ( TO_DATE('01-01-2025','DD-MM-YYYY'), TO_DATE('31-12-2025','DD-MM-YYYY'),7000,251);</v>
      </c>
    </row>
    <row r="253" spans="1:5">
      <c r="A253" s="136" t="s">
        <v>2153</v>
      </c>
      <c r="B253" s="136" t="s">
        <v>2154</v>
      </c>
      <c r="C253" s="137">
        <f>ROUND(Precios!M253,0)</f>
        <v>4800</v>
      </c>
      <c r="D253" s="114">
        <f t="shared" si="7"/>
        <v>252</v>
      </c>
      <c r="E253" s="114" t="str">
        <f t="shared" si="6"/>
        <v>INSERT INTO PRECIOS (FECHA_INICIO, FECHA_FIN,PRECIO,ID_PRODUCTO) VALUES ( TO_DATE('01-01-2025','DD-MM-YYYY'), TO_DATE('31-12-2025','DD-MM-YYYY'),4800,252);</v>
      </c>
    </row>
    <row r="254" spans="1:5">
      <c r="A254" s="136" t="s">
        <v>2153</v>
      </c>
      <c r="B254" s="136" t="s">
        <v>2154</v>
      </c>
      <c r="C254" s="137">
        <f>ROUND(Precios!M254,0)</f>
        <v>8000</v>
      </c>
      <c r="D254" s="114">
        <f t="shared" si="7"/>
        <v>253</v>
      </c>
      <c r="E254" s="114" t="str">
        <f t="shared" si="6"/>
        <v>INSERT INTO PRECIOS (FECHA_INICIO, FECHA_FIN,PRECIO,ID_PRODUCTO) VALUES ( TO_DATE('01-01-2025','DD-MM-YYYY'), TO_DATE('31-12-2025','DD-MM-YYYY'),8000,253);</v>
      </c>
    </row>
    <row r="255" spans="1:5">
      <c r="A255" s="136" t="s">
        <v>2153</v>
      </c>
      <c r="B255" s="136" t="s">
        <v>2154</v>
      </c>
      <c r="C255" s="137">
        <f>ROUND(Precios!M255,0)</f>
        <v>2000</v>
      </c>
      <c r="D255" s="114">
        <f t="shared" si="7"/>
        <v>254</v>
      </c>
      <c r="E255" s="114" t="str">
        <f t="shared" si="6"/>
        <v>INSERT INTO PRECIOS (FECHA_INICIO, FECHA_FIN,PRECIO,ID_PRODUCTO) VALUES ( TO_DATE('01-01-2025','DD-MM-YYYY'), TO_DATE('31-12-2025','DD-MM-YYYY'),2000,254);</v>
      </c>
    </row>
    <row r="256" spans="1:5">
      <c r="A256" s="136" t="s">
        <v>2153</v>
      </c>
      <c r="B256" s="136" t="s">
        <v>2154</v>
      </c>
      <c r="C256" s="137">
        <f>ROUND(Precios!M256,0)</f>
        <v>4000</v>
      </c>
      <c r="D256" s="114">
        <f t="shared" si="7"/>
        <v>255</v>
      </c>
      <c r="E256" s="114" t="str">
        <f t="shared" si="6"/>
        <v>INSERT INTO PRECIOS (FECHA_INICIO, FECHA_FIN,PRECIO,ID_PRODUCTO) VALUES ( TO_DATE('01-01-2025','DD-MM-YYYY'), TO_DATE('31-12-2025','DD-MM-YYYY'),4000,255);</v>
      </c>
    </row>
    <row r="257" spans="1:5">
      <c r="A257" s="136" t="s">
        <v>2153</v>
      </c>
      <c r="B257" s="136" t="s">
        <v>2154</v>
      </c>
      <c r="C257" s="137">
        <f>ROUND(Precios!M257,0)</f>
        <v>3000</v>
      </c>
      <c r="D257" s="114">
        <f t="shared" si="7"/>
        <v>256</v>
      </c>
      <c r="E257" s="114" t="str">
        <f t="shared" si="6"/>
        <v>INSERT INTO PRECIOS (FECHA_INICIO, FECHA_FIN,PRECIO,ID_PRODUCTO) VALUES ( TO_DATE('01-01-2025','DD-MM-YYYY'), TO_DATE('31-12-2025','DD-MM-YYYY'),3000,256);</v>
      </c>
    </row>
    <row r="258" spans="1:5">
      <c r="A258" s="136" t="s">
        <v>2153</v>
      </c>
      <c r="B258" s="136" t="s">
        <v>2154</v>
      </c>
      <c r="C258" s="137">
        <f>ROUND(Precios!M258,0)</f>
        <v>14200</v>
      </c>
      <c r="D258" s="114">
        <f t="shared" si="7"/>
        <v>257</v>
      </c>
      <c r="E258" s="114" t="str">
        <f t="shared" si="6"/>
        <v>INSERT INTO PRECIOS (FECHA_INICIO, FECHA_FIN,PRECIO,ID_PRODUCTO) VALUES ( TO_DATE('01-01-2025','DD-MM-YYYY'), TO_DATE('31-12-2025','DD-MM-YYYY'),14200,257);</v>
      </c>
    </row>
    <row r="259" spans="1:5">
      <c r="A259" s="136" t="s">
        <v>2153</v>
      </c>
      <c r="B259" s="136" t="s">
        <v>2154</v>
      </c>
      <c r="C259" s="137">
        <f>ROUND(Precios!M259,0)</f>
        <v>4500</v>
      </c>
      <c r="D259" s="114">
        <f t="shared" si="7"/>
        <v>258</v>
      </c>
      <c r="E259" s="114" t="str">
        <f t="shared" ref="E259:E322" si="8">CONCATENATE("INSERT INTO PRECIOS (FECHA_INICIO, FECHA_FIN,PRECIO,ID_PRODUCTO) VALUES ( TO_DATE(","'",A259,"'",",'DD-MM-YYYY')",", TO_DATE(","'",B259,"'",",'DD-MM-YYYY')",",",C259,",",D259,");")</f>
        <v>INSERT INTO PRECIOS (FECHA_INICIO, FECHA_FIN,PRECIO,ID_PRODUCTO) VALUES ( TO_DATE('01-01-2025','DD-MM-YYYY'), TO_DATE('31-12-2025','DD-MM-YYYY'),4500,258);</v>
      </c>
    </row>
    <row r="260" spans="1:5">
      <c r="A260" s="136" t="s">
        <v>2153</v>
      </c>
      <c r="B260" s="136" t="s">
        <v>2154</v>
      </c>
      <c r="C260" s="137">
        <f>ROUND(Precios!M260,0)</f>
        <v>4500</v>
      </c>
      <c r="D260" s="114">
        <f t="shared" ref="D260:D323" si="9">D259+1</f>
        <v>259</v>
      </c>
      <c r="E260" s="114" t="str">
        <f t="shared" si="8"/>
        <v>INSERT INTO PRECIOS (FECHA_INICIO, FECHA_FIN,PRECIO,ID_PRODUCTO) VALUES ( TO_DATE('01-01-2025','DD-MM-YYYY'), TO_DATE('31-12-2025','DD-MM-YYYY'),4500,259);</v>
      </c>
    </row>
    <row r="261" spans="1:5">
      <c r="A261" s="136" t="s">
        <v>2153</v>
      </c>
      <c r="B261" s="136" t="s">
        <v>2154</v>
      </c>
      <c r="C261" s="137">
        <f>ROUND(Precios!M261,0)</f>
        <v>7800</v>
      </c>
      <c r="D261" s="114">
        <f t="shared" si="9"/>
        <v>260</v>
      </c>
      <c r="E261" s="114" t="str">
        <f t="shared" si="8"/>
        <v>INSERT INTO PRECIOS (FECHA_INICIO, FECHA_FIN,PRECIO,ID_PRODUCTO) VALUES ( TO_DATE('01-01-2025','DD-MM-YYYY'), TO_DATE('31-12-2025','DD-MM-YYYY'),7800,260);</v>
      </c>
    </row>
    <row r="262" spans="1:5">
      <c r="A262" s="136" t="s">
        <v>2153</v>
      </c>
      <c r="B262" s="136" t="s">
        <v>2154</v>
      </c>
      <c r="C262" s="137">
        <f>ROUND(Precios!M262,0)</f>
        <v>7000</v>
      </c>
      <c r="D262" s="114">
        <f t="shared" si="9"/>
        <v>261</v>
      </c>
      <c r="E262" s="114" t="str">
        <f t="shared" si="8"/>
        <v>INSERT INTO PRECIOS (FECHA_INICIO, FECHA_FIN,PRECIO,ID_PRODUCTO) VALUES ( TO_DATE('01-01-2025','DD-MM-YYYY'), TO_DATE('31-12-2025','DD-MM-YYYY'),7000,261);</v>
      </c>
    </row>
    <row r="263" spans="1:5">
      <c r="A263" s="136" t="s">
        <v>2153</v>
      </c>
      <c r="B263" s="136" t="s">
        <v>2154</v>
      </c>
      <c r="C263" s="137">
        <f>ROUND(Precios!M263,0)</f>
        <v>3200</v>
      </c>
      <c r="D263" s="114">
        <f t="shared" si="9"/>
        <v>262</v>
      </c>
      <c r="E263" s="114" t="str">
        <f t="shared" si="8"/>
        <v>INSERT INTO PRECIOS (FECHA_INICIO, FECHA_FIN,PRECIO,ID_PRODUCTO) VALUES ( TO_DATE('01-01-2025','DD-MM-YYYY'), TO_DATE('31-12-2025','DD-MM-YYYY'),3200,262);</v>
      </c>
    </row>
    <row r="264" spans="1:5">
      <c r="A264" s="136" t="s">
        <v>2153</v>
      </c>
      <c r="B264" s="136" t="s">
        <v>2154</v>
      </c>
      <c r="C264" s="137">
        <f>ROUND(Precios!M264,0)</f>
        <v>8000</v>
      </c>
      <c r="D264" s="114">
        <f t="shared" si="9"/>
        <v>263</v>
      </c>
      <c r="E264" s="114" t="str">
        <f t="shared" si="8"/>
        <v>INSERT INTO PRECIOS (FECHA_INICIO, FECHA_FIN,PRECIO,ID_PRODUCTO) VALUES ( TO_DATE('01-01-2025','DD-MM-YYYY'), TO_DATE('31-12-2025','DD-MM-YYYY'),8000,263);</v>
      </c>
    </row>
    <row r="265" spans="1:5">
      <c r="A265" s="136" t="s">
        <v>2153</v>
      </c>
      <c r="B265" s="136" t="s">
        <v>2154</v>
      </c>
      <c r="C265" s="137">
        <f>ROUND(Precios!M265,0)</f>
        <v>5000</v>
      </c>
      <c r="D265" s="114">
        <f t="shared" si="9"/>
        <v>264</v>
      </c>
      <c r="E265" s="114" t="str">
        <f t="shared" si="8"/>
        <v>INSERT INTO PRECIOS (FECHA_INICIO, FECHA_FIN,PRECIO,ID_PRODUCTO) VALUES ( TO_DATE('01-01-2025','DD-MM-YYYY'), TO_DATE('31-12-2025','DD-MM-YYYY'),5000,264);</v>
      </c>
    </row>
    <row r="266" spans="1:5">
      <c r="A266" s="136" t="s">
        <v>2153</v>
      </c>
      <c r="B266" s="136" t="s">
        <v>2154</v>
      </c>
      <c r="C266" s="137">
        <f>ROUND(Precios!M266,0)</f>
        <v>10000</v>
      </c>
      <c r="D266" s="114">
        <f t="shared" si="9"/>
        <v>265</v>
      </c>
      <c r="E266" s="114" t="str">
        <f t="shared" si="8"/>
        <v>INSERT INTO PRECIOS (FECHA_INICIO, FECHA_FIN,PRECIO,ID_PRODUCTO) VALUES ( TO_DATE('01-01-2025','DD-MM-YYYY'), TO_DATE('31-12-2025','DD-MM-YYYY'),10000,265);</v>
      </c>
    </row>
    <row r="267" spans="1:5">
      <c r="A267" s="136" t="s">
        <v>2153</v>
      </c>
      <c r="B267" s="136" t="s">
        <v>2154</v>
      </c>
      <c r="C267" s="137">
        <f>ROUND(Precios!M267,0)</f>
        <v>9500</v>
      </c>
      <c r="D267" s="114">
        <f t="shared" si="9"/>
        <v>266</v>
      </c>
      <c r="E267" s="114" t="str">
        <f t="shared" si="8"/>
        <v>INSERT INTO PRECIOS (FECHA_INICIO, FECHA_FIN,PRECIO,ID_PRODUCTO) VALUES ( TO_DATE('01-01-2025','DD-MM-YYYY'), TO_DATE('31-12-2025','DD-MM-YYYY'),9500,266);</v>
      </c>
    </row>
    <row r="268" spans="1:5">
      <c r="A268" s="136" t="s">
        <v>2153</v>
      </c>
      <c r="B268" s="136" t="s">
        <v>2154</v>
      </c>
      <c r="C268" s="137">
        <f>ROUND(Precios!M268,0)</f>
        <v>1600</v>
      </c>
      <c r="D268" s="114">
        <f t="shared" si="9"/>
        <v>267</v>
      </c>
      <c r="E268" s="114" t="str">
        <f t="shared" si="8"/>
        <v>INSERT INTO PRECIOS (FECHA_INICIO, FECHA_FIN,PRECIO,ID_PRODUCTO) VALUES ( TO_DATE('01-01-2025','DD-MM-YYYY'), TO_DATE('31-12-2025','DD-MM-YYYY'),1600,267);</v>
      </c>
    </row>
    <row r="269" spans="1:5">
      <c r="A269" s="136" t="s">
        <v>2153</v>
      </c>
      <c r="B269" s="136" t="s">
        <v>2154</v>
      </c>
      <c r="C269" s="137">
        <f>ROUND(Precios!M269,0)</f>
        <v>600</v>
      </c>
      <c r="D269" s="114">
        <f t="shared" si="9"/>
        <v>268</v>
      </c>
      <c r="E269" s="114" t="str">
        <f t="shared" si="8"/>
        <v>INSERT INTO PRECIOS (FECHA_INICIO, FECHA_FIN,PRECIO,ID_PRODUCTO) VALUES ( TO_DATE('01-01-2025','DD-MM-YYYY'), TO_DATE('31-12-2025','DD-MM-YYYY'),600,268);</v>
      </c>
    </row>
    <row r="270" spans="1:5">
      <c r="A270" s="136" t="s">
        <v>2153</v>
      </c>
      <c r="B270" s="136" t="s">
        <v>2154</v>
      </c>
      <c r="C270" s="137">
        <f>ROUND(Precios!M270,0)</f>
        <v>1600</v>
      </c>
      <c r="D270" s="114">
        <f t="shared" si="9"/>
        <v>269</v>
      </c>
      <c r="E270" s="114" t="str">
        <f t="shared" si="8"/>
        <v>INSERT INTO PRECIOS (FECHA_INICIO, FECHA_FIN,PRECIO,ID_PRODUCTO) VALUES ( TO_DATE('01-01-2025','DD-MM-YYYY'), TO_DATE('31-12-2025','DD-MM-YYYY'),1600,269);</v>
      </c>
    </row>
    <row r="271" spans="1:5">
      <c r="A271" s="136" t="s">
        <v>2153</v>
      </c>
      <c r="B271" s="136" t="s">
        <v>2154</v>
      </c>
      <c r="C271" s="137">
        <f>ROUND(Precios!M271,0)</f>
        <v>3000</v>
      </c>
      <c r="D271" s="114">
        <f t="shared" si="9"/>
        <v>270</v>
      </c>
      <c r="E271" s="114" t="str">
        <f t="shared" si="8"/>
        <v>INSERT INTO PRECIOS (FECHA_INICIO, FECHA_FIN,PRECIO,ID_PRODUCTO) VALUES ( TO_DATE('01-01-2025','DD-MM-YYYY'), TO_DATE('31-12-2025','DD-MM-YYYY'),3000,270);</v>
      </c>
    </row>
    <row r="272" spans="1:5">
      <c r="A272" s="136" t="s">
        <v>2153</v>
      </c>
      <c r="B272" s="136" t="s">
        <v>2154</v>
      </c>
      <c r="C272" s="137">
        <f>ROUND(Precios!M272,0)</f>
        <v>300</v>
      </c>
      <c r="D272" s="114">
        <f t="shared" si="9"/>
        <v>271</v>
      </c>
      <c r="E272" s="114" t="str">
        <f t="shared" si="8"/>
        <v>INSERT INTO PRECIOS (FECHA_INICIO, FECHA_FIN,PRECIO,ID_PRODUCTO) VALUES ( TO_DATE('01-01-2025','DD-MM-YYYY'), TO_DATE('31-12-2025','DD-MM-YYYY'),300,271);</v>
      </c>
    </row>
    <row r="273" spans="1:5">
      <c r="A273" s="136" t="s">
        <v>2153</v>
      </c>
      <c r="B273" s="136" t="s">
        <v>2154</v>
      </c>
      <c r="C273" s="137">
        <f>ROUND(Precios!M273,0)</f>
        <v>750</v>
      </c>
      <c r="D273" s="114">
        <f t="shared" si="9"/>
        <v>272</v>
      </c>
      <c r="E273" s="114" t="str">
        <f t="shared" si="8"/>
        <v>INSERT INTO PRECIOS (FECHA_INICIO, FECHA_FIN,PRECIO,ID_PRODUCTO) VALUES ( TO_DATE('01-01-2025','DD-MM-YYYY'), TO_DATE('31-12-2025','DD-MM-YYYY'),750,272);</v>
      </c>
    </row>
    <row r="274" spans="1:5">
      <c r="A274" s="136" t="s">
        <v>2153</v>
      </c>
      <c r="B274" s="136" t="s">
        <v>2154</v>
      </c>
      <c r="C274" s="137">
        <f>ROUND(Precios!M274,0)</f>
        <v>1300</v>
      </c>
      <c r="D274" s="114">
        <f t="shared" si="9"/>
        <v>273</v>
      </c>
      <c r="E274" s="114" t="str">
        <f t="shared" si="8"/>
        <v>INSERT INTO PRECIOS (FECHA_INICIO, FECHA_FIN,PRECIO,ID_PRODUCTO) VALUES ( TO_DATE('01-01-2025','DD-MM-YYYY'), TO_DATE('31-12-2025','DD-MM-YYYY'),1300,273);</v>
      </c>
    </row>
    <row r="275" spans="1:5">
      <c r="A275" s="136" t="s">
        <v>2153</v>
      </c>
      <c r="B275" s="136" t="s">
        <v>2154</v>
      </c>
      <c r="C275" s="137">
        <f>ROUND(Precios!M275,0)</f>
        <v>7500</v>
      </c>
      <c r="D275" s="114">
        <f t="shared" si="9"/>
        <v>274</v>
      </c>
      <c r="E275" s="114" t="str">
        <f t="shared" si="8"/>
        <v>INSERT INTO PRECIOS (FECHA_INICIO, FECHA_FIN,PRECIO,ID_PRODUCTO) VALUES ( TO_DATE('01-01-2025','DD-MM-YYYY'), TO_DATE('31-12-2025','DD-MM-YYYY'),7500,274);</v>
      </c>
    </row>
    <row r="276" spans="1:5">
      <c r="A276" s="136" t="s">
        <v>2153</v>
      </c>
      <c r="B276" s="136" t="s">
        <v>2154</v>
      </c>
      <c r="C276" s="137">
        <f>ROUND(Precios!M276,0)</f>
        <v>6900</v>
      </c>
      <c r="D276" s="114">
        <f t="shared" si="9"/>
        <v>275</v>
      </c>
      <c r="E276" s="114" t="str">
        <f t="shared" si="8"/>
        <v>INSERT INTO PRECIOS (FECHA_INICIO, FECHA_FIN,PRECIO,ID_PRODUCTO) VALUES ( TO_DATE('01-01-2025','DD-MM-YYYY'), TO_DATE('31-12-2025','DD-MM-YYYY'),6900,275);</v>
      </c>
    </row>
    <row r="277" spans="1:5">
      <c r="A277" s="136" t="s">
        <v>2153</v>
      </c>
      <c r="B277" s="136" t="s">
        <v>2154</v>
      </c>
      <c r="C277" s="137">
        <f>ROUND(Precios!M277,0)</f>
        <v>8000</v>
      </c>
      <c r="D277" s="114">
        <f t="shared" si="9"/>
        <v>276</v>
      </c>
      <c r="E277" s="114" t="str">
        <f t="shared" si="8"/>
        <v>INSERT INTO PRECIOS (FECHA_INICIO, FECHA_FIN,PRECIO,ID_PRODUCTO) VALUES ( TO_DATE('01-01-2025','DD-MM-YYYY'), TO_DATE('31-12-2025','DD-MM-YYYY'),8000,276);</v>
      </c>
    </row>
    <row r="278" spans="1:5">
      <c r="A278" s="136" t="s">
        <v>2153</v>
      </c>
      <c r="B278" s="136" t="s">
        <v>2154</v>
      </c>
      <c r="C278" s="137">
        <f>ROUND(Precios!M278,0)</f>
        <v>10000</v>
      </c>
      <c r="D278" s="114">
        <f t="shared" si="9"/>
        <v>277</v>
      </c>
      <c r="E278" s="114" t="str">
        <f t="shared" si="8"/>
        <v>INSERT INTO PRECIOS (FECHA_INICIO, FECHA_FIN,PRECIO,ID_PRODUCTO) VALUES ( TO_DATE('01-01-2025','DD-MM-YYYY'), TO_DATE('31-12-2025','DD-MM-YYYY'),10000,277);</v>
      </c>
    </row>
    <row r="279" spans="1:5">
      <c r="A279" s="136" t="s">
        <v>2153</v>
      </c>
      <c r="B279" s="136" t="s">
        <v>2154</v>
      </c>
      <c r="C279" s="137">
        <f>ROUND(Precios!M279,0)</f>
        <v>11500</v>
      </c>
      <c r="D279" s="114">
        <f t="shared" si="9"/>
        <v>278</v>
      </c>
      <c r="E279" s="114" t="str">
        <f t="shared" si="8"/>
        <v>INSERT INTO PRECIOS (FECHA_INICIO, FECHA_FIN,PRECIO,ID_PRODUCTO) VALUES ( TO_DATE('01-01-2025','DD-MM-YYYY'), TO_DATE('31-12-2025','DD-MM-YYYY'),11500,278);</v>
      </c>
    </row>
    <row r="280" spans="1:5">
      <c r="A280" s="136" t="s">
        <v>2153</v>
      </c>
      <c r="B280" s="136" t="s">
        <v>2154</v>
      </c>
      <c r="C280" s="137">
        <f>ROUND(Precios!M280,0)</f>
        <v>7000</v>
      </c>
      <c r="D280" s="114">
        <f t="shared" si="9"/>
        <v>279</v>
      </c>
      <c r="E280" s="114" t="str">
        <f t="shared" si="8"/>
        <v>INSERT INTO PRECIOS (FECHA_INICIO, FECHA_FIN,PRECIO,ID_PRODUCTO) VALUES ( TO_DATE('01-01-2025','DD-MM-YYYY'), TO_DATE('31-12-2025','DD-MM-YYYY'),7000,279);</v>
      </c>
    </row>
    <row r="281" spans="1:5">
      <c r="A281" s="136" t="s">
        <v>2153</v>
      </c>
      <c r="B281" s="136" t="s">
        <v>2154</v>
      </c>
      <c r="C281" s="137">
        <f>ROUND(Precios!M281,0)</f>
        <v>5300</v>
      </c>
      <c r="D281" s="114">
        <f t="shared" si="9"/>
        <v>280</v>
      </c>
      <c r="E281" s="114" t="str">
        <f t="shared" si="8"/>
        <v>INSERT INTO PRECIOS (FECHA_INICIO, FECHA_FIN,PRECIO,ID_PRODUCTO) VALUES ( TO_DATE('01-01-2025','DD-MM-YYYY'), TO_DATE('31-12-2025','DD-MM-YYYY'),5300,280);</v>
      </c>
    </row>
    <row r="282" spans="1:5">
      <c r="A282" s="136" t="s">
        <v>2153</v>
      </c>
      <c r="B282" s="136" t="s">
        <v>2154</v>
      </c>
      <c r="C282" s="137">
        <f>ROUND(Precios!M282,0)</f>
        <v>13000</v>
      </c>
      <c r="D282" s="114">
        <f t="shared" si="9"/>
        <v>281</v>
      </c>
      <c r="E282" s="114" t="str">
        <f t="shared" si="8"/>
        <v>INSERT INTO PRECIOS (FECHA_INICIO, FECHA_FIN,PRECIO,ID_PRODUCTO) VALUES ( TO_DATE('01-01-2025','DD-MM-YYYY'), TO_DATE('31-12-2025','DD-MM-YYYY'),13000,281);</v>
      </c>
    </row>
    <row r="283" spans="1:5">
      <c r="A283" s="136" t="s">
        <v>2153</v>
      </c>
      <c r="B283" s="136" t="s">
        <v>2154</v>
      </c>
      <c r="C283" s="137">
        <f>ROUND(Precios!M283,0)</f>
        <v>13000</v>
      </c>
      <c r="D283" s="114">
        <f t="shared" si="9"/>
        <v>282</v>
      </c>
      <c r="E283" s="114" t="str">
        <f t="shared" si="8"/>
        <v>INSERT INTO PRECIOS (FECHA_INICIO, FECHA_FIN,PRECIO,ID_PRODUCTO) VALUES ( TO_DATE('01-01-2025','DD-MM-YYYY'), TO_DATE('31-12-2025','DD-MM-YYYY'),13000,282);</v>
      </c>
    </row>
    <row r="284" spans="1:5">
      <c r="A284" s="136" t="s">
        <v>2153</v>
      </c>
      <c r="B284" s="136" t="s">
        <v>2154</v>
      </c>
      <c r="C284" s="137">
        <f>ROUND(Precios!M284,0)</f>
        <v>7600</v>
      </c>
      <c r="D284" s="114">
        <f t="shared" si="9"/>
        <v>283</v>
      </c>
      <c r="E284" s="114" t="str">
        <f t="shared" si="8"/>
        <v>INSERT INTO PRECIOS (FECHA_INICIO, FECHA_FIN,PRECIO,ID_PRODUCTO) VALUES ( TO_DATE('01-01-2025','DD-MM-YYYY'), TO_DATE('31-12-2025','DD-MM-YYYY'),7600,283);</v>
      </c>
    </row>
    <row r="285" spans="1:5">
      <c r="A285" s="136" t="s">
        <v>2153</v>
      </c>
      <c r="B285" s="136" t="s">
        <v>2154</v>
      </c>
      <c r="C285" s="137">
        <f>ROUND(Precios!M285,0)</f>
        <v>1100</v>
      </c>
      <c r="D285" s="114">
        <f t="shared" si="9"/>
        <v>284</v>
      </c>
      <c r="E285" s="114" t="str">
        <f t="shared" si="8"/>
        <v>INSERT INTO PRECIOS (FECHA_INICIO, FECHA_FIN,PRECIO,ID_PRODUCTO) VALUES ( TO_DATE('01-01-2025','DD-MM-YYYY'), TO_DATE('31-12-2025','DD-MM-YYYY'),1100,284);</v>
      </c>
    </row>
    <row r="286" spans="1:5">
      <c r="A286" s="136" t="s">
        <v>2153</v>
      </c>
      <c r="B286" s="136" t="s">
        <v>2154</v>
      </c>
      <c r="C286" s="137">
        <f>ROUND(Precios!M286,0)</f>
        <v>3000</v>
      </c>
      <c r="D286" s="114">
        <f t="shared" si="9"/>
        <v>285</v>
      </c>
      <c r="E286" s="114" t="str">
        <f t="shared" si="8"/>
        <v>INSERT INTO PRECIOS (FECHA_INICIO, FECHA_FIN,PRECIO,ID_PRODUCTO) VALUES ( TO_DATE('01-01-2025','DD-MM-YYYY'), TO_DATE('31-12-2025','DD-MM-YYYY'),3000,285);</v>
      </c>
    </row>
    <row r="287" spans="1:5">
      <c r="A287" s="136" t="s">
        <v>2153</v>
      </c>
      <c r="B287" s="136" t="s">
        <v>2154</v>
      </c>
      <c r="C287" s="137">
        <f>ROUND(Precios!M287,0)</f>
        <v>1100</v>
      </c>
      <c r="D287" s="114">
        <f t="shared" si="9"/>
        <v>286</v>
      </c>
      <c r="E287" s="114" t="str">
        <f t="shared" si="8"/>
        <v>INSERT INTO PRECIOS (FECHA_INICIO, FECHA_FIN,PRECIO,ID_PRODUCTO) VALUES ( TO_DATE('01-01-2025','DD-MM-YYYY'), TO_DATE('31-12-2025','DD-MM-YYYY'),1100,286);</v>
      </c>
    </row>
    <row r="288" spans="1:5">
      <c r="A288" s="136" t="s">
        <v>2153</v>
      </c>
      <c r="B288" s="136" t="s">
        <v>2154</v>
      </c>
      <c r="C288" s="137">
        <f>ROUND(Precios!M288,0)</f>
        <v>3000</v>
      </c>
      <c r="D288" s="114">
        <f t="shared" si="9"/>
        <v>287</v>
      </c>
      <c r="E288" s="114" t="str">
        <f t="shared" si="8"/>
        <v>INSERT INTO PRECIOS (FECHA_INICIO, FECHA_FIN,PRECIO,ID_PRODUCTO) VALUES ( TO_DATE('01-01-2025','DD-MM-YYYY'), TO_DATE('31-12-2025','DD-MM-YYYY'),3000,287);</v>
      </c>
    </row>
    <row r="289" spans="1:5">
      <c r="A289" s="136" t="s">
        <v>2153</v>
      </c>
      <c r="B289" s="136" t="s">
        <v>2154</v>
      </c>
      <c r="C289" s="137">
        <f>ROUND(Precios!M289,0)</f>
        <v>8500</v>
      </c>
      <c r="D289" s="114">
        <f t="shared" si="9"/>
        <v>288</v>
      </c>
      <c r="E289" s="114" t="str">
        <f t="shared" si="8"/>
        <v>INSERT INTO PRECIOS (FECHA_INICIO, FECHA_FIN,PRECIO,ID_PRODUCTO) VALUES ( TO_DATE('01-01-2025','DD-MM-YYYY'), TO_DATE('31-12-2025','DD-MM-YYYY'),8500,288);</v>
      </c>
    </row>
    <row r="290" spans="1:5">
      <c r="A290" s="136" t="s">
        <v>2153</v>
      </c>
      <c r="B290" s="136" t="s">
        <v>2154</v>
      </c>
      <c r="C290" s="137">
        <f>ROUND(Precios!M290,0)</f>
        <v>19500</v>
      </c>
      <c r="D290" s="114">
        <f t="shared" si="9"/>
        <v>289</v>
      </c>
      <c r="E290" s="114" t="str">
        <f t="shared" si="8"/>
        <v>INSERT INTO PRECIOS (FECHA_INICIO, FECHA_FIN,PRECIO,ID_PRODUCTO) VALUES ( TO_DATE('01-01-2025','DD-MM-YYYY'), TO_DATE('31-12-2025','DD-MM-YYYY'),19500,289);</v>
      </c>
    </row>
    <row r="291" spans="1:5">
      <c r="A291" s="136" t="s">
        <v>2153</v>
      </c>
      <c r="B291" s="136" t="s">
        <v>2154</v>
      </c>
      <c r="C291" s="137">
        <f>ROUND(Precios!M291,0)</f>
        <v>1200</v>
      </c>
      <c r="D291" s="114">
        <f t="shared" si="9"/>
        <v>290</v>
      </c>
      <c r="E291" s="114" t="str">
        <f t="shared" si="8"/>
        <v>INSERT INTO PRECIOS (FECHA_INICIO, FECHA_FIN,PRECIO,ID_PRODUCTO) VALUES ( TO_DATE('01-01-2025','DD-MM-YYYY'), TO_DATE('31-12-2025','DD-MM-YYYY'),1200,290);</v>
      </c>
    </row>
    <row r="292" spans="1:5">
      <c r="A292" s="136" t="s">
        <v>2153</v>
      </c>
      <c r="B292" s="136" t="s">
        <v>2154</v>
      </c>
      <c r="C292" s="137">
        <f>ROUND(Precios!M292,0)</f>
        <v>1300</v>
      </c>
      <c r="D292" s="114">
        <f t="shared" si="9"/>
        <v>291</v>
      </c>
      <c r="E292" s="114" t="str">
        <f t="shared" si="8"/>
        <v>INSERT INTO PRECIOS (FECHA_INICIO, FECHA_FIN,PRECIO,ID_PRODUCTO) VALUES ( TO_DATE('01-01-2025','DD-MM-YYYY'), TO_DATE('31-12-2025','DD-MM-YYYY'),1300,291);</v>
      </c>
    </row>
    <row r="293" spans="1:5">
      <c r="A293" s="136" t="s">
        <v>2153</v>
      </c>
      <c r="B293" s="136" t="s">
        <v>2154</v>
      </c>
      <c r="C293" s="137">
        <f>ROUND(Precios!M293,0)</f>
        <v>1800</v>
      </c>
      <c r="D293" s="114">
        <f t="shared" si="9"/>
        <v>292</v>
      </c>
      <c r="E293" s="114" t="str">
        <f t="shared" si="8"/>
        <v>INSERT INTO PRECIOS (FECHA_INICIO, FECHA_FIN,PRECIO,ID_PRODUCTO) VALUES ( TO_DATE('01-01-2025','DD-MM-YYYY'), TO_DATE('31-12-2025','DD-MM-YYYY'),1800,292);</v>
      </c>
    </row>
    <row r="294" spans="1:5">
      <c r="A294" s="136" t="s">
        <v>2153</v>
      </c>
      <c r="B294" s="136" t="s">
        <v>2154</v>
      </c>
      <c r="C294" s="137">
        <f>ROUND(Precios!M294,0)</f>
        <v>10000</v>
      </c>
      <c r="D294" s="114">
        <f t="shared" si="9"/>
        <v>293</v>
      </c>
      <c r="E294" s="114" t="str">
        <f t="shared" si="8"/>
        <v>INSERT INTO PRECIOS (FECHA_INICIO, FECHA_FIN,PRECIO,ID_PRODUCTO) VALUES ( TO_DATE('01-01-2025','DD-MM-YYYY'), TO_DATE('31-12-2025','DD-MM-YYYY'),10000,293);</v>
      </c>
    </row>
    <row r="295" spans="1:5">
      <c r="A295" s="136" t="s">
        <v>2153</v>
      </c>
      <c r="B295" s="136" t="s">
        <v>2154</v>
      </c>
      <c r="C295" s="137">
        <f>ROUND(Precios!M295,0)</f>
        <v>16500</v>
      </c>
      <c r="D295" s="114">
        <f t="shared" si="9"/>
        <v>294</v>
      </c>
      <c r="E295" s="114" t="str">
        <f t="shared" si="8"/>
        <v>INSERT INTO PRECIOS (FECHA_INICIO, FECHA_FIN,PRECIO,ID_PRODUCTO) VALUES ( TO_DATE('01-01-2025','DD-MM-YYYY'), TO_DATE('31-12-2025','DD-MM-YYYY'),16500,294);</v>
      </c>
    </row>
    <row r="296" spans="1:5">
      <c r="A296" s="136" t="s">
        <v>2153</v>
      </c>
      <c r="B296" s="136" t="s">
        <v>2154</v>
      </c>
      <c r="C296" s="137">
        <f>ROUND(Precios!M296,0)</f>
        <v>20900</v>
      </c>
      <c r="D296" s="114">
        <f t="shared" si="9"/>
        <v>295</v>
      </c>
      <c r="E296" s="114" t="str">
        <f t="shared" si="8"/>
        <v>INSERT INTO PRECIOS (FECHA_INICIO, FECHA_FIN,PRECIO,ID_PRODUCTO) VALUES ( TO_DATE('01-01-2025','DD-MM-YYYY'), TO_DATE('31-12-2025','DD-MM-YYYY'),20900,295);</v>
      </c>
    </row>
    <row r="297" spans="1:5">
      <c r="A297" s="136" t="s">
        <v>2153</v>
      </c>
      <c r="B297" s="136" t="s">
        <v>2154</v>
      </c>
      <c r="C297" s="137">
        <f>ROUND(Precios!M297,0)</f>
        <v>3500</v>
      </c>
      <c r="D297" s="114">
        <f t="shared" si="9"/>
        <v>296</v>
      </c>
      <c r="E297" s="114" t="str">
        <f t="shared" si="8"/>
        <v>INSERT INTO PRECIOS (FECHA_INICIO, FECHA_FIN,PRECIO,ID_PRODUCTO) VALUES ( TO_DATE('01-01-2025','DD-MM-YYYY'), TO_DATE('31-12-2025','DD-MM-YYYY'),3500,296);</v>
      </c>
    </row>
    <row r="298" spans="1:5">
      <c r="A298" s="136" t="s">
        <v>2153</v>
      </c>
      <c r="B298" s="136" t="s">
        <v>2154</v>
      </c>
      <c r="C298" s="137">
        <f>ROUND(Precios!M298,0)</f>
        <v>7000</v>
      </c>
      <c r="D298" s="114">
        <f t="shared" si="9"/>
        <v>297</v>
      </c>
      <c r="E298" s="114" t="str">
        <f t="shared" si="8"/>
        <v>INSERT INTO PRECIOS (FECHA_INICIO, FECHA_FIN,PRECIO,ID_PRODUCTO) VALUES ( TO_DATE('01-01-2025','DD-MM-YYYY'), TO_DATE('31-12-2025','DD-MM-YYYY'),7000,297);</v>
      </c>
    </row>
    <row r="299" spans="1:5">
      <c r="A299" s="136" t="s">
        <v>2153</v>
      </c>
      <c r="B299" s="136" t="s">
        <v>2154</v>
      </c>
      <c r="C299" s="137">
        <f>ROUND(Precios!M299,0)</f>
        <v>2500</v>
      </c>
      <c r="D299" s="114">
        <f t="shared" si="9"/>
        <v>298</v>
      </c>
      <c r="E299" s="114" t="str">
        <f t="shared" si="8"/>
        <v>INSERT INTO PRECIOS (FECHA_INICIO, FECHA_FIN,PRECIO,ID_PRODUCTO) VALUES ( TO_DATE('01-01-2025','DD-MM-YYYY'), TO_DATE('31-12-2025','DD-MM-YYYY'),2500,298);</v>
      </c>
    </row>
    <row r="300" spans="1:5">
      <c r="A300" s="136" t="s">
        <v>2153</v>
      </c>
      <c r="B300" s="136" t="s">
        <v>2154</v>
      </c>
      <c r="C300" s="137">
        <f>ROUND(Precios!M300,0)</f>
        <v>3369</v>
      </c>
      <c r="D300" s="114">
        <f t="shared" si="9"/>
        <v>299</v>
      </c>
      <c r="E300" s="114" t="str">
        <f t="shared" si="8"/>
        <v>INSERT INTO PRECIOS (FECHA_INICIO, FECHA_FIN,PRECIO,ID_PRODUCTO) VALUES ( TO_DATE('01-01-2025','DD-MM-YYYY'), TO_DATE('31-12-2025','DD-MM-YYYY'),3369,299);</v>
      </c>
    </row>
    <row r="301" spans="1:5">
      <c r="A301" s="136" t="s">
        <v>2153</v>
      </c>
      <c r="B301" s="136" t="s">
        <v>2154</v>
      </c>
      <c r="C301" s="137">
        <f>ROUND(Precios!M301,0)</f>
        <v>9476</v>
      </c>
      <c r="D301" s="114">
        <f t="shared" si="9"/>
        <v>300</v>
      </c>
      <c r="E301" s="114" t="str">
        <f t="shared" si="8"/>
        <v>INSERT INTO PRECIOS (FECHA_INICIO, FECHA_FIN,PRECIO,ID_PRODUCTO) VALUES ( TO_DATE('01-01-2025','DD-MM-YYYY'), TO_DATE('31-12-2025','DD-MM-YYYY'),9476,300);</v>
      </c>
    </row>
    <row r="302" spans="1:5">
      <c r="A302" s="136" t="s">
        <v>2153</v>
      </c>
      <c r="B302" s="136" t="s">
        <v>2154</v>
      </c>
      <c r="C302" s="137">
        <f>ROUND(Precios!M302,0)</f>
        <v>1150</v>
      </c>
      <c r="D302" s="114">
        <f t="shared" si="9"/>
        <v>301</v>
      </c>
      <c r="E302" s="114" t="str">
        <f t="shared" si="8"/>
        <v>INSERT INTO PRECIOS (FECHA_INICIO, FECHA_FIN,PRECIO,ID_PRODUCTO) VALUES ( TO_DATE('01-01-2025','DD-MM-YYYY'), TO_DATE('31-12-2025','DD-MM-YYYY'),1150,301);</v>
      </c>
    </row>
    <row r="303" spans="1:5">
      <c r="A303" s="136" t="s">
        <v>2153</v>
      </c>
      <c r="B303" s="136" t="s">
        <v>2154</v>
      </c>
      <c r="C303" s="137">
        <f>ROUND(Precios!M303,0)</f>
        <v>8000</v>
      </c>
      <c r="D303" s="114">
        <f t="shared" si="9"/>
        <v>302</v>
      </c>
      <c r="E303" s="114" t="str">
        <f t="shared" si="8"/>
        <v>INSERT INTO PRECIOS (FECHA_INICIO, FECHA_FIN,PRECIO,ID_PRODUCTO) VALUES ( TO_DATE('01-01-2025','DD-MM-YYYY'), TO_DATE('31-12-2025','DD-MM-YYYY'),8000,302);</v>
      </c>
    </row>
    <row r="304" spans="1:5">
      <c r="A304" s="136" t="s">
        <v>2153</v>
      </c>
      <c r="B304" s="136" t="s">
        <v>2154</v>
      </c>
      <c r="C304" s="137">
        <f>ROUND(Precios!M304,0)</f>
        <v>2400</v>
      </c>
      <c r="D304" s="114">
        <f t="shared" si="9"/>
        <v>303</v>
      </c>
      <c r="E304" s="114" t="str">
        <f t="shared" si="8"/>
        <v>INSERT INTO PRECIOS (FECHA_INICIO, FECHA_FIN,PRECIO,ID_PRODUCTO) VALUES ( TO_DATE('01-01-2025','DD-MM-YYYY'), TO_DATE('31-12-2025','DD-MM-YYYY'),2400,303);</v>
      </c>
    </row>
    <row r="305" spans="1:5">
      <c r="A305" s="136" t="s">
        <v>2153</v>
      </c>
      <c r="B305" s="136" t="s">
        <v>2154</v>
      </c>
      <c r="C305" s="137">
        <f>ROUND(Precios!M305,0)</f>
        <v>500</v>
      </c>
      <c r="D305" s="114">
        <f t="shared" si="9"/>
        <v>304</v>
      </c>
      <c r="E305" s="114" t="str">
        <f t="shared" si="8"/>
        <v>INSERT INTO PRECIOS (FECHA_INICIO, FECHA_FIN,PRECIO,ID_PRODUCTO) VALUES ( TO_DATE('01-01-2025','DD-MM-YYYY'), TO_DATE('31-12-2025','DD-MM-YYYY'),500,304);</v>
      </c>
    </row>
    <row r="306" spans="1:5">
      <c r="A306" s="136" t="s">
        <v>2153</v>
      </c>
      <c r="B306" s="136" t="s">
        <v>2154</v>
      </c>
      <c r="C306" s="137">
        <f>ROUND(Precios!M306,0)</f>
        <v>4200</v>
      </c>
      <c r="D306" s="114">
        <f t="shared" si="9"/>
        <v>305</v>
      </c>
      <c r="E306" s="114" t="str">
        <f t="shared" si="8"/>
        <v>INSERT INTO PRECIOS (FECHA_INICIO, FECHA_FIN,PRECIO,ID_PRODUCTO) VALUES ( TO_DATE('01-01-2025','DD-MM-YYYY'), TO_DATE('31-12-2025','DD-MM-YYYY'),4200,305);</v>
      </c>
    </row>
    <row r="307" spans="1:5">
      <c r="A307" s="136" t="s">
        <v>2153</v>
      </c>
      <c r="B307" s="136" t="s">
        <v>2154</v>
      </c>
      <c r="C307" s="137">
        <f>ROUND(Precios!M307,0)</f>
        <v>1752</v>
      </c>
      <c r="D307" s="114">
        <f t="shared" si="9"/>
        <v>306</v>
      </c>
      <c r="E307" s="114" t="str">
        <f t="shared" si="8"/>
        <v>INSERT INTO PRECIOS (FECHA_INICIO, FECHA_FIN,PRECIO,ID_PRODUCTO) VALUES ( TO_DATE('01-01-2025','DD-MM-YYYY'), TO_DATE('31-12-2025','DD-MM-YYYY'),1752,306);</v>
      </c>
    </row>
    <row r="308" spans="1:5">
      <c r="A308" s="136" t="s">
        <v>2153</v>
      </c>
      <c r="B308" s="136" t="s">
        <v>2154</v>
      </c>
      <c r="C308" s="137">
        <f>ROUND(Precios!M308,0)</f>
        <v>3500</v>
      </c>
      <c r="D308" s="114">
        <f t="shared" si="9"/>
        <v>307</v>
      </c>
      <c r="E308" s="114" t="str">
        <f t="shared" si="8"/>
        <v>INSERT INTO PRECIOS (FECHA_INICIO, FECHA_FIN,PRECIO,ID_PRODUCTO) VALUES ( TO_DATE('01-01-2025','DD-MM-YYYY'), TO_DATE('31-12-2025','DD-MM-YYYY'),3500,307);</v>
      </c>
    </row>
    <row r="309" spans="1:5">
      <c r="A309" s="136" t="s">
        <v>2153</v>
      </c>
      <c r="B309" s="136" t="s">
        <v>2154</v>
      </c>
      <c r="C309" s="137">
        <f>ROUND(Precios!M309,0)</f>
        <v>4380</v>
      </c>
      <c r="D309" s="114">
        <f t="shared" si="9"/>
        <v>308</v>
      </c>
      <c r="E309" s="114" t="str">
        <f t="shared" si="8"/>
        <v>INSERT INTO PRECIOS (FECHA_INICIO, FECHA_FIN,PRECIO,ID_PRODUCTO) VALUES ( TO_DATE('01-01-2025','DD-MM-YYYY'), TO_DATE('31-12-2025','DD-MM-YYYY'),4380,308);</v>
      </c>
    </row>
    <row r="310" spans="1:5">
      <c r="A310" s="136" t="s">
        <v>2153</v>
      </c>
      <c r="B310" s="136" t="s">
        <v>2154</v>
      </c>
      <c r="C310" s="137">
        <f>ROUND(Precios!M310,0)</f>
        <v>4375</v>
      </c>
      <c r="D310" s="114">
        <f t="shared" si="9"/>
        <v>309</v>
      </c>
      <c r="E310" s="114" t="str">
        <f t="shared" si="8"/>
        <v>INSERT INTO PRECIOS (FECHA_INICIO, FECHA_FIN,PRECIO,ID_PRODUCTO) VALUES ( TO_DATE('01-01-2025','DD-MM-YYYY'), TO_DATE('31-12-2025','DD-MM-YYYY'),4375,309);</v>
      </c>
    </row>
    <row r="311" spans="1:5">
      <c r="A311" s="136" t="s">
        <v>2153</v>
      </c>
      <c r="B311" s="136" t="s">
        <v>2154</v>
      </c>
      <c r="C311" s="137">
        <f>ROUND(Precios!M311,0)</f>
        <v>1000</v>
      </c>
      <c r="D311" s="114">
        <f t="shared" si="9"/>
        <v>310</v>
      </c>
      <c r="E311" s="114" t="str">
        <f t="shared" si="8"/>
        <v>INSERT INTO PRECIOS (FECHA_INICIO, FECHA_FIN,PRECIO,ID_PRODUCTO) VALUES ( TO_DATE('01-01-2025','DD-MM-YYYY'), TO_DATE('31-12-2025','DD-MM-YYYY'),1000,310);</v>
      </c>
    </row>
    <row r="312" spans="1:5">
      <c r="A312" s="136" t="s">
        <v>2153</v>
      </c>
      <c r="B312" s="136" t="s">
        <v>2154</v>
      </c>
      <c r="C312" s="137">
        <f>ROUND(Precios!M312,0)</f>
        <v>7000</v>
      </c>
      <c r="D312" s="114">
        <f t="shared" si="9"/>
        <v>311</v>
      </c>
      <c r="E312" s="114" t="str">
        <f t="shared" si="8"/>
        <v>INSERT INTO PRECIOS (FECHA_INICIO, FECHA_FIN,PRECIO,ID_PRODUCTO) VALUES ( TO_DATE('01-01-2025','DD-MM-YYYY'), TO_DATE('31-12-2025','DD-MM-YYYY'),7000,311);</v>
      </c>
    </row>
    <row r="313" spans="1:5">
      <c r="A313" s="136" t="s">
        <v>2153</v>
      </c>
      <c r="B313" s="136" t="s">
        <v>2154</v>
      </c>
      <c r="C313" s="137">
        <f>ROUND(Precios!M313,0)</f>
        <v>8760</v>
      </c>
      <c r="D313" s="114">
        <f t="shared" si="9"/>
        <v>312</v>
      </c>
      <c r="E313" s="114" t="str">
        <f t="shared" si="8"/>
        <v>INSERT INTO PRECIOS (FECHA_INICIO, FECHA_FIN,PRECIO,ID_PRODUCTO) VALUES ( TO_DATE('01-01-2025','DD-MM-YYYY'), TO_DATE('31-12-2025','DD-MM-YYYY'),8760,312);</v>
      </c>
    </row>
    <row r="314" spans="1:5">
      <c r="A314" s="136" t="s">
        <v>2153</v>
      </c>
      <c r="B314" s="136" t="s">
        <v>2154</v>
      </c>
      <c r="C314" s="137">
        <f>ROUND(Precios!M314,0)</f>
        <v>7500</v>
      </c>
      <c r="D314" s="114">
        <f t="shared" si="9"/>
        <v>313</v>
      </c>
      <c r="E314" s="114" t="str">
        <f t="shared" si="8"/>
        <v>INSERT INTO PRECIOS (FECHA_INICIO, FECHA_FIN,PRECIO,ID_PRODUCTO) VALUES ( TO_DATE('01-01-2025','DD-MM-YYYY'), TO_DATE('31-12-2025','DD-MM-YYYY'),7500,313);</v>
      </c>
    </row>
    <row r="315" spans="1:5">
      <c r="A315" s="136" t="s">
        <v>2153</v>
      </c>
      <c r="B315" s="136" t="s">
        <v>2154</v>
      </c>
      <c r="C315" s="137">
        <f>ROUND(Precios!M315,0)</f>
        <v>1500</v>
      </c>
      <c r="D315" s="114">
        <f t="shared" si="9"/>
        <v>314</v>
      </c>
      <c r="E315" s="114" t="str">
        <f t="shared" si="8"/>
        <v>INSERT INTO PRECIOS (FECHA_INICIO, FECHA_FIN,PRECIO,ID_PRODUCTO) VALUES ( TO_DATE('01-01-2025','DD-MM-YYYY'), TO_DATE('31-12-2025','DD-MM-YYYY'),1500,314);</v>
      </c>
    </row>
    <row r="316" spans="1:5">
      <c r="A316" s="136" t="s">
        <v>2153</v>
      </c>
      <c r="B316" s="136" t="s">
        <v>2154</v>
      </c>
      <c r="C316" s="137">
        <f>ROUND(Precios!M316,0)</f>
        <v>1900</v>
      </c>
      <c r="D316" s="114">
        <f t="shared" si="9"/>
        <v>315</v>
      </c>
      <c r="E316" s="114" t="str">
        <f t="shared" si="8"/>
        <v>INSERT INTO PRECIOS (FECHA_INICIO, FECHA_FIN,PRECIO,ID_PRODUCTO) VALUES ( TO_DATE('01-01-2025','DD-MM-YYYY'), TO_DATE('31-12-2025','DD-MM-YYYY'),1900,315);</v>
      </c>
    </row>
    <row r="317" spans="1:5">
      <c r="A317" s="136" t="s">
        <v>2153</v>
      </c>
      <c r="B317" s="136" t="s">
        <v>2154</v>
      </c>
      <c r="C317" s="137">
        <f>ROUND(Precios!M317,0)</f>
        <v>500</v>
      </c>
      <c r="D317" s="114">
        <f t="shared" si="9"/>
        <v>316</v>
      </c>
      <c r="E317" s="114" t="str">
        <f t="shared" si="8"/>
        <v>INSERT INTO PRECIOS (FECHA_INICIO, FECHA_FIN,PRECIO,ID_PRODUCTO) VALUES ( TO_DATE('01-01-2025','DD-MM-YYYY'), TO_DATE('31-12-2025','DD-MM-YYYY'),500,316);</v>
      </c>
    </row>
    <row r="318" spans="1:5">
      <c r="A318" s="136" t="s">
        <v>2153</v>
      </c>
      <c r="B318" s="136" t="s">
        <v>2154</v>
      </c>
      <c r="C318" s="137">
        <f>ROUND(Precios!M318,0)</f>
        <v>5625</v>
      </c>
      <c r="D318" s="114">
        <f t="shared" si="9"/>
        <v>317</v>
      </c>
      <c r="E318" s="114" t="str">
        <f t="shared" si="8"/>
        <v>INSERT INTO PRECIOS (FECHA_INICIO, FECHA_FIN,PRECIO,ID_PRODUCTO) VALUES ( TO_DATE('01-01-2025','DD-MM-YYYY'), TO_DATE('31-12-2025','DD-MM-YYYY'),5625,317);</v>
      </c>
    </row>
    <row r="319" spans="1:5">
      <c r="A319" s="136" t="s">
        <v>2153</v>
      </c>
      <c r="B319" s="136" t="s">
        <v>2154</v>
      </c>
      <c r="C319" s="137">
        <f>ROUND(Precios!M319,0)</f>
        <v>3000</v>
      </c>
      <c r="D319" s="114">
        <f t="shared" si="9"/>
        <v>318</v>
      </c>
      <c r="E319" s="114" t="str">
        <f t="shared" si="8"/>
        <v>INSERT INTO PRECIOS (FECHA_INICIO, FECHA_FIN,PRECIO,ID_PRODUCTO) VALUES ( TO_DATE('01-01-2025','DD-MM-YYYY'), TO_DATE('31-12-2025','DD-MM-YYYY'),3000,318);</v>
      </c>
    </row>
    <row r="320" spans="1:5">
      <c r="A320" s="136" t="s">
        <v>2153</v>
      </c>
      <c r="B320" s="136" t="s">
        <v>2154</v>
      </c>
      <c r="C320" s="137">
        <f>ROUND(Precios!M320,0)</f>
        <v>3000</v>
      </c>
      <c r="D320" s="114">
        <f t="shared" si="9"/>
        <v>319</v>
      </c>
      <c r="E320" s="114" t="str">
        <f t="shared" si="8"/>
        <v>INSERT INTO PRECIOS (FECHA_INICIO, FECHA_FIN,PRECIO,ID_PRODUCTO) VALUES ( TO_DATE('01-01-2025','DD-MM-YYYY'), TO_DATE('31-12-2025','DD-MM-YYYY'),3000,319);</v>
      </c>
    </row>
    <row r="321" spans="1:5">
      <c r="A321" s="136" t="s">
        <v>2153</v>
      </c>
      <c r="B321" s="136" t="s">
        <v>2154</v>
      </c>
      <c r="C321" s="137">
        <f>ROUND(Precios!M321,0)</f>
        <v>12000</v>
      </c>
      <c r="D321" s="114">
        <f t="shared" si="9"/>
        <v>320</v>
      </c>
      <c r="E321" s="114" t="str">
        <f t="shared" si="8"/>
        <v>INSERT INTO PRECIOS (FECHA_INICIO, FECHA_FIN,PRECIO,ID_PRODUCTO) VALUES ( TO_DATE('01-01-2025','DD-MM-YYYY'), TO_DATE('31-12-2025','DD-MM-YYYY'),12000,320);</v>
      </c>
    </row>
    <row r="322" spans="1:5">
      <c r="A322" s="136" t="s">
        <v>2153</v>
      </c>
      <c r="B322" s="136" t="s">
        <v>2154</v>
      </c>
      <c r="C322" s="137">
        <f>ROUND(Precios!M322,0)</f>
        <v>6500</v>
      </c>
      <c r="D322" s="114">
        <f t="shared" si="9"/>
        <v>321</v>
      </c>
      <c r="E322" s="114" t="str">
        <f t="shared" si="8"/>
        <v>INSERT INTO PRECIOS (FECHA_INICIO, FECHA_FIN,PRECIO,ID_PRODUCTO) VALUES ( TO_DATE('01-01-2025','DD-MM-YYYY'), TO_DATE('31-12-2025','DD-MM-YYYY'),6500,321);</v>
      </c>
    </row>
    <row r="323" spans="1:5">
      <c r="A323" s="136" t="s">
        <v>2153</v>
      </c>
      <c r="B323" s="136" t="s">
        <v>2154</v>
      </c>
      <c r="C323" s="137">
        <f>ROUND(Precios!M323,0)</f>
        <v>9000</v>
      </c>
      <c r="D323" s="114">
        <f t="shared" si="9"/>
        <v>322</v>
      </c>
      <c r="E323" s="114" t="str">
        <f t="shared" ref="E323:E386" si="10">CONCATENATE("INSERT INTO PRECIOS (FECHA_INICIO, FECHA_FIN,PRECIO,ID_PRODUCTO) VALUES ( TO_DATE(","'",A323,"'",",'DD-MM-YYYY')",", TO_DATE(","'",B323,"'",",'DD-MM-YYYY')",",",C323,",",D323,");")</f>
        <v>INSERT INTO PRECIOS (FECHA_INICIO, FECHA_FIN,PRECIO,ID_PRODUCTO) VALUES ( TO_DATE('01-01-2025','DD-MM-YYYY'), TO_DATE('31-12-2025','DD-MM-YYYY'),9000,322);</v>
      </c>
    </row>
    <row r="324" spans="1:5">
      <c r="A324" s="136" t="s">
        <v>2153</v>
      </c>
      <c r="B324" s="136" t="s">
        <v>2154</v>
      </c>
      <c r="C324" s="137">
        <f>ROUND(Precios!M324,0)</f>
        <v>3250</v>
      </c>
      <c r="D324" s="114">
        <f t="shared" ref="D324:D387" si="11">D323+1</f>
        <v>323</v>
      </c>
      <c r="E324" s="114" t="str">
        <f t="shared" si="10"/>
        <v>INSERT INTO PRECIOS (FECHA_INICIO, FECHA_FIN,PRECIO,ID_PRODUCTO) VALUES ( TO_DATE('01-01-2025','DD-MM-YYYY'), TO_DATE('31-12-2025','DD-MM-YYYY'),3250,323);</v>
      </c>
    </row>
    <row r="325" spans="1:5">
      <c r="A325" s="136" t="s">
        <v>2153</v>
      </c>
      <c r="B325" s="136" t="s">
        <v>2154</v>
      </c>
      <c r="C325" s="137">
        <f>ROUND(Precios!M325,0)</f>
        <v>11000</v>
      </c>
      <c r="D325" s="114">
        <f t="shared" si="11"/>
        <v>324</v>
      </c>
      <c r="E325" s="114" t="str">
        <f t="shared" si="10"/>
        <v>INSERT INTO PRECIOS (FECHA_INICIO, FECHA_FIN,PRECIO,ID_PRODUCTO) VALUES ( TO_DATE('01-01-2025','DD-MM-YYYY'), TO_DATE('31-12-2025','DD-MM-YYYY'),11000,324);</v>
      </c>
    </row>
    <row r="326" spans="1:5">
      <c r="A326" s="136" t="s">
        <v>2153</v>
      </c>
      <c r="B326" s="136" t="s">
        <v>2154</v>
      </c>
      <c r="C326" s="137">
        <f>ROUND(Precios!M326,0)</f>
        <v>10500</v>
      </c>
      <c r="D326" s="114">
        <f t="shared" si="11"/>
        <v>325</v>
      </c>
      <c r="E326" s="114" t="str">
        <f t="shared" si="10"/>
        <v>INSERT INTO PRECIOS (FECHA_INICIO, FECHA_FIN,PRECIO,ID_PRODUCTO) VALUES ( TO_DATE('01-01-2025','DD-MM-YYYY'), TO_DATE('31-12-2025','DD-MM-YYYY'),10500,325);</v>
      </c>
    </row>
    <row r="327" spans="1:5">
      <c r="A327" s="136" t="s">
        <v>2153</v>
      </c>
      <c r="B327" s="136" t="s">
        <v>2154</v>
      </c>
      <c r="C327" s="137">
        <f>ROUND(Precios!M327,0)</f>
        <v>2300</v>
      </c>
      <c r="D327" s="114">
        <f t="shared" si="11"/>
        <v>326</v>
      </c>
      <c r="E327" s="114" t="str">
        <f t="shared" si="10"/>
        <v>INSERT INTO PRECIOS (FECHA_INICIO, FECHA_FIN,PRECIO,ID_PRODUCTO) VALUES ( TO_DATE('01-01-2025','DD-MM-YYYY'), TO_DATE('31-12-2025','DD-MM-YYYY'),2300,326);</v>
      </c>
    </row>
    <row r="328" spans="1:5">
      <c r="A328" s="136" t="s">
        <v>2153</v>
      </c>
      <c r="B328" s="136" t="s">
        <v>2154</v>
      </c>
      <c r="C328" s="137">
        <f>ROUND(Precios!M328,0)</f>
        <v>3500</v>
      </c>
      <c r="D328" s="114">
        <f t="shared" si="11"/>
        <v>327</v>
      </c>
      <c r="E328" s="114" t="str">
        <f t="shared" si="10"/>
        <v>INSERT INTO PRECIOS (FECHA_INICIO, FECHA_FIN,PRECIO,ID_PRODUCTO) VALUES ( TO_DATE('01-01-2025','DD-MM-YYYY'), TO_DATE('31-12-2025','DD-MM-YYYY'),3500,327);</v>
      </c>
    </row>
    <row r="329" spans="1:5">
      <c r="A329" s="136" t="s">
        <v>2153</v>
      </c>
      <c r="B329" s="136" t="s">
        <v>2154</v>
      </c>
      <c r="C329" s="137">
        <f>ROUND(Precios!M329,0)</f>
        <v>5000</v>
      </c>
      <c r="D329" s="114">
        <f t="shared" si="11"/>
        <v>328</v>
      </c>
      <c r="E329" s="114" t="str">
        <f t="shared" si="10"/>
        <v>INSERT INTO PRECIOS (FECHA_INICIO, FECHA_FIN,PRECIO,ID_PRODUCTO) VALUES ( TO_DATE('01-01-2025','DD-MM-YYYY'), TO_DATE('31-12-2025','DD-MM-YYYY'),5000,328);</v>
      </c>
    </row>
    <row r="330" spans="1:5">
      <c r="A330" s="136" t="s">
        <v>2153</v>
      </c>
      <c r="B330" s="136" t="s">
        <v>2154</v>
      </c>
      <c r="C330" s="137">
        <f>ROUND(Precios!M330,0)</f>
        <v>6000</v>
      </c>
      <c r="D330" s="114">
        <f t="shared" si="11"/>
        <v>329</v>
      </c>
      <c r="E330" s="114" t="str">
        <f t="shared" si="10"/>
        <v>INSERT INTO PRECIOS (FECHA_INICIO, FECHA_FIN,PRECIO,ID_PRODUCTO) VALUES ( TO_DATE('01-01-2025','DD-MM-YYYY'), TO_DATE('31-12-2025','DD-MM-YYYY'),6000,329);</v>
      </c>
    </row>
    <row r="331" spans="1:5">
      <c r="A331" s="136" t="s">
        <v>2153</v>
      </c>
      <c r="B331" s="136" t="s">
        <v>2154</v>
      </c>
      <c r="C331" s="137">
        <f>ROUND(Precios!M331,0)</f>
        <v>4800</v>
      </c>
      <c r="D331" s="114">
        <f t="shared" si="11"/>
        <v>330</v>
      </c>
      <c r="E331" s="114" t="str">
        <f t="shared" si="10"/>
        <v>INSERT INTO PRECIOS (FECHA_INICIO, FECHA_FIN,PRECIO,ID_PRODUCTO) VALUES ( TO_DATE('01-01-2025','DD-MM-YYYY'), TO_DATE('31-12-2025','DD-MM-YYYY'),4800,330);</v>
      </c>
    </row>
    <row r="332" spans="1:5">
      <c r="A332" s="136" t="s">
        <v>2153</v>
      </c>
      <c r="B332" s="136" t="s">
        <v>2154</v>
      </c>
      <c r="C332" s="137">
        <f>ROUND(Precios!M332,0)</f>
        <v>3700</v>
      </c>
      <c r="D332" s="114">
        <f t="shared" si="11"/>
        <v>331</v>
      </c>
      <c r="E332" s="114" t="str">
        <f t="shared" si="10"/>
        <v>INSERT INTO PRECIOS (FECHA_INICIO, FECHA_FIN,PRECIO,ID_PRODUCTO) VALUES ( TO_DATE('01-01-2025','DD-MM-YYYY'), TO_DATE('31-12-2025','DD-MM-YYYY'),3700,331);</v>
      </c>
    </row>
    <row r="333" spans="1:5">
      <c r="A333" s="136" t="s">
        <v>2153</v>
      </c>
      <c r="B333" s="136" t="s">
        <v>2154</v>
      </c>
      <c r="C333" s="137">
        <f>ROUND(Precios!M333,0)</f>
        <v>2600</v>
      </c>
      <c r="D333" s="114">
        <f t="shared" si="11"/>
        <v>332</v>
      </c>
      <c r="E333" s="114" t="str">
        <f t="shared" si="10"/>
        <v>INSERT INTO PRECIOS (FECHA_INICIO, FECHA_FIN,PRECIO,ID_PRODUCTO) VALUES ( TO_DATE('01-01-2025','DD-MM-YYYY'), TO_DATE('31-12-2025','DD-MM-YYYY'),2600,332);</v>
      </c>
    </row>
    <row r="334" spans="1:5">
      <c r="A334" s="136" t="s">
        <v>2153</v>
      </c>
      <c r="B334" s="136" t="s">
        <v>2154</v>
      </c>
      <c r="C334" s="137">
        <f>ROUND(Precios!M334,0)</f>
        <v>13000</v>
      </c>
      <c r="D334" s="114">
        <f t="shared" si="11"/>
        <v>333</v>
      </c>
      <c r="E334" s="114" t="str">
        <f t="shared" si="10"/>
        <v>INSERT INTO PRECIOS (FECHA_INICIO, FECHA_FIN,PRECIO,ID_PRODUCTO) VALUES ( TO_DATE('01-01-2025','DD-MM-YYYY'), TO_DATE('31-12-2025','DD-MM-YYYY'),13000,333);</v>
      </c>
    </row>
    <row r="335" spans="1:5">
      <c r="A335" s="136" t="s">
        <v>2153</v>
      </c>
      <c r="B335" s="136" t="s">
        <v>2154</v>
      </c>
      <c r="C335" s="137">
        <f>ROUND(Precios!M335,0)</f>
        <v>11500</v>
      </c>
      <c r="D335" s="114">
        <f t="shared" si="11"/>
        <v>334</v>
      </c>
      <c r="E335" s="114" t="str">
        <f t="shared" si="10"/>
        <v>INSERT INTO PRECIOS (FECHA_INICIO, FECHA_FIN,PRECIO,ID_PRODUCTO) VALUES ( TO_DATE('01-01-2025','DD-MM-YYYY'), TO_DATE('31-12-2025','DD-MM-YYYY'),11500,334);</v>
      </c>
    </row>
    <row r="336" spans="1:5">
      <c r="A336" s="136" t="s">
        <v>2153</v>
      </c>
      <c r="B336" s="136" t="s">
        <v>2154</v>
      </c>
      <c r="C336" s="137">
        <f>ROUND(Precios!M336,0)</f>
        <v>11500</v>
      </c>
      <c r="D336" s="114">
        <f t="shared" si="11"/>
        <v>335</v>
      </c>
      <c r="E336" s="114" t="str">
        <f t="shared" si="10"/>
        <v>INSERT INTO PRECIOS (FECHA_INICIO, FECHA_FIN,PRECIO,ID_PRODUCTO) VALUES ( TO_DATE('01-01-2025','DD-MM-YYYY'), TO_DATE('31-12-2025','DD-MM-YYYY'),11500,335);</v>
      </c>
    </row>
    <row r="337" spans="1:5">
      <c r="A337" s="136" t="s">
        <v>2153</v>
      </c>
      <c r="B337" s="136" t="s">
        <v>2154</v>
      </c>
      <c r="C337" s="137">
        <f>ROUND(Precios!M337,0)</f>
        <v>6000</v>
      </c>
      <c r="D337" s="114">
        <f t="shared" si="11"/>
        <v>336</v>
      </c>
      <c r="E337" s="114" t="str">
        <f t="shared" si="10"/>
        <v>INSERT INTO PRECIOS (FECHA_INICIO, FECHA_FIN,PRECIO,ID_PRODUCTO) VALUES ( TO_DATE('01-01-2025','DD-MM-YYYY'), TO_DATE('31-12-2025','DD-MM-YYYY'),6000,336);</v>
      </c>
    </row>
    <row r="338" spans="1:5">
      <c r="A338" s="136" t="s">
        <v>2153</v>
      </c>
      <c r="B338" s="136" t="s">
        <v>2154</v>
      </c>
      <c r="C338" s="137">
        <f>ROUND(Precios!M338,0)</f>
        <v>11000</v>
      </c>
      <c r="D338" s="114">
        <f t="shared" si="11"/>
        <v>337</v>
      </c>
      <c r="E338" s="114" t="str">
        <f t="shared" si="10"/>
        <v>INSERT INTO PRECIOS (FECHA_INICIO, FECHA_FIN,PRECIO,ID_PRODUCTO) VALUES ( TO_DATE('01-01-2025','DD-MM-YYYY'), TO_DATE('31-12-2025','DD-MM-YYYY'),11000,337);</v>
      </c>
    </row>
    <row r="339" spans="1:5">
      <c r="A339" s="136" t="s">
        <v>2153</v>
      </c>
      <c r="B339" s="136" t="s">
        <v>2154</v>
      </c>
      <c r="C339" s="137">
        <f>ROUND(Precios!M339,0)</f>
        <v>1400</v>
      </c>
      <c r="D339" s="114">
        <f t="shared" si="11"/>
        <v>338</v>
      </c>
      <c r="E339" s="114" t="str">
        <f t="shared" si="10"/>
        <v>INSERT INTO PRECIOS (FECHA_INICIO, FECHA_FIN,PRECIO,ID_PRODUCTO) VALUES ( TO_DATE('01-01-2025','DD-MM-YYYY'), TO_DATE('31-12-2025','DD-MM-YYYY'),1400,338);</v>
      </c>
    </row>
    <row r="340" spans="1:5">
      <c r="A340" s="136" t="s">
        <v>2153</v>
      </c>
      <c r="B340" s="136" t="s">
        <v>2154</v>
      </c>
      <c r="C340" s="137">
        <f>ROUND(Precios!M340,0)</f>
        <v>500</v>
      </c>
      <c r="D340" s="114">
        <f t="shared" si="11"/>
        <v>339</v>
      </c>
      <c r="E340" s="114" t="str">
        <f t="shared" si="10"/>
        <v>INSERT INTO PRECIOS (FECHA_INICIO, FECHA_FIN,PRECIO,ID_PRODUCTO) VALUES ( TO_DATE('01-01-2025','DD-MM-YYYY'), TO_DATE('31-12-2025','DD-MM-YYYY'),500,339);</v>
      </c>
    </row>
    <row r="341" spans="1:5">
      <c r="A341" s="136" t="s">
        <v>2153</v>
      </c>
      <c r="B341" s="136" t="s">
        <v>2154</v>
      </c>
      <c r="C341" s="137">
        <f>ROUND(Precios!M341,0)</f>
        <v>7000</v>
      </c>
      <c r="D341" s="114">
        <f t="shared" si="11"/>
        <v>340</v>
      </c>
      <c r="E341" s="114" t="str">
        <f t="shared" si="10"/>
        <v>INSERT INTO PRECIOS (FECHA_INICIO, FECHA_FIN,PRECIO,ID_PRODUCTO) VALUES ( TO_DATE('01-01-2025','DD-MM-YYYY'), TO_DATE('31-12-2025','DD-MM-YYYY'),7000,340);</v>
      </c>
    </row>
    <row r="342" spans="1:5">
      <c r="A342" s="136" t="s">
        <v>2153</v>
      </c>
      <c r="B342" s="136" t="s">
        <v>2154</v>
      </c>
      <c r="C342" s="137">
        <f>ROUND(Precios!M342,0)</f>
        <v>2000</v>
      </c>
      <c r="D342" s="114">
        <f t="shared" si="11"/>
        <v>341</v>
      </c>
      <c r="E342" s="114" t="str">
        <f t="shared" si="10"/>
        <v>INSERT INTO PRECIOS (FECHA_INICIO, FECHA_FIN,PRECIO,ID_PRODUCTO) VALUES ( TO_DATE('01-01-2025','DD-MM-YYYY'), TO_DATE('31-12-2025','DD-MM-YYYY'),2000,341);</v>
      </c>
    </row>
    <row r="343" spans="1:5">
      <c r="A343" s="136" t="s">
        <v>2153</v>
      </c>
      <c r="B343" s="136" t="s">
        <v>2154</v>
      </c>
      <c r="C343" s="137">
        <f>ROUND(Precios!M343,0)</f>
        <v>500</v>
      </c>
      <c r="D343" s="114">
        <f t="shared" si="11"/>
        <v>342</v>
      </c>
      <c r="E343" s="114" t="str">
        <f t="shared" si="10"/>
        <v>INSERT INTO PRECIOS (FECHA_INICIO, FECHA_FIN,PRECIO,ID_PRODUCTO) VALUES ( TO_DATE('01-01-2025','DD-MM-YYYY'), TO_DATE('31-12-2025','DD-MM-YYYY'),500,342);</v>
      </c>
    </row>
    <row r="344" spans="1:5">
      <c r="A344" s="136" t="s">
        <v>2153</v>
      </c>
      <c r="B344" s="136" t="s">
        <v>2154</v>
      </c>
      <c r="C344" s="137">
        <f>ROUND(Precios!M344,0)</f>
        <v>3500</v>
      </c>
      <c r="D344" s="114">
        <f t="shared" si="11"/>
        <v>343</v>
      </c>
      <c r="E344" s="114" t="str">
        <f t="shared" si="10"/>
        <v>INSERT INTO PRECIOS (FECHA_INICIO, FECHA_FIN,PRECIO,ID_PRODUCTO) VALUES ( TO_DATE('01-01-2025','DD-MM-YYYY'), TO_DATE('31-12-2025','DD-MM-YYYY'),3500,343);</v>
      </c>
    </row>
    <row r="345" spans="1:5">
      <c r="A345" s="136" t="s">
        <v>2153</v>
      </c>
      <c r="B345" s="136" t="s">
        <v>2154</v>
      </c>
      <c r="C345" s="137">
        <f>ROUND(Precios!M345,0)</f>
        <v>3100</v>
      </c>
      <c r="D345" s="114">
        <f t="shared" si="11"/>
        <v>344</v>
      </c>
      <c r="E345" s="114" t="str">
        <f t="shared" si="10"/>
        <v>INSERT INTO PRECIOS (FECHA_INICIO, FECHA_FIN,PRECIO,ID_PRODUCTO) VALUES ( TO_DATE('01-01-2025','DD-MM-YYYY'), TO_DATE('31-12-2025','DD-MM-YYYY'),3100,344);</v>
      </c>
    </row>
    <row r="346" spans="1:5">
      <c r="A346" s="136" t="s">
        <v>2153</v>
      </c>
      <c r="B346" s="136" t="s">
        <v>2154</v>
      </c>
      <c r="C346" s="137">
        <f>ROUND(Precios!M346,0)</f>
        <v>850</v>
      </c>
      <c r="D346" s="114">
        <f t="shared" si="11"/>
        <v>345</v>
      </c>
      <c r="E346" s="114" t="str">
        <f t="shared" si="10"/>
        <v>INSERT INTO PRECIOS (FECHA_INICIO, FECHA_FIN,PRECIO,ID_PRODUCTO) VALUES ( TO_DATE('01-01-2025','DD-MM-YYYY'), TO_DATE('31-12-2025','DD-MM-YYYY'),850,345);</v>
      </c>
    </row>
    <row r="347" spans="1:5">
      <c r="A347" s="136" t="s">
        <v>2153</v>
      </c>
      <c r="B347" s="136" t="s">
        <v>2154</v>
      </c>
      <c r="C347" s="137">
        <f>ROUND(Precios!M347,0)</f>
        <v>1600</v>
      </c>
      <c r="D347" s="114">
        <f t="shared" si="11"/>
        <v>346</v>
      </c>
      <c r="E347" s="114" t="str">
        <f t="shared" si="10"/>
        <v>INSERT INTO PRECIOS (FECHA_INICIO, FECHA_FIN,PRECIO,ID_PRODUCTO) VALUES ( TO_DATE('01-01-2025','DD-MM-YYYY'), TO_DATE('31-12-2025','DD-MM-YYYY'),1600,346);</v>
      </c>
    </row>
    <row r="348" spans="1:5">
      <c r="A348" s="136" t="s">
        <v>2153</v>
      </c>
      <c r="B348" s="136" t="s">
        <v>2154</v>
      </c>
      <c r="C348" s="137">
        <f>ROUND(Precios!M348,0)</f>
        <v>1000</v>
      </c>
      <c r="D348" s="114">
        <f t="shared" si="11"/>
        <v>347</v>
      </c>
      <c r="E348" s="114" t="str">
        <f t="shared" si="10"/>
        <v>INSERT INTO PRECIOS (FECHA_INICIO, FECHA_FIN,PRECIO,ID_PRODUCTO) VALUES ( TO_DATE('01-01-2025','DD-MM-YYYY'), TO_DATE('31-12-2025','DD-MM-YYYY'),1000,347);</v>
      </c>
    </row>
    <row r="349" spans="1:5">
      <c r="A349" s="136" t="s">
        <v>2153</v>
      </c>
      <c r="B349" s="136" t="s">
        <v>2154</v>
      </c>
      <c r="C349" s="137">
        <f>ROUND(Precios!M349,0)</f>
        <v>1900</v>
      </c>
      <c r="D349" s="114">
        <f t="shared" si="11"/>
        <v>348</v>
      </c>
      <c r="E349" s="114" t="str">
        <f t="shared" si="10"/>
        <v>INSERT INTO PRECIOS (FECHA_INICIO, FECHA_FIN,PRECIO,ID_PRODUCTO) VALUES ( TO_DATE('01-01-2025','DD-MM-YYYY'), TO_DATE('31-12-2025','DD-MM-YYYY'),1900,348);</v>
      </c>
    </row>
    <row r="350" spans="1:5">
      <c r="A350" s="136" t="s">
        <v>2153</v>
      </c>
      <c r="B350" s="136" t="s">
        <v>2154</v>
      </c>
      <c r="C350" s="137">
        <f>ROUND(Precios!M350,0)</f>
        <v>2000</v>
      </c>
      <c r="D350" s="114">
        <f t="shared" si="11"/>
        <v>349</v>
      </c>
      <c r="E350" s="114" t="str">
        <f t="shared" si="10"/>
        <v>INSERT INTO PRECIOS (FECHA_INICIO, FECHA_FIN,PRECIO,ID_PRODUCTO) VALUES ( TO_DATE('01-01-2025','DD-MM-YYYY'), TO_DATE('31-12-2025','DD-MM-YYYY'),2000,349);</v>
      </c>
    </row>
    <row r="351" spans="1:5">
      <c r="A351" s="136" t="s">
        <v>2153</v>
      </c>
      <c r="B351" s="136" t="s">
        <v>2154</v>
      </c>
      <c r="C351" s="137">
        <f>ROUND(Precios!M351,0)</f>
        <v>8600</v>
      </c>
      <c r="D351" s="114">
        <f t="shared" si="11"/>
        <v>350</v>
      </c>
      <c r="E351" s="114" t="str">
        <f t="shared" si="10"/>
        <v>INSERT INTO PRECIOS (FECHA_INICIO, FECHA_FIN,PRECIO,ID_PRODUCTO) VALUES ( TO_DATE('01-01-2025','DD-MM-YYYY'), TO_DATE('31-12-2025','DD-MM-YYYY'),8600,350);</v>
      </c>
    </row>
    <row r="352" spans="1:5">
      <c r="A352" s="136" t="s">
        <v>2153</v>
      </c>
      <c r="B352" s="136" t="s">
        <v>2154</v>
      </c>
      <c r="C352" s="137">
        <f>ROUND(Precios!M352,0)</f>
        <v>2300</v>
      </c>
      <c r="D352" s="114">
        <f t="shared" si="11"/>
        <v>351</v>
      </c>
      <c r="E352" s="114" t="str">
        <f t="shared" si="10"/>
        <v>INSERT INTO PRECIOS (FECHA_INICIO, FECHA_FIN,PRECIO,ID_PRODUCTO) VALUES ( TO_DATE('01-01-2025','DD-MM-YYYY'), TO_DATE('31-12-2025','DD-MM-YYYY'),2300,351);</v>
      </c>
    </row>
    <row r="353" spans="1:5">
      <c r="A353" s="136" t="s">
        <v>2153</v>
      </c>
      <c r="B353" s="136" t="s">
        <v>2154</v>
      </c>
      <c r="C353" s="137">
        <f>ROUND(Precios!M353,0)</f>
        <v>1000</v>
      </c>
      <c r="D353" s="114">
        <f t="shared" si="11"/>
        <v>352</v>
      </c>
      <c r="E353" s="114" t="str">
        <f t="shared" si="10"/>
        <v>INSERT INTO PRECIOS (FECHA_INICIO, FECHA_FIN,PRECIO,ID_PRODUCTO) VALUES ( TO_DATE('01-01-2025','DD-MM-YYYY'), TO_DATE('31-12-2025','DD-MM-YYYY'),1000,352);</v>
      </c>
    </row>
    <row r="354" spans="1:5">
      <c r="A354" s="136" t="s">
        <v>2153</v>
      </c>
      <c r="B354" s="136" t="s">
        <v>2154</v>
      </c>
      <c r="C354" s="137">
        <f>ROUND(Precios!M354,0)</f>
        <v>4400</v>
      </c>
      <c r="D354" s="114">
        <f t="shared" si="11"/>
        <v>353</v>
      </c>
      <c r="E354" s="114" t="str">
        <f t="shared" si="10"/>
        <v>INSERT INTO PRECIOS (FECHA_INICIO, FECHA_FIN,PRECIO,ID_PRODUCTO) VALUES ( TO_DATE('01-01-2025','DD-MM-YYYY'), TO_DATE('31-12-2025','DD-MM-YYYY'),4400,353);</v>
      </c>
    </row>
    <row r="355" spans="1:5">
      <c r="A355" s="136" t="s">
        <v>2153</v>
      </c>
      <c r="B355" s="136" t="s">
        <v>2154</v>
      </c>
      <c r="C355" s="137">
        <f>ROUND(Precios!M355,0)</f>
        <v>1800</v>
      </c>
      <c r="D355" s="114">
        <f t="shared" si="11"/>
        <v>354</v>
      </c>
      <c r="E355" s="114" t="str">
        <f t="shared" si="10"/>
        <v>INSERT INTO PRECIOS (FECHA_INICIO, FECHA_FIN,PRECIO,ID_PRODUCTO) VALUES ( TO_DATE('01-01-2025','DD-MM-YYYY'), TO_DATE('31-12-2025','DD-MM-YYYY'),1800,354);</v>
      </c>
    </row>
    <row r="356" spans="1:5">
      <c r="A356" s="136" t="s">
        <v>2153</v>
      </c>
      <c r="B356" s="136" t="s">
        <v>2154</v>
      </c>
      <c r="C356" s="137">
        <f>ROUND(Precios!M356,0)</f>
        <v>2000</v>
      </c>
      <c r="D356" s="114">
        <f t="shared" si="11"/>
        <v>355</v>
      </c>
      <c r="E356" s="114" t="str">
        <f t="shared" si="10"/>
        <v>INSERT INTO PRECIOS (FECHA_INICIO, FECHA_FIN,PRECIO,ID_PRODUCTO) VALUES ( TO_DATE('01-01-2025','DD-MM-YYYY'), TO_DATE('31-12-2025','DD-MM-YYYY'),2000,355);</v>
      </c>
    </row>
    <row r="357" spans="1:5">
      <c r="A357" s="136" t="s">
        <v>2153</v>
      </c>
      <c r="B357" s="136" t="s">
        <v>2154</v>
      </c>
      <c r="C357" s="137">
        <f>ROUND(Precios!M357,0)</f>
        <v>3000</v>
      </c>
      <c r="D357" s="114">
        <f t="shared" si="11"/>
        <v>356</v>
      </c>
      <c r="E357" s="114" t="str">
        <f t="shared" si="10"/>
        <v>INSERT INTO PRECIOS (FECHA_INICIO, FECHA_FIN,PRECIO,ID_PRODUCTO) VALUES ( TO_DATE('01-01-2025','DD-MM-YYYY'), TO_DATE('31-12-2025','DD-MM-YYYY'),3000,356);</v>
      </c>
    </row>
    <row r="358" spans="1:5">
      <c r="A358" s="136" t="s">
        <v>2153</v>
      </c>
      <c r="B358" s="136" t="s">
        <v>2154</v>
      </c>
      <c r="C358" s="137">
        <f>ROUND(Precios!M358,0)</f>
        <v>1800</v>
      </c>
      <c r="D358" s="114">
        <f t="shared" si="11"/>
        <v>357</v>
      </c>
      <c r="E358" s="114" t="str">
        <f t="shared" si="10"/>
        <v>INSERT INTO PRECIOS (FECHA_INICIO, FECHA_FIN,PRECIO,ID_PRODUCTO) VALUES ( TO_DATE('01-01-2025','DD-MM-YYYY'), TO_DATE('31-12-2025','DD-MM-YYYY'),1800,357);</v>
      </c>
    </row>
    <row r="359" spans="1:5">
      <c r="A359" s="136" t="s">
        <v>2153</v>
      </c>
      <c r="B359" s="136" t="s">
        <v>2154</v>
      </c>
      <c r="C359" s="137">
        <f>ROUND(Precios!M359,0)</f>
        <v>2500</v>
      </c>
      <c r="D359" s="114">
        <f t="shared" si="11"/>
        <v>358</v>
      </c>
      <c r="E359" s="114" t="str">
        <f t="shared" si="10"/>
        <v>INSERT INTO PRECIOS (FECHA_INICIO, FECHA_FIN,PRECIO,ID_PRODUCTO) VALUES ( TO_DATE('01-01-2025','DD-MM-YYYY'), TO_DATE('31-12-2025','DD-MM-YYYY'),2500,358);</v>
      </c>
    </row>
    <row r="360" spans="1:5">
      <c r="A360" s="136" t="s">
        <v>2153</v>
      </c>
      <c r="B360" s="136" t="s">
        <v>2154</v>
      </c>
      <c r="C360" s="137">
        <f>ROUND(Precios!M360,0)</f>
        <v>2700</v>
      </c>
      <c r="D360" s="114">
        <f t="shared" si="11"/>
        <v>359</v>
      </c>
      <c r="E360" s="114" t="str">
        <f t="shared" si="10"/>
        <v>INSERT INTO PRECIOS (FECHA_INICIO, FECHA_FIN,PRECIO,ID_PRODUCTO) VALUES ( TO_DATE('01-01-2025','DD-MM-YYYY'), TO_DATE('31-12-2025','DD-MM-YYYY'),2700,359);</v>
      </c>
    </row>
    <row r="361" spans="1:5">
      <c r="A361" s="136" t="s">
        <v>2153</v>
      </c>
      <c r="B361" s="136" t="s">
        <v>2154</v>
      </c>
      <c r="C361" s="137">
        <f>ROUND(Precios!M361,0)</f>
        <v>3000</v>
      </c>
      <c r="D361" s="114">
        <f t="shared" si="11"/>
        <v>360</v>
      </c>
      <c r="E361" s="114" t="str">
        <f t="shared" si="10"/>
        <v>INSERT INTO PRECIOS (FECHA_INICIO, FECHA_FIN,PRECIO,ID_PRODUCTO) VALUES ( TO_DATE('01-01-2025','DD-MM-YYYY'), TO_DATE('31-12-2025','DD-MM-YYYY'),3000,360);</v>
      </c>
    </row>
    <row r="362" spans="1:5">
      <c r="A362" s="136" t="s">
        <v>2153</v>
      </c>
      <c r="B362" s="136" t="s">
        <v>2154</v>
      </c>
      <c r="C362" s="137">
        <f>ROUND(Precios!M362,0)</f>
        <v>3500</v>
      </c>
      <c r="D362" s="114">
        <f t="shared" si="11"/>
        <v>361</v>
      </c>
      <c r="E362" s="114" t="str">
        <f t="shared" si="10"/>
        <v>INSERT INTO PRECIOS (FECHA_INICIO, FECHA_FIN,PRECIO,ID_PRODUCTO) VALUES ( TO_DATE('01-01-2025','DD-MM-YYYY'), TO_DATE('31-12-2025','DD-MM-YYYY'),3500,361);</v>
      </c>
    </row>
    <row r="363" spans="1:5">
      <c r="A363" s="136" t="s">
        <v>2153</v>
      </c>
      <c r="B363" s="136" t="s">
        <v>2154</v>
      </c>
      <c r="C363" s="137">
        <f>ROUND(Precios!M363,0)</f>
        <v>4100</v>
      </c>
      <c r="D363" s="114">
        <f t="shared" si="11"/>
        <v>362</v>
      </c>
      <c r="E363" s="114" t="str">
        <f t="shared" si="10"/>
        <v>INSERT INTO PRECIOS (FECHA_INICIO, FECHA_FIN,PRECIO,ID_PRODUCTO) VALUES ( TO_DATE('01-01-2025','DD-MM-YYYY'), TO_DATE('31-12-2025','DD-MM-YYYY'),4100,362);</v>
      </c>
    </row>
    <row r="364" spans="1:5">
      <c r="A364" s="136" t="s">
        <v>2153</v>
      </c>
      <c r="B364" s="136" t="s">
        <v>2154</v>
      </c>
      <c r="C364" s="137">
        <f>ROUND(Precios!M364,0)</f>
        <v>3700</v>
      </c>
      <c r="D364" s="114">
        <f t="shared" si="11"/>
        <v>363</v>
      </c>
      <c r="E364" s="114" t="str">
        <f t="shared" si="10"/>
        <v>INSERT INTO PRECIOS (FECHA_INICIO, FECHA_FIN,PRECIO,ID_PRODUCTO) VALUES ( TO_DATE('01-01-2025','DD-MM-YYYY'), TO_DATE('31-12-2025','DD-MM-YYYY'),3700,363);</v>
      </c>
    </row>
    <row r="365" spans="1:5">
      <c r="A365" s="136" t="s">
        <v>2153</v>
      </c>
      <c r="B365" s="136" t="s">
        <v>2154</v>
      </c>
      <c r="C365" s="137">
        <f>ROUND(Precios!M365,0)</f>
        <v>2600</v>
      </c>
      <c r="D365" s="114">
        <f t="shared" si="11"/>
        <v>364</v>
      </c>
      <c r="E365" s="114" t="str">
        <f t="shared" si="10"/>
        <v>INSERT INTO PRECIOS (FECHA_INICIO, FECHA_FIN,PRECIO,ID_PRODUCTO) VALUES ( TO_DATE('01-01-2025','DD-MM-YYYY'), TO_DATE('31-12-2025','DD-MM-YYYY'),2600,364);</v>
      </c>
    </row>
    <row r="366" spans="1:5">
      <c r="A366" s="136" t="s">
        <v>2153</v>
      </c>
      <c r="B366" s="136" t="s">
        <v>2154</v>
      </c>
      <c r="C366" s="137">
        <f>ROUND(Precios!M366,0)</f>
        <v>3200</v>
      </c>
      <c r="D366" s="114">
        <f t="shared" si="11"/>
        <v>365</v>
      </c>
      <c r="E366" s="114" t="str">
        <f t="shared" si="10"/>
        <v>INSERT INTO PRECIOS (FECHA_INICIO, FECHA_FIN,PRECIO,ID_PRODUCTO) VALUES ( TO_DATE('01-01-2025','DD-MM-YYYY'), TO_DATE('31-12-2025','DD-MM-YYYY'),3200,365);</v>
      </c>
    </row>
    <row r="367" spans="1:5">
      <c r="A367" s="136" t="s">
        <v>2153</v>
      </c>
      <c r="B367" s="136" t="s">
        <v>2154</v>
      </c>
      <c r="C367" s="137">
        <f>ROUND(Precios!M367,0)</f>
        <v>2300</v>
      </c>
      <c r="D367" s="114">
        <f t="shared" si="11"/>
        <v>366</v>
      </c>
      <c r="E367" s="114" t="str">
        <f t="shared" si="10"/>
        <v>INSERT INTO PRECIOS (FECHA_INICIO, FECHA_FIN,PRECIO,ID_PRODUCTO) VALUES ( TO_DATE('01-01-2025','DD-MM-YYYY'), TO_DATE('31-12-2025','DD-MM-YYYY'),2300,366);</v>
      </c>
    </row>
    <row r="368" spans="1:5">
      <c r="A368" s="136" t="s">
        <v>2153</v>
      </c>
      <c r="B368" s="136" t="s">
        <v>2154</v>
      </c>
      <c r="C368" s="137">
        <f>ROUND(Precios!M368,0)</f>
        <v>1500</v>
      </c>
      <c r="D368" s="114">
        <f t="shared" si="11"/>
        <v>367</v>
      </c>
      <c r="E368" s="114" t="str">
        <f t="shared" si="10"/>
        <v>INSERT INTO PRECIOS (FECHA_INICIO, FECHA_FIN,PRECIO,ID_PRODUCTO) VALUES ( TO_DATE('01-01-2025','DD-MM-YYYY'), TO_DATE('31-12-2025','DD-MM-YYYY'),1500,367);</v>
      </c>
    </row>
    <row r="369" spans="1:5">
      <c r="A369" s="136" t="s">
        <v>2153</v>
      </c>
      <c r="B369" s="136" t="s">
        <v>2154</v>
      </c>
      <c r="C369" s="137">
        <f>ROUND(Precios!M369,0)</f>
        <v>3000</v>
      </c>
      <c r="D369" s="114">
        <f t="shared" si="11"/>
        <v>368</v>
      </c>
      <c r="E369" s="114" t="str">
        <f t="shared" si="10"/>
        <v>INSERT INTO PRECIOS (FECHA_INICIO, FECHA_FIN,PRECIO,ID_PRODUCTO) VALUES ( TO_DATE('01-01-2025','DD-MM-YYYY'), TO_DATE('31-12-2025','DD-MM-YYYY'),3000,368);</v>
      </c>
    </row>
    <row r="370" spans="1:5">
      <c r="A370" s="136" t="s">
        <v>2153</v>
      </c>
      <c r="B370" s="136" t="s">
        <v>2154</v>
      </c>
      <c r="C370" s="137">
        <f>ROUND(Precios!M370,0)</f>
        <v>10500</v>
      </c>
      <c r="D370" s="114">
        <f t="shared" si="11"/>
        <v>369</v>
      </c>
      <c r="E370" s="114" t="str">
        <f t="shared" si="10"/>
        <v>INSERT INTO PRECIOS (FECHA_INICIO, FECHA_FIN,PRECIO,ID_PRODUCTO) VALUES ( TO_DATE('01-01-2025','DD-MM-YYYY'), TO_DATE('31-12-2025','DD-MM-YYYY'),10500,369);</v>
      </c>
    </row>
    <row r="371" spans="1:5">
      <c r="A371" s="136" t="s">
        <v>2153</v>
      </c>
      <c r="B371" s="136" t="s">
        <v>2154</v>
      </c>
      <c r="C371" s="137">
        <f>ROUND(Precios!M371,0)</f>
        <v>4000</v>
      </c>
      <c r="D371" s="114">
        <f t="shared" si="11"/>
        <v>370</v>
      </c>
      <c r="E371" s="114" t="str">
        <f t="shared" si="10"/>
        <v>INSERT INTO PRECIOS (FECHA_INICIO, FECHA_FIN,PRECIO,ID_PRODUCTO) VALUES ( TO_DATE('01-01-2025','DD-MM-YYYY'), TO_DATE('31-12-2025','DD-MM-YYYY'),4000,370);</v>
      </c>
    </row>
    <row r="372" spans="1:5">
      <c r="A372" s="136" t="s">
        <v>2153</v>
      </c>
      <c r="B372" s="136" t="s">
        <v>2154</v>
      </c>
      <c r="C372" s="137">
        <f>ROUND(Precios!M372,0)</f>
        <v>9500</v>
      </c>
      <c r="D372" s="114">
        <f t="shared" si="11"/>
        <v>371</v>
      </c>
      <c r="E372" s="114" t="str">
        <f t="shared" si="10"/>
        <v>INSERT INTO PRECIOS (FECHA_INICIO, FECHA_FIN,PRECIO,ID_PRODUCTO) VALUES ( TO_DATE('01-01-2025','DD-MM-YYYY'), TO_DATE('31-12-2025','DD-MM-YYYY'),9500,371);</v>
      </c>
    </row>
    <row r="373" spans="1:5">
      <c r="A373" s="136" t="s">
        <v>2153</v>
      </c>
      <c r="B373" s="136" t="s">
        <v>2154</v>
      </c>
      <c r="C373" s="137">
        <f>ROUND(Precios!M373,0)</f>
        <v>1300</v>
      </c>
      <c r="D373" s="114">
        <f t="shared" si="11"/>
        <v>372</v>
      </c>
      <c r="E373" s="114" t="str">
        <f t="shared" si="10"/>
        <v>INSERT INTO PRECIOS (FECHA_INICIO, FECHA_FIN,PRECIO,ID_PRODUCTO) VALUES ( TO_DATE('01-01-2025','DD-MM-YYYY'), TO_DATE('31-12-2025','DD-MM-YYYY'),1300,372);</v>
      </c>
    </row>
    <row r="374" spans="1:5">
      <c r="A374" s="136" t="s">
        <v>2153</v>
      </c>
      <c r="B374" s="136" t="s">
        <v>2154</v>
      </c>
      <c r="C374" s="137">
        <f>ROUND(Precios!M374,0)</f>
        <v>3500</v>
      </c>
      <c r="D374" s="114">
        <f t="shared" si="11"/>
        <v>373</v>
      </c>
      <c r="E374" s="114" t="str">
        <f t="shared" si="10"/>
        <v>INSERT INTO PRECIOS (FECHA_INICIO, FECHA_FIN,PRECIO,ID_PRODUCTO) VALUES ( TO_DATE('01-01-2025','DD-MM-YYYY'), TO_DATE('31-12-2025','DD-MM-YYYY'),3500,373);</v>
      </c>
    </row>
    <row r="375" spans="1:5">
      <c r="A375" s="136" t="s">
        <v>2153</v>
      </c>
      <c r="B375" s="136" t="s">
        <v>2154</v>
      </c>
      <c r="C375" s="137">
        <f>ROUND(Precios!M375,0)</f>
        <v>9500</v>
      </c>
      <c r="D375" s="114">
        <f t="shared" si="11"/>
        <v>374</v>
      </c>
      <c r="E375" s="114" t="str">
        <f t="shared" si="10"/>
        <v>INSERT INTO PRECIOS (FECHA_INICIO, FECHA_FIN,PRECIO,ID_PRODUCTO) VALUES ( TO_DATE('01-01-2025','DD-MM-YYYY'), TO_DATE('31-12-2025','DD-MM-YYYY'),9500,374);</v>
      </c>
    </row>
    <row r="376" spans="1:5">
      <c r="A376" s="136" t="s">
        <v>2153</v>
      </c>
      <c r="B376" s="136" t="s">
        <v>2154</v>
      </c>
      <c r="C376" s="137">
        <f>ROUND(Precios!M376,0)</f>
        <v>1800</v>
      </c>
      <c r="D376" s="114">
        <f t="shared" si="11"/>
        <v>375</v>
      </c>
      <c r="E376" s="114" t="str">
        <f t="shared" si="10"/>
        <v>INSERT INTO PRECIOS (FECHA_INICIO, FECHA_FIN,PRECIO,ID_PRODUCTO) VALUES ( TO_DATE('01-01-2025','DD-MM-YYYY'), TO_DATE('31-12-2025','DD-MM-YYYY'),1800,375);</v>
      </c>
    </row>
    <row r="377" spans="1:5">
      <c r="A377" s="136" t="s">
        <v>2153</v>
      </c>
      <c r="B377" s="136" t="s">
        <v>2154</v>
      </c>
      <c r="C377" s="137">
        <f>ROUND(Precios!M377,0)</f>
        <v>2200</v>
      </c>
      <c r="D377" s="114">
        <f t="shared" si="11"/>
        <v>376</v>
      </c>
      <c r="E377" s="114" t="str">
        <f t="shared" si="10"/>
        <v>INSERT INTO PRECIOS (FECHA_INICIO, FECHA_FIN,PRECIO,ID_PRODUCTO) VALUES ( TO_DATE('01-01-2025','DD-MM-YYYY'), TO_DATE('31-12-2025','DD-MM-YYYY'),2200,376);</v>
      </c>
    </row>
    <row r="378" spans="1:5">
      <c r="A378" s="136" t="s">
        <v>2153</v>
      </c>
      <c r="B378" s="136" t="s">
        <v>2154</v>
      </c>
      <c r="C378" s="137">
        <f>ROUND(Precios!M378,0)</f>
        <v>1600</v>
      </c>
      <c r="D378" s="114">
        <f t="shared" si="11"/>
        <v>377</v>
      </c>
      <c r="E378" s="114" t="str">
        <f t="shared" si="10"/>
        <v>INSERT INTO PRECIOS (FECHA_INICIO, FECHA_FIN,PRECIO,ID_PRODUCTO) VALUES ( TO_DATE('01-01-2025','DD-MM-YYYY'), TO_DATE('31-12-2025','DD-MM-YYYY'),1600,377);</v>
      </c>
    </row>
    <row r="379" spans="1:5">
      <c r="A379" s="136" t="s">
        <v>2153</v>
      </c>
      <c r="B379" s="136" t="s">
        <v>2154</v>
      </c>
      <c r="C379" s="137">
        <f>ROUND(Precios!M379,0)</f>
        <v>1200</v>
      </c>
      <c r="D379" s="114">
        <f t="shared" si="11"/>
        <v>378</v>
      </c>
      <c r="E379" s="114" t="str">
        <f t="shared" si="10"/>
        <v>INSERT INTO PRECIOS (FECHA_INICIO, FECHA_FIN,PRECIO,ID_PRODUCTO) VALUES ( TO_DATE('01-01-2025','DD-MM-YYYY'), TO_DATE('31-12-2025','DD-MM-YYYY'),1200,378);</v>
      </c>
    </row>
    <row r="380" spans="1:5">
      <c r="A380" s="136" t="s">
        <v>2153</v>
      </c>
      <c r="B380" s="136" t="s">
        <v>2154</v>
      </c>
      <c r="C380" s="137">
        <f>ROUND(Precios!M380,0)</f>
        <v>2000</v>
      </c>
      <c r="D380" s="114">
        <f t="shared" si="11"/>
        <v>379</v>
      </c>
      <c r="E380" s="114" t="str">
        <f t="shared" si="10"/>
        <v>INSERT INTO PRECIOS (FECHA_INICIO, FECHA_FIN,PRECIO,ID_PRODUCTO) VALUES ( TO_DATE('01-01-2025','DD-MM-YYYY'), TO_DATE('31-12-2025','DD-MM-YYYY'),2000,379);</v>
      </c>
    </row>
    <row r="381" spans="1:5">
      <c r="A381" s="136" t="s">
        <v>2153</v>
      </c>
      <c r="B381" s="136" t="s">
        <v>2154</v>
      </c>
      <c r="C381" s="137">
        <f>ROUND(Precios!M381,0)</f>
        <v>6900</v>
      </c>
      <c r="D381" s="114">
        <f t="shared" si="11"/>
        <v>380</v>
      </c>
      <c r="E381" s="114" t="str">
        <f t="shared" si="10"/>
        <v>INSERT INTO PRECIOS (FECHA_INICIO, FECHA_FIN,PRECIO,ID_PRODUCTO) VALUES ( TO_DATE('01-01-2025','DD-MM-YYYY'), TO_DATE('31-12-2025','DD-MM-YYYY'),6900,380);</v>
      </c>
    </row>
    <row r="382" spans="1:5">
      <c r="A382" s="136" t="s">
        <v>2153</v>
      </c>
      <c r="B382" s="136" t="s">
        <v>2154</v>
      </c>
      <c r="C382" s="137">
        <f>ROUND(Precios!M382,0)</f>
        <v>2400</v>
      </c>
      <c r="D382" s="114">
        <f t="shared" si="11"/>
        <v>381</v>
      </c>
      <c r="E382" s="114" t="str">
        <f t="shared" si="10"/>
        <v>INSERT INTO PRECIOS (FECHA_INICIO, FECHA_FIN,PRECIO,ID_PRODUCTO) VALUES ( TO_DATE('01-01-2025','DD-MM-YYYY'), TO_DATE('31-12-2025','DD-MM-YYYY'),2400,381);</v>
      </c>
    </row>
    <row r="383" spans="1:5">
      <c r="A383" s="136" t="s">
        <v>2153</v>
      </c>
      <c r="B383" s="136" t="s">
        <v>2154</v>
      </c>
      <c r="C383" s="137">
        <f>ROUND(Precios!M383,0)</f>
        <v>2600</v>
      </c>
      <c r="D383" s="114">
        <f t="shared" si="11"/>
        <v>382</v>
      </c>
      <c r="E383" s="114" t="str">
        <f t="shared" si="10"/>
        <v>INSERT INTO PRECIOS (FECHA_INICIO, FECHA_FIN,PRECIO,ID_PRODUCTO) VALUES ( TO_DATE('01-01-2025','DD-MM-YYYY'), TO_DATE('31-12-2025','DD-MM-YYYY'),2600,382);</v>
      </c>
    </row>
    <row r="384" spans="1:5">
      <c r="A384" s="136" t="s">
        <v>2153</v>
      </c>
      <c r="B384" s="136" t="s">
        <v>2154</v>
      </c>
      <c r="C384" s="137">
        <f>ROUND(Precios!M384,0)</f>
        <v>2400</v>
      </c>
      <c r="D384" s="114">
        <f t="shared" si="11"/>
        <v>383</v>
      </c>
      <c r="E384" s="114" t="str">
        <f t="shared" si="10"/>
        <v>INSERT INTO PRECIOS (FECHA_INICIO, FECHA_FIN,PRECIO,ID_PRODUCTO) VALUES ( TO_DATE('01-01-2025','DD-MM-YYYY'), TO_DATE('31-12-2025','DD-MM-YYYY'),2400,383);</v>
      </c>
    </row>
    <row r="385" spans="1:5">
      <c r="A385" s="136" t="s">
        <v>2153</v>
      </c>
      <c r="B385" s="136" t="s">
        <v>2154</v>
      </c>
      <c r="C385" s="137">
        <f>ROUND(Precios!M385,0)</f>
        <v>2750</v>
      </c>
      <c r="D385" s="114">
        <f t="shared" si="11"/>
        <v>384</v>
      </c>
      <c r="E385" s="114" t="str">
        <f t="shared" si="10"/>
        <v>INSERT INTO PRECIOS (FECHA_INICIO, FECHA_FIN,PRECIO,ID_PRODUCTO) VALUES ( TO_DATE('01-01-2025','DD-MM-YYYY'), TO_DATE('31-12-2025','DD-MM-YYYY'),2750,384);</v>
      </c>
    </row>
    <row r="386" spans="1:5">
      <c r="A386" s="136" t="s">
        <v>2153</v>
      </c>
      <c r="B386" s="136" t="s">
        <v>2154</v>
      </c>
      <c r="C386" s="137">
        <f>ROUND(Precios!M386,0)</f>
        <v>0</v>
      </c>
      <c r="D386" s="114">
        <f t="shared" si="11"/>
        <v>385</v>
      </c>
      <c r="E386" s="114" t="str">
        <f t="shared" si="10"/>
        <v>INSERT INTO PRECIOS (FECHA_INICIO, FECHA_FIN,PRECIO,ID_PRODUCTO) VALUES ( TO_DATE('01-01-2025','DD-MM-YYYY'), TO_DATE('31-12-2025','DD-MM-YYYY'),0,385);</v>
      </c>
    </row>
    <row r="387" spans="1:5">
      <c r="A387" s="136" t="s">
        <v>2153</v>
      </c>
      <c r="B387" s="136" t="s">
        <v>2154</v>
      </c>
      <c r="C387" s="137">
        <f>ROUND(Precios!M387,0)</f>
        <v>2700</v>
      </c>
      <c r="D387" s="114">
        <f t="shared" si="11"/>
        <v>386</v>
      </c>
      <c r="E387" s="114" t="str">
        <f t="shared" ref="E387:E388" si="12">CONCATENATE("INSERT INTO PRECIOS (FECHA_INICIO, FECHA_FIN,PRECIO,ID_PRODUCTO) VALUES ( TO_DATE(","'",A387,"'",",'DD-MM-YYYY')",", TO_DATE(","'",B387,"'",",'DD-MM-YYYY')",",",C387,",",D387,");")</f>
        <v>INSERT INTO PRECIOS (FECHA_INICIO, FECHA_FIN,PRECIO,ID_PRODUCTO) VALUES ( TO_DATE('01-01-2025','DD-MM-YYYY'), TO_DATE('31-12-2025','DD-MM-YYYY'),2700,386);</v>
      </c>
    </row>
    <row r="388" spans="1:5">
      <c r="A388" s="136" t="s">
        <v>2153</v>
      </c>
      <c r="B388" s="136" t="s">
        <v>2154</v>
      </c>
      <c r="C388" s="137">
        <f>ROUND(Precios!M388,0)</f>
        <v>1500</v>
      </c>
      <c r="D388" s="114">
        <f t="shared" ref="D388" si="13">D387+1</f>
        <v>387</v>
      </c>
      <c r="E388" s="114" t="str">
        <f t="shared" si="12"/>
        <v>INSERT INTO PRECIOS (FECHA_INICIO, FECHA_FIN,PRECIO,ID_PRODUCTO) VALUES ( TO_DATE('01-01-2025','DD-MM-YYYY'), TO_DATE('31-12-2025','DD-MM-YYYY'),1500,387);</v>
      </c>
    </row>
    <row r="389" spans="1:5">
      <c r="E389" s="107" t="s">
        <v>2052</v>
      </c>
    </row>
  </sheetData>
  <pageMargins left="0.7" right="0.7" top="0.75" bottom="0.75" header="0.3" footer="0.3"/>
  <pageSetup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1635"/>
  <sheetViews>
    <sheetView topLeftCell="A1609" workbookViewId="0">
      <selection activeCell="J5" sqref="J5:J1635"/>
    </sheetView>
  </sheetViews>
  <sheetFormatPr baseColWidth="10" defaultRowHeight="13.2"/>
  <cols>
    <col min="1" max="1" width="19.6640625" bestFit="1" customWidth="1"/>
    <col min="2" max="2" width="17.77734375" bestFit="1" customWidth="1"/>
    <col min="3" max="3" width="16.33203125" bestFit="1" customWidth="1"/>
    <col min="4" max="4" width="15.88671875" bestFit="1" customWidth="1"/>
    <col min="5" max="5" width="11.77734375" bestFit="1" customWidth="1"/>
    <col min="6" max="6" width="10.88671875" customWidth="1"/>
    <col min="7" max="7" width="10" customWidth="1"/>
    <col min="8" max="8" width="8.33203125" customWidth="1"/>
  </cols>
  <sheetData>
    <row r="3" spans="1:10">
      <c r="F3" s="138" t="s">
        <v>2160</v>
      </c>
    </row>
    <row r="4" spans="1:10">
      <c r="A4" s="148" t="s">
        <v>2053</v>
      </c>
      <c r="B4" s="148" t="s">
        <v>2161</v>
      </c>
      <c r="C4" s="148" t="s">
        <v>2155</v>
      </c>
      <c r="D4" s="148" t="s">
        <v>2057</v>
      </c>
      <c r="E4" s="148" t="s">
        <v>2126</v>
      </c>
      <c r="F4" s="152" t="s">
        <v>2162</v>
      </c>
      <c r="G4" s="153" t="s">
        <v>2163</v>
      </c>
      <c r="H4" s="154" t="s">
        <v>2164</v>
      </c>
      <c r="I4" s="112" t="s">
        <v>2053</v>
      </c>
      <c r="J4" s="112" t="s">
        <v>1695</v>
      </c>
    </row>
    <row r="5" spans="1:10">
      <c r="A5" s="149">
        <v>1</v>
      </c>
      <c r="B5" s="149">
        <v>1</v>
      </c>
      <c r="C5" s="151" t="s">
        <v>2165</v>
      </c>
      <c r="D5" s="150" t="s">
        <v>2090</v>
      </c>
      <c r="E5" s="150">
        <v>108</v>
      </c>
      <c r="F5" s="142">
        <v>10600</v>
      </c>
      <c r="G5" s="143">
        <v>8908</v>
      </c>
      <c r="H5" s="144">
        <v>1692</v>
      </c>
      <c r="I5" s="140">
        <v>1</v>
      </c>
      <c r="J5" s="114" t="str">
        <f>CONCATENATE("INSERT INTO DOCUMENTOS (NRO_DOCUMENTO,FECHA_EMISION,TOTAL_BRUTO,TOTAL_NETO,TOTAL_IVA, ID_TIPO, RUT_EMPLEADO, ID_CLIENTE) VALUES(",B5,",","TO_DATE('",C5,"'",",'DD-MM-YYYY'),",F5,",",G5,",",H5,",",I5,",","'",D5,"',",E5,");")</f>
        <v>INSERT INTO DOCUMENTOS (NRO_DOCUMENTO,FECHA_EMISION,TOTAL_BRUTO,TOTAL_NETO,TOTAL_IVA, ID_TIPO, RUT_EMPLEADO, ID_CLIENTE) VALUES(1,TO_DATE('02-01-2025','DD-MM-YYYY'),10600,8908,1692,1,'14526149-K',108);</v>
      </c>
    </row>
    <row r="6" spans="1:10">
      <c r="A6" s="149"/>
      <c r="B6" s="149">
        <v>2</v>
      </c>
      <c r="C6" s="118" t="s">
        <v>2165</v>
      </c>
      <c r="D6" t="s">
        <v>2090</v>
      </c>
      <c r="E6" s="150">
        <v>110</v>
      </c>
      <c r="F6" s="142">
        <v>14000</v>
      </c>
      <c r="G6" s="143">
        <v>11765</v>
      </c>
      <c r="H6" s="144">
        <v>2235</v>
      </c>
      <c r="I6" s="140">
        <v>1</v>
      </c>
      <c r="J6" s="114" t="str">
        <f t="shared" ref="J6:J69" si="0">CONCATENATE("INSERT INTO DOCUMENTOS (NRO_DOCUMENTO,FECHA_EMISION,TOTAL_BRUTO,TOTAL_NETO,TOTAL_IVA, ID_TIPO, RUT_EMPLEADO, ID_CLIENTE) VALUES(",B6,",","TO_DATE('",C6,"'",",'DD-MM-YYYY'),",F6,",",G6,",",H6,",",I6,",","'",D6,"',",E6,");")</f>
        <v>INSERT INTO DOCUMENTOS (NRO_DOCUMENTO,FECHA_EMISION,TOTAL_BRUTO,TOTAL_NETO,TOTAL_IVA, ID_TIPO, RUT_EMPLEADO, ID_CLIENTE) VALUES(2,TO_DATE('02-01-2025','DD-MM-YYYY'),14000,11765,2235,1,'14526149-K',110);</v>
      </c>
    </row>
    <row r="7" spans="1:10">
      <c r="A7" s="149"/>
      <c r="B7" s="149">
        <v>3</v>
      </c>
      <c r="C7" s="118" t="s">
        <v>2165</v>
      </c>
      <c r="D7" t="s">
        <v>2090</v>
      </c>
      <c r="E7" s="150">
        <v>111</v>
      </c>
      <c r="F7" s="142">
        <v>15500</v>
      </c>
      <c r="G7" s="143">
        <v>13025</v>
      </c>
      <c r="H7" s="144">
        <v>2475</v>
      </c>
      <c r="I7" s="140">
        <v>1</v>
      </c>
      <c r="J7" s="114" t="str">
        <f t="shared" si="0"/>
        <v>INSERT INTO DOCUMENTOS (NRO_DOCUMENTO,FECHA_EMISION,TOTAL_BRUTO,TOTAL_NETO,TOTAL_IVA, ID_TIPO, RUT_EMPLEADO, ID_CLIENTE) VALUES(3,TO_DATE('02-01-2025','DD-MM-YYYY'),15500,13025,2475,1,'14526149-K',111);</v>
      </c>
    </row>
    <row r="8" spans="1:10">
      <c r="A8" s="149"/>
      <c r="B8" s="149">
        <v>4</v>
      </c>
      <c r="C8" s="118" t="s">
        <v>2165</v>
      </c>
      <c r="D8" t="s">
        <v>2090</v>
      </c>
      <c r="E8" s="150">
        <v>116</v>
      </c>
      <c r="F8" s="142">
        <v>20900</v>
      </c>
      <c r="G8" s="143">
        <v>17562</v>
      </c>
      <c r="H8" s="144">
        <v>3338</v>
      </c>
      <c r="I8" s="140">
        <v>1</v>
      </c>
      <c r="J8" s="114" t="str">
        <f t="shared" si="0"/>
        <v>INSERT INTO DOCUMENTOS (NRO_DOCUMENTO,FECHA_EMISION,TOTAL_BRUTO,TOTAL_NETO,TOTAL_IVA, ID_TIPO, RUT_EMPLEADO, ID_CLIENTE) VALUES(4,TO_DATE('02-01-2025','DD-MM-YYYY'),20900,17562,3338,1,'14526149-K',116);</v>
      </c>
    </row>
    <row r="9" spans="1:10">
      <c r="A9" s="149"/>
      <c r="B9" s="149">
        <v>5</v>
      </c>
      <c r="C9" s="118" t="s">
        <v>2165</v>
      </c>
      <c r="D9" t="s">
        <v>2090</v>
      </c>
      <c r="E9" s="150">
        <v>119</v>
      </c>
      <c r="F9" s="142">
        <v>12000</v>
      </c>
      <c r="G9" s="143">
        <v>10084</v>
      </c>
      <c r="H9" s="144">
        <v>1916</v>
      </c>
      <c r="I9" s="140">
        <v>1</v>
      </c>
      <c r="J9" s="114" t="str">
        <f t="shared" si="0"/>
        <v>INSERT INTO DOCUMENTOS (NRO_DOCUMENTO,FECHA_EMISION,TOTAL_BRUTO,TOTAL_NETO,TOTAL_IVA, ID_TIPO, RUT_EMPLEADO, ID_CLIENTE) VALUES(5,TO_DATE('02-01-2025','DD-MM-YYYY'),12000,10084,1916,1,'14526149-K',119);</v>
      </c>
    </row>
    <row r="10" spans="1:10">
      <c r="A10" s="149"/>
      <c r="B10" s="149">
        <v>6</v>
      </c>
      <c r="C10" s="118" t="s">
        <v>2165</v>
      </c>
      <c r="D10" t="s">
        <v>2090</v>
      </c>
      <c r="E10" s="150">
        <v>166</v>
      </c>
      <c r="F10" s="142">
        <v>7250</v>
      </c>
      <c r="G10" s="143">
        <v>6092</v>
      </c>
      <c r="H10" s="144">
        <v>1158</v>
      </c>
      <c r="I10" s="140">
        <v>1</v>
      </c>
      <c r="J10" s="114" t="str">
        <f t="shared" si="0"/>
        <v>INSERT INTO DOCUMENTOS (NRO_DOCUMENTO,FECHA_EMISION,TOTAL_BRUTO,TOTAL_NETO,TOTAL_IVA, ID_TIPO, RUT_EMPLEADO, ID_CLIENTE) VALUES(6,TO_DATE('02-01-2025','DD-MM-YYYY'),7250,6092,1158,1,'14526149-K',166);</v>
      </c>
    </row>
    <row r="11" spans="1:10">
      <c r="A11" s="149"/>
      <c r="B11" s="149">
        <v>7</v>
      </c>
      <c r="C11" s="118" t="s">
        <v>2165</v>
      </c>
      <c r="D11" t="s">
        <v>2090</v>
      </c>
      <c r="E11" s="150">
        <v>219</v>
      </c>
      <c r="F11" s="142">
        <v>26490</v>
      </c>
      <c r="G11" s="143">
        <v>22260</v>
      </c>
      <c r="H11" s="144">
        <v>4230</v>
      </c>
      <c r="I11" s="140">
        <v>1</v>
      </c>
      <c r="J11" s="114" t="str">
        <f t="shared" si="0"/>
        <v>INSERT INTO DOCUMENTOS (NRO_DOCUMENTO,FECHA_EMISION,TOTAL_BRUTO,TOTAL_NETO,TOTAL_IVA, ID_TIPO, RUT_EMPLEADO, ID_CLIENTE) VALUES(7,TO_DATE('02-01-2025','DD-MM-YYYY'),26490,22260,4230,1,'14526149-K',219);</v>
      </c>
    </row>
    <row r="12" spans="1:10">
      <c r="A12" s="149"/>
      <c r="B12" s="149">
        <v>8</v>
      </c>
      <c r="C12" s="118" t="s">
        <v>2165</v>
      </c>
      <c r="D12" t="s">
        <v>2090</v>
      </c>
      <c r="E12" s="150">
        <v>353</v>
      </c>
      <c r="F12" s="142">
        <v>19990</v>
      </c>
      <c r="G12" s="143">
        <v>16798</v>
      </c>
      <c r="H12" s="144">
        <v>3192</v>
      </c>
      <c r="I12" s="140">
        <v>1</v>
      </c>
      <c r="J12" s="114" t="str">
        <f t="shared" si="0"/>
        <v>INSERT INTO DOCUMENTOS (NRO_DOCUMENTO,FECHA_EMISION,TOTAL_BRUTO,TOTAL_NETO,TOTAL_IVA, ID_TIPO, RUT_EMPLEADO, ID_CLIENTE) VALUES(8,TO_DATE('02-01-2025','DD-MM-YYYY'),19990,16798,3192,1,'14526149-K',353);</v>
      </c>
    </row>
    <row r="13" spans="1:10">
      <c r="A13" s="149"/>
      <c r="B13" s="149">
        <v>9</v>
      </c>
      <c r="C13" s="118" t="s">
        <v>2165</v>
      </c>
      <c r="D13" t="s">
        <v>2090</v>
      </c>
      <c r="E13" s="150">
        <v>374</v>
      </c>
      <c r="F13" s="142">
        <v>10500</v>
      </c>
      <c r="G13" s="143">
        <v>8824</v>
      </c>
      <c r="H13" s="144">
        <v>1676</v>
      </c>
      <c r="I13" s="140">
        <v>1</v>
      </c>
      <c r="J13" s="114" t="str">
        <f t="shared" si="0"/>
        <v>INSERT INTO DOCUMENTOS (NRO_DOCUMENTO,FECHA_EMISION,TOTAL_BRUTO,TOTAL_NETO,TOTAL_IVA, ID_TIPO, RUT_EMPLEADO, ID_CLIENTE) VALUES(9,TO_DATE('02-01-2025','DD-MM-YYYY'),10500,8824,1676,1,'14526149-K',374);</v>
      </c>
    </row>
    <row r="14" spans="1:10">
      <c r="A14" s="149"/>
      <c r="B14" s="149">
        <v>10</v>
      </c>
      <c r="C14" s="118" t="s">
        <v>2165</v>
      </c>
      <c r="D14" t="s">
        <v>2090</v>
      </c>
      <c r="E14" s="150">
        <v>446</v>
      </c>
      <c r="F14" s="142">
        <v>11500</v>
      </c>
      <c r="G14" s="143">
        <v>9664</v>
      </c>
      <c r="H14" s="144">
        <v>1836</v>
      </c>
      <c r="I14" s="140">
        <v>1</v>
      </c>
      <c r="J14" s="114" t="str">
        <f t="shared" si="0"/>
        <v>INSERT INTO DOCUMENTOS (NRO_DOCUMENTO,FECHA_EMISION,TOTAL_BRUTO,TOTAL_NETO,TOTAL_IVA, ID_TIPO, RUT_EMPLEADO, ID_CLIENTE) VALUES(10,TO_DATE('02-01-2025','DD-MM-YYYY'),11500,9664,1836,1,'14526149-K',446);</v>
      </c>
    </row>
    <row r="15" spans="1:10">
      <c r="A15" s="149"/>
      <c r="B15" s="149">
        <v>11</v>
      </c>
      <c r="C15" s="118" t="s">
        <v>2165</v>
      </c>
      <c r="D15" t="s">
        <v>2090</v>
      </c>
      <c r="E15" s="150">
        <v>457</v>
      </c>
      <c r="F15" s="142">
        <v>15500</v>
      </c>
      <c r="G15" s="143">
        <v>13025</v>
      </c>
      <c r="H15" s="144">
        <v>2475</v>
      </c>
      <c r="I15" s="140">
        <v>1</v>
      </c>
      <c r="J15" s="114" t="str">
        <f t="shared" si="0"/>
        <v>INSERT INTO DOCUMENTOS (NRO_DOCUMENTO,FECHA_EMISION,TOTAL_BRUTO,TOTAL_NETO,TOTAL_IVA, ID_TIPO, RUT_EMPLEADO, ID_CLIENTE) VALUES(11,TO_DATE('02-01-2025','DD-MM-YYYY'),15500,13025,2475,1,'14526149-K',457);</v>
      </c>
    </row>
    <row r="16" spans="1:10">
      <c r="A16" s="149"/>
      <c r="B16" s="149">
        <v>12</v>
      </c>
      <c r="C16" s="118" t="s">
        <v>2165</v>
      </c>
      <c r="D16" t="s">
        <v>2090</v>
      </c>
      <c r="E16" s="150">
        <v>469</v>
      </c>
      <c r="F16" s="142">
        <v>6500</v>
      </c>
      <c r="G16" s="143">
        <v>5462</v>
      </c>
      <c r="H16" s="144">
        <v>1038</v>
      </c>
      <c r="I16" s="140">
        <v>1</v>
      </c>
      <c r="J16" s="114" t="str">
        <f t="shared" si="0"/>
        <v>INSERT INTO DOCUMENTOS (NRO_DOCUMENTO,FECHA_EMISION,TOTAL_BRUTO,TOTAL_NETO,TOTAL_IVA, ID_TIPO, RUT_EMPLEADO, ID_CLIENTE) VALUES(12,TO_DATE('02-01-2025','DD-MM-YYYY'),6500,5462,1038,1,'14526149-K',469);</v>
      </c>
    </row>
    <row r="17" spans="1:10">
      <c r="A17" s="149"/>
      <c r="B17" s="149">
        <v>13</v>
      </c>
      <c r="C17" s="118" t="s">
        <v>2165</v>
      </c>
      <c r="D17" t="s">
        <v>2090</v>
      </c>
      <c r="E17" s="150">
        <v>470</v>
      </c>
      <c r="F17" s="142">
        <v>6900</v>
      </c>
      <c r="G17" s="143">
        <v>5798</v>
      </c>
      <c r="H17" s="144">
        <v>1102</v>
      </c>
      <c r="I17" s="140">
        <v>1</v>
      </c>
      <c r="J17" s="114" t="str">
        <f t="shared" si="0"/>
        <v>INSERT INTO DOCUMENTOS (NRO_DOCUMENTO,FECHA_EMISION,TOTAL_BRUTO,TOTAL_NETO,TOTAL_IVA, ID_TIPO, RUT_EMPLEADO, ID_CLIENTE) VALUES(13,TO_DATE('02-01-2025','DD-MM-YYYY'),6900,5798,1102,1,'14526149-K',470);</v>
      </c>
    </row>
    <row r="18" spans="1:10">
      <c r="A18" s="149"/>
      <c r="B18" s="149">
        <v>14</v>
      </c>
      <c r="C18" s="151" t="s">
        <v>2166</v>
      </c>
      <c r="D18" t="s">
        <v>2090</v>
      </c>
      <c r="E18" s="150">
        <v>22</v>
      </c>
      <c r="F18" s="142">
        <v>28500</v>
      </c>
      <c r="G18" s="143">
        <v>23949</v>
      </c>
      <c r="H18" s="144">
        <v>4551</v>
      </c>
      <c r="I18" s="140">
        <v>1</v>
      </c>
      <c r="J18" s="114" t="str">
        <f t="shared" si="0"/>
        <v>INSERT INTO DOCUMENTOS (NRO_DOCUMENTO,FECHA_EMISION,TOTAL_BRUTO,TOTAL_NETO,TOTAL_IVA, ID_TIPO, RUT_EMPLEADO, ID_CLIENTE) VALUES(14,TO_DATE('03-01-2025','DD-MM-YYYY'),28500,23949,4551,1,'14526149-K',22);</v>
      </c>
    </row>
    <row r="19" spans="1:10">
      <c r="A19" s="149"/>
      <c r="B19" s="149">
        <v>15</v>
      </c>
      <c r="C19" s="118" t="s">
        <v>2166</v>
      </c>
      <c r="D19" t="s">
        <v>2090</v>
      </c>
      <c r="E19" s="150">
        <v>65</v>
      </c>
      <c r="F19" s="142">
        <v>18500</v>
      </c>
      <c r="G19" s="143">
        <v>15546</v>
      </c>
      <c r="H19" s="144">
        <v>2954</v>
      </c>
      <c r="I19" s="140">
        <v>1</v>
      </c>
      <c r="J19" s="114" t="str">
        <f t="shared" si="0"/>
        <v>INSERT INTO DOCUMENTOS (NRO_DOCUMENTO,FECHA_EMISION,TOTAL_BRUTO,TOTAL_NETO,TOTAL_IVA, ID_TIPO, RUT_EMPLEADO, ID_CLIENTE) VALUES(15,TO_DATE('03-01-2025','DD-MM-YYYY'),18500,15546,2954,1,'14526149-K',65);</v>
      </c>
    </row>
    <row r="20" spans="1:10">
      <c r="A20" s="149"/>
      <c r="B20" s="149">
        <v>16</v>
      </c>
      <c r="C20" s="118" t="s">
        <v>2166</v>
      </c>
      <c r="D20" t="s">
        <v>2090</v>
      </c>
      <c r="E20" s="150">
        <v>73</v>
      </c>
      <c r="F20" s="142">
        <v>41000</v>
      </c>
      <c r="G20" s="143">
        <v>34454</v>
      </c>
      <c r="H20" s="144">
        <v>6546</v>
      </c>
      <c r="I20" s="140">
        <v>1</v>
      </c>
      <c r="J20" s="114" t="str">
        <f t="shared" si="0"/>
        <v>INSERT INTO DOCUMENTOS (NRO_DOCUMENTO,FECHA_EMISION,TOTAL_BRUTO,TOTAL_NETO,TOTAL_IVA, ID_TIPO, RUT_EMPLEADO, ID_CLIENTE) VALUES(16,TO_DATE('03-01-2025','DD-MM-YYYY'),41000,34454,6546,1,'14526149-K',73);</v>
      </c>
    </row>
    <row r="21" spans="1:10">
      <c r="A21" s="149"/>
      <c r="B21" s="149">
        <v>17</v>
      </c>
      <c r="C21" s="118" t="s">
        <v>2166</v>
      </c>
      <c r="D21" t="s">
        <v>2090</v>
      </c>
      <c r="E21" s="150">
        <v>342</v>
      </c>
      <c r="F21" s="142">
        <v>63960</v>
      </c>
      <c r="G21" s="143">
        <v>53748</v>
      </c>
      <c r="H21" s="144">
        <v>10212</v>
      </c>
      <c r="I21" s="140">
        <v>1</v>
      </c>
      <c r="J21" s="114" t="str">
        <f t="shared" si="0"/>
        <v>INSERT INTO DOCUMENTOS (NRO_DOCUMENTO,FECHA_EMISION,TOTAL_BRUTO,TOTAL_NETO,TOTAL_IVA, ID_TIPO, RUT_EMPLEADO, ID_CLIENTE) VALUES(17,TO_DATE('03-01-2025','DD-MM-YYYY'),63960,53748,10212,1,'14526149-K',342);</v>
      </c>
    </row>
    <row r="22" spans="1:10">
      <c r="A22" s="149"/>
      <c r="B22" s="149">
        <v>18</v>
      </c>
      <c r="C22" s="118" t="s">
        <v>2166</v>
      </c>
      <c r="D22" t="s">
        <v>2090</v>
      </c>
      <c r="E22" s="150">
        <v>374</v>
      </c>
      <c r="F22" s="142">
        <v>49000</v>
      </c>
      <c r="G22" s="143">
        <v>41177</v>
      </c>
      <c r="H22" s="144">
        <v>7823</v>
      </c>
      <c r="I22" s="140">
        <v>1</v>
      </c>
      <c r="J22" s="114" t="str">
        <f t="shared" si="0"/>
        <v>INSERT INTO DOCUMENTOS (NRO_DOCUMENTO,FECHA_EMISION,TOTAL_BRUTO,TOTAL_NETO,TOTAL_IVA, ID_TIPO, RUT_EMPLEADO, ID_CLIENTE) VALUES(18,TO_DATE('03-01-2025','DD-MM-YYYY'),49000,41177,7823,1,'14526149-K',374);</v>
      </c>
    </row>
    <row r="23" spans="1:10">
      <c r="A23" s="149"/>
      <c r="B23" s="149">
        <v>19</v>
      </c>
      <c r="C23" s="151" t="s">
        <v>2167</v>
      </c>
      <c r="D23" t="s">
        <v>2090</v>
      </c>
      <c r="E23" s="150">
        <v>76</v>
      </c>
      <c r="F23" s="142">
        <v>10500</v>
      </c>
      <c r="G23" s="143">
        <v>8824</v>
      </c>
      <c r="H23" s="144">
        <v>1676</v>
      </c>
      <c r="I23" s="140">
        <v>1</v>
      </c>
      <c r="J23" s="114" t="str">
        <f t="shared" si="0"/>
        <v>INSERT INTO DOCUMENTOS (NRO_DOCUMENTO,FECHA_EMISION,TOTAL_BRUTO,TOTAL_NETO,TOTAL_IVA, ID_TIPO, RUT_EMPLEADO, ID_CLIENTE) VALUES(19,TO_DATE('04-01-2025','DD-MM-YYYY'),10500,8824,1676,1,'14526149-K',76);</v>
      </c>
    </row>
    <row r="24" spans="1:10">
      <c r="A24" s="149"/>
      <c r="B24" s="149">
        <v>20</v>
      </c>
      <c r="C24" s="118" t="s">
        <v>2167</v>
      </c>
      <c r="D24" t="s">
        <v>2090</v>
      </c>
      <c r="E24" s="150">
        <v>98</v>
      </c>
      <c r="F24" s="142">
        <v>5500</v>
      </c>
      <c r="G24" s="143">
        <v>4622</v>
      </c>
      <c r="H24" s="144">
        <v>878</v>
      </c>
      <c r="I24" s="140">
        <v>1</v>
      </c>
      <c r="J24" s="114" t="str">
        <f t="shared" si="0"/>
        <v>INSERT INTO DOCUMENTOS (NRO_DOCUMENTO,FECHA_EMISION,TOTAL_BRUTO,TOTAL_NETO,TOTAL_IVA, ID_TIPO, RUT_EMPLEADO, ID_CLIENTE) VALUES(20,TO_DATE('04-01-2025','DD-MM-YYYY'),5500,4622,878,1,'14526149-K',98);</v>
      </c>
    </row>
    <row r="25" spans="1:10">
      <c r="A25" s="149"/>
      <c r="B25" s="149">
        <v>21</v>
      </c>
      <c r="C25" s="118" t="s">
        <v>2167</v>
      </c>
      <c r="D25" t="s">
        <v>2090</v>
      </c>
      <c r="E25" s="150">
        <v>152</v>
      </c>
      <c r="F25" s="142">
        <v>6500</v>
      </c>
      <c r="G25" s="143">
        <v>5462</v>
      </c>
      <c r="H25" s="144">
        <v>1038</v>
      </c>
      <c r="I25" s="140">
        <v>1</v>
      </c>
      <c r="J25" s="114" t="str">
        <f t="shared" si="0"/>
        <v>INSERT INTO DOCUMENTOS (NRO_DOCUMENTO,FECHA_EMISION,TOTAL_BRUTO,TOTAL_NETO,TOTAL_IVA, ID_TIPO, RUT_EMPLEADO, ID_CLIENTE) VALUES(21,TO_DATE('04-01-2025','DD-MM-YYYY'),6500,5462,1038,1,'14526149-K',152);</v>
      </c>
    </row>
    <row r="26" spans="1:10">
      <c r="A26" s="149"/>
      <c r="B26" s="149">
        <v>22</v>
      </c>
      <c r="C26" s="118" t="s">
        <v>2167</v>
      </c>
      <c r="D26" t="s">
        <v>2090</v>
      </c>
      <c r="E26" s="150">
        <v>171</v>
      </c>
      <c r="F26" s="142">
        <v>6500</v>
      </c>
      <c r="G26" s="143">
        <v>5462</v>
      </c>
      <c r="H26" s="144">
        <v>1038</v>
      </c>
      <c r="I26" s="140">
        <v>1</v>
      </c>
      <c r="J26" s="114" t="str">
        <f t="shared" si="0"/>
        <v>INSERT INTO DOCUMENTOS (NRO_DOCUMENTO,FECHA_EMISION,TOTAL_BRUTO,TOTAL_NETO,TOTAL_IVA, ID_TIPO, RUT_EMPLEADO, ID_CLIENTE) VALUES(22,TO_DATE('04-01-2025','DD-MM-YYYY'),6500,5462,1038,1,'14526149-K',171);</v>
      </c>
    </row>
    <row r="27" spans="1:10">
      <c r="A27" s="149"/>
      <c r="B27" s="149">
        <v>23</v>
      </c>
      <c r="C27" s="118" t="s">
        <v>2167</v>
      </c>
      <c r="D27" t="s">
        <v>2090</v>
      </c>
      <c r="E27" s="150">
        <v>202</v>
      </c>
      <c r="F27" s="142">
        <v>6500</v>
      </c>
      <c r="G27" s="143">
        <v>5462</v>
      </c>
      <c r="H27" s="144">
        <v>1038</v>
      </c>
      <c r="I27" s="140">
        <v>1</v>
      </c>
      <c r="J27" s="114" t="str">
        <f t="shared" si="0"/>
        <v>INSERT INTO DOCUMENTOS (NRO_DOCUMENTO,FECHA_EMISION,TOTAL_BRUTO,TOTAL_NETO,TOTAL_IVA, ID_TIPO, RUT_EMPLEADO, ID_CLIENTE) VALUES(23,TO_DATE('04-01-2025','DD-MM-YYYY'),6500,5462,1038,1,'14526149-K',202);</v>
      </c>
    </row>
    <row r="28" spans="1:10">
      <c r="A28" s="149"/>
      <c r="B28" s="149">
        <v>24</v>
      </c>
      <c r="C28" s="118" t="s">
        <v>2167</v>
      </c>
      <c r="D28" t="s">
        <v>2090</v>
      </c>
      <c r="E28" s="150">
        <v>405</v>
      </c>
      <c r="F28" s="142">
        <v>15990</v>
      </c>
      <c r="G28" s="143">
        <v>13437</v>
      </c>
      <c r="H28" s="144">
        <v>2553</v>
      </c>
      <c r="I28" s="140">
        <v>1</v>
      </c>
      <c r="J28" s="114" t="str">
        <f t="shared" si="0"/>
        <v>INSERT INTO DOCUMENTOS (NRO_DOCUMENTO,FECHA_EMISION,TOTAL_BRUTO,TOTAL_NETO,TOTAL_IVA, ID_TIPO, RUT_EMPLEADO, ID_CLIENTE) VALUES(24,TO_DATE('04-01-2025','DD-MM-YYYY'),15990,13437,2553,1,'14526149-K',405);</v>
      </c>
    </row>
    <row r="29" spans="1:10">
      <c r="A29" s="149"/>
      <c r="B29" s="149">
        <v>25</v>
      </c>
      <c r="C29" s="151" t="s">
        <v>2168</v>
      </c>
      <c r="D29" t="s">
        <v>2090</v>
      </c>
      <c r="E29" s="150">
        <v>334</v>
      </c>
      <c r="F29" s="142">
        <v>2000</v>
      </c>
      <c r="G29" s="143">
        <v>1681</v>
      </c>
      <c r="H29" s="144">
        <v>319</v>
      </c>
      <c r="I29" s="140">
        <v>1</v>
      </c>
      <c r="J29" s="114" t="str">
        <f t="shared" si="0"/>
        <v>INSERT INTO DOCUMENTOS (NRO_DOCUMENTO,FECHA_EMISION,TOTAL_BRUTO,TOTAL_NETO,TOTAL_IVA, ID_TIPO, RUT_EMPLEADO, ID_CLIENTE) VALUES(25,TO_DATE('05-01-2025','DD-MM-YYYY'),2000,1681,319,1,'14526149-K',334);</v>
      </c>
    </row>
    <row r="30" spans="1:10">
      <c r="A30" s="149"/>
      <c r="B30" s="149">
        <v>26</v>
      </c>
      <c r="C30" s="118" t="s">
        <v>2168</v>
      </c>
      <c r="D30" t="s">
        <v>2090</v>
      </c>
      <c r="E30" s="150">
        <v>360</v>
      </c>
      <c r="F30" s="142">
        <v>17500</v>
      </c>
      <c r="G30" s="143">
        <v>14706</v>
      </c>
      <c r="H30" s="144">
        <v>2794</v>
      </c>
      <c r="I30" s="140">
        <v>1</v>
      </c>
      <c r="J30" s="114" t="str">
        <f t="shared" si="0"/>
        <v>INSERT INTO DOCUMENTOS (NRO_DOCUMENTO,FECHA_EMISION,TOTAL_BRUTO,TOTAL_NETO,TOTAL_IVA, ID_TIPO, RUT_EMPLEADO, ID_CLIENTE) VALUES(26,TO_DATE('05-01-2025','DD-MM-YYYY'),17500,14706,2794,1,'14526149-K',360);</v>
      </c>
    </row>
    <row r="31" spans="1:10">
      <c r="A31" s="149"/>
      <c r="B31" s="149">
        <v>27</v>
      </c>
      <c r="C31" s="118" t="s">
        <v>2168</v>
      </c>
      <c r="D31" t="s">
        <v>2090</v>
      </c>
      <c r="E31" s="150">
        <v>397</v>
      </c>
      <c r="F31" s="142">
        <v>10500</v>
      </c>
      <c r="G31" s="143">
        <v>8824</v>
      </c>
      <c r="H31" s="144">
        <v>1676</v>
      </c>
      <c r="I31" s="140">
        <v>1</v>
      </c>
      <c r="J31" s="114" t="str">
        <f t="shared" si="0"/>
        <v>INSERT INTO DOCUMENTOS (NRO_DOCUMENTO,FECHA_EMISION,TOTAL_BRUTO,TOTAL_NETO,TOTAL_IVA, ID_TIPO, RUT_EMPLEADO, ID_CLIENTE) VALUES(27,TO_DATE('05-01-2025','DD-MM-YYYY'),10500,8824,1676,1,'14526149-K',397);</v>
      </c>
    </row>
    <row r="32" spans="1:10">
      <c r="A32" s="149"/>
      <c r="B32" s="149">
        <v>28</v>
      </c>
      <c r="C32" s="118" t="s">
        <v>2168</v>
      </c>
      <c r="D32" t="s">
        <v>2090</v>
      </c>
      <c r="E32" s="150">
        <v>407</v>
      </c>
      <c r="F32" s="142">
        <v>3500</v>
      </c>
      <c r="G32" s="143">
        <v>2941</v>
      </c>
      <c r="H32" s="144">
        <v>559</v>
      </c>
      <c r="I32" s="140">
        <v>1</v>
      </c>
      <c r="J32" s="114" t="str">
        <f t="shared" si="0"/>
        <v>INSERT INTO DOCUMENTOS (NRO_DOCUMENTO,FECHA_EMISION,TOTAL_BRUTO,TOTAL_NETO,TOTAL_IVA, ID_TIPO, RUT_EMPLEADO, ID_CLIENTE) VALUES(28,TO_DATE('05-01-2025','DD-MM-YYYY'),3500,2941,559,1,'14526149-K',407);</v>
      </c>
    </row>
    <row r="33" spans="1:10">
      <c r="A33" s="149"/>
      <c r="B33" s="149">
        <v>29</v>
      </c>
      <c r="C33" s="151" t="s">
        <v>2169</v>
      </c>
      <c r="D33" t="s">
        <v>2090</v>
      </c>
      <c r="E33" s="150">
        <v>402</v>
      </c>
      <c r="F33" s="142">
        <v>12500</v>
      </c>
      <c r="G33" s="143">
        <v>10504</v>
      </c>
      <c r="H33" s="144">
        <v>1996</v>
      </c>
      <c r="I33" s="140">
        <v>1</v>
      </c>
      <c r="J33" s="114" t="str">
        <f t="shared" si="0"/>
        <v>INSERT INTO DOCUMENTOS (NRO_DOCUMENTO,FECHA_EMISION,TOTAL_BRUTO,TOTAL_NETO,TOTAL_IVA, ID_TIPO, RUT_EMPLEADO, ID_CLIENTE) VALUES(29,TO_DATE('06-01-2025','DD-MM-YYYY'),12500,10504,1996,1,'14526149-K',402);</v>
      </c>
    </row>
    <row r="34" spans="1:10">
      <c r="A34" s="149"/>
      <c r="B34" s="149">
        <v>30</v>
      </c>
      <c r="C34" s="118" t="s">
        <v>2169</v>
      </c>
      <c r="D34" t="s">
        <v>2090</v>
      </c>
      <c r="E34" s="150">
        <v>412</v>
      </c>
      <c r="F34" s="142">
        <v>6500</v>
      </c>
      <c r="G34" s="143">
        <v>5462</v>
      </c>
      <c r="H34" s="144">
        <v>1038</v>
      </c>
      <c r="I34" s="140">
        <v>1</v>
      </c>
      <c r="J34" s="114" t="str">
        <f t="shared" si="0"/>
        <v>INSERT INTO DOCUMENTOS (NRO_DOCUMENTO,FECHA_EMISION,TOTAL_BRUTO,TOTAL_NETO,TOTAL_IVA, ID_TIPO, RUT_EMPLEADO, ID_CLIENTE) VALUES(30,TO_DATE('06-01-2025','DD-MM-YYYY'),6500,5462,1038,1,'14526149-K',412);</v>
      </c>
    </row>
    <row r="35" spans="1:10">
      <c r="A35" s="149"/>
      <c r="B35" s="149">
        <v>31</v>
      </c>
      <c r="C35" s="151" t="s">
        <v>2170</v>
      </c>
      <c r="D35" t="s">
        <v>2090</v>
      </c>
      <c r="E35" s="150">
        <v>166</v>
      </c>
      <c r="F35" s="142">
        <v>18200</v>
      </c>
      <c r="G35" s="143">
        <v>15294</v>
      </c>
      <c r="H35" s="144">
        <v>2906</v>
      </c>
      <c r="I35" s="140">
        <v>1</v>
      </c>
      <c r="J35" s="114" t="str">
        <f t="shared" si="0"/>
        <v>INSERT INTO DOCUMENTOS (NRO_DOCUMENTO,FECHA_EMISION,TOTAL_BRUTO,TOTAL_NETO,TOTAL_IVA, ID_TIPO, RUT_EMPLEADO, ID_CLIENTE) VALUES(31,TO_DATE('07-01-2025','DD-MM-YYYY'),18200,15294,2906,1,'14526149-K',166);</v>
      </c>
    </row>
    <row r="36" spans="1:10">
      <c r="A36" s="149"/>
      <c r="B36" s="149">
        <v>32</v>
      </c>
      <c r="C36" s="118" t="s">
        <v>2170</v>
      </c>
      <c r="D36" t="s">
        <v>2090</v>
      </c>
      <c r="E36" s="150">
        <v>411</v>
      </c>
      <c r="F36" s="142">
        <v>18500</v>
      </c>
      <c r="G36" s="143">
        <v>15546</v>
      </c>
      <c r="H36" s="144">
        <v>2954</v>
      </c>
      <c r="I36" s="140">
        <v>1</v>
      </c>
      <c r="J36" s="114" t="str">
        <f t="shared" si="0"/>
        <v>INSERT INTO DOCUMENTOS (NRO_DOCUMENTO,FECHA_EMISION,TOTAL_BRUTO,TOTAL_NETO,TOTAL_IVA, ID_TIPO, RUT_EMPLEADO, ID_CLIENTE) VALUES(32,TO_DATE('07-01-2025','DD-MM-YYYY'),18500,15546,2954,1,'14526149-K',411);</v>
      </c>
    </row>
    <row r="37" spans="1:10">
      <c r="A37" s="149"/>
      <c r="B37" s="149">
        <v>33</v>
      </c>
      <c r="C37" s="151" t="s">
        <v>2171</v>
      </c>
      <c r="D37" t="s">
        <v>2090</v>
      </c>
      <c r="E37" s="150">
        <v>62</v>
      </c>
      <c r="F37" s="142">
        <v>149890</v>
      </c>
      <c r="G37" s="143">
        <v>125958</v>
      </c>
      <c r="H37" s="144">
        <v>23932</v>
      </c>
      <c r="I37" s="140">
        <v>1</v>
      </c>
      <c r="J37" s="114" t="str">
        <f t="shared" si="0"/>
        <v>INSERT INTO DOCUMENTOS (NRO_DOCUMENTO,FECHA_EMISION,TOTAL_BRUTO,TOTAL_NETO,TOTAL_IVA, ID_TIPO, RUT_EMPLEADO, ID_CLIENTE) VALUES(33,TO_DATE('08-01-2025','DD-MM-YYYY'),149890,125958,23932,1,'14526149-K',62);</v>
      </c>
    </row>
    <row r="38" spans="1:10">
      <c r="A38" s="149"/>
      <c r="B38" s="149">
        <v>34</v>
      </c>
      <c r="C38" s="118" t="s">
        <v>2171</v>
      </c>
      <c r="D38" t="s">
        <v>2090</v>
      </c>
      <c r="E38" s="150">
        <v>212</v>
      </c>
      <c r="F38" s="142">
        <v>22500</v>
      </c>
      <c r="G38" s="143">
        <v>18908</v>
      </c>
      <c r="H38" s="144">
        <v>3592</v>
      </c>
      <c r="I38" s="140">
        <v>1</v>
      </c>
      <c r="J38" s="114" t="str">
        <f t="shared" si="0"/>
        <v>INSERT INTO DOCUMENTOS (NRO_DOCUMENTO,FECHA_EMISION,TOTAL_BRUTO,TOTAL_NETO,TOTAL_IVA, ID_TIPO, RUT_EMPLEADO, ID_CLIENTE) VALUES(34,TO_DATE('08-01-2025','DD-MM-YYYY'),22500,18908,3592,1,'14526149-K',212);</v>
      </c>
    </row>
    <row r="39" spans="1:10">
      <c r="A39" s="149"/>
      <c r="B39" s="149">
        <v>35</v>
      </c>
      <c r="C39" s="118" t="s">
        <v>2171</v>
      </c>
      <c r="D39" t="s">
        <v>2090</v>
      </c>
      <c r="E39" s="150">
        <v>298</v>
      </c>
      <c r="F39" s="142">
        <v>36700</v>
      </c>
      <c r="G39" s="143">
        <v>30840</v>
      </c>
      <c r="H39" s="144">
        <v>5860</v>
      </c>
      <c r="I39" s="140">
        <v>1</v>
      </c>
      <c r="J39" s="114" t="str">
        <f t="shared" si="0"/>
        <v>INSERT INTO DOCUMENTOS (NRO_DOCUMENTO,FECHA_EMISION,TOTAL_BRUTO,TOTAL_NETO,TOTAL_IVA, ID_TIPO, RUT_EMPLEADO, ID_CLIENTE) VALUES(35,TO_DATE('08-01-2025','DD-MM-YYYY'),36700,30840,5860,1,'14526149-K',298);</v>
      </c>
    </row>
    <row r="40" spans="1:10">
      <c r="A40" s="149"/>
      <c r="B40" s="149">
        <v>36</v>
      </c>
      <c r="C40" s="151" t="s">
        <v>2172</v>
      </c>
      <c r="D40" t="s">
        <v>2090</v>
      </c>
      <c r="E40" s="150">
        <v>108</v>
      </c>
      <c r="F40" s="142">
        <v>12300</v>
      </c>
      <c r="G40" s="143">
        <v>10336</v>
      </c>
      <c r="H40" s="144">
        <v>1964</v>
      </c>
      <c r="I40" s="140">
        <v>1</v>
      </c>
      <c r="J40" s="114" t="str">
        <f t="shared" si="0"/>
        <v>INSERT INTO DOCUMENTOS (NRO_DOCUMENTO,FECHA_EMISION,TOTAL_BRUTO,TOTAL_NETO,TOTAL_IVA, ID_TIPO, RUT_EMPLEADO, ID_CLIENTE) VALUES(36,TO_DATE('09-01-2025','DD-MM-YYYY'),12300,10336,1964,1,'14526149-K',108);</v>
      </c>
    </row>
    <row r="41" spans="1:10">
      <c r="A41" s="149"/>
      <c r="B41" s="149">
        <v>37</v>
      </c>
      <c r="C41" s="118" t="s">
        <v>2172</v>
      </c>
      <c r="D41" t="s">
        <v>2090</v>
      </c>
      <c r="E41" s="150">
        <v>254</v>
      </c>
      <c r="F41" s="142">
        <v>20500</v>
      </c>
      <c r="G41" s="143">
        <v>17227</v>
      </c>
      <c r="H41" s="144">
        <v>3273</v>
      </c>
      <c r="I41" s="140">
        <v>1</v>
      </c>
      <c r="J41" s="114" t="str">
        <f t="shared" si="0"/>
        <v>INSERT INTO DOCUMENTOS (NRO_DOCUMENTO,FECHA_EMISION,TOTAL_BRUTO,TOTAL_NETO,TOTAL_IVA, ID_TIPO, RUT_EMPLEADO, ID_CLIENTE) VALUES(37,TO_DATE('09-01-2025','DD-MM-YYYY'),20500,17227,3273,1,'14526149-K',254);</v>
      </c>
    </row>
    <row r="42" spans="1:10">
      <c r="A42" s="149"/>
      <c r="B42" s="149">
        <v>38</v>
      </c>
      <c r="C42" s="118" t="s">
        <v>2172</v>
      </c>
      <c r="D42" t="s">
        <v>2090</v>
      </c>
      <c r="E42" s="150">
        <v>315</v>
      </c>
      <c r="F42" s="142">
        <v>5500</v>
      </c>
      <c r="G42" s="143">
        <v>4622</v>
      </c>
      <c r="H42" s="144">
        <v>878</v>
      </c>
      <c r="I42" s="140">
        <v>1</v>
      </c>
      <c r="J42" s="114" t="str">
        <f t="shared" si="0"/>
        <v>INSERT INTO DOCUMENTOS (NRO_DOCUMENTO,FECHA_EMISION,TOTAL_BRUTO,TOTAL_NETO,TOTAL_IVA, ID_TIPO, RUT_EMPLEADO, ID_CLIENTE) VALUES(38,TO_DATE('09-01-2025','DD-MM-YYYY'),5500,4622,878,1,'14526149-K',315);</v>
      </c>
    </row>
    <row r="43" spans="1:10">
      <c r="A43" s="149"/>
      <c r="B43" s="149">
        <v>39</v>
      </c>
      <c r="C43" s="151" t="s">
        <v>2173</v>
      </c>
      <c r="D43" t="s">
        <v>2090</v>
      </c>
      <c r="E43" s="150">
        <v>68</v>
      </c>
      <c r="F43" s="142">
        <v>16000</v>
      </c>
      <c r="G43" s="143">
        <v>13445</v>
      </c>
      <c r="H43" s="144">
        <v>2555</v>
      </c>
      <c r="I43" s="140">
        <v>1</v>
      </c>
      <c r="J43" s="114" t="str">
        <f t="shared" si="0"/>
        <v>INSERT INTO DOCUMENTOS (NRO_DOCUMENTO,FECHA_EMISION,TOTAL_BRUTO,TOTAL_NETO,TOTAL_IVA, ID_TIPO, RUT_EMPLEADO, ID_CLIENTE) VALUES(39,TO_DATE('10-01-2025','DD-MM-YYYY'),16000,13445,2555,1,'14526149-K',68);</v>
      </c>
    </row>
    <row r="44" spans="1:10">
      <c r="A44" s="149"/>
      <c r="B44" s="149">
        <v>40</v>
      </c>
      <c r="C44" s="118" t="s">
        <v>2173</v>
      </c>
      <c r="D44" t="s">
        <v>2090</v>
      </c>
      <c r="E44" s="150">
        <v>122</v>
      </c>
      <c r="F44" s="142">
        <v>22100</v>
      </c>
      <c r="G44" s="143">
        <v>18571</v>
      </c>
      <c r="H44" s="144">
        <v>3529</v>
      </c>
      <c r="I44" s="140">
        <v>1</v>
      </c>
      <c r="J44" s="114" t="str">
        <f t="shared" si="0"/>
        <v>INSERT INTO DOCUMENTOS (NRO_DOCUMENTO,FECHA_EMISION,TOTAL_BRUTO,TOTAL_NETO,TOTAL_IVA, ID_TIPO, RUT_EMPLEADO, ID_CLIENTE) VALUES(40,TO_DATE('10-01-2025','DD-MM-YYYY'),22100,18571,3529,1,'14526149-K',122);</v>
      </c>
    </row>
    <row r="45" spans="1:10">
      <c r="A45" s="149"/>
      <c r="B45" s="149">
        <v>41</v>
      </c>
      <c r="C45" s="118" t="s">
        <v>2173</v>
      </c>
      <c r="D45" t="s">
        <v>2090</v>
      </c>
      <c r="E45" s="150">
        <v>155</v>
      </c>
      <c r="F45" s="142">
        <v>6500</v>
      </c>
      <c r="G45" s="143">
        <v>5462</v>
      </c>
      <c r="H45" s="144">
        <v>1038</v>
      </c>
      <c r="I45" s="140">
        <v>1</v>
      </c>
      <c r="J45" s="114" t="str">
        <f t="shared" si="0"/>
        <v>INSERT INTO DOCUMENTOS (NRO_DOCUMENTO,FECHA_EMISION,TOTAL_BRUTO,TOTAL_NETO,TOTAL_IVA, ID_TIPO, RUT_EMPLEADO, ID_CLIENTE) VALUES(41,TO_DATE('10-01-2025','DD-MM-YYYY'),6500,5462,1038,1,'14526149-K',155);</v>
      </c>
    </row>
    <row r="46" spans="1:10">
      <c r="A46" s="149"/>
      <c r="B46" s="149">
        <v>42</v>
      </c>
      <c r="C46" s="118" t="s">
        <v>2173</v>
      </c>
      <c r="D46" t="s">
        <v>2090</v>
      </c>
      <c r="E46" s="150">
        <v>198</v>
      </c>
      <c r="F46" s="142">
        <v>10500</v>
      </c>
      <c r="G46" s="143">
        <v>8824</v>
      </c>
      <c r="H46" s="144">
        <v>1676</v>
      </c>
      <c r="I46" s="140">
        <v>1</v>
      </c>
      <c r="J46" s="114" t="str">
        <f t="shared" si="0"/>
        <v>INSERT INTO DOCUMENTOS (NRO_DOCUMENTO,FECHA_EMISION,TOTAL_BRUTO,TOTAL_NETO,TOTAL_IVA, ID_TIPO, RUT_EMPLEADO, ID_CLIENTE) VALUES(42,TO_DATE('10-01-2025','DD-MM-YYYY'),10500,8824,1676,1,'14526149-K',198);</v>
      </c>
    </row>
    <row r="47" spans="1:10">
      <c r="A47" s="149"/>
      <c r="B47" s="149">
        <v>43</v>
      </c>
      <c r="C47" s="118" t="s">
        <v>2173</v>
      </c>
      <c r="D47" t="s">
        <v>2090</v>
      </c>
      <c r="E47" s="150">
        <v>268</v>
      </c>
      <c r="F47" s="142">
        <v>105808</v>
      </c>
      <c r="G47" s="143">
        <v>88915</v>
      </c>
      <c r="H47" s="144">
        <v>16893</v>
      </c>
      <c r="I47" s="140">
        <v>1</v>
      </c>
      <c r="J47" s="114" t="str">
        <f t="shared" si="0"/>
        <v>INSERT INTO DOCUMENTOS (NRO_DOCUMENTO,FECHA_EMISION,TOTAL_BRUTO,TOTAL_NETO,TOTAL_IVA, ID_TIPO, RUT_EMPLEADO, ID_CLIENTE) VALUES(43,TO_DATE('10-01-2025','DD-MM-YYYY'),105808,88915,16893,1,'14526149-K',268);</v>
      </c>
    </row>
    <row r="48" spans="1:10">
      <c r="A48" s="149"/>
      <c r="B48" s="149">
        <v>44</v>
      </c>
      <c r="C48" s="118" t="s">
        <v>2173</v>
      </c>
      <c r="D48" t="s">
        <v>2090</v>
      </c>
      <c r="E48" s="150">
        <v>358</v>
      </c>
      <c r="F48" s="142">
        <v>12000</v>
      </c>
      <c r="G48" s="143">
        <v>10084</v>
      </c>
      <c r="H48" s="144">
        <v>1916</v>
      </c>
      <c r="I48" s="140">
        <v>1</v>
      </c>
      <c r="J48" s="114" t="str">
        <f t="shared" si="0"/>
        <v>INSERT INTO DOCUMENTOS (NRO_DOCUMENTO,FECHA_EMISION,TOTAL_BRUTO,TOTAL_NETO,TOTAL_IVA, ID_TIPO, RUT_EMPLEADO, ID_CLIENTE) VALUES(44,TO_DATE('10-01-2025','DD-MM-YYYY'),12000,10084,1916,1,'14526149-K',358);</v>
      </c>
    </row>
    <row r="49" spans="1:10">
      <c r="A49" s="149"/>
      <c r="B49" s="149">
        <v>45</v>
      </c>
      <c r="C49" s="118" t="s">
        <v>2173</v>
      </c>
      <c r="D49" t="s">
        <v>2090</v>
      </c>
      <c r="E49" s="150">
        <v>446</v>
      </c>
      <c r="F49" s="142">
        <v>11500</v>
      </c>
      <c r="G49" s="143">
        <v>9664</v>
      </c>
      <c r="H49" s="144">
        <v>1836</v>
      </c>
      <c r="I49" s="140">
        <v>1</v>
      </c>
      <c r="J49" s="114" t="str">
        <f t="shared" si="0"/>
        <v>INSERT INTO DOCUMENTOS (NRO_DOCUMENTO,FECHA_EMISION,TOTAL_BRUTO,TOTAL_NETO,TOTAL_IVA, ID_TIPO, RUT_EMPLEADO, ID_CLIENTE) VALUES(45,TO_DATE('10-01-2025','DD-MM-YYYY'),11500,9664,1836,1,'14526149-K',446);</v>
      </c>
    </row>
    <row r="50" spans="1:10">
      <c r="A50" s="149"/>
      <c r="B50" s="149">
        <v>46</v>
      </c>
      <c r="C50" s="151" t="s">
        <v>2174</v>
      </c>
      <c r="D50" t="s">
        <v>2090</v>
      </c>
      <c r="E50" s="150">
        <v>56</v>
      </c>
      <c r="F50" s="142">
        <v>19990</v>
      </c>
      <c r="G50" s="143">
        <v>16798</v>
      </c>
      <c r="H50" s="144">
        <v>3192</v>
      </c>
      <c r="I50" s="140">
        <v>1</v>
      </c>
      <c r="J50" s="114" t="str">
        <f t="shared" si="0"/>
        <v>INSERT INTO DOCUMENTOS (NRO_DOCUMENTO,FECHA_EMISION,TOTAL_BRUTO,TOTAL_NETO,TOTAL_IVA, ID_TIPO, RUT_EMPLEADO, ID_CLIENTE) VALUES(46,TO_DATE('11-01-2025','DD-MM-YYYY'),19990,16798,3192,1,'14526149-K',56);</v>
      </c>
    </row>
    <row r="51" spans="1:10">
      <c r="A51" s="149"/>
      <c r="B51" s="149">
        <v>47</v>
      </c>
      <c r="C51" s="118" t="s">
        <v>2174</v>
      </c>
      <c r="D51" t="s">
        <v>2090</v>
      </c>
      <c r="E51" s="150">
        <v>85</v>
      </c>
      <c r="F51" s="142">
        <v>6500</v>
      </c>
      <c r="G51" s="143">
        <v>5462</v>
      </c>
      <c r="H51" s="144">
        <v>1038</v>
      </c>
      <c r="I51" s="140">
        <v>1</v>
      </c>
      <c r="J51" s="114" t="str">
        <f t="shared" si="0"/>
        <v>INSERT INTO DOCUMENTOS (NRO_DOCUMENTO,FECHA_EMISION,TOTAL_BRUTO,TOTAL_NETO,TOTAL_IVA, ID_TIPO, RUT_EMPLEADO, ID_CLIENTE) VALUES(47,TO_DATE('11-01-2025','DD-MM-YYYY'),6500,5462,1038,1,'14526149-K',85);</v>
      </c>
    </row>
    <row r="52" spans="1:10">
      <c r="A52" s="149"/>
      <c r="B52" s="149">
        <v>48</v>
      </c>
      <c r="C52" s="118" t="s">
        <v>2174</v>
      </c>
      <c r="D52" t="s">
        <v>2090</v>
      </c>
      <c r="E52" s="150">
        <v>89</v>
      </c>
      <c r="F52" s="142">
        <v>31990</v>
      </c>
      <c r="G52" s="143">
        <v>26882</v>
      </c>
      <c r="H52" s="144">
        <v>5108</v>
      </c>
      <c r="I52" s="140">
        <v>1</v>
      </c>
      <c r="J52" s="114" t="str">
        <f t="shared" si="0"/>
        <v>INSERT INTO DOCUMENTOS (NRO_DOCUMENTO,FECHA_EMISION,TOTAL_BRUTO,TOTAL_NETO,TOTAL_IVA, ID_TIPO, RUT_EMPLEADO, ID_CLIENTE) VALUES(48,TO_DATE('11-01-2025','DD-MM-YYYY'),31990,26882,5108,1,'14526149-K',89);</v>
      </c>
    </row>
    <row r="53" spans="1:10">
      <c r="A53" s="149"/>
      <c r="B53" s="149">
        <v>49</v>
      </c>
      <c r="C53" s="118" t="s">
        <v>2174</v>
      </c>
      <c r="D53" t="s">
        <v>2090</v>
      </c>
      <c r="E53" s="150">
        <v>108</v>
      </c>
      <c r="F53" s="142">
        <v>14000</v>
      </c>
      <c r="G53" s="143">
        <v>11765</v>
      </c>
      <c r="H53" s="144">
        <v>2235</v>
      </c>
      <c r="I53" s="140">
        <v>1</v>
      </c>
      <c r="J53" s="114" t="str">
        <f t="shared" si="0"/>
        <v>INSERT INTO DOCUMENTOS (NRO_DOCUMENTO,FECHA_EMISION,TOTAL_BRUTO,TOTAL_NETO,TOTAL_IVA, ID_TIPO, RUT_EMPLEADO, ID_CLIENTE) VALUES(49,TO_DATE('11-01-2025','DD-MM-YYYY'),14000,11765,2235,1,'14526149-K',108);</v>
      </c>
    </row>
    <row r="54" spans="1:10">
      <c r="A54" s="149"/>
      <c r="B54" s="150">
        <v>50</v>
      </c>
      <c r="C54" s="118" t="s">
        <v>2174</v>
      </c>
      <c r="D54" t="s">
        <v>2090</v>
      </c>
      <c r="E54" s="150">
        <v>122</v>
      </c>
      <c r="F54" s="142">
        <v>12500</v>
      </c>
      <c r="G54" s="143">
        <v>10504</v>
      </c>
      <c r="H54" s="144">
        <v>1996</v>
      </c>
      <c r="I54" s="140">
        <v>1</v>
      </c>
      <c r="J54" s="114" t="str">
        <f t="shared" si="0"/>
        <v>INSERT INTO DOCUMENTOS (NRO_DOCUMENTO,FECHA_EMISION,TOTAL_BRUTO,TOTAL_NETO,TOTAL_IVA, ID_TIPO, RUT_EMPLEADO, ID_CLIENTE) VALUES(50,TO_DATE('11-01-2025','DD-MM-YYYY'),12500,10504,1996,1,'14526149-K',122);</v>
      </c>
    </row>
    <row r="55" spans="1:10">
      <c r="A55" s="149"/>
      <c r="B55" s="149">
        <v>51</v>
      </c>
      <c r="C55" s="118" t="s">
        <v>2174</v>
      </c>
      <c r="D55" t="s">
        <v>2090</v>
      </c>
      <c r="E55" s="150">
        <v>166</v>
      </c>
      <c r="F55" s="142">
        <v>5700</v>
      </c>
      <c r="G55" s="143">
        <v>4791</v>
      </c>
      <c r="H55" s="144">
        <v>909</v>
      </c>
      <c r="I55" s="140">
        <v>1</v>
      </c>
      <c r="J55" s="114" t="str">
        <f t="shared" si="0"/>
        <v>INSERT INTO DOCUMENTOS (NRO_DOCUMENTO,FECHA_EMISION,TOTAL_BRUTO,TOTAL_NETO,TOTAL_IVA, ID_TIPO, RUT_EMPLEADO, ID_CLIENTE) VALUES(51,TO_DATE('11-01-2025','DD-MM-YYYY'),5700,4791,909,1,'14526149-K',166);</v>
      </c>
    </row>
    <row r="56" spans="1:10">
      <c r="A56" s="149"/>
      <c r="B56" s="149">
        <v>52</v>
      </c>
      <c r="C56" s="118" t="s">
        <v>2174</v>
      </c>
      <c r="D56" t="s">
        <v>2090</v>
      </c>
      <c r="E56" s="150">
        <v>238</v>
      </c>
      <c r="F56" s="142">
        <v>12000</v>
      </c>
      <c r="G56" s="143">
        <v>10084</v>
      </c>
      <c r="H56" s="144">
        <v>1916</v>
      </c>
      <c r="I56" s="140">
        <v>1</v>
      </c>
      <c r="J56" s="114" t="str">
        <f t="shared" si="0"/>
        <v>INSERT INTO DOCUMENTOS (NRO_DOCUMENTO,FECHA_EMISION,TOTAL_BRUTO,TOTAL_NETO,TOTAL_IVA, ID_TIPO, RUT_EMPLEADO, ID_CLIENTE) VALUES(52,TO_DATE('11-01-2025','DD-MM-YYYY'),12000,10084,1916,1,'14526149-K',238);</v>
      </c>
    </row>
    <row r="57" spans="1:10">
      <c r="A57" s="149"/>
      <c r="B57" s="149">
        <v>53</v>
      </c>
      <c r="C57" s="118" t="s">
        <v>2174</v>
      </c>
      <c r="D57" t="s">
        <v>2090</v>
      </c>
      <c r="E57" s="150">
        <v>302</v>
      </c>
      <c r="F57" s="142">
        <v>10500</v>
      </c>
      <c r="G57" s="143">
        <v>8824</v>
      </c>
      <c r="H57" s="144">
        <v>1676</v>
      </c>
      <c r="I57" s="140">
        <v>1</v>
      </c>
      <c r="J57" s="114" t="str">
        <f t="shared" si="0"/>
        <v>INSERT INTO DOCUMENTOS (NRO_DOCUMENTO,FECHA_EMISION,TOTAL_BRUTO,TOTAL_NETO,TOTAL_IVA, ID_TIPO, RUT_EMPLEADO, ID_CLIENTE) VALUES(53,TO_DATE('11-01-2025','DD-MM-YYYY'),10500,8824,1676,1,'14526149-K',302);</v>
      </c>
    </row>
    <row r="58" spans="1:10">
      <c r="A58" s="149"/>
      <c r="B58" s="149">
        <v>54</v>
      </c>
      <c r="C58" s="118" t="s">
        <v>2174</v>
      </c>
      <c r="D58" t="s">
        <v>2090</v>
      </c>
      <c r="E58" s="150">
        <v>315</v>
      </c>
      <c r="F58" s="142">
        <v>2600</v>
      </c>
      <c r="G58" s="143">
        <v>2185</v>
      </c>
      <c r="H58" s="144">
        <v>415</v>
      </c>
      <c r="I58" s="140">
        <v>1</v>
      </c>
      <c r="J58" s="114" t="str">
        <f t="shared" si="0"/>
        <v>INSERT INTO DOCUMENTOS (NRO_DOCUMENTO,FECHA_EMISION,TOTAL_BRUTO,TOTAL_NETO,TOTAL_IVA, ID_TIPO, RUT_EMPLEADO, ID_CLIENTE) VALUES(54,TO_DATE('11-01-2025','DD-MM-YYYY'),2600,2185,415,1,'14526149-K',315);</v>
      </c>
    </row>
    <row r="59" spans="1:10">
      <c r="A59" s="149"/>
      <c r="B59" s="149">
        <v>55</v>
      </c>
      <c r="C59" s="118" t="s">
        <v>2174</v>
      </c>
      <c r="D59" t="s">
        <v>2090</v>
      </c>
      <c r="E59" s="150">
        <v>345</v>
      </c>
      <c r="F59" s="142">
        <v>19990</v>
      </c>
      <c r="G59" s="143">
        <v>16798</v>
      </c>
      <c r="H59" s="144">
        <v>3192</v>
      </c>
      <c r="I59" s="140">
        <v>1</v>
      </c>
      <c r="J59" s="114" t="str">
        <f t="shared" si="0"/>
        <v>INSERT INTO DOCUMENTOS (NRO_DOCUMENTO,FECHA_EMISION,TOTAL_BRUTO,TOTAL_NETO,TOTAL_IVA, ID_TIPO, RUT_EMPLEADO, ID_CLIENTE) VALUES(55,TO_DATE('11-01-2025','DD-MM-YYYY'),19990,16798,3192,1,'14526149-K',345);</v>
      </c>
    </row>
    <row r="60" spans="1:10">
      <c r="A60" s="149"/>
      <c r="B60" s="149">
        <v>56</v>
      </c>
      <c r="C60" s="118" t="s">
        <v>2174</v>
      </c>
      <c r="D60" t="s">
        <v>2090</v>
      </c>
      <c r="E60" s="150">
        <v>386</v>
      </c>
      <c r="F60" s="142">
        <v>28990</v>
      </c>
      <c r="G60" s="143">
        <v>24361</v>
      </c>
      <c r="H60" s="144">
        <v>4629</v>
      </c>
      <c r="I60" s="140">
        <v>1</v>
      </c>
      <c r="J60" s="114" t="str">
        <f t="shared" si="0"/>
        <v>INSERT INTO DOCUMENTOS (NRO_DOCUMENTO,FECHA_EMISION,TOTAL_BRUTO,TOTAL_NETO,TOTAL_IVA, ID_TIPO, RUT_EMPLEADO, ID_CLIENTE) VALUES(56,TO_DATE('11-01-2025','DD-MM-YYYY'),28990,24361,4629,1,'14526149-K',386);</v>
      </c>
    </row>
    <row r="61" spans="1:10">
      <c r="A61" s="149"/>
      <c r="B61" s="149">
        <v>57</v>
      </c>
      <c r="C61" s="118" t="s">
        <v>2174</v>
      </c>
      <c r="D61" t="s">
        <v>2090</v>
      </c>
      <c r="E61" s="150">
        <v>462</v>
      </c>
      <c r="F61" s="142">
        <v>6000</v>
      </c>
      <c r="G61" s="143">
        <v>5042</v>
      </c>
      <c r="H61" s="144">
        <v>958</v>
      </c>
      <c r="I61" s="140">
        <v>1</v>
      </c>
      <c r="J61" s="114" t="str">
        <f t="shared" si="0"/>
        <v>INSERT INTO DOCUMENTOS (NRO_DOCUMENTO,FECHA_EMISION,TOTAL_BRUTO,TOTAL_NETO,TOTAL_IVA, ID_TIPO, RUT_EMPLEADO, ID_CLIENTE) VALUES(57,TO_DATE('11-01-2025','DD-MM-YYYY'),6000,5042,958,1,'14526149-K',462);</v>
      </c>
    </row>
    <row r="62" spans="1:10">
      <c r="A62" s="149"/>
      <c r="B62" s="149">
        <v>58</v>
      </c>
      <c r="C62" s="151" t="s">
        <v>2175</v>
      </c>
      <c r="D62" t="s">
        <v>2090</v>
      </c>
      <c r="E62" s="150">
        <v>164</v>
      </c>
      <c r="F62" s="142">
        <v>19990</v>
      </c>
      <c r="G62" s="143">
        <v>16798</v>
      </c>
      <c r="H62" s="144">
        <v>3192</v>
      </c>
      <c r="I62" s="140">
        <v>1</v>
      </c>
      <c r="J62" s="114" t="str">
        <f t="shared" si="0"/>
        <v>INSERT INTO DOCUMENTOS (NRO_DOCUMENTO,FECHA_EMISION,TOTAL_BRUTO,TOTAL_NETO,TOTAL_IVA, ID_TIPO, RUT_EMPLEADO, ID_CLIENTE) VALUES(58,TO_DATE('12-01-2025','DD-MM-YYYY'),19990,16798,3192,1,'14526149-K',164);</v>
      </c>
    </row>
    <row r="63" spans="1:10">
      <c r="A63" s="149"/>
      <c r="B63" s="149">
        <v>59</v>
      </c>
      <c r="C63" s="118" t="s">
        <v>2175</v>
      </c>
      <c r="D63" t="s">
        <v>2090</v>
      </c>
      <c r="E63" s="150">
        <v>166</v>
      </c>
      <c r="F63" s="142">
        <v>18500</v>
      </c>
      <c r="G63" s="143">
        <v>15546</v>
      </c>
      <c r="H63" s="144">
        <v>2954</v>
      </c>
      <c r="I63" s="140">
        <v>1</v>
      </c>
      <c r="J63" s="114" t="str">
        <f t="shared" si="0"/>
        <v>INSERT INTO DOCUMENTOS (NRO_DOCUMENTO,FECHA_EMISION,TOTAL_BRUTO,TOTAL_NETO,TOTAL_IVA, ID_TIPO, RUT_EMPLEADO, ID_CLIENTE) VALUES(59,TO_DATE('12-01-2025','DD-MM-YYYY'),18500,15546,2954,1,'14526149-K',166);</v>
      </c>
    </row>
    <row r="64" spans="1:10">
      <c r="A64" s="149"/>
      <c r="B64" s="149">
        <v>60</v>
      </c>
      <c r="C64" s="118" t="s">
        <v>2175</v>
      </c>
      <c r="D64" t="s">
        <v>2090</v>
      </c>
      <c r="E64" s="150">
        <v>388</v>
      </c>
      <c r="F64" s="142">
        <v>14500</v>
      </c>
      <c r="G64" s="143">
        <v>12185</v>
      </c>
      <c r="H64" s="144">
        <v>2315</v>
      </c>
      <c r="I64" s="140">
        <v>1</v>
      </c>
      <c r="J64" s="114" t="str">
        <f t="shared" si="0"/>
        <v>INSERT INTO DOCUMENTOS (NRO_DOCUMENTO,FECHA_EMISION,TOTAL_BRUTO,TOTAL_NETO,TOTAL_IVA, ID_TIPO, RUT_EMPLEADO, ID_CLIENTE) VALUES(60,TO_DATE('12-01-2025','DD-MM-YYYY'),14500,12185,2315,1,'14526149-K',388);</v>
      </c>
    </row>
    <row r="65" spans="1:10">
      <c r="A65" s="149"/>
      <c r="B65" s="149">
        <v>61</v>
      </c>
      <c r="C65" s="151" t="s">
        <v>2176</v>
      </c>
      <c r="D65" t="s">
        <v>2090</v>
      </c>
      <c r="E65" s="150">
        <v>78</v>
      </c>
      <c r="F65" s="142">
        <v>20500</v>
      </c>
      <c r="G65" s="143">
        <v>17227</v>
      </c>
      <c r="H65" s="144">
        <v>3273</v>
      </c>
      <c r="I65" s="140">
        <v>1</v>
      </c>
      <c r="J65" s="114" t="str">
        <f t="shared" si="0"/>
        <v>INSERT INTO DOCUMENTOS (NRO_DOCUMENTO,FECHA_EMISION,TOTAL_BRUTO,TOTAL_NETO,TOTAL_IVA, ID_TIPO, RUT_EMPLEADO, ID_CLIENTE) VALUES(61,TO_DATE('13-01-2025','DD-MM-YYYY'),20500,17227,3273,1,'14526149-K',78);</v>
      </c>
    </row>
    <row r="66" spans="1:10">
      <c r="A66" s="149"/>
      <c r="B66" s="149">
        <v>62</v>
      </c>
      <c r="C66" s="118" t="s">
        <v>2176</v>
      </c>
      <c r="D66" t="s">
        <v>2090</v>
      </c>
      <c r="E66" s="150">
        <v>166</v>
      </c>
      <c r="F66" s="142">
        <v>5500</v>
      </c>
      <c r="G66" s="143">
        <v>4622</v>
      </c>
      <c r="H66" s="144">
        <v>878</v>
      </c>
      <c r="I66" s="140">
        <v>1</v>
      </c>
      <c r="J66" s="114" t="str">
        <f t="shared" si="0"/>
        <v>INSERT INTO DOCUMENTOS (NRO_DOCUMENTO,FECHA_EMISION,TOTAL_BRUTO,TOTAL_NETO,TOTAL_IVA, ID_TIPO, RUT_EMPLEADO, ID_CLIENTE) VALUES(62,TO_DATE('13-01-2025','DD-MM-YYYY'),5500,4622,878,1,'14526149-K',166);</v>
      </c>
    </row>
    <row r="67" spans="1:10">
      <c r="A67" s="149"/>
      <c r="B67" s="149">
        <v>63</v>
      </c>
      <c r="C67" s="151" t="s">
        <v>2177</v>
      </c>
      <c r="D67" t="s">
        <v>2090</v>
      </c>
      <c r="E67" s="150">
        <v>92</v>
      </c>
      <c r="F67" s="142">
        <v>4000</v>
      </c>
      <c r="G67" s="143">
        <v>3361</v>
      </c>
      <c r="H67" s="144">
        <v>639</v>
      </c>
      <c r="I67" s="140">
        <v>1</v>
      </c>
      <c r="J67" s="114" t="str">
        <f t="shared" si="0"/>
        <v>INSERT INTO DOCUMENTOS (NRO_DOCUMENTO,FECHA_EMISION,TOTAL_BRUTO,TOTAL_NETO,TOTAL_IVA, ID_TIPO, RUT_EMPLEADO, ID_CLIENTE) VALUES(63,TO_DATE('14-01-2025','DD-MM-YYYY'),4000,3361,639,1,'14526149-K',92);</v>
      </c>
    </row>
    <row r="68" spans="1:10">
      <c r="A68" s="149"/>
      <c r="B68" s="149">
        <v>64</v>
      </c>
      <c r="C68" s="118" t="s">
        <v>2177</v>
      </c>
      <c r="D68" t="s">
        <v>2090</v>
      </c>
      <c r="E68" s="150">
        <v>119</v>
      </c>
      <c r="F68" s="142">
        <v>37100</v>
      </c>
      <c r="G68" s="143">
        <v>31177</v>
      </c>
      <c r="H68" s="144">
        <v>5923</v>
      </c>
      <c r="I68" s="140">
        <v>1</v>
      </c>
      <c r="J68" s="114" t="str">
        <f t="shared" si="0"/>
        <v>INSERT INTO DOCUMENTOS (NRO_DOCUMENTO,FECHA_EMISION,TOTAL_BRUTO,TOTAL_NETO,TOTAL_IVA, ID_TIPO, RUT_EMPLEADO, ID_CLIENTE) VALUES(64,TO_DATE('14-01-2025','DD-MM-YYYY'),37100,31177,5923,1,'14526149-K',119);</v>
      </c>
    </row>
    <row r="69" spans="1:10">
      <c r="A69" s="149"/>
      <c r="B69" s="149">
        <v>65</v>
      </c>
      <c r="C69" s="118" t="s">
        <v>2177</v>
      </c>
      <c r="D69" t="s">
        <v>2090</v>
      </c>
      <c r="E69" s="150">
        <v>130</v>
      </c>
      <c r="F69" s="142">
        <v>6500</v>
      </c>
      <c r="G69" s="143">
        <v>5462</v>
      </c>
      <c r="H69" s="144">
        <v>1038</v>
      </c>
      <c r="I69" s="140">
        <v>1</v>
      </c>
      <c r="J69" s="114" t="str">
        <f t="shared" si="0"/>
        <v>INSERT INTO DOCUMENTOS (NRO_DOCUMENTO,FECHA_EMISION,TOTAL_BRUTO,TOTAL_NETO,TOTAL_IVA, ID_TIPO, RUT_EMPLEADO, ID_CLIENTE) VALUES(65,TO_DATE('14-01-2025','DD-MM-YYYY'),6500,5462,1038,1,'14526149-K',130);</v>
      </c>
    </row>
    <row r="70" spans="1:10">
      <c r="A70" s="149"/>
      <c r="B70" s="149">
        <v>66</v>
      </c>
      <c r="C70" s="118" t="s">
        <v>2177</v>
      </c>
      <c r="D70" t="s">
        <v>2090</v>
      </c>
      <c r="E70" s="150">
        <v>135</v>
      </c>
      <c r="F70" s="142">
        <v>22700</v>
      </c>
      <c r="G70" s="143">
        <v>19075</v>
      </c>
      <c r="H70" s="144">
        <v>3625</v>
      </c>
      <c r="I70" s="140">
        <v>1</v>
      </c>
      <c r="J70" s="114" t="str">
        <f t="shared" ref="J70:J133" si="1">CONCATENATE("INSERT INTO DOCUMENTOS (NRO_DOCUMENTO,FECHA_EMISION,TOTAL_BRUTO,TOTAL_NETO,TOTAL_IVA, ID_TIPO, RUT_EMPLEADO, ID_CLIENTE) VALUES(",B70,",","TO_DATE('",C70,"'",",'DD-MM-YYYY'),",F70,",",G70,",",H70,",",I70,",","'",D70,"',",E70,");")</f>
        <v>INSERT INTO DOCUMENTOS (NRO_DOCUMENTO,FECHA_EMISION,TOTAL_BRUTO,TOTAL_NETO,TOTAL_IVA, ID_TIPO, RUT_EMPLEADO, ID_CLIENTE) VALUES(66,TO_DATE('14-01-2025','DD-MM-YYYY'),22700,19075,3625,1,'14526149-K',135);</v>
      </c>
    </row>
    <row r="71" spans="1:10">
      <c r="A71" s="149"/>
      <c r="B71" s="149">
        <v>67</v>
      </c>
      <c r="C71" s="118" t="s">
        <v>2177</v>
      </c>
      <c r="D71" t="s">
        <v>2090</v>
      </c>
      <c r="E71" s="150">
        <v>166</v>
      </c>
      <c r="F71" s="142">
        <v>2500</v>
      </c>
      <c r="G71" s="143">
        <v>2101</v>
      </c>
      <c r="H71" s="144">
        <v>399</v>
      </c>
      <c r="I71" s="140">
        <v>1</v>
      </c>
      <c r="J71" s="114" t="str">
        <f t="shared" si="1"/>
        <v>INSERT INTO DOCUMENTOS (NRO_DOCUMENTO,FECHA_EMISION,TOTAL_BRUTO,TOTAL_NETO,TOTAL_IVA, ID_TIPO, RUT_EMPLEADO, ID_CLIENTE) VALUES(67,TO_DATE('14-01-2025','DD-MM-YYYY'),2500,2101,399,1,'14526149-K',166);</v>
      </c>
    </row>
    <row r="72" spans="1:10">
      <c r="A72" s="149"/>
      <c r="B72" s="149">
        <v>68</v>
      </c>
      <c r="C72" s="118" t="s">
        <v>2177</v>
      </c>
      <c r="D72" t="s">
        <v>2090</v>
      </c>
      <c r="E72" s="150">
        <v>407</v>
      </c>
      <c r="F72" s="142">
        <v>10000</v>
      </c>
      <c r="G72" s="143">
        <v>8403</v>
      </c>
      <c r="H72" s="144">
        <v>1597</v>
      </c>
      <c r="I72" s="140">
        <v>1</v>
      </c>
      <c r="J72" s="114" t="str">
        <f t="shared" si="1"/>
        <v>INSERT INTO DOCUMENTOS (NRO_DOCUMENTO,FECHA_EMISION,TOTAL_BRUTO,TOTAL_NETO,TOTAL_IVA, ID_TIPO, RUT_EMPLEADO, ID_CLIENTE) VALUES(68,TO_DATE('14-01-2025','DD-MM-YYYY'),10000,8403,1597,1,'14526149-K',407);</v>
      </c>
    </row>
    <row r="73" spans="1:10">
      <c r="A73" s="149"/>
      <c r="B73" s="149">
        <v>69</v>
      </c>
      <c r="C73" s="151" t="s">
        <v>2178</v>
      </c>
      <c r="D73" t="s">
        <v>2090</v>
      </c>
      <c r="E73" s="150">
        <v>57</v>
      </c>
      <c r="F73" s="142">
        <v>6500</v>
      </c>
      <c r="G73" s="143">
        <v>5462</v>
      </c>
      <c r="H73" s="144">
        <v>1038</v>
      </c>
      <c r="I73" s="140">
        <v>1</v>
      </c>
      <c r="J73" s="114" t="str">
        <f t="shared" si="1"/>
        <v>INSERT INTO DOCUMENTOS (NRO_DOCUMENTO,FECHA_EMISION,TOTAL_BRUTO,TOTAL_NETO,TOTAL_IVA, ID_TIPO, RUT_EMPLEADO, ID_CLIENTE) VALUES(69,TO_DATE('15-01-2025','DD-MM-YYYY'),6500,5462,1038,1,'14526149-K',57);</v>
      </c>
    </row>
    <row r="74" spans="1:10">
      <c r="A74" s="149"/>
      <c r="B74" s="149">
        <v>70</v>
      </c>
      <c r="C74" s="118" t="s">
        <v>2178</v>
      </c>
      <c r="D74" t="s">
        <v>2090</v>
      </c>
      <c r="E74" s="150">
        <v>159</v>
      </c>
      <c r="F74" s="142">
        <v>12500</v>
      </c>
      <c r="G74" s="143">
        <v>10504</v>
      </c>
      <c r="H74" s="144">
        <v>1996</v>
      </c>
      <c r="I74" s="140">
        <v>1</v>
      </c>
      <c r="J74" s="114" t="str">
        <f t="shared" si="1"/>
        <v>INSERT INTO DOCUMENTOS (NRO_DOCUMENTO,FECHA_EMISION,TOTAL_BRUTO,TOTAL_NETO,TOTAL_IVA, ID_TIPO, RUT_EMPLEADO, ID_CLIENTE) VALUES(70,TO_DATE('15-01-2025','DD-MM-YYYY'),12500,10504,1996,1,'14526149-K',159);</v>
      </c>
    </row>
    <row r="75" spans="1:10">
      <c r="A75" s="149"/>
      <c r="B75" s="149">
        <v>71</v>
      </c>
      <c r="C75" s="118" t="s">
        <v>2178</v>
      </c>
      <c r="D75" t="s">
        <v>2090</v>
      </c>
      <c r="E75" s="150">
        <v>166</v>
      </c>
      <c r="F75" s="142">
        <v>14700</v>
      </c>
      <c r="G75" s="143">
        <v>12353</v>
      </c>
      <c r="H75" s="144">
        <v>2347</v>
      </c>
      <c r="I75" s="140">
        <v>1</v>
      </c>
      <c r="J75" s="114" t="str">
        <f t="shared" si="1"/>
        <v>INSERT INTO DOCUMENTOS (NRO_DOCUMENTO,FECHA_EMISION,TOTAL_BRUTO,TOTAL_NETO,TOTAL_IVA, ID_TIPO, RUT_EMPLEADO, ID_CLIENTE) VALUES(71,TO_DATE('15-01-2025','DD-MM-YYYY'),14700,12353,2347,1,'14526149-K',166);</v>
      </c>
    </row>
    <row r="76" spans="1:10">
      <c r="A76" s="149"/>
      <c r="B76" s="149">
        <v>72</v>
      </c>
      <c r="C76" s="118" t="s">
        <v>2178</v>
      </c>
      <c r="D76" t="s">
        <v>2090</v>
      </c>
      <c r="E76" s="150">
        <v>223</v>
      </c>
      <c r="F76" s="142">
        <v>18500</v>
      </c>
      <c r="G76" s="143">
        <v>15547</v>
      </c>
      <c r="H76" s="144">
        <v>2953</v>
      </c>
      <c r="I76" s="140">
        <v>1</v>
      </c>
      <c r="J76" s="114" t="str">
        <f t="shared" si="1"/>
        <v>INSERT INTO DOCUMENTOS (NRO_DOCUMENTO,FECHA_EMISION,TOTAL_BRUTO,TOTAL_NETO,TOTAL_IVA, ID_TIPO, RUT_EMPLEADO, ID_CLIENTE) VALUES(72,TO_DATE('15-01-2025','DD-MM-YYYY'),18500,15547,2953,1,'14526149-K',223);</v>
      </c>
    </row>
    <row r="77" spans="1:10">
      <c r="A77" s="149"/>
      <c r="B77" s="149">
        <v>73</v>
      </c>
      <c r="C77" s="118" t="s">
        <v>2178</v>
      </c>
      <c r="D77" t="s">
        <v>2090</v>
      </c>
      <c r="E77" s="150">
        <v>427</v>
      </c>
      <c r="F77" s="142">
        <v>23000</v>
      </c>
      <c r="G77" s="143">
        <v>19328</v>
      </c>
      <c r="H77" s="144">
        <v>3672</v>
      </c>
      <c r="I77" s="140">
        <v>1</v>
      </c>
      <c r="J77" s="114" t="str">
        <f t="shared" si="1"/>
        <v>INSERT INTO DOCUMENTOS (NRO_DOCUMENTO,FECHA_EMISION,TOTAL_BRUTO,TOTAL_NETO,TOTAL_IVA, ID_TIPO, RUT_EMPLEADO, ID_CLIENTE) VALUES(73,TO_DATE('15-01-2025','DD-MM-YYYY'),23000,19328,3672,1,'14526149-K',427);</v>
      </c>
    </row>
    <row r="78" spans="1:10">
      <c r="A78" s="149"/>
      <c r="B78" s="149">
        <v>74</v>
      </c>
      <c r="C78" s="151" t="s">
        <v>2179</v>
      </c>
      <c r="D78" t="s">
        <v>2090</v>
      </c>
      <c r="E78" s="150">
        <v>166</v>
      </c>
      <c r="F78" s="142">
        <v>8000</v>
      </c>
      <c r="G78" s="143">
        <v>6723</v>
      </c>
      <c r="H78" s="144">
        <v>1277</v>
      </c>
      <c r="I78" s="140">
        <v>1</v>
      </c>
      <c r="J78" s="114" t="str">
        <f t="shared" si="1"/>
        <v>INSERT INTO DOCUMENTOS (NRO_DOCUMENTO,FECHA_EMISION,TOTAL_BRUTO,TOTAL_NETO,TOTAL_IVA, ID_TIPO, RUT_EMPLEADO, ID_CLIENTE) VALUES(74,TO_DATE('16-01-2025','DD-MM-YYYY'),8000,6723,1277,1,'14526149-K',166);</v>
      </c>
    </row>
    <row r="79" spans="1:10">
      <c r="A79" s="149"/>
      <c r="B79" s="149">
        <v>75</v>
      </c>
      <c r="C79" s="118" t="s">
        <v>2179</v>
      </c>
      <c r="D79" t="s">
        <v>2090</v>
      </c>
      <c r="E79" s="150">
        <v>300</v>
      </c>
      <c r="F79" s="142">
        <v>38102</v>
      </c>
      <c r="G79" s="143">
        <v>32019</v>
      </c>
      <c r="H79" s="144">
        <v>6083</v>
      </c>
      <c r="I79" s="140">
        <v>1</v>
      </c>
      <c r="J79" s="114" t="str">
        <f t="shared" si="1"/>
        <v>INSERT INTO DOCUMENTOS (NRO_DOCUMENTO,FECHA_EMISION,TOTAL_BRUTO,TOTAL_NETO,TOTAL_IVA, ID_TIPO, RUT_EMPLEADO, ID_CLIENTE) VALUES(75,TO_DATE('16-01-2025','DD-MM-YYYY'),38102,32019,6083,1,'14526149-K',300);</v>
      </c>
    </row>
    <row r="80" spans="1:10">
      <c r="A80" s="149"/>
      <c r="B80" s="149">
        <v>76</v>
      </c>
      <c r="C80" s="118" t="s">
        <v>2179</v>
      </c>
      <c r="D80" t="s">
        <v>2090</v>
      </c>
      <c r="E80" s="150">
        <v>365</v>
      </c>
      <c r="F80" s="142">
        <v>42000</v>
      </c>
      <c r="G80" s="143">
        <v>35295</v>
      </c>
      <c r="H80" s="144">
        <v>6705</v>
      </c>
      <c r="I80" s="140">
        <v>1</v>
      </c>
      <c r="J80" s="114" t="str">
        <f t="shared" si="1"/>
        <v>INSERT INTO DOCUMENTOS (NRO_DOCUMENTO,FECHA_EMISION,TOTAL_BRUTO,TOTAL_NETO,TOTAL_IVA, ID_TIPO, RUT_EMPLEADO, ID_CLIENTE) VALUES(76,TO_DATE('16-01-2025','DD-MM-YYYY'),42000,35295,6705,1,'14526149-K',365);</v>
      </c>
    </row>
    <row r="81" spans="1:10">
      <c r="A81" s="149"/>
      <c r="B81" s="149">
        <v>77</v>
      </c>
      <c r="C81" s="118" t="s">
        <v>2179</v>
      </c>
      <c r="D81" t="s">
        <v>2090</v>
      </c>
      <c r="E81" s="150">
        <v>451</v>
      </c>
      <c r="F81" s="142">
        <v>3500</v>
      </c>
      <c r="G81" s="143">
        <v>2941</v>
      </c>
      <c r="H81" s="144">
        <v>559</v>
      </c>
      <c r="I81" s="140">
        <v>1</v>
      </c>
      <c r="J81" s="114" t="str">
        <f t="shared" si="1"/>
        <v>INSERT INTO DOCUMENTOS (NRO_DOCUMENTO,FECHA_EMISION,TOTAL_BRUTO,TOTAL_NETO,TOTAL_IVA, ID_TIPO, RUT_EMPLEADO, ID_CLIENTE) VALUES(77,TO_DATE('16-01-2025','DD-MM-YYYY'),3500,2941,559,1,'14526149-K',451);</v>
      </c>
    </row>
    <row r="82" spans="1:10">
      <c r="A82" s="149"/>
      <c r="B82" s="149">
        <v>78</v>
      </c>
      <c r="C82" s="151" t="s">
        <v>2180</v>
      </c>
      <c r="D82" t="s">
        <v>2090</v>
      </c>
      <c r="E82" s="150">
        <v>56</v>
      </c>
      <c r="F82" s="142">
        <v>6200</v>
      </c>
      <c r="G82" s="143">
        <v>5210</v>
      </c>
      <c r="H82" s="144">
        <v>990</v>
      </c>
      <c r="I82" s="140">
        <v>1</v>
      </c>
      <c r="J82" s="114" t="str">
        <f t="shared" si="1"/>
        <v>INSERT INTO DOCUMENTOS (NRO_DOCUMENTO,FECHA_EMISION,TOTAL_BRUTO,TOTAL_NETO,TOTAL_IVA, ID_TIPO, RUT_EMPLEADO, ID_CLIENTE) VALUES(78,TO_DATE('17-01-2025','DD-MM-YYYY'),6200,5210,990,1,'14526149-K',56);</v>
      </c>
    </row>
    <row r="83" spans="1:10">
      <c r="A83" s="149"/>
      <c r="B83" s="149">
        <v>79</v>
      </c>
      <c r="C83" s="118" t="s">
        <v>2180</v>
      </c>
      <c r="D83" t="s">
        <v>2090</v>
      </c>
      <c r="E83" s="150">
        <v>129</v>
      </c>
      <c r="F83" s="142">
        <v>28102</v>
      </c>
      <c r="G83" s="143">
        <v>23615</v>
      </c>
      <c r="H83" s="144">
        <v>4487</v>
      </c>
      <c r="I83" s="140">
        <v>1</v>
      </c>
      <c r="J83" s="114" t="str">
        <f t="shared" si="1"/>
        <v>INSERT INTO DOCUMENTOS (NRO_DOCUMENTO,FECHA_EMISION,TOTAL_BRUTO,TOTAL_NETO,TOTAL_IVA, ID_TIPO, RUT_EMPLEADO, ID_CLIENTE) VALUES(79,TO_DATE('17-01-2025','DD-MM-YYYY'),28102,23615,4487,1,'14526149-K',129);</v>
      </c>
    </row>
    <row r="84" spans="1:10">
      <c r="A84" s="149"/>
      <c r="B84" s="149">
        <v>80</v>
      </c>
      <c r="C84" s="118" t="s">
        <v>2180</v>
      </c>
      <c r="D84" t="s">
        <v>2090</v>
      </c>
      <c r="E84" s="150">
        <v>300</v>
      </c>
      <c r="F84" s="142">
        <v>15500</v>
      </c>
      <c r="G84" s="143">
        <v>13025</v>
      </c>
      <c r="H84" s="144">
        <v>2475</v>
      </c>
      <c r="I84" s="140">
        <v>1</v>
      </c>
      <c r="J84" s="114" t="str">
        <f t="shared" si="1"/>
        <v>INSERT INTO DOCUMENTOS (NRO_DOCUMENTO,FECHA_EMISION,TOTAL_BRUTO,TOTAL_NETO,TOTAL_IVA, ID_TIPO, RUT_EMPLEADO, ID_CLIENTE) VALUES(80,TO_DATE('17-01-2025','DD-MM-YYYY'),15500,13025,2475,1,'14526149-K',300);</v>
      </c>
    </row>
    <row r="85" spans="1:10">
      <c r="A85" s="149"/>
      <c r="B85" s="149">
        <v>81</v>
      </c>
      <c r="C85" s="118" t="s">
        <v>2180</v>
      </c>
      <c r="D85" t="s">
        <v>2090</v>
      </c>
      <c r="E85" s="150">
        <v>393</v>
      </c>
      <c r="F85" s="142">
        <v>5500</v>
      </c>
      <c r="G85" s="143">
        <v>4622</v>
      </c>
      <c r="H85" s="144">
        <v>878</v>
      </c>
      <c r="I85" s="140">
        <v>1</v>
      </c>
      <c r="J85" s="114" t="str">
        <f t="shared" si="1"/>
        <v>INSERT INTO DOCUMENTOS (NRO_DOCUMENTO,FECHA_EMISION,TOTAL_BRUTO,TOTAL_NETO,TOTAL_IVA, ID_TIPO, RUT_EMPLEADO, ID_CLIENTE) VALUES(81,TO_DATE('17-01-2025','DD-MM-YYYY'),5500,4622,878,1,'14526149-K',393);</v>
      </c>
    </row>
    <row r="86" spans="1:10">
      <c r="A86" s="149"/>
      <c r="B86" s="149">
        <v>82</v>
      </c>
      <c r="C86" s="118" t="s">
        <v>2180</v>
      </c>
      <c r="D86" t="s">
        <v>2090</v>
      </c>
      <c r="E86" s="150">
        <v>446</v>
      </c>
      <c r="F86" s="142">
        <v>5500</v>
      </c>
      <c r="G86" s="143">
        <v>4622</v>
      </c>
      <c r="H86" s="144">
        <v>878</v>
      </c>
      <c r="I86" s="140">
        <v>1</v>
      </c>
      <c r="J86" s="114" t="str">
        <f t="shared" si="1"/>
        <v>INSERT INTO DOCUMENTOS (NRO_DOCUMENTO,FECHA_EMISION,TOTAL_BRUTO,TOTAL_NETO,TOTAL_IVA, ID_TIPO, RUT_EMPLEADO, ID_CLIENTE) VALUES(82,TO_DATE('17-01-2025','DD-MM-YYYY'),5500,4622,878,1,'14526149-K',446);</v>
      </c>
    </row>
    <row r="87" spans="1:10">
      <c r="A87" s="149"/>
      <c r="B87" s="149">
        <v>83</v>
      </c>
      <c r="C87" s="118" t="s">
        <v>2180</v>
      </c>
      <c r="D87" t="s">
        <v>2090</v>
      </c>
      <c r="E87" s="150">
        <v>451</v>
      </c>
      <c r="F87" s="142">
        <v>16000</v>
      </c>
      <c r="G87" s="143">
        <v>13445</v>
      </c>
      <c r="H87" s="144">
        <v>2555</v>
      </c>
      <c r="I87" s="140">
        <v>1</v>
      </c>
      <c r="J87" s="114" t="str">
        <f t="shared" si="1"/>
        <v>INSERT INTO DOCUMENTOS (NRO_DOCUMENTO,FECHA_EMISION,TOTAL_BRUTO,TOTAL_NETO,TOTAL_IVA, ID_TIPO, RUT_EMPLEADO, ID_CLIENTE) VALUES(83,TO_DATE('17-01-2025','DD-MM-YYYY'),16000,13445,2555,1,'14526149-K',451);</v>
      </c>
    </row>
    <row r="88" spans="1:10">
      <c r="A88" s="149"/>
      <c r="B88" s="149">
        <v>84</v>
      </c>
      <c r="C88" s="118" t="s">
        <v>2180</v>
      </c>
      <c r="D88" t="s">
        <v>2090</v>
      </c>
      <c r="E88" s="150">
        <v>476</v>
      </c>
      <c r="F88" s="142">
        <v>6200</v>
      </c>
      <c r="G88" s="143">
        <v>5210</v>
      </c>
      <c r="H88" s="144">
        <v>990</v>
      </c>
      <c r="I88" s="140">
        <v>1</v>
      </c>
      <c r="J88" s="114" t="str">
        <f t="shared" si="1"/>
        <v>INSERT INTO DOCUMENTOS (NRO_DOCUMENTO,FECHA_EMISION,TOTAL_BRUTO,TOTAL_NETO,TOTAL_IVA, ID_TIPO, RUT_EMPLEADO, ID_CLIENTE) VALUES(84,TO_DATE('17-01-2025','DD-MM-YYYY'),6200,5210,990,1,'14526149-K',476);</v>
      </c>
    </row>
    <row r="89" spans="1:10">
      <c r="A89" s="149"/>
      <c r="B89" s="149">
        <v>85</v>
      </c>
      <c r="C89" s="151" t="s">
        <v>2181</v>
      </c>
      <c r="D89" t="s">
        <v>2090</v>
      </c>
      <c r="E89" s="150">
        <v>38</v>
      </c>
      <c r="F89" s="142">
        <v>19990</v>
      </c>
      <c r="G89" s="143">
        <v>16798</v>
      </c>
      <c r="H89" s="144">
        <v>3192</v>
      </c>
      <c r="I89" s="140">
        <v>1</v>
      </c>
      <c r="J89" s="114" t="str">
        <f t="shared" si="1"/>
        <v>INSERT INTO DOCUMENTOS (NRO_DOCUMENTO,FECHA_EMISION,TOTAL_BRUTO,TOTAL_NETO,TOTAL_IVA, ID_TIPO, RUT_EMPLEADO, ID_CLIENTE) VALUES(85,TO_DATE('18-01-2025','DD-MM-YYYY'),19990,16798,3192,1,'14526149-K',38);</v>
      </c>
    </row>
    <row r="90" spans="1:10">
      <c r="A90" s="149"/>
      <c r="B90" s="149">
        <v>86</v>
      </c>
      <c r="C90" s="118" t="s">
        <v>2181</v>
      </c>
      <c r="D90" t="s">
        <v>2090</v>
      </c>
      <c r="E90" s="150">
        <v>109</v>
      </c>
      <c r="F90" s="142">
        <v>104950</v>
      </c>
      <c r="G90" s="143">
        <v>88193</v>
      </c>
      <c r="H90" s="144">
        <v>16757</v>
      </c>
      <c r="I90" s="140">
        <v>1</v>
      </c>
      <c r="J90" s="114" t="str">
        <f t="shared" si="1"/>
        <v>INSERT INTO DOCUMENTOS (NRO_DOCUMENTO,FECHA_EMISION,TOTAL_BRUTO,TOTAL_NETO,TOTAL_IVA, ID_TIPO, RUT_EMPLEADO, ID_CLIENTE) VALUES(86,TO_DATE('18-01-2025','DD-MM-YYYY'),104950,88193,16757,1,'14526149-K',109);</v>
      </c>
    </row>
    <row r="91" spans="1:10">
      <c r="A91" s="149"/>
      <c r="B91" s="149">
        <v>87</v>
      </c>
      <c r="C91" s="118" t="s">
        <v>2181</v>
      </c>
      <c r="D91" t="s">
        <v>2090</v>
      </c>
      <c r="E91" s="150">
        <v>222</v>
      </c>
      <c r="F91" s="142">
        <v>1500</v>
      </c>
      <c r="G91" s="143">
        <v>1261</v>
      </c>
      <c r="H91" s="144">
        <v>239</v>
      </c>
      <c r="I91" s="140">
        <v>1</v>
      </c>
      <c r="J91" s="114" t="str">
        <f t="shared" si="1"/>
        <v>INSERT INTO DOCUMENTOS (NRO_DOCUMENTO,FECHA_EMISION,TOTAL_BRUTO,TOTAL_NETO,TOTAL_IVA, ID_TIPO, RUT_EMPLEADO, ID_CLIENTE) VALUES(87,TO_DATE('18-01-2025','DD-MM-YYYY'),1500,1261,239,1,'14526149-K',222);</v>
      </c>
    </row>
    <row r="92" spans="1:10">
      <c r="A92" s="149"/>
      <c r="B92" s="149">
        <v>88</v>
      </c>
      <c r="C92" s="118" t="s">
        <v>2181</v>
      </c>
      <c r="D92" t="s">
        <v>2090</v>
      </c>
      <c r="E92" s="150">
        <v>350</v>
      </c>
      <c r="F92" s="142">
        <v>17300</v>
      </c>
      <c r="G92" s="143">
        <v>14537</v>
      </c>
      <c r="H92" s="144">
        <v>2763</v>
      </c>
      <c r="I92" s="140">
        <v>1</v>
      </c>
      <c r="J92" s="114" t="str">
        <f t="shared" si="1"/>
        <v>INSERT INTO DOCUMENTOS (NRO_DOCUMENTO,FECHA_EMISION,TOTAL_BRUTO,TOTAL_NETO,TOTAL_IVA, ID_TIPO, RUT_EMPLEADO, ID_CLIENTE) VALUES(88,TO_DATE('18-01-2025','DD-MM-YYYY'),17300,14537,2763,1,'14526149-K',350);</v>
      </c>
    </row>
    <row r="93" spans="1:10">
      <c r="A93" s="149"/>
      <c r="B93" s="149">
        <v>89</v>
      </c>
      <c r="C93" s="118" t="s">
        <v>2181</v>
      </c>
      <c r="D93" t="s">
        <v>2090</v>
      </c>
      <c r="E93" s="150">
        <v>439</v>
      </c>
      <c r="F93" s="142">
        <v>6200</v>
      </c>
      <c r="G93" s="143">
        <v>5210</v>
      </c>
      <c r="H93" s="144">
        <v>990</v>
      </c>
      <c r="I93" s="140">
        <v>1</v>
      </c>
      <c r="J93" s="114" t="str">
        <f t="shared" si="1"/>
        <v>INSERT INTO DOCUMENTOS (NRO_DOCUMENTO,FECHA_EMISION,TOTAL_BRUTO,TOTAL_NETO,TOTAL_IVA, ID_TIPO, RUT_EMPLEADO, ID_CLIENTE) VALUES(89,TO_DATE('18-01-2025','DD-MM-YYYY'),6200,5210,990,1,'14526149-K',439);</v>
      </c>
    </row>
    <row r="94" spans="1:10">
      <c r="A94" s="149"/>
      <c r="B94" s="149">
        <v>90</v>
      </c>
      <c r="C94" s="151" t="s">
        <v>2182</v>
      </c>
      <c r="D94" t="s">
        <v>2090</v>
      </c>
      <c r="E94" s="150">
        <v>85</v>
      </c>
      <c r="F94" s="142">
        <v>11400</v>
      </c>
      <c r="G94" s="143">
        <v>9579</v>
      </c>
      <c r="H94" s="144">
        <v>1821</v>
      </c>
      <c r="I94" s="140">
        <v>1</v>
      </c>
      <c r="J94" s="114" t="str">
        <f t="shared" si="1"/>
        <v>INSERT INTO DOCUMENTOS (NRO_DOCUMENTO,FECHA_EMISION,TOTAL_BRUTO,TOTAL_NETO,TOTAL_IVA, ID_TIPO, RUT_EMPLEADO, ID_CLIENTE) VALUES(90,TO_DATE('19-01-2025','DD-MM-YYYY'),11400,9579,1821,1,'14526149-K',85);</v>
      </c>
    </row>
    <row r="95" spans="1:10">
      <c r="A95" s="149"/>
      <c r="B95" s="149">
        <v>91</v>
      </c>
      <c r="C95" s="118" t="s">
        <v>2182</v>
      </c>
      <c r="D95" t="s">
        <v>2090</v>
      </c>
      <c r="E95" s="150">
        <v>128</v>
      </c>
      <c r="F95" s="142">
        <v>9500</v>
      </c>
      <c r="G95" s="143">
        <v>7983</v>
      </c>
      <c r="H95" s="144">
        <v>1517</v>
      </c>
      <c r="I95" s="140">
        <v>1</v>
      </c>
      <c r="J95" s="114" t="str">
        <f t="shared" si="1"/>
        <v>INSERT INTO DOCUMENTOS (NRO_DOCUMENTO,FECHA_EMISION,TOTAL_BRUTO,TOTAL_NETO,TOTAL_IVA, ID_TIPO, RUT_EMPLEADO, ID_CLIENTE) VALUES(91,TO_DATE('19-01-2025','DD-MM-YYYY'),9500,7983,1517,1,'14526149-K',128);</v>
      </c>
    </row>
    <row r="96" spans="1:10">
      <c r="A96" s="149"/>
      <c r="B96" s="149">
        <v>92</v>
      </c>
      <c r="C96" s="118" t="s">
        <v>2182</v>
      </c>
      <c r="D96" t="s">
        <v>2090</v>
      </c>
      <c r="E96" s="150">
        <v>166</v>
      </c>
      <c r="F96" s="142">
        <v>5350</v>
      </c>
      <c r="G96" s="143">
        <v>4496</v>
      </c>
      <c r="H96" s="144">
        <v>854</v>
      </c>
      <c r="I96" s="140">
        <v>1</v>
      </c>
      <c r="J96" s="114" t="str">
        <f t="shared" si="1"/>
        <v>INSERT INTO DOCUMENTOS (NRO_DOCUMENTO,FECHA_EMISION,TOTAL_BRUTO,TOTAL_NETO,TOTAL_IVA, ID_TIPO, RUT_EMPLEADO, ID_CLIENTE) VALUES(92,TO_DATE('19-01-2025','DD-MM-YYYY'),5350,4496,854,1,'14526149-K',166);</v>
      </c>
    </row>
    <row r="97" spans="1:10">
      <c r="A97" s="149"/>
      <c r="B97" s="149">
        <v>93</v>
      </c>
      <c r="C97" s="118" t="s">
        <v>2182</v>
      </c>
      <c r="D97" t="s">
        <v>2090</v>
      </c>
      <c r="E97" s="150">
        <v>196</v>
      </c>
      <c r="F97" s="142">
        <v>41590</v>
      </c>
      <c r="G97" s="143">
        <v>34949</v>
      </c>
      <c r="H97" s="144">
        <v>6641</v>
      </c>
      <c r="I97" s="140">
        <v>1</v>
      </c>
      <c r="J97" s="114" t="str">
        <f t="shared" si="1"/>
        <v>INSERT INTO DOCUMENTOS (NRO_DOCUMENTO,FECHA_EMISION,TOTAL_BRUTO,TOTAL_NETO,TOTAL_IVA, ID_TIPO, RUT_EMPLEADO, ID_CLIENTE) VALUES(93,TO_DATE('19-01-2025','DD-MM-YYYY'),41590,34949,6641,1,'14526149-K',196);</v>
      </c>
    </row>
    <row r="98" spans="1:10">
      <c r="A98" s="149"/>
      <c r="B98" s="149">
        <v>94</v>
      </c>
      <c r="C98" s="118" t="s">
        <v>2182</v>
      </c>
      <c r="D98" t="s">
        <v>2090</v>
      </c>
      <c r="E98" s="150">
        <v>470</v>
      </c>
      <c r="F98" s="142">
        <v>6200</v>
      </c>
      <c r="G98" s="143">
        <v>5210</v>
      </c>
      <c r="H98" s="144">
        <v>990</v>
      </c>
      <c r="I98" s="140">
        <v>1</v>
      </c>
      <c r="J98" s="114" t="str">
        <f t="shared" si="1"/>
        <v>INSERT INTO DOCUMENTOS (NRO_DOCUMENTO,FECHA_EMISION,TOTAL_BRUTO,TOTAL_NETO,TOTAL_IVA, ID_TIPO, RUT_EMPLEADO, ID_CLIENTE) VALUES(94,TO_DATE('19-01-2025','DD-MM-YYYY'),6200,5210,990,1,'14526149-K',470);</v>
      </c>
    </row>
    <row r="99" spans="1:10">
      <c r="A99" s="149"/>
      <c r="B99" s="149">
        <v>95</v>
      </c>
      <c r="C99" s="151" t="s">
        <v>2183</v>
      </c>
      <c r="D99" t="s">
        <v>2090</v>
      </c>
      <c r="E99" s="150">
        <v>166</v>
      </c>
      <c r="F99" s="142">
        <v>5500</v>
      </c>
      <c r="G99" s="143">
        <v>4622</v>
      </c>
      <c r="H99" s="144">
        <v>878</v>
      </c>
      <c r="I99" s="140">
        <v>1</v>
      </c>
      <c r="J99" s="114" t="str">
        <f t="shared" si="1"/>
        <v>INSERT INTO DOCUMENTOS (NRO_DOCUMENTO,FECHA_EMISION,TOTAL_BRUTO,TOTAL_NETO,TOTAL_IVA, ID_TIPO, RUT_EMPLEADO, ID_CLIENTE) VALUES(95,TO_DATE('20-01-2025','DD-MM-YYYY'),5500,4622,878,1,'14526149-K',166);</v>
      </c>
    </row>
    <row r="100" spans="1:10">
      <c r="A100" s="149"/>
      <c r="B100" s="149">
        <v>96</v>
      </c>
      <c r="C100" s="118" t="s">
        <v>2183</v>
      </c>
      <c r="D100" t="s">
        <v>2090</v>
      </c>
      <c r="E100" s="150">
        <v>171</v>
      </c>
      <c r="F100" s="142">
        <v>6200</v>
      </c>
      <c r="G100" s="143">
        <v>5210</v>
      </c>
      <c r="H100" s="144">
        <v>990</v>
      </c>
      <c r="I100" s="140">
        <v>1</v>
      </c>
      <c r="J100" s="114" t="str">
        <f t="shared" si="1"/>
        <v>INSERT INTO DOCUMENTOS (NRO_DOCUMENTO,FECHA_EMISION,TOTAL_BRUTO,TOTAL_NETO,TOTAL_IVA, ID_TIPO, RUT_EMPLEADO, ID_CLIENTE) VALUES(96,TO_DATE('20-01-2025','DD-MM-YYYY'),6200,5210,990,1,'14526149-K',171);</v>
      </c>
    </row>
    <row r="101" spans="1:10">
      <c r="A101" s="149"/>
      <c r="B101" s="149">
        <v>97</v>
      </c>
      <c r="C101" s="118" t="s">
        <v>2183</v>
      </c>
      <c r="D101" t="s">
        <v>2090</v>
      </c>
      <c r="E101" s="150">
        <v>207</v>
      </c>
      <c r="F101" s="142">
        <v>14000</v>
      </c>
      <c r="G101" s="143">
        <v>11765</v>
      </c>
      <c r="H101" s="144">
        <v>2235</v>
      </c>
      <c r="I101" s="140">
        <v>1</v>
      </c>
      <c r="J101" s="114" t="str">
        <f t="shared" si="1"/>
        <v>INSERT INTO DOCUMENTOS (NRO_DOCUMENTO,FECHA_EMISION,TOTAL_BRUTO,TOTAL_NETO,TOTAL_IVA, ID_TIPO, RUT_EMPLEADO, ID_CLIENTE) VALUES(97,TO_DATE('20-01-2025','DD-MM-YYYY'),14000,11765,2235,1,'14526149-K',207);</v>
      </c>
    </row>
    <row r="102" spans="1:10">
      <c r="A102" s="149"/>
      <c r="B102" s="149">
        <v>98</v>
      </c>
      <c r="C102" s="118" t="s">
        <v>2183</v>
      </c>
      <c r="D102" t="s">
        <v>2090</v>
      </c>
      <c r="E102" s="150">
        <v>230</v>
      </c>
      <c r="F102" s="142">
        <v>33100</v>
      </c>
      <c r="G102" s="143">
        <v>27815</v>
      </c>
      <c r="H102" s="144">
        <v>5285</v>
      </c>
      <c r="I102" s="140">
        <v>1</v>
      </c>
      <c r="J102" s="114" t="str">
        <f t="shared" si="1"/>
        <v>INSERT INTO DOCUMENTOS (NRO_DOCUMENTO,FECHA_EMISION,TOTAL_BRUTO,TOTAL_NETO,TOTAL_IVA, ID_TIPO, RUT_EMPLEADO, ID_CLIENTE) VALUES(98,TO_DATE('20-01-2025','DD-MM-YYYY'),33100,27815,5285,1,'14526149-K',230);</v>
      </c>
    </row>
    <row r="103" spans="1:10">
      <c r="A103" s="149"/>
      <c r="B103" s="149">
        <v>99</v>
      </c>
      <c r="C103" s="118" t="s">
        <v>2183</v>
      </c>
      <c r="D103" t="s">
        <v>2090</v>
      </c>
      <c r="E103" s="150">
        <v>278</v>
      </c>
      <c r="F103" s="142">
        <v>58700</v>
      </c>
      <c r="G103" s="143">
        <v>49329</v>
      </c>
      <c r="H103" s="144">
        <v>9371</v>
      </c>
      <c r="I103" s="140">
        <v>1</v>
      </c>
      <c r="J103" s="114" t="str">
        <f t="shared" si="1"/>
        <v>INSERT INTO DOCUMENTOS (NRO_DOCUMENTO,FECHA_EMISION,TOTAL_BRUTO,TOTAL_NETO,TOTAL_IVA, ID_TIPO, RUT_EMPLEADO, ID_CLIENTE) VALUES(99,TO_DATE('20-01-2025','DD-MM-YYYY'),58700,49329,9371,1,'14526149-K',278);</v>
      </c>
    </row>
    <row r="104" spans="1:10">
      <c r="A104" s="149"/>
      <c r="B104" s="150">
        <v>100</v>
      </c>
      <c r="C104" s="151" t="s">
        <v>2184</v>
      </c>
      <c r="D104" t="s">
        <v>2090</v>
      </c>
      <c r="E104" s="150">
        <v>66</v>
      </c>
      <c r="F104" s="142">
        <v>77840</v>
      </c>
      <c r="G104" s="143">
        <v>65411</v>
      </c>
      <c r="H104" s="144">
        <v>12429</v>
      </c>
      <c r="I104" s="140">
        <v>1</v>
      </c>
      <c r="J104" s="114" t="str">
        <f t="shared" si="1"/>
        <v>INSERT INTO DOCUMENTOS (NRO_DOCUMENTO,FECHA_EMISION,TOTAL_BRUTO,TOTAL_NETO,TOTAL_IVA, ID_TIPO, RUT_EMPLEADO, ID_CLIENTE) VALUES(100,TO_DATE('21-01-2025','DD-MM-YYYY'),77840,65411,12429,1,'14526149-K',66);</v>
      </c>
    </row>
    <row r="105" spans="1:10">
      <c r="A105" s="149"/>
      <c r="B105" s="149">
        <v>101</v>
      </c>
      <c r="C105" s="118" t="s">
        <v>2184</v>
      </c>
      <c r="D105" t="s">
        <v>2090</v>
      </c>
      <c r="E105" s="150">
        <v>122</v>
      </c>
      <c r="F105" s="142">
        <v>4350</v>
      </c>
      <c r="G105" s="143">
        <v>3656</v>
      </c>
      <c r="H105" s="144">
        <v>694</v>
      </c>
      <c r="I105" s="140">
        <v>1</v>
      </c>
      <c r="J105" s="114" t="str">
        <f t="shared" si="1"/>
        <v>INSERT INTO DOCUMENTOS (NRO_DOCUMENTO,FECHA_EMISION,TOTAL_BRUTO,TOTAL_NETO,TOTAL_IVA, ID_TIPO, RUT_EMPLEADO, ID_CLIENTE) VALUES(101,TO_DATE('21-01-2025','DD-MM-YYYY'),4350,3656,694,1,'14526149-K',122);</v>
      </c>
    </row>
    <row r="106" spans="1:10">
      <c r="A106" s="149"/>
      <c r="B106" s="149">
        <v>102</v>
      </c>
      <c r="C106" s="118" t="s">
        <v>2184</v>
      </c>
      <c r="D106" t="s">
        <v>2090</v>
      </c>
      <c r="E106" s="150">
        <v>276</v>
      </c>
      <c r="F106" s="142">
        <v>10500</v>
      </c>
      <c r="G106" s="143">
        <v>8824</v>
      </c>
      <c r="H106" s="144">
        <v>1676</v>
      </c>
      <c r="I106" s="140">
        <v>1</v>
      </c>
      <c r="J106" s="114" t="str">
        <f t="shared" si="1"/>
        <v>INSERT INTO DOCUMENTOS (NRO_DOCUMENTO,FECHA_EMISION,TOTAL_BRUTO,TOTAL_NETO,TOTAL_IVA, ID_TIPO, RUT_EMPLEADO, ID_CLIENTE) VALUES(102,TO_DATE('21-01-2025','DD-MM-YYYY'),10500,8824,1676,1,'14526149-K',276);</v>
      </c>
    </row>
    <row r="107" spans="1:10">
      <c r="A107" s="149"/>
      <c r="B107" s="149">
        <v>103</v>
      </c>
      <c r="C107" s="118" t="s">
        <v>2184</v>
      </c>
      <c r="D107" t="s">
        <v>2090</v>
      </c>
      <c r="E107" s="150">
        <v>353</v>
      </c>
      <c r="F107" s="142">
        <v>9000</v>
      </c>
      <c r="G107" s="143">
        <v>7563</v>
      </c>
      <c r="H107" s="144">
        <v>1437</v>
      </c>
      <c r="I107" s="140">
        <v>1</v>
      </c>
      <c r="J107" s="114" t="str">
        <f t="shared" si="1"/>
        <v>INSERT INTO DOCUMENTOS (NRO_DOCUMENTO,FECHA_EMISION,TOTAL_BRUTO,TOTAL_NETO,TOTAL_IVA, ID_TIPO, RUT_EMPLEADO, ID_CLIENTE) VALUES(103,TO_DATE('21-01-2025','DD-MM-YYYY'),9000,7563,1437,1,'14526149-K',353);</v>
      </c>
    </row>
    <row r="108" spans="1:10">
      <c r="A108" s="149"/>
      <c r="B108" s="149">
        <v>104</v>
      </c>
      <c r="C108" s="151" t="s">
        <v>2185</v>
      </c>
      <c r="D108" t="s">
        <v>2090</v>
      </c>
      <c r="E108" s="150">
        <v>54</v>
      </c>
      <c r="F108" s="142">
        <v>5300</v>
      </c>
      <c r="G108" s="143">
        <v>4455</v>
      </c>
      <c r="H108" s="144">
        <v>845</v>
      </c>
      <c r="I108" s="140">
        <v>1</v>
      </c>
      <c r="J108" s="114" t="str">
        <f t="shared" si="1"/>
        <v>INSERT INTO DOCUMENTOS (NRO_DOCUMENTO,FECHA_EMISION,TOTAL_BRUTO,TOTAL_NETO,TOTAL_IVA, ID_TIPO, RUT_EMPLEADO, ID_CLIENTE) VALUES(104,TO_DATE('22-01-2025','DD-MM-YYYY'),5300,4455,845,1,'14526149-K',54);</v>
      </c>
    </row>
    <row r="109" spans="1:10">
      <c r="A109" s="149"/>
      <c r="B109" s="149">
        <v>105</v>
      </c>
      <c r="C109" s="118" t="s">
        <v>2185</v>
      </c>
      <c r="D109" t="s">
        <v>2090</v>
      </c>
      <c r="E109" s="150">
        <v>122</v>
      </c>
      <c r="F109" s="142">
        <v>3400</v>
      </c>
      <c r="G109" s="143">
        <v>2857</v>
      </c>
      <c r="H109" s="144">
        <v>543</v>
      </c>
      <c r="I109" s="140">
        <v>1</v>
      </c>
      <c r="J109" s="114" t="str">
        <f t="shared" si="1"/>
        <v>INSERT INTO DOCUMENTOS (NRO_DOCUMENTO,FECHA_EMISION,TOTAL_BRUTO,TOTAL_NETO,TOTAL_IVA, ID_TIPO, RUT_EMPLEADO, ID_CLIENTE) VALUES(105,TO_DATE('22-01-2025','DD-MM-YYYY'),3400,2857,543,1,'14526149-K',122);</v>
      </c>
    </row>
    <row r="110" spans="1:10">
      <c r="A110" s="149"/>
      <c r="B110" s="149">
        <v>106</v>
      </c>
      <c r="C110" s="118" t="s">
        <v>2185</v>
      </c>
      <c r="D110" t="s">
        <v>2090</v>
      </c>
      <c r="E110" s="150">
        <v>166</v>
      </c>
      <c r="F110" s="142">
        <v>2500</v>
      </c>
      <c r="G110" s="143">
        <v>2101</v>
      </c>
      <c r="H110" s="144">
        <v>399</v>
      </c>
      <c r="I110" s="140">
        <v>1</v>
      </c>
      <c r="J110" s="114" t="str">
        <f t="shared" si="1"/>
        <v>INSERT INTO DOCUMENTOS (NRO_DOCUMENTO,FECHA_EMISION,TOTAL_BRUTO,TOTAL_NETO,TOTAL_IVA, ID_TIPO, RUT_EMPLEADO, ID_CLIENTE) VALUES(106,TO_DATE('22-01-2025','DD-MM-YYYY'),2500,2101,399,1,'14526149-K',166);</v>
      </c>
    </row>
    <row r="111" spans="1:10">
      <c r="A111" s="149"/>
      <c r="B111" s="149">
        <v>107</v>
      </c>
      <c r="C111" s="118" t="s">
        <v>2185</v>
      </c>
      <c r="D111" t="s">
        <v>2090</v>
      </c>
      <c r="E111" s="150">
        <v>274</v>
      </c>
      <c r="F111" s="142">
        <v>24990</v>
      </c>
      <c r="G111" s="143">
        <v>21000</v>
      </c>
      <c r="H111" s="144">
        <v>3990</v>
      </c>
      <c r="I111" s="140">
        <v>1</v>
      </c>
      <c r="J111" s="114" t="str">
        <f t="shared" si="1"/>
        <v>INSERT INTO DOCUMENTOS (NRO_DOCUMENTO,FECHA_EMISION,TOTAL_BRUTO,TOTAL_NETO,TOTAL_IVA, ID_TIPO, RUT_EMPLEADO, ID_CLIENTE) VALUES(107,TO_DATE('22-01-2025','DD-MM-YYYY'),24990,21000,3990,1,'14526149-K',274);</v>
      </c>
    </row>
    <row r="112" spans="1:10">
      <c r="A112" s="149"/>
      <c r="B112" s="149">
        <v>108</v>
      </c>
      <c r="C112" s="118" t="s">
        <v>2185</v>
      </c>
      <c r="D112" t="s">
        <v>2090</v>
      </c>
      <c r="E112" s="150">
        <v>407</v>
      </c>
      <c r="F112" s="142">
        <v>6200</v>
      </c>
      <c r="G112" s="143">
        <v>5210</v>
      </c>
      <c r="H112" s="144">
        <v>990</v>
      </c>
      <c r="I112" s="140">
        <v>1</v>
      </c>
      <c r="J112" s="114" t="str">
        <f t="shared" si="1"/>
        <v>INSERT INTO DOCUMENTOS (NRO_DOCUMENTO,FECHA_EMISION,TOTAL_BRUTO,TOTAL_NETO,TOTAL_IVA, ID_TIPO, RUT_EMPLEADO, ID_CLIENTE) VALUES(108,TO_DATE('22-01-2025','DD-MM-YYYY'),6200,5210,990,1,'14526149-K',407);</v>
      </c>
    </row>
    <row r="113" spans="1:10">
      <c r="A113" s="149"/>
      <c r="B113" s="149">
        <v>109</v>
      </c>
      <c r="C113" s="118" t="s">
        <v>2185</v>
      </c>
      <c r="D113" t="s">
        <v>2090</v>
      </c>
      <c r="E113" s="150">
        <v>411</v>
      </c>
      <c r="F113" s="142">
        <v>18500</v>
      </c>
      <c r="G113" s="143">
        <v>15546</v>
      </c>
      <c r="H113" s="144">
        <v>2954</v>
      </c>
      <c r="I113" s="140">
        <v>1</v>
      </c>
      <c r="J113" s="114" t="str">
        <f t="shared" si="1"/>
        <v>INSERT INTO DOCUMENTOS (NRO_DOCUMENTO,FECHA_EMISION,TOTAL_BRUTO,TOTAL_NETO,TOTAL_IVA, ID_TIPO, RUT_EMPLEADO, ID_CLIENTE) VALUES(109,TO_DATE('22-01-2025','DD-MM-YYYY'),18500,15546,2954,1,'14526149-K',411);</v>
      </c>
    </row>
    <row r="114" spans="1:10">
      <c r="A114" s="149"/>
      <c r="B114" s="149">
        <v>110</v>
      </c>
      <c r="C114" s="118" t="s">
        <v>2185</v>
      </c>
      <c r="D114" t="s">
        <v>2090</v>
      </c>
      <c r="E114" s="150">
        <v>457</v>
      </c>
      <c r="F114" s="142">
        <v>6200</v>
      </c>
      <c r="G114" s="143">
        <v>5210</v>
      </c>
      <c r="H114" s="144">
        <v>990</v>
      </c>
      <c r="I114" s="140">
        <v>1</v>
      </c>
      <c r="J114" s="114" t="str">
        <f t="shared" si="1"/>
        <v>INSERT INTO DOCUMENTOS (NRO_DOCUMENTO,FECHA_EMISION,TOTAL_BRUTO,TOTAL_NETO,TOTAL_IVA, ID_TIPO, RUT_EMPLEADO, ID_CLIENTE) VALUES(110,TO_DATE('22-01-2025','DD-MM-YYYY'),6200,5210,990,1,'14526149-K',457);</v>
      </c>
    </row>
    <row r="115" spans="1:10">
      <c r="A115" s="149"/>
      <c r="B115" s="149">
        <v>111</v>
      </c>
      <c r="C115" s="151" t="s">
        <v>2186</v>
      </c>
      <c r="D115" t="s">
        <v>2090</v>
      </c>
      <c r="E115" s="150">
        <v>65</v>
      </c>
      <c r="F115" s="142">
        <v>6200</v>
      </c>
      <c r="G115" s="143">
        <v>5210</v>
      </c>
      <c r="H115" s="144">
        <v>990</v>
      </c>
      <c r="I115" s="140">
        <v>1</v>
      </c>
      <c r="J115" s="114" t="str">
        <f t="shared" si="1"/>
        <v>INSERT INTO DOCUMENTOS (NRO_DOCUMENTO,FECHA_EMISION,TOTAL_BRUTO,TOTAL_NETO,TOTAL_IVA, ID_TIPO, RUT_EMPLEADO, ID_CLIENTE) VALUES(111,TO_DATE('23-01-2025','DD-MM-YYYY'),6200,5210,990,1,'14526149-K',65);</v>
      </c>
    </row>
    <row r="116" spans="1:10">
      <c r="A116" s="149"/>
      <c r="B116" s="149">
        <v>112</v>
      </c>
      <c r="C116" s="118" t="s">
        <v>2186</v>
      </c>
      <c r="D116" t="s">
        <v>2090</v>
      </c>
      <c r="E116" s="150">
        <v>251</v>
      </c>
      <c r="F116" s="142">
        <v>6000</v>
      </c>
      <c r="G116" s="143">
        <v>5042</v>
      </c>
      <c r="H116" s="144">
        <v>958</v>
      </c>
      <c r="I116" s="140">
        <v>1</v>
      </c>
      <c r="J116" s="114" t="str">
        <f t="shared" si="1"/>
        <v>INSERT INTO DOCUMENTOS (NRO_DOCUMENTO,FECHA_EMISION,TOTAL_BRUTO,TOTAL_NETO,TOTAL_IVA, ID_TIPO, RUT_EMPLEADO, ID_CLIENTE) VALUES(112,TO_DATE('23-01-2025','DD-MM-YYYY'),6000,5042,958,1,'14526149-K',251);</v>
      </c>
    </row>
    <row r="117" spans="1:10">
      <c r="A117" s="149"/>
      <c r="B117" s="149">
        <v>113</v>
      </c>
      <c r="C117" s="118" t="s">
        <v>2186</v>
      </c>
      <c r="D117" t="s">
        <v>2090</v>
      </c>
      <c r="E117" s="150">
        <v>389</v>
      </c>
      <c r="F117" s="142">
        <v>18100</v>
      </c>
      <c r="G117" s="143">
        <v>15210</v>
      </c>
      <c r="H117" s="144">
        <v>2890</v>
      </c>
      <c r="I117" s="140">
        <v>1</v>
      </c>
      <c r="J117" s="114" t="str">
        <f t="shared" si="1"/>
        <v>INSERT INTO DOCUMENTOS (NRO_DOCUMENTO,FECHA_EMISION,TOTAL_BRUTO,TOTAL_NETO,TOTAL_IVA, ID_TIPO, RUT_EMPLEADO, ID_CLIENTE) VALUES(113,TO_DATE('23-01-2025','DD-MM-YYYY'),18100,15210,2890,1,'14526149-K',389);</v>
      </c>
    </row>
    <row r="118" spans="1:10">
      <c r="A118" s="149"/>
      <c r="B118" s="149">
        <v>114</v>
      </c>
      <c r="C118" s="118" t="s">
        <v>2186</v>
      </c>
      <c r="D118" t="s">
        <v>2090</v>
      </c>
      <c r="E118" s="150">
        <v>393</v>
      </c>
      <c r="F118" s="142">
        <v>6100</v>
      </c>
      <c r="G118" s="143">
        <v>5126</v>
      </c>
      <c r="H118" s="144">
        <v>974</v>
      </c>
      <c r="I118" s="140">
        <v>1</v>
      </c>
      <c r="J118" s="114" t="str">
        <f t="shared" si="1"/>
        <v>INSERT INTO DOCUMENTOS (NRO_DOCUMENTO,FECHA_EMISION,TOTAL_BRUTO,TOTAL_NETO,TOTAL_IVA, ID_TIPO, RUT_EMPLEADO, ID_CLIENTE) VALUES(114,TO_DATE('23-01-2025','DD-MM-YYYY'),6100,5126,974,1,'14526149-K',393);</v>
      </c>
    </row>
    <row r="119" spans="1:10">
      <c r="A119" s="149"/>
      <c r="B119" s="149">
        <v>115</v>
      </c>
      <c r="C119" s="118" t="s">
        <v>2186</v>
      </c>
      <c r="D119" t="s">
        <v>2090</v>
      </c>
      <c r="E119" s="150">
        <v>446</v>
      </c>
      <c r="F119" s="142">
        <v>9500</v>
      </c>
      <c r="G119" s="143">
        <v>7983</v>
      </c>
      <c r="H119" s="144">
        <v>1517</v>
      </c>
      <c r="I119" s="140">
        <v>1</v>
      </c>
      <c r="J119" s="114" t="str">
        <f t="shared" si="1"/>
        <v>INSERT INTO DOCUMENTOS (NRO_DOCUMENTO,FECHA_EMISION,TOTAL_BRUTO,TOTAL_NETO,TOTAL_IVA, ID_TIPO, RUT_EMPLEADO, ID_CLIENTE) VALUES(115,TO_DATE('23-01-2025','DD-MM-YYYY'),9500,7983,1517,1,'14526149-K',446);</v>
      </c>
    </row>
    <row r="120" spans="1:10">
      <c r="A120" s="149"/>
      <c r="B120" s="149">
        <v>116</v>
      </c>
      <c r="C120" s="151" t="s">
        <v>2187</v>
      </c>
      <c r="D120" t="s">
        <v>2090</v>
      </c>
      <c r="E120" s="150">
        <v>110</v>
      </c>
      <c r="F120" s="142">
        <v>19490</v>
      </c>
      <c r="G120" s="143">
        <v>16378</v>
      </c>
      <c r="H120" s="144">
        <v>3112</v>
      </c>
      <c r="I120" s="140">
        <v>1</v>
      </c>
      <c r="J120" s="114" t="str">
        <f t="shared" si="1"/>
        <v>INSERT INTO DOCUMENTOS (NRO_DOCUMENTO,FECHA_EMISION,TOTAL_BRUTO,TOTAL_NETO,TOTAL_IVA, ID_TIPO, RUT_EMPLEADO, ID_CLIENTE) VALUES(116,TO_DATE('24-01-2025','DD-MM-YYYY'),19490,16378,3112,1,'14526149-K',110);</v>
      </c>
    </row>
    <row r="121" spans="1:10">
      <c r="A121" s="149"/>
      <c r="B121" s="149">
        <v>117</v>
      </c>
      <c r="C121" s="118" t="s">
        <v>2187</v>
      </c>
      <c r="D121" t="s">
        <v>2090</v>
      </c>
      <c r="E121" s="150">
        <v>166</v>
      </c>
      <c r="F121" s="142">
        <v>3500</v>
      </c>
      <c r="G121" s="143">
        <v>2941</v>
      </c>
      <c r="H121" s="144">
        <v>559</v>
      </c>
      <c r="I121" s="140">
        <v>1</v>
      </c>
      <c r="J121" s="114" t="str">
        <f t="shared" si="1"/>
        <v>INSERT INTO DOCUMENTOS (NRO_DOCUMENTO,FECHA_EMISION,TOTAL_BRUTO,TOTAL_NETO,TOTAL_IVA, ID_TIPO, RUT_EMPLEADO, ID_CLIENTE) VALUES(117,TO_DATE('24-01-2025','DD-MM-YYYY'),3500,2941,559,1,'14526149-K',166);</v>
      </c>
    </row>
    <row r="122" spans="1:10">
      <c r="A122" s="149"/>
      <c r="B122" s="149">
        <v>118</v>
      </c>
      <c r="C122" s="151" t="s">
        <v>2188</v>
      </c>
      <c r="D122" t="s">
        <v>2090</v>
      </c>
      <c r="E122" s="150">
        <v>76</v>
      </c>
      <c r="F122" s="142">
        <v>10500</v>
      </c>
      <c r="G122" s="143">
        <v>8824</v>
      </c>
      <c r="H122" s="144">
        <v>1676</v>
      </c>
      <c r="I122" s="140">
        <v>1</v>
      </c>
      <c r="J122" s="114" t="str">
        <f t="shared" si="1"/>
        <v>INSERT INTO DOCUMENTOS (NRO_DOCUMENTO,FECHA_EMISION,TOTAL_BRUTO,TOTAL_NETO,TOTAL_IVA, ID_TIPO, RUT_EMPLEADO, ID_CLIENTE) VALUES(118,TO_DATE('25-01-2025','DD-MM-YYYY'),10500,8824,1676,1,'14526149-K',76);</v>
      </c>
    </row>
    <row r="123" spans="1:10">
      <c r="A123" s="149"/>
      <c r="B123" s="149">
        <v>119</v>
      </c>
      <c r="C123" s="118" t="s">
        <v>2188</v>
      </c>
      <c r="D123" t="s">
        <v>2090</v>
      </c>
      <c r="E123" s="150">
        <v>300</v>
      </c>
      <c r="F123" s="142">
        <v>17700</v>
      </c>
      <c r="G123" s="143">
        <v>14874</v>
      </c>
      <c r="H123" s="144">
        <v>2826</v>
      </c>
      <c r="I123" s="140">
        <v>1</v>
      </c>
      <c r="J123" s="114" t="str">
        <f t="shared" si="1"/>
        <v>INSERT INTO DOCUMENTOS (NRO_DOCUMENTO,FECHA_EMISION,TOTAL_BRUTO,TOTAL_NETO,TOTAL_IVA, ID_TIPO, RUT_EMPLEADO, ID_CLIENTE) VALUES(119,TO_DATE('25-01-2025','DD-MM-YYYY'),17700,14874,2826,1,'14526149-K',300);</v>
      </c>
    </row>
    <row r="124" spans="1:10">
      <c r="A124" s="149"/>
      <c r="B124" s="149">
        <v>120</v>
      </c>
      <c r="C124" s="151" t="s">
        <v>2189</v>
      </c>
      <c r="D124" t="s">
        <v>2090</v>
      </c>
      <c r="E124" s="150">
        <v>122</v>
      </c>
      <c r="F124" s="142">
        <v>6000</v>
      </c>
      <c r="G124" s="143">
        <v>5042</v>
      </c>
      <c r="H124" s="144">
        <v>958</v>
      </c>
      <c r="I124" s="140">
        <v>1</v>
      </c>
      <c r="J124" s="114" t="str">
        <f t="shared" si="1"/>
        <v>INSERT INTO DOCUMENTOS (NRO_DOCUMENTO,FECHA_EMISION,TOTAL_BRUTO,TOTAL_NETO,TOTAL_IVA, ID_TIPO, RUT_EMPLEADO, ID_CLIENTE) VALUES(120,TO_DATE('26-01-2025','DD-MM-YYYY'),6000,5042,958,1,'14526149-K',122);</v>
      </c>
    </row>
    <row r="125" spans="1:10">
      <c r="A125" s="149"/>
      <c r="B125" s="149">
        <v>121</v>
      </c>
      <c r="C125" s="118" t="s">
        <v>2189</v>
      </c>
      <c r="D125" t="s">
        <v>2090</v>
      </c>
      <c r="E125" s="150">
        <v>166</v>
      </c>
      <c r="F125" s="142">
        <v>32800</v>
      </c>
      <c r="G125" s="143">
        <v>27563</v>
      </c>
      <c r="H125" s="144">
        <v>5237</v>
      </c>
      <c r="I125" s="140">
        <v>1</v>
      </c>
      <c r="J125" s="114" t="str">
        <f t="shared" si="1"/>
        <v>INSERT INTO DOCUMENTOS (NRO_DOCUMENTO,FECHA_EMISION,TOTAL_BRUTO,TOTAL_NETO,TOTAL_IVA, ID_TIPO, RUT_EMPLEADO, ID_CLIENTE) VALUES(121,TO_DATE('26-01-2025','DD-MM-YYYY'),32800,27563,5237,1,'14526149-K',166);</v>
      </c>
    </row>
    <row r="126" spans="1:10">
      <c r="A126" s="149"/>
      <c r="B126" s="149">
        <v>122</v>
      </c>
      <c r="C126" s="118" t="s">
        <v>2189</v>
      </c>
      <c r="D126" t="s">
        <v>2090</v>
      </c>
      <c r="E126" s="150">
        <v>230</v>
      </c>
      <c r="F126" s="142">
        <v>3400</v>
      </c>
      <c r="G126" s="143">
        <v>2857</v>
      </c>
      <c r="H126" s="144">
        <v>543</v>
      </c>
      <c r="I126" s="140">
        <v>1</v>
      </c>
      <c r="J126" s="114" t="str">
        <f t="shared" si="1"/>
        <v>INSERT INTO DOCUMENTOS (NRO_DOCUMENTO,FECHA_EMISION,TOTAL_BRUTO,TOTAL_NETO,TOTAL_IVA, ID_TIPO, RUT_EMPLEADO, ID_CLIENTE) VALUES(122,TO_DATE('26-01-2025','DD-MM-YYYY'),3400,2857,543,1,'14526149-K',230);</v>
      </c>
    </row>
    <row r="127" spans="1:10">
      <c r="A127" s="149"/>
      <c r="B127" s="149">
        <v>123</v>
      </c>
      <c r="C127" s="118" t="s">
        <v>2189</v>
      </c>
      <c r="D127" t="s">
        <v>2090</v>
      </c>
      <c r="E127" s="150">
        <v>374</v>
      </c>
      <c r="F127" s="142">
        <v>6000</v>
      </c>
      <c r="G127" s="143">
        <v>5042</v>
      </c>
      <c r="H127" s="144">
        <v>958</v>
      </c>
      <c r="I127" s="140">
        <v>1</v>
      </c>
      <c r="J127" s="114" t="str">
        <f t="shared" si="1"/>
        <v>INSERT INTO DOCUMENTOS (NRO_DOCUMENTO,FECHA_EMISION,TOTAL_BRUTO,TOTAL_NETO,TOTAL_IVA, ID_TIPO, RUT_EMPLEADO, ID_CLIENTE) VALUES(123,TO_DATE('26-01-2025','DD-MM-YYYY'),6000,5042,958,1,'14526149-K',374);</v>
      </c>
    </row>
    <row r="128" spans="1:10">
      <c r="A128" s="149"/>
      <c r="B128" s="149">
        <v>124</v>
      </c>
      <c r="C128" s="118" t="s">
        <v>2189</v>
      </c>
      <c r="D128" t="s">
        <v>2090</v>
      </c>
      <c r="E128" s="150">
        <v>408</v>
      </c>
      <c r="F128" s="142">
        <v>12500</v>
      </c>
      <c r="G128" s="143">
        <v>10504</v>
      </c>
      <c r="H128" s="144">
        <v>1996</v>
      </c>
      <c r="I128" s="140">
        <v>1</v>
      </c>
      <c r="J128" s="114" t="str">
        <f t="shared" si="1"/>
        <v>INSERT INTO DOCUMENTOS (NRO_DOCUMENTO,FECHA_EMISION,TOTAL_BRUTO,TOTAL_NETO,TOTAL_IVA, ID_TIPO, RUT_EMPLEADO, ID_CLIENTE) VALUES(124,TO_DATE('26-01-2025','DD-MM-YYYY'),12500,10504,1996,1,'14526149-K',408);</v>
      </c>
    </row>
    <row r="129" spans="1:10">
      <c r="A129" s="149"/>
      <c r="B129" s="149">
        <v>125</v>
      </c>
      <c r="C129" s="151" t="s">
        <v>2190</v>
      </c>
      <c r="D129" t="s">
        <v>2090</v>
      </c>
      <c r="E129" s="150">
        <v>353</v>
      </c>
      <c r="F129" s="142">
        <v>9000</v>
      </c>
      <c r="G129" s="143">
        <v>7563</v>
      </c>
      <c r="H129" s="144">
        <v>1437</v>
      </c>
      <c r="I129" s="140">
        <v>1</v>
      </c>
      <c r="J129" s="114" t="str">
        <f t="shared" si="1"/>
        <v>INSERT INTO DOCUMENTOS (NRO_DOCUMENTO,FECHA_EMISION,TOTAL_BRUTO,TOTAL_NETO,TOTAL_IVA, ID_TIPO, RUT_EMPLEADO, ID_CLIENTE) VALUES(125,TO_DATE('27-01-2025','DD-MM-YYYY'),9000,7563,1437,1,'14526149-K',353);</v>
      </c>
    </row>
    <row r="130" spans="1:10">
      <c r="A130" s="149"/>
      <c r="B130" s="149">
        <v>126</v>
      </c>
      <c r="C130" s="118" t="s">
        <v>2190</v>
      </c>
      <c r="D130" t="s">
        <v>2090</v>
      </c>
      <c r="E130" s="150">
        <v>445</v>
      </c>
      <c r="F130" s="142">
        <v>6000</v>
      </c>
      <c r="G130" s="143">
        <v>5042</v>
      </c>
      <c r="H130" s="144">
        <v>958</v>
      </c>
      <c r="I130" s="140">
        <v>1</v>
      </c>
      <c r="J130" s="114" t="str">
        <f t="shared" si="1"/>
        <v>INSERT INTO DOCUMENTOS (NRO_DOCUMENTO,FECHA_EMISION,TOTAL_BRUTO,TOTAL_NETO,TOTAL_IVA, ID_TIPO, RUT_EMPLEADO, ID_CLIENTE) VALUES(126,TO_DATE('27-01-2025','DD-MM-YYYY'),6000,5042,958,1,'14526149-K',445);</v>
      </c>
    </row>
    <row r="131" spans="1:10">
      <c r="A131" s="149"/>
      <c r="B131" s="149">
        <v>127</v>
      </c>
      <c r="C131" s="118" t="s">
        <v>2190</v>
      </c>
      <c r="D131" t="s">
        <v>2090</v>
      </c>
      <c r="E131" s="150">
        <v>470</v>
      </c>
      <c r="F131" s="142">
        <v>42000</v>
      </c>
      <c r="G131" s="143">
        <v>35294</v>
      </c>
      <c r="H131" s="144">
        <v>6706</v>
      </c>
      <c r="I131" s="140">
        <v>1</v>
      </c>
      <c r="J131" s="114" t="str">
        <f t="shared" si="1"/>
        <v>INSERT INTO DOCUMENTOS (NRO_DOCUMENTO,FECHA_EMISION,TOTAL_BRUTO,TOTAL_NETO,TOTAL_IVA, ID_TIPO, RUT_EMPLEADO, ID_CLIENTE) VALUES(127,TO_DATE('27-01-2025','DD-MM-YYYY'),42000,35294,6706,1,'14526149-K',470);</v>
      </c>
    </row>
    <row r="132" spans="1:10">
      <c r="A132" s="149"/>
      <c r="B132" s="149">
        <v>128</v>
      </c>
      <c r="C132" s="151" t="s">
        <v>2191</v>
      </c>
      <c r="D132" t="s">
        <v>2090</v>
      </c>
      <c r="E132" s="150">
        <v>55</v>
      </c>
      <c r="F132" s="142">
        <v>11500</v>
      </c>
      <c r="G132" s="143">
        <v>9664</v>
      </c>
      <c r="H132" s="144">
        <v>1836</v>
      </c>
      <c r="I132" s="140">
        <v>1</v>
      </c>
      <c r="J132" s="114" t="str">
        <f t="shared" si="1"/>
        <v>INSERT INTO DOCUMENTOS (NRO_DOCUMENTO,FECHA_EMISION,TOTAL_BRUTO,TOTAL_NETO,TOTAL_IVA, ID_TIPO, RUT_EMPLEADO, ID_CLIENTE) VALUES(128,TO_DATE('28-01-2025','DD-MM-YYYY'),11500,9664,1836,1,'14526149-K',55);</v>
      </c>
    </row>
    <row r="133" spans="1:10">
      <c r="A133" s="149"/>
      <c r="B133" s="149">
        <v>129</v>
      </c>
      <c r="C133" s="118" t="s">
        <v>2191</v>
      </c>
      <c r="D133" t="s">
        <v>2090</v>
      </c>
      <c r="E133" s="150">
        <v>82</v>
      </c>
      <c r="F133" s="142">
        <v>14500</v>
      </c>
      <c r="G133" s="143">
        <v>12185</v>
      </c>
      <c r="H133" s="144">
        <v>2315</v>
      </c>
      <c r="I133" s="140">
        <v>1</v>
      </c>
      <c r="J133" s="114" t="str">
        <f t="shared" si="1"/>
        <v>INSERT INTO DOCUMENTOS (NRO_DOCUMENTO,FECHA_EMISION,TOTAL_BRUTO,TOTAL_NETO,TOTAL_IVA, ID_TIPO, RUT_EMPLEADO, ID_CLIENTE) VALUES(129,TO_DATE('28-01-2025','DD-MM-YYYY'),14500,12185,2315,1,'14526149-K',82);</v>
      </c>
    </row>
    <row r="134" spans="1:10">
      <c r="A134" s="149"/>
      <c r="B134" s="149">
        <v>130</v>
      </c>
      <c r="C134" s="118" t="s">
        <v>2191</v>
      </c>
      <c r="D134" t="s">
        <v>2090</v>
      </c>
      <c r="E134" s="150">
        <v>108</v>
      </c>
      <c r="F134" s="142">
        <v>6000</v>
      </c>
      <c r="G134" s="143">
        <v>5042</v>
      </c>
      <c r="H134" s="144">
        <v>958</v>
      </c>
      <c r="I134" s="140">
        <v>1</v>
      </c>
      <c r="J134" s="114" t="str">
        <f t="shared" ref="J134:J197" si="2">CONCATENATE("INSERT INTO DOCUMENTOS (NRO_DOCUMENTO,FECHA_EMISION,TOTAL_BRUTO,TOTAL_NETO,TOTAL_IVA, ID_TIPO, RUT_EMPLEADO, ID_CLIENTE) VALUES(",B134,",","TO_DATE('",C134,"'",",'DD-MM-YYYY'),",F134,",",G134,",",H134,",",I134,",","'",D134,"',",E134,");")</f>
        <v>INSERT INTO DOCUMENTOS (NRO_DOCUMENTO,FECHA_EMISION,TOTAL_BRUTO,TOTAL_NETO,TOTAL_IVA, ID_TIPO, RUT_EMPLEADO, ID_CLIENTE) VALUES(130,TO_DATE('28-01-2025','DD-MM-YYYY'),6000,5042,958,1,'14526149-K',108);</v>
      </c>
    </row>
    <row r="135" spans="1:10">
      <c r="A135" s="149"/>
      <c r="B135" s="149">
        <v>131</v>
      </c>
      <c r="C135" s="118" t="s">
        <v>2191</v>
      </c>
      <c r="D135" t="s">
        <v>2090</v>
      </c>
      <c r="E135" s="150">
        <v>110</v>
      </c>
      <c r="F135" s="142">
        <v>13500</v>
      </c>
      <c r="G135" s="143">
        <v>11344</v>
      </c>
      <c r="H135" s="144">
        <v>2156</v>
      </c>
      <c r="I135" s="140">
        <v>1</v>
      </c>
      <c r="J135" s="114" t="str">
        <f t="shared" si="2"/>
        <v>INSERT INTO DOCUMENTOS (NRO_DOCUMENTO,FECHA_EMISION,TOTAL_BRUTO,TOTAL_NETO,TOTAL_IVA, ID_TIPO, RUT_EMPLEADO, ID_CLIENTE) VALUES(131,TO_DATE('28-01-2025','DD-MM-YYYY'),13500,11344,2156,1,'14526149-K',110);</v>
      </c>
    </row>
    <row r="136" spans="1:10">
      <c r="A136" s="149"/>
      <c r="B136" s="149">
        <v>132</v>
      </c>
      <c r="C136" s="118" t="s">
        <v>2191</v>
      </c>
      <c r="D136" t="s">
        <v>2090</v>
      </c>
      <c r="E136" s="150">
        <v>116</v>
      </c>
      <c r="F136" s="142">
        <v>37400</v>
      </c>
      <c r="G136" s="143">
        <v>31429</v>
      </c>
      <c r="H136" s="144">
        <v>5971</v>
      </c>
      <c r="I136" s="140">
        <v>1</v>
      </c>
      <c r="J136" s="114" t="str">
        <f t="shared" si="2"/>
        <v>INSERT INTO DOCUMENTOS (NRO_DOCUMENTO,FECHA_EMISION,TOTAL_BRUTO,TOTAL_NETO,TOTAL_IVA, ID_TIPO, RUT_EMPLEADO, ID_CLIENTE) VALUES(132,TO_DATE('28-01-2025','DD-MM-YYYY'),37400,31429,5971,1,'14526149-K',116);</v>
      </c>
    </row>
    <row r="137" spans="1:10">
      <c r="A137" s="149"/>
      <c r="B137" s="149">
        <v>133</v>
      </c>
      <c r="C137" s="118" t="s">
        <v>2191</v>
      </c>
      <c r="D137" t="s">
        <v>2090</v>
      </c>
      <c r="E137" s="150">
        <v>119</v>
      </c>
      <c r="F137" s="142">
        <v>57640</v>
      </c>
      <c r="G137" s="143">
        <v>48438</v>
      </c>
      <c r="H137" s="144">
        <v>9202</v>
      </c>
      <c r="I137" s="140">
        <v>1</v>
      </c>
      <c r="J137" s="114" t="str">
        <f t="shared" si="2"/>
        <v>INSERT INTO DOCUMENTOS (NRO_DOCUMENTO,FECHA_EMISION,TOTAL_BRUTO,TOTAL_NETO,TOTAL_IVA, ID_TIPO, RUT_EMPLEADO, ID_CLIENTE) VALUES(133,TO_DATE('28-01-2025','DD-MM-YYYY'),57640,48438,9202,1,'14526149-K',119);</v>
      </c>
    </row>
    <row r="138" spans="1:10">
      <c r="A138" s="149"/>
      <c r="B138" s="149">
        <v>134</v>
      </c>
      <c r="C138" s="118" t="s">
        <v>2191</v>
      </c>
      <c r="D138" t="s">
        <v>2090</v>
      </c>
      <c r="E138" s="150">
        <v>278</v>
      </c>
      <c r="F138" s="142">
        <v>6000</v>
      </c>
      <c r="G138" s="143">
        <v>5042</v>
      </c>
      <c r="H138" s="144">
        <v>958</v>
      </c>
      <c r="I138" s="140">
        <v>1</v>
      </c>
      <c r="J138" s="114" t="str">
        <f t="shared" si="2"/>
        <v>INSERT INTO DOCUMENTOS (NRO_DOCUMENTO,FECHA_EMISION,TOTAL_BRUTO,TOTAL_NETO,TOTAL_IVA, ID_TIPO, RUT_EMPLEADO, ID_CLIENTE) VALUES(134,TO_DATE('28-01-2025','DD-MM-YYYY'),6000,5042,958,1,'14526149-K',278);</v>
      </c>
    </row>
    <row r="139" spans="1:10">
      <c r="A139" s="149"/>
      <c r="B139" s="149">
        <v>135</v>
      </c>
      <c r="C139" s="118" t="s">
        <v>2191</v>
      </c>
      <c r="D139" t="s">
        <v>2090</v>
      </c>
      <c r="E139" s="150">
        <v>360</v>
      </c>
      <c r="F139" s="142">
        <v>15500</v>
      </c>
      <c r="G139" s="143">
        <v>13025</v>
      </c>
      <c r="H139" s="144">
        <v>2475</v>
      </c>
      <c r="I139" s="140">
        <v>1</v>
      </c>
      <c r="J139" s="114" t="str">
        <f t="shared" si="2"/>
        <v>INSERT INTO DOCUMENTOS (NRO_DOCUMENTO,FECHA_EMISION,TOTAL_BRUTO,TOTAL_NETO,TOTAL_IVA, ID_TIPO, RUT_EMPLEADO, ID_CLIENTE) VALUES(135,TO_DATE('28-01-2025','DD-MM-YYYY'),15500,13025,2475,1,'14526149-K',360);</v>
      </c>
    </row>
    <row r="140" spans="1:10">
      <c r="A140" s="149"/>
      <c r="B140" s="149">
        <v>136</v>
      </c>
      <c r="C140" s="118" t="s">
        <v>2191</v>
      </c>
      <c r="D140" t="s">
        <v>2090</v>
      </c>
      <c r="E140" s="150">
        <v>382</v>
      </c>
      <c r="F140" s="142">
        <v>6000</v>
      </c>
      <c r="G140" s="143">
        <v>5042</v>
      </c>
      <c r="H140" s="144">
        <v>958</v>
      </c>
      <c r="I140" s="140">
        <v>1</v>
      </c>
      <c r="J140" s="114" t="str">
        <f t="shared" si="2"/>
        <v>INSERT INTO DOCUMENTOS (NRO_DOCUMENTO,FECHA_EMISION,TOTAL_BRUTO,TOTAL_NETO,TOTAL_IVA, ID_TIPO, RUT_EMPLEADO, ID_CLIENTE) VALUES(136,TO_DATE('28-01-2025','DD-MM-YYYY'),6000,5042,958,1,'14526149-K',382);</v>
      </c>
    </row>
    <row r="141" spans="1:10">
      <c r="A141" s="149"/>
      <c r="B141" s="149">
        <v>137</v>
      </c>
      <c r="C141" s="118" t="s">
        <v>2191</v>
      </c>
      <c r="D141" t="s">
        <v>2090</v>
      </c>
      <c r="E141" s="150">
        <v>476</v>
      </c>
      <c r="F141" s="142">
        <v>11500</v>
      </c>
      <c r="G141" s="143">
        <v>9664</v>
      </c>
      <c r="H141" s="144">
        <v>1836</v>
      </c>
      <c r="I141" s="140">
        <v>1</v>
      </c>
      <c r="J141" s="114" t="str">
        <f t="shared" si="2"/>
        <v>INSERT INTO DOCUMENTOS (NRO_DOCUMENTO,FECHA_EMISION,TOTAL_BRUTO,TOTAL_NETO,TOTAL_IVA, ID_TIPO, RUT_EMPLEADO, ID_CLIENTE) VALUES(137,TO_DATE('28-01-2025','DD-MM-YYYY'),11500,9664,1836,1,'14526149-K',476);</v>
      </c>
    </row>
    <row r="142" spans="1:10">
      <c r="A142" s="149"/>
      <c r="B142" s="149">
        <v>138</v>
      </c>
      <c r="C142" s="151" t="s">
        <v>2192</v>
      </c>
      <c r="D142" t="s">
        <v>2090</v>
      </c>
      <c r="E142" s="150">
        <v>166</v>
      </c>
      <c r="F142" s="142">
        <v>2500</v>
      </c>
      <c r="G142" s="143">
        <v>2101</v>
      </c>
      <c r="H142" s="144">
        <v>399</v>
      </c>
      <c r="I142" s="140">
        <v>1</v>
      </c>
      <c r="J142" s="114" t="str">
        <f t="shared" si="2"/>
        <v>INSERT INTO DOCUMENTOS (NRO_DOCUMENTO,FECHA_EMISION,TOTAL_BRUTO,TOTAL_NETO,TOTAL_IVA, ID_TIPO, RUT_EMPLEADO, ID_CLIENTE) VALUES(138,TO_DATE('29-01-2025','DD-MM-YYYY'),2500,2101,399,1,'14526149-K',166);</v>
      </c>
    </row>
    <row r="143" spans="1:10">
      <c r="A143" s="149"/>
      <c r="B143" s="149">
        <v>139</v>
      </c>
      <c r="C143" s="118" t="s">
        <v>2192</v>
      </c>
      <c r="D143" t="s">
        <v>2090</v>
      </c>
      <c r="E143" s="150">
        <v>261</v>
      </c>
      <c r="F143" s="142">
        <v>6800</v>
      </c>
      <c r="G143" s="143">
        <v>5714</v>
      </c>
      <c r="H143" s="144">
        <v>1086</v>
      </c>
      <c r="I143" s="140">
        <v>1</v>
      </c>
      <c r="J143" s="114" t="str">
        <f t="shared" si="2"/>
        <v>INSERT INTO DOCUMENTOS (NRO_DOCUMENTO,FECHA_EMISION,TOTAL_BRUTO,TOTAL_NETO,TOTAL_IVA, ID_TIPO, RUT_EMPLEADO, ID_CLIENTE) VALUES(139,TO_DATE('29-01-2025','DD-MM-YYYY'),6800,5714,1086,1,'14526149-K',261);</v>
      </c>
    </row>
    <row r="144" spans="1:10">
      <c r="A144" s="149"/>
      <c r="B144" s="149">
        <v>140</v>
      </c>
      <c r="C144" s="118" t="s">
        <v>2192</v>
      </c>
      <c r="D144" t="s">
        <v>2090</v>
      </c>
      <c r="E144" s="150">
        <v>312</v>
      </c>
      <c r="F144" s="142">
        <v>6000</v>
      </c>
      <c r="G144" s="143">
        <v>5042</v>
      </c>
      <c r="H144" s="144">
        <v>958</v>
      </c>
      <c r="I144" s="140">
        <v>1</v>
      </c>
      <c r="J144" s="114" t="str">
        <f t="shared" si="2"/>
        <v>INSERT INTO DOCUMENTOS (NRO_DOCUMENTO,FECHA_EMISION,TOTAL_BRUTO,TOTAL_NETO,TOTAL_IVA, ID_TIPO, RUT_EMPLEADO, ID_CLIENTE) VALUES(140,TO_DATE('29-01-2025','DD-MM-YYYY'),6000,5042,958,1,'14526149-K',312);</v>
      </c>
    </row>
    <row r="145" spans="1:10">
      <c r="A145" s="149"/>
      <c r="B145" s="149">
        <v>141</v>
      </c>
      <c r="C145" s="118" t="s">
        <v>2192</v>
      </c>
      <c r="D145" t="s">
        <v>2090</v>
      </c>
      <c r="E145" s="150">
        <v>393</v>
      </c>
      <c r="F145" s="142">
        <v>3500</v>
      </c>
      <c r="G145" s="143">
        <v>2941</v>
      </c>
      <c r="H145" s="144">
        <v>559</v>
      </c>
      <c r="I145" s="140">
        <v>1</v>
      </c>
      <c r="J145" s="114" t="str">
        <f t="shared" si="2"/>
        <v>INSERT INTO DOCUMENTOS (NRO_DOCUMENTO,FECHA_EMISION,TOTAL_BRUTO,TOTAL_NETO,TOTAL_IVA, ID_TIPO, RUT_EMPLEADO, ID_CLIENTE) VALUES(141,TO_DATE('29-01-2025','DD-MM-YYYY'),3500,2941,559,1,'14526149-K',393);</v>
      </c>
    </row>
    <row r="146" spans="1:10">
      <c r="A146" s="149"/>
      <c r="B146" s="149">
        <v>142</v>
      </c>
      <c r="C146" s="118" t="s">
        <v>2192</v>
      </c>
      <c r="D146" t="s">
        <v>2090</v>
      </c>
      <c r="E146" s="150">
        <v>446</v>
      </c>
      <c r="F146" s="142">
        <v>9500</v>
      </c>
      <c r="G146" s="143">
        <v>7984</v>
      </c>
      <c r="H146" s="144">
        <v>1516</v>
      </c>
      <c r="I146" s="140">
        <v>1</v>
      </c>
      <c r="J146" s="114" t="str">
        <f t="shared" si="2"/>
        <v>INSERT INTO DOCUMENTOS (NRO_DOCUMENTO,FECHA_EMISION,TOTAL_BRUTO,TOTAL_NETO,TOTAL_IVA, ID_TIPO, RUT_EMPLEADO, ID_CLIENTE) VALUES(142,TO_DATE('29-01-2025','DD-MM-YYYY'),9500,7984,1516,1,'14526149-K',446);</v>
      </c>
    </row>
    <row r="147" spans="1:10">
      <c r="A147" s="149"/>
      <c r="B147" s="149">
        <v>143</v>
      </c>
      <c r="C147" s="151" t="s">
        <v>2193</v>
      </c>
      <c r="D147" t="s">
        <v>2090</v>
      </c>
      <c r="E147" s="150">
        <v>97</v>
      </c>
      <c r="F147" s="142">
        <v>6300</v>
      </c>
      <c r="G147" s="143">
        <v>5294</v>
      </c>
      <c r="H147" s="144">
        <v>1006</v>
      </c>
      <c r="I147" s="140">
        <v>1</v>
      </c>
      <c r="J147" s="114" t="str">
        <f t="shared" si="2"/>
        <v>INSERT INTO DOCUMENTOS (NRO_DOCUMENTO,FECHA_EMISION,TOTAL_BRUTO,TOTAL_NETO,TOTAL_IVA, ID_TIPO, RUT_EMPLEADO, ID_CLIENTE) VALUES(143,TO_DATE('30-01-2025','DD-MM-YYYY'),6300,5294,1006,1,'14526149-K',97);</v>
      </c>
    </row>
    <row r="148" spans="1:10">
      <c r="A148" s="149"/>
      <c r="B148" s="149">
        <v>144</v>
      </c>
      <c r="C148" s="118" t="s">
        <v>2193</v>
      </c>
      <c r="D148" t="s">
        <v>2090</v>
      </c>
      <c r="E148" s="150">
        <v>122</v>
      </c>
      <c r="F148" s="142">
        <v>10800</v>
      </c>
      <c r="G148" s="143">
        <v>9076</v>
      </c>
      <c r="H148" s="144">
        <v>1724</v>
      </c>
      <c r="I148" s="140">
        <v>1</v>
      </c>
      <c r="J148" s="114" t="str">
        <f t="shared" si="2"/>
        <v>INSERT INTO DOCUMENTOS (NRO_DOCUMENTO,FECHA_EMISION,TOTAL_BRUTO,TOTAL_NETO,TOTAL_IVA, ID_TIPO, RUT_EMPLEADO, ID_CLIENTE) VALUES(144,TO_DATE('30-01-2025','DD-MM-YYYY'),10800,9076,1724,1,'14526149-K',122);</v>
      </c>
    </row>
    <row r="149" spans="1:10">
      <c r="A149" s="149"/>
      <c r="B149" s="149">
        <v>145</v>
      </c>
      <c r="C149" s="118" t="s">
        <v>2193</v>
      </c>
      <c r="D149" t="s">
        <v>2090</v>
      </c>
      <c r="E149" s="150">
        <v>167</v>
      </c>
      <c r="F149" s="142">
        <v>30500</v>
      </c>
      <c r="G149" s="143">
        <v>25630</v>
      </c>
      <c r="H149" s="144">
        <v>4870</v>
      </c>
      <c r="I149" s="140">
        <v>1</v>
      </c>
      <c r="J149" s="114" t="str">
        <f t="shared" si="2"/>
        <v>INSERT INTO DOCUMENTOS (NRO_DOCUMENTO,FECHA_EMISION,TOTAL_BRUTO,TOTAL_NETO,TOTAL_IVA, ID_TIPO, RUT_EMPLEADO, ID_CLIENTE) VALUES(145,TO_DATE('30-01-2025','DD-MM-YYYY'),30500,25630,4870,1,'14526149-K',167);</v>
      </c>
    </row>
    <row r="150" spans="1:10">
      <c r="A150" s="149"/>
      <c r="B150" s="149">
        <v>146</v>
      </c>
      <c r="C150" s="118" t="s">
        <v>2193</v>
      </c>
      <c r="D150" t="s">
        <v>2090</v>
      </c>
      <c r="E150" s="150">
        <v>287</v>
      </c>
      <c r="F150" s="142">
        <v>17000</v>
      </c>
      <c r="G150" s="143">
        <v>14286</v>
      </c>
      <c r="H150" s="144">
        <v>2714</v>
      </c>
      <c r="I150" s="140">
        <v>1</v>
      </c>
      <c r="J150" s="114" t="str">
        <f t="shared" si="2"/>
        <v>INSERT INTO DOCUMENTOS (NRO_DOCUMENTO,FECHA_EMISION,TOTAL_BRUTO,TOTAL_NETO,TOTAL_IVA, ID_TIPO, RUT_EMPLEADO, ID_CLIENTE) VALUES(146,TO_DATE('30-01-2025','DD-MM-YYYY'),17000,14286,2714,1,'14526149-K',287);</v>
      </c>
    </row>
    <row r="151" spans="1:10">
      <c r="A151" s="149"/>
      <c r="B151" s="149">
        <v>147</v>
      </c>
      <c r="C151" s="118" t="s">
        <v>2193</v>
      </c>
      <c r="D151" t="s">
        <v>2090</v>
      </c>
      <c r="E151" s="150">
        <v>306</v>
      </c>
      <c r="F151" s="142">
        <v>57000</v>
      </c>
      <c r="G151" s="143">
        <v>47899</v>
      </c>
      <c r="H151" s="144">
        <v>9101</v>
      </c>
      <c r="I151" s="140">
        <v>1</v>
      </c>
      <c r="J151" s="114" t="str">
        <f t="shared" si="2"/>
        <v>INSERT INTO DOCUMENTOS (NRO_DOCUMENTO,FECHA_EMISION,TOTAL_BRUTO,TOTAL_NETO,TOTAL_IVA, ID_TIPO, RUT_EMPLEADO, ID_CLIENTE) VALUES(147,TO_DATE('30-01-2025','DD-MM-YYYY'),57000,47899,9101,1,'14526149-K',306);</v>
      </c>
    </row>
    <row r="152" spans="1:10">
      <c r="A152" s="149"/>
      <c r="B152" s="149">
        <v>148</v>
      </c>
      <c r="C152" s="118" t="s">
        <v>2193</v>
      </c>
      <c r="D152" t="s">
        <v>2090</v>
      </c>
      <c r="E152" s="150">
        <v>315</v>
      </c>
      <c r="F152" s="142">
        <v>11800</v>
      </c>
      <c r="G152" s="143">
        <v>9916</v>
      </c>
      <c r="H152" s="144">
        <v>1884</v>
      </c>
      <c r="I152" s="140">
        <v>1</v>
      </c>
      <c r="J152" s="114" t="str">
        <f t="shared" si="2"/>
        <v>INSERT INTO DOCUMENTOS (NRO_DOCUMENTO,FECHA_EMISION,TOTAL_BRUTO,TOTAL_NETO,TOTAL_IVA, ID_TIPO, RUT_EMPLEADO, ID_CLIENTE) VALUES(148,TO_DATE('30-01-2025','DD-MM-YYYY'),11800,9916,1884,1,'14526149-K',315);</v>
      </c>
    </row>
    <row r="153" spans="1:10">
      <c r="A153" s="149"/>
      <c r="B153" s="149">
        <v>149</v>
      </c>
      <c r="C153" s="118" t="s">
        <v>2193</v>
      </c>
      <c r="D153" t="s">
        <v>2090</v>
      </c>
      <c r="E153" s="150">
        <v>374</v>
      </c>
      <c r="F153" s="142">
        <v>14500</v>
      </c>
      <c r="G153" s="143">
        <v>12185</v>
      </c>
      <c r="H153" s="144">
        <v>2315</v>
      </c>
      <c r="I153" s="140">
        <v>1</v>
      </c>
      <c r="J153" s="114" t="str">
        <f t="shared" si="2"/>
        <v>INSERT INTO DOCUMENTOS (NRO_DOCUMENTO,FECHA_EMISION,TOTAL_BRUTO,TOTAL_NETO,TOTAL_IVA, ID_TIPO, RUT_EMPLEADO, ID_CLIENTE) VALUES(149,TO_DATE('30-01-2025','DD-MM-YYYY'),14500,12185,2315,1,'14526149-K',374);</v>
      </c>
    </row>
    <row r="154" spans="1:10">
      <c r="A154" s="149"/>
      <c r="B154" s="150">
        <v>150</v>
      </c>
      <c r="C154" s="118" t="s">
        <v>2193</v>
      </c>
      <c r="D154" t="s">
        <v>2090</v>
      </c>
      <c r="E154" s="150">
        <v>400</v>
      </c>
      <c r="F154" s="142">
        <v>6000</v>
      </c>
      <c r="G154" s="143">
        <v>5042</v>
      </c>
      <c r="H154" s="144">
        <v>958</v>
      </c>
      <c r="I154" s="140">
        <v>1</v>
      </c>
      <c r="J154" s="114" t="str">
        <f t="shared" si="2"/>
        <v>INSERT INTO DOCUMENTOS (NRO_DOCUMENTO,FECHA_EMISION,TOTAL_BRUTO,TOTAL_NETO,TOTAL_IVA, ID_TIPO, RUT_EMPLEADO, ID_CLIENTE) VALUES(150,TO_DATE('30-01-2025','DD-MM-YYYY'),6000,5042,958,1,'14526149-K',400);</v>
      </c>
    </row>
    <row r="155" spans="1:10">
      <c r="A155" s="149"/>
      <c r="B155" s="149">
        <v>151</v>
      </c>
      <c r="C155" s="118" t="s">
        <v>2193</v>
      </c>
      <c r="D155" t="s">
        <v>2090</v>
      </c>
      <c r="E155" s="150">
        <v>443</v>
      </c>
      <c r="F155" s="142">
        <v>2400</v>
      </c>
      <c r="G155" s="143">
        <v>2017</v>
      </c>
      <c r="H155" s="144">
        <v>383</v>
      </c>
      <c r="I155" s="140">
        <v>1</v>
      </c>
      <c r="J155" s="114" t="str">
        <f t="shared" si="2"/>
        <v>INSERT INTO DOCUMENTOS (NRO_DOCUMENTO,FECHA_EMISION,TOTAL_BRUTO,TOTAL_NETO,TOTAL_IVA, ID_TIPO, RUT_EMPLEADO, ID_CLIENTE) VALUES(151,TO_DATE('30-01-2025','DD-MM-YYYY'),2400,2017,383,1,'14526149-K',443);</v>
      </c>
    </row>
    <row r="156" spans="1:10">
      <c r="A156" s="149"/>
      <c r="B156" s="149">
        <v>152</v>
      </c>
      <c r="C156" s="151" t="s">
        <v>2194</v>
      </c>
      <c r="D156" t="s">
        <v>2090</v>
      </c>
      <c r="E156" s="150">
        <v>54</v>
      </c>
      <c r="F156" s="142">
        <v>11200</v>
      </c>
      <c r="G156" s="143">
        <v>9412</v>
      </c>
      <c r="H156" s="144">
        <v>1788</v>
      </c>
      <c r="I156" s="140">
        <v>1</v>
      </c>
      <c r="J156" s="114" t="str">
        <f t="shared" si="2"/>
        <v>INSERT INTO DOCUMENTOS (NRO_DOCUMENTO,FECHA_EMISION,TOTAL_BRUTO,TOTAL_NETO,TOTAL_IVA, ID_TIPO, RUT_EMPLEADO, ID_CLIENTE) VALUES(152,TO_DATE('31-01-2025','DD-MM-YYYY'),11200,9412,1788,1,'14526149-K',54);</v>
      </c>
    </row>
    <row r="157" spans="1:10">
      <c r="A157" s="149"/>
      <c r="B157" s="149">
        <v>153</v>
      </c>
      <c r="C157" s="118" t="s">
        <v>2194</v>
      </c>
      <c r="D157" t="s">
        <v>2090</v>
      </c>
      <c r="E157" s="150">
        <v>152</v>
      </c>
      <c r="F157" s="142">
        <v>6800</v>
      </c>
      <c r="G157" s="143">
        <v>5714</v>
      </c>
      <c r="H157" s="144">
        <v>1086</v>
      </c>
      <c r="I157" s="140">
        <v>1</v>
      </c>
      <c r="J157" s="114" t="str">
        <f t="shared" si="2"/>
        <v>INSERT INTO DOCUMENTOS (NRO_DOCUMENTO,FECHA_EMISION,TOTAL_BRUTO,TOTAL_NETO,TOTAL_IVA, ID_TIPO, RUT_EMPLEADO, ID_CLIENTE) VALUES(153,TO_DATE('31-01-2025','DD-MM-YYYY'),6800,5714,1086,1,'14526149-K',152);</v>
      </c>
    </row>
    <row r="158" spans="1:10">
      <c r="A158" s="149"/>
      <c r="B158" s="149">
        <v>154</v>
      </c>
      <c r="C158" s="118" t="s">
        <v>2194</v>
      </c>
      <c r="D158" t="s">
        <v>2090</v>
      </c>
      <c r="E158" s="150">
        <v>187</v>
      </c>
      <c r="F158" s="142">
        <v>32800</v>
      </c>
      <c r="G158" s="143">
        <v>27563</v>
      </c>
      <c r="H158" s="144">
        <v>5237</v>
      </c>
      <c r="I158" s="140">
        <v>1</v>
      </c>
      <c r="J158" s="114" t="str">
        <f t="shared" si="2"/>
        <v>INSERT INTO DOCUMENTOS (NRO_DOCUMENTO,FECHA_EMISION,TOTAL_BRUTO,TOTAL_NETO,TOTAL_IVA, ID_TIPO, RUT_EMPLEADO, ID_CLIENTE) VALUES(154,TO_DATE('31-01-2025','DD-MM-YYYY'),32800,27563,5237,1,'14526149-K',187);</v>
      </c>
    </row>
    <row r="159" spans="1:10">
      <c r="A159" s="149"/>
      <c r="B159" s="149">
        <v>155</v>
      </c>
      <c r="C159" s="118" t="s">
        <v>2194</v>
      </c>
      <c r="D159" t="s">
        <v>2090</v>
      </c>
      <c r="E159" s="150">
        <v>278</v>
      </c>
      <c r="F159" s="142">
        <v>57000</v>
      </c>
      <c r="G159" s="143">
        <v>47901</v>
      </c>
      <c r="H159" s="144">
        <v>9099</v>
      </c>
      <c r="I159" s="140">
        <v>1</v>
      </c>
      <c r="J159" s="114" t="str">
        <f t="shared" si="2"/>
        <v>INSERT INTO DOCUMENTOS (NRO_DOCUMENTO,FECHA_EMISION,TOTAL_BRUTO,TOTAL_NETO,TOTAL_IVA, ID_TIPO, RUT_EMPLEADO, ID_CLIENTE) VALUES(155,TO_DATE('31-01-2025','DD-MM-YYYY'),57000,47901,9099,1,'14526149-K',278);</v>
      </c>
    </row>
    <row r="160" spans="1:10">
      <c r="A160" s="149"/>
      <c r="B160" s="149">
        <v>156</v>
      </c>
      <c r="C160" s="118" t="s">
        <v>2194</v>
      </c>
      <c r="D160" t="s">
        <v>2090</v>
      </c>
      <c r="E160" s="150">
        <v>285</v>
      </c>
      <c r="F160" s="142">
        <v>27500</v>
      </c>
      <c r="G160" s="143">
        <v>23110</v>
      </c>
      <c r="H160" s="144">
        <v>4390</v>
      </c>
      <c r="I160" s="140">
        <v>1</v>
      </c>
      <c r="J160" s="114" t="str">
        <f t="shared" si="2"/>
        <v>INSERT INTO DOCUMENTOS (NRO_DOCUMENTO,FECHA_EMISION,TOTAL_BRUTO,TOTAL_NETO,TOTAL_IVA, ID_TIPO, RUT_EMPLEADO, ID_CLIENTE) VALUES(156,TO_DATE('31-01-2025','DD-MM-YYYY'),27500,23110,4390,1,'14526149-K',285);</v>
      </c>
    </row>
    <row r="161" spans="1:10">
      <c r="A161" s="149"/>
      <c r="B161" s="149">
        <v>157</v>
      </c>
      <c r="C161" s="118" t="s">
        <v>2194</v>
      </c>
      <c r="D161" t="s">
        <v>2090</v>
      </c>
      <c r="E161" s="150">
        <v>302</v>
      </c>
      <c r="F161" s="142">
        <v>16800</v>
      </c>
      <c r="G161" s="143">
        <v>14118</v>
      </c>
      <c r="H161" s="144">
        <v>2682</v>
      </c>
      <c r="I161" s="140">
        <v>1</v>
      </c>
      <c r="J161" s="114" t="str">
        <f t="shared" si="2"/>
        <v>INSERT INTO DOCUMENTOS (NRO_DOCUMENTO,FECHA_EMISION,TOTAL_BRUTO,TOTAL_NETO,TOTAL_IVA, ID_TIPO, RUT_EMPLEADO, ID_CLIENTE) VALUES(157,TO_DATE('31-01-2025','DD-MM-YYYY'),16800,14118,2682,1,'14526149-K',302);</v>
      </c>
    </row>
    <row r="162" spans="1:10">
      <c r="A162" s="149"/>
      <c r="B162" s="149">
        <v>158</v>
      </c>
      <c r="C162" s="118" t="s">
        <v>2194</v>
      </c>
      <c r="D162" t="s">
        <v>2090</v>
      </c>
      <c r="E162" s="150">
        <v>312</v>
      </c>
      <c r="F162" s="142">
        <v>12600</v>
      </c>
      <c r="G162" s="143">
        <v>10588</v>
      </c>
      <c r="H162" s="144">
        <v>2012</v>
      </c>
      <c r="I162" s="140">
        <v>1</v>
      </c>
      <c r="J162" s="114" t="str">
        <f t="shared" si="2"/>
        <v>INSERT INTO DOCUMENTOS (NRO_DOCUMENTO,FECHA_EMISION,TOTAL_BRUTO,TOTAL_NETO,TOTAL_IVA, ID_TIPO, RUT_EMPLEADO, ID_CLIENTE) VALUES(158,TO_DATE('31-01-2025','DD-MM-YYYY'),12600,10588,2012,1,'14526149-K',312);</v>
      </c>
    </row>
    <row r="163" spans="1:10">
      <c r="A163" s="149"/>
      <c r="B163" s="149">
        <v>159</v>
      </c>
      <c r="C163" s="118" t="s">
        <v>2194</v>
      </c>
      <c r="D163" t="s">
        <v>2090</v>
      </c>
      <c r="E163" s="150">
        <v>397</v>
      </c>
      <c r="F163" s="142">
        <v>20100</v>
      </c>
      <c r="G163" s="143">
        <v>16892</v>
      </c>
      <c r="H163" s="144">
        <v>3208</v>
      </c>
      <c r="I163" s="140">
        <v>1</v>
      </c>
      <c r="J163" s="114" t="str">
        <f t="shared" si="2"/>
        <v>INSERT INTO DOCUMENTOS (NRO_DOCUMENTO,FECHA_EMISION,TOTAL_BRUTO,TOTAL_NETO,TOTAL_IVA, ID_TIPO, RUT_EMPLEADO, ID_CLIENTE) VALUES(159,TO_DATE('31-01-2025','DD-MM-YYYY'),20100,16892,3208,1,'14526149-K',397);</v>
      </c>
    </row>
    <row r="164" spans="1:10">
      <c r="A164" s="149"/>
      <c r="B164" s="149">
        <v>160</v>
      </c>
      <c r="C164" s="118" t="s">
        <v>2194</v>
      </c>
      <c r="D164" t="s">
        <v>2090</v>
      </c>
      <c r="E164" s="150">
        <v>446</v>
      </c>
      <c r="F164" s="142">
        <v>7200</v>
      </c>
      <c r="G164" s="143">
        <v>6051</v>
      </c>
      <c r="H164" s="144">
        <v>1149</v>
      </c>
      <c r="I164" s="140">
        <v>1</v>
      </c>
      <c r="J164" s="114" t="str">
        <f t="shared" si="2"/>
        <v>INSERT INTO DOCUMENTOS (NRO_DOCUMENTO,FECHA_EMISION,TOTAL_BRUTO,TOTAL_NETO,TOTAL_IVA, ID_TIPO, RUT_EMPLEADO, ID_CLIENTE) VALUES(160,TO_DATE('31-01-2025','DD-MM-YYYY'),7200,6051,1149,1,'14526149-K',446);</v>
      </c>
    </row>
    <row r="165" spans="1:10">
      <c r="A165" s="149"/>
      <c r="B165" s="149">
        <v>161</v>
      </c>
      <c r="C165" s="151" t="s">
        <v>2195</v>
      </c>
      <c r="D165" t="s">
        <v>2090</v>
      </c>
      <c r="E165" s="150">
        <v>97</v>
      </c>
      <c r="F165" s="142">
        <v>8000</v>
      </c>
      <c r="G165" s="143">
        <v>6723</v>
      </c>
      <c r="H165" s="144">
        <v>1277</v>
      </c>
      <c r="I165" s="140">
        <v>1</v>
      </c>
      <c r="J165" s="114" t="str">
        <f t="shared" si="2"/>
        <v>INSERT INTO DOCUMENTOS (NRO_DOCUMENTO,FECHA_EMISION,TOTAL_BRUTO,TOTAL_NETO,TOTAL_IVA, ID_TIPO, RUT_EMPLEADO, ID_CLIENTE) VALUES(161,TO_DATE('01-02-2025','DD-MM-YYYY'),8000,6723,1277,1,'14526149-K',97);</v>
      </c>
    </row>
    <row r="166" spans="1:10">
      <c r="A166" s="149"/>
      <c r="B166" s="149">
        <v>162</v>
      </c>
      <c r="C166" s="118" t="s">
        <v>2195</v>
      </c>
      <c r="D166" t="s">
        <v>2090</v>
      </c>
      <c r="E166" s="150">
        <v>111</v>
      </c>
      <c r="F166" s="142">
        <v>15500</v>
      </c>
      <c r="G166" s="143">
        <v>13025</v>
      </c>
      <c r="H166" s="144">
        <v>2475</v>
      </c>
      <c r="I166" s="140">
        <v>1</v>
      </c>
      <c r="J166" s="114" t="str">
        <f t="shared" si="2"/>
        <v>INSERT INTO DOCUMENTOS (NRO_DOCUMENTO,FECHA_EMISION,TOTAL_BRUTO,TOTAL_NETO,TOTAL_IVA, ID_TIPO, RUT_EMPLEADO, ID_CLIENTE) VALUES(162,TO_DATE('01-02-2025','DD-MM-YYYY'),15500,13025,2475,1,'14526149-K',111);</v>
      </c>
    </row>
    <row r="167" spans="1:10">
      <c r="A167" s="149"/>
      <c r="B167" s="149">
        <v>163</v>
      </c>
      <c r="C167" s="118" t="s">
        <v>2195</v>
      </c>
      <c r="D167" t="s">
        <v>2090</v>
      </c>
      <c r="E167" s="150">
        <v>166</v>
      </c>
      <c r="F167" s="142">
        <v>10500</v>
      </c>
      <c r="G167" s="143">
        <v>8824</v>
      </c>
      <c r="H167" s="144">
        <v>1676</v>
      </c>
      <c r="I167" s="140">
        <v>1</v>
      </c>
      <c r="J167" s="114" t="str">
        <f t="shared" si="2"/>
        <v>INSERT INTO DOCUMENTOS (NRO_DOCUMENTO,FECHA_EMISION,TOTAL_BRUTO,TOTAL_NETO,TOTAL_IVA, ID_TIPO, RUT_EMPLEADO, ID_CLIENTE) VALUES(163,TO_DATE('01-02-2025','DD-MM-YYYY'),10500,8824,1676,1,'14526149-K',166);</v>
      </c>
    </row>
    <row r="168" spans="1:10">
      <c r="A168" s="149"/>
      <c r="B168" s="149">
        <v>164</v>
      </c>
      <c r="C168" s="118" t="s">
        <v>2195</v>
      </c>
      <c r="D168" t="s">
        <v>2090</v>
      </c>
      <c r="E168" s="150">
        <v>277</v>
      </c>
      <c r="F168" s="142">
        <v>6300</v>
      </c>
      <c r="G168" s="143">
        <v>5294</v>
      </c>
      <c r="H168" s="144">
        <v>1006</v>
      </c>
      <c r="I168" s="140">
        <v>1</v>
      </c>
      <c r="J168" s="114" t="str">
        <f t="shared" si="2"/>
        <v>INSERT INTO DOCUMENTOS (NRO_DOCUMENTO,FECHA_EMISION,TOTAL_BRUTO,TOTAL_NETO,TOTAL_IVA, ID_TIPO, RUT_EMPLEADO, ID_CLIENTE) VALUES(164,TO_DATE('01-02-2025','DD-MM-YYYY'),6300,5294,1006,1,'14526149-K',277);</v>
      </c>
    </row>
    <row r="169" spans="1:10">
      <c r="A169" s="149"/>
      <c r="B169" s="149">
        <v>165</v>
      </c>
      <c r="C169" s="118" t="s">
        <v>2195</v>
      </c>
      <c r="D169" t="s">
        <v>2090</v>
      </c>
      <c r="E169" s="150">
        <v>300</v>
      </c>
      <c r="F169" s="142">
        <v>37300</v>
      </c>
      <c r="G169" s="143">
        <v>31344</v>
      </c>
      <c r="H169" s="144">
        <v>5956</v>
      </c>
      <c r="I169" s="140">
        <v>1</v>
      </c>
      <c r="J169" s="114" t="str">
        <f t="shared" si="2"/>
        <v>INSERT INTO DOCUMENTOS (NRO_DOCUMENTO,FECHA_EMISION,TOTAL_BRUTO,TOTAL_NETO,TOTAL_IVA, ID_TIPO, RUT_EMPLEADO, ID_CLIENTE) VALUES(165,TO_DATE('01-02-2025','DD-MM-YYYY'),37300,31344,5956,1,'14526149-K',300);</v>
      </c>
    </row>
    <row r="170" spans="1:10">
      <c r="A170" s="149"/>
      <c r="B170" s="149">
        <v>166</v>
      </c>
      <c r="C170" s="118" t="s">
        <v>2195</v>
      </c>
      <c r="D170" t="s">
        <v>2090</v>
      </c>
      <c r="E170" s="150">
        <v>315</v>
      </c>
      <c r="F170" s="142">
        <v>11400</v>
      </c>
      <c r="G170" s="143">
        <v>9580</v>
      </c>
      <c r="H170" s="144">
        <v>1820</v>
      </c>
      <c r="I170" s="140">
        <v>1</v>
      </c>
      <c r="J170" s="114" t="str">
        <f t="shared" si="2"/>
        <v>INSERT INTO DOCUMENTOS (NRO_DOCUMENTO,FECHA_EMISION,TOTAL_BRUTO,TOTAL_NETO,TOTAL_IVA, ID_TIPO, RUT_EMPLEADO, ID_CLIENTE) VALUES(166,TO_DATE('01-02-2025','DD-MM-YYYY'),11400,9580,1820,1,'14526149-K',315);</v>
      </c>
    </row>
    <row r="171" spans="1:10">
      <c r="A171" s="149"/>
      <c r="B171" s="149">
        <v>167</v>
      </c>
      <c r="C171" s="118" t="s">
        <v>2195</v>
      </c>
      <c r="D171" t="s">
        <v>2090</v>
      </c>
      <c r="E171" s="150">
        <v>397</v>
      </c>
      <c r="F171" s="142">
        <v>6000</v>
      </c>
      <c r="G171" s="143">
        <v>5042</v>
      </c>
      <c r="H171" s="144">
        <v>958</v>
      </c>
      <c r="I171" s="140">
        <v>1</v>
      </c>
      <c r="J171" s="114" t="str">
        <f t="shared" si="2"/>
        <v>INSERT INTO DOCUMENTOS (NRO_DOCUMENTO,FECHA_EMISION,TOTAL_BRUTO,TOTAL_NETO,TOTAL_IVA, ID_TIPO, RUT_EMPLEADO, ID_CLIENTE) VALUES(167,TO_DATE('01-02-2025','DD-MM-YYYY'),6000,5042,958,1,'14526149-K',397);</v>
      </c>
    </row>
    <row r="172" spans="1:10">
      <c r="A172" s="149"/>
      <c r="B172" s="149">
        <v>168</v>
      </c>
      <c r="C172" s="118" t="s">
        <v>2195</v>
      </c>
      <c r="D172" t="s">
        <v>2090</v>
      </c>
      <c r="E172" s="150">
        <v>407</v>
      </c>
      <c r="F172" s="142">
        <v>21200</v>
      </c>
      <c r="G172" s="143">
        <v>17816</v>
      </c>
      <c r="H172" s="144">
        <v>3384</v>
      </c>
      <c r="I172" s="140">
        <v>1</v>
      </c>
      <c r="J172" s="114" t="str">
        <f t="shared" si="2"/>
        <v>INSERT INTO DOCUMENTOS (NRO_DOCUMENTO,FECHA_EMISION,TOTAL_BRUTO,TOTAL_NETO,TOTAL_IVA, ID_TIPO, RUT_EMPLEADO, ID_CLIENTE) VALUES(168,TO_DATE('01-02-2025','DD-MM-YYYY'),21200,17816,3384,1,'14526149-K',407);</v>
      </c>
    </row>
    <row r="173" spans="1:10">
      <c r="A173" s="149"/>
      <c r="B173" s="149">
        <v>169</v>
      </c>
      <c r="C173" s="151" t="s">
        <v>2196</v>
      </c>
      <c r="D173" t="s">
        <v>2090</v>
      </c>
      <c r="E173" s="150">
        <v>56</v>
      </c>
      <c r="F173" s="142">
        <v>7300</v>
      </c>
      <c r="G173" s="143">
        <v>6134</v>
      </c>
      <c r="H173" s="144">
        <v>1166</v>
      </c>
      <c r="I173" s="140">
        <v>1</v>
      </c>
      <c r="J173" s="114" t="str">
        <f t="shared" si="2"/>
        <v>INSERT INTO DOCUMENTOS (NRO_DOCUMENTO,FECHA_EMISION,TOTAL_BRUTO,TOTAL_NETO,TOTAL_IVA, ID_TIPO, RUT_EMPLEADO, ID_CLIENTE) VALUES(169,TO_DATE('02-02-2025','DD-MM-YYYY'),7300,6134,1166,1,'14526149-K',56);</v>
      </c>
    </row>
    <row r="174" spans="1:10">
      <c r="A174" s="149"/>
      <c r="B174" s="149">
        <v>170</v>
      </c>
      <c r="C174" s="118" t="s">
        <v>2196</v>
      </c>
      <c r="D174" t="s">
        <v>2090</v>
      </c>
      <c r="E174" s="150">
        <v>72</v>
      </c>
      <c r="F174" s="142">
        <v>7200</v>
      </c>
      <c r="G174" s="143">
        <v>6051</v>
      </c>
      <c r="H174" s="144">
        <v>1149</v>
      </c>
      <c r="I174" s="140">
        <v>1</v>
      </c>
      <c r="J174" s="114" t="str">
        <f t="shared" si="2"/>
        <v>INSERT INTO DOCUMENTOS (NRO_DOCUMENTO,FECHA_EMISION,TOTAL_BRUTO,TOTAL_NETO,TOTAL_IVA, ID_TIPO, RUT_EMPLEADO, ID_CLIENTE) VALUES(170,TO_DATE('02-02-2025','DD-MM-YYYY'),7200,6051,1149,1,'14526149-K',72);</v>
      </c>
    </row>
    <row r="175" spans="1:10">
      <c r="A175" s="149"/>
      <c r="B175" s="149">
        <v>171</v>
      </c>
      <c r="C175" s="118" t="s">
        <v>2196</v>
      </c>
      <c r="D175" t="s">
        <v>2090</v>
      </c>
      <c r="E175" s="150">
        <v>166</v>
      </c>
      <c r="F175" s="142">
        <v>10500</v>
      </c>
      <c r="G175" s="143">
        <v>8824</v>
      </c>
      <c r="H175" s="144">
        <v>1676</v>
      </c>
      <c r="I175" s="140">
        <v>1</v>
      </c>
      <c r="J175" s="114" t="str">
        <f t="shared" si="2"/>
        <v>INSERT INTO DOCUMENTOS (NRO_DOCUMENTO,FECHA_EMISION,TOTAL_BRUTO,TOTAL_NETO,TOTAL_IVA, ID_TIPO, RUT_EMPLEADO, ID_CLIENTE) VALUES(171,TO_DATE('02-02-2025','DD-MM-YYYY'),10500,8824,1676,1,'14526149-K',166);</v>
      </c>
    </row>
    <row r="176" spans="1:10">
      <c r="A176" s="149"/>
      <c r="B176" s="149">
        <v>172</v>
      </c>
      <c r="C176" s="118" t="s">
        <v>2196</v>
      </c>
      <c r="D176" t="s">
        <v>2090</v>
      </c>
      <c r="E176" s="150">
        <v>179</v>
      </c>
      <c r="F176" s="142">
        <v>12500</v>
      </c>
      <c r="G176" s="143">
        <v>10505</v>
      </c>
      <c r="H176" s="144">
        <v>1995</v>
      </c>
      <c r="I176" s="140">
        <v>1</v>
      </c>
      <c r="J176" s="114" t="str">
        <f t="shared" si="2"/>
        <v>INSERT INTO DOCUMENTOS (NRO_DOCUMENTO,FECHA_EMISION,TOTAL_BRUTO,TOTAL_NETO,TOTAL_IVA, ID_TIPO, RUT_EMPLEADO, ID_CLIENTE) VALUES(172,TO_DATE('02-02-2025','DD-MM-YYYY'),12500,10505,1995,1,'14526149-K',179);</v>
      </c>
    </row>
    <row r="177" spans="1:10">
      <c r="A177" s="149"/>
      <c r="B177" s="149">
        <v>173</v>
      </c>
      <c r="C177" s="118" t="s">
        <v>2196</v>
      </c>
      <c r="D177" t="s">
        <v>2090</v>
      </c>
      <c r="E177" s="150">
        <v>320</v>
      </c>
      <c r="F177" s="142">
        <v>6300</v>
      </c>
      <c r="G177" s="143">
        <v>5294</v>
      </c>
      <c r="H177" s="144">
        <v>1006</v>
      </c>
      <c r="I177" s="140">
        <v>1</v>
      </c>
      <c r="J177" s="114" t="str">
        <f t="shared" si="2"/>
        <v>INSERT INTO DOCUMENTOS (NRO_DOCUMENTO,FECHA_EMISION,TOTAL_BRUTO,TOTAL_NETO,TOTAL_IVA, ID_TIPO, RUT_EMPLEADO, ID_CLIENTE) VALUES(173,TO_DATE('02-02-2025','DD-MM-YYYY'),6300,5294,1006,1,'14526149-K',320);</v>
      </c>
    </row>
    <row r="178" spans="1:10">
      <c r="A178" s="149"/>
      <c r="B178" s="149">
        <v>174</v>
      </c>
      <c r="C178" s="118" t="s">
        <v>2196</v>
      </c>
      <c r="D178" t="s">
        <v>2090</v>
      </c>
      <c r="E178" s="150">
        <v>353</v>
      </c>
      <c r="F178" s="142">
        <v>23990</v>
      </c>
      <c r="G178" s="143">
        <v>20159</v>
      </c>
      <c r="H178" s="144">
        <v>3831</v>
      </c>
      <c r="I178" s="140">
        <v>1</v>
      </c>
      <c r="J178" s="114" t="str">
        <f t="shared" si="2"/>
        <v>INSERT INTO DOCUMENTOS (NRO_DOCUMENTO,FECHA_EMISION,TOTAL_BRUTO,TOTAL_NETO,TOTAL_IVA, ID_TIPO, RUT_EMPLEADO, ID_CLIENTE) VALUES(174,TO_DATE('02-02-2025','DD-MM-YYYY'),23990,20159,3831,1,'14526149-K',353);</v>
      </c>
    </row>
    <row r="179" spans="1:10">
      <c r="A179" s="149"/>
      <c r="B179" s="149">
        <v>175</v>
      </c>
      <c r="C179" s="118" t="s">
        <v>2196</v>
      </c>
      <c r="D179" t="s">
        <v>2090</v>
      </c>
      <c r="E179" s="150">
        <v>411</v>
      </c>
      <c r="F179" s="142">
        <v>27500</v>
      </c>
      <c r="G179" s="143">
        <v>23109</v>
      </c>
      <c r="H179" s="144">
        <v>4391</v>
      </c>
      <c r="I179" s="140">
        <v>1</v>
      </c>
      <c r="J179" s="114" t="str">
        <f t="shared" si="2"/>
        <v>INSERT INTO DOCUMENTOS (NRO_DOCUMENTO,FECHA_EMISION,TOTAL_BRUTO,TOTAL_NETO,TOTAL_IVA, ID_TIPO, RUT_EMPLEADO, ID_CLIENTE) VALUES(175,TO_DATE('02-02-2025','DD-MM-YYYY'),27500,23109,4391,1,'14526149-K',411);</v>
      </c>
    </row>
    <row r="180" spans="1:10">
      <c r="A180" s="149"/>
      <c r="B180" s="149">
        <v>176</v>
      </c>
      <c r="C180" s="151" t="s">
        <v>2197</v>
      </c>
      <c r="D180" t="s">
        <v>2090</v>
      </c>
      <c r="E180" s="150">
        <v>151</v>
      </c>
      <c r="F180" s="142">
        <v>2000</v>
      </c>
      <c r="G180" s="143">
        <v>1681</v>
      </c>
      <c r="H180" s="144">
        <v>319</v>
      </c>
      <c r="I180" s="140">
        <v>1</v>
      </c>
      <c r="J180" s="114" t="str">
        <f t="shared" si="2"/>
        <v>INSERT INTO DOCUMENTOS (NRO_DOCUMENTO,FECHA_EMISION,TOTAL_BRUTO,TOTAL_NETO,TOTAL_IVA, ID_TIPO, RUT_EMPLEADO, ID_CLIENTE) VALUES(176,TO_DATE('03-02-2025','DD-MM-YYYY'),2000,1681,319,1,'14526149-K',151);</v>
      </c>
    </row>
    <row r="181" spans="1:10">
      <c r="A181" s="149"/>
      <c r="B181" s="149">
        <v>177</v>
      </c>
      <c r="C181" s="118" t="s">
        <v>2197</v>
      </c>
      <c r="D181" t="s">
        <v>2090</v>
      </c>
      <c r="E181" s="150">
        <v>171</v>
      </c>
      <c r="F181" s="142">
        <v>6300</v>
      </c>
      <c r="G181" s="143">
        <v>5294</v>
      </c>
      <c r="H181" s="144">
        <v>1006</v>
      </c>
      <c r="I181" s="140">
        <v>1</v>
      </c>
      <c r="J181" s="114" t="str">
        <f t="shared" si="2"/>
        <v>INSERT INTO DOCUMENTOS (NRO_DOCUMENTO,FECHA_EMISION,TOTAL_BRUTO,TOTAL_NETO,TOTAL_IVA, ID_TIPO, RUT_EMPLEADO, ID_CLIENTE) VALUES(177,TO_DATE('03-02-2025','DD-MM-YYYY'),6300,5294,1006,1,'14526149-K',171);</v>
      </c>
    </row>
    <row r="182" spans="1:10">
      <c r="A182" s="149"/>
      <c r="B182" s="149">
        <v>178</v>
      </c>
      <c r="C182" s="118" t="s">
        <v>2197</v>
      </c>
      <c r="D182" t="s">
        <v>2090</v>
      </c>
      <c r="E182" s="150">
        <v>230</v>
      </c>
      <c r="F182" s="142">
        <v>6300</v>
      </c>
      <c r="G182" s="143">
        <v>5294</v>
      </c>
      <c r="H182" s="144">
        <v>1006</v>
      </c>
      <c r="I182" s="140">
        <v>1</v>
      </c>
      <c r="J182" s="114" t="str">
        <f t="shared" si="2"/>
        <v>INSERT INTO DOCUMENTOS (NRO_DOCUMENTO,FECHA_EMISION,TOTAL_BRUTO,TOTAL_NETO,TOTAL_IVA, ID_TIPO, RUT_EMPLEADO, ID_CLIENTE) VALUES(178,TO_DATE('03-02-2025','DD-MM-YYYY'),6300,5294,1006,1,'14526149-K',230);</v>
      </c>
    </row>
    <row r="183" spans="1:10">
      <c r="A183" s="149"/>
      <c r="B183" s="149">
        <v>179</v>
      </c>
      <c r="C183" s="118" t="s">
        <v>2197</v>
      </c>
      <c r="D183" t="s">
        <v>2090</v>
      </c>
      <c r="E183" s="150">
        <v>353</v>
      </c>
      <c r="F183" s="142">
        <v>16000</v>
      </c>
      <c r="G183" s="143">
        <v>13445</v>
      </c>
      <c r="H183" s="144">
        <v>2555</v>
      </c>
      <c r="I183" s="140">
        <v>1</v>
      </c>
      <c r="J183" s="114" t="str">
        <f t="shared" si="2"/>
        <v>INSERT INTO DOCUMENTOS (NRO_DOCUMENTO,FECHA_EMISION,TOTAL_BRUTO,TOTAL_NETO,TOTAL_IVA, ID_TIPO, RUT_EMPLEADO, ID_CLIENTE) VALUES(179,TO_DATE('03-02-2025','DD-MM-YYYY'),16000,13445,2555,1,'14526149-K',353);</v>
      </c>
    </row>
    <row r="184" spans="1:10">
      <c r="A184" s="149"/>
      <c r="B184" s="149">
        <v>180</v>
      </c>
      <c r="C184" s="118" t="s">
        <v>2197</v>
      </c>
      <c r="D184" t="s">
        <v>2090</v>
      </c>
      <c r="E184" s="150">
        <v>397</v>
      </c>
      <c r="F184" s="142">
        <v>10500</v>
      </c>
      <c r="G184" s="143">
        <v>8824</v>
      </c>
      <c r="H184" s="144">
        <v>1676</v>
      </c>
      <c r="I184" s="140">
        <v>1</v>
      </c>
      <c r="J184" s="114" t="str">
        <f t="shared" si="2"/>
        <v>INSERT INTO DOCUMENTOS (NRO_DOCUMENTO,FECHA_EMISION,TOTAL_BRUTO,TOTAL_NETO,TOTAL_IVA, ID_TIPO, RUT_EMPLEADO, ID_CLIENTE) VALUES(180,TO_DATE('03-02-2025','DD-MM-YYYY'),10500,8824,1676,1,'14526149-K',397);</v>
      </c>
    </row>
    <row r="185" spans="1:10">
      <c r="A185" s="149"/>
      <c r="B185" s="149">
        <v>181</v>
      </c>
      <c r="C185" s="118" t="s">
        <v>2197</v>
      </c>
      <c r="D185" t="s">
        <v>2090</v>
      </c>
      <c r="E185" s="150">
        <v>457</v>
      </c>
      <c r="F185" s="142">
        <v>6300</v>
      </c>
      <c r="G185" s="143">
        <v>5294</v>
      </c>
      <c r="H185" s="144">
        <v>1006</v>
      </c>
      <c r="I185" s="140">
        <v>1</v>
      </c>
      <c r="J185" s="114" t="str">
        <f t="shared" si="2"/>
        <v>INSERT INTO DOCUMENTOS (NRO_DOCUMENTO,FECHA_EMISION,TOTAL_BRUTO,TOTAL_NETO,TOTAL_IVA, ID_TIPO, RUT_EMPLEADO, ID_CLIENTE) VALUES(181,TO_DATE('03-02-2025','DD-MM-YYYY'),6300,5294,1006,1,'14526149-K',457);</v>
      </c>
    </row>
    <row r="186" spans="1:10">
      <c r="A186" s="149"/>
      <c r="B186" s="149">
        <v>182</v>
      </c>
      <c r="C186" s="151" t="s">
        <v>2198</v>
      </c>
      <c r="D186" t="s">
        <v>2090</v>
      </c>
      <c r="E186" s="150">
        <v>22</v>
      </c>
      <c r="F186" s="142">
        <v>15400</v>
      </c>
      <c r="G186" s="143">
        <v>12941</v>
      </c>
      <c r="H186" s="144">
        <v>2459</v>
      </c>
      <c r="I186" s="140">
        <v>1</v>
      </c>
      <c r="J186" s="114" t="str">
        <f t="shared" si="2"/>
        <v>INSERT INTO DOCUMENTOS (NRO_DOCUMENTO,FECHA_EMISION,TOTAL_BRUTO,TOTAL_NETO,TOTAL_IVA, ID_TIPO, RUT_EMPLEADO, ID_CLIENTE) VALUES(182,TO_DATE('04-02-2025','DD-MM-YYYY'),15400,12941,2459,1,'14526149-K',22);</v>
      </c>
    </row>
    <row r="187" spans="1:10">
      <c r="A187" s="149"/>
      <c r="B187" s="149">
        <v>183</v>
      </c>
      <c r="C187" s="118" t="s">
        <v>2198</v>
      </c>
      <c r="D187" t="s">
        <v>2090</v>
      </c>
      <c r="E187" s="150">
        <v>407</v>
      </c>
      <c r="F187" s="142">
        <v>3400</v>
      </c>
      <c r="G187" s="143">
        <v>2857</v>
      </c>
      <c r="H187" s="144">
        <v>543</v>
      </c>
      <c r="I187" s="140">
        <v>1</v>
      </c>
      <c r="J187" s="114" t="str">
        <f t="shared" si="2"/>
        <v>INSERT INTO DOCUMENTOS (NRO_DOCUMENTO,FECHA_EMISION,TOTAL_BRUTO,TOTAL_NETO,TOTAL_IVA, ID_TIPO, RUT_EMPLEADO, ID_CLIENTE) VALUES(183,TO_DATE('04-02-2025','DD-MM-YYYY'),3400,2857,543,1,'14526149-K',407);</v>
      </c>
    </row>
    <row r="188" spans="1:10">
      <c r="A188" s="149"/>
      <c r="B188" s="149">
        <v>184</v>
      </c>
      <c r="C188" s="118" t="s">
        <v>2198</v>
      </c>
      <c r="D188" t="s">
        <v>2090</v>
      </c>
      <c r="E188" s="150">
        <v>443</v>
      </c>
      <c r="F188" s="142">
        <v>1000</v>
      </c>
      <c r="G188" s="143">
        <v>840</v>
      </c>
      <c r="H188" s="144">
        <v>160</v>
      </c>
      <c r="I188" s="140">
        <v>1</v>
      </c>
      <c r="J188" s="114" t="str">
        <f t="shared" si="2"/>
        <v>INSERT INTO DOCUMENTOS (NRO_DOCUMENTO,FECHA_EMISION,TOTAL_BRUTO,TOTAL_NETO,TOTAL_IVA, ID_TIPO, RUT_EMPLEADO, ID_CLIENTE) VALUES(184,TO_DATE('04-02-2025','DD-MM-YYYY'),1000,840,160,1,'14526149-K',443);</v>
      </c>
    </row>
    <row r="189" spans="1:10">
      <c r="A189" s="149"/>
      <c r="B189" s="149">
        <v>185</v>
      </c>
      <c r="C189" s="151" t="s">
        <v>2199</v>
      </c>
      <c r="D189" t="s">
        <v>2090</v>
      </c>
      <c r="E189" s="150">
        <v>36</v>
      </c>
      <c r="F189" s="142">
        <v>19990</v>
      </c>
      <c r="G189" s="143">
        <v>16798</v>
      </c>
      <c r="H189" s="144">
        <v>3192</v>
      </c>
      <c r="I189" s="140">
        <v>1</v>
      </c>
      <c r="J189" s="114" t="str">
        <f t="shared" si="2"/>
        <v>INSERT INTO DOCUMENTOS (NRO_DOCUMENTO,FECHA_EMISION,TOTAL_BRUTO,TOTAL_NETO,TOTAL_IVA, ID_TIPO, RUT_EMPLEADO, ID_CLIENTE) VALUES(185,TO_DATE('05-02-2025','DD-MM-YYYY'),19990,16798,3192,1,'14526149-K',36);</v>
      </c>
    </row>
    <row r="190" spans="1:10">
      <c r="A190" s="149"/>
      <c r="B190" s="149">
        <v>186</v>
      </c>
      <c r="C190" s="118" t="s">
        <v>2199</v>
      </c>
      <c r="D190" t="s">
        <v>2090</v>
      </c>
      <c r="E190" s="150">
        <v>85</v>
      </c>
      <c r="F190" s="142">
        <v>6300</v>
      </c>
      <c r="G190" s="143">
        <v>5294</v>
      </c>
      <c r="H190" s="144">
        <v>1006</v>
      </c>
      <c r="I190" s="140">
        <v>1</v>
      </c>
      <c r="J190" s="114" t="str">
        <f t="shared" si="2"/>
        <v>INSERT INTO DOCUMENTOS (NRO_DOCUMENTO,FECHA_EMISION,TOTAL_BRUTO,TOTAL_NETO,TOTAL_IVA, ID_TIPO, RUT_EMPLEADO, ID_CLIENTE) VALUES(186,TO_DATE('05-02-2025','DD-MM-YYYY'),6300,5294,1006,1,'14526149-K',85);</v>
      </c>
    </row>
    <row r="191" spans="1:10">
      <c r="A191" s="149"/>
      <c r="B191" s="149">
        <v>187</v>
      </c>
      <c r="C191" s="118" t="s">
        <v>2199</v>
      </c>
      <c r="D191" t="s">
        <v>2090</v>
      </c>
      <c r="E191" s="150">
        <v>154</v>
      </c>
      <c r="F191" s="142">
        <v>23490</v>
      </c>
      <c r="G191" s="143">
        <v>19739</v>
      </c>
      <c r="H191" s="144">
        <v>3751</v>
      </c>
      <c r="I191" s="140">
        <v>1</v>
      </c>
      <c r="J191" s="114" t="str">
        <f t="shared" si="2"/>
        <v>INSERT INTO DOCUMENTOS (NRO_DOCUMENTO,FECHA_EMISION,TOTAL_BRUTO,TOTAL_NETO,TOTAL_IVA, ID_TIPO, RUT_EMPLEADO, ID_CLIENTE) VALUES(187,TO_DATE('05-02-2025','DD-MM-YYYY'),23490,19739,3751,1,'14526149-K',154);</v>
      </c>
    </row>
    <row r="192" spans="1:10">
      <c r="A192" s="149"/>
      <c r="B192" s="149">
        <v>188</v>
      </c>
      <c r="C192" s="118" t="s">
        <v>2199</v>
      </c>
      <c r="D192" t="s">
        <v>2090</v>
      </c>
      <c r="E192" s="150">
        <v>155</v>
      </c>
      <c r="F192" s="142">
        <v>6300</v>
      </c>
      <c r="G192" s="143">
        <v>5294</v>
      </c>
      <c r="H192" s="144">
        <v>1006</v>
      </c>
      <c r="I192" s="140">
        <v>1</v>
      </c>
      <c r="J192" s="114" t="str">
        <f t="shared" si="2"/>
        <v>INSERT INTO DOCUMENTOS (NRO_DOCUMENTO,FECHA_EMISION,TOTAL_BRUTO,TOTAL_NETO,TOTAL_IVA, ID_TIPO, RUT_EMPLEADO, ID_CLIENTE) VALUES(188,TO_DATE('05-02-2025','DD-MM-YYYY'),6300,5294,1006,1,'14526149-K',155);</v>
      </c>
    </row>
    <row r="193" spans="1:10">
      <c r="A193" s="149"/>
      <c r="B193" s="149">
        <v>189</v>
      </c>
      <c r="C193" s="118" t="s">
        <v>2199</v>
      </c>
      <c r="D193" t="s">
        <v>2090</v>
      </c>
      <c r="E193" s="150">
        <v>166</v>
      </c>
      <c r="F193" s="142">
        <v>18990</v>
      </c>
      <c r="G193" s="143">
        <v>15958</v>
      </c>
      <c r="H193" s="144">
        <v>3032</v>
      </c>
      <c r="I193" s="140">
        <v>1</v>
      </c>
      <c r="J193" s="114" t="str">
        <f t="shared" si="2"/>
        <v>INSERT INTO DOCUMENTOS (NRO_DOCUMENTO,FECHA_EMISION,TOTAL_BRUTO,TOTAL_NETO,TOTAL_IVA, ID_TIPO, RUT_EMPLEADO, ID_CLIENTE) VALUES(189,TO_DATE('05-02-2025','DD-MM-YYYY'),18990,15958,3032,1,'14526149-K',166);</v>
      </c>
    </row>
    <row r="194" spans="1:10">
      <c r="A194" s="149"/>
      <c r="B194" s="149">
        <v>190</v>
      </c>
      <c r="C194" s="118" t="s">
        <v>2199</v>
      </c>
      <c r="D194" t="s">
        <v>2090</v>
      </c>
      <c r="E194" s="150">
        <v>217</v>
      </c>
      <c r="F194" s="142">
        <v>20800</v>
      </c>
      <c r="G194" s="143">
        <v>17479</v>
      </c>
      <c r="H194" s="144">
        <v>3321</v>
      </c>
      <c r="I194" s="140">
        <v>1</v>
      </c>
      <c r="J194" s="114" t="str">
        <f t="shared" si="2"/>
        <v>INSERT INTO DOCUMENTOS (NRO_DOCUMENTO,FECHA_EMISION,TOTAL_BRUTO,TOTAL_NETO,TOTAL_IVA, ID_TIPO, RUT_EMPLEADO, ID_CLIENTE) VALUES(190,TO_DATE('05-02-2025','DD-MM-YYYY'),20800,17479,3321,1,'14526149-K',217);</v>
      </c>
    </row>
    <row r="195" spans="1:10">
      <c r="A195" s="149"/>
      <c r="B195" s="149">
        <v>191</v>
      </c>
      <c r="C195" s="118" t="s">
        <v>2199</v>
      </c>
      <c r="D195" t="s">
        <v>2090</v>
      </c>
      <c r="E195" s="150">
        <v>237</v>
      </c>
      <c r="F195" s="142">
        <v>25200</v>
      </c>
      <c r="G195" s="143">
        <v>21176</v>
      </c>
      <c r="H195" s="144">
        <v>4024</v>
      </c>
      <c r="I195" s="140">
        <v>1</v>
      </c>
      <c r="J195" s="114" t="str">
        <f t="shared" si="2"/>
        <v>INSERT INTO DOCUMENTOS (NRO_DOCUMENTO,FECHA_EMISION,TOTAL_BRUTO,TOTAL_NETO,TOTAL_IVA, ID_TIPO, RUT_EMPLEADO, ID_CLIENTE) VALUES(191,TO_DATE('05-02-2025','DD-MM-YYYY'),25200,21176,4024,1,'14526149-K',237);</v>
      </c>
    </row>
    <row r="196" spans="1:10">
      <c r="A196" s="149"/>
      <c r="B196" s="149">
        <v>192</v>
      </c>
      <c r="C196" s="118" t="s">
        <v>2199</v>
      </c>
      <c r="D196" t="s">
        <v>2090</v>
      </c>
      <c r="E196" s="150">
        <v>267</v>
      </c>
      <c r="F196" s="142">
        <v>1700</v>
      </c>
      <c r="G196" s="143">
        <v>1429</v>
      </c>
      <c r="H196" s="144">
        <v>271</v>
      </c>
      <c r="I196" s="140">
        <v>1</v>
      </c>
      <c r="J196" s="114" t="str">
        <f t="shared" si="2"/>
        <v>INSERT INTO DOCUMENTOS (NRO_DOCUMENTO,FECHA_EMISION,TOTAL_BRUTO,TOTAL_NETO,TOTAL_IVA, ID_TIPO, RUT_EMPLEADO, ID_CLIENTE) VALUES(192,TO_DATE('05-02-2025','DD-MM-YYYY'),1700,1429,271,1,'14526149-K',267);</v>
      </c>
    </row>
    <row r="197" spans="1:10">
      <c r="A197" s="149"/>
      <c r="B197" s="149">
        <v>193</v>
      </c>
      <c r="C197" s="118" t="s">
        <v>2199</v>
      </c>
      <c r="D197" t="s">
        <v>2090</v>
      </c>
      <c r="E197" s="150">
        <v>299</v>
      </c>
      <c r="F197" s="142">
        <v>6300</v>
      </c>
      <c r="G197" s="143">
        <v>5294</v>
      </c>
      <c r="H197" s="144">
        <v>1006</v>
      </c>
      <c r="I197" s="140">
        <v>1</v>
      </c>
      <c r="J197" s="114" t="str">
        <f t="shared" si="2"/>
        <v>INSERT INTO DOCUMENTOS (NRO_DOCUMENTO,FECHA_EMISION,TOTAL_BRUTO,TOTAL_NETO,TOTAL_IVA, ID_TIPO, RUT_EMPLEADO, ID_CLIENTE) VALUES(193,TO_DATE('05-02-2025','DD-MM-YYYY'),6300,5294,1006,1,'14526149-K',299);</v>
      </c>
    </row>
    <row r="198" spans="1:10">
      <c r="A198" s="149"/>
      <c r="B198" s="149">
        <v>194</v>
      </c>
      <c r="C198" s="118" t="s">
        <v>2199</v>
      </c>
      <c r="D198" t="s">
        <v>2090</v>
      </c>
      <c r="E198" s="150">
        <v>303</v>
      </c>
      <c r="F198" s="142">
        <v>26000</v>
      </c>
      <c r="G198" s="143">
        <v>21849</v>
      </c>
      <c r="H198" s="144">
        <v>4151</v>
      </c>
      <c r="I198" s="140">
        <v>1</v>
      </c>
      <c r="J198" s="114" t="str">
        <f t="shared" ref="J198:J261" si="3">CONCATENATE("INSERT INTO DOCUMENTOS (NRO_DOCUMENTO,FECHA_EMISION,TOTAL_BRUTO,TOTAL_NETO,TOTAL_IVA, ID_TIPO, RUT_EMPLEADO, ID_CLIENTE) VALUES(",B198,",","TO_DATE('",C198,"'",",'DD-MM-YYYY'),",F198,",",G198,",",H198,",",I198,",","'",D198,"',",E198,");")</f>
        <v>INSERT INTO DOCUMENTOS (NRO_DOCUMENTO,FECHA_EMISION,TOTAL_BRUTO,TOTAL_NETO,TOTAL_IVA, ID_TIPO, RUT_EMPLEADO, ID_CLIENTE) VALUES(194,TO_DATE('05-02-2025','DD-MM-YYYY'),26000,21849,4151,1,'14526149-K',303);</v>
      </c>
    </row>
    <row r="199" spans="1:10">
      <c r="A199" s="149"/>
      <c r="B199" s="149">
        <v>195</v>
      </c>
      <c r="C199" s="118" t="s">
        <v>2199</v>
      </c>
      <c r="D199" t="s">
        <v>2090</v>
      </c>
      <c r="E199" s="150">
        <v>402</v>
      </c>
      <c r="F199" s="142">
        <v>6300</v>
      </c>
      <c r="G199" s="143">
        <v>5294</v>
      </c>
      <c r="H199" s="144">
        <v>1006</v>
      </c>
      <c r="I199" s="140">
        <v>1</v>
      </c>
      <c r="J199" s="114" t="str">
        <f t="shared" si="3"/>
        <v>INSERT INTO DOCUMENTOS (NRO_DOCUMENTO,FECHA_EMISION,TOTAL_BRUTO,TOTAL_NETO,TOTAL_IVA, ID_TIPO, RUT_EMPLEADO, ID_CLIENTE) VALUES(195,TO_DATE('05-02-2025','DD-MM-YYYY'),6300,5294,1006,1,'14526149-K',402);</v>
      </c>
    </row>
    <row r="200" spans="1:10">
      <c r="A200" s="149"/>
      <c r="B200" s="149">
        <v>196</v>
      </c>
      <c r="C200" s="118" t="s">
        <v>2199</v>
      </c>
      <c r="D200" t="s">
        <v>2090</v>
      </c>
      <c r="E200" s="150">
        <v>451</v>
      </c>
      <c r="F200" s="142">
        <v>5900</v>
      </c>
      <c r="G200" s="143">
        <v>4958</v>
      </c>
      <c r="H200" s="144">
        <v>942</v>
      </c>
      <c r="I200" s="140">
        <v>1</v>
      </c>
      <c r="J200" s="114" t="str">
        <f t="shared" si="3"/>
        <v>INSERT INTO DOCUMENTOS (NRO_DOCUMENTO,FECHA_EMISION,TOTAL_BRUTO,TOTAL_NETO,TOTAL_IVA, ID_TIPO, RUT_EMPLEADO, ID_CLIENTE) VALUES(196,TO_DATE('05-02-2025','DD-MM-YYYY'),5900,4958,942,1,'14526149-K',451);</v>
      </c>
    </row>
    <row r="201" spans="1:10">
      <c r="A201" s="149"/>
      <c r="B201" s="149">
        <v>197</v>
      </c>
      <c r="C201" s="118" t="s">
        <v>2199</v>
      </c>
      <c r="D201" t="s">
        <v>2090</v>
      </c>
      <c r="E201" s="150">
        <v>474</v>
      </c>
      <c r="F201" s="142">
        <v>8000</v>
      </c>
      <c r="G201" s="143">
        <v>6723</v>
      </c>
      <c r="H201" s="144">
        <v>1277</v>
      </c>
      <c r="I201" s="140">
        <v>1</v>
      </c>
      <c r="J201" s="114" t="str">
        <f t="shared" si="3"/>
        <v>INSERT INTO DOCUMENTOS (NRO_DOCUMENTO,FECHA_EMISION,TOTAL_BRUTO,TOTAL_NETO,TOTAL_IVA, ID_TIPO, RUT_EMPLEADO, ID_CLIENTE) VALUES(197,TO_DATE('05-02-2025','DD-MM-YYYY'),8000,6723,1277,1,'14526149-K',474);</v>
      </c>
    </row>
    <row r="202" spans="1:10">
      <c r="A202" s="149"/>
      <c r="B202" s="149">
        <v>198</v>
      </c>
      <c r="C202" s="151" t="s">
        <v>2200</v>
      </c>
      <c r="D202" s="150" t="s">
        <v>2094</v>
      </c>
      <c r="E202" s="150">
        <v>76</v>
      </c>
      <c r="F202" s="142">
        <v>10500</v>
      </c>
      <c r="G202" s="143">
        <v>8824</v>
      </c>
      <c r="H202" s="144">
        <v>1676</v>
      </c>
      <c r="I202" s="140">
        <v>1</v>
      </c>
      <c r="J202" s="114" t="str">
        <f t="shared" si="3"/>
        <v>INSERT INTO DOCUMENTOS (NRO_DOCUMENTO,FECHA_EMISION,TOTAL_BRUTO,TOTAL_NETO,TOTAL_IVA, ID_TIPO, RUT_EMPLEADO, ID_CLIENTE) VALUES(198,TO_DATE('06-02-2025','DD-MM-YYYY'),10500,8824,1676,1,'17866360-7',76);</v>
      </c>
    </row>
    <row r="203" spans="1:10">
      <c r="A203" s="149"/>
      <c r="B203" s="149">
        <v>199</v>
      </c>
      <c r="C203" s="118" t="s">
        <v>2200</v>
      </c>
      <c r="D203" s="150" t="s">
        <v>2090</v>
      </c>
      <c r="E203" s="150">
        <v>159</v>
      </c>
      <c r="F203" s="142">
        <v>25200</v>
      </c>
      <c r="G203" s="143">
        <v>21176</v>
      </c>
      <c r="H203" s="144">
        <v>4024</v>
      </c>
      <c r="I203" s="140">
        <v>1</v>
      </c>
      <c r="J203" s="114" t="str">
        <f t="shared" si="3"/>
        <v>INSERT INTO DOCUMENTOS (NRO_DOCUMENTO,FECHA_EMISION,TOTAL_BRUTO,TOTAL_NETO,TOTAL_IVA, ID_TIPO, RUT_EMPLEADO, ID_CLIENTE) VALUES(199,TO_DATE('06-02-2025','DD-MM-YYYY'),25200,21176,4024,1,'14526149-K',159);</v>
      </c>
    </row>
    <row r="204" spans="1:10">
      <c r="A204" s="149"/>
      <c r="B204" s="150">
        <v>200</v>
      </c>
      <c r="C204" s="118" t="s">
        <v>2200</v>
      </c>
      <c r="D204" t="s">
        <v>2090</v>
      </c>
      <c r="E204" s="150">
        <v>477</v>
      </c>
      <c r="F204" s="142">
        <v>19990</v>
      </c>
      <c r="G204" s="143">
        <v>16798</v>
      </c>
      <c r="H204" s="144">
        <v>3192</v>
      </c>
      <c r="I204" s="140">
        <v>1</v>
      </c>
      <c r="J204" s="114" t="str">
        <f t="shared" si="3"/>
        <v>INSERT INTO DOCUMENTOS (NRO_DOCUMENTO,FECHA_EMISION,TOTAL_BRUTO,TOTAL_NETO,TOTAL_IVA, ID_TIPO, RUT_EMPLEADO, ID_CLIENTE) VALUES(200,TO_DATE('06-02-2025','DD-MM-YYYY'),19990,16798,3192,1,'14526149-K',477);</v>
      </c>
    </row>
    <row r="205" spans="1:10">
      <c r="A205" s="149"/>
      <c r="B205" s="149">
        <v>201</v>
      </c>
      <c r="C205" s="118" t="s">
        <v>2200</v>
      </c>
      <c r="D205" s="150" t="s">
        <v>2094</v>
      </c>
      <c r="E205" s="150">
        <v>483</v>
      </c>
      <c r="F205" s="142">
        <v>109140</v>
      </c>
      <c r="G205" s="143">
        <v>91715</v>
      </c>
      <c r="H205" s="144">
        <v>17425</v>
      </c>
      <c r="I205" s="140">
        <v>1</v>
      </c>
      <c r="J205" s="114" t="str">
        <f t="shared" si="3"/>
        <v>INSERT INTO DOCUMENTOS (NRO_DOCUMENTO,FECHA_EMISION,TOTAL_BRUTO,TOTAL_NETO,TOTAL_IVA, ID_TIPO, RUT_EMPLEADO, ID_CLIENTE) VALUES(201,TO_DATE('06-02-2025','DD-MM-YYYY'),109140,91715,17425,1,'17866360-7',483);</v>
      </c>
    </row>
    <row r="206" spans="1:10">
      <c r="A206" s="149"/>
      <c r="B206" s="149">
        <v>202</v>
      </c>
      <c r="C206" s="151" t="s">
        <v>2201</v>
      </c>
      <c r="D206" s="150" t="s">
        <v>2090</v>
      </c>
      <c r="E206" s="150">
        <v>62</v>
      </c>
      <c r="F206" s="142">
        <v>136490</v>
      </c>
      <c r="G206" s="143">
        <v>114697</v>
      </c>
      <c r="H206" s="144">
        <v>21793</v>
      </c>
      <c r="I206" s="140">
        <v>1</v>
      </c>
      <c r="J206" s="114" t="str">
        <f t="shared" si="3"/>
        <v>INSERT INTO DOCUMENTOS (NRO_DOCUMENTO,FECHA_EMISION,TOTAL_BRUTO,TOTAL_NETO,TOTAL_IVA, ID_TIPO, RUT_EMPLEADO, ID_CLIENTE) VALUES(202,TO_DATE('07-02-2025','DD-MM-YYYY'),136490,114697,21793,1,'14526149-K',62);</v>
      </c>
    </row>
    <row r="207" spans="1:10">
      <c r="A207" s="149"/>
      <c r="B207" s="149">
        <v>203</v>
      </c>
      <c r="C207" s="118" t="s">
        <v>2201</v>
      </c>
      <c r="D207" t="s">
        <v>2090</v>
      </c>
      <c r="E207" s="150">
        <v>73</v>
      </c>
      <c r="F207" s="142">
        <v>24000</v>
      </c>
      <c r="G207" s="143">
        <v>20168</v>
      </c>
      <c r="H207" s="144">
        <v>3832</v>
      </c>
      <c r="I207" s="140">
        <v>1</v>
      </c>
      <c r="J207" s="114" t="str">
        <f t="shared" si="3"/>
        <v>INSERT INTO DOCUMENTOS (NRO_DOCUMENTO,FECHA_EMISION,TOTAL_BRUTO,TOTAL_NETO,TOTAL_IVA, ID_TIPO, RUT_EMPLEADO, ID_CLIENTE) VALUES(203,TO_DATE('07-02-2025','DD-MM-YYYY'),24000,20168,3832,1,'14526149-K',73);</v>
      </c>
    </row>
    <row r="208" spans="1:10">
      <c r="A208" s="149"/>
      <c r="B208" s="149">
        <v>204</v>
      </c>
      <c r="C208" s="118" t="s">
        <v>2201</v>
      </c>
      <c r="D208" t="s">
        <v>2090</v>
      </c>
      <c r="E208" s="150">
        <v>166</v>
      </c>
      <c r="F208" s="142">
        <v>3500</v>
      </c>
      <c r="G208" s="143">
        <v>2941</v>
      </c>
      <c r="H208" s="144">
        <v>559</v>
      </c>
      <c r="I208" s="140">
        <v>1</v>
      </c>
      <c r="J208" s="114" t="str">
        <f t="shared" si="3"/>
        <v>INSERT INTO DOCUMENTOS (NRO_DOCUMENTO,FECHA_EMISION,TOTAL_BRUTO,TOTAL_NETO,TOTAL_IVA, ID_TIPO, RUT_EMPLEADO, ID_CLIENTE) VALUES(204,TO_DATE('07-02-2025','DD-MM-YYYY'),3500,2941,559,1,'14526149-K',166);</v>
      </c>
    </row>
    <row r="209" spans="1:10">
      <c r="A209" s="149"/>
      <c r="B209" s="149">
        <v>205</v>
      </c>
      <c r="C209" s="118" t="s">
        <v>2201</v>
      </c>
      <c r="D209" t="s">
        <v>2090</v>
      </c>
      <c r="E209" s="150">
        <v>202</v>
      </c>
      <c r="F209" s="142">
        <v>6900</v>
      </c>
      <c r="G209" s="143">
        <v>5798</v>
      </c>
      <c r="H209" s="144">
        <v>1102</v>
      </c>
      <c r="I209" s="140">
        <v>1</v>
      </c>
      <c r="J209" s="114" t="str">
        <f t="shared" si="3"/>
        <v>INSERT INTO DOCUMENTOS (NRO_DOCUMENTO,FECHA_EMISION,TOTAL_BRUTO,TOTAL_NETO,TOTAL_IVA, ID_TIPO, RUT_EMPLEADO, ID_CLIENTE) VALUES(205,TO_DATE('07-02-2025','DD-MM-YYYY'),6900,5798,1102,1,'14526149-K',202);</v>
      </c>
    </row>
    <row r="210" spans="1:10">
      <c r="A210" s="149"/>
      <c r="B210" s="149">
        <v>206</v>
      </c>
      <c r="C210" s="118" t="s">
        <v>2201</v>
      </c>
      <c r="D210" t="s">
        <v>2090</v>
      </c>
      <c r="E210" s="150">
        <v>407</v>
      </c>
      <c r="F210" s="142">
        <v>6900</v>
      </c>
      <c r="G210" s="143">
        <v>5798</v>
      </c>
      <c r="H210" s="144">
        <v>1102</v>
      </c>
      <c r="I210" s="140">
        <v>1</v>
      </c>
      <c r="J210" s="114" t="str">
        <f t="shared" si="3"/>
        <v>INSERT INTO DOCUMENTOS (NRO_DOCUMENTO,FECHA_EMISION,TOTAL_BRUTO,TOTAL_NETO,TOTAL_IVA, ID_TIPO, RUT_EMPLEADO, ID_CLIENTE) VALUES(206,TO_DATE('07-02-2025','DD-MM-YYYY'),6900,5798,1102,1,'14526149-K',407);</v>
      </c>
    </row>
    <row r="211" spans="1:10">
      <c r="A211" s="149"/>
      <c r="B211" s="149">
        <v>207</v>
      </c>
      <c r="C211" s="118" t="s">
        <v>2201</v>
      </c>
      <c r="D211" t="s">
        <v>2090</v>
      </c>
      <c r="E211" s="150">
        <v>418</v>
      </c>
      <c r="F211" s="142">
        <v>11800</v>
      </c>
      <c r="G211" s="143">
        <v>9916</v>
      </c>
      <c r="H211" s="144">
        <v>1884</v>
      </c>
      <c r="I211" s="140">
        <v>1</v>
      </c>
      <c r="J211" s="114" t="str">
        <f t="shared" si="3"/>
        <v>INSERT INTO DOCUMENTOS (NRO_DOCUMENTO,FECHA_EMISION,TOTAL_BRUTO,TOTAL_NETO,TOTAL_IVA, ID_TIPO, RUT_EMPLEADO, ID_CLIENTE) VALUES(207,TO_DATE('07-02-2025','DD-MM-YYYY'),11800,9916,1884,1,'14526149-K',418);</v>
      </c>
    </row>
    <row r="212" spans="1:10">
      <c r="A212" s="149"/>
      <c r="B212" s="149">
        <v>208</v>
      </c>
      <c r="C212" s="118" t="s">
        <v>2201</v>
      </c>
      <c r="D212" t="s">
        <v>2090</v>
      </c>
      <c r="E212" s="150">
        <v>436</v>
      </c>
      <c r="F212" s="142">
        <v>22400</v>
      </c>
      <c r="G212" s="143">
        <v>18823</v>
      </c>
      <c r="H212" s="144">
        <v>3577</v>
      </c>
      <c r="I212" s="140">
        <v>1</v>
      </c>
      <c r="J212" s="114" t="str">
        <f t="shared" si="3"/>
        <v>INSERT INTO DOCUMENTOS (NRO_DOCUMENTO,FECHA_EMISION,TOTAL_BRUTO,TOTAL_NETO,TOTAL_IVA, ID_TIPO, RUT_EMPLEADO, ID_CLIENTE) VALUES(208,TO_DATE('07-02-2025','DD-MM-YYYY'),22400,18823,3577,1,'14526149-K',436);</v>
      </c>
    </row>
    <row r="213" spans="1:10">
      <c r="A213" s="149"/>
      <c r="B213" s="149">
        <v>209</v>
      </c>
      <c r="C213" s="151" t="s">
        <v>2202</v>
      </c>
      <c r="D213" t="s">
        <v>2090</v>
      </c>
      <c r="E213" s="150">
        <v>130</v>
      </c>
      <c r="F213" s="142">
        <v>6300</v>
      </c>
      <c r="G213" s="143">
        <v>5294</v>
      </c>
      <c r="H213" s="144">
        <v>1006</v>
      </c>
      <c r="I213" s="140">
        <v>1</v>
      </c>
      <c r="J213" s="114" t="str">
        <f t="shared" si="3"/>
        <v>INSERT INTO DOCUMENTOS (NRO_DOCUMENTO,FECHA_EMISION,TOTAL_BRUTO,TOTAL_NETO,TOTAL_IVA, ID_TIPO, RUT_EMPLEADO, ID_CLIENTE) VALUES(209,TO_DATE('08-02-2025','DD-MM-YYYY'),6300,5294,1006,1,'14526149-K',130);</v>
      </c>
    </row>
    <row r="214" spans="1:10">
      <c r="A214" s="149"/>
      <c r="B214" s="149">
        <v>210</v>
      </c>
      <c r="C214" s="118" t="s">
        <v>2202</v>
      </c>
      <c r="D214" t="s">
        <v>2090</v>
      </c>
      <c r="E214" s="150">
        <v>247</v>
      </c>
      <c r="F214" s="142">
        <v>34000</v>
      </c>
      <c r="G214" s="143">
        <v>28571</v>
      </c>
      <c r="H214" s="144">
        <v>5429</v>
      </c>
      <c r="I214" s="140">
        <v>1</v>
      </c>
      <c r="J214" s="114" t="str">
        <f t="shared" si="3"/>
        <v>INSERT INTO DOCUMENTOS (NRO_DOCUMENTO,FECHA_EMISION,TOTAL_BRUTO,TOTAL_NETO,TOTAL_IVA, ID_TIPO, RUT_EMPLEADO, ID_CLIENTE) VALUES(210,TO_DATE('08-02-2025','DD-MM-YYYY'),34000,28571,5429,1,'14526149-K',247);</v>
      </c>
    </row>
    <row r="215" spans="1:10">
      <c r="A215" s="149"/>
      <c r="B215" s="149">
        <v>211</v>
      </c>
      <c r="C215" s="118" t="s">
        <v>2202</v>
      </c>
      <c r="D215" t="s">
        <v>2090</v>
      </c>
      <c r="E215" s="150">
        <v>368</v>
      </c>
      <c r="F215" s="142">
        <v>8200</v>
      </c>
      <c r="G215" s="143">
        <v>6891</v>
      </c>
      <c r="H215" s="144">
        <v>1309</v>
      </c>
      <c r="I215" s="140">
        <v>1</v>
      </c>
      <c r="J215" s="114" t="str">
        <f t="shared" si="3"/>
        <v>INSERT INTO DOCUMENTOS (NRO_DOCUMENTO,FECHA_EMISION,TOTAL_BRUTO,TOTAL_NETO,TOTAL_IVA, ID_TIPO, RUT_EMPLEADO, ID_CLIENTE) VALUES(211,TO_DATE('08-02-2025','DD-MM-YYYY'),8200,6891,1309,1,'14526149-K',368);</v>
      </c>
    </row>
    <row r="216" spans="1:10">
      <c r="A216" s="149"/>
      <c r="B216" s="149">
        <v>212</v>
      </c>
      <c r="C216" s="118" t="s">
        <v>2202</v>
      </c>
      <c r="D216" t="s">
        <v>2090</v>
      </c>
      <c r="E216" s="150">
        <v>398</v>
      </c>
      <c r="F216" s="142">
        <v>32800</v>
      </c>
      <c r="G216" s="143">
        <v>27563</v>
      </c>
      <c r="H216" s="144">
        <v>5237</v>
      </c>
      <c r="I216" s="140">
        <v>1</v>
      </c>
      <c r="J216" s="114" t="str">
        <f t="shared" si="3"/>
        <v>INSERT INTO DOCUMENTOS (NRO_DOCUMENTO,FECHA_EMISION,TOTAL_BRUTO,TOTAL_NETO,TOTAL_IVA, ID_TIPO, RUT_EMPLEADO, ID_CLIENTE) VALUES(212,TO_DATE('08-02-2025','DD-MM-YYYY'),32800,27563,5237,1,'14526149-K',398);</v>
      </c>
    </row>
    <row r="217" spans="1:10">
      <c r="A217" s="149"/>
      <c r="B217" s="149">
        <v>213</v>
      </c>
      <c r="C217" s="118" t="s">
        <v>2202</v>
      </c>
      <c r="D217" t="s">
        <v>2090</v>
      </c>
      <c r="E217" s="150">
        <v>425</v>
      </c>
      <c r="F217" s="142">
        <v>2700</v>
      </c>
      <c r="G217" s="143">
        <v>2269</v>
      </c>
      <c r="H217" s="144">
        <v>431</v>
      </c>
      <c r="I217" s="140">
        <v>1</v>
      </c>
      <c r="J217" s="114" t="str">
        <f t="shared" si="3"/>
        <v>INSERT INTO DOCUMENTOS (NRO_DOCUMENTO,FECHA_EMISION,TOTAL_BRUTO,TOTAL_NETO,TOTAL_IVA, ID_TIPO, RUT_EMPLEADO, ID_CLIENTE) VALUES(213,TO_DATE('08-02-2025','DD-MM-YYYY'),2700,2269,431,1,'14526149-K',425);</v>
      </c>
    </row>
    <row r="218" spans="1:10">
      <c r="A218" s="149"/>
      <c r="B218" s="149">
        <v>214</v>
      </c>
      <c r="C218" s="151" t="s">
        <v>2203</v>
      </c>
      <c r="D218" t="s">
        <v>2090</v>
      </c>
      <c r="E218" s="150">
        <v>57</v>
      </c>
      <c r="F218" s="142">
        <v>6900</v>
      </c>
      <c r="G218" s="143">
        <v>5798</v>
      </c>
      <c r="H218" s="144">
        <v>1102</v>
      </c>
      <c r="I218" s="140">
        <v>1</v>
      </c>
      <c r="J218" s="114" t="str">
        <f t="shared" si="3"/>
        <v>INSERT INTO DOCUMENTOS (NRO_DOCUMENTO,FECHA_EMISION,TOTAL_BRUTO,TOTAL_NETO,TOTAL_IVA, ID_TIPO, RUT_EMPLEADO, ID_CLIENTE) VALUES(214,TO_DATE('09-02-2025','DD-MM-YYYY'),6900,5798,1102,1,'14526149-K',57);</v>
      </c>
    </row>
    <row r="219" spans="1:10">
      <c r="A219" s="149"/>
      <c r="B219" s="149">
        <v>215</v>
      </c>
      <c r="C219" s="118" t="s">
        <v>2203</v>
      </c>
      <c r="D219" t="s">
        <v>2090</v>
      </c>
      <c r="E219" s="150">
        <v>143</v>
      </c>
      <c r="F219" s="142">
        <v>38300</v>
      </c>
      <c r="G219" s="143">
        <v>32185</v>
      </c>
      <c r="H219" s="144">
        <v>6115</v>
      </c>
      <c r="I219" s="140">
        <v>1</v>
      </c>
      <c r="J219" s="114" t="str">
        <f t="shared" si="3"/>
        <v>INSERT INTO DOCUMENTOS (NRO_DOCUMENTO,FECHA_EMISION,TOTAL_BRUTO,TOTAL_NETO,TOTAL_IVA, ID_TIPO, RUT_EMPLEADO, ID_CLIENTE) VALUES(215,TO_DATE('09-02-2025','DD-MM-YYYY'),38300,32185,6115,1,'14526149-K',143);</v>
      </c>
    </row>
    <row r="220" spans="1:10">
      <c r="A220" s="149"/>
      <c r="B220" s="149">
        <v>216</v>
      </c>
      <c r="C220" s="118" t="s">
        <v>2203</v>
      </c>
      <c r="D220" t="s">
        <v>2090</v>
      </c>
      <c r="E220" s="150">
        <v>387</v>
      </c>
      <c r="F220" s="142">
        <v>10500</v>
      </c>
      <c r="G220" s="143">
        <v>8824</v>
      </c>
      <c r="H220" s="144">
        <v>1676</v>
      </c>
      <c r="I220" s="140">
        <v>1</v>
      </c>
      <c r="J220" s="114" t="str">
        <f t="shared" si="3"/>
        <v>INSERT INTO DOCUMENTOS (NRO_DOCUMENTO,FECHA_EMISION,TOTAL_BRUTO,TOTAL_NETO,TOTAL_IVA, ID_TIPO, RUT_EMPLEADO, ID_CLIENTE) VALUES(216,TO_DATE('09-02-2025','DD-MM-YYYY'),10500,8824,1676,1,'14526149-K',387);</v>
      </c>
    </row>
    <row r="221" spans="1:10">
      <c r="A221" s="149"/>
      <c r="B221" s="149">
        <v>217</v>
      </c>
      <c r="C221" s="118" t="s">
        <v>2203</v>
      </c>
      <c r="D221" t="s">
        <v>2090</v>
      </c>
      <c r="E221" s="150">
        <v>416</v>
      </c>
      <c r="F221" s="142">
        <v>8000</v>
      </c>
      <c r="G221" s="143">
        <v>6723</v>
      </c>
      <c r="H221" s="144">
        <v>1277</v>
      </c>
      <c r="I221" s="140">
        <v>1</v>
      </c>
      <c r="J221" s="114" t="str">
        <f t="shared" si="3"/>
        <v>INSERT INTO DOCUMENTOS (NRO_DOCUMENTO,FECHA_EMISION,TOTAL_BRUTO,TOTAL_NETO,TOTAL_IVA, ID_TIPO, RUT_EMPLEADO, ID_CLIENTE) VALUES(217,TO_DATE('09-02-2025','DD-MM-YYYY'),8000,6723,1277,1,'14526149-K',416);</v>
      </c>
    </row>
    <row r="222" spans="1:10">
      <c r="A222" s="149"/>
      <c r="B222" s="149">
        <v>218</v>
      </c>
      <c r="C222" s="118" t="s">
        <v>2203</v>
      </c>
      <c r="D222" t="s">
        <v>2090</v>
      </c>
      <c r="E222" s="150">
        <v>446</v>
      </c>
      <c r="F222" s="142">
        <v>8500</v>
      </c>
      <c r="G222" s="143">
        <v>7143</v>
      </c>
      <c r="H222" s="144">
        <v>1357</v>
      </c>
      <c r="I222" s="140">
        <v>1</v>
      </c>
      <c r="J222" s="114" t="str">
        <f t="shared" si="3"/>
        <v>INSERT INTO DOCUMENTOS (NRO_DOCUMENTO,FECHA_EMISION,TOTAL_BRUTO,TOTAL_NETO,TOTAL_IVA, ID_TIPO, RUT_EMPLEADO, ID_CLIENTE) VALUES(218,TO_DATE('09-02-2025','DD-MM-YYYY'),8500,7143,1357,1,'14526149-K',446);</v>
      </c>
    </row>
    <row r="223" spans="1:10">
      <c r="A223" s="149"/>
      <c r="B223" s="149">
        <v>219</v>
      </c>
      <c r="C223" s="151" t="s">
        <v>2204</v>
      </c>
      <c r="D223" t="s">
        <v>2090</v>
      </c>
      <c r="E223" s="150">
        <v>59</v>
      </c>
      <c r="F223" s="142">
        <v>6900</v>
      </c>
      <c r="G223" s="143">
        <v>5798</v>
      </c>
      <c r="H223" s="144">
        <v>1102</v>
      </c>
      <c r="I223" s="140">
        <v>1</v>
      </c>
      <c r="J223" s="114" t="str">
        <f t="shared" si="3"/>
        <v>INSERT INTO DOCUMENTOS (NRO_DOCUMENTO,FECHA_EMISION,TOTAL_BRUTO,TOTAL_NETO,TOTAL_IVA, ID_TIPO, RUT_EMPLEADO, ID_CLIENTE) VALUES(219,TO_DATE('10-02-2025','DD-MM-YYYY'),6900,5798,1102,1,'14526149-K',59);</v>
      </c>
    </row>
    <row r="224" spans="1:10">
      <c r="A224" s="149"/>
      <c r="B224" s="149">
        <v>220</v>
      </c>
      <c r="C224" s="118" t="s">
        <v>2204</v>
      </c>
      <c r="D224" t="s">
        <v>2090</v>
      </c>
      <c r="E224" s="150">
        <v>166</v>
      </c>
      <c r="F224" s="142">
        <v>28000</v>
      </c>
      <c r="G224" s="143">
        <v>23530</v>
      </c>
      <c r="H224" s="144">
        <v>4470</v>
      </c>
      <c r="I224" s="140">
        <v>1</v>
      </c>
      <c r="J224" s="114" t="str">
        <f t="shared" si="3"/>
        <v>INSERT INTO DOCUMENTOS (NRO_DOCUMENTO,FECHA_EMISION,TOTAL_BRUTO,TOTAL_NETO,TOTAL_IVA, ID_TIPO, RUT_EMPLEADO, ID_CLIENTE) VALUES(220,TO_DATE('10-02-2025','DD-MM-YYYY'),28000,23530,4470,1,'14526149-K',166);</v>
      </c>
    </row>
    <row r="225" spans="1:10">
      <c r="A225" s="149"/>
      <c r="B225" s="149">
        <v>221</v>
      </c>
      <c r="C225" s="118" t="s">
        <v>2204</v>
      </c>
      <c r="D225" t="s">
        <v>2090</v>
      </c>
      <c r="E225" s="150">
        <v>353</v>
      </c>
      <c r="F225" s="142">
        <v>4500</v>
      </c>
      <c r="G225" s="143">
        <v>3782</v>
      </c>
      <c r="H225" s="144">
        <v>718</v>
      </c>
      <c r="I225" s="140">
        <v>1</v>
      </c>
      <c r="J225" s="114" t="str">
        <f t="shared" si="3"/>
        <v>INSERT INTO DOCUMENTOS (NRO_DOCUMENTO,FECHA_EMISION,TOTAL_BRUTO,TOTAL_NETO,TOTAL_IVA, ID_TIPO, RUT_EMPLEADO, ID_CLIENTE) VALUES(221,TO_DATE('10-02-2025','DD-MM-YYYY'),4500,3782,718,1,'14526149-K',353);</v>
      </c>
    </row>
    <row r="226" spans="1:10">
      <c r="A226" s="149"/>
      <c r="B226" s="149">
        <v>222</v>
      </c>
      <c r="C226" s="118" t="s">
        <v>2204</v>
      </c>
      <c r="D226" t="s">
        <v>2090</v>
      </c>
      <c r="E226" s="150">
        <v>386</v>
      </c>
      <c r="F226" s="142">
        <v>6900</v>
      </c>
      <c r="G226" s="143">
        <v>5798</v>
      </c>
      <c r="H226" s="144">
        <v>1102</v>
      </c>
      <c r="I226" s="140">
        <v>1</v>
      </c>
      <c r="J226" s="114" t="str">
        <f t="shared" si="3"/>
        <v>INSERT INTO DOCUMENTOS (NRO_DOCUMENTO,FECHA_EMISION,TOTAL_BRUTO,TOTAL_NETO,TOTAL_IVA, ID_TIPO, RUT_EMPLEADO, ID_CLIENTE) VALUES(222,TO_DATE('10-02-2025','DD-MM-YYYY'),6900,5798,1102,1,'14526149-K',386);</v>
      </c>
    </row>
    <row r="227" spans="1:10">
      <c r="A227" s="149"/>
      <c r="B227" s="149">
        <v>223</v>
      </c>
      <c r="C227" s="118" t="s">
        <v>2204</v>
      </c>
      <c r="D227" t="s">
        <v>2090</v>
      </c>
      <c r="E227" s="150">
        <v>429</v>
      </c>
      <c r="F227" s="142">
        <v>6900</v>
      </c>
      <c r="G227" s="143">
        <v>5798</v>
      </c>
      <c r="H227" s="144">
        <v>1102</v>
      </c>
      <c r="I227" s="140">
        <v>1</v>
      </c>
      <c r="J227" s="114" t="str">
        <f t="shared" si="3"/>
        <v>INSERT INTO DOCUMENTOS (NRO_DOCUMENTO,FECHA_EMISION,TOTAL_BRUTO,TOTAL_NETO,TOTAL_IVA, ID_TIPO, RUT_EMPLEADO, ID_CLIENTE) VALUES(223,TO_DATE('10-02-2025','DD-MM-YYYY'),6900,5798,1102,1,'14526149-K',429);</v>
      </c>
    </row>
    <row r="228" spans="1:10">
      <c r="A228" s="149"/>
      <c r="B228" s="149">
        <v>224</v>
      </c>
      <c r="C228" s="151" t="s">
        <v>2205</v>
      </c>
      <c r="D228" t="s">
        <v>2090</v>
      </c>
      <c r="E228" s="150">
        <v>119</v>
      </c>
      <c r="F228" s="142">
        <v>74000</v>
      </c>
      <c r="G228" s="143">
        <v>62184</v>
      </c>
      <c r="H228" s="144">
        <v>11816</v>
      </c>
      <c r="I228" s="140">
        <v>1</v>
      </c>
      <c r="J228" s="114" t="str">
        <f t="shared" si="3"/>
        <v>INSERT INTO DOCUMENTOS (NRO_DOCUMENTO,FECHA_EMISION,TOTAL_BRUTO,TOTAL_NETO,TOTAL_IVA, ID_TIPO, RUT_EMPLEADO, ID_CLIENTE) VALUES(224,TO_DATE('11-02-2025','DD-MM-YYYY'),74000,62184,11816,1,'14526149-K',119);</v>
      </c>
    </row>
    <row r="229" spans="1:10">
      <c r="A229" s="149"/>
      <c r="B229" s="149">
        <v>225</v>
      </c>
      <c r="C229" s="118" t="s">
        <v>2205</v>
      </c>
      <c r="D229" t="s">
        <v>2090</v>
      </c>
      <c r="E229" s="150">
        <v>171</v>
      </c>
      <c r="F229" s="142">
        <v>6900</v>
      </c>
      <c r="G229" s="143">
        <v>5798</v>
      </c>
      <c r="H229" s="144">
        <v>1102</v>
      </c>
      <c r="I229" s="140">
        <v>1</v>
      </c>
      <c r="J229" s="114" t="str">
        <f t="shared" si="3"/>
        <v>INSERT INTO DOCUMENTOS (NRO_DOCUMENTO,FECHA_EMISION,TOTAL_BRUTO,TOTAL_NETO,TOTAL_IVA, ID_TIPO, RUT_EMPLEADO, ID_CLIENTE) VALUES(225,TO_DATE('11-02-2025','DD-MM-YYYY'),6900,5798,1102,1,'14526149-K',171);</v>
      </c>
    </row>
    <row r="230" spans="1:10">
      <c r="A230" s="149"/>
      <c r="B230" s="149">
        <v>226</v>
      </c>
      <c r="C230" s="118" t="s">
        <v>2205</v>
      </c>
      <c r="D230" t="s">
        <v>2090</v>
      </c>
      <c r="E230" s="150">
        <v>411</v>
      </c>
      <c r="F230" s="142">
        <v>5500</v>
      </c>
      <c r="G230" s="143">
        <v>4622</v>
      </c>
      <c r="H230" s="144">
        <v>878</v>
      </c>
      <c r="I230" s="140">
        <v>1</v>
      </c>
      <c r="J230" s="114" t="str">
        <f t="shared" si="3"/>
        <v>INSERT INTO DOCUMENTOS (NRO_DOCUMENTO,FECHA_EMISION,TOTAL_BRUTO,TOTAL_NETO,TOTAL_IVA, ID_TIPO, RUT_EMPLEADO, ID_CLIENTE) VALUES(226,TO_DATE('11-02-2025','DD-MM-YYYY'),5500,4622,878,1,'14526149-K',411);</v>
      </c>
    </row>
    <row r="231" spans="1:10">
      <c r="A231" s="149"/>
      <c r="B231" s="149">
        <v>227</v>
      </c>
      <c r="C231" s="118" t="s">
        <v>2205</v>
      </c>
      <c r="D231" t="s">
        <v>2090</v>
      </c>
      <c r="E231" s="150">
        <v>425</v>
      </c>
      <c r="F231" s="142">
        <v>4800</v>
      </c>
      <c r="G231" s="143">
        <v>4034</v>
      </c>
      <c r="H231" s="144">
        <v>766</v>
      </c>
      <c r="I231" s="140">
        <v>1</v>
      </c>
      <c r="J231" s="114" t="str">
        <f t="shared" si="3"/>
        <v>INSERT INTO DOCUMENTOS (NRO_DOCUMENTO,FECHA_EMISION,TOTAL_BRUTO,TOTAL_NETO,TOTAL_IVA, ID_TIPO, RUT_EMPLEADO, ID_CLIENTE) VALUES(227,TO_DATE('11-02-2025','DD-MM-YYYY'),4800,4034,766,1,'14526149-K',425);</v>
      </c>
    </row>
    <row r="232" spans="1:10">
      <c r="A232" s="149"/>
      <c r="B232" s="149">
        <v>228</v>
      </c>
      <c r="C232" s="118" t="s">
        <v>2205</v>
      </c>
      <c r="D232" t="s">
        <v>2090</v>
      </c>
      <c r="E232" s="150">
        <v>466</v>
      </c>
      <c r="F232" s="142">
        <v>4500</v>
      </c>
      <c r="G232" s="143">
        <v>3782</v>
      </c>
      <c r="H232" s="144">
        <v>718</v>
      </c>
      <c r="I232" s="140">
        <v>1</v>
      </c>
      <c r="J232" s="114" t="str">
        <f t="shared" si="3"/>
        <v>INSERT INTO DOCUMENTOS (NRO_DOCUMENTO,FECHA_EMISION,TOTAL_BRUTO,TOTAL_NETO,TOTAL_IVA, ID_TIPO, RUT_EMPLEADO, ID_CLIENTE) VALUES(228,TO_DATE('11-02-2025','DD-MM-YYYY'),4500,3782,718,1,'14526149-K',466);</v>
      </c>
    </row>
    <row r="233" spans="1:10">
      <c r="A233" s="149"/>
      <c r="B233" s="149">
        <v>229</v>
      </c>
      <c r="C233" s="118" t="s">
        <v>2205</v>
      </c>
      <c r="D233" t="s">
        <v>2090</v>
      </c>
      <c r="E233" s="150">
        <v>485</v>
      </c>
      <c r="F233" s="142">
        <v>18150</v>
      </c>
      <c r="G233" s="143">
        <v>15253</v>
      </c>
      <c r="H233" s="144">
        <v>2897</v>
      </c>
      <c r="I233" s="140">
        <v>1</v>
      </c>
      <c r="J233" s="114" t="str">
        <f t="shared" si="3"/>
        <v>INSERT INTO DOCUMENTOS (NRO_DOCUMENTO,FECHA_EMISION,TOTAL_BRUTO,TOTAL_NETO,TOTAL_IVA, ID_TIPO, RUT_EMPLEADO, ID_CLIENTE) VALUES(229,TO_DATE('11-02-2025','DD-MM-YYYY'),18150,15253,2897,1,'14526149-K',485);</v>
      </c>
    </row>
    <row r="234" spans="1:10">
      <c r="A234" s="149"/>
      <c r="B234" s="149">
        <v>230</v>
      </c>
      <c r="C234" s="151" t="s">
        <v>2206</v>
      </c>
      <c r="D234" t="s">
        <v>2090</v>
      </c>
      <c r="E234" s="150">
        <v>63</v>
      </c>
      <c r="F234" s="142">
        <v>19990</v>
      </c>
      <c r="G234" s="143">
        <v>16798</v>
      </c>
      <c r="H234" s="144">
        <v>3192</v>
      </c>
      <c r="I234" s="140">
        <v>1</v>
      </c>
      <c r="J234" s="114" t="str">
        <f t="shared" si="3"/>
        <v>INSERT INTO DOCUMENTOS (NRO_DOCUMENTO,FECHA_EMISION,TOTAL_BRUTO,TOTAL_NETO,TOTAL_IVA, ID_TIPO, RUT_EMPLEADO, ID_CLIENTE) VALUES(230,TO_DATE('12-02-2025','DD-MM-YYYY'),19990,16798,3192,1,'14526149-K',63);</v>
      </c>
    </row>
    <row r="235" spans="1:10">
      <c r="A235" s="149"/>
      <c r="B235" s="149">
        <v>231</v>
      </c>
      <c r="C235" s="118" t="s">
        <v>2206</v>
      </c>
      <c r="D235" t="s">
        <v>2090</v>
      </c>
      <c r="E235" s="150">
        <v>159</v>
      </c>
      <c r="F235" s="142">
        <v>6900</v>
      </c>
      <c r="G235" s="143">
        <v>5798</v>
      </c>
      <c r="H235" s="144">
        <v>1102</v>
      </c>
      <c r="I235" s="140">
        <v>1</v>
      </c>
      <c r="J235" s="114" t="str">
        <f t="shared" si="3"/>
        <v>INSERT INTO DOCUMENTOS (NRO_DOCUMENTO,FECHA_EMISION,TOTAL_BRUTO,TOTAL_NETO,TOTAL_IVA, ID_TIPO, RUT_EMPLEADO, ID_CLIENTE) VALUES(231,TO_DATE('12-02-2025','DD-MM-YYYY'),6900,5798,1102,1,'14526149-K',159);</v>
      </c>
    </row>
    <row r="236" spans="1:10">
      <c r="A236" s="149"/>
      <c r="B236" s="149">
        <v>232</v>
      </c>
      <c r="C236" s="118" t="s">
        <v>2206</v>
      </c>
      <c r="D236" t="s">
        <v>2090</v>
      </c>
      <c r="E236" s="150">
        <v>166</v>
      </c>
      <c r="F236" s="142">
        <v>5500</v>
      </c>
      <c r="G236" s="143">
        <v>4622</v>
      </c>
      <c r="H236" s="144">
        <v>878</v>
      </c>
      <c r="I236" s="140">
        <v>1</v>
      </c>
      <c r="J236" s="114" t="str">
        <f t="shared" si="3"/>
        <v>INSERT INTO DOCUMENTOS (NRO_DOCUMENTO,FECHA_EMISION,TOTAL_BRUTO,TOTAL_NETO,TOTAL_IVA, ID_TIPO, RUT_EMPLEADO, ID_CLIENTE) VALUES(232,TO_DATE('12-02-2025','DD-MM-YYYY'),5500,4622,878,1,'14526149-K',166);</v>
      </c>
    </row>
    <row r="237" spans="1:10">
      <c r="A237" s="149"/>
      <c r="B237" s="149">
        <v>233</v>
      </c>
      <c r="C237" s="118" t="s">
        <v>2206</v>
      </c>
      <c r="D237" t="s">
        <v>2090</v>
      </c>
      <c r="E237" s="150">
        <v>308</v>
      </c>
      <c r="F237" s="142">
        <v>12500</v>
      </c>
      <c r="G237" s="143">
        <v>10504</v>
      </c>
      <c r="H237" s="144">
        <v>1996</v>
      </c>
      <c r="I237" s="140">
        <v>1</v>
      </c>
      <c r="J237" s="114" t="str">
        <f t="shared" si="3"/>
        <v>INSERT INTO DOCUMENTOS (NRO_DOCUMENTO,FECHA_EMISION,TOTAL_BRUTO,TOTAL_NETO,TOTAL_IVA, ID_TIPO, RUT_EMPLEADO, ID_CLIENTE) VALUES(233,TO_DATE('12-02-2025','DD-MM-YYYY'),12500,10504,1996,1,'14526149-K',308);</v>
      </c>
    </row>
    <row r="238" spans="1:10">
      <c r="A238" s="149"/>
      <c r="B238" s="149">
        <v>234</v>
      </c>
      <c r="C238" s="118" t="s">
        <v>2206</v>
      </c>
      <c r="D238" t="s">
        <v>2090</v>
      </c>
      <c r="E238" s="150">
        <v>315</v>
      </c>
      <c r="F238" s="142">
        <v>6900</v>
      </c>
      <c r="G238" s="143">
        <v>5798</v>
      </c>
      <c r="H238" s="144">
        <v>1102</v>
      </c>
      <c r="I238" s="140">
        <v>1</v>
      </c>
      <c r="J238" s="114" t="str">
        <f t="shared" si="3"/>
        <v>INSERT INTO DOCUMENTOS (NRO_DOCUMENTO,FECHA_EMISION,TOTAL_BRUTO,TOTAL_NETO,TOTAL_IVA, ID_TIPO, RUT_EMPLEADO, ID_CLIENTE) VALUES(234,TO_DATE('12-02-2025','DD-MM-YYYY'),6900,5798,1102,1,'14526149-K',315);</v>
      </c>
    </row>
    <row r="239" spans="1:10">
      <c r="A239" s="149"/>
      <c r="B239" s="149">
        <v>235</v>
      </c>
      <c r="C239" s="118" t="s">
        <v>2206</v>
      </c>
      <c r="D239" t="s">
        <v>2090</v>
      </c>
      <c r="E239" s="150">
        <v>379</v>
      </c>
      <c r="F239" s="142">
        <v>9000</v>
      </c>
      <c r="G239" s="143">
        <v>7563</v>
      </c>
      <c r="H239" s="144">
        <v>1437</v>
      </c>
      <c r="I239" s="140">
        <v>1</v>
      </c>
      <c r="J239" s="114" t="str">
        <f t="shared" si="3"/>
        <v>INSERT INTO DOCUMENTOS (NRO_DOCUMENTO,FECHA_EMISION,TOTAL_BRUTO,TOTAL_NETO,TOTAL_IVA, ID_TIPO, RUT_EMPLEADO, ID_CLIENTE) VALUES(235,TO_DATE('12-02-2025','DD-MM-YYYY'),9000,7563,1437,1,'14526149-K',379);</v>
      </c>
    </row>
    <row r="240" spans="1:10">
      <c r="A240" s="149"/>
      <c r="B240" s="149">
        <v>236</v>
      </c>
      <c r="C240" s="118" t="s">
        <v>2206</v>
      </c>
      <c r="D240" t="s">
        <v>2090</v>
      </c>
      <c r="E240" s="150">
        <v>389</v>
      </c>
      <c r="F240" s="142">
        <v>6500</v>
      </c>
      <c r="G240" s="143">
        <v>5462</v>
      </c>
      <c r="H240" s="144">
        <v>1038</v>
      </c>
      <c r="I240" s="140">
        <v>1</v>
      </c>
      <c r="J240" s="114" t="str">
        <f t="shared" si="3"/>
        <v>INSERT INTO DOCUMENTOS (NRO_DOCUMENTO,FECHA_EMISION,TOTAL_BRUTO,TOTAL_NETO,TOTAL_IVA, ID_TIPO, RUT_EMPLEADO, ID_CLIENTE) VALUES(236,TO_DATE('12-02-2025','DD-MM-YYYY'),6500,5462,1038,1,'14526149-K',389);</v>
      </c>
    </row>
    <row r="241" spans="1:10">
      <c r="A241" s="149"/>
      <c r="B241" s="149">
        <v>237</v>
      </c>
      <c r="C241" s="118" t="s">
        <v>2206</v>
      </c>
      <c r="D241" t="s">
        <v>2090</v>
      </c>
      <c r="E241" s="150">
        <v>467</v>
      </c>
      <c r="F241" s="142">
        <v>7000</v>
      </c>
      <c r="G241" s="143">
        <v>5883</v>
      </c>
      <c r="H241" s="144">
        <v>1117</v>
      </c>
      <c r="I241" s="140">
        <v>1</v>
      </c>
      <c r="J241" s="114" t="str">
        <f t="shared" si="3"/>
        <v>INSERT INTO DOCUMENTOS (NRO_DOCUMENTO,FECHA_EMISION,TOTAL_BRUTO,TOTAL_NETO,TOTAL_IVA, ID_TIPO, RUT_EMPLEADO, ID_CLIENTE) VALUES(237,TO_DATE('12-02-2025','DD-MM-YYYY'),7000,5883,1117,1,'14526149-K',467);</v>
      </c>
    </row>
    <row r="242" spans="1:10">
      <c r="A242" s="149"/>
      <c r="B242" s="149">
        <v>238</v>
      </c>
      <c r="C242" s="151" t="s">
        <v>2207</v>
      </c>
      <c r="D242" t="s">
        <v>2090</v>
      </c>
      <c r="E242" s="150">
        <v>110</v>
      </c>
      <c r="F242" s="142">
        <v>15990</v>
      </c>
      <c r="G242" s="143">
        <v>13437</v>
      </c>
      <c r="H242" s="144">
        <v>2553</v>
      </c>
      <c r="I242" s="140">
        <v>1</v>
      </c>
      <c r="J242" s="114" t="str">
        <f t="shared" si="3"/>
        <v>INSERT INTO DOCUMENTOS (NRO_DOCUMENTO,FECHA_EMISION,TOTAL_BRUTO,TOTAL_NETO,TOTAL_IVA, ID_TIPO, RUT_EMPLEADO, ID_CLIENTE) VALUES(238,TO_DATE('13-02-2025','DD-MM-YYYY'),15990,13437,2553,1,'14526149-K',110);</v>
      </c>
    </row>
    <row r="243" spans="1:10">
      <c r="A243" s="149"/>
      <c r="B243" s="149">
        <v>239</v>
      </c>
      <c r="C243" s="118" t="s">
        <v>2207</v>
      </c>
      <c r="D243" t="s">
        <v>2090</v>
      </c>
      <c r="E243" s="150">
        <v>166</v>
      </c>
      <c r="F243" s="142">
        <v>2500</v>
      </c>
      <c r="G243" s="143">
        <v>2101</v>
      </c>
      <c r="H243" s="144">
        <v>399</v>
      </c>
      <c r="I243" s="140">
        <v>1</v>
      </c>
      <c r="J243" s="114" t="str">
        <f t="shared" si="3"/>
        <v>INSERT INTO DOCUMENTOS (NRO_DOCUMENTO,FECHA_EMISION,TOTAL_BRUTO,TOTAL_NETO,TOTAL_IVA, ID_TIPO, RUT_EMPLEADO, ID_CLIENTE) VALUES(239,TO_DATE('13-02-2025','DD-MM-YYYY'),2500,2101,399,1,'14526149-K',166);</v>
      </c>
    </row>
    <row r="244" spans="1:10">
      <c r="A244" s="149"/>
      <c r="B244" s="149">
        <v>240</v>
      </c>
      <c r="C244" s="118" t="s">
        <v>2207</v>
      </c>
      <c r="D244" t="s">
        <v>2090</v>
      </c>
      <c r="E244" s="150">
        <v>194</v>
      </c>
      <c r="F244" s="142">
        <v>8400</v>
      </c>
      <c r="G244" s="143">
        <v>7058</v>
      </c>
      <c r="H244" s="144">
        <v>1342</v>
      </c>
      <c r="I244" s="140">
        <v>1</v>
      </c>
      <c r="J244" s="114" t="str">
        <f t="shared" si="3"/>
        <v>INSERT INTO DOCUMENTOS (NRO_DOCUMENTO,FECHA_EMISION,TOTAL_BRUTO,TOTAL_NETO,TOTAL_IVA, ID_TIPO, RUT_EMPLEADO, ID_CLIENTE) VALUES(240,TO_DATE('13-02-2025','DD-MM-YYYY'),8400,7058,1342,1,'14526149-K',194);</v>
      </c>
    </row>
    <row r="245" spans="1:10">
      <c r="A245" s="149"/>
      <c r="B245" s="149">
        <v>241</v>
      </c>
      <c r="C245" s="151" t="s">
        <v>2208</v>
      </c>
      <c r="D245" t="s">
        <v>2090</v>
      </c>
      <c r="E245" s="150">
        <v>166</v>
      </c>
      <c r="F245" s="142">
        <v>2200</v>
      </c>
      <c r="G245" s="143">
        <v>1849</v>
      </c>
      <c r="H245" s="144">
        <v>351</v>
      </c>
      <c r="I245" s="140">
        <v>1</v>
      </c>
      <c r="J245" s="114" t="str">
        <f t="shared" si="3"/>
        <v>INSERT INTO DOCUMENTOS (NRO_DOCUMENTO,FECHA_EMISION,TOTAL_BRUTO,TOTAL_NETO,TOTAL_IVA, ID_TIPO, RUT_EMPLEADO, ID_CLIENTE) VALUES(241,TO_DATE('14-02-2025','DD-MM-YYYY'),2200,1849,351,1,'14526149-K',166);</v>
      </c>
    </row>
    <row r="246" spans="1:10">
      <c r="A246" s="149"/>
      <c r="B246" s="149">
        <v>242</v>
      </c>
      <c r="C246" s="118" t="s">
        <v>2208</v>
      </c>
      <c r="D246" t="s">
        <v>2090</v>
      </c>
      <c r="E246" s="150">
        <v>171</v>
      </c>
      <c r="F246" s="142">
        <v>12900</v>
      </c>
      <c r="G246" s="143">
        <v>10840</v>
      </c>
      <c r="H246" s="144">
        <v>2060</v>
      </c>
      <c r="I246" s="140">
        <v>1</v>
      </c>
      <c r="J246" s="114" t="str">
        <f t="shared" si="3"/>
        <v>INSERT INTO DOCUMENTOS (NRO_DOCUMENTO,FECHA_EMISION,TOTAL_BRUTO,TOTAL_NETO,TOTAL_IVA, ID_TIPO, RUT_EMPLEADO, ID_CLIENTE) VALUES(242,TO_DATE('14-02-2025','DD-MM-YYYY'),12900,10840,2060,1,'14526149-K',171);</v>
      </c>
    </row>
    <row r="247" spans="1:10">
      <c r="A247" s="149"/>
      <c r="B247" s="149">
        <v>243</v>
      </c>
      <c r="C247" s="118" t="s">
        <v>2208</v>
      </c>
      <c r="D247" t="s">
        <v>2090</v>
      </c>
      <c r="E247" s="150">
        <v>222</v>
      </c>
      <c r="F247" s="142">
        <v>35800</v>
      </c>
      <c r="G247" s="143">
        <v>30084</v>
      </c>
      <c r="H247" s="144">
        <v>5716</v>
      </c>
      <c r="I247" s="140">
        <v>1</v>
      </c>
      <c r="J247" s="114" t="str">
        <f t="shared" si="3"/>
        <v>INSERT INTO DOCUMENTOS (NRO_DOCUMENTO,FECHA_EMISION,TOTAL_BRUTO,TOTAL_NETO,TOTAL_IVA, ID_TIPO, RUT_EMPLEADO, ID_CLIENTE) VALUES(243,TO_DATE('14-02-2025','DD-MM-YYYY'),35800,30084,5716,1,'14526149-K',222);</v>
      </c>
    </row>
    <row r="248" spans="1:10">
      <c r="A248" s="149"/>
      <c r="B248" s="149">
        <v>244</v>
      </c>
      <c r="C248" s="118" t="s">
        <v>2208</v>
      </c>
      <c r="D248" t="s">
        <v>2090</v>
      </c>
      <c r="E248" s="150">
        <v>254</v>
      </c>
      <c r="F248" s="142">
        <v>37500</v>
      </c>
      <c r="G248" s="143">
        <v>31513</v>
      </c>
      <c r="H248" s="144">
        <v>5987</v>
      </c>
      <c r="I248" s="140">
        <v>1</v>
      </c>
      <c r="J248" s="114" t="str">
        <f t="shared" si="3"/>
        <v>INSERT INTO DOCUMENTOS (NRO_DOCUMENTO,FECHA_EMISION,TOTAL_BRUTO,TOTAL_NETO,TOTAL_IVA, ID_TIPO, RUT_EMPLEADO, ID_CLIENTE) VALUES(244,TO_DATE('14-02-2025','DD-MM-YYYY'),37500,31513,5987,1,'14526149-K',254);</v>
      </c>
    </row>
    <row r="249" spans="1:10">
      <c r="A249" s="149"/>
      <c r="B249" s="149">
        <v>245</v>
      </c>
      <c r="C249" s="118" t="s">
        <v>2208</v>
      </c>
      <c r="D249" t="s">
        <v>2090</v>
      </c>
      <c r="E249" s="150">
        <v>343</v>
      </c>
      <c r="F249" s="142">
        <v>6900</v>
      </c>
      <c r="G249" s="143">
        <v>5798</v>
      </c>
      <c r="H249" s="144">
        <v>1102</v>
      </c>
      <c r="I249" s="140">
        <v>1</v>
      </c>
      <c r="J249" s="114" t="str">
        <f t="shared" si="3"/>
        <v>INSERT INTO DOCUMENTOS (NRO_DOCUMENTO,FECHA_EMISION,TOTAL_BRUTO,TOTAL_NETO,TOTAL_IVA, ID_TIPO, RUT_EMPLEADO, ID_CLIENTE) VALUES(245,TO_DATE('14-02-2025','DD-MM-YYYY'),6900,5798,1102,1,'14526149-K',343);</v>
      </c>
    </row>
    <row r="250" spans="1:10">
      <c r="A250" s="149"/>
      <c r="B250" s="149">
        <v>246</v>
      </c>
      <c r="C250" s="151" t="s">
        <v>2209</v>
      </c>
      <c r="D250" t="s">
        <v>2090</v>
      </c>
      <c r="E250" s="150">
        <v>97</v>
      </c>
      <c r="F250" s="142">
        <v>6900</v>
      </c>
      <c r="G250" s="143">
        <v>5798</v>
      </c>
      <c r="H250" s="144">
        <v>1102</v>
      </c>
      <c r="I250" s="140">
        <v>1</v>
      </c>
      <c r="J250" s="114" t="str">
        <f t="shared" si="3"/>
        <v>INSERT INTO DOCUMENTOS (NRO_DOCUMENTO,FECHA_EMISION,TOTAL_BRUTO,TOTAL_NETO,TOTAL_IVA, ID_TIPO, RUT_EMPLEADO, ID_CLIENTE) VALUES(246,TO_DATE('15-02-2025','DD-MM-YYYY'),6900,5798,1102,1,'14526149-K',97);</v>
      </c>
    </row>
    <row r="251" spans="1:10">
      <c r="A251" s="149"/>
      <c r="B251" s="149">
        <v>247</v>
      </c>
      <c r="C251" s="118" t="s">
        <v>2209</v>
      </c>
      <c r="D251" t="s">
        <v>2090</v>
      </c>
      <c r="E251" s="150">
        <v>202</v>
      </c>
      <c r="F251" s="142">
        <v>4000</v>
      </c>
      <c r="G251" s="143">
        <v>3361</v>
      </c>
      <c r="H251" s="144">
        <v>639</v>
      </c>
      <c r="I251" s="140">
        <v>1</v>
      </c>
      <c r="J251" s="114" t="str">
        <f t="shared" si="3"/>
        <v>INSERT INTO DOCUMENTOS (NRO_DOCUMENTO,FECHA_EMISION,TOTAL_BRUTO,TOTAL_NETO,TOTAL_IVA, ID_TIPO, RUT_EMPLEADO, ID_CLIENTE) VALUES(247,TO_DATE('15-02-2025','DD-MM-YYYY'),4000,3361,639,1,'14526149-K',202);</v>
      </c>
    </row>
    <row r="252" spans="1:10">
      <c r="A252" s="149"/>
      <c r="B252" s="149">
        <v>248</v>
      </c>
      <c r="C252" s="118" t="s">
        <v>2209</v>
      </c>
      <c r="D252" t="s">
        <v>2090</v>
      </c>
      <c r="E252" s="150">
        <v>343</v>
      </c>
      <c r="F252" s="142">
        <v>4500</v>
      </c>
      <c r="G252" s="143">
        <v>3782</v>
      </c>
      <c r="H252" s="144">
        <v>718</v>
      </c>
      <c r="I252" s="140">
        <v>1</v>
      </c>
      <c r="J252" s="114" t="str">
        <f t="shared" si="3"/>
        <v>INSERT INTO DOCUMENTOS (NRO_DOCUMENTO,FECHA_EMISION,TOTAL_BRUTO,TOTAL_NETO,TOTAL_IVA, ID_TIPO, RUT_EMPLEADO, ID_CLIENTE) VALUES(248,TO_DATE('15-02-2025','DD-MM-YYYY'),4500,3782,718,1,'14526149-K',343);</v>
      </c>
    </row>
    <row r="253" spans="1:10">
      <c r="A253" s="149"/>
      <c r="B253" s="149">
        <v>249</v>
      </c>
      <c r="C253" s="151" t="s">
        <v>2210</v>
      </c>
      <c r="D253" t="s">
        <v>2090</v>
      </c>
      <c r="E253" s="150">
        <v>179</v>
      </c>
      <c r="F253" s="142">
        <v>42000</v>
      </c>
      <c r="G253" s="143">
        <v>35294</v>
      </c>
      <c r="H253" s="144">
        <v>6706</v>
      </c>
      <c r="I253" s="140">
        <v>1</v>
      </c>
      <c r="J253" s="114" t="str">
        <f t="shared" si="3"/>
        <v>INSERT INTO DOCUMENTOS (NRO_DOCUMENTO,FECHA_EMISION,TOTAL_BRUTO,TOTAL_NETO,TOTAL_IVA, ID_TIPO, RUT_EMPLEADO, ID_CLIENTE) VALUES(249,TO_DATE('16-02-2025','DD-MM-YYYY'),42000,35294,6706,1,'14526149-K',179);</v>
      </c>
    </row>
    <row r="254" spans="1:10">
      <c r="A254" s="149"/>
      <c r="B254" s="150">
        <v>250</v>
      </c>
      <c r="C254" s="118" t="s">
        <v>2210</v>
      </c>
      <c r="D254" t="s">
        <v>2090</v>
      </c>
      <c r="E254" s="150">
        <v>351</v>
      </c>
      <c r="F254" s="142">
        <v>14900</v>
      </c>
      <c r="G254" s="143">
        <v>12521</v>
      </c>
      <c r="H254" s="144">
        <v>2379</v>
      </c>
      <c r="I254" s="140">
        <v>1</v>
      </c>
      <c r="J254" s="114" t="str">
        <f t="shared" si="3"/>
        <v>INSERT INTO DOCUMENTOS (NRO_DOCUMENTO,FECHA_EMISION,TOTAL_BRUTO,TOTAL_NETO,TOTAL_IVA, ID_TIPO, RUT_EMPLEADO, ID_CLIENTE) VALUES(250,TO_DATE('16-02-2025','DD-MM-YYYY'),14900,12521,2379,1,'14526149-K',351);</v>
      </c>
    </row>
    <row r="255" spans="1:10">
      <c r="A255" s="149"/>
      <c r="B255" s="149">
        <v>251</v>
      </c>
      <c r="C255" s="118" t="s">
        <v>2210</v>
      </c>
      <c r="D255" t="s">
        <v>2090</v>
      </c>
      <c r="E255" s="150">
        <v>407</v>
      </c>
      <c r="F255" s="142">
        <v>3500</v>
      </c>
      <c r="G255" s="143">
        <v>2941</v>
      </c>
      <c r="H255" s="144">
        <v>559</v>
      </c>
      <c r="I255" s="140">
        <v>1</v>
      </c>
      <c r="J255" s="114" t="str">
        <f t="shared" si="3"/>
        <v>INSERT INTO DOCUMENTOS (NRO_DOCUMENTO,FECHA_EMISION,TOTAL_BRUTO,TOTAL_NETO,TOTAL_IVA, ID_TIPO, RUT_EMPLEADO, ID_CLIENTE) VALUES(251,TO_DATE('16-02-2025','DD-MM-YYYY'),3500,2941,559,1,'14526149-K',407);</v>
      </c>
    </row>
    <row r="256" spans="1:10">
      <c r="A256" s="149"/>
      <c r="B256" s="149">
        <v>252</v>
      </c>
      <c r="C256" s="118" t="s">
        <v>2210</v>
      </c>
      <c r="D256" t="s">
        <v>2090</v>
      </c>
      <c r="E256" s="150">
        <v>416</v>
      </c>
      <c r="F256" s="142">
        <v>19990</v>
      </c>
      <c r="G256" s="143">
        <v>16798</v>
      </c>
      <c r="H256" s="144">
        <v>3192</v>
      </c>
      <c r="I256" s="140">
        <v>1</v>
      </c>
      <c r="J256" s="114" t="str">
        <f t="shared" si="3"/>
        <v>INSERT INTO DOCUMENTOS (NRO_DOCUMENTO,FECHA_EMISION,TOTAL_BRUTO,TOTAL_NETO,TOTAL_IVA, ID_TIPO, RUT_EMPLEADO, ID_CLIENTE) VALUES(252,TO_DATE('16-02-2025','DD-MM-YYYY'),19990,16798,3192,1,'14526149-K',416);</v>
      </c>
    </row>
    <row r="257" spans="1:10">
      <c r="A257" s="149"/>
      <c r="B257" s="149">
        <v>253</v>
      </c>
      <c r="C257" s="151" t="s">
        <v>2211</v>
      </c>
      <c r="D257" t="s">
        <v>2090</v>
      </c>
      <c r="E257" s="150">
        <v>86</v>
      </c>
      <c r="F257" s="142">
        <v>9200</v>
      </c>
      <c r="G257" s="143">
        <v>7732</v>
      </c>
      <c r="H257" s="144">
        <v>1468</v>
      </c>
      <c r="I257" s="140">
        <v>1</v>
      </c>
      <c r="J257" s="114" t="str">
        <f t="shared" si="3"/>
        <v>INSERT INTO DOCUMENTOS (NRO_DOCUMENTO,FECHA_EMISION,TOTAL_BRUTO,TOTAL_NETO,TOTAL_IVA, ID_TIPO, RUT_EMPLEADO, ID_CLIENTE) VALUES(253,TO_DATE('17-02-2025','DD-MM-YYYY'),9200,7732,1468,1,'14526149-K',86);</v>
      </c>
    </row>
    <row r="258" spans="1:10">
      <c r="A258" s="149"/>
      <c r="B258" s="149">
        <v>254</v>
      </c>
      <c r="C258" s="118" t="s">
        <v>2211</v>
      </c>
      <c r="D258" t="s">
        <v>2090</v>
      </c>
      <c r="E258" s="150">
        <v>119</v>
      </c>
      <c r="F258" s="142">
        <v>10900</v>
      </c>
      <c r="G258" s="143">
        <v>9159</v>
      </c>
      <c r="H258" s="144">
        <v>1741</v>
      </c>
      <c r="I258" s="140">
        <v>1</v>
      </c>
      <c r="J258" s="114" t="str">
        <f t="shared" si="3"/>
        <v>INSERT INTO DOCUMENTOS (NRO_DOCUMENTO,FECHA_EMISION,TOTAL_BRUTO,TOTAL_NETO,TOTAL_IVA, ID_TIPO, RUT_EMPLEADO, ID_CLIENTE) VALUES(254,TO_DATE('17-02-2025','DD-MM-YYYY'),10900,9159,1741,1,'14526149-K',119);</v>
      </c>
    </row>
    <row r="259" spans="1:10">
      <c r="A259" s="149"/>
      <c r="B259" s="149">
        <v>255</v>
      </c>
      <c r="C259" s="118" t="s">
        <v>2211</v>
      </c>
      <c r="D259" t="s">
        <v>2090</v>
      </c>
      <c r="E259" s="150">
        <v>418</v>
      </c>
      <c r="F259" s="142">
        <v>12400</v>
      </c>
      <c r="G259" s="143">
        <v>10420</v>
      </c>
      <c r="H259" s="144">
        <v>1980</v>
      </c>
      <c r="I259" s="140">
        <v>1</v>
      </c>
      <c r="J259" s="114" t="str">
        <f t="shared" si="3"/>
        <v>INSERT INTO DOCUMENTOS (NRO_DOCUMENTO,FECHA_EMISION,TOTAL_BRUTO,TOTAL_NETO,TOTAL_IVA, ID_TIPO, RUT_EMPLEADO, ID_CLIENTE) VALUES(255,TO_DATE('17-02-2025','DD-MM-YYYY'),12400,10420,1980,1,'14526149-K',418);</v>
      </c>
    </row>
    <row r="260" spans="1:10">
      <c r="A260" s="149"/>
      <c r="B260" s="149">
        <v>256</v>
      </c>
      <c r="C260" s="118" t="s">
        <v>2211</v>
      </c>
      <c r="D260" t="s">
        <v>2090</v>
      </c>
      <c r="E260" s="150">
        <v>451</v>
      </c>
      <c r="F260" s="142">
        <v>3500</v>
      </c>
      <c r="G260" s="143">
        <v>2941</v>
      </c>
      <c r="H260" s="144">
        <v>559</v>
      </c>
      <c r="I260" s="140">
        <v>1</v>
      </c>
      <c r="J260" s="114" t="str">
        <f t="shared" si="3"/>
        <v>INSERT INTO DOCUMENTOS (NRO_DOCUMENTO,FECHA_EMISION,TOTAL_BRUTO,TOTAL_NETO,TOTAL_IVA, ID_TIPO, RUT_EMPLEADO, ID_CLIENTE) VALUES(256,TO_DATE('17-02-2025','DD-MM-YYYY'),3500,2941,559,1,'14526149-K',451);</v>
      </c>
    </row>
    <row r="261" spans="1:10">
      <c r="A261" s="149"/>
      <c r="B261" s="149">
        <v>257</v>
      </c>
      <c r="C261" s="118" t="s">
        <v>2211</v>
      </c>
      <c r="D261" t="s">
        <v>2090</v>
      </c>
      <c r="E261" s="150">
        <v>457</v>
      </c>
      <c r="F261" s="142">
        <v>6900</v>
      </c>
      <c r="G261" s="143">
        <v>5798</v>
      </c>
      <c r="H261" s="144">
        <v>1102</v>
      </c>
      <c r="I261" s="140">
        <v>1</v>
      </c>
      <c r="J261" s="114" t="str">
        <f t="shared" si="3"/>
        <v>INSERT INTO DOCUMENTOS (NRO_DOCUMENTO,FECHA_EMISION,TOTAL_BRUTO,TOTAL_NETO,TOTAL_IVA, ID_TIPO, RUT_EMPLEADO, ID_CLIENTE) VALUES(257,TO_DATE('17-02-2025','DD-MM-YYYY'),6900,5798,1102,1,'14526149-K',457);</v>
      </c>
    </row>
    <row r="262" spans="1:10">
      <c r="A262" s="149"/>
      <c r="B262" s="149">
        <v>258</v>
      </c>
      <c r="C262" s="151" t="s">
        <v>2212</v>
      </c>
      <c r="D262" t="s">
        <v>2090</v>
      </c>
      <c r="E262" s="150">
        <v>166</v>
      </c>
      <c r="F262" s="142">
        <v>3700</v>
      </c>
      <c r="G262" s="143">
        <v>3109</v>
      </c>
      <c r="H262" s="144">
        <v>591</v>
      </c>
      <c r="I262" s="140">
        <v>1</v>
      </c>
      <c r="J262" s="114" t="str">
        <f t="shared" ref="J262:J325" si="4">CONCATENATE("INSERT INTO DOCUMENTOS (NRO_DOCUMENTO,FECHA_EMISION,TOTAL_BRUTO,TOTAL_NETO,TOTAL_IVA, ID_TIPO, RUT_EMPLEADO, ID_CLIENTE) VALUES(",B262,",","TO_DATE('",C262,"'",",'DD-MM-YYYY'),",F262,",",G262,",",H262,",",I262,",","'",D262,"',",E262,");")</f>
        <v>INSERT INTO DOCUMENTOS (NRO_DOCUMENTO,FECHA_EMISION,TOTAL_BRUTO,TOTAL_NETO,TOTAL_IVA, ID_TIPO, RUT_EMPLEADO, ID_CLIENTE) VALUES(258,TO_DATE('18-02-2025','DD-MM-YYYY'),3700,3109,591,1,'14526149-K',166);</v>
      </c>
    </row>
    <row r="263" spans="1:10">
      <c r="A263" s="149"/>
      <c r="B263" s="149">
        <v>259</v>
      </c>
      <c r="C263" s="118" t="s">
        <v>2212</v>
      </c>
      <c r="D263" t="s">
        <v>2090</v>
      </c>
      <c r="E263" s="150">
        <v>278</v>
      </c>
      <c r="F263" s="142">
        <v>84690</v>
      </c>
      <c r="G263" s="143">
        <v>71170</v>
      </c>
      <c r="H263" s="144">
        <v>13520</v>
      </c>
      <c r="I263" s="140">
        <v>1</v>
      </c>
      <c r="J263" s="114" t="str">
        <f t="shared" si="4"/>
        <v>INSERT INTO DOCUMENTOS (NRO_DOCUMENTO,FECHA_EMISION,TOTAL_BRUTO,TOTAL_NETO,TOTAL_IVA, ID_TIPO, RUT_EMPLEADO, ID_CLIENTE) VALUES(259,TO_DATE('18-02-2025','DD-MM-YYYY'),84690,71170,13520,1,'14526149-K',278);</v>
      </c>
    </row>
    <row r="264" spans="1:10">
      <c r="A264" s="149"/>
      <c r="B264" s="149">
        <v>260</v>
      </c>
      <c r="C264" s="118" t="s">
        <v>2212</v>
      </c>
      <c r="D264" t="s">
        <v>2090</v>
      </c>
      <c r="E264" s="150">
        <v>411</v>
      </c>
      <c r="F264" s="142">
        <v>2500</v>
      </c>
      <c r="G264" s="143">
        <v>2101</v>
      </c>
      <c r="H264" s="144">
        <v>399</v>
      </c>
      <c r="I264" s="140">
        <v>1</v>
      </c>
      <c r="J264" s="114" t="str">
        <f t="shared" si="4"/>
        <v>INSERT INTO DOCUMENTOS (NRO_DOCUMENTO,FECHA_EMISION,TOTAL_BRUTO,TOTAL_NETO,TOTAL_IVA, ID_TIPO, RUT_EMPLEADO, ID_CLIENTE) VALUES(260,TO_DATE('18-02-2025','DD-MM-YYYY'),2500,2101,399,1,'14526149-K',411);</v>
      </c>
    </row>
    <row r="265" spans="1:10">
      <c r="A265" s="149"/>
      <c r="B265" s="149">
        <v>261</v>
      </c>
      <c r="C265" s="118" t="s">
        <v>2212</v>
      </c>
      <c r="D265" t="s">
        <v>2090</v>
      </c>
      <c r="E265" s="150">
        <v>432</v>
      </c>
      <c r="F265" s="142">
        <v>6900</v>
      </c>
      <c r="G265" s="143">
        <v>5798</v>
      </c>
      <c r="H265" s="144">
        <v>1102</v>
      </c>
      <c r="I265" s="140">
        <v>1</v>
      </c>
      <c r="J265" s="114" t="str">
        <f t="shared" si="4"/>
        <v>INSERT INTO DOCUMENTOS (NRO_DOCUMENTO,FECHA_EMISION,TOTAL_BRUTO,TOTAL_NETO,TOTAL_IVA, ID_TIPO, RUT_EMPLEADO, ID_CLIENTE) VALUES(261,TO_DATE('18-02-2025','DD-MM-YYYY'),6900,5798,1102,1,'14526149-K',432);</v>
      </c>
    </row>
    <row r="266" spans="1:10">
      <c r="A266" s="149"/>
      <c r="B266" s="149">
        <v>262</v>
      </c>
      <c r="C266" s="151" t="s">
        <v>2213</v>
      </c>
      <c r="D266" t="s">
        <v>2090</v>
      </c>
      <c r="E266" s="150">
        <v>298</v>
      </c>
      <c r="F266" s="142">
        <v>38000</v>
      </c>
      <c r="G266" s="143">
        <v>31933</v>
      </c>
      <c r="H266" s="144">
        <v>6067</v>
      </c>
      <c r="I266" s="140">
        <v>1</v>
      </c>
      <c r="J266" s="114" t="str">
        <f t="shared" si="4"/>
        <v>INSERT INTO DOCUMENTOS (NRO_DOCUMENTO,FECHA_EMISION,TOTAL_BRUTO,TOTAL_NETO,TOTAL_IVA, ID_TIPO, RUT_EMPLEADO, ID_CLIENTE) VALUES(262,TO_DATE('19-02-2025','DD-MM-YYYY'),38000,31933,6067,1,'14526149-K',298);</v>
      </c>
    </row>
    <row r="267" spans="1:10">
      <c r="A267" s="149"/>
      <c r="B267" s="149">
        <v>263</v>
      </c>
      <c r="C267" s="118" t="s">
        <v>2213</v>
      </c>
      <c r="D267" t="s">
        <v>2090</v>
      </c>
      <c r="E267" s="150">
        <v>374</v>
      </c>
      <c r="F267" s="142">
        <v>10500</v>
      </c>
      <c r="G267" s="143">
        <v>8824</v>
      </c>
      <c r="H267" s="144">
        <v>1676</v>
      </c>
      <c r="I267" s="140">
        <v>1</v>
      </c>
      <c r="J267" s="114" t="str">
        <f t="shared" si="4"/>
        <v>INSERT INTO DOCUMENTOS (NRO_DOCUMENTO,FECHA_EMISION,TOTAL_BRUTO,TOTAL_NETO,TOTAL_IVA, ID_TIPO, RUT_EMPLEADO, ID_CLIENTE) VALUES(263,TO_DATE('19-02-2025','DD-MM-YYYY'),10500,8824,1676,1,'14526149-K',374);</v>
      </c>
    </row>
    <row r="268" spans="1:10">
      <c r="A268" s="149"/>
      <c r="B268" s="149">
        <v>264</v>
      </c>
      <c r="C268" s="151" t="s">
        <v>2214</v>
      </c>
      <c r="D268" t="s">
        <v>2090</v>
      </c>
      <c r="E268" s="150">
        <v>22</v>
      </c>
      <c r="F268" s="142">
        <v>15700</v>
      </c>
      <c r="G268" s="143">
        <v>13194</v>
      </c>
      <c r="H268" s="144">
        <v>2506</v>
      </c>
      <c r="I268" s="140">
        <v>1</v>
      </c>
      <c r="J268" s="114" t="str">
        <f t="shared" si="4"/>
        <v>INSERT INTO DOCUMENTOS (NRO_DOCUMENTO,FECHA_EMISION,TOTAL_BRUTO,TOTAL_NETO,TOTAL_IVA, ID_TIPO, RUT_EMPLEADO, ID_CLIENTE) VALUES(264,TO_DATE('20-02-2025','DD-MM-YYYY'),15700,13194,2506,1,'14526149-K',22);</v>
      </c>
    </row>
    <row r="269" spans="1:10">
      <c r="A269" s="149"/>
      <c r="B269" s="149">
        <v>265</v>
      </c>
      <c r="C269" s="118" t="s">
        <v>2214</v>
      </c>
      <c r="D269" t="s">
        <v>2090</v>
      </c>
      <c r="E269" s="150">
        <v>65</v>
      </c>
      <c r="F269" s="142">
        <v>7500</v>
      </c>
      <c r="G269" s="143">
        <v>6303</v>
      </c>
      <c r="H269" s="144">
        <v>1197</v>
      </c>
      <c r="I269" s="140">
        <v>1</v>
      </c>
      <c r="J269" s="114" t="str">
        <f t="shared" si="4"/>
        <v>INSERT INTO DOCUMENTOS (NRO_DOCUMENTO,FECHA_EMISION,TOTAL_BRUTO,TOTAL_NETO,TOTAL_IVA, ID_TIPO, RUT_EMPLEADO, ID_CLIENTE) VALUES(265,TO_DATE('20-02-2025','DD-MM-YYYY'),7500,6303,1197,1,'14526149-K',65);</v>
      </c>
    </row>
    <row r="270" spans="1:10">
      <c r="A270" s="149"/>
      <c r="B270" s="149">
        <v>266</v>
      </c>
      <c r="C270" s="118" t="s">
        <v>2214</v>
      </c>
      <c r="D270" t="s">
        <v>2090</v>
      </c>
      <c r="E270" s="150">
        <v>166</v>
      </c>
      <c r="F270" s="142">
        <v>2800</v>
      </c>
      <c r="G270" s="143">
        <v>2353</v>
      </c>
      <c r="H270" s="144">
        <v>447</v>
      </c>
      <c r="I270" s="140">
        <v>1</v>
      </c>
      <c r="J270" s="114" t="str">
        <f t="shared" si="4"/>
        <v>INSERT INTO DOCUMENTOS (NRO_DOCUMENTO,FECHA_EMISION,TOTAL_BRUTO,TOTAL_NETO,TOTAL_IVA, ID_TIPO, RUT_EMPLEADO, ID_CLIENTE) VALUES(266,TO_DATE('20-02-2025','DD-MM-YYYY'),2800,2353,447,1,'14526149-K',166);</v>
      </c>
    </row>
    <row r="271" spans="1:10">
      <c r="A271" s="149"/>
      <c r="B271" s="149">
        <v>267</v>
      </c>
      <c r="C271" s="118" t="s">
        <v>2214</v>
      </c>
      <c r="D271" t="s">
        <v>2090</v>
      </c>
      <c r="E271" s="150">
        <v>278</v>
      </c>
      <c r="F271" s="142">
        <v>7500</v>
      </c>
      <c r="G271" s="143">
        <v>6303</v>
      </c>
      <c r="H271" s="144">
        <v>1197</v>
      </c>
      <c r="I271" s="140">
        <v>1</v>
      </c>
      <c r="J271" s="114" t="str">
        <f t="shared" si="4"/>
        <v>INSERT INTO DOCUMENTOS (NRO_DOCUMENTO,FECHA_EMISION,TOTAL_BRUTO,TOTAL_NETO,TOTAL_IVA, ID_TIPO, RUT_EMPLEADO, ID_CLIENTE) VALUES(267,TO_DATE('20-02-2025','DD-MM-YYYY'),7500,6303,1197,1,'14526149-K',278);</v>
      </c>
    </row>
    <row r="272" spans="1:10">
      <c r="A272" s="149"/>
      <c r="B272" s="149">
        <v>268</v>
      </c>
      <c r="C272" s="151" t="s">
        <v>2215</v>
      </c>
      <c r="D272" t="s">
        <v>2090</v>
      </c>
      <c r="E272" s="150">
        <v>166</v>
      </c>
      <c r="F272" s="142">
        <v>2500</v>
      </c>
      <c r="G272" s="143">
        <v>2101</v>
      </c>
      <c r="H272" s="144">
        <v>399</v>
      </c>
      <c r="I272" s="140">
        <v>1</v>
      </c>
      <c r="J272" s="114" t="str">
        <f t="shared" si="4"/>
        <v>INSERT INTO DOCUMENTOS (NRO_DOCUMENTO,FECHA_EMISION,TOTAL_BRUTO,TOTAL_NETO,TOTAL_IVA, ID_TIPO, RUT_EMPLEADO, ID_CLIENTE) VALUES(268,TO_DATE('21-02-2025','DD-MM-YYYY'),2500,2101,399,1,'14526149-K',166);</v>
      </c>
    </row>
    <row r="273" spans="1:10">
      <c r="A273" s="149"/>
      <c r="B273" s="149">
        <v>269</v>
      </c>
      <c r="C273" s="118" t="s">
        <v>2215</v>
      </c>
      <c r="D273" t="s">
        <v>2090</v>
      </c>
      <c r="E273" s="150">
        <v>230</v>
      </c>
      <c r="F273" s="142">
        <v>28400</v>
      </c>
      <c r="G273" s="143">
        <v>23867</v>
      </c>
      <c r="H273" s="144">
        <v>4533</v>
      </c>
      <c r="I273" s="140">
        <v>1</v>
      </c>
      <c r="J273" s="114" t="str">
        <f t="shared" si="4"/>
        <v>INSERT INTO DOCUMENTOS (NRO_DOCUMENTO,FECHA_EMISION,TOTAL_BRUTO,TOTAL_NETO,TOTAL_IVA, ID_TIPO, RUT_EMPLEADO, ID_CLIENTE) VALUES(269,TO_DATE('21-02-2025','DD-MM-YYYY'),28400,23867,4533,1,'14526149-K',230);</v>
      </c>
    </row>
    <row r="274" spans="1:10">
      <c r="A274" s="149"/>
      <c r="B274" s="149">
        <v>270</v>
      </c>
      <c r="C274" s="118" t="s">
        <v>2215</v>
      </c>
      <c r="D274" t="s">
        <v>2090</v>
      </c>
      <c r="E274" s="150">
        <v>457</v>
      </c>
      <c r="F274" s="142">
        <v>15990</v>
      </c>
      <c r="G274" s="143">
        <v>13437</v>
      </c>
      <c r="H274" s="144">
        <v>2553</v>
      </c>
      <c r="I274" s="140">
        <v>1</v>
      </c>
      <c r="J274" s="114" t="str">
        <f t="shared" si="4"/>
        <v>INSERT INTO DOCUMENTOS (NRO_DOCUMENTO,FECHA_EMISION,TOTAL_BRUTO,TOTAL_NETO,TOTAL_IVA, ID_TIPO, RUT_EMPLEADO, ID_CLIENTE) VALUES(270,TO_DATE('21-02-2025','DD-MM-YYYY'),15990,13437,2553,1,'14526149-K',457);</v>
      </c>
    </row>
    <row r="275" spans="1:10">
      <c r="A275" s="149"/>
      <c r="B275" s="149">
        <v>271</v>
      </c>
      <c r="C275" s="118" t="s">
        <v>2215</v>
      </c>
      <c r="D275" t="s">
        <v>2090</v>
      </c>
      <c r="E275" s="150">
        <v>470</v>
      </c>
      <c r="F275" s="142">
        <v>18990</v>
      </c>
      <c r="G275" s="143">
        <v>15958</v>
      </c>
      <c r="H275" s="144">
        <v>3032</v>
      </c>
      <c r="I275" s="140">
        <v>1</v>
      </c>
      <c r="J275" s="114" t="str">
        <f t="shared" si="4"/>
        <v>INSERT INTO DOCUMENTOS (NRO_DOCUMENTO,FECHA_EMISION,TOTAL_BRUTO,TOTAL_NETO,TOTAL_IVA, ID_TIPO, RUT_EMPLEADO, ID_CLIENTE) VALUES(271,TO_DATE('21-02-2025','DD-MM-YYYY'),18990,15958,3032,1,'14526149-K',470);</v>
      </c>
    </row>
    <row r="276" spans="1:10">
      <c r="A276" s="149"/>
      <c r="B276" s="149">
        <v>272</v>
      </c>
      <c r="C276" s="118" t="s">
        <v>2215</v>
      </c>
      <c r="D276" t="s">
        <v>2090</v>
      </c>
      <c r="E276" s="150">
        <v>485</v>
      </c>
      <c r="F276" s="142">
        <v>2900</v>
      </c>
      <c r="G276" s="143">
        <v>2437</v>
      </c>
      <c r="H276" s="144">
        <v>463</v>
      </c>
      <c r="I276" s="140">
        <v>1</v>
      </c>
      <c r="J276" s="114" t="str">
        <f t="shared" si="4"/>
        <v>INSERT INTO DOCUMENTOS (NRO_DOCUMENTO,FECHA_EMISION,TOTAL_BRUTO,TOTAL_NETO,TOTAL_IVA, ID_TIPO, RUT_EMPLEADO, ID_CLIENTE) VALUES(272,TO_DATE('21-02-2025','DD-MM-YYYY'),2900,2437,463,1,'14526149-K',485);</v>
      </c>
    </row>
    <row r="277" spans="1:10">
      <c r="A277" s="149"/>
      <c r="B277" s="149">
        <v>273</v>
      </c>
      <c r="C277" s="151" t="s">
        <v>2216</v>
      </c>
      <c r="D277" t="s">
        <v>2090</v>
      </c>
      <c r="E277" s="150">
        <v>51</v>
      </c>
      <c r="F277" s="142">
        <v>26200</v>
      </c>
      <c r="G277" s="143">
        <v>22017</v>
      </c>
      <c r="H277" s="144">
        <v>4183</v>
      </c>
      <c r="I277" s="140">
        <v>1</v>
      </c>
      <c r="J277" s="114" t="str">
        <f t="shared" si="4"/>
        <v>INSERT INTO DOCUMENTOS (NRO_DOCUMENTO,FECHA_EMISION,TOTAL_BRUTO,TOTAL_NETO,TOTAL_IVA, ID_TIPO, RUT_EMPLEADO, ID_CLIENTE) VALUES(273,TO_DATE('22-02-2025','DD-MM-YYYY'),26200,22017,4183,1,'14526149-K',51);</v>
      </c>
    </row>
    <row r="278" spans="1:10">
      <c r="A278" s="149"/>
      <c r="B278" s="149">
        <v>274</v>
      </c>
      <c r="C278" s="118" t="s">
        <v>2216</v>
      </c>
      <c r="D278" t="s">
        <v>2090</v>
      </c>
      <c r="E278" s="150">
        <v>63</v>
      </c>
      <c r="F278" s="142">
        <v>7500</v>
      </c>
      <c r="G278" s="143">
        <v>6303</v>
      </c>
      <c r="H278" s="144">
        <v>1197</v>
      </c>
      <c r="I278" s="140">
        <v>1</v>
      </c>
      <c r="J278" s="114" t="str">
        <f t="shared" si="4"/>
        <v>INSERT INTO DOCUMENTOS (NRO_DOCUMENTO,FECHA_EMISION,TOTAL_BRUTO,TOTAL_NETO,TOTAL_IVA, ID_TIPO, RUT_EMPLEADO, ID_CLIENTE) VALUES(274,TO_DATE('22-02-2025','DD-MM-YYYY'),7500,6303,1197,1,'14526149-K',63);</v>
      </c>
    </row>
    <row r="279" spans="1:10">
      <c r="A279" s="149"/>
      <c r="B279" s="149">
        <v>275</v>
      </c>
      <c r="C279" s="118" t="s">
        <v>2216</v>
      </c>
      <c r="D279" t="s">
        <v>2090</v>
      </c>
      <c r="E279" s="150">
        <v>76</v>
      </c>
      <c r="F279" s="142">
        <v>10500</v>
      </c>
      <c r="G279" s="143">
        <v>8824</v>
      </c>
      <c r="H279" s="144">
        <v>1676</v>
      </c>
      <c r="I279" s="140">
        <v>1</v>
      </c>
      <c r="J279" s="114" t="str">
        <f t="shared" si="4"/>
        <v>INSERT INTO DOCUMENTOS (NRO_DOCUMENTO,FECHA_EMISION,TOTAL_BRUTO,TOTAL_NETO,TOTAL_IVA, ID_TIPO, RUT_EMPLEADO, ID_CLIENTE) VALUES(275,TO_DATE('22-02-2025','DD-MM-YYYY'),10500,8824,1676,1,'14526149-K',76);</v>
      </c>
    </row>
    <row r="280" spans="1:10">
      <c r="A280" s="149"/>
      <c r="B280" s="149">
        <v>276</v>
      </c>
      <c r="C280" s="118" t="s">
        <v>2216</v>
      </c>
      <c r="D280" t="s">
        <v>2090</v>
      </c>
      <c r="E280" s="150">
        <v>102</v>
      </c>
      <c r="F280" s="142">
        <v>8200</v>
      </c>
      <c r="G280" s="143">
        <v>6891</v>
      </c>
      <c r="H280" s="144">
        <v>1309</v>
      </c>
      <c r="I280" s="140">
        <v>1</v>
      </c>
      <c r="J280" s="114" t="str">
        <f t="shared" si="4"/>
        <v>INSERT INTO DOCUMENTOS (NRO_DOCUMENTO,FECHA_EMISION,TOTAL_BRUTO,TOTAL_NETO,TOTAL_IVA, ID_TIPO, RUT_EMPLEADO, ID_CLIENTE) VALUES(276,TO_DATE('22-02-2025','DD-MM-YYYY'),8200,6891,1309,1,'14526149-K',102);</v>
      </c>
    </row>
    <row r="281" spans="1:10">
      <c r="A281" s="149"/>
      <c r="B281" s="149">
        <v>277</v>
      </c>
      <c r="C281" s="118" t="s">
        <v>2216</v>
      </c>
      <c r="D281" t="s">
        <v>2090</v>
      </c>
      <c r="E281" s="150">
        <v>111</v>
      </c>
      <c r="F281" s="142">
        <v>11500</v>
      </c>
      <c r="G281" s="143">
        <v>9664</v>
      </c>
      <c r="H281" s="144">
        <v>1836</v>
      </c>
      <c r="I281" s="140">
        <v>1</v>
      </c>
      <c r="J281" s="114" t="str">
        <f t="shared" si="4"/>
        <v>INSERT INTO DOCUMENTOS (NRO_DOCUMENTO,FECHA_EMISION,TOTAL_BRUTO,TOTAL_NETO,TOTAL_IVA, ID_TIPO, RUT_EMPLEADO, ID_CLIENTE) VALUES(277,TO_DATE('22-02-2025','DD-MM-YYYY'),11500,9664,1836,1,'14526149-K',111);</v>
      </c>
    </row>
    <row r="282" spans="1:10">
      <c r="A282" s="149"/>
      <c r="B282" s="149">
        <v>278</v>
      </c>
      <c r="C282" s="118" t="s">
        <v>2216</v>
      </c>
      <c r="D282" t="s">
        <v>2090</v>
      </c>
      <c r="E282" s="150">
        <v>166</v>
      </c>
      <c r="F282" s="142">
        <v>13900</v>
      </c>
      <c r="G282" s="143">
        <v>11681</v>
      </c>
      <c r="H282" s="144">
        <v>2219</v>
      </c>
      <c r="I282" s="140">
        <v>1</v>
      </c>
      <c r="J282" s="114" t="str">
        <f t="shared" si="4"/>
        <v>INSERT INTO DOCUMENTOS (NRO_DOCUMENTO,FECHA_EMISION,TOTAL_BRUTO,TOTAL_NETO,TOTAL_IVA, ID_TIPO, RUT_EMPLEADO, ID_CLIENTE) VALUES(278,TO_DATE('22-02-2025','DD-MM-YYYY'),13900,11681,2219,1,'14526149-K',166);</v>
      </c>
    </row>
    <row r="283" spans="1:10">
      <c r="A283" s="149"/>
      <c r="B283" s="149">
        <v>279</v>
      </c>
      <c r="C283" s="118" t="s">
        <v>2216</v>
      </c>
      <c r="D283" t="s">
        <v>2090</v>
      </c>
      <c r="E283" s="150">
        <v>182</v>
      </c>
      <c r="F283" s="142">
        <v>11000</v>
      </c>
      <c r="G283" s="143">
        <v>9244</v>
      </c>
      <c r="H283" s="144">
        <v>1756</v>
      </c>
      <c r="I283" s="140">
        <v>1</v>
      </c>
      <c r="J283" s="114" t="str">
        <f t="shared" si="4"/>
        <v>INSERT INTO DOCUMENTOS (NRO_DOCUMENTO,FECHA_EMISION,TOTAL_BRUTO,TOTAL_NETO,TOTAL_IVA, ID_TIPO, RUT_EMPLEADO, ID_CLIENTE) VALUES(279,TO_DATE('22-02-2025','DD-MM-YYYY'),11000,9244,1756,1,'14526149-K',182);</v>
      </c>
    </row>
    <row r="284" spans="1:10">
      <c r="A284" s="149"/>
      <c r="B284" s="149">
        <v>280</v>
      </c>
      <c r="C284" s="118" t="s">
        <v>2216</v>
      </c>
      <c r="D284" t="s">
        <v>2090</v>
      </c>
      <c r="E284" s="150">
        <v>227</v>
      </c>
      <c r="F284" s="142">
        <v>7500</v>
      </c>
      <c r="G284" s="143">
        <v>6303</v>
      </c>
      <c r="H284" s="144">
        <v>1197</v>
      </c>
      <c r="I284" s="140">
        <v>1</v>
      </c>
      <c r="J284" s="114" t="str">
        <f t="shared" si="4"/>
        <v>INSERT INTO DOCUMENTOS (NRO_DOCUMENTO,FECHA_EMISION,TOTAL_BRUTO,TOTAL_NETO,TOTAL_IVA, ID_TIPO, RUT_EMPLEADO, ID_CLIENTE) VALUES(280,TO_DATE('22-02-2025','DD-MM-YYYY'),7500,6303,1197,1,'14526149-K',227);</v>
      </c>
    </row>
    <row r="285" spans="1:10">
      <c r="A285" s="149"/>
      <c r="B285" s="149">
        <v>281</v>
      </c>
      <c r="C285" s="118" t="s">
        <v>2216</v>
      </c>
      <c r="D285" t="s">
        <v>2090</v>
      </c>
      <c r="E285" s="150">
        <v>230</v>
      </c>
      <c r="F285" s="142">
        <v>63400</v>
      </c>
      <c r="G285" s="143">
        <v>53280</v>
      </c>
      <c r="H285" s="144">
        <v>10120</v>
      </c>
      <c r="I285" s="140">
        <v>1</v>
      </c>
      <c r="J285" s="114" t="str">
        <f t="shared" si="4"/>
        <v>INSERT INTO DOCUMENTOS (NRO_DOCUMENTO,FECHA_EMISION,TOTAL_BRUTO,TOTAL_NETO,TOTAL_IVA, ID_TIPO, RUT_EMPLEADO, ID_CLIENTE) VALUES(281,TO_DATE('22-02-2025','DD-MM-YYYY'),63400,53280,10120,1,'14526149-K',230);</v>
      </c>
    </row>
    <row r="286" spans="1:10">
      <c r="A286" s="149"/>
      <c r="B286" s="149">
        <v>282</v>
      </c>
      <c r="C286" s="118" t="s">
        <v>2216</v>
      </c>
      <c r="D286" t="s">
        <v>2090</v>
      </c>
      <c r="E286" s="150">
        <v>276</v>
      </c>
      <c r="F286" s="142">
        <v>10500</v>
      </c>
      <c r="G286" s="143">
        <v>8824</v>
      </c>
      <c r="H286" s="144">
        <v>1676</v>
      </c>
      <c r="I286" s="140">
        <v>1</v>
      </c>
      <c r="J286" s="114" t="str">
        <f t="shared" si="4"/>
        <v>INSERT INTO DOCUMENTOS (NRO_DOCUMENTO,FECHA_EMISION,TOTAL_BRUTO,TOTAL_NETO,TOTAL_IVA, ID_TIPO, RUT_EMPLEADO, ID_CLIENTE) VALUES(282,TO_DATE('22-02-2025','DD-MM-YYYY'),10500,8824,1676,1,'14526149-K',276);</v>
      </c>
    </row>
    <row r="287" spans="1:10">
      <c r="A287" s="149"/>
      <c r="B287" s="149">
        <v>283</v>
      </c>
      <c r="C287" s="118" t="s">
        <v>2216</v>
      </c>
      <c r="D287" t="s">
        <v>2090</v>
      </c>
      <c r="E287" s="150">
        <v>312</v>
      </c>
      <c r="F287" s="142">
        <v>7500</v>
      </c>
      <c r="G287" s="143">
        <v>6303</v>
      </c>
      <c r="H287" s="144">
        <v>1197</v>
      </c>
      <c r="I287" s="140">
        <v>1</v>
      </c>
      <c r="J287" s="114" t="str">
        <f t="shared" si="4"/>
        <v>INSERT INTO DOCUMENTOS (NRO_DOCUMENTO,FECHA_EMISION,TOTAL_BRUTO,TOTAL_NETO,TOTAL_IVA, ID_TIPO, RUT_EMPLEADO, ID_CLIENTE) VALUES(283,TO_DATE('22-02-2025','DD-MM-YYYY'),7500,6303,1197,1,'14526149-K',312);</v>
      </c>
    </row>
    <row r="288" spans="1:10">
      <c r="A288" s="149"/>
      <c r="B288" s="149">
        <v>284</v>
      </c>
      <c r="C288" s="118" t="s">
        <v>2216</v>
      </c>
      <c r="D288" t="s">
        <v>2090</v>
      </c>
      <c r="E288" s="150">
        <v>411</v>
      </c>
      <c r="F288" s="142">
        <v>23500</v>
      </c>
      <c r="G288" s="143">
        <v>19748</v>
      </c>
      <c r="H288" s="144">
        <v>3752</v>
      </c>
      <c r="I288" s="140">
        <v>1</v>
      </c>
      <c r="J288" s="114" t="str">
        <f t="shared" si="4"/>
        <v>INSERT INTO DOCUMENTOS (NRO_DOCUMENTO,FECHA_EMISION,TOTAL_BRUTO,TOTAL_NETO,TOTAL_IVA, ID_TIPO, RUT_EMPLEADO, ID_CLIENTE) VALUES(284,TO_DATE('22-02-2025','DD-MM-YYYY'),23500,19748,3752,1,'14526149-K',411);</v>
      </c>
    </row>
    <row r="289" spans="1:10">
      <c r="A289" s="149"/>
      <c r="B289" s="149">
        <v>285</v>
      </c>
      <c r="C289" s="118" t="s">
        <v>2216</v>
      </c>
      <c r="D289" t="s">
        <v>2090</v>
      </c>
      <c r="E289" s="150">
        <v>446</v>
      </c>
      <c r="F289" s="142">
        <v>6500</v>
      </c>
      <c r="G289" s="143">
        <v>5462</v>
      </c>
      <c r="H289" s="144">
        <v>1038</v>
      </c>
      <c r="I289" s="140">
        <v>1</v>
      </c>
      <c r="J289" s="114" t="str">
        <f t="shared" si="4"/>
        <v>INSERT INTO DOCUMENTOS (NRO_DOCUMENTO,FECHA_EMISION,TOTAL_BRUTO,TOTAL_NETO,TOTAL_IVA, ID_TIPO, RUT_EMPLEADO, ID_CLIENTE) VALUES(285,TO_DATE('22-02-2025','DD-MM-YYYY'),6500,5462,1038,1,'14526149-K',446);</v>
      </c>
    </row>
    <row r="290" spans="1:10">
      <c r="A290" s="149"/>
      <c r="B290" s="149">
        <v>286</v>
      </c>
      <c r="C290" s="118" t="s">
        <v>2216</v>
      </c>
      <c r="D290" t="s">
        <v>2090</v>
      </c>
      <c r="E290" s="150">
        <v>476</v>
      </c>
      <c r="F290" s="142">
        <v>7500</v>
      </c>
      <c r="G290" s="143">
        <v>6303</v>
      </c>
      <c r="H290" s="144">
        <v>1197</v>
      </c>
      <c r="I290" s="140">
        <v>1</v>
      </c>
      <c r="J290" s="114" t="str">
        <f t="shared" si="4"/>
        <v>INSERT INTO DOCUMENTOS (NRO_DOCUMENTO,FECHA_EMISION,TOTAL_BRUTO,TOTAL_NETO,TOTAL_IVA, ID_TIPO, RUT_EMPLEADO, ID_CLIENTE) VALUES(286,TO_DATE('22-02-2025','DD-MM-YYYY'),7500,6303,1197,1,'14526149-K',476);</v>
      </c>
    </row>
    <row r="291" spans="1:10">
      <c r="A291" s="149"/>
      <c r="B291" s="149">
        <v>287</v>
      </c>
      <c r="C291" s="151" t="s">
        <v>2217</v>
      </c>
      <c r="D291" t="s">
        <v>2090</v>
      </c>
      <c r="E291" s="150">
        <v>135</v>
      </c>
      <c r="F291" s="142">
        <v>30000</v>
      </c>
      <c r="G291" s="143">
        <v>25210</v>
      </c>
      <c r="H291" s="144">
        <v>4790</v>
      </c>
      <c r="I291" s="140">
        <v>1</v>
      </c>
      <c r="J291" s="114" t="str">
        <f t="shared" si="4"/>
        <v>INSERT INTO DOCUMENTOS (NRO_DOCUMENTO,FECHA_EMISION,TOTAL_BRUTO,TOTAL_NETO,TOTAL_IVA, ID_TIPO, RUT_EMPLEADO, ID_CLIENTE) VALUES(287,TO_DATE('23-02-2025','DD-MM-YYYY'),30000,25210,4790,1,'14526149-K',135);</v>
      </c>
    </row>
    <row r="292" spans="1:10">
      <c r="A292" s="149"/>
      <c r="B292" s="149">
        <v>288</v>
      </c>
      <c r="C292" s="118" t="s">
        <v>2217</v>
      </c>
      <c r="D292" t="s">
        <v>2090</v>
      </c>
      <c r="E292" s="150">
        <v>230</v>
      </c>
      <c r="F292" s="142">
        <v>18000</v>
      </c>
      <c r="G292" s="143">
        <v>15126</v>
      </c>
      <c r="H292" s="144">
        <v>2874</v>
      </c>
      <c r="I292" s="140">
        <v>1</v>
      </c>
      <c r="J292" s="114" t="str">
        <f t="shared" si="4"/>
        <v>INSERT INTO DOCUMENTOS (NRO_DOCUMENTO,FECHA_EMISION,TOTAL_BRUTO,TOTAL_NETO,TOTAL_IVA, ID_TIPO, RUT_EMPLEADO, ID_CLIENTE) VALUES(288,TO_DATE('23-02-2025','DD-MM-YYYY'),18000,15126,2874,1,'14526149-K',230);</v>
      </c>
    </row>
    <row r="293" spans="1:10">
      <c r="A293" s="149"/>
      <c r="B293" s="149">
        <v>289</v>
      </c>
      <c r="C293" s="118" t="s">
        <v>2217</v>
      </c>
      <c r="D293" t="s">
        <v>2090</v>
      </c>
      <c r="E293" s="150">
        <v>231</v>
      </c>
      <c r="F293" s="142">
        <v>19990</v>
      </c>
      <c r="G293" s="143">
        <v>16798</v>
      </c>
      <c r="H293" s="144">
        <v>3192</v>
      </c>
      <c r="I293" s="140">
        <v>1</v>
      </c>
      <c r="J293" s="114" t="str">
        <f t="shared" si="4"/>
        <v>INSERT INTO DOCUMENTOS (NRO_DOCUMENTO,FECHA_EMISION,TOTAL_BRUTO,TOTAL_NETO,TOTAL_IVA, ID_TIPO, RUT_EMPLEADO, ID_CLIENTE) VALUES(289,TO_DATE('23-02-2025','DD-MM-YYYY'),19990,16798,3192,1,'14526149-K',231);</v>
      </c>
    </row>
    <row r="294" spans="1:10">
      <c r="A294" s="149"/>
      <c r="B294" s="149">
        <v>290</v>
      </c>
      <c r="C294" s="118" t="s">
        <v>2217</v>
      </c>
      <c r="D294" t="s">
        <v>2090</v>
      </c>
      <c r="E294" s="150">
        <v>300</v>
      </c>
      <c r="F294" s="142">
        <v>14202</v>
      </c>
      <c r="G294" s="143">
        <v>11934</v>
      </c>
      <c r="H294" s="144">
        <v>2268</v>
      </c>
      <c r="I294" s="140">
        <v>1</v>
      </c>
      <c r="J294" s="114" t="str">
        <f t="shared" si="4"/>
        <v>INSERT INTO DOCUMENTOS (NRO_DOCUMENTO,FECHA_EMISION,TOTAL_BRUTO,TOTAL_NETO,TOTAL_IVA, ID_TIPO, RUT_EMPLEADO, ID_CLIENTE) VALUES(290,TO_DATE('23-02-2025','DD-MM-YYYY'),14202,11934,2268,1,'14526149-K',300);</v>
      </c>
    </row>
    <row r="295" spans="1:10">
      <c r="A295" s="149"/>
      <c r="B295" s="149">
        <v>291</v>
      </c>
      <c r="C295" s="151" t="s">
        <v>2218</v>
      </c>
      <c r="D295" t="s">
        <v>2090</v>
      </c>
      <c r="E295" s="150">
        <v>108</v>
      </c>
      <c r="F295" s="142">
        <v>59002</v>
      </c>
      <c r="G295" s="143">
        <v>49584</v>
      </c>
      <c r="H295" s="144">
        <v>9418</v>
      </c>
      <c r="I295" s="140">
        <v>1</v>
      </c>
      <c r="J295" s="114" t="str">
        <f t="shared" si="4"/>
        <v>INSERT INTO DOCUMENTOS (NRO_DOCUMENTO,FECHA_EMISION,TOTAL_BRUTO,TOTAL_NETO,TOTAL_IVA, ID_TIPO, RUT_EMPLEADO, ID_CLIENTE) VALUES(291,TO_DATE('24-02-2025','DD-MM-YYYY'),59002,49584,9418,1,'14526149-K',108);</v>
      </c>
    </row>
    <row r="296" spans="1:10">
      <c r="A296" s="149"/>
      <c r="B296" s="149">
        <v>292</v>
      </c>
      <c r="C296" s="118" t="s">
        <v>2218</v>
      </c>
      <c r="D296" t="s">
        <v>2090</v>
      </c>
      <c r="E296" s="150">
        <v>159</v>
      </c>
      <c r="F296" s="142">
        <v>10500</v>
      </c>
      <c r="G296" s="143">
        <v>8824</v>
      </c>
      <c r="H296" s="144">
        <v>1676</v>
      </c>
      <c r="I296" s="140">
        <v>1</v>
      </c>
      <c r="J296" s="114" t="str">
        <f t="shared" si="4"/>
        <v>INSERT INTO DOCUMENTOS (NRO_DOCUMENTO,FECHA_EMISION,TOTAL_BRUTO,TOTAL_NETO,TOTAL_IVA, ID_TIPO, RUT_EMPLEADO, ID_CLIENTE) VALUES(292,TO_DATE('24-02-2025','DD-MM-YYYY'),10500,8824,1676,1,'14526149-K',159);</v>
      </c>
    </row>
    <row r="297" spans="1:10">
      <c r="A297" s="149"/>
      <c r="B297" s="149">
        <v>293</v>
      </c>
      <c r="C297" s="118" t="s">
        <v>2218</v>
      </c>
      <c r="D297" t="s">
        <v>2090</v>
      </c>
      <c r="E297" s="150">
        <v>202</v>
      </c>
      <c r="F297" s="142">
        <v>7500</v>
      </c>
      <c r="G297" s="143">
        <v>6303</v>
      </c>
      <c r="H297" s="144">
        <v>1197</v>
      </c>
      <c r="I297" s="140">
        <v>1</v>
      </c>
      <c r="J297" s="114" t="str">
        <f t="shared" si="4"/>
        <v>INSERT INTO DOCUMENTOS (NRO_DOCUMENTO,FECHA_EMISION,TOTAL_BRUTO,TOTAL_NETO,TOTAL_IVA, ID_TIPO, RUT_EMPLEADO, ID_CLIENTE) VALUES(293,TO_DATE('24-02-2025','DD-MM-YYYY'),7500,6303,1197,1,'14526149-K',202);</v>
      </c>
    </row>
    <row r="298" spans="1:10">
      <c r="A298" s="149"/>
      <c r="B298" s="149">
        <v>294</v>
      </c>
      <c r="C298" s="118" t="s">
        <v>2218</v>
      </c>
      <c r="D298" t="s">
        <v>2090</v>
      </c>
      <c r="E298" s="150">
        <v>237</v>
      </c>
      <c r="F298" s="142">
        <v>30000</v>
      </c>
      <c r="G298" s="143">
        <v>25210</v>
      </c>
      <c r="H298" s="144">
        <v>4790</v>
      </c>
      <c r="I298" s="140">
        <v>1</v>
      </c>
      <c r="J298" s="114" t="str">
        <f t="shared" si="4"/>
        <v>INSERT INTO DOCUMENTOS (NRO_DOCUMENTO,FECHA_EMISION,TOTAL_BRUTO,TOTAL_NETO,TOTAL_IVA, ID_TIPO, RUT_EMPLEADO, ID_CLIENTE) VALUES(294,TO_DATE('24-02-2025','DD-MM-YYYY'),30000,25210,4790,1,'14526149-K',237);</v>
      </c>
    </row>
    <row r="299" spans="1:10">
      <c r="A299" s="149"/>
      <c r="B299" s="149">
        <v>295</v>
      </c>
      <c r="C299" s="118" t="s">
        <v>2218</v>
      </c>
      <c r="D299" t="s">
        <v>2090</v>
      </c>
      <c r="E299" s="150">
        <v>297</v>
      </c>
      <c r="F299" s="142">
        <v>33790</v>
      </c>
      <c r="G299" s="143">
        <v>28395</v>
      </c>
      <c r="H299" s="144">
        <v>5395</v>
      </c>
      <c r="I299" s="140">
        <v>1</v>
      </c>
      <c r="J299" s="114" t="str">
        <f t="shared" si="4"/>
        <v>INSERT INTO DOCUMENTOS (NRO_DOCUMENTO,FECHA_EMISION,TOTAL_BRUTO,TOTAL_NETO,TOTAL_IVA, ID_TIPO, RUT_EMPLEADO, ID_CLIENTE) VALUES(295,TO_DATE('24-02-2025','DD-MM-YYYY'),33790,28395,5395,1,'14526149-K',297);</v>
      </c>
    </row>
    <row r="300" spans="1:10">
      <c r="A300" s="149"/>
      <c r="B300" s="149">
        <v>296</v>
      </c>
      <c r="C300" s="118" t="s">
        <v>2218</v>
      </c>
      <c r="D300" t="s">
        <v>2090</v>
      </c>
      <c r="E300" s="150">
        <v>416</v>
      </c>
      <c r="F300" s="142">
        <v>7500</v>
      </c>
      <c r="G300" s="143">
        <v>6303</v>
      </c>
      <c r="H300" s="144">
        <v>1197</v>
      </c>
      <c r="I300" s="140">
        <v>1</v>
      </c>
      <c r="J300" s="114" t="str">
        <f t="shared" si="4"/>
        <v>INSERT INTO DOCUMENTOS (NRO_DOCUMENTO,FECHA_EMISION,TOTAL_BRUTO,TOTAL_NETO,TOTAL_IVA, ID_TIPO, RUT_EMPLEADO, ID_CLIENTE) VALUES(296,TO_DATE('24-02-2025','DD-MM-YYYY'),7500,6303,1197,1,'14526149-K',416);</v>
      </c>
    </row>
    <row r="301" spans="1:10">
      <c r="A301" s="149"/>
      <c r="B301" s="149">
        <v>297</v>
      </c>
      <c r="C301" s="118" t="s">
        <v>2218</v>
      </c>
      <c r="D301" t="s">
        <v>2090</v>
      </c>
      <c r="E301" s="150">
        <v>428</v>
      </c>
      <c r="F301" s="142">
        <v>7500</v>
      </c>
      <c r="G301" s="143">
        <v>6303</v>
      </c>
      <c r="H301" s="144">
        <v>1197</v>
      </c>
      <c r="I301" s="140">
        <v>1</v>
      </c>
      <c r="J301" s="114" t="str">
        <f t="shared" si="4"/>
        <v>INSERT INTO DOCUMENTOS (NRO_DOCUMENTO,FECHA_EMISION,TOTAL_BRUTO,TOTAL_NETO,TOTAL_IVA, ID_TIPO, RUT_EMPLEADO, ID_CLIENTE) VALUES(297,TO_DATE('24-02-2025','DD-MM-YYYY'),7500,6303,1197,1,'14526149-K',428);</v>
      </c>
    </row>
    <row r="302" spans="1:10">
      <c r="A302" s="149"/>
      <c r="B302" s="149">
        <v>298</v>
      </c>
      <c r="C302" s="151" t="s">
        <v>2219</v>
      </c>
      <c r="D302" t="s">
        <v>2090</v>
      </c>
      <c r="E302" s="150">
        <v>68</v>
      </c>
      <c r="F302" s="142">
        <v>4650</v>
      </c>
      <c r="G302" s="143">
        <v>3908</v>
      </c>
      <c r="H302" s="144">
        <v>742</v>
      </c>
      <c r="I302" s="140">
        <v>1</v>
      </c>
      <c r="J302" s="114" t="str">
        <f t="shared" si="4"/>
        <v>INSERT INTO DOCUMENTOS (NRO_DOCUMENTO,FECHA_EMISION,TOTAL_BRUTO,TOTAL_NETO,TOTAL_IVA, ID_TIPO, RUT_EMPLEADO, ID_CLIENTE) VALUES(298,TO_DATE('25-02-2025','DD-MM-YYYY'),4650,3908,742,1,'14526149-K',68);</v>
      </c>
    </row>
    <row r="303" spans="1:10">
      <c r="A303" s="149"/>
      <c r="B303" s="149">
        <v>299</v>
      </c>
      <c r="C303" s="118" t="s">
        <v>2219</v>
      </c>
      <c r="D303" t="s">
        <v>2090</v>
      </c>
      <c r="E303" s="150">
        <v>155</v>
      </c>
      <c r="F303" s="142">
        <v>7500</v>
      </c>
      <c r="G303" s="143">
        <v>6303</v>
      </c>
      <c r="H303" s="144">
        <v>1197</v>
      </c>
      <c r="I303" s="140">
        <v>1</v>
      </c>
      <c r="J303" s="114" t="str">
        <f t="shared" si="4"/>
        <v>INSERT INTO DOCUMENTOS (NRO_DOCUMENTO,FECHA_EMISION,TOTAL_BRUTO,TOTAL_NETO,TOTAL_IVA, ID_TIPO, RUT_EMPLEADO, ID_CLIENTE) VALUES(299,TO_DATE('25-02-2025','DD-MM-YYYY'),7500,6303,1197,1,'14526149-K',155);</v>
      </c>
    </row>
    <row r="304" spans="1:10">
      <c r="A304" s="149"/>
      <c r="B304" s="150">
        <v>300</v>
      </c>
      <c r="C304" s="118" t="s">
        <v>2219</v>
      </c>
      <c r="D304" t="s">
        <v>2090</v>
      </c>
      <c r="E304" s="150">
        <v>166</v>
      </c>
      <c r="F304" s="142">
        <v>4500</v>
      </c>
      <c r="G304" s="143">
        <v>3781</v>
      </c>
      <c r="H304" s="144">
        <v>719</v>
      </c>
      <c r="I304" s="140">
        <v>1</v>
      </c>
      <c r="J304" s="114" t="str">
        <f t="shared" si="4"/>
        <v>INSERT INTO DOCUMENTOS (NRO_DOCUMENTO,FECHA_EMISION,TOTAL_BRUTO,TOTAL_NETO,TOTAL_IVA, ID_TIPO, RUT_EMPLEADO, ID_CLIENTE) VALUES(300,TO_DATE('25-02-2025','DD-MM-YYYY'),4500,3781,719,1,'14526149-K',166);</v>
      </c>
    </row>
    <row r="305" spans="1:10">
      <c r="A305" s="149"/>
      <c r="B305" s="149">
        <v>301</v>
      </c>
      <c r="C305" s="118" t="s">
        <v>2219</v>
      </c>
      <c r="D305" t="s">
        <v>2090</v>
      </c>
      <c r="E305" s="150">
        <v>466</v>
      </c>
      <c r="F305" s="142">
        <v>18000</v>
      </c>
      <c r="G305" s="143">
        <v>15126</v>
      </c>
      <c r="H305" s="144">
        <v>2874</v>
      </c>
      <c r="I305" s="140">
        <v>1</v>
      </c>
      <c r="J305" s="114" t="str">
        <f t="shared" si="4"/>
        <v>INSERT INTO DOCUMENTOS (NRO_DOCUMENTO,FECHA_EMISION,TOTAL_BRUTO,TOTAL_NETO,TOTAL_IVA, ID_TIPO, RUT_EMPLEADO, ID_CLIENTE) VALUES(301,TO_DATE('25-02-2025','DD-MM-YYYY'),18000,15126,2874,1,'14526149-K',466);</v>
      </c>
    </row>
    <row r="306" spans="1:10">
      <c r="A306" s="149"/>
      <c r="B306" s="149">
        <v>302</v>
      </c>
      <c r="C306" s="151" t="s">
        <v>2220</v>
      </c>
      <c r="D306" t="s">
        <v>2090</v>
      </c>
      <c r="E306" s="150">
        <v>51</v>
      </c>
      <c r="F306" s="142">
        <v>36490</v>
      </c>
      <c r="G306" s="143">
        <v>30664</v>
      </c>
      <c r="H306" s="144">
        <v>5826</v>
      </c>
      <c r="I306" s="140">
        <v>1</v>
      </c>
      <c r="J306" s="114" t="str">
        <f t="shared" si="4"/>
        <v>INSERT INTO DOCUMENTOS (NRO_DOCUMENTO,FECHA_EMISION,TOTAL_BRUTO,TOTAL_NETO,TOTAL_IVA, ID_TIPO, RUT_EMPLEADO, ID_CLIENTE) VALUES(302,TO_DATE('26-02-2025','DD-MM-YYYY'),36490,30664,5826,1,'14526149-K',51);</v>
      </c>
    </row>
    <row r="307" spans="1:10">
      <c r="A307" s="149"/>
      <c r="B307" s="149">
        <v>303</v>
      </c>
      <c r="C307" s="118" t="s">
        <v>2220</v>
      </c>
      <c r="D307" t="s">
        <v>2090</v>
      </c>
      <c r="E307" s="150">
        <v>62</v>
      </c>
      <c r="F307" s="142">
        <v>128840</v>
      </c>
      <c r="G307" s="143">
        <v>108269</v>
      </c>
      <c r="H307" s="144">
        <v>20571</v>
      </c>
      <c r="I307" s="140">
        <v>1</v>
      </c>
      <c r="J307" s="114" t="str">
        <f t="shared" si="4"/>
        <v>INSERT INTO DOCUMENTOS (NRO_DOCUMENTO,FECHA_EMISION,TOTAL_BRUTO,TOTAL_NETO,TOTAL_IVA, ID_TIPO, RUT_EMPLEADO, ID_CLIENTE) VALUES(303,TO_DATE('26-02-2025','DD-MM-YYYY'),128840,108269,20571,1,'14526149-K',62);</v>
      </c>
    </row>
    <row r="308" spans="1:10">
      <c r="A308" s="149"/>
      <c r="B308" s="149">
        <v>304</v>
      </c>
      <c r="C308" s="118" t="s">
        <v>2220</v>
      </c>
      <c r="D308" t="s">
        <v>2090</v>
      </c>
      <c r="E308" s="150">
        <v>110</v>
      </c>
      <c r="F308" s="142">
        <v>3500</v>
      </c>
      <c r="G308" s="143">
        <v>2941</v>
      </c>
      <c r="H308" s="144">
        <v>559</v>
      </c>
      <c r="I308" s="140">
        <v>1</v>
      </c>
      <c r="J308" s="114" t="str">
        <f t="shared" si="4"/>
        <v>INSERT INTO DOCUMENTOS (NRO_DOCUMENTO,FECHA_EMISION,TOTAL_BRUTO,TOTAL_NETO,TOTAL_IVA, ID_TIPO, RUT_EMPLEADO, ID_CLIENTE) VALUES(304,TO_DATE('26-02-2025','DD-MM-YYYY'),3500,2941,559,1,'14526149-K',110);</v>
      </c>
    </row>
    <row r="309" spans="1:10">
      <c r="A309" s="149"/>
      <c r="B309" s="149">
        <v>305</v>
      </c>
      <c r="C309" s="118" t="s">
        <v>2220</v>
      </c>
      <c r="D309" t="s">
        <v>2090</v>
      </c>
      <c r="E309" s="150">
        <v>353</v>
      </c>
      <c r="F309" s="142">
        <v>4500</v>
      </c>
      <c r="G309" s="143">
        <v>3782</v>
      </c>
      <c r="H309" s="144">
        <v>718</v>
      </c>
      <c r="I309" s="140">
        <v>1</v>
      </c>
      <c r="J309" s="114" t="str">
        <f t="shared" si="4"/>
        <v>INSERT INTO DOCUMENTOS (NRO_DOCUMENTO,FECHA_EMISION,TOTAL_BRUTO,TOTAL_NETO,TOTAL_IVA, ID_TIPO, RUT_EMPLEADO, ID_CLIENTE) VALUES(305,TO_DATE('26-02-2025','DD-MM-YYYY'),4500,3782,718,1,'14526149-K',353);</v>
      </c>
    </row>
    <row r="310" spans="1:10">
      <c r="A310" s="149"/>
      <c r="B310" s="149">
        <v>306</v>
      </c>
      <c r="C310" s="118" t="s">
        <v>2220</v>
      </c>
      <c r="D310" t="s">
        <v>2090</v>
      </c>
      <c r="E310" s="150">
        <v>402</v>
      </c>
      <c r="F310" s="142">
        <v>7500</v>
      </c>
      <c r="G310" s="143">
        <v>6303</v>
      </c>
      <c r="H310" s="144">
        <v>1197</v>
      </c>
      <c r="I310" s="140">
        <v>1</v>
      </c>
      <c r="J310" s="114" t="str">
        <f t="shared" si="4"/>
        <v>INSERT INTO DOCUMENTOS (NRO_DOCUMENTO,FECHA_EMISION,TOTAL_BRUTO,TOTAL_NETO,TOTAL_IVA, ID_TIPO, RUT_EMPLEADO, ID_CLIENTE) VALUES(306,TO_DATE('26-02-2025','DD-MM-YYYY'),7500,6303,1197,1,'14526149-K',402);</v>
      </c>
    </row>
    <row r="311" spans="1:10">
      <c r="A311" s="149"/>
      <c r="B311" s="149">
        <v>307</v>
      </c>
      <c r="C311" s="118" t="s">
        <v>2220</v>
      </c>
      <c r="D311" t="s">
        <v>2090</v>
      </c>
      <c r="E311" s="150">
        <v>407</v>
      </c>
      <c r="F311" s="142">
        <v>7500</v>
      </c>
      <c r="G311" s="143">
        <v>6303</v>
      </c>
      <c r="H311" s="144">
        <v>1197</v>
      </c>
      <c r="I311" s="140">
        <v>1</v>
      </c>
      <c r="J311" s="114" t="str">
        <f t="shared" si="4"/>
        <v>INSERT INTO DOCUMENTOS (NRO_DOCUMENTO,FECHA_EMISION,TOTAL_BRUTO,TOTAL_NETO,TOTAL_IVA, ID_TIPO, RUT_EMPLEADO, ID_CLIENTE) VALUES(307,TO_DATE('26-02-2025','DD-MM-YYYY'),7500,6303,1197,1,'14526149-K',407);</v>
      </c>
    </row>
    <row r="312" spans="1:10">
      <c r="A312" s="149"/>
      <c r="B312" s="149">
        <v>308</v>
      </c>
      <c r="C312" s="118" t="s">
        <v>2220</v>
      </c>
      <c r="D312" t="s">
        <v>2090</v>
      </c>
      <c r="E312" s="150">
        <v>451</v>
      </c>
      <c r="F312" s="142">
        <v>4400</v>
      </c>
      <c r="G312" s="143">
        <v>3698</v>
      </c>
      <c r="H312" s="144">
        <v>702</v>
      </c>
      <c r="I312" s="140">
        <v>1</v>
      </c>
      <c r="J312" s="114" t="str">
        <f t="shared" si="4"/>
        <v>INSERT INTO DOCUMENTOS (NRO_DOCUMENTO,FECHA_EMISION,TOTAL_BRUTO,TOTAL_NETO,TOTAL_IVA, ID_TIPO, RUT_EMPLEADO, ID_CLIENTE) VALUES(308,TO_DATE('26-02-2025','DD-MM-YYYY'),4400,3698,702,1,'14526149-K',451);</v>
      </c>
    </row>
    <row r="313" spans="1:10">
      <c r="A313" s="149"/>
      <c r="B313" s="149">
        <v>309</v>
      </c>
      <c r="C313" s="151" t="s">
        <v>2221</v>
      </c>
      <c r="D313" t="s">
        <v>2090</v>
      </c>
      <c r="E313" s="150">
        <v>82</v>
      </c>
      <c r="F313" s="142">
        <v>10500</v>
      </c>
      <c r="G313" s="143">
        <v>8824</v>
      </c>
      <c r="H313" s="144">
        <v>1676</v>
      </c>
      <c r="I313" s="140">
        <v>1</v>
      </c>
      <c r="J313" s="114" t="str">
        <f t="shared" si="4"/>
        <v>INSERT INTO DOCUMENTOS (NRO_DOCUMENTO,FECHA_EMISION,TOTAL_BRUTO,TOTAL_NETO,TOTAL_IVA, ID_TIPO, RUT_EMPLEADO, ID_CLIENTE) VALUES(309,TO_DATE('27-02-2025','DD-MM-YYYY'),10500,8824,1676,1,'14526149-K',82);</v>
      </c>
    </row>
    <row r="314" spans="1:10">
      <c r="A314" s="149"/>
      <c r="B314" s="149">
        <v>310</v>
      </c>
      <c r="C314" s="118" t="s">
        <v>2221</v>
      </c>
      <c r="D314" t="s">
        <v>2090</v>
      </c>
      <c r="E314" s="150">
        <v>86</v>
      </c>
      <c r="F314" s="142">
        <v>30000</v>
      </c>
      <c r="G314" s="143">
        <v>25210</v>
      </c>
      <c r="H314" s="144">
        <v>4790</v>
      </c>
      <c r="I314" s="140">
        <v>1</v>
      </c>
      <c r="J314" s="114" t="str">
        <f t="shared" si="4"/>
        <v>INSERT INTO DOCUMENTOS (NRO_DOCUMENTO,FECHA_EMISION,TOTAL_BRUTO,TOTAL_NETO,TOTAL_IVA, ID_TIPO, RUT_EMPLEADO, ID_CLIENTE) VALUES(310,TO_DATE('27-02-2025','DD-MM-YYYY'),30000,25210,4790,1,'14526149-K',86);</v>
      </c>
    </row>
    <row r="315" spans="1:10">
      <c r="A315" s="149"/>
      <c r="B315" s="149">
        <v>311</v>
      </c>
      <c r="C315" s="118" t="s">
        <v>2221</v>
      </c>
      <c r="D315" t="s">
        <v>2090</v>
      </c>
      <c r="E315" s="150">
        <v>166</v>
      </c>
      <c r="F315" s="142">
        <v>1600</v>
      </c>
      <c r="G315" s="143">
        <v>1345</v>
      </c>
      <c r="H315" s="144">
        <v>255</v>
      </c>
      <c r="I315" s="140">
        <v>1</v>
      </c>
      <c r="J315" s="114" t="str">
        <f t="shared" si="4"/>
        <v>INSERT INTO DOCUMENTOS (NRO_DOCUMENTO,FECHA_EMISION,TOTAL_BRUTO,TOTAL_NETO,TOTAL_IVA, ID_TIPO, RUT_EMPLEADO, ID_CLIENTE) VALUES(311,TO_DATE('27-02-2025','DD-MM-YYYY'),1600,1345,255,1,'14526149-K',166);</v>
      </c>
    </row>
    <row r="316" spans="1:10">
      <c r="A316" s="149"/>
      <c r="B316" s="149">
        <v>312</v>
      </c>
      <c r="C316" s="118" t="s">
        <v>2221</v>
      </c>
      <c r="D316" t="s">
        <v>2090</v>
      </c>
      <c r="E316" s="150">
        <v>302</v>
      </c>
      <c r="F316" s="142">
        <v>18000</v>
      </c>
      <c r="G316" s="143">
        <v>15127</v>
      </c>
      <c r="H316" s="144">
        <v>2873</v>
      </c>
      <c r="I316" s="140">
        <v>1</v>
      </c>
      <c r="J316" s="114" t="str">
        <f t="shared" si="4"/>
        <v>INSERT INTO DOCUMENTOS (NRO_DOCUMENTO,FECHA_EMISION,TOTAL_BRUTO,TOTAL_NETO,TOTAL_IVA, ID_TIPO, RUT_EMPLEADO, ID_CLIENTE) VALUES(312,TO_DATE('27-02-2025','DD-MM-YYYY'),18000,15127,2873,1,'14526149-K',302);</v>
      </c>
    </row>
    <row r="317" spans="1:10">
      <c r="A317" s="149"/>
      <c r="B317" s="149">
        <v>313</v>
      </c>
      <c r="C317" s="151" t="s">
        <v>2222</v>
      </c>
      <c r="D317" t="s">
        <v>2090</v>
      </c>
      <c r="E317" s="150">
        <v>100</v>
      </c>
      <c r="F317" s="142">
        <v>5300</v>
      </c>
      <c r="G317" s="143">
        <v>4454</v>
      </c>
      <c r="H317" s="144">
        <v>846</v>
      </c>
      <c r="I317" s="140">
        <v>1</v>
      </c>
      <c r="J317" s="114" t="str">
        <f t="shared" si="4"/>
        <v>INSERT INTO DOCUMENTOS (NRO_DOCUMENTO,FECHA_EMISION,TOTAL_BRUTO,TOTAL_NETO,TOTAL_IVA, ID_TIPO, RUT_EMPLEADO, ID_CLIENTE) VALUES(313,TO_DATE('28-02-2025','DD-MM-YYYY'),5300,4454,846,1,'14526149-K',100);</v>
      </c>
    </row>
    <row r="318" spans="1:10">
      <c r="A318" s="149"/>
      <c r="B318" s="149">
        <v>314</v>
      </c>
      <c r="C318" s="118" t="s">
        <v>2222</v>
      </c>
      <c r="D318" t="s">
        <v>2090</v>
      </c>
      <c r="E318" s="150">
        <v>112</v>
      </c>
      <c r="F318" s="142">
        <v>5500</v>
      </c>
      <c r="G318" s="143">
        <v>4622</v>
      </c>
      <c r="H318" s="144">
        <v>878</v>
      </c>
      <c r="I318" s="140">
        <v>1</v>
      </c>
      <c r="J318" s="114" t="str">
        <f t="shared" si="4"/>
        <v>INSERT INTO DOCUMENTOS (NRO_DOCUMENTO,FECHA_EMISION,TOTAL_BRUTO,TOTAL_NETO,TOTAL_IVA, ID_TIPO, RUT_EMPLEADO, ID_CLIENTE) VALUES(314,TO_DATE('28-02-2025','DD-MM-YYYY'),5500,4622,878,1,'14526149-K',112);</v>
      </c>
    </row>
    <row r="319" spans="1:10">
      <c r="A319" s="149"/>
      <c r="B319" s="149">
        <v>315</v>
      </c>
      <c r="C319" s="118" t="s">
        <v>2222</v>
      </c>
      <c r="D319" t="s">
        <v>2090</v>
      </c>
      <c r="E319" s="150">
        <v>122</v>
      </c>
      <c r="F319" s="142">
        <v>30400</v>
      </c>
      <c r="G319" s="143">
        <v>25546</v>
      </c>
      <c r="H319" s="144">
        <v>4854</v>
      </c>
      <c r="I319" s="140">
        <v>1</v>
      </c>
      <c r="J319" s="114" t="str">
        <f t="shared" si="4"/>
        <v>INSERT INTO DOCUMENTOS (NRO_DOCUMENTO,FECHA_EMISION,TOTAL_BRUTO,TOTAL_NETO,TOTAL_IVA, ID_TIPO, RUT_EMPLEADO, ID_CLIENTE) VALUES(315,TO_DATE('28-02-2025','DD-MM-YYYY'),30400,25546,4854,1,'14526149-K',122);</v>
      </c>
    </row>
    <row r="320" spans="1:10">
      <c r="A320" s="149"/>
      <c r="B320" s="149">
        <v>316</v>
      </c>
      <c r="C320" s="118" t="s">
        <v>2222</v>
      </c>
      <c r="D320" t="s">
        <v>2090</v>
      </c>
      <c r="E320" s="150">
        <v>128</v>
      </c>
      <c r="F320" s="142">
        <v>9500</v>
      </c>
      <c r="G320" s="143">
        <v>7983</v>
      </c>
      <c r="H320" s="144">
        <v>1517</v>
      </c>
      <c r="I320" s="140">
        <v>1</v>
      </c>
      <c r="J320" s="114" t="str">
        <f t="shared" si="4"/>
        <v>INSERT INTO DOCUMENTOS (NRO_DOCUMENTO,FECHA_EMISION,TOTAL_BRUTO,TOTAL_NETO,TOTAL_IVA, ID_TIPO, RUT_EMPLEADO, ID_CLIENTE) VALUES(316,TO_DATE('28-02-2025','DD-MM-YYYY'),9500,7983,1517,1,'14526149-K',128);</v>
      </c>
    </row>
    <row r="321" spans="1:10">
      <c r="A321" s="149"/>
      <c r="B321" s="149">
        <v>317</v>
      </c>
      <c r="C321" s="118" t="s">
        <v>2222</v>
      </c>
      <c r="D321" t="s">
        <v>2090</v>
      </c>
      <c r="E321" s="150">
        <v>163</v>
      </c>
      <c r="F321" s="142">
        <v>19990</v>
      </c>
      <c r="G321" s="143">
        <v>16798</v>
      </c>
      <c r="H321" s="144">
        <v>3192</v>
      </c>
      <c r="I321" s="140">
        <v>1</v>
      </c>
      <c r="J321" s="114" t="str">
        <f t="shared" si="4"/>
        <v>INSERT INTO DOCUMENTOS (NRO_DOCUMENTO,FECHA_EMISION,TOTAL_BRUTO,TOTAL_NETO,TOTAL_IVA, ID_TIPO, RUT_EMPLEADO, ID_CLIENTE) VALUES(317,TO_DATE('28-02-2025','DD-MM-YYYY'),19990,16798,3192,1,'14526149-K',163);</v>
      </c>
    </row>
    <row r="322" spans="1:10">
      <c r="A322" s="149"/>
      <c r="B322" s="149">
        <v>318</v>
      </c>
      <c r="C322" s="118" t="s">
        <v>2222</v>
      </c>
      <c r="D322" t="s">
        <v>2090</v>
      </c>
      <c r="E322" s="150">
        <v>401</v>
      </c>
      <c r="F322" s="142">
        <v>21400</v>
      </c>
      <c r="G322" s="143">
        <v>17985</v>
      </c>
      <c r="H322" s="144">
        <v>3415</v>
      </c>
      <c r="I322" s="140">
        <v>1</v>
      </c>
      <c r="J322" s="114" t="str">
        <f t="shared" si="4"/>
        <v>INSERT INTO DOCUMENTOS (NRO_DOCUMENTO,FECHA_EMISION,TOTAL_BRUTO,TOTAL_NETO,TOTAL_IVA, ID_TIPO, RUT_EMPLEADO, ID_CLIENTE) VALUES(318,TO_DATE('28-02-2025','DD-MM-YYYY'),21400,17985,3415,1,'14526149-K',401);</v>
      </c>
    </row>
    <row r="323" spans="1:10">
      <c r="A323" s="149"/>
      <c r="B323" s="149">
        <v>319</v>
      </c>
      <c r="C323" s="118" t="s">
        <v>2222</v>
      </c>
      <c r="D323" t="s">
        <v>2090</v>
      </c>
      <c r="E323" s="150">
        <v>412</v>
      </c>
      <c r="F323" s="142">
        <v>7500</v>
      </c>
      <c r="G323" s="143">
        <v>6303</v>
      </c>
      <c r="H323" s="144">
        <v>1197</v>
      </c>
      <c r="I323" s="140">
        <v>1</v>
      </c>
      <c r="J323" s="114" t="str">
        <f t="shared" si="4"/>
        <v>INSERT INTO DOCUMENTOS (NRO_DOCUMENTO,FECHA_EMISION,TOTAL_BRUTO,TOTAL_NETO,TOTAL_IVA, ID_TIPO, RUT_EMPLEADO, ID_CLIENTE) VALUES(319,TO_DATE('28-02-2025','DD-MM-YYYY'),7500,6303,1197,1,'14526149-K',412);</v>
      </c>
    </row>
    <row r="324" spans="1:10">
      <c r="A324" s="149"/>
      <c r="B324" s="149">
        <v>320</v>
      </c>
      <c r="C324" s="151" t="s">
        <v>2223</v>
      </c>
      <c r="D324" t="s">
        <v>2090</v>
      </c>
      <c r="E324" s="150">
        <v>119</v>
      </c>
      <c r="F324" s="142">
        <v>33250</v>
      </c>
      <c r="G324" s="143">
        <v>27941</v>
      </c>
      <c r="H324" s="144">
        <v>5309</v>
      </c>
      <c r="I324" s="140">
        <v>1</v>
      </c>
      <c r="J324" s="114" t="str">
        <f t="shared" si="4"/>
        <v>INSERT INTO DOCUMENTOS (NRO_DOCUMENTO,FECHA_EMISION,TOTAL_BRUTO,TOTAL_NETO,TOTAL_IVA, ID_TIPO, RUT_EMPLEADO, ID_CLIENTE) VALUES(320,TO_DATE('01-03-2025','DD-MM-YYYY'),33250,27941,5309,1,'14526149-K',119);</v>
      </c>
    </row>
    <row r="325" spans="1:10">
      <c r="A325" s="149"/>
      <c r="B325" s="149">
        <v>321</v>
      </c>
      <c r="C325" s="118" t="s">
        <v>2223</v>
      </c>
      <c r="D325" t="s">
        <v>2090</v>
      </c>
      <c r="E325" s="150">
        <v>122</v>
      </c>
      <c r="F325" s="142">
        <v>1000</v>
      </c>
      <c r="G325" s="143">
        <v>840</v>
      </c>
      <c r="H325" s="144">
        <v>160</v>
      </c>
      <c r="I325" s="140">
        <v>1</v>
      </c>
      <c r="J325" s="114" t="str">
        <f t="shared" si="4"/>
        <v>INSERT INTO DOCUMENTOS (NRO_DOCUMENTO,FECHA_EMISION,TOTAL_BRUTO,TOTAL_NETO,TOTAL_IVA, ID_TIPO, RUT_EMPLEADO, ID_CLIENTE) VALUES(321,TO_DATE('01-03-2025','DD-MM-YYYY'),1000,840,160,1,'14526149-K',122);</v>
      </c>
    </row>
    <row r="326" spans="1:10">
      <c r="A326" s="149"/>
      <c r="B326" s="149">
        <v>322</v>
      </c>
      <c r="C326" s="118" t="s">
        <v>2223</v>
      </c>
      <c r="D326" t="s">
        <v>2090</v>
      </c>
      <c r="E326" s="150">
        <v>166</v>
      </c>
      <c r="F326" s="142">
        <v>5500</v>
      </c>
      <c r="G326" s="143">
        <v>4622</v>
      </c>
      <c r="H326" s="144">
        <v>878</v>
      </c>
      <c r="I326" s="140">
        <v>1</v>
      </c>
      <c r="J326" s="114" t="str">
        <f t="shared" ref="J326:J389" si="5">CONCATENATE("INSERT INTO DOCUMENTOS (NRO_DOCUMENTO,FECHA_EMISION,TOTAL_BRUTO,TOTAL_NETO,TOTAL_IVA, ID_TIPO, RUT_EMPLEADO, ID_CLIENTE) VALUES(",B326,",","TO_DATE('",C326,"'",",'DD-MM-YYYY'),",F326,",",G326,",",H326,",",I326,",","'",D326,"',",E326,");")</f>
        <v>INSERT INTO DOCUMENTOS (NRO_DOCUMENTO,FECHA_EMISION,TOTAL_BRUTO,TOTAL_NETO,TOTAL_IVA, ID_TIPO, RUT_EMPLEADO, ID_CLIENTE) VALUES(322,TO_DATE('01-03-2025','DD-MM-YYYY'),5500,4622,878,1,'14526149-K',166);</v>
      </c>
    </row>
    <row r="327" spans="1:10">
      <c r="A327" s="149"/>
      <c r="B327" s="149">
        <v>323</v>
      </c>
      <c r="C327" s="118" t="s">
        <v>2223</v>
      </c>
      <c r="D327" t="s">
        <v>2090</v>
      </c>
      <c r="E327" s="150">
        <v>198</v>
      </c>
      <c r="F327" s="142">
        <v>5500</v>
      </c>
      <c r="G327" s="143">
        <v>4622</v>
      </c>
      <c r="H327" s="144">
        <v>878</v>
      </c>
      <c r="I327" s="140">
        <v>1</v>
      </c>
      <c r="J327" s="114" t="str">
        <f t="shared" si="5"/>
        <v>INSERT INTO DOCUMENTOS (NRO_DOCUMENTO,FECHA_EMISION,TOTAL_BRUTO,TOTAL_NETO,TOTAL_IVA, ID_TIPO, RUT_EMPLEADO, ID_CLIENTE) VALUES(323,TO_DATE('01-03-2025','DD-MM-YYYY'),5500,4622,878,1,'14526149-K',198);</v>
      </c>
    </row>
    <row r="328" spans="1:10">
      <c r="A328" s="149"/>
      <c r="B328" s="149">
        <v>324</v>
      </c>
      <c r="C328" s="118" t="s">
        <v>2223</v>
      </c>
      <c r="D328" t="s">
        <v>2090</v>
      </c>
      <c r="E328" s="150">
        <v>227</v>
      </c>
      <c r="F328" s="142">
        <v>5500</v>
      </c>
      <c r="G328" s="143">
        <v>4622</v>
      </c>
      <c r="H328" s="144">
        <v>878</v>
      </c>
      <c r="I328" s="140">
        <v>1</v>
      </c>
      <c r="J328" s="114" t="str">
        <f t="shared" si="5"/>
        <v>INSERT INTO DOCUMENTOS (NRO_DOCUMENTO,FECHA_EMISION,TOTAL_BRUTO,TOTAL_NETO,TOTAL_IVA, ID_TIPO, RUT_EMPLEADO, ID_CLIENTE) VALUES(324,TO_DATE('01-03-2025','DD-MM-YYYY'),5500,4622,878,1,'14526149-K',227);</v>
      </c>
    </row>
    <row r="329" spans="1:10">
      <c r="A329" s="149"/>
      <c r="B329" s="149">
        <v>325</v>
      </c>
      <c r="C329" s="118" t="s">
        <v>2223</v>
      </c>
      <c r="D329" t="s">
        <v>2090</v>
      </c>
      <c r="E329" s="150">
        <v>312</v>
      </c>
      <c r="F329" s="142">
        <v>7600</v>
      </c>
      <c r="G329" s="143">
        <v>6387</v>
      </c>
      <c r="H329" s="144">
        <v>1213</v>
      </c>
      <c r="I329" s="140">
        <v>1</v>
      </c>
      <c r="J329" s="114" t="str">
        <f t="shared" si="5"/>
        <v>INSERT INTO DOCUMENTOS (NRO_DOCUMENTO,FECHA_EMISION,TOTAL_BRUTO,TOTAL_NETO,TOTAL_IVA, ID_TIPO, RUT_EMPLEADO, ID_CLIENTE) VALUES(325,TO_DATE('01-03-2025','DD-MM-YYYY'),7600,6387,1213,1,'14526149-K',312);</v>
      </c>
    </row>
    <row r="330" spans="1:10">
      <c r="A330" s="149"/>
      <c r="B330" s="149">
        <v>326</v>
      </c>
      <c r="C330" s="118" t="s">
        <v>2223</v>
      </c>
      <c r="D330" t="s">
        <v>2090</v>
      </c>
      <c r="E330" s="150">
        <v>345</v>
      </c>
      <c r="F330" s="142">
        <v>48390</v>
      </c>
      <c r="G330" s="143">
        <v>40664</v>
      </c>
      <c r="H330" s="144">
        <v>7726</v>
      </c>
      <c r="I330" s="140">
        <v>1</v>
      </c>
      <c r="J330" s="114" t="str">
        <f t="shared" si="5"/>
        <v>INSERT INTO DOCUMENTOS (NRO_DOCUMENTO,FECHA_EMISION,TOTAL_BRUTO,TOTAL_NETO,TOTAL_IVA, ID_TIPO, RUT_EMPLEADO, ID_CLIENTE) VALUES(326,TO_DATE('01-03-2025','DD-MM-YYYY'),48390,40664,7726,1,'14526149-K',345);</v>
      </c>
    </row>
    <row r="331" spans="1:10">
      <c r="A331" s="149"/>
      <c r="B331" s="149">
        <v>327</v>
      </c>
      <c r="C331" s="118" t="s">
        <v>2223</v>
      </c>
      <c r="D331" t="s">
        <v>2090</v>
      </c>
      <c r="E331" s="150">
        <v>360</v>
      </c>
      <c r="F331" s="142">
        <v>17500</v>
      </c>
      <c r="G331" s="143">
        <v>14706</v>
      </c>
      <c r="H331" s="144">
        <v>2794</v>
      </c>
      <c r="I331" s="140">
        <v>1</v>
      </c>
      <c r="J331" s="114" t="str">
        <f t="shared" si="5"/>
        <v>INSERT INTO DOCUMENTOS (NRO_DOCUMENTO,FECHA_EMISION,TOTAL_BRUTO,TOTAL_NETO,TOTAL_IVA, ID_TIPO, RUT_EMPLEADO, ID_CLIENTE) VALUES(327,TO_DATE('01-03-2025','DD-MM-YYYY'),17500,14706,2794,1,'14526149-K',360);</v>
      </c>
    </row>
    <row r="332" spans="1:10">
      <c r="A332" s="149"/>
      <c r="B332" s="149">
        <v>328</v>
      </c>
      <c r="C332" s="118" t="s">
        <v>2223</v>
      </c>
      <c r="D332" t="s">
        <v>2090</v>
      </c>
      <c r="E332" s="150">
        <v>393</v>
      </c>
      <c r="F332" s="142">
        <v>2000</v>
      </c>
      <c r="G332" s="143">
        <v>1681</v>
      </c>
      <c r="H332" s="144">
        <v>319</v>
      </c>
      <c r="I332" s="140">
        <v>1</v>
      </c>
      <c r="J332" s="114" t="str">
        <f t="shared" si="5"/>
        <v>INSERT INTO DOCUMENTOS (NRO_DOCUMENTO,FECHA_EMISION,TOTAL_BRUTO,TOTAL_NETO,TOTAL_IVA, ID_TIPO, RUT_EMPLEADO, ID_CLIENTE) VALUES(328,TO_DATE('01-03-2025','DD-MM-YYYY'),2000,1681,319,1,'14526149-K',393);</v>
      </c>
    </row>
    <row r="333" spans="1:10">
      <c r="A333" s="149"/>
      <c r="B333" s="149">
        <v>329</v>
      </c>
      <c r="C333" s="118" t="s">
        <v>2223</v>
      </c>
      <c r="D333" t="s">
        <v>2090</v>
      </c>
      <c r="E333" s="150">
        <v>407</v>
      </c>
      <c r="F333" s="142">
        <v>18300</v>
      </c>
      <c r="G333" s="143">
        <v>15379</v>
      </c>
      <c r="H333" s="144">
        <v>2921</v>
      </c>
      <c r="I333" s="140">
        <v>1</v>
      </c>
      <c r="J333" s="114" t="str">
        <f t="shared" si="5"/>
        <v>INSERT INTO DOCUMENTOS (NRO_DOCUMENTO,FECHA_EMISION,TOTAL_BRUTO,TOTAL_NETO,TOTAL_IVA, ID_TIPO, RUT_EMPLEADO, ID_CLIENTE) VALUES(329,TO_DATE('01-03-2025','DD-MM-YYYY'),18300,15379,2921,1,'14526149-K',407);</v>
      </c>
    </row>
    <row r="334" spans="1:10">
      <c r="A334" s="149"/>
      <c r="B334" s="149">
        <v>330</v>
      </c>
      <c r="C334" s="118" t="s">
        <v>2223</v>
      </c>
      <c r="D334" t="s">
        <v>2090</v>
      </c>
      <c r="E334" s="150">
        <v>427</v>
      </c>
      <c r="F334" s="142">
        <v>21000</v>
      </c>
      <c r="G334" s="143">
        <v>17647</v>
      </c>
      <c r="H334" s="144">
        <v>3353</v>
      </c>
      <c r="I334" s="140">
        <v>1</v>
      </c>
      <c r="J334" s="114" t="str">
        <f t="shared" si="5"/>
        <v>INSERT INTO DOCUMENTOS (NRO_DOCUMENTO,FECHA_EMISION,TOTAL_BRUTO,TOTAL_NETO,TOTAL_IVA, ID_TIPO, RUT_EMPLEADO, ID_CLIENTE) VALUES(330,TO_DATE('01-03-2025','DD-MM-YYYY'),21000,17647,3353,1,'14526149-K',427);</v>
      </c>
    </row>
    <row r="335" spans="1:10">
      <c r="A335" s="149"/>
      <c r="B335" s="149">
        <v>331</v>
      </c>
      <c r="C335" s="118" t="s">
        <v>2223</v>
      </c>
      <c r="D335" t="s">
        <v>2090</v>
      </c>
      <c r="E335" s="150">
        <v>446</v>
      </c>
      <c r="F335" s="142">
        <v>8500</v>
      </c>
      <c r="G335" s="143">
        <v>7143</v>
      </c>
      <c r="H335" s="144">
        <v>1357</v>
      </c>
      <c r="I335" s="140">
        <v>1</v>
      </c>
      <c r="J335" s="114" t="str">
        <f t="shared" si="5"/>
        <v>INSERT INTO DOCUMENTOS (NRO_DOCUMENTO,FECHA_EMISION,TOTAL_BRUTO,TOTAL_NETO,TOTAL_IVA, ID_TIPO, RUT_EMPLEADO, ID_CLIENTE) VALUES(331,TO_DATE('01-03-2025','DD-MM-YYYY'),8500,7143,1357,1,'14526149-K',446);</v>
      </c>
    </row>
    <row r="336" spans="1:10">
      <c r="A336" s="149"/>
      <c r="B336" s="149">
        <v>332</v>
      </c>
      <c r="C336" s="118" t="s">
        <v>2223</v>
      </c>
      <c r="D336" t="s">
        <v>2090</v>
      </c>
      <c r="E336" s="150">
        <v>451</v>
      </c>
      <c r="F336" s="142">
        <v>5500</v>
      </c>
      <c r="G336" s="143">
        <v>4622</v>
      </c>
      <c r="H336" s="144">
        <v>878</v>
      </c>
      <c r="I336" s="140">
        <v>1</v>
      </c>
      <c r="J336" s="114" t="str">
        <f t="shared" si="5"/>
        <v>INSERT INTO DOCUMENTOS (NRO_DOCUMENTO,FECHA_EMISION,TOTAL_BRUTO,TOTAL_NETO,TOTAL_IVA, ID_TIPO, RUT_EMPLEADO, ID_CLIENTE) VALUES(332,TO_DATE('01-03-2025','DD-MM-YYYY'),5500,4622,878,1,'14526149-K',451);</v>
      </c>
    </row>
    <row r="337" spans="1:10">
      <c r="A337" s="149"/>
      <c r="B337" s="149">
        <v>333</v>
      </c>
      <c r="C337" s="151" t="s">
        <v>2224</v>
      </c>
      <c r="D337" t="s">
        <v>2090</v>
      </c>
      <c r="E337" s="150">
        <v>78</v>
      </c>
      <c r="F337" s="142">
        <v>31300</v>
      </c>
      <c r="G337" s="143">
        <v>26303</v>
      </c>
      <c r="H337" s="144">
        <v>4997</v>
      </c>
      <c r="I337" s="140">
        <v>1</v>
      </c>
      <c r="J337" s="114" t="str">
        <f t="shared" si="5"/>
        <v>INSERT INTO DOCUMENTOS (NRO_DOCUMENTO,FECHA_EMISION,TOTAL_BRUTO,TOTAL_NETO,TOTAL_IVA, ID_TIPO, RUT_EMPLEADO, ID_CLIENTE) VALUES(333,TO_DATE('02-03-2025','DD-MM-YYYY'),31300,26303,4997,1,'14526149-K',78);</v>
      </c>
    </row>
    <row r="338" spans="1:10">
      <c r="A338" s="149"/>
      <c r="B338" s="149">
        <v>334</v>
      </c>
      <c r="C338" s="118" t="s">
        <v>2224</v>
      </c>
      <c r="D338" t="s">
        <v>2090</v>
      </c>
      <c r="E338" s="150">
        <v>230</v>
      </c>
      <c r="F338" s="142">
        <v>3000</v>
      </c>
      <c r="G338" s="143">
        <v>2521</v>
      </c>
      <c r="H338" s="144">
        <v>479</v>
      </c>
      <c r="I338" s="140">
        <v>1</v>
      </c>
      <c r="J338" s="114" t="str">
        <f t="shared" si="5"/>
        <v>INSERT INTO DOCUMENTOS (NRO_DOCUMENTO,FECHA_EMISION,TOTAL_BRUTO,TOTAL_NETO,TOTAL_IVA, ID_TIPO, RUT_EMPLEADO, ID_CLIENTE) VALUES(334,TO_DATE('02-03-2025','DD-MM-YYYY'),3000,2521,479,1,'14526149-K',230);</v>
      </c>
    </row>
    <row r="339" spans="1:10">
      <c r="A339" s="149"/>
      <c r="B339" s="149">
        <v>335</v>
      </c>
      <c r="C339" s="118" t="s">
        <v>2224</v>
      </c>
      <c r="D339" t="s">
        <v>2090</v>
      </c>
      <c r="E339" s="150">
        <v>451</v>
      </c>
      <c r="F339" s="142">
        <v>6500</v>
      </c>
      <c r="G339" s="143">
        <v>5462</v>
      </c>
      <c r="H339" s="144">
        <v>1038</v>
      </c>
      <c r="I339" s="140">
        <v>1</v>
      </c>
      <c r="J339" s="114" t="str">
        <f t="shared" si="5"/>
        <v>INSERT INTO DOCUMENTOS (NRO_DOCUMENTO,FECHA_EMISION,TOTAL_BRUTO,TOTAL_NETO,TOTAL_IVA, ID_TIPO, RUT_EMPLEADO, ID_CLIENTE) VALUES(335,TO_DATE('02-03-2025','DD-MM-YYYY'),6500,5462,1038,1,'14526149-K',451);</v>
      </c>
    </row>
    <row r="340" spans="1:10">
      <c r="A340" s="149"/>
      <c r="B340" s="149">
        <v>336</v>
      </c>
      <c r="C340" s="151" t="s">
        <v>2225</v>
      </c>
      <c r="D340" t="s">
        <v>2090</v>
      </c>
      <c r="E340" s="150">
        <v>63</v>
      </c>
      <c r="F340" s="142">
        <v>7600</v>
      </c>
      <c r="G340" s="143">
        <v>6387</v>
      </c>
      <c r="H340" s="144">
        <v>1213</v>
      </c>
      <c r="I340" s="140">
        <v>1</v>
      </c>
      <c r="J340" s="114" t="str">
        <f t="shared" si="5"/>
        <v>INSERT INTO DOCUMENTOS (NRO_DOCUMENTO,FECHA_EMISION,TOTAL_BRUTO,TOTAL_NETO,TOTAL_IVA, ID_TIPO, RUT_EMPLEADO, ID_CLIENTE) VALUES(336,TO_DATE('03-03-2025','DD-MM-YYYY'),7600,6387,1213,1,'14526149-K',63);</v>
      </c>
    </row>
    <row r="341" spans="1:10">
      <c r="A341" s="149"/>
      <c r="B341" s="149">
        <v>337</v>
      </c>
      <c r="C341" s="118" t="s">
        <v>2225</v>
      </c>
      <c r="D341" t="s">
        <v>2090</v>
      </c>
      <c r="E341" s="150">
        <v>122</v>
      </c>
      <c r="F341" s="142">
        <v>8200</v>
      </c>
      <c r="G341" s="143">
        <v>6891</v>
      </c>
      <c r="H341" s="144">
        <v>1309</v>
      </c>
      <c r="I341" s="140">
        <v>1</v>
      </c>
      <c r="J341" s="114" t="str">
        <f t="shared" si="5"/>
        <v>INSERT INTO DOCUMENTOS (NRO_DOCUMENTO,FECHA_EMISION,TOTAL_BRUTO,TOTAL_NETO,TOTAL_IVA, ID_TIPO, RUT_EMPLEADO, ID_CLIENTE) VALUES(337,TO_DATE('03-03-2025','DD-MM-YYYY'),8200,6891,1309,1,'14526149-K',122);</v>
      </c>
    </row>
    <row r="342" spans="1:10">
      <c r="A342" s="149"/>
      <c r="B342" s="149">
        <v>338</v>
      </c>
      <c r="C342" s="118" t="s">
        <v>2225</v>
      </c>
      <c r="D342" t="s">
        <v>2090</v>
      </c>
      <c r="E342" s="150">
        <v>202</v>
      </c>
      <c r="F342" s="142">
        <v>4000</v>
      </c>
      <c r="G342" s="143">
        <v>3361</v>
      </c>
      <c r="H342" s="144">
        <v>639</v>
      </c>
      <c r="I342" s="140">
        <v>1</v>
      </c>
      <c r="J342" s="114" t="str">
        <f t="shared" si="5"/>
        <v>INSERT INTO DOCUMENTOS (NRO_DOCUMENTO,FECHA_EMISION,TOTAL_BRUTO,TOTAL_NETO,TOTAL_IVA, ID_TIPO, RUT_EMPLEADO, ID_CLIENTE) VALUES(338,TO_DATE('03-03-2025','DD-MM-YYYY'),4000,3361,639,1,'14526149-K',202);</v>
      </c>
    </row>
    <row r="343" spans="1:10">
      <c r="A343" s="149"/>
      <c r="B343" s="149">
        <v>339</v>
      </c>
      <c r="C343" s="118" t="s">
        <v>2225</v>
      </c>
      <c r="D343" t="s">
        <v>2090</v>
      </c>
      <c r="E343" s="150">
        <v>207</v>
      </c>
      <c r="F343" s="142">
        <v>18000</v>
      </c>
      <c r="G343" s="143">
        <v>15126</v>
      </c>
      <c r="H343" s="144">
        <v>2874</v>
      </c>
      <c r="I343" s="140">
        <v>1</v>
      </c>
      <c r="J343" s="114" t="str">
        <f t="shared" si="5"/>
        <v>INSERT INTO DOCUMENTOS (NRO_DOCUMENTO,FECHA_EMISION,TOTAL_BRUTO,TOTAL_NETO,TOTAL_IVA, ID_TIPO, RUT_EMPLEADO, ID_CLIENTE) VALUES(339,TO_DATE('03-03-2025','DD-MM-YYYY'),18000,15126,2874,1,'14526149-K',207);</v>
      </c>
    </row>
    <row r="344" spans="1:10">
      <c r="A344" s="149"/>
      <c r="B344" s="149">
        <v>340</v>
      </c>
      <c r="C344" s="118" t="s">
        <v>2225</v>
      </c>
      <c r="D344" t="s">
        <v>2090</v>
      </c>
      <c r="E344" s="150">
        <v>300</v>
      </c>
      <c r="F344" s="142">
        <v>10600</v>
      </c>
      <c r="G344" s="143">
        <v>8908</v>
      </c>
      <c r="H344" s="144">
        <v>1692</v>
      </c>
      <c r="I344" s="140">
        <v>1</v>
      </c>
      <c r="J344" s="114" t="str">
        <f t="shared" si="5"/>
        <v>INSERT INTO DOCUMENTOS (NRO_DOCUMENTO,FECHA_EMISION,TOTAL_BRUTO,TOTAL_NETO,TOTAL_IVA, ID_TIPO, RUT_EMPLEADO, ID_CLIENTE) VALUES(340,TO_DATE('03-03-2025','DD-MM-YYYY'),10600,8908,1692,1,'14526149-K',300);</v>
      </c>
    </row>
    <row r="345" spans="1:10">
      <c r="A345" s="149"/>
      <c r="B345" s="149">
        <v>341</v>
      </c>
      <c r="C345" s="118" t="s">
        <v>2225</v>
      </c>
      <c r="D345" t="s">
        <v>2090</v>
      </c>
      <c r="E345" s="150">
        <v>353</v>
      </c>
      <c r="F345" s="142">
        <v>19000</v>
      </c>
      <c r="G345" s="143">
        <v>15966</v>
      </c>
      <c r="H345" s="144">
        <v>3034</v>
      </c>
      <c r="I345" s="140">
        <v>1</v>
      </c>
      <c r="J345" s="114" t="str">
        <f t="shared" si="5"/>
        <v>INSERT INTO DOCUMENTOS (NRO_DOCUMENTO,FECHA_EMISION,TOTAL_BRUTO,TOTAL_NETO,TOTAL_IVA, ID_TIPO, RUT_EMPLEADO, ID_CLIENTE) VALUES(341,TO_DATE('03-03-2025','DD-MM-YYYY'),19000,15966,3034,1,'14526149-K',353);</v>
      </c>
    </row>
    <row r="346" spans="1:10">
      <c r="A346" s="149"/>
      <c r="B346" s="149">
        <v>342</v>
      </c>
      <c r="C346" s="118" t="s">
        <v>2225</v>
      </c>
      <c r="D346" t="s">
        <v>2090</v>
      </c>
      <c r="E346" s="150">
        <v>382</v>
      </c>
      <c r="F346" s="142">
        <v>7600</v>
      </c>
      <c r="G346" s="143">
        <v>6387</v>
      </c>
      <c r="H346" s="144">
        <v>1213</v>
      </c>
      <c r="I346" s="140">
        <v>1</v>
      </c>
      <c r="J346" s="114" t="str">
        <f t="shared" si="5"/>
        <v>INSERT INTO DOCUMENTOS (NRO_DOCUMENTO,FECHA_EMISION,TOTAL_BRUTO,TOTAL_NETO,TOTAL_IVA, ID_TIPO, RUT_EMPLEADO, ID_CLIENTE) VALUES(342,TO_DATE('03-03-2025','DD-MM-YYYY'),7600,6387,1213,1,'14526149-K',382);</v>
      </c>
    </row>
    <row r="347" spans="1:10">
      <c r="A347" s="149"/>
      <c r="B347" s="149">
        <v>343</v>
      </c>
      <c r="C347" s="118" t="s">
        <v>2225</v>
      </c>
      <c r="D347" t="s">
        <v>2090</v>
      </c>
      <c r="E347" s="150">
        <v>402</v>
      </c>
      <c r="F347" s="142">
        <v>7600</v>
      </c>
      <c r="G347" s="143">
        <v>6387</v>
      </c>
      <c r="H347" s="144">
        <v>1213</v>
      </c>
      <c r="I347" s="140">
        <v>1</v>
      </c>
      <c r="J347" s="114" t="str">
        <f t="shared" si="5"/>
        <v>INSERT INTO DOCUMENTOS (NRO_DOCUMENTO,FECHA_EMISION,TOTAL_BRUTO,TOTAL_NETO,TOTAL_IVA, ID_TIPO, RUT_EMPLEADO, ID_CLIENTE) VALUES(343,TO_DATE('03-03-2025','DD-MM-YYYY'),7600,6387,1213,1,'14526149-K',402);</v>
      </c>
    </row>
    <row r="348" spans="1:10">
      <c r="A348" s="149"/>
      <c r="B348" s="149">
        <v>344</v>
      </c>
      <c r="C348" s="151" t="s">
        <v>2226</v>
      </c>
      <c r="D348" t="s">
        <v>2090</v>
      </c>
      <c r="E348" s="150">
        <v>166</v>
      </c>
      <c r="F348" s="142">
        <v>3500</v>
      </c>
      <c r="G348" s="143">
        <v>2941</v>
      </c>
      <c r="H348" s="144">
        <v>559</v>
      </c>
      <c r="I348" s="140">
        <v>1</v>
      </c>
      <c r="J348" s="114" t="str">
        <f t="shared" si="5"/>
        <v>INSERT INTO DOCUMENTOS (NRO_DOCUMENTO,FECHA_EMISION,TOTAL_BRUTO,TOTAL_NETO,TOTAL_IVA, ID_TIPO, RUT_EMPLEADO, ID_CLIENTE) VALUES(344,TO_DATE('04-03-2025','DD-MM-YYYY'),3500,2941,559,1,'14526149-K',166);</v>
      </c>
    </row>
    <row r="349" spans="1:10">
      <c r="A349" s="149"/>
      <c r="B349" s="149">
        <v>345</v>
      </c>
      <c r="C349" s="118" t="s">
        <v>2226</v>
      </c>
      <c r="D349" t="s">
        <v>2090</v>
      </c>
      <c r="E349" s="150">
        <v>219</v>
      </c>
      <c r="F349" s="142">
        <v>19990</v>
      </c>
      <c r="G349" s="143">
        <v>16798</v>
      </c>
      <c r="H349" s="144">
        <v>3192</v>
      </c>
      <c r="I349" s="140">
        <v>1</v>
      </c>
      <c r="J349" s="114" t="str">
        <f t="shared" si="5"/>
        <v>INSERT INTO DOCUMENTOS (NRO_DOCUMENTO,FECHA_EMISION,TOTAL_BRUTO,TOTAL_NETO,TOTAL_IVA, ID_TIPO, RUT_EMPLEADO, ID_CLIENTE) VALUES(345,TO_DATE('04-03-2025','DD-MM-YYYY'),19990,16798,3192,1,'14526149-K',219);</v>
      </c>
    </row>
    <row r="350" spans="1:10">
      <c r="A350" s="149"/>
      <c r="B350" s="149">
        <v>346</v>
      </c>
      <c r="C350" s="118" t="s">
        <v>2226</v>
      </c>
      <c r="D350" t="s">
        <v>2090</v>
      </c>
      <c r="E350" s="150">
        <v>315</v>
      </c>
      <c r="F350" s="142">
        <v>7600</v>
      </c>
      <c r="G350" s="143">
        <v>6387</v>
      </c>
      <c r="H350" s="144">
        <v>1213</v>
      </c>
      <c r="I350" s="140">
        <v>1</v>
      </c>
      <c r="J350" s="114" t="str">
        <f t="shared" si="5"/>
        <v>INSERT INTO DOCUMENTOS (NRO_DOCUMENTO,FECHA_EMISION,TOTAL_BRUTO,TOTAL_NETO,TOTAL_IVA, ID_TIPO, RUT_EMPLEADO, ID_CLIENTE) VALUES(346,TO_DATE('04-03-2025','DD-MM-YYYY'),7600,6387,1213,1,'14526149-K',315);</v>
      </c>
    </row>
    <row r="351" spans="1:10">
      <c r="A351" s="149"/>
      <c r="B351" s="149">
        <v>347</v>
      </c>
      <c r="C351" s="118" t="s">
        <v>2226</v>
      </c>
      <c r="D351" t="s">
        <v>2090</v>
      </c>
      <c r="E351" s="150">
        <v>393</v>
      </c>
      <c r="F351" s="142">
        <v>3500</v>
      </c>
      <c r="G351" s="143">
        <v>2941</v>
      </c>
      <c r="H351" s="144">
        <v>559</v>
      </c>
      <c r="I351" s="140">
        <v>1</v>
      </c>
      <c r="J351" s="114" t="str">
        <f t="shared" si="5"/>
        <v>INSERT INTO DOCUMENTOS (NRO_DOCUMENTO,FECHA_EMISION,TOTAL_BRUTO,TOTAL_NETO,TOTAL_IVA, ID_TIPO, RUT_EMPLEADO, ID_CLIENTE) VALUES(347,TO_DATE('04-03-2025','DD-MM-YYYY'),3500,2941,559,1,'14526149-K',393);</v>
      </c>
    </row>
    <row r="352" spans="1:10">
      <c r="A352" s="149"/>
      <c r="B352" s="149">
        <v>348</v>
      </c>
      <c r="C352" s="118" t="s">
        <v>2226</v>
      </c>
      <c r="D352" t="s">
        <v>2090</v>
      </c>
      <c r="E352" s="150">
        <v>418</v>
      </c>
      <c r="F352" s="142">
        <v>7600</v>
      </c>
      <c r="G352" s="143">
        <v>6387</v>
      </c>
      <c r="H352" s="144">
        <v>1213</v>
      </c>
      <c r="I352" s="140">
        <v>1</v>
      </c>
      <c r="J352" s="114" t="str">
        <f t="shared" si="5"/>
        <v>INSERT INTO DOCUMENTOS (NRO_DOCUMENTO,FECHA_EMISION,TOTAL_BRUTO,TOTAL_NETO,TOTAL_IVA, ID_TIPO, RUT_EMPLEADO, ID_CLIENTE) VALUES(348,TO_DATE('04-03-2025','DD-MM-YYYY'),7600,6387,1213,1,'14526149-K',418);</v>
      </c>
    </row>
    <row r="353" spans="1:10">
      <c r="A353" s="149"/>
      <c r="B353" s="149">
        <v>349</v>
      </c>
      <c r="C353" s="151" t="s">
        <v>2227</v>
      </c>
      <c r="D353" t="s">
        <v>2090</v>
      </c>
      <c r="E353" s="150">
        <v>89</v>
      </c>
      <c r="F353" s="142">
        <v>36000</v>
      </c>
      <c r="G353" s="143">
        <v>30252</v>
      </c>
      <c r="H353" s="144">
        <v>5748</v>
      </c>
      <c r="I353" s="140">
        <v>1</v>
      </c>
      <c r="J353" s="114" t="str">
        <f t="shared" si="5"/>
        <v>INSERT INTO DOCUMENTOS (NRO_DOCUMENTO,FECHA_EMISION,TOTAL_BRUTO,TOTAL_NETO,TOTAL_IVA, ID_TIPO, RUT_EMPLEADO, ID_CLIENTE) VALUES(349,TO_DATE('05-03-2025','DD-MM-YYYY'),36000,30252,5748,1,'14526149-K',89);</v>
      </c>
    </row>
    <row r="354" spans="1:10">
      <c r="A354" s="149"/>
      <c r="B354" s="150">
        <v>350</v>
      </c>
      <c r="C354" s="118" t="s">
        <v>2227</v>
      </c>
      <c r="D354" t="s">
        <v>2090</v>
      </c>
      <c r="E354" s="150">
        <v>111</v>
      </c>
      <c r="F354" s="142">
        <v>15500</v>
      </c>
      <c r="G354" s="143">
        <v>13025</v>
      </c>
      <c r="H354" s="144">
        <v>2475</v>
      </c>
      <c r="I354" s="140">
        <v>1</v>
      </c>
      <c r="J354" s="114" t="str">
        <f t="shared" si="5"/>
        <v>INSERT INTO DOCUMENTOS (NRO_DOCUMENTO,FECHA_EMISION,TOTAL_BRUTO,TOTAL_NETO,TOTAL_IVA, ID_TIPO, RUT_EMPLEADO, ID_CLIENTE) VALUES(350,TO_DATE('05-03-2025','DD-MM-YYYY'),15500,13025,2475,1,'14526149-K',111);</v>
      </c>
    </row>
    <row r="355" spans="1:10">
      <c r="A355" s="149"/>
      <c r="B355" s="149">
        <v>351</v>
      </c>
      <c r="C355" s="118" t="s">
        <v>2227</v>
      </c>
      <c r="D355" t="s">
        <v>2090</v>
      </c>
      <c r="E355" s="150">
        <v>405</v>
      </c>
      <c r="F355" s="142">
        <v>25490</v>
      </c>
      <c r="G355" s="143">
        <v>21420</v>
      </c>
      <c r="H355" s="144">
        <v>4070</v>
      </c>
      <c r="I355" s="140">
        <v>1</v>
      </c>
      <c r="J355" s="114" t="str">
        <f t="shared" si="5"/>
        <v>INSERT INTO DOCUMENTOS (NRO_DOCUMENTO,FECHA_EMISION,TOTAL_BRUTO,TOTAL_NETO,TOTAL_IVA, ID_TIPO, RUT_EMPLEADO, ID_CLIENTE) VALUES(351,TO_DATE('05-03-2025','DD-MM-YYYY'),25490,21420,4070,1,'14526149-K',405);</v>
      </c>
    </row>
    <row r="356" spans="1:10">
      <c r="A356" s="149"/>
      <c r="B356" s="149">
        <v>352</v>
      </c>
      <c r="C356" s="118" t="s">
        <v>2227</v>
      </c>
      <c r="D356" t="s">
        <v>2090</v>
      </c>
      <c r="E356" s="150">
        <v>411</v>
      </c>
      <c r="F356" s="142">
        <v>10000</v>
      </c>
      <c r="G356" s="143">
        <v>8403</v>
      </c>
      <c r="H356" s="144">
        <v>1597</v>
      </c>
      <c r="I356" s="140">
        <v>1</v>
      </c>
      <c r="J356" s="114" t="str">
        <f t="shared" si="5"/>
        <v>INSERT INTO DOCUMENTOS (NRO_DOCUMENTO,FECHA_EMISION,TOTAL_BRUTO,TOTAL_NETO,TOTAL_IVA, ID_TIPO, RUT_EMPLEADO, ID_CLIENTE) VALUES(352,TO_DATE('05-03-2025','DD-MM-YYYY'),10000,8403,1597,1,'14526149-K',411);</v>
      </c>
    </row>
    <row r="357" spans="1:10">
      <c r="A357" s="149"/>
      <c r="B357" s="149">
        <v>353</v>
      </c>
      <c r="C357" s="151" t="s">
        <v>2228</v>
      </c>
      <c r="D357" t="s">
        <v>2090</v>
      </c>
      <c r="E357" s="150">
        <v>53</v>
      </c>
      <c r="F357" s="142">
        <v>5200</v>
      </c>
      <c r="G357" s="143">
        <v>4369</v>
      </c>
      <c r="H357" s="144">
        <v>831</v>
      </c>
      <c r="I357" s="140">
        <v>1</v>
      </c>
      <c r="J357" s="114" t="str">
        <f t="shared" si="5"/>
        <v>INSERT INTO DOCUMENTOS (NRO_DOCUMENTO,FECHA_EMISION,TOTAL_BRUTO,TOTAL_NETO,TOTAL_IVA, ID_TIPO, RUT_EMPLEADO, ID_CLIENTE) VALUES(353,TO_DATE('06-03-2025','DD-MM-YYYY'),5200,4369,831,1,'14526149-K',53);</v>
      </c>
    </row>
    <row r="358" spans="1:10">
      <c r="A358" s="149"/>
      <c r="B358" s="149">
        <v>354</v>
      </c>
      <c r="C358" s="118" t="s">
        <v>2228</v>
      </c>
      <c r="D358" t="s">
        <v>2090</v>
      </c>
      <c r="E358" s="150">
        <v>84</v>
      </c>
      <c r="F358" s="142">
        <v>3500</v>
      </c>
      <c r="G358" s="143">
        <v>2941</v>
      </c>
      <c r="H358" s="144">
        <v>559</v>
      </c>
      <c r="I358" s="140">
        <v>1</v>
      </c>
      <c r="J358" s="114" t="str">
        <f t="shared" si="5"/>
        <v>INSERT INTO DOCUMENTOS (NRO_DOCUMENTO,FECHA_EMISION,TOTAL_BRUTO,TOTAL_NETO,TOTAL_IVA, ID_TIPO, RUT_EMPLEADO, ID_CLIENTE) VALUES(354,TO_DATE('06-03-2025','DD-MM-YYYY'),3500,2941,559,1,'14526149-K',84);</v>
      </c>
    </row>
    <row r="359" spans="1:10">
      <c r="A359" s="149"/>
      <c r="B359" s="149">
        <v>355</v>
      </c>
      <c r="C359" s="118" t="s">
        <v>2228</v>
      </c>
      <c r="D359" t="s">
        <v>2090</v>
      </c>
      <c r="E359" s="150">
        <v>166</v>
      </c>
      <c r="F359" s="142">
        <v>5500</v>
      </c>
      <c r="G359" s="143">
        <v>4622</v>
      </c>
      <c r="H359" s="144">
        <v>878</v>
      </c>
      <c r="I359" s="140">
        <v>1</v>
      </c>
      <c r="J359" s="114" t="str">
        <f t="shared" si="5"/>
        <v>INSERT INTO DOCUMENTOS (NRO_DOCUMENTO,FECHA_EMISION,TOTAL_BRUTO,TOTAL_NETO,TOTAL_IVA, ID_TIPO, RUT_EMPLEADO, ID_CLIENTE) VALUES(355,TO_DATE('06-03-2025','DD-MM-YYYY'),5500,4622,878,1,'14526149-K',166);</v>
      </c>
    </row>
    <row r="360" spans="1:10">
      <c r="A360" s="149"/>
      <c r="B360" s="149">
        <v>356</v>
      </c>
      <c r="C360" s="118" t="s">
        <v>2228</v>
      </c>
      <c r="D360" t="s">
        <v>2090</v>
      </c>
      <c r="E360" s="150">
        <v>202</v>
      </c>
      <c r="F360" s="142">
        <v>7600</v>
      </c>
      <c r="G360" s="143">
        <v>6387</v>
      </c>
      <c r="H360" s="144">
        <v>1213</v>
      </c>
      <c r="I360" s="140">
        <v>1</v>
      </c>
      <c r="J360" s="114" t="str">
        <f t="shared" si="5"/>
        <v>INSERT INTO DOCUMENTOS (NRO_DOCUMENTO,FECHA_EMISION,TOTAL_BRUTO,TOTAL_NETO,TOTAL_IVA, ID_TIPO, RUT_EMPLEADO, ID_CLIENTE) VALUES(356,TO_DATE('06-03-2025','DD-MM-YYYY'),7600,6387,1213,1,'14526149-K',202);</v>
      </c>
    </row>
    <row r="361" spans="1:10">
      <c r="A361" s="149"/>
      <c r="B361" s="149">
        <v>357</v>
      </c>
      <c r="C361" s="118" t="s">
        <v>2228</v>
      </c>
      <c r="D361" t="s">
        <v>2090</v>
      </c>
      <c r="E361" s="150">
        <v>206</v>
      </c>
      <c r="F361" s="142">
        <v>7600</v>
      </c>
      <c r="G361" s="143">
        <v>6387</v>
      </c>
      <c r="H361" s="144">
        <v>1213</v>
      </c>
      <c r="I361" s="140">
        <v>1</v>
      </c>
      <c r="J361" s="114" t="str">
        <f t="shared" si="5"/>
        <v>INSERT INTO DOCUMENTOS (NRO_DOCUMENTO,FECHA_EMISION,TOTAL_BRUTO,TOTAL_NETO,TOTAL_IVA, ID_TIPO, RUT_EMPLEADO, ID_CLIENTE) VALUES(357,TO_DATE('06-03-2025','DD-MM-YYYY'),7600,6387,1213,1,'14526149-K',206);</v>
      </c>
    </row>
    <row r="362" spans="1:10">
      <c r="A362" s="149"/>
      <c r="B362" s="149">
        <v>358</v>
      </c>
      <c r="C362" s="118" t="s">
        <v>2228</v>
      </c>
      <c r="D362" t="s">
        <v>2090</v>
      </c>
      <c r="E362" s="150">
        <v>242</v>
      </c>
      <c r="F362" s="142">
        <v>7600</v>
      </c>
      <c r="G362" s="143">
        <v>6387</v>
      </c>
      <c r="H362" s="144">
        <v>1213</v>
      </c>
      <c r="I362" s="140">
        <v>1</v>
      </c>
      <c r="J362" s="114" t="str">
        <f t="shared" si="5"/>
        <v>INSERT INTO DOCUMENTOS (NRO_DOCUMENTO,FECHA_EMISION,TOTAL_BRUTO,TOTAL_NETO,TOTAL_IVA, ID_TIPO, RUT_EMPLEADO, ID_CLIENTE) VALUES(358,TO_DATE('06-03-2025','DD-MM-YYYY'),7600,6387,1213,1,'14526149-K',242);</v>
      </c>
    </row>
    <row r="363" spans="1:10">
      <c r="A363" s="149"/>
      <c r="B363" s="149">
        <v>359</v>
      </c>
      <c r="C363" s="118" t="s">
        <v>2228</v>
      </c>
      <c r="D363" t="s">
        <v>2090</v>
      </c>
      <c r="E363" s="150">
        <v>414</v>
      </c>
      <c r="F363" s="142">
        <v>7600</v>
      </c>
      <c r="G363" s="143">
        <v>6387</v>
      </c>
      <c r="H363" s="144">
        <v>1213</v>
      </c>
      <c r="I363" s="140">
        <v>1</v>
      </c>
      <c r="J363" s="114" t="str">
        <f t="shared" si="5"/>
        <v>INSERT INTO DOCUMENTOS (NRO_DOCUMENTO,FECHA_EMISION,TOTAL_BRUTO,TOTAL_NETO,TOTAL_IVA, ID_TIPO, RUT_EMPLEADO, ID_CLIENTE) VALUES(359,TO_DATE('06-03-2025','DD-MM-YYYY'),7600,6387,1213,1,'14526149-K',414);</v>
      </c>
    </row>
    <row r="364" spans="1:10">
      <c r="A364" s="149"/>
      <c r="B364" s="149">
        <v>360</v>
      </c>
      <c r="C364" s="151" t="s">
        <v>2229</v>
      </c>
      <c r="D364" t="s">
        <v>2090</v>
      </c>
      <c r="E364" s="150">
        <v>110</v>
      </c>
      <c r="F364" s="142">
        <v>13500</v>
      </c>
      <c r="G364" s="143">
        <v>11345</v>
      </c>
      <c r="H364" s="144">
        <v>2155</v>
      </c>
      <c r="I364" s="140">
        <v>1</v>
      </c>
      <c r="J364" s="114" t="str">
        <f t="shared" si="5"/>
        <v>INSERT INTO DOCUMENTOS (NRO_DOCUMENTO,FECHA_EMISION,TOTAL_BRUTO,TOTAL_NETO,TOTAL_IVA, ID_TIPO, RUT_EMPLEADO, ID_CLIENTE) VALUES(360,TO_DATE('07-03-2025','DD-MM-YYYY'),13500,11345,2155,1,'14526149-K',110);</v>
      </c>
    </row>
    <row r="365" spans="1:10">
      <c r="A365" s="149"/>
      <c r="B365" s="149">
        <v>361</v>
      </c>
      <c r="C365" s="118" t="s">
        <v>2229</v>
      </c>
      <c r="D365" t="s">
        <v>2090</v>
      </c>
      <c r="E365" s="150">
        <v>113</v>
      </c>
      <c r="F365" s="142">
        <v>13000</v>
      </c>
      <c r="G365" s="143">
        <v>10924</v>
      </c>
      <c r="H365" s="144">
        <v>2076</v>
      </c>
      <c r="I365" s="140">
        <v>1</v>
      </c>
      <c r="J365" s="114" t="str">
        <f t="shared" si="5"/>
        <v>INSERT INTO DOCUMENTOS (NRO_DOCUMENTO,FECHA_EMISION,TOTAL_BRUTO,TOTAL_NETO,TOTAL_IVA, ID_TIPO, RUT_EMPLEADO, ID_CLIENTE) VALUES(361,TO_DATE('07-03-2025','DD-MM-YYYY'),13000,10924,2076,1,'14526149-K',113);</v>
      </c>
    </row>
    <row r="366" spans="1:10">
      <c r="A366" s="149"/>
      <c r="B366" s="149">
        <v>362</v>
      </c>
      <c r="C366" s="118" t="s">
        <v>2229</v>
      </c>
      <c r="D366" t="s">
        <v>2090</v>
      </c>
      <c r="E366" s="150">
        <v>374</v>
      </c>
      <c r="F366" s="142">
        <v>10500</v>
      </c>
      <c r="G366" s="143">
        <v>8824</v>
      </c>
      <c r="H366" s="144">
        <v>1676</v>
      </c>
      <c r="I366" s="140">
        <v>1</v>
      </c>
      <c r="J366" s="114" t="str">
        <f t="shared" si="5"/>
        <v>INSERT INTO DOCUMENTOS (NRO_DOCUMENTO,FECHA_EMISION,TOTAL_BRUTO,TOTAL_NETO,TOTAL_IVA, ID_TIPO, RUT_EMPLEADO, ID_CLIENTE) VALUES(362,TO_DATE('07-03-2025','DD-MM-YYYY'),10500,8824,1676,1,'14526149-K',374);</v>
      </c>
    </row>
    <row r="367" spans="1:10">
      <c r="A367" s="149"/>
      <c r="B367" s="149">
        <v>363</v>
      </c>
      <c r="C367" s="118" t="s">
        <v>2229</v>
      </c>
      <c r="D367" t="s">
        <v>2090</v>
      </c>
      <c r="E367" s="150">
        <v>386</v>
      </c>
      <c r="F367" s="142">
        <v>7600</v>
      </c>
      <c r="G367" s="143">
        <v>6387</v>
      </c>
      <c r="H367" s="144">
        <v>1213</v>
      </c>
      <c r="I367" s="140">
        <v>1</v>
      </c>
      <c r="J367" s="114" t="str">
        <f t="shared" si="5"/>
        <v>INSERT INTO DOCUMENTOS (NRO_DOCUMENTO,FECHA_EMISION,TOTAL_BRUTO,TOTAL_NETO,TOTAL_IVA, ID_TIPO, RUT_EMPLEADO, ID_CLIENTE) VALUES(363,TO_DATE('07-03-2025','DD-MM-YYYY'),7600,6387,1213,1,'14526149-K',386);</v>
      </c>
    </row>
    <row r="368" spans="1:10">
      <c r="A368" s="149"/>
      <c r="B368" s="149">
        <v>364</v>
      </c>
      <c r="C368" s="118" t="s">
        <v>2229</v>
      </c>
      <c r="D368" t="s">
        <v>2090</v>
      </c>
      <c r="E368" s="150">
        <v>389</v>
      </c>
      <c r="F368" s="142">
        <v>10500</v>
      </c>
      <c r="G368" s="143">
        <v>8824</v>
      </c>
      <c r="H368" s="144">
        <v>1676</v>
      </c>
      <c r="I368" s="140">
        <v>1</v>
      </c>
      <c r="J368" s="114" t="str">
        <f t="shared" si="5"/>
        <v>INSERT INTO DOCUMENTOS (NRO_DOCUMENTO,FECHA_EMISION,TOTAL_BRUTO,TOTAL_NETO,TOTAL_IVA, ID_TIPO, RUT_EMPLEADO, ID_CLIENTE) VALUES(364,TO_DATE('07-03-2025','DD-MM-YYYY'),10500,8824,1676,1,'14526149-K',389);</v>
      </c>
    </row>
    <row r="369" spans="1:10">
      <c r="A369" s="149"/>
      <c r="B369" s="149">
        <v>365</v>
      </c>
      <c r="C369" s="118" t="s">
        <v>2229</v>
      </c>
      <c r="D369" t="s">
        <v>2090</v>
      </c>
      <c r="E369" s="150">
        <v>407</v>
      </c>
      <c r="F369" s="142">
        <v>16000</v>
      </c>
      <c r="G369" s="143">
        <v>13445</v>
      </c>
      <c r="H369" s="144">
        <v>2555</v>
      </c>
      <c r="I369" s="140">
        <v>1</v>
      </c>
      <c r="J369" s="114" t="str">
        <f t="shared" si="5"/>
        <v>INSERT INTO DOCUMENTOS (NRO_DOCUMENTO,FECHA_EMISION,TOTAL_BRUTO,TOTAL_NETO,TOTAL_IVA, ID_TIPO, RUT_EMPLEADO, ID_CLIENTE) VALUES(365,TO_DATE('07-03-2025','DD-MM-YYYY'),16000,13445,2555,1,'14526149-K',407);</v>
      </c>
    </row>
    <row r="370" spans="1:10">
      <c r="A370" s="149"/>
      <c r="B370" s="149">
        <v>366</v>
      </c>
      <c r="C370" s="118" t="s">
        <v>2229</v>
      </c>
      <c r="D370" t="s">
        <v>2090</v>
      </c>
      <c r="E370" s="150">
        <v>455</v>
      </c>
      <c r="F370" s="142">
        <v>63490</v>
      </c>
      <c r="G370" s="143">
        <v>53353</v>
      </c>
      <c r="H370" s="144">
        <v>10137</v>
      </c>
      <c r="I370" s="140">
        <v>1</v>
      </c>
      <c r="J370" s="114" t="str">
        <f t="shared" si="5"/>
        <v>INSERT INTO DOCUMENTOS (NRO_DOCUMENTO,FECHA_EMISION,TOTAL_BRUTO,TOTAL_NETO,TOTAL_IVA, ID_TIPO, RUT_EMPLEADO, ID_CLIENTE) VALUES(366,TO_DATE('07-03-2025','DD-MM-YYYY'),63490,53353,10137,1,'14526149-K',455);</v>
      </c>
    </row>
    <row r="371" spans="1:10">
      <c r="A371" s="149"/>
      <c r="B371" s="149">
        <v>367</v>
      </c>
      <c r="C371" s="118" t="s">
        <v>2229</v>
      </c>
      <c r="D371" t="s">
        <v>2090</v>
      </c>
      <c r="E371" s="150">
        <v>457</v>
      </c>
      <c r="F371" s="142">
        <v>30400</v>
      </c>
      <c r="G371" s="143">
        <v>25546</v>
      </c>
      <c r="H371" s="144">
        <v>4854</v>
      </c>
      <c r="I371" s="140">
        <v>1</v>
      </c>
      <c r="J371" s="114" t="str">
        <f t="shared" si="5"/>
        <v>INSERT INTO DOCUMENTOS (NRO_DOCUMENTO,FECHA_EMISION,TOTAL_BRUTO,TOTAL_NETO,TOTAL_IVA, ID_TIPO, RUT_EMPLEADO, ID_CLIENTE) VALUES(367,TO_DATE('07-03-2025','DD-MM-YYYY'),30400,25546,4854,1,'14526149-K',457);</v>
      </c>
    </row>
    <row r="372" spans="1:10">
      <c r="A372" s="149"/>
      <c r="B372" s="149">
        <v>368</v>
      </c>
      <c r="C372" s="118" t="s">
        <v>2229</v>
      </c>
      <c r="D372" t="s">
        <v>2090</v>
      </c>
      <c r="E372" s="150">
        <v>472</v>
      </c>
      <c r="F372" s="142">
        <v>9000</v>
      </c>
      <c r="G372" s="143">
        <v>7563</v>
      </c>
      <c r="H372" s="144">
        <v>1437</v>
      </c>
      <c r="I372" s="140">
        <v>1</v>
      </c>
      <c r="J372" s="114" t="str">
        <f t="shared" si="5"/>
        <v>INSERT INTO DOCUMENTOS (NRO_DOCUMENTO,FECHA_EMISION,TOTAL_BRUTO,TOTAL_NETO,TOTAL_IVA, ID_TIPO, RUT_EMPLEADO, ID_CLIENTE) VALUES(368,TO_DATE('07-03-2025','DD-MM-YYYY'),9000,7563,1437,1,'14526149-K',472);</v>
      </c>
    </row>
    <row r="373" spans="1:10">
      <c r="A373" s="149"/>
      <c r="B373" s="149">
        <v>369</v>
      </c>
      <c r="C373" s="118" t="s">
        <v>2229</v>
      </c>
      <c r="D373" t="s">
        <v>2090</v>
      </c>
      <c r="E373" s="150">
        <v>476</v>
      </c>
      <c r="F373" s="142">
        <v>7600</v>
      </c>
      <c r="G373" s="143">
        <v>6387</v>
      </c>
      <c r="H373" s="144">
        <v>1213</v>
      </c>
      <c r="I373" s="140">
        <v>1</v>
      </c>
      <c r="J373" s="114" t="str">
        <f t="shared" si="5"/>
        <v>INSERT INTO DOCUMENTOS (NRO_DOCUMENTO,FECHA_EMISION,TOTAL_BRUTO,TOTAL_NETO,TOTAL_IVA, ID_TIPO, RUT_EMPLEADO, ID_CLIENTE) VALUES(369,TO_DATE('07-03-2025','DD-MM-YYYY'),7600,6387,1213,1,'14526149-K',476);</v>
      </c>
    </row>
    <row r="374" spans="1:10">
      <c r="A374" s="149"/>
      <c r="B374" s="149">
        <v>370</v>
      </c>
      <c r="C374" s="151" t="s">
        <v>2230</v>
      </c>
      <c r="D374" t="s">
        <v>2090</v>
      </c>
      <c r="E374" s="150">
        <v>76</v>
      </c>
      <c r="F374" s="142">
        <v>10500</v>
      </c>
      <c r="G374" s="143">
        <v>8824</v>
      </c>
      <c r="H374" s="144">
        <v>1676</v>
      </c>
      <c r="I374" s="140">
        <v>1</v>
      </c>
      <c r="J374" s="114" t="str">
        <f t="shared" si="5"/>
        <v>INSERT INTO DOCUMENTOS (NRO_DOCUMENTO,FECHA_EMISION,TOTAL_BRUTO,TOTAL_NETO,TOTAL_IVA, ID_TIPO, RUT_EMPLEADO, ID_CLIENTE) VALUES(370,TO_DATE('08-03-2025','DD-MM-YYYY'),10500,8824,1676,1,'14526149-K',76);</v>
      </c>
    </row>
    <row r="375" spans="1:10">
      <c r="A375" s="149"/>
      <c r="B375" s="149">
        <v>371</v>
      </c>
      <c r="C375" s="118" t="s">
        <v>2230</v>
      </c>
      <c r="D375" t="s">
        <v>2090</v>
      </c>
      <c r="E375" s="150">
        <v>98</v>
      </c>
      <c r="F375" s="142">
        <v>5500</v>
      </c>
      <c r="G375" s="143">
        <v>4622</v>
      </c>
      <c r="H375" s="144">
        <v>878</v>
      </c>
      <c r="I375" s="140">
        <v>1</v>
      </c>
      <c r="J375" s="114" t="str">
        <f t="shared" si="5"/>
        <v>INSERT INTO DOCUMENTOS (NRO_DOCUMENTO,FECHA_EMISION,TOTAL_BRUTO,TOTAL_NETO,TOTAL_IVA, ID_TIPO, RUT_EMPLEADO, ID_CLIENTE) VALUES(371,TO_DATE('08-03-2025','DD-MM-YYYY'),5500,4622,878,1,'14526149-K',98);</v>
      </c>
    </row>
    <row r="376" spans="1:10">
      <c r="A376" s="149"/>
      <c r="B376" s="149">
        <v>372</v>
      </c>
      <c r="C376" s="118" t="s">
        <v>2230</v>
      </c>
      <c r="D376" t="s">
        <v>2090</v>
      </c>
      <c r="E376" s="150">
        <v>112</v>
      </c>
      <c r="F376" s="142">
        <v>5500</v>
      </c>
      <c r="G376" s="143">
        <v>4622</v>
      </c>
      <c r="H376" s="144">
        <v>878</v>
      </c>
      <c r="I376" s="140">
        <v>1</v>
      </c>
      <c r="J376" s="114" t="str">
        <f t="shared" si="5"/>
        <v>INSERT INTO DOCUMENTOS (NRO_DOCUMENTO,FECHA_EMISION,TOTAL_BRUTO,TOTAL_NETO,TOTAL_IVA, ID_TIPO, RUT_EMPLEADO, ID_CLIENTE) VALUES(372,TO_DATE('08-03-2025','DD-MM-YYYY'),5500,4622,878,1,'14526149-K',112);</v>
      </c>
    </row>
    <row r="377" spans="1:10">
      <c r="A377" s="149"/>
      <c r="B377" s="149">
        <v>373</v>
      </c>
      <c r="C377" s="118" t="s">
        <v>2230</v>
      </c>
      <c r="D377" t="s">
        <v>2090</v>
      </c>
      <c r="E377" s="150">
        <v>122</v>
      </c>
      <c r="F377" s="142">
        <v>35800</v>
      </c>
      <c r="G377" s="143">
        <v>30087</v>
      </c>
      <c r="H377" s="144">
        <v>5713</v>
      </c>
      <c r="I377" s="140">
        <v>1</v>
      </c>
      <c r="J377" s="114" t="str">
        <f t="shared" si="5"/>
        <v>INSERT INTO DOCUMENTOS (NRO_DOCUMENTO,FECHA_EMISION,TOTAL_BRUTO,TOTAL_NETO,TOTAL_IVA, ID_TIPO, RUT_EMPLEADO, ID_CLIENTE) VALUES(373,TO_DATE('08-03-2025','DD-MM-YYYY'),35800,30087,5713,1,'14526149-K',122);</v>
      </c>
    </row>
    <row r="378" spans="1:10">
      <c r="A378" s="149"/>
      <c r="B378" s="149">
        <v>374</v>
      </c>
      <c r="C378" s="118" t="s">
        <v>2230</v>
      </c>
      <c r="D378" t="s">
        <v>2090</v>
      </c>
      <c r="E378" s="150">
        <v>198</v>
      </c>
      <c r="F378" s="142">
        <v>10500</v>
      </c>
      <c r="G378" s="143">
        <v>8824</v>
      </c>
      <c r="H378" s="144">
        <v>1676</v>
      </c>
      <c r="I378" s="140">
        <v>1</v>
      </c>
      <c r="J378" s="114" t="str">
        <f t="shared" si="5"/>
        <v>INSERT INTO DOCUMENTOS (NRO_DOCUMENTO,FECHA_EMISION,TOTAL_BRUTO,TOTAL_NETO,TOTAL_IVA, ID_TIPO, RUT_EMPLEADO, ID_CLIENTE) VALUES(374,TO_DATE('08-03-2025','DD-MM-YYYY'),10500,8824,1676,1,'14526149-K',198);</v>
      </c>
    </row>
    <row r="379" spans="1:10">
      <c r="A379" s="149"/>
      <c r="B379" s="149">
        <v>375</v>
      </c>
      <c r="C379" s="118" t="s">
        <v>2230</v>
      </c>
      <c r="D379" t="s">
        <v>2090</v>
      </c>
      <c r="E379" s="150">
        <v>276</v>
      </c>
      <c r="F379" s="142">
        <v>10500</v>
      </c>
      <c r="G379" s="143">
        <v>8824</v>
      </c>
      <c r="H379" s="144">
        <v>1676</v>
      </c>
      <c r="I379" s="140">
        <v>1</v>
      </c>
      <c r="J379" s="114" t="str">
        <f t="shared" si="5"/>
        <v>INSERT INTO DOCUMENTOS (NRO_DOCUMENTO,FECHA_EMISION,TOTAL_BRUTO,TOTAL_NETO,TOTAL_IVA, ID_TIPO, RUT_EMPLEADO, ID_CLIENTE) VALUES(375,TO_DATE('08-03-2025','DD-MM-YYYY'),10500,8824,1676,1,'14526149-K',276);</v>
      </c>
    </row>
    <row r="380" spans="1:10">
      <c r="A380" s="149"/>
      <c r="B380" s="149">
        <v>376</v>
      </c>
      <c r="C380" s="118" t="s">
        <v>2230</v>
      </c>
      <c r="D380" t="s">
        <v>2090</v>
      </c>
      <c r="E380" s="150">
        <v>352</v>
      </c>
      <c r="F380" s="142">
        <v>24800</v>
      </c>
      <c r="G380" s="143">
        <v>20841</v>
      </c>
      <c r="H380" s="144">
        <v>3959</v>
      </c>
      <c r="I380" s="140">
        <v>1</v>
      </c>
      <c r="J380" s="114" t="str">
        <f t="shared" si="5"/>
        <v>INSERT INTO DOCUMENTOS (NRO_DOCUMENTO,FECHA_EMISION,TOTAL_BRUTO,TOTAL_NETO,TOTAL_IVA, ID_TIPO, RUT_EMPLEADO, ID_CLIENTE) VALUES(376,TO_DATE('08-03-2025','DD-MM-YYYY'),24800,20841,3959,1,'14526149-K',352);</v>
      </c>
    </row>
    <row r="381" spans="1:10">
      <c r="A381" s="149"/>
      <c r="B381" s="149">
        <v>377</v>
      </c>
      <c r="C381" s="118" t="s">
        <v>2230</v>
      </c>
      <c r="D381" t="s">
        <v>2090</v>
      </c>
      <c r="E381" s="150">
        <v>389</v>
      </c>
      <c r="F381" s="142">
        <v>29900</v>
      </c>
      <c r="G381" s="143">
        <v>25127</v>
      </c>
      <c r="H381" s="144">
        <v>4773</v>
      </c>
      <c r="I381" s="140">
        <v>1</v>
      </c>
      <c r="J381" s="114" t="str">
        <f t="shared" si="5"/>
        <v>INSERT INTO DOCUMENTOS (NRO_DOCUMENTO,FECHA_EMISION,TOTAL_BRUTO,TOTAL_NETO,TOTAL_IVA, ID_TIPO, RUT_EMPLEADO, ID_CLIENTE) VALUES(377,TO_DATE('08-03-2025','DD-MM-YYYY'),29900,25127,4773,1,'14526149-K',389);</v>
      </c>
    </row>
    <row r="382" spans="1:10">
      <c r="A382" s="149"/>
      <c r="B382" s="149">
        <v>378</v>
      </c>
      <c r="C382" s="151" t="s">
        <v>2231</v>
      </c>
      <c r="D382" t="s">
        <v>2090</v>
      </c>
      <c r="E382" s="150">
        <v>98</v>
      </c>
      <c r="F382" s="142">
        <v>10500</v>
      </c>
      <c r="G382" s="143">
        <v>8824</v>
      </c>
      <c r="H382" s="144">
        <v>1676</v>
      </c>
      <c r="I382" s="140">
        <v>1</v>
      </c>
      <c r="J382" s="114" t="str">
        <f t="shared" si="5"/>
        <v>INSERT INTO DOCUMENTOS (NRO_DOCUMENTO,FECHA_EMISION,TOTAL_BRUTO,TOTAL_NETO,TOTAL_IVA, ID_TIPO, RUT_EMPLEADO, ID_CLIENTE) VALUES(378,TO_DATE('09-03-2025','DD-MM-YYYY'),10500,8824,1676,1,'14526149-K',98);</v>
      </c>
    </row>
    <row r="383" spans="1:10">
      <c r="A383" s="149"/>
      <c r="B383" s="149">
        <v>379</v>
      </c>
      <c r="C383" s="118" t="s">
        <v>2231</v>
      </c>
      <c r="D383" t="s">
        <v>2090</v>
      </c>
      <c r="E383" s="150">
        <v>166</v>
      </c>
      <c r="F383" s="142">
        <v>10500</v>
      </c>
      <c r="G383" s="143">
        <v>8824</v>
      </c>
      <c r="H383" s="144">
        <v>1676</v>
      </c>
      <c r="I383" s="140">
        <v>1</v>
      </c>
      <c r="J383" s="114" t="str">
        <f t="shared" si="5"/>
        <v>INSERT INTO DOCUMENTOS (NRO_DOCUMENTO,FECHA_EMISION,TOTAL_BRUTO,TOTAL_NETO,TOTAL_IVA, ID_TIPO, RUT_EMPLEADO, ID_CLIENTE) VALUES(379,TO_DATE('09-03-2025','DD-MM-YYYY'),10500,8824,1676,1,'14526149-K',166);</v>
      </c>
    </row>
    <row r="384" spans="1:10">
      <c r="A384" s="149"/>
      <c r="B384" s="149">
        <v>380</v>
      </c>
      <c r="C384" s="118" t="s">
        <v>2231</v>
      </c>
      <c r="D384" t="s">
        <v>2090</v>
      </c>
      <c r="E384" s="150">
        <v>300</v>
      </c>
      <c r="F384" s="142">
        <v>32800</v>
      </c>
      <c r="G384" s="143">
        <v>27562</v>
      </c>
      <c r="H384" s="144">
        <v>5238</v>
      </c>
      <c r="I384" s="140">
        <v>1</v>
      </c>
      <c r="J384" s="114" t="str">
        <f t="shared" si="5"/>
        <v>INSERT INTO DOCUMENTOS (NRO_DOCUMENTO,FECHA_EMISION,TOTAL_BRUTO,TOTAL_NETO,TOTAL_IVA, ID_TIPO, RUT_EMPLEADO, ID_CLIENTE) VALUES(380,TO_DATE('09-03-2025','DD-MM-YYYY'),32800,27562,5238,1,'14526149-K',300);</v>
      </c>
    </row>
    <row r="385" spans="1:10">
      <c r="A385" s="149"/>
      <c r="B385" s="149">
        <v>381</v>
      </c>
      <c r="C385" s="118" t="s">
        <v>2231</v>
      </c>
      <c r="D385" t="s">
        <v>2090</v>
      </c>
      <c r="E385" s="150">
        <v>319</v>
      </c>
      <c r="F385" s="142">
        <v>25000</v>
      </c>
      <c r="G385" s="143">
        <v>21008</v>
      </c>
      <c r="H385" s="144">
        <v>3992</v>
      </c>
      <c r="I385" s="140">
        <v>1</v>
      </c>
      <c r="J385" s="114" t="str">
        <f t="shared" si="5"/>
        <v>INSERT INTO DOCUMENTOS (NRO_DOCUMENTO,FECHA_EMISION,TOTAL_BRUTO,TOTAL_NETO,TOTAL_IVA, ID_TIPO, RUT_EMPLEADO, ID_CLIENTE) VALUES(381,TO_DATE('09-03-2025','DD-MM-YYYY'),25000,21008,3992,1,'14526149-K',319);</v>
      </c>
    </row>
    <row r="386" spans="1:10">
      <c r="A386" s="149"/>
      <c r="B386" s="149">
        <v>382</v>
      </c>
      <c r="C386" s="118" t="s">
        <v>2231</v>
      </c>
      <c r="D386" t="s">
        <v>2090</v>
      </c>
      <c r="E386" s="150">
        <v>377</v>
      </c>
      <c r="F386" s="142">
        <v>27990</v>
      </c>
      <c r="G386" s="143">
        <v>23521</v>
      </c>
      <c r="H386" s="144">
        <v>4469</v>
      </c>
      <c r="I386" s="140">
        <v>1</v>
      </c>
      <c r="J386" s="114" t="str">
        <f t="shared" si="5"/>
        <v>INSERT INTO DOCUMENTOS (NRO_DOCUMENTO,FECHA_EMISION,TOTAL_BRUTO,TOTAL_NETO,TOTAL_IVA, ID_TIPO, RUT_EMPLEADO, ID_CLIENTE) VALUES(382,TO_DATE('09-03-2025','DD-MM-YYYY'),27990,23521,4469,1,'14526149-K',377);</v>
      </c>
    </row>
    <row r="387" spans="1:10">
      <c r="A387" s="149"/>
      <c r="B387" s="149">
        <v>383</v>
      </c>
      <c r="C387" s="118" t="s">
        <v>2231</v>
      </c>
      <c r="D387" t="s">
        <v>2090</v>
      </c>
      <c r="E387" s="150">
        <v>416</v>
      </c>
      <c r="F387" s="142">
        <v>7600</v>
      </c>
      <c r="G387" s="143">
        <v>6387</v>
      </c>
      <c r="H387" s="144">
        <v>1213</v>
      </c>
      <c r="I387" s="140">
        <v>1</v>
      </c>
      <c r="J387" s="114" t="str">
        <f t="shared" si="5"/>
        <v>INSERT INTO DOCUMENTOS (NRO_DOCUMENTO,FECHA_EMISION,TOTAL_BRUTO,TOTAL_NETO,TOTAL_IVA, ID_TIPO, RUT_EMPLEADO, ID_CLIENTE) VALUES(383,TO_DATE('09-03-2025','DD-MM-YYYY'),7600,6387,1213,1,'14526149-K',416);</v>
      </c>
    </row>
    <row r="388" spans="1:10">
      <c r="A388" s="149"/>
      <c r="B388" s="149">
        <v>384</v>
      </c>
      <c r="C388" s="151" t="s">
        <v>2232</v>
      </c>
      <c r="D388" t="s">
        <v>2090</v>
      </c>
      <c r="E388" s="150">
        <v>108</v>
      </c>
      <c r="F388" s="142">
        <v>16500</v>
      </c>
      <c r="G388" s="143">
        <v>13866</v>
      </c>
      <c r="H388" s="144">
        <v>2634</v>
      </c>
      <c r="I388" s="140">
        <v>1</v>
      </c>
      <c r="J388" s="114" t="str">
        <f t="shared" si="5"/>
        <v>INSERT INTO DOCUMENTOS (NRO_DOCUMENTO,FECHA_EMISION,TOTAL_BRUTO,TOTAL_NETO,TOTAL_IVA, ID_TIPO, RUT_EMPLEADO, ID_CLIENTE) VALUES(384,TO_DATE('10-03-2025','DD-MM-YYYY'),16500,13866,2634,1,'14526149-K',108);</v>
      </c>
    </row>
    <row r="389" spans="1:10">
      <c r="A389" s="149"/>
      <c r="B389" s="149">
        <v>385</v>
      </c>
      <c r="C389" s="118" t="s">
        <v>2232</v>
      </c>
      <c r="D389" t="s">
        <v>2090</v>
      </c>
      <c r="E389" s="150">
        <v>113</v>
      </c>
      <c r="F389" s="142">
        <v>12200</v>
      </c>
      <c r="G389" s="143">
        <v>10252</v>
      </c>
      <c r="H389" s="144">
        <v>1948</v>
      </c>
      <c r="I389" s="140">
        <v>1</v>
      </c>
      <c r="J389" s="114" t="str">
        <f t="shared" si="5"/>
        <v>INSERT INTO DOCUMENTOS (NRO_DOCUMENTO,FECHA_EMISION,TOTAL_BRUTO,TOTAL_NETO,TOTAL_IVA, ID_TIPO, RUT_EMPLEADO, ID_CLIENTE) VALUES(385,TO_DATE('10-03-2025','DD-MM-YYYY'),12200,10252,1948,1,'14526149-K',113);</v>
      </c>
    </row>
    <row r="390" spans="1:10">
      <c r="A390" s="149"/>
      <c r="B390" s="149">
        <v>386</v>
      </c>
      <c r="C390" s="118" t="s">
        <v>2232</v>
      </c>
      <c r="D390" t="s">
        <v>2090</v>
      </c>
      <c r="E390" s="150">
        <v>171</v>
      </c>
      <c r="F390" s="142">
        <v>11100</v>
      </c>
      <c r="G390" s="143">
        <v>9328</v>
      </c>
      <c r="H390" s="144">
        <v>1772</v>
      </c>
      <c r="I390" s="140">
        <v>1</v>
      </c>
      <c r="J390" s="114" t="str">
        <f t="shared" ref="J390:J453" si="6">CONCATENATE("INSERT INTO DOCUMENTOS (NRO_DOCUMENTO,FECHA_EMISION,TOTAL_BRUTO,TOTAL_NETO,TOTAL_IVA, ID_TIPO, RUT_EMPLEADO, ID_CLIENTE) VALUES(",B390,",","TO_DATE('",C390,"'",",'DD-MM-YYYY'),",F390,",",G390,",",H390,",",I390,",","'",D390,"',",E390,");")</f>
        <v>INSERT INTO DOCUMENTOS (NRO_DOCUMENTO,FECHA_EMISION,TOTAL_BRUTO,TOTAL_NETO,TOTAL_IVA, ID_TIPO, RUT_EMPLEADO, ID_CLIENTE) VALUES(386,TO_DATE('10-03-2025','DD-MM-YYYY'),11100,9328,1772,1,'14526149-K',171);</v>
      </c>
    </row>
    <row r="391" spans="1:10">
      <c r="A391" s="149"/>
      <c r="B391" s="149">
        <v>387</v>
      </c>
      <c r="C391" s="118" t="s">
        <v>2232</v>
      </c>
      <c r="D391" t="s">
        <v>2090</v>
      </c>
      <c r="E391" s="150">
        <v>442</v>
      </c>
      <c r="F391" s="142">
        <v>10450</v>
      </c>
      <c r="G391" s="143">
        <v>8781</v>
      </c>
      <c r="H391" s="144">
        <v>1669</v>
      </c>
      <c r="I391" s="140">
        <v>1</v>
      </c>
      <c r="J391" s="114" t="str">
        <f t="shared" si="6"/>
        <v>INSERT INTO DOCUMENTOS (NRO_DOCUMENTO,FECHA_EMISION,TOTAL_BRUTO,TOTAL_NETO,TOTAL_IVA, ID_TIPO, RUT_EMPLEADO, ID_CLIENTE) VALUES(387,TO_DATE('10-03-2025','DD-MM-YYYY'),10450,8781,1669,1,'14526149-K',442);</v>
      </c>
    </row>
    <row r="392" spans="1:10">
      <c r="A392" s="149"/>
      <c r="B392" s="149">
        <v>388</v>
      </c>
      <c r="C392" s="151" t="s">
        <v>2233</v>
      </c>
      <c r="D392" t="s">
        <v>2090</v>
      </c>
      <c r="E392" s="150">
        <v>166</v>
      </c>
      <c r="F392" s="142">
        <v>9400</v>
      </c>
      <c r="G392" s="143">
        <v>7899</v>
      </c>
      <c r="H392" s="144">
        <v>1501</v>
      </c>
      <c r="I392" s="140">
        <v>1</v>
      </c>
      <c r="J392" s="114" t="str">
        <f t="shared" si="6"/>
        <v>INSERT INTO DOCUMENTOS (NRO_DOCUMENTO,FECHA_EMISION,TOTAL_BRUTO,TOTAL_NETO,TOTAL_IVA, ID_TIPO, RUT_EMPLEADO, ID_CLIENTE) VALUES(388,TO_DATE('11-03-2025','DD-MM-YYYY'),9400,7899,1501,1,'14526149-K',166);</v>
      </c>
    </row>
    <row r="393" spans="1:10">
      <c r="A393" s="149"/>
      <c r="B393" s="149">
        <v>389</v>
      </c>
      <c r="C393" s="118" t="s">
        <v>2233</v>
      </c>
      <c r="D393" t="s">
        <v>2090</v>
      </c>
      <c r="E393" s="150">
        <v>278</v>
      </c>
      <c r="F393" s="142">
        <v>8000</v>
      </c>
      <c r="G393" s="143">
        <v>6723</v>
      </c>
      <c r="H393" s="144">
        <v>1277</v>
      </c>
      <c r="I393" s="140">
        <v>1</v>
      </c>
      <c r="J393" s="114" t="str">
        <f t="shared" si="6"/>
        <v>INSERT INTO DOCUMENTOS (NRO_DOCUMENTO,FECHA_EMISION,TOTAL_BRUTO,TOTAL_NETO,TOTAL_IVA, ID_TIPO, RUT_EMPLEADO, ID_CLIENTE) VALUES(389,TO_DATE('11-03-2025','DD-MM-YYYY'),8000,6723,1277,1,'14526149-K',278);</v>
      </c>
    </row>
    <row r="394" spans="1:10">
      <c r="A394" s="149"/>
      <c r="B394" s="149">
        <v>390</v>
      </c>
      <c r="C394" s="118" t="s">
        <v>2233</v>
      </c>
      <c r="D394" t="s">
        <v>2090</v>
      </c>
      <c r="E394" s="150">
        <v>306</v>
      </c>
      <c r="F394" s="142">
        <v>57000</v>
      </c>
      <c r="G394" s="143">
        <v>47899</v>
      </c>
      <c r="H394" s="144">
        <v>9101</v>
      </c>
      <c r="I394" s="140">
        <v>1</v>
      </c>
      <c r="J394" s="114" t="str">
        <f t="shared" si="6"/>
        <v>INSERT INTO DOCUMENTOS (NRO_DOCUMENTO,FECHA_EMISION,TOTAL_BRUTO,TOTAL_NETO,TOTAL_IVA, ID_TIPO, RUT_EMPLEADO, ID_CLIENTE) VALUES(390,TO_DATE('11-03-2025','DD-MM-YYYY'),57000,47899,9101,1,'14526149-K',306);</v>
      </c>
    </row>
    <row r="395" spans="1:10">
      <c r="A395" s="149"/>
      <c r="B395" s="149">
        <v>391</v>
      </c>
      <c r="C395" s="151" t="s">
        <v>2234</v>
      </c>
      <c r="D395" t="s">
        <v>2090</v>
      </c>
      <c r="E395" s="150">
        <v>63</v>
      </c>
      <c r="F395" s="142">
        <v>8000</v>
      </c>
      <c r="G395" s="143">
        <v>6723</v>
      </c>
      <c r="H395" s="144">
        <v>1277</v>
      </c>
      <c r="I395" s="140">
        <v>1</v>
      </c>
      <c r="J395" s="114" t="str">
        <f t="shared" si="6"/>
        <v>INSERT INTO DOCUMENTOS (NRO_DOCUMENTO,FECHA_EMISION,TOTAL_BRUTO,TOTAL_NETO,TOTAL_IVA, ID_TIPO, RUT_EMPLEADO, ID_CLIENTE) VALUES(391,TO_DATE('12-03-2025','DD-MM-YYYY'),8000,6723,1277,1,'14526149-K',63);</v>
      </c>
    </row>
    <row r="396" spans="1:10">
      <c r="A396" s="149"/>
      <c r="B396" s="149">
        <v>392</v>
      </c>
      <c r="C396" s="118" t="s">
        <v>2234</v>
      </c>
      <c r="D396" t="s">
        <v>2090</v>
      </c>
      <c r="E396" s="150">
        <v>86</v>
      </c>
      <c r="F396" s="142">
        <v>8000</v>
      </c>
      <c r="G396" s="143">
        <v>6723</v>
      </c>
      <c r="H396" s="144">
        <v>1277</v>
      </c>
      <c r="I396" s="140">
        <v>1</v>
      </c>
      <c r="J396" s="114" t="str">
        <f t="shared" si="6"/>
        <v>INSERT INTO DOCUMENTOS (NRO_DOCUMENTO,FECHA_EMISION,TOTAL_BRUTO,TOTAL_NETO,TOTAL_IVA, ID_TIPO, RUT_EMPLEADO, ID_CLIENTE) VALUES(392,TO_DATE('12-03-2025','DD-MM-YYYY'),8000,6723,1277,1,'14526149-K',86);</v>
      </c>
    </row>
    <row r="397" spans="1:10">
      <c r="A397" s="149"/>
      <c r="B397" s="149">
        <v>393</v>
      </c>
      <c r="C397" s="118" t="s">
        <v>2234</v>
      </c>
      <c r="D397" t="s">
        <v>2090</v>
      </c>
      <c r="E397" s="150">
        <v>107</v>
      </c>
      <c r="F397" s="142">
        <v>8000</v>
      </c>
      <c r="G397" s="143">
        <v>6723</v>
      </c>
      <c r="H397" s="144">
        <v>1277</v>
      </c>
      <c r="I397" s="140">
        <v>1</v>
      </c>
      <c r="J397" s="114" t="str">
        <f t="shared" si="6"/>
        <v>INSERT INTO DOCUMENTOS (NRO_DOCUMENTO,FECHA_EMISION,TOTAL_BRUTO,TOTAL_NETO,TOTAL_IVA, ID_TIPO, RUT_EMPLEADO, ID_CLIENTE) VALUES(393,TO_DATE('12-03-2025','DD-MM-YYYY'),8000,6723,1277,1,'14526149-K',107);</v>
      </c>
    </row>
    <row r="398" spans="1:10">
      <c r="A398" s="149"/>
      <c r="B398" s="149">
        <v>394</v>
      </c>
      <c r="C398" s="118" t="s">
        <v>2234</v>
      </c>
      <c r="D398" t="s">
        <v>2090</v>
      </c>
      <c r="E398" s="150">
        <v>124</v>
      </c>
      <c r="F398" s="142">
        <v>7100</v>
      </c>
      <c r="G398" s="143">
        <v>5967</v>
      </c>
      <c r="H398" s="144">
        <v>1133</v>
      </c>
      <c r="I398" s="140">
        <v>1</v>
      </c>
      <c r="J398" s="114" t="str">
        <f t="shared" si="6"/>
        <v>INSERT INTO DOCUMENTOS (NRO_DOCUMENTO,FECHA_EMISION,TOTAL_BRUTO,TOTAL_NETO,TOTAL_IVA, ID_TIPO, RUT_EMPLEADO, ID_CLIENTE) VALUES(394,TO_DATE('12-03-2025','DD-MM-YYYY'),7100,5967,1133,1,'14526149-K',124);</v>
      </c>
    </row>
    <row r="399" spans="1:10">
      <c r="A399" s="149"/>
      <c r="B399" s="149">
        <v>395</v>
      </c>
      <c r="C399" s="118" t="s">
        <v>2234</v>
      </c>
      <c r="D399" t="s">
        <v>2090</v>
      </c>
      <c r="E399" s="150">
        <v>148</v>
      </c>
      <c r="F399" s="142">
        <v>13500</v>
      </c>
      <c r="G399" s="143">
        <v>11345</v>
      </c>
      <c r="H399" s="144">
        <v>2155</v>
      </c>
      <c r="I399" s="140">
        <v>1</v>
      </c>
      <c r="J399" s="114" t="str">
        <f t="shared" si="6"/>
        <v>INSERT INTO DOCUMENTOS (NRO_DOCUMENTO,FECHA_EMISION,TOTAL_BRUTO,TOTAL_NETO,TOTAL_IVA, ID_TIPO, RUT_EMPLEADO, ID_CLIENTE) VALUES(395,TO_DATE('12-03-2025','DD-MM-YYYY'),13500,11345,2155,1,'14526149-K',148);</v>
      </c>
    </row>
    <row r="400" spans="1:10">
      <c r="A400" s="149"/>
      <c r="B400" s="149">
        <v>396</v>
      </c>
      <c r="C400" s="118" t="s">
        <v>2234</v>
      </c>
      <c r="D400" t="s">
        <v>2090</v>
      </c>
      <c r="E400" s="150">
        <v>155</v>
      </c>
      <c r="F400" s="142">
        <v>8000</v>
      </c>
      <c r="G400" s="143">
        <v>6723</v>
      </c>
      <c r="H400" s="144">
        <v>1277</v>
      </c>
      <c r="I400" s="140">
        <v>1</v>
      </c>
      <c r="J400" s="114" t="str">
        <f t="shared" si="6"/>
        <v>INSERT INTO DOCUMENTOS (NRO_DOCUMENTO,FECHA_EMISION,TOTAL_BRUTO,TOTAL_NETO,TOTAL_IVA, ID_TIPO, RUT_EMPLEADO, ID_CLIENTE) VALUES(396,TO_DATE('12-03-2025','DD-MM-YYYY'),8000,6723,1277,1,'14526149-K',155);</v>
      </c>
    </row>
    <row r="401" spans="1:10">
      <c r="A401" s="149"/>
      <c r="B401" s="149">
        <v>397</v>
      </c>
      <c r="C401" s="118" t="s">
        <v>2234</v>
      </c>
      <c r="D401" t="s">
        <v>2090</v>
      </c>
      <c r="E401" s="150">
        <v>166</v>
      </c>
      <c r="F401" s="142">
        <v>13600</v>
      </c>
      <c r="G401" s="143">
        <v>11429</v>
      </c>
      <c r="H401" s="144">
        <v>2171</v>
      </c>
      <c r="I401" s="140">
        <v>1</v>
      </c>
      <c r="J401" s="114" t="str">
        <f t="shared" si="6"/>
        <v>INSERT INTO DOCUMENTOS (NRO_DOCUMENTO,FECHA_EMISION,TOTAL_BRUTO,TOTAL_NETO,TOTAL_IVA, ID_TIPO, RUT_EMPLEADO, ID_CLIENTE) VALUES(397,TO_DATE('12-03-2025','DD-MM-YYYY'),13600,11429,2171,1,'14526149-K',166);</v>
      </c>
    </row>
    <row r="402" spans="1:10">
      <c r="A402" s="149"/>
      <c r="B402" s="149">
        <v>398</v>
      </c>
      <c r="C402" s="118" t="s">
        <v>2234</v>
      </c>
      <c r="D402" t="s">
        <v>2090</v>
      </c>
      <c r="E402" s="150">
        <v>227</v>
      </c>
      <c r="F402" s="142">
        <v>8000</v>
      </c>
      <c r="G402" s="143">
        <v>6723</v>
      </c>
      <c r="H402" s="144">
        <v>1277</v>
      </c>
      <c r="I402" s="140">
        <v>1</v>
      </c>
      <c r="J402" s="114" t="str">
        <f t="shared" si="6"/>
        <v>INSERT INTO DOCUMENTOS (NRO_DOCUMENTO,FECHA_EMISION,TOTAL_BRUTO,TOTAL_NETO,TOTAL_IVA, ID_TIPO, RUT_EMPLEADO, ID_CLIENTE) VALUES(398,TO_DATE('12-03-2025','DD-MM-YYYY'),8000,6723,1277,1,'14526149-K',227);</v>
      </c>
    </row>
    <row r="403" spans="1:10">
      <c r="A403" s="149"/>
      <c r="B403" s="149">
        <v>399</v>
      </c>
      <c r="C403" s="118" t="s">
        <v>2234</v>
      </c>
      <c r="D403" t="s">
        <v>2090</v>
      </c>
      <c r="E403" s="150">
        <v>247</v>
      </c>
      <c r="F403" s="142">
        <v>3500</v>
      </c>
      <c r="G403" s="143">
        <v>2941</v>
      </c>
      <c r="H403" s="144">
        <v>559</v>
      </c>
      <c r="I403" s="140">
        <v>1</v>
      </c>
      <c r="J403" s="114" t="str">
        <f t="shared" si="6"/>
        <v>INSERT INTO DOCUMENTOS (NRO_DOCUMENTO,FECHA_EMISION,TOTAL_BRUTO,TOTAL_NETO,TOTAL_IVA, ID_TIPO, RUT_EMPLEADO, ID_CLIENTE) VALUES(399,TO_DATE('12-03-2025','DD-MM-YYYY'),3500,2941,559,1,'14526149-K',247);</v>
      </c>
    </row>
    <row r="404" spans="1:10">
      <c r="A404" s="149"/>
      <c r="B404" s="150">
        <v>400</v>
      </c>
      <c r="C404" s="118" t="s">
        <v>2234</v>
      </c>
      <c r="D404" t="s">
        <v>2090</v>
      </c>
      <c r="E404" s="150">
        <v>319</v>
      </c>
      <c r="F404" s="142">
        <v>8000</v>
      </c>
      <c r="G404" s="143">
        <v>6723</v>
      </c>
      <c r="H404" s="144">
        <v>1277</v>
      </c>
      <c r="I404" s="140">
        <v>1</v>
      </c>
      <c r="J404" s="114" t="str">
        <f t="shared" si="6"/>
        <v>INSERT INTO DOCUMENTOS (NRO_DOCUMENTO,FECHA_EMISION,TOTAL_BRUTO,TOTAL_NETO,TOTAL_IVA, ID_TIPO, RUT_EMPLEADO, ID_CLIENTE) VALUES(400,TO_DATE('12-03-2025','DD-MM-YYYY'),8000,6723,1277,1,'14526149-K',319);</v>
      </c>
    </row>
    <row r="405" spans="1:10">
      <c r="A405" s="149"/>
      <c r="B405" s="149">
        <v>401</v>
      </c>
      <c r="C405" s="118" t="s">
        <v>2234</v>
      </c>
      <c r="D405" t="s">
        <v>2090</v>
      </c>
      <c r="E405" s="150">
        <v>367</v>
      </c>
      <c r="F405" s="142">
        <v>32002</v>
      </c>
      <c r="G405" s="143">
        <v>26892</v>
      </c>
      <c r="H405" s="144">
        <v>5110</v>
      </c>
      <c r="I405" s="140">
        <v>1</v>
      </c>
      <c r="J405" s="114" t="str">
        <f t="shared" si="6"/>
        <v>INSERT INTO DOCUMENTOS (NRO_DOCUMENTO,FECHA_EMISION,TOTAL_BRUTO,TOTAL_NETO,TOTAL_IVA, ID_TIPO, RUT_EMPLEADO, ID_CLIENTE) VALUES(401,TO_DATE('12-03-2025','DD-MM-YYYY'),32002,26892,5110,1,'14526149-K',367);</v>
      </c>
    </row>
    <row r="406" spans="1:10">
      <c r="A406" s="149"/>
      <c r="B406" s="149">
        <v>402</v>
      </c>
      <c r="C406" s="118" t="s">
        <v>2234</v>
      </c>
      <c r="D406" t="s">
        <v>2090</v>
      </c>
      <c r="E406" s="150">
        <v>382</v>
      </c>
      <c r="F406" s="142">
        <v>8000</v>
      </c>
      <c r="G406" s="143">
        <v>6723</v>
      </c>
      <c r="H406" s="144">
        <v>1277</v>
      </c>
      <c r="I406" s="140">
        <v>1</v>
      </c>
      <c r="J406" s="114" t="str">
        <f t="shared" si="6"/>
        <v>INSERT INTO DOCUMENTOS (NRO_DOCUMENTO,FECHA_EMISION,TOTAL_BRUTO,TOTAL_NETO,TOTAL_IVA, ID_TIPO, RUT_EMPLEADO, ID_CLIENTE) VALUES(402,TO_DATE('12-03-2025','DD-MM-YYYY'),8000,6723,1277,1,'14526149-K',382);</v>
      </c>
    </row>
    <row r="407" spans="1:10">
      <c r="A407" s="149"/>
      <c r="B407" s="149">
        <v>403</v>
      </c>
      <c r="C407" s="118" t="s">
        <v>2234</v>
      </c>
      <c r="D407" t="s">
        <v>2090</v>
      </c>
      <c r="E407" s="150">
        <v>386</v>
      </c>
      <c r="F407" s="142">
        <v>27990</v>
      </c>
      <c r="G407" s="143">
        <v>23521</v>
      </c>
      <c r="H407" s="144">
        <v>4469</v>
      </c>
      <c r="I407" s="140">
        <v>1</v>
      </c>
      <c r="J407" s="114" t="str">
        <f t="shared" si="6"/>
        <v>INSERT INTO DOCUMENTOS (NRO_DOCUMENTO,FECHA_EMISION,TOTAL_BRUTO,TOTAL_NETO,TOTAL_IVA, ID_TIPO, RUT_EMPLEADO, ID_CLIENTE) VALUES(403,TO_DATE('12-03-2025','DD-MM-YYYY'),27990,23521,4469,1,'14526149-K',386);</v>
      </c>
    </row>
    <row r="408" spans="1:10">
      <c r="A408" s="149"/>
      <c r="B408" s="149">
        <v>404</v>
      </c>
      <c r="C408" s="151" t="s">
        <v>2235</v>
      </c>
      <c r="D408" t="s">
        <v>2090</v>
      </c>
      <c r="E408" s="150">
        <v>22</v>
      </c>
      <c r="F408" s="142">
        <v>31400</v>
      </c>
      <c r="G408" s="143">
        <v>26387</v>
      </c>
      <c r="H408" s="144">
        <v>5013</v>
      </c>
      <c r="I408" s="140">
        <v>1</v>
      </c>
      <c r="J408" s="114" t="str">
        <f t="shared" si="6"/>
        <v>INSERT INTO DOCUMENTOS (NRO_DOCUMENTO,FECHA_EMISION,TOTAL_BRUTO,TOTAL_NETO,TOTAL_IVA, ID_TIPO, RUT_EMPLEADO, ID_CLIENTE) VALUES(404,TO_DATE('13-03-2025','DD-MM-YYYY'),31400,26387,5013,1,'14526149-K',22);</v>
      </c>
    </row>
    <row r="409" spans="1:10">
      <c r="A409" s="149"/>
      <c r="B409" s="149">
        <v>405</v>
      </c>
      <c r="C409" s="118" t="s">
        <v>2235</v>
      </c>
      <c r="D409" t="s">
        <v>2090</v>
      </c>
      <c r="E409" s="150">
        <v>136</v>
      </c>
      <c r="F409" s="142">
        <v>12000</v>
      </c>
      <c r="G409" s="143">
        <v>10084</v>
      </c>
      <c r="H409" s="144">
        <v>1916</v>
      </c>
      <c r="I409" s="140">
        <v>1</v>
      </c>
      <c r="J409" s="114" t="str">
        <f t="shared" si="6"/>
        <v>INSERT INTO DOCUMENTOS (NRO_DOCUMENTO,FECHA_EMISION,TOTAL_BRUTO,TOTAL_NETO,TOTAL_IVA, ID_TIPO, RUT_EMPLEADO, ID_CLIENTE) VALUES(405,TO_DATE('13-03-2025','DD-MM-YYYY'),12000,10084,1916,1,'14526149-K',136);</v>
      </c>
    </row>
    <row r="410" spans="1:10">
      <c r="A410" s="149"/>
      <c r="B410" s="149">
        <v>406</v>
      </c>
      <c r="C410" s="151" t="s">
        <v>2236</v>
      </c>
      <c r="D410" t="s">
        <v>2090</v>
      </c>
      <c r="E410" s="150">
        <v>151</v>
      </c>
      <c r="F410" s="142">
        <v>8800</v>
      </c>
      <c r="G410" s="143">
        <v>7395</v>
      </c>
      <c r="H410" s="144">
        <v>1405</v>
      </c>
      <c r="I410" s="140">
        <v>1</v>
      </c>
      <c r="J410" s="114" t="str">
        <f t="shared" si="6"/>
        <v>INSERT INTO DOCUMENTOS (NRO_DOCUMENTO,FECHA_EMISION,TOTAL_BRUTO,TOTAL_NETO,TOTAL_IVA, ID_TIPO, RUT_EMPLEADO, ID_CLIENTE) VALUES(406,TO_DATE('14-03-2025','DD-MM-YYYY'),8800,7395,1405,1,'14526149-K',151);</v>
      </c>
    </row>
    <row r="411" spans="1:10">
      <c r="A411" s="149"/>
      <c r="B411" s="149">
        <v>407</v>
      </c>
      <c r="C411" s="118" t="s">
        <v>2236</v>
      </c>
      <c r="D411" t="s">
        <v>2090</v>
      </c>
      <c r="E411" s="150">
        <v>166</v>
      </c>
      <c r="F411" s="142">
        <v>17000</v>
      </c>
      <c r="G411" s="143">
        <v>14287</v>
      </c>
      <c r="H411" s="144">
        <v>2713</v>
      </c>
      <c r="I411" s="140">
        <v>1</v>
      </c>
      <c r="J411" s="114" t="str">
        <f t="shared" si="6"/>
        <v>INSERT INTO DOCUMENTOS (NRO_DOCUMENTO,FECHA_EMISION,TOTAL_BRUTO,TOTAL_NETO,TOTAL_IVA, ID_TIPO, RUT_EMPLEADO, ID_CLIENTE) VALUES(407,TO_DATE('14-03-2025','DD-MM-YYYY'),17000,14287,2713,1,'14526149-K',166);</v>
      </c>
    </row>
    <row r="412" spans="1:10">
      <c r="A412" s="149"/>
      <c r="B412" s="149">
        <v>408</v>
      </c>
      <c r="C412" s="118" t="s">
        <v>2236</v>
      </c>
      <c r="D412" t="s">
        <v>2090</v>
      </c>
      <c r="E412" s="150">
        <v>278</v>
      </c>
      <c r="F412" s="142">
        <v>30100</v>
      </c>
      <c r="G412" s="143">
        <v>25295</v>
      </c>
      <c r="H412" s="144">
        <v>4805</v>
      </c>
      <c r="I412" s="140">
        <v>1</v>
      </c>
      <c r="J412" s="114" t="str">
        <f t="shared" si="6"/>
        <v>INSERT INTO DOCUMENTOS (NRO_DOCUMENTO,FECHA_EMISION,TOTAL_BRUTO,TOTAL_NETO,TOTAL_IVA, ID_TIPO, RUT_EMPLEADO, ID_CLIENTE) VALUES(408,TO_DATE('14-03-2025','DD-MM-YYYY'),30100,25295,4805,1,'14526149-K',278);</v>
      </c>
    </row>
    <row r="413" spans="1:10">
      <c r="A413" s="149"/>
      <c r="B413" s="149">
        <v>409</v>
      </c>
      <c r="C413" s="118" t="s">
        <v>2236</v>
      </c>
      <c r="D413" t="s">
        <v>2090</v>
      </c>
      <c r="E413" s="150">
        <v>343</v>
      </c>
      <c r="F413" s="142">
        <v>32002</v>
      </c>
      <c r="G413" s="143">
        <v>26892</v>
      </c>
      <c r="H413" s="144">
        <v>5110</v>
      </c>
      <c r="I413" s="140">
        <v>1</v>
      </c>
      <c r="J413" s="114" t="str">
        <f t="shared" si="6"/>
        <v>INSERT INTO DOCUMENTOS (NRO_DOCUMENTO,FECHA_EMISION,TOTAL_BRUTO,TOTAL_NETO,TOTAL_IVA, ID_TIPO, RUT_EMPLEADO, ID_CLIENTE) VALUES(409,TO_DATE('14-03-2025','DD-MM-YYYY'),32002,26892,5110,1,'14526149-K',343);</v>
      </c>
    </row>
    <row r="414" spans="1:10">
      <c r="A414" s="149"/>
      <c r="B414" s="149">
        <v>410</v>
      </c>
      <c r="C414" s="118" t="s">
        <v>2236</v>
      </c>
      <c r="D414" t="s">
        <v>2090</v>
      </c>
      <c r="E414" s="150">
        <v>430</v>
      </c>
      <c r="F414" s="142">
        <v>12000</v>
      </c>
      <c r="G414" s="143">
        <v>10084</v>
      </c>
      <c r="H414" s="144">
        <v>1916</v>
      </c>
      <c r="I414" s="140">
        <v>1</v>
      </c>
      <c r="J414" s="114" t="str">
        <f t="shared" si="6"/>
        <v>INSERT INTO DOCUMENTOS (NRO_DOCUMENTO,FECHA_EMISION,TOTAL_BRUTO,TOTAL_NETO,TOTAL_IVA, ID_TIPO, RUT_EMPLEADO, ID_CLIENTE) VALUES(410,TO_DATE('14-03-2025','DD-MM-YYYY'),12000,10084,1916,1,'14526149-K',430);</v>
      </c>
    </row>
    <row r="415" spans="1:10">
      <c r="A415" s="149"/>
      <c r="B415" s="149">
        <v>411</v>
      </c>
      <c r="C415" s="118" t="s">
        <v>2236</v>
      </c>
      <c r="D415" t="s">
        <v>2090</v>
      </c>
      <c r="E415" s="150">
        <v>443</v>
      </c>
      <c r="F415" s="142">
        <v>10500</v>
      </c>
      <c r="G415" s="143">
        <v>8824</v>
      </c>
      <c r="H415" s="144">
        <v>1676</v>
      </c>
      <c r="I415" s="140">
        <v>1</v>
      </c>
      <c r="J415" s="114" t="str">
        <f t="shared" si="6"/>
        <v>INSERT INTO DOCUMENTOS (NRO_DOCUMENTO,FECHA_EMISION,TOTAL_BRUTO,TOTAL_NETO,TOTAL_IVA, ID_TIPO, RUT_EMPLEADO, ID_CLIENTE) VALUES(411,TO_DATE('14-03-2025','DD-MM-YYYY'),10500,8824,1676,1,'14526149-K',443);</v>
      </c>
    </row>
    <row r="416" spans="1:10">
      <c r="A416" s="149"/>
      <c r="B416" s="149">
        <v>412</v>
      </c>
      <c r="C416" s="151" t="s">
        <v>2237</v>
      </c>
      <c r="D416" t="s">
        <v>2090</v>
      </c>
      <c r="E416" s="150">
        <v>166</v>
      </c>
      <c r="F416" s="142">
        <v>8000</v>
      </c>
      <c r="G416" s="143">
        <v>6723</v>
      </c>
      <c r="H416" s="144">
        <v>1277</v>
      </c>
      <c r="I416" s="140">
        <v>1</v>
      </c>
      <c r="J416" s="114" t="str">
        <f t="shared" si="6"/>
        <v>INSERT INTO DOCUMENTOS (NRO_DOCUMENTO,FECHA_EMISION,TOTAL_BRUTO,TOTAL_NETO,TOTAL_IVA, ID_TIPO, RUT_EMPLEADO, ID_CLIENTE) VALUES(412,TO_DATE('15-03-2025','DD-MM-YYYY'),8000,6723,1277,1,'14526149-K',166);</v>
      </c>
    </row>
    <row r="417" spans="1:10">
      <c r="A417" s="149"/>
      <c r="B417" s="149">
        <v>413</v>
      </c>
      <c r="C417" s="118" t="s">
        <v>2237</v>
      </c>
      <c r="D417" t="s">
        <v>2090</v>
      </c>
      <c r="E417" s="150">
        <v>374</v>
      </c>
      <c r="F417" s="142">
        <v>10500</v>
      </c>
      <c r="G417" s="143">
        <v>8824</v>
      </c>
      <c r="H417" s="144">
        <v>1676</v>
      </c>
      <c r="I417" s="140">
        <v>1</v>
      </c>
      <c r="J417" s="114" t="str">
        <f t="shared" si="6"/>
        <v>INSERT INTO DOCUMENTOS (NRO_DOCUMENTO,FECHA_EMISION,TOTAL_BRUTO,TOTAL_NETO,TOTAL_IVA, ID_TIPO, RUT_EMPLEADO, ID_CLIENTE) VALUES(413,TO_DATE('15-03-2025','DD-MM-YYYY'),10500,8824,1676,1,'14526149-K',374);</v>
      </c>
    </row>
    <row r="418" spans="1:10">
      <c r="A418" s="149"/>
      <c r="B418" s="149">
        <v>414</v>
      </c>
      <c r="C418" s="118" t="s">
        <v>2237</v>
      </c>
      <c r="D418" t="s">
        <v>2090</v>
      </c>
      <c r="E418" s="150">
        <v>451</v>
      </c>
      <c r="F418" s="142">
        <v>13900</v>
      </c>
      <c r="G418" s="143">
        <v>11681</v>
      </c>
      <c r="H418" s="144">
        <v>2219</v>
      </c>
      <c r="I418" s="140">
        <v>1</v>
      </c>
      <c r="J418" s="114" t="str">
        <f t="shared" si="6"/>
        <v>INSERT INTO DOCUMENTOS (NRO_DOCUMENTO,FECHA_EMISION,TOTAL_BRUTO,TOTAL_NETO,TOTAL_IVA, ID_TIPO, RUT_EMPLEADO, ID_CLIENTE) VALUES(414,TO_DATE('15-03-2025','DD-MM-YYYY'),13900,11681,2219,1,'14526149-K',451);</v>
      </c>
    </row>
    <row r="419" spans="1:10">
      <c r="A419" s="149"/>
      <c r="B419" s="149">
        <v>415</v>
      </c>
      <c r="C419" s="151" t="s">
        <v>2238</v>
      </c>
      <c r="D419" t="s">
        <v>2090</v>
      </c>
      <c r="E419" s="150">
        <v>87</v>
      </c>
      <c r="F419" s="142">
        <v>8000</v>
      </c>
      <c r="G419" s="143">
        <v>6723</v>
      </c>
      <c r="H419" s="144">
        <v>1277</v>
      </c>
      <c r="I419" s="140">
        <v>1</v>
      </c>
      <c r="J419" s="114" t="str">
        <f t="shared" si="6"/>
        <v>INSERT INTO DOCUMENTOS (NRO_DOCUMENTO,FECHA_EMISION,TOTAL_BRUTO,TOTAL_NETO,TOTAL_IVA, ID_TIPO, RUT_EMPLEADO, ID_CLIENTE) VALUES(415,TO_DATE('16-03-2025','DD-MM-YYYY'),8000,6723,1277,1,'14526149-K',87);</v>
      </c>
    </row>
    <row r="420" spans="1:10">
      <c r="A420" s="149"/>
      <c r="B420" s="149">
        <v>416</v>
      </c>
      <c r="C420" s="118" t="s">
        <v>2238</v>
      </c>
      <c r="D420" t="s">
        <v>2090</v>
      </c>
      <c r="E420" s="150">
        <v>104</v>
      </c>
      <c r="F420" s="142">
        <v>8000</v>
      </c>
      <c r="G420" s="143">
        <v>6723</v>
      </c>
      <c r="H420" s="144">
        <v>1277</v>
      </c>
      <c r="I420" s="140">
        <v>1</v>
      </c>
      <c r="J420" s="114" t="str">
        <f t="shared" si="6"/>
        <v>INSERT INTO DOCUMENTOS (NRO_DOCUMENTO,FECHA_EMISION,TOTAL_BRUTO,TOTAL_NETO,TOTAL_IVA, ID_TIPO, RUT_EMPLEADO, ID_CLIENTE) VALUES(416,TO_DATE('16-03-2025','DD-MM-YYYY'),8000,6723,1277,1,'14526149-K',104);</v>
      </c>
    </row>
    <row r="421" spans="1:10">
      <c r="A421" s="149"/>
      <c r="B421" s="149">
        <v>417</v>
      </c>
      <c r="C421" s="118" t="s">
        <v>2238</v>
      </c>
      <c r="D421" t="s">
        <v>2090</v>
      </c>
      <c r="E421" s="150">
        <v>119</v>
      </c>
      <c r="F421" s="142">
        <v>43050</v>
      </c>
      <c r="G421" s="143">
        <v>36177</v>
      </c>
      <c r="H421" s="144">
        <v>6873</v>
      </c>
      <c r="I421" s="140">
        <v>1</v>
      </c>
      <c r="J421" s="114" t="str">
        <f t="shared" si="6"/>
        <v>INSERT INTO DOCUMENTOS (NRO_DOCUMENTO,FECHA_EMISION,TOTAL_BRUTO,TOTAL_NETO,TOTAL_IVA, ID_TIPO, RUT_EMPLEADO, ID_CLIENTE) VALUES(417,TO_DATE('16-03-2025','DD-MM-YYYY'),43050,36177,6873,1,'14526149-K',119);</v>
      </c>
    </row>
    <row r="422" spans="1:10">
      <c r="A422" s="149"/>
      <c r="B422" s="149">
        <v>418</v>
      </c>
      <c r="C422" s="118" t="s">
        <v>2238</v>
      </c>
      <c r="D422" t="s">
        <v>2090</v>
      </c>
      <c r="E422" s="150">
        <v>222</v>
      </c>
      <c r="F422" s="142">
        <v>9000</v>
      </c>
      <c r="G422" s="143">
        <v>7563</v>
      </c>
      <c r="H422" s="144">
        <v>1437</v>
      </c>
      <c r="I422" s="140">
        <v>1</v>
      </c>
      <c r="J422" s="114" t="str">
        <f t="shared" si="6"/>
        <v>INSERT INTO DOCUMENTOS (NRO_DOCUMENTO,FECHA_EMISION,TOTAL_BRUTO,TOTAL_NETO,TOTAL_IVA, ID_TIPO, RUT_EMPLEADO, ID_CLIENTE) VALUES(418,TO_DATE('16-03-2025','DD-MM-YYYY'),9000,7563,1437,1,'14526149-K',222);</v>
      </c>
    </row>
    <row r="423" spans="1:10">
      <c r="A423" s="149"/>
      <c r="B423" s="149">
        <v>419</v>
      </c>
      <c r="C423" s="118" t="s">
        <v>2238</v>
      </c>
      <c r="D423" t="s">
        <v>2090</v>
      </c>
      <c r="E423" s="150">
        <v>268</v>
      </c>
      <c r="F423" s="142">
        <v>61790</v>
      </c>
      <c r="G423" s="143">
        <v>51925</v>
      </c>
      <c r="H423" s="144">
        <v>9865</v>
      </c>
      <c r="I423" s="140">
        <v>1</v>
      </c>
      <c r="J423" s="114" t="str">
        <f t="shared" si="6"/>
        <v>INSERT INTO DOCUMENTOS (NRO_DOCUMENTO,FECHA_EMISION,TOTAL_BRUTO,TOTAL_NETO,TOTAL_IVA, ID_TIPO, RUT_EMPLEADO, ID_CLIENTE) VALUES(419,TO_DATE('16-03-2025','DD-MM-YYYY'),61790,51925,9865,1,'14526149-K',268);</v>
      </c>
    </row>
    <row r="424" spans="1:10">
      <c r="A424" s="149"/>
      <c r="B424" s="149">
        <v>420</v>
      </c>
      <c r="C424" s="118" t="s">
        <v>2238</v>
      </c>
      <c r="D424" t="s">
        <v>2090</v>
      </c>
      <c r="E424" s="150">
        <v>407</v>
      </c>
      <c r="F424" s="142">
        <v>8000</v>
      </c>
      <c r="G424" s="143">
        <v>6723</v>
      </c>
      <c r="H424" s="144">
        <v>1277</v>
      </c>
      <c r="I424" s="140">
        <v>1</v>
      </c>
      <c r="J424" s="114" t="str">
        <f t="shared" si="6"/>
        <v>INSERT INTO DOCUMENTOS (NRO_DOCUMENTO,FECHA_EMISION,TOTAL_BRUTO,TOTAL_NETO,TOTAL_IVA, ID_TIPO, RUT_EMPLEADO, ID_CLIENTE) VALUES(420,TO_DATE('16-03-2025','DD-MM-YYYY'),8000,6723,1277,1,'14526149-K',407);</v>
      </c>
    </row>
    <row r="425" spans="1:10">
      <c r="A425" s="149"/>
      <c r="B425" s="149">
        <v>421</v>
      </c>
      <c r="C425" s="118" t="s">
        <v>2238</v>
      </c>
      <c r="D425" t="s">
        <v>2090</v>
      </c>
      <c r="E425" s="150">
        <v>470</v>
      </c>
      <c r="F425" s="142">
        <v>8000</v>
      </c>
      <c r="G425" s="143">
        <v>6723</v>
      </c>
      <c r="H425" s="144">
        <v>1277</v>
      </c>
      <c r="I425" s="140">
        <v>1</v>
      </c>
      <c r="J425" s="114" t="str">
        <f t="shared" si="6"/>
        <v>INSERT INTO DOCUMENTOS (NRO_DOCUMENTO,FECHA_EMISION,TOTAL_BRUTO,TOTAL_NETO,TOTAL_IVA, ID_TIPO, RUT_EMPLEADO, ID_CLIENTE) VALUES(421,TO_DATE('16-03-2025','DD-MM-YYYY'),8000,6723,1277,1,'14526149-K',470);</v>
      </c>
    </row>
    <row r="426" spans="1:10">
      <c r="A426" s="149"/>
      <c r="B426" s="149">
        <v>422</v>
      </c>
      <c r="C426" s="151" t="s">
        <v>2239</v>
      </c>
      <c r="D426" t="s">
        <v>2090</v>
      </c>
      <c r="E426" s="150">
        <v>416</v>
      </c>
      <c r="F426" s="142">
        <v>19500</v>
      </c>
      <c r="G426" s="143">
        <v>16387</v>
      </c>
      <c r="H426" s="144">
        <v>3113</v>
      </c>
      <c r="I426" s="140">
        <v>1</v>
      </c>
      <c r="J426" s="114" t="str">
        <f t="shared" si="6"/>
        <v>INSERT INTO DOCUMENTOS (NRO_DOCUMENTO,FECHA_EMISION,TOTAL_BRUTO,TOTAL_NETO,TOTAL_IVA, ID_TIPO, RUT_EMPLEADO, ID_CLIENTE) VALUES(422,TO_DATE('17-03-2025','DD-MM-YYYY'),19500,16387,3113,1,'14526149-K',416);</v>
      </c>
    </row>
    <row r="427" spans="1:10">
      <c r="A427" s="149"/>
      <c r="B427" s="149">
        <v>423</v>
      </c>
      <c r="C427" s="151" t="s">
        <v>2240</v>
      </c>
      <c r="D427" t="s">
        <v>2090</v>
      </c>
      <c r="E427" s="150">
        <v>86</v>
      </c>
      <c r="F427" s="142">
        <v>33200</v>
      </c>
      <c r="G427" s="143">
        <v>27899</v>
      </c>
      <c r="H427" s="144">
        <v>5301</v>
      </c>
      <c r="I427" s="140">
        <v>1</v>
      </c>
      <c r="J427" s="114" t="str">
        <f t="shared" si="6"/>
        <v>INSERT INTO DOCUMENTOS (NRO_DOCUMENTO,FECHA_EMISION,TOTAL_BRUTO,TOTAL_NETO,TOTAL_IVA, ID_TIPO, RUT_EMPLEADO, ID_CLIENTE) VALUES(423,TO_DATE('18-03-2025','DD-MM-YYYY'),33200,27899,5301,1,'14526149-K',86);</v>
      </c>
    </row>
    <row r="428" spans="1:10">
      <c r="A428" s="149"/>
      <c r="B428" s="149">
        <v>424</v>
      </c>
      <c r="C428" s="118" t="s">
        <v>2240</v>
      </c>
      <c r="D428" t="s">
        <v>2090</v>
      </c>
      <c r="E428" s="150">
        <v>128</v>
      </c>
      <c r="F428" s="142">
        <v>8300</v>
      </c>
      <c r="G428" s="143">
        <v>6975</v>
      </c>
      <c r="H428" s="144">
        <v>1325</v>
      </c>
      <c r="I428" s="140">
        <v>1</v>
      </c>
      <c r="J428" s="114" t="str">
        <f t="shared" si="6"/>
        <v>INSERT INTO DOCUMENTOS (NRO_DOCUMENTO,FECHA_EMISION,TOTAL_BRUTO,TOTAL_NETO,TOTAL_IVA, ID_TIPO, RUT_EMPLEADO, ID_CLIENTE) VALUES(424,TO_DATE('18-03-2025','DD-MM-YYYY'),8300,6975,1325,1,'14526149-K',128);</v>
      </c>
    </row>
    <row r="429" spans="1:10">
      <c r="A429" s="149"/>
      <c r="B429" s="149">
        <v>425</v>
      </c>
      <c r="C429" s="118" t="s">
        <v>2240</v>
      </c>
      <c r="D429" t="s">
        <v>2090</v>
      </c>
      <c r="E429" s="150">
        <v>167</v>
      </c>
      <c r="F429" s="142">
        <v>15500</v>
      </c>
      <c r="G429" s="143">
        <v>13025</v>
      </c>
      <c r="H429" s="144">
        <v>2475</v>
      </c>
      <c r="I429" s="140">
        <v>1</v>
      </c>
      <c r="J429" s="114" t="str">
        <f t="shared" si="6"/>
        <v>INSERT INTO DOCUMENTOS (NRO_DOCUMENTO,FECHA_EMISION,TOTAL_BRUTO,TOTAL_NETO,TOTAL_IVA, ID_TIPO, RUT_EMPLEADO, ID_CLIENTE) VALUES(425,TO_DATE('18-03-2025','DD-MM-YYYY'),15500,13025,2475,1,'14526149-K',167);</v>
      </c>
    </row>
    <row r="430" spans="1:10">
      <c r="A430" s="149"/>
      <c r="B430" s="149">
        <v>426</v>
      </c>
      <c r="C430" s="118" t="s">
        <v>2240</v>
      </c>
      <c r="D430" t="s">
        <v>2090</v>
      </c>
      <c r="E430" s="150">
        <v>179</v>
      </c>
      <c r="F430" s="142">
        <v>17500</v>
      </c>
      <c r="G430" s="143">
        <v>14706</v>
      </c>
      <c r="H430" s="144">
        <v>2794</v>
      </c>
      <c r="I430" s="140">
        <v>1</v>
      </c>
      <c r="J430" s="114" t="str">
        <f t="shared" si="6"/>
        <v>INSERT INTO DOCUMENTOS (NRO_DOCUMENTO,FECHA_EMISION,TOTAL_BRUTO,TOTAL_NETO,TOTAL_IVA, ID_TIPO, RUT_EMPLEADO, ID_CLIENTE) VALUES(426,TO_DATE('18-03-2025','DD-MM-YYYY'),17500,14706,2794,1,'14526149-K',179);</v>
      </c>
    </row>
    <row r="431" spans="1:10">
      <c r="A431" s="149"/>
      <c r="B431" s="149">
        <v>427</v>
      </c>
      <c r="C431" s="118" t="s">
        <v>2240</v>
      </c>
      <c r="D431" t="s">
        <v>2090</v>
      </c>
      <c r="E431" s="150">
        <v>227</v>
      </c>
      <c r="F431" s="142">
        <v>8300</v>
      </c>
      <c r="G431" s="143">
        <v>6975</v>
      </c>
      <c r="H431" s="144">
        <v>1325</v>
      </c>
      <c r="I431" s="140">
        <v>1</v>
      </c>
      <c r="J431" s="114" t="str">
        <f t="shared" si="6"/>
        <v>INSERT INTO DOCUMENTOS (NRO_DOCUMENTO,FECHA_EMISION,TOTAL_BRUTO,TOTAL_NETO,TOTAL_IVA, ID_TIPO, RUT_EMPLEADO, ID_CLIENTE) VALUES(427,TO_DATE('18-03-2025','DD-MM-YYYY'),8300,6975,1325,1,'14526149-K',227);</v>
      </c>
    </row>
    <row r="432" spans="1:10">
      <c r="A432" s="149"/>
      <c r="B432" s="149">
        <v>428</v>
      </c>
      <c r="C432" s="118" t="s">
        <v>2240</v>
      </c>
      <c r="D432" t="s">
        <v>2090</v>
      </c>
      <c r="E432" s="150">
        <v>239</v>
      </c>
      <c r="F432" s="142">
        <v>53500</v>
      </c>
      <c r="G432" s="143">
        <v>44958</v>
      </c>
      <c r="H432" s="144">
        <v>8542</v>
      </c>
      <c r="I432" s="140">
        <v>1</v>
      </c>
      <c r="J432" s="114" t="str">
        <f t="shared" si="6"/>
        <v>INSERT INTO DOCUMENTOS (NRO_DOCUMENTO,FECHA_EMISION,TOTAL_BRUTO,TOTAL_NETO,TOTAL_IVA, ID_TIPO, RUT_EMPLEADO, ID_CLIENTE) VALUES(428,TO_DATE('18-03-2025','DD-MM-YYYY'),53500,44958,8542,1,'14526149-K',239);</v>
      </c>
    </row>
    <row r="433" spans="1:10">
      <c r="A433" s="149"/>
      <c r="B433" s="149">
        <v>429</v>
      </c>
      <c r="C433" s="118" t="s">
        <v>2240</v>
      </c>
      <c r="D433" t="s">
        <v>2090</v>
      </c>
      <c r="E433" s="150">
        <v>274</v>
      </c>
      <c r="F433" s="142">
        <v>19990</v>
      </c>
      <c r="G433" s="143">
        <v>16798</v>
      </c>
      <c r="H433" s="144">
        <v>3192</v>
      </c>
      <c r="I433" s="140">
        <v>1</v>
      </c>
      <c r="J433" s="114" t="str">
        <f t="shared" si="6"/>
        <v>INSERT INTO DOCUMENTOS (NRO_DOCUMENTO,FECHA_EMISION,TOTAL_BRUTO,TOTAL_NETO,TOTAL_IVA, ID_TIPO, RUT_EMPLEADO, ID_CLIENTE) VALUES(429,TO_DATE('18-03-2025','DD-MM-YYYY'),19990,16798,3192,1,'14526149-K',274);</v>
      </c>
    </row>
    <row r="434" spans="1:10">
      <c r="A434" s="149"/>
      <c r="B434" s="149">
        <v>430</v>
      </c>
      <c r="C434" s="118" t="s">
        <v>2240</v>
      </c>
      <c r="D434" t="s">
        <v>2090</v>
      </c>
      <c r="E434" s="150">
        <v>386</v>
      </c>
      <c r="F434" s="142">
        <v>23200</v>
      </c>
      <c r="G434" s="143">
        <v>19496</v>
      </c>
      <c r="H434" s="144">
        <v>3704</v>
      </c>
      <c r="I434" s="140">
        <v>1</v>
      </c>
      <c r="J434" s="114" t="str">
        <f t="shared" si="6"/>
        <v>INSERT INTO DOCUMENTOS (NRO_DOCUMENTO,FECHA_EMISION,TOTAL_BRUTO,TOTAL_NETO,TOTAL_IVA, ID_TIPO, RUT_EMPLEADO, ID_CLIENTE) VALUES(430,TO_DATE('18-03-2025','DD-MM-YYYY'),23200,19496,3704,1,'14526149-K',386);</v>
      </c>
    </row>
    <row r="435" spans="1:10">
      <c r="A435" s="149"/>
      <c r="B435" s="149">
        <v>431</v>
      </c>
      <c r="C435" s="118" t="s">
        <v>2240</v>
      </c>
      <c r="D435" t="s">
        <v>2090</v>
      </c>
      <c r="E435" s="150">
        <v>411</v>
      </c>
      <c r="F435" s="142">
        <v>16900</v>
      </c>
      <c r="G435" s="143">
        <v>14202</v>
      </c>
      <c r="H435" s="144">
        <v>2698</v>
      </c>
      <c r="I435" s="140">
        <v>1</v>
      </c>
      <c r="J435" s="114" t="str">
        <f t="shared" si="6"/>
        <v>INSERT INTO DOCUMENTOS (NRO_DOCUMENTO,FECHA_EMISION,TOTAL_BRUTO,TOTAL_NETO,TOTAL_IVA, ID_TIPO, RUT_EMPLEADO, ID_CLIENTE) VALUES(431,TO_DATE('18-03-2025','DD-MM-YYYY'),16900,14202,2698,1,'14526149-K',411);</v>
      </c>
    </row>
    <row r="436" spans="1:10">
      <c r="A436" s="149"/>
      <c r="B436" s="149">
        <v>432</v>
      </c>
      <c r="C436" s="118" t="s">
        <v>2240</v>
      </c>
      <c r="D436" t="s">
        <v>2090</v>
      </c>
      <c r="E436" s="150">
        <v>446</v>
      </c>
      <c r="F436" s="142">
        <v>6600</v>
      </c>
      <c r="G436" s="143">
        <v>5546</v>
      </c>
      <c r="H436" s="144">
        <v>1054</v>
      </c>
      <c r="I436" s="140">
        <v>1</v>
      </c>
      <c r="J436" s="114" t="str">
        <f t="shared" si="6"/>
        <v>INSERT INTO DOCUMENTOS (NRO_DOCUMENTO,FECHA_EMISION,TOTAL_BRUTO,TOTAL_NETO,TOTAL_IVA, ID_TIPO, RUT_EMPLEADO, ID_CLIENTE) VALUES(432,TO_DATE('18-03-2025','DD-MM-YYYY'),6600,5546,1054,1,'14526149-K',446);</v>
      </c>
    </row>
    <row r="437" spans="1:10">
      <c r="A437" s="149"/>
      <c r="B437" s="149">
        <v>433</v>
      </c>
      <c r="C437" s="151" t="s">
        <v>2241</v>
      </c>
      <c r="D437" t="s">
        <v>2090</v>
      </c>
      <c r="E437" s="150">
        <v>41</v>
      </c>
      <c r="F437" s="142">
        <v>33200</v>
      </c>
      <c r="G437" s="143">
        <v>27899</v>
      </c>
      <c r="H437" s="144">
        <v>5301</v>
      </c>
      <c r="I437" s="140">
        <v>1</v>
      </c>
      <c r="J437" s="114" t="str">
        <f t="shared" si="6"/>
        <v>INSERT INTO DOCUMENTOS (NRO_DOCUMENTO,FECHA_EMISION,TOTAL_BRUTO,TOTAL_NETO,TOTAL_IVA, ID_TIPO, RUT_EMPLEADO, ID_CLIENTE) VALUES(433,TO_DATE('19-03-2025','DD-MM-YYYY'),33200,27899,5301,1,'14526149-K',41);</v>
      </c>
    </row>
    <row r="438" spans="1:10">
      <c r="A438" s="149"/>
      <c r="B438" s="149">
        <v>434</v>
      </c>
      <c r="C438" s="118" t="s">
        <v>2241</v>
      </c>
      <c r="D438" t="s">
        <v>2090</v>
      </c>
      <c r="E438" s="150">
        <v>92</v>
      </c>
      <c r="F438" s="142">
        <v>4000</v>
      </c>
      <c r="G438" s="143">
        <v>3361</v>
      </c>
      <c r="H438" s="144">
        <v>639</v>
      </c>
      <c r="I438" s="140">
        <v>1</v>
      </c>
      <c r="J438" s="114" t="str">
        <f t="shared" si="6"/>
        <v>INSERT INTO DOCUMENTOS (NRO_DOCUMENTO,FECHA_EMISION,TOTAL_BRUTO,TOTAL_NETO,TOTAL_IVA, ID_TIPO, RUT_EMPLEADO, ID_CLIENTE) VALUES(434,TO_DATE('19-03-2025','DD-MM-YYYY'),4000,3361,639,1,'14526149-K',92);</v>
      </c>
    </row>
    <row r="439" spans="1:10">
      <c r="A439" s="149"/>
      <c r="B439" s="149">
        <v>435</v>
      </c>
      <c r="C439" s="118" t="s">
        <v>2241</v>
      </c>
      <c r="D439" t="s">
        <v>2090</v>
      </c>
      <c r="E439" s="150">
        <v>108</v>
      </c>
      <c r="F439" s="142">
        <v>13800</v>
      </c>
      <c r="G439" s="143">
        <v>11597</v>
      </c>
      <c r="H439" s="144">
        <v>2203</v>
      </c>
      <c r="I439" s="140">
        <v>1</v>
      </c>
      <c r="J439" s="114" t="str">
        <f t="shared" si="6"/>
        <v>INSERT INTO DOCUMENTOS (NRO_DOCUMENTO,FECHA_EMISION,TOTAL_BRUTO,TOTAL_NETO,TOTAL_IVA, ID_TIPO, RUT_EMPLEADO, ID_CLIENTE) VALUES(435,TO_DATE('19-03-2025','DD-MM-YYYY'),13800,11597,2203,1,'14526149-K',108);</v>
      </c>
    </row>
    <row r="440" spans="1:10">
      <c r="A440" s="149"/>
      <c r="B440" s="149">
        <v>436</v>
      </c>
      <c r="C440" s="118" t="s">
        <v>2241</v>
      </c>
      <c r="D440" t="s">
        <v>2090</v>
      </c>
      <c r="E440" s="150">
        <v>166</v>
      </c>
      <c r="F440" s="142">
        <v>7300</v>
      </c>
      <c r="G440" s="143">
        <v>6134</v>
      </c>
      <c r="H440" s="144">
        <v>1166</v>
      </c>
      <c r="I440" s="140">
        <v>1</v>
      </c>
      <c r="J440" s="114" t="str">
        <f t="shared" si="6"/>
        <v>INSERT INTO DOCUMENTOS (NRO_DOCUMENTO,FECHA_EMISION,TOTAL_BRUTO,TOTAL_NETO,TOTAL_IVA, ID_TIPO, RUT_EMPLEADO, ID_CLIENTE) VALUES(436,TO_DATE('19-03-2025','DD-MM-YYYY'),7300,6134,1166,1,'14526149-K',166);</v>
      </c>
    </row>
    <row r="441" spans="1:10">
      <c r="A441" s="149"/>
      <c r="B441" s="149">
        <v>437</v>
      </c>
      <c r="C441" s="118" t="s">
        <v>2241</v>
      </c>
      <c r="D441" t="s">
        <v>2090</v>
      </c>
      <c r="E441" s="150">
        <v>222</v>
      </c>
      <c r="F441" s="142">
        <v>13700</v>
      </c>
      <c r="G441" s="143">
        <v>11513</v>
      </c>
      <c r="H441" s="144">
        <v>2187</v>
      </c>
      <c r="I441" s="140">
        <v>1</v>
      </c>
      <c r="J441" s="114" t="str">
        <f t="shared" si="6"/>
        <v>INSERT INTO DOCUMENTOS (NRO_DOCUMENTO,FECHA_EMISION,TOTAL_BRUTO,TOTAL_NETO,TOTAL_IVA, ID_TIPO, RUT_EMPLEADO, ID_CLIENTE) VALUES(437,TO_DATE('19-03-2025','DD-MM-YYYY'),13700,11513,2187,1,'14526149-K',222);</v>
      </c>
    </row>
    <row r="442" spans="1:10">
      <c r="A442" s="149"/>
      <c r="B442" s="149">
        <v>438</v>
      </c>
      <c r="C442" s="118" t="s">
        <v>2241</v>
      </c>
      <c r="D442" t="s">
        <v>2090</v>
      </c>
      <c r="E442" s="150">
        <v>342</v>
      </c>
      <c r="F442" s="142">
        <v>83160</v>
      </c>
      <c r="G442" s="143">
        <v>69882</v>
      </c>
      <c r="H442" s="144">
        <v>13278</v>
      </c>
      <c r="I442" s="140">
        <v>1</v>
      </c>
      <c r="J442" s="114" t="str">
        <f t="shared" si="6"/>
        <v>INSERT INTO DOCUMENTOS (NRO_DOCUMENTO,FECHA_EMISION,TOTAL_BRUTO,TOTAL_NETO,TOTAL_IVA, ID_TIPO, RUT_EMPLEADO, ID_CLIENTE) VALUES(438,TO_DATE('19-03-2025','DD-MM-YYYY'),83160,69882,13278,1,'14526149-K',342);</v>
      </c>
    </row>
    <row r="443" spans="1:10">
      <c r="A443" s="149"/>
      <c r="B443" s="149">
        <v>439</v>
      </c>
      <c r="C443" s="118" t="s">
        <v>2241</v>
      </c>
      <c r="D443" t="s">
        <v>2090</v>
      </c>
      <c r="E443" s="150">
        <v>419</v>
      </c>
      <c r="F443" s="142">
        <v>5500</v>
      </c>
      <c r="G443" s="143">
        <v>4622</v>
      </c>
      <c r="H443" s="144">
        <v>878</v>
      </c>
      <c r="I443" s="140">
        <v>1</v>
      </c>
      <c r="J443" s="114" t="str">
        <f t="shared" si="6"/>
        <v>INSERT INTO DOCUMENTOS (NRO_DOCUMENTO,FECHA_EMISION,TOTAL_BRUTO,TOTAL_NETO,TOTAL_IVA, ID_TIPO, RUT_EMPLEADO, ID_CLIENTE) VALUES(439,TO_DATE('19-03-2025','DD-MM-YYYY'),5500,4622,878,1,'14526149-K',419);</v>
      </c>
    </row>
    <row r="444" spans="1:10">
      <c r="A444" s="149"/>
      <c r="B444" s="149">
        <v>440</v>
      </c>
      <c r="C444" s="151" t="s">
        <v>2242</v>
      </c>
      <c r="D444" t="s">
        <v>2090</v>
      </c>
      <c r="E444" s="150">
        <v>63</v>
      </c>
      <c r="F444" s="142">
        <v>8300</v>
      </c>
      <c r="G444" s="143">
        <v>6975</v>
      </c>
      <c r="H444" s="144">
        <v>1325</v>
      </c>
      <c r="I444" s="140">
        <v>1</v>
      </c>
      <c r="J444" s="114" t="str">
        <f t="shared" si="6"/>
        <v>INSERT INTO DOCUMENTOS (NRO_DOCUMENTO,FECHA_EMISION,TOTAL_BRUTO,TOTAL_NETO,TOTAL_IVA, ID_TIPO, RUT_EMPLEADO, ID_CLIENTE) VALUES(440,TO_DATE('20-03-2025','DD-MM-YYYY'),8300,6975,1325,1,'14526149-K',63);</v>
      </c>
    </row>
    <row r="445" spans="1:10">
      <c r="A445" s="149"/>
      <c r="B445" s="149">
        <v>441</v>
      </c>
      <c r="C445" s="118" t="s">
        <v>2242</v>
      </c>
      <c r="D445" t="s">
        <v>2090</v>
      </c>
      <c r="E445" s="150">
        <v>155</v>
      </c>
      <c r="F445" s="142">
        <v>8300</v>
      </c>
      <c r="G445" s="143">
        <v>6975</v>
      </c>
      <c r="H445" s="144">
        <v>1325</v>
      </c>
      <c r="I445" s="140">
        <v>1</v>
      </c>
      <c r="J445" s="114" t="str">
        <f t="shared" si="6"/>
        <v>INSERT INTO DOCUMENTOS (NRO_DOCUMENTO,FECHA_EMISION,TOTAL_BRUTO,TOTAL_NETO,TOTAL_IVA, ID_TIPO, RUT_EMPLEADO, ID_CLIENTE) VALUES(441,TO_DATE('20-03-2025','DD-MM-YYYY'),8300,6975,1325,1,'14526149-K',155);</v>
      </c>
    </row>
    <row r="446" spans="1:10">
      <c r="A446" s="149"/>
      <c r="B446" s="149">
        <v>442</v>
      </c>
      <c r="C446" s="118" t="s">
        <v>2242</v>
      </c>
      <c r="D446" t="s">
        <v>2090</v>
      </c>
      <c r="E446" s="150">
        <v>212</v>
      </c>
      <c r="F446" s="142">
        <v>2500</v>
      </c>
      <c r="G446" s="143">
        <v>2101</v>
      </c>
      <c r="H446" s="144">
        <v>399</v>
      </c>
      <c r="I446" s="140">
        <v>1</v>
      </c>
      <c r="J446" s="114" t="str">
        <f t="shared" si="6"/>
        <v>INSERT INTO DOCUMENTOS (NRO_DOCUMENTO,FECHA_EMISION,TOTAL_BRUTO,TOTAL_NETO,TOTAL_IVA, ID_TIPO, RUT_EMPLEADO, ID_CLIENTE) VALUES(442,TO_DATE('20-03-2025','DD-MM-YYYY'),2500,2101,399,1,'14526149-K',212);</v>
      </c>
    </row>
    <row r="447" spans="1:10">
      <c r="A447" s="149"/>
      <c r="B447" s="149">
        <v>443</v>
      </c>
      <c r="C447" s="118" t="s">
        <v>2242</v>
      </c>
      <c r="D447" t="s">
        <v>2090</v>
      </c>
      <c r="E447" s="150">
        <v>254</v>
      </c>
      <c r="F447" s="142">
        <v>26500</v>
      </c>
      <c r="G447" s="143">
        <v>22269</v>
      </c>
      <c r="H447" s="144">
        <v>4231</v>
      </c>
      <c r="I447" s="140">
        <v>1</v>
      </c>
      <c r="J447" s="114" t="str">
        <f t="shared" si="6"/>
        <v>INSERT INTO DOCUMENTOS (NRO_DOCUMENTO,FECHA_EMISION,TOTAL_BRUTO,TOTAL_NETO,TOTAL_IVA, ID_TIPO, RUT_EMPLEADO, ID_CLIENTE) VALUES(443,TO_DATE('20-03-2025','DD-MM-YYYY'),26500,22269,4231,1,'14526149-K',254);</v>
      </c>
    </row>
    <row r="448" spans="1:10">
      <c r="A448" s="149"/>
      <c r="B448" s="149">
        <v>444</v>
      </c>
      <c r="C448" s="118" t="s">
        <v>2242</v>
      </c>
      <c r="D448" t="s">
        <v>2090</v>
      </c>
      <c r="E448" s="150">
        <v>402</v>
      </c>
      <c r="F448" s="142">
        <v>8300</v>
      </c>
      <c r="G448" s="143">
        <v>6975</v>
      </c>
      <c r="H448" s="144">
        <v>1325</v>
      </c>
      <c r="I448" s="140">
        <v>1</v>
      </c>
      <c r="J448" s="114" t="str">
        <f t="shared" si="6"/>
        <v>INSERT INTO DOCUMENTOS (NRO_DOCUMENTO,FECHA_EMISION,TOTAL_BRUTO,TOTAL_NETO,TOTAL_IVA, ID_TIPO, RUT_EMPLEADO, ID_CLIENTE) VALUES(444,TO_DATE('20-03-2025','DD-MM-YYYY'),8300,6975,1325,1,'14526149-K',402);</v>
      </c>
    </row>
    <row r="449" spans="1:10">
      <c r="A449" s="149"/>
      <c r="B449" s="149">
        <v>445</v>
      </c>
      <c r="C449" s="118" t="s">
        <v>2242</v>
      </c>
      <c r="D449" t="s">
        <v>2090</v>
      </c>
      <c r="E449" s="150">
        <v>451</v>
      </c>
      <c r="F449" s="142">
        <v>22990</v>
      </c>
      <c r="G449" s="143">
        <v>19319</v>
      </c>
      <c r="H449" s="144">
        <v>3671</v>
      </c>
      <c r="I449" s="140">
        <v>1</v>
      </c>
      <c r="J449" s="114" t="str">
        <f t="shared" si="6"/>
        <v>INSERT INTO DOCUMENTOS (NRO_DOCUMENTO,FECHA_EMISION,TOTAL_BRUTO,TOTAL_NETO,TOTAL_IVA, ID_TIPO, RUT_EMPLEADO, ID_CLIENTE) VALUES(445,TO_DATE('20-03-2025','DD-MM-YYYY'),22990,19319,3671,1,'14526149-K',451);</v>
      </c>
    </row>
    <row r="450" spans="1:10">
      <c r="A450" s="149"/>
      <c r="B450" s="149">
        <v>446</v>
      </c>
      <c r="C450" s="118" t="s">
        <v>2242</v>
      </c>
      <c r="D450" t="s">
        <v>2090</v>
      </c>
      <c r="E450" s="150">
        <v>476</v>
      </c>
      <c r="F450" s="142">
        <v>8300</v>
      </c>
      <c r="G450" s="143">
        <v>6975</v>
      </c>
      <c r="H450" s="144">
        <v>1325</v>
      </c>
      <c r="I450" s="140">
        <v>1</v>
      </c>
      <c r="J450" s="114" t="str">
        <f t="shared" si="6"/>
        <v>INSERT INTO DOCUMENTOS (NRO_DOCUMENTO,FECHA_EMISION,TOTAL_BRUTO,TOTAL_NETO,TOTAL_IVA, ID_TIPO, RUT_EMPLEADO, ID_CLIENTE) VALUES(446,TO_DATE('20-03-2025','DD-MM-YYYY'),8300,6975,1325,1,'14526149-K',476);</v>
      </c>
    </row>
    <row r="451" spans="1:10">
      <c r="A451" s="149"/>
      <c r="B451" s="149">
        <v>447</v>
      </c>
      <c r="C451" s="151" t="s">
        <v>2243</v>
      </c>
      <c r="D451" t="s">
        <v>2090</v>
      </c>
      <c r="E451" s="150">
        <v>1</v>
      </c>
      <c r="F451" s="142">
        <v>9800</v>
      </c>
      <c r="G451" s="143">
        <v>8235</v>
      </c>
      <c r="H451" s="144">
        <v>1565</v>
      </c>
      <c r="I451" s="140">
        <v>1</v>
      </c>
      <c r="J451" s="114" t="str">
        <f t="shared" si="6"/>
        <v>INSERT INTO DOCUMENTOS (NRO_DOCUMENTO,FECHA_EMISION,TOTAL_BRUTO,TOTAL_NETO,TOTAL_IVA, ID_TIPO, RUT_EMPLEADO, ID_CLIENTE) VALUES(447,TO_DATE('21-03-2025','DD-MM-YYYY'),9800,8235,1565,1,'14526149-K',1);</v>
      </c>
    </row>
    <row r="452" spans="1:10">
      <c r="A452" s="149"/>
      <c r="B452" s="149">
        <v>448</v>
      </c>
      <c r="C452" s="118" t="s">
        <v>2243</v>
      </c>
      <c r="D452" t="s">
        <v>2090</v>
      </c>
      <c r="E452" s="150">
        <v>98</v>
      </c>
      <c r="F452" s="142">
        <v>5500</v>
      </c>
      <c r="G452" s="143">
        <v>4622</v>
      </c>
      <c r="H452" s="144">
        <v>878</v>
      </c>
      <c r="I452" s="140">
        <v>1</v>
      </c>
      <c r="J452" s="114" t="str">
        <f t="shared" si="6"/>
        <v>INSERT INTO DOCUMENTOS (NRO_DOCUMENTO,FECHA_EMISION,TOTAL_BRUTO,TOTAL_NETO,TOTAL_IVA, ID_TIPO, RUT_EMPLEADO, ID_CLIENTE) VALUES(448,TO_DATE('21-03-2025','DD-MM-YYYY'),5500,4622,878,1,'14526149-K',98);</v>
      </c>
    </row>
    <row r="453" spans="1:10">
      <c r="A453" s="149"/>
      <c r="B453" s="149">
        <v>449</v>
      </c>
      <c r="C453" s="118" t="s">
        <v>2243</v>
      </c>
      <c r="D453" t="s">
        <v>2090</v>
      </c>
      <c r="E453" s="150">
        <v>122</v>
      </c>
      <c r="F453" s="142">
        <v>17990</v>
      </c>
      <c r="G453" s="143">
        <v>15118</v>
      </c>
      <c r="H453" s="144">
        <v>2872</v>
      </c>
      <c r="I453" s="140">
        <v>1</v>
      </c>
      <c r="J453" s="114" t="str">
        <f t="shared" si="6"/>
        <v>INSERT INTO DOCUMENTOS (NRO_DOCUMENTO,FECHA_EMISION,TOTAL_BRUTO,TOTAL_NETO,TOTAL_IVA, ID_TIPO, RUT_EMPLEADO, ID_CLIENTE) VALUES(449,TO_DATE('21-03-2025','DD-MM-YYYY'),17990,15118,2872,1,'14526149-K',122);</v>
      </c>
    </row>
    <row r="454" spans="1:10">
      <c r="A454" s="149"/>
      <c r="B454" s="150">
        <v>450</v>
      </c>
      <c r="C454" s="118" t="s">
        <v>2243</v>
      </c>
      <c r="D454" t="s">
        <v>2090</v>
      </c>
      <c r="E454" s="150">
        <v>230</v>
      </c>
      <c r="F454" s="142">
        <v>33200</v>
      </c>
      <c r="G454" s="143">
        <v>27899</v>
      </c>
      <c r="H454" s="144">
        <v>5301</v>
      </c>
      <c r="I454" s="140">
        <v>1</v>
      </c>
      <c r="J454" s="114" t="str">
        <f t="shared" ref="J454:J517" si="7">CONCATENATE("INSERT INTO DOCUMENTOS (NRO_DOCUMENTO,FECHA_EMISION,TOTAL_BRUTO,TOTAL_NETO,TOTAL_IVA, ID_TIPO, RUT_EMPLEADO, ID_CLIENTE) VALUES(",B454,",","TO_DATE('",C454,"'",",'DD-MM-YYYY'),",F454,",",G454,",",H454,",",I454,",","'",D454,"',",E454,");")</f>
        <v>INSERT INTO DOCUMENTOS (NRO_DOCUMENTO,FECHA_EMISION,TOTAL_BRUTO,TOTAL_NETO,TOTAL_IVA, ID_TIPO, RUT_EMPLEADO, ID_CLIENTE) VALUES(450,TO_DATE('21-03-2025','DD-MM-YYYY'),33200,27899,5301,1,'14526149-K',230);</v>
      </c>
    </row>
    <row r="455" spans="1:10">
      <c r="A455" s="149"/>
      <c r="B455" s="149">
        <v>451</v>
      </c>
      <c r="C455" s="118" t="s">
        <v>2243</v>
      </c>
      <c r="D455" t="s">
        <v>2090</v>
      </c>
      <c r="E455" s="150">
        <v>241</v>
      </c>
      <c r="F455" s="142">
        <v>8000</v>
      </c>
      <c r="G455" s="143">
        <v>6723</v>
      </c>
      <c r="H455" s="144">
        <v>1277</v>
      </c>
      <c r="I455" s="140">
        <v>1</v>
      </c>
      <c r="J455" s="114" t="str">
        <f t="shared" si="7"/>
        <v>INSERT INTO DOCUMENTOS (NRO_DOCUMENTO,FECHA_EMISION,TOTAL_BRUTO,TOTAL_NETO,TOTAL_IVA, ID_TIPO, RUT_EMPLEADO, ID_CLIENTE) VALUES(451,TO_DATE('21-03-2025','DD-MM-YYYY'),8000,6723,1277,1,'14526149-K',241);</v>
      </c>
    </row>
    <row r="456" spans="1:10">
      <c r="A456" s="149"/>
      <c r="B456" s="149">
        <v>452</v>
      </c>
      <c r="C456" s="118" t="s">
        <v>2243</v>
      </c>
      <c r="D456" t="s">
        <v>2090</v>
      </c>
      <c r="E456" s="150">
        <v>300</v>
      </c>
      <c r="F456" s="142">
        <v>8300</v>
      </c>
      <c r="G456" s="143">
        <v>6975</v>
      </c>
      <c r="H456" s="144">
        <v>1325</v>
      </c>
      <c r="I456" s="140">
        <v>1</v>
      </c>
      <c r="J456" s="114" t="str">
        <f t="shared" si="7"/>
        <v>INSERT INTO DOCUMENTOS (NRO_DOCUMENTO,FECHA_EMISION,TOTAL_BRUTO,TOTAL_NETO,TOTAL_IVA, ID_TIPO, RUT_EMPLEADO, ID_CLIENTE) VALUES(452,TO_DATE('21-03-2025','DD-MM-YYYY'),8300,6975,1325,1,'14526149-K',300);</v>
      </c>
    </row>
    <row r="457" spans="1:10">
      <c r="A457" s="149"/>
      <c r="B457" s="149">
        <v>453</v>
      </c>
      <c r="C457" s="118" t="s">
        <v>2243</v>
      </c>
      <c r="D457" t="s">
        <v>2090</v>
      </c>
      <c r="E457" s="150">
        <v>315</v>
      </c>
      <c r="F457" s="142">
        <v>12900</v>
      </c>
      <c r="G457" s="143">
        <v>10841</v>
      </c>
      <c r="H457" s="144">
        <v>2059</v>
      </c>
      <c r="I457" s="140">
        <v>1</v>
      </c>
      <c r="J457" s="114" t="str">
        <f t="shared" si="7"/>
        <v>INSERT INTO DOCUMENTOS (NRO_DOCUMENTO,FECHA_EMISION,TOTAL_BRUTO,TOTAL_NETO,TOTAL_IVA, ID_TIPO, RUT_EMPLEADO, ID_CLIENTE) VALUES(453,TO_DATE('21-03-2025','DD-MM-YYYY'),12900,10841,2059,1,'14526149-K',315);</v>
      </c>
    </row>
    <row r="458" spans="1:10">
      <c r="A458" s="149"/>
      <c r="B458" s="149">
        <v>454</v>
      </c>
      <c r="C458" s="118" t="s">
        <v>2243</v>
      </c>
      <c r="D458" t="s">
        <v>2090</v>
      </c>
      <c r="E458" s="150">
        <v>334</v>
      </c>
      <c r="F458" s="142">
        <v>13200</v>
      </c>
      <c r="G458" s="143">
        <v>11092</v>
      </c>
      <c r="H458" s="144">
        <v>2108</v>
      </c>
      <c r="I458" s="140">
        <v>1</v>
      </c>
      <c r="J458" s="114" t="str">
        <f t="shared" si="7"/>
        <v>INSERT INTO DOCUMENTOS (NRO_DOCUMENTO,FECHA_EMISION,TOTAL_BRUTO,TOTAL_NETO,TOTAL_IVA, ID_TIPO, RUT_EMPLEADO, ID_CLIENTE) VALUES(454,TO_DATE('21-03-2025','DD-MM-YYYY'),13200,11092,2108,1,'14526149-K',334);</v>
      </c>
    </row>
    <row r="459" spans="1:10">
      <c r="A459" s="149"/>
      <c r="B459" s="149">
        <v>455</v>
      </c>
      <c r="C459" s="118" t="s">
        <v>2243</v>
      </c>
      <c r="D459" t="s">
        <v>2090</v>
      </c>
      <c r="E459" s="150">
        <v>397</v>
      </c>
      <c r="F459" s="142">
        <v>12300</v>
      </c>
      <c r="G459" s="143">
        <v>10336</v>
      </c>
      <c r="H459" s="144">
        <v>1964</v>
      </c>
      <c r="I459" s="140">
        <v>1</v>
      </c>
      <c r="J459" s="114" t="str">
        <f t="shared" si="7"/>
        <v>INSERT INTO DOCUMENTOS (NRO_DOCUMENTO,FECHA_EMISION,TOTAL_BRUTO,TOTAL_NETO,TOTAL_IVA, ID_TIPO, RUT_EMPLEADO, ID_CLIENTE) VALUES(455,TO_DATE('21-03-2025','DD-MM-YYYY'),12300,10336,1964,1,'14526149-K',397);</v>
      </c>
    </row>
    <row r="460" spans="1:10">
      <c r="A460" s="149"/>
      <c r="B460" s="149">
        <v>456</v>
      </c>
      <c r="C460" s="118" t="s">
        <v>2243</v>
      </c>
      <c r="D460" t="s">
        <v>2090</v>
      </c>
      <c r="E460" s="150">
        <v>430</v>
      </c>
      <c r="F460" s="142">
        <v>5500</v>
      </c>
      <c r="G460" s="143">
        <v>4622</v>
      </c>
      <c r="H460" s="144">
        <v>878</v>
      </c>
      <c r="I460" s="140">
        <v>1</v>
      </c>
      <c r="J460" s="114" t="str">
        <f t="shared" si="7"/>
        <v>INSERT INTO DOCUMENTOS (NRO_DOCUMENTO,FECHA_EMISION,TOTAL_BRUTO,TOTAL_NETO,TOTAL_IVA, ID_TIPO, RUT_EMPLEADO, ID_CLIENTE) VALUES(456,TO_DATE('21-03-2025','DD-MM-YYYY'),5500,4622,878,1,'14526149-K',430);</v>
      </c>
    </row>
    <row r="461" spans="1:10">
      <c r="A461" s="149"/>
      <c r="B461" s="149">
        <v>457</v>
      </c>
      <c r="C461" s="151" t="s">
        <v>2244</v>
      </c>
      <c r="D461" t="s">
        <v>2090</v>
      </c>
      <c r="E461" s="150">
        <v>76</v>
      </c>
      <c r="F461" s="142">
        <v>10500</v>
      </c>
      <c r="G461" s="143">
        <v>8824</v>
      </c>
      <c r="H461" s="144">
        <v>1676</v>
      </c>
      <c r="I461" s="140">
        <v>1</v>
      </c>
      <c r="J461" s="114" t="str">
        <f t="shared" si="7"/>
        <v>INSERT INTO DOCUMENTOS (NRO_DOCUMENTO,FECHA_EMISION,TOTAL_BRUTO,TOTAL_NETO,TOTAL_IVA, ID_TIPO, RUT_EMPLEADO, ID_CLIENTE) VALUES(457,TO_DATE('22-03-2025','DD-MM-YYYY'),10500,8824,1676,1,'14526149-K',76);</v>
      </c>
    </row>
    <row r="462" spans="1:10">
      <c r="A462" s="149"/>
      <c r="B462" s="149">
        <v>458</v>
      </c>
      <c r="C462" s="118" t="s">
        <v>2244</v>
      </c>
      <c r="D462" t="s">
        <v>2090</v>
      </c>
      <c r="E462" s="150">
        <v>202</v>
      </c>
      <c r="F462" s="142">
        <v>16500</v>
      </c>
      <c r="G462" s="143">
        <v>13866</v>
      </c>
      <c r="H462" s="144">
        <v>2634</v>
      </c>
      <c r="I462" s="140">
        <v>1</v>
      </c>
      <c r="J462" s="114" t="str">
        <f t="shared" si="7"/>
        <v>INSERT INTO DOCUMENTOS (NRO_DOCUMENTO,FECHA_EMISION,TOTAL_BRUTO,TOTAL_NETO,TOTAL_IVA, ID_TIPO, RUT_EMPLEADO, ID_CLIENTE) VALUES(458,TO_DATE('22-03-2025','DD-MM-YYYY'),16500,13866,2634,1,'14526149-K',202);</v>
      </c>
    </row>
    <row r="463" spans="1:10">
      <c r="A463" s="149"/>
      <c r="B463" s="149">
        <v>459</v>
      </c>
      <c r="C463" s="118" t="s">
        <v>2244</v>
      </c>
      <c r="D463" t="s">
        <v>2090</v>
      </c>
      <c r="E463" s="150">
        <v>300</v>
      </c>
      <c r="F463" s="142">
        <v>23800</v>
      </c>
      <c r="G463" s="143">
        <v>20000</v>
      </c>
      <c r="H463" s="144">
        <v>3800</v>
      </c>
      <c r="I463" s="140">
        <v>1</v>
      </c>
      <c r="J463" s="114" t="str">
        <f t="shared" si="7"/>
        <v>INSERT INTO DOCUMENTOS (NRO_DOCUMENTO,FECHA_EMISION,TOTAL_BRUTO,TOTAL_NETO,TOTAL_IVA, ID_TIPO, RUT_EMPLEADO, ID_CLIENTE) VALUES(459,TO_DATE('22-03-2025','DD-MM-YYYY'),23800,20000,3800,1,'14526149-K',300);</v>
      </c>
    </row>
    <row r="464" spans="1:10">
      <c r="A464" s="149"/>
      <c r="B464" s="149">
        <v>460</v>
      </c>
      <c r="C464" s="151" t="s">
        <v>2245</v>
      </c>
      <c r="D464" t="s">
        <v>2090</v>
      </c>
      <c r="E464" s="150">
        <v>57</v>
      </c>
      <c r="F464" s="142">
        <v>8300</v>
      </c>
      <c r="G464" s="143">
        <v>6975</v>
      </c>
      <c r="H464" s="144">
        <v>1325</v>
      </c>
      <c r="I464" s="140">
        <v>1</v>
      </c>
      <c r="J464" s="114" t="str">
        <f t="shared" si="7"/>
        <v>INSERT INTO DOCUMENTOS (NRO_DOCUMENTO,FECHA_EMISION,TOTAL_BRUTO,TOTAL_NETO,TOTAL_IVA, ID_TIPO, RUT_EMPLEADO, ID_CLIENTE) VALUES(460,TO_DATE('23-03-2025','DD-MM-YYYY'),8300,6975,1325,1,'14526149-K',57);</v>
      </c>
    </row>
    <row r="465" spans="1:10">
      <c r="A465" s="149"/>
      <c r="B465" s="149">
        <v>461</v>
      </c>
      <c r="C465" s="118" t="s">
        <v>2245</v>
      </c>
      <c r="D465" t="s">
        <v>2090</v>
      </c>
      <c r="E465" s="150">
        <v>148</v>
      </c>
      <c r="F465" s="142">
        <v>18800</v>
      </c>
      <c r="G465" s="143">
        <v>15799</v>
      </c>
      <c r="H465" s="144">
        <v>3001</v>
      </c>
      <c r="I465" s="140">
        <v>1</v>
      </c>
      <c r="J465" s="114" t="str">
        <f t="shared" si="7"/>
        <v>INSERT INTO DOCUMENTOS (NRO_DOCUMENTO,FECHA_EMISION,TOTAL_BRUTO,TOTAL_NETO,TOTAL_IVA, ID_TIPO, RUT_EMPLEADO, ID_CLIENTE) VALUES(461,TO_DATE('23-03-2025','DD-MM-YYYY'),18800,15799,3001,1,'14526149-K',148);</v>
      </c>
    </row>
    <row r="466" spans="1:10">
      <c r="A466" s="149"/>
      <c r="B466" s="149">
        <v>462</v>
      </c>
      <c r="C466" s="118" t="s">
        <v>2245</v>
      </c>
      <c r="D466" t="s">
        <v>2090</v>
      </c>
      <c r="E466" s="150">
        <v>159</v>
      </c>
      <c r="F466" s="142">
        <v>7800</v>
      </c>
      <c r="G466" s="143">
        <v>6554</v>
      </c>
      <c r="H466" s="144">
        <v>1246</v>
      </c>
      <c r="I466" s="140">
        <v>1</v>
      </c>
      <c r="J466" s="114" t="str">
        <f t="shared" si="7"/>
        <v>INSERT INTO DOCUMENTOS (NRO_DOCUMENTO,FECHA_EMISION,TOTAL_BRUTO,TOTAL_NETO,TOTAL_IVA, ID_TIPO, RUT_EMPLEADO, ID_CLIENTE) VALUES(462,TO_DATE('23-03-2025','DD-MM-YYYY'),7800,6554,1246,1,'14526149-K',159);</v>
      </c>
    </row>
    <row r="467" spans="1:10">
      <c r="A467" s="149"/>
      <c r="B467" s="149">
        <v>463</v>
      </c>
      <c r="C467" s="118" t="s">
        <v>2245</v>
      </c>
      <c r="D467" t="s">
        <v>2090</v>
      </c>
      <c r="E467" s="150">
        <v>164</v>
      </c>
      <c r="F467" s="142">
        <v>19990</v>
      </c>
      <c r="G467" s="143">
        <v>16798</v>
      </c>
      <c r="H467" s="144">
        <v>3192</v>
      </c>
      <c r="I467" s="140">
        <v>1</v>
      </c>
      <c r="J467" s="114" t="str">
        <f t="shared" si="7"/>
        <v>INSERT INTO DOCUMENTOS (NRO_DOCUMENTO,FECHA_EMISION,TOTAL_BRUTO,TOTAL_NETO,TOTAL_IVA, ID_TIPO, RUT_EMPLEADO, ID_CLIENTE) VALUES(463,TO_DATE('23-03-2025','DD-MM-YYYY'),19990,16798,3192,1,'14526149-K',164);</v>
      </c>
    </row>
    <row r="468" spans="1:10">
      <c r="A468" s="149"/>
      <c r="B468" s="149">
        <v>464</v>
      </c>
      <c r="C468" s="118" t="s">
        <v>2245</v>
      </c>
      <c r="D468" t="s">
        <v>2090</v>
      </c>
      <c r="E468" s="150">
        <v>166</v>
      </c>
      <c r="F468" s="142">
        <v>5500</v>
      </c>
      <c r="G468" s="143">
        <v>4622</v>
      </c>
      <c r="H468" s="144">
        <v>878</v>
      </c>
      <c r="I468" s="140">
        <v>1</v>
      </c>
      <c r="J468" s="114" t="str">
        <f t="shared" si="7"/>
        <v>INSERT INTO DOCUMENTOS (NRO_DOCUMENTO,FECHA_EMISION,TOTAL_BRUTO,TOTAL_NETO,TOTAL_IVA, ID_TIPO, RUT_EMPLEADO, ID_CLIENTE) VALUES(464,TO_DATE('23-03-2025','DD-MM-YYYY'),5500,4622,878,1,'14526149-K',166);</v>
      </c>
    </row>
    <row r="469" spans="1:10">
      <c r="A469" s="149"/>
      <c r="B469" s="149">
        <v>465</v>
      </c>
      <c r="C469" s="118" t="s">
        <v>2245</v>
      </c>
      <c r="D469" t="s">
        <v>2090</v>
      </c>
      <c r="E469" s="150">
        <v>276</v>
      </c>
      <c r="F469" s="142">
        <v>10500</v>
      </c>
      <c r="G469" s="143">
        <v>8824</v>
      </c>
      <c r="H469" s="144">
        <v>1676</v>
      </c>
      <c r="I469" s="140">
        <v>1</v>
      </c>
      <c r="J469" s="114" t="str">
        <f t="shared" si="7"/>
        <v>INSERT INTO DOCUMENTOS (NRO_DOCUMENTO,FECHA_EMISION,TOTAL_BRUTO,TOTAL_NETO,TOTAL_IVA, ID_TIPO, RUT_EMPLEADO, ID_CLIENTE) VALUES(465,TO_DATE('23-03-2025','DD-MM-YYYY'),10500,8824,1676,1,'14526149-K',276);</v>
      </c>
    </row>
    <row r="470" spans="1:10">
      <c r="A470" s="149"/>
      <c r="B470" s="149">
        <v>466</v>
      </c>
      <c r="C470" s="118" t="s">
        <v>2245</v>
      </c>
      <c r="D470" t="s">
        <v>2090</v>
      </c>
      <c r="E470" s="150">
        <v>312</v>
      </c>
      <c r="F470" s="142">
        <v>8300</v>
      </c>
      <c r="G470" s="143">
        <v>6975</v>
      </c>
      <c r="H470" s="144">
        <v>1325</v>
      </c>
      <c r="I470" s="140">
        <v>1</v>
      </c>
      <c r="J470" s="114" t="str">
        <f t="shared" si="7"/>
        <v>INSERT INTO DOCUMENTOS (NRO_DOCUMENTO,FECHA_EMISION,TOTAL_BRUTO,TOTAL_NETO,TOTAL_IVA, ID_TIPO, RUT_EMPLEADO, ID_CLIENTE) VALUES(466,TO_DATE('23-03-2025','DD-MM-YYYY'),8300,6975,1325,1,'14526149-K',312);</v>
      </c>
    </row>
    <row r="471" spans="1:10">
      <c r="A471" s="149"/>
      <c r="B471" s="149">
        <v>467</v>
      </c>
      <c r="C471" s="118" t="s">
        <v>2245</v>
      </c>
      <c r="D471" t="s">
        <v>2090</v>
      </c>
      <c r="E471" s="150">
        <v>408</v>
      </c>
      <c r="F471" s="142">
        <v>27000</v>
      </c>
      <c r="G471" s="143">
        <v>22689</v>
      </c>
      <c r="H471" s="144">
        <v>4311</v>
      </c>
      <c r="I471" s="140">
        <v>1</v>
      </c>
      <c r="J471" s="114" t="str">
        <f t="shared" si="7"/>
        <v>INSERT INTO DOCUMENTOS (NRO_DOCUMENTO,FECHA_EMISION,TOTAL_BRUTO,TOTAL_NETO,TOTAL_IVA, ID_TIPO, RUT_EMPLEADO, ID_CLIENTE) VALUES(467,TO_DATE('23-03-2025','DD-MM-YYYY'),27000,22689,4311,1,'14526149-K',408);</v>
      </c>
    </row>
    <row r="472" spans="1:10">
      <c r="A472" s="149"/>
      <c r="B472" s="149">
        <v>468</v>
      </c>
      <c r="C472" s="118" t="s">
        <v>2245</v>
      </c>
      <c r="D472" t="s">
        <v>2090</v>
      </c>
      <c r="E472" s="150">
        <v>419</v>
      </c>
      <c r="F472" s="142">
        <v>27000</v>
      </c>
      <c r="G472" s="143">
        <v>22689</v>
      </c>
      <c r="H472" s="144">
        <v>4311</v>
      </c>
      <c r="I472" s="140">
        <v>1</v>
      </c>
      <c r="J472" s="114" t="str">
        <f t="shared" si="7"/>
        <v>INSERT INTO DOCUMENTOS (NRO_DOCUMENTO,FECHA_EMISION,TOTAL_BRUTO,TOTAL_NETO,TOTAL_IVA, ID_TIPO, RUT_EMPLEADO, ID_CLIENTE) VALUES(468,TO_DATE('23-03-2025','DD-MM-YYYY'),27000,22689,4311,1,'14526149-K',419);</v>
      </c>
    </row>
    <row r="473" spans="1:10">
      <c r="A473" s="149"/>
      <c r="B473" s="149">
        <v>469</v>
      </c>
      <c r="C473" s="151" t="s">
        <v>2246</v>
      </c>
      <c r="D473" t="s">
        <v>2090</v>
      </c>
      <c r="E473" s="150">
        <v>62</v>
      </c>
      <c r="F473" s="142">
        <v>145590</v>
      </c>
      <c r="G473" s="143">
        <v>122344</v>
      </c>
      <c r="H473" s="144">
        <v>23246</v>
      </c>
      <c r="I473" s="140">
        <v>1</v>
      </c>
      <c r="J473" s="114" t="str">
        <f t="shared" si="7"/>
        <v>INSERT INTO DOCUMENTOS (NRO_DOCUMENTO,FECHA_EMISION,TOTAL_BRUTO,TOTAL_NETO,TOTAL_IVA, ID_TIPO, RUT_EMPLEADO, ID_CLIENTE) VALUES(469,TO_DATE('24-03-2025','DD-MM-YYYY'),145590,122344,23246,1,'14526149-K',62);</v>
      </c>
    </row>
    <row r="474" spans="1:10">
      <c r="A474" s="149"/>
      <c r="B474" s="149">
        <v>470</v>
      </c>
      <c r="C474" s="151" t="s">
        <v>2247</v>
      </c>
      <c r="D474" t="s">
        <v>2090</v>
      </c>
      <c r="E474" s="150">
        <v>128</v>
      </c>
      <c r="F474" s="142">
        <v>12100</v>
      </c>
      <c r="G474" s="143">
        <v>10168</v>
      </c>
      <c r="H474" s="144">
        <v>1932</v>
      </c>
      <c r="I474" s="140">
        <v>1</v>
      </c>
      <c r="J474" s="114" t="str">
        <f t="shared" si="7"/>
        <v>INSERT INTO DOCUMENTOS (NRO_DOCUMENTO,FECHA_EMISION,TOTAL_BRUTO,TOTAL_NETO,TOTAL_IVA, ID_TIPO, RUT_EMPLEADO, ID_CLIENTE) VALUES(470,TO_DATE('25-03-2025','DD-MM-YYYY'),12100,10168,1932,1,'14526149-K',128);</v>
      </c>
    </row>
    <row r="475" spans="1:10">
      <c r="A475" s="149"/>
      <c r="B475" s="149">
        <v>471</v>
      </c>
      <c r="C475" s="151" t="s">
        <v>2248</v>
      </c>
      <c r="D475" t="s">
        <v>2090</v>
      </c>
      <c r="E475" s="150">
        <v>1</v>
      </c>
      <c r="F475" s="142">
        <v>8300</v>
      </c>
      <c r="G475" s="143">
        <v>6975</v>
      </c>
      <c r="H475" s="144">
        <v>1325</v>
      </c>
      <c r="I475" s="140">
        <v>1</v>
      </c>
      <c r="J475" s="114" t="str">
        <f t="shared" si="7"/>
        <v>INSERT INTO DOCUMENTOS (NRO_DOCUMENTO,FECHA_EMISION,TOTAL_BRUTO,TOTAL_NETO,TOTAL_IVA, ID_TIPO, RUT_EMPLEADO, ID_CLIENTE) VALUES(471,TO_DATE('26-03-2025','DD-MM-YYYY'),8300,6975,1325,1,'14526149-K',1);</v>
      </c>
    </row>
    <row r="476" spans="1:10">
      <c r="A476" s="149"/>
      <c r="B476" s="149">
        <v>472</v>
      </c>
      <c r="C476" s="118" t="s">
        <v>2248</v>
      </c>
      <c r="D476" t="s">
        <v>2090</v>
      </c>
      <c r="E476" s="150">
        <v>166</v>
      </c>
      <c r="F476" s="142">
        <v>18800</v>
      </c>
      <c r="G476" s="143">
        <v>15799</v>
      </c>
      <c r="H476" s="144">
        <v>3001</v>
      </c>
      <c r="I476" s="140">
        <v>1</v>
      </c>
      <c r="J476" s="114" t="str">
        <f t="shared" si="7"/>
        <v>INSERT INTO DOCUMENTOS (NRO_DOCUMENTO,FECHA_EMISION,TOTAL_BRUTO,TOTAL_NETO,TOTAL_IVA, ID_TIPO, RUT_EMPLEADO, ID_CLIENTE) VALUES(472,TO_DATE('26-03-2025','DD-MM-YYYY'),18800,15799,3001,1,'14526149-K',166);</v>
      </c>
    </row>
    <row r="477" spans="1:10">
      <c r="A477" s="149"/>
      <c r="B477" s="149">
        <v>473</v>
      </c>
      <c r="C477" s="118" t="s">
        <v>2248</v>
      </c>
      <c r="D477" t="s">
        <v>2090</v>
      </c>
      <c r="E477" s="150">
        <v>374</v>
      </c>
      <c r="F477" s="142">
        <v>10500</v>
      </c>
      <c r="G477" s="143">
        <v>8824</v>
      </c>
      <c r="H477" s="144">
        <v>1676</v>
      </c>
      <c r="I477" s="140">
        <v>1</v>
      </c>
      <c r="J477" s="114" t="str">
        <f t="shared" si="7"/>
        <v>INSERT INTO DOCUMENTOS (NRO_DOCUMENTO,FECHA_EMISION,TOTAL_BRUTO,TOTAL_NETO,TOTAL_IVA, ID_TIPO, RUT_EMPLEADO, ID_CLIENTE) VALUES(473,TO_DATE('26-03-2025','DD-MM-YYYY'),10500,8824,1676,1,'14526149-K',374);</v>
      </c>
    </row>
    <row r="478" spans="1:10">
      <c r="A478" s="149"/>
      <c r="B478" s="149">
        <v>474</v>
      </c>
      <c r="C478" s="118" t="s">
        <v>2248</v>
      </c>
      <c r="D478" t="s">
        <v>2090</v>
      </c>
      <c r="E478" s="150">
        <v>418</v>
      </c>
      <c r="F478" s="142">
        <v>12500</v>
      </c>
      <c r="G478" s="143">
        <v>10504</v>
      </c>
      <c r="H478" s="144">
        <v>1996</v>
      </c>
      <c r="I478" s="140">
        <v>1</v>
      </c>
      <c r="J478" s="114" t="str">
        <f t="shared" si="7"/>
        <v>INSERT INTO DOCUMENTOS (NRO_DOCUMENTO,FECHA_EMISION,TOTAL_BRUTO,TOTAL_NETO,TOTAL_IVA, ID_TIPO, RUT_EMPLEADO, ID_CLIENTE) VALUES(474,TO_DATE('26-03-2025','DD-MM-YYYY'),12500,10504,1996,1,'14526149-K',418);</v>
      </c>
    </row>
    <row r="479" spans="1:10">
      <c r="A479" s="149"/>
      <c r="B479" s="149">
        <v>475</v>
      </c>
      <c r="C479" s="118" t="s">
        <v>2248</v>
      </c>
      <c r="D479" t="s">
        <v>2090</v>
      </c>
      <c r="E479" s="150">
        <v>469</v>
      </c>
      <c r="F479" s="142">
        <v>8300</v>
      </c>
      <c r="G479" s="143">
        <v>6975</v>
      </c>
      <c r="H479" s="144">
        <v>1325</v>
      </c>
      <c r="I479" s="140">
        <v>1</v>
      </c>
      <c r="J479" s="114" t="str">
        <f t="shared" si="7"/>
        <v>INSERT INTO DOCUMENTOS (NRO_DOCUMENTO,FECHA_EMISION,TOTAL_BRUTO,TOTAL_NETO,TOTAL_IVA, ID_TIPO, RUT_EMPLEADO, ID_CLIENTE) VALUES(475,TO_DATE('26-03-2025','DD-MM-YYYY'),8300,6975,1325,1,'14526149-K',469);</v>
      </c>
    </row>
    <row r="480" spans="1:10">
      <c r="A480" s="149"/>
      <c r="B480" s="149">
        <v>476</v>
      </c>
      <c r="C480" s="151" t="s">
        <v>2249</v>
      </c>
      <c r="D480" t="s">
        <v>2090</v>
      </c>
      <c r="E480" s="150">
        <v>86</v>
      </c>
      <c r="F480" s="142">
        <v>8300</v>
      </c>
      <c r="G480" s="143">
        <v>6975</v>
      </c>
      <c r="H480" s="144">
        <v>1325</v>
      </c>
      <c r="I480" s="140">
        <v>1</v>
      </c>
      <c r="J480" s="114" t="str">
        <f t="shared" si="7"/>
        <v>INSERT INTO DOCUMENTOS (NRO_DOCUMENTO,FECHA_EMISION,TOTAL_BRUTO,TOTAL_NETO,TOTAL_IVA, ID_TIPO, RUT_EMPLEADO, ID_CLIENTE) VALUES(476,TO_DATE('27-03-2025','DD-MM-YYYY'),8300,6975,1325,1,'14526149-K',86);</v>
      </c>
    </row>
    <row r="481" spans="1:10">
      <c r="A481" s="149"/>
      <c r="B481" s="149">
        <v>477</v>
      </c>
      <c r="C481" s="118" t="s">
        <v>2249</v>
      </c>
      <c r="D481" t="s">
        <v>2090</v>
      </c>
      <c r="E481" s="150">
        <v>166</v>
      </c>
      <c r="F481" s="142">
        <v>10650</v>
      </c>
      <c r="G481" s="143">
        <v>8950</v>
      </c>
      <c r="H481" s="144">
        <v>1700</v>
      </c>
      <c r="I481" s="140">
        <v>1</v>
      </c>
      <c r="J481" s="114" t="str">
        <f t="shared" si="7"/>
        <v>INSERT INTO DOCUMENTOS (NRO_DOCUMENTO,FECHA_EMISION,TOTAL_BRUTO,TOTAL_NETO,TOTAL_IVA, ID_TIPO, RUT_EMPLEADO, ID_CLIENTE) VALUES(477,TO_DATE('27-03-2025','DD-MM-YYYY'),10650,8950,1700,1,'14526149-K',166);</v>
      </c>
    </row>
    <row r="482" spans="1:10">
      <c r="A482" s="149"/>
      <c r="B482" s="149">
        <v>478</v>
      </c>
      <c r="C482" s="118" t="s">
        <v>2249</v>
      </c>
      <c r="D482" t="s">
        <v>2090</v>
      </c>
      <c r="E482" s="150">
        <v>302</v>
      </c>
      <c r="F482" s="142">
        <v>18800</v>
      </c>
      <c r="G482" s="143">
        <v>15799</v>
      </c>
      <c r="H482" s="144">
        <v>3001</v>
      </c>
      <c r="I482" s="140">
        <v>1</v>
      </c>
      <c r="J482" s="114" t="str">
        <f t="shared" si="7"/>
        <v>INSERT INTO DOCUMENTOS (NRO_DOCUMENTO,FECHA_EMISION,TOTAL_BRUTO,TOTAL_NETO,TOTAL_IVA, ID_TIPO, RUT_EMPLEADO, ID_CLIENTE) VALUES(478,TO_DATE('27-03-2025','DD-MM-YYYY'),18800,15799,3001,1,'14526149-K',302);</v>
      </c>
    </row>
    <row r="483" spans="1:10">
      <c r="A483" s="149"/>
      <c r="B483" s="149">
        <v>479</v>
      </c>
      <c r="C483" s="118" t="s">
        <v>2249</v>
      </c>
      <c r="D483" t="s">
        <v>2090</v>
      </c>
      <c r="E483" s="150">
        <v>306</v>
      </c>
      <c r="F483" s="142">
        <v>10500</v>
      </c>
      <c r="G483" s="143">
        <v>8824</v>
      </c>
      <c r="H483" s="144">
        <v>1676</v>
      </c>
      <c r="I483" s="140">
        <v>1</v>
      </c>
      <c r="J483" s="114" t="str">
        <f t="shared" si="7"/>
        <v>INSERT INTO DOCUMENTOS (NRO_DOCUMENTO,FECHA_EMISION,TOTAL_BRUTO,TOTAL_NETO,TOTAL_IVA, ID_TIPO, RUT_EMPLEADO, ID_CLIENTE) VALUES(479,TO_DATE('27-03-2025','DD-MM-YYYY'),10500,8824,1676,1,'14526149-K',306);</v>
      </c>
    </row>
    <row r="484" spans="1:10">
      <c r="A484" s="149"/>
      <c r="B484" s="149">
        <v>480</v>
      </c>
      <c r="C484" s="118" t="s">
        <v>2249</v>
      </c>
      <c r="D484" t="s">
        <v>2090</v>
      </c>
      <c r="E484" s="150">
        <v>386</v>
      </c>
      <c r="F484" s="142">
        <v>33200</v>
      </c>
      <c r="G484" s="143">
        <v>27899</v>
      </c>
      <c r="H484" s="144">
        <v>5301</v>
      </c>
      <c r="I484" s="140">
        <v>1</v>
      </c>
      <c r="J484" s="114" t="str">
        <f t="shared" si="7"/>
        <v>INSERT INTO DOCUMENTOS (NRO_DOCUMENTO,FECHA_EMISION,TOTAL_BRUTO,TOTAL_NETO,TOTAL_IVA, ID_TIPO, RUT_EMPLEADO, ID_CLIENTE) VALUES(480,TO_DATE('27-03-2025','DD-MM-YYYY'),33200,27899,5301,1,'14526149-K',386);</v>
      </c>
    </row>
    <row r="485" spans="1:10">
      <c r="A485" s="149"/>
      <c r="B485" s="149">
        <v>481</v>
      </c>
      <c r="C485" s="118" t="s">
        <v>2249</v>
      </c>
      <c r="D485" t="s">
        <v>2090</v>
      </c>
      <c r="E485" s="150">
        <v>393</v>
      </c>
      <c r="F485" s="142">
        <v>2000</v>
      </c>
      <c r="G485" s="143">
        <v>1681</v>
      </c>
      <c r="H485" s="144">
        <v>319</v>
      </c>
      <c r="I485" s="140">
        <v>1</v>
      </c>
      <c r="J485" s="114" t="str">
        <f t="shared" si="7"/>
        <v>INSERT INTO DOCUMENTOS (NRO_DOCUMENTO,FECHA_EMISION,TOTAL_BRUTO,TOTAL_NETO,TOTAL_IVA, ID_TIPO, RUT_EMPLEADO, ID_CLIENTE) VALUES(481,TO_DATE('27-03-2025','DD-MM-YYYY'),2000,1681,319,1,'14526149-K',393);</v>
      </c>
    </row>
    <row r="486" spans="1:10">
      <c r="A486" s="149"/>
      <c r="B486" s="149">
        <v>482</v>
      </c>
      <c r="C486" s="151" t="s">
        <v>2250</v>
      </c>
      <c r="D486" t="s">
        <v>2090</v>
      </c>
      <c r="E486" s="150">
        <v>63</v>
      </c>
      <c r="F486" s="142">
        <v>8300</v>
      </c>
      <c r="G486" s="143">
        <v>6975</v>
      </c>
      <c r="H486" s="144">
        <v>1325</v>
      </c>
      <c r="I486" s="140">
        <v>1</v>
      </c>
      <c r="J486" s="114" t="str">
        <f t="shared" si="7"/>
        <v>INSERT INTO DOCUMENTOS (NRO_DOCUMENTO,FECHA_EMISION,TOTAL_BRUTO,TOTAL_NETO,TOTAL_IVA, ID_TIPO, RUT_EMPLEADO, ID_CLIENTE) VALUES(482,TO_DATE('28-03-2025','DD-MM-YYYY'),8300,6975,1325,1,'14526149-K',63);</v>
      </c>
    </row>
    <row r="487" spans="1:10">
      <c r="A487" s="149"/>
      <c r="B487" s="149">
        <v>483</v>
      </c>
      <c r="C487" s="118" t="s">
        <v>2250</v>
      </c>
      <c r="D487" t="s">
        <v>2090</v>
      </c>
      <c r="E487" s="150">
        <v>207</v>
      </c>
      <c r="F487" s="142">
        <v>14000</v>
      </c>
      <c r="G487" s="143">
        <v>11765</v>
      </c>
      <c r="H487" s="144">
        <v>2235</v>
      </c>
      <c r="I487" s="140">
        <v>1</v>
      </c>
      <c r="J487" s="114" t="str">
        <f t="shared" si="7"/>
        <v>INSERT INTO DOCUMENTOS (NRO_DOCUMENTO,FECHA_EMISION,TOTAL_BRUTO,TOTAL_NETO,TOTAL_IVA, ID_TIPO, RUT_EMPLEADO, ID_CLIENTE) VALUES(483,TO_DATE('28-03-2025','DD-MM-YYYY'),14000,11765,2235,1,'14526149-K',207);</v>
      </c>
    </row>
    <row r="488" spans="1:10">
      <c r="A488" s="149"/>
      <c r="B488" s="149">
        <v>484</v>
      </c>
      <c r="C488" s="118" t="s">
        <v>2250</v>
      </c>
      <c r="D488" t="s">
        <v>2090</v>
      </c>
      <c r="E488" s="150">
        <v>247</v>
      </c>
      <c r="F488" s="142">
        <v>19000</v>
      </c>
      <c r="G488" s="143">
        <v>15967</v>
      </c>
      <c r="H488" s="144">
        <v>3033</v>
      </c>
      <c r="I488" s="140">
        <v>1</v>
      </c>
      <c r="J488" s="114" t="str">
        <f t="shared" si="7"/>
        <v>INSERT INTO DOCUMENTOS (NRO_DOCUMENTO,FECHA_EMISION,TOTAL_BRUTO,TOTAL_NETO,TOTAL_IVA, ID_TIPO, RUT_EMPLEADO, ID_CLIENTE) VALUES(484,TO_DATE('28-03-2025','DD-MM-YYYY'),19000,15967,3033,1,'14526149-K',247);</v>
      </c>
    </row>
    <row r="489" spans="1:10">
      <c r="A489" s="149"/>
      <c r="B489" s="149">
        <v>485</v>
      </c>
      <c r="C489" s="118" t="s">
        <v>2250</v>
      </c>
      <c r="D489" t="s">
        <v>2090</v>
      </c>
      <c r="E489" s="150">
        <v>306</v>
      </c>
      <c r="F489" s="142">
        <v>10500</v>
      </c>
      <c r="G489" s="143">
        <v>8824</v>
      </c>
      <c r="H489" s="144">
        <v>1676</v>
      </c>
      <c r="I489" s="140">
        <v>1</v>
      </c>
      <c r="J489" s="114" t="str">
        <f t="shared" si="7"/>
        <v>INSERT INTO DOCUMENTOS (NRO_DOCUMENTO,FECHA_EMISION,TOTAL_BRUTO,TOTAL_NETO,TOTAL_IVA, ID_TIPO, RUT_EMPLEADO, ID_CLIENTE) VALUES(485,TO_DATE('28-03-2025','DD-MM-YYYY'),10500,8824,1676,1,'14526149-K',306);</v>
      </c>
    </row>
    <row r="490" spans="1:10">
      <c r="A490" s="149"/>
      <c r="B490" s="149">
        <v>486</v>
      </c>
      <c r="C490" s="118" t="s">
        <v>2250</v>
      </c>
      <c r="D490" t="s">
        <v>2090</v>
      </c>
      <c r="E490" s="150">
        <v>407</v>
      </c>
      <c r="F490" s="142">
        <v>21600</v>
      </c>
      <c r="G490" s="143">
        <v>18151</v>
      </c>
      <c r="H490" s="144">
        <v>3449</v>
      </c>
      <c r="I490" s="140">
        <v>1</v>
      </c>
      <c r="J490" s="114" t="str">
        <f t="shared" si="7"/>
        <v>INSERT INTO DOCUMENTOS (NRO_DOCUMENTO,FECHA_EMISION,TOTAL_BRUTO,TOTAL_NETO,TOTAL_IVA, ID_TIPO, RUT_EMPLEADO, ID_CLIENTE) VALUES(486,TO_DATE('28-03-2025','DD-MM-YYYY'),21600,18151,3449,1,'14526149-K',407);</v>
      </c>
    </row>
    <row r="491" spans="1:10">
      <c r="A491" s="149"/>
      <c r="B491" s="149">
        <v>487</v>
      </c>
      <c r="C491" s="118" t="s">
        <v>2250</v>
      </c>
      <c r="D491" t="s">
        <v>2090</v>
      </c>
      <c r="E491" s="150">
        <v>411</v>
      </c>
      <c r="F491" s="142">
        <v>5500</v>
      </c>
      <c r="G491" s="143">
        <v>4622</v>
      </c>
      <c r="H491" s="144">
        <v>878</v>
      </c>
      <c r="I491" s="140">
        <v>1</v>
      </c>
      <c r="J491" s="114" t="str">
        <f t="shared" si="7"/>
        <v>INSERT INTO DOCUMENTOS (NRO_DOCUMENTO,FECHA_EMISION,TOTAL_BRUTO,TOTAL_NETO,TOTAL_IVA, ID_TIPO, RUT_EMPLEADO, ID_CLIENTE) VALUES(487,TO_DATE('28-03-2025','DD-MM-YYYY'),5500,4622,878,1,'14526149-K',411);</v>
      </c>
    </row>
    <row r="492" spans="1:10">
      <c r="A492" s="149"/>
      <c r="B492" s="149">
        <v>488</v>
      </c>
      <c r="C492" s="151" t="s">
        <v>2251</v>
      </c>
      <c r="D492" t="s">
        <v>2090</v>
      </c>
      <c r="E492" s="150">
        <v>166</v>
      </c>
      <c r="F492" s="142">
        <v>42600</v>
      </c>
      <c r="G492" s="143">
        <v>35798</v>
      </c>
      <c r="H492" s="144">
        <v>6802</v>
      </c>
      <c r="I492" s="140">
        <v>1</v>
      </c>
      <c r="J492" s="114" t="str">
        <f t="shared" si="7"/>
        <v>INSERT INTO DOCUMENTOS (NRO_DOCUMENTO,FECHA_EMISION,TOTAL_BRUTO,TOTAL_NETO,TOTAL_IVA, ID_TIPO, RUT_EMPLEADO, ID_CLIENTE) VALUES(488,TO_DATE('29-03-2025','DD-MM-YYYY'),42600,35798,6802,1,'14526149-K',166);</v>
      </c>
    </row>
    <row r="493" spans="1:10">
      <c r="A493" s="149"/>
      <c r="B493" s="149">
        <v>489</v>
      </c>
      <c r="C493" s="118" t="s">
        <v>2251</v>
      </c>
      <c r="D493" t="s">
        <v>2090</v>
      </c>
      <c r="E493" s="150">
        <v>202</v>
      </c>
      <c r="F493" s="142">
        <v>12300</v>
      </c>
      <c r="G493" s="143">
        <v>10336</v>
      </c>
      <c r="H493" s="144">
        <v>1964</v>
      </c>
      <c r="I493" s="140">
        <v>1</v>
      </c>
      <c r="J493" s="114" t="str">
        <f t="shared" si="7"/>
        <v>INSERT INTO DOCUMENTOS (NRO_DOCUMENTO,FECHA_EMISION,TOTAL_BRUTO,TOTAL_NETO,TOTAL_IVA, ID_TIPO, RUT_EMPLEADO, ID_CLIENTE) VALUES(489,TO_DATE('29-03-2025','DD-MM-YYYY'),12300,10336,1964,1,'14526149-K',202);</v>
      </c>
    </row>
    <row r="494" spans="1:10">
      <c r="A494" s="149"/>
      <c r="B494" s="149">
        <v>490</v>
      </c>
      <c r="C494" s="118" t="s">
        <v>2251</v>
      </c>
      <c r="D494" t="s">
        <v>2090</v>
      </c>
      <c r="E494" s="150">
        <v>226</v>
      </c>
      <c r="F494" s="142">
        <v>3700</v>
      </c>
      <c r="G494" s="143">
        <v>3109</v>
      </c>
      <c r="H494" s="144">
        <v>591</v>
      </c>
      <c r="I494" s="140">
        <v>1</v>
      </c>
      <c r="J494" s="114" t="str">
        <f t="shared" si="7"/>
        <v>INSERT INTO DOCUMENTOS (NRO_DOCUMENTO,FECHA_EMISION,TOTAL_BRUTO,TOTAL_NETO,TOTAL_IVA, ID_TIPO, RUT_EMPLEADO, ID_CLIENTE) VALUES(490,TO_DATE('29-03-2025','DD-MM-YYYY'),3700,3109,591,1,'14526149-K',226);</v>
      </c>
    </row>
    <row r="495" spans="1:10">
      <c r="A495" s="149"/>
      <c r="B495" s="149">
        <v>491</v>
      </c>
      <c r="C495" s="118" t="s">
        <v>2251</v>
      </c>
      <c r="D495" t="s">
        <v>2090</v>
      </c>
      <c r="E495" s="150">
        <v>360</v>
      </c>
      <c r="F495" s="142">
        <v>15500</v>
      </c>
      <c r="G495" s="143">
        <v>13025</v>
      </c>
      <c r="H495" s="144">
        <v>2475</v>
      </c>
      <c r="I495" s="140">
        <v>1</v>
      </c>
      <c r="J495" s="114" t="str">
        <f t="shared" si="7"/>
        <v>INSERT INTO DOCUMENTOS (NRO_DOCUMENTO,FECHA_EMISION,TOTAL_BRUTO,TOTAL_NETO,TOTAL_IVA, ID_TIPO, RUT_EMPLEADO, ID_CLIENTE) VALUES(491,TO_DATE('29-03-2025','DD-MM-YYYY'),15500,13025,2475,1,'14526149-K',360);</v>
      </c>
    </row>
    <row r="496" spans="1:10">
      <c r="A496" s="149"/>
      <c r="B496" s="149">
        <v>492</v>
      </c>
      <c r="C496" s="118" t="s">
        <v>2251</v>
      </c>
      <c r="D496" t="s">
        <v>2090</v>
      </c>
      <c r="E496" s="150">
        <v>470</v>
      </c>
      <c r="F496" s="142">
        <v>6800</v>
      </c>
      <c r="G496" s="143">
        <v>5714</v>
      </c>
      <c r="H496" s="144">
        <v>1086</v>
      </c>
      <c r="I496" s="140">
        <v>1</v>
      </c>
      <c r="J496" s="114" t="str">
        <f t="shared" si="7"/>
        <v>INSERT INTO DOCUMENTOS (NRO_DOCUMENTO,FECHA_EMISION,TOTAL_BRUTO,TOTAL_NETO,TOTAL_IVA, ID_TIPO, RUT_EMPLEADO, ID_CLIENTE) VALUES(492,TO_DATE('29-03-2025','DD-MM-YYYY'),6800,5714,1086,1,'14526149-K',470);</v>
      </c>
    </row>
    <row r="497" spans="1:10">
      <c r="A497" s="149"/>
      <c r="B497" s="149">
        <v>493</v>
      </c>
      <c r="C497" s="151" t="s">
        <v>2252</v>
      </c>
      <c r="D497" t="s">
        <v>2090</v>
      </c>
      <c r="E497" s="150">
        <v>41</v>
      </c>
      <c r="F497" s="142">
        <v>33200</v>
      </c>
      <c r="G497" s="143">
        <v>27899</v>
      </c>
      <c r="H497" s="144">
        <v>5301</v>
      </c>
      <c r="I497" s="140">
        <v>1</v>
      </c>
      <c r="J497" s="114" t="str">
        <f t="shared" si="7"/>
        <v>INSERT INTO DOCUMENTOS (NRO_DOCUMENTO,FECHA_EMISION,TOTAL_BRUTO,TOTAL_NETO,TOTAL_IVA, ID_TIPO, RUT_EMPLEADO, ID_CLIENTE) VALUES(493,TO_DATE('30-03-2025','DD-MM-YYYY'),33200,27899,5301,1,'14526149-K',41);</v>
      </c>
    </row>
    <row r="498" spans="1:10">
      <c r="A498" s="149"/>
      <c r="B498" s="149">
        <v>494</v>
      </c>
      <c r="C498" s="118" t="s">
        <v>2252</v>
      </c>
      <c r="D498" t="s">
        <v>2090</v>
      </c>
      <c r="E498" s="150">
        <v>148</v>
      </c>
      <c r="F498" s="142">
        <v>10500</v>
      </c>
      <c r="G498" s="143">
        <v>8824</v>
      </c>
      <c r="H498" s="144">
        <v>1676</v>
      </c>
      <c r="I498" s="140">
        <v>1</v>
      </c>
      <c r="J498" s="114" t="str">
        <f t="shared" si="7"/>
        <v>INSERT INTO DOCUMENTOS (NRO_DOCUMENTO,FECHA_EMISION,TOTAL_BRUTO,TOTAL_NETO,TOTAL_IVA, ID_TIPO, RUT_EMPLEADO, ID_CLIENTE) VALUES(494,TO_DATE('30-03-2025','DD-MM-YYYY'),10500,8824,1676,1,'14526149-K',148);</v>
      </c>
    </row>
    <row r="499" spans="1:10">
      <c r="A499" s="149"/>
      <c r="B499" s="149">
        <v>495</v>
      </c>
      <c r="C499" s="118" t="s">
        <v>2252</v>
      </c>
      <c r="D499" t="s">
        <v>2090</v>
      </c>
      <c r="E499" s="150">
        <v>166</v>
      </c>
      <c r="F499" s="142">
        <v>11800</v>
      </c>
      <c r="G499" s="143">
        <v>9916</v>
      </c>
      <c r="H499" s="144">
        <v>1884</v>
      </c>
      <c r="I499" s="140">
        <v>1</v>
      </c>
      <c r="J499" s="114" t="str">
        <f t="shared" si="7"/>
        <v>INSERT INTO DOCUMENTOS (NRO_DOCUMENTO,FECHA_EMISION,TOTAL_BRUTO,TOTAL_NETO,TOTAL_IVA, ID_TIPO, RUT_EMPLEADO, ID_CLIENTE) VALUES(495,TO_DATE('30-03-2025','DD-MM-YYYY'),11800,9916,1884,1,'14526149-K',166);</v>
      </c>
    </row>
    <row r="500" spans="1:10">
      <c r="A500" s="149"/>
      <c r="B500" s="149">
        <v>496</v>
      </c>
      <c r="C500" s="118" t="s">
        <v>2252</v>
      </c>
      <c r="D500" t="s">
        <v>2090</v>
      </c>
      <c r="E500" s="150">
        <v>303</v>
      </c>
      <c r="F500" s="142">
        <v>15500</v>
      </c>
      <c r="G500" s="143">
        <v>13025</v>
      </c>
      <c r="H500" s="144">
        <v>2475</v>
      </c>
      <c r="I500" s="140">
        <v>1</v>
      </c>
      <c r="J500" s="114" t="str">
        <f t="shared" si="7"/>
        <v>INSERT INTO DOCUMENTOS (NRO_DOCUMENTO,FECHA_EMISION,TOTAL_BRUTO,TOTAL_NETO,TOTAL_IVA, ID_TIPO, RUT_EMPLEADO, ID_CLIENTE) VALUES(496,TO_DATE('30-03-2025','DD-MM-YYYY'),15500,13025,2475,1,'14526149-K',303);</v>
      </c>
    </row>
    <row r="501" spans="1:10">
      <c r="A501" s="149"/>
      <c r="B501" s="149">
        <v>497</v>
      </c>
      <c r="C501" s="118" t="s">
        <v>2252</v>
      </c>
      <c r="D501" t="s">
        <v>2090</v>
      </c>
      <c r="E501" s="150">
        <v>408</v>
      </c>
      <c r="F501" s="142">
        <v>19200</v>
      </c>
      <c r="G501" s="143">
        <v>16135</v>
      </c>
      <c r="H501" s="144">
        <v>3065</v>
      </c>
      <c r="I501" s="140">
        <v>1</v>
      </c>
      <c r="J501" s="114" t="str">
        <f t="shared" si="7"/>
        <v>INSERT INTO DOCUMENTOS (NRO_DOCUMENTO,FECHA_EMISION,TOTAL_BRUTO,TOTAL_NETO,TOTAL_IVA, ID_TIPO, RUT_EMPLEADO, ID_CLIENTE) VALUES(497,TO_DATE('30-03-2025','DD-MM-YYYY'),19200,16135,3065,1,'14526149-K',408);</v>
      </c>
    </row>
    <row r="502" spans="1:10">
      <c r="A502" s="149"/>
      <c r="B502" s="149">
        <v>498</v>
      </c>
      <c r="C502" s="118" t="s">
        <v>2252</v>
      </c>
      <c r="D502" t="s">
        <v>2090</v>
      </c>
      <c r="E502" s="150">
        <v>418</v>
      </c>
      <c r="F502" s="142">
        <v>5500</v>
      </c>
      <c r="G502" s="143">
        <v>4622</v>
      </c>
      <c r="H502" s="144">
        <v>878</v>
      </c>
      <c r="I502" s="140">
        <v>1</v>
      </c>
      <c r="J502" s="114" t="str">
        <f t="shared" si="7"/>
        <v>INSERT INTO DOCUMENTOS (NRO_DOCUMENTO,FECHA_EMISION,TOTAL_BRUTO,TOTAL_NETO,TOTAL_IVA, ID_TIPO, RUT_EMPLEADO, ID_CLIENTE) VALUES(498,TO_DATE('30-03-2025','DD-MM-YYYY'),5500,4622,878,1,'14526149-K',418);</v>
      </c>
    </row>
    <row r="503" spans="1:10">
      <c r="A503" s="149"/>
      <c r="B503" s="149">
        <v>499</v>
      </c>
      <c r="C503" s="118" t="s">
        <v>2252</v>
      </c>
      <c r="D503" t="s">
        <v>2090</v>
      </c>
      <c r="E503" s="150">
        <v>485</v>
      </c>
      <c r="F503" s="142">
        <v>5300</v>
      </c>
      <c r="G503" s="143">
        <v>4454</v>
      </c>
      <c r="H503" s="144">
        <v>846</v>
      </c>
      <c r="I503" s="140">
        <v>1</v>
      </c>
      <c r="J503" s="114" t="str">
        <f t="shared" si="7"/>
        <v>INSERT INTO DOCUMENTOS (NRO_DOCUMENTO,FECHA_EMISION,TOTAL_BRUTO,TOTAL_NETO,TOTAL_IVA, ID_TIPO, RUT_EMPLEADO, ID_CLIENTE) VALUES(499,TO_DATE('30-03-2025','DD-MM-YYYY'),5300,4454,846,1,'14526149-K',485);</v>
      </c>
    </row>
    <row r="504" spans="1:10">
      <c r="A504" s="149"/>
      <c r="B504" s="150">
        <v>500</v>
      </c>
      <c r="C504" s="151" t="s">
        <v>2253</v>
      </c>
      <c r="D504" t="s">
        <v>2090</v>
      </c>
      <c r="E504" s="150">
        <v>92</v>
      </c>
      <c r="F504" s="142">
        <v>13800</v>
      </c>
      <c r="G504" s="143">
        <v>11597</v>
      </c>
      <c r="H504" s="144">
        <v>2203</v>
      </c>
      <c r="I504" s="140">
        <v>1</v>
      </c>
      <c r="J504" s="114" t="str">
        <f t="shared" si="7"/>
        <v>INSERT INTO DOCUMENTOS (NRO_DOCUMENTO,FECHA_EMISION,TOTAL_BRUTO,TOTAL_NETO,TOTAL_IVA, ID_TIPO, RUT_EMPLEADO, ID_CLIENTE) VALUES(500,TO_DATE('31-03-2025','DD-MM-YYYY'),13800,11597,2203,1,'14526149-K',92);</v>
      </c>
    </row>
    <row r="505" spans="1:10">
      <c r="A505" s="149"/>
      <c r="B505" s="149">
        <v>501</v>
      </c>
      <c r="C505" s="118" t="s">
        <v>2253</v>
      </c>
      <c r="D505" t="s">
        <v>2090</v>
      </c>
      <c r="E505" s="150">
        <v>110</v>
      </c>
      <c r="F505" s="142">
        <v>22490</v>
      </c>
      <c r="G505" s="143">
        <v>18900</v>
      </c>
      <c r="H505" s="144">
        <v>3590</v>
      </c>
      <c r="I505" s="140">
        <v>1</v>
      </c>
      <c r="J505" s="114" t="str">
        <f t="shared" si="7"/>
        <v>INSERT INTO DOCUMENTOS (NRO_DOCUMENTO,FECHA_EMISION,TOTAL_BRUTO,TOTAL_NETO,TOTAL_IVA, ID_TIPO, RUT_EMPLEADO, ID_CLIENTE) VALUES(501,TO_DATE('31-03-2025','DD-MM-YYYY'),22490,18900,3590,1,'14526149-K',110);</v>
      </c>
    </row>
    <row r="506" spans="1:10">
      <c r="A506" s="149"/>
      <c r="B506" s="149">
        <v>502</v>
      </c>
      <c r="C506" s="118" t="s">
        <v>2253</v>
      </c>
      <c r="D506" t="s">
        <v>2090</v>
      </c>
      <c r="E506" s="150">
        <v>133</v>
      </c>
      <c r="F506" s="142">
        <v>8300</v>
      </c>
      <c r="G506" s="143">
        <v>6975</v>
      </c>
      <c r="H506" s="144">
        <v>1325</v>
      </c>
      <c r="I506" s="140">
        <v>1</v>
      </c>
      <c r="J506" s="114" t="str">
        <f t="shared" si="7"/>
        <v>INSERT INTO DOCUMENTOS (NRO_DOCUMENTO,FECHA_EMISION,TOTAL_BRUTO,TOTAL_NETO,TOTAL_IVA, ID_TIPO, RUT_EMPLEADO, ID_CLIENTE) VALUES(502,TO_DATE('31-03-2025','DD-MM-YYYY'),8300,6975,1325,1,'14526149-K',133);</v>
      </c>
    </row>
    <row r="507" spans="1:10">
      <c r="A507" s="149"/>
      <c r="B507" s="149">
        <v>503</v>
      </c>
      <c r="C507" s="118" t="s">
        <v>2253</v>
      </c>
      <c r="D507" t="s">
        <v>2090</v>
      </c>
      <c r="E507" s="150">
        <v>135</v>
      </c>
      <c r="F507" s="142">
        <v>33200</v>
      </c>
      <c r="G507" s="143">
        <v>27899</v>
      </c>
      <c r="H507" s="144">
        <v>5301</v>
      </c>
      <c r="I507" s="140">
        <v>1</v>
      </c>
      <c r="J507" s="114" t="str">
        <f t="shared" si="7"/>
        <v>INSERT INTO DOCUMENTOS (NRO_DOCUMENTO,FECHA_EMISION,TOTAL_BRUTO,TOTAL_NETO,TOTAL_IVA, ID_TIPO, RUT_EMPLEADO, ID_CLIENTE) VALUES(503,TO_DATE('31-03-2025','DD-MM-YYYY'),33200,27899,5301,1,'14526149-K',135);</v>
      </c>
    </row>
    <row r="508" spans="1:10">
      <c r="A508" s="149"/>
      <c r="B508" s="149">
        <v>504</v>
      </c>
      <c r="C508" s="118" t="s">
        <v>2253</v>
      </c>
      <c r="D508" t="s">
        <v>2090</v>
      </c>
      <c r="E508" s="150">
        <v>222</v>
      </c>
      <c r="F508" s="142">
        <v>9000</v>
      </c>
      <c r="G508" s="143">
        <v>7563</v>
      </c>
      <c r="H508" s="144">
        <v>1437</v>
      </c>
      <c r="I508" s="140">
        <v>1</v>
      </c>
      <c r="J508" s="114" t="str">
        <f t="shared" si="7"/>
        <v>INSERT INTO DOCUMENTOS (NRO_DOCUMENTO,FECHA_EMISION,TOTAL_BRUTO,TOTAL_NETO,TOTAL_IVA, ID_TIPO, RUT_EMPLEADO, ID_CLIENTE) VALUES(504,TO_DATE('31-03-2025','DD-MM-YYYY'),9000,7563,1437,1,'14526149-K',222);</v>
      </c>
    </row>
    <row r="509" spans="1:10">
      <c r="A509" s="149"/>
      <c r="B509" s="149">
        <v>505</v>
      </c>
      <c r="C509" s="118" t="s">
        <v>2253</v>
      </c>
      <c r="D509" t="s">
        <v>2090</v>
      </c>
      <c r="E509" s="150">
        <v>254</v>
      </c>
      <c r="F509" s="142">
        <v>15500</v>
      </c>
      <c r="G509" s="143">
        <v>13025</v>
      </c>
      <c r="H509" s="144">
        <v>2475</v>
      </c>
      <c r="I509" s="140">
        <v>1</v>
      </c>
      <c r="J509" s="114" t="str">
        <f t="shared" si="7"/>
        <v>INSERT INTO DOCUMENTOS (NRO_DOCUMENTO,FECHA_EMISION,TOTAL_BRUTO,TOTAL_NETO,TOTAL_IVA, ID_TIPO, RUT_EMPLEADO, ID_CLIENTE) VALUES(505,TO_DATE('31-03-2025','DD-MM-YYYY'),15500,13025,2475,1,'14526149-K',254);</v>
      </c>
    </row>
    <row r="510" spans="1:10">
      <c r="A510" s="149"/>
      <c r="B510" s="149">
        <v>506</v>
      </c>
      <c r="C510" s="118" t="s">
        <v>2253</v>
      </c>
      <c r="D510" t="s">
        <v>2090</v>
      </c>
      <c r="E510" s="150">
        <v>315</v>
      </c>
      <c r="F510" s="142">
        <v>8700</v>
      </c>
      <c r="G510" s="143">
        <v>7311</v>
      </c>
      <c r="H510" s="144">
        <v>1389</v>
      </c>
      <c r="I510" s="140">
        <v>1</v>
      </c>
      <c r="J510" s="114" t="str">
        <f t="shared" si="7"/>
        <v>INSERT INTO DOCUMENTOS (NRO_DOCUMENTO,FECHA_EMISION,TOTAL_BRUTO,TOTAL_NETO,TOTAL_IVA, ID_TIPO, RUT_EMPLEADO, ID_CLIENTE) VALUES(506,TO_DATE('31-03-2025','DD-MM-YYYY'),8700,7311,1389,1,'14526149-K',315);</v>
      </c>
    </row>
    <row r="511" spans="1:10">
      <c r="A511" s="149"/>
      <c r="B511" s="149">
        <v>507</v>
      </c>
      <c r="C511" s="118" t="s">
        <v>2253</v>
      </c>
      <c r="D511" t="s">
        <v>2090</v>
      </c>
      <c r="E511" s="150">
        <v>321</v>
      </c>
      <c r="F511" s="142">
        <v>16800</v>
      </c>
      <c r="G511" s="143">
        <v>14118</v>
      </c>
      <c r="H511" s="144">
        <v>2682</v>
      </c>
      <c r="I511" s="140">
        <v>1</v>
      </c>
      <c r="J511" s="114" t="str">
        <f t="shared" si="7"/>
        <v>INSERT INTO DOCUMENTOS (NRO_DOCUMENTO,FECHA_EMISION,TOTAL_BRUTO,TOTAL_NETO,TOTAL_IVA, ID_TIPO, RUT_EMPLEADO, ID_CLIENTE) VALUES(507,TO_DATE('31-03-2025','DD-MM-YYYY'),16800,14118,2682,1,'14526149-K',321);</v>
      </c>
    </row>
    <row r="512" spans="1:10">
      <c r="A512" s="149"/>
      <c r="B512" s="149">
        <v>508</v>
      </c>
      <c r="C512" s="118" t="s">
        <v>2253</v>
      </c>
      <c r="D512" t="s">
        <v>2090</v>
      </c>
      <c r="E512" s="150">
        <v>346</v>
      </c>
      <c r="F512" s="142">
        <v>40500</v>
      </c>
      <c r="G512" s="143">
        <v>34034</v>
      </c>
      <c r="H512" s="144">
        <v>6466</v>
      </c>
      <c r="I512" s="140">
        <v>1</v>
      </c>
      <c r="J512" s="114" t="str">
        <f t="shared" si="7"/>
        <v>INSERT INTO DOCUMENTOS (NRO_DOCUMENTO,FECHA_EMISION,TOTAL_BRUTO,TOTAL_NETO,TOTAL_IVA, ID_TIPO, RUT_EMPLEADO, ID_CLIENTE) VALUES(508,TO_DATE('31-03-2025','DD-MM-YYYY'),40500,34034,6466,1,'14526149-K',346);</v>
      </c>
    </row>
    <row r="513" spans="1:10">
      <c r="A513" s="149"/>
      <c r="B513" s="149">
        <v>509</v>
      </c>
      <c r="C513" s="118" t="s">
        <v>2253</v>
      </c>
      <c r="D513" t="s">
        <v>2090</v>
      </c>
      <c r="E513" s="150">
        <v>367</v>
      </c>
      <c r="F513" s="142">
        <v>33200</v>
      </c>
      <c r="G513" s="143">
        <v>27899</v>
      </c>
      <c r="H513" s="144">
        <v>5301</v>
      </c>
      <c r="I513" s="140">
        <v>1</v>
      </c>
      <c r="J513" s="114" t="str">
        <f t="shared" si="7"/>
        <v>INSERT INTO DOCUMENTOS (NRO_DOCUMENTO,FECHA_EMISION,TOTAL_BRUTO,TOTAL_NETO,TOTAL_IVA, ID_TIPO, RUT_EMPLEADO, ID_CLIENTE) VALUES(509,TO_DATE('31-03-2025','DD-MM-YYYY'),33200,27899,5301,1,'14526149-K',367);</v>
      </c>
    </row>
    <row r="514" spans="1:10">
      <c r="A514" s="149"/>
      <c r="B514" s="149">
        <v>510</v>
      </c>
      <c r="C514" s="118" t="s">
        <v>2253</v>
      </c>
      <c r="D514" t="s">
        <v>2090</v>
      </c>
      <c r="E514" s="150">
        <v>411</v>
      </c>
      <c r="F514" s="142">
        <v>5500</v>
      </c>
      <c r="G514" s="143">
        <v>4622</v>
      </c>
      <c r="H514" s="144">
        <v>878</v>
      </c>
      <c r="I514" s="140">
        <v>1</v>
      </c>
      <c r="J514" s="114" t="str">
        <f t="shared" si="7"/>
        <v>INSERT INTO DOCUMENTOS (NRO_DOCUMENTO,FECHA_EMISION,TOTAL_BRUTO,TOTAL_NETO,TOTAL_IVA, ID_TIPO, RUT_EMPLEADO, ID_CLIENTE) VALUES(510,TO_DATE('31-03-2025','DD-MM-YYYY'),5500,4622,878,1,'14526149-K',411);</v>
      </c>
    </row>
    <row r="515" spans="1:10">
      <c r="A515" s="149"/>
      <c r="B515" s="149">
        <v>511</v>
      </c>
      <c r="C515" s="118" t="s">
        <v>2253</v>
      </c>
      <c r="D515" t="s">
        <v>2090</v>
      </c>
      <c r="E515" s="150">
        <v>416</v>
      </c>
      <c r="F515" s="142">
        <v>8300</v>
      </c>
      <c r="G515" s="143">
        <v>6975</v>
      </c>
      <c r="H515" s="144">
        <v>1325</v>
      </c>
      <c r="I515" s="140">
        <v>1</v>
      </c>
      <c r="J515" s="114" t="str">
        <f t="shared" si="7"/>
        <v>INSERT INTO DOCUMENTOS (NRO_DOCUMENTO,FECHA_EMISION,TOTAL_BRUTO,TOTAL_NETO,TOTAL_IVA, ID_TIPO, RUT_EMPLEADO, ID_CLIENTE) VALUES(511,TO_DATE('31-03-2025','DD-MM-YYYY'),8300,6975,1325,1,'14526149-K',416);</v>
      </c>
    </row>
    <row r="516" spans="1:10">
      <c r="A516" s="149"/>
      <c r="B516" s="149">
        <v>512</v>
      </c>
      <c r="C516" s="118" t="s">
        <v>2253</v>
      </c>
      <c r="D516" t="s">
        <v>2090</v>
      </c>
      <c r="E516" s="150">
        <v>427</v>
      </c>
      <c r="F516" s="142">
        <v>21000</v>
      </c>
      <c r="G516" s="143">
        <v>17647</v>
      </c>
      <c r="H516" s="144">
        <v>3353</v>
      </c>
      <c r="I516" s="140">
        <v>1</v>
      </c>
      <c r="J516" s="114" t="str">
        <f t="shared" si="7"/>
        <v>INSERT INTO DOCUMENTOS (NRO_DOCUMENTO,FECHA_EMISION,TOTAL_BRUTO,TOTAL_NETO,TOTAL_IVA, ID_TIPO, RUT_EMPLEADO, ID_CLIENTE) VALUES(512,TO_DATE('31-03-2025','DD-MM-YYYY'),21000,17647,3353,1,'14526149-K',427);</v>
      </c>
    </row>
    <row r="517" spans="1:10">
      <c r="A517" s="149"/>
      <c r="B517" s="149">
        <v>513</v>
      </c>
      <c r="C517" s="118" t="s">
        <v>2253</v>
      </c>
      <c r="D517" t="s">
        <v>2090</v>
      </c>
      <c r="E517" s="150">
        <v>451</v>
      </c>
      <c r="F517" s="142">
        <v>3500</v>
      </c>
      <c r="G517" s="143">
        <v>2941</v>
      </c>
      <c r="H517" s="144">
        <v>559</v>
      </c>
      <c r="I517" s="140">
        <v>1</v>
      </c>
      <c r="J517" s="114" t="str">
        <f t="shared" si="7"/>
        <v>INSERT INTO DOCUMENTOS (NRO_DOCUMENTO,FECHA_EMISION,TOTAL_BRUTO,TOTAL_NETO,TOTAL_IVA, ID_TIPO, RUT_EMPLEADO, ID_CLIENTE) VALUES(513,TO_DATE('31-03-2025','DD-MM-YYYY'),3500,2941,559,1,'14526149-K',451);</v>
      </c>
    </row>
    <row r="518" spans="1:10">
      <c r="A518" s="149"/>
      <c r="B518" s="149">
        <v>514</v>
      </c>
      <c r="C518" s="118" t="s">
        <v>2253</v>
      </c>
      <c r="D518" t="s">
        <v>2090</v>
      </c>
      <c r="E518" s="150">
        <v>479</v>
      </c>
      <c r="F518" s="142">
        <v>44500</v>
      </c>
      <c r="G518" s="143">
        <v>37395</v>
      </c>
      <c r="H518" s="144">
        <v>7105</v>
      </c>
      <c r="I518" s="140">
        <v>1</v>
      </c>
      <c r="J518" s="114" t="str">
        <f t="shared" ref="J518:J581" si="8">CONCATENATE("INSERT INTO DOCUMENTOS (NRO_DOCUMENTO,FECHA_EMISION,TOTAL_BRUTO,TOTAL_NETO,TOTAL_IVA, ID_TIPO, RUT_EMPLEADO, ID_CLIENTE) VALUES(",B518,",","TO_DATE('",C518,"'",",'DD-MM-YYYY'),",F518,",",G518,",",H518,",",I518,",","'",D518,"',",E518,");")</f>
        <v>INSERT INTO DOCUMENTOS (NRO_DOCUMENTO,FECHA_EMISION,TOTAL_BRUTO,TOTAL_NETO,TOTAL_IVA, ID_TIPO, RUT_EMPLEADO, ID_CLIENTE) VALUES(514,TO_DATE('31-03-2025','DD-MM-YYYY'),44500,37395,7105,1,'14526149-K',479);</v>
      </c>
    </row>
    <row r="519" spans="1:10">
      <c r="A519" s="149"/>
      <c r="B519" s="149">
        <v>515</v>
      </c>
      <c r="C519" s="151" t="s">
        <v>2254</v>
      </c>
      <c r="D519" t="s">
        <v>2090</v>
      </c>
      <c r="E519" s="150">
        <v>155</v>
      </c>
      <c r="F519" s="142">
        <v>8300</v>
      </c>
      <c r="G519" s="143">
        <v>6975</v>
      </c>
      <c r="H519" s="144">
        <v>1325</v>
      </c>
      <c r="I519" s="140">
        <v>1</v>
      </c>
      <c r="J519" s="114" t="str">
        <f t="shared" si="8"/>
        <v>INSERT INTO DOCUMENTOS (NRO_DOCUMENTO,FECHA_EMISION,TOTAL_BRUTO,TOTAL_NETO,TOTAL_IVA, ID_TIPO, RUT_EMPLEADO, ID_CLIENTE) VALUES(515,TO_DATE('01-04-2025','DD-MM-YYYY'),8300,6975,1325,1,'14526149-K',155);</v>
      </c>
    </row>
    <row r="520" spans="1:10">
      <c r="A520" s="149"/>
      <c r="B520" s="149">
        <v>516</v>
      </c>
      <c r="C520" s="118" t="s">
        <v>2254</v>
      </c>
      <c r="D520" t="s">
        <v>2090</v>
      </c>
      <c r="E520" s="150">
        <v>166</v>
      </c>
      <c r="F520" s="142">
        <v>22500</v>
      </c>
      <c r="G520" s="143">
        <v>18908</v>
      </c>
      <c r="H520" s="144">
        <v>3592</v>
      </c>
      <c r="I520" s="140">
        <v>1</v>
      </c>
      <c r="J520" s="114" t="str">
        <f t="shared" si="8"/>
        <v>INSERT INTO DOCUMENTOS (NRO_DOCUMENTO,FECHA_EMISION,TOTAL_BRUTO,TOTAL_NETO,TOTAL_IVA, ID_TIPO, RUT_EMPLEADO, ID_CLIENTE) VALUES(516,TO_DATE('01-04-2025','DD-MM-YYYY'),22500,18908,3592,1,'14526149-K',166);</v>
      </c>
    </row>
    <row r="521" spans="1:10">
      <c r="A521" s="149"/>
      <c r="B521" s="149">
        <v>517</v>
      </c>
      <c r="C521" s="118" t="s">
        <v>2254</v>
      </c>
      <c r="D521" t="s">
        <v>2090</v>
      </c>
      <c r="E521" s="150">
        <v>214</v>
      </c>
      <c r="F521" s="142">
        <v>36700</v>
      </c>
      <c r="G521" s="143">
        <v>30840</v>
      </c>
      <c r="H521" s="144">
        <v>5860</v>
      </c>
      <c r="I521" s="140">
        <v>1</v>
      </c>
      <c r="J521" s="114" t="str">
        <f t="shared" si="8"/>
        <v>INSERT INTO DOCUMENTOS (NRO_DOCUMENTO,FECHA_EMISION,TOTAL_BRUTO,TOTAL_NETO,TOTAL_IVA, ID_TIPO, RUT_EMPLEADO, ID_CLIENTE) VALUES(517,TO_DATE('01-04-2025','DD-MM-YYYY'),36700,30840,5860,1,'14526149-K',214);</v>
      </c>
    </row>
    <row r="522" spans="1:10">
      <c r="A522" s="149"/>
      <c r="B522" s="149">
        <v>518</v>
      </c>
      <c r="C522" s="118" t="s">
        <v>2254</v>
      </c>
      <c r="D522" t="s">
        <v>2090</v>
      </c>
      <c r="E522" s="150">
        <v>267</v>
      </c>
      <c r="F522" s="142">
        <v>3700</v>
      </c>
      <c r="G522" s="143">
        <v>3109</v>
      </c>
      <c r="H522" s="144">
        <v>591</v>
      </c>
      <c r="I522" s="140">
        <v>1</v>
      </c>
      <c r="J522" s="114" t="str">
        <f t="shared" si="8"/>
        <v>INSERT INTO DOCUMENTOS (NRO_DOCUMENTO,FECHA_EMISION,TOTAL_BRUTO,TOTAL_NETO,TOTAL_IVA, ID_TIPO, RUT_EMPLEADO, ID_CLIENTE) VALUES(518,TO_DATE('01-04-2025','DD-MM-YYYY'),3700,3109,591,1,'14526149-K',267);</v>
      </c>
    </row>
    <row r="523" spans="1:10">
      <c r="A523" s="149"/>
      <c r="B523" s="149">
        <v>519</v>
      </c>
      <c r="C523" s="118" t="s">
        <v>2254</v>
      </c>
      <c r="D523" t="s">
        <v>2090</v>
      </c>
      <c r="E523" s="150">
        <v>349</v>
      </c>
      <c r="F523" s="142">
        <v>4200</v>
      </c>
      <c r="G523" s="143">
        <v>3529</v>
      </c>
      <c r="H523" s="144">
        <v>671</v>
      </c>
      <c r="I523" s="140">
        <v>1</v>
      </c>
      <c r="J523" s="114" t="str">
        <f t="shared" si="8"/>
        <v>INSERT INTO DOCUMENTOS (NRO_DOCUMENTO,FECHA_EMISION,TOTAL_BRUTO,TOTAL_NETO,TOTAL_IVA, ID_TIPO, RUT_EMPLEADO, ID_CLIENTE) VALUES(519,TO_DATE('01-04-2025','DD-MM-YYYY'),4200,3529,671,1,'14526149-K',349);</v>
      </c>
    </row>
    <row r="524" spans="1:10">
      <c r="A524" s="149"/>
      <c r="B524" s="149">
        <v>520</v>
      </c>
      <c r="C524" s="118" t="s">
        <v>2254</v>
      </c>
      <c r="D524" t="s">
        <v>2090</v>
      </c>
      <c r="E524" s="150">
        <v>450</v>
      </c>
      <c r="F524" s="142">
        <v>44000</v>
      </c>
      <c r="G524" s="143">
        <v>36974</v>
      </c>
      <c r="H524" s="144">
        <v>7026</v>
      </c>
      <c r="I524" s="140">
        <v>1</v>
      </c>
      <c r="J524" s="114" t="str">
        <f t="shared" si="8"/>
        <v>INSERT INTO DOCUMENTOS (NRO_DOCUMENTO,FECHA_EMISION,TOTAL_BRUTO,TOTAL_NETO,TOTAL_IVA, ID_TIPO, RUT_EMPLEADO, ID_CLIENTE) VALUES(520,TO_DATE('01-04-2025','DD-MM-YYYY'),44000,36974,7026,1,'14526149-K',450);</v>
      </c>
    </row>
    <row r="525" spans="1:10">
      <c r="A525" s="149"/>
      <c r="B525" s="149">
        <v>521</v>
      </c>
      <c r="C525" s="151" t="s">
        <v>2255</v>
      </c>
      <c r="D525" t="s">
        <v>2090</v>
      </c>
      <c r="E525" s="150">
        <v>202</v>
      </c>
      <c r="F525" s="142">
        <v>10500</v>
      </c>
      <c r="G525" s="143">
        <v>8824</v>
      </c>
      <c r="H525" s="144">
        <v>1676</v>
      </c>
      <c r="I525" s="140">
        <v>1</v>
      </c>
      <c r="J525" s="114" t="str">
        <f t="shared" si="8"/>
        <v>INSERT INTO DOCUMENTOS (NRO_DOCUMENTO,FECHA_EMISION,TOTAL_BRUTO,TOTAL_NETO,TOTAL_IVA, ID_TIPO, RUT_EMPLEADO, ID_CLIENTE) VALUES(521,TO_DATE('02-04-2025','DD-MM-YYYY'),10500,8824,1676,1,'14526149-K',202);</v>
      </c>
    </row>
    <row r="526" spans="1:10">
      <c r="A526" s="149"/>
      <c r="B526" s="149">
        <v>522</v>
      </c>
      <c r="C526" s="118" t="s">
        <v>2255</v>
      </c>
      <c r="D526" t="s">
        <v>2090</v>
      </c>
      <c r="E526" s="150">
        <v>312</v>
      </c>
      <c r="F526" s="142">
        <v>8300</v>
      </c>
      <c r="G526" s="143">
        <v>6975</v>
      </c>
      <c r="H526" s="144">
        <v>1325</v>
      </c>
      <c r="I526" s="140">
        <v>1</v>
      </c>
      <c r="J526" s="114" t="str">
        <f t="shared" si="8"/>
        <v>INSERT INTO DOCUMENTOS (NRO_DOCUMENTO,FECHA_EMISION,TOTAL_BRUTO,TOTAL_NETO,TOTAL_IVA, ID_TIPO, RUT_EMPLEADO, ID_CLIENTE) VALUES(522,TO_DATE('02-04-2025','DD-MM-YYYY'),8300,6975,1325,1,'14526149-K',312);</v>
      </c>
    </row>
    <row r="527" spans="1:10">
      <c r="A527" s="149"/>
      <c r="B527" s="149">
        <v>523</v>
      </c>
      <c r="C527" s="118" t="s">
        <v>2255</v>
      </c>
      <c r="D527" t="s">
        <v>2090</v>
      </c>
      <c r="E527" s="150">
        <v>322</v>
      </c>
      <c r="F527" s="142">
        <v>30490</v>
      </c>
      <c r="G527" s="143">
        <v>25622</v>
      </c>
      <c r="H527" s="144">
        <v>4868</v>
      </c>
      <c r="I527" s="140">
        <v>1</v>
      </c>
      <c r="J527" s="114" t="str">
        <f t="shared" si="8"/>
        <v>INSERT INTO DOCUMENTOS (NRO_DOCUMENTO,FECHA_EMISION,TOTAL_BRUTO,TOTAL_NETO,TOTAL_IVA, ID_TIPO, RUT_EMPLEADO, ID_CLIENTE) VALUES(523,TO_DATE('02-04-2025','DD-MM-YYYY'),30490,25622,4868,1,'14526149-K',322);</v>
      </c>
    </row>
    <row r="528" spans="1:10">
      <c r="A528" s="149"/>
      <c r="B528" s="149">
        <v>524</v>
      </c>
      <c r="C528" s="118" t="s">
        <v>2255</v>
      </c>
      <c r="D528" t="s">
        <v>2090</v>
      </c>
      <c r="E528" s="150">
        <v>353</v>
      </c>
      <c r="F528" s="142">
        <v>15500</v>
      </c>
      <c r="G528" s="143">
        <v>13025</v>
      </c>
      <c r="H528" s="144">
        <v>2475</v>
      </c>
      <c r="I528" s="140">
        <v>1</v>
      </c>
      <c r="J528" s="114" t="str">
        <f t="shared" si="8"/>
        <v>INSERT INTO DOCUMENTOS (NRO_DOCUMENTO,FECHA_EMISION,TOTAL_BRUTO,TOTAL_NETO,TOTAL_IVA, ID_TIPO, RUT_EMPLEADO, ID_CLIENTE) VALUES(524,TO_DATE('02-04-2025','DD-MM-YYYY'),15500,13025,2475,1,'14526149-K',353);</v>
      </c>
    </row>
    <row r="529" spans="1:10">
      <c r="A529" s="149"/>
      <c r="B529" s="149">
        <v>525</v>
      </c>
      <c r="C529" s="151" t="s">
        <v>2256</v>
      </c>
      <c r="D529" s="150" t="s">
        <v>2093</v>
      </c>
      <c r="E529" s="150">
        <v>72</v>
      </c>
      <c r="F529" s="142">
        <v>13800</v>
      </c>
      <c r="G529" s="143">
        <v>11597</v>
      </c>
      <c r="H529" s="144">
        <v>2203</v>
      </c>
      <c r="I529" s="140">
        <v>1</v>
      </c>
      <c r="J529" s="114" t="str">
        <f t="shared" si="8"/>
        <v>INSERT INTO DOCUMENTOS (NRO_DOCUMENTO,FECHA_EMISION,TOTAL_BRUTO,TOTAL_NETO,TOTAL_IVA, ID_TIPO, RUT_EMPLEADO, ID_CLIENTE) VALUES(525,TO_DATE('03-04-2025','DD-MM-YYYY'),13800,11597,2203,1,'13748252-5',72);</v>
      </c>
    </row>
    <row r="530" spans="1:10">
      <c r="A530" s="149"/>
      <c r="B530" s="149">
        <v>526</v>
      </c>
      <c r="C530" s="118" t="s">
        <v>2256</v>
      </c>
      <c r="D530" s="150" t="s">
        <v>2090</v>
      </c>
      <c r="E530" s="150">
        <v>111</v>
      </c>
      <c r="F530" s="142">
        <v>15500</v>
      </c>
      <c r="G530" s="143">
        <v>13025</v>
      </c>
      <c r="H530" s="144">
        <v>2475</v>
      </c>
      <c r="I530" s="140">
        <v>1</v>
      </c>
      <c r="J530" s="114" t="str">
        <f t="shared" si="8"/>
        <v>INSERT INTO DOCUMENTOS (NRO_DOCUMENTO,FECHA_EMISION,TOTAL_BRUTO,TOTAL_NETO,TOTAL_IVA, ID_TIPO, RUT_EMPLEADO, ID_CLIENTE) VALUES(526,TO_DATE('03-04-2025','DD-MM-YYYY'),15500,13025,2475,1,'14526149-K',111);</v>
      </c>
    </row>
    <row r="531" spans="1:10">
      <c r="A531" s="149"/>
      <c r="B531" s="149">
        <v>527</v>
      </c>
      <c r="C531" s="118" t="s">
        <v>2256</v>
      </c>
      <c r="D531" t="s">
        <v>2090</v>
      </c>
      <c r="E531" s="150">
        <v>117</v>
      </c>
      <c r="F531" s="142">
        <v>12750</v>
      </c>
      <c r="G531" s="143">
        <v>10716</v>
      </c>
      <c r="H531" s="144">
        <v>2034</v>
      </c>
      <c r="I531" s="140">
        <v>1</v>
      </c>
      <c r="J531" s="114" t="str">
        <f t="shared" si="8"/>
        <v>INSERT INTO DOCUMENTOS (NRO_DOCUMENTO,FECHA_EMISION,TOTAL_BRUTO,TOTAL_NETO,TOTAL_IVA, ID_TIPO, RUT_EMPLEADO, ID_CLIENTE) VALUES(527,TO_DATE('03-04-2025','DD-MM-YYYY'),12750,10716,2034,1,'14526149-K',117);</v>
      </c>
    </row>
    <row r="532" spans="1:10">
      <c r="A532" s="149"/>
      <c r="B532" s="149">
        <v>528</v>
      </c>
      <c r="C532" s="118" t="s">
        <v>2256</v>
      </c>
      <c r="D532" t="s">
        <v>2090</v>
      </c>
      <c r="E532" s="150">
        <v>122</v>
      </c>
      <c r="F532" s="142">
        <v>36200</v>
      </c>
      <c r="G532" s="143">
        <v>30420</v>
      </c>
      <c r="H532" s="144">
        <v>5780</v>
      </c>
      <c r="I532" s="140">
        <v>1</v>
      </c>
      <c r="J532" s="114" t="str">
        <f t="shared" si="8"/>
        <v>INSERT INTO DOCUMENTOS (NRO_DOCUMENTO,FECHA_EMISION,TOTAL_BRUTO,TOTAL_NETO,TOTAL_IVA, ID_TIPO, RUT_EMPLEADO, ID_CLIENTE) VALUES(528,TO_DATE('03-04-2025','DD-MM-YYYY'),36200,30420,5780,1,'14526149-K',122);</v>
      </c>
    </row>
    <row r="533" spans="1:10">
      <c r="A533" s="149"/>
      <c r="B533" s="149">
        <v>529</v>
      </c>
      <c r="C533" s="118" t="s">
        <v>2256</v>
      </c>
      <c r="D533" t="s">
        <v>2090</v>
      </c>
      <c r="E533" s="150">
        <v>166</v>
      </c>
      <c r="F533" s="142">
        <v>22690</v>
      </c>
      <c r="G533" s="143">
        <v>19067</v>
      </c>
      <c r="H533" s="144">
        <v>3623</v>
      </c>
      <c r="I533" s="140">
        <v>1</v>
      </c>
      <c r="J533" s="114" t="str">
        <f t="shared" si="8"/>
        <v>INSERT INTO DOCUMENTOS (NRO_DOCUMENTO,FECHA_EMISION,TOTAL_BRUTO,TOTAL_NETO,TOTAL_IVA, ID_TIPO, RUT_EMPLEADO, ID_CLIENTE) VALUES(529,TO_DATE('03-04-2025','DD-MM-YYYY'),22690,19067,3623,1,'14526149-K',166);</v>
      </c>
    </row>
    <row r="534" spans="1:10">
      <c r="A534" s="149"/>
      <c r="B534" s="149">
        <v>530</v>
      </c>
      <c r="C534" s="118" t="s">
        <v>2256</v>
      </c>
      <c r="D534" t="s">
        <v>2090</v>
      </c>
      <c r="E534" s="150">
        <v>202</v>
      </c>
      <c r="F534" s="142">
        <v>12300</v>
      </c>
      <c r="G534" s="143">
        <v>10336</v>
      </c>
      <c r="H534" s="144">
        <v>1964</v>
      </c>
      <c r="I534" s="140">
        <v>1</v>
      </c>
      <c r="J534" s="114" t="str">
        <f t="shared" si="8"/>
        <v>INSERT INTO DOCUMENTOS (NRO_DOCUMENTO,FECHA_EMISION,TOTAL_BRUTO,TOTAL_NETO,TOTAL_IVA, ID_TIPO, RUT_EMPLEADO, ID_CLIENTE) VALUES(530,TO_DATE('03-04-2025','DD-MM-YYYY'),12300,10336,1964,1,'14526149-K',202);</v>
      </c>
    </row>
    <row r="535" spans="1:10">
      <c r="A535" s="149"/>
      <c r="B535" s="149">
        <v>531</v>
      </c>
      <c r="C535" s="118" t="s">
        <v>2256</v>
      </c>
      <c r="D535" t="s">
        <v>2090</v>
      </c>
      <c r="E535" s="150">
        <v>226</v>
      </c>
      <c r="F535" s="142">
        <v>7000</v>
      </c>
      <c r="G535" s="143">
        <v>5882</v>
      </c>
      <c r="H535" s="144">
        <v>1118</v>
      </c>
      <c r="I535" s="140">
        <v>1</v>
      </c>
      <c r="J535" s="114" t="str">
        <f t="shared" si="8"/>
        <v>INSERT INTO DOCUMENTOS (NRO_DOCUMENTO,FECHA_EMISION,TOTAL_BRUTO,TOTAL_NETO,TOTAL_IVA, ID_TIPO, RUT_EMPLEADO, ID_CLIENTE) VALUES(531,TO_DATE('03-04-2025','DD-MM-YYYY'),7000,5882,1118,1,'14526149-K',226);</v>
      </c>
    </row>
    <row r="536" spans="1:10">
      <c r="A536" s="149"/>
      <c r="B536" s="149">
        <v>532</v>
      </c>
      <c r="C536" s="118" t="s">
        <v>2256</v>
      </c>
      <c r="D536" t="s">
        <v>2090</v>
      </c>
      <c r="E536" s="150">
        <v>231</v>
      </c>
      <c r="F536" s="142">
        <v>19990</v>
      </c>
      <c r="G536" s="143">
        <v>16798</v>
      </c>
      <c r="H536" s="144">
        <v>3192</v>
      </c>
      <c r="I536" s="140">
        <v>1</v>
      </c>
      <c r="J536" s="114" t="str">
        <f t="shared" si="8"/>
        <v>INSERT INTO DOCUMENTOS (NRO_DOCUMENTO,FECHA_EMISION,TOTAL_BRUTO,TOTAL_NETO,TOTAL_IVA, ID_TIPO, RUT_EMPLEADO, ID_CLIENTE) VALUES(532,TO_DATE('03-04-2025','DD-MM-YYYY'),19990,16798,3192,1,'14526149-K',231);</v>
      </c>
    </row>
    <row r="537" spans="1:10">
      <c r="A537" s="149"/>
      <c r="B537" s="149">
        <v>533</v>
      </c>
      <c r="C537" s="118" t="s">
        <v>2256</v>
      </c>
      <c r="D537" t="s">
        <v>2090</v>
      </c>
      <c r="E537" s="150">
        <v>306</v>
      </c>
      <c r="F537" s="142">
        <v>25500</v>
      </c>
      <c r="G537" s="143">
        <v>21429</v>
      </c>
      <c r="H537" s="144">
        <v>4071</v>
      </c>
      <c r="I537" s="140">
        <v>1</v>
      </c>
      <c r="J537" s="114" t="str">
        <f t="shared" si="8"/>
        <v>INSERT INTO DOCUMENTOS (NRO_DOCUMENTO,FECHA_EMISION,TOTAL_BRUTO,TOTAL_NETO,TOTAL_IVA, ID_TIPO, RUT_EMPLEADO, ID_CLIENTE) VALUES(533,TO_DATE('03-04-2025','DD-MM-YYYY'),25500,21429,4071,1,'14526149-K',306);</v>
      </c>
    </row>
    <row r="538" spans="1:10">
      <c r="A538" s="149"/>
      <c r="B538" s="149">
        <v>534</v>
      </c>
      <c r="C538" s="118" t="s">
        <v>2256</v>
      </c>
      <c r="D538" t="s">
        <v>2090</v>
      </c>
      <c r="E538" s="150">
        <v>377</v>
      </c>
      <c r="F538" s="142">
        <v>34890</v>
      </c>
      <c r="G538" s="143">
        <v>29319</v>
      </c>
      <c r="H538" s="144">
        <v>5571</v>
      </c>
      <c r="I538" s="140">
        <v>1</v>
      </c>
      <c r="J538" s="114" t="str">
        <f t="shared" si="8"/>
        <v>INSERT INTO DOCUMENTOS (NRO_DOCUMENTO,FECHA_EMISION,TOTAL_BRUTO,TOTAL_NETO,TOTAL_IVA, ID_TIPO, RUT_EMPLEADO, ID_CLIENTE) VALUES(534,TO_DATE('03-04-2025','DD-MM-YYYY'),34890,29319,5571,1,'14526149-K',377);</v>
      </c>
    </row>
    <row r="539" spans="1:10">
      <c r="A539" s="149"/>
      <c r="B539" s="149">
        <v>535</v>
      </c>
      <c r="C539" s="118" t="s">
        <v>2256</v>
      </c>
      <c r="D539" t="s">
        <v>2090</v>
      </c>
      <c r="E539" s="150">
        <v>483</v>
      </c>
      <c r="F539" s="142">
        <v>82490</v>
      </c>
      <c r="G539" s="143">
        <v>69318</v>
      </c>
      <c r="H539" s="144">
        <v>13172</v>
      </c>
      <c r="I539" s="140">
        <v>1</v>
      </c>
      <c r="J539" s="114" t="str">
        <f t="shared" si="8"/>
        <v>INSERT INTO DOCUMENTOS (NRO_DOCUMENTO,FECHA_EMISION,TOTAL_BRUTO,TOTAL_NETO,TOTAL_IVA, ID_TIPO, RUT_EMPLEADO, ID_CLIENTE) VALUES(535,TO_DATE('03-04-2025','DD-MM-YYYY'),82490,69318,13172,1,'14526149-K',483);</v>
      </c>
    </row>
    <row r="540" spans="1:10">
      <c r="A540" s="149"/>
      <c r="B540" s="149">
        <v>536</v>
      </c>
      <c r="C540" s="151" t="s">
        <v>2257</v>
      </c>
      <c r="D540" t="s">
        <v>2090</v>
      </c>
      <c r="E540" s="150">
        <v>63</v>
      </c>
      <c r="F540" s="142">
        <v>8300</v>
      </c>
      <c r="G540" s="143">
        <v>6975</v>
      </c>
      <c r="H540" s="144">
        <v>1325</v>
      </c>
      <c r="I540" s="140">
        <v>1</v>
      </c>
      <c r="J540" s="114" t="str">
        <f t="shared" si="8"/>
        <v>INSERT INTO DOCUMENTOS (NRO_DOCUMENTO,FECHA_EMISION,TOTAL_BRUTO,TOTAL_NETO,TOTAL_IVA, ID_TIPO, RUT_EMPLEADO, ID_CLIENTE) VALUES(536,TO_DATE('04-04-2025','DD-MM-YYYY'),8300,6975,1325,1,'14526149-K',63);</v>
      </c>
    </row>
    <row r="541" spans="1:10">
      <c r="A541" s="149"/>
      <c r="B541" s="149">
        <v>537</v>
      </c>
      <c r="C541" s="118" t="s">
        <v>2257</v>
      </c>
      <c r="D541" t="s">
        <v>2090</v>
      </c>
      <c r="E541" s="150">
        <v>119</v>
      </c>
      <c r="F541" s="142">
        <v>8300</v>
      </c>
      <c r="G541" s="143">
        <v>6975</v>
      </c>
      <c r="H541" s="144">
        <v>1325</v>
      </c>
      <c r="I541" s="140">
        <v>1</v>
      </c>
      <c r="J541" s="114" t="str">
        <f t="shared" si="8"/>
        <v>INSERT INTO DOCUMENTOS (NRO_DOCUMENTO,FECHA_EMISION,TOTAL_BRUTO,TOTAL_NETO,TOTAL_IVA, ID_TIPO, RUT_EMPLEADO, ID_CLIENTE) VALUES(537,TO_DATE('04-04-2025','DD-MM-YYYY'),8300,6975,1325,1,'14526149-K',119);</v>
      </c>
    </row>
    <row r="542" spans="1:10">
      <c r="A542" s="149"/>
      <c r="B542" s="149">
        <v>538</v>
      </c>
      <c r="C542" s="118" t="s">
        <v>2257</v>
      </c>
      <c r="D542" t="s">
        <v>2090</v>
      </c>
      <c r="E542" s="150">
        <v>166</v>
      </c>
      <c r="F542" s="142">
        <v>6200</v>
      </c>
      <c r="G542" s="143">
        <v>5210</v>
      </c>
      <c r="H542" s="144">
        <v>990</v>
      </c>
      <c r="I542" s="140">
        <v>1</v>
      </c>
      <c r="J542" s="114" t="str">
        <f t="shared" si="8"/>
        <v>INSERT INTO DOCUMENTOS (NRO_DOCUMENTO,FECHA_EMISION,TOTAL_BRUTO,TOTAL_NETO,TOTAL_IVA, ID_TIPO, RUT_EMPLEADO, ID_CLIENTE) VALUES(538,TO_DATE('04-04-2025','DD-MM-YYYY'),6200,5210,990,1,'14526149-K',166);</v>
      </c>
    </row>
    <row r="543" spans="1:10">
      <c r="A543" s="149"/>
      <c r="B543" s="149">
        <v>539</v>
      </c>
      <c r="C543" s="118" t="s">
        <v>2257</v>
      </c>
      <c r="D543" t="s">
        <v>2090</v>
      </c>
      <c r="E543" s="150">
        <v>187</v>
      </c>
      <c r="F543" s="142">
        <v>32800</v>
      </c>
      <c r="G543" s="143">
        <v>27563</v>
      </c>
      <c r="H543" s="144">
        <v>5237</v>
      </c>
      <c r="I543" s="140">
        <v>1</v>
      </c>
      <c r="J543" s="114" t="str">
        <f t="shared" si="8"/>
        <v>INSERT INTO DOCUMENTOS (NRO_DOCUMENTO,FECHA_EMISION,TOTAL_BRUTO,TOTAL_NETO,TOTAL_IVA, ID_TIPO, RUT_EMPLEADO, ID_CLIENTE) VALUES(539,TO_DATE('04-04-2025','DD-MM-YYYY'),32800,27563,5237,1,'14526149-K',187);</v>
      </c>
    </row>
    <row r="544" spans="1:10">
      <c r="A544" s="149"/>
      <c r="B544" s="149">
        <v>540</v>
      </c>
      <c r="C544" s="118" t="s">
        <v>2257</v>
      </c>
      <c r="D544" t="s">
        <v>2090</v>
      </c>
      <c r="E544" s="150">
        <v>253</v>
      </c>
      <c r="F544" s="142">
        <v>12000</v>
      </c>
      <c r="G544" s="143">
        <v>10084</v>
      </c>
      <c r="H544" s="144">
        <v>1916</v>
      </c>
      <c r="I544" s="140">
        <v>1</v>
      </c>
      <c r="J544" s="114" t="str">
        <f t="shared" si="8"/>
        <v>INSERT INTO DOCUMENTOS (NRO_DOCUMENTO,FECHA_EMISION,TOTAL_BRUTO,TOTAL_NETO,TOTAL_IVA, ID_TIPO, RUT_EMPLEADO, ID_CLIENTE) VALUES(540,TO_DATE('04-04-2025','DD-MM-YYYY'),12000,10084,1916,1,'14526149-K',253);</v>
      </c>
    </row>
    <row r="545" spans="1:10">
      <c r="A545" s="149"/>
      <c r="B545" s="149">
        <v>541</v>
      </c>
      <c r="C545" s="118" t="s">
        <v>2257</v>
      </c>
      <c r="D545" t="s">
        <v>2090</v>
      </c>
      <c r="E545" s="150">
        <v>278</v>
      </c>
      <c r="F545" s="142">
        <v>70390</v>
      </c>
      <c r="G545" s="143">
        <v>59154</v>
      </c>
      <c r="H545" s="144">
        <v>11236</v>
      </c>
      <c r="I545" s="140">
        <v>1</v>
      </c>
      <c r="J545" s="114" t="str">
        <f t="shared" si="8"/>
        <v>INSERT INTO DOCUMENTOS (NRO_DOCUMENTO,FECHA_EMISION,TOTAL_BRUTO,TOTAL_NETO,TOTAL_IVA, ID_TIPO, RUT_EMPLEADO, ID_CLIENTE) VALUES(541,TO_DATE('04-04-2025','DD-MM-YYYY'),70390,59154,11236,1,'14526149-K',278);</v>
      </c>
    </row>
    <row r="546" spans="1:10">
      <c r="A546" s="149"/>
      <c r="B546" s="149">
        <v>542</v>
      </c>
      <c r="C546" s="118" t="s">
        <v>2257</v>
      </c>
      <c r="D546" t="s">
        <v>2090</v>
      </c>
      <c r="E546" s="150">
        <v>353</v>
      </c>
      <c r="F546" s="142">
        <v>13050</v>
      </c>
      <c r="G546" s="143">
        <v>10967</v>
      </c>
      <c r="H546" s="144">
        <v>2083</v>
      </c>
      <c r="I546" s="140">
        <v>1</v>
      </c>
      <c r="J546" s="114" t="str">
        <f t="shared" si="8"/>
        <v>INSERT INTO DOCUMENTOS (NRO_DOCUMENTO,FECHA_EMISION,TOTAL_BRUTO,TOTAL_NETO,TOTAL_IVA, ID_TIPO, RUT_EMPLEADO, ID_CLIENTE) VALUES(542,TO_DATE('04-04-2025','DD-MM-YYYY'),13050,10967,2083,1,'14526149-K',353);</v>
      </c>
    </row>
    <row r="547" spans="1:10">
      <c r="A547" s="149"/>
      <c r="B547" s="149">
        <v>543</v>
      </c>
      <c r="C547" s="118" t="s">
        <v>2257</v>
      </c>
      <c r="D547" t="s">
        <v>2090</v>
      </c>
      <c r="E547" s="150">
        <v>366</v>
      </c>
      <c r="F547" s="142">
        <v>76800</v>
      </c>
      <c r="G547" s="143">
        <v>64539</v>
      </c>
      <c r="H547" s="144">
        <v>12261</v>
      </c>
      <c r="I547" s="140">
        <v>1</v>
      </c>
      <c r="J547" s="114" t="str">
        <f t="shared" si="8"/>
        <v>INSERT INTO DOCUMENTOS (NRO_DOCUMENTO,FECHA_EMISION,TOTAL_BRUTO,TOTAL_NETO,TOTAL_IVA, ID_TIPO, RUT_EMPLEADO, ID_CLIENTE) VALUES(543,TO_DATE('04-04-2025','DD-MM-YYYY'),76800,64539,12261,1,'14526149-K',366);</v>
      </c>
    </row>
    <row r="548" spans="1:10">
      <c r="A548" s="149"/>
      <c r="B548" s="149">
        <v>544</v>
      </c>
      <c r="C548" s="118" t="s">
        <v>2257</v>
      </c>
      <c r="D548" t="s">
        <v>2090</v>
      </c>
      <c r="E548" s="150">
        <v>382</v>
      </c>
      <c r="F548" s="142">
        <v>8000</v>
      </c>
      <c r="G548" s="143">
        <v>6723</v>
      </c>
      <c r="H548" s="144">
        <v>1277</v>
      </c>
      <c r="I548" s="140">
        <v>1</v>
      </c>
      <c r="J548" s="114" t="str">
        <f t="shared" si="8"/>
        <v>INSERT INTO DOCUMENTOS (NRO_DOCUMENTO,FECHA_EMISION,TOTAL_BRUTO,TOTAL_NETO,TOTAL_IVA, ID_TIPO, RUT_EMPLEADO, ID_CLIENTE) VALUES(544,TO_DATE('04-04-2025','DD-MM-YYYY'),8000,6723,1277,1,'14526149-K',382);</v>
      </c>
    </row>
    <row r="549" spans="1:10">
      <c r="A549" s="149"/>
      <c r="B549" s="149">
        <v>545</v>
      </c>
      <c r="C549" s="118" t="s">
        <v>2257</v>
      </c>
      <c r="D549" t="s">
        <v>2090</v>
      </c>
      <c r="E549" s="150">
        <v>443</v>
      </c>
      <c r="F549" s="142">
        <v>9400</v>
      </c>
      <c r="G549" s="143">
        <v>7899</v>
      </c>
      <c r="H549" s="144">
        <v>1501</v>
      </c>
      <c r="I549" s="140">
        <v>1</v>
      </c>
      <c r="J549" s="114" t="str">
        <f t="shared" si="8"/>
        <v>INSERT INTO DOCUMENTOS (NRO_DOCUMENTO,FECHA_EMISION,TOTAL_BRUTO,TOTAL_NETO,TOTAL_IVA, ID_TIPO, RUT_EMPLEADO, ID_CLIENTE) VALUES(545,TO_DATE('04-04-2025','DD-MM-YYYY'),9400,7899,1501,1,'14526149-K',443);</v>
      </c>
    </row>
    <row r="550" spans="1:10">
      <c r="A550" s="149"/>
      <c r="B550" s="149">
        <v>546</v>
      </c>
      <c r="C550" s="151" t="s">
        <v>2258</v>
      </c>
      <c r="D550" t="s">
        <v>2090</v>
      </c>
      <c r="E550" s="150">
        <v>76</v>
      </c>
      <c r="F550" s="142">
        <v>10500</v>
      </c>
      <c r="G550" s="143">
        <v>8824</v>
      </c>
      <c r="H550" s="144">
        <v>1676</v>
      </c>
      <c r="I550" s="140">
        <v>1</v>
      </c>
      <c r="J550" s="114" t="str">
        <f t="shared" si="8"/>
        <v>INSERT INTO DOCUMENTOS (NRO_DOCUMENTO,FECHA_EMISION,TOTAL_BRUTO,TOTAL_NETO,TOTAL_IVA, ID_TIPO, RUT_EMPLEADO, ID_CLIENTE) VALUES(546,TO_DATE('05-04-2025','DD-MM-YYYY'),10500,8824,1676,1,'14526149-K',76);</v>
      </c>
    </row>
    <row r="551" spans="1:10">
      <c r="A551" s="149"/>
      <c r="B551" s="149">
        <v>547</v>
      </c>
      <c r="C551" s="118" t="s">
        <v>2258</v>
      </c>
      <c r="D551" t="s">
        <v>2090</v>
      </c>
      <c r="E551" s="150">
        <v>108</v>
      </c>
      <c r="F551" s="142">
        <v>8200</v>
      </c>
      <c r="G551" s="143">
        <v>6891</v>
      </c>
      <c r="H551" s="144">
        <v>1309</v>
      </c>
      <c r="I551" s="140">
        <v>1</v>
      </c>
      <c r="J551" s="114" t="str">
        <f t="shared" si="8"/>
        <v>INSERT INTO DOCUMENTOS (NRO_DOCUMENTO,FECHA_EMISION,TOTAL_BRUTO,TOTAL_NETO,TOTAL_IVA, ID_TIPO, RUT_EMPLEADO, ID_CLIENTE) VALUES(547,TO_DATE('05-04-2025','DD-MM-YYYY'),8200,6891,1309,1,'14526149-K',108);</v>
      </c>
    </row>
    <row r="552" spans="1:10">
      <c r="A552" s="149"/>
      <c r="B552" s="149">
        <v>548</v>
      </c>
      <c r="C552" s="118" t="s">
        <v>2258</v>
      </c>
      <c r="D552" t="s">
        <v>2090</v>
      </c>
      <c r="E552" s="150">
        <v>300</v>
      </c>
      <c r="F552" s="142">
        <v>13800</v>
      </c>
      <c r="G552" s="143">
        <v>11597</v>
      </c>
      <c r="H552" s="144">
        <v>2203</v>
      </c>
      <c r="I552" s="140">
        <v>1</v>
      </c>
      <c r="J552" s="114" t="str">
        <f t="shared" si="8"/>
        <v>INSERT INTO DOCUMENTOS (NRO_DOCUMENTO,FECHA_EMISION,TOTAL_BRUTO,TOTAL_NETO,TOTAL_IVA, ID_TIPO, RUT_EMPLEADO, ID_CLIENTE) VALUES(548,TO_DATE('05-04-2025','DD-MM-YYYY'),13800,11597,2203,1,'14526149-K',300);</v>
      </c>
    </row>
    <row r="553" spans="1:10">
      <c r="A553" s="149"/>
      <c r="B553" s="149">
        <v>549</v>
      </c>
      <c r="C553" s="118" t="s">
        <v>2258</v>
      </c>
      <c r="D553" t="s">
        <v>2090</v>
      </c>
      <c r="E553" s="150">
        <v>402</v>
      </c>
      <c r="F553" s="142">
        <v>33200</v>
      </c>
      <c r="G553" s="143">
        <v>27899</v>
      </c>
      <c r="H553" s="144">
        <v>5301</v>
      </c>
      <c r="I553" s="140">
        <v>1</v>
      </c>
      <c r="J553" s="114" t="str">
        <f t="shared" si="8"/>
        <v>INSERT INTO DOCUMENTOS (NRO_DOCUMENTO,FECHA_EMISION,TOTAL_BRUTO,TOTAL_NETO,TOTAL_IVA, ID_TIPO, RUT_EMPLEADO, ID_CLIENTE) VALUES(549,TO_DATE('05-04-2025','DD-MM-YYYY'),33200,27899,5301,1,'14526149-K',402);</v>
      </c>
    </row>
    <row r="554" spans="1:10">
      <c r="A554" s="149"/>
      <c r="B554" s="150">
        <v>550</v>
      </c>
      <c r="C554" s="151" t="s">
        <v>2259</v>
      </c>
      <c r="D554" t="s">
        <v>2090</v>
      </c>
      <c r="E554" s="150">
        <v>48</v>
      </c>
      <c r="F554" s="142">
        <v>21200</v>
      </c>
      <c r="G554" s="143">
        <v>17816</v>
      </c>
      <c r="H554" s="144">
        <v>3384</v>
      </c>
      <c r="I554" s="140">
        <v>1</v>
      </c>
      <c r="J554" s="114" t="str">
        <f t="shared" si="8"/>
        <v>INSERT INTO DOCUMENTOS (NRO_DOCUMENTO,FECHA_EMISION,TOTAL_BRUTO,TOTAL_NETO,TOTAL_IVA, ID_TIPO, RUT_EMPLEADO, ID_CLIENTE) VALUES(550,TO_DATE('06-04-2025','DD-MM-YYYY'),21200,17816,3384,1,'14526149-K',48);</v>
      </c>
    </row>
    <row r="555" spans="1:10">
      <c r="A555" s="149"/>
      <c r="B555" s="149">
        <v>551</v>
      </c>
      <c r="C555" s="118" t="s">
        <v>2259</v>
      </c>
      <c r="D555" t="s">
        <v>2090</v>
      </c>
      <c r="E555" s="150">
        <v>351</v>
      </c>
      <c r="F555" s="142">
        <v>12800</v>
      </c>
      <c r="G555" s="143">
        <v>10756</v>
      </c>
      <c r="H555" s="144">
        <v>2044</v>
      </c>
      <c r="I555" s="140">
        <v>1</v>
      </c>
      <c r="J555" s="114" t="str">
        <f t="shared" si="8"/>
        <v>INSERT INTO DOCUMENTOS (NRO_DOCUMENTO,FECHA_EMISION,TOTAL_BRUTO,TOTAL_NETO,TOTAL_IVA, ID_TIPO, RUT_EMPLEADO, ID_CLIENTE) VALUES(551,TO_DATE('06-04-2025','DD-MM-YYYY'),12800,10756,2044,1,'14526149-K',351);</v>
      </c>
    </row>
    <row r="556" spans="1:10">
      <c r="A556" s="149"/>
      <c r="B556" s="149">
        <v>552</v>
      </c>
      <c r="C556" s="118" t="s">
        <v>2259</v>
      </c>
      <c r="D556" t="s">
        <v>2090</v>
      </c>
      <c r="E556" s="150">
        <v>389</v>
      </c>
      <c r="F556" s="142">
        <v>18800</v>
      </c>
      <c r="G556" s="143">
        <v>15799</v>
      </c>
      <c r="H556" s="144">
        <v>3001</v>
      </c>
      <c r="I556" s="140">
        <v>1</v>
      </c>
      <c r="J556" s="114" t="str">
        <f t="shared" si="8"/>
        <v>INSERT INTO DOCUMENTOS (NRO_DOCUMENTO,FECHA_EMISION,TOTAL_BRUTO,TOTAL_NETO,TOTAL_IVA, ID_TIPO, RUT_EMPLEADO, ID_CLIENTE) VALUES(552,TO_DATE('06-04-2025','DD-MM-YYYY'),18800,15799,3001,1,'14526149-K',389);</v>
      </c>
    </row>
    <row r="557" spans="1:10">
      <c r="A557" s="149"/>
      <c r="B557" s="149">
        <v>553</v>
      </c>
      <c r="C557" s="151" t="s">
        <v>2260</v>
      </c>
      <c r="D557" t="s">
        <v>2090</v>
      </c>
      <c r="E557" s="150">
        <v>123</v>
      </c>
      <c r="F557" s="142">
        <v>6000</v>
      </c>
      <c r="G557" s="143">
        <v>5042</v>
      </c>
      <c r="H557" s="144">
        <v>958</v>
      </c>
      <c r="I557" s="140">
        <v>1</v>
      </c>
      <c r="J557" s="114" t="str">
        <f t="shared" si="8"/>
        <v>INSERT INTO DOCUMENTOS (NRO_DOCUMENTO,FECHA_EMISION,TOTAL_BRUTO,TOTAL_NETO,TOTAL_IVA, ID_TIPO, RUT_EMPLEADO, ID_CLIENTE) VALUES(553,TO_DATE('07-04-2025','DD-MM-YYYY'),6000,5042,958,1,'14526149-K',123);</v>
      </c>
    </row>
    <row r="558" spans="1:10">
      <c r="A558" s="149"/>
      <c r="B558" s="149">
        <v>554</v>
      </c>
      <c r="C558" s="118" t="s">
        <v>2260</v>
      </c>
      <c r="D558" t="s">
        <v>2090</v>
      </c>
      <c r="E558" s="150">
        <v>159</v>
      </c>
      <c r="F558" s="142">
        <v>20900</v>
      </c>
      <c r="G558" s="143">
        <v>17563</v>
      </c>
      <c r="H558" s="144">
        <v>3337</v>
      </c>
      <c r="I558" s="140">
        <v>1</v>
      </c>
      <c r="J558" s="114" t="str">
        <f t="shared" si="8"/>
        <v>INSERT INTO DOCUMENTOS (NRO_DOCUMENTO,FECHA_EMISION,TOTAL_BRUTO,TOTAL_NETO,TOTAL_IVA, ID_TIPO, RUT_EMPLEADO, ID_CLIENTE) VALUES(554,TO_DATE('07-04-2025','DD-MM-YYYY'),20900,17563,3337,1,'14526149-K',159);</v>
      </c>
    </row>
    <row r="559" spans="1:10">
      <c r="A559" s="149"/>
      <c r="B559" s="149">
        <v>555</v>
      </c>
      <c r="C559" s="151" t="s">
        <v>2261</v>
      </c>
      <c r="D559" t="s">
        <v>2090</v>
      </c>
      <c r="E559" s="150">
        <v>114</v>
      </c>
      <c r="F559" s="142">
        <v>16800</v>
      </c>
      <c r="G559" s="143">
        <v>14118</v>
      </c>
      <c r="H559" s="144">
        <v>2682</v>
      </c>
      <c r="I559" s="140">
        <v>1</v>
      </c>
      <c r="J559" s="114" t="str">
        <f t="shared" si="8"/>
        <v>INSERT INTO DOCUMENTOS (NRO_DOCUMENTO,FECHA_EMISION,TOTAL_BRUTO,TOTAL_NETO,TOTAL_IVA, ID_TIPO, RUT_EMPLEADO, ID_CLIENTE) VALUES(555,TO_DATE('08-04-2025','DD-MM-YYYY'),16800,14118,2682,1,'14526149-K',114);</v>
      </c>
    </row>
    <row r="560" spans="1:10">
      <c r="A560" s="149"/>
      <c r="B560" s="149">
        <v>556</v>
      </c>
      <c r="C560" s="118" t="s">
        <v>2261</v>
      </c>
      <c r="D560" t="s">
        <v>2090</v>
      </c>
      <c r="E560" s="150">
        <v>142</v>
      </c>
      <c r="F560" s="142">
        <v>14500</v>
      </c>
      <c r="G560" s="143">
        <v>12185</v>
      </c>
      <c r="H560" s="144">
        <v>2315</v>
      </c>
      <c r="I560" s="140">
        <v>1</v>
      </c>
      <c r="J560" s="114" t="str">
        <f t="shared" si="8"/>
        <v>INSERT INTO DOCUMENTOS (NRO_DOCUMENTO,FECHA_EMISION,TOTAL_BRUTO,TOTAL_NETO,TOTAL_IVA, ID_TIPO, RUT_EMPLEADO, ID_CLIENTE) VALUES(556,TO_DATE('08-04-2025','DD-MM-YYYY'),14500,12185,2315,1,'14526149-K',142);</v>
      </c>
    </row>
    <row r="561" spans="1:10">
      <c r="A561" s="149"/>
      <c r="B561" s="149">
        <v>557</v>
      </c>
      <c r="C561" s="118" t="s">
        <v>2261</v>
      </c>
      <c r="D561" t="s">
        <v>2090</v>
      </c>
      <c r="E561" s="150">
        <v>166</v>
      </c>
      <c r="F561" s="142">
        <v>21800</v>
      </c>
      <c r="G561" s="143">
        <v>18320</v>
      </c>
      <c r="H561" s="144">
        <v>3480</v>
      </c>
      <c r="I561" s="140">
        <v>1</v>
      </c>
      <c r="J561" s="114" t="str">
        <f t="shared" si="8"/>
        <v>INSERT INTO DOCUMENTOS (NRO_DOCUMENTO,FECHA_EMISION,TOTAL_BRUTO,TOTAL_NETO,TOTAL_IVA, ID_TIPO, RUT_EMPLEADO, ID_CLIENTE) VALUES(557,TO_DATE('08-04-2025','DD-MM-YYYY'),21800,18320,3480,1,'14526149-K',166);</v>
      </c>
    </row>
    <row r="562" spans="1:10">
      <c r="A562" s="149"/>
      <c r="B562" s="149">
        <v>558</v>
      </c>
      <c r="C562" s="118" t="s">
        <v>2261</v>
      </c>
      <c r="D562" t="s">
        <v>2090</v>
      </c>
      <c r="E562" s="150">
        <v>179</v>
      </c>
      <c r="F562" s="142">
        <v>25700</v>
      </c>
      <c r="G562" s="143">
        <v>21597</v>
      </c>
      <c r="H562" s="144">
        <v>4103</v>
      </c>
      <c r="I562" s="140">
        <v>1</v>
      </c>
      <c r="J562" s="114" t="str">
        <f t="shared" si="8"/>
        <v>INSERT INTO DOCUMENTOS (NRO_DOCUMENTO,FECHA_EMISION,TOTAL_BRUTO,TOTAL_NETO,TOTAL_IVA, ID_TIPO, RUT_EMPLEADO, ID_CLIENTE) VALUES(558,TO_DATE('08-04-2025','DD-MM-YYYY'),25700,21597,4103,1,'14526149-K',179);</v>
      </c>
    </row>
    <row r="563" spans="1:10">
      <c r="A563" s="149"/>
      <c r="B563" s="149">
        <v>559</v>
      </c>
      <c r="C563" s="118" t="s">
        <v>2261</v>
      </c>
      <c r="D563" t="s">
        <v>2090</v>
      </c>
      <c r="E563" s="150">
        <v>234</v>
      </c>
      <c r="F563" s="142">
        <v>8200</v>
      </c>
      <c r="G563" s="143">
        <v>6891</v>
      </c>
      <c r="H563" s="144">
        <v>1309</v>
      </c>
      <c r="I563" s="140">
        <v>1</v>
      </c>
      <c r="J563" s="114" t="str">
        <f t="shared" si="8"/>
        <v>INSERT INTO DOCUMENTOS (NRO_DOCUMENTO,FECHA_EMISION,TOTAL_BRUTO,TOTAL_NETO,TOTAL_IVA, ID_TIPO, RUT_EMPLEADO, ID_CLIENTE) VALUES(559,TO_DATE('08-04-2025','DD-MM-YYYY'),8200,6891,1309,1,'14526149-K',234);</v>
      </c>
    </row>
    <row r="564" spans="1:10">
      <c r="A564" s="149"/>
      <c r="B564" s="149">
        <v>560</v>
      </c>
      <c r="C564" s="118" t="s">
        <v>2261</v>
      </c>
      <c r="D564" t="s">
        <v>2090</v>
      </c>
      <c r="E564" s="150">
        <v>239</v>
      </c>
      <c r="F564" s="142">
        <v>71100</v>
      </c>
      <c r="G564" s="143">
        <v>59748</v>
      </c>
      <c r="H564" s="144">
        <v>11352</v>
      </c>
      <c r="I564" s="140">
        <v>1</v>
      </c>
      <c r="J564" s="114" t="str">
        <f t="shared" si="8"/>
        <v>INSERT INTO DOCUMENTOS (NRO_DOCUMENTO,FECHA_EMISION,TOTAL_BRUTO,TOTAL_NETO,TOTAL_IVA, ID_TIPO, RUT_EMPLEADO, ID_CLIENTE) VALUES(560,TO_DATE('08-04-2025','DD-MM-YYYY'),71100,59748,11352,1,'14526149-K',239);</v>
      </c>
    </row>
    <row r="565" spans="1:10">
      <c r="A565" s="149"/>
      <c r="B565" s="149">
        <v>561</v>
      </c>
      <c r="C565" s="118" t="s">
        <v>2261</v>
      </c>
      <c r="D565" t="s">
        <v>2090</v>
      </c>
      <c r="E565" s="150">
        <v>242</v>
      </c>
      <c r="F565" s="142">
        <v>8300</v>
      </c>
      <c r="G565" s="143">
        <v>6975</v>
      </c>
      <c r="H565" s="144">
        <v>1325</v>
      </c>
      <c r="I565" s="140">
        <v>1</v>
      </c>
      <c r="J565" s="114" t="str">
        <f t="shared" si="8"/>
        <v>INSERT INTO DOCUMENTOS (NRO_DOCUMENTO,FECHA_EMISION,TOTAL_BRUTO,TOTAL_NETO,TOTAL_IVA, ID_TIPO, RUT_EMPLEADO, ID_CLIENTE) VALUES(561,TO_DATE('08-04-2025','DD-MM-YYYY'),8300,6975,1325,1,'14526149-K',242);</v>
      </c>
    </row>
    <row r="566" spans="1:10">
      <c r="A566" s="149"/>
      <c r="B566" s="149">
        <v>562</v>
      </c>
      <c r="C566" s="118" t="s">
        <v>2261</v>
      </c>
      <c r="D566" t="s">
        <v>2090</v>
      </c>
      <c r="E566" s="150">
        <v>444</v>
      </c>
      <c r="F566" s="142">
        <v>8300</v>
      </c>
      <c r="G566" s="143">
        <v>6975</v>
      </c>
      <c r="H566" s="144">
        <v>1325</v>
      </c>
      <c r="I566" s="140">
        <v>1</v>
      </c>
      <c r="J566" s="114" t="str">
        <f t="shared" si="8"/>
        <v>INSERT INTO DOCUMENTOS (NRO_DOCUMENTO,FECHA_EMISION,TOTAL_BRUTO,TOTAL_NETO,TOTAL_IVA, ID_TIPO, RUT_EMPLEADO, ID_CLIENTE) VALUES(562,TO_DATE('08-04-2025','DD-MM-YYYY'),8300,6975,1325,1,'14526149-K',444);</v>
      </c>
    </row>
    <row r="567" spans="1:10">
      <c r="A567" s="149"/>
      <c r="B567" s="149">
        <v>563</v>
      </c>
      <c r="C567" s="151" t="s">
        <v>2262</v>
      </c>
      <c r="D567" t="s">
        <v>2090</v>
      </c>
      <c r="E567" s="150">
        <v>104</v>
      </c>
      <c r="F567" s="142">
        <v>33200</v>
      </c>
      <c r="G567" s="143">
        <v>27899</v>
      </c>
      <c r="H567" s="144">
        <v>5301</v>
      </c>
      <c r="I567" s="140">
        <v>1</v>
      </c>
      <c r="J567" s="114" t="str">
        <f t="shared" si="8"/>
        <v>INSERT INTO DOCUMENTOS (NRO_DOCUMENTO,FECHA_EMISION,TOTAL_BRUTO,TOTAL_NETO,TOTAL_IVA, ID_TIPO, RUT_EMPLEADO, ID_CLIENTE) VALUES(563,TO_DATE('09-04-2025','DD-MM-YYYY'),33200,27899,5301,1,'14526149-K',104);</v>
      </c>
    </row>
    <row r="568" spans="1:10">
      <c r="A568" s="149"/>
      <c r="B568" s="149">
        <v>564</v>
      </c>
      <c r="C568" s="118" t="s">
        <v>2262</v>
      </c>
      <c r="D568" t="s">
        <v>2090</v>
      </c>
      <c r="E568" s="150">
        <v>142</v>
      </c>
      <c r="F568" s="142">
        <v>10000</v>
      </c>
      <c r="G568" s="143">
        <v>8403</v>
      </c>
      <c r="H568" s="144">
        <v>1597</v>
      </c>
      <c r="I568" s="140">
        <v>1</v>
      </c>
      <c r="J568" s="114" t="str">
        <f t="shared" si="8"/>
        <v>INSERT INTO DOCUMENTOS (NRO_DOCUMENTO,FECHA_EMISION,TOTAL_BRUTO,TOTAL_NETO,TOTAL_IVA, ID_TIPO, RUT_EMPLEADO, ID_CLIENTE) VALUES(564,TO_DATE('09-04-2025','DD-MM-YYYY'),10000,8403,1597,1,'14526149-K',142);</v>
      </c>
    </row>
    <row r="569" spans="1:10">
      <c r="A569" s="149"/>
      <c r="B569" s="149">
        <v>565</v>
      </c>
      <c r="C569" s="118" t="s">
        <v>2262</v>
      </c>
      <c r="D569" t="s">
        <v>2090</v>
      </c>
      <c r="E569" s="150">
        <v>166</v>
      </c>
      <c r="F569" s="142">
        <v>9500</v>
      </c>
      <c r="G569" s="143">
        <v>7983</v>
      </c>
      <c r="H569" s="144">
        <v>1517</v>
      </c>
      <c r="I569" s="140">
        <v>1</v>
      </c>
      <c r="J569" s="114" t="str">
        <f t="shared" si="8"/>
        <v>INSERT INTO DOCUMENTOS (NRO_DOCUMENTO,FECHA_EMISION,TOTAL_BRUTO,TOTAL_NETO,TOTAL_IVA, ID_TIPO, RUT_EMPLEADO, ID_CLIENTE) VALUES(565,TO_DATE('09-04-2025','DD-MM-YYYY'),9500,7983,1517,1,'14526149-K',166);</v>
      </c>
    </row>
    <row r="570" spans="1:10">
      <c r="A570" s="149"/>
      <c r="B570" s="149">
        <v>566</v>
      </c>
      <c r="C570" s="118" t="s">
        <v>2262</v>
      </c>
      <c r="D570" t="s">
        <v>2090</v>
      </c>
      <c r="E570" s="150">
        <v>300</v>
      </c>
      <c r="F570" s="142">
        <v>12000</v>
      </c>
      <c r="G570" s="143">
        <v>10085</v>
      </c>
      <c r="H570" s="144">
        <v>1915</v>
      </c>
      <c r="I570" s="140">
        <v>1</v>
      </c>
      <c r="J570" s="114" t="str">
        <f t="shared" si="8"/>
        <v>INSERT INTO DOCUMENTOS (NRO_DOCUMENTO,FECHA_EMISION,TOTAL_BRUTO,TOTAL_NETO,TOTAL_IVA, ID_TIPO, RUT_EMPLEADO, ID_CLIENTE) VALUES(566,TO_DATE('09-04-2025','DD-MM-YYYY'),12000,10085,1915,1,'14526149-K',300);</v>
      </c>
    </row>
    <row r="571" spans="1:10">
      <c r="A571" s="149"/>
      <c r="B571" s="149">
        <v>567</v>
      </c>
      <c r="C571" s="118" t="s">
        <v>2262</v>
      </c>
      <c r="D571" t="s">
        <v>2090</v>
      </c>
      <c r="E571" s="150">
        <v>312</v>
      </c>
      <c r="F571" s="142">
        <v>8300</v>
      </c>
      <c r="G571" s="143">
        <v>6975</v>
      </c>
      <c r="H571" s="144">
        <v>1325</v>
      </c>
      <c r="I571" s="140">
        <v>1</v>
      </c>
      <c r="J571" s="114" t="str">
        <f t="shared" si="8"/>
        <v>INSERT INTO DOCUMENTOS (NRO_DOCUMENTO,FECHA_EMISION,TOTAL_BRUTO,TOTAL_NETO,TOTAL_IVA, ID_TIPO, RUT_EMPLEADO, ID_CLIENTE) VALUES(567,TO_DATE('09-04-2025','DD-MM-YYYY'),8300,6975,1325,1,'14526149-K',312);</v>
      </c>
    </row>
    <row r="572" spans="1:10">
      <c r="A572" s="149"/>
      <c r="B572" s="149">
        <v>568</v>
      </c>
      <c r="C572" s="151" t="s">
        <v>2263</v>
      </c>
      <c r="D572" t="s">
        <v>2090</v>
      </c>
      <c r="E572" s="150">
        <v>22</v>
      </c>
      <c r="F572" s="142">
        <v>17800</v>
      </c>
      <c r="G572" s="143">
        <v>14959</v>
      </c>
      <c r="H572" s="144">
        <v>2841</v>
      </c>
      <c r="I572" s="140">
        <v>1</v>
      </c>
      <c r="J572" s="114" t="str">
        <f t="shared" si="8"/>
        <v>INSERT INTO DOCUMENTOS (NRO_DOCUMENTO,FECHA_EMISION,TOTAL_BRUTO,TOTAL_NETO,TOTAL_IVA, ID_TIPO, RUT_EMPLEADO, ID_CLIENTE) VALUES(568,TO_DATE('10-04-2025','DD-MM-YYYY'),17800,14959,2841,1,'14526149-K',22);</v>
      </c>
    </row>
    <row r="573" spans="1:10">
      <c r="A573" s="149"/>
      <c r="B573" s="149">
        <v>569</v>
      </c>
      <c r="C573" s="118" t="s">
        <v>2263</v>
      </c>
      <c r="D573" t="s">
        <v>2090</v>
      </c>
      <c r="E573" s="150">
        <v>86</v>
      </c>
      <c r="F573" s="142">
        <v>8300</v>
      </c>
      <c r="G573" s="143">
        <v>6975</v>
      </c>
      <c r="H573" s="144">
        <v>1325</v>
      </c>
      <c r="I573" s="140">
        <v>1</v>
      </c>
      <c r="J573" s="114" t="str">
        <f t="shared" si="8"/>
        <v>INSERT INTO DOCUMENTOS (NRO_DOCUMENTO,FECHA_EMISION,TOTAL_BRUTO,TOTAL_NETO,TOTAL_IVA, ID_TIPO, RUT_EMPLEADO, ID_CLIENTE) VALUES(569,TO_DATE('10-04-2025','DD-MM-YYYY'),8300,6975,1325,1,'14526149-K',86);</v>
      </c>
    </row>
    <row r="574" spans="1:10">
      <c r="A574" s="149"/>
      <c r="B574" s="149">
        <v>570</v>
      </c>
      <c r="C574" s="118" t="s">
        <v>2263</v>
      </c>
      <c r="D574" t="s">
        <v>2090</v>
      </c>
      <c r="E574" s="150">
        <v>122</v>
      </c>
      <c r="F574" s="142">
        <v>17300</v>
      </c>
      <c r="G574" s="143">
        <v>14538</v>
      </c>
      <c r="H574" s="144">
        <v>2762</v>
      </c>
      <c r="I574" s="140">
        <v>1</v>
      </c>
      <c r="J574" s="114" t="str">
        <f t="shared" si="8"/>
        <v>INSERT INTO DOCUMENTOS (NRO_DOCUMENTO,FECHA_EMISION,TOTAL_BRUTO,TOTAL_NETO,TOTAL_IVA, ID_TIPO, RUT_EMPLEADO, ID_CLIENTE) VALUES(570,TO_DATE('10-04-2025','DD-MM-YYYY'),17300,14538,2762,1,'14526149-K',122);</v>
      </c>
    </row>
    <row r="575" spans="1:10">
      <c r="A575" s="149"/>
      <c r="B575" s="149">
        <v>571</v>
      </c>
      <c r="C575" s="118" t="s">
        <v>2263</v>
      </c>
      <c r="D575" t="s">
        <v>2090</v>
      </c>
      <c r="E575" s="150">
        <v>166</v>
      </c>
      <c r="F575" s="142">
        <v>10000</v>
      </c>
      <c r="G575" s="143">
        <v>8403</v>
      </c>
      <c r="H575" s="144">
        <v>1597</v>
      </c>
      <c r="I575" s="140">
        <v>1</v>
      </c>
      <c r="J575" s="114" t="str">
        <f t="shared" si="8"/>
        <v>INSERT INTO DOCUMENTOS (NRO_DOCUMENTO,FECHA_EMISION,TOTAL_BRUTO,TOTAL_NETO,TOTAL_IVA, ID_TIPO, RUT_EMPLEADO, ID_CLIENTE) VALUES(571,TO_DATE('10-04-2025','DD-MM-YYYY'),10000,8403,1597,1,'14526149-K',166);</v>
      </c>
    </row>
    <row r="576" spans="1:10">
      <c r="A576" s="149"/>
      <c r="B576" s="149">
        <v>572</v>
      </c>
      <c r="C576" s="118" t="s">
        <v>2263</v>
      </c>
      <c r="D576" t="s">
        <v>2090</v>
      </c>
      <c r="E576" s="150">
        <v>181</v>
      </c>
      <c r="F576" s="142">
        <v>4200</v>
      </c>
      <c r="G576" s="143">
        <v>3529</v>
      </c>
      <c r="H576" s="144">
        <v>671</v>
      </c>
      <c r="I576" s="140">
        <v>1</v>
      </c>
      <c r="J576" s="114" t="str">
        <f t="shared" si="8"/>
        <v>INSERT INTO DOCUMENTOS (NRO_DOCUMENTO,FECHA_EMISION,TOTAL_BRUTO,TOTAL_NETO,TOTAL_IVA, ID_TIPO, RUT_EMPLEADO, ID_CLIENTE) VALUES(572,TO_DATE('10-04-2025','DD-MM-YYYY'),4200,3529,671,1,'14526149-K',181);</v>
      </c>
    </row>
    <row r="577" spans="1:10">
      <c r="A577" s="149"/>
      <c r="B577" s="149">
        <v>573</v>
      </c>
      <c r="C577" s="118" t="s">
        <v>2263</v>
      </c>
      <c r="D577" t="s">
        <v>2090</v>
      </c>
      <c r="E577" s="150">
        <v>346</v>
      </c>
      <c r="F577" s="142">
        <v>8300</v>
      </c>
      <c r="G577" s="143">
        <v>6975</v>
      </c>
      <c r="H577" s="144">
        <v>1325</v>
      </c>
      <c r="I577" s="140">
        <v>1</v>
      </c>
      <c r="J577" s="114" t="str">
        <f t="shared" si="8"/>
        <v>INSERT INTO DOCUMENTOS (NRO_DOCUMENTO,FECHA_EMISION,TOTAL_BRUTO,TOTAL_NETO,TOTAL_IVA, ID_TIPO, RUT_EMPLEADO, ID_CLIENTE) VALUES(573,TO_DATE('10-04-2025','DD-MM-YYYY'),8300,6975,1325,1,'14526149-K',346);</v>
      </c>
    </row>
    <row r="578" spans="1:10">
      <c r="A578" s="149"/>
      <c r="B578" s="149">
        <v>574</v>
      </c>
      <c r="C578" s="118" t="s">
        <v>2263</v>
      </c>
      <c r="D578" t="s">
        <v>2090</v>
      </c>
      <c r="E578" s="150">
        <v>484</v>
      </c>
      <c r="F578" s="142">
        <v>20900</v>
      </c>
      <c r="G578" s="143">
        <v>17563</v>
      </c>
      <c r="H578" s="144">
        <v>3337</v>
      </c>
      <c r="I578" s="140">
        <v>1</v>
      </c>
      <c r="J578" s="114" t="str">
        <f t="shared" si="8"/>
        <v>INSERT INTO DOCUMENTOS (NRO_DOCUMENTO,FECHA_EMISION,TOTAL_BRUTO,TOTAL_NETO,TOTAL_IVA, ID_TIPO, RUT_EMPLEADO, ID_CLIENTE) VALUES(574,TO_DATE('10-04-2025','DD-MM-YYYY'),20900,17563,3337,1,'14526149-K',484);</v>
      </c>
    </row>
    <row r="579" spans="1:10">
      <c r="A579" s="149"/>
      <c r="B579" s="149">
        <v>575</v>
      </c>
      <c r="C579" s="151" t="s">
        <v>2264</v>
      </c>
      <c r="D579" t="s">
        <v>2090</v>
      </c>
      <c r="E579" s="150">
        <v>72</v>
      </c>
      <c r="F579" s="142">
        <v>13800</v>
      </c>
      <c r="G579" s="143">
        <v>11597</v>
      </c>
      <c r="H579" s="144">
        <v>2203</v>
      </c>
      <c r="I579" s="140">
        <v>1</v>
      </c>
      <c r="J579" s="114" t="str">
        <f t="shared" si="8"/>
        <v>INSERT INTO DOCUMENTOS (NRO_DOCUMENTO,FECHA_EMISION,TOTAL_BRUTO,TOTAL_NETO,TOTAL_IVA, ID_TIPO, RUT_EMPLEADO, ID_CLIENTE) VALUES(575,TO_DATE('11-04-2025','DD-MM-YYYY'),13800,11597,2203,1,'14526149-K',72);</v>
      </c>
    </row>
    <row r="580" spans="1:10">
      <c r="A580" s="149"/>
      <c r="B580" s="149">
        <v>576</v>
      </c>
      <c r="C580" s="118" t="s">
        <v>2264</v>
      </c>
      <c r="D580" t="s">
        <v>2090</v>
      </c>
      <c r="E580" s="150">
        <v>155</v>
      </c>
      <c r="F580" s="142">
        <v>8300</v>
      </c>
      <c r="G580" s="143">
        <v>6975</v>
      </c>
      <c r="H580" s="144">
        <v>1325</v>
      </c>
      <c r="I580" s="140">
        <v>1</v>
      </c>
      <c r="J580" s="114" t="str">
        <f t="shared" si="8"/>
        <v>INSERT INTO DOCUMENTOS (NRO_DOCUMENTO,FECHA_EMISION,TOTAL_BRUTO,TOTAL_NETO,TOTAL_IVA, ID_TIPO, RUT_EMPLEADO, ID_CLIENTE) VALUES(576,TO_DATE('11-04-2025','DD-MM-YYYY'),8300,6975,1325,1,'14526149-K',155);</v>
      </c>
    </row>
    <row r="581" spans="1:10">
      <c r="A581" s="149"/>
      <c r="B581" s="149">
        <v>577</v>
      </c>
      <c r="C581" s="118" t="s">
        <v>2264</v>
      </c>
      <c r="D581" t="s">
        <v>2090</v>
      </c>
      <c r="E581" s="150">
        <v>300</v>
      </c>
      <c r="F581" s="142">
        <v>10000</v>
      </c>
      <c r="G581" s="143">
        <v>8403</v>
      </c>
      <c r="H581" s="144">
        <v>1597</v>
      </c>
      <c r="I581" s="140">
        <v>1</v>
      </c>
      <c r="J581" s="114" t="str">
        <f t="shared" si="8"/>
        <v>INSERT INTO DOCUMENTOS (NRO_DOCUMENTO,FECHA_EMISION,TOTAL_BRUTO,TOTAL_NETO,TOTAL_IVA, ID_TIPO, RUT_EMPLEADO, ID_CLIENTE) VALUES(577,TO_DATE('11-04-2025','DD-MM-YYYY'),10000,8403,1597,1,'14526149-K',300);</v>
      </c>
    </row>
    <row r="582" spans="1:10">
      <c r="A582" s="149"/>
      <c r="B582" s="149">
        <v>578</v>
      </c>
      <c r="C582" s="118" t="s">
        <v>2264</v>
      </c>
      <c r="D582" t="s">
        <v>2090</v>
      </c>
      <c r="E582" s="150">
        <v>374</v>
      </c>
      <c r="F582" s="142">
        <v>45500</v>
      </c>
      <c r="G582" s="143">
        <v>38236</v>
      </c>
      <c r="H582" s="144">
        <v>7264</v>
      </c>
      <c r="I582" s="140">
        <v>1</v>
      </c>
      <c r="J582" s="114" t="str">
        <f t="shared" ref="J582:J645" si="9">CONCATENATE("INSERT INTO DOCUMENTOS (NRO_DOCUMENTO,FECHA_EMISION,TOTAL_BRUTO,TOTAL_NETO,TOTAL_IVA, ID_TIPO, RUT_EMPLEADO, ID_CLIENTE) VALUES(",B582,",","TO_DATE('",C582,"'",",'DD-MM-YYYY'),",F582,",",G582,",",H582,",",I582,",","'",D582,"',",E582,");")</f>
        <v>INSERT INTO DOCUMENTOS (NRO_DOCUMENTO,FECHA_EMISION,TOTAL_BRUTO,TOTAL_NETO,TOTAL_IVA, ID_TIPO, RUT_EMPLEADO, ID_CLIENTE) VALUES(578,TO_DATE('11-04-2025','DD-MM-YYYY'),45500,38236,7264,1,'14526149-K',374);</v>
      </c>
    </row>
    <row r="583" spans="1:10">
      <c r="A583" s="149"/>
      <c r="B583" s="149">
        <v>579</v>
      </c>
      <c r="C583" s="118" t="s">
        <v>2264</v>
      </c>
      <c r="D583" t="s">
        <v>2090</v>
      </c>
      <c r="E583" s="150">
        <v>408</v>
      </c>
      <c r="F583" s="142">
        <v>20500</v>
      </c>
      <c r="G583" s="143">
        <v>17227</v>
      </c>
      <c r="H583" s="144">
        <v>3273</v>
      </c>
      <c r="I583" s="140">
        <v>1</v>
      </c>
      <c r="J583" s="114" t="str">
        <f t="shared" si="9"/>
        <v>INSERT INTO DOCUMENTOS (NRO_DOCUMENTO,FECHA_EMISION,TOTAL_BRUTO,TOTAL_NETO,TOTAL_IVA, ID_TIPO, RUT_EMPLEADO, ID_CLIENTE) VALUES(579,TO_DATE('11-04-2025','DD-MM-YYYY'),20500,17227,3273,1,'14526149-K',408);</v>
      </c>
    </row>
    <row r="584" spans="1:10">
      <c r="A584" s="149"/>
      <c r="B584" s="149">
        <v>580</v>
      </c>
      <c r="C584" s="118" t="s">
        <v>2264</v>
      </c>
      <c r="D584" t="s">
        <v>2090</v>
      </c>
      <c r="E584" s="150">
        <v>438</v>
      </c>
      <c r="F584" s="142">
        <v>6000</v>
      </c>
      <c r="G584" s="143">
        <v>5042</v>
      </c>
      <c r="H584" s="144">
        <v>958</v>
      </c>
      <c r="I584" s="140">
        <v>1</v>
      </c>
      <c r="J584" s="114" t="str">
        <f t="shared" si="9"/>
        <v>INSERT INTO DOCUMENTOS (NRO_DOCUMENTO,FECHA_EMISION,TOTAL_BRUTO,TOTAL_NETO,TOTAL_IVA, ID_TIPO, RUT_EMPLEADO, ID_CLIENTE) VALUES(580,TO_DATE('11-04-2025','DD-MM-YYYY'),6000,5042,958,1,'14526149-K',438);</v>
      </c>
    </row>
    <row r="585" spans="1:10">
      <c r="A585" s="149"/>
      <c r="B585" s="149">
        <v>581</v>
      </c>
      <c r="C585" s="118" t="s">
        <v>2264</v>
      </c>
      <c r="D585" t="s">
        <v>2090</v>
      </c>
      <c r="E585" s="150">
        <v>457</v>
      </c>
      <c r="F585" s="142">
        <v>15990</v>
      </c>
      <c r="G585" s="143">
        <v>13437</v>
      </c>
      <c r="H585" s="144">
        <v>2553</v>
      </c>
      <c r="I585" s="140">
        <v>1</v>
      </c>
      <c r="J585" s="114" t="str">
        <f t="shared" si="9"/>
        <v>INSERT INTO DOCUMENTOS (NRO_DOCUMENTO,FECHA_EMISION,TOTAL_BRUTO,TOTAL_NETO,TOTAL_IVA, ID_TIPO, RUT_EMPLEADO, ID_CLIENTE) VALUES(581,TO_DATE('11-04-2025','DD-MM-YYYY'),15990,13437,2553,1,'14526149-K',457);</v>
      </c>
    </row>
    <row r="586" spans="1:10">
      <c r="A586" s="149"/>
      <c r="B586" s="149">
        <v>582</v>
      </c>
      <c r="C586" s="118" t="s">
        <v>2264</v>
      </c>
      <c r="D586" t="s">
        <v>2090</v>
      </c>
      <c r="E586" s="150">
        <v>470</v>
      </c>
      <c r="F586" s="142">
        <v>8300</v>
      </c>
      <c r="G586" s="143">
        <v>6975</v>
      </c>
      <c r="H586" s="144">
        <v>1325</v>
      </c>
      <c r="I586" s="140">
        <v>1</v>
      </c>
      <c r="J586" s="114" t="str">
        <f t="shared" si="9"/>
        <v>INSERT INTO DOCUMENTOS (NRO_DOCUMENTO,FECHA_EMISION,TOTAL_BRUTO,TOTAL_NETO,TOTAL_IVA, ID_TIPO, RUT_EMPLEADO, ID_CLIENTE) VALUES(582,TO_DATE('11-04-2025','DD-MM-YYYY'),8300,6975,1325,1,'14526149-K',470);</v>
      </c>
    </row>
    <row r="587" spans="1:10">
      <c r="A587" s="149"/>
      <c r="B587" s="149">
        <v>583</v>
      </c>
      <c r="C587" s="151" t="s">
        <v>2265</v>
      </c>
      <c r="D587" t="s">
        <v>2090</v>
      </c>
      <c r="E587" s="150">
        <v>84</v>
      </c>
      <c r="F587" s="142">
        <v>4500</v>
      </c>
      <c r="G587" s="143">
        <v>3782</v>
      </c>
      <c r="H587" s="144">
        <v>718</v>
      </c>
      <c r="I587" s="140">
        <v>1</v>
      </c>
      <c r="J587" s="114" t="str">
        <f t="shared" si="9"/>
        <v>INSERT INTO DOCUMENTOS (NRO_DOCUMENTO,FECHA_EMISION,TOTAL_BRUTO,TOTAL_NETO,TOTAL_IVA, ID_TIPO, RUT_EMPLEADO, ID_CLIENTE) VALUES(583,TO_DATE('12-04-2025','DD-MM-YYYY'),4500,3782,718,1,'14526149-K',84);</v>
      </c>
    </row>
    <row r="588" spans="1:10">
      <c r="A588" s="149"/>
      <c r="B588" s="149">
        <v>584</v>
      </c>
      <c r="C588" s="151" t="s">
        <v>2266</v>
      </c>
      <c r="D588" t="s">
        <v>2090</v>
      </c>
      <c r="E588" s="150">
        <v>98</v>
      </c>
      <c r="F588" s="142">
        <v>5500</v>
      </c>
      <c r="G588" s="143">
        <v>4622</v>
      </c>
      <c r="H588" s="144">
        <v>878</v>
      </c>
      <c r="I588" s="140">
        <v>1</v>
      </c>
      <c r="J588" s="114" t="str">
        <f t="shared" si="9"/>
        <v>INSERT INTO DOCUMENTOS (NRO_DOCUMENTO,FECHA_EMISION,TOTAL_BRUTO,TOTAL_NETO,TOTAL_IVA, ID_TIPO, RUT_EMPLEADO, ID_CLIENTE) VALUES(584,TO_DATE('13-04-2025','DD-MM-YYYY'),5500,4622,878,1,'14526149-K',98);</v>
      </c>
    </row>
    <row r="589" spans="1:10">
      <c r="A589" s="149"/>
      <c r="B589" s="149">
        <v>585</v>
      </c>
      <c r="C589" s="118" t="s">
        <v>2266</v>
      </c>
      <c r="D589" t="s">
        <v>2090</v>
      </c>
      <c r="E589" s="150">
        <v>411</v>
      </c>
      <c r="F589" s="142">
        <v>7000</v>
      </c>
      <c r="G589" s="143">
        <v>5882</v>
      </c>
      <c r="H589" s="144">
        <v>1118</v>
      </c>
      <c r="I589" s="140">
        <v>1</v>
      </c>
      <c r="J589" s="114" t="str">
        <f t="shared" si="9"/>
        <v>INSERT INTO DOCUMENTOS (NRO_DOCUMENTO,FECHA_EMISION,TOTAL_BRUTO,TOTAL_NETO,TOTAL_IVA, ID_TIPO, RUT_EMPLEADO, ID_CLIENTE) VALUES(585,TO_DATE('13-04-2025','DD-MM-YYYY'),7000,5882,1118,1,'14526149-K',411);</v>
      </c>
    </row>
    <row r="590" spans="1:10">
      <c r="A590" s="149"/>
      <c r="B590" s="149">
        <v>586</v>
      </c>
      <c r="C590" s="118" t="s">
        <v>2266</v>
      </c>
      <c r="D590" t="s">
        <v>2090</v>
      </c>
      <c r="E590" s="150">
        <v>419</v>
      </c>
      <c r="F590" s="142">
        <v>5500</v>
      </c>
      <c r="G590" s="143">
        <v>4622</v>
      </c>
      <c r="H590" s="144">
        <v>878</v>
      </c>
      <c r="I590" s="140">
        <v>1</v>
      </c>
      <c r="J590" s="114" t="str">
        <f t="shared" si="9"/>
        <v>INSERT INTO DOCUMENTOS (NRO_DOCUMENTO,FECHA_EMISION,TOTAL_BRUTO,TOTAL_NETO,TOTAL_IVA, ID_TIPO, RUT_EMPLEADO, ID_CLIENTE) VALUES(586,TO_DATE('13-04-2025','DD-MM-YYYY'),5500,4622,878,1,'14526149-K',419);</v>
      </c>
    </row>
    <row r="591" spans="1:10">
      <c r="A591" s="149"/>
      <c r="B591" s="149">
        <v>587</v>
      </c>
      <c r="C591" s="118" t="s">
        <v>2266</v>
      </c>
      <c r="D591" t="s">
        <v>2090</v>
      </c>
      <c r="E591" s="150">
        <v>446</v>
      </c>
      <c r="F591" s="142">
        <v>12000</v>
      </c>
      <c r="G591" s="143">
        <v>10084</v>
      </c>
      <c r="H591" s="144">
        <v>1916</v>
      </c>
      <c r="I591" s="140">
        <v>1</v>
      </c>
      <c r="J591" s="114" t="str">
        <f t="shared" si="9"/>
        <v>INSERT INTO DOCUMENTOS (NRO_DOCUMENTO,FECHA_EMISION,TOTAL_BRUTO,TOTAL_NETO,TOTAL_IVA, ID_TIPO, RUT_EMPLEADO, ID_CLIENTE) VALUES(587,TO_DATE('13-04-2025','DD-MM-YYYY'),12000,10084,1916,1,'14526149-K',446);</v>
      </c>
    </row>
    <row r="592" spans="1:10">
      <c r="A592" s="149"/>
      <c r="B592" s="149">
        <v>588</v>
      </c>
      <c r="C592" s="118" t="s">
        <v>2266</v>
      </c>
      <c r="D592" t="s">
        <v>2090</v>
      </c>
      <c r="E592" s="150">
        <v>451</v>
      </c>
      <c r="F592" s="142">
        <v>16000</v>
      </c>
      <c r="G592" s="143">
        <v>13445</v>
      </c>
      <c r="H592" s="144">
        <v>2555</v>
      </c>
      <c r="I592" s="140">
        <v>1</v>
      </c>
      <c r="J592" s="114" t="str">
        <f t="shared" si="9"/>
        <v>INSERT INTO DOCUMENTOS (NRO_DOCUMENTO,FECHA_EMISION,TOTAL_BRUTO,TOTAL_NETO,TOTAL_IVA, ID_TIPO, RUT_EMPLEADO, ID_CLIENTE) VALUES(588,TO_DATE('13-04-2025','DD-MM-YYYY'),16000,13445,2555,1,'14526149-K',451);</v>
      </c>
    </row>
    <row r="593" spans="1:10">
      <c r="A593" s="149"/>
      <c r="B593" s="149">
        <v>589</v>
      </c>
      <c r="C593" s="118" t="s">
        <v>2266</v>
      </c>
      <c r="D593" t="s">
        <v>2090</v>
      </c>
      <c r="E593" s="150">
        <v>477</v>
      </c>
      <c r="F593" s="142">
        <v>20900</v>
      </c>
      <c r="G593" s="143">
        <v>17563</v>
      </c>
      <c r="H593" s="144">
        <v>3337</v>
      </c>
      <c r="I593" s="140">
        <v>1</v>
      </c>
      <c r="J593" s="114" t="str">
        <f t="shared" si="9"/>
        <v>INSERT INTO DOCUMENTOS (NRO_DOCUMENTO,FECHA_EMISION,TOTAL_BRUTO,TOTAL_NETO,TOTAL_IVA, ID_TIPO, RUT_EMPLEADO, ID_CLIENTE) VALUES(589,TO_DATE('13-04-2025','DD-MM-YYYY'),20900,17563,3337,1,'14526149-K',477);</v>
      </c>
    </row>
    <row r="594" spans="1:10">
      <c r="A594" s="149"/>
      <c r="B594" s="149">
        <v>590</v>
      </c>
      <c r="C594" s="151" t="s">
        <v>2267</v>
      </c>
      <c r="D594" t="s">
        <v>2090</v>
      </c>
      <c r="E594" s="150">
        <v>48</v>
      </c>
      <c r="F594" s="142">
        <v>10500</v>
      </c>
      <c r="G594" s="143">
        <v>8824</v>
      </c>
      <c r="H594" s="144">
        <v>1676</v>
      </c>
      <c r="I594" s="140">
        <v>1</v>
      </c>
      <c r="J594" s="114" t="str">
        <f t="shared" si="9"/>
        <v>INSERT INTO DOCUMENTOS (NRO_DOCUMENTO,FECHA_EMISION,TOTAL_BRUTO,TOTAL_NETO,TOTAL_IVA, ID_TIPO, RUT_EMPLEADO, ID_CLIENTE) VALUES(590,TO_DATE('14-04-2025','DD-MM-YYYY'),10500,8824,1676,1,'14526149-K',48);</v>
      </c>
    </row>
    <row r="595" spans="1:10">
      <c r="A595" s="149"/>
      <c r="B595" s="149">
        <v>591</v>
      </c>
      <c r="C595" s="118" t="s">
        <v>2267</v>
      </c>
      <c r="D595" t="s">
        <v>2090</v>
      </c>
      <c r="E595" s="150">
        <v>62</v>
      </c>
      <c r="F595" s="142">
        <v>103700</v>
      </c>
      <c r="G595" s="143">
        <v>87144</v>
      </c>
      <c r="H595" s="144">
        <v>16556</v>
      </c>
      <c r="I595" s="140">
        <v>1</v>
      </c>
      <c r="J595" s="114" t="str">
        <f t="shared" si="9"/>
        <v>INSERT INTO DOCUMENTOS (NRO_DOCUMENTO,FECHA_EMISION,TOTAL_BRUTO,TOTAL_NETO,TOTAL_IVA, ID_TIPO, RUT_EMPLEADO, ID_CLIENTE) VALUES(591,TO_DATE('14-04-2025','DD-MM-YYYY'),103700,87144,16556,1,'14526149-K',62);</v>
      </c>
    </row>
    <row r="596" spans="1:10">
      <c r="A596" s="149"/>
      <c r="B596" s="149">
        <v>592</v>
      </c>
      <c r="C596" s="118" t="s">
        <v>2267</v>
      </c>
      <c r="D596" t="s">
        <v>2090</v>
      </c>
      <c r="E596" s="150">
        <v>63</v>
      </c>
      <c r="F596" s="142">
        <v>8300</v>
      </c>
      <c r="G596" s="143">
        <v>6975</v>
      </c>
      <c r="H596" s="144">
        <v>1325</v>
      </c>
      <c r="I596" s="140">
        <v>1</v>
      </c>
      <c r="J596" s="114" t="str">
        <f t="shared" si="9"/>
        <v>INSERT INTO DOCUMENTOS (NRO_DOCUMENTO,FECHA_EMISION,TOTAL_BRUTO,TOTAL_NETO,TOTAL_IVA, ID_TIPO, RUT_EMPLEADO, ID_CLIENTE) VALUES(592,TO_DATE('14-04-2025','DD-MM-YYYY'),8300,6975,1325,1,'14526149-K',63);</v>
      </c>
    </row>
    <row r="597" spans="1:10">
      <c r="A597" s="149"/>
      <c r="B597" s="149">
        <v>593</v>
      </c>
      <c r="C597" s="118" t="s">
        <v>2267</v>
      </c>
      <c r="D597" t="s">
        <v>2090</v>
      </c>
      <c r="E597" s="150">
        <v>108</v>
      </c>
      <c r="F597" s="142">
        <v>4900</v>
      </c>
      <c r="G597" s="143">
        <v>4118</v>
      </c>
      <c r="H597" s="144">
        <v>782</v>
      </c>
      <c r="I597" s="140">
        <v>1</v>
      </c>
      <c r="J597" s="114" t="str">
        <f t="shared" si="9"/>
        <v>INSERT INTO DOCUMENTOS (NRO_DOCUMENTO,FECHA_EMISION,TOTAL_BRUTO,TOTAL_NETO,TOTAL_IVA, ID_TIPO, RUT_EMPLEADO, ID_CLIENTE) VALUES(593,TO_DATE('14-04-2025','DD-MM-YYYY'),4900,4118,782,1,'14526149-K',108);</v>
      </c>
    </row>
    <row r="598" spans="1:10">
      <c r="A598" s="149"/>
      <c r="B598" s="149">
        <v>594</v>
      </c>
      <c r="C598" s="118" t="s">
        <v>2267</v>
      </c>
      <c r="D598" t="s">
        <v>2090</v>
      </c>
      <c r="E598" s="150">
        <v>135</v>
      </c>
      <c r="F598" s="142">
        <v>38700</v>
      </c>
      <c r="G598" s="143">
        <v>32521</v>
      </c>
      <c r="H598" s="144">
        <v>6179</v>
      </c>
      <c r="I598" s="140">
        <v>1</v>
      </c>
      <c r="J598" s="114" t="str">
        <f t="shared" si="9"/>
        <v>INSERT INTO DOCUMENTOS (NRO_DOCUMENTO,FECHA_EMISION,TOTAL_BRUTO,TOTAL_NETO,TOTAL_IVA, ID_TIPO, RUT_EMPLEADO, ID_CLIENTE) VALUES(594,TO_DATE('14-04-2025','DD-MM-YYYY'),38700,32521,6179,1,'14526149-K',135);</v>
      </c>
    </row>
    <row r="599" spans="1:10">
      <c r="A599" s="149"/>
      <c r="B599" s="149">
        <v>595</v>
      </c>
      <c r="C599" s="118" t="s">
        <v>2267</v>
      </c>
      <c r="D599" t="s">
        <v>2090</v>
      </c>
      <c r="E599" s="150">
        <v>158</v>
      </c>
      <c r="F599" s="142">
        <v>11500</v>
      </c>
      <c r="G599" s="143">
        <v>9664</v>
      </c>
      <c r="H599" s="144">
        <v>1836</v>
      </c>
      <c r="I599" s="140">
        <v>1</v>
      </c>
      <c r="J599" s="114" t="str">
        <f t="shared" si="9"/>
        <v>INSERT INTO DOCUMENTOS (NRO_DOCUMENTO,FECHA_EMISION,TOTAL_BRUTO,TOTAL_NETO,TOTAL_IVA, ID_TIPO, RUT_EMPLEADO, ID_CLIENTE) VALUES(595,TO_DATE('14-04-2025','DD-MM-YYYY'),11500,9664,1836,1,'14526149-K',158);</v>
      </c>
    </row>
    <row r="600" spans="1:10">
      <c r="A600" s="149"/>
      <c r="B600" s="149">
        <v>596</v>
      </c>
      <c r="C600" s="118" t="s">
        <v>2267</v>
      </c>
      <c r="D600" t="s">
        <v>2090</v>
      </c>
      <c r="E600" s="150">
        <v>166</v>
      </c>
      <c r="F600" s="142">
        <v>10500</v>
      </c>
      <c r="G600" s="143">
        <v>8824</v>
      </c>
      <c r="H600" s="144">
        <v>1676</v>
      </c>
      <c r="I600" s="140">
        <v>1</v>
      </c>
      <c r="J600" s="114" t="str">
        <f t="shared" si="9"/>
        <v>INSERT INTO DOCUMENTOS (NRO_DOCUMENTO,FECHA_EMISION,TOTAL_BRUTO,TOTAL_NETO,TOTAL_IVA, ID_TIPO, RUT_EMPLEADO, ID_CLIENTE) VALUES(596,TO_DATE('14-04-2025','DD-MM-YYYY'),10500,8824,1676,1,'14526149-K',166);</v>
      </c>
    </row>
    <row r="601" spans="1:10">
      <c r="A601" s="149"/>
      <c r="B601" s="149">
        <v>597</v>
      </c>
      <c r="C601" s="118" t="s">
        <v>2267</v>
      </c>
      <c r="D601" t="s">
        <v>2090</v>
      </c>
      <c r="E601" s="150">
        <v>306</v>
      </c>
      <c r="F601" s="142">
        <v>262500</v>
      </c>
      <c r="G601" s="143">
        <v>220588</v>
      </c>
      <c r="H601" s="144">
        <v>41912</v>
      </c>
      <c r="I601" s="140">
        <v>1</v>
      </c>
      <c r="J601" s="114" t="str">
        <f t="shared" si="9"/>
        <v>INSERT INTO DOCUMENTOS (NRO_DOCUMENTO,FECHA_EMISION,TOTAL_BRUTO,TOTAL_NETO,TOTAL_IVA, ID_TIPO, RUT_EMPLEADO, ID_CLIENTE) VALUES(597,TO_DATE('14-04-2025','DD-MM-YYYY'),262500,220588,41912,1,'14526149-K',306);</v>
      </c>
    </row>
    <row r="602" spans="1:10">
      <c r="A602" s="149"/>
      <c r="B602" s="149">
        <v>598</v>
      </c>
      <c r="C602" s="118" t="s">
        <v>2267</v>
      </c>
      <c r="D602" t="s">
        <v>2090</v>
      </c>
      <c r="E602" s="150">
        <v>321</v>
      </c>
      <c r="F602" s="142">
        <v>16800</v>
      </c>
      <c r="G602" s="143">
        <v>14118</v>
      </c>
      <c r="H602" s="144">
        <v>2682</v>
      </c>
      <c r="I602" s="140">
        <v>1</v>
      </c>
      <c r="J602" s="114" t="str">
        <f t="shared" si="9"/>
        <v>INSERT INTO DOCUMENTOS (NRO_DOCUMENTO,FECHA_EMISION,TOTAL_BRUTO,TOTAL_NETO,TOTAL_IVA, ID_TIPO, RUT_EMPLEADO, ID_CLIENTE) VALUES(598,TO_DATE('14-04-2025','DD-MM-YYYY'),16800,14118,2682,1,'14526149-K',321);</v>
      </c>
    </row>
    <row r="603" spans="1:10">
      <c r="A603" s="149"/>
      <c r="B603" s="149">
        <v>599</v>
      </c>
      <c r="C603" s="151" t="s">
        <v>2268</v>
      </c>
      <c r="D603" t="s">
        <v>2090</v>
      </c>
      <c r="E603" s="150">
        <v>62</v>
      </c>
      <c r="F603" s="142">
        <v>10500</v>
      </c>
      <c r="G603" s="143">
        <v>8824</v>
      </c>
      <c r="H603" s="144">
        <v>1676</v>
      </c>
      <c r="I603" s="140">
        <v>1</v>
      </c>
      <c r="J603" s="114" t="str">
        <f t="shared" si="9"/>
        <v>INSERT INTO DOCUMENTOS (NRO_DOCUMENTO,FECHA_EMISION,TOTAL_BRUTO,TOTAL_NETO,TOTAL_IVA, ID_TIPO, RUT_EMPLEADO, ID_CLIENTE) VALUES(599,TO_DATE('15-04-2025','DD-MM-YYYY'),10500,8824,1676,1,'14526149-K',62);</v>
      </c>
    </row>
    <row r="604" spans="1:10">
      <c r="A604" s="149"/>
      <c r="B604" s="150">
        <v>600</v>
      </c>
      <c r="C604" s="118" t="s">
        <v>2268</v>
      </c>
      <c r="D604" t="s">
        <v>2090</v>
      </c>
      <c r="E604" s="150">
        <v>82</v>
      </c>
      <c r="F604" s="142">
        <v>168000</v>
      </c>
      <c r="G604" s="143">
        <v>141176</v>
      </c>
      <c r="H604" s="144">
        <v>26824</v>
      </c>
      <c r="I604" s="140">
        <v>1</v>
      </c>
      <c r="J604" s="114" t="str">
        <f t="shared" si="9"/>
        <v>INSERT INTO DOCUMENTOS (NRO_DOCUMENTO,FECHA_EMISION,TOTAL_BRUTO,TOTAL_NETO,TOTAL_IVA, ID_TIPO, RUT_EMPLEADO, ID_CLIENTE) VALUES(600,TO_DATE('15-04-2025','DD-MM-YYYY'),168000,141176,26824,1,'14526149-K',82);</v>
      </c>
    </row>
    <row r="605" spans="1:10">
      <c r="A605" s="149"/>
      <c r="B605" s="149">
        <v>601</v>
      </c>
      <c r="C605" s="118" t="s">
        <v>2268</v>
      </c>
      <c r="D605" t="s">
        <v>2090</v>
      </c>
      <c r="E605" s="150">
        <v>86</v>
      </c>
      <c r="F605" s="142">
        <v>8300</v>
      </c>
      <c r="G605" s="143">
        <v>6975</v>
      </c>
      <c r="H605" s="144">
        <v>1325</v>
      </c>
      <c r="I605" s="140">
        <v>1</v>
      </c>
      <c r="J605" s="114" t="str">
        <f t="shared" si="9"/>
        <v>INSERT INTO DOCUMENTOS (NRO_DOCUMENTO,FECHA_EMISION,TOTAL_BRUTO,TOTAL_NETO,TOTAL_IVA, ID_TIPO, RUT_EMPLEADO, ID_CLIENTE) VALUES(601,TO_DATE('15-04-2025','DD-MM-YYYY'),8300,6975,1325,1,'14526149-K',86);</v>
      </c>
    </row>
    <row r="606" spans="1:10">
      <c r="A606" s="149"/>
      <c r="B606" s="149">
        <v>602</v>
      </c>
      <c r="C606" s="118" t="s">
        <v>2268</v>
      </c>
      <c r="D606" t="s">
        <v>2090</v>
      </c>
      <c r="E606" s="150">
        <v>119</v>
      </c>
      <c r="F606" s="142">
        <v>63700</v>
      </c>
      <c r="G606" s="143">
        <v>53530</v>
      </c>
      <c r="H606" s="144">
        <v>10170</v>
      </c>
      <c r="I606" s="140">
        <v>1</v>
      </c>
      <c r="J606" s="114" t="str">
        <f t="shared" si="9"/>
        <v>INSERT INTO DOCUMENTOS (NRO_DOCUMENTO,FECHA_EMISION,TOTAL_BRUTO,TOTAL_NETO,TOTAL_IVA, ID_TIPO, RUT_EMPLEADO, ID_CLIENTE) VALUES(602,TO_DATE('15-04-2025','DD-MM-YYYY'),63700,53530,10170,1,'14526149-K',119);</v>
      </c>
    </row>
    <row r="607" spans="1:10">
      <c r="A607" s="149"/>
      <c r="B607" s="149">
        <v>603</v>
      </c>
      <c r="C607" s="118" t="s">
        <v>2268</v>
      </c>
      <c r="D607" t="s">
        <v>2090</v>
      </c>
      <c r="E607" s="150">
        <v>343</v>
      </c>
      <c r="F607" s="142">
        <v>38700</v>
      </c>
      <c r="G607" s="143">
        <v>32521</v>
      </c>
      <c r="H607" s="144">
        <v>6179</v>
      </c>
      <c r="I607" s="140">
        <v>1</v>
      </c>
      <c r="J607" s="114" t="str">
        <f t="shared" si="9"/>
        <v>INSERT INTO DOCUMENTOS (NRO_DOCUMENTO,FECHA_EMISION,TOTAL_BRUTO,TOTAL_NETO,TOTAL_IVA, ID_TIPO, RUT_EMPLEADO, ID_CLIENTE) VALUES(603,TO_DATE('15-04-2025','DD-MM-YYYY'),38700,32521,6179,1,'14526149-K',343);</v>
      </c>
    </row>
    <row r="608" spans="1:10">
      <c r="A608" s="149"/>
      <c r="B608" s="149">
        <v>604</v>
      </c>
      <c r="C608" s="118" t="s">
        <v>2268</v>
      </c>
      <c r="D608" t="s">
        <v>2090</v>
      </c>
      <c r="E608" s="150">
        <v>397</v>
      </c>
      <c r="F608" s="142">
        <v>42000</v>
      </c>
      <c r="G608" s="143">
        <v>35294</v>
      </c>
      <c r="H608" s="144">
        <v>6706</v>
      </c>
      <c r="I608" s="140">
        <v>1</v>
      </c>
      <c r="J608" s="114" t="str">
        <f t="shared" si="9"/>
        <v>INSERT INTO DOCUMENTOS (NRO_DOCUMENTO,FECHA_EMISION,TOTAL_BRUTO,TOTAL_NETO,TOTAL_IVA, ID_TIPO, RUT_EMPLEADO, ID_CLIENTE) VALUES(604,TO_DATE('15-04-2025','DD-MM-YYYY'),42000,35294,6706,1,'14526149-K',397);</v>
      </c>
    </row>
    <row r="609" spans="1:10">
      <c r="A609" s="149"/>
      <c r="B609" s="149">
        <v>605</v>
      </c>
      <c r="C609" s="151" t="s">
        <v>2269</v>
      </c>
      <c r="D609" t="s">
        <v>2090</v>
      </c>
      <c r="E609" s="150">
        <v>73</v>
      </c>
      <c r="F609" s="142">
        <v>42000</v>
      </c>
      <c r="G609" s="143">
        <v>35294</v>
      </c>
      <c r="H609" s="144">
        <v>6706</v>
      </c>
      <c r="I609" s="140">
        <v>1</v>
      </c>
      <c r="J609" s="114" t="str">
        <f t="shared" si="9"/>
        <v>INSERT INTO DOCUMENTOS (NRO_DOCUMENTO,FECHA_EMISION,TOTAL_BRUTO,TOTAL_NETO,TOTAL_IVA, ID_TIPO, RUT_EMPLEADO, ID_CLIENTE) VALUES(605,TO_DATE('16-04-2025','DD-MM-YYYY'),42000,35294,6706,1,'14526149-K',73);</v>
      </c>
    </row>
    <row r="610" spans="1:10">
      <c r="A610" s="149"/>
      <c r="B610" s="149">
        <v>606</v>
      </c>
      <c r="C610" s="118" t="s">
        <v>2269</v>
      </c>
      <c r="D610" t="s">
        <v>2090</v>
      </c>
      <c r="E610" s="150">
        <v>98</v>
      </c>
      <c r="F610" s="142">
        <v>5500</v>
      </c>
      <c r="G610" s="143">
        <v>4622</v>
      </c>
      <c r="H610" s="144">
        <v>878</v>
      </c>
      <c r="I610" s="140">
        <v>1</v>
      </c>
      <c r="J610" s="114" t="str">
        <f t="shared" si="9"/>
        <v>INSERT INTO DOCUMENTOS (NRO_DOCUMENTO,FECHA_EMISION,TOTAL_BRUTO,TOTAL_NETO,TOTAL_IVA, ID_TIPO, RUT_EMPLEADO, ID_CLIENTE) VALUES(606,TO_DATE('16-04-2025','DD-MM-YYYY'),5500,4622,878,1,'14526149-K',98);</v>
      </c>
    </row>
    <row r="611" spans="1:10">
      <c r="A611" s="149"/>
      <c r="B611" s="149">
        <v>607</v>
      </c>
      <c r="C611" s="118" t="s">
        <v>2269</v>
      </c>
      <c r="D611" t="s">
        <v>2090</v>
      </c>
      <c r="E611" s="150">
        <v>137</v>
      </c>
      <c r="F611" s="142">
        <v>10500</v>
      </c>
      <c r="G611" s="143">
        <v>8824</v>
      </c>
      <c r="H611" s="144">
        <v>1676</v>
      </c>
      <c r="I611" s="140">
        <v>1</v>
      </c>
      <c r="J611" s="114" t="str">
        <f t="shared" si="9"/>
        <v>INSERT INTO DOCUMENTOS (NRO_DOCUMENTO,FECHA_EMISION,TOTAL_BRUTO,TOTAL_NETO,TOTAL_IVA, ID_TIPO, RUT_EMPLEADO, ID_CLIENTE) VALUES(607,TO_DATE('16-04-2025','DD-MM-YYYY'),10500,8824,1676,1,'14526149-K',137);</v>
      </c>
    </row>
    <row r="612" spans="1:10">
      <c r="A612" s="149"/>
      <c r="B612" s="149">
        <v>608</v>
      </c>
      <c r="C612" s="118" t="s">
        <v>2269</v>
      </c>
      <c r="D612" t="s">
        <v>2090</v>
      </c>
      <c r="E612" s="150">
        <v>227</v>
      </c>
      <c r="F612" s="142">
        <v>8300</v>
      </c>
      <c r="G612" s="143">
        <v>6975</v>
      </c>
      <c r="H612" s="144">
        <v>1325</v>
      </c>
      <c r="I612" s="140">
        <v>1</v>
      </c>
      <c r="J612" s="114" t="str">
        <f t="shared" si="9"/>
        <v>INSERT INTO DOCUMENTOS (NRO_DOCUMENTO,FECHA_EMISION,TOTAL_BRUTO,TOTAL_NETO,TOTAL_IVA, ID_TIPO, RUT_EMPLEADO, ID_CLIENTE) VALUES(608,TO_DATE('16-04-2025','DD-MM-YYYY'),8300,6975,1325,1,'14526149-K',227);</v>
      </c>
    </row>
    <row r="613" spans="1:10">
      <c r="A613" s="149"/>
      <c r="B613" s="149">
        <v>609</v>
      </c>
      <c r="C613" s="118" t="s">
        <v>2269</v>
      </c>
      <c r="D613" t="s">
        <v>2090</v>
      </c>
      <c r="E613" s="150">
        <v>242</v>
      </c>
      <c r="F613" s="142">
        <v>10500</v>
      </c>
      <c r="G613" s="143">
        <v>8824</v>
      </c>
      <c r="H613" s="144">
        <v>1676</v>
      </c>
      <c r="I613" s="140">
        <v>1</v>
      </c>
      <c r="J613" s="114" t="str">
        <f t="shared" si="9"/>
        <v>INSERT INTO DOCUMENTOS (NRO_DOCUMENTO,FECHA_EMISION,TOTAL_BRUTO,TOTAL_NETO,TOTAL_IVA, ID_TIPO, RUT_EMPLEADO, ID_CLIENTE) VALUES(609,TO_DATE('16-04-2025','DD-MM-YYYY'),10500,8824,1676,1,'14526149-K',242);</v>
      </c>
    </row>
    <row r="614" spans="1:10">
      <c r="A614" s="149"/>
      <c r="B614" s="149">
        <v>610</v>
      </c>
      <c r="C614" s="118" t="s">
        <v>2269</v>
      </c>
      <c r="D614" t="s">
        <v>2090</v>
      </c>
      <c r="E614" s="150">
        <v>254</v>
      </c>
      <c r="F614" s="142">
        <v>10500</v>
      </c>
      <c r="G614" s="143">
        <v>8824</v>
      </c>
      <c r="H614" s="144">
        <v>1676</v>
      </c>
      <c r="I614" s="140">
        <v>1</v>
      </c>
      <c r="J614" s="114" t="str">
        <f t="shared" si="9"/>
        <v>INSERT INTO DOCUMENTOS (NRO_DOCUMENTO,FECHA_EMISION,TOTAL_BRUTO,TOTAL_NETO,TOTAL_IVA, ID_TIPO, RUT_EMPLEADO, ID_CLIENTE) VALUES(610,TO_DATE('16-04-2025','DD-MM-YYYY'),10500,8824,1676,1,'14526149-K',254);</v>
      </c>
    </row>
    <row r="615" spans="1:10">
      <c r="A615" s="149"/>
      <c r="B615" s="149">
        <v>611</v>
      </c>
      <c r="C615" s="118" t="s">
        <v>2269</v>
      </c>
      <c r="D615" t="s">
        <v>2090</v>
      </c>
      <c r="E615" s="150">
        <v>276</v>
      </c>
      <c r="F615" s="142">
        <v>10500</v>
      </c>
      <c r="G615" s="143">
        <v>8824</v>
      </c>
      <c r="H615" s="144">
        <v>1676</v>
      </c>
      <c r="I615" s="140">
        <v>1</v>
      </c>
      <c r="J615" s="114" t="str">
        <f t="shared" si="9"/>
        <v>INSERT INTO DOCUMENTOS (NRO_DOCUMENTO,FECHA_EMISION,TOTAL_BRUTO,TOTAL_NETO,TOTAL_IVA, ID_TIPO, RUT_EMPLEADO, ID_CLIENTE) VALUES(611,TO_DATE('16-04-2025','DD-MM-YYYY'),10500,8824,1676,1,'14526149-K',276);</v>
      </c>
    </row>
    <row r="616" spans="1:10">
      <c r="A616" s="149"/>
      <c r="B616" s="149">
        <v>612</v>
      </c>
      <c r="C616" s="118" t="s">
        <v>2269</v>
      </c>
      <c r="D616" t="s">
        <v>2090</v>
      </c>
      <c r="E616" s="150">
        <v>278</v>
      </c>
      <c r="F616" s="142">
        <v>50300</v>
      </c>
      <c r="G616" s="143">
        <v>42269</v>
      </c>
      <c r="H616" s="144">
        <v>8031</v>
      </c>
      <c r="I616" s="140">
        <v>1</v>
      </c>
      <c r="J616" s="114" t="str">
        <f t="shared" si="9"/>
        <v>INSERT INTO DOCUMENTOS (NRO_DOCUMENTO,FECHA_EMISION,TOTAL_BRUTO,TOTAL_NETO,TOTAL_IVA, ID_TIPO, RUT_EMPLEADO, ID_CLIENTE) VALUES(612,TO_DATE('16-04-2025','DD-MM-YYYY'),50300,42269,8031,1,'14526149-K',278);</v>
      </c>
    </row>
    <row r="617" spans="1:10">
      <c r="A617" s="149"/>
      <c r="B617" s="149">
        <v>613</v>
      </c>
      <c r="C617" s="118" t="s">
        <v>2269</v>
      </c>
      <c r="D617" t="s">
        <v>2090</v>
      </c>
      <c r="E617" s="150">
        <v>302</v>
      </c>
      <c r="F617" s="142">
        <v>10500</v>
      </c>
      <c r="G617" s="143">
        <v>8824</v>
      </c>
      <c r="H617" s="144">
        <v>1676</v>
      </c>
      <c r="I617" s="140">
        <v>1</v>
      </c>
      <c r="J617" s="114" t="str">
        <f t="shared" si="9"/>
        <v>INSERT INTO DOCUMENTOS (NRO_DOCUMENTO,FECHA_EMISION,TOTAL_BRUTO,TOTAL_NETO,TOTAL_IVA, ID_TIPO, RUT_EMPLEADO, ID_CLIENTE) VALUES(613,TO_DATE('16-04-2025','DD-MM-YYYY'),10500,8824,1676,1,'14526149-K',302);</v>
      </c>
    </row>
    <row r="618" spans="1:10">
      <c r="A618" s="149"/>
      <c r="B618" s="149">
        <v>614</v>
      </c>
      <c r="C618" s="118" t="s">
        <v>2269</v>
      </c>
      <c r="D618" t="s">
        <v>2090</v>
      </c>
      <c r="E618" s="150">
        <v>303</v>
      </c>
      <c r="F618" s="142">
        <v>5500</v>
      </c>
      <c r="G618" s="143">
        <v>4622</v>
      </c>
      <c r="H618" s="144">
        <v>878</v>
      </c>
      <c r="I618" s="140">
        <v>1</v>
      </c>
      <c r="J618" s="114" t="str">
        <f t="shared" si="9"/>
        <v>INSERT INTO DOCUMENTOS (NRO_DOCUMENTO,FECHA_EMISION,TOTAL_BRUTO,TOTAL_NETO,TOTAL_IVA, ID_TIPO, RUT_EMPLEADO, ID_CLIENTE) VALUES(614,TO_DATE('16-04-2025','DD-MM-YYYY'),5500,4622,878,1,'14526149-K',303);</v>
      </c>
    </row>
    <row r="619" spans="1:10">
      <c r="A619" s="149"/>
      <c r="B619" s="149">
        <v>615</v>
      </c>
      <c r="C619" s="118" t="s">
        <v>2269</v>
      </c>
      <c r="D619" t="s">
        <v>2090</v>
      </c>
      <c r="E619" s="150">
        <v>333</v>
      </c>
      <c r="F619" s="142">
        <v>10500</v>
      </c>
      <c r="G619" s="143">
        <v>8824</v>
      </c>
      <c r="H619" s="144">
        <v>1676</v>
      </c>
      <c r="I619" s="140">
        <v>1</v>
      </c>
      <c r="J619" s="114" t="str">
        <f t="shared" si="9"/>
        <v>INSERT INTO DOCUMENTOS (NRO_DOCUMENTO,FECHA_EMISION,TOTAL_BRUTO,TOTAL_NETO,TOTAL_IVA, ID_TIPO, RUT_EMPLEADO, ID_CLIENTE) VALUES(615,TO_DATE('16-04-2025','DD-MM-YYYY'),10500,8824,1676,1,'14526149-K',333);</v>
      </c>
    </row>
    <row r="620" spans="1:10">
      <c r="A620" s="149"/>
      <c r="B620" s="149">
        <v>616</v>
      </c>
      <c r="C620" s="118" t="s">
        <v>2269</v>
      </c>
      <c r="D620" t="s">
        <v>2090</v>
      </c>
      <c r="E620" s="150">
        <v>374</v>
      </c>
      <c r="F620" s="142">
        <v>10500</v>
      </c>
      <c r="G620" s="143">
        <v>8824</v>
      </c>
      <c r="H620" s="144">
        <v>1676</v>
      </c>
      <c r="I620" s="140">
        <v>1</v>
      </c>
      <c r="J620" s="114" t="str">
        <f t="shared" si="9"/>
        <v>INSERT INTO DOCUMENTOS (NRO_DOCUMENTO,FECHA_EMISION,TOTAL_BRUTO,TOTAL_NETO,TOTAL_IVA, ID_TIPO, RUT_EMPLEADO, ID_CLIENTE) VALUES(616,TO_DATE('16-04-2025','DD-MM-YYYY'),10500,8824,1676,1,'14526149-K',374);</v>
      </c>
    </row>
    <row r="621" spans="1:10">
      <c r="A621" s="149"/>
      <c r="B621" s="149">
        <v>617</v>
      </c>
      <c r="C621" s="118" t="s">
        <v>2269</v>
      </c>
      <c r="D621" t="s">
        <v>2090</v>
      </c>
      <c r="E621" s="150">
        <v>382</v>
      </c>
      <c r="F621" s="142">
        <v>18800</v>
      </c>
      <c r="G621" s="143">
        <v>15799</v>
      </c>
      <c r="H621" s="144">
        <v>3001</v>
      </c>
      <c r="I621" s="140">
        <v>1</v>
      </c>
      <c r="J621" s="114" t="str">
        <f t="shared" si="9"/>
        <v>INSERT INTO DOCUMENTOS (NRO_DOCUMENTO,FECHA_EMISION,TOTAL_BRUTO,TOTAL_NETO,TOTAL_IVA, ID_TIPO, RUT_EMPLEADO, ID_CLIENTE) VALUES(617,TO_DATE('16-04-2025','DD-MM-YYYY'),18800,15799,3001,1,'14526149-K',382);</v>
      </c>
    </row>
    <row r="622" spans="1:10">
      <c r="A622" s="149"/>
      <c r="B622" s="149">
        <v>618</v>
      </c>
      <c r="C622" s="118" t="s">
        <v>2269</v>
      </c>
      <c r="D622" t="s">
        <v>2090</v>
      </c>
      <c r="E622" s="150">
        <v>405</v>
      </c>
      <c r="F622" s="142">
        <v>10500</v>
      </c>
      <c r="G622" s="143">
        <v>8824</v>
      </c>
      <c r="H622" s="144">
        <v>1676</v>
      </c>
      <c r="I622" s="140">
        <v>1</v>
      </c>
      <c r="J622" s="114" t="str">
        <f t="shared" si="9"/>
        <v>INSERT INTO DOCUMENTOS (NRO_DOCUMENTO,FECHA_EMISION,TOTAL_BRUTO,TOTAL_NETO,TOTAL_IVA, ID_TIPO, RUT_EMPLEADO, ID_CLIENTE) VALUES(618,TO_DATE('16-04-2025','DD-MM-YYYY'),10500,8824,1676,1,'14526149-K',405);</v>
      </c>
    </row>
    <row r="623" spans="1:10">
      <c r="A623" s="149"/>
      <c r="B623" s="149">
        <v>619</v>
      </c>
      <c r="C623" s="151" t="s">
        <v>2270</v>
      </c>
      <c r="D623" t="s">
        <v>2090</v>
      </c>
      <c r="E623" s="150">
        <v>38</v>
      </c>
      <c r="F623" s="142">
        <v>31400</v>
      </c>
      <c r="G623" s="143">
        <v>26387</v>
      </c>
      <c r="H623" s="144">
        <v>5013</v>
      </c>
      <c r="I623" s="140">
        <v>1</v>
      </c>
      <c r="J623" s="114" t="str">
        <f t="shared" si="9"/>
        <v>INSERT INTO DOCUMENTOS (NRO_DOCUMENTO,FECHA_EMISION,TOTAL_BRUTO,TOTAL_NETO,TOTAL_IVA, ID_TIPO, RUT_EMPLEADO, ID_CLIENTE) VALUES(619,TO_DATE('17-04-2025','DD-MM-YYYY'),31400,26387,5013,1,'14526149-K',38);</v>
      </c>
    </row>
    <row r="624" spans="1:10">
      <c r="A624" s="149"/>
      <c r="B624" s="149">
        <v>620</v>
      </c>
      <c r="C624" s="118" t="s">
        <v>2270</v>
      </c>
      <c r="D624" t="s">
        <v>2090</v>
      </c>
      <c r="E624" s="150">
        <v>65</v>
      </c>
      <c r="F624" s="142">
        <v>10500</v>
      </c>
      <c r="G624" s="143">
        <v>8824</v>
      </c>
      <c r="H624" s="144">
        <v>1676</v>
      </c>
      <c r="I624" s="140">
        <v>1</v>
      </c>
      <c r="J624" s="114" t="str">
        <f t="shared" si="9"/>
        <v>INSERT INTO DOCUMENTOS (NRO_DOCUMENTO,FECHA_EMISION,TOTAL_BRUTO,TOTAL_NETO,TOTAL_IVA, ID_TIPO, RUT_EMPLEADO, ID_CLIENTE) VALUES(620,TO_DATE('17-04-2025','DD-MM-YYYY'),10500,8824,1676,1,'14526149-K',65);</v>
      </c>
    </row>
    <row r="625" spans="1:10">
      <c r="A625" s="149"/>
      <c r="B625" s="149">
        <v>621</v>
      </c>
      <c r="C625" s="118" t="s">
        <v>2270</v>
      </c>
      <c r="D625" t="s">
        <v>2090</v>
      </c>
      <c r="E625" s="150">
        <v>72</v>
      </c>
      <c r="F625" s="142">
        <v>5500</v>
      </c>
      <c r="G625" s="143">
        <v>4622</v>
      </c>
      <c r="H625" s="144">
        <v>878</v>
      </c>
      <c r="I625" s="140">
        <v>1</v>
      </c>
      <c r="J625" s="114" t="str">
        <f t="shared" si="9"/>
        <v>INSERT INTO DOCUMENTOS (NRO_DOCUMENTO,FECHA_EMISION,TOTAL_BRUTO,TOTAL_NETO,TOTAL_IVA, ID_TIPO, RUT_EMPLEADO, ID_CLIENTE) VALUES(621,TO_DATE('17-04-2025','DD-MM-YYYY'),5500,4622,878,1,'14526149-K',72);</v>
      </c>
    </row>
    <row r="626" spans="1:10">
      <c r="A626" s="149"/>
      <c r="B626" s="149">
        <v>622</v>
      </c>
      <c r="C626" s="118" t="s">
        <v>2270</v>
      </c>
      <c r="D626" t="s">
        <v>2090</v>
      </c>
      <c r="E626" s="150">
        <v>84</v>
      </c>
      <c r="F626" s="142">
        <v>13800</v>
      </c>
      <c r="G626" s="143">
        <v>11597</v>
      </c>
      <c r="H626" s="144">
        <v>2203</v>
      </c>
      <c r="I626" s="140">
        <v>1</v>
      </c>
      <c r="J626" s="114" t="str">
        <f t="shared" si="9"/>
        <v>INSERT INTO DOCUMENTOS (NRO_DOCUMENTO,FECHA_EMISION,TOTAL_BRUTO,TOTAL_NETO,TOTAL_IVA, ID_TIPO, RUT_EMPLEADO, ID_CLIENTE) VALUES(622,TO_DATE('17-04-2025','DD-MM-YYYY'),13800,11597,2203,1,'14526149-K',84);</v>
      </c>
    </row>
    <row r="627" spans="1:10">
      <c r="A627" s="149"/>
      <c r="B627" s="149">
        <v>623</v>
      </c>
      <c r="C627" s="118" t="s">
        <v>2270</v>
      </c>
      <c r="D627" t="s">
        <v>2090</v>
      </c>
      <c r="E627" s="150">
        <v>85</v>
      </c>
      <c r="F627" s="142">
        <v>10500</v>
      </c>
      <c r="G627" s="143">
        <v>8824</v>
      </c>
      <c r="H627" s="144">
        <v>1676</v>
      </c>
      <c r="I627" s="140">
        <v>1</v>
      </c>
      <c r="J627" s="114" t="str">
        <f t="shared" si="9"/>
        <v>INSERT INTO DOCUMENTOS (NRO_DOCUMENTO,FECHA_EMISION,TOTAL_BRUTO,TOTAL_NETO,TOTAL_IVA, ID_TIPO, RUT_EMPLEADO, ID_CLIENTE) VALUES(623,TO_DATE('17-04-2025','DD-MM-YYYY'),10500,8824,1676,1,'14526149-K',85);</v>
      </c>
    </row>
    <row r="628" spans="1:10">
      <c r="A628" s="149"/>
      <c r="B628" s="149">
        <v>624</v>
      </c>
      <c r="C628" s="118" t="s">
        <v>2270</v>
      </c>
      <c r="D628" t="s">
        <v>2090</v>
      </c>
      <c r="E628" s="150">
        <v>86</v>
      </c>
      <c r="F628" s="142">
        <v>10500</v>
      </c>
      <c r="G628" s="143">
        <v>8824</v>
      </c>
      <c r="H628" s="144">
        <v>1676</v>
      </c>
      <c r="I628" s="140">
        <v>1</v>
      </c>
      <c r="J628" s="114" t="str">
        <f t="shared" si="9"/>
        <v>INSERT INTO DOCUMENTOS (NRO_DOCUMENTO,FECHA_EMISION,TOTAL_BRUTO,TOTAL_NETO,TOTAL_IVA, ID_TIPO, RUT_EMPLEADO, ID_CLIENTE) VALUES(624,TO_DATE('17-04-2025','DD-MM-YYYY'),10500,8824,1676,1,'14526149-K',86);</v>
      </c>
    </row>
    <row r="629" spans="1:10">
      <c r="A629" s="149"/>
      <c r="B629" s="149">
        <v>625</v>
      </c>
      <c r="C629" s="118" t="s">
        <v>2270</v>
      </c>
      <c r="D629" t="s">
        <v>2090</v>
      </c>
      <c r="E629" s="150">
        <v>104</v>
      </c>
      <c r="F629" s="142">
        <v>10500</v>
      </c>
      <c r="G629" s="143">
        <v>8824</v>
      </c>
      <c r="H629" s="144">
        <v>1676</v>
      </c>
      <c r="I629" s="140">
        <v>1</v>
      </c>
      <c r="J629" s="114" t="str">
        <f t="shared" si="9"/>
        <v>INSERT INTO DOCUMENTOS (NRO_DOCUMENTO,FECHA_EMISION,TOTAL_BRUTO,TOTAL_NETO,TOTAL_IVA, ID_TIPO, RUT_EMPLEADO, ID_CLIENTE) VALUES(625,TO_DATE('17-04-2025','DD-MM-YYYY'),10500,8824,1676,1,'14526149-K',104);</v>
      </c>
    </row>
    <row r="630" spans="1:10">
      <c r="A630" s="149"/>
      <c r="B630" s="149">
        <v>626</v>
      </c>
      <c r="C630" s="118" t="s">
        <v>2270</v>
      </c>
      <c r="D630" t="s">
        <v>2090</v>
      </c>
      <c r="E630" s="150">
        <v>108</v>
      </c>
      <c r="F630" s="142">
        <v>10500</v>
      </c>
      <c r="G630" s="143">
        <v>8824</v>
      </c>
      <c r="H630" s="144">
        <v>1676</v>
      </c>
      <c r="I630" s="140">
        <v>1</v>
      </c>
      <c r="J630" s="114" t="str">
        <f t="shared" si="9"/>
        <v>INSERT INTO DOCUMENTOS (NRO_DOCUMENTO,FECHA_EMISION,TOTAL_BRUTO,TOTAL_NETO,TOTAL_IVA, ID_TIPO, RUT_EMPLEADO, ID_CLIENTE) VALUES(626,TO_DATE('17-04-2025','DD-MM-YYYY'),10500,8824,1676,1,'14526149-K',108);</v>
      </c>
    </row>
    <row r="631" spans="1:10">
      <c r="A631" s="149"/>
      <c r="B631" s="149">
        <v>627</v>
      </c>
      <c r="C631" s="118" t="s">
        <v>2270</v>
      </c>
      <c r="D631" t="s">
        <v>2090</v>
      </c>
      <c r="E631" s="150">
        <v>124</v>
      </c>
      <c r="F631" s="142">
        <v>6300</v>
      </c>
      <c r="G631" s="143">
        <v>5294</v>
      </c>
      <c r="H631" s="144">
        <v>1006</v>
      </c>
      <c r="I631" s="140">
        <v>1</v>
      </c>
      <c r="J631" s="114" t="str">
        <f t="shared" si="9"/>
        <v>INSERT INTO DOCUMENTOS (NRO_DOCUMENTO,FECHA_EMISION,TOTAL_BRUTO,TOTAL_NETO,TOTAL_IVA, ID_TIPO, RUT_EMPLEADO, ID_CLIENTE) VALUES(627,TO_DATE('17-04-2025','DD-MM-YYYY'),6300,5294,1006,1,'14526149-K',124);</v>
      </c>
    </row>
    <row r="632" spans="1:10">
      <c r="A632" s="149"/>
      <c r="B632" s="149">
        <v>628</v>
      </c>
      <c r="C632" s="118" t="s">
        <v>2270</v>
      </c>
      <c r="D632" t="s">
        <v>2090</v>
      </c>
      <c r="E632" s="150">
        <v>142</v>
      </c>
      <c r="F632" s="142">
        <v>5500</v>
      </c>
      <c r="G632" s="143">
        <v>4622</v>
      </c>
      <c r="H632" s="144">
        <v>878</v>
      </c>
      <c r="I632" s="140">
        <v>1</v>
      </c>
      <c r="J632" s="114" t="str">
        <f t="shared" si="9"/>
        <v>INSERT INTO DOCUMENTOS (NRO_DOCUMENTO,FECHA_EMISION,TOTAL_BRUTO,TOTAL_NETO,TOTAL_IVA, ID_TIPO, RUT_EMPLEADO, ID_CLIENTE) VALUES(628,TO_DATE('17-04-2025','DD-MM-YYYY'),5500,4622,878,1,'14526149-K',142);</v>
      </c>
    </row>
    <row r="633" spans="1:10">
      <c r="A633" s="149"/>
      <c r="B633" s="149">
        <v>629</v>
      </c>
      <c r="C633" s="118" t="s">
        <v>2270</v>
      </c>
      <c r="D633" t="s">
        <v>2090</v>
      </c>
      <c r="E633" s="150">
        <v>164</v>
      </c>
      <c r="F633" s="142">
        <v>10500</v>
      </c>
      <c r="G633" s="143">
        <v>8824</v>
      </c>
      <c r="H633" s="144">
        <v>1676</v>
      </c>
      <c r="I633" s="140">
        <v>1</v>
      </c>
      <c r="J633" s="114" t="str">
        <f t="shared" si="9"/>
        <v>INSERT INTO DOCUMENTOS (NRO_DOCUMENTO,FECHA_EMISION,TOTAL_BRUTO,TOTAL_NETO,TOTAL_IVA, ID_TIPO, RUT_EMPLEADO, ID_CLIENTE) VALUES(629,TO_DATE('17-04-2025','DD-MM-YYYY'),10500,8824,1676,1,'14526149-K',164);</v>
      </c>
    </row>
    <row r="634" spans="1:10">
      <c r="A634" s="149"/>
      <c r="B634" s="149">
        <v>630</v>
      </c>
      <c r="C634" s="118" t="s">
        <v>2270</v>
      </c>
      <c r="D634" t="s">
        <v>2090</v>
      </c>
      <c r="E634" s="150">
        <v>166</v>
      </c>
      <c r="F634" s="142">
        <v>9500</v>
      </c>
      <c r="G634" s="143">
        <v>7983</v>
      </c>
      <c r="H634" s="144">
        <v>1517</v>
      </c>
      <c r="I634" s="140">
        <v>1</v>
      </c>
      <c r="J634" s="114" t="str">
        <f t="shared" si="9"/>
        <v>INSERT INTO DOCUMENTOS (NRO_DOCUMENTO,FECHA_EMISION,TOTAL_BRUTO,TOTAL_NETO,TOTAL_IVA, ID_TIPO, RUT_EMPLEADO, ID_CLIENTE) VALUES(630,TO_DATE('17-04-2025','DD-MM-YYYY'),9500,7983,1517,1,'14526149-K',166);</v>
      </c>
    </row>
    <row r="635" spans="1:10">
      <c r="A635" s="149"/>
      <c r="B635" s="149">
        <v>631</v>
      </c>
      <c r="C635" s="118" t="s">
        <v>2270</v>
      </c>
      <c r="D635" t="s">
        <v>2090</v>
      </c>
      <c r="E635" s="150">
        <v>179</v>
      </c>
      <c r="F635" s="142">
        <v>13500</v>
      </c>
      <c r="G635" s="143">
        <v>11345</v>
      </c>
      <c r="H635" s="144">
        <v>2155</v>
      </c>
      <c r="I635" s="140">
        <v>1</v>
      </c>
      <c r="J635" s="114" t="str">
        <f t="shared" si="9"/>
        <v>INSERT INTO DOCUMENTOS (NRO_DOCUMENTO,FECHA_EMISION,TOTAL_BRUTO,TOTAL_NETO,TOTAL_IVA, ID_TIPO, RUT_EMPLEADO, ID_CLIENTE) VALUES(631,TO_DATE('17-04-2025','DD-MM-YYYY'),13500,11345,2155,1,'14526149-K',179);</v>
      </c>
    </row>
    <row r="636" spans="1:10">
      <c r="A636" s="149"/>
      <c r="B636" s="149">
        <v>632</v>
      </c>
      <c r="C636" s="118" t="s">
        <v>2270</v>
      </c>
      <c r="D636" t="s">
        <v>2090</v>
      </c>
      <c r="E636" s="150">
        <v>184</v>
      </c>
      <c r="F636" s="142">
        <v>10500</v>
      </c>
      <c r="G636" s="143">
        <v>8824</v>
      </c>
      <c r="H636" s="144">
        <v>1676</v>
      </c>
      <c r="I636" s="140">
        <v>1</v>
      </c>
      <c r="J636" s="114" t="str">
        <f t="shared" si="9"/>
        <v>INSERT INTO DOCUMENTOS (NRO_DOCUMENTO,FECHA_EMISION,TOTAL_BRUTO,TOTAL_NETO,TOTAL_IVA, ID_TIPO, RUT_EMPLEADO, ID_CLIENTE) VALUES(632,TO_DATE('17-04-2025','DD-MM-YYYY'),10500,8824,1676,1,'14526149-K',184);</v>
      </c>
    </row>
    <row r="637" spans="1:10">
      <c r="A637" s="149"/>
      <c r="B637" s="149">
        <v>633</v>
      </c>
      <c r="C637" s="118" t="s">
        <v>2270</v>
      </c>
      <c r="D637" t="s">
        <v>2090</v>
      </c>
      <c r="E637" s="150">
        <v>200</v>
      </c>
      <c r="F637" s="142">
        <v>27400</v>
      </c>
      <c r="G637" s="143">
        <v>23025</v>
      </c>
      <c r="H637" s="144">
        <v>4375</v>
      </c>
      <c r="I637" s="140">
        <v>1</v>
      </c>
      <c r="J637" s="114" t="str">
        <f t="shared" si="9"/>
        <v>INSERT INTO DOCUMENTOS (NRO_DOCUMENTO,FECHA_EMISION,TOTAL_BRUTO,TOTAL_NETO,TOTAL_IVA, ID_TIPO, RUT_EMPLEADO, ID_CLIENTE) VALUES(633,TO_DATE('17-04-2025','DD-MM-YYYY'),27400,23025,4375,1,'14526149-K',200);</v>
      </c>
    </row>
    <row r="638" spans="1:10">
      <c r="A638" s="149"/>
      <c r="B638" s="149">
        <v>634</v>
      </c>
      <c r="C638" s="118" t="s">
        <v>2270</v>
      </c>
      <c r="D638" t="s">
        <v>2090</v>
      </c>
      <c r="E638" s="150">
        <v>208</v>
      </c>
      <c r="F638" s="142">
        <v>4200</v>
      </c>
      <c r="G638" s="143">
        <v>3529</v>
      </c>
      <c r="H638" s="144">
        <v>671</v>
      </c>
      <c r="I638" s="140">
        <v>1</v>
      </c>
      <c r="J638" s="114" t="str">
        <f t="shared" si="9"/>
        <v>INSERT INTO DOCUMENTOS (NRO_DOCUMENTO,FECHA_EMISION,TOTAL_BRUTO,TOTAL_NETO,TOTAL_IVA, ID_TIPO, RUT_EMPLEADO, ID_CLIENTE) VALUES(634,TO_DATE('17-04-2025','DD-MM-YYYY'),4200,3529,671,1,'14526149-K',208);</v>
      </c>
    </row>
    <row r="639" spans="1:10">
      <c r="A639" s="149"/>
      <c r="B639" s="149">
        <v>635</v>
      </c>
      <c r="C639" s="118" t="s">
        <v>2270</v>
      </c>
      <c r="D639" t="s">
        <v>2090</v>
      </c>
      <c r="E639" s="150">
        <v>219</v>
      </c>
      <c r="F639" s="142">
        <v>10500</v>
      </c>
      <c r="G639" s="143">
        <v>8824</v>
      </c>
      <c r="H639" s="144">
        <v>1676</v>
      </c>
      <c r="I639" s="140">
        <v>1</v>
      </c>
      <c r="J639" s="114" t="str">
        <f t="shared" si="9"/>
        <v>INSERT INTO DOCUMENTOS (NRO_DOCUMENTO,FECHA_EMISION,TOTAL_BRUTO,TOTAL_NETO,TOTAL_IVA, ID_TIPO, RUT_EMPLEADO, ID_CLIENTE) VALUES(635,TO_DATE('17-04-2025','DD-MM-YYYY'),10500,8824,1676,1,'14526149-K',219);</v>
      </c>
    </row>
    <row r="640" spans="1:10">
      <c r="A640" s="149"/>
      <c r="B640" s="149">
        <v>636</v>
      </c>
      <c r="C640" s="118" t="s">
        <v>2270</v>
      </c>
      <c r="D640" t="s">
        <v>2090</v>
      </c>
      <c r="E640" s="150">
        <v>223</v>
      </c>
      <c r="F640" s="142">
        <v>13600</v>
      </c>
      <c r="G640" s="143">
        <v>11430</v>
      </c>
      <c r="H640" s="144">
        <v>2170</v>
      </c>
      <c r="I640" s="140">
        <v>1</v>
      </c>
      <c r="J640" s="114" t="str">
        <f t="shared" si="9"/>
        <v>INSERT INTO DOCUMENTOS (NRO_DOCUMENTO,FECHA_EMISION,TOTAL_BRUTO,TOTAL_NETO,TOTAL_IVA, ID_TIPO, RUT_EMPLEADO, ID_CLIENTE) VALUES(636,TO_DATE('17-04-2025','DD-MM-YYYY'),13600,11430,2170,1,'14526149-K',223);</v>
      </c>
    </row>
    <row r="641" spans="1:10">
      <c r="A641" s="149"/>
      <c r="B641" s="149">
        <v>637</v>
      </c>
      <c r="C641" s="118" t="s">
        <v>2270</v>
      </c>
      <c r="D641" t="s">
        <v>2090</v>
      </c>
      <c r="E641" s="150">
        <v>226</v>
      </c>
      <c r="F641" s="142">
        <v>5500</v>
      </c>
      <c r="G641" s="143">
        <v>4622</v>
      </c>
      <c r="H641" s="144">
        <v>878</v>
      </c>
      <c r="I641" s="140">
        <v>1</v>
      </c>
      <c r="J641" s="114" t="str">
        <f t="shared" si="9"/>
        <v>INSERT INTO DOCUMENTOS (NRO_DOCUMENTO,FECHA_EMISION,TOTAL_BRUTO,TOTAL_NETO,TOTAL_IVA, ID_TIPO, RUT_EMPLEADO, ID_CLIENTE) VALUES(637,TO_DATE('17-04-2025','DD-MM-YYYY'),5500,4622,878,1,'14526149-K',226);</v>
      </c>
    </row>
    <row r="642" spans="1:10">
      <c r="A642" s="149"/>
      <c r="B642" s="149">
        <v>638</v>
      </c>
      <c r="C642" s="118" t="s">
        <v>2270</v>
      </c>
      <c r="D642" t="s">
        <v>2090</v>
      </c>
      <c r="E642" s="150">
        <v>236</v>
      </c>
      <c r="F642" s="142">
        <v>10500</v>
      </c>
      <c r="G642" s="143">
        <v>8824</v>
      </c>
      <c r="H642" s="144">
        <v>1676</v>
      </c>
      <c r="I642" s="140">
        <v>1</v>
      </c>
      <c r="J642" s="114" t="str">
        <f t="shared" si="9"/>
        <v>INSERT INTO DOCUMENTOS (NRO_DOCUMENTO,FECHA_EMISION,TOTAL_BRUTO,TOTAL_NETO,TOTAL_IVA, ID_TIPO, RUT_EMPLEADO, ID_CLIENTE) VALUES(638,TO_DATE('17-04-2025','DD-MM-YYYY'),10500,8824,1676,1,'14526149-K',236);</v>
      </c>
    </row>
    <row r="643" spans="1:10">
      <c r="A643" s="149"/>
      <c r="B643" s="149">
        <v>639</v>
      </c>
      <c r="C643" s="118" t="s">
        <v>2270</v>
      </c>
      <c r="D643" t="s">
        <v>2090</v>
      </c>
      <c r="E643" s="150">
        <v>237</v>
      </c>
      <c r="F643" s="142">
        <v>10500</v>
      </c>
      <c r="G643" s="143">
        <v>8824</v>
      </c>
      <c r="H643" s="144">
        <v>1676</v>
      </c>
      <c r="I643" s="140">
        <v>1</v>
      </c>
      <c r="J643" s="114" t="str">
        <f t="shared" si="9"/>
        <v>INSERT INTO DOCUMENTOS (NRO_DOCUMENTO,FECHA_EMISION,TOTAL_BRUTO,TOTAL_NETO,TOTAL_IVA, ID_TIPO, RUT_EMPLEADO, ID_CLIENTE) VALUES(639,TO_DATE('17-04-2025','DD-MM-YYYY'),10500,8824,1676,1,'14526149-K',237);</v>
      </c>
    </row>
    <row r="644" spans="1:10">
      <c r="A644" s="149"/>
      <c r="B644" s="149">
        <v>640</v>
      </c>
      <c r="C644" s="118" t="s">
        <v>2270</v>
      </c>
      <c r="D644" t="s">
        <v>2090</v>
      </c>
      <c r="E644" s="150">
        <v>265</v>
      </c>
      <c r="F644" s="142">
        <v>19400</v>
      </c>
      <c r="G644" s="143">
        <v>16302</v>
      </c>
      <c r="H644" s="144">
        <v>3098</v>
      </c>
      <c r="I644" s="140">
        <v>1</v>
      </c>
      <c r="J644" s="114" t="str">
        <f t="shared" si="9"/>
        <v>INSERT INTO DOCUMENTOS (NRO_DOCUMENTO,FECHA_EMISION,TOTAL_BRUTO,TOTAL_NETO,TOTAL_IVA, ID_TIPO, RUT_EMPLEADO, ID_CLIENTE) VALUES(640,TO_DATE('17-04-2025','DD-MM-YYYY'),19400,16302,3098,1,'14526149-K',265);</v>
      </c>
    </row>
    <row r="645" spans="1:10">
      <c r="A645" s="149"/>
      <c r="B645" s="149">
        <v>641</v>
      </c>
      <c r="C645" s="118" t="s">
        <v>2270</v>
      </c>
      <c r="D645" t="s">
        <v>2090</v>
      </c>
      <c r="E645" s="150">
        <v>274</v>
      </c>
      <c r="F645" s="142">
        <v>25900</v>
      </c>
      <c r="G645" s="143">
        <v>21765</v>
      </c>
      <c r="H645" s="144">
        <v>4135</v>
      </c>
      <c r="I645" s="140">
        <v>1</v>
      </c>
      <c r="J645" s="114" t="str">
        <f t="shared" si="9"/>
        <v>INSERT INTO DOCUMENTOS (NRO_DOCUMENTO,FECHA_EMISION,TOTAL_BRUTO,TOTAL_NETO,TOTAL_IVA, ID_TIPO, RUT_EMPLEADO, ID_CLIENTE) VALUES(641,TO_DATE('17-04-2025','DD-MM-YYYY'),25900,21765,4135,1,'14526149-K',274);</v>
      </c>
    </row>
    <row r="646" spans="1:10">
      <c r="A646" s="149"/>
      <c r="B646" s="149">
        <v>642</v>
      </c>
      <c r="C646" s="118" t="s">
        <v>2270</v>
      </c>
      <c r="D646" t="s">
        <v>2090</v>
      </c>
      <c r="E646" s="150">
        <v>282</v>
      </c>
      <c r="F646" s="142">
        <v>10500</v>
      </c>
      <c r="G646" s="143">
        <v>8824</v>
      </c>
      <c r="H646" s="144">
        <v>1676</v>
      </c>
      <c r="I646" s="140">
        <v>1</v>
      </c>
      <c r="J646" s="114" t="str">
        <f t="shared" ref="J646:J709" si="10">CONCATENATE("INSERT INTO DOCUMENTOS (NRO_DOCUMENTO,FECHA_EMISION,TOTAL_BRUTO,TOTAL_NETO,TOTAL_IVA, ID_TIPO, RUT_EMPLEADO, ID_CLIENTE) VALUES(",B646,",","TO_DATE('",C646,"'",",'DD-MM-YYYY'),",F646,",",G646,",",H646,",",I646,",","'",D646,"',",E646,");")</f>
        <v>INSERT INTO DOCUMENTOS (NRO_DOCUMENTO,FECHA_EMISION,TOTAL_BRUTO,TOTAL_NETO,TOTAL_IVA, ID_TIPO, RUT_EMPLEADO, ID_CLIENTE) VALUES(642,TO_DATE('17-04-2025','DD-MM-YYYY'),10500,8824,1676,1,'14526149-K',282);</v>
      </c>
    </row>
    <row r="647" spans="1:10">
      <c r="A647" s="149"/>
      <c r="B647" s="149">
        <v>643</v>
      </c>
      <c r="C647" s="118" t="s">
        <v>2270</v>
      </c>
      <c r="D647" t="s">
        <v>2090</v>
      </c>
      <c r="E647" s="150">
        <v>287</v>
      </c>
      <c r="F647" s="142">
        <v>10500</v>
      </c>
      <c r="G647" s="143">
        <v>8824</v>
      </c>
      <c r="H647" s="144">
        <v>1676</v>
      </c>
      <c r="I647" s="140">
        <v>1</v>
      </c>
      <c r="J647" s="114" t="str">
        <f t="shared" si="10"/>
        <v>INSERT INTO DOCUMENTOS (NRO_DOCUMENTO,FECHA_EMISION,TOTAL_BRUTO,TOTAL_NETO,TOTAL_IVA, ID_TIPO, RUT_EMPLEADO, ID_CLIENTE) VALUES(643,TO_DATE('17-04-2025','DD-MM-YYYY'),10500,8824,1676,1,'14526149-K',287);</v>
      </c>
    </row>
    <row r="648" spans="1:10">
      <c r="A648" s="149"/>
      <c r="B648" s="149">
        <v>644</v>
      </c>
      <c r="C648" s="118" t="s">
        <v>2270</v>
      </c>
      <c r="D648" t="s">
        <v>2090</v>
      </c>
      <c r="E648" s="150">
        <v>313</v>
      </c>
      <c r="F648" s="142">
        <v>10500</v>
      </c>
      <c r="G648" s="143">
        <v>8824</v>
      </c>
      <c r="H648" s="144">
        <v>1676</v>
      </c>
      <c r="I648" s="140">
        <v>1</v>
      </c>
      <c r="J648" s="114" t="str">
        <f t="shared" si="10"/>
        <v>INSERT INTO DOCUMENTOS (NRO_DOCUMENTO,FECHA_EMISION,TOTAL_BRUTO,TOTAL_NETO,TOTAL_IVA, ID_TIPO, RUT_EMPLEADO, ID_CLIENTE) VALUES(644,TO_DATE('17-04-2025','DD-MM-YYYY'),10500,8824,1676,1,'14526149-K',313);</v>
      </c>
    </row>
    <row r="649" spans="1:10">
      <c r="A649" s="149"/>
      <c r="B649" s="149">
        <v>645</v>
      </c>
      <c r="C649" s="118" t="s">
        <v>2270</v>
      </c>
      <c r="D649" t="s">
        <v>2090</v>
      </c>
      <c r="E649" s="150">
        <v>315</v>
      </c>
      <c r="F649" s="142">
        <v>5500</v>
      </c>
      <c r="G649" s="143">
        <v>4622</v>
      </c>
      <c r="H649" s="144">
        <v>878</v>
      </c>
      <c r="I649" s="140">
        <v>1</v>
      </c>
      <c r="J649" s="114" t="str">
        <f t="shared" si="10"/>
        <v>INSERT INTO DOCUMENTOS (NRO_DOCUMENTO,FECHA_EMISION,TOTAL_BRUTO,TOTAL_NETO,TOTAL_IVA, ID_TIPO, RUT_EMPLEADO, ID_CLIENTE) VALUES(645,TO_DATE('17-04-2025','DD-MM-YYYY'),5500,4622,878,1,'14526149-K',315);</v>
      </c>
    </row>
    <row r="650" spans="1:10">
      <c r="A650" s="149"/>
      <c r="B650" s="149">
        <v>646</v>
      </c>
      <c r="C650" s="118" t="s">
        <v>2270</v>
      </c>
      <c r="D650" t="s">
        <v>2090</v>
      </c>
      <c r="E650" s="150">
        <v>320</v>
      </c>
      <c r="F650" s="142">
        <v>18800</v>
      </c>
      <c r="G650" s="143">
        <v>15799</v>
      </c>
      <c r="H650" s="144">
        <v>3001</v>
      </c>
      <c r="I650" s="140">
        <v>1</v>
      </c>
      <c r="J650" s="114" t="str">
        <f t="shared" si="10"/>
        <v>INSERT INTO DOCUMENTOS (NRO_DOCUMENTO,FECHA_EMISION,TOTAL_BRUTO,TOTAL_NETO,TOTAL_IVA, ID_TIPO, RUT_EMPLEADO, ID_CLIENTE) VALUES(646,TO_DATE('17-04-2025','DD-MM-YYYY'),18800,15799,3001,1,'14526149-K',320);</v>
      </c>
    </row>
    <row r="651" spans="1:10">
      <c r="A651" s="149"/>
      <c r="B651" s="149">
        <v>647</v>
      </c>
      <c r="C651" s="118" t="s">
        <v>2270</v>
      </c>
      <c r="D651" t="s">
        <v>2090</v>
      </c>
      <c r="E651" s="150">
        <v>323</v>
      </c>
      <c r="F651" s="142">
        <v>10500</v>
      </c>
      <c r="G651" s="143">
        <v>8824</v>
      </c>
      <c r="H651" s="144">
        <v>1676</v>
      </c>
      <c r="I651" s="140">
        <v>1</v>
      </c>
      <c r="J651" s="114" t="str">
        <f t="shared" si="10"/>
        <v>INSERT INTO DOCUMENTOS (NRO_DOCUMENTO,FECHA_EMISION,TOTAL_BRUTO,TOTAL_NETO,TOTAL_IVA, ID_TIPO, RUT_EMPLEADO, ID_CLIENTE) VALUES(647,TO_DATE('17-04-2025','DD-MM-YYYY'),10500,8824,1676,1,'14526149-K',323);</v>
      </c>
    </row>
    <row r="652" spans="1:10">
      <c r="A652" s="149"/>
      <c r="B652" s="149">
        <v>648</v>
      </c>
      <c r="C652" s="118" t="s">
        <v>2270</v>
      </c>
      <c r="D652" t="s">
        <v>2090</v>
      </c>
      <c r="E652" s="150">
        <v>360</v>
      </c>
      <c r="F652" s="142">
        <v>5500</v>
      </c>
      <c r="G652" s="143">
        <v>4622</v>
      </c>
      <c r="H652" s="144">
        <v>878</v>
      </c>
      <c r="I652" s="140">
        <v>1</v>
      </c>
      <c r="J652" s="114" t="str">
        <f t="shared" si="10"/>
        <v>INSERT INTO DOCUMENTOS (NRO_DOCUMENTO,FECHA_EMISION,TOTAL_BRUTO,TOTAL_NETO,TOTAL_IVA, ID_TIPO, RUT_EMPLEADO, ID_CLIENTE) VALUES(648,TO_DATE('17-04-2025','DD-MM-YYYY'),5500,4622,878,1,'14526149-K',360);</v>
      </c>
    </row>
    <row r="653" spans="1:10">
      <c r="A653" s="149"/>
      <c r="B653" s="149">
        <v>649</v>
      </c>
      <c r="C653" s="118" t="s">
        <v>2270</v>
      </c>
      <c r="D653" t="s">
        <v>2090</v>
      </c>
      <c r="E653" s="150">
        <v>393</v>
      </c>
      <c r="F653" s="142">
        <v>8100</v>
      </c>
      <c r="G653" s="143">
        <v>6807</v>
      </c>
      <c r="H653" s="144">
        <v>1293</v>
      </c>
      <c r="I653" s="140">
        <v>1</v>
      </c>
      <c r="J653" s="114" t="str">
        <f t="shared" si="10"/>
        <v>INSERT INTO DOCUMENTOS (NRO_DOCUMENTO,FECHA_EMISION,TOTAL_BRUTO,TOTAL_NETO,TOTAL_IVA, ID_TIPO, RUT_EMPLEADO, ID_CLIENTE) VALUES(649,TO_DATE('17-04-2025','DD-MM-YYYY'),8100,6807,1293,1,'14526149-K',393);</v>
      </c>
    </row>
    <row r="654" spans="1:10">
      <c r="A654" s="149"/>
      <c r="B654" s="150">
        <v>650</v>
      </c>
      <c r="C654" s="118" t="s">
        <v>2270</v>
      </c>
      <c r="D654" t="s">
        <v>2090</v>
      </c>
      <c r="E654" s="150">
        <v>402</v>
      </c>
      <c r="F654" s="142">
        <v>10500</v>
      </c>
      <c r="G654" s="143">
        <v>8824</v>
      </c>
      <c r="H654" s="144">
        <v>1676</v>
      </c>
      <c r="I654" s="140">
        <v>1</v>
      </c>
      <c r="J654" s="114" t="str">
        <f t="shared" si="10"/>
        <v>INSERT INTO DOCUMENTOS (NRO_DOCUMENTO,FECHA_EMISION,TOTAL_BRUTO,TOTAL_NETO,TOTAL_IVA, ID_TIPO, RUT_EMPLEADO, ID_CLIENTE) VALUES(650,TO_DATE('17-04-2025','DD-MM-YYYY'),10500,8824,1676,1,'14526149-K',402);</v>
      </c>
    </row>
    <row r="655" spans="1:10">
      <c r="A655" s="149"/>
      <c r="B655" s="149">
        <v>651</v>
      </c>
      <c r="C655" s="118" t="s">
        <v>2270</v>
      </c>
      <c r="D655" t="s">
        <v>2090</v>
      </c>
      <c r="E655" s="150">
        <v>407</v>
      </c>
      <c r="F655" s="142">
        <v>9000</v>
      </c>
      <c r="G655" s="143">
        <v>7563</v>
      </c>
      <c r="H655" s="144">
        <v>1437</v>
      </c>
      <c r="I655" s="140">
        <v>1</v>
      </c>
      <c r="J655" s="114" t="str">
        <f t="shared" si="10"/>
        <v>INSERT INTO DOCUMENTOS (NRO_DOCUMENTO,FECHA_EMISION,TOTAL_BRUTO,TOTAL_NETO,TOTAL_IVA, ID_TIPO, RUT_EMPLEADO, ID_CLIENTE) VALUES(651,TO_DATE('17-04-2025','DD-MM-YYYY'),9000,7563,1437,1,'14526149-K',407);</v>
      </c>
    </row>
    <row r="656" spans="1:10">
      <c r="A656" s="149"/>
      <c r="B656" s="149">
        <v>652</v>
      </c>
      <c r="C656" s="118" t="s">
        <v>2270</v>
      </c>
      <c r="D656" t="s">
        <v>2090</v>
      </c>
      <c r="E656" s="150">
        <v>411</v>
      </c>
      <c r="F656" s="142">
        <v>10500</v>
      </c>
      <c r="G656" s="143">
        <v>8824</v>
      </c>
      <c r="H656" s="144">
        <v>1676</v>
      </c>
      <c r="I656" s="140">
        <v>1</v>
      </c>
      <c r="J656" s="114" t="str">
        <f t="shared" si="10"/>
        <v>INSERT INTO DOCUMENTOS (NRO_DOCUMENTO,FECHA_EMISION,TOTAL_BRUTO,TOTAL_NETO,TOTAL_IVA, ID_TIPO, RUT_EMPLEADO, ID_CLIENTE) VALUES(652,TO_DATE('17-04-2025','DD-MM-YYYY'),10500,8824,1676,1,'14526149-K',411);</v>
      </c>
    </row>
    <row r="657" spans="1:10">
      <c r="A657" s="149"/>
      <c r="B657" s="149">
        <v>653</v>
      </c>
      <c r="C657" s="118" t="s">
        <v>2270</v>
      </c>
      <c r="D657" t="s">
        <v>2090</v>
      </c>
      <c r="E657" s="150">
        <v>418</v>
      </c>
      <c r="F657" s="142">
        <v>10500</v>
      </c>
      <c r="G657" s="143">
        <v>8824</v>
      </c>
      <c r="H657" s="144">
        <v>1676</v>
      </c>
      <c r="I657" s="140">
        <v>1</v>
      </c>
      <c r="J657" s="114" t="str">
        <f t="shared" si="10"/>
        <v>INSERT INTO DOCUMENTOS (NRO_DOCUMENTO,FECHA_EMISION,TOTAL_BRUTO,TOTAL_NETO,TOTAL_IVA, ID_TIPO, RUT_EMPLEADO, ID_CLIENTE) VALUES(653,TO_DATE('17-04-2025','DD-MM-YYYY'),10500,8824,1676,1,'14526149-K',418);</v>
      </c>
    </row>
    <row r="658" spans="1:10">
      <c r="A658" s="149"/>
      <c r="B658" s="149">
        <v>654</v>
      </c>
      <c r="C658" s="118" t="s">
        <v>2270</v>
      </c>
      <c r="D658" t="s">
        <v>2090</v>
      </c>
      <c r="E658" s="150">
        <v>427</v>
      </c>
      <c r="F658" s="142">
        <v>5500</v>
      </c>
      <c r="G658" s="143">
        <v>4622</v>
      </c>
      <c r="H658" s="144">
        <v>878</v>
      </c>
      <c r="I658" s="140">
        <v>1</v>
      </c>
      <c r="J658" s="114" t="str">
        <f t="shared" si="10"/>
        <v>INSERT INTO DOCUMENTOS (NRO_DOCUMENTO,FECHA_EMISION,TOTAL_BRUTO,TOTAL_NETO,TOTAL_IVA, ID_TIPO, RUT_EMPLEADO, ID_CLIENTE) VALUES(654,TO_DATE('17-04-2025','DD-MM-YYYY'),5500,4622,878,1,'14526149-K',427);</v>
      </c>
    </row>
    <row r="659" spans="1:10">
      <c r="A659" s="149"/>
      <c r="B659" s="149">
        <v>655</v>
      </c>
      <c r="C659" s="118" t="s">
        <v>2270</v>
      </c>
      <c r="D659" t="s">
        <v>2090</v>
      </c>
      <c r="E659" s="150">
        <v>430</v>
      </c>
      <c r="F659" s="142">
        <v>16000</v>
      </c>
      <c r="G659" s="143">
        <v>13446</v>
      </c>
      <c r="H659" s="144">
        <v>2554</v>
      </c>
      <c r="I659" s="140">
        <v>1</v>
      </c>
      <c r="J659" s="114" t="str">
        <f t="shared" si="10"/>
        <v>INSERT INTO DOCUMENTOS (NRO_DOCUMENTO,FECHA_EMISION,TOTAL_BRUTO,TOTAL_NETO,TOTAL_IVA, ID_TIPO, RUT_EMPLEADO, ID_CLIENTE) VALUES(655,TO_DATE('17-04-2025','DD-MM-YYYY'),16000,13446,2554,1,'14526149-K',430);</v>
      </c>
    </row>
    <row r="660" spans="1:10">
      <c r="A660" s="149"/>
      <c r="B660" s="149">
        <v>656</v>
      </c>
      <c r="C660" s="118" t="s">
        <v>2270</v>
      </c>
      <c r="D660" t="s">
        <v>2090</v>
      </c>
      <c r="E660" s="150">
        <v>450</v>
      </c>
      <c r="F660" s="142">
        <v>12200</v>
      </c>
      <c r="G660" s="143">
        <v>10253</v>
      </c>
      <c r="H660" s="144">
        <v>1947</v>
      </c>
      <c r="I660" s="140">
        <v>1</v>
      </c>
      <c r="J660" s="114" t="str">
        <f t="shared" si="10"/>
        <v>INSERT INTO DOCUMENTOS (NRO_DOCUMENTO,FECHA_EMISION,TOTAL_BRUTO,TOTAL_NETO,TOTAL_IVA, ID_TIPO, RUT_EMPLEADO, ID_CLIENTE) VALUES(656,TO_DATE('17-04-2025','DD-MM-YYYY'),12200,10253,1947,1,'14526149-K',450);</v>
      </c>
    </row>
    <row r="661" spans="1:10">
      <c r="A661" s="149"/>
      <c r="B661" s="149">
        <v>657</v>
      </c>
      <c r="C661" s="118" t="s">
        <v>2270</v>
      </c>
      <c r="D661" t="s">
        <v>2090</v>
      </c>
      <c r="E661" s="150">
        <v>457</v>
      </c>
      <c r="F661" s="142">
        <v>10500</v>
      </c>
      <c r="G661" s="143">
        <v>8824</v>
      </c>
      <c r="H661" s="144">
        <v>1676</v>
      </c>
      <c r="I661" s="140">
        <v>1</v>
      </c>
      <c r="J661" s="114" t="str">
        <f t="shared" si="10"/>
        <v>INSERT INTO DOCUMENTOS (NRO_DOCUMENTO,FECHA_EMISION,TOTAL_BRUTO,TOTAL_NETO,TOTAL_IVA, ID_TIPO, RUT_EMPLEADO, ID_CLIENTE) VALUES(657,TO_DATE('17-04-2025','DD-MM-YYYY'),10500,8824,1676,1,'14526149-K',457);</v>
      </c>
    </row>
    <row r="662" spans="1:10">
      <c r="A662" s="149"/>
      <c r="B662" s="149">
        <v>658</v>
      </c>
      <c r="C662" s="118" t="s">
        <v>2270</v>
      </c>
      <c r="D662" t="s">
        <v>2090</v>
      </c>
      <c r="E662" s="150">
        <v>466</v>
      </c>
      <c r="F662" s="142">
        <v>10500</v>
      </c>
      <c r="G662" s="143">
        <v>8824</v>
      </c>
      <c r="H662" s="144">
        <v>1676</v>
      </c>
      <c r="I662" s="140">
        <v>1</v>
      </c>
      <c r="J662" s="114" t="str">
        <f t="shared" si="10"/>
        <v>INSERT INTO DOCUMENTOS (NRO_DOCUMENTO,FECHA_EMISION,TOTAL_BRUTO,TOTAL_NETO,TOTAL_IVA, ID_TIPO, RUT_EMPLEADO, ID_CLIENTE) VALUES(658,TO_DATE('17-04-2025','DD-MM-YYYY'),10500,8824,1676,1,'14526149-K',466);</v>
      </c>
    </row>
    <row r="663" spans="1:10">
      <c r="A663" s="149"/>
      <c r="B663" s="149">
        <v>659</v>
      </c>
      <c r="C663" s="118" t="s">
        <v>2270</v>
      </c>
      <c r="D663" t="s">
        <v>2090</v>
      </c>
      <c r="E663" s="150">
        <v>477</v>
      </c>
      <c r="F663" s="142">
        <v>10500</v>
      </c>
      <c r="G663" s="143">
        <v>8824</v>
      </c>
      <c r="H663" s="144">
        <v>1676</v>
      </c>
      <c r="I663" s="140">
        <v>1</v>
      </c>
      <c r="J663" s="114" t="str">
        <f t="shared" si="10"/>
        <v>INSERT INTO DOCUMENTOS (NRO_DOCUMENTO,FECHA_EMISION,TOTAL_BRUTO,TOTAL_NETO,TOTAL_IVA, ID_TIPO, RUT_EMPLEADO, ID_CLIENTE) VALUES(659,TO_DATE('17-04-2025','DD-MM-YYYY'),10500,8824,1676,1,'14526149-K',477);</v>
      </c>
    </row>
    <row r="664" spans="1:10">
      <c r="A664" s="149"/>
      <c r="B664" s="149">
        <v>660</v>
      </c>
      <c r="C664" s="151" t="s">
        <v>2271</v>
      </c>
      <c r="D664" t="s">
        <v>2090</v>
      </c>
      <c r="E664" s="150">
        <v>425</v>
      </c>
      <c r="F664" s="142">
        <v>7000</v>
      </c>
      <c r="G664" s="143">
        <v>5882</v>
      </c>
      <c r="H664" s="144">
        <v>1118</v>
      </c>
      <c r="I664" s="140">
        <v>1</v>
      </c>
      <c r="J664" s="114" t="str">
        <f t="shared" si="10"/>
        <v>INSERT INTO DOCUMENTOS (NRO_DOCUMENTO,FECHA_EMISION,TOTAL_BRUTO,TOTAL_NETO,TOTAL_IVA, ID_TIPO, RUT_EMPLEADO, ID_CLIENTE) VALUES(660,TO_DATE('18-04-2025','DD-MM-YYYY'),7000,5882,1118,1,'14526149-K',425);</v>
      </c>
    </row>
    <row r="665" spans="1:10">
      <c r="A665" s="149"/>
      <c r="B665" s="149">
        <v>661</v>
      </c>
      <c r="C665" s="118" t="s">
        <v>2271</v>
      </c>
      <c r="D665" t="s">
        <v>2090</v>
      </c>
      <c r="E665" s="150">
        <v>443</v>
      </c>
      <c r="F665" s="142">
        <v>27800</v>
      </c>
      <c r="G665" s="143">
        <v>23362</v>
      </c>
      <c r="H665" s="144">
        <v>4438</v>
      </c>
      <c r="I665" s="140">
        <v>1</v>
      </c>
      <c r="J665" s="114" t="str">
        <f t="shared" si="10"/>
        <v>INSERT INTO DOCUMENTOS (NRO_DOCUMENTO,FECHA_EMISION,TOTAL_BRUTO,TOTAL_NETO,TOTAL_IVA, ID_TIPO, RUT_EMPLEADO, ID_CLIENTE) VALUES(661,TO_DATE('18-04-2025','DD-MM-YYYY'),27800,23362,4438,1,'14526149-K',443);</v>
      </c>
    </row>
    <row r="666" spans="1:10">
      <c r="A666" s="149"/>
      <c r="B666" s="149">
        <v>662</v>
      </c>
      <c r="C666" s="151" t="s">
        <v>2272</v>
      </c>
      <c r="D666" t="s">
        <v>2090</v>
      </c>
      <c r="E666" s="150">
        <v>41</v>
      </c>
      <c r="F666" s="142">
        <v>33200</v>
      </c>
      <c r="G666" s="143">
        <v>27899</v>
      </c>
      <c r="H666" s="144">
        <v>5301</v>
      </c>
      <c r="I666" s="140">
        <v>1</v>
      </c>
      <c r="J666" s="114" t="str">
        <f t="shared" si="10"/>
        <v>INSERT INTO DOCUMENTOS (NRO_DOCUMENTO,FECHA_EMISION,TOTAL_BRUTO,TOTAL_NETO,TOTAL_IVA, ID_TIPO, RUT_EMPLEADO, ID_CLIENTE) VALUES(662,TO_DATE('19-04-2025','DD-MM-YYYY'),33200,27899,5301,1,'14526149-K',41);</v>
      </c>
    </row>
    <row r="667" spans="1:10">
      <c r="A667" s="149"/>
      <c r="B667" s="149">
        <v>663</v>
      </c>
      <c r="C667" s="118" t="s">
        <v>2272</v>
      </c>
      <c r="D667" t="s">
        <v>2090</v>
      </c>
      <c r="E667" s="150">
        <v>151</v>
      </c>
      <c r="F667" s="142">
        <v>2000</v>
      </c>
      <c r="G667" s="143">
        <v>1681</v>
      </c>
      <c r="H667" s="144">
        <v>319</v>
      </c>
      <c r="I667" s="140">
        <v>1</v>
      </c>
      <c r="J667" s="114" t="str">
        <f t="shared" si="10"/>
        <v>INSERT INTO DOCUMENTOS (NRO_DOCUMENTO,FECHA_EMISION,TOTAL_BRUTO,TOTAL_NETO,TOTAL_IVA, ID_TIPO, RUT_EMPLEADO, ID_CLIENTE) VALUES(663,TO_DATE('19-04-2025','DD-MM-YYYY'),2000,1681,319,1,'14526149-K',151);</v>
      </c>
    </row>
    <row r="668" spans="1:10">
      <c r="A668" s="149"/>
      <c r="B668" s="149">
        <v>664</v>
      </c>
      <c r="C668" s="118" t="s">
        <v>2272</v>
      </c>
      <c r="D668" t="s">
        <v>2090</v>
      </c>
      <c r="E668" s="150">
        <v>167</v>
      </c>
      <c r="F668" s="142">
        <v>24900</v>
      </c>
      <c r="G668" s="143">
        <v>20924</v>
      </c>
      <c r="H668" s="144">
        <v>3976</v>
      </c>
      <c r="I668" s="140">
        <v>1</v>
      </c>
      <c r="J668" s="114" t="str">
        <f t="shared" si="10"/>
        <v>INSERT INTO DOCUMENTOS (NRO_DOCUMENTO,FECHA_EMISION,TOTAL_BRUTO,TOTAL_NETO,TOTAL_IVA, ID_TIPO, RUT_EMPLEADO, ID_CLIENTE) VALUES(664,TO_DATE('19-04-2025','DD-MM-YYYY'),24900,20924,3976,1,'14526149-K',167);</v>
      </c>
    </row>
    <row r="669" spans="1:10">
      <c r="A669" s="149"/>
      <c r="B669" s="149">
        <v>665</v>
      </c>
      <c r="C669" s="118" t="s">
        <v>2272</v>
      </c>
      <c r="D669" t="s">
        <v>2090</v>
      </c>
      <c r="E669" s="150">
        <v>184</v>
      </c>
      <c r="F669" s="142">
        <v>42000</v>
      </c>
      <c r="G669" s="143">
        <v>35294</v>
      </c>
      <c r="H669" s="144">
        <v>6706</v>
      </c>
      <c r="I669" s="140">
        <v>1</v>
      </c>
      <c r="J669" s="114" t="str">
        <f t="shared" si="10"/>
        <v>INSERT INTO DOCUMENTOS (NRO_DOCUMENTO,FECHA_EMISION,TOTAL_BRUTO,TOTAL_NETO,TOTAL_IVA, ID_TIPO, RUT_EMPLEADO, ID_CLIENTE) VALUES(665,TO_DATE('19-04-2025','DD-MM-YYYY'),42000,35294,6706,1,'14526149-K',184);</v>
      </c>
    </row>
    <row r="670" spans="1:10">
      <c r="A670" s="149"/>
      <c r="B670" s="149">
        <v>666</v>
      </c>
      <c r="C670" s="118" t="s">
        <v>2272</v>
      </c>
      <c r="D670" t="s">
        <v>2090</v>
      </c>
      <c r="E670" s="150">
        <v>187</v>
      </c>
      <c r="F670" s="142">
        <v>18800</v>
      </c>
      <c r="G670" s="143">
        <v>15799</v>
      </c>
      <c r="H670" s="144">
        <v>3001</v>
      </c>
      <c r="I670" s="140">
        <v>1</v>
      </c>
      <c r="J670" s="114" t="str">
        <f t="shared" si="10"/>
        <v>INSERT INTO DOCUMENTOS (NRO_DOCUMENTO,FECHA_EMISION,TOTAL_BRUTO,TOTAL_NETO,TOTAL_IVA, ID_TIPO, RUT_EMPLEADO, ID_CLIENTE) VALUES(666,TO_DATE('19-04-2025','DD-MM-YYYY'),18800,15799,3001,1,'14526149-K',187);</v>
      </c>
    </row>
    <row r="671" spans="1:10">
      <c r="A671" s="149"/>
      <c r="B671" s="149">
        <v>667</v>
      </c>
      <c r="C671" s="118" t="s">
        <v>2272</v>
      </c>
      <c r="D671" t="s">
        <v>2090</v>
      </c>
      <c r="E671" s="150">
        <v>242</v>
      </c>
      <c r="F671" s="142">
        <v>8300</v>
      </c>
      <c r="G671" s="143">
        <v>6975</v>
      </c>
      <c r="H671" s="144">
        <v>1325</v>
      </c>
      <c r="I671" s="140">
        <v>1</v>
      </c>
      <c r="J671" s="114" t="str">
        <f t="shared" si="10"/>
        <v>INSERT INTO DOCUMENTOS (NRO_DOCUMENTO,FECHA_EMISION,TOTAL_BRUTO,TOTAL_NETO,TOTAL_IVA, ID_TIPO, RUT_EMPLEADO, ID_CLIENTE) VALUES(667,TO_DATE('19-04-2025','DD-MM-YYYY'),8300,6975,1325,1,'14526149-K',242);</v>
      </c>
    </row>
    <row r="672" spans="1:10">
      <c r="A672" s="149"/>
      <c r="B672" s="149">
        <v>668</v>
      </c>
      <c r="C672" s="118" t="s">
        <v>2272</v>
      </c>
      <c r="D672" t="s">
        <v>2090</v>
      </c>
      <c r="E672" s="150">
        <v>300</v>
      </c>
      <c r="F672" s="142">
        <v>8300</v>
      </c>
      <c r="G672" s="143">
        <v>6975</v>
      </c>
      <c r="H672" s="144">
        <v>1325</v>
      </c>
      <c r="I672" s="140">
        <v>1</v>
      </c>
      <c r="J672" s="114" t="str">
        <f t="shared" si="10"/>
        <v>INSERT INTO DOCUMENTOS (NRO_DOCUMENTO,FECHA_EMISION,TOTAL_BRUTO,TOTAL_NETO,TOTAL_IVA, ID_TIPO, RUT_EMPLEADO, ID_CLIENTE) VALUES(668,TO_DATE('19-04-2025','DD-MM-YYYY'),8300,6975,1325,1,'14526149-K',300);</v>
      </c>
    </row>
    <row r="673" spans="1:10">
      <c r="A673" s="149"/>
      <c r="B673" s="149">
        <v>669</v>
      </c>
      <c r="C673" s="151" t="s">
        <v>2273</v>
      </c>
      <c r="D673" t="s">
        <v>2090</v>
      </c>
      <c r="E673" s="150">
        <v>166</v>
      </c>
      <c r="F673" s="142">
        <v>3000</v>
      </c>
      <c r="G673" s="143">
        <v>2521</v>
      </c>
      <c r="H673" s="144">
        <v>479</v>
      </c>
      <c r="I673" s="140">
        <v>1</v>
      </c>
      <c r="J673" s="114" t="str">
        <f t="shared" si="10"/>
        <v>INSERT INTO DOCUMENTOS (NRO_DOCUMENTO,FECHA_EMISION,TOTAL_BRUTO,TOTAL_NETO,TOTAL_IVA, ID_TIPO, RUT_EMPLEADO, ID_CLIENTE) VALUES(669,TO_DATE('20-04-2025','DD-MM-YYYY'),3000,2521,479,1,'14526149-K',166);</v>
      </c>
    </row>
    <row r="674" spans="1:10">
      <c r="A674" s="149"/>
      <c r="B674" s="149">
        <v>670</v>
      </c>
      <c r="C674" s="118" t="s">
        <v>2273</v>
      </c>
      <c r="D674" t="s">
        <v>2090</v>
      </c>
      <c r="E674" s="150">
        <v>345</v>
      </c>
      <c r="F674" s="142">
        <v>10500</v>
      </c>
      <c r="G674" s="143">
        <v>8824</v>
      </c>
      <c r="H674" s="144">
        <v>1676</v>
      </c>
      <c r="I674" s="140">
        <v>1</v>
      </c>
      <c r="J674" s="114" t="str">
        <f t="shared" si="10"/>
        <v>INSERT INTO DOCUMENTOS (NRO_DOCUMENTO,FECHA_EMISION,TOTAL_BRUTO,TOTAL_NETO,TOTAL_IVA, ID_TIPO, RUT_EMPLEADO, ID_CLIENTE) VALUES(670,TO_DATE('20-04-2025','DD-MM-YYYY'),10500,8824,1676,1,'14526149-K',345);</v>
      </c>
    </row>
    <row r="675" spans="1:10">
      <c r="A675" s="149"/>
      <c r="B675" s="149">
        <v>671</v>
      </c>
      <c r="C675" s="118" t="s">
        <v>2273</v>
      </c>
      <c r="D675" t="s">
        <v>2090</v>
      </c>
      <c r="E675" s="150">
        <v>402</v>
      </c>
      <c r="F675" s="142">
        <v>10500</v>
      </c>
      <c r="G675" s="143">
        <v>8824</v>
      </c>
      <c r="H675" s="144">
        <v>1676</v>
      </c>
      <c r="I675" s="140">
        <v>1</v>
      </c>
      <c r="J675" s="114" t="str">
        <f t="shared" si="10"/>
        <v>INSERT INTO DOCUMENTOS (NRO_DOCUMENTO,FECHA_EMISION,TOTAL_BRUTO,TOTAL_NETO,TOTAL_IVA, ID_TIPO, RUT_EMPLEADO, ID_CLIENTE) VALUES(671,TO_DATE('20-04-2025','DD-MM-YYYY'),10500,8824,1676,1,'14526149-K',402);</v>
      </c>
    </row>
    <row r="676" spans="1:10">
      <c r="A676" s="149"/>
      <c r="B676" s="149">
        <v>672</v>
      </c>
      <c r="C676" s="118" t="s">
        <v>2273</v>
      </c>
      <c r="D676" t="s">
        <v>2090</v>
      </c>
      <c r="E676" s="150">
        <v>466</v>
      </c>
      <c r="F676" s="142">
        <v>10500</v>
      </c>
      <c r="G676" s="143">
        <v>8824</v>
      </c>
      <c r="H676" s="144">
        <v>1676</v>
      </c>
      <c r="I676" s="140">
        <v>1</v>
      </c>
      <c r="J676" s="114" t="str">
        <f t="shared" si="10"/>
        <v>INSERT INTO DOCUMENTOS (NRO_DOCUMENTO,FECHA_EMISION,TOTAL_BRUTO,TOTAL_NETO,TOTAL_IVA, ID_TIPO, RUT_EMPLEADO, ID_CLIENTE) VALUES(672,TO_DATE('20-04-2025','DD-MM-YYYY'),10500,8824,1676,1,'14526149-K',466);</v>
      </c>
    </row>
    <row r="677" spans="1:10">
      <c r="A677" s="149"/>
      <c r="B677" s="149">
        <v>673</v>
      </c>
      <c r="C677" s="151" t="s">
        <v>2274</v>
      </c>
      <c r="D677" t="s">
        <v>2090</v>
      </c>
      <c r="E677" s="150">
        <v>56</v>
      </c>
      <c r="F677" s="142">
        <v>8300</v>
      </c>
      <c r="G677" s="143">
        <v>6975</v>
      </c>
      <c r="H677" s="144">
        <v>1325</v>
      </c>
      <c r="I677" s="140">
        <v>1</v>
      </c>
      <c r="J677" s="114" t="str">
        <f t="shared" si="10"/>
        <v>INSERT INTO DOCUMENTOS (NRO_DOCUMENTO,FECHA_EMISION,TOTAL_BRUTO,TOTAL_NETO,TOTAL_IVA, ID_TIPO, RUT_EMPLEADO, ID_CLIENTE) VALUES(673,TO_DATE('21-04-2025','DD-MM-YYYY'),8300,6975,1325,1,'14526149-K',56);</v>
      </c>
    </row>
    <row r="678" spans="1:10">
      <c r="A678" s="149"/>
      <c r="B678" s="149">
        <v>674</v>
      </c>
      <c r="C678" s="118" t="s">
        <v>2274</v>
      </c>
      <c r="D678" t="s">
        <v>2090</v>
      </c>
      <c r="E678" s="150">
        <v>173</v>
      </c>
      <c r="F678" s="142">
        <v>4800</v>
      </c>
      <c r="G678" s="143">
        <v>4034</v>
      </c>
      <c r="H678" s="144">
        <v>766</v>
      </c>
      <c r="I678" s="140">
        <v>1</v>
      </c>
      <c r="J678" s="114" t="str">
        <f t="shared" si="10"/>
        <v>INSERT INTO DOCUMENTOS (NRO_DOCUMENTO,FECHA_EMISION,TOTAL_BRUTO,TOTAL_NETO,TOTAL_IVA, ID_TIPO, RUT_EMPLEADO, ID_CLIENTE) VALUES(674,TO_DATE('21-04-2025','DD-MM-YYYY'),4800,4034,766,1,'14526149-K',173);</v>
      </c>
    </row>
    <row r="679" spans="1:10">
      <c r="A679" s="149"/>
      <c r="B679" s="149">
        <v>675</v>
      </c>
      <c r="C679" s="118" t="s">
        <v>2274</v>
      </c>
      <c r="D679" t="s">
        <v>2090</v>
      </c>
      <c r="E679" s="150">
        <v>423</v>
      </c>
      <c r="F679" s="142">
        <v>18990</v>
      </c>
      <c r="G679" s="143">
        <v>15958</v>
      </c>
      <c r="H679" s="144">
        <v>3032</v>
      </c>
      <c r="I679" s="140">
        <v>1</v>
      </c>
      <c r="J679" s="114" t="str">
        <f t="shared" si="10"/>
        <v>INSERT INTO DOCUMENTOS (NRO_DOCUMENTO,FECHA_EMISION,TOTAL_BRUTO,TOTAL_NETO,TOTAL_IVA, ID_TIPO, RUT_EMPLEADO, ID_CLIENTE) VALUES(675,TO_DATE('21-04-2025','DD-MM-YYYY'),18990,15958,3032,1,'14526149-K',423);</v>
      </c>
    </row>
    <row r="680" spans="1:10">
      <c r="A680" s="149"/>
      <c r="B680" s="149">
        <v>676</v>
      </c>
      <c r="C680" s="151" t="s">
        <v>2275</v>
      </c>
      <c r="D680" t="s">
        <v>2090</v>
      </c>
      <c r="E680" s="150">
        <v>50</v>
      </c>
      <c r="F680" s="142">
        <v>5800</v>
      </c>
      <c r="G680" s="143">
        <v>4874</v>
      </c>
      <c r="H680" s="144">
        <v>926</v>
      </c>
      <c r="I680" s="140">
        <v>1</v>
      </c>
      <c r="J680" s="114" t="str">
        <f t="shared" si="10"/>
        <v>INSERT INTO DOCUMENTOS (NRO_DOCUMENTO,FECHA_EMISION,TOTAL_BRUTO,TOTAL_NETO,TOTAL_IVA, ID_TIPO, RUT_EMPLEADO, ID_CLIENTE) VALUES(676,TO_DATE('22-04-2025','DD-MM-YYYY'),5800,4874,926,1,'14526149-K',50);</v>
      </c>
    </row>
    <row r="681" spans="1:10">
      <c r="A681" s="149"/>
      <c r="B681" s="149">
        <v>677</v>
      </c>
      <c r="C681" s="118" t="s">
        <v>2275</v>
      </c>
      <c r="D681" t="s">
        <v>2090</v>
      </c>
      <c r="E681" s="150">
        <v>116</v>
      </c>
      <c r="F681" s="142">
        <v>44600</v>
      </c>
      <c r="G681" s="143">
        <v>37479</v>
      </c>
      <c r="H681" s="144">
        <v>7121</v>
      </c>
      <c r="I681" s="140">
        <v>1</v>
      </c>
      <c r="J681" s="114" t="str">
        <f t="shared" si="10"/>
        <v>INSERT INTO DOCUMENTOS (NRO_DOCUMENTO,FECHA_EMISION,TOTAL_BRUTO,TOTAL_NETO,TOTAL_IVA, ID_TIPO, RUT_EMPLEADO, ID_CLIENTE) VALUES(677,TO_DATE('22-04-2025','DD-MM-YYYY'),44600,37479,7121,1,'14526149-K',116);</v>
      </c>
    </row>
    <row r="682" spans="1:10">
      <c r="A682" s="149"/>
      <c r="B682" s="149">
        <v>678</v>
      </c>
      <c r="C682" s="118" t="s">
        <v>2275</v>
      </c>
      <c r="D682" t="s">
        <v>2090</v>
      </c>
      <c r="E682" s="150">
        <v>119</v>
      </c>
      <c r="F682" s="142">
        <v>13800</v>
      </c>
      <c r="G682" s="143">
        <v>11597</v>
      </c>
      <c r="H682" s="144">
        <v>2203</v>
      </c>
      <c r="I682" s="140">
        <v>1</v>
      </c>
      <c r="J682" s="114" t="str">
        <f t="shared" si="10"/>
        <v>INSERT INTO DOCUMENTOS (NRO_DOCUMENTO,FECHA_EMISION,TOTAL_BRUTO,TOTAL_NETO,TOTAL_IVA, ID_TIPO, RUT_EMPLEADO, ID_CLIENTE) VALUES(678,TO_DATE('22-04-2025','DD-MM-YYYY'),13800,11597,2203,1,'14526149-K',119);</v>
      </c>
    </row>
    <row r="683" spans="1:10">
      <c r="A683" s="149"/>
      <c r="B683" s="149">
        <v>679</v>
      </c>
      <c r="C683" s="118" t="s">
        <v>2275</v>
      </c>
      <c r="D683" t="s">
        <v>2090</v>
      </c>
      <c r="E683" s="150">
        <v>149</v>
      </c>
      <c r="F683" s="142">
        <v>19300</v>
      </c>
      <c r="G683" s="143">
        <v>16219</v>
      </c>
      <c r="H683" s="144">
        <v>3081</v>
      </c>
      <c r="I683" s="140">
        <v>1</v>
      </c>
      <c r="J683" s="114" t="str">
        <f t="shared" si="10"/>
        <v>INSERT INTO DOCUMENTOS (NRO_DOCUMENTO,FECHA_EMISION,TOTAL_BRUTO,TOTAL_NETO,TOTAL_IVA, ID_TIPO, RUT_EMPLEADO, ID_CLIENTE) VALUES(679,TO_DATE('22-04-2025','DD-MM-YYYY'),19300,16219,3081,1,'14526149-K',149);</v>
      </c>
    </row>
    <row r="684" spans="1:10">
      <c r="A684" s="149"/>
      <c r="B684" s="149">
        <v>680</v>
      </c>
      <c r="C684" s="118" t="s">
        <v>2275</v>
      </c>
      <c r="D684" t="s">
        <v>2090</v>
      </c>
      <c r="E684" s="150">
        <v>166</v>
      </c>
      <c r="F684" s="142">
        <v>3700</v>
      </c>
      <c r="G684" s="143">
        <v>3109</v>
      </c>
      <c r="H684" s="144">
        <v>591</v>
      </c>
      <c r="I684" s="140">
        <v>1</v>
      </c>
      <c r="J684" s="114" t="str">
        <f t="shared" si="10"/>
        <v>INSERT INTO DOCUMENTOS (NRO_DOCUMENTO,FECHA_EMISION,TOTAL_BRUTO,TOTAL_NETO,TOTAL_IVA, ID_TIPO, RUT_EMPLEADO, ID_CLIENTE) VALUES(680,TO_DATE('22-04-2025','DD-MM-YYYY'),3700,3109,591,1,'14526149-K',166);</v>
      </c>
    </row>
    <row r="685" spans="1:10">
      <c r="A685" s="149"/>
      <c r="B685" s="149">
        <v>681</v>
      </c>
      <c r="C685" s="118" t="s">
        <v>2275</v>
      </c>
      <c r="D685" t="s">
        <v>2090</v>
      </c>
      <c r="E685" s="150">
        <v>196</v>
      </c>
      <c r="F685" s="142">
        <v>26000</v>
      </c>
      <c r="G685" s="143">
        <v>21849</v>
      </c>
      <c r="H685" s="144">
        <v>4151</v>
      </c>
      <c r="I685" s="140">
        <v>1</v>
      </c>
      <c r="J685" s="114" t="str">
        <f t="shared" si="10"/>
        <v>INSERT INTO DOCUMENTOS (NRO_DOCUMENTO,FECHA_EMISION,TOTAL_BRUTO,TOTAL_NETO,TOTAL_IVA, ID_TIPO, RUT_EMPLEADO, ID_CLIENTE) VALUES(681,TO_DATE('22-04-2025','DD-MM-YYYY'),26000,21849,4151,1,'14526149-K',196);</v>
      </c>
    </row>
    <row r="686" spans="1:10">
      <c r="A686" s="149"/>
      <c r="B686" s="149">
        <v>682</v>
      </c>
      <c r="C686" s="118" t="s">
        <v>2275</v>
      </c>
      <c r="D686" t="s">
        <v>2090</v>
      </c>
      <c r="E686" s="150">
        <v>254</v>
      </c>
      <c r="F686" s="142">
        <v>22000</v>
      </c>
      <c r="G686" s="143">
        <v>18488</v>
      </c>
      <c r="H686" s="144">
        <v>3512</v>
      </c>
      <c r="I686" s="140">
        <v>1</v>
      </c>
      <c r="J686" s="114" t="str">
        <f t="shared" si="10"/>
        <v>INSERT INTO DOCUMENTOS (NRO_DOCUMENTO,FECHA_EMISION,TOTAL_BRUTO,TOTAL_NETO,TOTAL_IVA, ID_TIPO, RUT_EMPLEADO, ID_CLIENTE) VALUES(682,TO_DATE('22-04-2025','DD-MM-YYYY'),22000,18488,3512,1,'14526149-K',254);</v>
      </c>
    </row>
    <row r="687" spans="1:10">
      <c r="A687" s="149"/>
      <c r="B687" s="149">
        <v>683</v>
      </c>
      <c r="C687" s="118" t="s">
        <v>2275</v>
      </c>
      <c r="D687" t="s">
        <v>2090</v>
      </c>
      <c r="E687" s="150">
        <v>312</v>
      </c>
      <c r="F687" s="142">
        <v>8300</v>
      </c>
      <c r="G687" s="143">
        <v>6975</v>
      </c>
      <c r="H687" s="144">
        <v>1325</v>
      </c>
      <c r="I687" s="140">
        <v>1</v>
      </c>
      <c r="J687" s="114" t="str">
        <f t="shared" si="10"/>
        <v>INSERT INTO DOCUMENTOS (NRO_DOCUMENTO,FECHA_EMISION,TOTAL_BRUTO,TOTAL_NETO,TOTAL_IVA, ID_TIPO, RUT_EMPLEADO, ID_CLIENTE) VALUES(683,TO_DATE('22-04-2025','DD-MM-YYYY'),8300,6975,1325,1,'14526149-K',312);</v>
      </c>
    </row>
    <row r="688" spans="1:10">
      <c r="A688" s="149"/>
      <c r="B688" s="149">
        <v>684</v>
      </c>
      <c r="C688" s="118" t="s">
        <v>2275</v>
      </c>
      <c r="D688" t="s">
        <v>2090</v>
      </c>
      <c r="E688" s="150">
        <v>437</v>
      </c>
      <c r="F688" s="142">
        <v>37800</v>
      </c>
      <c r="G688" s="143">
        <v>31765</v>
      </c>
      <c r="H688" s="144">
        <v>6035</v>
      </c>
      <c r="I688" s="140">
        <v>1</v>
      </c>
      <c r="J688" s="114" t="str">
        <f t="shared" si="10"/>
        <v>INSERT INTO DOCUMENTOS (NRO_DOCUMENTO,FECHA_EMISION,TOTAL_BRUTO,TOTAL_NETO,TOTAL_IVA, ID_TIPO, RUT_EMPLEADO, ID_CLIENTE) VALUES(684,TO_DATE('22-04-2025','DD-MM-YYYY'),37800,31765,6035,1,'14526149-K',437);</v>
      </c>
    </row>
    <row r="689" spans="1:10">
      <c r="A689" s="149"/>
      <c r="B689" s="149">
        <v>685</v>
      </c>
      <c r="C689" s="151" t="s">
        <v>2276</v>
      </c>
      <c r="D689" t="s">
        <v>2090</v>
      </c>
      <c r="E689" s="150">
        <v>86</v>
      </c>
      <c r="F689" s="142">
        <v>8300</v>
      </c>
      <c r="G689" s="143">
        <v>6975</v>
      </c>
      <c r="H689" s="144">
        <v>1325</v>
      </c>
      <c r="I689" s="140">
        <v>1</v>
      </c>
      <c r="J689" s="114" t="str">
        <f t="shared" si="10"/>
        <v>INSERT INTO DOCUMENTOS (NRO_DOCUMENTO,FECHA_EMISION,TOTAL_BRUTO,TOTAL_NETO,TOTAL_IVA, ID_TIPO, RUT_EMPLEADO, ID_CLIENTE) VALUES(685,TO_DATE('23-04-2025','DD-MM-YYYY'),8300,6975,1325,1,'14526149-K',86);</v>
      </c>
    </row>
    <row r="690" spans="1:10">
      <c r="A690" s="149"/>
      <c r="B690" s="149">
        <v>686</v>
      </c>
      <c r="C690" s="118" t="s">
        <v>2276</v>
      </c>
      <c r="D690" t="s">
        <v>2090</v>
      </c>
      <c r="E690" s="150">
        <v>139</v>
      </c>
      <c r="F690" s="142">
        <v>20900</v>
      </c>
      <c r="G690" s="143">
        <v>17563</v>
      </c>
      <c r="H690" s="144">
        <v>3337</v>
      </c>
      <c r="I690" s="140">
        <v>1</v>
      </c>
      <c r="J690" s="114" t="str">
        <f t="shared" si="10"/>
        <v>INSERT INTO DOCUMENTOS (NRO_DOCUMENTO,FECHA_EMISION,TOTAL_BRUTO,TOTAL_NETO,TOTAL_IVA, ID_TIPO, RUT_EMPLEADO, ID_CLIENTE) VALUES(686,TO_DATE('23-04-2025','DD-MM-YYYY'),20900,17563,3337,1,'14526149-K',139);</v>
      </c>
    </row>
    <row r="691" spans="1:10">
      <c r="A691" s="149"/>
      <c r="B691" s="149">
        <v>687</v>
      </c>
      <c r="C691" s="118" t="s">
        <v>2276</v>
      </c>
      <c r="D691" t="s">
        <v>2090</v>
      </c>
      <c r="E691" s="150">
        <v>166</v>
      </c>
      <c r="F691" s="142">
        <v>15300</v>
      </c>
      <c r="G691" s="143">
        <v>12857</v>
      </c>
      <c r="H691" s="144">
        <v>2443</v>
      </c>
      <c r="I691" s="140">
        <v>1</v>
      </c>
      <c r="J691" s="114" t="str">
        <f t="shared" si="10"/>
        <v>INSERT INTO DOCUMENTOS (NRO_DOCUMENTO,FECHA_EMISION,TOTAL_BRUTO,TOTAL_NETO,TOTAL_IVA, ID_TIPO, RUT_EMPLEADO, ID_CLIENTE) VALUES(687,TO_DATE('23-04-2025','DD-MM-YYYY'),15300,12857,2443,1,'14526149-K',166);</v>
      </c>
    </row>
    <row r="692" spans="1:10">
      <c r="A692" s="149"/>
      <c r="B692" s="149">
        <v>688</v>
      </c>
      <c r="C692" s="118" t="s">
        <v>2276</v>
      </c>
      <c r="D692" t="s">
        <v>2090</v>
      </c>
      <c r="E692" s="150">
        <v>240</v>
      </c>
      <c r="F692" s="142">
        <v>16800</v>
      </c>
      <c r="G692" s="143">
        <v>14118</v>
      </c>
      <c r="H692" s="144">
        <v>2682</v>
      </c>
      <c r="I692" s="140">
        <v>1</v>
      </c>
      <c r="J692" s="114" t="str">
        <f t="shared" si="10"/>
        <v>INSERT INTO DOCUMENTOS (NRO_DOCUMENTO,FECHA_EMISION,TOTAL_BRUTO,TOTAL_NETO,TOTAL_IVA, ID_TIPO, RUT_EMPLEADO, ID_CLIENTE) VALUES(688,TO_DATE('23-04-2025','DD-MM-YYYY'),16800,14118,2682,1,'14526149-K',240);</v>
      </c>
    </row>
    <row r="693" spans="1:10">
      <c r="A693" s="149"/>
      <c r="B693" s="149">
        <v>689</v>
      </c>
      <c r="C693" s="151" t="s">
        <v>2277</v>
      </c>
      <c r="D693" t="s">
        <v>2090</v>
      </c>
      <c r="E693" s="150">
        <v>82</v>
      </c>
      <c r="F693" s="142">
        <v>173500</v>
      </c>
      <c r="G693" s="143">
        <v>145798</v>
      </c>
      <c r="H693" s="144">
        <v>27702</v>
      </c>
      <c r="I693" s="140">
        <v>1</v>
      </c>
      <c r="J693" s="114" t="str">
        <f t="shared" si="10"/>
        <v>INSERT INTO DOCUMENTOS (NRO_DOCUMENTO,FECHA_EMISION,TOTAL_BRUTO,TOTAL_NETO,TOTAL_IVA, ID_TIPO, RUT_EMPLEADO, ID_CLIENTE) VALUES(689,TO_DATE('24-04-2025','DD-MM-YYYY'),173500,145798,27702,1,'14526149-K',82);</v>
      </c>
    </row>
    <row r="694" spans="1:10">
      <c r="A694" s="149"/>
      <c r="B694" s="149">
        <v>690</v>
      </c>
      <c r="C694" s="118" t="s">
        <v>2277</v>
      </c>
      <c r="D694" t="s">
        <v>2090</v>
      </c>
      <c r="E694" s="150">
        <v>268</v>
      </c>
      <c r="F694" s="142">
        <v>37490</v>
      </c>
      <c r="G694" s="143">
        <v>31505</v>
      </c>
      <c r="H694" s="144">
        <v>5985</v>
      </c>
      <c r="I694" s="140">
        <v>1</v>
      </c>
      <c r="J694" s="114" t="str">
        <f t="shared" si="10"/>
        <v>INSERT INTO DOCUMENTOS (NRO_DOCUMENTO,FECHA_EMISION,TOTAL_BRUTO,TOTAL_NETO,TOTAL_IVA, ID_TIPO, RUT_EMPLEADO, ID_CLIENTE) VALUES(690,TO_DATE('24-04-2025','DD-MM-YYYY'),37490,31505,5985,1,'14526149-K',268);</v>
      </c>
    </row>
    <row r="695" spans="1:10">
      <c r="A695" s="149"/>
      <c r="B695" s="149">
        <v>691</v>
      </c>
      <c r="C695" s="118" t="s">
        <v>2277</v>
      </c>
      <c r="D695" t="s">
        <v>2090</v>
      </c>
      <c r="E695" s="150">
        <v>276</v>
      </c>
      <c r="F695" s="142">
        <v>8200</v>
      </c>
      <c r="G695" s="143">
        <v>6891</v>
      </c>
      <c r="H695" s="144">
        <v>1309</v>
      </c>
      <c r="I695" s="140">
        <v>1</v>
      </c>
      <c r="J695" s="114" t="str">
        <f t="shared" si="10"/>
        <v>INSERT INTO DOCUMENTOS (NRO_DOCUMENTO,FECHA_EMISION,TOTAL_BRUTO,TOTAL_NETO,TOTAL_IVA, ID_TIPO, RUT_EMPLEADO, ID_CLIENTE) VALUES(691,TO_DATE('24-04-2025','DD-MM-YYYY'),8200,6891,1309,1,'14526149-K',276);</v>
      </c>
    </row>
    <row r="696" spans="1:10">
      <c r="A696" s="149"/>
      <c r="B696" s="149">
        <v>692</v>
      </c>
      <c r="C696" s="118" t="s">
        <v>2277</v>
      </c>
      <c r="D696" t="s">
        <v>2090</v>
      </c>
      <c r="E696" s="150">
        <v>363</v>
      </c>
      <c r="F696" s="142">
        <v>8300</v>
      </c>
      <c r="G696" s="143">
        <v>6975</v>
      </c>
      <c r="H696" s="144">
        <v>1325</v>
      </c>
      <c r="I696" s="140">
        <v>1</v>
      </c>
      <c r="J696" s="114" t="str">
        <f t="shared" si="10"/>
        <v>INSERT INTO DOCUMENTOS (NRO_DOCUMENTO,FECHA_EMISION,TOTAL_BRUTO,TOTAL_NETO,TOTAL_IVA, ID_TIPO, RUT_EMPLEADO, ID_CLIENTE) VALUES(692,TO_DATE('24-04-2025','DD-MM-YYYY'),8300,6975,1325,1,'14526149-K',363);</v>
      </c>
    </row>
    <row r="697" spans="1:10">
      <c r="A697" s="149"/>
      <c r="B697" s="149">
        <v>693</v>
      </c>
      <c r="C697" s="118" t="s">
        <v>2277</v>
      </c>
      <c r="D697" t="s">
        <v>2090</v>
      </c>
      <c r="E697" s="150">
        <v>451</v>
      </c>
      <c r="F697" s="142">
        <v>3500</v>
      </c>
      <c r="G697" s="143">
        <v>2941</v>
      </c>
      <c r="H697" s="144">
        <v>559</v>
      </c>
      <c r="I697" s="140">
        <v>1</v>
      </c>
      <c r="J697" s="114" t="str">
        <f t="shared" si="10"/>
        <v>INSERT INTO DOCUMENTOS (NRO_DOCUMENTO,FECHA_EMISION,TOTAL_BRUTO,TOTAL_NETO,TOTAL_IVA, ID_TIPO, RUT_EMPLEADO, ID_CLIENTE) VALUES(693,TO_DATE('24-04-2025','DD-MM-YYYY'),3500,2941,559,1,'14526149-K',451);</v>
      </c>
    </row>
    <row r="698" spans="1:10">
      <c r="A698" s="149"/>
      <c r="B698" s="149">
        <v>694</v>
      </c>
      <c r="C698" s="151" t="s">
        <v>2278</v>
      </c>
      <c r="D698" t="s">
        <v>2090</v>
      </c>
      <c r="E698" s="150">
        <v>155</v>
      </c>
      <c r="F698" s="142">
        <v>18800</v>
      </c>
      <c r="G698" s="143">
        <v>15799</v>
      </c>
      <c r="H698" s="144">
        <v>3001</v>
      </c>
      <c r="I698" s="140">
        <v>1</v>
      </c>
      <c r="J698" s="114" t="str">
        <f t="shared" si="10"/>
        <v>INSERT INTO DOCUMENTOS (NRO_DOCUMENTO,FECHA_EMISION,TOTAL_BRUTO,TOTAL_NETO,TOTAL_IVA, ID_TIPO, RUT_EMPLEADO, ID_CLIENTE) VALUES(694,TO_DATE('25-04-2025','DD-MM-YYYY'),18800,15799,3001,1,'14526149-K',155);</v>
      </c>
    </row>
    <row r="699" spans="1:10">
      <c r="A699" s="149"/>
      <c r="B699" s="149">
        <v>695</v>
      </c>
      <c r="C699" s="118" t="s">
        <v>2278</v>
      </c>
      <c r="D699" t="s">
        <v>2090</v>
      </c>
      <c r="E699" s="150">
        <v>199</v>
      </c>
      <c r="F699" s="142">
        <v>67200</v>
      </c>
      <c r="G699" s="143">
        <v>56471</v>
      </c>
      <c r="H699" s="144">
        <v>10729</v>
      </c>
      <c r="I699" s="140">
        <v>1</v>
      </c>
      <c r="J699" s="114" t="str">
        <f t="shared" si="10"/>
        <v>INSERT INTO DOCUMENTOS (NRO_DOCUMENTO,FECHA_EMISION,TOTAL_BRUTO,TOTAL_NETO,TOTAL_IVA, ID_TIPO, RUT_EMPLEADO, ID_CLIENTE) VALUES(695,TO_DATE('25-04-2025','DD-MM-YYYY'),67200,56471,10729,1,'14526149-K',199);</v>
      </c>
    </row>
    <row r="700" spans="1:10">
      <c r="A700" s="149"/>
      <c r="B700" s="149">
        <v>696</v>
      </c>
      <c r="C700" s="118" t="s">
        <v>2278</v>
      </c>
      <c r="D700" t="s">
        <v>2090</v>
      </c>
      <c r="E700" s="150">
        <v>219</v>
      </c>
      <c r="F700" s="142">
        <v>20900</v>
      </c>
      <c r="G700" s="143">
        <v>17563</v>
      </c>
      <c r="H700" s="144">
        <v>3337</v>
      </c>
      <c r="I700" s="140">
        <v>1</v>
      </c>
      <c r="J700" s="114" t="str">
        <f t="shared" si="10"/>
        <v>INSERT INTO DOCUMENTOS (NRO_DOCUMENTO,FECHA_EMISION,TOTAL_BRUTO,TOTAL_NETO,TOTAL_IVA, ID_TIPO, RUT_EMPLEADO, ID_CLIENTE) VALUES(696,TO_DATE('25-04-2025','DD-MM-YYYY'),20900,17563,3337,1,'14526149-K',219);</v>
      </c>
    </row>
    <row r="701" spans="1:10">
      <c r="A701" s="149"/>
      <c r="B701" s="149">
        <v>697</v>
      </c>
      <c r="C701" s="118" t="s">
        <v>2278</v>
      </c>
      <c r="D701" t="s">
        <v>2090</v>
      </c>
      <c r="E701" s="150">
        <v>227</v>
      </c>
      <c r="F701" s="142">
        <v>5500</v>
      </c>
      <c r="G701" s="143">
        <v>4622</v>
      </c>
      <c r="H701" s="144">
        <v>878</v>
      </c>
      <c r="I701" s="140">
        <v>1</v>
      </c>
      <c r="J701" s="114" t="str">
        <f t="shared" si="10"/>
        <v>INSERT INTO DOCUMENTOS (NRO_DOCUMENTO,FECHA_EMISION,TOTAL_BRUTO,TOTAL_NETO,TOTAL_IVA, ID_TIPO, RUT_EMPLEADO, ID_CLIENTE) VALUES(697,TO_DATE('25-04-2025','DD-MM-YYYY'),5500,4622,878,1,'14526149-K',227);</v>
      </c>
    </row>
    <row r="702" spans="1:10">
      <c r="A702" s="149"/>
      <c r="B702" s="149">
        <v>698</v>
      </c>
      <c r="C702" s="118" t="s">
        <v>2278</v>
      </c>
      <c r="D702" t="s">
        <v>2090</v>
      </c>
      <c r="E702" s="150">
        <v>453</v>
      </c>
      <c r="F702" s="142">
        <v>2500</v>
      </c>
      <c r="G702" s="143">
        <v>2101</v>
      </c>
      <c r="H702" s="144">
        <v>399</v>
      </c>
      <c r="I702" s="140">
        <v>1</v>
      </c>
      <c r="J702" s="114" t="str">
        <f t="shared" si="10"/>
        <v>INSERT INTO DOCUMENTOS (NRO_DOCUMENTO,FECHA_EMISION,TOTAL_BRUTO,TOTAL_NETO,TOTAL_IVA, ID_TIPO, RUT_EMPLEADO, ID_CLIENTE) VALUES(698,TO_DATE('25-04-2025','DD-MM-YYYY'),2500,2101,399,1,'14526149-K',453);</v>
      </c>
    </row>
    <row r="703" spans="1:10">
      <c r="A703" s="149"/>
      <c r="B703" s="149">
        <v>699</v>
      </c>
      <c r="C703" s="151" t="s">
        <v>2279</v>
      </c>
      <c r="D703" t="s">
        <v>2090</v>
      </c>
      <c r="E703" s="150">
        <v>76</v>
      </c>
      <c r="F703" s="142">
        <v>10500</v>
      </c>
      <c r="G703" s="143">
        <v>8824</v>
      </c>
      <c r="H703" s="144">
        <v>1676</v>
      </c>
      <c r="I703" s="140">
        <v>1</v>
      </c>
      <c r="J703" s="114" t="str">
        <f t="shared" si="10"/>
        <v>INSERT INTO DOCUMENTOS (NRO_DOCUMENTO,FECHA_EMISION,TOTAL_BRUTO,TOTAL_NETO,TOTAL_IVA, ID_TIPO, RUT_EMPLEADO, ID_CLIENTE) VALUES(699,TO_DATE('26-04-2025','DD-MM-YYYY'),10500,8824,1676,1,'14526149-K',76);</v>
      </c>
    </row>
    <row r="704" spans="1:10">
      <c r="A704" s="149"/>
      <c r="B704" s="150">
        <v>700</v>
      </c>
      <c r="C704" s="118" t="s">
        <v>2279</v>
      </c>
      <c r="D704" t="s">
        <v>2090</v>
      </c>
      <c r="E704" s="150">
        <v>128</v>
      </c>
      <c r="F704" s="142">
        <v>19000</v>
      </c>
      <c r="G704" s="143">
        <v>15966</v>
      </c>
      <c r="H704" s="144">
        <v>3034</v>
      </c>
      <c r="I704" s="140">
        <v>1</v>
      </c>
      <c r="J704" s="114" t="str">
        <f t="shared" si="10"/>
        <v>INSERT INTO DOCUMENTOS (NRO_DOCUMENTO,FECHA_EMISION,TOTAL_BRUTO,TOTAL_NETO,TOTAL_IVA, ID_TIPO, RUT_EMPLEADO, ID_CLIENTE) VALUES(700,TO_DATE('26-04-2025','DD-MM-YYYY'),19000,15966,3034,1,'14526149-K',128);</v>
      </c>
    </row>
    <row r="705" spans="1:10">
      <c r="A705" s="149"/>
      <c r="B705" s="149">
        <v>701</v>
      </c>
      <c r="C705" s="118" t="s">
        <v>2279</v>
      </c>
      <c r="D705" t="s">
        <v>2090</v>
      </c>
      <c r="E705" s="150">
        <v>140</v>
      </c>
      <c r="F705" s="142">
        <v>14500</v>
      </c>
      <c r="G705" s="143">
        <v>12185</v>
      </c>
      <c r="H705" s="144">
        <v>2315</v>
      </c>
      <c r="I705" s="140">
        <v>1</v>
      </c>
      <c r="J705" s="114" t="str">
        <f t="shared" si="10"/>
        <v>INSERT INTO DOCUMENTOS (NRO_DOCUMENTO,FECHA_EMISION,TOTAL_BRUTO,TOTAL_NETO,TOTAL_IVA, ID_TIPO, RUT_EMPLEADO, ID_CLIENTE) VALUES(701,TO_DATE('26-04-2025','DD-MM-YYYY'),14500,12185,2315,1,'14526149-K',140);</v>
      </c>
    </row>
    <row r="706" spans="1:10">
      <c r="A706" s="149"/>
      <c r="B706" s="149">
        <v>702</v>
      </c>
      <c r="C706" s="118" t="s">
        <v>2279</v>
      </c>
      <c r="D706" t="s">
        <v>2090</v>
      </c>
      <c r="E706" s="150">
        <v>207</v>
      </c>
      <c r="F706" s="142">
        <v>20000</v>
      </c>
      <c r="G706" s="143">
        <v>16807</v>
      </c>
      <c r="H706" s="144">
        <v>3193</v>
      </c>
      <c r="I706" s="140">
        <v>1</v>
      </c>
      <c r="J706" s="114" t="str">
        <f t="shared" si="10"/>
        <v>INSERT INTO DOCUMENTOS (NRO_DOCUMENTO,FECHA_EMISION,TOTAL_BRUTO,TOTAL_NETO,TOTAL_IVA, ID_TIPO, RUT_EMPLEADO, ID_CLIENTE) VALUES(702,TO_DATE('26-04-2025','DD-MM-YYYY'),20000,16807,3193,1,'14526149-K',207);</v>
      </c>
    </row>
    <row r="707" spans="1:10">
      <c r="A707" s="149"/>
      <c r="B707" s="149">
        <v>703</v>
      </c>
      <c r="C707" s="118" t="s">
        <v>2279</v>
      </c>
      <c r="D707" t="s">
        <v>2090</v>
      </c>
      <c r="E707" s="150">
        <v>251</v>
      </c>
      <c r="F707" s="142">
        <v>13800</v>
      </c>
      <c r="G707" s="143">
        <v>11597</v>
      </c>
      <c r="H707" s="144">
        <v>2203</v>
      </c>
      <c r="I707" s="140">
        <v>1</v>
      </c>
      <c r="J707" s="114" t="str">
        <f t="shared" si="10"/>
        <v>INSERT INTO DOCUMENTOS (NRO_DOCUMENTO,FECHA_EMISION,TOTAL_BRUTO,TOTAL_NETO,TOTAL_IVA, ID_TIPO, RUT_EMPLEADO, ID_CLIENTE) VALUES(703,TO_DATE('26-04-2025','DD-MM-YYYY'),13800,11597,2203,1,'14526149-K',251);</v>
      </c>
    </row>
    <row r="708" spans="1:10">
      <c r="A708" s="149"/>
      <c r="B708" s="149">
        <v>704</v>
      </c>
      <c r="C708" s="118" t="s">
        <v>2279</v>
      </c>
      <c r="D708" t="s">
        <v>2090</v>
      </c>
      <c r="E708" s="150">
        <v>300</v>
      </c>
      <c r="F708" s="142">
        <v>21350</v>
      </c>
      <c r="G708" s="143">
        <v>17942</v>
      </c>
      <c r="H708" s="144">
        <v>3408</v>
      </c>
      <c r="I708" s="140">
        <v>1</v>
      </c>
      <c r="J708" s="114" t="str">
        <f t="shared" si="10"/>
        <v>INSERT INTO DOCUMENTOS (NRO_DOCUMENTO,FECHA_EMISION,TOTAL_BRUTO,TOTAL_NETO,TOTAL_IVA, ID_TIPO, RUT_EMPLEADO, ID_CLIENTE) VALUES(704,TO_DATE('26-04-2025','DD-MM-YYYY'),21350,17942,3408,1,'14526149-K',300);</v>
      </c>
    </row>
    <row r="709" spans="1:10">
      <c r="A709" s="149"/>
      <c r="B709" s="149">
        <v>705</v>
      </c>
      <c r="C709" s="118" t="s">
        <v>2279</v>
      </c>
      <c r="D709" t="s">
        <v>2090</v>
      </c>
      <c r="E709" s="150">
        <v>408</v>
      </c>
      <c r="F709" s="142">
        <v>7000</v>
      </c>
      <c r="G709" s="143">
        <v>5882</v>
      </c>
      <c r="H709" s="144">
        <v>1118</v>
      </c>
      <c r="I709" s="140">
        <v>1</v>
      </c>
      <c r="J709" s="114" t="str">
        <f t="shared" si="10"/>
        <v>INSERT INTO DOCUMENTOS (NRO_DOCUMENTO,FECHA_EMISION,TOTAL_BRUTO,TOTAL_NETO,TOTAL_IVA, ID_TIPO, RUT_EMPLEADO, ID_CLIENTE) VALUES(705,TO_DATE('26-04-2025','DD-MM-YYYY'),7000,5882,1118,1,'14526149-K',408);</v>
      </c>
    </row>
    <row r="710" spans="1:10">
      <c r="A710" s="149"/>
      <c r="B710" s="149">
        <v>706</v>
      </c>
      <c r="C710" s="118" t="s">
        <v>2279</v>
      </c>
      <c r="D710" t="s">
        <v>2090</v>
      </c>
      <c r="E710" s="150">
        <v>411</v>
      </c>
      <c r="F710" s="142">
        <v>14500</v>
      </c>
      <c r="G710" s="143">
        <v>12185</v>
      </c>
      <c r="H710" s="144">
        <v>2315</v>
      </c>
      <c r="I710" s="140">
        <v>1</v>
      </c>
      <c r="J710" s="114" t="str">
        <f t="shared" ref="J710:J773" si="11">CONCATENATE("INSERT INTO DOCUMENTOS (NRO_DOCUMENTO,FECHA_EMISION,TOTAL_BRUTO,TOTAL_NETO,TOTAL_IVA, ID_TIPO, RUT_EMPLEADO, ID_CLIENTE) VALUES(",B710,",","TO_DATE('",C710,"'",",'DD-MM-YYYY'),",F710,",",G710,",",H710,",",I710,",","'",D710,"',",E710,");")</f>
        <v>INSERT INTO DOCUMENTOS (NRO_DOCUMENTO,FECHA_EMISION,TOTAL_BRUTO,TOTAL_NETO,TOTAL_IVA, ID_TIPO, RUT_EMPLEADO, ID_CLIENTE) VALUES(706,TO_DATE('26-04-2025','DD-MM-YYYY'),14500,12185,2315,1,'14526149-K',411);</v>
      </c>
    </row>
    <row r="711" spans="1:10">
      <c r="A711" s="149"/>
      <c r="B711" s="149">
        <v>707</v>
      </c>
      <c r="C711" s="118" t="s">
        <v>2279</v>
      </c>
      <c r="D711" t="s">
        <v>2090</v>
      </c>
      <c r="E711" s="150">
        <v>418</v>
      </c>
      <c r="F711" s="142">
        <v>5500</v>
      </c>
      <c r="G711" s="143">
        <v>4622</v>
      </c>
      <c r="H711" s="144">
        <v>878</v>
      </c>
      <c r="I711" s="140">
        <v>1</v>
      </c>
      <c r="J711" s="114" t="str">
        <f t="shared" si="11"/>
        <v>INSERT INTO DOCUMENTOS (NRO_DOCUMENTO,FECHA_EMISION,TOTAL_BRUTO,TOTAL_NETO,TOTAL_IVA, ID_TIPO, RUT_EMPLEADO, ID_CLIENTE) VALUES(707,TO_DATE('26-04-2025','DD-MM-YYYY'),5500,4622,878,1,'14526149-K',418);</v>
      </c>
    </row>
    <row r="712" spans="1:10">
      <c r="A712" s="149"/>
      <c r="B712" s="149">
        <v>708</v>
      </c>
      <c r="C712" s="118" t="s">
        <v>2279</v>
      </c>
      <c r="D712" t="s">
        <v>2090</v>
      </c>
      <c r="E712" s="150">
        <v>486</v>
      </c>
      <c r="F712" s="142">
        <v>8300</v>
      </c>
      <c r="G712" s="143">
        <v>6975</v>
      </c>
      <c r="H712" s="144">
        <v>1325</v>
      </c>
      <c r="I712" s="140">
        <v>1</v>
      </c>
      <c r="J712" s="114" t="str">
        <f t="shared" si="11"/>
        <v>INSERT INTO DOCUMENTOS (NRO_DOCUMENTO,FECHA_EMISION,TOTAL_BRUTO,TOTAL_NETO,TOTAL_IVA, ID_TIPO, RUT_EMPLEADO, ID_CLIENTE) VALUES(708,TO_DATE('26-04-2025','DD-MM-YYYY'),8300,6975,1325,1,'14526149-K',486);</v>
      </c>
    </row>
    <row r="713" spans="1:10">
      <c r="A713" s="149"/>
      <c r="B713" s="149">
        <v>709</v>
      </c>
      <c r="C713" s="151" t="s">
        <v>2280</v>
      </c>
      <c r="D713" t="s">
        <v>2090</v>
      </c>
      <c r="E713" s="150">
        <v>63</v>
      </c>
      <c r="F713" s="142">
        <v>8300</v>
      </c>
      <c r="G713" s="143">
        <v>6975</v>
      </c>
      <c r="H713" s="144">
        <v>1325</v>
      </c>
      <c r="I713" s="140">
        <v>1</v>
      </c>
      <c r="J713" s="114" t="str">
        <f t="shared" si="11"/>
        <v>INSERT INTO DOCUMENTOS (NRO_DOCUMENTO,FECHA_EMISION,TOTAL_BRUTO,TOTAL_NETO,TOTAL_IVA, ID_TIPO, RUT_EMPLEADO, ID_CLIENTE) VALUES(709,TO_DATE('27-04-2025','DD-MM-YYYY'),8300,6975,1325,1,'14526149-K',63);</v>
      </c>
    </row>
    <row r="714" spans="1:10">
      <c r="A714" s="149"/>
      <c r="B714" s="149">
        <v>710</v>
      </c>
      <c r="C714" s="118" t="s">
        <v>2280</v>
      </c>
      <c r="D714" t="s">
        <v>2090</v>
      </c>
      <c r="E714" s="150">
        <v>72</v>
      </c>
      <c r="F714" s="142">
        <v>8300</v>
      </c>
      <c r="G714" s="143">
        <v>6975</v>
      </c>
      <c r="H714" s="144">
        <v>1325</v>
      </c>
      <c r="I714" s="140">
        <v>1</v>
      </c>
      <c r="J714" s="114" t="str">
        <f t="shared" si="11"/>
        <v>INSERT INTO DOCUMENTOS (NRO_DOCUMENTO,FECHA_EMISION,TOTAL_BRUTO,TOTAL_NETO,TOTAL_IVA, ID_TIPO, RUT_EMPLEADO, ID_CLIENTE) VALUES(710,TO_DATE('27-04-2025','DD-MM-YYYY'),8300,6975,1325,1,'14526149-K',72);</v>
      </c>
    </row>
    <row r="715" spans="1:10">
      <c r="A715" s="149"/>
      <c r="B715" s="149">
        <v>711</v>
      </c>
      <c r="C715" s="118" t="s">
        <v>2280</v>
      </c>
      <c r="D715" t="s">
        <v>2090</v>
      </c>
      <c r="E715" s="150">
        <v>130</v>
      </c>
      <c r="F715" s="142">
        <v>17500</v>
      </c>
      <c r="G715" s="143">
        <v>14706</v>
      </c>
      <c r="H715" s="144">
        <v>2794</v>
      </c>
      <c r="I715" s="140">
        <v>1</v>
      </c>
      <c r="J715" s="114" t="str">
        <f t="shared" si="11"/>
        <v>INSERT INTO DOCUMENTOS (NRO_DOCUMENTO,FECHA_EMISION,TOTAL_BRUTO,TOTAL_NETO,TOTAL_IVA, ID_TIPO, RUT_EMPLEADO, ID_CLIENTE) VALUES(711,TO_DATE('27-04-2025','DD-MM-YYYY'),17500,14706,2794,1,'14526149-K',130);</v>
      </c>
    </row>
    <row r="716" spans="1:10">
      <c r="A716" s="149"/>
      <c r="B716" s="149">
        <v>712</v>
      </c>
      <c r="C716" s="118" t="s">
        <v>2280</v>
      </c>
      <c r="D716" t="s">
        <v>2090</v>
      </c>
      <c r="E716" s="150">
        <v>166</v>
      </c>
      <c r="F716" s="142">
        <v>10500</v>
      </c>
      <c r="G716" s="143">
        <v>8824</v>
      </c>
      <c r="H716" s="144">
        <v>1676</v>
      </c>
      <c r="I716" s="140">
        <v>1</v>
      </c>
      <c r="J716" s="114" t="str">
        <f t="shared" si="11"/>
        <v>INSERT INTO DOCUMENTOS (NRO_DOCUMENTO,FECHA_EMISION,TOTAL_BRUTO,TOTAL_NETO,TOTAL_IVA, ID_TIPO, RUT_EMPLEADO, ID_CLIENTE) VALUES(712,TO_DATE('27-04-2025','DD-MM-YYYY'),10500,8824,1676,1,'14526149-K',166);</v>
      </c>
    </row>
    <row r="717" spans="1:10">
      <c r="A717" s="149"/>
      <c r="B717" s="149">
        <v>713</v>
      </c>
      <c r="C717" s="118" t="s">
        <v>2280</v>
      </c>
      <c r="D717" t="s">
        <v>2090</v>
      </c>
      <c r="E717" s="150">
        <v>184</v>
      </c>
      <c r="F717" s="142">
        <v>10500</v>
      </c>
      <c r="G717" s="143">
        <v>8824</v>
      </c>
      <c r="H717" s="144">
        <v>1676</v>
      </c>
      <c r="I717" s="140">
        <v>1</v>
      </c>
      <c r="J717" s="114" t="str">
        <f t="shared" si="11"/>
        <v>INSERT INTO DOCUMENTOS (NRO_DOCUMENTO,FECHA_EMISION,TOTAL_BRUTO,TOTAL_NETO,TOTAL_IVA, ID_TIPO, RUT_EMPLEADO, ID_CLIENTE) VALUES(713,TO_DATE('27-04-2025','DD-MM-YYYY'),10500,8824,1676,1,'14526149-K',184);</v>
      </c>
    </row>
    <row r="718" spans="1:10">
      <c r="A718" s="149"/>
      <c r="B718" s="149">
        <v>714</v>
      </c>
      <c r="C718" s="118" t="s">
        <v>2280</v>
      </c>
      <c r="D718" t="s">
        <v>2090</v>
      </c>
      <c r="E718" s="150">
        <v>333</v>
      </c>
      <c r="F718" s="142">
        <v>14000</v>
      </c>
      <c r="G718" s="143">
        <v>11765</v>
      </c>
      <c r="H718" s="144">
        <v>2235</v>
      </c>
      <c r="I718" s="140">
        <v>1</v>
      </c>
      <c r="J718" s="114" t="str">
        <f t="shared" si="11"/>
        <v>INSERT INTO DOCUMENTOS (NRO_DOCUMENTO,FECHA_EMISION,TOTAL_BRUTO,TOTAL_NETO,TOTAL_IVA, ID_TIPO, RUT_EMPLEADO, ID_CLIENTE) VALUES(714,TO_DATE('27-04-2025','DD-MM-YYYY'),14000,11765,2235,1,'14526149-K',333);</v>
      </c>
    </row>
    <row r="719" spans="1:10">
      <c r="A719" s="149"/>
      <c r="B719" s="149">
        <v>715</v>
      </c>
      <c r="C719" s="118" t="s">
        <v>2280</v>
      </c>
      <c r="D719" t="s">
        <v>2090</v>
      </c>
      <c r="E719" s="150">
        <v>393</v>
      </c>
      <c r="F719" s="142">
        <v>5500</v>
      </c>
      <c r="G719" s="143">
        <v>4622</v>
      </c>
      <c r="H719" s="144">
        <v>878</v>
      </c>
      <c r="I719" s="140">
        <v>1</v>
      </c>
      <c r="J719" s="114" t="str">
        <f t="shared" si="11"/>
        <v>INSERT INTO DOCUMENTOS (NRO_DOCUMENTO,FECHA_EMISION,TOTAL_BRUTO,TOTAL_NETO,TOTAL_IVA, ID_TIPO, RUT_EMPLEADO, ID_CLIENTE) VALUES(715,TO_DATE('27-04-2025','DD-MM-YYYY'),5500,4622,878,1,'14526149-K',393);</v>
      </c>
    </row>
    <row r="720" spans="1:10">
      <c r="A720" s="149"/>
      <c r="B720" s="149">
        <v>716</v>
      </c>
      <c r="C720" s="151" t="s">
        <v>2281</v>
      </c>
      <c r="D720" t="s">
        <v>2090</v>
      </c>
      <c r="E720" s="150">
        <v>111</v>
      </c>
      <c r="F720" s="142">
        <v>22000</v>
      </c>
      <c r="G720" s="143">
        <v>18488</v>
      </c>
      <c r="H720" s="144">
        <v>3512</v>
      </c>
      <c r="I720" s="140">
        <v>1</v>
      </c>
      <c r="J720" s="114" t="str">
        <f t="shared" si="11"/>
        <v>INSERT INTO DOCUMENTOS (NRO_DOCUMENTO,FECHA_EMISION,TOTAL_BRUTO,TOTAL_NETO,TOTAL_IVA, ID_TIPO, RUT_EMPLEADO, ID_CLIENTE) VALUES(716,TO_DATE('28-04-2025','DD-MM-YYYY'),22000,18488,3512,1,'14526149-K',111);</v>
      </c>
    </row>
    <row r="721" spans="1:10">
      <c r="A721" s="149"/>
      <c r="B721" s="149">
        <v>717</v>
      </c>
      <c r="C721" s="118" t="s">
        <v>2281</v>
      </c>
      <c r="D721" t="s">
        <v>2090</v>
      </c>
      <c r="E721" s="150">
        <v>231</v>
      </c>
      <c r="F721" s="142">
        <v>14900</v>
      </c>
      <c r="G721" s="143">
        <v>12521</v>
      </c>
      <c r="H721" s="144">
        <v>2379</v>
      </c>
      <c r="I721" s="140">
        <v>1</v>
      </c>
      <c r="J721" s="114" t="str">
        <f t="shared" si="11"/>
        <v>INSERT INTO DOCUMENTOS (NRO_DOCUMENTO,FECHA_EMISION,TOTAL_BRUTO,TOTAL_NETO,TOTAL_IVA, ID_TIPO, RUT_EMPLEADO, ID_CLIENTE) VALUES(717,TO_DATE('28-04-2025','DD-MM-YYYY'),14900,12521,2379,1,'14526149-K',231);</v>
      </c>
    </row>
    <row r="722" spans="1:10">
      <c r="A722" s="149"/>
      <c r="B722" s="149">
        <v>718</v>
      </c>
      <c r="C722" s="118" t="s">
        <v>2281</v>
      </c>
      <c r="D722" t="s">
        <v>2090</v>
      </c>
      <c r="E722" s="150">
        <v>345</v>
      </c>
      <c r="F722" s="142">
        <v>36900</v>
      </c>
      <c r="G722" s="143">
        <v>31009</v>
      </c>
      <c r="H722" s="144">
        <v>5891</v>
      </c>
      <c r="I722" s="140">
        <v>1</v>
      </c>
      <c r="J722" s="114" t="str">
        <f t="shared" si="11"/>
        <v>INSERT INTO DOCUMENTOS (NRO_DOCUMENTO,FECHA_EMISION,TOTAL_BRUTO,TOTAL_NETO,TOTAL_IVA, ID_TIPO, RUT_EMPLEADO, ID_CLIENTE) VALUES(718,TO_DATE('28-04-2025','DD-MM-YYYY'),36900,31009,5891,1,'14526149-K',345);</v>
      </c>
    </row>
    <row r="723" spans="1:10">
      <c r="A723" s="149"/>
      <c r="B723" s="149">
        <v>719</v>
      </c>
      <c r="C723" s="118" t="s">
        <v>2281</v>
      </c>
      <c r="D723" t="s">
        <v>2090</v>
      </c>
      <c r="E723" s="150">
        <v>353</v>
      </c>
      <c r="F723" s="142">
        <v>26600</v>
      </c>
      <c r="G723" s="143">
        <v>22354</v>
      </c>
      <c r="H723" s="144">
        <v>4246</v>
      </c>
      <c r="I723" s="140">
        <v>1</v>
      </c>
      <c r="J723" s="114" t="str">
        <f t="shared" si="11"/>
        <v>INSERT INTO DOCUMENTOS (NRO_DOCUMENTO,FECHA_EMISION,TOTAL_BRUTO,TOTAL_NETO,TOTAL_IVA, ID_TIPO, RUT_EMPLEADO, ID_CLIENTE) VALUES(719,TO_DATE('28-04-2025','DD-MM-YYYY'),26600,22354,4246,1,'14526149-K',353);</v>
      </c>
    </row>
    <row r="724" spans="1:10">
      <c r="A724" s="149"/>
      <c r="B724" s="149">
        <v>720</v>
      </c>
      <c r="C724" s="118" t="s">
        <v>2281</v>
      </c>
      <c r="D724" t="s">
        <v>2090</v>
      </c>
      <c r="E724" s="150">
        <v>476</v>
      </c>
      <c r="F724" s="142">
        <v>13800</v>
      </c>
      <c r="G724" s="143">
        <v>11597</v>
      </c>
      <c r="H724" s="144">
        <v>2203</v>
      </c>
      <c r="I724" s="140">
        <v>1</v>
      </c>
      <c r="J724" s="114" t="str">
        <f t="shared" si="11"/>
        <v>INSERT INTO DOCUMENTOS (NRO_DOCUMENTO,FECHA_EMISION,TOTAL_BRUTO,TOTAL_NETO,TOTAL_IVA, ID_TIPO, RUT_EMPLEADO, ID_CLIENTE) VALUES(720,TO_DATE('28-04-2025','DD-MM-YYYY'),13800,11597,2203,1,'14526149-K',476);</v>
      </c>
    </row>
    <row r="725" spans="1:10">
      <c r="A725" s="149"/>
      <c r="B725" s="149">
        <v>721</v>
      </c>
      <c r="C725" s="118" t="s">
        <v>2281</v>
      </c>
      <c r="D725" t="s">
        <v>2090</v>
      </c>
      <c r="E725" s="150">
        <v>477</v>
      </c>
      <c r="F725" s="142">
        <v>16000</v>
      </c>
      <c r="G725" s="143">
        <v>13446</v>
      </c>
      <c r="H725" s="144">
        <v>2554</v>
      </c>
      <c r="I725" s="140">
        <v>1</v>
      </c>
      <c r="J725" s="114" t="str">
        <f t="shared" si="11"/>
        <v>INSERT INTO DOCUMENTOS (NRO_DOCUMENTO,FECHA_EMISION,TOTAL_BRUTO,TOTAL_NETO,TOTAL_IVA, ID_TIPO, RUT_EMPLEADO, ID_CLIENTE) VALUES(721,TO_DATE('28-04-2025','DD-MM-YYYY'),16000,13446,2554,1,'14526149-K',477);</v>
      </c>
    </row>
    <row r="726" spans="1:10">
      <c r="A726" s="149"/>
      <c r="B726" s="149">
        <v>722</v>
      </c>
      <c r="C726" s="151" t="s">
        <v>2282</v>
      </c>
      <c r="D726" t="s">
        <v>2090</v>
      </c>
      <c r="E726" s="150">
        <v>34</v>
      </c>
      <c r="F726" s="142">
        <v>35800</v>
      </c>
      <c r="G726" s="143">
        <v>30084</v>
      </c>
      <c r="H726" s="144">
        <v>5716</v>
      </c>
      <c r="I726" s="140">
        <v>1</v>
      </c>
      <c r="J726" s="114" t="str">
        <f t="shared" si="11"/>
        <v>INSERT INTO DOCUMENTOS (NRO_DOCUMENTO,FECHA_EMISION,TOTAL_BRUTO,TOTAL_NETO,TOTAL_IVA, ID_TIPO, RUT_EMPLEADO, ID_CLIENTE) VALUES(722,TO_DATE('29-04-2025','DD-MM-YYYY'),35800,30084,5716,1,'14526149-K',34);</v>
      </c>
    </row>
    <row r="727" spans="1:10">
      <c r="A727" s="149"/>
      <c r="B727" s="149">
        <v>723</v>
      </c>
      <c r="C727" s="118" t="s">
        <v>2282</v>
      </c>
      <c r="D727" t="s">
        <v>2090</v>
      </c>
      <c r="E727" s="150">
        <v>37</v>
      </c>
      <c r="F727" s="142">
        <v>343000</v>
      </c>
      <c r="G727" s="143">
        <v>288235</v>
      </c>
      <c r="H727" s="144">
        <v>54765</v>
      </c>
      <c r="I727" s="140">
        <v>1</v>
      </c>
      <c r="J727" s="114" t="str">
        <f t="shared" si="11"/>
        <v>INSERT INTO DOCUMENTOS (NRO_DOCUMENTO,FECHA_EMISION,TOTAL_BRUTO,TOTAL_NETO,TOTAL_IVA, ID_TIPO, RUT_EMPLEADO, ID_CLIENTE) VALUES(723,TO_DATE('29-04-2025','DD-MM-YYYY'),343000,288235,54765,1,'14526149-K',37);</v>
      </c>
    </row>
    <row r="728" spans="1:10">
      <c r="A728" s="149"/>
      <c r="B728" s="149">
        <v>724</v>
      </c>
      <c r="C728" s="118" t="s">
        <v>2282</v>
      </c>
      <c r="D728" t="s">
        <v>2090</v>
      </c>
      <c r="E728" s="150">
        <v>56</v>
      </c>
      <c r="F728" s="142">
        <v>13800</v>
      </c>
      <c r="G728" s="143">
        <v>11597</v>
      </c>
      <c r="H728" s="144">
        <v>2203</v>
      </c>
      <c r="I728" s="140">
        <v>1</v>
      </c>
      <c r="J728" s="114" t="str">
        <f t="shared" si="11"/>
        <v>INSERT INTO DOCUMENTOS (NRO_DOCUMENTO,FECHA_EMISION,TOTAL_BRUTO,TOTAL_NETO,TOTAL_IVA, ID_TIPO, RUT_EMPLEADO, ID_CLIENTE) VALUES(724,TO_DATE('29-04-2025','DD-MM-YYYY'),13800,11597,2203,1,'14526149-K',56);</v>
      </c>
    </row>
    <row r="729" spans="1:10">
      <c r="A729" s="149"/>
      <c r="B729" s="149">
        <v>725</v>
      </c>
      <c r="C729" s="118" t="s">
        <v>2282</v>
      </c>
      <c r="D729" t="s">
        <v>2090</v>
      </c>
      <c r="E729" s="150">
        <v>63</v>
      </c>
      <c r="F729" s="142">
        <v>20900</v>
      </c>
      <c r="G729" s="143">
        <v>17563</v>
      </c>
      <c r="H729" s="144">
        <v>3337</v>
      </c>
      <c r="I729" s="140">
        <v>1</v>
      </c>
      <c r="J729" s="114" t="str">
        <f t="shared" si="11"/>
        <v>INSERT INTO DOCUMENTOS (NRO_DOCUMENTO,FECHA_EMISION,TOTAL_BRUTO,TOTAL_NETO,TOTAL_IVA, ID_TIPO, RUT_EMPLEADO, ID_CLIENTE) VALUES(725,TO_DATE('29-04-2025','DD-MM-YYYY'),20900,17563,3337,1,'14526149-K',63);</v>
      </c>
    </row>
    <row r="730" spans="1:10">
      <c r="A730" s="149"/>
      <c r="B730" s="149">
        <v>726</v>
      </c>
      <c r="C730" s="118" t="s">
        <v>2282</v>
      </c>
      <c r="D730" t="s">
        <v>2090</v>
      </c>
      <c r="E730" s="150">
        <v>73</v>
      </c>
      <c r="F730" s="142">
        <v>10500</v>
      </c>
      <c r="G730" s="143">
        <v>8824</v>
      </c>
      <c r="H730" s="144">
        <v>1676</v>
      </c>
      <c r="I730" s="140">
        <v>1</v>
      </c>
      <c r="J730" s="114" t="str">
        <f t="shared" si="11"/>
        <v>INSERT INTO DOCUMENTOS (NRO_DOCUMENTO,FECHA_EMISION,TOTAL_BRUTO,TOTAL_NETO,TOTAL_IVA, ID_TIPO, RUT_EMPLEADO, ID_CLIENTE) VALUES(726,TO_DATE('29-04-2025','DD-MM-YYYY'),10500,8824,1676,1,'14526149-K',73);</v>
      </c>
    </row>
    <row r="731" spans="1:10">
      <c r="A731" s="149"/>
      <c r="B731" s="149">
        <v>727</v>
      </c>
      <c r="C731" s="118" t="s">
        <v>2282</v>
      </c>
      <c r="D731" t="s">
        <v>2090</v>
      </c>
      <c r="E731" s="150">
        <v>85</v>
      </c>
      <c r="F731" s="142">
        <v>12900</v>
      </c>
      <c r="G731" s="143">
        <v>10840</v>
      </c>
      <c r="H731" s="144">
        <v>2060</v>
      </c>
      <c r="I731" s="140">
        <v>1</v>
      </c>
      <c r="J731" s="114" t="str">
        <f t="shared" si="11"/>
        <v>INSERT INTO DOCUMENTOS (NRO_DOCUMENTO,FECHA_EMISION,TOTAL_BRUTO,TOTAL_NETO,TOTAL_IVA, ID_TIPO, RUT_EMPLEADO, ID_CLIENTE) VALUES(727,TO_DATE('29-04-2025','DD-MM-YYYY'),12900,10840,2060,1,'14526149-K',85);</v>
      </c>
    </row>
    <row r="732" spans="1:10">
      <c r="A732" s="149"/>
      <c r="B732" s="149">
        <v>728</v>
      </c>
      <c r="C732" s="118" t="s">
        <v>2282</v>
      </c>
      <c r="D732" t="s">
        <v>2090</v>
      </c>
      <c r="E732" s="150">
        <v>86</v>
      </c>
      <c r="F732" s="142">
        <v>8300</v>
      </c>
      <c r="G732" s="143">
        <v>6975</v>
      </c>
      <c r="H732" s="144">
        <v>1325</v>
      </c>
      <c r="I732" s="140">
        <v>1</v>
      </c>
      <c r="J732" s="114" t="str">
        <f t="shared" si="11"/>
        <v>INSERT INTO DOCUMENTOS (NRO_DOCUMENTO,FECHA_EMISION,TOTAL_BRUTO,TOTAL_NETO,TOTAL_IVA, ID_TIPO, RUT_EMPLEADO, ID_CLIENTE) VALUES(728,TO_DATE('29-04-2025','DD-MM-YYYY'),8300,6975,1325,1,'14526149-K',86);</v>
      </c>
    </row>
    <row r="733" spans="1:10">
      <c r="A733" s="149"/>
      <c r="B733" s="149">
        <v>729</v>
      </c>
      <c r="C733" s="118" t="s">
        <v>2282</v>
      </c>
      <c r="D733" t="s">
        <v>2090</v>
      </c>
      <c r="E733" s="150">
        <v>323</v>
      </c>
      <c r="F733" s="142">
        <v>10500</v>
      </c>
      <c r="G733" s="143">
        <v>8824</v>
      </c>
      <c r="H733" s="144">
        <v>1676</v>
      </c>
      <c r="I733" s="140">
        <v>1</v>
      </c>
      <c r="J733" s="114" t="str">
        <f t="shared" si="11"/>
        <v>INSERT INTO DOCUMENTOS (NRO_DOCUMENTO,FECHA_EMISION,TOTAL_BRUTO,TOTAL_NETO,TOTAL_IVA, ID_TIPO, RUT_EMPLEADO, ID_CLIENTE) VALUES(729,TO_DATE('29-04-2025','DD-MM-YYYY'),10500,8824,1676,1,'14526149-K',323);</v>
      </c>
    </row>
    <row r="734" spans="1:10">
      <c r="A734" s="149"/>
      <c r="B734" s="149">
        <v>730</v>
      </c>
      <c r="C734" s="118" t="s">
        <v>2282</v>
      </c>
      <c r="D734" t="s">
        <v>2090</v>
      </c>
      <c r="E734" s="150">
        <v>474</v>
      </c>
      <c r="F734" s="142">
        <v>19000</v>
      </c>
      <c r="G734" s="143">
        <v>15966</v>
      </c>
      <c r="H734" s="144">
        <v>3034</v>
      </c>
      <c r="I734" s="140">
        <v>1</v>
      </c>
      <c r="J734" s="114" t="str">
        <f t="shared" si="11"/>
        <v>INSERT INTO DOCUMENTOS (NRO_DOCUMENTO,FECHA_EMISION,TOTAL_BRUTO,TOTAL_NETO,TOTAL_IVA, ID_TIPO, RUT_EMPLEADO, ID_CLIENTE) VALUES(730,TO_DATE('29-04-2025','DD-MM-YYYY'),19000,15966,3034,1,'14526149-K',474);</v>
      </c>
    </row>
    <row r="735" spans="1:10">
      <c r="A735" s="149"/>
      <c r="B735" s="149">
        <v>731</v>
      </c>
      <c r="C735" s="151" t="s">
        <v>2283</v>
      </c>
      <c r="D735" t="s">
        <v>2090</v>
      </c>
      <c r="E735" s="150">
        <v>65</v>
      </c>
      <c r="F735" s="142">
        <v>94500</v>
      </c>
      <c r="G735" s="143">
        <v>79412</v>
      </c>
      <c r="H735" s="144">
        <v>15088</v>
      </c>
      <c r="I735" s="140">
        <v>1</v>
      </c>
      <c r="J735" s="114" t="str">
        <f t="shared" si="11"/>
        <v>INSERT INTO DOCUMENTOS (NRO_DOCUMENTO,FECHA_EMISION,TOTAL_BRUTO,TOTAL_NETO,TOTAL_IVA, ID_TIPO, RUT_EMPLEADO, ID_CLIENTE) VALUES(731,TO_DATE('30-04-2025','DD-MM-YYYY'),94500,79412,15088,1,'14526149-K',65);</v>
      </c>
    </row>
    <row r="736" spans="1:10">
      <c r="A736" s="149"/>
      <c r="B736" s="149">
        <v>732</v>
      </c>
      <c r="C736" s="118" t="s">
        <v>2283</v>
      </c>
      <c r="D736" t="s">
        <v>2090</v>
      </c>
      <c r="E736" s="150">
        <v>72</v>
      </c>
      <c r="F736" s="142">
        <v>5500</v>
      </c>
      <c r="G736" s="143">
        <v>4622</v>
      </c>
      <c r="H736" s="144">
        <v>878</v>
      </c>
      <c r="I736" s="140">
        <v>1</v>
      </c>
      <c r="J736" s="114" t="str">
        <f t="shared" si="11"/>
        <v>INSERT INTO DOCUMENTOS (NRO_DOCUMENTO,FECHA_EMISION,TOTAL_BRUTO,TOTAL_NETO,TOTAL_IVA, ID_TIPO, RUT_EMPLEADO, ID_CLIENTE) VALUES(732,TO_DATE('30-04-2025','DD-MM-YYYY'),5500,4622,878,1,'14526149-K',72);</v>
      </c>
    </row>
    <row r="737" spans="1:10">
      <c r="A737" s="149"/>
      <c r="B737" s="149">
        <v>733</v>
      </c>
      <c r="C737" s="118" t="s">
        <v>2283</v>
      </c>
      <c r="D737" t="s">
        <v>2090</v>
      </c>
      <c r="E737" s="150">
        <v>179</v>
      </c>
      <c r="F737" s="142">
        <v>29490</v>
      </c>
      <c r="G737" s="143">
        <v>24782</v>
      </c>
      <c r="H737" s="144">
        <v>4708</v>
      </c>
      <c r="I737" s="140">
        <v>1</v>
      </c>
      <c r="J737" s="114" t="str">
        <f t="shared" si="11"/>
        <v>INSERT INTO DOCUMENTOS (NRO_DOCUMENTO,FECHA_EMISION,TOTAL_BRUTO,TOTAL_NETO,TOTAL_IVA, ID_TIPO, RUT_EMPLEADO, ID_CLIENTE) VALUES(733,TO_DATE('30-04-2025','DD-MM-YYYY'),29490,24782,4708,1,'14526149-K',179);</v>
      </c>
    </row>
    <row r="738" spans="1:10">
      <c r="A738" s="149"/>
      <c r="B738" s="149">
        <v>734</v>
      </c>
      <c r="C738" s="118" t="s">
        <v>2283</v>
      </c>
      <c r="D738" s="150" t="s">
        <v>2094</v>
      </c>
      <c r="E738" s="150">
        <v>278</v>
      </c>
      <c r="F738" s="142">
        <v>15600</v>
      </c>
      <c r="G738" s="143">
        <v>13110</v>
      </c>
      <c r="H738" s="144">
        <v>2490</v>
      </c>
      <c r="I738" s="140">
        <v>1</v>
      </c>
      <c r="J738" s="114" t="str">
        <f t="shared" si="11"/>
        <v>INSERT INTO DOCUMENTOS (NRO_DOCUMENTO,FECHA_EMISION,TOTAL_BRUTO,TOTAL_NETO,TOTAL_IVA, ID_TIPO, RUT_EMPLEADO, ID_CLIENTE) VALUES(734,TO_DATE('30-04-2025','DD-MM-YYYY'),15600,13110,2490,1,'17866360-7',278);</v>
      </c>
    </row>
    <row r="739" spans="1:10">
      <c r="A739" s="149"/>
      <c r="B739" s="149">
        <v>735</v>
      </c>
      <c r="C739" s="118" t="s">
        <v>2283</v>
      </c>
      <c r="D739" s="150" t="s">
        <v>2090</v>
      </c>
      <c r="E739" s="150">
        <v>374</v>
      </c>
      <c r="F739" s="142">
        <v>10500</v>
      </c>
      <c r="G739" s="143">
        <v>8824</v>
      </c>
      <c r="H739" s="144">
        <v>1676</v>
      </c>
      <c r="I739" s="140">
        <v>1</v>
      </c>
      <c r="J739" s="114" t="str">
        <f t="shared" si="11"/>
        <v>INSERT INTO DOCUMENTOS (NRO_DOCUMENTO,FECHA_EMISION,TOTAL_BRUTO,TOTAL_NETO,TOTAL_IVA, ID_TIPO, RUT_EMPLEADO, ID_CLIENTE) VALUES(735,TO_DATE('30-04-2025','DD-MM-YYYY'),10500,8824,1676,1,'14526149-K',374);</v>
      </c>
    </row>
    <row r="740" spans="1:10">
      <c r="A740" s="149"/>
      <c r="B740" s="149">
        <v>736</v>
      </c>
      <c r="C740" s="118" t="s">
        <v>2283</v>
      </c>
      <c r="D740" t="s">
        <v>2090</v>
      </c>
      <c r="E740" s="150">
        <v>416</v>
      </c>
      <c r="F740" s="142">
        <v>13800</v>
      </c>
      <c r="G740" s="143">
        <v>11597</v>
      </c>
      <c r="H740" s="144">
        <v>2203</v>
      </c>
      <c r="I740" s="140">
        <v>1</v>
      </c>
      <c r="J740" s="114" t="str">
        <f t="shared" si="11"/>
        <v>INSERT INTO DOCUMENTOS (NRO_DOCUMENTO,FECHA_EMISION,TOTAL_BRUTO,TOTAL_NETO,TOTAL_IVA, ID_TIPO, RUT_EMPLEADO, ID_CLIENTE) VALUES(736,TO_DATE('30-04-2025','DD-MM-YYYY'),13800,11597,2203,1,'14526149-K',416);</v>
      </c>
    </row>
    <row r="741" spans="1:10">
      <c r="A741" s="149"/>
      <c r="B741" s="149">
        <v>737</v>
      </c>
      <c r="C741" s="118" t="s">
        <v>2283</v>
      </c>
      <c r="D741" t="s">
        <v>2090</v>
      </c>
      <c r="E741" s="150">
        <v>449</v>
      </c>
      <c r="F741" s="142">
        <v>50100</v>
      </c>
      <c r="G741" s="143">
        <v>42101</v>
      </c>
      <c r="H741" s="144">
        <v>7999</v>
      </c>
      <c r="I741" s="140">
        <v>1</v>
      </c>
      <c r="J741" s="114" t="str">
        <f t="shared" si="11"/>
        <v>INSERT INTO DOCUMENTOS (NRO_DOCUMENTO,FECHA_EMISION,TOTAL_BRUTO,TOTAL_NETO,TOTAL_IVA, ID_TIPO, RUT_EMPLEADO, ID_CLIENTE) VALUES(737,TO_DATE('30-04-2025','DD-MM-YYYY'),50100,42101,7999,1,'14526149-K',449);</v>
      </c>
    </row>
    <row r="742" spans="1:10">
      <c r="A742" s="149"/>
      <c r="B742" s="149">
        <v>738</v>
      </c>
      <c r="C742" s="118" t="s">
        <v>2283</v>
      </c>
      <c r="D742" t="s">
        <v>2090</v>
      </c>
      <c r="E742" s="150">
        <v>477</v>
      </c>
      <c r="F742" s="142">
        <v>19500</v>
      </c>
      <c r="G742" s="143">
        <v>16386</v>
      </c>
      <c r="H742" s="144">
        <v>3114</v>
      </c>
      <c r="I742" s="140">
        <v>1</v>
      </c>
      <c r="J742" s="114" t="str">
        <f t="shared" si="11"/>
        <v>INSERT INTO DOCUMENTOS (NRO_DOCUMENTO,FECHA_EMISION,TOTAL_BRUTO,TOTAL_NETO,TOTAL_IVA, ID_TIPO, RUT_EMPLEADO, ID_CLIENTE) VALUES(738,TO_DATE('30-04-2025','DD-MM-YYYY'),19500,16386,3114,1,'14526149-K',477);</v>
      </c>
    </row>
    <row r="743" spans="1:10">
      <c r="A743" s="149"/>
      <c r="B743" s="149">
        <v>739</v>
      </c>
      <c r="C743" s="151" t="s">
        <v>2284</v>
      </c>
      <c r="D743" t="s">
        <v>2090</v>
      </c>
      <c r="E743" s="150">
        <v>98</v>
      </c>
      <c r="F743" s="142">
        <v>5500</v>
      </c>
      <c r="G743" s="143">
        <v>4622</v>
      </c>
      <c r="H743" s="144">
        <v>878</v>
      </c>
      <c r="I743" s="140">
        <v>1</v>
      </c>
      <c r="J743" s="114" t="str">
        <f t="shared" si="11"/>
        <v>INSERT INTO DOCUMENTOS (NRO_DOCUMENTO,FECHA_EMISION,TOTAL_BRUTO,TOTAL_NETO,TOTAL_IVA, ID_TIPO, RUT_EMPLEADO, ID_CLIENTE) VALUES(739,TO_DATE('01-05-2025','DD-MM-YYYY'),5500,4622,878,1,'14526149-K',98);</v>
      </c>
    </row>
    <row r="744" spans="1:10">
      <c r="A744" s="149"/>
      <c r="B744" s="149">
        <v>740</v>
      </c>
      <c r="C744" s="118" t="s">
        <v>2284</v>
      </c>
      <c r="D744" t="s">
        <v>2090</v>
      </c>
      <c r="E744" s="150">
        <v>102</v>
      </c>
      <c r="F744" s="142">
        <v>8200</v>
      </c>
      <c r="G744" s="143">
        <v>6891</v>
      </c>
      <c r="H744" s="144">
        <v>1309</v>
      </c>
      <c r="I744" s="140">
        <v>1</v>
      </c>
      <c r="J744" s="114" t="str">
        <f t="shared" si="11"/>
        <v>INSERT INTO DOCUMENTOS (NRO_DOCUMENTO,FECHA_EMISION,TOTAL_BRUTO,TOTAL_NETO,TOTAL_IVA, ID_TIPO, RUT_EMPLEADO, ID_CLIENTE) VALUES(740,TO_DATE('01-05-2025','DD-MM-YYYY'),8200,6891,1309,1,'14526149-K',102);</v>
      </c>
    </row>
    <row r="745" spans="1:10">
      <c r="A745" s="149"/>
      <c r="B745" s="149">
        <v>741</v>
      </c>
      <c r="C745" s="118" t="s">
        <v>2284</v>
      </c>
      <c r="D745" t="s">
        <v>2090</v>
      </c>
      <c r="E745" s="150">
        <v>334</v>
      </c>
      <c r="F745" s="142">
        <v>2000</v>
      </c>
      <c r="G745" s="143">
        <v>1681</v>
      </c>
      <c r="H745" s="144">
        <v>319</v>
      </c>
      <c r="I745" s="140">
        <v>1</v>
      </c>
      <c r="J745" s="114" t="str">
        <f t="shared" si="11"/>
        <v>INSERT INTO DOCUMENTOS (NRO_DOCUMENTO,FECHA_EMISION,TOTAL_BRUTO,TOTAL_NETO,TOTAL_IVA, ID_TIPO, RUT_EMPLEADO, ID_CLIENTE) VALUES(741,TO_DATE('01-05-2025','DD-MM-YYYY'),2000,1681,319,1,'14526149-K',334);</v>
      </c>
    </row>
    <row r="746" spans="1:10">
      <c r="A746" s="149"/>
      <c r="B746" s="149">
        <v>742</v>
      </c>
      <c r="C746" s="118" t="s">
        <v>2284</v>
      </c>
      <c r="D746" t="s">
        <v>2090</v>
      </c>
      <c r="E746" s="150">
        <v>448</v>
      </c>
      <c r="F746" s="142">
        <v>11000</v>
      </c>
      <c r="G746" s="143">
        <v>9244</v>
      </c>
      <c r="H746" s="144">
        <v>1756</v>
      </c>
      <c r="I746" s="140">
        <v>1</v>
      </c>
      <c r="J746" s="114" t="str">
        <f t="shared" si="11"/>
        <v>INSERT INTO DOCUMENTOS (NRO_DOCUMENTO,FECHA_EMISION,TOTAL_BRUTO,TOTAL_NETO,TOTAL_IVA, ID_TIPO, RUT_EMPLEADO, ID_CLIENTE) VALUES(742,TO_DATE('01-05-2025','DD-MM-YYYY'),11000,9244,1756,1,'14526149-K',448);</v>
      </c>
    </row>
    <row r="747" spans="1:10">
      <c r="A747" s="149"/>
      <c r="B747" s="149">
        <v>743</v>
      </c>
      <c r="C747" s="151" t="s">
        <v>2285</v>
      </c>
      <c r="D747" t="s">
        <v>2090</v>
      </c>
      <c r="E747" s="150">
        <v>1</v>
      </c>
      <c r="F747" s="142">
        <v>18800</v>
      </c>
      <c r="G747" s="143">
        <v>15799</v>
      </c>
      <c r="H747" s="144">
        <v>3001</v>
      </c>
      <c r="I747" s="140">
        <v>1</v>
      </c>
      <c r="J747" s="114" t="str">
        <f t="shared" si="11"/>
        <v>INSERT INTO DOCUMENTOS (NRO_DOCUMENTO,FECHA_EMISION,TOTAL_BRUTO,TOTAL_NETO,TOTAL_IVA, ID_TIPO, RUT_EMPLEADO, ID_CLIENTE) VALUES(743,TO_DATE('02-05-2025','DD-MM-YYYY'),18800,15799,3001,1,'14526149-K',1);</v>
      </c>
    </row>
    <row r="748" spans="1:10">
      <c r="A748" s="149"/>
      <c r="B748" s="149">
        <v>744</v>
      </c>
      <c r="C748" s="118" t="s">
        <v>2285</v>
      </c>
      <c r="D748" t="s">
        <v>2090</v>
      </c>
      <c r="E748" s="150">
        <v>48</v>
      </c>
      <c r="F748" s="142">
        <v>10500</v>
      </c>
      <c r="G748" s="143">
        <v>8824</v>
      </c>
      <c r="H748" s="144">
        <v>1676</v>
      </c>
      <c r="I748" s="140">
        <v>1</v>
      </c>
      <c r="J748" s="114" t="str">
        <f t="shared" si="11"/>
        <v>INSERT INTO DOCUMENTOS (NRO_DOCUMENTO,FECHA_EMISION,TOTAL_BRUTO,TOTAL_NETO,TOTAL_IVA, ID_TIPO, RUT_EMPLEADO, ID_CLIENTE) VALUES(744,TO_DATE('02-05-2025','DD-MM-YYYY'),10500,8824,1676,1,'14526149-K',48);</v>
      </c>
    </row>
    <row r="749" spans="1:10">
      <c r="A749" s="149"/>
      <c r="B749" s="149">
        <v>745</v>
      </c>
      <c r="C749" s="118" t="s">
        <v>2285</v>
      </c>
      <c r="D749" t="s">
        <v>2090</v>
      </c>
      <c r="E749" s="150">
        <v>78</v>
      </c>
      <c r="F749" s="142">
        <v>51200</v>
      </c>
      <c r="G749" s="143">
        <v>43026</v>
      </c>
      <c r="H749" s="144">
        <v>8174</v>
      </c>
      <c r="I749" s="140">
        <v>1</v>
      </c>
      <c r="J749" s="114" t="str">
        <f t="shared" si="11"/>
        <v>INSERT INTO DOCUMENTOS (NRO_DOCUMENTO,FECHA_EMISION,TOTAL_BRUTO,TOTAL_NETO,TOTAL_IVA, ID_TIPO, RUT_EMPLEADO, ID_CLIENTE) VALUES(745,TO_DATE('02-05-2025','DD-MM-YYYY'),51200,43026,8174,1,'14526149-K',78);</v>
      </c>
    </row>
    <row r="750" spans="1:10">
      <c r="A750" s="149"/>
      <c r="B750" s="149">
        <v>746</v>
      </c>
      <c r="C750" s="118" t="s">
        <v>2285</v>
      </c>
      <c r="D750" t="s">
        <v>2090</v>
      </c>
      <c r="E750" s="150">
        <v>110</v>
      </c>
      <c r="F750" s="142">
        <v>3500</v>
      </c>
      <c r="G750" s="143">
        <v>2941</v>
      </c>
      <c r="H750" s="144">
        <v>559</v>
      </c>
      <c r="I750" s="140">
        <v>1</v>
      </c>
      <c r="J750" s="114" t="str">
        <f t="shared" si="11"/>
        <v>INSERT INTO DOCUMENTOS (NRO_DOCUMENTO,FECHA_EMISION,TOTAL_BRUTO,TOTAL_NETO,TOTAL_IVA, ID_TIPO, RUT_EMPLEADO, ID_CLIENTE) VALUES(746,TO_DATE('02-05-2025','DD-MM-YYYY'),3500,2941,559,1,'14526149-K',110);</v>
      </c>
    </row>
    <row r="751" spans="1:10">
      <c r="A751" s="149"/>
      <c r="B751" s="149">
        <v>747</v>
      </c>
      <c r="C751" s="118" t="s">
        <v>2285</v>
      </c>
      <c r="D751" t="s">
        <v>2090</v>
      </c>
      <c r="E751" s="150">
        <v>119</v>
      </c>
      <c r="F751" s="142">
        <v>8300</v>
      </c>
      <c r="G751" s="143">
        <v>6975</v>
      </c>
      <c r="H751" s="144">
        <v>1325</v>
      </c>
      <c r="I751" s="140">
        <v>1</v>
      </c>
      <c r="J751" s="114" t="str">
        <f t="shared" si="11"/>
        <v>INSERT INTO DOCUMENTOS (NRO_DOCUMENTO,FECHA_EMISION,TOTAL_BRUTO,TOTAL_NETO,TOTAL_IVA, ID_TIPO, RUT_EMPLEADO, ID_CLIENTE) VALUES(747,TO_DATE('02-05-2025','DD-MM-YYYY'),8300,6975,1325,1,'14526149-K',119);</v>
      </c>
    </row>
    <row r="752" spans="1:10">
      <c r="A752" s="149"/>
      <c r="B752" s="149">
        <v>748</v>
      </c>
      <c r="C752" s="118" t="s">
        <v>2285</v>
      </c>
      <c r="D752" t="s">
        <v>2090</v>
      </c>
      <c r="E752" s="150">
        <v>155</v>
      </c>
      <c r="F752" s="142">
        <v>8300</v>
      </c>
      <c r="G752" s="143">
        <v>6975</v>
      </c>
      <c r="H752" s="144">
        <v>1325</v>
      </c>
      <c r="I752" s="140">
        <v>1</v>
      </c>
      <c r="J752" s="114" t="str">
        <f t="shared" si="11"/>
        <v>INSERT INTO DOCUMENTOS (NRO_DOCUMENTO,FECHA_EMISION,TOTAL_BRUTO,TOTAL_NETO,TOTAL_IVA, ID_TIPO, RUT_EMPLEADO, ID_CLIENTE) VALUES(748,TO_DATE('02-05-2025','DD-MM-YYYY'),8300,6975,1325,1,'14526149-K',155);</v>
      </c>
    </row>
    <row r="753" spans="1:10">
      <c r="A753" s="149"/>
      <c r="B753" s="149">
        <v>749</v>
      </c>
      <c r="C753" s="118" t="s">
        <v>2285</v>
      </c>
      <c r="D753" t="s">
        <v>2090</v>
      </c>
      <c r="E753" s="150">
        <v>166</v>
      </c>
      <c r="F753" s="142">
        <v>2500</v>
      </c>
      <c r="G753" s="143">
        <v>2101</v>
      </c>
      <c r="H753" s="144">
        <v>399</v>
      </c>
      <c r="I753" s="140">
        <v>1</v>
      </c>
      <c r="J753" s="114" t="str">
        <f t="shared" si="11"/>
        <v>INSERT INTO DOCUMENTOS (NRO_DOCUMENTO,FECHA_EMISION,TOTAL_BRUTO,TOTAL_NETO,TOTAL_IVA, ID_TIPO, RUT_EMPLEADO, ID_CLIENTE) VALUES(749,TO_DATE('02-05-2025','DD-MM-YYYY'),2500,2101,399,1,'14526149-K',166);</v>
      </c>
    </row>
    <row r="754" spans="1:10">
      <c r="A754" s="149"/>
      <c r="B754" s="150">
        <v>750</v>
      </c>
      <c r="C754" s="118" t="s">
        <v>2285</v>
      </c>
      <c r="D754" t="s">
        <v>2090</v>
      </c>
      <c r="E754" s="150">
        <v>202</v>
      </c>
      <c r="F754" s="142">
        <v>14500</v>
      </c>
      <c r="G754" s="143">
        <v>12185</v>
      </c>
      <c r="H754" s="144">
        <v>2315</v>
      </c>
      <c r="I754" s="140">
        <v>1</v>
      </c>
      <c r="J754" s="114" t="str">
        <f t="shared" si="11"/>
        <v>INSERT INTO DOCUMENTOS (NRO_DOCUMENTO,FECHA_EMISION,TOTAL_BRUTO,TOTAL_NETO,TOTAL_IVA, ID_TIPO, RUT_EMPLEADO, ID_CLIENTE) VALUES(750,TO_DATE('02-05-2025','DD-MM-YYYY'),14500,12185,2315,1,'14526149-K',202);</v>
      </c>
    </row>
    <row r="755" spans="1:10">
      <c r="A755" s="149"/>
      <c r="B755" s="149">
        <v>751</v>
      </c>
      <c r="C755" s="118" t="s">
        <v>2285</v>
      </c>
      <c r="D755" t="s">
        <v>2090</v>
      </c>
      <c r="E755" s="150">
        <v>240</v>
      </c>
      <c r="F755" s="142">
        <v>14400</v>
      </c>
      <c r="G755" s="143">
        <v>12101</v>
      </c>
      <c r="H755" s="144">
        <v>2299</v>
      </c>
      <c r="I755" s="140">
        <v>1</v>
      </c>
      <c r="J755" s="114" t="str">
        <f t="shared" si="11"/>
        <v>INSERT INTO DOCUMENTOS (NRO_DOCUMENTO,FECHA_EMISION,TOTAL_BRUTO,TOTAL_NETO,TOTAL_IVA, ID_TIPO, RUT_EMPLEADO, ID_CLIENTE) VALUES(751,TO_DATE('02-05-2025','DD-MM-YYYY'),14400,12101,2299,1,'14526149-K',240);</v>
      </c>
    </row>
    <row r="756" spans="1:10">
      <c r="A756" s="149"/>
      <c r="B756" s="149">
        <v>752</v>
      </c>
      <c r="C756" s="118" t="s">
        <v>2285</v>
      </c>
      <c r="D756" t="s">
        <v>2090</v>
      </c>
      <c r="E756" s="150">
        <v>377</v>
      </c>
      <c r="F756" s="142">
        <v>35800</v>
      </c>
      <c r="G756" s="143">
        <v>30084</v>
      </c>
      <c r="H756" s="144">
        <v>5716</v>
      </c>
      <c r="I756" s="140">
        <v>1</v>
      </c>
      <c r="J756" s="114" t="str">
        <f t="shared" si="11"/>
        <v>INSERT INTO DOCUMENTOS (NRO_DOCUMENTO,FECHA_EMISION,TOTAL_BRUTO,TOTAL_NETO,TOTAL_IVA, ID_TIPO, RUT_EMPLEADO, ID_CLIENTE) VALUES(752,TO_DATE('02-05-2025','DD-MM-YYYY'),35800,30084,5716,1,'14526149-K',377);</v>
      </c>
    </row>
    <row r="757" spans="1:10">
      <c r="A757" s="149"/>
      <c r="B757" s="149">
        <v>753</v>
      </c>
      <c r="C757" s="118" t="s">
        <v>2285</v>
      </c>
      <c r="D757" t="s">
        <v>2090</v>
      </c>
      <c r="E757" s="150">
        <v>397</v>
      </c>
      <c r="F757" s="142">
        <v>43700</v>
      </c>
      <c r="G757" s="143">
        <v>36723</v>
      </c>
      <c r="H757" s="144">
        <v>6977</v>
      </c>
      <c r="I757" s="140">
        <v>1</v>
      </c>
      <c r="J757" s="114" t="str">
        <f t="shared" si="11"/>
        <v>INSERT INTO DOCUMENTOS (NRO_DOCUMENTO,FECHA_EMISION,TOTAL_BRUTO,TOTAL_NETO,TOTAL_IVA, ID_TIPO, RUT_EMPLEADO, ID_CLIENTE) VALUES(753,TO_DATE('02-05-2025','DD-MM-YYYY'),43700,36723,6977,1,'14526149-K',397);</v>
      </c>
    </row>
    <row r="758" spans="1:10">
      <c r="A758" s="149"/>
      <c r="B758" s="149">
        <v>754</v>
      </c>
      <c r="C758" s="118" t="s">
        <v>2285</v>
      </c>
      <c r="D758" t="s">
        <v>2090</v>
      </c>
      <c r="E758" s="150">
        <v>398</v>
      </c>
      <c r="F758" s="142">
        <v>13700</v>
      </c>
      <c r="G758" s="143">
        <v>11513</v>
      </c>
      <c r="H758" s="144">
        <v>2187</v>
      </c>
      <c r="I758" s="140">
        <v>1</v>
      </c>
      <c r="J758" s="114" t="str">
        <f t="shared" si="11"/>
        <v>INSERT INTO DOCUMENTOS (NRO_DOCUMENTO,FECHA_EMISION,TOTAL_BRUTO,TOTAL_NETO,TOTAL_IVA, ID_TIPO, RUT_EMPLEADO, ID_CLIENTE) VALUES(754,TO_DATE('02-05-2025','DD-MM-YYYY'),13700,11513,2187,1,'14526149-K',398);</v>
      </c>
    </row>
    <row r="759" spans="1:10">
      <c r="A759" s="149"/>
      <c r="B759" s="149">
        <v>755</v>
      </c>
      <c r="C759" s="118" t="s">
        <v>2285</v>
      </c>
      <c r="D759" t="s">
        <v>2090</v>
      </c>
      <c r="E759" s="150">
        <v>407</v>
      </c>
      <c r="F759" s="142">
        <v>27800</v>
      </c>
      <c r="G759" s="143">
        <v>23362</v>
      </c>
      <c r="H759" s="144">
        <v>4438</v>
      </c>
      <c r="I759" s="140">
        <v>1</v>
      </c>
      <c r="J759" s="114" t="str">
        <f t="shared" si="11"/>
        <v>INSERT INTO DOCUMENTOS (NRO_DOCUMENTO,FECHA_EMISION,TOTAL_BRUTO,TOTAL_NETO,TOTAL_IVA, ID_TIPO, RUT_EMPLEADO, ID_CLIENTE) VALUES(755,TO_DATE('02-05-2025','DD-MM-YYYY'),27800,23362,4438,1,'14526149-K',407);</v>
      </c>
    </row>
    <row r="760" spans="1:10">
      <c r="A760" s="149"/>
      <c r="B760" s="149">
        <v>756</v>
      </c>
      <c r="C760" s="118" t="s">
        <v>2285</v>
      </c>
      <c r="D760" t="s">
        <v>2090</v>
      </c>
      <c r="E760" s="150">
        <v>419</v>
      </c>
      <c r="F760" s="142">
        <v>5500</v>
      </c>
      <c r="G760" s="143">
        <v>4622</v>
      </c>
      <c r="H760" s="144">
        <v>878</v>
      </c>
      <c r="I760" s="140">
        <v>1</v>
      </c>
      <c r="J760" s="114" t="str">
        <f t="shared" si="11"/>
        <v>INSERT INTO DOCUMENTOS (NRO_DOCUMENTO,FECHA_EMISION,TOTAL_BRUTO,TOTAL_NETO,TOTAL_IVA, ID_TIPO, RUT_EMPLEADO, ID_CLIENTE) VALUES(756,TO_DATE('02-05-2025','DD-MM-YYYY'),5500,4622,878,1,'14526149-K',419);</v>
      </c>
    </row>
    <row r="761" spans="1:10">
      <c r="A761" s="149"/>
      <c r="B761" s="149">
        <v>757</v>
      </c>
      <c r="C761" s="118" t="s">
        <v>2285</v>
      </c>
      <c r="D761" t="s">
        <v>2090</v>
      </c>
      <c r="E761" s="150">
        <v>427</v>
      </c>
      <c r="F761" s="142">
        <v>26400</v>
      </c>
      <c r="G761" s="143">
        <v>22185</v>
      </c>
      <c r="H761" s="144">
        <v>4215</v>
      </c>
      <c r="I761" s="140">
        <v>1</v>
      </c>
      <c r="J761" s="114" t="str">
        <f t="shared" si="11"/>
        <v>INSERT INTO DOCUMENTOS (NRO_DOCUMENTO,FECHA_EMISION,TOTAL_BRUTO,TOTAL_NETO,TOTAL_IVA, ID_TIPO, RUT_EMPLEADO, ID_CLIENTE) VALUES(757,TO_DATE('02-05-2025','DD-MM-YYYY'),26400,22185,4215,1,'14526149-K',427);</v>
      </c>
    </row>
    <row r="762" spans="1:10">
      <c r="A762" s="149"/>
      <c r="B762" s="149">
        <v>758</v>
      </c>
      <c r="C762" s="118" t="s">
        <v>2285</v>
      </c>
      <c r="D762" t="s">
        <v>2090</v>
      </c>
      <c r="E762" s="150">
        <v>451</v>
      </c>
      <c r="F762" s="142">
        <v>20900</v>
      </c>
      <c r="G762" s="143">
        <v>17563</v>
      </c>
      <c r="H762" s="144">
        <v>3337</v>
      </c>
      <c r="I762" s="140">
        <v>1</v>
      </c>
      <c r="J762" s="114" t="str">
        <f t="shared" si="11"/>
        <v>INSERT INTO DOCUMENTOS (NRO_DOCUMENTO,FECHA_EMISION,TOTAL_BRUTO,TOTAL_NETO,TOTAL_IVA, ID_TIPO, RUT_EMPLEADO, ID_CLIENTE) VALUES(758,TO_DATE('02-05-2025','DD-MM-YYYY'),20900,17563,3337,1,'14526149-K',451);</v>
      </c>
    </row>
    <row r="763" spans="1:10">
      <c r="A763" s="149"/>
      <c r="B763" s="149">
        <v>759</v>
      </c>
      <c r="C763" s="118" t="s">
        <v>2285</v>
      </c>
      <c r="D763" t="s">
        <v>2090</v>
      </c>
      <c r="E763" s="150">
        <v>457</v>
      </c>
      <c r="F763" s="142">
        <v>33200</v>
      </c>
      <c r="G763" s="143">
        <v>27899</v>
      </c>
      <c r="H763" s="144">
        <v>5301</v>
      </c>
      <c r="I763" s="140">
        <v>1</v>
      </c>
      <c r="J763" s="114" t="str">
        <f t="shared" si="11"/>
        <v>INSERT INTO DOCUMENTOS (NRO_DOCUMENTO,FECHA_EMISION,TOTAL_BRUTO,TOTAL_NETO,TOTAL_IVA, ID_TIPO, RUT_EMPLEADO, ID_CLIENTE) VALUES(759,TO_DATE('02-05-2025','DD-MM-YYYY'),33200,27899,5301,1,'14526149-K',457);</v>
      </c>
    </row>
    <row r="764" spans="1:10">
      <c r="A764" s="149"/>
      <c r="B764" s="149">
        <v>760</v>
      </c>
      <c r="C764" s="151" t="s">
        <v>2286</v>
      </c>
      <c r="D764" t="s">
        <v>2090</v>
      </c>
      <c r="E764" s="150">
        <v>166</v>
      </c>
      <c r="F764" s="142">
        <v>18700</v>
      </c>
      <c r="G764" s="143">
        <v>15715</v>
      </c>
      <c r="H764" s="144">
        <v>2985</v>
      </c>
      <c r="I764" s="140">
        <v>1</v>
      </c>
      <c r="J764" s="114" t="str">
        <f t="shared" si="11"/>
        <v>INSERT INTO DOCUMENTOS (NRO_DOCUMENTO,FECHA_EMISION,TOTAL_BRUTO,TOTAL_NETO,TOTAL_IVA, ID_TIPO, RUT_EMPLEADO, ID_CLIENTE) VALUES(760,TO_DATE('03-05-2025','DD-MM-YYYY'),18700,15715,2985,1,'14526149-K',166);</v>
      </c>
    </row>
    <row r="765" spans="1:10">
      <c r="A765" s="149"/>
      <c r="B765" s="149">
        <v>761</v>
      </c>
      <c r="C765" s="118" t="s">
        <v>2286</v>
      </c>
      <c r="D765" t="s">
        <v>2090</v>
      </c>
      <c r="E765" s="150">
        <v>226</v>
      </c>
      <c r="F765" s="142">
        <v>7800</v>
      </c>
      <c r="G765" s="143">
        <v>6555</v>
      </c>
      <c r="H765" s="144">
        <v>1245</v>
      </c>
      <c r="I765" s="140">
        <v>1</v>
      </c>
      <c r="J765" s="114" t="str">
        <f t="shared" si="11"/>
        <v>INSERT INTO DOCUMENTOS (NRO_DOCUMENTO,FECHA_EMISION,TOTAL_BRUTO,TOTAL_NETO,TOTAL_IVA, ID_TIPO, RUT_EMPLEADO, ID_CLIENTE) VALUES(761,TO_DATE('03-05-2025','DD-MM-YYYY'),7800,6555,1245,1,'14526149-K',226);</v>
      </c>
    </row>
    <row r="766" spans="1:10">
      <c r="A766" s="149"/>
      <c r="B766" s="149">
        <v>762</v>
      </c>
      <c r="C766" s="118" t="s">
        <v>2286</v>
      </c>
      <c r="D766" t="s">
        <v>2090</v>
      </c>
      <c r="E766" s="150">
        <v>276</v>
      </c>
      <c r="F766" s="142">
        <v>10500</v>
      </c>
      <c r="G766" s="143">
        <v>8824</v>
      </c>
      <c r="H766" s="144">
        <v>1676</v>
      </c>
      <c r="I766" s="140">
        <v>1</v>
      </c>
      <c r="J766" s="114" t="str">
        <f t="shared" si="11"/>
        <v>INSERT INTO DOCUMENTOS (NRO_DOCUMENTO,FECHA_EMISION,TOTAL_BRUTO,TOTAL_NETO,TOTAL_IVA, ID_TIPO, RUT_EMPLEADO, ID_CLIENTE) VALUES(762,TO_DATE('03-05-2025','DD-MM-YYYY'),10500,8824,1676,1,'14526149-K',276);</v>
      </c>
    </row>
    <row r="767" spans="1:10">
      <c r="A767" s="149"/>
      <c r="B767" s="149">
        <v>763</v>
      </c>
      <c r="C767" s="118" t="s">
        <v>2286</v>
      </c>
      <c r="D767" t="s">
        <v>2090</v>
      </c>
      <c r="E767" s="150">
        <v>369</v>
      </c>
      <c r="F767" s="142">
        <v>210910</v>
      </c>
      <c r="G767" s="143">
        <v>177235</v>
      </c>
      <c r="H767" s="144">
        <v>33675</v>
      </c>
      <c r="I767" s="140">
        <v>1</v>
      </c>
      <c r="J767" s="114" t="str">
        <f t="shared" si="11"/>
        <v>INSERT INTO DOCUMENTOS (NRO_DOCUMENTO,FECHA_EMISION,TOTAL_BRUTO,TOTAL_NETO,TOTAL_IVA, ID_TIPO, RUT_EMPLEADO, ID_CLIENTE) VALUES(763,TO_DATE('03-05-2025','DD-MM-YYYY'),210910,177235,33675,1,'14526149-K',369);</v>
      </c>
    </row>
    <row r="768" spans="1:10">
      <c r="A768" s="149"/>
      <c r="B768" s="149">
        <v>764</v>
      </c>
      <c r="C768" s="118" t="s">
        <v>2286</v>
      </c>
      <c r="D768" t="s">
        <v>2090</v>
      </c>
      <c r="E768" s="150">
        <v>430</v>
      </c>
      <c r="F768" s="142">
        <v>5500</v>
      </c>
      <c r="G768" s="143">
        <v>4622</v>
      </c>
      <c r="H768" s="144">
        <v>878</v>
      </c>
      <c r="I768" s="140">
        <v>1</v>
      </c>
      <c r="J768" s="114" t="str">
        <f t="shared" si="11"/>
        <v>INSERT INTO DOCUMENTOS (NRO_DOCUMENTO,FECHA_EMISION,TOTAL_BRUTO,TOTAL_NETO,TOTAL_IVA, ID_TIPO, RUT_EMPLEADO, ID_CLIENTE) VALUES(764,TO_DATE('03-05-2025','DD-MM-YYYY'),5500,4622,878,1,'14526149-K',430);</v>
      </c>
    </row>
    <row r="769" spans="1:10">
      <c r="A769" s="149"/>
      <c r="B769" s="149">
        <v>765</v>
      </c>
      <c r="C769" s="118" t="s">
        <v>2286</v>
      </c>
      <c r="D769" t="s">
        <v>2090</v>
      </c>
      <c r="E769" s="150">
        <v>451</v>
      </c>
      <c r="F769" s="142">
        <v>5500</v>
      </c>
      <c r="G769" s="143">
        <v>4622</v>
      </c>
      <c r="H769" s="144">
        <v>878</v>
      </c>
      <c r="I769" s="140">
        <v>1</v>
      </c>
      <c r="J769" s="114" t="str">
        <f t="shared" si="11"/>
        <v>INSERT INTO DOCUMENTOS (NRO_DOCUMENTO,FECHA_EMISION,TOTAL_BRUTO,TOTAL_NETO,TOTAL_IVA, ID_TIPO, RUT_EMPLEADO, ID_CLIENTE) VALUES(765,TO_DATE('03-05-2025','DD-MM-YYYY'),5500,4622,878,1,'14526149-K',451);</v>
      </c>
    </row>
    <row r="770" spans="1:10">
      <c r="A770" s="149"/>
      <c r="B770" s="149">
        <v>766</v>
      </c>
      <c r="C770" s="151" t="s">
        <v>2287</v>
      </c>
      <c r="D770" t="s">
        <v>2090</v>
      </c>
      <c r="E770" s="150">
        <v>230</v>
      </c>
      <c r="F770" s="142">
        <v>34800</v>
      </c>
      <c r="G770" s="143">
        <v>29244</v>
      </c>
      <c r="H770" s="144">
        <v>5556</v>
      </c>
      <c r="I770" s="140">
        <v>1</v>
      </c>
      <c r="J770" s="114" t="str">
        <f t="shared" si="11"/>
        <v>INSERT INTO DOCUMENTOS (NRO_DOCUMENTO,FECHA_EMISION,TOTAL_BRUTO,TOTAL_NETO,TOTAL_IVA, ID_TIPO, RUT_EMPLEADO, ID_CLIENTE) VALUES(766,TO_DATE('04-05-2025','DD-MM-YYYY'),34800,29244,5556,1,'14526149-K',230);</v>
      </c>
    </row>
    <row r="771" spans="1:10">
      <c r="A771" s="149"/>
      <c r="B771" s="149">
        <v>767</v>
      </c>
      <c r="C771" s="118" t="s">
        <v>2287</v>
      </c>
      <c r="D771" t="s">
        <v>2090</v>
      </c>
      <c r="E771" s="150">
        <v>300</v>
      </c>
      <c r="F771" s="142">
        <v>5500</v>
      </c>
      <c r="G771" s="143">
        <v>4622</v>
      </c>
      <c r="H771" s="144">
        <v>878</v>
      </c>
      <c r="I771" s="140">
        <v>1</v>
      </c>
      <c r="J771" s="114" t="str">
        <f t="shared" si="11"/>
        <v>INSERT INTO DOCUMENTOS (NRO_DOCUMENTO,FECHA_EMISION,TOTAL_BRUTO,TOTAL_NETO,TOTAL_IVA, ID_TIPO, RUT_EMPLEADO, ID_CLIENTE) VALUES(767,TO_DATE('04-05-2025','DD-MM-YYYY'),5500,4622,878,1,'14526149-K',300);</v>
      </c>
    </row>
    <row r="772" spans="1:10">
      <c r="A772" s="149"/>
      <c r="B772" s="149">
        <v>768</v>
      </c>
      <c r="C772" s="118" t="s">
        <v>2287</v>
      </c>
      <c r="D772" t="s">
        <v>2090</v>
      </c>
      <c r="E772" s="150">
        <v>387</v>
      </c>
      <c r="F772" s="142">
        <v>16500</v>
      </c>
      <c r="G772" s="143">
        <v>13866</v>
      </c>
      <c r="H772" s="144">
        <v>2634</v>
      </c>
      <c r="I772" s="140">
        <v>1</v>
      </c>
      <c r="J772" s="114" t="str">
        <f t="shared" si="11"/>
        <v>INSERT INTO DOCUMENTOS (NRO_DOCUMENTO,FECHA_EMISION,TOTAL_BRUTO,TOTAL_NETO,TOTAL_IVA, ID_TIPO, RUT_EMPLEADO, ID_CLIENTE) VALUES(768,TO_DATE('04-05-2025','DD-MM-YYYY'),16500,13866,2634,1,'14526149-K',387);</v>
      </c>
    </row>
    <row r="773" spans="1:10">
      <c r="A773" s="149"/>
      <c r="B773" s="149">
        <v>769</v>
      </c>
      <c r="C773" s="118" t="s">
        <v>2287</v>
      </c>
      <c r="D773" t="s">
        <v>2090</v>
      </c>
      <c r="E773" s="150">
        <v>389</v>
      </c>
      <c r="F773" s="142">
        <v>35300</v>
      </c>
      <c r="G773" s="143">
        <v>29665</v>
      </c>
      <c r="H773" s="144">
        <v>5635</v>
      </c>
      <c r="I773" s="140">
        <v>1</v>
      </c>
      <c r="J773" s="114" t="str">
        <f t="shared" si="11"/>
        <v>INSERT INTO DOCUMENTOS (NRO_DOCUMENTO,FECHA_EMISION,TOTAL_BRUTO,TOTAL_NETO,TOTAL_IVA, ID_TIPO, RUT_EMPLEADO, ID_CLIENTE) VALUES(769,TO_DATE('04-05-2025','DD-MM-YYYY'),35300,29665,5635,1,'14526149-K',389);</v>
      </c>
    </row>
    <row r="774" spans="1:10">
      <c r="A774" s="149"/>
      <c r="B774" s="149">
        <v>770</v>
      </c>
      <c r="C774" s="118" t="s">
        <v>2287</v>
      </c>
      <c r="D774" t="s">
        <v>2090</v>
      </c>
      <c r="E774" s="150">
        <v>402</v>
      </c>
      <c r="F774" s="142">
        <v>18800</v>
      </c>
      <c r="G774" s="143">
        <v>15799</v>
      </c>
      <c r="H774" s="144">
        <v>3001</v>
      </c>
      <c r="I774" s="140">
        <v>1</v>
      </c>
      <c r="J774" s="114" t="str">
        <f t="shared" ref="J774:J837" si="12">CONCATENATE("INSERT INTO DOCUMENTOS (NRO_DOCUMENTO,FECHA_EMISION,TOTAL_BRUTO,TOTAL_NETO,TOTAL_IVA, ID_TIPO, RUT_EMPLEADO, ID_CLIENTE) VALUES(",B774,",","TO_DATE('",C774,"'",",'DD-MM-YYYY'),",F774,",",G774,",",H774,",",I774,",","'",D774,"',",E774,");")</f>
        <v>INSERT INTO DOCUMENTOS (NRO_DOCUMENTO,FECHA_EMISION,TOTAL_BRUTO,TOTAL_NETO,TOTAL_IVA, ID_TIPO, RUT_EMPLEADO, ID_CLIENTE) VALUES(770,TO_DATE('04-05-2025','DD-MM-YYYY'),18800,15799,3001,1,'14526149-K',402);</v>
      </c>
    </row>
    <row r="775" spans="1:10">
      <c r="A775" s="149"/>
      <c r="B775" s="149">
        <v>771</v>
      </c>
      <c r="C775" s="118" t="s">
        <v>2287</v>
      </c>
      <c r="D775" t="s">
        <v>2090</v>
      </c>
      <c r="E775" s="150">
        <v>408</v>
      </c>
      <c r="F775" s="142">
        <v>7000</v>
      </c>
      <c r="G775" s="143">
        <v>5882</v>
      </c>
      <c r="H775" s="144">
        <v>1118</v>
      </c>
      <c r="I775" s="140">
        <v>1</v>
      </c>
      <c r="J775" s="114" t="str">
        <f t="shared" si="12"/>
        <v>INSERT INTO DOCUMENTOS (NRO_DOCUMENTO,FECHA_EMISION,TOTAL_BRUTO,TOTAL_NETO,TOTAL_IVA, ID_TIPO, RUT_EMPLEADO, ID_CLIENTE) VALUES(771,TO_DATE('04-05-2025','DD-MM-YYYY'),7000,5882,1118,1,'14526149-K',408);</v>
      </c>
    </row>
    <row r="776" spans="1:10">
      <c r="A776" s="149"/>
      <c r="B776" s="149">
        <v>772</v>
      </c>
      <c r="C776" s="118" t="s">
        <v>2287</v>
      </c>
      <c r="D776" t="s">
        <v>2090</v>
      </c>
      <c r="E776" s="150">
        <v>463</v>
      </c>
      <c r="F776" s="142">
        <v>41100</v>
      </c>
      <c r="G776" s="143">
        <v>34538</v>
      </c>
      <c r="H776" s="144">
        <v>6562</v>
      </c>
      <c r="I776" s="140">
        <v>1</v>
      </c>
      <c r="J776" s="114" t="str">
        <f t="shared" si="12"/>
        <v>INSERT INTO DOCUMENTOS (NRO_DOCUMENTO,FECHA_EMISION,TOTAL_BRUTO,TOTAL_NETO,TOTAL_IVA, ID_TIPO, RUT_EMPLEADO, ID_CLIENTE) VALUES(772,TO_DATE('04-05-2025','DD-MM-YYYY'),41100,34538,6562,1,'14526149-K',463);</v>
      </c>
    </row>
    <row r="777" spans="1:10">
      <c r="A777" s="149"/>
      <c r="B777" s="149">
        <v>773</v>
      </c>
      <c r="C777" s="151" t="s">
        <v>2288</v>
      </c>
      <c r="D777" t="s">
        <v>2090</v>
      </c>
      <c r="E777" s="150">
        <v>76</v>
      </c>
      <c r="F777" s="142">
        <v>6100</v>
      </c>
      <c r="G777" s="143">
        <v>5126</v>
      </c>
      <c r="H777" s="144">
        <v>974</v>
      </c>
      <c r="I777" s="140">
        <v>1</v>
      </c>
      <c r="J777" s="114" t="str">
        <f t="shared" si="12"/>
        <v>INSERT INTO DOCUMENTOS (NRO_DOCUMENTO,FECHA_EMISION,TOTAL_BRUTO,TOTAL_NETO,TOTAL_IVA, ID_TIPO, RUT_EMPLEADO, ID_CLIENTE) VALUES(773,TO_DATE('05-05-2025','DD-MM-YYYY'),6100,5126,974,1,'14526149-K',76);</v>
      </c>
    </row>
    <row r="778" spans="1:10">
      <c r="A778" s="149"/>
      <c r="B778" s="149">
        <v>774</v>
      </c>
      <c r="C778" s="118" t="s">
        <v>2288</v>
      </c>
      <c r="D778" t="s">
        <v>2090</v>
      </c>
      <c r="E778" s="150">
        <v>119</v>
      </c>
      <c r="F778" s="142">
        <v>9800</v>
      </c>
      <c r="G778" s="143">
        <v>8236</v>
      </c>
      <c r="H778" s="144">
        <v>1564</v>
      </c>
      <c r="I778" s="140">
        <v>1</v>
      </c>
      <c r="J778" s="114" t="str">
        <f t="shared" si="12"/>
        <v>INSERT INTO DOCUMENTOS (NRO_DOCUMENTO,FECHA_EMISION,TOTAL_BRUTO,TOTAL_NETO,TOTAL_IVA, ID_TIPO, RUT_EMPLEADO, ID_CLIENTE) VALUES(774,TO_DATE('05-05-2025','DD-MM-YYYY'),9800,8236,1564,1,'14526149-K',119);</v>
      </c>
    </row>
    <row r="779" spans="1:10">
      <c r="A779" s="149"/>
      <c r="B779" s="149">
        <v>775</v>
      </c>
      <c r="C779" s="118" t="s">
        <v>2288</v>
      </c>
      <c r="D779" t="s">
        <v>2090</v>
      </c>
      <c r="E779" s="150">
        <v>256</v>
      </c>
      <c r="F779" s="142">
        <v>160000</v>
      </c>
      <c r="G779" s="143">
        <v>134454</v>
      </c>
      <c r="H779" s="144">
        <v>25546</v>
      </c>
      <c r="I779" s="140">
        <v>1</v>
      </c>
      <c r="J779" s="114" t="str">
        <f t="shared" si="12"/>
        <v>INSERT INTO DOCUMENTOS (NRO_DOCUMENTO,FECHA_EMISION,TOTAL_BRUTO,TOTAL_NETO,TOTAL_IVA, ID_TIPO, RUT_EMPLEADO, ID_CLIENTE) VALUES(775,TO_DATE('05-05-2025','DD-MM-YYYY'),160000,134454,25546,1,'14526149-K',256);</v>
      </c>
    </row>
    <row r="780" spans="1:10">
      <c r="A780" s="149"/>
      <c r="B780" s="149">
        <v>776</v>
      </c>
      <c r="C780" s="118" t="s">
        <v>2288</v>
      </c>
      <c r="D780" t="s">
        <v>2090</v>
      </c>
      <c r="E780" s="150">
        <v>312</v>
      </c>
      <c r="F780" s="142">
        <v>8000</v>
      </c>
      <c r="G780" s="143">
        <v>6723</v>
      </c>
      <c r="H780" s="144">
        <v>1277</v>
      </c>
      <c r="I780" s="140">
        <v>1</v>
      </c>
      <c r="J780" s="114" t="str">
        <f t="shared" si="12"/>
        <v>INSERT INTO DOCUMENTOS (NRO_DOCUMENTO,FECHA_EMISION,TOTAL_BRUTO,TOTAL_NETO,TOTAL_IVA, ID_TIPO, RUT_EMPLEADO, ID_CLIENTE) VALUES(776,TO_DATE('05-05-2025','DD-MM-YYYY'),8000,6723,1277,1,'14526149-K',312);</v>
      </c>
    </row>
    <row r="781" spans="1:10">
      <c r="A781" s="149"/>
      <c r="B781" s="149">
        <v>777</v>
      </c>
      <c r="C781" s="118" t="s">
        <v>2288</v>
      </c>
      <c r="D781" t="s">
        <v>2090</v>
      </c>
      <c r="E781" s="150">
        <v>411</v>
      </c>
      <c r="F781" s="142">
        <v>7000</v>
      </c>
      <c r="G781" s="143">
        <v>5882</v>
      </c>
      <c r="H781" s="144">
        <v>1118</v>
      </c>
      <c r="I781" s="140">
        <v>1</v>
      </c>
      <c r="J781" s="114" t="str">
        <f t="shared" si="12"/>
        <v>INSERT INTO DOCUMENTOS (NRO_DOCUMENTO,FECHA_EMISION,TOTAL_BRUTO,TOTAL_NETO,TOTAL_IVA, ID_TIPO, RUT_EMPLEADO, ID_CLIENTE) VALUES(777,TO_DATE('05-05-2025','DD-MM-YYYY'),7000,5882,1118,1,'14526149-K',411);</v>
      </c>
    </row>
    <row r="782" spans="1:10">
      <c r="A782" s="149"/>
      <c r="B782" s="149">
        <v>778</v>
      </c>
      <c r="C782" s="118" t="s">
        <v>2288</v>
      </c>
      <c r="D782" t="s">
        <v>2090</v>
      </c>
      <c r="E782" s="150">
        <v>446</v>
      </c>
      <c r="F782" s="142">
        <v>8000</v>
      </c>
      <c r="G782" s="143">
        <v>6723</v>
      </c>
      <c r="H782" s="144">
        <v>1277</v>
      </c>
      <c r="I782" s="140">
        <v>1</v>
      </c>
      <c r="J782" s="114" t="str">
        <f t="shared" si="12"/>
        <v>INSERT INTO DOCUMENTOS (NRO_DOCUMENTO,FECHA_EMISION,TOTAL_BRUTO,TOTAL_NETO,TOTAL_IVA, ID_TIPO, RUT_EMPLEADO, ID_CLIENTE) VALUES(778,TO_DATE('05-05-2025','DD-MM-YYYY'),8000,6723,1277,1,'14526149-K',446);</v>
      </c>
    </row>
    <row r="783" spans="1:10">
      <c r="A783" s="149"/>
      <c r="B783" s="149">
        <v>779</v>
      </c>
      <c r="C783" s="118" t="s">
        <v>2288</v>
      </c>
      <c r="D783" t="s">
        <v>2090</v>
      </c>
      <c r="E783" s="150">
        <v>470</v>
      </c>
      <c r="F783" s="142">
        <v>32000</v>
      </c>
      <c r="G783" s="143">
        <v>26891</v>
      </c>
      <c r="H783" s="144">
        <v>5109</v>
      </c>
      <c r="I783" s="140">
        <v>1</v>
      </c>
      <c r="J783" s="114" t="str">
        <f t="shared" si="12"/>
        <v>INSERT INTO DOCUMENTOS (NRO_DOCUMENTO,FECHA_EMISION,TOTAL_BRUTO,TOTAL_NETO,TOTAL_IVA, ID_TIPO, RUT_EMPLEADO, ID_CLIENTE) VALUES(779,TO_DATE('05-05-2025','DD-MM-YYYY'),32000,26891,5109,1,'14526149-K',470);</v>
      </c>
    </row>
    <row r="784" spans="1:10">
      <c r="A784" s="149"/>
      <c r="B784" s="149">
        <v>780</v>
      </c>
      <c r="C784" s="151" t="s">
        <v>2289</v>
      </c>
      <c r="D784" t="s">
        <v>2090</v>
      </c>
      <c r="E784" s="150">
        <v>48</v>
      </c>
      <c r="F784" s="142">
        <v>8000</v>
      </c>
      <c r="G784" s="143">
        <v>6723</v>
      </c>
      <c r="H784" s="144">
        <v>1277</v>
      </c>
      <c r="I784" s="140">
        <v>1</v>
      </c>
      <c r="J784" s="114" t="str">
        <f t="shared" si="12"/>
        <v>INSERT INTO DOCUMENTOS (NRO_DOCUMENTO,FECHA_EMISION,TOTAL_BRUTO,TOTAL_NETO,TOTAL_IVA, ID_TIPO, RUT_EMPLEADO, ID_CLIENTE) VALUES(780,TO_DATE('06-05-2025','DD-MM-YYYY'),8000,6723,1277,1,'14526149-K',48);</v>
      </c>
    </row>
    <row r="785" spans="1:10">
      <c r="A785" s="149"/>
      <c r="B785" s="149">
        <v>781</v>
      </c>
      <c r="C785" s="118" t="s">
        <v>2289</v>
      </c>
      <c r="D785" t="s">
        <v>2090</v>
      </c>
      <c r="E785" s="150">
        <v>62</v>
      </c>
      <c r="F785" s="142">
        <v>78900</v>
      </c>
      <c r="G785" s="143">
        <v>66303</v>
      </c>
      <c r="H785" s="144">
        <v>12597</v>
      </c>
      <c r="I785" s="140">
        <v>1</v>
      </c>
      <c r="J785" s="114" t="str">
        <f t="shared" si="12"/>
        <v>INSERT INTO DOCUMENTOS (NRO_DOCUMENTO,FECHA_EMISION,TOTAL_BRUTO,TOTAL_NETO,TOTAL_IVA, ID_TIPO, RUT_EMPLEADO, ID_CLIENTE) VALUES(781,TO_DATE('06-05-2025','DD-MM-YYYY'),78900,66303,12597,1,'14526149-K',62);</v>
      </c>
    </row>
    <row r="786" spans="1:10">
      <c r="A786" s="149"/>
      <c r="B786" s="149">
        <v>782</v>
      </c>
      <c r="C786" s="118" t="s">
        <v>2289</v>
      </c>
      <c r="D786" t="s">
        <v>2090</v>
      </c>
      <c r="E786" s="150">
        <v>86</v>
      </c>
      <c r="F786" s="142">
        <v>8000</v>
      </c>
      <c r="G786" s="143">
        <v>6723</v>
      </c>
      <c r="H786" s="144">
        <v>1277</v>
      </c>
      <c r="I786" s="140">
        <v>1</v>
      </c>
      <c r="J786" s="114" t="str">
        <f t="shared" si="12"/>
        <v>INSERT INTO DOCUMENTOS (NRO_DOCUMENTO,FECHA_EMISION,TOTAL_BRUTO,TOTAL_NETO,TOTAL_IVA, ID_TIPO, RUT_EMPLEADO, ID_CLIENTE) VALUES(782,TO_DATE('06-05-2025','DD-MM-YYYY'),8000,6723,1277,1,'14526149-K',86);</v>
      </c>
    </row>
    <row r="787" spans="1:10">
      <c r="A787" s="149"/>
      <c r="B787" s="149">
        <v>783</v>
      </c>
      <c r="C787" s="118" t="s">
        <v>2289</v>
      </c>
      <c r="D787" t="s">
        <v>2090</v>
      </c>
      <c r="E787" s="150">
        <v>108</v>
      </c>
      <c r="F787" s="142">
        <v>21000</v>
      </c>
      <c r="G787" s="143">
        <v>17648</v>
      </c>
      <c r="H787" s="144">
        <v>3352</v>
      </c>
      <c r="I787" s="140">
        <v>1</v>
      </c>
      <c r="J787" s="114" t="str">
        <f t="shared" si="12"/>
        <v>INSERT INTO DOCUMENTOS (NRO_DOCUMENTO,FECHA_EMISION,TOTAL_BRUTO,TOTAL_NETO,TOTAL_IVA, ID_TIPO, RUT_EMPLEADO, ID_CLIENTE) VALUES(783,TO_DATE('06-05-2025','DD-MM-YYYY'),21000,17648,3352,1,'14526149-K',108);</v>
      </c>
    </row>
    <row r="788" spans="1:10">
      <c r="A788" s="149"/>
      <c r="B788" s="149">
        <v>784</v>
      </c>
      <c r="C788" s="118" t="s">
        <v>2289</v>
      </c>
      <c r="D788" t="s">
        <v>2090</v>
      </c>
      <c r="E788" s="150">
        <v>166</v>
      </c>
      <c r="F788" s="142">
        <v>18000</v>
      </c>
      <c r="G788" s="143">
        <v>15126</v>
      </c>
      <c r="H788" s="144">
        <v>2874</v>
      </c>
      <c r="I788" s="140">
        <v>1</v>
      </c>
      <c r="J788" s="114" t="str">
        <f t="shared" si="12"/>
        <v>INSERT INTO DOCUMENTOS (NRO_DOCUMENTO,FECHA_EMISION,TOTAL_BRUTO,TOTAL_NETO,TOTAL_IVA, ID_TIPO, RUT_EMPLEADO, ID_CLIENTE) VALUES(784,TO_DATE('06-05-2025','DD-MM-YYYY'),18000,15126,2874,1,'14526149-K',166);</v>
      </c>
    </row>
    <row r="789" spans="1:10">
      <c r="A789" s="149"/>
      <c r="B789" s="149">
        <v>785</v>
      </c>
      <c r="C789" s="118" t="s">
        <v>2289</v>
      </c>
      <c r="D789" t="s">
        <v>2090</v>
      </c>
      <c r="E789" s="150">
        <v>219</v>
      </c>
      <c r="F789" s="142">
        <v>13500</v>
      </c>
      <c r="G789" s="143">
        <v>11345</v>
      </c>
      <c r="H789" s="144">
        <v>2155</v>
      </c>
      <c r="I789" s="140">
        <v>1</v>
      </c>
      <c r="J789" s="114" t="str">
        <f t="shared" si="12"/>
        <v>INSERT INTO DOCUMENTOS (NRO_DOCUMENTO,FECHA_EMISION,TOTAL_BRUTO,TOTAL_NETO,TOTAL_IVA, ID_TIPO, RUT_EMPLEADO, ID_CLIENTE) VALUES(785,TO_DATE('06-05-2025','DD-MM-YYYY'),13500,11345,2155,1,'14526149-K',219);</v>
      </c>
    </row>
    <row r="790" spans="1:10">
      <c r="A790" s="149"/>
      <c r="B790" s="149">
        <v>786</v>
      </c>
      <c r="C790" s="118" t="s">
        <v>2289</v>
      </c>
      <c r="D790" t="s">
        <v>2090</v>
      </c>
      <c r="E790" s="150">
        <v>234</v>
      </c>
      <c r="F790" s="142">
        <v>2000</v>
      </c>
      <c r="G790" s="143">
        <v>1681</v>
      </c>
      <c r="H790" s="144">
        <v>319</v>
      </c>
      <c r="I790" s="140">
        <v>1</v>
      </c>
      <c r="J790" s="114" t="str">
        <f t="shared" si="12"/>
        <v>INSERT INTO DOCUMENTOS (NRO_DOCUMENTO,FECHA_EMISION,TOTAL_BRUTO,TOTAL_NETO,TOTAL_IVA, ID_TIPO, RUT_EMPLEADO, ID_CLIENTE) VALUES(786,TO_DATE('06-05-2025','DD-MM-YYYY'),2000,1681,319,1,'14526149-K',234);</v>
      </c>
    </row>
    <row r="791" spans="1:10">
      <c r="A791" s="149"/>
      <c r="B791" s="149">
        <v>787</v>
      </c>
      <c r="C791" s="118" t="s">
        <v>2289</v>
      </c>
      <c r="D791" t="s">
        <v>2090</v>
      </c>
      <c r="E791" s="150">
        <v>254</v>
      </c>
      <c r="F791" s="142">
        <v>44900</v>
      </c>
      <c r="G791" s="143">
        <v>37731</v>
      </c>
      <c r="H791" s="144">
        <v>7169</v>
      </c>
      <c r="I791" s="140">
        <v>1</v>
      </c>
      <c r="J791" s="114" t="str">
        <f t="shared" si="12"/>
        <v>INSERT INTO DOCUMENTOS (NRO_DOCUMENTO,FECHA_EMISION,TOTAL_BRUTO,TOTAL_NETO,TOTAL_IVA, ID_TIPO, RUT_EMPLEADO, ID_CLIENTE) VALUES(787,TO_DATE('06-05-2025','DD-MM-YYYY'),44900,37731,7169,1,'14526149-K',254);</v>
      </c>
    </row>
    <row r="792" spans="1:10">
      <c r="A792" s="149"/>
      <c r="B792" s="149">
        <v>788</v>
      </c>
      <c r="C792" s="118" t="s">
        <v>2289</v>
      </c>
      <c r="D792" t="s">
        <v>2090</v>
      </c>
      <c r="E792" s="150">
        <v>343</v>
      </c>
      <c r="F792" s="142">
        <v>40200</v>
      </c>
      <c r="G792" s="143">
        <v>33782</v>
      </c>
      <c r="H792" s="144">
        <v>6418</v>
      </c>
      <c r="I792" s="140">
        <v>1</v>
      </c>
      <c r="J792" s="114" t="str">
        <f t="shared" si="12"/>
        <v>INSERT INTO DOCUMENTOS (NRO_DOCUMENTO,FECHA_EMISION,TOTAL_BRUTO,TOTAL_NETO,TOTAL_IVA, ID_TIPO, RUT_EMPLEADO, ID_CLIENTE) VALUES(788,TO_DATE('06-05-2025','DD-MM-YYYY'),40200,33782,6418,1,'14526149-K',343);</v>
      </c>
    </row>
    <row r="793" spans="1:10">
      <c r="A793" s="149"/>
      <c r="B793" s="149">
        <v>789</v>
      </c>
      <c r="C793" s="118" t="s">
        <v>2289</v>
      </c>
      <c r="D793" t="s">
        <v>2090</v>
      </c>
      <c r="E793" s="150">
        <v>446</v>
      </c>
      <c r="F793" s="142">
        <v>10000</v>
      </c>
      <c r="G793" s="143">
        <v>8403</v>
      </c>
      <c r="H793" s="144">
        <v>1597</v>
      </c>
      <c r="I793" s="140">
        <v>1</v>
      </c>
      <c r="J793" s="114" t="str">
        <f t="shared" si="12"/>
        <v>INSERT INTO DOCUMENTOS (NRO_DOCUMENTO,FECHA_EMISION,TOTAL_BRUTO,TOTAL_NETO,TOTAL_IVA, ID_TIPO, RUT_EMPLEADO, ID_CLIENTE) VALUES(789,TO_DATE('06-05-2025','DD-MM-YYYY'),10000,8403,1597,1,'14526149-K',446);</v>
      </c>
    </row>
    <row r="794" spans="1:10">
      <c r="A794" s="149"/>
      <c r="B794" s="149">
        <v>790</v>
      </c>
      <c r="C794" s="151" t="s">
        <v>2290</v>
      </c>
      <c r="D794" t="s">
        <v>2090</v>
      </c>
      <c r="E794" s="150">
        <v>56</v>
      </c>
      <c r="F794" s="142">
        <v>17000</v>
      </c>
      <c r="G794" s="143">
        <v>14286</v>
      </c>
      <c r="H794" s="144">
        <v>2714</v>
      </c>
      <c r="I794" s="140">
        <v>1</v>
      </c>
      <c r="J794" s="114" t="str">
        <f t="shared" si="12"/>
        <v>INSERT INTO DOCUMENTOS (NRO_DOCUMENTO,FECHA_EMISION,TOTAL_BRUTO,TOTAL_NETO,TOTAL_IVA, ID_TIPO, RUT_EMPLEADO, ID_CLIENTE) VALUES(790,TO_DATE('07-05-2025','DD-MM-YYYY'),17000,14286,2714,1,'14526149-K',56);</v>
      </c>
    </row>
    <row r="795" spans="1:10">
      <c r="A795" s="149"/>
      <c r="B795" s="149">
        <v>791</v>
      </c>
      <c r="C795" s="118" t="s">
        <v>2290</v>
      </c>
      <c r="D795" t="s">
        <v>2090</v>
      </c>
      <c r="E795" s="150">
        <v>161</v>
      </c>
      <c r="F795" s="142">
        <v>18500</v>
      </c>
      <c r="G795" s="143">
        <v>15547</v>
      </c>
      <c r="H795" s="144">
        <v>2953</v>
      </c>
      <c r="I795" s="140">
        <v>1</v>
      </c>
      <c r="J795" s="114" t="str">
        <f t="shared" si="12"/>
        <v>INSERT INTO DOCUMENTOS (NRO_DOCUMENTO,FECHA_EMISION,TOTAL_BRUTO,TOTAL_NETO,TOTAL_IVA, ID_TIPO, RUT_EMPLEADO, ID_CLIENTE) VALUES(791,TO_DATE('07-05-2025','DD-MM-YYYY'),18500,15547,2953,1,'14526149-K',161);</v>
      </c>
    </row>
    <row r="796" spans="1:10">
      <c r="A796" s="149"/>
      <c r="B796" s="149">
        <v>792</v>
      </c>
      <c r="C796" s="151" t="s">
        <v>2291</v>
      </c>
      <c r="D796" t="s">
        <v>2090</v>
      </c>
      <c r="E796" s="150">
        <v>154</v>
      </c>
      <c r="F796" s="142">
        <v>20900</v>
      </c>
      <c r="G796" s="143">
        <v>17563</v>
      </c>
      <c r="H796" s="144">
        <v>3337</v>
      </c>
      <c r="I796" s="140">
        <v>1</v>
      </c>
      <c r="J796" s="114" t="str">
        <f t="shared" si="12"/>
        <v>INSERT INTO DOCUMENTOS (NRO_DOCUMENTO,FECHA_EMISION,TOTAL_BRUTO,TOTAL_NETO,TOTAL_IVA, ID_TIPO, RUT_EMPLEADO, ID_CLIENTE) VALUES(792,TO_DATE('08-05-2025','DD-MM-YYYY'),20900,17563,3337,1,'14526149-K',154);</v>
      </c>
    </row>
    <row r="797" spans="1:10">
      <c r="A797" s="149"/>
      <c r="B797" s="149">
        <v>793</v>
      </c>
      <c r="C797" s="118" t="s">
        <v>2291</v>
      </c>
      <c r="D797" t="s">
        <v>2090</v>
      </c>
      <c r="E797" s="150">
        <v>184</v>
      </c>
      <c r="F797" s="142">
        <v>18500</v>
      </c>
      <c r="G797" s="143">
        <v>15547</v>
      </c>
      <c r="H797" s="144">
        <v>2953</v>
      </c>
      <c r="I797" s="140">
        <v>1</v>
      </c>
      <c r="J797" s="114" t="str">
        <f t="shared" si="12"/>
        <v>INSERT INTO DOCUMENTOS (NRO_DOCUMENTO,FECHA_EMISION,TOTAL_BRUTO,TOTAL_NETO,TOTAL_IVA, ID_TIPO, RUT_EMPLEADO, ID_CLIENTE) VALUES(793,TO_DATE('08-05-2025','DD-MM-YYYY'),18500,15547,2953,1,'14526149-K',184);</v>
      </c>
    </row>
    <row r="798" spans="1:10">
      <c r="A798" s="149"/>
      <c r="B798" s="149">
        <v>794</v>
      </c>
      <c r="C798" s="118" t="s">
        <v>2291</v>
      </c>
      <c r="D798" t="s">
        <v>2090</v>
      </c>
      <c r="E798" s="150">
        <v>200</v>
      </c>
      <c r="F798" s="142">
        <v>10500</v>
      </c>
      <c r="G798" s="143">
        <v>8824</v>
      </c>
      <c r="H798" s="144">
        <v>1676</v>
      </c>
      <c r="I798" s="140">
        <v>1</v>
      </c>
      <c r="J798" s="114" t="str">
        <f t="shared" si="12"/>
        <v>INSERT INTO DOCUMENTOS (NRO_DOCUMENTO,FECHA_EMISION,TOTAL_BRUTO,TOTAL_NETO,TOTAL_IVA, ID_TIPO, RUT_EMPLEADO, ID_CLIENTE) VALUES(794,TO_DATE('08-05-2025','DD-MM-YYYY'),10500,8824,1676,1,'14526149-K',200);</v>
      </c>
    </row>
    <row r="799" spans="1:10">
      <c r="A799" s="149"/>
      <c r="B799" s="149">
        <v>795</v>
      </c>
      <c r="C799" s="151" t="s">
        <v>2292</v>
      </c>
      <c r="D799" t="s">
        <v>2090</v>
      </c>
      <c r="E799" s="150">
        <v>72</v>
      </c>
      <c r="F799" s="142">
        <v>8000</v>
      </c>
      <c r="G799" s="143">
        <v>6723</v>
      </c>
      <c r="H799" s="144">
        <v>1277</v>
      </c>
      <c r="I799" s="140">
        <v>1</v>
      </c>
      <c r="J799" s="114" t="str">
        <f t="shared" si="12"/>
        <v>INSERT INTO DOCUMENTOS (NRO_DOCUMENTO,FECHA_EMISION,TOTAL_BRUTO,TOTAL_NETO,TOTAL_IVA, ID_TIPO, RUT_EMPLEADO, ID_CLIENTE) VALUES(795,TO_DATE('09-05-2025','DD-MM-YYYY'),8000,6723,1277,1,'14526149-K',72);</v>
      </c>
    </row>
    <row r="800" spans="1:10">
      <c r="A800" s="149"/>
      <c r="B800" s="149">
        <v>796</v>
      </c>
      <c r="C800" s="118" t="s">
        <v>2292</v>
      </c>
      <c r="D800" t="s">
        <v>2090</v>
      </c>
      <c r="E800" s="150">
        <v>73</v>
      </c>
      <c r="F800" s="142">
        <v>10500</v>
      </c>
      <c r="G800" s="143">
        <v>8824</v>
      </c>
      <c r="H800" s="144">
        <v>1676</v>
      </c>
      <c r="I800" s="140">
        <v>1</v>
      </c>
      <c r="J800" s="114" t="str">
        <f t="shared" si="12"/>
        <v>INSERT INTO DOCUMENTOS (NRO_DOCUMENTO,FECHA_EMISION,TOTAL_BRUTO,TOTAL_NETO,TOTAL_IVA, ID_TIPO, RUT_EMPLEADO, ID_CLIENTE) VALUES(796,TO_DATE('09-05-2025','DD-MM-YYYY'),10500,8824,1676,1,'14526149-K',73);</v>
      </c>
    </row>
    <row r="801" spans="1:10">
      <c r="A801" s="149"/>
      <c r="B801" s="149">
        <v>797</v>
      </c>
      <c r="C801" s="118" t="s">
        <v>2292</v>
      </c>
      <c r="D801" t="s">
        <v>2090</v>
      </c>
      <c r="E801" s="150">
        <v>155</v>
      </c>
      <c r="F801" s="142">
        <v>8000</v>
      </c>
      <c r="G801" s="143">
        <v>6723</v>
      </c>
      <c r="H801" s="144">
        <v>1277</v>
      </c>
      <c r="I801" s="140">
        <v>1</v>
      </c>
      <c r="J801" s="114" t="str">
        <f t="shared" si="12"/>
        <v>INSERT INTO DOCUMENTOS (NRO_DOCUMENTO,FECHA_EMISION,TOTAL_BRUTO,TOTAL_NETO,TOTAL_IVA, ID_TIPO, RUT_EMPLEADO, ID_CLIENTE) VALUES(797,TO_DATE('09-05-2025','DD-MM-YYYY'),8000,6723,1277,1,'14526149-K',155);</v>
      </c>
    </row>
    <row r="802" spans="1:10">
      <c r="A802" s="149"/>
      <c r="B802" s="149">
        <v>798</v>
      </c>
      <c r="C802" s="118" t="s">
        <v>2292</v>
      </c>
      <c r="D802" t="s">
        <v>2090</v>
      </c>
      <c r="E802" s="150">
        <v>202</v>
      </c>
      <c r="F802" s="142">
        <v>31400</v>
      </c>
      <c r="G802" s="143">
        <v>26387</v>
      </c>
      <c r="H802" s="144">
        <v>5013</v>
      </c>
      <c r="I802" s="140">
        <v>1</v>
      </c>
      <c r="J802" s="114" t="str">
        <f t="shared" si="12"/>
        <v>INSERT INTO DOCUMENTOS (NRO_DOCUMENTO,FECHA_EMISION,TOTAL_BRUTO,TOTAL_NETO,TOTAL_IVA, ID_TIPO, RUT_EMPLEADO, ID_CLIENTE) VALUES(798,TO_DATE('09-05-2025','DD-MM-YYYY'),31400,26387,5013,1,'14526149-K',202);</v>
      </c>
    </row>
    <row r="803" spans="1:10">
      <c r="A803" s="149"/>
      <c r="B803" s="149">
        <v>799</v>
      </c>
      <c r="C803" s="118" t="s">
        <v>2292</v>
      </c>
      <c r="D803" t="s">
        <v>2090</v>
      </c>
      <c r="E803" s="150">
        <v>276</v>
      </c>
      <c r="F803" s="142">
        <v>10500</v>
      </c>
      <c r="G803" s="143">
        <v>8824</v>
      </c>
      <c r="H803" s="144">
        <v>1676</v>
      </c>
      <c r="I803" s="140">
        <v>1</v>
      </c>
      <c r="J803" s="114" t="str">
        <f t="shared" si="12"/>
        <v>INSERT INTO DOCUMENTOS (NRO_DOCUMENTO,FECHA_EMISION,TOTAL_BRUTO,TOTAL_NETO,TOTAL_IVA, ID_TIPO, RUT_EMPLEADO, ID_CLIENTE) VALUES(799,TO_DATE('09-05-2025','DD-MM-YYYY'),10500,8824,1676,1,'14526149-K',276);</v>
      </c>
    </row>
    <row r="804" spans="1:10">
      <c r="A804" s="149"/>
      <c r="B804" s="150">
        <v>800</v>
      </c>
      <c r="C804" s="118" t="s">
        <v>2292</v>
      </c>
      <c r="D804" t="s">
        <v>2090</v>
      </c>
      <c r="E804" s="150">
        <v>352</v>
      </c>
      <c r="F804" s="142">
        <v>25600</v>
      </c>
      <c r="G804" s="143">
        <v>21513</v>
      </c>
      <c r="H804" s="144">
        <v>4087</v>
      </c>
      <c r="I804" s="140">
        <v>1</v>
      </c>
      <c r="J804" s="114" t="str">
        <f t="shared" si="12"/>
        <v>INSERT INTO DOCUMENTOS (NRO_DOCUMENTO,FECHA_EMISION,TOTAL_BRUTO,TOTAL_NETO,TOTAL_IVA, ID_TIPO, RUT_EMPLEADO, ID_CLIENTE) VALUES(800,TO_DATE('09-05-2025','DD-MM-YYYY'),25600,21513,4087,1,'14526149-K',352);</v>
      </c>
    </row>
    <row r="805" spans="1:10">
      <c r="A805" s="149"/>
      <c r="B805" s="149">
        <v>801</v>
      </c>
      <c r="C805" s="118" t="s">
        <v>2292</v>
      </c>
      <c r="D805" t="s">
        <v>2090</v>
      </c>
      <c r="E805" s="150">
        <v>353</v>
      </c>
      <c r="F805" s="142">
        <v>16500</v>
      </c>
      <c r="G805" s="143">
        <v>13866</v>
      </c>
      <c r="H805" s="144">
        <v>2634</v>
      </c>
      <c r="I805" s="140">
        <v>1</v>
      </c>
      <c r="J805" s="114" t="str">
        <f t="shared" si="12"/>
        <v>INSERT INTO DOCUMENTOS (NRO_DOCUMENTO,FECHA_EMISION,TOTAL_BRUTO,TOTAL_NETO,TOTAL_IVA, ID_TIPO, RUT_EMPLEADO, ID_CLIENTE) VALUES(801,TO_DATE('09-05-2025','DD-MM-YYYY'),16500,13866,2634,1,'14526149-K',353);</v>
      </c>
    </row>
    <row r="806" spans="1:10">
      <c r="A806" s="149"/>
      <c r="B806" s="149">
        <v>802</v>
      </c>
      <c r="C806" s="118" t="s">
        <v>2292</v>
      </c>
      <c r="D806" t="s">
        <v>2090</v>
      </c>
      <c r="E806" s="150">
        <v>376</v>
      </c>
      <c r="F806" s="142">
        <v>8000</v>
      </c>
      <c r="G806" s="143">
        <v>6723</v>
      </c>
      <c r="H806" s="144">
        <v>1277</v>
      </c>
      <c r="I806" s="140">
        <v>1</v>
      </c>
      <c r="J806" s="114" t="str">
        <f t="shared" si="12"/>
        <v>INSERT INTO DOCUMENTOS (NRO_DOCUMENTO,FECHA_EMISION,TOTAL_BRUTO,TOTAL_NETO,TOTAL_IVA, ID_TIPO, RUT_EMPLEADO, ID_CLIENTE) VALUES(802,TO_DATE('09-05-2025','DD-MM-YYYY'),8000,6723,1277,1,'14526149-K',376);</v>
      </c>
    </row>
    <row r="807" spans="1:10">
      <c r="A807" s="149"/>
      <c r="B807" s="149">
        <v>803</v>
      </c>
      <c r="C807" s="118" t="s">
        <v>2292</v>
      </c>
      <c r="D807" t="s">
        <v>2090</v>
      </c>
      <c r="E807" s="150">
        <v>416</v>
      </c>
      <c r="F807" s="142">
        <v>3500</v>
      </c>
      <c r="G807" s="143">
        <v>2941</v>
      </c>
      <c r="H807" s="144">
        <v>559</v>
      </c>
      <c r="I807" s="140">
        <v>1</v>
      </c>
      <c r="J807" s="114" t="str">
        <f t="shared" si="12"/>
        <v>INSERT INTO DOCUMENTOS (NRO_DOCUMENTO,FECHA_EMISION,TOTAL_BRUTO,TOTAL_NETO,TOTAL_IVA, ID_TIPO, RUT_EMPLEADO, ID_CLIENTE) VALUES(803,TO_DATE('09-05-2025','DD-MM-YYYY'),3500,2941,559,1,'14526149-K',416);</v>
      </c>
    </row>
    <row r="808" spans="1:10">
      <c r="A808" s="149"/>
      <c r="B808" s="149">
        <v>804</v>
      </c>
      <c r="C808" s="118" t="s">
        <v>2292</v>
      </c>
      <c r="D808" t="s">
        <v>2090</v>
      </c>
      <c r="E808" s="150">
        <v>427</v>
      </c>
      <c r="F808" s="142">
        <v>5500</v>
      </c>
      <c r="G808" s="143">
        <v>4622</v>
      </c>
      <c r="H808" s="144">
        <v>878</v>
      </c>
      <c r="I808" s="140">
        <v>1</v>
      </c>
      <c r="J808" s="114" t="str">
        <f t="shared" si="12"/>
        <v>INSERT INTO DOCUMENTOS (NRO_DOCUMENTO,FECHA_EMISION,TOTAL_BRUTO,TOTAL_NETO,TOTAL_IVA, ID_TIPO, RUT_EMPLEADO, ID_CLIENTE) VALUES(804,TO_DATE('09-05-2025','DD-MM-YYYY'),5500,4622,878,1,'14526149-K',427);</v>
      </c>
    </row>
    <row r="809" spans="1:10">
      <c r="A809" s="149"/>
      <c r="B809" s="149">
        <v>805</v>
      </c>
      <c r="C809" s="151" t="s">
        <v>2293</v>
      </c>
      <c r="D809" t="s">
        <v>2090</v>
      </c>
      <c r="E809" s="150">
        <v>345</v>
      </c>
      <c r="F809" s="142">
        <v>10500</v>
      </c>
      <c r="G809" s="143">
        <v>8824</v>
      </c>
      <c r="H809" s="144">
        <v>1676</v>
      </c>
      <c r="I809" s="140">
        <v>1</v>
      </c>
      <c r="J809" s="114" t="str">
        <f t="shared" si="12"/>
        <v>INSERT INTO DOCUMENTOS (NRO_DOCUMENTO,FECHA_EMISION,TOTAL_BRUTO,TOTAL_NETO,TOTAL_IVA, ID_TIPO, RUT_EMPLEADO, ID_CLIENTE) VALUES(805,TO_DATE('10-05-2025','DD-MM-YYYY'),10500,8824,1676,1,'14526149-K',345);</v>
      </c>
    </row>
    <row r="810" spans="1:10">
      <c r="A810" s="149"/>
      <c r="B810" s="149">
        <v>806</v>
      </c>
      <c r="C810" s="151" t="s">
        <v>2294</v>
      </c>
      <c r="D810" t="s">
        <v>2090</v>
      </c>
      <c r="E810" s="150">
        <v>48</v>
      </c>
      <c r="F810" s="142">
        <v>10500</v>
      </c>
      <c r="G810" s="143">
        <v>8824</v>
      </c>
      <c r="H810" s="144">
        <v>1676</v>
      </c>
      <c r="I810" s="140">
        <v>1</v>
      </c>
      <c r="J810" s="114" t="str">
        <f t="shared" si="12"/>
        <v>INSERT INTO DOCUMENTOS (NRO_DOCUMENTO,FECHA_EMISION,TOTAL_BRUTO,TOTAL_NETO,TOTAL_IVA, ID_TIPO, RUT_EMPLEADO, ID_CLIENTE) VALUES(806,TO_DATE('11-05-2025','DD-MM-YYYY'),10500,8824,1676,1,'14526149-K',48);</v>
      </c>
    </row>
    <row r="811" spans="1:10">
      <c r="A811" s="149"/>
      <c r="B811" s="149">
        <v>807</v>
      </c>
      <c r="C811" s="118" t="s">
        <v>2294</v>
      </c>
      <c r="D811" t="s">
        <v>2090</v>
      </c>
      <c r="E811" s="150">
        <v>222</v>
      </c>
      <c r="F811" s="142">
        <v>13300</v>
      </c>
      <c r="G811" s="143">
        <v>11176</v>
      </c>
      <c r="H811" s="144">
        <v>2124</v>
      </c>
      <c r="I811" s="140">
        <v>1</v>
      </c>
      <c r="J811" s="114" t="str">
        <f t="shared" si="12"/>
        <v>INSERT INTO DOCUMENTOS (NRO_DOCUMENTO,FECHA_EMISION,TOTAL_BRUTO,TOTAL_NETO,TOTAL_IVA, ID_TIPO, RUT_EMPLEADO, ID_CLIENTE) VALUES(807,TO_DATE('11-05-2025','DD-MM-YYYY'),13300,11176,2124,1,'14526149-K',222);</v>
      </c>
    </row>
    <row r="812" spans="1:10">
      <c r="A812" s="149"/>
      <c r="B812" s="149">
        <v>808</v>
      </c>
      <c r="C812" s="118" t="s">
        <v>2294</v>
      </c>
      <c r="D812" t="s">
        <v>2090</v>
      </c>
      <c r="E812" s="150">
        <v>300</v>
      </c>
      <c r="F812" s="142">
        <v>25000</v>
      </c>
      <c r="G812" s="143">
        <v>21009</v>
      </c>
      <c r="H812" s="144">
        <v>3991</v>
      </c>
      <c r="I812" s="140">
        <v>1</v>
      </c>
      <c r="J812" s="114" t="str">
        <f t="shared" si="12"/>
        <v>INSERT INTO DOCUMENTOS (NRO_DOCUMENTO,FECHA_EMISION,TOTAL_BRUTO,TOTAL_NETO,TOTAL_IVA, ID_TIPO, RUT_EMPLEADO, ID_CLIENTE) VALUES(808,TO_DATE('11-05-2025','DD-MM-YYYY'),25000,21009,3991,1,'14526149-K',300);</v>
      </c>
    </row>
    <row r="813" spans="1:10">
      <c r="A813" s="149"/>
      <c r="B813" s="149">
        <v>809</v>
      </c>
      <c r="C813" s="118" t="s">
        <v>2294</v>
      </c>
      <c r="D813" t="s">
        <v>2090</v>
      </c>
      <c r="E813" s="150">
        <v>334</v>
      </c>
      <c r="F813" s="142">
        <v>11100</v>
      </c>
      <c r="G813" s="143">
        <v>9328</v>
      </c>
      <c r="H813" s="144">
        <v>1772</v>
      </c>
      <c r="I813" s="140">
        <v>1</v>
      </c>
      <c r="J813" s="114" t="str">
        <f t="shared" si="12"/>
        <v>INSERT INTO DOCUMENTOS (NRO_DOCUMENTO,FECHA_EMISION,TOTAL_BRUTO,TOTAL_NETO,TOTAL_IVA, ID_TIPO, RUT_EMPLEADO, ID_CLIENTE) VALUES(809,TO_DATE('11-05-2025','DD-MM-YYYY'),11100,9328,1772,1,'14526149-K',334);</v>
      </c>
    </row>
    <row r="814" spans="1:10">
      <c r="A814" s="149"/>
      <c r="B814" s="149">
        <v>810</v>
      </c>
      <c r="C814" s="118" t="s">
        <v>2294</v>
      </c>
      <c r="D814" t="s">
        <v>2090</v>
      </c>
      <c r="E814" s="150">
        <v>389</v>
      </c>
      <c r="F814" s="142">
        <v>10500</v>
      </c>
      <c r="G814" s="143">
        <v>8824</v>
      </c>
      <c r="H814" s="144">
        <v>1676</v>
      </c>
      <c r="I814" s="140">
        <v>1</v>
      </c>
      <c r="J814" s="114" t="str">
        <f t="shared" si="12"/>
        <v>INSERT INTO DOCUMENTOS (NRO_DOCUMENTO,FECHA_EMISION,TOTAL_BRUTO,TOTAL_NETO,TOTAL_IVA, ID_TIPO, RUT_EMPLEADO, ID_CLIENTE) VALUES(810,TO_DATE('11-05-2025','DD-MM-YYYY'),10500,8824,1676,1,'14526149-K',389);</v>
      </c>
    </row>
    <row r="815" spans="1:10">
      <c r="A815" s="149"/>
      <c r="B815" s="149">
        <v>811</v>
      </c>
      <c r="C815" s="118" t="s">
        <v>2294</v>
      </c>
      <c r="D815" t="s">
        <v>2090</v>
      </c>
      <c r="E815" s="150">
        <v>452</v>
      </c>
      <c r="F815" s="142">
        <v>9000</v>
      </c>
      <c r="G815" s="143">
        <v>7563</v>
      </c>
      <c r="H815" s="144">
        <v>1437</v>
      </c>
      <c r="I815" s="140">
        <v>1</v>
      </c>
      <c r="J815" s="114" t="str">
        <f t="shared" si="12"/>
        <v>INSERT INTO DOCUMENTOS (NRO_DOCUMENTO,FECHA_EMISION,TOTAL_BRUTO,TOTAL_NETO,TOTAL_IVA, ID_TIPO, RUT_EMPLEADO, ID_CLIENTE) VALUES(811,TO_DATE('11-05-2025','DD-MM-YYYY'),9000,7563,1437,1,'14526149-K',452);</v>
      </c>
    </row>
    <row r="816" spans="1:10">
      <c r="A816" s="149"/>
      <c r="B816" s="149">
        <v>812</v>
      </c>
      <c r="C816" s="151" t="s">
        <v>2295</v>
      </c>
      <c r="D816" t="s">
        <v>2090</v>
      </c>
      <c r="E816" s="150">
        <v>63</v>
      </c>
      <c r="F816" s="142">
        <v>8000</v>
      </c>
      <c r="G816" s="143">
        <v>6723</v>
      </c>
      <c r="H816" s="144">
        <v>1277</v>
      </c>
      <c r="I816" s="140">
        <v>1</v>
      </c>
      <c r="J816" s="114" t="str">
        <f t="shared" si="12"/>
        <v>INSERT INTO DOCUMENTOS (NRO_DOCUMENTO,FECHA_EMISION,TOTAL_BRUTO,TOTAL_NETO,TOTAL_IVA, ID_TIPO, RUT_EMPLEADO, ID_CLIENTE) VALUES(812,TO_DATE('12-05-2025','DD-MM-YYYY'),8000,6723,1277,1,'14526149-K',63);</v>
      </c>
    </row>
    <row r="817" spans="1:10">
      <c r="A817" s="149"/>
      <c r="B817" s="149">
        <v>813</v>
      </c>
      <c r="C817" s="118" t="s">
        <v>2295</v>
      </c>
      <c r="D817" t="s">
        <v>2090</v>
      </c>
      <c r="E817" s="150">
        <v>134</v>
      </c>
      <c r="F817" s="142">
        <v>8000</v>
      </c>
      <c r="G817" s="143">
        <v>6723</v>
      </c>
      <c r="H817" s="144">
        <v>1277</v>
      </c>
      <c r="I817" s="140">
        <v>1</v>
      </c>
      <c r="J817" s="114" t="str">
        <f t="shared" si="12"/>
        <v>INSERT INTO DOCUMENTOS (NRO_DOCUMENTO,FECHA_EMISION,TOTAL_BRUTO,TOTAL_NETO,TOTAL_IVA, ID_TIPO, RUT_EMPLEADO, ID_CLIENTE) VALUES(813,TO_DATE('12-05-2025','DD-MM-YYYY'),8000,6723,1277,1,'14526149-K',134);</v>
      </c>
    </row>
    <row r="818" spans="1:10">
      <c r="A818" s="149"/>
      <c r="B818" s="149">
        <v>814</v>
      </c>
      <c r="C818" s="118" t="s">
        <v>2295</v>
      </c>
      <c r="D818" t="s">
        <v>2090</v>
      </c>
      <c r="E818" s="150">
        <v>166</v>
      </c>
      <c r="F818" s="142">
        <v>10000</v>
      </c>
      <c r="G818" s="143">
        <v>8403</v>
      </c>
      <c r="H818" s="144">
        <v>1597</v>
      </c>
      <c r="I818" s="140">
        <v>1</v>
      </c>
      <c r="J818" s="114" t="str">
        <f t="shared" si="12"/>
        <v>INSERT INTO DOCUMENTOS (NRO_DOCUMENTO,FECHA_EMISION,TOTAL_BRUTO,TOTAL_NETO,TOTAL_IVA, ID_TIPO, RUT_EMPLEADO, ID_CLIENTE) VALUES(814,TO_DATE('12-05-2025','DD-MM-YYYY'),10000,8403,1597,1,'14526149-K',166);</v>
      </c>
    </row>
    <row r="819" spans="1:10">
      <c r="A819" s="149"/>
      <c r="B819" s="149">
        <v>815</v>
      </c>
      <c r="C819" s="118" t="s">
        <v>2295</v>
      </c>
      <c r="D819" t="s">
        <v>2090</v>
      </c>
      <c r="E819" s="150">
        <v>216</v>
      </c>
      <c r="F819" s="142">
        <v>106098</v>
      </c>
      <c r="G819" s="143">
        <v>89158</v>
      </c>
      <c r="H819" s="144">
        <v>16940</v>
      </c>
      <c r="I819" s="140">
        <v>1</v>
      </c>
      <c r="J819" s="114" t="str">
        <f t="shared" si="12"/>
        <v>INSERT INTO DOCUMENTOS (NRO_DOCUMENTO,FECHA_EMISION,TOTAL_BRUTO,TOTAL_NETO,TOTAL_IVA, ID_TIPO, RUT_EMPLEADO, ID_CLIENTE) VALUES(815,TO_DATE('12-05-2025','DD-MM-YYYY'),106098,89158,16940,1,'14526149-K',216);</v>
      </c>
    </row>
    <row r="820" spans="1:10">
      <c r="A820" s="149"/>
      <c r="B820" s="149">
        <v>816</v>
      </c>
      <c r="C820" s="118" t="s">
        <v>2295</v>
      </c>
      <c r="D820" t="s">
        <v>2090</v>
      </c>
      <c r="E820" s="150">
        <v>219</v>
      </c>
      <c r="F820" s="142">
        <v>32000</v>
      </c>
      <c r="G820" s="143">
        <v>26891</v>
      </c>
      <c r="H820" s="144">
        <v>5109</v>
      </c>
      <c r="I820" s="140">
        <v>1</v>
      </c>
      <c r="J820" s="114" t="str">
        <f t="shared" si="12"/>
        <v>INSERT INTO DOCUMENTOS (NRO_DOCUMENTO,FECHA_EMISION,TOTAL_BRUTO,TOTAL_NETO,TOTAL_IVA, ID_TIPO, RUT_EMPLEADO, ID_CLIENTE) VALUES(816,TO_DATE('12-05-2025','DD-MM-YYYY'),32000,26891,5109,1,'14526149-K',219);</v>
      </c>
    </row>
    <row r="821" spans="1:10">
      <c r="A821" s="149"/>
      <c r="B821" s="149">
        <v>817</v>
      </c>
      <c r="C821" s="118" t="s">
        <v>2295</v>
      </c>
      <c r="D821" t="s">
        <v>2090</v>
      </c>
      <c r="E821" s="150">
        <v>231</v>
      </c>
      <c r="F821" s="142">
        <v>20900</v>
      </c>
      <c r="G821" s="143">
        <v>17563</v>
      </c>
      <c r="H821" s="144">
        <v>3337</v>
      </c>
      <c r="I821" s="140">
        <v>1</v>
      </c>
      <c r="J821" s="114" t="str">
        <f t="shared" si="12"/>
        <v>INSERT INTO DOCUMENTOS (NRO_DOCUMENTO,FECHA_EMISION,TOTAL_BRUTO,TOTAL_NETO,TOTAL_IVA, ID_TIPO, RUT_EMPLEADO, ID_CLIENTE) VALUES(817,TO_DATE('12-05-2025','DD-MM-YYYY'),20900,17563,3337,1,'14526149-K',231);</v>
      </c>
    </row>
    <row r="822" spans="1:10">
      <c r="A822" s="149"/>
      <c r="B822" s="149">
        <v>818</v>
      </c>
      <c r="C822" s="151" t="s">
        <v>2296</v>
      </c>
      <c r="D822" s="150" t="s">
        <v>2093</v>
      </c>
      <c r="E822" s="150">
        <v>56</v>
      </c>
      <c r="F822" s="142">
        <v>18500</v>
      </c>
      <c r="G822" s="143">
        <v>15547</v>
      </c>
      <c r="H822" s="144">
        <v>2953</v>
      </c>
      <c r="I822" s="140">
        <v>1</v>
      </c>
      <c r="J822" s="114" t="str">
        <f t="shared" si="12"/>
        <v>INSERT INTO DOCUMENTOS (NRO_DOCUMENTO,FECHA_EMISION,TOTAL_BRUTO,TOTAL_NETO,TOTAL_IVA, ID_TIPO, RUT_EMPLEADO, ID_CLIENTE) VALUES(818,TO_DATE('13-05-2025','DD-MM-YYYY'),18500,15547,2953,1,'13748252-5',56);</v>
      </c>
    </row>
    <row r="823" spans="1:10">
      <c r="A823" s="149"/>
      <c r="B823" s="149">
        <v>819</v>
      </c>
      <c r="C823" s="118" t="s">
        <v>2296</v>
      </c>
      <c r="D823" s="150" t="s">
        <v>2090</v>
      </c>
      <c r="E823" s="150">
        <v>164</v>
      </c>
      <c r="F823" s="142">
        <v>20900</v>
      </c>
      <c r="G823" s="143">
        <v>17563</v>
      </c>
      <c r="H823" s="144">
        <v>3337</v>
      </c>
      <c r="I823" s="140">
        <v>1</v>
      </c>
      <c r="J823" s="114" t="str">
        <f t="shared" si="12"/>
        <v>INSERT INTO DOCUMENTOS (NRO_DOCUMENTO,FECHA_EMISION,TOTAL_BRUTO,TOTAL_NETO,TOTAL_IVA, ID_TIPO, RUT_EMPLEADO, ID_CLIENTE) VALUES(819,TO_DATE('13-05-2025','DD-MM-YYYY'),20900,17563,3337,1,'14526149-K',164);</v>
      </c>
    </row>
    <row r="824" spans="1:10">
      <c r="A824" s="149"/>
      <c r="B824" s="149">
        <v>820</v>
      </c>
      <c r="C824" s="118" t="s">
        <v>2296</v>
      </c>
      <c r="D824" t="s">
        <v>2090</v>
      </c>
      <c r="E824" s="150">
        <v>166</v>
      </c>
      <c r="F824" s="142">
        <v>3200</v>
      </c>
      <c r="G824" s="143">
        <v>2689</v>
      </c>
      <c r="H824" s="144">
        <v>511</v>
      </c>
      <c r="I824" s="140">
        <v>1</v>
      </c>
      <c r="J824" s="114" t="str">
        <f t="shared" si="12"/>
        <v>INSERT INTO DOCUMENTOS (NRO_DOCUMENTO,FECHA_EMISION,TOTAL_BRUTO,TOTAL_NETO,TOTAL_IVA, ID_TIPO, RUT_EMPLEADO, ID_CLIENTE) VALUES(820,TO_DATE('13-05-2025','DD-MM-YYYY'),3200,2689,511,1,'14526149-K',166);</v>
      </c>
    </row>
    <row r="825" spans="1:10">
      <c r="A825" s="149"/>
      <c r="B825" s="149">
        <v>821</v>
      </c>
      <c r="C825" s="118" t="s">
        <v>2296</v>
      </c>
      <c r="D825" t="s">
        <v>2090</v>
      </c>
      <c r="E825" s="150">
        <v>230</v>
      </c>
      <c r="F825" s="142">
        <v>3500</v>
      </c>
      <c r="G825" s="143">
        <v>2941</v>
      </c>
      <c r="H825" s="144">
        <v>559</v>
      </c>
      <c r="I825" s="140">
        <v>1</v>
      </c>
      <c r="J825" s="114" t="str">
        <f t="shared" si="12"/>
        <v>INSERT INTO DOCUMENTOS (NRO_DOCUMENTO,FECHA_EMISION,TOTAL_BRUTO,TOTAL_NETO,TOTAL_IVA, ID_TIPO, RUT_EMPLEADO, ID_CLIENTE) VALUES(821,TO_DATE('13-05-2025','DD-MM-YYYY'),3500,2941,559,1,'14526149-K',230);</v>
      </c>
    </row>
    <row r="826" spans="1:10">
      <c r="A826" s="149"/>
      <c r="B826" s="149">
        <v>822</v>
      </c>
      <c r="C826" s="118" t="s">
        <v>2296</v>
      </c>
      <c r="D826" t="s">
        <v>2090</v>
      </c>
      <c r="E826" s="150">
        <v>254</v>
      </c>
      <c r="F826" s="142">
        <v>148500</v>
      </c>
      <c r="G826" s="143">
        <v>124790</v>
      </c>
      <c r="H826" s="144">
        <v>23710</v>
      </c>
      <c r="I826" s="140">
        <v>1</v>
      </c>
      <c r="J826" s="114" t="str">
        <f t="shared" si="12"/>
        <v>INSERT INTO DOCUMENTOS (NRO_DOCUMENTO,FECHA_EMISION,TOTAL_BRUTO,TOTAL_NETO,TOTAL_IVA, ID_TIPO, RUT_EMPLEADO, ID_CLIENTE) VALUES(822,TO_DATE('13-05-2025','DD-MM-YYYY'),148500,124790,23710,1,'14526149-K',254);</v>
      </c>
    </row>
    <row r="827" spans="1:10">
      <c r="A827" s="149"/>
      <c r="B827" s="149">
        <v>823</v>
      </c>
      <c r="C827" s="118" t="s">
        <v>2296</v>
      </c>
      <c r="D827" t="s">
        <v>2090</v>
      </c>
      <c r="E827" s="150">
        <v>278</v>
      </c>
      <c r="F827" s="142">
        <v>70400</v>
      </c>
      <c r="G827" s="143">
        <v>59162</v>
      </c>
      <c r="H827" s="144">
        <v>11238</v>
      </c>
      <c r="I827" s="140">
        <v>1</v>
      </c>
      <c r="J827" s="114" t="str">
        <f t="shared" si="12"/>
        <v>INSERT INTO DOCUMENTOS (NRO_DOCUMENTO,FECHA_EMISION,TOTAL_BRUTO,TOTAL_NETO,TOTAL_IVA, ID_TIPO, RUT_EMPLEADO, ID_CLIENTE) VALUES(823,TO_DATE('13-05-2025','DD-MM-YYYY'),70400,59162,11238,1,'14526149-K',278);</v>
      </c>
    </row>
    <row r="828" spans="1:10">
      <c r="A828" s="149"/>
      <c r="B828" s="149">
        <v>824</v>
      </c>
      <c r="C828" s="118" t="s">
        <v>2296</v>
      </c>
      <c r="D828" t="s">
        <v>2090</v>
      </c>
      <c r="E828" s="150">
        <v>318</v>
      </c>
      <c r="F828" s="142">
        <v>8000</v>
      </c>
      <c r="G828" s="143">
        <v>6723</v>
      </c>
      <c r="H828" s="144">
        <v>1277</v>
      </c>
      <c r="I828" s="140">
        <v>1</v>
      </c>
      <c r="J828" s="114" t="str">
        <f t="shared" si="12"/>
        <v>INSERT INTO DOCUMENTOS (NRO_DOCUMENTO,FECHA_EMISION,TOTAL_BRUTO,TOTAL_NETO,TOTAL_IVA, ID_TIPO, RUT_EMPLEADO, ID_CLIENTE) VALUES(824,TO_DATE('13-05-2025','DD-MM-YYYY'),8000,6723,1277,1,'14526149-K',318);</v>
      </c>
    </row>
    <row r="829" spans="1:10">
      <c r="A829" s="149"/>
      <c r="B829" s="149">
        <v>825</v>
      </c>
      <c r="C829" s="118" t="s">
        <v>2296</v>
      </c>
      <c r="D829" s="150" t="s">
        <v>2093</v>
      </c>
      <c r="E829" s="150">
        <v>451</v>
      </c>
      <c r="F829" s="142">
        <v>13500</v>
      </c>
      <c r="G829" s="143">
        <v>11345</v>
      </c>
      <c r="H829" s="144">
        <v>2155</v>
      </c>
      <c r="I829" s="140">
        <v>1</v>
      </c>
      <c r="J829" s="114" t="str">
        <f t="shared" si="12"/>
        <v>INSERT INTO DOCUMENTOS (NRO_DOCUMENTO,FECHA_EMISION,TOTAL_BRUTO,TOTAL_NETO,TOTAL_IVA, ID_TIPO, RUT_EMPLEADO, ID_CLIENTE) VALUES(825,TO_DATE('13-05-2025','DD-MM-YYYY'),13500,11345,2155,1,'13748252-5',451);</v>
      </c>
    </row>
    <row r="830" spans="1:10">
      <c r="A830" s="149"/>
      <c r="B830" s="149">
        <v>826</v>
      </c>
      <c r="C830" s="151" t="s">
        <v>2297</v>
      </c>
      <c r="D830" s="150" t="s">
        <v>2090</v>
      </c>
      <c r="E830" s="150">
        <v>147</v>
      </c>
      <c r="F830" s="142">
        <v>8000</v>
      </c>
      <c r="G830" s="143">
        <v>6723</v>
      </c>
      <c r="H830" s="144">
        <v>1277</v>
      </c>
      <c r="I830" s="140">
        <v>1</v>
      </c>
      <c r="J830" s="114" t="str">
        <f t="shared" si="12"/>
        <v>INSERT INTO DOCUMENTOS (NRO_DOCUMENTO,FECHA_EMISION,TOTAL_BRUTO,TOTAL_NETO,TOTAL_IVA, ID_TIPO, RUT_EMPLEADO, ID_CLIENTE) VALUES(826,TO_DATE('14-05-2025','DD-MM-YYYY'),8000,6723,1277,1,'14526149-K',147);</v>
      </c>
    </row>
    <row r="831" spans="1:10">
      <c r="A831" s="149"/>
      <c r="B831" s="149">
        <v>827</v>
      </c>
      <c r="C831" s="118" t="s">
        <v>2297</v>
      </c>
      <c r="D831" t="s">
        <v>2090</v>
      </c>
      <c r="E831" s="150">
        <v>166</v>
      </c>
      <c r="F831" s="142">
        <v>23490</v>
      </c>
      <c r="G831" s="143">
        <v>19739</v>
      </c>
      <c r="H831" s="144">
        <v>3751</v>
      </c>
      <c r="I831" s="140">
        <v>1</v>
      </c>
      <c r="J831" s="114" t="str">
        <f t="shared" si="12"/>
        <v>INSERT INTO DOCUMENTOS (NRO_DOCUMENTO,FECHA_EMISION,TOTAL_BRUTO,TOTAL_NETO,TOTAL_IVA, ID_TIPO, RUT_EMPLEADO, ID_CLIENTE) VALUES(827,TO_DATE('14-05-2025','DD-MM-YYYY'),23490,19739,3751,1,'14526149-K',166);</v>
      </c>
    </row>
    <row r="832" spans="1:10">
      <c r="A832" s="149"/>
      <c r="B832" s="149">
        <v>828</v>
      </c>
      <c r="C832" s="118" t="s">
        <v>2297</v>
      </c>
      <c r="D832" t="s">
        <v>2090</v>
      </c>
      <c r="E832" s="150">
        <v>322</v>
      </c>
      <c r="F832" s="142">
        <v>12500</v>
      </c>
      <c r="G832" s="143">
        <v>10504</v>
      </c>
      <c r="H832" s="144">
        <v>1996</v>
      </c>
      <c r="I832" s="140">
        <v>1</v>
      </c>
      <c r="J832" s="114" t="str">
        <f t="shared" si="12"/>
        <v>INSERT INTO DOCUMENTOS (NRO_DOCUMENTO,FECHA_EMISION,TOTAL_BRUTO,TOTAL_NETO,TOTAL_IVA, ID_TIPO, RUT_EMPLEADO, ID_CLIENTE) VALUES(828,TO_DATE('14-05-2025','DD-MM-YYYY'),12500,10504,1996,1,'14526149-K',322);</v>
      </c>
    </row>
    <row r="833" spans="1:10">
      <c r="A833" s="149"/>
      <c r="B833" s="149">
        <v>829</v>
      </c>
      <c r="C833" s="118" t="s">
        <v>2297</v>
      </c>
      <c r="D833" t="s">
        <v>2090</v>
      </c>
      <c r="E833" s="150">
        <v>328</v>
      </c>
      <c r="F833" s="142">
        <v>25500</v>
      </c>
      <c r="G833" s="143">
        <v>21429</v>
      </c>
      <c r="H833" s="144">
        <v>4071</v>
      </c>
      <c r="I833" s="140">
        <v>1</v>
      </c>
      <c r="J833" s="114" t="str">
        <f t="shared" si="12"/>
        <v>INSERT INTO DOCUMENTOS (NRO_DOCUMENTO,FECHA_EMISION,TOTAL_BRUTO,TOTAL_NETO,TOTAL_IVA, ID_TIPO, RUT_EMPLEADO, ID_CLIENTE) VALUES(829,TO_DATE('14-05-2025','DD-MM-YYYY'),25500,21429,4071,1,'14526149-K',328);</v>
      </c>
    </row>
    <row r="834" spans="1:10">
      <c r="A834" s="149"/>
      <c r="B834" s="149">
        <v>830</v>
      </c>
      <c r="C834" s="118" t="s">
        <v>2297</v>
      </c>
      <c r="D834" t="s">
        <v>2090</v>
      </c>
      <c r="E834" s="150">
        <v>334</v>
      </c>
      <c r="F834" s="142">
        <v>8200</v>
      </c>
      <c r="G834" s="143">
        <v>6891</v>
      </c>
      <c r="H834" s="144">
        <v>1309</v>
      </c>
      <c r="I834" s="140">
        <v>1</v>
      </c>
      <c r="J834" s="114" t="str">
        <f t="shared" si="12"/>
        <v>INSERT INTO DOCUMENTOS (NRO_DOCUMENTO,FECHA_EMISION,TOTAL_BRUTO,TOTAL_NETO,TOTAL_IVA, ID_TIPO, RUT_EMPLEADO, ID_CLIENTE) VALUES(830,TO_DATE('14-05-2025','DD-MM-YYYY'),8200,6891,1309,1,'14526149-K',334);</v>
      </c>
    </row>
    <row r="835" spans="1:10">
      <c r="A835" s="149"/>
      <c r="B835" s="149">
        <v>831</v>
      </c>
      <c r="C835" s="118" t="s">
        <v>2297</v>
      </c>
      <c r="D835" t="s">
        <v>2090</v>
      </c>
      <c r="E835" s="150">
        <v>363</v>
      </c>
      <c r="F835" s="142">
        <v>8000</v>
      </c>
      <c r="G835" s="143">
        <v>6723</v>
      </c>
      <c r="H835" s="144">
        <v>1277</v>
      </c>
      <c r="I835" s="140">
        <v>1</v>
      </c>
      <c r="J835" s="114" t="str">
        <f t="shared" si="12"/>
        <v>INSERT INTO DOCUMENTOS (NRO_DOCUMENTO,FECHA_EMISION,TOTAL_BRUTO,TOTAL_NETO,TOTAL_IVA, ID_TIPO, RUT_EMPLEADO, ID_CLIENTE) VALUES(831,TO_DATE('14-05-2025','DD-MM-YYYY'),8000,6723,1277,1,'14526149-K',363);</v>
      </c>
    </row>
    <row r="836" spans="1:10">
      <c r="A836" s="149"/>
      <c r="B836" s="149">
        <v>832</v>
      </c>
      <c r="C836" s="118" t="s">
        <v>2297</v>
      </c>
      <c r="D836" t="s">
        <v>2090</v>
      </c>
      <c r="E836" s="150">
        <v>402</v>
      </c>
      <c r="F836" s="142">
        <v>8000</v>
      </c>
      <c r="G836" s="143">
        <v>6723</v>
      </c>
      <c r="H836" s="144">
        <v>1277</v>
      </c>
      <c r="I836" s="140">
        <v>1</v>
      </c>
      <c r="J836" s="114" t="str">
        <f t="shared" si="12"/>
        <v>INSERT INTO DOCUMENTOS (NRO_DOCUMENTO,FECHA_EMISION,TOTAL_BRUTO,TOTAL_NETO,TOTAL_IVA, ID_TIPO, RUT_EMPLEADO, ID_CLIENTE) VALUES(832,TO_DATE('14-05-2025','DD-MM-YYYY'),8000,6723,1277,1,'14526149-K',402);</v>
      </c>
    </row>
    <row r="837" spans="1:10">
      <c r="A837" s="149"/>
      <c r="B837" s="149">
        <v>833</v>
      </c>
      <c r="C837" s="118" t="s">
        <v>2297</v>
      </c>
      <c r="D837" t="s">
        <v>2090</v>
      </c>
      <c r="E837" s="150">
        <v>405</v>
      </c>
      <c r="F837" s="142">
        <v>15990</v>
      </c>
      <c r="G837" s="143">
        <v>13437</v>
      </c>
      <c r="H837" s="144">
        <v>2553</v>
      </c>
      <c r="I837" s="140">
        <v>1</v>
      </c>
      <c r="J837" s="114" t="str">
        <f t="shared" si="12"/>
        <v>INSERT INTO DOCUMENTOS (NRO_DOCUMENTO,FECHA_EMISION,TOTAL_BRUTO,TOTAL_NETO,TOTAL_IVA, ID_TIPO, RUT_EMPLEADO, ID_CLIENTE) VALUES(833,TO_DATE('14-05-2025','DD-MM-YYYY'),15990,13437,2553,1,'14526149-K',405);</v>
      </c>
    </row>
    <row r="838" spans="1:10">
      <c r="A838" s="149"/>
      <c r="B838" s="149">
        <v>834</v>
      </c>
      <c r="C838" s="151" t="s">
        <v>2298</v>
      </c>
      <c r="D838" t="s">
        <v>2090</v>
      </c>
      <c r="E838" s="150">
        <v>158</v>
      </c>
      <c r="F838" s="142">
        <v>31400</v>
      </c>
      <c r="G838" s="143">
        <v>26387</v>
      </c>
      <c r="H838" s="144">
        <v>5013</v>
      </c>
      <c r="I838" s="140">
        <v>1</v>
      </c>
      <c r="J838" s="114" t="str">
        <f t="shared" ref="J838:J901" si="13">CONCATENATE("INSERT INTO DOCUMENTOS (NRO_DOCUMENTO,FECHA_EMISION,TOTAL_BRUTO,TOTAL_NETO,TOTAL_IVA, ID_TIPO, RUT_EMPLEADO, ID_CLIENTE) VALUES(",B838,",","TO_DATE('",C838,"'",",'DD-MM-YYYY'),",F838,",",G838,",",H838,",",I838,",","'",D838,"',",E838,");")</f>
        <v>INSERT INTO DOCUMENTOS (NRO_DOCUMENTO,FECHA_EMISION,TOTAL_BRUTO,TOTAL_NETO,TOTAL_IVA, ID_TIPO, RUT_EMPLEADO, ID_CLIENTE) VALUES(834,TO_DATE('15-05-2025','DD-MM-YYYY'),31400,26387,5013,1,'14526149-K',158);</v>
      </c>
    </row>
    <row r="839" spans="1:10">
      <c r="A839" s="149"/>
      <c r="B839" s="149">
        <v>835</v>
      </c>
      <c r="C839" s="118" t="s">
        <v>2298</v>
      </c>
      <c r="D839" t="s">
        <v>2090</v>
      </c>
      <c r="E839" s="150">
        <v>159</v>
      </c>
      <c r="F839" s="142">
        <v>25200</v>
      </c>
      <c r="G839" s="143">
        <v>21176</v>
      </c>
      <c r="H839" s="144">
        <v>4024</v>
      </c>
      <c r="I839" s="140">
        <v>1</v>
      </c>
      <c r="J839" s="114" t="str">
        <f t="shared" si="13"/>
        <v>INSERT INTO DOCUMENTOS (NRO_DOCUMENTO,FECHA_EMISION,TOTAL_BRUTO,TOTAL_NETO,TOTAL_IVA, ID_TIPO, RUT_EMPLEADO, ID_CLIENTE) VALUES(835,TO_DATE('15-05-2025','DD-MM-YYYY'),25200,21176,4024,1,'14526149-K',159);</v>
      </c>
    </row>
    <row r="840" spans="1:10">
      <c r="A840" s="149"/>
      <c r="B840" s="149">
        <v>836</v>
      </c>
      <c r="C840" s="118" t="s">
        <v>2298</v>
      </c>
      <c r="D840" s="150" t="s">
        <v>2094</v>
      </c>
      <c r="E840" s="150">
        <v>184</v>
      </c>
      <c r="F840" s="142">
        <v>8000</v>
      </c>
      <c r="G840" s="143">
        <v>6723</v>
      </c>
      <c r="H840" s="144">
        <v>1277</v>
      </c>
      <c r="I840" s="140">
        <v>1</v>
      </c>
      <c r="J840" s="114" t="str">
        <f t="shared" si="13"/>
        <v>INSERT INTO DOCUMENTOS (NRO_DOCUMENTO,FECHA_EMISION,TOTAL_BRUTO,TOTAL_NETO,TOTAL_IVA, ID_TIPO, RUT_EMPLEADO, ID_CLIENTE) VALUES(836,TO_DATE('15-05-2025','DD-MM-YYYY'),8000,6723,1277,1,'17866360-7',184);</v>
      </c>
    </row>
    <row r="841" spans="1:10">
      <c r="A841" s="149"/>
      <c r="B841" s="149">
        <v>837</v>
      </c>
      <c r="C841" s="118" t="s">
        <v>2298</v>
      </c>
      <c r="D841" s="150" t="s">
        <v>2090</v>
      </c>
      <c r="E841" s="150">
        <v>284</v>
      </c>
      <c r="F841" s="142">
        <v>16800</v>
      </c>
      <c r="G841" s="143">
        <v>14118</v>
      </c>
      <c r="H841" s="144">
        <v>2682</v>
      </c>
      <c r="I841" s="140">
        <v>1</v>
      </c>
      <c r="J841" s="114" t="str">
        <f t="shared" si="13"/>
        <v>INSERT INTO DOCUMENTOS (NRO_DOCUMENTO,FECHA_EMISION,TOTAL_BRUTO,TOTAL_NETO,TOTAL_IVA, ID_TIPO, RUT_EMPLEADO, ID_CLIENTE) VALUES(837,TO_DATE('15-05-2025','DD-MM-YYYY'),16800,14118,2682,1,'14526149-K',284);</v>
      </c>
    </row>
    <row r="842" spans="1:10">
      <c r="A842" s="149"/>
      <c r="B842" s="149">
        <v>838</v>
      </c>
      <c r="C842" s="118" t="s">
        <v>2298</v>
      </c>
      <c r="D842" t="s">
        <v>2090</v>
      </c>
      <c r="E842" s="150">
        <v>302</v>
      </c>
      <c r="F842" s="142">
        <v>10500</v>
      </c>
      <c r="G842" s="143">
        <v>8824</v>
      </c>
      <c r="H842" s="144">
        <v>1676</v>
      </c>
      <c r="I842" s="140">
        <v>1</v>
      </c>
      <c r="J842" s="114" t="str">
        <f t="shared" si="13"/>
        <v>INSERT INTO DOCUMENTOS (NRO_DOCUMENTO,FECHA_EMISION,TOTAL_BRUTO,TOTAL_NETO,TOTAL_IVA, ID_TIPO, RUT_EMPLEADO, ID_CLIENTE) VALUES(838,TO_DATE('15-05-2025','DD-MM-YYYY'),10500,8824,1676,1,'14526149-K',302);</v>
      </c>
    </row>
    <row r="843" spans="1:10">
      <c r="A843" s="149"/>
      <c r="B843" s="149">
        <v>839</v>
      </c>
      <c r="C843" s="118" t="s">
        <v>2298</v>
      </c>
      <c r="D843" t="s">
        <v>2090</v>
      </c>
      <c r="E843" s="150">
        <v>386</v>
      </c>
      <c r="F843" s="142">
        <v>44800</v>
      </c>
      <c r="G843" s="143">
        <v>37647</v>
      </c>
      <c r="H843" s="144">
        <v>7153</v>
      </c>
      <c r="I843" s="140">
        <v>1</v>
      </c>
      <c r="J843" s="114" t="str">
        <f t="shared" si="13"/>
        <v>INSERT INTO DOCUMENTOS (NRO_DOCUMENTO,FECHA_EMISION,TOTAL_BRUTO,TOTAL_NETO,TOTAL_IVA, ID_TIPO, RUT_EMPLEADO, ID_CLIENTE) VALUES(839,TO_DATE('15-05-2025','DD-MM-YYYY'),44800,37647,7153,1,'14526149-K',386);</v>
      </c>
    </row>
    <row r="844" spans="1:10">
      <c r="A844" s="149"/>
      <c r="B844" s="149">
        <v>840</v>
      </c>
      <c r="C844" s="151" t="s">
        <v>2299</v>
      </c>
      <c r="D844" t="s">
        <v>2090</v>
      </c>
      <c r="E844" s="150">
        <v>41</v>
      </c>
      <c r="F844" s="142">
        <v>32000</v>
      </c>
      <c r="G844" s="143">
        <v>26891</v>
      </c>
      <c r="H844" s="144">
        <v>5109</v>
      </c>
      <c r="I844" s="140">
        <v>1</v>
      </c>
      <c r="J844" s="114" t="str">
        <f t="shared" si="13"/>
        <v>INSERT INTO DOCUMENTOS (NRO_DOCUMENTO,FECHA_EMISION,TOTAL_BRUTO,TOTAL_NETO,TOTAL_IVA, ID_TIPO, RUT_EMPLEADO, ID_CLIENTE) VALUES(840,TO_DATE('16-05-2025','DD-MM-YYYY'),32000,26891,5109,1,'14526149-K',41);</v>
      </c>
    </row>
    <row r="845" spans="1:10">
      <c r="A845" s="149"/>
      <c r="B845" s="149">
        <v>841</v>
      </c>
      <c r="C845" s="118" t="s">
        <v>2299</v>
      </c>
      <c r="D845" t="s">
        <v>2090</v>
      </c>
      <c r="E845" s="150">
        <v>82</v>
      </c>
      <c r="F845" s="142">
        <v>16000</v>
      </c>
      <c r="G845" s="143">
        <v>13446</v>
      </c>
      <c r="H845" s="144">
        <v>2554</v>
      </c>
      <c r="I845" s="140">
        <v>1</v>
      </c>
      <c r="J845" s="114" t="str">
        <f t="shared" si="13"/>
        <v>INSERT INTO DOCUMENTOS (NRO_DOCUMENTO,FECHA_EMISION,TOTAL_BRUTO,TOTAL_NETO,TOTAL_IVA, ID_TIPO, RUT_EMPLEADO, ID_CLIENTE) VALUES(841,TO_DATE('16-05-2025','DD-MM-YYYY'),16000,13446,2554,1,'14526149-K',82);</v>
      </c>
    </row>
    <row r="846" spans="1:10">
      <c r="A846" s="149"/>
      <c r="B846" s="149">
        <v>842</v>
      </c>
      <c r="C846" s="118" t="s">
        <v>2299</v>
      </c>
      <c r="D846" t="s">
        <v>2090</v>
      </c>
      <c r="E846" s="150">
        <v>166</v>
      </c>
      <c r="F846" s="142">
        <v>16200</v>
      </c>
      <c r="G846" s="143">
        <v>13614</v>
      </c>
      <c r="H846" s="144">
        <v>2586</v>
      </c>
      <c r="I846" s="140">
        <v>1</v>
      </c>
      <c r="J846" s="114" t="str">
        <f t="shared" si="13"/>
        <v>INSERT INTO DOCUMENTOS (NRO_DOCUMENTO,FECHA_EMISION,TOTAL_BRUTO,TOTAL_NETO,TOTAL_IVA, ID_TIPO, RUT_EMPLEADO, ID_CLIENTE) VALUES(842,TO_DATE('16-05-2025','DD-MM-YYYY'),16200,13614,2586,1,'14526149-K',166);</v>
      </c>
    </row>
    <row r="847" spans="1:10">
      <c r="A847" s="149"/>
      <c r="B847" s="149">
        <v>843</v>
      </c>
      <c r="C847" s="118" t="s">
        <v>2299</v>
      </c>
      <c r="D847" t="s">
        <v>2090</v>
      </c>
      <c r="E847" s="150">
        <v>247</v>
      </c>
      <c r="F847" s="142">
        <v>14000</v>
      </c>
      <c r="G847" s="143">
        <v>11765</v>
      </c>
      <c r="H847" s="144">
        <v>2235</v>
      </c>
      <c r="I847" s="140">
        <v>1</v>
      </c>
      <c r="J847" s="114" t="str">
        <f t="shared" si="13"/>
        <v>INSERT INTO DOCUMENTOS (NRO_DOCUMENTO,FECHA_EMISION,TOTAL_BRUTO,TOTAL_NETO,TOTAL_IVA, ID_TIPO, RUT_EMPLEADO, ID_CLIENTE) VALUES(843,TO_DATE('16-05-2025','DD-MM-YYYY'),14000,11765,2235,1,'14526149-K',247);</v>
      </c>
    </row>
    <row r="848" spans="1:10">
      <c r="A848" s="149"/>
      <c r="B848" s="149">
        <v>844</v>
      </c>
      <c r="C848" s="118" t="s">
        <v>2299</v>
      </c>
      <c r="D848" t="s">
        <v>2090</v>
      </c>
      <c r="E848" s="150">
        <v>302</v>
      </c>
      <c r="F848" s="142">
        <v>8000</v>
      </c>
      <c r="G848" s="143">
        <v>6723</v>
      </c>
      <c r="H848" s="144">
        <v>1277</v>
      </c>
      <c r="I848" s="140">
        <v>1</v>
      </c>
      <c r="J848" s="114" t="str">
        <f t="shared" si="13"/>
        <v>INSERT INTO DOCUMENTOS (NRO_DOCUMENTO,FECHA_EMISION,TOTAL_BRUTO,TOTAL_NETO,TOTAL_IVA, ID_TIPO, RUT_EMPLEADO, ID_CLIENTE) VALUES(844,TO_DATE('16-05-2025','DD-MM-YYYY'),8000,6723,1277,1,'14526149-K',302);</v>
      </c>
    </row>
    <row r="849" spans="1:10">
      <c r="A849" s="149"/>
      <c r="B849" s="149">
        <v>845</v>
      </c>
      <c r="C849" s="118" t="s">
        <v>2299</v>
      </c>
      <c r="D849" t="s">
        <v>2090</v>
      </c>
      <c r="E849" s="150">
        <v>374</v>
      </c>
      <c r="F849" s="142">
        <v>10500</v>
      </c>
      <c r="G849" s="143">
        <v>8824</v>
      </c>
      <c r="H849" s="144">
        <v>1676</v>
      </c>
      <c r="I849" s="140">
        <v>1</v>
      </c>
      <c r="J849" s="114" t="str">
        <f t="shared" si="13"/>
        <v>INSERT INTO DOCUMENTOS (NRO_DOCUMENTO,FECHA_EMISION,TOTAL_BRUTO,TOTAL_NETO,TOTAL_IVA, ID_TIPO, RUT_EMPLEADO, ID_CLIENTE) VALUES(845,TO_DATE('16-05-2025','DD-MM-YYYY'),10500,8824,1676,1,'14526149-K',374);</v>
      </c>
    </row>
    <row r="850" spans="1:10">
      <c r="A850" s="149"/>
      <c r="B850" s="149">
        <v>846</v>
      </c>
      <c r="C850" s="118" t="s">
        <v>2299</v>
      </c>
      <c r="D850" t="s">
        <v>2090</v>
      </c>
      <c r="E850" s="150">
        <v>402</v>
      </c>
      <c r="F850" s="142">
        <v>18500</v>
      </c>
      <c r="G850" s="143">
        <v>15547</v>
      </c>
      <c r="H850" s="144">
        <v>2953</v>
      </c>
      <c r="I850" s="140">
        <v>1</v>
      </c>
      <c r="J850" s="114" t="str">
        <f t="shared" si="13"/>
        <v>INSERT INTO DOCUMENTOS (NRO_DOCUMENTO,FECHA_EMISION,TOTAL_BRUTO,TOTAL_NETO,TOTAL_IVA, ID_TIPO, RUT_EMPLEADO, ID_CLIENTE) VALUES(846,TO_DATE('16-05-2025','DD-MM-YYYY'),18500,15547,2953,1,'14526149-K',402);</v>
      </c>
    </row>
    <row r="851" spans="1:10">
      <c r="A851" s="149"/>
      <c r="B851" s="149">
        <v>847</v>
      </c>
      <c r="C851" s="118" t="s">
        <v>2299</v>
      </c>
      <c r="D851" t="s">
        <v>2090</v>
      </c>
      <c r="E851" s="150">
        <v>416</v>
      </c>
      <c r="F851" s="142">
        <v>38100</v>
      </c>
      <c r="G851" s="143">
        <v>32017</v>
      </c>
      <c r="H851" s="144">
        <v>6083</v>
      </c>
      <c r="I851" s="140">
        <v>1</v>
      </c>
      <c r="J851" s="114" t="str">
        <f t="shared" si="13"/>
        <v>INSERT INTO DOCUMENTOS (NRO_DOCUMENTO,FECHA_EMISION,TOTAL_BRUTO,TOTAL_NETO,TOTAL_IVA, ID_TIPO, RUT_EMPLEADO, ID_CLIENTE) VALUES(847,TO_DATE('16-05-2025','DD-MM-YYYY'),38100,32017,6083,1,'14526149-K',416);</v>
      </c>
    </row>
    <row r="852" spans="1:10">
      <c r="A852" s="149"/>
      <c r="B852" s="149">
        <v>848</v>
      </c>
      <c r="C852" s="151" t="s">
        <v>2300</v>
      </c>
      <c r="D852" t="s">
        <v>2090</v>
      </c>
      <c r="E852" s="150">
        <v>76</v>
      </c>
      <c r="F852" s="142">
        <v>10500</v>
      </c>
      <c r="G852" s="143">
        <v>8824</v>
      </c>
      <c r="H852" s="144">
        <v>1676</v>
      </c>
      <c r="I852" s="140">
        <v>1</v>
      </c>
      <c r="J852" s="114" t="str">
        <f t="shared" si="13"/>
        <v>INSERT INTO DOCUMENTOS (NRO_DOCUMENTO,FECHA_EMISION,TOTAL_BRUTO,TOTAL_NETO,TOTAL_IVA, ID_TIPO, RUT_EMPLEADO, ID_CLIENTE) VALUES(848,TO_DATE('17-05-2025','DD-MM-YYYY'),10500,8824,1676,1,'14526149-K',76);</v>
      </c>
    </row>
    <row r="853" spans="1:10">
      <c r="A853" s="149"/>
      <c r="B853" s="149">
        <v>849</v>
      </c>
      <c r="C853" s="118" t="s">
        <v>2300</v>
      </c>
      <c r="D853" t="s">
        <v>2090</v>
      </c>
      <c r="E853" s="150">
        <v>119</v>
      </c>
      <c r="F853" s="142">
        <v>12800</v>
      </c>
      <c r="G853" s="143">
        <v>10757</v>
      </c>
      <c r="H853" s="144">
        <v>2043</v>
      </c>
      <c r="I853" s="140">
        <v>1</v>
      </c>
      <c r="J853" s="114" t="str">
        <f t="shared" si="13"/>
        <v>INSERT INTO DOCUMENTOS (NRO_DOCUMENTO,FECHA_EMISION,TOTAL_BRUTO,TOTAL_NETO,TOTAL_IVA, ID_TIPO, RUT_EMPLEADO, ID_CLIENTE) VALUES(849,TO_DATE('17-05-2025','DD-MM-YYYY'),12800,10757,2043,1,'14526149-K',119);</v>
      </c>
    </row>
    <row r="854" spans="1:10">
      <c r="A854" s="149"/>
      <c r="B854" s="150">
        <v>850</v>
      </c>
      <c r="C854" s="118" t="s">
        <v>2300</v>
      </c>
      <c r="D854" t="s">
        <v>2090</v>
      </c>
      <c r="E854" s="150">
        <v>300</v>
      </c>
      <c r="F854" s="142">
        <v>9800</v>
      </c>
      <c r="G854" s="143">
        <v>8236</v>
      </c>
      <c r="H854" s="144">
        <v>1564</v>
      </c>
      <c r="I854" s="140">
        <v>1</v>
      </c>
      <c r="J854" s="114" t="str">
        <f t="shared" si="13"/>
        <v>INSERT INTO DOCUMENTOS (NRO_DOCUMENTO,FECHA_EMISION,TOTAL_BRUTO,TOTAL_NETO,TOTAL_IVA, ID_TIPO, RUT_EMPLEADO, ID_CLIENTE) VALUES(850,TO_DATE('17-05-2025','DD-MM-YYYY'),9800,8236,1564,1,'14526149-K',300);</v>
      </c>
    </row>
    <row r="855" spans="1:10">
      <c r="A855" s="149"/>
      <c r="B855" s="149">
        <v>851</v>
      </c>
      <c r="C855" s="118" t="s">
        <v>2300</v>
      </c>
      <c r="D855" t="s">
        <v>2090</v>
      </c>
      <c r="E855" s="150">
        <v>312</v>
      </c>
      <c r="F855" s="142">
        <v>8000</v>
      </c>
      <c r="G855" s="143">
        <v>6723</v>
      </c>
      <c r="H855" s="144">
        <v>1277</v>
      </c>
      <c r="I855" s="140">
        <v>1</v>
      </c>
      <c r="J855" s="114" t="str">
        <f t="shared" si="13"/>
        <v>INSERT INTO DOCUMENTOS (NRO_DOCUMENTO,FECHA_EMISION,TOTAL_BRUTO,TOTAL_NETO,TOTAL_IVA, ID_TIPO, RUT_EMPLEADO, ID_CLIENTE) VALUES(851,TO_DATE('17-05-2025','DD-MM-YYYY'),8000,6723,1277,1,'14526149-K',312);</v>
      </c>
    </row>
    <row r="856" spans="1:10">
      <c r="A856" s="149"/>
      <c r="B856" s="149">
        <v>852</v>
      </c>
      <c r="C856" s="151" t="s">
        <v>2301</v>
      </c>
      <c r="D856" t="s">
        <v>2090</v>
      </c>
      <c r="E856" s="150">
        <v>57</v>
      </c>
      <c r="F856" s="142">
        <v>8000</v>
      </c>
      <c r="G856" s="143">
        <v>6723</v>
      </c>
      <c r="H856" s="144">
        <v>1277</v>
      </c>
      <c r="I856" s="140">
        <v>1</v>
      </c>
      <c r="J856" s="114" t="str">
        <f t="shared" si="13"/>
        <v>INSERT INTO DOCUMENTOS (NRO_DOCUMENTO,FECHA_EMISION,TOTAL_BRUTO,TOTAL_NETO,TOTAL_IVA, ID_TIPO, RUT_EMPLEADO, ID_CLIENTE) VALUES(852,TO_DATE('18-05-2025','DD-MM-YYYY'),8000,6723,1277,1,'14526149-K',57);</v>
      </c>
    </row>
    <row r="857" spans="1:10">
      <c r="A857" s="149"/>
      <c r="B857" s="149">
        <v>853</v>
      </c>
      <c r="C857" s="118" t="s">
        <v>2301</v>
      </c>
      <c r="D857" t="s">
        <v>2090</v>
      </c>
      <c r="E857" s="150">
        <v>155</v>
      </c>
      <c r="F857" s="142">
        <v>8000</v>
      </c>
      <c r="G857" s="143">
        <v>6723</v>
      </c>
      <c r="H857" s="144">
        <v>1277</v>
      </c>
      <c r="I857" s="140">
        <v>1</v>
      </c>
      <c r="J857" s="114" t="str">
        <f t="shared" si="13"/>
        <v>INSERT INTO DOCUMENTOS (NRO_DOCUMENTO,FECHA_EMISION,TOTAL_BRUTO,TOTAL_NETO,TOTAL_IVA, ID_TIPO, RUT_EMPLEADO, ID_CLIENTE) VALUES(853,TO_DATE('18-05-2025','DD-MM-YYYY'),8000,6723,1277,1,'14526149-K',155);</v>
      </c>
    </row>
    <row r="858" spans="1:10">
      <c r="A858" s="149"/>
      <c r="B858" s="149">
        <v>854</v>
      </c>
      <c r="C858" s="151" t="s">
        <v>2302</v>
      </c>
      <c r="D858" t="s">
        <v>2090</v>
      </c>
      <c r="E858" s="150">
        <v>84</v>
      </c>
      <c r="F858" s="142">
        <v>16500</v>
      </c>
      <c r="G858" s="143">
        <v>13866</v>
      </c>
      <c r="H858" s="144">
        <v>2634</v>
      </c>
      <c r="I858" s="140">
        <v>1</v>
      </c>
      <c r="J858" s="114" t="str">
        <f t="shared" si="13"/>
        <v>INSERT INTO DOCUMENTOS (NRO_DOCUMENTO,FECHA_EMISION,TOTAL_BRUTO,TOTAL_NETO,TOTAL_IVA, ID_TIPO, RUT_EMPLEADO, ID_CLIENTE) VALUES(854,TO_DATE('19-05-2025','DD-MM-YYYY'),16500,13866,2634,1,'14526149-K',84);</v>
      </c>
    </row>
    <row r="859" spans="1:10">
      <c r="A859" s="149"/>
      <c r="B859" s="149">
        <v>855</v>
      </c>
      <c r="C859" s="118" t="s">
        <v>2302</v>
      </c>
      <c r="D859" t="s">
        <v>2090</v>
      </c>
      <c r="E859" s="150">
        <v>166</v>
      </c>
      <c r="F859" s="142">
        <v>1650</v>
      </c>
      <c r="G859" s="143">
        <v>1387</v>
      </c>
      <c r="H859" s="144">
        <v>263</v>
      </c>
      <c r="I859" s="140">
        <v>1</v>
      </c>
      <c r="J859" s="114" t="str">
        <f t="shared" si="13"/>
        <v>INSERT INTO DOCUMENTOS (NRO_DOCUMENTO,FECHA_EMISION,TOTAL_BRUTO,TOTAL_NETO,TOTAL_IVA, ID_TIPO, RUT_EMPLEADO, ID_CLIENTE) VALUES(855,TO_DATE('19-05-2025','DD-MM-YYYY'),1650,1387,263,1,'14526149-K',166);</v>
      </c>
    </row>
    <row r="860" spans="1:10">
      <c r="A860" s="149"/>
      <c r="B860" s="149">
        <v>856</v>
      </c>
      <c r="C860" s="118" t="s">
        <v>2302</v>
      </c>
      <c r="D860" t="s">
        <v>2090</v>
      </c>
      <c r="E860" s="150">
        <v>230</v>
      </c>
      <c r="F860" s="142">
        <v>8000</v>
      </c>
      <c r="G860" s="143">
        <v>6723</v>
      </c>
      <c r="H860" s="144">
        <v>1277</v>
      </c>
      <c r="I860" s="140">
        <v>1</v>
      </c>
      <c r="J860" s="114" t="str">
        <f t="shared" si="13"/>
        <v>INSERT INTO DOCUMENTOS (NRO_DOCUMENTO,FECHA_EMISION,TOTAL_BRUTO,TOTAL_NETO,TOTAL_IVA, ID_TIPO, RUT_EMPLEADO, ID_CLIENTE) VALUES(856,TO_DATE('19-05-2025','DD-MM-YYYY'),8000,6723,1277,1,'14526149-K',230);</v>
      </c>
    </row>
    <row r="861" spans="1:10">
      <c r="A861" s="149"/>
      <c r="B861" s="149">
        <v>857</v>
      </c>
      <c r="C861" s="118" t="s">
        <v>2302</v>
      </c>
      <c r="D861" t="s">
        <v>2090</v>
      </c>
      <c r="E861" s="150">
        <v>254</v>
      </c>
      <c r="F861" s="142">
        <v>8000</v>
      </c>
      <c r="G861" s="143">
        <v>6723</v>
      </c>
      <c r="H861" s="144">
        <v>1277</v>
      </c>
      <c r="I861" s="140">
        <v>1</v>
      </c>
      <c r="J861" s="114" t="str">
        <f t="shared" si="13"/>
        <v>INSERT INTO DOCUMENTOS (NRO_DOCUMENTO,FECHA_EMISION,TOTAL_BRUTO,TOTAL_NETO,TOTAL_IVA, ID_TIPO, RUT_EMPLEADO, ID_CLIENTE) VALUES(857,TO_DATE('19-05-2025','DD-MM-YYYY'),8000,6723,1277,1,'14526149-K',254);</v>
      </c>
    </row>
    <row r="862" spans="1:10">
      <c r="A862" s="149"/>
      <c r="B862" s="149">
        <v>858</v>
      </c>
      <c r="C862" s="118" t="s">
        <v>2302</v>
      </c>
      <c r="D862" t="s">
        <v>2090</v>
      </c>
      <c r="E862" s="150">
        <v>298</v>
      </c>
      <c r="F862" s="142">
        <v>47600</v>
      </c>
      <c r="G862" s="143">
        <v>40000</v>
      </c>
      <c r="H862" s="144">
        <v>7600</v>
      </c>
      <c r="I862" s="140">
        <v>1</v>
      </c>
      <c r="J862" s="114" t="str">
        <f t="shared" si="13"/>
        <v>INSERT INTO DOCUMENTOS (NRO_DOCUMENTO,FECHA_EMISION,TOTAL_BRUTO,TOTAL_NETO,TOTAL_IVA, ID_TIPO, RUT_EMPLEADO, ID_CLIENTE) VALUES(858,TO_DATE('19-05-2025','DD-MM-YYYY'),47600,40000,7600,1,'14526149-K',298);</v>
      </c>
    </row>
    <row r="863" spans="1:10">
      <c r="A863" s="149"/>
      <c r="B863" s="149">
        <v>859</v>
      </c>
      <c r="C863" s="118" t="s">
        <v>2302</v>
      </c>
      <c r="D863" t="s">
        <v>2090</v>
      </c>
      <c r="E863" s="150">
        <v>306</v>
      </c>
      <c r="F863" s="142">
        <v>204300</v>
      </c>
      <c r="G863" s="143">
        <v>171681</v>
      </c>
      <c r="H863" s="144">
        <v>32619</v>
      </c>
      <c r="I863" s="140">
        <v>1</v>
      </c>
      <c r="J863" s="114" t="str">
        <f t="shared" si="13"/>
        <v>INSERT INTO DOCUMENTOS (NRO_DOCUMENTO,FECHA_EMISION,TOTAL_BRUTO,TOTAL_NETO,TOTAL_IVA, ID_TIPO, RUT_EMPLEADO, ID_CLIENTE) VALUES(859,TO_DATE('19-05-2025','DD-MM-YYYY'),204300,171681,32619,1,'14526149-K',306);</v>
      </c>
    </row>
    <row r="864" spans="1:10">
      <c r="A864" s="149"/>
      <c r="B864" s="149">
        <v>860</v>
      </c>
      <c r="C864" s="118" t="s">
        <v>2302</v>
      </c>
      <c r="D864" t="s">
        <v>2090</v>
      </c>
      <c r="E864" s="150">
        <v>360</v>
      </c>
      <c r="F864" s="142">
        <v>16500</v>
      </c>
      <c r="G864" s="143">
        <v>13866</v>
      </c>
      <c r="H864" s="144">
        <v>2634</v>
      </c>
      <c r="I864" s="140">
        <v>1</v>
      </c>
      <c r="J864" s="114" t="str">
        <f t="shared" si="13"/>
        <v>INSERT INTO DOCUMENTOS (NRO_DOCUMENTO,FECHA_EMISION,TOTAL_BRUTO,TOTAL_NETO,TOTAL_IVA, ID_TIPO, RUT_EMPLEADO, ID_CLIENTE) VALUES(860,TO_DATE('19-05-2025','DD-MM-YYYY'),16500,13866,2634,1,'14526149-K',360);</v>
      </c>
    </row>
    <row r="865" spans="1:10">
      <c r="A865" s="149"/>
      <c r="B865" s="149">
        <v>861</v>
      </c>
      <c r="C865" s="151" t="s">
        <v>2303</v>
      </c>
      <c r="D865" t="s">
        <v>2090</v>
      </c>
      <c r="E865" s="150">
        <v>193</v>
      </c>
      <c r="F865" s="142">
        <v>25300</v>
      </c>
      <c r="G865" s="143">
        <v>21260</v>
      </c>
      <c r="H865" s="144">
        <v>4040</v>
      </c>
      <c r="I865" s="140">
        <v>1</v>
      </c>
      <c r="J865" s="114" t="str">
        <f t="shared" si="13"/>
        <v>INSERT INTO DOCUMENTOS (NRO_DOCUMENTO,FECHA_EMISION,TOTAL_BRUTO,TOTAL_NETO,TOTAL_IVA, ID_TIPO, RUT_EMPLEADO, ID_CLIENTE) VALUES(861,TO_DATE('20-05-2025','DD-MM-YYYY'),25300,21260,4040,1,'14526149-K',193);</v>
      </c>
    </row>
    <row r="866" spans="1:10">
      <c r="A866" s="149"/>
      <c r="B866" s="149">
        <v>862</v>
      </c>
      <c r="C866" s="118" t="s">
        <v>2303</v>
      </c>
      <c r="D866" t="s">
        <v>2090</v>
      </c>
      <c r="E866" s="150">
        <v>323</v>
      </c>
      <c r="F866" s="142">
        <v>40200</v>
      </c>
      <c r="G866" s="143">
        <v>33783</v>
      </c>
      <c r="H866" s="144">
        <v>6417</v>
      </c>
      <c r="I866" s="140">
        <v>1</v>
      </c>
      <c r="J866" s="114" t="str">
        <f t="shared" si="13"/>
        <v>INSERT INTO DOCUMENTOS (NRO_DOCUMENTO,FECHA_EMISION,TOTAL_BRUTO,TOTAL_NETO,TOTAL_IVA, ID_TIPO, RUT_EMPLEADO, ID_CLIENTE) VALUES(862,TO_DATE('20-05-2025','DD-MM-YYYY'),40200,33783,6417,1,'14526149-K',323);</v>
      </c>
    </row>
    <row r="867" spans="1:10">
      <c r="A867" s="149"/>
      <c r="B867" s="149">
        <v>863</v>
      </c>
      <c r="C867" s="118" t="s">
        <v>2303</v>
      </c>
      <c r="D867" t="s">
        <v>2090</v>
      </c>
      <c r="E867" s="150">
        <v>436</v>
      </c>
      <c r="F867" s="142">
        <v>26000</v>
      </c>
      <c r="G867" s="143">
        <v>21849</v>
      </c>
      <c r="H867" s="144">
        <v>4151</v>
      </c>
      <c r="I867" s="140">
        <v>1</v>
      </c>
      <c r="J867" s="114" t="str">
        <f t="shared" si="13"/>
        <v>INSERT INTO DOCUMENTOS (NRO_DOCUMENTO,FECHA_EMISION,TOTAL_BRUTO,TOTAL_NETO,TOTAL_IVA, ID_TIPO, RUT_EMPLEADO, ID_CLIENTE) VALUES(863,TO_DATE('20-05-2025','DD-MM-YYYY'),26000,21849,4151,1,'14526149-K',436);</v>
      </c>
    </row>
    <row r="868" spans="1:10">
      <c r="A868" s="149"/>
      <c r="B868" s="149">
        <v>864</v>
      </c>
      <c r="C868" s="118" t="s">
        <v>2303</v>
      </c>
      <c r="D868" t="s">
        <v>2090</v>
      </c>
      <c r="E868" s="150">
        <v>440</v>
      </c>
      <c r="F868" s="142">
        <v>8000</v>
      </c>
      <c r="G868" s="143">
        <v>6723</v>
      </c>
      <c r="H868" s="144">
        <v>1277</v>
      </c>
      <c r="I868" s="140">
        <v>1</v>
      </c>
      <c r="J868" s="114" t="str">
        <f t="shared" si="13"/>
        <v>INSERT INTO DOCUMENTOS (NRO_DOCUMENTO,FECHA_EMISION,TOTAL_BRUTO,TOTAL_NETO,TOTAL_IVA, ID_TIPO, RUT_EMPLEADO, ID_CLIENTE) VALUES(864,TO_DATE('20-05-2025','DD-MM-YYYY'),8000,6723,1277,1,'14526149-K',440);</v>
      </c>
    </row>
    <row r="869" spans="1:10">
      <c r="A869" s="149"/>
      <c r="B869" s="149">
        <v>865</v>
      </c>
      <c r="C869" s="118" t="s">
        <v>2303</v>
      </c>
      <c r="D869" t="s">
        <v>2090</v>
      </c>
      <c r="E869" s="150">
        <v>486</v>
      </c>
      <c r="F869" s="142">
        <v>8000</v>
      </c>
      <c r="G869" s="143">
        <v>6723</v>
      </c>
      <c r="H869" s="144">
        <v>1277</v>
      </c>
      <c r="I869" s="140">
        <v>1</v>
      </c>
      <c r="J869" s="114" t="str">
        <f t="shared" si="13"/>
        <v>INSERT INTO DOCUMENTOS (NRO_DOCUMENTO,FECHA_EMISION,TOTAL_BRUTO,TOTAL_NETO,TOTAL_IVA, ID_TIPO, RUT_EMPLEADO, ID_CLIENTE) VALUES(865,TO_DATE('20-05-2025','DD-MM-YYYY'),8000,6723,1277,1,'14526149-K',486);</v>
      </c>
    </row>
    <row r="870" spans="1:10">
      <c r="A870" s="149"/>
      <c r="B870" s="149">
        <v>866</v>
      </c>
      <c r="C870" s="151" t="s">
        <v>2304</v>
      </c>
      <c r="D870" t="s">
        <v>2090</v>
      </c>
      <c r="E870" s="150">
        <v>56</v>
      </c>
      <c r="F870" s="142">
        <v>19000</v>
      </c>
      <c r="G870" s="143">
        <v>15967</v>
      </c>
      <c r="H870" s="144">
        <v>3033</v>
      </c>
      <c r="I870" s="140">
        <v>1</v>
      </c>
      <c r="J870" s="114" t="str">
        <f t="shared" si="13"/>
        <v>INSERT INTO DOCUMENTOS (NRO_DOCUMENTO,FECHA_EMISION,TOTAL_BRUTO,TOTAL_NETO,TOTAL_IVA, ID_TIPO, RUT_EMPLEADO, ID_CLIENTE) VALUES(866,TO_DATE('21-05-2025','DD-MM-YYYY'),19000,15967,3033,1,'14526149-K',56);</v>
      </c>
    </row>
    <row r="871" spans="1:10">
      <c r="A871" s="149"/>
      <c r="B871" s="149">
        <v>867</v>
      </c>
      <c r="C871" s="118" t="s">
        <v>2304</v>
      </c>
      <c r="D871" t="s">
        <v>2090</v>
      </c>
      <c r="E871" s="150">
        <v>110</v>
      </c>
      <c r="F871" s="142">
        <v>9500</v>
      </c>
      <c r="G871" s="143">
        <v>7983</v>
      </c>
      <c r="H871" s="144">
        <v>1517</v>
      </c>
      <c r="I871" s="140">
        <v>1</v>
      </c>
      <c r="J871" s="114" t="str">
        <f t="shared" si="13"/>
        <v>INSERT INTO DOCUMENTOS (NRO_DOCUMENTO,FECHA_EMISION,TOTAL_BRUTO,TOTAL_NETO,TOTAL_IVA, ID_TIPO, RUT_EMPLEADO, ID_CLIENTE) VALUES(867,TO_DATE('21-05-2025','DD-MM-YYYY'),9500,7983,1517,1,'14526149-K',110);</v>
      </c>
    </row>
    <row r="872" spans="1:10">
      <c r="A872" s="149"/>
      <c r="B872" s="149">
        <v>868</v>
      </c>
      <c r="C872" s="118" t="s">
        <v>2304</v>
      </c>
      <c r="D872" t="s">
        <v>2090</v>
      </c>
      <c r="E872" s="150">
        <v>158</v>
      </c>
      <c r="F872" s="142">
        <v>4000</v>
      </c>
      <c r="G872" s="143">
        <v>3361</v>
      </c>
      <c r="H872" s="144">
        <v>639</v>
      </c>
      <c r="I872" s="140">
        <v>1</v>
      </c>
      <c r="J872" s="114" t="str">
        <f t="shared" si="13"/>
        <v>INSERT INTO DOCUMENTOS (NRO_DOCUMENTO,FECHA_EMISION,TOTAL_BRUTO,TOTAL_NETO,TOTAL_IVA, ID_TIPO, RUT_EMPLEADO, ID_CLIENTE) VALUES(868,TO_DATE('21-05-2025','DD-MM-YYYY'),4000,3361,639,1,'14526149-K',158);</v>
      </c>
    </row>
    <row r="873" spans="1:10">
      <c r="A873" s="149"/>
      <c r="B873" s="149">
        <v>869</v>
      </c>
      <c r="C873" s="118" t="s">
        <v>2304</v>
      </c>
      <c r="D873" t="s">
        <v>2090</v>
      </c>
      <c r="E873" s="150">
        <v>166</v>
      </c>
      <c r="F873" s="142">
        <v>11000</v>
      </c>
      <c r="G873" s="143">
        <v>9244</v>
      </c>
      <c r="H873" s="144">
        <v>1756</v>
      </c>
      <c r="I873" s="140">
        <v>1</v>
      </c>
      <c r="J873" s="114" t="str">
        <f t="shared" si="13"/>
        <v>INSERT INTO DOCUMENTOS (NRO_DOCUMENTO,FECHA_EMISION,TOTAL_BRUTO,TOTAL_NETO,TOTAL_IVA, ID_TIPO, RUT_EMPLEADO, ID_CLIENTE) VALUES(869,TO_DATE('21-05-2025','DD-MM-YYYY'),11000,9244,1756,1,'14526149-K',166);</v>
      </c>
    </row>
    <row r="874" spans="1:10">
      <c r="A874" s="149"/>
      <c r="B874" s="149">
        <v>870</v>
      </c>
      <c r="C874" s="118" t="s">
        <v>2304</v>
      </c>
      <c r="D874" t="s">
        <v>2090</v>
      </c>
      <c r="E874" s="150">
        <v>177</v>
      </c>
      <c r="F874" s="142">
        <v>11000</v>
      </c>
      <c r="G874" s="143">
        <v>9244</v>
      </c>
      <c r="H874" s="144">
        <v>1756</v>
      </c>
      <c r="I874" s="140">
        <v>1</v>
      </c>
      <c r="J874" s="114" t="str">
        <f t="shared" si="13"/>
        <v>INSERT INTO DOCUMENTOS (NRO_DOCUMENTO,FECHA_EMISION,TOTAL_BRUTO,TOTAL_NETO,TOTAL_IVA, ID_TIPO, RUT_EMPLEADO, ID_CLIENTE) VALUES(870,TO_DATE('21-05-2025','DD-MM-YYYY'),11000,9244,1756,1,'14526149-K',177);</v>
      </c>
    </row>
    <row r="875" spans="1:10">
      <c r="A875" s="149"/>
      <c r="B875" s="149">
        <v>871</v>
      </c>
      <c r="C875" s="118" t="s">
        <v>2304</v>
      </c>
      <c r="D875" t="s">
        <v>2090</v>
      </c>
      <c r="E875" s="150">
        <v>229</v>
      </c>
      <c r="F875" s="142">
        <v>32000</v>
      </c>
      <c r="G875" s="143">
        <v>26891</v>
      </c>
      <c r="H875" s="144">
        <v>5109</v>
      </c>
      <c r="I875" s="140">
        <v>1</v>
      </c>
      <c r="J875" s="114" t="str">
        <f t="shared" si="13"/>
        <v>INSERT INTO DOCUMENTOS (NRO_DOCUMENTO,FECHA_EMISION,TOTAL_BRUTO,TOTAL_NETO,TOTAL_IVA, ID_TIPO, RUT_EMPLEADO, ID_CLIENTE) VALUES(871,TO_DATE('21-05-2025','DD-MM-YYYY'),32000,26891,5109,1,'14526149-K',229);</v>
      </c>
    </row>
    <row r="876" spans="1:10">
      <c r="A876" s="149"/>
      <c r="B876" s="149">
        <v>872</v>
      </c>
      <c r="C876" s="118" t="s">
        <v>2304</v>
      </c>
      <c r="D876" t="s">
        <v>2090</v>
      </c>
      <c r="E876" s="150">
        <v>243</v>
      </c>
      <c r="F876" s="142">
        <v>11000</v>
      </c>
      <c r="G876" s="143">
        <v>9244</v>
      </c>
      <c r="H876" s="144">
        <v>1756</v>
      </c>
      <c r="I876" s="140">
        <v>1</v>
      </c>
      <c r="J876" s="114" t="str">
        <f t="shared" si="13"/>
        <v>INSERT INTO DOCUMENTOS (NRO_DOCUMENTO,FECHA_EMISION,TOTAL_BRUTO,TOTAL_NETO,TOTAL_IVA, ID_TIPO, RUT_EMPLEADO, ID_CLIENTE) VALUES(872,TO_DATE('21-05-2025','DD-MM-YYYY'),11000,9244,1756,1,'14526149-K',243);</v>
      </c>
    </row>
    <row r="877" spans="1:10">
      <c r="A877" s="149"/>
      <c r="B877" s="149">
        <v>873</v>
      </c>
      <c r="C877" s="118" t="s">
        <v>2304</v>
      </c>
      <c r="D877" t="s">
        <v>2090</v>
      </c>
      <c r="E877" s="150">
        <v>276</v>
      </c>
      <c r="F877" s="142">
        <v>11000</v>
      </c>
      <c r="G877" s="143">
        <v>9244</v>
      </c>
      <c r="H877" s="144">
        <v>1756</v>
      </c>
      <c r="I877" s="140">
        <v>1</v>
      </c>
      <c r="J877" s="114" t="str">
        <f t="shared" si="13"/>
        <v>INSERT INTO DOCUMENTOS (NRO_DOCUMENTO,FECHA_EMISION,TOTAL_BRUTO,TOTAL_NETO,TOTAL_IVA, ID_TIPO, RUT_EMPLEADO, ID_CLIENTE) VALUES(873,TO_DATE('21-05-2025','DD-MM-YYYY'),11000,9244,1756,1,'14526149-K',276);</v>
      </c>
    </row>
    <row r="878" spans="1:10">
      <c r="A878" s="149"/>
      <c r="B878" s="149">
        <v>874</v>
      </c>
      <c r="C878" s="118" t="s">
        <v>2304</v>
      </c>
      <c r="D878" t="s">
        <v>2090</v>
      </c>
      <c r="E878" s="150">
        <v>355</v>
      </c>
      <c r="F878" s="142">
        <v>34000</v>
      </c>
      <c r="G878" s="143">
        <v>28572</v>
      </c>
      <c r="H878" s="144">
        <v>5428</v>
      </c>
      <c r="I878" s="140">
        <v>1</v>
      </c>
      <c r="J878" s="114" t="str">
        <f t="shared" si="13"/>
        <v>INSERT INTO DOCUMENTOS (NRO_DOCUMENTO,FECHA_EMISION,TOTAL_BRUTO,TOTAL_NETO,TOTAL_IVA, ID_TIPO, RUT_EMPLEADO, ID_CLIENTE) VALUES(874,TO_DATE('21-05-2025','DD-MM-YYYY'),34000,28572,5428,1,'14526149-K',355);</v>
      </c>
    </row>
    <row r="879" spans="1:10">
      <c r="A879" s="149"/>
      <c r="B879" s="149">
        <v>875</v>
      </c>
      <c r="C879" s="118" t="s">
        <v>2304</v>
      </c>
      <c r="D879" t="s">
        <v>2090</v>
      </c>
      <c r="E879" s="150">
        <v>369</v>
      </c>
      <c r="F879" s="142">
        <v>32000</v>
      </c>
      <c r="G879" s="143">
        <v>26891</v>
      </c>
      <c r="H879" s="144">
        <v>5109</v>
      </c>
      <c r="I879" s="140">
        <v>1</v>
      </c>
      <c r="J879" s="114" t="str">
        <f t="shared" si="13"/>
        <v>INSERT INTO DOCUMENTOS (NRO_DOCUMENTO,FECHA_EMISION,TOTAL_BRUTO,TOTAL_NETO,TOTAL_IVA, ID_TIPO, RUT_EMPLEADO, ID_CLIENTE) VALUES(875,TO_DATE('21-05-2025','DD-MM-YYYY'),32000,26891,5109,1,'14526149-K',369);</v>
      </c>
    </row>
    <row r="880" spans="1:10">
      <c r="A880" s="149"/>
      <c r="B880" s="149">
        <v>876</v>
      </c>
      <c r="C880" s="118" t="s">
        <v>2304</v>
      </c>
      <c r="D880" t="s">
        <v>2090</v>
      </c>
      <c r="E880" s="150">
        <v>450</v>
      </c>
      <c r="F880" s="142">
        <v>21500</v>
      </c>
      <c r="G880" s="143">
        <v>18068</v>
      </c>
      <c r="H880" s="144">
        <v>3432</v>
      </c>
      <c r="I880" s="140">
        <v>1</v>
      </c>
      <c r="J880" s="114" t="str">
        <f t="shared" si="13"/>
        <v>INSERT INTO DOCUMENTOS (NRO_DOCUMENTO,FECHA_EMISION,TOTAL_BRUTO,TOTAL_NETO,TOTAL_IVA, ID_TIPO, RUT_EMPLEADO, ID_CLIENTE) VALUES(876,TO_DATE('21-05-2025','DD-MM-YYYY'),21500,18068,3432,1,'14526149-K',450);</v>
      </c>
    </row>
    <row r="881" spans="1:10">
      <c r="A881" s="149"/>
      <c r="B881" s="149">
        <v>877</v>
      </c>
      <c r="C881" s="118" t="s">
        <v>2304</v>
      </c>
      <c r="D881" t="s">
        <v>2090</v>
      </c>
      <c r="E881" s="150">
        <v>476</v>
      </c>
      <c r="F881" s="142">
        <v>19000</v>
      </c>
      <c r="G881" s="143">
        <v>15967</v>
      </c>
      <c r="H881" s="144">
        <v>3033</v>
      </c>
      <c r="I881" s="140">
        <v>1</v>
      </c>
      <c r="J881" s="114" t="str">
        <f t="shared" si="13"/>
        <v>INSERT INTO DOCUMENTOS (NRO_DOCUMENTO,FECHA_EMISION,TOTAL_BRUTO,TOTAL_NETO,TOTAL_IVA, ID_TIPO, RUT_EMPLEADO, ID_CLIENTE) VALUES(877,TO_DATE('21-05-2025','DD-MM-YYYY'),19000,15967,3033,1,'14526149-K',476);</v>
      </c>
    </row>
    <row r="882" spans="1:10">
      <c r="A882" s="149"/>
      <c r="B882" s="149">
        <v>878</v>
      </c>
      <c r="C882" s="151" t="s">
        <v>2305</v>
      </c>
      <c r="D882" t="s">
        <v>2090</v>
      </c>
      <c r="E882" s="150">
        <v>65</v>
      </c>
      <c r="F882" s="142">
        <v>11000</v>
      </c>
      <c r="G882" s="143">
        <v>9244</v>
      </c>
      <c r="H882" s="144">
        <v>1756</v>
      </c>
      <c r="I882" s="140">
        <v>1</v>
      </c>
      <c r="J882" s="114" t="str">
        <f t="shared" si="13"/>
        <v>INSERT INTO DOCUMENTOS (NRO_DOCUMENTO,FECHA_EMISION,TOTAL_BRUTO,TOTAL_NETO,TOTAL_IVA, ID_TIPO, RUT_EMPLEADO, ID_CLIENTE) VALUES(878,TO_DATE('22-05-2025','DD-MM-YYYY'),11000,9244,1756,1,'14526149-K',65);</v>
      </c>
    </row>
    <row r="883" spans="1:10">
      <c r="A883" s="149"/>
      <c r="B883" s="149">
        <v>879</v>
      </c>
      <c r="C883" s="118" t="s">
        <v>2305</v>
      </c>
      <c r="D883" t="s">
        <v>2090</v>
      </c>
      <c r="E883" s="150">
        <v>142</v>
      </c>
      <c r="F883" s="142">
        <v>6000</v>
      </c>
      <c r="G883" s="143">
        <v>5042</v>
      </c>
      <c r="H883" s="144">
        <v>958</v>
      </c>
      <c r="I883" s="140">
        <v>1</v>
      </c>
      <c r="J883" s="114" t="str">
        <f t="shared" si="13"/>
        <v>INSERT INTO DOCUMENTOS (NRO_DOCUMENTO,FECHA_EMISION,TOTAL_BRUTO,TOTAL_NETO,TOTAL_IVA, ID_TIPO, RUT_EMPLEADO, ID_CLIENTE) VALUES(879,TO_DATE('22-05-2025','DD-MM-YYYY'),6000,5042,958,1,'14526149-K',142);</v>
      </c>
    </row>
    <row r="884" spans="1:10">
      <c r="A884" s="149"/>
      <c r="B884" s="149">
        <v>880</v>
      </c>
      <c r="C884" s="118" t="s">
        <v>2305</v>
      </c>
      <c r="D884" t="s">
        <v>2090</v>
      </c>
      <c r="E884" s="150">
        <v>155</v>
      </c>
      <c r="F884" s="142">
        <v>8000</v>
      </c>
      <c r="G884" s="143">
        <v>6723</v>
      </c>
      <c r="H884" s="144">
        <v>1277</v>
      </c>
      <c r="I884" s="140">
        <v>1</v>
      </c>
      <c r="J884" s="114" t="str">
        <f t="shared" si="13"/>
        <v>INSERT INTO DOCUMENTOS (NRO_DOCUMENTO,FECHA_EMISION,TOTAL_BRUTO,TOTAL_NETO,TOTAL_IVA, ID_TIPO, RUT_EMPLEADO, ID_CLIENTE) VALUES(880,TO_DATE('22-05-2025','DD-MM-YYYY'),8000,6723,1277,1,'14526149-K',155);</v>
      </c>
    </row>
    <row r="885" spans="1:10">
      <c r="A885" s="149"/>
      <c r="B885" s="149">
        <v>881</v>
      </c>
      <c r="C885" s="118" t="s">
        <v>2305</v>
      </c>
      <c r="D885" t="s">
        <v>2090</v>
      </c>
      <c r="E885" s="150">
        <v>166</v>
      </c>
      <c r="F885" s="142">
        <v>15500</v>
      </c>
      <c r="G885" s="143">
        <v>13025</v>
      </c>
      <c r="H885" s="144">
        <v>2475</v>
      </c>
      <c r="I885" s="140">
        <v>1</v>
      </c>
      <c r="J885" s="114" t="str">
        <f t="shared" si="13"/>
        <v>INSERT INTO DOCUMENTOS (NRO_DOCUMENTO,FECHA_EMISION,TOTAL_BRUTO,TOTAL_NETO,TOTAL_IVA, ID_TIPO, RUT_EMPLEADO, ID_CLIENTE) VALUES(881,TO_DATE('22-05-2025','DD-MM-YYYY'),15500,13025,2475,1,'14526149-K',166);</v>
      </c>
    </row>
    <row r="886" spans="1:10">
      <c r="A886" s="149"/>
      <c r="B886" s="149">
        <v>882</v>
      </c>
      <c r="C886" s="118" t="s">
        <v>2305</v>
      </c>
      <c r="D886" t="s">
        <v>2090</v>
      </c>
      <c r="E886" s="150">
        <v>184</v>
      </c>
      <c r="F886" s="142">
        <v>19000</v>
      </c>
      <c r="G886" s="143">
        <v>15967</v>
      </c>
      <c r="H886" s="144">
        <v>3033</v>
      </c>
      <c r="I886" s="140">
        <v>1</v>
      </c>
      <c r="J886" s="114" t="str">
        <f t="shared" si="13"/>
        <v>INSERT INTO DOCUMENTOS (NRO_DOCUMENTO,FECHA_EMISION,TOTAL_BRUTO,TOTAL_NETO,TOTAL_IVA, ID_TIPO, RUT_EMPLEADO, ID_CLIENTE) VALUES(882,TO_DATE('22-05-2025','DD-MM-YYYY'),19000,15967,3033,1,'14526149-K',184);</v>
      </c>
    </row>
    <row r="887" spans="1:10">
      <c r="A887" s="149"/>
      <c r="B887" s="149">
        <v>883</v>
      </c>
      <c r="C887" s="118" t="s">
        <v>2305</v>
      </c>
      <c r="D887" t="s">
        <v>2090</v>
      </c>
      <c r="E887" s="150">
        <v>207</v>
      </c>
      <c r="F887" s="142">
        <v>14000</v>
      </c>
      <c r="G887" s="143">
        <v>11765</v>
      </c>
      <c r="H887" s="144">
        <v>2235</v>
      </c>
      <c r="I887" s="140">
        <v>1</v>
      </c>
      <c r="J887" s="114" t="str">
        <f t="shared" si="13"/>
        <v>INSERT INTO DOCUMENTOS (NRO_DOCUMENTO,FECHA_EMISION,TOTAL_BRUTO,TOTAL_NETO,TOTAL_IVA, ID_TIPO, RUT_EMPLEADO, ID_CLIENTE) VALUES(883,TO_DATE('22-05-2025','DD-MM-YYYY'),14000,11765,2235,1,'14526149-K',207);</v>
      </c>
    </row>
    <row r="888" spans="1:10">
      <c r="A888" s="149"/>
      <c r="B888" s="149">
        <v>884</v>
      </c>
      <c r="C888" s="118" t="s">
        <v>2305</v>
      </c>
      <c r="D888" t="s">
        <v>2090</v>
      </c>
      <c r="E888" s="150">
        <v>263</v>
      </c>
      <c r="F888" s="142">
        <v>8000</v>
      </c>
      <c r="G888" s="143">
        <v>6723</v>
      </c>
      <c r="H888" s="144">
        <v>1277</v>
      </c>
      <c r="I888" s="140">
        <v>1</v>
      </c>
      <c r="J888" s="114" t="str">
        <f t="shared" si="13"/>
        <v>INSERT INTO DOCUMENTOS (NRO_DOCUMENTO,FECHA_EMISION,TOTAL_BRUTO,TOTAL_NETO,TOTAL_IVA, ID_TIPO, RUT_EMPLEADO, ID_CLIENTE) VALUES(884,TO_DATE('22-05-2025','DD-MM-YYYY'),8000,6723,1277,1,'14526149-K',263);</v>
      </c>
    </row>
    <row r="889" spans="1:10">
      <c r="A889" s="149"/>
      <c r="B889" s="149">
        <v>885</v>
      </c>
      <c r="C889" s="118" t="s">
        <v>2305</v>
      </c>
      <c r="D889" t="s">
        <v>2090</v>
      </c>
      <c r="E889" s="150">
        <v>430</v>
      </c>
      <c r="F889" s="142">
        <v>6000</v>
      </c>
      <c r="G889" s="143">
        <v>5042</v>
      </c>
      <c r="H889" s="144">
        <v>958</v>
      </c>
      <c r="I889" s="140">
        <v>1</v>
      </c>
      <c r="J889" s="114" t="str">
        <f t="shared" si="13"/>
        <v>INSERT INTO DOCUMENTOS (NRO_DOCUMENTO,FECHA_EMISION,TOTAL_BRUTO,TOTAL_NETO,TOTAL_IVA, ID_TIPO, RUT_EMPLEADO, ID_CLIENTE) VALUES(885,TO_DATE('22-05-2025','DD-MM-YYYY'),6000,5042,958,1,'14526149-K',430);</v>
      </c>
    </row>
    <row r="890" spans="1:10">
      <c r="A890" s="149"/>
      <c r="B890" s="149">
        <v>886</v>
      </c>
      <c r="C890" s="118" t="s">
        <v>2305</v>
      </c>
      <c r="D890" t="s">
        <v>2090</v>
      </c>
      <c r="E890" s="150">
        <v>473</v>
      </c>
      <c r="F890" s="142">
        <v>6500</v>
      </c>
      <c r="G890" s="143">
        <v>5463</v>
      </c>
      <c r="H890" s="144">
        <v>1037</v>
      </c>
      <c r="I890" s="140">
        <v>1</v>
      </c>
      <c r="J890" s="114" t="str">
        <f t="shared" si="13"/>
        <v>INSERT INTO DOCUMENTOS (NRO_DOCUMENTO,FECHA_EMISION,TOTAL_BRUTO,TOTAL_NETO,TOTAL_IVA, ID_TIPO, RUT_EMPLEADO, ID_CLIENTE) VALUES(886,TO_DATE('22-05-2025','DD-MM-YYYY'),6500,5463,1037,1,'14526149-K',473);</v>
      </c>
    </row>
    <row r="891" spans="1:10">
      <c r="A891" s="149"/>
      <c r="B891" s="149">
        <v>887</v>
      </c>
      <c r="C891" s="151" t="s">
        <v>2306</v>
      </c>
      <c r="D891" t="s">
        <v>2090</v>
      </c>
      <c r="E891" s="150">
        <v>135</v>
      </c>
      <c r="F891" s="142">
        <v>32000</v>
      </c>
      <c r="G891" s="143">
        <v>26891</v>
      </c>
      <c r="H891" s="144">
        <v>5109</v>
      </c>
      <c r="I891" s="140">
        <v>1</v>
      </c>
      <c r="J891" s="114" t="str">
        <f t="shared" si="13"/>
        <v>INSERT INTO DOCUMENTOS (NRO_DOCUMENTO,FECHA_EMISION,TOTAL_BRUTO,TOTAL_NETO,TOTAL_IVA, ID_TIPO, RUT_EMPLEADO, ID_CLIENTE) VALUES(887,TO_DATE('23-05-2025','DD-MM-YYYY'),32000,26891,5109,1,'14526149-K',135);</v>
      </c>
    </row>
    <row r="892" spans="1:10">
      <c r="A892" s="149"/>
      <c r="B892" s="149">
        <v>888</v>
      </c>
      <c r="C892" s="118" t="s">
        <v>2306</v>
      </c>
      <c r="D892" t="s">
        <v>2090</v>
      </c>
      <c r="E892" s="150">
        <v>219</v>
      </c>
      <c r="F892" s="142">
        <v>32000</v>
      </c>
      <c r="G892" s="143">
        <v>26891</v>
      </c>
      <c r="H892" s="144">
        <v>5109</v>
      </c>
      <c r="I892" s="140">
        <v>1</v>
      </c>
      <c r="J892" s="114" t="str">
        <f t="shared" si="13"/>
        <v>INSERT INTO DOCUMENTOS (NRO_DOCUMENTO,FECHA_EMISION,TOTAL_BRUTO,TOTAL_NETO,TOTAL_IVA, ID_TIPO, RUT_EMPLEADO, ID_CLIENTE) VALUES(888,TO_DATE('23-05-2025','DD-MM-YYYY'),32000,26891,5109,1,'14526149-K',219);</v>
      </c>
    </row>
    <row r="893" spans="1:10">
      <c r="A893" s="149"/>
      <c r="B893" s="149">
        <v>889</v>
      </c>
      <c r="C893" s="118" t="s">
        <v>2306</v>
      </c>
      <c r="D893" t="s">
        <v>2090</v>
      </c>
      <c r="E893" s="150">
        <v>223</v>
      </c>
      <c r="F893" s="142">
        <v>15700</v>
      </c>
      <c r="G893" s="143">
        <v>13194</v>
      </c>
      <c r="H893" s="144">
        <v>2506</v>
      </c>
      <c r="I893" s="140">
        <v>1</v>
      </c>
      <c r="J893" s="114" t="str">
        <f t="shared" si="13"/>
        <v>INSERT INTO DOCUMENTOS (NRO_DOCUMENTO,FECHA_EMISION,TOTAL_BRUTO,TOTAL_NETO,TOTAL_IVA, ID_TIPO, RUT_EMPLEADO, ID_CLIENTE) VALUES(889,TO_DATE('23-05-2025','DD-MM-YYYY'),15700,13194,2506,1,'14526149-K',223);</v>
      </c>
    </row>
    <row r="894" spans="1:10">
      <c r="A894" s="149"/>
      <c r="B894" s="149">
        <v>890</v>
      </c>
      <c r="C894" s="118" t="s">
        <v>2306</v>
      </c>
      <c r="D894" t="s">
        <v>2090</v>
      </c>
      <c r="E894" s="150">
        <v>345</v>
      </c>
      <c r="F894" s="142">
        <v>11000</v>
      </c>
      <c r="G894" s="143">
        <v>9244</v>
      </c>
      <c r="H894" s="144">
        <v>1756</v>
      </c>
      <c r="I894" s="140">
        <v>1</v>
      </c>
      <c r="J894" s="114" t="str">
        <f t="shared" si="13"/>
        <v>INSERT INTO DOCUMENTOS (NRO_DOCUMENTO,FECHA_EMISION,TOTAL_BRUTO,TOTAL_NETO,TOTAL_IVA, ID_TIPO, RUT_EMPLEADO, ID_CLIENTE) VALUES(890,TO_DATE('23-05-2025','DD-MM-YYYY'),11000,9244,1756,1,'14526149-K',345);</v>
      </c>
    </row>
    <row r="895" spans="1:10">
      <c r="A895" s="149"/>
      <c r="B895" s="149">
        <v>891</v>
      </c>
      <c r="C895" s="118" t="s">
        <v>2306</v>
      </c>
      <c r="D895" t="s">
        <v>2090</v>
      </c>
      <c r="E895" s="150">
        <v>376</v>
      </c>
      <c r="F895" s="142">
        <v>8000</v>
      </c>
      <c r="G895" s="143">
        <v>6723</v>
      </c>
      <c r="H895" s="144">
        <v>1277</v>
      </c>
      <c r="I895" s="140">
        <v>1</v>
      </c>
      <c r="J895" s="114" t="str">
        <f t="shared" si="13"/>
        <v>INSERT INTO DOCUMENTOS (NRO_DOCUMENTO,FECHA_EMISION,TOTAL_BRUTO,TOTAL_NETO,TOTAL_IVA, ID_TIPO, RUT_EMPLEADO, ID_CLIENTE) VALUES(891,TO_DATE('23-05-2025','DD-MM-YYYY'),8000,6723,1277,1,'14526149-K',376);</v>
      </c>
    </row>
    <row r="896" spans="1:10">
      <c r="A896" s="149"/>
      <c r="B896" s="149">
        <v>892</v>
      </c>
      <c r="C896" s="118" t="s">
        <v>2306</v>
      </c>
      <c r="D896" t="s">
        <v>2090</v>
      </c>
      <c r="E896" s="150">
        <v>407</v>
      </c>
      <c r="F896" s="142">
        <v>46100</v>
      </c>
      <c r="G896" s="143">
        <v>38739</v>
      </c>
      <c r="H896" s="144">
        <v>7361</v>
      </c>
      <c r="I896" s="140">
        <v>1</v>
      </c>
      <c r="J896" s="114" t="str">
        <f t="shared" si="13"/>
        <v>INSERT INTO DOCUMENTOS (NRO_DOCUMENTO,FECHA_EMISION,TOTAL_BRUTO,TOTAL_NETO,TOTAL_IVA, ID_TIPO, RUT_EMPLEADO, ID_CLIENTE) VALUES(892,TO_DATE('23-05-2025','DD-MM-YYYY'),46100,38739,7361,1,'14526149-K',407);</v>
      </c>
    </row>
    <row r="897" spans="1:10">
      <c r="A897" s="149"/>
      <c r="B897" s="149">
        <v>893</v>
      </c>
      <c r="C897" s="118" t="s">
        <v>2306</v>
      </c>
      <c r="D897" t="s">
        <v>2090</v>
      </c>
      <c r="E897" s="150">
        <v>418</v>
      </c>
      <c r="F897" s="142">
        <v>6000</v>
      </c>
      <c r="G897" s="143">
        <v>5042</v>
      </c>
      <c r="H897" s="144">
        <v>958</v>
      </c>
      <c r="I897" s="140">
        <v>1</v>
      </c>
      <c r="J897" s="114" t="str">
        <f t="shared" si="13"/>
        <v>INSERT INTO DOCUMENTOS (NRO_DOCUMENTO,FECHA_EMISION,TOTAL_BRUTO,TOTAL_NETO,TOTAL_IVA, ID_TIPO, RUT_EMPLEADO, ID_CLIENTE) VALUES(893,TO_DATE('23-05-2025','DD-MM-YYYY'),6000,5042,958,1,'14526149-K',418);</v>
      </c>
    </row>
    <row r="898" spans="1:10">
      <c r="A898" s="149"/>
      <c r="B898" s="149">
        <v>894</v>
      </c>
      <c r="C898" s="118" t="s">
        <v>2306</v>
      </c>
      <c r="D898" t="s">
        <v>2090</v>
      </c>
      <c r="E898" s="150">
        <v>446</v>
      </c>
      <c r="F898" s="142">
        <v>18990</v>
      </c>
      <c r="G898" s="143">
        <v>15958</v>
      </c>
      <c r="H898" s="144">
        <v>3032</v>
      </c>
      <c r="I898" s="140">
        <v>1</v>
      </c>
      <c r="J898" s="114" t="str">
        <f t="shared" si="13"/>
        <v>INSERT INTO DOCUMENTOS (NRO_DOCUMENTO,FECHA_EMISION,TOTAL_BRUTO,TOTAL_NETO,TOTAL_IVA, ID_TIPO, RUT_EMPLEADO, ID_CLIENTE) VALUES(894,TO_DATE('23-05-2025','DD-MM-YYYY'),18990,15958,3032,1,'14526149-K',446);</v>
      </c>
    </row>
    <row r="899" spans="1:10">
      <c r="A899" s="149"/>
      <c r="B899" s="149">
        <v>895</v>
      </c>
      <c r="C899" s="118" t="s">
        <v>2306</v>
      </c>
      <c r="D899" t="s">
        <v>2090</v>
      </c>
      <c r="E899" s="150">
        <v>457</v>
      </c>
      <c r="F899" s="142">
        <v>15990</v>
      </c>
      <c r="G899" s="143">
        <v>13437</v>
      </c>
      <c r="H899" s="144">
        <v>2553</v>
      </c>
      <c r="I899" s="140">
        <v>1</v>
      </c>
      <c r="J899" s="114" t="str">
        <f t="shared" si="13"/>
        <v>INSERT INTO DOCUMENTOS (NRO_DOCUMENTO,FECHA_EMISION,TOTAL_BRUTO,TOTAL_NETO,TOTAL_IVA, ID_TIPO, RUT_EMPLEADO, ID_CLIENTE) VALUES(895,TO_DATE('23-05-2025','DD-MM-YYYY'),15990,13437,2553,1,'14526149-K',457);</v>
      </c>
    </row>
    <row r="900" spans="1:10">
      <c r="A900" s="149"/>
      <c r="B900" s="149">
        <v>896</v>
      </c>
      <c r="C900" s="151" t="s">
        <v>2307</v>
      </c>
      <c r="D900" t="s">
        <v>2090</v>
      </c>
      <c r="E900" s="150">
        <v>108</v>
      </c>
      <c r="F900" s="142">
        <v>34450</v>
      </c>
      <c r="G900" s="143">
        <v>28951</v>
      </c>
      <c r="H900" s="144">
        <v>5499</v>
      </c>
      <c r="I900" s="140">
        <v>1</v>
      </c>
      <c r="J900" s="114" t="str">
        <f t="shared" si="13"/>
        <v>INSERT INTO DOCUMENTOS (NRO_DOCUMENTO,FECHA_EMISION,TOTAL_BRUTO,TOTAL_NETO,TOTAL_IVA, ID_TIPO, RUT_EMPLEADO, ID_CLIENTE) VALUES(896,TO_DATE('24-05-2025','DD-MM-YYYY'),34450,28951,5499,1,'14526149-K',108);</v>
      </c>
    </row>
    <row r="901" spans="1:10">
      <c r="A901" s="149"/>
      <c r="B901" s="149">
        <v>897</v>
      </c>
      <c r="C901" s="118" t="s">
        <v>2307</v>
      </c>
      <c r="D901" t="s">
        <v>2090</v>
      </c>
      <c r="E901" s="150">
        <v>110</v>
      </c>
      <c r="F901" s="142">
        <v>30190</v>
      </c>
      <c r="G901" s="143">
        <v>25369</v>
      </c>
      <c r="H901" s="144">
        <v>4821</v>
      </c>
      <c r="I901" s="140">
        <v>1</v>
      </c>
      <c r="J901" s="114" t="str">
        <f t="shared" si="13"/>
        <v>INSERT INTO DOCUMENTOS (NRO_DOCUMENTO,FECHA_EMISION,TOTAL_BRUTO,TOTAL_NETO,TOTAL_IVA, ID_TIPO, RUT_EMPLEADO, ID_CLIENTE) VALUES(897,TO_DATE('24-05-2025','DD-MM-YYYY'),30190,25369,4821,1,'14526149-K',110);</v>
      </c>
    </row>
    <row r="902" spans="1:10">
      <c r="A902" s="149"/>
      <c r="B902" s="149">
        <v>898</v>
      </c>
      <c r="C902" s="118" t="s">
        <v>2307</v>
      </c>
      <c r="D902" t="s">
        <v>2090</v>
      </c>
      <c r="E902" s="150">
        <v>119</v>
      </c>
      <c r="F902" s="142">
        <v>57600</v>
      </c>
      <c r="G902" s="143">
        <v>48405</v>
      </c>
      <c r="H902" s="144">
        <v>9195</v>
      </c>
      <c r="I902" s="140">
        <v>1</v>
      </c>
      <c r="J902" s="114" t="str">
        <f t="shared" ref="J902:J965" si="14">CONCATENATE("INSERT INTO DOCUMENTOS (NRO_DOCUMENTO,FECHA_EMISION,TOTAL_BRUTO,TOTAL_NETO,TOTAL_IVA, ID_TIPO, RUT_EMPLEADO, ID_CLIENTE) VALUES(",B902,",","TO_DATE('",C902,"'",",'DD-MM-YYYY'),",F902,",",G902,",",H902,",",I902,",","'",D902,"',",E902,");")</f>
        <v>INSERT INTO DOCUMENTOS (NRO_DOCUMENTO,FECHA_EMISION,TOTAL_BRUTO,TOTAL_NETO,TOTAL_IVA, ID_TIPO, RUT_EMPLEADO, ID_CLIENTE) VALUES(898,TO_DATE('24-05-2025','DD-MM-YYYY'),57600,48405,9195,1,'14526149-K',119);</v>
      </c>
    </row>
    <row r="903" spans="1:10">
      <c r="A903" s="149"/>
      <c r="B903" s="149">
        <v>899</v>
      </c>
      <c r="C903" s="118" t="s">
        <v>2307</v>
      </c>
      <c r="D903" t="s">
        <v>2090</v>
      </c>
      <c r="E903" s="150">
        <v>300</v>
      </c>
      <c r="F903" s="142">
        <v>14000</v>
      </c>
      <c r="G903" s="143">
        <v>11765</v>
      </c>
      <c r="H903" s="144">
        <v>2235</v>
      </c>
      <c r="I903" s="140">
        <v>1</v>
      </c>
      <c r="J903" s="114" t="str">
        <f t="shared" si="14"/>
        <v>INSERT INTO DOCUMENTOS (NRO_DOCUMENTO,FECHA_EMISION,TOTAL_BRUTO,TOTAL_NETO,TOTAL_IVA, ID_TIPO, RUT_EMPLEADO, ID_CLIENTE) VALUES(899,TO_DATE('24-05-2025','DD-MM-YYYY'),14000,11765,2235,1,'14526149-K',300);</v>
      </c>
    </row>
    <row r="904" spans="1:10">
      <c r="A904" s="149"/>
      <c r="B904" s="150">
        <v>900</v>
      </c>
      <c r="C904" s="118" t="s">
        <v>2307</v>
      </c>
      <c r="D904" t="s">
        <v>2090</v>
      </c>
      <c r="E904" s="150">
        <v>312</v>
      </c>
      <c r="F904" s="142">
        <v>8000</v>
      </c>
      <c r="G904" s="143">
        <v>6723</v>
      </c>
      <c r="H904" s="144">
        <v>1277</v>
      </c>
      <c r="I904" s="140">
        <v>1</v>
      </c>
      <c r="J904" s="114" t="str">
        <f t="shared" si="14"/>
        <v>INSERT INTO DOCUMENTOS (NRO_DOCUMENTO,FECHA_EMISION,TOTAL_BRUTO,TOTAL_NETO,TOTAL_IVA, ID_TIPO, RUT_EMPLEADO, ID_CLIENTE) VALUES(900,TO_DATE('24-05-2025','DD-MM-YYYY'),8000,6723,1277,1,'14526149-K',312);</v>
      </c>
    </row>
    <row r="905" spans="1:10">
      <c r="A905" s="149"/>
      <c r="B905" s="149">
        <v>901</v>
      </c>
      <c r="C905" s="118" t="s">
        <v>2307</v>
      </c>
      <c r="D905" t="s">
        <v>2090</v>
      </c>
      <c r="E905" s="150">
        <v>397</v>
      </c>
      <c r="F905" s="142">
        <v>18000</v>
      </c>
      <c r="G905" s="143">
        <v>15126</v>
      </c>
      <c r="H905" s="144">
        <v>2874</v>
      </c>
      <c r="I905" s="140">
        <v>1</v>
      </c>
      <c r="J905" s="114" t="str">
        <f t="shared" si="14"/>
        <v>INSERT INTO DOCUMENTOS (NRO_DOCUMENTO,FECHA_EMISION,TOTAL_BRUTO,TOTAL_NETO,TOTAL_IVA, ID_TIPO, RUT_EMPLEADO, ID_CLIENTE) VALUES(901,TO_DATE('24-05-2025','DD-MM-YYYY'),18000,15126,2874,1,'14526149-K',397);</v>
      </c>
    </row>
    <row r="906" spans="1:10">
      <c r="A906" s="149"/>
      <c r="B906" s="149">
        <v>902</v>
      </c>
      <c r="C906" s="151" t="s">
        <v>2308</v>
      </c>
      <c r="D906" t="s">
        <v>2090</v>
      </c>
      <c r="E906" s="150">
        <v>62</v>
      </c>
      <c r="F906" s="142">
        <v>89750</v>
      </c>
      <c r="G906" s="143">
        <v>75420</v>
      </c>
      <c r="H906" s="144">
        <v>14330</v>
      </c>
      <c r="I906" s="140">
        <v>1</v>
      </c>
      <c r="J906" s="114" t="str">
        <f t="shared" si="14"/>
        <v>INSERT INTO DOCUMENTOS (NRO_DOCUMENTO,FECHA_EMISION,TOTAL_BRUTO,TOTAL_NETO,TOTAL_IVA, ID_TIPO, RUT_EMPLEADO, ID_CLIENTE) VALUES(902,TO_DATE('25-05-2025','DD-MM-YYYY'),89750,75420,14330,1,'14526149-K',62);</v>
      </c>
    </row>
    <row r="907" spans="1:10">
      <c r="A907" s="149"/>
      <c r="B907" s="149">
        <v>903</v>
      </c>
      <c r="C907" s="118" t="s">
        <v>2308</v>
      </c>
      <c r="D907" t="s">
        <v>2090</v>
      </c>
      <c r="E907" s="150">
        <v>119</v>
      </c>
      <c r="F907" s="142">
        <v>8000</v>
      </c>
      <c r="G907" s="143">
        <v>6723</v>
      </c>
      <c r="H907" s="144">
        <v>1277</v>
      </c>
      <c r="I907" s="140">
        <v>1</v>
      </c>
      <c r="J907" s="114" t="str">
        <f t="shared" si="14"/>
        <v>INSERT INTO DOCUMENTOS (NRO_DOCUMENTO,FECHA_EMISION,TOTAL_BRUTO,TOTAL_NETO,TOTAL_IVA, ID_TIPO, RUT_EMPLEADO, ID_CLIENTE) VALUES(903,TO_DATE('25-05-2025','DD-MM-YYYY'),8000,6723,1277,1,'14526149-K',119);</v>
      </c>
    </row>
    <row r="908" spans="1:10">
      <c r="A908" s="149"/>
      <c r="B908" s="149">
        <v>904</v>
      </c>
      <c r="C908" s="118" t="s">
        <v>2308</v>
      </c>
      <c r="D908" t="s">
        <v>2090</v>
      </c>
      <c r="E908" s="150">
        <v>166</v>
      </c>
      <c r="F908" s="142">
        <v>10700</v>
      </c>
      <c r="G908" s="143">
        <v>8991</v>
      </c>
      <c r="H908" s="144">
        <v>1709</v>
      </c>
      <c r="I908" s="140">
        <v>1</v>
      </c>
      <c r="J908" s="114" t="str">
        <f t="shared" si="14"/>
        <v>INSERT INTO DOCUMENTOS (NRO_DOCUMENTO,FECHA_EMISION,TOTAL_BRUTO,TOTAL_NETO,TOTAL_IVA, ID_TIPO, RUT_EMPLEADO, ID_CLIENTE) VALUES(904,TO_DATE('25-05-2025','DD-MM-YYYY'),10700,8991,1709,1,'14526149-K',166);</v>
      </c>
    </row>
    <row r="909" spans="1:10">
      <c r="A909" s="149"/>
      <c r="B909" s="149">
        <v>905</v>
      </c>
      <c r="C909" s="118" t="s">
        <v>2308</v>
      </c>
      <c r="D909" t="s">
        <v>2090</v>
      </c>
      <c r="E909" s="150">
        <v>268</v>
      </c>
      <c r="F909" s="142">
        <v>121100</v>
      </c>
      <c r="G909" s="143">
        <v>101766</v>
      </c>
      <c r="H909" s="144">
        <v>19334</v>
      </c>
      <c r="I909" s="140">
        <v>1</v>
      </c>
      <c r="J909" s="114" t="str">
        <f t="shared" si="14"/>
        <v>INSERT INTO DOCUMENTOS (NRO_DOCUMENTO,FECHA_EMISION,TOTAL_BRUTO,TOTAL_NETO,TOTAL_IVA, ID_TIPO, RUT_EMPLEADO, ID_CLIENTE) VALUES(905,TO_DATE('25-05-2025','DD-MM-YYYY'),121100,101766,19334,1,'14526149-K',268);</v>
      </c>
    </row>
    <row r="910" spans="1:10">
      <c r="A910" s="149"/>
      <c r="B910" s="149">
        <v>906</v>
      </c>
      <c r="C910" s="118" t="s">
        <v>2308</v>
      </c>
      <c r="D910" t="s">
        <v>2090</v>
      </c>
      <c r="E910" s="150">
        <v>303</v>
      </c>
      <c r="F910" s="142">
        <v>16500</v>
      </c>
      <c r="G910" s="143">
        <v>13866</v>
      </c>
      <c r="H910" s="144">
        <v>2634</v>
      </c>
      <c r="I910" s="140">
        <v>1</v>
      </c>
      <c r="J910" s="114" t="str">
        <f t="shared" si="14"/>
        <v>INSERT INTO DOCUMENTOS (NRO_DOCUMENTO,FECHA_EMISION,TOTAL_BRUTO,TOTAL_NETO,TOTAL_IVA, ID_TIPO, RUT_EMPLEADO, ID_CLIENTE) VALUES(906,TO_DATE('25-05-2025','DD-MM-YYYY'),16500,13866,2634,1,'14526149-K',303);</v>
      </c>
    </row>
    <row r="911" spans="1:10">
      <c r="A911" s="149"/>
      <c r="B911" s="149">
        <v>907</v>
      </c>
      <c r="C911" s="118" t="s">
        <v>2308</v>
      </c>
      <c r="D911" t="s">
        <v>2090</v>
      </c>
      <c r="E911" s="150">
        <v>474</v>
      </c>
      <c r="F911" s="142">
        <v>25700</v>
      </c>
      <c r="G911" s="143">
        <v>21596</v>
      </c>
      <c r="H911" s="144">
        <v>4104</v>
      </c>
      <c r="I911" s="140">
        <v>1</v>
      </c>
      <c r="J911" s="114" t="str">
        <f t="shared" si="14"/>
        <v>INSERT INTO DOCUMENTOS (NRO_DOCUMENTO,FECHA_EMISION,TOTAL_BRUTO,TOTAL_NETO,TOTAL_IVA, ID_TIPO, RUT_EMPLEADO, ID_CLIENTE) VALUES(907,TO_DATE('25-05-2025','DD-MM-YYYY'),25700,21596,4104,1,'14526149-K',474);</v>
      </c>
    </row>
    <row r="912" spans="1:10">
      <c r="A912" s="149"/>
      <c r="B912" s="149">
        <v>908</v>
      </c>
      <c r="C912" s="151" t="s">
        <v>2309</v>
      </c>
      <c r="D912" t="s">
        <v>2090</v>
      </c>
      <c r="E912" s="150">
        <v>48</v>
      </c>
      <c r="F912" s="142">
        <v>42500</v>
      </c>
      <c r="G912" s="143">
        <v>35715</v>
      </c>
      <c r="H912" s="144">
        <v>6785</v>
      </c>
      <c r="I912" s="140">
        <v>1</v>
      </c>
      <c r="J912" s="114" t="str">
        <f t="shared" si="14"/>
        <v>INSERT INTO DOCUMENTOS (NRO_DOCUMENTO,FECHA_EMISION,TOTAL_BRUTO,TOTAL_NETO,TOTAL_IVA, ID_TIPO, RUT_EMPLEADO, ID_CLIENTE) VALUES(908,TO_DATE('26-05-2025','DD-MM-YYYY'),42500,35715,6785,1,'14526149-K',48);</v>
      </c>
    </row>
    <row r="913" spans="1:10">
      <c r="A913" s="149"/>
      <c r="B913" s="149">
        <v>909</v>
      </c>
      <c r="C913" s="118" t="s">
        <v>2309</v>
      </c>
      <c r="D913" t="s">
        <v>2090</v>
      </c>
      <c r="E913" s="150">
        <v>108</v>
      </c>
      <c r="F913" s="142">
        <v>13000</v>
      </c>
      <c r="G913" s="143">
        <v>10926</v>
      </c>
      <c r="H913" s="144">
        <v>2074</v>
      </c>
      <c r="I913" s="140">
        <v>1</v>
      </c>
      <c r="J913" s="114" t="str">
        <f t="shared" si="14"/>
        <v>INSERT INTO DOCUMENTOS (NRO_DOCUMENTO,FECHA_EMISION,TOTAL_BRUTO,TOTAL_NETO,TOTAL_IVA, ID_TIPO, RUT_EMPLEADO, ID_CLIENTE) VALUES(909,TO_DATE('26-05-2025','DD-MM-YYYY'),13000,10926,2074,1,'14526149-K',108);</v>
      </c>
    </row>
    <row r="914" spans="1:10">
      <c r="A914" s="149"/>
      <c r="B914" s="149">
        <v>910</v>
      </c>
      <c r="C914" s="118" t="s">
        <v>2309</v>
      </c>
      <c r="D914" t="s">
        <v>2090</v>
      </c>
      <c r="E914" s="150">
        <v>161</v>
      </c>
      <c r="F914" s="142">
        <v>6000</v>
      </c>
      <c r="G914" s="143">
        <v>5042</v>
      </c>
      <c r="H914" s="144">
        <v>958</v>
      </c>
      <c r="I914" s="140">
        <v>1</v>
      </c>
      <c r="J914" s="114" t="str">
        <f t="shared" si="14"/>
        <v>INSERT INTO DOCUMENTOS (NRO_DOCUMENTO,FECHA_EMISION,TOTAL_BRUTO,TOTAL_NETO,TOTAL_IVA, ID_TIPO, RUT_EMPLEADO, ID_CLIENTE) VALUES(910,TO_DATE('26-05-2025','DD-MM-YYYY'),6000,5042,958,1,'14526149-K',161);</v>
      </c>
    </row>
    <row r="915" spans="1:10">
      <c r="A915" s="149"/>
      <c r="B915" s="149">
        <v>911</v>
      </c>
      <c r="C915" s="118" t="s">
        <v>2309</v>
      </c>
      <c r="D915" t="s">
        <v>2090</v>
      </c>
      <c r="E915" s="150">
        <v>166</v>
      </c>
      <c r="F915" s="142">
        <v>6000</v>
      </c>
      <c r="G915" s="143">
        <v>5042</v>
      </c>
      <c r="H915" s="144">
        <v>958</v>
      </c>
      <c r="I915" s="140">
        <v>1</v>
      </c>
      <c r="J915" s="114" t="str">
        <f t="shared" si="14"/>
        <v>INSERT INTO DOCUMENTOS (NRO_DOCUMENTO,FECHA_EMISION,TOTAL_BRUTO,TOTAL_NETO,TOTAL_IVA, ID_TIPO, RUT_EMPLEADO, ID_CLIENTE) VALUES(911,TO_DATE('26-05-2025','DD-MM-YYYY'),6000,5042,958,1,'14526149-K',166);</v>
      </c>
    </row>
    <row r="916" spans="1:10">
      <c r="A916" s="149"/>
      <c r="B916" s="149">
        <v>912</v>
      </c>
      <c r="C916" s="118" t="s">
        <v>2309</v>
      </c>
      <c r="D916" t="s">
        <v>2090</v>
      </c>
      <c r="E916" s="150">
        <v>200</v>
      </c>
      <c r="F916" s="142">
        <v>44000</v>
      </c>
      <c r="G916" s="143">
        <v>36975</v>
      </c>
      <c r="H916" s="144">
        <v>7025</v>
      </c>
      <c r="I916" s="140">
        <v>1</v>
      </c>
      <c r="J916" s="114" t="str">
        <f t="shared" si="14"/>
        <v>INSERT INTO DOCUMENTOS (NRO_DOCUMENTO,FECHA_EMISION,TOTAL_BRUTO,TOTAL_NETO,TOTAL_IVA, ID_TIPO, RUT_EMPLEADO, ID_CLIENTE) VALUES(912,TO_DATE('26-05-2025','DD-MM-YYYY'),44000,36975,7025,1,'14526149-K',200);</v>
      </c>
    </row>
    <row r="917" spans="1:10">
      <c r="A917" s="149"/>
      <c r="B917" s="149">
        <v>913</v>
      </c>
      <c r="C917" s="118" t="s">
        <v>2309</v>
      </c>
      <c r="D917" t="s">
        <v>2090</v>
      </c>
      <c r="E917" s="150">
        <v>411</v>
      </c>
      <c r="F917" s="142">
        <v>13000</v>
      </c>
      <c r="G917" s="143">
        <v>10924</v>
      </c>
      <c r="H917" s="144">
        <v>2076</v>
      </c>
      <c r="I917" s="140">
        <v>1</v>
      </c>
      <c r="J917" s="114" t="str">
        <f t="shared" si="14"/>
        <v>INSERT INTO DOCUMENTOS (NRO_DOCUMENTO,FECHA_EMISION,TOTAL_BRUTO,TOTAL_NETO,TOTAL_IVA, ID_TIPO, RUT_EMPLEADO, ID_CLIENTE) VALUES(913,TO_DATE('26-05-2025','DD-MM-YYYY'),13000,10924,2076,1,'14526149-K',411);</v>
      </c>
    </row>
    <row r="918" spans="1:10">
      <c r="A918" s="149"/>
      <c r="B918" s="149">
        <v>914</v>
      </c>
      <c r="C918" s="151" t="s">
        <v>2310</v>
      </c>
      <c r="D918" t="s">
        <v>2090</v>
      </c>
      <c r="E918" s="150">
        <v>48</v>
      </c>
      <c r="F918" s="142">
        <v>8200</v>
      </c>
      <c r="G918" s="143">
        <v>6891</v>
      </c>
      <c r="H918" s="144">
        <v>1309</v>
      </c>
      <c r="I918" s="140">
        <v>1</v>
      </c>
      <c r="J918" s="114" t="str">
        <f t="shared" si="14"/>
        <v>INSERT INTO DOCUMENTOS (NRO_DOCUMENTO,FECHA_EMISION,TOTAL_BRUTO,TOTAL_NETO,TOTAL_IVA, ID_TIPO, RUT_EMPLEADO, ID_CLIENTE) VALUES(914,TO_DATE('27-05-2025','DD-MM-YYYY'),8200,6891,1309,1,'14526149-K',48);</v>
      </c>
    </row>
    <row r="919" spans="1:10">
      <c r="A919" s="149"/>
      <c r="B919" s="149">
        <v>915</v>
      </c>
      <c r="C919" s="118" t="s">
        <v>2310</v>
      </c>
      <c r="D919" t="s">
        <v>2090</v>
      </c>
      <c r="E919" s="150">
        <v>63</v>
      </c>
      <c r="F919" s="142">
        <v>8200</v>
      </c>
      <c r="G919" s="143">
        <v>6891</v>
      </c>
      <c r="H919" s="144">
        <v>1309</v>
      </c>
      <c r="I919" s="140">
        <v>1</v>
      </c>
      <c r="J919" s="114" t="str">
        <f t="shared" si="14"/>
        <v>INSERT INTO DOCUMENTOS (NRO_DOCUMENTO,FECHA_EMISION,TOTAL_BRUTO,TOTAL_NETO,TOTAL_IVA, ID_TIPO, RUT_EMPLEADO, ID_CLIENTE) VALUES(915,TO_DATE('27-05-2025','DD-MM-YYYY'),8200,6891,1309,1,'14526149-K',63);</v>
      </c>
    </row>
    <row r="920" spans="1:10">
      <c r="A920" s="149"/>
      <c r="B920" s="149">
        <v>916</v>
      </c>
      <c r="C920" s="118" t="s">
        <v>2310</v>
      </c>
      <c r="D920" t="s">
        <v>2090</v>
      </c>
      <c r="E920" s="150">
        <v>161</v>
      </c>
      <c r="F920" s="142">
        <v>8200</v>
      </c>
      <c r="G920" s="143">
        <v>6891</v>
      </c>
      <c r="H920" s="144">
        <v>1309</v>
      </c>
      <c r="I920" s="140">
        <v>1</v>
      </c>
      <c r="J920" s="114" t="str">
        <f t="shared" si="14"/>
        <v>INSERT INTO DOCUMENTOS (NRO_DOCUMENTO,FECHA_EMISION,TOTAL_BRUTO,TOTAL_NETO,TOTAL_IVA, ID_TIPO, RUT_EMPLEADO, ID_CLIENTE) VALUES(916,TO_DATE('27-05-2025','DD-MM-YYYY'),8200,6891,1309,1,'14526149-K',161);</v>
      </c>
    </row>
    <row r="921" spans="1:10">
      <c r="A921" s="149"/>
      <c r="B921" s="149">
        <v>917</v>
      </c>
      <c r="C921" s="118" t="s">
        <v>2310</v>
      </c>
      <c r="D921" t="s">
        <v>2090</v>
      </c>
      <c r="E921" s="150">
        <v>164</v>
      </c>
      <c r="F921" s="142">
        <v>8200</v>
      </c>
      <c r="G921" s="143">
        <v>6891</v>
      </c>
      <c r="H921" s="144">
        <v>1309</v>
      </c>
      <c r="I921" s="140">
        <v>1</v>
      </c>
      <c r="J921" s="114" t="str">
        <f t="shared" si="14"/>
        <v>INSERT INTO DOCUMENTOS (NRO_DOCUMENTO,FECHA_EMISION,TOTAL_BRUTO,TOTAL_NETO,TOTAL_IVA, ID_TIPO, RUT_EMPLEADO, ID_CLIENTE) VALUES(917,TO_DATE('27-05-2025','DD-MM-YYYY'),8200,6891,1309,1,'14526149-K',164);</v>
      </c>
    </row>
    <row r="922" spans="1:10">
      <c r="A922" s="149"/>
      <c r="B922" s="149">
        <v>918</v>
      </c>
      <c r="C922" s="118" t="s">
        <v>2310</v>
      </c>
      <c r="D922" t="s">
        <v>2090</v>
      </c>
      <c r="E922" s="150">
        <v>166</v>
      </c>
      <c r="F922" s="142">
        <v>8300</v>
      </c>
      <c r="G922" s="143">
        <v>6975</v>
      </c>
      <c r="H922" s="144">
        <v>1325</v>
      </c>
      <c r="I922" s="140">
        <v>1</v>
      </c>
      <c r="J922" s="114" t="str">
        <f t="shared" si="14"/>
        <v>INSERT INTO DOCUMENTOS (NRO_DOCUMENTO,FECHA_EMISION,TOTAL_BRUTO,TOTAL_NETO,TOTAL_IVA, ID_TIPO, RUT_EMPLEADO, ID_CLIENTE) VALUES(918,TO_DATE('27-05-2025','DD-MM-YYYY'),8300,6975,1325,1,'14526149-K',166);</v>
      </c>
    </row>
    <row r="923" spans="1:10">
      <c r="A923" s="149"/>
      <c r="B923" s="149">
        <v>919</v>
      </c>
      <c r="C923" s="118" t="s">
        <v>2310</v>
      </c>
      <c r="D923" t="s">
        <v>2090</v>
      </c>
      <c r="E923" s="150">
        <v>179</v>
      </c>
      <c r="F923" s="142">
        <v>27400</v>
      </c>
      <c r="G923" s="143">
        <v>23025</v>
      </c>
      <c r="H923" s="144">
        <v>4375</v>
      </c>
      <c r="I923" s="140">
        <v>1</v>
      </c>
      <c r="J923" s="114" t="str">
        <f t="shared" si="14"/>
        <v>INSERT INTO DOCUMENTOS (NRO_DOCUMENTO,FECHA_EMISION,TOTAL_BRUTO,TOTAL_NETO,TOTAL_IVA, ID_TIPO, RUT_EMPLEADO, ID_CLIENTE) VALUES(919,TO_DATE('27-05-2025','DD-MM-YYYY'),27400,23025,4375,1,'14526149-K',179);</v>
      </c>
    </row>
    <row r="924" spans="1:10">
      <c r="A924" s="149"/>
      <c r="B924" s="149">
        <v>920</v>
      </c>
      <c r="C924" s="118" t="s">
        <v>2310</v>
      </c>
      <c r="D924" t="s">
        <v>2090</v>
      </c>
      <c r="E924" s="150">
        <v>204</v>
      </c>
      <c r="F924" s="142">
        <v>20100</v>
      </c>
      <c r="G924" s="143">
        <v>16891</v>
      </c>
      <c r="H924" s="144">
        <v>3209</v>
      </c>
      <c r="I924" s="140">
        <v>1</v>
      </c>
      <c r="J924" s="114" t="str">
        <f t="shared" si="14"/>
        <v>INSERT INTO DOCUMENTOS (NRO_DOCUMENTO,FECHA_EMISION,TOTAL_BRUTO,TOTAL_NETO,TOTAL_IVA, ID_TIPO, RUT_EMPLEADO, ID_CLIENTE) VALUES(920,TO_DATE('27-05-2025','DD-MM-YYYY'),20100,16891,3209,1,'14526149-K',204);</v>
      </c>
    </row>
    <row r="925" spans="1:10">
      <c r="A925" s="149"/>
      <c r="B925" s="149">
        <v>921</v>
      </c>
      <c r="C925" s="118" t="s">
        <v>2310</v>
      </c>
      <c r="D925" t="s">
        <v>2090</v>
      </c>
      <c r="E925" s="150">
        <v>239</v>
      </c>
      <c r="F925" s="142">
        <v>9500</v>
      </c>
      <c r="G925" s="143">
        <v>7983</v>
      </c>
      <c r="H925" s="144">
        <v>1517</v>
      </c>
      <c r="I925" s="140">
        <v>1</v>
      </c>
      <c r="J925" s="114" t="str">
        <f t="shared" si="14"/>
        <v>INSERT INTO DOCUMENTOS (NRO_DOCUMENTO,FECHA_EMISION,TOTAL_BRUTO,TOTAL_NETO,TOTAL_IVA, ID_TIPO, RUT_EMPLEADO, ID_CLIENTE) VALUES(921,TO_DATE('27-05-2025','DD-MM-YYYY'),9500,7983,1517,1,'14526149-K',239);</v>
      </c>
    </row>
    <row r="926" spans="1:10">
      <c r="A926" s="149"/>
      <c r="B926" s="149">
        <v>922</v>
      </c>
      <c r="C926" s="118" t="s">
        <v>2310</v>
      </c>
      <c r="D926" t="s">
        <v>2090</v>
      </c>
      <c r="E926" s="150">
        <v>278</v>
      </c>
      <c r="F926" s="142">
        <v>61600</v>
      </c>
      <c r="G926" s="143">
        <v>51766</v>
      </c>
      <c r="H926" s="144">
        <v>9834</v>
      </c>
      <c r="I926" s="140">
        <v>1</v>
      </c>
      <c r="J926" s="114" t="str">
        <f t="shared" si="14"/>
        <v>INSERT INTO DOCUMENTOS (NRO_DOCUMENTO,FECHA_EMISION,TOTAL_BRUTO,TOTAL_NETO,TOTAL_IVA, ID_TIPO, RUT_EMPLEADO, ID_CLIENTE) VALUES(922,TO_DATE('27-05-2025','DD-MM-YYYY'),61600,51766,9834,1,'14526149-K',278);</v>
      </c>
    </row>
    <row r="927" spans="1:10">
      <c r="A927" s="149"/>
      <c r="B927" s="149">
        <v>923</v>
      </c>
      <c r="C927" s="118" t="s">
        <v>2310</v>
      </c>
      <c r="D927" t="s">
        <v>2090</v>
      </c>
      <c r="E927" s="150">
        <v>347</v>
      </c>
      <c r="F927" s="142">
        <v>26200</v>
      </c>
      <c r="G927" s="143">
        <v>22017</v>
      </c>
      <c r="H927" s="144">
        <v>4183</v>
      </c>
      <c r="I927" s="140">
        <v>1</v>
      </c>
      <c r="J927" s="114" t="str">
        <f t="shared" si="14"/>
        <v>INSERT INTO DOCUMENTOS (NRO_DOCUMENTO,FECHA_EMISION,TOTAL_BRUTO,TOTAL_NETO,TOTAL_IVA, ID_TIPO, RUT_EMPLEADO, ID_CLIENTE) VALUES(923,TO_DATE('27-05-2025','DD-MM-YYYY'),26200,22017,4183,1,'14526149-K',347);</v>
      </c>
    </row>
    <row r="928" spans="1:10">
      <c r="A928" s="149"/>
      <c r="B928" s="149">
        <v>924</v>
      </c>
      <c r="C928" s="151" t="s">
        <v>2311</v>
      </c>
      <c r="D928" t="s">
        <v>2090</v>
      </c>
      <c r="E928" s="150">
        <v>22</v>
      </c>
      <c r="F928" s="142">
        <v>26300</v>
      </c>
      <c r="G928" s="143">
        <v>22100</v>
      </c>
      <c r="H928" s="144">
        <v>4200</v>
      </c>
      <c r="I928" s="140">
        <v>1</v>
      </c>
      <c r="J928" s="114" t="str">
        <f t="shared" si="14"/>
        <v>INSERT INTO DOCUMENTOS (NRO_DOCUMENTO,FECHA_EMISION,TOTAL_BRUTO,TOTAL_NETO,TOTAL_IVA, ID_TIPO, RUT_EMPLEADO, ID_CLIENTE) VALUES(924,TO_DATE('28-05-2025','DD-MM-YYYY'),26300,22100,4200,1,'14526149-K',22);</v>
      </c>
    </row>
    <row r="929" spans="1:10">
      <c r="A929" s="149"/>
      <c r="B929" s="149">
        <v>925</v>
      </c>
      <c r="C929" s="118" t="s">
        <v>2311</v>
      </c>
      <c r="D929" t="s">
        <v>2090</v>
      </c>
      <c r="E929" s="150">
        <v>72</v>
      </c>
      <c r="F929" s="142">
        <v>14200</v>
      </c>
      <c r="G929" s="143">
        <v>11933</v>
      </c>
      <c r="H929" s="144">
        <v>2267</v>
      </c>
      <c r="I929" s="140">
        <v>1</v>
      </c>
      <c r="J929" s="114" t="str">
        <f t="shared" si="14"/>
        <v>INSERT INTO DOCUMENTOS (NRO_DOCUMENTO,FECHA_EMISION,TOTAL_BRUTO,TOTAL_NETO,TOTAL_IVA, ID_TIPO, RUT_EMPLEADO, ID_CLIENTE) VALUES(925,TO_DATE('28-05-2025','DD-MM-YYYY'),14200,11933,2267,1,'14526149-K',72);</v>
      </c>
    </row>
    <row r="930" spans="1:10">
      <c r="A930" s="149"/>
      <c r="B930" s="149">
        <v>926</v>
      </c>
      <c r="C930" s="118" t="s">
        <v>2311</v>
      </c>
      <c r="D930" t="s">
        <v>2090</v>
      </c>
      <c r="E930" s="150">
        <v>122</v>
      </c>
      <c r="F930" s="142">
        <v>31600</v>
      </c>
      <c r="G930" s="143">
        <v>26556</v>
      </c>
      <c r="H930" s="144">
        <v>5044</v>
      </c>
      <c r="I930" s="140">
        <v>1</v>
      </c>
      <c r="J930" s="114" t="str">
        <f t="shared" si="14"/>
        <v>INSERT INTO DOCUMENTOS (NRO_DOCUMENTO,FECHA_EMISION,TOTAL_BRUTO,TOTAL_NETO,TOTAL_IVA, ID_TIPO, RUT_EMPLEADO, ID_CLIENTE) VALUES(926,TO_DATE('28-05-2025','DD-MM-YYYY'),31600,26556,5044,1,'14526149-K',122);</v>
      </c>
    </row>
    <row r="931" spans="1:10">
      <c r="A931" s="149"/>
      <c r="B931" s="149">
        <v>927</v>
      </c>
      <c r="C931" s="118" t="s">
        <v>2311</v>
      </c>
      <c r="D931" t="s">
        <v>2090</v>
      </c>
      <c r="E931" s="150">
        <v>229</v>
      </c>
      <c r="F931" s="142">
        <v>5800</v>
      </c>
      <c r="G931" s="143">
        <v>4874</v>
      </c>
      <c r="H931" s="144">
        <v>926</v>
      </c>
      <c r="I931" s="140">
        <v>1</v>
      </c>
      <c r="J931" s="114" t="str">
        <f t="shared" si="14"/>
        <v>INSERT INTO DOCUMENTOS (NRO_DOCUMENTO,FECHA_EMISION,TOTAL_BRUTO,TOTAL_NETO,TOTAL_IVA, ID_TIPO, RUT_EMPLEADO, ID_CLIENTE) VALUES(927,TO_DATE('28-05-2025','DD-MM-YYYY'),5800,4874,926,1,'14526149-K',229);</v>
      </c>
    </row>
    <row r="932" spans="1:10">
      <c r="A932" s="149"/>
      <c r="B932" s="149">
        <v>928</v>
      </c>
      <c r="C932" s="118" t="s">
        <v>2311</v>
      </c>
      <c r="D932" t="s">
        <v>2090</v>
      </c>
      <c r="E932" s="150">
        <v>263</v>
      </c>
      <c r="F932" s="142">
        <v>8200</v>
      </c>
      <c r="G932" s="143">
        <v>6891</v>
      </c>
      <c r="H932" s="144">
        <v>1309</v>
      </c>
      <c r="I932" s="140">
        <v>1</v>
      </c>
      <c r="J932" s="114" t="str">
        <f t="shared" si="14"/>
        <v>INSERT INTO DOCUMENTOS (NRO_DOCUMENTO,FECHA_EMISION,TOTAL_BRUTO,TOTAL_NETO,TOTAL_IVA, ID_TIPO, RUT_EMPLEADO, ID_CLIENTE) VALUES(928,TO_DATE('28-05-2025','DD-MM-YYYY'),8200,6891,1309,1,'14526149-K',263);</v>
      </c>
    </row>
    <row r="933" spans="1:10">
      <c r="A933" s="149"/>
      <c r="B933" s="149">
        <v>929</v>
      </c>
      <c r="C933" s="118" t="s">
        <v>2311</v>
      </c>
      <c r="D933" t="s">
        <v>2090</v>
      </c>
      <c r="E933" s="150">
        <v>365</v>
      </c>
      <c r="F933" s="142">
        <v>36550</v>
      </c>
      <c r="G933" s="143">
        <v>30715</v>
      </c>
      <c r="H933" s="144">
        <v>5835</v>
      </c>
      <c r="I933" s="140">
        <v>1</v>
      </c>
      <c r="J933" s="114" t="str">
        <f t="shared" si="14"/>
        <v>INSERT INTO DOCUMENTOS (NRO_DOCUMENTO,FECHA_EMISION,TOTAL_BRUTO,TOTAL_NETO,TOTAL_IVA, ID_TIPO, RUT_EMPLEADO, ID_CLIENTE) VALUES(929,TO_DATE('28-05-2025','DD-MM-YYYY'),36550,30715,5835,1,'14526149-K',365);</v>
      </c>
    </row>
    <row r="934" spans="1:10">
      <c r="A934" s="149"/>
      <c r="B934" s="149">
        <v>930</v>
      </c>
      <c r="C934" s="118" t="s">
        <v>2311</v>
      </c>
      <c r="D934" t="s">
        <v>2090</v>
      </c>
      <c r="E934" s="150">
        <v>408</v>
      </c>
      <c r="F934" s="142">
        <v>59200</v>
      </c>
      <c r="G934" s="143">
        <v>49748</v>
      </c>
      <c r="H934" s="144">
        <v>9452</v>
      </c>
      <c r="I934" s="140">
        <v>1</v>
      </c>
      <c r="J934" s="114" t="str">
        <f t="shared" si="14"/>
        <v>INSERT INTO DOCUMENTOS (NRO_DOCUMENTO,FECHA_EMISION,TOTAL_BRUTO,TOTAL_NETO,TOTAL_IVA, ID_TIPO, RUT_EMPLEADO, ID_CLIENTE) VALUES(930,TO_DATE('28-05-2025','DD-MM-YYYY'),59200,49748,9452,1,'14526149-K',408);</v>
      </c>
    </row>
    <row r="935" spans="1:10">
      <c r="A935" s="149"/>
      <c r="B935" s="149">
        <v>931</v>
      </c>
      <c r="C935" s="118" t="s">
        <v>2311</v>
      </c>
      <c r="D935" t="s">
        <v>2090</v>
      </c>
      <c r="E935" s="150">
        <v>479</v>
      </c>
      <c r="F935" s="142">
        <v>10500</v>
      </c>
      <c r="G935" s="143">
        <v>8824</v>
      </c>
      <c r="H935" s="144">
        <v>1676</v>
      </c>
      <c r="I935" s="140">
        <v>1</v>
      </c>
      <c r="J935" s="114" t="str">
        <f t="shared" si="14"/>
        <v>INSERT INTO DOCUMENTOS (NRO_DOCUMENTO,FECHA_EMISION,TOTAL_BRUTO,TOTAL_NETO,TOTAL_IVA, ID_TIPO, RUT_EMPLEADO, ID_CLIENTE) VALUES(931,TO_DATE('28-05-2025','DD-MM-YYYY'),10500,8824,1676,1,'14526149-K',479);</v>
      </c>
    </row>
    <row r="936" spans="1:10">
      <c r="A936" s="149"/>
      <c r="B936" s="149">
        <v>932</v>
      </c>
      <c r="C936" s="151" t="s">
        <v>2312</v>
      </c>
      <c r="D936" t="s">
        <v>2090</v>
      </c>
      <c r="E936" s="150">
        <v>108</v>
      </c>
      <c r="F936" s="142">
        <v>1100</v>
      </c>
      <c r="G936" s="143">
        <v>924</v>
      </c>
      <c r="H936" s="144">
        <v>176</v>
      </c>
      <c r="I936" s="140">
        <v>1</v>
      </c>
      <c r="J936" s="114" t="str">
        <f t="shared" si="14"/>
        <v>INSERT INTO DOCUMENTOS (NRO_DOCUMENTO,FECHA_EMISION,TOTAL_BRUTO,TOTAL_NETO,TOTAL_IVA, ID_TIPO, RUT_EMPLEADO, ID_CLIENTE) VALUES(932,TO_DATE('29-05-2025','DD-MM-YYYY'),1100,924,176,1,'14526149-K',108);</v>
      </c>
    </row>
    <row r="937" spans="1:10">
      <c r="A937" s="149"/>
      <c r="B937" s="149">
        <v>933</v>
      </c>
      <c r="C937" s="118" t="s">
        <v>2312</v>
      </c>
      <c r="D937" t="s">
        <v>2090</v>
      </c>
      <c r="E937" s="150">
        <v>111</v>
      </c>
      <c r="F937" s="142">
        <v>16500</v>
      </c>
      <c r="G937" s="143">
        <v>13866</v>
      </c>
      <c r="H937" s="144">
        <v>2634</v>
      </c>
      <c r="I937" s="140">
        <v>1</v>
      </c>
      <c r="J937" s="114" t="str">
        <f t="shared" si="14"/>
        <v>INSERT INTO DOCUMENTOS (NRO_DOCUMENTO,FECHA_EMISION,TOTAL_BRUTO,TOTAL_NETO,TOTAL_IVA, ID_TIPO, RUT_EMPLEADO, ID_CLIENTE) VALUES(933,TO_DATE('29-05-2025','DD-MM-YYYY'),16500,13866,2634,1,'14526149-K',111);</v>
      </c>
    </row>
    <row r="938" spans="1:10">
      <c r="A938" s="149"/>
      <c r="B938" s="149">
        <v>934</v>
      </c>
      <c r="C938" s="118" t="s">
        <v>2312</v>
      </c>
      <c r="D938" t="s">
        <v>2090</v>
      </c>
      <c r="E938" s="150">
        <v>122</v>
      </c>
      <c r="F938" s="142">
        <v>66990</v>
      </c>
      <c r="G938" s="143">
        <v>56294</v>
      </c>
      <c r="H938" s="144">
        <v>10696</v>
      </c>
      <c r="I938" s="140">
        <v>1</v>
      </c>
      <c r="J938" s="114" t="str">
        <f t="shared" si="14"/>
        <v>INSERT INTO DOCUMENTOS (NRO_DOCUMENTO,FECHA_EMISION,TOTAL_BRUTO,TOTAL_NETO,TOTAL_IVA, ID_TIPO, RUT_EMPLEADO, ID_CLIENTE) VALUES(934,TO_DATE('29-05-2025','DD-MM-YYYY'),66990,56294,10696,1,'14526149-K',122);</v>
      </c>
    </row>
    <row r="939" spans="1:10">
      <c r="A939" s="149"/>
      <c r="B939" s="149">
        <v>935</v>
      </c>
      <c r="C939" s="118" t="s">
        <v>2312</v>
      </c>
      <c r="D939" t="s">
        <v>2090</v>
      </c>
      <c r="E939" s="150">
        <v>179</v>
      </c>
      <c r="F939" s="142">
        <v>33000</v>
      </c>
      <c r="G939" s="143">
        <v>27730</v>
      </c>
      <c r="H939" s="144">
        <v>5270</v>
      </c>
      <c r="I939" s="140">
        <v>1</v>
      </c>
      <c r="J939" s="114" t="str">
        <f t="shared" si="14"/>
        <v>INSERT INTO DOCUMENTOS (NRO_DOCUMENTO,FECHA_EMISION,TOTAL_BRUTO,TOTAL_NETO,TOTAL_IVA, ID_TIPO, RUT_EMPLEADO, ID_CLIENTE) VALUES(935,TO_DATE('29-05-2025','DD-MM-YYYY'),33000,27730,5270,1,'14526149-K',179);</v>
      </c>
    </row>
    <row r="940" spans="1:10">
      <c r="A940" s="149"/>
      <c r="B940" s="149">
        <v>936</v>
      </c>
      <c r="C940" s="118" t="s">
        <v>2312</v>
      </c>
      <c r="D940" t="s">
        <v>2090</v>
      </c>
      <c r="E940" s="150">
        <v>346</v>
      </c>
      <c r="F940" s="142">
        <v>8200</v>
      </c>
      <c r="G940" s="143">
        <v>6891</v>
      </c>
      <c r="H940" s="144">
        <v>1309</v>
      </c>
      <c r="I940" s="140">
        <v>1</v>
      </c>
      <c r="J940" s="114" t="str">
        <f t="shared" si="14"/>
        <v>INSERT INTO DOCUMENTOS (NRO_DOCUMENTO,FECHA_EMISION,TOTAL_BRUTO,TOTAL_NETO,TOTAL_IVA, ID_TIPO, RUT_EMPLEADO, ID_CLIENTE) VALUES(936,TO_DATE('29-05-2025','DD-MM-YYYY'),8200,6891,1309,1,'14526149-K',346);</v>
      </c>
    </row>
    <row r="941" spans="1:10">
      <c r="A941" s="149"/>
      <c r="B941" s="149">
        <v>937</v>
      </c>
      <c r="C941" s="118" t="s">
        <v>2312</v>
      </c>
      <c r="D941" t="s">
        <v>2090</v>
      </c>
      <c r="E941" s="150">
        <v>353</v>
      </c>
      <c r="F941" s="142">
        <v>24700</v>
      </c>
      <c r="G941" s="143">
        <v>20757</v>
      </c>
      <c r="H941" s="144">
        <v>3943</v>
      </c>
      <c r="I941" s="140">
        <v>1</v>
      </c>
      <c r="J941" s="114" t="str">
        <f t="shared" si="14"/>
        <v>INSERT INTO DOCUMENTOS (NRO_DOCUMENTO,FECHA_EMISION,TOTAL_BRUTO,TOTAL_NETO,TOTAL_IVA, ID_TIPO, RUT_EMPLEADO, ID_CLIENTE) VALUES(937,TO_DATE('29-05-2025','DD-MM-YYYY'),24700,20757,3943,1,'14526149-K',353);</v>
      </c>
    </row>
    <row r="942" spans="1:10">
      <c r="A942" s="149"/>
      <c r="B942" s="149">
        <v>938</v>
      </c>
      <c r="C942" s="118" t="s">
        <v>2312</v>
      </c>
      <c r="D942" t="s">
        <v>2090</v>
      </c>
      <c r="E942" s="150">
        <v>365</v>
      </c>
      <c r="F942" s="142">
        <v>1700</v>
      </c>
      <c r="G942" s="143">
        <v>1429</v>
      </c>
      <c r="H942" s="144">
        <v>271</v>
      </c>
      <c r="I942" s="140">
        <v>1</v>
      </c>
      <c r="J942" s="114" t="str">
        <f t="shared" si="14"/>
        <v>INSERT INTO DOCUMENTOS (NRO_DOCUMENTO,FECHA_EMISION,TOTAL_BRUTO,TOTAL_NETO,TOTAL_IVA, ID_TIPO, RUT_EMPLEADO, ID_CLIENTE) VALUES(938,TO_DATE('29-05-2025','DD-MM-YYYY'),1700,1429,271,1,'14526149-K',365);</v>
      </c>
    </row>
    <row r="943" spans="1:10">
      <c r="A943" s="149"/>
      <c r="B943" s="149">
        <v>939</v>
      </c>
      <c r="C943" s="118" t="s">
        <v>2312</v>
      </c>
      <c r="D943" t="s">
        <v>2090</v>
      </c>
      <c r="E943" s="150">
        <v>377</v>
      </c>
      <c r="F943" s="142">
        <v>20900</v>
      </c>
      <c r="G943" s="143">
        <v>17563</v>
      </c>
      <c r="H943" s="144">
        <v>3337</v>
      </c>
      <c r="I943" s="140">
        <v>1</v>
      </c>
      <c r="J943" s="114" t="str">
        <f t="shared" si="14"/>
        <v>INSERT INTO DOCUMENTOS (NRO_DOCUMENTO,FECHA_EMISION,TOTAL_BRUTO,TOTAL_NETO,TOTAL_IVA, ID_TIPO, RUT_EMPLEADO, ID_CLIENTE) VALUES(939,TO_DATE('29-05-2025','DD-MM-YYYY'),20900,17563,3337,1,'14526149-K',377);</v>
      </c>
    </row>
    <row r="944" spans="1:10">
      <c r="A944" s="149"/>
      <c r="B944" s="149">
        <v>940</v>
      </c>
      <c r="C944" s="118" t="s">
        <v>2312</v>
      </c>
      <c r="D944" t="s">
        <v>2090</v>
      </c>
      <c r="E944" s="150">
        <v>430</v>
      </c>
      <c r="F944" s="142">
        <v>6000</v>
      </c>
      <c r="G944" s="143">
        <v>5042</v>
      </c>
      <c r="H944" s="144">
        <v>958</v>
      </c>
      <c r="I944" s="140">
        <v>1</v>
      </c>
      <c r="J944" s="114" t="str">
        <f t="shared" si="14"/>
        <v>INSERT INTO DOCUMENTOS (NRO_DOCUMENTO,FECHA_EMISION,TOTAL_BRUTO,TOTAL_NETO,TOTAL_IVA, ID_TIPO, RUT_EMPLEADO, ID_CLIENTE) VALUES(940,TO_DATE('29-05-2025','DD-MM-YYYY'),6000,5042,958,1,'14526149-K',430);</v>
      </c>
    </row>
    <row r="945" spans="1:10">
      <c r="A945" s="149"/>
      <c r="B945" s="149">
        <v>941</v>
      </c>
      <c r="C945" s="118" t="s">
        <v>2312</v>
      </c>
      <c r="D945" t="s">
        <v>2090</v>
      </c>
      <c r="E945" s="150">
        <v>470</v>
      </c>
      <c r="F945" s="142">
        <v>8200</v>
      </c>
      <c r="G945" s="143">
        <v>6891</v>
      </c>
      <c r="H945" s="144">
        <v>1309</v>
      </c>
      <c r="I945" s="140">
        <v>1</v>
      </c>
      <c r="J945" s="114" t="str">
        <f t="shared" si="14"/>
        <v>INSERT INTO DOCUMENTOS (NRO_DOCUMENTO,FECHA_EMISION,TOTAL_BRUTO,TOTAL_NETO,TOTAL_IVA, ID_TIPO, RUT_EMPLEADO, ID_CLIENTE) VALUES(941,TO_DATE('29-05-2025','DD-MM-YYYY'),8200,6891,1309,1,'14526149-K',470);</v>
      </c>
    </row>
    <row r="946" spans="1:10">
      <c r="A946" s="149"/>
      <c r="B946" s="149">
        <v>942</v>
      </c>
      <c r="C946" s="151" t="s">
        <v>2313</v>
      </c>
      <c r="D946" t="s">
        <v>2090</v>
      </c>
      <c r="E946" s="150">
        <v>108</v>
      </c>
      <c r="F946" s="142">
        <v>7200</v>
      </c>
      <c r="G946" s="143">
        <v>6050</v>
      </c>
      <c r="H946" s="144">
        <v>1150</v>
      </c>
      <c r="I946" s="140">
        <v>1</v>
      </c>
      <c r="J946" s="114" t="str">
        <f t="shared" si="14"/>
        <v>INSERT INTO DOCUMENTOS (NRO_DOCUMENTO,FECHA_EMISION,TOTAL_BRUTO,TOTAL_NETO,TOTAL_IVA, ID_TIPO, RUT_EMPLEADO, ID_CLIENTE) VALUES(942,TO_DATE('30-05-2025','DD-MM-YYYY'),7200,6050,1150,1,'14526149-K',108);</v>
      </c>
    </row>
    <row r="947" spans="1:10">
      <c r="A947" s="149"/>
      <c r="B947" s="149">
        <v>943</v>
      </c>
      <c r="C947" s="118" t="s">
        <v>2313</v>
      </c>
      <c r="D947" t="s">
        <v>2090</v>
      </c>
      <c r="E947" s="150">
        <v>163</v>
      </c>
      <c r="F947" s="142">
        <v>20900</v>
      </c>
      <c r="G947" s="143">
        <v>17563</v>
      </c>
      <c r="H947" s="144">
        <v>3337</v>
      </c>
      <c r="I947" s="140">
        <v>1</v>
      </c>
      <c r="J947" s="114" t="str">
        <f t="shared" si="14"/>
        <v>INSERT INTO DOCUMENTOS (NRO_DOCUMENTO,FECHA_EMISION,TOTAL_BRUTO,TOTAL_NETO,TOTAL_IVA, ID_TIPO, RUT_EMPLEADO, ID_CLIENTE) VALUES(943,TO_DATE('30-05-2025','DD-MM-YYYY'),20900,17563,3337,1,'14526149-K',163);</v>
      </c>
    </row>
    <row r="948" spans="1:10">
      <c r="A948" s="149"/>
      <c r="B948" s="149">
        <v>944</v>
      </c>
      <c r="C948" s="118" t="s">
        <v>2313</v>
      </c>
      <c r="D948" t="s">
        <v>2090</v>
      </c>
      <c r="E948" s="150">
        <v>300</v>
      </c>
      <c r="F948" s="142">
        <v>33200</v>
      </c>
      <c r="G948" s="143">
        <v>27898</v>
      </c>
      <c r="H948" s="144">
        <v>5302</v>
      </c>
      <c r="I948" s="140">
        <v>1</v>
      </c>
      <c r="J948" s="114" t="str">
        <f t="shared" si="14"/>
        <v>INSERT INTO DOCUMENTOS (NRO_DOCUMENTO,FECHA_EMISION,TOTAL_BRUTO,TOTAL_NETO,TOTAL_IVA, ID_TIPO, RUT_EMPLEADO, ID_CLIENTE) VALUES(944,TO_DATE('30-05-2025','DD-MM-YYYY'),33200,27898,5302,1,'14526149-K',300);</v>
      </c>
    </row>
    <row r="949" spans="1:10">
      <c r="A949" s="149"/>
      <c r="B949" s="149">
        <v>945</v>
      </c>
      <c r="C949" s="118" t="s">
        <v>2313</v>
      </c>
      <c r="D949" t="s">
        <v>2090</v>
      </c>
      <c r="E949" s="150">
        <v>334</v>
      </c>
      <c r="F949" s="142">
        <v>8200</v>
      </c>
      <c r="G949" s="143">
        <v>6891</v>
      </c>
      <c r="H949" s="144">
        <v>1309</v>
      </c>
      <c r="I949" s="140">
        <v>1</v>
      </c>
      <c r="J949" s="114" t="str">
        <f t="shared" si="14"/>
        <v>INSERT INTO DOCUMENTOS (NRO_DOCUMENTO,FECHA_EMISION,TOTAL_BRUTO,TOTAL_NETO,TOTAL_IVA, ID_TIPO, RUT_EMPLEADO, ID_CLIENTE) VALUES(945,TO_DATE('30-05-2025','DD-MM-YYYY'),8200,6891,1309,1,'14526149-K',334);</v>
      </c>
    </row>
    <row r="950" spans="1:10">
      <c r="A950" s="149"/>
      <c r="B950" s="149">
        <v>946</v>
      </c>
      <c r="C950" s="118" t="s">
        <v>2313</v>
      </c>
      <c r="D950" t="s">
        <v>2090</v>
      </c>
      <c r="E950" s="150">
        <v>394</v>
      </c>
      <c r="F950" s="142">
        <v>31200</v>
      </c>
      <c r="G950" s="143">
        <v>26219</v>
      </c>
      <c r="H950" s="144">
        <v>4981</v>
      </c>
      <c r="I950" s="140">
        <v>1</v>
      </c>
      <c r="J950" s="114" t="str">
        <f t="shared" si="14"/>
        <v>INSERT INTO DOCUMENTOS (NRO_DOCUMENTO,FECHA_EMISION,TOTAL_BRUTO,TOTAL_NETO,TOTAL_IVA, ID_TIPO, RUT_EMPLEADO, ID_CLIENTE) VALUES(946,TO_DATE('30-05-2025','DD-MM-YYYY'),31200,26219,4981,1,'14526149-K',394);</v>
      </c>
    </row>
    <row r="951" spans="1:10">
      <c r="A951" s="149"/>
      <c r="B951" s="149">
        <v>947</v>
      </c>
      <c r="C951" s="118" t="s">
        <v>2313</v>
      </c>
      <c r="D951" t="s">
        <v>2090</v>
      </c>
      <c r="E951" s="150">
        <v>418</v>
      </c>
      <c r="F951" s="142">
        <v>6000</v>
      </c>
      <c r="G951" s="143">
        <v>5042</v>
      </c>
      <c r="H951" s="144">
        <v>958</v>
      </c>
      <c r="I951" s="140">
        <v>1</v>
      </c>
      <c r="J951" s="114" t="str">
        <f t="shared" si="14"/>
        <v>INSERT INTO DOCUMENTOS (NRO_DOCUMENTO,FECHA_EMISION,TOTAL_BRUTO,TOTAL_NETO,TOTAL_IVA, ID_TIPO, RUT_EMPLEADO, ID_CLIENTE) VALUES(947,TO_DATE('30-05-2025','DD-MM-YYYY'),6000,5042,958,1,'14526149-K',418);</v>
      </c>
    </row>
    <row r="952" spans="1:10">
      <c r="A952" s="149"/>
      <c r="B952" s="149">
        <v>948</v>
      </c>
      <c r="C952" s="118" t="s">
        <v>2313</v>
      </c>
      <c r="D952" t="s">
        <v>2090</v>
      </c>
      <c r="E952" s="150">
        <v>451</v>
      </c>
      <c r="F952" s="142">
        <v>10100</v>
      </c>
      <c r="G952" s="143">
        <v>8488</v>
      </c>
      <c r="H952" s="144">
        <v>1612</v>
      </c>
      <c r="I952" s="140">
        <v>1</v>
      </c>
      <c r="J952" s="114" t="str">
        <f t="shared" si="14"/>
        <v>INSERT INTO DOCUMENTOS (NRO_DOCUMENTO,FECHA_EMISION,TOTAL_BRUTO,TOTAL_NETO,TOTAL_IVA, ID_TIPO, RUT_EMPLEADO, ID_CLIENTE) VALUES(948,TO_DATE('30-05-2025','DD-MM-YYYY'),10100,8488,1612,1,'14526149-K',451);</v>
      </c>
    </row>
    <row r="953" spans="1:10">
      <c r="A953" s="149"/>
      <c r="B953" s="149">
        <v>949</v>
      </c>
      <c r="C953" s="151" t="s">
        <v>2314</v>
      </c>
      <c r="D953" t="s">
        <v>2090</v>
      </c>
      <c r="E953" s="150">
        <v>76</v>
      </c>
      <c r="F953" s="142">
        <v>15200</v>
      </c>
      <c r="G953" s="143">
        <v>12773</v>
      </c>
      <c r="H953" s="144">
        <v>2427</v>
      </c>
      <c r="I953" s="140">
        <v>1</v>
      </c>
      <c r="J953" s="114" t="str">
        <f t="shared" si="14"/>
        <v>INSERT INTO DOCUMENTOS (NRO_DOCUMENTO,FECHA_EMISION,TOTAL_BRUTO,TOTAL_NETO,TOTAL_IVA, ID_TIPO, RUT_EMPLEADO, ID_CLIENTE) VALUES(949,TO_DATE('31-05-2025','DD-MM-YYYY'),15200,12773,2427,1,'14526149-K',76);</v>
      </c>
    </row>
    <row r="954" spans="1:10">
      <c r="A954" s="149"/>
      <c r="B954" s="150">
        <v>950</v>
      </c>
      <c r="C954" s="118" t="s">
        <v>2314</v>
      </c>
      <c r="D954" t="s">
        <v>2090</v>
      </c>
      <c r="E954" s="150">
        <v>226</v>
      </c>
      <c r="F954" s="142">
        <v>8000</v>
      </c>
      <c r="G954" s="143">
        <v>6723</v>
      </c>
      <c r="H954" s="144">
        <v>1277</v>
      </c>
      <c r="I954" s="140">
        <v>1</v>
      </c>
      <c r="J954" s="114" t="str">
        <f t="shared" si="14"/>
        <v>INSERT INTO DOCUMENTOS (NRO_DOCUMENTO,FECHA_EMISION,TOTAL_BRUTO,TOTAL_NETO,TOTAL_IVA, ID_TIPO, RUT_EMPLEADO, ID_CLIENTE) VALUES(950,TO_DATE('31-05-2025','DD-MM-YYYY'),8000,6723,1277,1,'14526149-K',226);</v>
      </c>
    </row>
    <row r="955" spans="1:10">
      <c r="A955" s="149"/>
      <c r="B955" s="149">
        <v>951</v>
      </c>
      <c r="C955" s="118" t="s">
        <v>2314</v>
      </c>
      <c r="D955" t="s">
        <v>2090</v>
      </c>
      <c r="E955" s="150">
        <v>397</v>
      </c>
      <c r="F955" s="142">
        <v>8000</v>
      </c>
      <c r="G955" s="143">
        <v>6723</v>
      </c>
      <c r="H955" s="144">
        <v>1277</v>
      </c>
      <c r="I955" s="140">
        <v>1</v>
      </c>
      <c r="J955" s="114" t="str">
        <f t="shared" si="14"/>
        <v>INSERT INTO DOCUMENTOS (NRO_DOCUMENTO,FECHA_EMISION,TOTAL_BRUTO,TOTAL_NETO,TOTAL_IVA, ID_TIPO, RUT_EMPLEADO, ID_CLIENTE) VALUES(951,TO_DATE('31-05-2025','DD-MM-YYYY'),8000,6723,1277,1,'14526149-K',397);</v>
      </c>
    </row>
    <row r="956" spans="1:10">
      <c r="A956" s="149"/>
      <c r="B956" s="149">
        <v>952</v>
      </c>
      <c r="C956" s="118" t="s">
        <v>2314</v>
      </c>
      <c r="D956" t="s">
        <v>2090</v>
      </c>
      <c r="E956" s="150">
        <v>446</v>
      </c>
      <c r="F956" s="142">
        <v>9000</v>
      </c>
      <c r="G956" s="143">
        <v>7563</v>
      </c>
      <c r="H956" s="144">
        <v>1437</v>
      </c>
      <c r="I956" s="140">
        <v>1</v>
      </c>
      <c r="J956" s="114" t="str">
        <f t="shared" si="14"/>
        <v>INSERT INTO DOCUMENTOS (NRO_DOCUMENTO,FECHA_EMISION,TOTAL_BRUTO,TOTAL_NETO,TOTAL_IVA, ID_TIPO, RUT_EMPLEADO, ID_CLIENTE) VALUES(952,TO_DATE('31-05-2025','DD-MM-YYYY'),9000,7563,1437,1,'14526149-K',446);</v>
      </c>
    </row>
    <row r="957" spans="1:10">
      <c r="A957" s="149"/>
      <c r="B957" s="149">
        <v>953</v>
      </c>
      <c r="C957" s="118" t="s">
        <v>2314</v>
      </c>
      <c r="D957" t="s">
        <v>2090</v>
      </c>
      <c r="E957" s="150">
        <v>477</v>
      </c>
      <c r="F957" s="142">
        <v>44100</v>
      </c>
      <c r="G957" s="143">
        <v>37059</v>
      </c>
      <c r="H957" s="144">
        <v>7041</v>
      </c>
      <c r="I957" s="140">
        <v>1</v>
      </c>
      <c r="J957" s="114" t="str">
        <f t="shared" si="14"/>
        <v>INSERT INTO DOCUMENTOS (NRO_DOCUMENTO,FECHA_EMISION,TOTAL_BRUTO,TOTAL_NETO,TOTAL_IVA, ID_TIPO, RUT_EMPLEADO, ID_CLIENTE) VALUES(953,TO_DATE('31-05-2025','DD-MM-YYYY'),44100,37059,7041,1,'14526149-K',477);</v>
      </c>
    </row>
    <row r="958" spans="1:10">
      <c r="A958" s="149"/>
      <c r="B958" s="149">
        <v>954</v>
      </c>
      <c r="C958" s="151" t="s">
        <v>2315</v>
      </c>
      <c r="D958" t="s">
        <v>2090</v>
      </c>
      <c r="E958" s="150">
        <v>56</v>
      </c>
      <c r="F958" s="142">
        <v>19200</v>
      </c>
      <c r="G958" s="143">
        <v>16135</v>
      </c>
      <c r="H958" s="144">
        <v>3065</v>
      </c>
      <c r="I958" s="140">
        <v>1</v>
      </c>
      <c r="J958" s="114" t="str">
        <f t="shared" si="14"/>
        <v>INSERT INTO DOCUMENTOS (NRO_DOCUMENTO,FECHA_EMISION,TOTAL_BRUTO,TOTAL_NETO,TOTAL_IVA, ID_TIPO, RUT_EMPLEADO, ID_CLIENTE) VALUES(954,TO_DATE('01-06-2025','DD-MM-YYYY'),19200,16135,3065,1,'14526149-K',56);</v>
      </c>
    </row>
    <row r="959" spans="1:10">
      <c r="A959" s="149"/>
      <c r="B959" s="149">
        <v>955</v>
      </c>
      <c r="C959" s="118" t="s">
        <v>2315</v>
      </c>
      <c r="D959" t="s">
        <v>2090</v>
      </c>
      <c r="E959" s="150">
        <v>72</v>
      </c>
      <c r="F959" s="142">
        <v>6000</v>
      </c>
      <c r="G959" s="143">
        <v>5042</v>
      </c>
      <c r="H959" s="144">
        <v>958</v>
      </c>
      <c r="I959" s="140">
        <v>1</v>
      </c>
      <c r="J959" s="114" t="str">
        <f t="shared" si="14"/>
        <v>INSERT INTO DOCUMENTOS (NRO_DOCUMENTO,FECHA_EMISION,TOTAL_BRUTO,TOTAL_NETO,TOTAL_IVA, ID_TIPO, RUT_EMPLEADO, ID_CLIENTE) VALUES(955,TO_DATE('01-06-2025','DD-MM-YYYY'),6000,5042,958,1,'14526149-K',72);</v>
      </c>
    </row>
    <row r="960" spans="1:10">
      <c r="A960" s="149"/>
      <c r="B960" s="149">
        <v>956</v>
      </c>
      <c r="C960" s="118" t="s">
        <v>2315</v>
      </c>
      <c r="D960" t="s">
        <v>2090</v>
      </c>
      <c r="E960" s="150">
        <v>166</v>
      </c>
      <c r="F960" s="142">
        <v>6000</v>
      </c>
      <c r="G960" s="143">
        <v>5042</v>
      </c>
      <c r="H960" s="144">
        <v>958</v>
      </c>
      <c r="I960" s="140">
        <v>1</v>
      </c>
      <c r="J960" s="114" t="str">
        <f t="shared" si="14"/>
        <v>INSERT INTO DOCUMENTOS (NRO_DOCUMENTO,FECHA_EMISION,TOTAL_BRUTO,TOTAL_NETO,TOTAL_IVA, ID_TIPO, RUT_EMPLEADO, ID_CLIENTE) VALUES(956,TO_DATE('01-06-2025','DD-MM-YYYY'),6000,5042,958,1,'14526149-K',166);</v>
      </c>
    </row>
    <row r="961" spans="1:10">
      <c r="A961" s="149"/>
      <c r="B961" s="149">
        <v>957</v>
      </c>
      <c r="C961" s="118" t="s">
        <v>2315</v>
      </c>
      <c r="D961" t="s">
        <v>2090</v>
      </c>
      <c r="E961" s="150">
        <v>353</v>
      </c>
      <c r="F961" s="142">
        <v>3000</v>
      </c>
      <c r="G961" s="143">
        <v>2521</v>
      </c>
      <c r="H961" s="144">
        <v>479</v>
      </c>
      <c r="I961" s="140">
        <v>1</v>
      </c>
      <c r="J961" s="114" t="str">
        <f t="shared" si="14"/>
        <v>INSERT INTO DOCUMENTOS (NRO_DOCUMENTO,FECHA_EMISION,TOTAL_BRUTO,TOTAL_NETO,TOTAL_IVA, ID_TIPO, RUT_EMPLEADO, ID_CLIENTE) VALUES(957,TO_DATE('01-06-2025','DD-MM-YYYY'),3000,2521,479,1,'14526149-K',353);</v>
      </c>
    </row>
    <row r="962" spans="1:10">
      <c r="A962" s="149"/>
      <c r="B962" s="149">
        <v>958</v>
      </c>
      <c r="C962" s="118" t="s">
        <v>2315</v>
      </c>
      <c r="D962" t="s">
        <v>2090</v>
      </c>
      <c r="E962" s="150">
        <v>397</v>
      </c>
      <c r="F962" s="142">
        <v>5900</v>
      </c>
      <c r="G962" s="143">
        <v>4958</v>
      </c>
      <c r="H962" s="144">
        <v>942</v>
      </c>
      <c r="I962" s="140">
        <v>1</v>
      </c>
      <c r="J962" s="114" t="str">
        <f t="shared" si="14"/>
        <v>INSERT INTO DOCUMENTOS (NRO_DOCUMENTO,FECHA_EMISION,TOTAL_BRUTO,TOTAL_NETO,TOTAL_IVA, ID_TIPO, RUT_EMPLEADO, ID_CLIENTE) VALUES(958,TO_DATE('01-06-2025','DD-MM-YYYY'),5900,4958,942,1,'14526149-K',397);</v>
      </c>
    </row>
    <row r="963" spans="1:10">
      <c r="A963" s="149"/>
      <c r="B963" s="149">
        <v>959</v>
      </c>
      <c r="C963" s="118" t="s">
        <v>2315</v>
      </c>
      <c r="D963" t="s">
        <v>2090</v>
      </c>
      <c r="E963" s="150">
        <v>427</v>
      </c>
      <c r="F963" s="142">
        <v>12200</v>
      </c>
      <c r="G963" s="143">
        <v>10253</v>
      </c>
      <c r="H963" s="144">
        <v>1947</v>
      </c>
      <c r="I963" s="140">
        <v>1</v>
      </c>
      <c r="J963" s="114" t="str">
        <f t="shared" si="14"/>
        <v>INSERT INTO DOCUMENTOS (NRO_DOCUMENTO,FECHA_EMISION,TOTAL_BRUTO,TOTAL_NETO,TOTAL_IVA, ID_TIPO, RUT_EMPLEADO, ID_CLIENTE) VALUES(959,TO_DATE('01-06-2025','DD-MM-YYYY'),12200,10253,1947,1,'14526149-K',427);</v>
      </c>
    </row>
    <row r="964" spans="1:10">
      <c r="A964" s="149"/>
      <c r="B964" s="149">
        <v>960</v>
      </c>
      <c r="C964" s="151" t="s">
        <v>2316</v>
      </c>
      <c r="D964" t="s">
        <v>2090</v>
      </c>
      <c r="E964" s="150">
        <v>48</v>
      </c>
      <c r="F964" s="142">
        <v>21000</v>
      </c>
      <c r="G964" s="143">
        <v>17647</v>
      </c>
      <c r="H964" s="144">
        <v>3353</v>
      </c>
      <c r="I964" s="140">
        <v>1</v>
      </c>
      <c r="J964" s="114" t="str">
        <f t="shared" si="14"/>
        <v>INSERT INTO DOCUMENTOS (NRO_DOCUMENTO,FECHA_EMISION,TOTAL_BRUTO,TOTAL_NETO,TOTAL_IVA, ID_TIPO, RUT_EMPLEADO, ID_CLIENTE) VALUES(960,TO_DATE('02-06-2025','DD-MM-YYYY'),21000,17647,3353,1,'14526149-K',48);</v>
      </c>
    </row>
    <row r="965" spans="1:10">
      <c r="A965" s="149"/>
      <c r="B965" s="149">
        <v>961</v>
      </c>
      <c r="C965" s="118" t="s">
        <v>2316</v>
      </c>
      <c r="D965" t="s">
        <v>2090</v>
      </c>
      <c r="E965" s="150">
        <v>159</v>
      </c>
      <c r="F965" s="142">
        <v>32800</v>
      </c>
      <c r="G965" s="143">
        <v>27563</v>
      </c>
      <c r="H965" s="144">
        <v>5237</v>
      </c>
      <c r="I965" s="140">
        <v>1</v>
      </c>
      <c r="J965" s="114" t="str">
        <f t="shared" si="14"/>
        <v>INSERT INTO DOCUMENTOS (NRO_DOCUMENTO,FECHA_EMISION,TOTAL_BRUTO,TOTAL_NETO,TOTAL_IVA, ID_TIPO, RUT_EMPLEADO, ID_CLIENTE) VALUES(961,TO_DATE('02-06-2025','DD-MM-YYYY'),32800,27563,5237,1,'14526149-K',159);</v>
      </c>
    </row>
    <row r="966" spans="1:10">
      <c r="A966" s="149"/>
      <c r="B966" s="149">
        <v>962</v>
      </c>
      <c r="C966" s="118" t="s">
        <v>2316</v>
      </c>
      <c r="D966" t="s">
        <v>2090</v>
      </c>
      <c r="E966" s="150">
        <v>254</v>
      </c>
      <c r="F966" s="142">
        <v>30500</v>
      </c>
      <c r="G966" s="143">
        <v>25631</v>
      </c>
      <c r="H966" s="144">
        <v>4869</v>
      </c>
      <c r="I966" s="140">
        <v>1</v>
      </c>
      <c r="J966" s="114" t="str">
        <f t="shared" ref="J966:J1029" si="15">CONCATENATE("INSERT INTO DOCUMENTOS (NRO_DOCUMENTO,FECHA_EMISION,TOTAL_BRUTO,TOTAL_NETO,TOTAL_IVA, ID_TIPO, RUT_EMPLEADO, ID_CLIENTE) VALUES(",B966,",","TO_DATE('",C966,"'",",'DD-MM-YYYY'),",F966,",",G966,",",H966,",",I966,",","'",D966,"',",E966,");")</f>
        <v>INSERT INTO DOCUMENTOS (NRO_DOCUMENTO,FECHA_EMISION,TOTAL_BRUTO,TOTAL_NETO,TOTAL_IVA, ID_TIPO, RUT_EMPLEADO, ID_CLIENTE) VALUES(962,TO_DATE('02-06-2025','DD-MM-YYYY'),30500,25631,4869,1,'14526149-K',254);</v>
      </c>
    </row>
    <row r="967" spans="1:10">
      <c r="A967" s="149"/>
      <c r="B967" s="149">
        <v>963</v>
      </c>
      <c r="C967" s="118" t="s">
        <v>2316</v>
      </c>
      <c r="D967" t="s">
        <v>2090</v>
      </c>
      <c r="E967" s="150">
        <v>414</v>
      </c>
      <c r="F967" s="142">
        <v>19200</v>
      </c>
      <c r="G967" s="143">
        <v>16135</v>
      </c>
      <c r="H967" s="144">
        <v>3065</v>
      </c>
      <c r="I967" s="140">
        <v>1</v>
      </c>
      <c r="J967" s="114" t="str">
        <f t="shared" si="15"/>
        <v>INSERT INTO DOCUMENTOS (NRO_DOCUMENTO,FECHA_EMISION,TOTAL_BRUTO,TOTAL_NETO,TOTAL_IVA, ID_TIPO, RUT_EMPLEADO, ID_CLIENTE) VALUES(963,TO_DATE('02-06-2025','DD-MM-YYYY'),19200,16135,3065,1,'14526149-K',414);</v>
      </c>
    </row>
    <row r="968" spans="1:10">
      <c r="A968" s="149"/>
      <c r="B968" s="149">
        <v>964</v>
      </c>
      <c r="C968" s="118" t="s">
        <v>2316</v>
      </c>
      <c r="D968" t="s">
        <v>2090</v>
      </c>
      <c r="E968" s="150">
        <v>459</v>
      </c>
      <c r="F968" s="142">
        <v>39000</v>
      </c>
      <c r="G968" s="143">
        <v>32774</v>
      </c>
      <c r="H968" s="144">
        <v>6226</v>
      </c>
      <c r="I968" s="140">
        <v>1</v>
      </c>
      <c r="J968" s="114" t="str">
        <f t="shared" si="15"/>
        <v>INSERT INTO DOCUMENTOS (NRO_DOCUMENTO,FECHA_EMISION,TOTAL_BRUTO,TOTAL_NETO,TOTAL_IVA, ID_TIPO, RUT_EMPLEADO, ID_CLIENTE) VALUES(964,TO_DATE('02-06-2025','DD-MM-YYYY'),39000,32774,6226,1,'14526149-K',459);</v>
      </c>
    </row>
    <row r="969" spans="1:10">
      <c r="A969" s="149"/>
      <c r="B969" s="149">
        <v>965</v>
      </c>
      <c r="C969" s="151" t="s">
        <v>2317</v>
      </c>
      <c r="D969" t="s">
        <v>2090</v>
      </c>
      <c r="E969" s="150">
        <v>77</v>
      </c>
      <c r="F969" s="142">
        <v>41700</v>
      </c>
      <c r="G969" s="143">
        <v>35043</v>
      </c>
      <c r="H969" s="144">
        <v>6657</v>
      </c>
      <c r="I969" s="140">
        <v>1</v>
      </c>
      <c r="J969" s="114" t="str">
        <f t="shared" si="15"/>
        <v>INSERT INTO DOCUMENTOS (NRO_DOCUMENTO,FECHA_EMISION,TOTAL_BRUTO,TOTAL_NETO,TOTAL_IVA, ID_TIPO, RUT_EMPLEADO, ID_CLIENTE) VALUES(965,TO_DATE('03-06-2025','DD-MM-YYYY'),41700,35043,6657,1,'14526149-K',77);</v>
      </c>
    </row>
    <row r="970" spans="1:10">
      <c r="A970" s="149"/>
      <c r="B970" s="149">
        <v>966</v>
      </c>
      <c r="C970" s="118" t="s">
        <v>2317</v>
      </c>
      <c r="D970" t="s">
        <v>2090</v>
      </c>
      <c r="E970" s="150">
        <v>84</v>
      </c>
      <c r="F970" s="142">
        <v>6000</v>
      </c>
      <c r="G970" s="143">
        <v>5042</v>
      </c>
      <c r="H970" s="144">
        <v>958</v>
      </c>
      <c r="I970" s="140">
        <v>1</v>
      </c>
      <c r="J970" s="114" t="str">
        <f t="shared" si="15"/>
        <v>INSERT INTO DOCUMENTOS (NRO_DOCUMENTO,FECHA_EMISION,TOTAL_BRUTO,TOTAL_NETO,TOTAL_IVA, ID_TIPO, RUT_EMPLEADO, ID_CLIENTE) VALUES(966,TO_DATE('03-06-2025','DD-MM-YYYY'),6000,5042,958,1,'14526149-K',84);</v>
      </c>
    </row>
    <row r="971" spans="1:10">
      <c r="A971" s="149"/>
      <c r="B971" s="149">
        <v>967</v>
      </c>
      <c r="C971" s="118" t="s">
        <v>2317</v>
      </c>
      <c r="D971" t="s">
        <v>2090</v>
      </c>
      <c r="E971" s="150">
        <v>119</v>
      </c>
      <c r="F971" s="142">
        <v>8200</v>
      </c>
      <c r="G971" s="143">
        <v>6891</v>
      </c>
      <c r="H971" s="144">
        <v>1309</v>
      </c>
      <c r="I971" s="140">
        <v>1</v>
      </c>
      <c r="J971" s="114" t="str">
        <f t="shared" si="15"/>
        <v>INSERT INTO DOCUMENTOS (NRO_DOCUMENTO,FECHA_EMISION,TOTAL_BRUTO,TOTAL_NETO,TOTAL_IVA, ID_TIPO, RUT_EMPLEADO, ID_CLIENTE) VALUES(967,TO_DATE('03-06-2025','DD-MM-YYYY'),8200,6891,1309,1,'14526149-K',119);</v>
      </c>
    </row>
    <row r="972" spans="1:10">
      <c r="A972" s="149"/>
      <c r="B972" s="149">
        <v>968</v>
      </c>
      <c r="C972" s="118" t="s">
        <v>2317</v>
      </c>
      <c r="D972" t="s">
        <v>2090</v>
      </c>
      <c r="E972" s="150">
        <v>122</v>
      </c>
      <c r="F972" s="142">
        <v>4000</v>
      </c>
      <c r="G972" s="143">
        <v>3361</v>
      </c>
      <c r="H972" s="144">
        <v>639</v>
      </c>
      <c r="I972" s="140">
        <v>1</v>
      </c>
      <c r="J972" s="114" t="str">
        <f t="shared" si="15"/>
        <v>INSERT INTO DOCUMENTOS (NRO_DOCUMENTO,FECHA_EMISION,TOTAL_BRUTO,TOTAL_NETO,TOTAL_IVA, ID_TIPO, RUT_EMPLEADO, ID_CLIENTE) VALUES(968,TO_DATE('03-06-2025','DD-MM-YYYY'),4000,3361,639,1,'14526149-K',122);</v>
      </c>
    </row>
    <row r="973" spans="1:10">
      <c r="A973" s="149"/>
      <c r="B973" s="149">
        <v>969</v>
      </c>
      <c r="C973" s="118" t="s">
        <v>2317</v>
      </c>
      <c r="D973" t="s">
        <v>2090</v>
      </c>
      <c r="E973" s="150">
        <v>166</v>
      </c>
      <c r="F973" s="142">
        <v>6000</v>
      </c>
      <c r="G973" s="143">
        <v>5042</v>
      </c>
      <c r="H973" s="144">
        <v>958</v>
      </c>
      <c r="I973" s="140">
        <v>1</v>
      </c>
      <c r="J973" s="114" t="str">
        <f t="shared" si="15"/>
        <v>INSERT INTO DOCUMENTOS (NRO_DOCUMENTO,FECHA_EMISION,TOTAL_BRUTO,TOTAL_NETO,TOTAL_IVA, ID_TIPO, RUT_EMPLEADO, ID_CLIENTE) VALUES(969,TO_DATE('03-06-2025','DD-MM-YYYY'),6000,5042,958,1,'14526149-K',166);</v>
      </c>
    </row>
    <row r="974" spans="1:10">
      <c r="A974" s="149"/>
      <c r="B974" s="149">
        <v>970</v>
      </c>
      <c r="C974" s="118" t="s">
        <v>2317</v>
      </c>
      <c r="D974" t="s">
        <v>2090</v>
      </c>
      <c r="E974" s="150">
        <v>451</v>
      </c>
      <c r="F974" s="142">
        <v>20900</v>
      </c>
      <c r="G974" s="143">
        <v>17563</v>
      </c>
      <c r="H974" s="144">
        <v>3337</v>
      </c>
      <c r="I974" s="140">
        <v>1</v>
      </c>
      <c r="J974" s="114" t="str">
        <f t="shared" si="15"/>
        <v>INSERT INTO DOCUMENTOS (NRO_DOCUMENTO,FECHA_EMISION,TOTAL_BRUTO,TOTAL_NETO,TOTAL_IVA, ID_TIPO, RUT_EMPLEADO, ID_CLIENTE) VALUES(970,TO_DATE('03-06-2025','DD-MM-YYYY'),20900,17563,3337,1,'14526149-K',451);</v>
      </c>
    </row>
    <row r="975" spans="1:10">
      <c r="A975" s="149"/>
      <c r="B975" s="149">
        <v>971</v>
      </c>
      <c r="C975" s="118" t="s">
        <v>2317</v>
      </c>
      <c r="D975" t="s">
        <v>2090</v>
      </c>
      <c r="E975" s="150">
        <v>483</v>
      </c>
      <c r="F975" s="142">
        <v>121850</v>
      </c>
      <c r="G975" s="143">
        <v>102396</v>
      </c>
      <c r="H975" s="144">
        <v>19454</v>
      </c>
      <c r="I975" s="140">
        <v>1</v>
      </c>
      <c r="J975" s="114" t="str">
        <f t="shared" si="15"/>
        <v>INSERT INTO DOCUMENTOS (NRO_DOCUMENTO,FECHA_EMISION,TOTAL_BRUTO,TOTAL_NETO,TOTAL_IVA, ID_TIPO, RUT_EMPLEADO, ID_CLIENTE) VALUES(971,TO_DATE('03-06-2025','DD-MM-YYYY'),121850,102396,19454,1,'14526149-K',483);</v>
      </c>
    </row>
    <row r="976" spans="1:10">
      <c r="A976" s="149"/>
      <c r="B976" s="149">
        <v>972</v>
      </c>
      <c r="C976" s="151" t="s">
        <v>2318</v>
      </c>
      <c r="D976" t="s">
        <v>2090</v>
      </c>
      <c r="E976" s="150">
        <v>56</v>
      </c>
      <c r="F976" s="142">
        <v>19200</v>
      </c>
      <c r="G976" s="143">
        <v>16135</v>
      </c>
      <c r="H976" s="144">
        <v>3065</v>
      </c>
      <c r="I976" s="140">
        <v>1</v>
      </c>
      <c r="J976" s="114" t="str">
        <f t="shared" si="15"/>
        <v>INSERT INTO DOCUMENTOS (NRO_DOCUMENTO,FECHA_EMISION,TOTAL_BRUTO,TOTAL_NETO,TOTAL_IVA, ID_TIPO, RUT_EMPLEADO, ID_CLIENTE) VALUES(972,TO_DATE('04-06-2025','DD-MM-YYYY'),19200,16135,3065,1,'14526149-K',56);</v>
      </c>
    </row>
    <row r="977" spans="1:10">
      <c r="A977" s="149"/>
      <c r="B977" s="149">
        <v>973</v>
      </c>
      <c r="C977" s="118" t="s">
        <v>2318</v>
      </c>
      <c r="D977" t="s">
        <v>2090</v>
      </c>
      <c r="E977" s="150">
        <v>267</v>
      </c>
      <c r="F977" s="142">
        <v>24400</v>
      </c>
      <c r="G977" s="143">
        <v>20504</v>
      </c>
      <c r="H977" s="144">
        <v>3896</v>
      </c>
      <c r="I977" s="140">
        <v>1</v>
      </c>
      <c r="J977" s="114" t="str">
        <f t="shared" si="15"/>
        <v>INSERT INTO DOCUMENTOS (NRO_DOCUMENTO,FECHA_EMISION,TOTAL_BRUTO,TOTAL_NETO,TOTAL_IVA, ID_TIPO, RUT_EMPLEADO, ID_CLIENTE) VALUES(973,TO_DATE('04-06-2025','DD-MM-YYYY'),24400,20504,3896,1,'14526149-K',267);</v>
      </c>
    </row>
    <row r="978" spans="1:10">
      <c r="A978" s="149"/>
      <c r="B978" s="149">
        <v>974</v>
      </c>
      <c r="C978" s="151" t="s">
        <v>2319</v>
      </c>
      <c r="D978" s="150" t="s">
        <v>2095</v>
      </c>
      <c r="E978" s="150">
        <v>63</v>
      </c>
      <c r="F978" s="142">
        <v>8200</v>
      </c>
      <c r="G978" s="143">
        <v>6891</v>
      </c>
      <c r="H978" s="144">
        <v>1309</v>
      </c>
      <c r="I978" s="140">
        <v>1</v>
      </c>
      <c r="J978" s="114" t="str">
        <f t="shared" si="15"/>
        <v>INSERT INTO DOCUMENTOS (NRO_DOCUMENTO,FECHA_EMISION,TOTAL_BRUTO,TOTAL_NETO,TOTAL_IVA, ID_TIPO, RUT_EMPLEADO, ID_CLIENTE) VALUES(974,TO_DATE('05-06-2025','DD-MM-YYYY'),8200,6891,1309,1,'11383327-0',63);</v>
      </c>
    </row>
    <row r="979" spans="1:10">
      <c r="A979" s="149"/>
      <c r="B979" s="149">
        <v>975</v>
      </c>
      <c r="C979" s="118" t="s">
        <v>2319</v>
      </c>
      <c r="D979" t="s">
        <v>2095</v>
      </c>
      <c r="E979" s="150">
        <v>98</v>
      </c>
      <c r="F979" s="142">
        <v>6000</v>
      </c>
      <c r="G979" s="143">
        <v>5042</v>
      </c>
      <c r="H979" s="144">
        <v>958</v>
      </c>
      <c r="I979" s="140">
        <v>1</v>
      </c>
      <c r="J979" s="114" t="str">
        <f t="shared" si="15"/>
        <v>INSERT INTO DOCUMENTOS (NRO_DOCUMENTO,FECHA_EMISION,TOTAL_BRUTO,TOTAL_NETO,TOTAL_IVA, ID_TIPO, RUT_EMPLEADO, ID_CLIENTE) VALUES(975,TO_DATE('05-06-2025','DD-MM-YYYY'),6000,5042,958,1,'11383327-0',98);</v>
      </c>
    </row>
    <row r="980" spans="1:10">
      <c r="A980" s="149"/>
      <c r="B980" s="149">
        <v>976</v>
      </c>
      <c r="C980" s="118" t="s">
        <v>2319</v>
      </c>
      <c r="D980" t="s">
        <v>2095</v>
      </c>
      <c r="E980" s="150">
        <v>411</v>
      </c>
      <c r="F980" s="142">
        <v>6000</v>
      </c>
      <c r="G980" s="143">
        <v>5042</v>
      </c>
      <c r="H980" s="144">
        <v>958</v>
      </c>
      <c r="I980" s="140">
        <v>1</v>
      </c>
      <c r="J980" s="114" t="str">
        <f t="shared" si="15"/>
        <v>INSERT INTO DOCUMENTOS (NRO_DOCUMENTO,FECHA_EMISION,TOTAL_BRUTO,TOTAL_NETO,TOTAL_IVA, ID_TIPO, RUT_EMPLEADO, ID_CLIENTE) VALUES(976,TO_DATE('05-06-2025','DD-MM-YYYY'),6000,5042,958,1,'11383327-0',411);</v>
      </c>
    </row>
    <row r="981" spans="1:10">
      <c r="A981" s="149"/>
      <c r="B981" s="149">
        <v>977</v>
      </c>
      <c r="C981" s="118" t="s">
        <v>2319</v>
      </c>
      <c r="D981" t="s">
        <v>2095</v>
      </c>
      <c r="E981" s="150">
        <v>486</v>
      </c>
      <c r="F981" s="142">
        <v>8200</v>
      </c>
      <c r="G981" s="143">
        <v>6891</v>
      </c>
      <c r="H981" s="144">
        <v>1309</v>
      </c>
      <c r="I981" s="140">
        <v>1</v>
      </c>
      <c r="J981" s="114" t="str">
        <f t="shared" si="15"/>
        <v>INSERT INTO DOCUMENTOS (NRO_DOCUMENTO,FECHA_EMISION,TOTAL_BRUTO,TOTAL_NETO,TOTAL_IVA, ID_TIPO, RUT_EMPLEADO, ID_CLIENTE) VALUES(977,TO_DATE('05-06-2025','DD-MM-YYYY'),8200,6891,1309,1,'11383327-0',486);</v>
      </c>
    </row>
    <row r="982" spans="1:10">
      <c r="A982" s="149"/>
      <c r="B982" s="149">
        <v>978</v>
      </c>
      <c r="C982" s="151" t="s">
        <v>2320</v>
      </c>
      <c r="D982" s="150" t="s">
        <v>2090</v>
      </c>
      <c r="E982" s="150">
        <v>166</v>
      </c>
      <c r="F982" s="142">
        <v>14200</v>
      </c>
      <c r="G982" s="143">
        <v>11933</v>
      </c>
      <c r="H982" s="144">
        <v>2267</v>
      </c>
      <c r="I982" s="140">
        <v>1</v>
      </c>
      <c r="J982" s="114" t="str">
        <f t="shared" si="15"/>
        <v>INSERT INTO DOCUMENTOS (NRO_DOCUMENTO,FECHA_EMISION,TOTAL_BRUTO,TOTAL_NETO,TOTAL_IVA, ID_TIPO, RUT_EMPLEADO, ID_CLIENTE) VALUES(978,TO_DATE('06-06-2025','DD-MM-YYYY'),14200,11933,2267,1,'14526149-K',166);</v>
      </c>
    </row>
    <row r="983" spans="1:10">
      <c r="A983" s="149"/>
      <c r="B983" s="149">
        <v>979</v>
      </c>
      <c r="C983" s="118" t="s">
        <v>2320</v>
      </c>
      <c r="D983" t="s">
        <v>2090</v>
      </c>
      <c r="E983" s="150">
        <v>219</v>
      </c>
      <c r="F983" s="142">
        <v>20900</v>
      </c>
      <c r="G983" s="143">
        <v>17563</v>
      </c>
      <c r="H983" s="144">
        <v>3337</v>
      </c>
      <c r="I983" s="140">
        <v>1</v>
      </c>
      <c r="J983" s="114" t="str">
        <f t="shared" si="15"/>
        <v>INSERT INTO DOCUMENTOS (NRO_DOCUMENTO,FECHA_EMISION,TOTAL_BRUTO,TOTAL_NETO,TOTAL_IVA, ID_TIPO, RUT_EMPLEADO, ID_CLIENTE) VALUES(979,TO_DATE('06-06-2025','DD-MM-YYYY'),20900,17563,3337,1,'14526149-K',219);</v>
      </c>
    </row>
    <row r="984" spans="1:10">
      <c r="A984" s="149"/>
      <c r="B984" s="149">
        <v>980</v>
      </c>
      <c r="C984" s="118" t="s">
        <v>2320</v>
      </c>
      <c r="D984" t="s">
        <v>2090</v>
      </c>
      <c r="E984" s="150">
        <v>267</v>
      </c>
      <c r="F984" s="142">
        <v>8200</v>
      </c>
      <c r="G984" s="143">
        <v>6891</v>
      </c>
      <c r="H984" s="144">
        <v>1309</v>
      </c>
      <c r="I984" s="140">
        <v>1</v>
      </c>
      <c r="J984" s="114" t="str">
        <f t="shared" si="15"/>
        <v>INSERT INTO DOCUMENTOS (NRO_DOCUMENTO,FECHA_EMISION,TOTAL_BRUTO,TOTAL_NETO,TOTAL_IVA, ID_TIPO, RUT_EMPLEADO, ID_CLIENTE) VALUES(980,TO_DATE('06-06-2025','DD-MM-YYYY'),8200,6891,1309,1,'14526149-K',267);</v>
      </c>
    </row>
    <row r="985" spans="1:10">
      <c r="A985" s="149"/>
      <c r="B985" s="149">
        <v>981</v>
      </c>
      <c r="C985" s="118" t="s">
        <v>2320</v>
      </c>
      <c r="D985" t="s">
        <v>2090</v>
      </c>
      <c r="E985" s="150">
        <v>274</v>
      </c>
      <c r="F985" s="142">
        <v>18200</v>
      </c>
      <c r="G985" s="143">
        <v>15294</v>
      </c>
      <c r="H985" s="144">
        <v>2906</v>
      </c>
      <c r="I985" s="140">
        <v>1</v>
      </c>
      <c r="J985" s="114" t="str">
        <f t="shared" si="15"/>
        <v>INSERT INTO DOCUMENTOS (NRO_DOCUMENTO,FECHA_EMISION,TOTAL_BRUTO,TOTAL_NETO,TOTAL_IVA, ID_TIPO, RUT_EMPLEADO, ID_CLIENTE) VALUES(981,TO_DATE('06-06-2025','DD-MM-YYYY'),18200,15294,2906,1,'14526149-K',274);</v>
      </c>
    </row>
    <row r="986" spans="1:10">
      <c r="A986" s="149"/>
      <c r="B986" s="149">
        <v>982</v>
      </c>
      <c r="C986" s="118" t="s">
        <v>2320</v>
      </c>
      <c r="D986" t="s">
        <v>2090</v>
      </c>
      <c r="E986" s="150">
        <v>345</v>
      </c>
      <c r="F986" s="142">
        <v>20200</v>
      </c>
      <c r="G986" s="143">
        <v>16977</v>
      </c>
      <c r="H986" s="144">
        <v>3223</v>
      </c>
      <c r="I986" s="140">
        <v>1</v>
      </c>
      <c r="J986" s="114" t="str">
        <f t="shared" si="15"/>
        <v>INSERT INTO DOCUMENTOS (NRO_DOCUMENTO,FECHA_EMISION,TOTAL_BRUTO,TOTAL_NETO,TOTAL_IVA, ID_TIPO, RUT_EMPLEADO, ID_CLIENTE) VALUES(982,TO_DATE('06-06-2025','DD-MM-YYYY'),20200,16977,3223,1,'14526149-K',345);</v>
      </c>
    </row>
    <row r="987" spans="1:10">
      <c r="A987" s="149"/>
      <c r="B987" s="149">
        <v>983</v>
      </c>
      <c r="C987" s="118" t="s">
        <v>2320</v>
      </c>
      <c r="D987" t="s">
        <v>2090</v>
      </c>
      <c r="E987" s="150">
        <v>465</v>
      </c>
      <c r="F987" s="142">
        <v>11000</v>
      </c>
      <c r="G987" s="143">
        <v>9244</v>
      </c>
      <c r="H987" s="144">
        <v>1756</v>
      </c>
      <c r="I987" s="140">
        <v>1</v>
      </c>
      <c r="J987" s="114" t="str">
        <f t="shared" si="15"/>
        <v>INSERT INTO DOCUMENTOS (NRO_DOCUMENTO,FECHA_EMISION,TOTAL_BRUTO,TOTAL_NETO,TOTAL_IVA, ID_TIPO, RUT_EMPLEADO, ID_CLIENTE) VALUES(983,TO_DATE('06-06-2025','DD-MM-YYYY'),11000,9244,1756,1,'14526149-K',465);</v>
      </c>
    </row>
    <row r="988" spans="1:10">
      <c r="A988" s="149"/>
      <c r="B988" s="149">
        <v>984</v>
      </c>
      <c r="C988" s="151" t="s">
        <v>2321</v>
      </c>
      <c r="D988" s="150" t="s">
        <v>2095</v>
      </c>
      <c r="E988" s="150">
        <v>166</v>
      </c>
      <c r="F988" s="142">
        <v>17800</v>
      </c>
      <c r="G988" s="143">
        <v>14958</v>
      </c>
      <c r="H988" s="144">
        <v>2842</v>
      </c>
      <c r="I988" s="140">
        <v>1</v>
      </c>
      <c r="J988" s="114" t="str">
        <f t="shared" si="15"/>
        <v>INSERT INTO DOCUMENTOS (NRO_DOCUMENTO,FECHA_EMISION,TOTAL_BRUTO,TOTAL_NETO,TOTAL_IVA, ID_TIPO, RUT_EMPLEADO, ID_CLIENTE) VALUES(984,TO_DATE('08-06-2025','DD-MM-YYYY'),17800,14958,2842,1,'11383327-0',166);</v>
      </c>
    </row>
    <row r="989" spans="1:10">
      <c r="A989" s="149"/>
      <c r="B989" s="149">
        <v>985</v>
      </c>
      <c r="C989" s="118" t="s">
        <v>2321</v>
      </c>
      <c r="D989" t="s">
        <v>2095</v>
      </c>
      <c r="E989" s="150">
        <v>251</v>
      </c>
      <c r="F989" s="142">
        <v>14200</v>
      </c>
      <c r="G989" s="143">
        <v>11933</v>
      </c>
      <c r="H989" s="144">
        <v>2267</v>
      </c>
      <c r="I989" s="140">
        <v>1</v>
      </c>
      <c r="J989" s="114" t="str">
        <f t="shared" si="15"/>
        <v>INSERT INTO DOCUMENTOS (NRO_DOCUMENTO,FECHA_EMISION,TOTAL_BRUTO,TOTAL_NETO,TOTAL_IVA, ID_TIPO, RUT_EMPLEADO, ID_CLIENTE) VALUES(985,TO_DATE('08-06-2025','DD-MM-YYYY'),14200,11933,2267,1,'11383327-0',251);</v>
      </c>
    </row>
    <row r="990" spans="1:10">
      <c r="A990" s="149"/>
      <c r="B990" s="149">
        <v>986</v>
      </c>
      <c r="C990" s="118" t="s">
        <v>2321</v>
      </c>
      <c r="D990" t="s">
        <v>2095</v>
      </c>
      <c r="E990" s="150">
        <v>279</v>
      </c>
      <c r="F990" s="142">
        <v>91398</v>
      </c>
      <c r="G990" s="143">
        <v>76805</v>
      </c>
      <c r="H990" s="144">
        <v>14593</v>
      </c>
      <c r="I990" s="140">
        <v>1</v>
      </c>
      <c r="J990" s="114" t="str">
        <f t="shared" si="15"/>
        <v>INSERT INTO DOCUMENTOS (NRO_DOCUMENTO,FECHA_EMISION,TOTAL_BRUTO,TOTAL_NETO,TOTAL_IVA, ID_TIPO, RUT_EMPLEADO, ID_CLIENTE) VALUES(986,TO_DATE('08-06-2025','DD-MM-YYYY'),91398,76805,14593,1,'11383327-0',279);</v>
      </c>
    </row>
    <row r="991" spans="1:10">
      <c r="A991" s="149"/>
      <c r="B991" s="149">
        <v>987</v>
      </c>
      <c r="C991" s="118" t="s">
        <v>2321</v>
      </c>
      <c r="D991" t="s">
        <v>2095</v>
      </c>
      <c r="E991" s="150">
        <v>302</v>
      </c>
      <c r="F991" s="142">
        <v>6000</v>
      </c>
      <c r="G991" s="143">
        <v>5042</v>
      </c>
      <c r="H991" s="144">
        <v>958</v>
      </c>
      <c r="I991" s="140">
        <v>1</v>
      </c>
      <c r="J991" s="114" t="str">
        <f t="shared" si="15"/>
        <v>INSERT INTO DOCUMENTOS (NRO_DOCUMENTO,FECHA_EMISION,TOTAL_BRUTO,TOTAL_NETO,TOTAL_IVA, ID_TIPO, RUT_EMPLEADO, ID_CLIENTE) VALUES(987,TO_DATE('08-06-2025','DD-MM-YYYY'),6000,5042,958,1,'11383327-0',302);</v>
      </c>
    </row>
    <row r="992" spans="1:10">
      <c r="A992" s="149"/>
      <c r="B992" s="149">
        <v>988</v>
      </c>
      <c r="C992" s="118" t="s">
        <v>2321</v>
      </c>
      <c r="D992" t="s">
        <v>2095</v>
      </c>
      <c r="E992" s="150">
        <v>402</v>
      </c>
      <c r="F992" s="142">
        <v>43800</v>
      </c>
      <c r="G992" s="143">
        <v>36807</v>
      </c>
      <c r="H992" s="144">
        <v>6993</v>
      </c>
      <c r="I992" s="140">
        <v>1</v>
      </c>
      <c r="J992" s="114" t="str">
        <f t="shared" si="15"/>
        <v>INSERT INTO DOCUMENTOS (NRO_DOCUMENTO,FECHA_EMISION,TOTAL_BRUTO,TOTAL_NETO,TOTAL_IVA, ID_TIPO, RUT_EMPLEADO, ID_CLIENTE) VALUES(988,TO_DATE('08-06-2025','DD-MM-YYYY'),43800,36807,6993,1,'11383327-0',402);</v>
      </c>
    </row>
    <row r="993" spans="1:10">
      <c r="A993" s="149"/>
      <c r="B993" s="149">
        <v>989</v>
      </c>
      <c r="C993" s="118" t="s">
        <v>2321</v>
      </c>
      <c r="D993" t="s">
        <v>2095</v>
      </c>
      <c r="E993" s="150">
        <v>476</v>
      </c>
      <c r="F993" s="142">
        <v>14200</v>
      </c>
      <c r="G993" s="143">
        <v>11933</v>
      </c>
      <c r="H993" s="144">
        <v>2267</v>
      </c>
      <c r="I993" s="140">
        <v>1</v>
      </c>
      <c r="J993" s="114" t="str">
        <f t="shared" si="15"/>
        <v>INSERT INTO DOCUMENTOS (NRO_DOCUMENTO,FECHA_EMISION,TOTAL_BRUTO,TOTAL_NETO,TOTAL_IVA, ID_TIPO, RUT_EMPLEADO, ID_CLIENTE) VALUES(989,TO_DATE('08-06-2025','DD-MM-YYYY'),14200,11933,2267,1,'11383327-0',476);</v>
      </c>
    </row>
    <row r="994" spans="1:10">
      <c r="A994" s="149"/>
      <c r="B994" s="149">
        <v>990</v>
      </c>
      <c r="C994" s="151" t="s">
        <v>2322</v>
      </c>
      <c r="D994" s="150" t="s">
        <v>2090</v>
      </c>
      <c r="E994" s="150">
        <v>29</v>
      </c>
      <c r="F994" s="142">
        <v>10000</v>
      </c>
      <c r="G994" s="143">
        <v>8404</v>
      </c>
      <c r="H994" s="144">
        <v>1596</v>
      </c>
      <c r="I994" s="140">
        <v>1</v>
      </c>
      <c r="J994" s="114" t="str">
        <f t="shared" si="15"/>
        <v>INSERT INTO DOCUMENTOS (NRO_DOCUMENTO,FECHA_EMISION,TOTAL_BRUTO,TOTAL_NETO,TOTAL_IVA, ID_TIPO, RUT_EMPLEADO, ID_CLIENTE) VALUES(990,TO_DATE('09-06-2025','DD-MM-YYYY'),10000,8404,1596,1,'14526149-K',29);</v>
      </c>
    </row>
    <row r="995" spans="1:10">
      <c r="A995" s="149"/>
      <c r="B995" s="149">
        <v>991</v>
      </c>
      <c r="C995" s="118" t="s">
        <v>2322</v>
      </c>
      <c r="D995" t="s">
        <v>2090</v>
      </c>
      <c r="E995" s="150">
        <v>36</v>
      </c>
      <c r="F995" s="142">
        <v>20900</v>
      </c>
      <c r="G995" s="143">
        <v>17563</v>
      </c>
      <c r="H995" s="144">
        <v>3337</v>
      </c>
      <c r="I995" s="140">
        <v>1</v>
      </c>
      <c r="J995" s="114" t="str">
        <f t="shared" si="15"/>
        <v>INSERT INTO DOCUMENTOS (NRO_DOCUMENTO,FECHA_EMISION,TOTAL_BRUTO,TOTAL_NETO,TOTAL_IVA, ID_TIPO, RUT_EMPLEADO, ID_CLIENTE) VALUES(991,TO_DATE('09-06-2025','DD-MM-YYYY'),20900,17563,3337,1,'14526149-K',36);</v>
      </c>
    </row>
    <row r="996" spans="1:10">
      <c r="A996" s="149"/>
      <c r="B996" s="149">
        <v>992</v>
      </c>
      <c r="C996" s="118" t="s">
        <v>2322</v>
      </c>
      <c r="D996" t="s">
        <v>2090</v>
      </c>
      <c r="E996" s="150">
        <v>230</v>
      </c>
      <c r="F996" s="142">
        <v>51500</v>
      </c>
      <c r="G996" s="143">
        <v>43276</v>
      </c>
      <c r="H996" s="144">
        <v>8224</v>
      </c>
      <c r="I996" s="140">
        <v>1</v>
      </c>
      <c r="J996" s="114" t="str">
        <f t="shared" si="15"/>
        <v>INSERT INTO DOCUMENTOS (NRO_DOCUMENTO,FECHA_EMISION,TOTAL_BRUTO,TOTAL_NETO,TOTAL_IVA, ID_TIPO, RUT_EMPLEADO, ID_CLIENTE) VALUES(992,TO_DATE('09-06-2025','DD-MM-YYYY'),51500,43276,8224,1,'14526149-K',230);</v>
      </c>
    </row>
    <row r="997" spans="1:10">
      <c r="A997" s="149"/>
      <c r="B997" s="149">
        <v>993</v>
      </c>
      <c r="C997" s="118" t="s">
        <v>2322</v>
      </c>
      <c r="D997" t="s">
        <v>2090</v>
      </c>
      <c r="E997" s="150">
        <v>306</v>
      </c>
      <c r="F997" s="142">
        <v>313200</v>
      </c>
      <c r="G997" s="143">
        <v>263193</v>
      </c>
      <c r="H997" s="144">
        <v>50007</v>
      </c>
      <c r="I997" s="140">
        <v>1</v>
      </c>
      <c r="J997" s="114" t="str">
        <f t="shared" si="15"/>
        <v>INSERT INTO DOCUMENTOS (NRO_DOCUMENTO,FECHA_EMISION,TOTAL_BRUTO,TOTAL_NETO,TOTAL_IVA, ID_TIPO, RUT_EMPLEADO, ID_CLIENTE) VALUES(993,TO_DATE('09-06-2025','DD-MM-YYYY'),313200,263193,50007,1,'14526149-K',306);</v>
      </c>
    </row>
    <row r="998" spans="1:10">
      <c r="A998" s="149"/>
      <c r="B998" s="149">
        <v>994</v>
      </c>
      <c r="C998" s="151" t="s">
        <v>2323</v>
      </c>
      <c r="D998" t="s">
        <v>2090</v>
      </c>
      <c r="E998" s="150">
        <v>28</v>
      </c>
      <c r="F998" s="142">
        <v>16000</v>
      </c>
      <c r="G998" s="143">
        <v>13445</v>
      </c>
      <c r="H998" s="144">
        <v>2555</v>
      </c>
      <c r="I998" s="140">
        <v>1</v>
      </c>
      <c r="J998" s="114" t="str">
        <f t="shared" si="15"/>
        <v>INSERT INTO DOCUMENTOS (NRO_DOCUMENTO,FECHA_EMISION,TOTAL_BRUTO,TOTAL_NETO,TOTAL_IVA, ID_TIPO, RUT_EMPLEADO, ID_CLIENTE) VALUES(994,TO_DATE('10-06-2025','DD-MM-YYYY'),16000,13445,2555,1,'14526149-K',28);</v>
      </c>
    </row>
    <row r="999" spans="1:10">
      <c r="A999" s="149"/>
      <c r="B999" s="149">
        <v>995</v>
      </c>
      <c r="C999" s="118" t="s">
        <v>2323</v>
      </c>
      <c r="D999" t="s">
        <v>2090</v>
      </c>
      <c r="E999" s="150">
        <v>73</v>
      </c>
      <c r="F999" s="142">
        <v>17000</v>
      </c>
      <c r="G999" s="143">
        <v>14286</v>
      </c>
      <c r="H999" s="144">
        <v>2714</v>
      </c>
      <c r="I999" s="140">
        <v>1</v>
      </c>
      <c r="J999" s="114" t="str">
        <f t="shared" si="15"/>
        <v>INSERT INTO DOCUMENTOS (NRO_DOCUMENTO,FECHA_EMISION,TOTAL_BRUTO,TOTAL_NETO,TOTAL_IVA, ID_TIPO, RUT_EMPLEADO, ID_CLIENTE) VALUES(995,TO_DATE('10-06-2025','DD-MM-YYYY'),17000,14286,2714,1,'14526149-K',73);</v>
      </c>
    </row>
    <row r="1000" spans="1:10">
      <c r="A1000" s="149"/>
      <c r="B1000" s="149">
        <v>996</v>
      </c>
      <c r="C1000" s="118" t="s">
        <v>2323</v>
      </c>
      <c r="D1000" t="s">
        <v>2090</v>
      </c>
      <c r="E1000" s="150">
        <v>98</v>
      </c>
      <c r="F1000" s="142">
        <v>6000</v>
      </c>
      <c r="G1000" s="143">
        <v>5042</v>
      </c>
      <c r="H1000" s="144">
        <v>958</v>
      </c>
      <c r="I1000" s="140">
        <v>1</v>
      </c>
      <c r="J1000" s="114" t="str">
        <f t="shared" si="15"/>
        <v>INSERT INTO DOCUMENTOS (NRO_DOCUMENTO,FECHA_EMISION,TOTAL_BRUTO,TOTAL_NETO,TOTAL_IVA, ID_TIPO, RUT_EMPLEADO, ID_CLIENTE) VALUES(996,TO_DATE('10-06-2025','DD-MM-YYYY'),6000,5042,958,1,'14526149-K',98);</v>
      </c>
    </row>
    <row r="1001" spans="1:10">
      <c r="A1001" s="149"/>
      <c r="B1001" s="149">
        <v>997</v>
      </c>
      <c r="C1001" s="118" t="s">
        <v>2323</v>
      </c>
      <c r="D1001" t="s">
        <v>2090</v>
      </c>
      <c r="E1001" s="150">
        <v>140</v>
      </c>
      <c r="F1001" s="142">
        <v>17300</v>
      </c>
      <c r="G1001" s="143">
        <v>14538</v>
      </c>
      <c r="H1001" s="144">
        <v>2762</v>
      </c>
      <c r="I1001" s="140">
        <v>1</v>
      </c>
      <c r="J1001" s="114" t="str">
        <f t="shared" si="15"/>
        <v>INSERT INTO DOCUMENTOS (NRO_DOCUMENTO,FECHA_EMISION,TOTAL_BRUTO,TOTAL_NETO,TOTAL_IVA, ID_TIPO, RUT_EMPLEADO, ID_CLIENTE) VALUES(997,TO_DATE('10-06-2025','DD-MM-YYYY'),17300,14538,2762,1,'14526149-K',140);</v>
      </c>
    </row>
    <row r="1002" spans="1:10">
      <c r="A1002" s="149"/>
      <c r="B1002" s="149">
        <v>998</v>
      </c>
      <c r="C1002" s="118" t="s">
        <v>2323</v>
      </c>
      <c r="D1002" t="s">
        <v>2090</v>
      </c>
      <c r="E1002" s="150">
        <v>166</v>
      </c>
      <c r="F1002" s="142">
        <v>3500</v>
      </c>
      <c r="G1002" s="143">
        <v>2941</v>
      </c>
      <c r="H1002" s="144">
        <v>559</v>
      </c>
      <c r="I1002" s="140">
        <v>1</v>
      </c>
      <c r="J1002" s="114" t="str">
        <f t="shared" si="15"/>
        <v>INSERT INTO DOCUMENTOS (NRO_DOCUMENTO,FECHA_EMISION,TOTAL_BRUTO,TOTAL_NETO,TOTAL_IVA, ID_TIPO, RUT_EMPLEADO, ID_CLIENTE) VALUES(998,TO_DATE('10-06-2025','DD-MM-YYYY'),3500,2941,559,1,'14526149-K',166);</v>
      </c>
    </row>
    <row r="1003" spans="1:10">
      <c r="A1003" s="149"/>
      <c r="B1003" s="149">
        <v>999</v>
      </c>
      <c r="C1003" s="118" t="s">
        <v>2323</v>
      </c>
      <c r="D1003" t="s">
        <v>2090</v>
      </c>
      <c r="E1003" s="150">
        <v>349</v>
      </c>
      <c r="F1003" s="142">
        <v>4200</v>
      </c>
      <c r="G1003" s="143">
        <v>3529</v>
      </c>
      <c r="H1003" s="144">
        <v>671</v>
      </c>
      <c r="I1003" s="140">
        <v>1</v>
      </c>
      <c r="J1003" s="114" t="str">
        <f t="shared" si="15"/>
        <v>INSERT INTO DOCUMENTOS (NRO_DOCUMENTO,FECHA_EMISION,TOTAL_BRUTO,TOTAL_NETO,TOTAL_IVA, ID_TIPO, RUT_EMPLEADO, ID_CLIENTE) VALUES(999,TO_DATE('10-06-2025','DD-MM-YYYY'),4200,3529,671,1,'14526149-K',349);</v>
      </c>
    </row>
    <row r="1004" spans="1:10">
      <c r="A1004" s="149"/>
      <c r="B1004" s="150">
        <v>1000</v>
      </c>
      <c r="C1004" s="118" t="s">
        <v>2323</v>
      </c>
      <c r="D1004" t="s">
        <v>2090</v>
      </c>
      <c r="E1004" s="150">
        <v>407</v>
      </c>
      <c r="F1004" s="142">
        <v>29600</v>
      </c>
      <c r="G1004" s="143">
        <v>24874</v>
      </c>
      <c r="H1004" s="144">
        <v>4726</v>
      </c>
      <c r="I1004" s="140">
        <v>1</v>
      </c>
      <c r="J1004" s="114" t="str">
        <f t="shared" si="15"/>
        <v>INSERT INTO DOCUMENTOS (NRO_DOCUMENTO,FECHA_EMISION,TOTAL_BRUTO,TOTAL_NETO,TOTAL_IVA, ID_TIPO, RUT_EMPLEADO, ID_CLIENTE) VALUES(1000,TO_DATE('10-06-2025','DD-MM-YYYY'),29600,24874,4726,1,'14526149-K',407);</v>
      </c>
    </row>
    <row r="1005" spans="1:10">
      <c r="A1005" s="149"/>
      <c r="B1005" s="149">
        <v>1001</v>
      </c>
      <c r="C1005" s="118" t="s">
        <v>2323</v>
      </c>
      <c r="D1005" t="s">
        <v>2090</v>
      </c>
      <c r="E1005" s="150">
        <v>411</v>
      </c>
      <c r="F1005" s="142">
        <v>7000</v>
      </c>
      <c r="G1005" s="143">
        <v>5882</v>
      </c>
      <c r="H1005" s="144">
        <v>1118</v>
      </c>
      <c r="I1005" s="140">
        <v>1</v>
      </c>
      <c r="J1005" s="114" t="str">
        <f t="shared" si="15"/>
        <v>INSERT INTO DOCUMENTOS (NRO_DOCUMENTO,FECHA_EMISION,TOTAL_BRUTO,TOTAL_NETO,TOTAL_IVA, ID_TIPO, RUT_EMPLEADO, ID_CLIENTE) VALUES(1001,TO_DATE('10-06-2025','DD-MM-YYYY'),7000,5882,1118,1,'14526149-K',411);</v>
      </c>
    </row>
    <row r="1006" spans="1:10">
      <c r="A1006" s="149"/>
      <c r="B1006" s="149">
        <v>1002</v>
      </c>
      <c r="C1006" s="151" t="s">
        <v>2324</v>
      </c>
      <c r="D1006" t="s">
        <v>2090</v>
      </c>
      <c r="E1006" s="150">
        <v>214</v>
      </c>
      <c r="F1006" s="142">
        <v>59450</v>
      </c>
      <c r="G1006" s="143">
        <v>49958</v>
      </c>
      <c r="H1006" s="144">
        <v>9492</v>
      </c>
      <c r="I1006" s="140">
        <v>1</v>
      </c>
      <c r="J1006" s="114" t="str">
        <f t="shared" si="15"/>
        <v>INSERT INTO DOCUMENTOS (NRO_DOCUMENTO,FECHA_EMISION,TOTAL_BRUTO,TOTAL_NETO,TOTAL_IVA, ID_TIPO, RUT_EMPLEADO, ID_CLIENTE) VALUES(1002,TO_DATE('11-06-2025','DD-MM-YYYY'),59450,49958,9492,1,'14526149-K',214);</v>
      </c>
    </row>
    <row r="1007" spans="1:10">
      <c r="A1007" s="149"/>
      <c r="B1007" s="149">
        <v>1003</v>
      </c>
      <c r="C1007" s="118" t="s">
        <v>2324</v>
      </c>
      <c r="D1007" t="s">
        <v>2090</v>
      </c>
      <c r="E1007" s="150">
        <v>267</v>
      </c>
      <c r="F1007" s="142">
        <v>7800</v>
      </c>
      <c r="G1007" s="143">
        <v>6555</v>
      </c>
      <c r="H1007" s="144">
        <v>1245</v>
      </c>
      <c r="I1007" s="140">
        <v>1</v>
      </c>
      <c r="J1007" s="114" t="str">
        <f t="shared" si="15"/>
        <v>INSERT INTO DOCUMENTOS (NRO_DOCUMENTO,FECHA_EMISION,TOTAL_BRUTO,TOTAL_NETO,TOTAL_IVA, ID_TIPO, RUT_EMPLEADO, ID_CLIENTE) VALUES(1003,TO_DATE('11-06-2025','DD-MM-YYYY'),7800,6555,1245,1,'14526149-K',267);</v>
      </c>
    </row>
    <row r="1008" spans="1:10">
      <c r="A1008" s="149"/>
      <c r="B1008" s="149">
        <v>1004</v>
      </c>
      <c r="C1008" s="151" t="s">
        <v>2325</v>
      </c>
      <c r="D1008" t="s">
        <v>2090</v>
      </c>
      <c r="E1008" s="150">
        <v>82</v>
      </c>
      <c r="F1008" s="142">
        <v>11000</v>
      </c>
      <c r="G1008" s="143">
        <v>9244</v>
      </c>
      <c r="H1008" s="144">
        <v>1756</v>
      </c>
      <c r="I1008" s="140">
        <v>1</v>
      </c>
      <c r="J1008" s="114" t="str">
        <f t="shared" si="15"/>
        <v>INSERT INTO DOCUMENTOS (NRO_DOCUMENTO,FECHA_EMISION,TOTAL_BRUTO,TOTAL_NETO,TOTAL_IVA, ID_TIPO, RUT_EMPLEADO, ID_CLIENTE) VALUES(1004,TO_DATE('12-06-2025','DD-MM-YYYY'),11000,9244,1756,1,'14526149-K',82);</v>
      </c>
    </row>
    <row r="1009" spans="1:10">
      <c r="A1009" s="149"/>
      <c r="B1009" s="149">
        <v>1005</v>
      </c>
      <c r="C1009" s="118" t="s">
        <v>2325</v>
      </c>
      <c r="D1009" t="s">
        <v>2090</v>
      </c>
      <c r="E1009" s="150">
        <v>108</v>
      </c>
      <c r="F1009" s="142">
        <v>19200</v>
      </c>
      <c r="G1009" s="143">
        <v>16135</v>
      </c>
      <c r="H1009" s="144">
        <v>3065</v>
      </c>
      <c r="I1009" s="140">
        <v>1</v>
      </c>
      <c r="J1009" s="114" t="str">
        <f t="shared" si="15"/>
        <v>INSERT INTO DOCUMENTOS (NRO_DOCUMENTO,FECHA_EMISION,TOTAL_BRUTO,TOTAL_NETO,TOTAL_IVA, ID_TIPO, RUT_EMPLEADO, ID_CLIENTE) VALUES(1005,TO_DATE('12-06-2025','DD-MM-YYYY'),19200,16135,3065,1,'14526149-K',108);</v>
      </c>
    </row>
    <row r="1010" spans="1:10">
      <c r="A1010" s="149"/>
      <c r="B1010" s="149">
        <v>1006</v>
      </c>
      <c r="C1010" s="118" t="s">
        <v>2325</v>
      </c>
      <c r="D1010" t="s">
        <v>2090</v>
      </c>
      <c r="E1010" s="150">
        <v>155</v>
      </c>
      <c r="F1010" s="142">
        <v>8200</v>
      </c>
      <c r="G1010" s="143">
        <v>6891</v>
      </c>
      <c r="H1010" s="144">
        <v>1309</v>
      </c>
      <c r="I1010" s="140">
        <v>1</v>
      </c>
      <c r="J1010" s="114" t="str">
        <f t="shared" si="15"/>
        <v>INSERT INTO DOCUMENTOS (NRO_DOCUMENTO,FECHA_EMISION,TOTAL_BRUTO,TOTAL_NETO,TOTAL_IVA, ID_TIPO, RUT_EMPLEADO, ID_CLIENTE) VALUES(1006,TO_DATE('12-06-2025','DD-MM-YYYY'),8200,6891,1309,1,'14526149-K',155);</v>
      </c>
    </row>
    <row r="1011" spans="1:10">
      <c r="A1011" s="149"/>
      <c r="B1011" s="149">
        <v>1007</v>
      </c>
      <c r="C1011" s="118" t="s">
        <v>2325</v>
      </c>
      <c r="D1011" t="s">
        <v>2090</v>
      </c>
      <c r="E1011" s="150">
        <v>166</v>
      </c>
      <c r="F1011" s="142">
        <v>4500</v>
      </c>
      <c r="G1011" s="143">
        <v>3782</v>
      </c>
      <c r="H1011" s="144">
        <v>718</v>
      </c>
      <c r="I1011" s="140">
        <v>1</v>
      </c>
      <c r="J1011" s="114" t="str">
        <f t="shared" si="15"/>
        <v>INSERT INTO DOCUMENTOS (NRO_DOCUMENTO,FECHA_EMISION,TOTAL_BRUTO,TOTAL_NETO,TOTAL_IVA, ID_TIPO, RUT_EMPLEADO, ID_CLIENTE) VALUES(1007,TO_DATE('12-06-2025','DD-MM-YYYY'),4500,3782,718,1,'14526149-K',166);</v>
      </c>
    </row>
    <row r="1012" spans="1:10">
      <c r="A1012" s="149"/>
      <c r="B1012" s="149">
        <v>1008</v>
      </c>
      <c r="C1012" s="118" t="s">
        <v>2325</v>
      </c>
      <c r="D1012" t="s">
        <v>2090</v>
      </c>
      <c r="E1012" s="150">
        <v>188</v>
      </c>
      <c r="F1012" s="142">
        <v>30900</v>
      </c>
      <c r="G1012" s="143">
        <v>25966</v>
      </c>
      <c r="H1012" s="144">
        <v>4934</v>
      </c>
      <c r="I1012" s="140">
        <v>1</v>
      </c>
      <c r="J1012" s="114" t="str">
        <f t="shared" si="15"/>
        <v>INSERT INTO DOCUMENTOS (NRO_DOCUMENTO,FECHA_EMISION,TOTAL_BRUTO,TOTAL_NETO,TOTAL_IVA, ID_TIPO, RUT_EMPLEADO, ID_CLIENTE) VALUES(1008,TO_DATE('12-06-2025','DD-MM-YYYY'),30900,25966,4934,1,'14526149-K',188);</v>
      </c>
    </row>
    <row r="1013" spans="1:10">
      <c r="A1013" s="149"/>
      <c r="B1013" s="149">
        <v>1009</v>
      </c>
      <c r="C1013" s="118" t="s">
        <v>2325</v>
      </c>
      <c r="D1013" t="s">
        <v>2090</v>
      </c>
      <c r="E1013" s="150">
        <v>202</v>
      </c>
      <c r="F1013" s="142">
        <v>19200</v>
      </c>
      <c r="G1013" s="143">
        <v>16135</v>
      </c>
      <c r="H1013" s="144">
        <v>3065</v>
      </c>
      <c r="I1013" s="140">
        <v>1</v>
      </c>
      <c r="J1013" s="114" t="str">
        <f t="shared" si="15"/>
        <v>INSERT INTO DOCUMENTOS (NRO_DOCUMENTO,FECHA_EMISION,TOTAL_BRUTO,TOTAL_NETO,TOTAL_IVA, ID_TIPO, RUT_EMPLEADO, ID_CLIENTE) VALUES(1009,TO_DATE('12-06-2025','DD-MM-YYYY'),19200,16135,3065,1,'14526149-K',202);</v>
      </c>
    </row>
    <row r="1014" spans="1:10">
      <c r="A1014" s="149"/>
      <c r="B1014" s="149">
        <v>1010</v>
      </c>
      <c r="C1014" s="118" t="s">
        <v>2325</v>
      </c>
      <c r="D1014" t="s">
        <v>2090</v>
      </c>
      <c r="E1014" s="150">
        <v>207</v>
      </c>
      <c r="F1014" s="142">
        <v>62300</v>
      </c>
      <c r="G1014" s="143">
        <v>52353</v>
      </c>
      <c r="H1014" s="144">
        <v>9947</v>
      </c>
      <c r="I1014" s="140">
        <v>1</v>
      </c>
      <c r="J1014" s="114" t="str">
        <f t="shared" si="15"/>
        <v>INSERT INTO DOCUMENTOS (NRO_DOCUMENTO,FECHA_EMISION,TOTAL_BRUTO,TOTAL_NETO,TOTAL_IVA, ID_TIPO, RUT_EMPLEADO, ID_CLIENTE) VALUES(1010,TO_DATE('12-06-2025','DD-MM-YYYY'),62300,52353,9947,1,'14526149-K',207);</v>
      </c>
    </row>
    <row r="1015" spans="1:10">
      <c r="A1015" s="149"/>
      <c r="B1015" s="149">
        <v>1011</v>
      </c>
      <c r="C1015" s="118" t="s">
        <v>2325</v>
      </c>
      <c r="D1015" t="s">
        <v>2090</v>
      </c>
      <c r="E1015" s="150">
        <v>234</v>
      </c>
      <c r="F1015" s="142">
        <v>3500</v>
      </c>
      <c r="G1015" s="143">
        <v>2941</v>
      </c>
      <c r="H1015" s="144">
        <v>559</v>
      </c>
      <c r="I1015" s="140">
        <v>1</v>
      </c>
      <c r="J1015" s="114" t="str">
        <f t="shared" si="15"/>
        <v>INSERT INTO DOCUMENTOS (NRO_DOCUMENTO,FECHA_EMISION,TOTAL_BRUTO,TOTAL_NETO,TOTAL_IVA, ID_TIPO, RUT_EMPLEADO, ID_CLIENTE) VALUES(1011,TO_DATE('12-06-2025','DD-MM-YYYY'),3500,2941,559,1,'14526149-K',234);</v>
      </c>
    </row>
    <row r="1016" spans="1:10">
      <c r="A1016" s="149"/>
      <c r="B1016" s="149">
        <v>1012</v>
      </c>
      <c r="C1016" s="118" t="s">
        <v>2325</v>
      </c>
      <c r="D1016" t="s">
        <v>2090</v>
      </c>
      <c r="E1016" s="150">
        <v>342</v>
      </c>
      <c r="F1016" s="142">
        <v>99460</v>
      </c>
      <c r="G1016" s="143">
        <v>83580</v>
      </c>
      <c r="H1016" s="144">
        <v>15880</v>
      </c>
      <c r="I1016" s="140">
        <v>1</v>
      </c>
      <c r="J1016" s="114" t="str">
        <f t="shared" si="15"/>
        <v>INSERT INTO DOCUMENTOS (NRO_DOCUMENTO,FECHA_EMISION,TOTAL_BRUTO,TOTAL_NETO,TOTAL_IVA, ID_TIPO, RUT_EMPLEADO, ID_CLIENTE) VALUES(1012,TO_DATE('12-06-2025','DD-MM-YYYY'),99460,83580,15880,1,'14526149-K',342);</v>
      </c>
    </row>
    <row r="1017" spans="1:10">
      <c r="A1017" s="149"/>
      <c r="B1017" s="149">
        <v>1013</v>
      </c>
      <c r="C1017" s="118" t="s">
        <v>2325</v>
      </c>
      <c r="D1017" t="s">
        <v>2090</v>
      </c>
      <c r="E1017" s="150">
        <v>363</v>
      </c>
      <c r="F1017" s="142">
        <v>24700</v>
      </c>
      <c r="G1017" s="143">
        <v>20757</v>
      </c>
      <c r="H1017" s="144">
        <v>3943</v>
      </c>
      <c r="I1017" s="140">
        <v>1</v>
      </c>
      <c r="J1017" s="114" t="str">
        <f t="shared" si="15"/>
        <v>INSERT INTO DOCUMENTOS (NRO_DOCUMENTO,FECHA_EMISION,TOTAL_BRUTO,TOTAL_NETO,TOTAL_IVA, ID_TIPO, RUT_EMPLEADO, ID_CLIENTE) VALUES(1013,TO_DATE('12-06-2025','DD-MM-YYYY'),24700,20757,3943,1,'14526149-K',363);</v>
      </c>
    </row>
    <row r="1018" spans="1:10">
      <c r="A1018" s="149"/>
      <c r="B1018" s="149">
        <v>1014</v>
      </c>
      <c r="C1018" s="118" t="s">
        <v>2325</v>
      </c>
      <c r="D1018" t="s">
        <v>2090</v>
      </c>
      <c r="E1018" s="150">
        <v>467</v>
      </c>
      <c r="F1018" s="142">
        <v>8200</v>
      </c>
      <c r="G1018" s="143">
        <v>6891</v>
      </c>
      <c r="H1018" s="144">
        <v>1309</v>
      </c>
      <c r="I1018" s="140">
        <v>1</v>
      </c>
      <c r="J1018" s="114" t="str">
        <f t="shared" si="15"/>
        <v>INSERT INTO DOCUMENTOS (NRO_DOCUMENTO,FECHA_EMISION,TOTAL_BRUTO,TOTAL_NETO,TOTAL_IVA, ID_TIPO, RUT_EMPLEADO, ID_CLIENTE) VALUES(1014,TO_DATE('12-06-2025','DD-MM-YYYY'),8200,6891,1309,1,'14526149-K',467);</v>
      </c>
    </row>
    <row r="1019" spans="1:10">
      <c r="A1019" s="149"/>
      <c r="B1019" s="149">
        <v>1015</v>
      </c>
      <c r="C1019" s="151" t="s">
        <v>2326</v>
      </c>
      <c r="D1019" t="s">
        <v>2090</v>
      </c>
      <c r="E1019" s="150">
        <v>41</v>
      </c>
      <c r="F1019" s="142">
        <v>32800</v>
      </c>
      <c r="G1019" s="143">
        <v>27563</v>
      </c>
      <c r="H1019" s="144">
        <v>5237</v>
      </c>
      <c r="I1019" s="140">
        <v>1</v>
      </c>
      <c r="J1019" s="114" t="str">
        <f t="shared" si="15"/>
        <v>INSERT INTO DOCUMENTOS (NRO_DOCUMENTO,FECHA_EMISION,TOTAL_BRUTO,TOTAL_NETO,TOTAL_IVA, ID_TIPO, RUT_EMPLEADO, ID_CLIENTE) VALUES(1015,TO_DATE('13-06-2025','DD-MM-YYYY'),32800,27563,5237,1,'14526149-K',41);</v>
      </c>
    </row>
    <row r="1020" spans="1:10">
      <c r="A1020" s="149"/>
      <c r="B1020" s="149">
        <v>1016</v>
      </c>
      <c r="C1020" s="118" t="s">
        <v>2326</v>
      </c>
      <c r="D1020" t="s">
        <v>2090</v>
      </c>
      <c r="E1020" s="150">
        <v>42</v>
      </c>
      <c r="F1020" s="142">
        <v>11000</v>
      </c>
      <c r="G1020" s="143">
        <v>9244</v>
      </c>
      <c r="H1020" s="144">
        <v>1756</v>
      </c>
      <c r="I1020" s="140">
        <v>1</v>
      </c>
      <c r="J1020" s="114" t="str">
        <f t="shared" si="15"/>
        <v>INSERT INTO DOCUMENTOS (NRO_DOCUMENTO,FECHA_EMISION,TOTAL_BRUTO,TOTAL_NETO,TOTAL_IVA, ID_TIPO, RUT_EMPLEADO, ID_CLIENTE) VALUES(1016,TO_DATE('13-06-2025','DD-MM-YYYY'),11000,9244,1756,1,'14526149-K',42);</v>
      </c>
    </row>
    <row r="1021" spans="1:10">
      <c r="A1021" s="149"/>
      <c r="B1021" s="149">
        <v>1017</v>
      </c>
      <c r="C1021" s="118" t="s">
        <v>2326</v>
      </c>
      <c r="D1021" t="s">
        <v>2090</v>
      </c>
      <c r="E1021" s="150">
        <v>82</v>
      </c>
      <c r="F1021" s="142">
        <v>17000</v>
      </c>
      <c r="G1021" s="143">
        <v>14286</v>
      </c>
      <c r="H1021" s="144">
        <v>2714</v>
      </c>
      <c r="I1021" s="140">
        <v>1</v>
      </c>
      <c r="J1021" s="114" t="str">
        <f t="shared" si="15"/>
        <v>INSERT INTO DOCUMENTOS (NRO_DOCUMENTO,FECHA_EMISION,TOTAL_BRUTO,TOTAL_NETO,TOTAL_IVA, ID_TIPO, RUT_EMPLEADO, ID_CLIENTE) VALUES(1017,TO_DATE('13-06-2025','DD-MM-YYYY'),17000,14286,2714,1,'14526149-K',82);</v>
      </c>
    </row>
    <row r="1022" spans="1:10">
      <c r="A1022" s="149"/>
      <c r="B1022" s="149">
        <v>1018</v>
      </c>
      <c r="C1022" s="118" t="s">
        <v>2326</v>
      </c>
      <c r="D1022" t="s">
        <v>2090</v>
      </c>
      <c r="E1022" s="150">
        <v>142</v>
      </c>
      <c r="F1022" s="142">
        <v>11000</v>
      </c>
      <c r="G1022" s="143">
        <v>9244</v>
      </c>
      <c r="H1022" s="144">
        <v>1756</v>
      </c>
      <c r="I1022" s="140">
        <v>1</v>
      </c>
      <c r="J1022" s="114" t="str">
        <f t="shared" si="15"/>
        <v>INSERT INTO DOCUMENTOS (NRO_DOCUMENTO,FECHA_EMISION,TOTAL_BRUTO,TOTAL_NETO,TOTAL_IVA, ID_TIPO, RUT_EMPLEADO, ID_CLIENTE) VALUES(1018,TO_DATE('13-06-2025','DD-MM-YYYY'),11000,9244,1756,1,'14526149-K',142);</v>
      </c>
    </row>
    <row r="1023" spans="1:10">
      <c r="A1023" s="149"/>
      <c r="B1023" s="149">
        <v>1019</v>
      </c>
      <c r="C1023" s="118" t="s">
        <v>2326</v>
      </c>
      <c r="D1023" t="s">
        <v>2090</v>
      </c>
      <c r="E1023" s="150">
        <v>166</v>
      </c>
      <c r="F1023" s="142">
        <v>11000</v>
      </c>
      <c r="G1023" s="143">
        <v>9244</v>
      </c>
      <c r="H1023" s="144">
        <v>1756</v>
      </c>
      <c r="I1023" s="140">
        <v>1</v>
      </c>
      <c r="J1023" s="114" t="str">
        <f t="shared" si="15"/>
        <v>INSERT INTO DOCUMENTOS (NRO_DOCUMENTO,FECHA_EMISION,TOTAL_BRUTO,TOTAL_NETO,TOTAL_IVA, ID_TIPO, RUT_EMPLEADO, ID_CLIENTE) VALUES(1019,TO_DATE('13-06-2025','DD-MM-YYYY'),11000,9244,1756,1,'14526149-K',166);</v>
      </c>
    </row>
    <row r="1024" spans="1:10">
      <c r="A1024" s="149"/>
      <c r="B1024" s="149">
        <v>1020</v>
      </c>
      <c r="C1024" s="118" t="s">
        <v>2326</v>
      </c>
      <c r="D1024" t="s">
        <v>2090</v>
      </c>
      <c r="E1024" s="150">
        <v>188</v>
      </c>
      <c r="F1024" s="142">
        <v>1200</v>
      </c>
      <c r="G1024" s="143">
        <v>1008</v>
      </c>
      <c r="H1024" s="144">
        <v>192</v>
      </c>
      <c r="I1024" s="140">
        <v>1</v>
      </c>
      <c r="J1024" s="114" t="str">
        <f t="shared" si="15"/>
        <v>INSERT INTO DOCUMENTOS (NRO_DOCUMENTO,FECHA_EMISION,TOTAL_BRUTO,TOTAL_NETO,TOTAL_IVA, ID_TIPO, RUT_EMPLEADO, ID_CLIENTE) VALUES(1020,TO_DATE('13-06-2025','DD-MM-YYYY'),1200,1008,192,1,'14526149-K',188);</v>
      </c>
    </row>
    <row r="1025" spans="1:10">
      <c r="A1025" s="149"/>
      <c r="B1025" s="149">
        <v>1021</v>
      </c>
      <c r="C1025" s="118" t="s">
        <v>2326</v>
      </c>
      <c r="D1025" t="s">
        <v>2090</v>
      </c>
      <c r="E1025" s="150">
        <v>198</v>
      </c>
      <c r="F1025" s="142">
        <v>11000</v>
      </c>
      <c r="G1025" s="143">
        <v>9244</v>
      </c>
      <c r="H1025" s="144">
        <v>1756</v>
      </c>
      <c r="I1025" s="140">
        <v>1</v>
      </c>
      <c r="J1025" s="114" t="str">
        <f t="shared" si="15"/>
        <v>INSERT INTO DOCUMENTOS (NRO_DOCUMENTO,FECHA_EMISION,TOTAL_BRUTO,TOTAL_NETO,TOTAL_IVA, ID_TIPO, RUT_EMPLEADO, ID_CLIENTE) VALUES(1021,TO_DATE('13-06-2025','DD-MM-YYYY'),11000,9244,1756,1,'14526149-K',198);</v>
      </c>
    </row>
    <row r="1026" spans="1:10">
      <c r="A1026" s="149"/>
      <c r="B1026" s="149">
        <v>1022</v>
      </c>
      <c r="C1026" s="118" t="s">
        <v>2326</v>
      </c>
      <c r="D1026" t="s">
        <v>2090</v>
      </c>
      <c r="E1026" s="150">
        <v>236</v>
      </c>
      <c r="F1026" s="142">
        <v>18700</v>
      </c>
      <c r="G1026" s="143">
        <v>15714</v>
      </c>
      <c r="H1026" s="144">
        <v>2986</v>
      </c>
      <c r="I1026" s="140">
        <v>1</v>
      </c>
      <c r="J1026" s="114" t="str">
        <f t="shared" si="15"/>
        <v>INSERT INTO DOCUMENTOS (NRO_DOCUMENTO,FECHA_EMISION,TOTAL_BRUTO,TOTAL_NETO,TOTAL_IVA, ID_TIPO, RUT_EMPLEADO, ID_CLIENTE) VALUES(1022,TO_DATE('13-06-2025','DD-MM-YYYY'),18700,15714,2986,1,'14526149-K',236);</v>
      </c>
    </row>
    <row r="1027" spans="1:10">
      <c r="A1027" s="149"/>
      <c r="B1027" s="149">
        <v>1023</v>
      </c>
      <c r="C1027" s="118" t="s">
        <v>2326</v>
      </c>
      <c r="D1027" t="s">
        <v>2090</v>
      </c>
      <c r="E1027" s="150">
        <v>300</v>
      </c>
      <c r="F1027" s="142">
        <v>14200</v>
      </c>
      <c r="G1027" s="143">
        <v>11933</v>
      </c>
      <c r="H1027" s="144">
        <v>2267</v>
      </c>
      <c r="I1027" s="140">
        <v>1</v>
      </c>
      <c r="J1027" s="114" t="str">
        <f t="shared" si="15"/>
        <v>INSERT INTO DOCUMENTOS (NRO_DOCUMENTO,FECHA_EMISION,TOTAL_BRUTO,TOTAL_NETO,TOTAL_IVA, ID_TIPO, RUT_EMPLEADO, ID_CLIENTE) VALUES(1023,TO_DATE('13-06-2025','DD-MM-YYYY'),14200,11933,2267,1,'14526149-K',300);</v>
      </c>
    </row>
    <row r="1028" spans="1:10">
      <c r="A1028" s="149"/>
      <c r="B1028" s="149">
        <v>1024</v>
      </c>
      <c r="C1028" s="151" t="s">
        <v>2327</v>
      </c>
      <c r="D1028" t="s">
        <v>2090</v>
      </c>
      <c r="E1028" s="150">
        <v>50</v>
      </c>
      <c r="F1028" s="142">
        <v>8200</v>
      </c>
      <c r="G1028" s="143">
        <v>6891</v>
      </c>
      <c r="H1028" s="144">
        <v>1309</v>
      </c>
      <c r="I1028" s="140">
        <v>1</v>
      </c>
      <c r="J1028" s="114" t="str">
        <f t="shared" si="15"/>
        <v>INSERT INTO DOCUMENTOS (NRO_DOCUMENTO,FECHA_EMISION,TOTAL_BRUTO,TOTAL_NETO,TOTAL_IVA, ID_TIPO, RUT_EMPLEADO, ID_CLIENTE) VALUES(1024,TO_DATE('14-06-2025','DD-MM-YYYY'),8200,6891,1309,1,'14526149-K',50);</v>
      </c>
    </row>
    <row r="1029" spans="1:10">
      <c r="A1029" s="149"/>
      <c r="B1029" s="149">
        <v>1025</v>
      </c>
      <c r="C1029" s="118" t="s">
        <v>2327</v>
      </c>
      <c r="D1029" t="s">
        <v>2090</v>
      </c>
      <c r="E1029" s="150">
        <v>315</v>
      </c>
      <c r="F1029" s="142">
        <v>1700</v>
      </c>
      <c r="G1029" s="143">
        <v>1429</v>
      </c>
      <c r="H1029" s="144">
        <v>271</v>
      </c>
      <c r="I1029" s="140">
        <v>1</v>
      </c>
      <c r="J1029" s="114" t="str">
        <f t="shared" si="15"/>
        <v>INSERT INTO DOCUMENTOS (NRO_DOCUMENTO,FECHA_EMISION,TOTAL_BRUTO,TOTAL_NETO,TOTAL_IVA, ID_TIPO, RUT_EMPLEADO, ID_CLIENTE) VALUES(1025,TO_DATE('14-06-2025','DD-MM-YYYY'),1700,1429,271,1,'14526149-K',315);</v>
      </c>
    </row>
    <row r="1030" spans="1:10">
      <c r="A1030" s="149"/>
      <c r="B1030" s="149">
        <v>1026</v>
      </c>
      <c r="C1030" s="118" t="s">
        <v>2327</v>
      </c>
      <c r="D1030" t="s">
        <v>2090</v>
      </c>
      <c r="E1030" s="150">
        <v>345</v>
      </c>
      <c r="F1030" s="142">
        <v>11000</v>
      </c>
      <c r="G1030" s="143">
        <v>9244</v>
      </c>
      <c r="H1030" s="144">
        <v>1756</v>
      </c>
      <c r="I1030" s="140">
        <v>1</v>
      </c>
      <c r="J1030" s="114" t="str">
        <f t="shared" ref="J1030:J1093" si="16">CONCATENATE("INSERT INTO DOCUMENTOS (NRO_DOCUMENTO,FECHA_EMISION,TOTAL_BRUTO,TOTAL_NETO,TOTAL_IVA, ID_TIPO, RUT_EMPLEADO, ID_CLIENTE) VALUES(",B1030,",","TO_DATE('",C1030,"'",",'DD-MM-YYYY'),",F1030,",",G1030,",",H1030,",",I1030,",","'",D1030,"',",E1030,");")</f>
        <v>INSERT INTO DOCUMENTOS (NRO_DOCUMENTO,FECHA_EMISION,TOTAL_BRUTO,TOTAL_NETO,TOTAL_IVA, ID_TIPO, RUT_EMPLEADO, ID_CLIENTE) VALUES(1026,TO_DATE('14-06-2025','DD-MM-YYYY'),11000,9244,1756,1,'14526149-K',345);</v>
      </c>
    </row>
    <row r="1031" spans="1:10">
      <c r="A1031" s="149"/>
      <c r="B1031" s="149">
        <v>1027</v>
      </c>
      <c r="C1031" s="118" t="s">
        <v>2327</v>
      </c>
      <c r="D1031" s="150" t="s">
        <v>2094</v>
      </c>
      <c r="E1031" s="150">
        <v>416</v>
      </c>
      <c r="F1031" s="142">
        <v>6000</v>
      </c>
      <c r="G1031" s="143">
        <v>5042</v>
      </c>
      <c r="H1031" s="144">
        <v>958</v>
      </c>
      <c r="I1031" s="140">
        <v>1</v>
      </c>
      <c r="J1031" s="114" t="str">
        <f t="shared" si="16"/>
        <v>INSERT INTO DOCUMENTOS (NRO_DOCUMENTO,FECHA_EMISION,TOTAL_BRUTO,TOTAL_NETO,TOTAL_IVA, ID_TIPO, RUT_EMPLEADO, ID_CLIENTE) VALUES(1027,TO_DATE('14-06-2025','DD-MM-YYYY'),6000,5042,958,1,'17866360-7',416);</v>
      </c>
    </row>
    <row r="1032" spans="1:10">
      <c r="A1032" s="149"/>
      <c r="B1032" s="149">
        <v>1028</v>
      </c>
      <c r="C1032" s="118" t="s">
        <v>2327</v>
      </c>
      <c r="D1032" s="150" t="s">
        <v>2090</v>
      </c>
      <c r="E1032" s="150">
        <v>427</v>
      </c>
      <c r="F1032" s="142">
        <v>21550</v>
      </c>
      <c r="G1032" s="143">
        <v>18109</v>
      </c>
      <c r="H1032" s="144">
        <v>3441</v>
      </c>
      <c r="I1032" s="140">
        <v>1</v>
      </c>
      <c r="J1032" s="114" t="str">
        <f t="shared" si="16"/>
        <v>INSERT INTO DOCUMENTOS (NRO_DOCUMENTO,FECHA_EMISION,TOTAL_BRUTO,TOTAL_NETO,TOTAL_IVA, ID_TIPO, RUT_EMPLEADO, ID_CLIENTE) VALUES(1028,TO_DATE('14-06-2025','DD-MM-YYYY'),21550,18109,3441,1,'14526149-K',427);</v>
      </c>
    </row>
    <row r="1033" spans="1:10">
      <c r="A1033" s="149"/>
      <c r="B1033" s="149">
        <v>1029</v>
      </c>
      <c r="C1033" s="151" t="s">
        <v>2328</v>
      </c>
      <c r="D1033" t="s">
        <v>2090</v>
      </c>
      <c r="E1033" s="150">
        <v>56</v>
      </c>
      <c r="F1033" s="142">
        <v>20900</v>
      </c>
      <c r="G1033" s="143">
        <v>17563</v>
      </c>
      <c r="H1033" s="144">
        <v>3337</v>
      </c>
      <c r="I1033" s="140">
        <v>1</v>
      </c>
      <c r="J1033" s="114" t="str">
        <f t="shared" si="16"/>
        <v>INSERT INTO DOCUMENTOS (NRO_DOCUMENTO,FECHA_EMISION,TOTAL_BRUTO,TOTAL_NETO,TOTAL_IVA, ID_TIPO, RUT_EMPLEADO, ID_CLIENTE) VALUES(1029,TO_DATE('15-06-2025','DD-MM-YYYY'),20900,17563,3337,1,'14526149-K',56);</v>
      </c>
    </row>
    <row r="1034" spans="1:10">
      <c r="A1034" s="149"/>
      <c r="B1034" s="149">
        <v>1030</v>
      </c>
      <c r="C1034" s="118" t="s">
        <v>2328</v>
      </c>
      <c r="D1034" t="s">
        <v>2090</v>
      </c>
      <c r="E1034" s="150">
        <v>76</v>
      </c>
      <c r="F1034" s="142">
        <v>11000</v>
      </c>
      <c r="G1034" s="143">
        <v>9244</v>
      </c>
      <c r="H1034" s="144">
        <v>1756</v>
      </c>
      <c r="I1034" s="140">
        <v>1</v>
      </c>
      <c r="J1034" s="114" t="str">
        <f t="shared" si="16"/>
        <v>INSERT INTO DOCUMENTOS (NRO_DOCUMENTO,FECHA_EMISION,TOTAL_BRUTO,TOTAL_NETO,TOTAL_IVA, ID_TIPO, RUT_EMPLEADO, ID_CLIENTE) VALUES(1030,TO_DATE('15-06-2025','DD-MM-YYYY'),11000,9244,1756,1,'14526149-K',76);</v>
      </c>
    </row>
    <row r="1035" spans="1:10">
      <c r="A1035" s="149"/>
      <c r="B1035" s="149">
        <v>1031</v>
      </c>
      <c r="C1035" s="118" t="s">
        <v>2328</v>
      </c>
      <c r="D1035" t="s">
        <v>2090</v>
      </c>
      <c r="E1035" s="150">
        <v>119</v>
      </c>
      <c r="F1035" s="142">
        <v>8200</v>
      </c>
      <c r="G1035" s="143">
        <v>6891</v>
      </c>
      <c r="H1035" s="144">
        <v>1309</v>
      </c>
      <c r="I1035" s="140">
        <v>1</v>
      </c>
      <c r="J1035" s="114" t="str">
        <f t="shared" si="16"/>
        <v>INSERT INTO DOCUMENTOS (NRO_DOCUMENTO,FECHA_EMISION,TOTAL_BRUTO,TOTAL_NETO,TOTAL_IVA, ID_TIPO, RUT_EMPLEADO, ID_CLIENTE) VALUES(1031,TO_DATE('15-06-2025','DD-MM-YYYY'),8200,6891,1309,1,'14526149-K',119);</v>
      </c>
    </row>
    <row r="1036" spans="1:10">
      <c r="A1036" s="149"/>
      <c r="B1036" s="149">
        <v>1032</v>
      </c>
      <c r="C1036" s="118" t="s">
        <v>2328</v>
      </c>
      <c r="D1036" t="s">
        <v>2090</v>
      </c>
      <c r="E1036" s="150">
        <v>122</v>
      </c>
      <c r="F1036" s="142">
        <v>43300</v>
      </c>
      <c r="G1036" s="143">
        <v>36386</v>
      </c>
      <c r="H1036" s="144">
        <v>6914</v>
      </c>
      <c r="I1036" s="140">
        <v>1</v>
      </c>
      <c r="J1036" s="114" t="str">
        <f t="shared" si="16"/>
        <v>INSERT INTO DOCUMENTOS (NRO_DOCUMENTO,FECHA_EMISION,TOTAL_BRUTO,TOTAL_NETO,TOTAL_IVA, ID_TIPO, RUT_EMPLEADO, ID_CLIENTE) VALUES(1032,TO_DATE('15-06-2025','DD-MM-YYYY'),43300,36386,6914,1,'14526149-K',122);</v>
      </c>
    </row>
    <row r="1037" spans="1:10">
      <c r="A1037" s="149"/>
      <c r="B1037" s="149">
        <v>1033</v>
      </c>
      <c r="C1037" s="118" t="s">
        <v>2328</v>
      </c>
      <c r="D1037" t="s">
        <v>2090</v>
      </c>
      <c r="E1037" s="150">
        <v>325</v>
      </c>
      <c r="F1037" s="142">
        <v>24000</v>
      </c>
      <c r="G1037" s="143">
        <v>20168</v>
      </c>
      <c r="H1037" s="144">
        <v>3832</v>
      </c>
      <c r="I1037" s="140">
        <v>1</v>
      </c>
      <c r="J1037" s="114" t="str">
        <f t="shared" si="16"/>
        <v>INSERT INTO DOCUMENTOS (NRO_DOCUMENTO,FECHA_EMISION,TOTAL_BRUTO,TOTAL_NETO,TOTAL_IVA, ID_TIPO, RUT_EMPLEADO, ID_CLIENTE) VALUES(1033,TO_DATE('15-06-2025','DD-MM-YYYY'),24000,20168,3832,1,'14526149-K',325);</v>
      </c>
    </row>
    <row r="1038" spans="1:10">
      <c r="A1038" s="149"/>
      <c r="B1038" s="149">
        <v>1034</v>
      </c>
      <c r="C1038" s="118" t="s">
        <v>2328</v>
      </c>
      <c r="D1038" t="s">
        <v>2090</v>
      </c>
      <c r="E1038" s="150">
        <v>397</v>
      </c>
      <c r="F1038" s="142">
        <v>7000</v>
      </c>
      <c r="G1038" s="143">
        <v>5882</v>
      </c>
      <c r="H1038" s="144">
        <v>1118</v>
      </c>
      <c r="I1038" s="140">
        <v>1</v>
      </c>
      <c r="J1038" s="114" t="str">
        <f t="shared" si="16"/>
        <v>INSERT INTO DOCUMENTOS (NRO_DOCUMENTO,FECHA_EMISION,TOTAL_BRUTO,TOTAL_NETO,TOTAL_IVA, ID_TIPO, RUT_EMPLEADO, ID_CLIENTE) VALUES(1034,TO_DATE('15-06-2025','DD-MM-YYYY'),7000,5882,1118,1,'14526149-K',397);</v>
      </c>
    </row>
    <row r="1039" spans="1:10">
      <c r="A1039" s="149"/>
      <c r="B1039" s="149">
        <v>1035</v>
      </c>
      <c r="C1039" s="118" t="s">
        <v>2328</v>
      </c>
      <c r="D1039" t="s">
        <v>2090</v>
      </c>
      <c r="E1039" s="150">
        <v>408</v>
      </c>
      <c r="F1039" s="142">
        <v>7000</v>
      </c>
      <c r="G1039" s="143">
        <v>5882</v>
      </c>
      <c r="H1039" s="144">
        <v>1118</v>
      </c>
      <c r="I1039" s="140">
        <v>1</v>
      </c>
      <c r="J1039" s="114" t="str">
        <f t="shared" si="16"/>
        <v>INSERT INTO DOCUMENTOS (NRO_DOCUMENTO,FECHA_EMISION,TOTAL_BRUTO,TOTAL_NETO,TOTAL_IVA, ID_TIPO, RUT_EMPLEADO, ID_CLIENTE) VALUES(1035,TO_DATE('15-06-2025','DD-MM-YYYY'),7000,5882,1118,1,'14526149-K',408);</v>
      </c>
    </row>
    <row r="1040" spans="1:10">
      <c r="A1040" s="149"/>
      <c r="B1040" s="149">
        <v>1036</v>
      </c>
      <c r="C1040" s="118" t="s">
        <v>2328</v>
      </c>
      <c r="D1040" t="s">
        <v>2090</v>
      </c>
      <c r="E1040" s="150">
        <v>468</v>
      </c>
      <c r="F1040" s="142">
        <v>6000</v>
      </c>
      <c r="G1040" s="143">
        <v>5042</v>
      </c>
      <c r="H1040" s="144">
        <v>958</v>
      </c>
      <c r="I1040" s="140">
        <v>1</v>
      </c>
      <c r="J1040" s="114" t="str">
        <f t="shared" si="16"/>
        <v>INSERT INTO DOCUMENTOS (NRO_DOCUMENTO,FECHA_EMISION,TOTAL_BRUTO,TOTAL_NETO,TOTAL_IVA, ID_TIPO, RUT_EMPLEADO, ID_CLIENTE) VALUES(1036,TO_DATE('15-06-2025','DD-MM-YYYY'),6000,5042,958,1,'14526149-K',468);</v>
      </c>
    </row>
    <row r="1041" spans="1:10">
      <c r="A1041" s="149"/>
      <c r="B1041" s="149">
        <v>1037</v>
      </c>
      <c r="C1041" s="151" t="s">
        <v>2329</v>
      </c>
      <c r="D1041" t="s">
        <v>2090</v>
      </c>
      <c r="E1041" s="150">
        <v>48</v>
      </c>
      <c r="F1041" s="142">
        <v>70750</v>
      </c>
      <c r="G1041" s="143">
        <v>59456</v>
      </c>
      <c r="H1041" s="144">
        <v>11294</v>
      </c>
      <c r="I1041" s="140">
        <v>1</v>
      </c>
      <c r="J1041" s="114" t="str">
        <f t="shared" si="16"/>
        <v>INSERT INTO DOCUMENTOS (NRO_DOCUMENTO,FECHA_EMISION,TOTAL_BRUTO,TOTAL_NETO,TOTAL_IVA, ID_TIPO, RUT_EMPLEADO, ID_CLIENTE) VALUES(1037,TO_DATE('16-06-2025','DD-MM-YYYY'),70750,59456,11294,1,'14526149-K',48);</v>
      </c>
    </row>
    <row r="1042" spans="1:10">
      <c r="A1042" s="149"/>
      <c r="B1042" s="149">
        <v>1038</v>
      </c>
      <c r="C1042" s="118" t="s">
        <v>2329</v>
      </c>
      <c r="D1042" t="s">
        <v>2090</v>
      </c>
      <c r="E1042" s="150">
        <v>110</v>
      </c>
      <c r="F1042" s="142">
        <v>8700</v>
      </c>
      <c r="G1042" s="143">
        <v>7311</v>
      </c>
      <c r="H1042" s="144">
        <v>1389</v>
      </c>
      <c r="I1042" s="140">
        <v>1</v>
      </c>
      <c r="J1042" s="114" t="str">
        <f t="shared" si="16"/>
        <v>INSERT INTO DOCUMENTOS (NRO_DOCUMENTO,FECHA_EMISION,TOTAL_BRUTO,TOTAL_NETO,TOTAL_IVA, ID_TIPO, RUT_EMPLEADO, ID_CLIENTE) VALUES(1038,TO_DATE('16-06-2025','DD-MM-YYYY'),8700,7311,1389,1,'14526149-K',110);</v>
      </c>
    </row>
    <row r="1043" spans="1:10">
      <c r="A1043" s="149"/>
      <c r="B1043" s="149">
        <v>1039</v>
      </c>
      <c r="C1043" s="118" t="s">
        <v>2329</v>
      </c>
      <c r="D1043" t="s">
        <v>2090</v>
      </c>
      <c r="E1043" s="150">
        <v>360</v>
      </c>
      <c r="F1043" s="142">
        <v>35300</v>
      </c>
      <c r="G1043" s="143">
        <v>29664</v>
      </c>
      <c r="H1043" s="144">
        <v>5636</v>
      </c>
      <c r="I1043" s="140">
        <v>1</v>
      </c>
      <c r="J1043" s="114" t="str">
        <f t="shared" si="16"/>
        <v>INSERT INTO DOCUMENTOS (NRO_DOCUMENTO,FECHA_EMISION,TOTAL_BRUTO,TOTAL_NETO,TOTAL_IVA, ID_TIPO, RUT_EMPLEADO, ID_CLIENTE) VALUES(1039,TO_DATE('16-06-2025','DD-MM-YYYY'),35300,29664,5636,1,'14526149-K',360);</v>
      </c>
    </row>
    <row r="1044" spans="1:10">
      <c r="A1044" s="149"/>
      <c r="B1044" s="149">
        <v>1040</v>
      </c>
      <c r="C1044" s="118" t="s">
        <v>2329</v>
      </c>
      <c r="D1044" t="s">
        <v>2090</v>
      </c>
      <c r="E1044" s="150">
        <v>374</v>
      </c>
      <c r="F1044" s="142">
        <v>11000</v>
      </c>
      <c r="G1044" s="143">
        <v>9244</v>
      </c>
      <c r="H1044" s="144">
        <v>1756</v>
      </c>
      <c r="I1044" s="140">
        <v>1</v>
      </c>
      <c r="J1044" s="114" t="str">
        <f t="shared" si="16"/>
        <v>INSERT INTO DOCUMENTOS (NRO_DOCUMENTO,FECHA_EMISION,TOTAL_BRUTO,TOTAL_NETO,TOTAL_IVA, ID_TIPO, RUT_EMPLEADO, ID_CLIENTE) VALUES(1040,TO_DATE('16-06-2025','DD-MM-YYYY'),11000,9244,1756,1,'14526149-K',374);</v>
      </c>
    </row>
    <row r="1045" spans="1:10">
      <c r="A1045" s="149"/>
      <c r="B1045" s="149">
        <v>1041</v>
      </c>
      <c r="C1045" s="118" t="s">
        <v>2329</v>
      </c>
      <c r="D1045" t="s">
        <v>2090</v>
      </c>
      <c r="E1045" s="150">
        <v>416</v>
      </c>
      <c r="F1045" s="142">
        <v>8200</v>
      </c>
      <c r="G1045" s="143">
        <v>6891</v>
      </c>
      <c r="H1045" s="144">
        <v>1309</v>
      </c>
      <c r="I1045" s="140">
        <v>1</v>
      </c>
      <c r="J1045" s="114" t="str">
        <f t="shared" si="16"/>
        <v>INSERT INTO DOCUMENTOS (NRO_DOCUMENTO,FECHA_EMISION,TOTAL_BRUTO,TOTAL_NETO,TOTAL_IVA, ID_TIPO, RUT_EMPLEADO, ID_CLIENTE) VALUES(1041,TO_DATE('16-06-2025','DD-MM-YYYY'),8200,6891,1309,1,'14526149-K',416);</v>
      </c>
    </row>
    <row r="1046" spans="1:10">
      <c r="A1046" s="149"/>
      <c r="B1046" s="149">
        <v>1042</v>
      </c>
      <c r="C1046" s="118" t="s">
        <v>2329</v>
      </c>
      <c r="D1046" t="s">
        <v>2090</v>
      </c>
      <c r="E1046" s="150">
        <v>451</v>
      </c>
      <c r="F1046" s="142">
        <v>14200</v>
      </c>
      <c r="G1046" s="143">
        <v>11933</v>
      </c>
      <c r="H1046" s="144">
        <v>2267</v>
      </c>
      <c r="I1046" s="140">
        <v>1</v>
      </c>
      <c r="J1046" s="114" t="str">
        <f t="shared" si="16"/>
        <v>INSERT INTO DOCUMENTOS (NRO_DOCUMENTO,FECHA_EMISION,TOTAL_BRUTO,TOTAL_NETO,TOTAL_IVA, ID_TIPO, RUT_EMPLEADO, ID_CLIENTE) VALUES(1042,TO_DATE('16-06-2025','DD-MM-YYYY'),14200,11933,2267,1,'14526149-K',451);</v>
      </c>
    </row>
    <row r="1047" spans="1:10">
      <c r="A1047" s="149"/>
      <c r="B1047" s="149">
        <v>1043</v>
      </c>
      <c r="C1047" s="151" t="s">
        <v>2330</v>
      </c>
      <c r="D1047" t="s">
        <v>2090</v>
      </c>
      <c r="E1047" s="150">
        <v>56</v>
      </c>
      <c r="F1047" s="142">
        <v>19200</v>
      </c>
      <c r="G1047" s="143">
        <v>16135</v>
      </c>
      <c r="H1047" s="144">
        <v>3065</v>
      </c>
      <c r="I1047" s="140">
        <v>1</v>
      </c>
      <c r="J1047" s="114" t="str">
        <f t="shared" si="16"/>
        <v>INSERT INTO DOCUMENTOS (NRO_DOCUMENTO,FECHA_EMISION,TOTAL_BRUTO,TOTAL_NETO,TOTAL_IVA, ID_TIPO, RUT_EMPLEADO, ID_CLIENTE) VALUES(1043,TO_DATE('17-06-2025','DD-MM-YYYY'),19200,16135,3065,1,'14526149-K',56);</v>
      </c>
    </row>
    <row r="1048" spans="1:10">
      <c r="A1048" s="149"/>
      <c r="B1048" s="149">
        <v>1044</v>
      </c>
      <c r="C1048" s="118" t="s">
        <v>2330</v>
      </c>
      <c r="D1048" t="s">
        <v>2090</v>
      </c>
      <c r="E1048" s="150">
        <v>411</v>
      </c>
      <c r="F1048" s="142">
        <v>8200</v>
      </c>
      <c r="G1048" s="143">
        <v>6891</v>
      </c>
      <c r="H1048" s="144">
        <v>1309</v>
      </c>
      <c r="I1048" s="140">
        <v>1</v>
      </c>
      <c r="J1048" s="114" t="str">
        <f t="shared" si="16"/>
        <v>INSERT INTO DOCUMENTOS (NRO_DOCUMENTO,FECHA_EMISION,TOTAL_BRUTO,TOTAL_NETO,TOTAL_IVA, ID_TIPO, RUT_EMPLEADO, ID_CLIENTE) VALUES(1044,TO_DATE('17-06-2025','DD-MM-YYYY'),8200,6891,1309,1,'14526149-K',411);</v>
      </c>
    </row>
    <row r="1049" spans="1:10">
      <c r="A1049" s="149"/>
      <c r="B1049" s="149">
        <v>1045</v>
      </c>
      <c r="C1049" s="151" t="s">
        <v>2331</v>
      </c>
      <c r="D1049" s="150" t="s">
        <v>2095</v>
      </c>
      <c r="E1049" s="150">
        <v>1</v>
      </c>
      <c r="F1049" s="142">
        <v>8200</v>
      </c>
      <c r="G1049" s="143">
        <v>6891</v>
      </c>
      <c r="H1049" s="144">
        <v>1309</v>
      </c>
      <c r="I1049" s="140">
        <v>1</v>
      </c>
      <c r="J1049" s="114" t="str">
        <f t="shared" si="16"/>
        <v>INSERT INTO DOCUMENTOS (NRO_DOCUMENTO,FECHA_EMISION,TOTAL_BRUTO,TOTAL_NETO,TOTAL_IVA, ID_TIPO, RUT_EMPLEADO, ID_CLIENTE) VALUES(1045,TO_DATE('18-06-2025','DD-MM-YYYY'),8200,6891,1309,1,'11383327-0',1);</v>
      </c>
    </row>
    <row r="1050" spans="1:10">
      <c r="A1050" s="149"/>
      <c r="B1050" s="149">
        <v>1046</v>
      </c>
      <c r="C1050" s="118" t="s">
        <v>2331</v>
      </c>
      <c r="D1050" t="s">
        <v>2095</v>
      </c>
      <c r="E1050" s="150">
        <v>22</v>
      </c>
      <c r="F1050" s="142">
        <v>39900</v>
      </c>
      <c r="G1050" s="143">
        <v>33529</v>
      </c>
      <c r="H1050" s="144">
        <v>6371</v>
      </c>
      <c r="I1050" s="140">
        <v>1</v>
      </c>
      <c r="J1050" s="114" t="str">
        <f t="shared" si="16"/>
        <v>INSERT INTO DOCUMENTOS (NRO_DOCUMENTO,FECHA_EMISION,TOTAL_BRUTO,TOTAL_NETO,TOTAL_IVA, ID_TIPO, RUT_EMPLEADO, ID_CLIENTE) VALUES(1046,TO_DATE('18-06-2025','DD-MM-YYYY'),39900,33529,6371,1,'11383327-0',22);</v>
      </c>
    </row>
    <row r="1051" spans="1:10">
      <c r="A1051" s="149"/>
      <c r="B1051" s="149">
        <v>1047</v>
      </c>
      <c r="C1051" s="118" t="s">
        <v>2331</v>
      </c>
      <c r="D1051" s="150" t="s">
        <v>2090</v>
      </c>
      <c r="E1051" s="150">
        <v>37</v>
      </c>
      <c r="F1051" s="142">
        <v>45000</v>
      </c>
      <c r="G1051" s="143">
        <v>37815</v>
      </c>
      <c r="H1051" s="144">
        <v>7185</v>
      </c>
      <c r="I1051" s="140">
        <v>1</v>
      </c>
      <c r="J1051" s="114" t="str">
        <f t="shared" si="16"/>
        <v>INSERT INTO DOCUMENTOS (NRO_DOCUMENTO,FECHA_EMISION,TOTAL_BRUTO,TOTAL_NETO,TOTAL_IVA, ID_TIPO, RUT_EMPLEADO, ID_CLIENTE) VALUES(1047,TO_DATE('18-06-2025','DD-MM-YYYY'),45000,37815,7185,1,'14526149-K',37);</v>
      </c>
    </row>
    <row r="1052" spans="1:10">
      <c r="A1052" s="149"/>
      <c r="B1052" s="149">
        <v>1048</v>
      </c>
      <c r="C1052" s="118" t="s">
        <v>2331</v>
      </c>
      <c r="D1052" s="150" t="s">
        <v>2095</v>
      </c>
      <c r="E1052" s="150">
        <v>247</v>
      </c>
      <c r="F1052" s="142">
        <v>17500</v>
      </c>
      <c r="G1052" s="143">
        <v>14707</v>
      </c>
      <c r="H1052" s="144">
        <v>2793</v>
      </c>
      <c r="I1052" s="140">
        <v>1</v>
      </c>
      <c r="J1052" s="114" t="str">
        <f t="shared" si="16"/>
        <v>INSERT INTO DOCUMENTOS (NRO_DOCUMENTO,FECHA_EMISION,TOTAL_BRUTO,TOTAL_NETO,TOTAL_IVA, ID_TIPO, RUT_EMPLEADO, ID_CLIENTE) VALUES(1048,TO_DATE('18-06-2025','DD-MM-YYYY'),17500,14707,2793,1,'11383327-0',247);</v>
      </c>
    </row>
    <row r="1053" spans="1:10">
      <c r="A1053" s="149"/>
      <c r="B1053" s="149">
        <v>1049</v>
      </c>
      <c r="C1053" s="151" t="s">
        <v>2332</v>
      </c>
      <c r="D1053" s="150" t="s">
        <v>2090</v>
      </c>
      <c r="E1053" s="150">
        <v>63</v>
      </c>
      <c r="F1053" s="142">
        <v>8200</v>
      </c>
      <c r="G1053" s="143">
        <v>6891</v>
      </c>
      <c r="H1053" s="144">
        <v>1309</v>
      </c>
      <c r="I1053" s="140">
        <v>1</v>
      </c>
      <c r="J1053" s="114" t="str">
        <f t="shared" si="16"/>
        <v>INSERT INTO DOCUMENTOS (NRO_DOCUMENTO,FECHA_EMISION,TOTAL_BRUTO,TOTAL_NETO,TOTAL_IVA, ID_TIPO, RUT_EMPLEADO, ID_CLIENTE) VALUES(1049,TO_DATE('19-06-2025','DD-MM-YYYY'),8200,6891,1309,1,'14526149-K',63);</v>
      </c>
    </row>
    <row r="1054" spans="1:10">
      <c r="A1054" s="149"/>
      <c r="B1054" s="150">
        <v>1050</v>
      </c>
      <c r="C1054" s="118" t="s">
        <v>2332</v>
      </c>
      <c r="D1054" t="s">
        <v>2090</v>
      </c>
      <c r="E1054" s="150">
        <v>446</v>
      </c>
      <c r="F1054" s="142">
        <v>7500</v>
      </c>
      <c r="G1054" s="143">
        <v>6303</v>
      </c>
      <c r="H1054" s="144">
        <v>1197</v>
      </c>
      <c r="I1054" s="140">
        <v>1</v>
      </c>
      <c r="J1054" s="114" t="str">
        <f t="shared" si="16"/>
        <v>INSERT INTO DOCUMENTOS (NRO_DOCUMENTO,FECHA_EMISION,TOTAL_BRUTO,TOTAL_NETO,TOTAL_IVA, ID_TIPO, RUT_EMPLEADO, ID_CLIENTE) VALUES(1050,TO_DATE('19-06-2025','DD-MM-YYYY'),7500,6303,1197,1,'14526149-K',446);</v>
      </c>
    </row>
    <row r="1055" spans="1:10">
      <c r="A1055" s="149"/>
      <c r="B1055" s="149">
        <v>1051</v>
      </c>
      <c r="C1055" s="118" t="s">
        <v>2332</v>
      </c>
      <c r="D1055" t="s">
        <v>2090</v>
      </c>
      <c r="E1055" s="150">
        <v>449</v>
      </c>
      <c r="F1055" s="142">
        <v>43400</v>
      </c>
      <c r="G1055" s="143">
        <v>36471</v>
      </c>
      <c r="H1055" s="144">
        <v>6929</v>
      </c>
      <c r="I1055" s="140">
        <v>1</v>
      </c>
      <c r="J1055" s="114" t="str">
        <f t="shared" si="16"/>
        <v>INSERT INTO DOCUMENTOS (NRO_DOCUMENTO,FECHA_EMISION,TOTAL_BRUTO,TOTAL_NETO,TOTAL_IVA, ID_TIPO, RUT_EMPLEADO, ID_CLIENTE) VALUES(1051,TO_DATE('19-06-2025','DD-MM-YYYY'),43400,36471,6929,1,'14526149-K',449);</v>
      </c>
    </row>
    <row r="1056" spans="1:10">
      <c r="A1056" s="149"/>
      <c r="B1056" s="149">
        <v>1052</v>
      </c>
      <c r="C1056" s="151" t="s">
        <v>2333</v>
      </c>
      <c r="D1056" s="150" t="s">
        <v>2094</v>
      </c>
      <c r="E1056" s="150">
        <v>119</v>
      </c>
      <c r="F1056" s="142">
        <v>31100</v>
      </c>
      <c r="G1056" s="143">
        <v>26135</v>
      </c>
      <c r="H1056" s="144">
        <v>4965</v>
      </c>
      <c r="I1056" s="140">
        <v>1</v>
      </c>
      <c r="J1056" s="114" t="str">
        <f t="shared" si="16"/>
        <v>INSERT INTO DOCUMENTOS (NRO_DOCUMENTO,FECHA_EMISION,TOTAL_BRUTO,TOTAL_NETO,TOTAL_IVA, ID_TIPO, RUT_EMPLEADO, ID_CLIENTE) VALUES(1052,TO_DATE('20-06-2025','DD-MM-YYYY'),31100,26135,4965,1,'17866360-7',119);</v>
      </c>
    </row>
    <row r="1057" spans="1:10">
      <c r="A1057" s="149"/>
      <c r="B1057" s="149">
        <v>1053</v>
      </c>
      <c r="C1057" s="118" t="s">
        <v>2333</v>
      </c>
      <c r="D1057" s="150" t="s">
        <v>2095</v>
      </c>
      <c r="E1057" s="150">
        <v>119</v>
      </c>
      <c r="F1057" s="142">
        <v>17400</v>
      </c>
      <c r="G1057" s="143">
        <v>14622</v>
      </c>
      <c r="H1057" s="144">
        <v>2778</v>
      </c>
      <c r="I1057" s="140">
        <v>1</v>
      </c>
      <c r="J1057" s="114" t="str">
        <f t="shared" si="16"/>
        <v>INSERT INTO DOCUMENTOS (NRO_DOCUMENTO,FECHA_EMISION,TOTAL_BRUTO,TOTAL_NETO,TOTAL_IVA, ID_TIPO, RUT_EMPLEADO, ID_CLIENTE) VALUES(1053,TO_DATE('20-06-2025','DD-MM-YYYY'),17400,14622,2778,1,'11383327-0',119);</v>
      </c>
    </row>
    <row r="1058" spans="1:10">
      <c r="A1058" s="149"/>
      <c r="B1058" s="149">
        <v>1054</v>
      </c>
      <c r="C1058" s="118" t="s">
        <v>2333</v>
      </c>
      <c r="D1058" s="150" t="s">
        <v>2094</v>
      </c>
      <c r="E1058" s="150">
        <v>161</v>
      </c>
      <c r="F1058" s="142">
        <v>14200</v>
      </c>
      <c r="G1058" s="143">
        <v>11933</v>
      </c>
      <c r="H1058" s="144">
        <v>2267</v>
      </c>
      <c r="I1058" s="140">
        <v>1</v>
      </c>
      <c r="J1058" s="114" t="str">
        <f t="shared" si="16"/>
        <v>INSERT INTO DOCUMENTOS (NRO_DOCUMENTO,FECHA_EMISION,TOTAL_BRUTO,TOTAL_NETO,TOTAL_IVA, ID_TIPO, RUT_EMPLEADO, ID_CLIENTE) VALUES(1054,TO_DATE('20-06-2025','DD-MM-YYYY'),14200,11933,2267,1,'17866360-7',161);</v>
      </c>
    </row>
    <row r="1059" spans="1:10">
      <c r="A1059" s="149"/>
      <c r="B1059" s="149">
        <v>1055</v>
      </c>
      <c r="C1059" s="118" t="s">
        <v>2333</v>
      </c>
      <c r="D1059" t="s">
        <v>2094</v>
      </c>
      <c r="E1059" s="150">
        <v>166</v>
      </c>
      <c r="F1059" s="142">
        <v>7000</v>
      </c>
      <c r="G1059" s="143">
        <v>5882</v>
      </c>
      <c r="H1059" s="144">
        <v>1118</v>
      </c>
      <c r="I1059" s="140">
        <v>1</v>
      </c>
      <c r="J1059" s="114" t="str">
        <f t="shared" si="16"/>
        <v>INSERT INTO DOCUMENTOS (NRO_DOCUMENTO,FECHA_EMISION,TOTAL_BRUTO,TOTAL_NETO,TOTAL_IVA, ID_TIPO, RUT_EMPLEADO, ID_CLIENTE) VALUES(1055,TO_DATE('20-06-2025','DD-MM-YYYY'),7000,5882,1118,1,'17866360-7',166);</v>
      </c>
    </row>
    <row r="1060" spans="1:10">
      <c r="A1060" s="149"/>
      <c r="B1060" s="149">
        <v>1056</v>
      </c>
      <c r="C1060" s="118" t="s">
        <v>2333</v>
      </c>
      <c r="D1060" s="150" t="s">
        <v>2095</v>
      </c>
      <c r="E1060" s="150">
        <v>166</v>
      </c>
      <c r="F1060" s="142">
        <v>21200</v>
      </c>
      <c r="G1060" s="143">
        <v>17815</v>
      </c>
      <c r="H1060" s="144">
        <v>3385</v>
      </c>
      <c r="I1060" s="140">
        <v>1</v>
      </c>
      <c r="J1060" s="114" t="str">
        <f t="shared" si="16"/>
        <v>INSERT INTO DOCUMENTOS (NRO_DOCUMENTO,FECHA_EMISION,TOTAL_BRUTO,TOTAL_NETO,TOTAL_IVA, ID_TIPO, RUT_EMPLEADO, ID_CLIENTE) VALUES(1056,TO_DATE('20-06-2025','DD-MM-YYYY'),21200,17815,3385,1,'11383327-0',166);</v>
      </c>
    </row>
    <row r="1061" spans="1:10">
      <c r="A1061" s="149"/>
      <c r="B1061" s="149">
        <v>1057</v>
      </c>
      <c r="C1061" s="118" t="s">
        <v>2333</v>
      </c>
      <c r="D1061" t="s">
        <v>2095</v>
      </c>
      <c r="E1061" s="150">
        <v>184</v>
      </c>
      <c r="F1061" s="142">
        <v>19200</v>
      </c>
      <c r="G1061" s="143">
        <v>16135</v>
      </c>
      <c r="H1061" s="144">
        <v>3065</v>
      </c>
      <c r="I1061" s="140">
        <v>1</v>
      </c>
      <c r="J1061" s="114" t="str">
        <f t="shared" si="16"/>
        <v>INSERT INTO DOCUMENTOS (NRO_DOCUMENTO,FECHA_EMISION,TOTAL_BRUTO,TOTAL_NETO,TOTAL_IVA, ID_TIPO, RUT_EMPLEADO, ID_CLIENTE) VALUES(1057,TO_DATE('20-06-2025','DD-MM-YYYY'),19200,16135,3065,1,'11383327-0',184);</v>
      </c>
    </row>
    <row r="1062" spans="1:10">
      <c r="A1062" s="149"/>
      <c r="B1062" s="149">
        <v>1058</v>
      </c>
      <c r="C1062" s="118" t="s">
        <v>2333</v>
      </c>
      <c r="D1062" t="s">
        <v>2095</v>
      </c>
      <c r="E1062" s="150">
        <v>302</v>
      </c>
      <c r="F1062" s="142">
        <v>19200</v>
      </c>
      <c r="G1062" s="143">
        <v>16135</v>
      </c>
      <c r="H1062" s="144">
        <v>3065</v>
      </c>
      <c r="I1062" s="140">
        <v>1</v>
      </c>
      <c r="J1062" s="114" t="str">
        <f t="shared" si="16"/>
        <v>INSERT INTO DOCUMENTOS (NRO_DOCUMENTO,FECHA_EMISION,TOTAL_BRUTO,TOTAL_NETO,TOTAL_IVA, ID_TIPO, RUT_EMPLEADO, ID_CLIENTE) VALUES(1058,TO_DATE('20-06-2025','DD-MM-YYYY'),19200,16135,3065,1,'11383327-0',302);</v>
      </c>
    </row>
    <row r="1063" spans="1:10">
      <c r="A1063" s="149"/>
      <c r="B1063" s="149">
        <v>1059</v>
      </c>
      <c r="C1063" s="151" t="s">
        <v>2334</v>
      </c>
      <c r="D1063" s="150" t="s">
        <v>2094</v>
      </c>
      <c r="E1063" s="150">
        <v>85</v>
      </c>
      <c r="F1063" s="142">
        <v>14200</v>
      </c>
      <c r="G1063" s="143">
        <v>11933</v>
      </c>
      <c r="H1063" s="144">
        <v>2267</v>
      </c>
      <c r="I1063" s="140">
        <v>1</v>
      </c>
      <c r="J1063" s="114" t="str">
        <f t="shared" si="16"/>
        <v>INSERT INTO DOCUMENTOS (NRO_DOCUMENTO,FECHA_EMISION,TOTAL_BRUTO,TOTAL_NETO,TOTAL_IVA, ID_TIPO, RUT_EMPLEADO, ID_CLIENTE) VALUES(1059,TO_DATE('21-06-2025','DD-MM-YYYY'),14200,11933,2267,1,'17866360-7',85);</v>
      </c>
    </row>
    <row r="1064" spans="1:10">
      <c r="A1064" s="149"/>
      <c r="B1064" s="149">
        <v>1060</v>
      </c>
      <c r="C1064" s="118" t="s">
        <v>2334</v>
      </c>
      <c r="D1064" t="s">
        <v>2094</v>
      </c>
      <c r="E1064" s="150">
        <v>227</v>
      </c>
      <c r="F1064" s="142">
        <v>11000</v>
      </c>
      <c r="G1064" s="143">
        <v>9244</v>
      </c>
      <c r="H1064" s="144">
        <v>1756</v>
      </c>
      <c r="I1064" s="140">
        <v>1</v>
      </c>
      <c r="J1064" s="114" t="str">
        <f t="shared" si="16"/>
        <v>INSERT INTO DOCUMENTOS (NRO_DOCUMENTO,FECHA_EMISION,TOTAL_BRUTO,TOTAL_NETO,TOTAL_IVA, ID_TIPO, RUT_EMPLEADO, ID_CLIENTE) VALUES(1060,TO_DATE('21-06-2025','DD-MM-YYYY'),11000,9244,1756,1,'17866360-7',227);</v>
      </c>
    </row>
    <row r="1065" spans="1:10">
      <c r="A1065" s="149"/>
      <c r="B1065" s="149">
        <v>1061</v>
      </c>
      <c r="C1065" s="118" t="s">
        <v>2334</v>
      </c>
      <c r="D1065" t="s">
        <v>2094</v>
      </c>
      <c r="E1065" s="150">
        <v>353</v>
      </c>
      <c r="F1065" s="142">
        <v>22400</v>
      </c>
      <c r="G1065" s="143">
        <v>18824</v>
      </c>
      <c r="H1065" s="144">
        <v>3576</v>
      </c>
      <c r="I1065" s="140">
        <v>1</v>
      </c>
      <c r="J1065" s="114" t="str">
        <f t="shared" si="16"/>
        <v>INSERT INTO DOCUMENTOS (NRO_DOCUMENTO,FECHA_EMISION,TOTAL_BRUTO,TOTAL_NETO,TOTAL_IVA, ID_TIPO, RUT_EMPLEADO, ID_CLIENTE) VALUES(1061,TO_DATE('21-06-2025','DD-MM-YYYY'),22400,18824,3576,1,'17866360-7',353);</v>
      </c>
    </row>
    <row r="1066" spans="1:10">
      <c r="A1066" s="149"/>
      <c r="B1066" s="149">
        <v>1062</v>
      </c>
      <c r="C1066" s="151" t="s">
        <v>2335</v>
      </c>
      <c r="D1066" s="150" t="s">
        <v>2090</v>
      </c>
      <c r="E1066" s="150">
        <v>26</v>
      </c>
      <c r="F1066" s="142">
        <v>8200</v>
      </c>
      <c r="G1066" s="143">
        <v>6891</v>
      </c>
      <c r="H1066" s="144">
        <v>1309</v>
      </c>
      <c r="I1066" s="140">
        <v>1</v>
      </c>
      <c r="J1066" s="114" t="str">
        <f t="shared" si="16"/>
        <v>INSERT INTO DOCUMENTOS (NRO_DOCUMENTO,FECHA_EMISION,TOTAL_BRUTO,TOTAL_NETO,TOTAL_IVA, ID_TIPO, RUT_EMPLEADO, ID_CLIENTE) VALUES(1062,TO_DATE('22-06-2025','DD-MM-YYYY'),8200,6891,1309,1,'14526149-K',26);</v>
      </c>
    </row>
    <row r="1067" spans="1:10">
      <c r="A1067" s="149"/>
      <c r="B1067" s="149">
        <v>1063</v>
      </c>
      <c r="C1067" s="118" t="s">
        <v>2335</v>
      </c>
      <c r="D1067" t="s">
        <v>2090</v>
      </c>
      <c r="E1067" s="150">
        <v>27</v>
      </c>
      <c r="F1067" s="142">
        <v>252100</v>
      </c>
      <c r="G1067" s="143">
        <v>211847</v>
      </c>
      <c r="H1067" s="144">
        <v>40253</v>
      </c>
      <c r="I1067" s="140">
        <v>1</v>
      </c>
      <c r="J1067" s="114" t="str">
        <f t="shared" si="16"/>
        <v>INSERT INTO DOCUMENTOS (NRO_DOCUMENTO,FECHA_EMISION,TOTAL_BRUTO,TOTAL_NETO,TOTAL_IVA, ID_TIPO, RUT_EMPLEADO, ID_CLIENTE) VALUES(1063,TO_DATE('22-06-2025','DD-MM-YYYY'),252100,211847,40253,1,'14526149-K',27);</v>
      </c>
    </row>
    <row r="1068" spans="1:10">
      <c r="A1068" s="149"/>
      <c r="B1068" s="149">
        <v>1064</v>
      </c>
      <c r="C1068" s="118" t="s">
        <v>2335</v>
      </c>
      <c r="D1068" t="s">
        <v>2090</v>
      </c>
      <c r="E1068" s="150">
        <v>110</v>
      </c>
      <c r="F1068" s="142">
        <v>12500</v>
      </c>
      <c r="G1068" s="143">
        <v>10504</v>
      </c>
      <c r="H1068" s="144">
        <v>1996</v>
      </c>
      <c r="I1068" s="140">
        <v>1</v>
      </c>
      <c r="J1068" s="114" t="str">
        <f t="shared" si="16"/>
        <v>INSERT INTO DOCUMENTOS (NRO_DOCUMENTO,FECHA_EMISION,TOTAL_BRUTO,TOTAL_NETO,TOTAL_IVA, ID_TIPO, RUT_EMPLEADO, ID_CLIENTE) VALUES(1064,TO_DATE('22-06-2025','DD-MM-YYYY'),12500,10504,1996,1,'14526149-K',110);</v>
      </c>
    </row>
    <row r="1069" spans="1:10">
      <c r="A1069" s="149"/>
      <c r="B1069" s="149">
        <v>1065</v>
      </c>
      <c r="C1069" s="118" t="s">
        <v>2335</v>
      </c>
      <c r="D1069" t="s">
        <v>2090</v>
      </c>
      <c r="E1069" s="150">
        <v>119</v>
      </c>
      <c r="F1069" s="142">
        <v>2000</v>
      </c>
      <c r="G1069" s="143">
        <v>1681</v>
      </c>
      <c r="H1069" s="144">
        <v>319</v>
      </c>
      <c r="I1069" s="140">
        <v>1</v>
      </c>
      <c r="J1069" s="114" t="str">
        <f t="shared" si="16"/>
        <v>INSERT INTO DOCUMENTOS (NRO_DOCUMENTO,FECHA_EMISION,TOTAL_BRUTO,TOTAL_NETO,TOTAL_IVA, ID_TIPO, RUT_EMPLEADO, ID_CLIENTE) VALUES(1065,TO_DATE('22-06-2025','DD-MM-YYYY'),2000,1681,319,1,'14526149-K',119);</v>
      </c>
    </row>
    <row r="1070" spans="1:10">
      <c r="A1070" s="149"/>
      <c r="B1070" s="149">
        <v>1066</v>
      </c>
      <c r="C1070" s="118" t="s">
        <v>2335</v>
      </c>
      <c r="D1070" t="s">
        <v>2090</v>
      </c>
      <c r="E1070" s="150">
        <v>122</v>
      </c>
      <c r="F1070" s="142">
        <v>14100</v>
      </c>
      <c r="G1070" s="143">
        <v>11850</v>
      </c>
      <c r="H1070" s="144">
        <v>2250</v>
      </c>
      <c r="I1070" s="140">
        <v>1</v>
      </c>
      <c r="J1070" s="114" t="str">
        <f t="shared" si="16"/>
        <v>INSERT INTO DOCUMENTOS (NRO_DOCUMENTO,FECHA_EMISION,TOTAL_BRUTO,TOTAL_NETO,TOTAL_IVA, ID_TIPO, RUT_EMPLEADO, ID_CLIENTE) VALUES(1066,TO_DATE('22-06-2025','DD-MM-YYYY'),14100,11850,2250,1,'14526149-K',122);</v>
      </c>
    </row>
    <row r="1071" spans="1:10">
      <c r="A1071" s="149"/>
      <c r="B1071" s="149">
        <v>1067</v>
      </c>
      <c r="C1071" s="118" t="s">
        <v>2335</v>
      </c>
      <c r="D1071" t="s">
        <v>2090</v>
      </c>
      <c r="E1071" s="150">
        <v>166</v>
      </c>
      <c r="F1071" s="142">
        <v>8200</v>
      </c>
      <c r="G1071" s="143">
        <v>6891</v>
      </c>
      <c r="H1071" s="144">
        <v>1309</v>
      </c>
      <c r="I1071" s="140">
        <v>1</v>
      </c>
      <c r="J1071" s="114" t="str">
        <f t="shared" si="16"/>
        <v>INSERT INTO DOCUMENTOS (NRO_DOCUMENTO,FECHA_EMISION,TOTAL_BRUTO,TOTAL_NETO,TOTAL_IVA, ID_TIPO, RUT_EMPLEADO, ID_CLIENTE) VALUES(1067,TO_DATE('22-06-2025','DD-MM-YYYY'),8200,6891,1309,1,'14526149-K',166);</v>
      </c>
    </row>
    <row r="1072" spans="1:10">
      <c r="A1072" s="149"/>
      <c r="B1072" s="149">
        <v>1068</v>
      </c>
      <c r="C1072" s="118" t="s">
        <v>2335</v>
      </c>
      <c r="D1072" t="s">
        <v>2090</v>
      </c>
      <c r="E1072" s="150">
        <v>200</v>
      </c>
      <c r="F1072" s="142">
        <v>19200</v>
      </c>
      <c r="G1072" s="143">
        <v>16135</v>
      </c>
      <c r="H1072" s="144">
        <v>3065</v>
      </c>
      <c r="I1072" s="140">
        <v>1</v>
      </c>
      <c r="J1072" s="114" t="str">
        <f t="shared" si="16"/>
        <v>INSERT INTO DOCUMENTOS (NRO_DOCUMENTO,FECHA_EMISION,TOTAL_BRUTO,TOTAL_NETO,TOTAL_IVA, ID_TIPO, RUT_EMPLEADO, ID_CLIENTE) VALUES(1068,TO_DATE('22-06-2025','DD-MM-YYYY'),19200,16135,3065,1,'14526149-K',200);</v>
      </c>
    </row>
    <row r="1073" spans="1:10">
      <c r="A1073" s="149"/>
      <c r="B1073" s="149">
        <v>1069</v>
      </c>
      <c r="C1073" s="118" t="s">
        <v>2335</v>
      </c>
      <c r="D1073" t="s">
        <v>2090</v>
      </c>
      <c r="E1073" s="150">
        <v>315</v>
      </c>
      <c r="F1073" s="142">
        <v>6000</v>
      </c>
      <c r="G1073" s="143">
        <v>5042</v>
      </c>
      <c r="H1073" s="144">
        <v>958</v>
      </c>
      <c r="I1073" s="140">
        <v>1</v>
      </c>
      <c r="J1073" s="114" t="str">
        <f t="shared" si="16"/>
        <v>INSERT INTO DOCUMENTOS (NRO_DOCUMENTO,FECHA_EMISION,TOTAL_BRUTO,TOTAL_NETO,TOTAL_IVA, ID_TIPO, RUT_EMPLEADO, ID_CLIENTE) VALUES(1069,TO_DATE('22-06-2025','DD-MM-YYYY'),6000,5042,958,1,'14526149-K',315);</v>
      </c>
    </row>
    <row r="1074" spans="1:10">
      <c r="A1074" s="149"/>
      <c r="B1074" s="149">
        <v>1070</v>
      </c>
      <c r="C1074" s="118" t="s">
        <v>2335</v>
      </c>
      <c r="D1074" t="s">
        <v>2090</v>
      </c>
      <c r="E1074" s="150">
        <v>389</v>
      </c>
      <c r="F1074" s="142">
        <v>19200</v>
      </c>
      <c r="G1074" s="143">
        <v>16134</v>
      </c>
      <c r="H1074" s="144">
        <v>3066</v>
      </c>
      <c r="I1074" s="140">
        <v>1</v>
      </c>
      <c r="J1074" s="114" t="str">
        <f t="shared" si="16"/>
        <v>INSERT INTO DOCUMENTOS (NRO_DOCUMENTO,FECHA_EMISION,TOTAL_BRUTO,TOTAL_NETO,TOTAL_IVA, ID_TIPO, RUT_EMPLEADO, ID_CLIENTE) VALUES(1070,TO_DATE('22-06-2025','DD-MM-YYYY'),19200,16134,3066,1,'14526149-K',389);</v>
      </c>
    </row>
    <row r="1075" spans="1:10">
      <c r="A1075" s="149"/>
      <c r="B1075" s="149">
        <v>1071</v>
      </c>
      <c r="C1075" s="118" t="s">
        <v>2335</v>
      </c>
      <c r="D1075" s="150" t="s">
        <v>2094</v>
      </c>
      <c r="E1075" s="150">
        <v>389</v>
      </c>
      <c r="F1075" s="142">
        <v>20800</v>
      </c>
      <c r="G1075" s="143">
        <v>17480</v>
      </c>
      <c r="H1075" s="144">
        <v>3320</v>
      </c>
      <c r="I1075" s="140">
        <v>1</v>
      </c>
      <c r="J1075" s="114" t="str">
        <f t="shared" si="16"/>
        <v>INSERT INTO DOCUMENTOS (NRO_DOCUMENTO,FECHA_EMISION,TOTAL_BRUTO,TOTAL_NETO,TOTAL_IVA, ID_TIPO, RUT_EMPLEADO, ID_CLIENTE) VALUES(1071,TO_DATE('22-06-2025','DD-MM-YYYY'),20800,17480,3320,1,'17866360-7',389);</v>
      </c>
    </row>
    <row r="1076" spans="1:10">
      <c r="A1076" s="149"/>
      <c r="B1076" s="149">
        <v>1072</v>
      </c>
      <c r="C1076" s="118" t="s">
        <v>2335</v>
      </c>
      <c r="D1076" s="150" t="s">
        <v>2090</v>
      </c>
      <c r="E1076" s="150">
        <v>397</v>
      </c>
      <c r="F1076" s="142">
        <v>1900</v>
      </c>
      <c r="G1076" s="143">
        <v>1597</v>
      </c>
      <c r="H1076" s="144">
        <v>303</v>
      </c>
      <c r="I1076" s="140">
        <v>1</v>
      </c>
      <c r="J1076" s="114" t="str">
        <f t="shared" si="16"/>
        <v>INSERT INTO DOCUMENTOS (NRO_DOCUMENTO,FECHA_EMISION,TOTAL_BRUTO,TOTAL_NETO,TOTAL_IVA, ID_TIPO, RUT_EMPLEADO, ID_CLIENTE) VALUES(1072,TO_DATE('22-06-2025','DD-MM-YYYY'),1900,1597,303,1,'14526149-K',397);</v>
      </c>
    </row>
    <row r="1077" spans="1:10">
      <c r="A1077" s="149"/>
      <c r="B1077" s="149">
        <v>1073</v>
      </c>
      <c r="C1077" s="151" t="s">
        <v>2336</v>
      </c>
      <c r="D1077" t="s">
        <v>2090</v>
      </c>
      <c r="E1077" s="150">
        <v>29</v>
      </c>
      <c r="F1077" s="142">
        <v>22100</v>
      </c>
      <c r="G1077" s="143">
        <v>18572</v>
      </c>
      <c r="H1077" s="144">
        <v>3528</v>
      </c>
      <c r="I1077" s="140">
        <v>1</v>
      </c>
      <c r="J1077" s="114" t="str">
        <f t="shared" si="16"/>
        <v>INSERT INTO DOCUMENTOS (NRO_DOCUMENTO,FECHA_EMISION,TOTAL_BRUTO,TOTAL_NETO,TOTAL_IVA, ID_TIPO, RUT_EMPLEADO, ID_CLIENTE) VALUES(1073,TO_DATE('23-06-2025','DD-MM-YYYY'),22100,18572,3528,1,'14526149-K',29);</v>
      </c>
    </row>
    <row r="1078" spans="1:10">
      <c r="A1078" s="149"/>
      <c r="B1078" s="149">
        <v>1074</v>
      </c>
      <c r="C1078" s="118" t="s">
        <v>2336</v>
      </c>
      <c r="D1078" t="s">
        <v>2090</v>
      </c>
      <c r="E1078" s="150">
        <v>62</v>
      </c>
      <c r="F1078" s="142">
        <v>138700</v>
      </c>
      <c r="G1078" s="143">
        <v>116556</v>
      </c>
      <c r="H1078" s="144">
        <v>22144</v>
      </c>
      <c r="I1078" s="140">
        <v>1</v>
      </c>
      <c r="J1078" s="114" t="str">
        <f t="shared" si="16"/>
        <v>INSERT INTO DOCUMENTOS (NRO_DOCUMENTO,FECHA_EMISION,TOTAL_BRUTO,TOTAL_NETO,TOTAL_IVA, ID_TIPO, RUT_EMPLEADO, ID_CLIENTE) VALUES(1074,TO_DATE('23-06-2025','DD-MM-YYYY'),138700,116556,22144,1,'14526149-K',62);</v>
      </c>
    </row>
    <row r="1079" spans="1:10">
      <c r="A1079" s="149"/>
      <c r="B1079" s="149">
        <v>1075</v>
      </c>
      <c r="C1079" s="118" t="s">
        <v>2336</v>
      </c>
      <c r="D1079" t="s">
        <v>2090</v>
      </c>
      <c r="E1079" s="150">
        <v>119</v>
      </c>
      <c r="F1079" s="142">
        <v>8200</v>
      </c>
      <c r="G1079" s="143">
        <v>6891</v>
      </c>
      <c r="H1079" s="144">
        <v>1309</v>
      </c>
      <c r="I1079" s="140">
        <v>1</v>
      </c>
      <c r="J1079" s="114" t="str">
        <f t="shared" si="16"/>
        <v>INSERT INTO DOCUMENTOS (NRO_DOCUMENTO,FECHA_EMISION,TOTAL_BRUTO,TOTAL_NETO,TOTAL_IVA, ID_TIPO, RUT_EMPLEADO, ID_CLIENTE) VALUES(1075,TO_DATE('23-06-2025','DD-MM-YYYY'),8200,6891,1309,1,'14526149-K',119);</v>
      </c>
    </row>
    <row r="1080" spans="1:10">
      <c r="A1080" s="149"/>
      <c r="B1080" s="149">
        <v>1076</v>
      </c>
      <c r="C1080" s="118" t="s">
        <v>2336</v>
      </c>
      <c r="D1080" t="s">
        <v>2090</v>
      </c>
      <c r="E1080" s="150">
        <v>166</v>
      </c>
      <c r="F1080" s="142">
        <v>11000</v>
      </c>
      <c r="G1080" s="143">
        <v>9244</v>
      </c>
      <c r="H1080" s="144">
        <v>1756</v>
      </c>
      <c r="I1080" s="140">
        <v>1</v>
      </c>
      <c r="J1080" s="114" t="str">
        <f t="shared" si="16"/>
        <v>INSERT INTO DOCUMENTOS (NRO_DOCUMENTO,FECHA_EMISION,TOTAL_BRUTO,TOTAL_NETO,TOTAL_IVA, ID_TIPO, RUT_EMPLEADO, ID_CLIENTE) VALUES(1076,TO_DATE('23-06-2025','DD-MM-YYYY'),11000,9244,1756,1,'14526149-K',166);</v>
      </c>
    </row>
    <row r="1081" spans="1:10">
      <c r="A1081" s="149"/>
      <c r="B1081" s="149">
        <v>1077</v>
      </c>
      <c r="C1081" s="151" t="s">
        <v>2337</v>
      </c>
      <c r="D1081" t="s">
        <v>2090</v>
      </c>
      <c r="E1081" s="150">
        <v>84</v>
      </c>
      <c r="F1081" s="142">
        <v>8200</v>
      </c>
      <c r="G1081" s="143">
        <v>6891</v>
      </c>
      <c r="H1081" s="144">
        <v>1309</v>
      </c>
      <c r="I1081" s="140">
        <v>1</v>
      </c>
      <c r="J1081" s="114" t="str">
        <f t="shared" si="16"/>
        <v>INSERT INTO DOCUMENTOS (NRO_DOCUMENTO,FECHA_EMISION,TOTAL_BRUTO,TOTAL_NETO,TOTAL_IVA, ID_TIPO, RUT_EMPLEADO, ID_CLIENTE) VALUES(1077,TO_DATE('24-06-2025','DD-MM-YYYY'),8200,6891,1309,1,'14526149-K',84);</v>
      </c>
    </row>
    <row r="1082" spans="1:10">
      <c r="A1082" s="149"/>
      <c r="B1082" s="149">
        <v>1078</v>
      </c>
      <c r="C1082" s="118" t="s">
        <v>2337</v>
      </c>
      <c r="D1082" t="s">
        <v>2090</v>
      </c>
      <c r="E1082" s="150">
        <v>108</v>
      </c>
      <c r="F1082" s="142">
        <v>5200</v>
      </c>
      <c r="G1082" s="143">
        <v>4370</v>
      </c>
      <c r="H1082" s="144">
        <v>830</v>
      </c>
      <c r="I1082" s="140">
        <v>1</v>
      </c>
      <c r="J1082" s="114" t="str">
        <f t="shared" si="16"/>
        <v>INSERT INTO DOCUMENTOS (NRO_DOCUMENTO,FECHA_EMISION,TOTAL_BRUTO,TOTAL_NETO,TOTAL_IVA, ID_TIPO, RUT_EMPLEADO, ID_CLIENTE) VALUES(1078,TO_DATE('24-06-2025','DD-MM-YYYY'),5200,4370,830,1,'14526149-K',108);</v>
      </c>
    </row>
    <row r="1083" spans="1:10">
      <c r="A1083" s="149"/>
      <c r="B1083" s="149">
        <v>1079</v>
      </c>
      <c r="C1083" s="118" t="s">
        <v>2337</v>
      </c>
      <c r="D1083" t="s">
        <v>2090</v>
      </c>
      <c r="E1083" s="150">
        <v>110</v>
      </c>
      <c r="F1083" s="142">
        <v>8200</v>
      </c>
      <c r="G1083" s="143">
        <v>6891</v>
      </c>
      <c r="H1083" s="144">
        <v>1309</v>
      </c>
      <c r="I1083" s="140">
        <v>1</v>
      </c>
      <c r="J1083" s="114" t="str">
        <f t="shared" si="16"/>
        <v>INSERT INTO DOCUMENTOS (NRO_DOCUMENTO,FECHA_EMISION,TOTAL_BRUTO,TOTAL_NETO,TOTAL_IVA, ID_TIPO, RUT_EMPLEADO, ID_CLIENTE) VALUES(1079,TO_DATE('24-06-2025','DD-MM-YYYY'),8200,6891,1309,1,'14526149-K',110);</v>
      </c>
    </row>
    <row r="1084" spans="1:10">
      <c r="A1084" s="149"/>
      <c r="B1084" s="149">
        <v>1080</v>
      </c>
      <c r="C1084" s="118" t="s">
        <v>2337</v>
      </c>
      <c r="D1084" t="s">
        <v>2090</v>
      </c>
      <c r="E1084" s="150">
        <v>179</v>
      </c>
      <c r="F1084" s="142">
        <v>15800</v>
      </c>
      <c r="G1084" s="143">
        <v>13278</v>
      </c>
      <c r="H1084" s="144">
        <v>2522</v>
      </c>
      <c r="I1084" s="140">
        <v>1</v>
      </c>
      <c r="J1084" s="114" t="str">
        <f t="shared" si="16"/>
        <v>INSERT INTO DOCUMENTOS (NRO_DOCUMENTO,FECHA_EMISION,TOTAL_BRUTO,TOTAL_NETO,TOTAL_IVA, ID_TIPO, RUT_EMPLEADO, ID_CLIENTE) VALUES(1080,TO_DATE('24-06-2025','DD-MM-YYYY'),15800,13278,2522,1,'14526149-K',179);</v>
      </c>
    </row>
    <row r="1085" spans="1:10">
      <c r="A1085" s="149"/>
      <c r="B1085" s="149">
        <v>1081</v>
      </c>
      <c r="C1085" s="118" t="s">
        <v>2337</v>
      </c>
      <c r="D1085" t="s">
        <v>2090</v>
      </c>
      <c r="E1085" s="150">
        <v>219</v>
      </c>
      <c r="F1085" s="142">
        <v>73800</v>
      </c>
      <c r="G1085" s="143">
        <v>62017</v>
      </c>
      <c r="H1085" s="144">
        <v>11783</v>
      </c>
      <c r="I1085" s="140">
        <v>1</v>
      </c>
      <c r="J1085" s="114" t="str">
        <f t="shared" si="16"/>
        <v>INSERT INTO DOCUMENTOS (NRO_DOCUMENTO,FECHA_EMISION,TOTAL_BRUTO,TOTAL_NETO,TOTAL_IVA, ID_TIPO, RUT_EMPLEADO, ID_CLIENTE) VALUES(1081,TO_DATE('24-06-2025','DD-MM-YYYY'),73800,62017,11783,1,'14526149-K',219);</v>
      </c>
    </row>
    <row r="1086" spans="1:10">
      <c r="A1086" s="149"/>
      <c r="B1086" s="149">
        <v>1082</v>
      </c>
      <c r="C1086" s="118" t="s">
        <v>2337</v>
      </c>
      <c r="D1086" t="s">
        <v>2090</v>
      </c>
      <c r="E1086" s="150">
        <v>263</v>
      </c>
      <c r="F1086" s="142">
        <v>8200</v>
      </c>
      <c r="G1086" s="143">
        <v>6891</v>
      </c>
      <c r="H1086" s="144">
        <v>1309</v>
      </c>
      <c r="I1086" s="140">
        <v>1</v>
      </c>
      <c r="J1086" s="114" t="str">
        <f t="shared" si="16"/>
        <v>INSERT INTO DOCUMENTOS (NRO_DOCUMENTO,FECHA_EMISION,TOTAL_BRUTO,TOTAL_NETO,TOTAL_IVA, ID_TIPO, RUT_EMPLEADO, ID_CLIENTE) VALUES(1082,TO_DATE('24-06-2025','DD-MM-YYYY'),8200,6891,1309,1,'14526149-K',263);</v>
      </c>
    </row>
    <row r="1087" spans="1:10">
      <c r="A1087" s="149"/>
      <c r="B1087" s="149">
        <v>1083</v>
      </c>
      <c r="C1087" s="118" t="s">
        <v>2337</v>
      </c>
      <c r="D1087" t="s">
        <v>2090</v>
      </c>
      <c r="E1087" s="150">
        <v>300</v>
      </c>
      <c r="F1087" s="142">
        <v>25700</v>
      </c>
      <c r="G1087" s="143">
        <v>21597</v>
      </c>
      <c r="H1087" s="144">
        <v>4103</v>
      </c>
      <c r="I1087" s="140">
        <v>1</v>
      </c>
      <c r="J1087" s="114" t="str">
        <f t="shared" si="16"/>
        <v>INSERT INTO DOCUMENTOS (NRO_DOCUMENTO,FECHA_EMISION,TOTAL_BRUTO,TOTAL_NETO,TOTAL_IVA, ID_TIPO, RUT_EMPLEADO, ID_CLIENTE) VALUES(1083,TO_DATE('24-06-2025','DD-MM-YYYY'),25700,21597,4103,1,'14526149-K',300);</v>
      </c>
    </row>
    <row r="1088" spans="1:10">
      <c r="A1088" s="149"/>
      <c r="B1088" s="149">
        <v>1084</v>
      </c>
      <c r="C1088" s="118" t="s">
        <v>2337</v>
      </c>
      <c r="D1088" t="s">
        <v>2090</v>
      </c>
      <c r="E1088" s="150">
        <v>346</v>
      </c>
      <c r="F1088" s="142">
        <v>9000</v>
      </c>
      <c r="G1088" s="143">
        <v>7563</v>
      </c>
      <c r="H1088" s="144">
        <v>1437</v>
      </c>
      <c r="I1088" s="140">
        <v>1</v>
      </c>
      <c r="J1088" s="114" t="str">
        <f t="shared" si="16"/>
        <v>INSERT INTO DOCUMENTOS (NRO_DOCUMENTO,FECHA_EMISION,TOTAL_BRUTO,TOTAL_NETO,TOTAL_IVA, ID_TIPO, RUT_EMPLEADO, ID_CLIENTE) VALUES(1084,TO_DATE('24-06-2025','DD-MM-YYYY'),9000,7563,1437,1,'14526149-K',346);</v>
      </c>
    </row>
    <row r="1089" spans="1:10">
      <c r="A1089" s="149"/>
      <c r="B1089" s="149">
        <v>1085</v>
      </c>
      <c r="C1089" s="118" t="s">
        <v>2337</v>
      </c>
      <c r="D1089" t="s">
        <v>2090</v>
      </c>
      <c r="E1089" s="150">
        <v>347</v>
      </c>
      <c r="F1089" s="142">
        <v>31400</v>
      </c>
      <c r="G1089" s="143">
        <v>26387</v>
      </c>
      <c r="H1089" s="144">
        <v>5013</v>
      </c>
      <c r="I1089" s="140">
        <v>1</v>
      </c>
      <c r="J1089" s="114" t="str">
        <f t="shared" si="16"/>
        <v>INSERT INTO DOCUMENTOS (NRO_DOCUMENTO,FECHA_EMISION,TOTAL_BRUTO,TOTAL_NETO,TOTAL_IVA, ID_TIPO, RUT_EMPLEADO, ID_CLIENTE) VALUES(1085,TO_DATE('24-06-2025','DD-MM-YYYY'),31400,26387,5013,1,'14526149-K',347);</v>
      </c>
    </row>
    <row r="1090" spans="1:10">
      <c r="A1090" s="149"/>
      <c r="B1090" s="149">
        <v>1086</v>
      </c>
      <c r="C1090" s="151" t="s">
        <v>2338</v>
      </c>
      <c r="D1090" t="s">
        <v>2090</v>
      </c>
      <c r="E1090" s="150">
        <v>65</v>
      </c>
      <c r="F1090" s="142">
        <v>11000</v>
      </c>
      <c r="G1090" s="143">
        <v>9244</v>
      </c>
      <c r="H1090" s="144">
        <v>1756</v>
      </c>
      <c r="I1090" s="140">
        <v>1</v>
      </c>
      <c r="J1090" s="114" t="str">
        <f t="shared" si="16"/>
        <v>INSERT INTO DOCUMENTOS (NRO_DOCUMENTO,FECHA_EMISION,TOTAL_BRUTO,TOTAL_NETO,TOTAL_IVA, ID_TIPO, RUT_EMPLEADO, ID_CLIENTE) VALUES(1086,TO_DATE('25-06-2025','DD-MM-YYYY'),11000,9244,1756,1,'14526149-K',65);</v>
      </c>
    </row>
    <row r="1091" spans="1:10">
      <c r="A1091" s="149"/>
      <c r="B1091" s="149">
        <v>1087</v>
      </c>
      <c r="C1091" s="118" t="s">
        <v>2338</v>
      </c>
      <c r="D1091" t="s">
        <v>2090</v>
      </c>
      <c r="E1091" s="150">
        <v>111</v>
      </c>
      <c r="F1091" s="142">
        <v>16500</v>
      </c>
      <c r="G1091" s="143">
        <v>13866</v>
      </c>
      <c r="H1091" s="144">
        <v>2634</v>
      </c>
      <c r="I1091" s="140">
        <v>1</v>
      </c>
      <c r="J1091" s="114" t="str">
        <f t="shared" si="16"/>
        <v>INSERT INTO DOCUMENTOS (NRO_DOCUMENTO,FECHA_EMISION,TOTAL_BRUTO,TOTAL_NETO,TOTAL_IVA, ID_TIPO, RUT_EMPLEADO, ID_CLIENTE) VALUES(1087,TO_DATE('25-06-2025','DD-MM-YYYY'),16500,13866,2634,1,'14526149-K',111);</v>
      </c>
    </row>
    <row r="1092" spans="1:10">
      <c r="A1092" s="149"/>
      <c r="B1092" s="149">
        <v>1088</v>
      </c>
      <c r="C1092" s="118" t="s">
        <v>2338</v>
      </c>
      <c r="D1092" t="s">
        <v>2090</v>
      </c>
      <c r="E1092" s="150">
        <v>153</v>
      </c>
      <c r="F1092" s="142">
        <v>16500</v>
      </c>
      <c r="G1092" s="143">
        <v>13866</v>
      </c>
      <c r="H1092" s="144">
        <v>2634</v>
      </c>
      <c r="I1092" s="140">
        <v>1</v>
      </c>
      <c r="J1092" s="114" t="str">
        <f t="shared" si="16"/>
        <v>INSERT INTO DOCUMENTOS (NRO_DOCUMENTO,FECHA_EMISION,TOTAL_BRUTO,TOTAL_NETO,TOTAL_IVA, ID_TIPO, RUT_EMPLEADO, ID_CLIENTE) VALUES(1088,TO_DATE('25-06-2025','DD-MM-YYYY'),16500,13866,2634,1,'14526149-K',153);</v>
      </c>
    </row>
    <row r="1093" spans="1:10">
      <c r="A1093" s="149"/>
      <c r="B1093" s="149">
        <v>1089</v>
      </c>
      <c r="C1093" s="118" t="s">
        <v>2338</v>
      </c>
      <c r="D1093" t="s">
        <v>2090</v>
      </c>
      <c r="E1093" s="150">
        <v>155</v>
      </c>
      <c r="F1093" s="142">
        <v>8200</v>
      </c>
      <c r="G1093" s="143">
        <v>6891</v>
      </c>
      <c r="H1093" s="144">
        <v>1309</v>
      </c>
      <c r="I1093" s="140">
        <v>1</v>
      </c>
      <c r="J1093" s="114" t="str">
        <f t="shared" si="16"/>
        <v>INSERT INTO DOCUMENTOS (NRO_DOCUMENTO,FECHA_EMISION,TOTAL_BRUTO,TOTAL_NETO,TOTAL_IVA, ID_TIPO, RUT_EMPLEADO, ID_CLIENTE) VALUES(1089,TO_DATE('25-06-2025','DD-MM-YYYY'),8200,6891,1309,1,'14526149-K',155);</v>
      </c>
    </row>
    <row r="1094" spans="1:10">
      <c r="A1094" s="149"/>
      <c r="B1094" s="149">
        <v>1090</v>
      </c>
      <c r="C1094" s="118" t="s">
        <v>2338</v>
      </c>
      <c r="D1094" t="s">
        <v>2090</v>
      </c>
      <c r="E1094" s="150">
        <v>159</v>
      </c>
      <c r="F1094" s="142">
        <v>49300</v>
      </c>
      <c r="G1094" s="143">
        <v>41428</v>
      </c>
      <c r="H1094" s="144">
        <v>7872</v>
      </c>
      <c r="I1094" s="140">
        <v>1</v>
      </c>
      <c r="J1094" s="114" t="str">
        <f t="shared" ref="J1094:J1157" si="17">CONCATENATE("INSERT INTO DOCUMENTOS (NRO_DOCUMENTO,FECHA_EMISION,TOTAL_BRUTO,TOTAL_NETO,TOTAL_IVA, ID_TIPO, RUT_EMPLEADO, ID_CLIENTE) VALUES(",B1094,",","TO_DATE('",C1094,"'",",'DD-MM-YYYY'),",F1094,",",G1094,",",H1094,",",I1094,",","'",D1094,"',",E1094,");")</f>
        <v>INSERT INTO DOCUMENTOS (NRO_DOCUMENTO,FECHA_EMISION,TOTAL_BRUTO,TOTAL_NETO,TOTAL_IVA, ID_TIPO, RUT_EMPLEADO, ID_CLIENTE) VALUES(1090,TO_DATE('25-06-2025','DD-MM-YYYY'),49300,41428,7872,1,'14526149-K',159);</v>
      </c>
    </row>
    <row r="1095" spans="1:10">
      <c r="A1095" s="149"/>
      <c r="B1095" s="149">
        <v>1091</v>
      </c>
      <c r="C1095" s="118" t="s">
        <v>2338</v>
      </c>
      <c r="D1095" t="s">
        <v>2090</v>
      </c>
      <c r="E1095" s="150">
        <v>192</v>
      </c>
      <c r="F1095" s="142">
        <v>7000</v>
      </c>
      <c r="G1095" s="143">
        <v>5882</v>
      </c>
      <c r="H1095" s="144">
        <v>1118</v>
      </c>
      <c r="I1095" s="140">
        <v>1</v>
      </c>
      <c r="J1095" s="114" t="str">
        <f t="shared" si="17"/>
        <v>INSERT INTO DOCUMENTOS (NRO_DOCUMENTO,FECHA_EMISION,TOTAL_BRUTO,TOTAL_NETO,TOTAL_IVA, ID_TIPO, RUT_EMPLEADO, ID_CLIENTE) VALUES(1091,TO_DATE('25-06-2025','DD-MM-YYYY'),7000,5882,1118,1,'14526149-K',192);</v>
      </c>
    </row>
    <row r="1096" spans="1:10">
      <c r="A1096" s="149"/>
      <c r="B1096" s="149">
        <v>1092</v>
      </c>
      <c r="C1096" s="118" t="s">
        <v>2338</v>
      </c>
      <c r="D1096" t="s">
        <v>2090</v>
      </c>
      <c r="E1096" s="150">
        <v>278</v>
      </c>
      <c r="F1096" s="142">
        <v>15400</v>
      </c>
      <c r="G1096" s="143">
        <v>12942</v>
      </c>
      <c r="H1096" s="144">
        <v>2458</v>
      </c>
      <c r="I1096" s="140">
        <v>1</v>
      </c>
      <c r="J1096" s="114" t="str">
        <f t="shared" si="17"/>
        <v>INSERT INTO DOCUMENTOS (NRO_DOCUMENTO,FECHA_EMISION,TOTAL_BRUTO,TOTAL_NETO,TOTAL_IVA, ID_TIPO, RUT_EMPLEADO, ID_CLIENTE) VALUES(1092,TO_DATE('25-06-2025','DD-MM-YYYY'),15400,12942,2458,1,'14526149-K',278);</v>
      </c>
    </row>
    <row r="1097" spans="1:10">
      <c r="A1097" s="149"/>
      <c r="B1097" s="149">
        <v>1093</v>
      </c>
      <c r="C1097" s="118" t="s">
        <v>2338</v>
      </c>
      <c r="D1097" t="s">
        <v>2090</v>
      </c>
      <c r="E1097" s="150">
        <v>322</v>
      </c>
      <c r="F1097" s="142">
        <v>12500</v>
      </c>
      <c r="G1097" s="143">
        <v>10504</v>
      </c>
      <c r="H1097" s="144">
        <v>1996</v>
      </c>
      <c r="I1097" s="140">
        <v>1</v>
      </c>
      <c r="J1097" s="114" t="str">
        <f t="shared" si="17"/>
        <v>INSERT INTO DOCUMENTOS (NRO_DOCUMENTO,FECHA_EMISION,TOTAL_BRUTO,TOTAL_NETO,TOTAL_IVA, ID_TIPO, RUT_EMPLEADO, ID_CLIENTE) VALUES(1093,TO_DATE('25-06-2025','DD-MM-YYYY'),12500,10504,1996,1,'14526149-K',322);</v>
      </c>
    </row>
    <row r="1098" spans="1:10">
      <c r="A1098" s="149"/>
      <c r="B1098" s="149">
        <v>1094</v>
      </c>
      <c r="C1098" s="118" t="s">
        <v>2338</v>
      </c>
      <c r="D1098" t="s">
        <v>2090</v>
      </c>
      <c r="E1098" s="150">
        <v>397</v>
      </c>
      <c r="F1098" s="142">
        <v>3000</v>
      </c>
      <c r="G1098" s="143">
        <v>2521</v>
      </c>
      <c r="H1098" s="144">
        <v>479</v>
      </c>
      <c r="I1098" s="140">
        <v>1</v>
      </c>
      <c r="J1098" s="114" t="str">
        <f t="shared" si="17"/>
        <v>INSERT INTO DOCUMENTOS (NRO_DOCUMENTO,FECHA_EMISION,TOTAL_BRUTO,TOTAL_NETO,TOTAL_IVA, ID_TIPO, RUT_EMPLEADO, ID_CLIENTE) VALUES(1094,TO_DATE('25-06-2025','DD-MM-YYYY'),3000,2521,479,1,'14526149-K',397);</v>
      </c>
    </row>
    <row r="1099" spans="1:10">
      <c r="A1099" s="149"/>
      <c r="B1099" s="149">
        <v>1095</v>
      </c>
      <c r="C1099" s="118" t="s">
        <v>2338</v>
      </c>
      <c r="D1099" t="s">
        <v>2090</v>
      </c>
      <c r="E1099" s="150">
        <v>405</v>
      </c>
      <c r="F1099" s="142">
        <v>29690</v>
      </c>
      <c r="G1099" s="143">
        <v>24949</v>
      </c>
      <c r="H1099" s="144">
        <v>4741</v>
      </c>
      <c r="I1099" s="140">
        <v>1</v>
      </c>
      <c r="J1099" s="114" t="str">
        <f t="shared" si="17"/>
        <v>INSERT INTO DOCUMENTOS (NRO_DOCUMENTO,FECHA_EMISION,TOTAL_BRUTO,TOTAL_NETO,TOTAL_IVA, ID_TIPO, RUT_EMPLEADO, ID_CLIENTE) VALUES(1095,TO_DATE('25-06-2025','DD-MM-YYYY'),29690,24949,4741,1,'14526149-K',405);</v>
      </c>
    </row>
    <row r="1100" spans="1:10">
      <c r="A1100" s="149"/>
      <c r="B1100" s="149">
        <v>1096</v>
      </c>
      <c r="C1100" s="118" t="s">
        <v>2338</v>
      </c>
      <c r="D1100" t="s">
        <v>2090</v>
      </c>
      <c r="E1100" s="150">
        <v>411</v>
      </c>
      <c r="F1100" s="142">
        <v>23450</v>
      </c>
      <c r="G1100" s="143">
        <v>19706</v>
      </c>
      <c r="H1100" s="144">
        <v>3744</v>
      </c>
      <c r="I1100" s="140">
        <v>1</v>
      </c>
      <c r="J1100" s="114" t="str">
        <f t="shared" si="17"/>
        <v>INSERT INTO DOCUMENTOS (NRO_DOCUMENTO,FECHA_EMISION,TOTAL_BRUTO,TOTAL_NETO,TOTAL_IVA, ID_TIPO, RUT_EMPLEADO, ID_CLIENTE) VALUES(1096,TO_DATE('25-06-2025','DD-MM-YYYY'),23450,19706,3744,1,'14526149-K',411);</v>
      </c>
    </row>
    <row r="1101" spans="1:10">
      <c r="A1101" s="149"/>
      <c r="B1101" s="149">
        <v>1097</v>
      </c>
      <c r="C1101" s="151" t="s">
        <v>2339</v>
      </c>
      <c r="D1101" t="s">
        <v>2090</v>
      </c>
      <c r="E1101" s="150">
        <v>231</v>
      </c>
      <c r="F1101" s="142">
        <v>20900</v>
      </c>
      <c r="G1101" s="143">
        <v>17563</v>
      </c>
      <c r="H1101" s="144">
        <v>3337</v>
      </c>
      <c r="I1101" s="140">
        <v>1</v>
      </c>
      <c r="J1101" s="114" t="str">
        <f t="shared" si="17"/>
        <v>INSERT INTO DOCUMENTOS (NRO_DOCUMENTO,FECHA_EMISION,TOTAL_BRUTO,TOTAL_NETO,TOTAL_IVA, ID_TIPO, RUT_EMPLEADO, ID_CLIENTE) VALUES(1097,TO_DATE('26-06-2025','DD-MM-YYYY'),20900,17563,3337,1,'14526149-K',231);</v>
      </c>
    </row>
    <row r="1102" spans="1:10">
      <c r="A1102" s="149"/>
      <c r="B1102" s="149">
        <v>1098</v>
      </c>
      <c r="C1102" s="118" t="s">
        <v>2339</v>
      </c>
      <c r="D1102" t="s">
        <v>2090</v>
      </c>
      <c r="E1102" s="150">
        <v>278</v>
      </c>
      <c r="F1102" s="142">
        <v>53600</v>
      </c>
      <c r="G1102" s="143">
        <v>45043</v>
      </c>
      <c r="H1102" s="144">
        <v>8557</v>
      </c>
      <c r="I1102" s="140">
        <v>1</v>
      </c>
      <c r="J1102" s="114" t="str">
        <f t="shared" si="17"/>
        <v>INSERT INTO DOCUMENTOS (NRO_DOCUMENTO,FECHA_EMISION,TOTAL_BRUTO,TOTAL_NETO,TOTAL_IVA, ID_TIPO, RUT_EMPLEADO, ID_CLIENTE) VALUES(1098,TO_DATE('26-06-2025','DD-MM-YYYY'),53600,45043,8557,1,'14526149-K',278);</v>
      </c>
    </row>
    <row r="1103" spans="1:10">
      <c r="A1103" s="149"/>
      <c r="B1103" s="149">
        <v>1099</v>
      </c>
      <c r="C1103" s="151" t="s">
        <v>2340</v>
      </c>
      <c r="D1103" t="s">
        <v>2090</v>
      </c>
      <c r="E1103" s="150">
        <v>56</v>
      </c>
      <c r="F1103" s="142">
        <v>17200</v>
      </c>
      <c r="G1103" s="143">
        <v>14454</v>
      </c>
      <c r="H1103" s="144">
        <v>2746</v>
      </c>
      <c r="I1103" s="140">
        <v>1</v>
      </c>
      <c r="J1103" s="114" t="str">
        <f t="shared" si="17"/>
        <v>INSERT INTO DOCUMENTOS (NRO_DOCUMENTO,FECHA_EMISION,TOTAL_BRUTO,TOTAL_NETO,TOTAL_IVA, ID_TIPO, RUT_EMPLEADO, ID_CLIENTE) VALUES(1099,TO_DATE('27-06-2025','DD-MM-YYYY'),17200,14454,2746,1,'14526149-K',56);</v>
      </c>
    </row>
    <row r="1104" spans="1:10">
      <c r="A1104" s="149"/>
      <c r="B1104" s="150">
        <v>1100</v>
      </c>
      <c r="C1104" s="118" t="s">
        <v>2340</v>
      </c>
      <c r="D1104" t="s">
        <v>2090</v>
      </c>
      <c r="E1104" s="150">
        <v>166</v>
      </c>
      <c r="F1104" s="142">
        <v>8200</v>
      </c>
      <c r="G1104" s="143">
        <v>6891</v>
      </c>
      <c r="H1104" s="144">
        <v>1309</v>
      </c>
      <c r="I1104" s="140">
        <v>1</v>
      </c>
      <c r="J1104" s="114" t="str">
        <f t="shared" si="17"/>
        <v>INSERT INTO DOCUMENTOS (NRO_DOCUMENTO,FECHA_EMISION,TOTAL_BRUTO,TOTAL_NETO,TOTAL_IVA, ID_TIPO, RUT_EMPLEADO, ID_CLIENTE) VALUES(1100,TO_DATE('27-06-2025','DD-MM-YYYY'),8200,6891,1309,1,'14526149-K',166);</v>
      </c>
    </row>
    <row r="1105" spans="1:10">
      <c r="A1105" s="149"/>
      <c r="B1105" s="149">
        <v>1101</v>
      </c>
      <c r="C1105" s="118" t="s">
        <v>2340</v>
      </c>
      <c r="D1105" t="s">
        <v>2090</v>
      </c>
      <c r="E1105" s="150">
        <v>300</v>
      </c>
      <c r="F1105" s="142">
        <v>24200</v>
      </c>
      <c r="G1105" s="143">
        <v>20336</v>
      </c>
      <c r="H1105" s="144">
        <v>3864</v>
      </c>
      <c r="I1105" s="140">
        <v>1</v>
      </c>
      <c r="J1105" s="114" t="str">
        <f t="shared" si="17"/>
        <v>INSERT INTO DOCUMENTOS (NRO_DOCUMENTO,FECHA_EMISION,TOTAL_BRUTO,TOTAL_NETO,TOTAL_IVA, ID_TIPO, RUT_EMPLEADO, ID_CLIENTE) VALUES(1101,TO_DATE('27-06-2025','DD-MM-YYYY'),24200,20336,3864,1,'14526149-K',300);</v>
      </c>
    </row>
    <row r="1106" spans="1:10">
      <c r="A1106" s="149"/>
      <c r="B1106" s="149">
        <v>1102</v>
      </c>
      <c r="C1106" s="151" t="s">
        <v>2341</v>
      </c>
      <c r="D1106" t="s">
        <v>2090</v>
      </c>
      <c r="E1106" s="150">
        <v>407</v>
      </c>
      <c r="F1106" s="142">
        <v>29000</v>
      </c>
      <c r="G1106" s="143">
        <v>24369</v>
      </c>
      <c r="H1106" s="144">
        <v>4631</v>
      </c>
      <c r="I1106" s="140">
        <v>1</v>
      </c>
      <c r="J1106" s="114" t="str">
        <f t="shared" si="17"/>
        <v>INSERT INTO DOCUMENTOS (NRO_DOCUMENTO,FECHA_EMISION,TOTAL_BRUTO,TOTAL_NETO,TOTAL_IVA, ID_TIPO, RUT_EMPLEADO, ID_CLIENTE) VALUES(1102,TO_DATE('28-06-2025','DD-MM-YYYY'),29000,24369,4631,1,'14526149-K',407);</v>
      </c>
    </row>
    <row r="1107" spans="1:10">
      <c r="A1107" s="149"/>
      <c r="B1107" s="149">
        <v>1103</v>
      </c>
      <c r="C1107" s="151" t="s">
        <v>2342</v>
      </c>
      <c r="D1107" t="s">
        <v>2090</v>
      </c>
      <c r="E1107" s="150">
        <v>76</v>
      </c>
      <c r="F1107" s="142">
        <v>11000</v>
      </c>
      <c r="G1107" s="143">
        <v>9244</v>
      </c>
      <c r="H1107" s="144">
        <v>1756</v>
      </c>
      <c r="I1107" s="140">
        <v>1</v>
      </c>
      <c r="J1107" s="114" t="str">
        <f t="shared" si="17"/>
        <v>INSERT INTO DOCUMENTOS (NRO_DOCUMENTO,FECHA_EMISION,TOTAL_BRUTO,TOTAL_NETO,TOTAL_IVA, ID_TIPO, RUT_EMPLEADO, ID_CLIENTE) VALUES(1103,TO_DATE('29-06-2025','DD-MM-YYYY'),11000,9244,1756,1,'14526149-K',76);</v>
      </c>
    </row>
    <row r="1108" spans="1:10">
      <c r="A1108" s="149"/>
      <c r="B1108" s="149">
        <v>1104</v>
      </c>
      <c r="C1108" s="118" t="s">
        <v>2342</v>
      </c>
      <c r="D1108" t="s">
        <v>2090</v>
      </c>
      <c r="E1108" s="150">
        <v>98</v>
      </c>
      <c r="F1108" s="142">
        <v>6000</v>
      </c>
      <c r="G1108" s="143">
        <v>5042</v>
      </c>
      <c r="H1108" s="144">
        <v>958</v>
      </c>
      <c r="I1108" s="140">
        <v>1</v>
      </c>
      <c r="J1108" s="114" t="str">
        <f t="shared" si="17"/>
        <v>INSERT INTO DOCUMENTOS (NRO_DOCUMENTO,FECHA_EMISION,TOTAL_BRUTO,TOTAL_NETO,TOTAL_IVA, ID_TIPO, RUT_EMPLEADO, ID_CLIENTE) VALUES(1104,TO_DATE('29-06-2025','DD-MM-YYYY'),6000,5042,958,1,'14526149-K',98);</v>
      </c>
    </row>
    <row r="1109" spans="1:10">
      <c r="A1109" s="149"/>
      <c r="B1109" s="149">
        <v>1105</v>
      </c>
      <c r="C1109" s="118" t="s">
        <v>2342</v>
      </c>
      <c r="D1109" t="s">
        <v>2090</v>
      </c>
      <c r="E1109" s="150">
        <v>132</v>
      </c>
      <c r="F1109" s="142">
        <v>16500</v>
      </c>
      <c r="G1109" s="143">
        <v>13866</v>
      </c>
      <c r="H1109" s="144">
        <v>2634</v>
      </c>
      <c r="I1109" s="140">
        <v>1</v>
      </c>
      <c r="J1109" s="114" t="str">
        <f t="shared" si="17"/>
        <v>INSERT INTO DOCUMENTOS (NRO_DOCUMENTO,FECHA_EMISION,TOTAL_BRUTO,TOTAL_NETO,TOTAL_IVA, ID_TIPO, RUT_EMPLEADO, ID_CLIENTE) VALUES(1105,TO_DATE('29-06-2025','DD-MM-YYYY'),16500,13866,2634,1,'14526149-K',132);</v>
      </c>
    </row>
    <row r="1110" spans="1:10">
      <c r="A1110" s="149"/>
      <c r="B1110" s="149">
        <v>1106</v>
      </c>
      <c r="C1110" s="118" t="s">
        <v>2342</v>
      </c>
      <c r="D1110" t="s">
        <v>2090</v>
      </c>
      <c r="E1110" s="150">
        <v>166</v>
      </c>
      <c r="F1110" s="142">
        <v>2500</v>
      </c>
      <c r="G1110" s="143">
        <v>2101</v>
      </c>
      <c r="H1110" s="144">
        <v>399</v>
      </c>
      <c r="I1110" s="140">
        <v>1</v>
      </c>
      <c r="J1110" s="114" t="str">
        <f t="shared" si="17"/>
        <v>INSERT INTO DOCUMENTOS (NRO_DOCUMENTO,FECHA_EMISION,TOTAL_BRUTO,TOTAL_NETO,TOTAL_IVA, ID_TIPO, RUT_EMPLEADO, ID_CLIENTE) VALUES(1106,TO_DATE('29-06-2025','DD-MM-YYYY'),2500,2101,399,1,'14526149-K',166);</v>
      </c>
    </row>
    <row r="1111" spans="1:10">
      <c r="A1111" s="149"/>
      <c r="B1111" s="149">
        <v>1107</v>
      </c>
      <c r="C1111" s="118" t="s">
        <v>2342</v>
      </c>
      <c r="D1111" t="s">
        <v>2090</v>
      </c>
      <c r="E1111" s="150">
        <v>267</v>
      </c>
      <c r="F1111" s="142">
        <v>6500</v>
      </c>
      <c r="G1111" s="143">
        <v>5462</v>
      </c>
      <c r="H1111" s="144">
        <v>1038</v>
      </c>
      <c r="I1111" s="140">
        <v>1</v>
      </c>
      <c r="J1111" s="114" t="str">
        <f t="shared" si="17"/>
        <v>INSERT INTO DOCUMENTOS (NRO_DOCUMENTO,FECHA_EMISION,TOTAL_BRUTO,TOTAL_NETO,TOTAL_IVA, ID_TIPO, RUT_EMPLEADO, ID_CLIENTE) VALUES(1107,TO_DATE('29-06-2025','DD-MM-YYYY'),6500,5462,1038,1,'14526149-K',267);</v>
      </c>
    </row>
    <row r="1112" spans="1:10">
      <c r="A1112" s="149"/>
      <c r="B1112" s="149">
        <v>1108</v>
      </c>
      <c r="C1112" s="118" t="s">
        <v>2342</v>
      </c>
      <c r="D1112" t="s">
        <v>2090</v>
      </c>
      <c r="E1112" s="150">
        <v>389</v>
      </c>
      <c r="F1112" s="142">
        <v>9000</v>
      </c>
      <c r="G1112" s="143">
        <v>7563</v>
      </c>
      <c r="H1112" s="144">
        <v>1437</v>
      </c>
      <c r="I1112" s="140">
        <v>1</v>
      </c>
      <c r="J1112" s="114" t="str">
        <f t="shared" si="17"/>
        <v>INSERT INTO DOCUMENTOS (NRO_DOCUMENTO,FECHA_EMISION,TOTAL_BRUTO,TOTAL_NETO,TOTAL_IVA, ID_TIPO, RUT_EMPLEADO, ID_CLIENTE) VALUES(1108,TO_DATE('29-06-2025','DD-MM-YYYY'),9000,7563,1437,1,'14526149-K',389);</v>
      </c>
    </row>
    <row r="1113" spans="1:10">
      <c r="A1113" s="149"/>
      <c r="B1113" s="149">
        <v>1109</v>
      </c>
      <c r="C1113" s="151" t="s">
        <v>2343</v>
      </c>
      <c r="D1113" t="s">
        <v>2090</v>
      </c>
      <c r="E1113" s="150">
        <v>166</v>
      </c>
      <c r="F1113" s="142">
        <v>10000</v>
      </c>
      <c r="G1113" s="143">
        <v>8403</v>
      </c>
      <c r="H1113" s="144">
        <v>1597</v>
      </c>
      <c r="I1113" s="140">
        <v>1</v>
      </c>
      <c r="J1113" s="114" t="str">
        <f t="shared" si="17"/>
        <v>INSERT INTO DOCUMENTOS (NRO_DOCUMENTO,FECHA_EMISION,TOTAL_BRUTO,TOTAL_NETO,TOTAL_IVA, ID_TIPO, RUT_EMPLEADO, ID_CLIENTE) VALUES(1109,TO_DATE('30-06-2025','DD-MM-YYYY'),10000,8403,1597,1,'14526149-K',166);</v>
      </c>
    </row>
    <row r="1114" spans="1:10">
      <c r="A1114" s="149"/>
      <c r="B1114" s="149">
        <v>1110</v>
      </c>
      <c r="C1114" s="118" t="s">
        <v>2343</v>
      </c>
      <c r="D1114" t="s">
        <v>2090</v>
      </c>
      <c r="E1114" s="150">
        <v>254</v>
      </c>
      <c r="F1114" s="142">
        <v>71500</v>
      </c>
      <c r="G1114" s="143">
        <v>60084</v>
      </c>
      <c r="H1114" s="144">
        <v>11416</v>
      </c>
      <c r="I1114" s="140">
        <v>1</v>
      </c>
      <c r="J1114" s="114" t="str">
        <f t="shared" si="17"/>
        <v>INSERT INTO DOCUMENTOS (NRO_DOCUMENTO,FECHA_EMISION,TOTAL_BRUTO,TOTAL_NETO,TOTAL_IVA, ID_TIPO, RUT_EMPLEADO, ID_CLIENTE) VALUES(1110,TO_DATE('30-06-2025','DD-MM-YYYY'),71500,60084,11416,1,'14526149-K',254);</v>
      </c>
    </row>
    <row r="1115" spans="1:10">
      <c r="A1115" s="149"/>
      <c r="B1115" s="149">
        <v>1111</v>
      </c>
      <c r="C1115" s="118" t="s">
        <v>2343</v>
      </c>
      <c r="D1115" t="s">
        <v>2090</v>
      </c>
      <c r="E1115" s="150">
        <v>363</v>
      </c>
      <c r="F1115" s="142">
        <v>8200</v>
      </c>
      <c r="G1115" s="143">
        <v>6891</v>
      </c>
      <c r="H1115" s="144">
        <v>1309</v>
      </c>
      <c r="I1115" s="140">
        <v>1</v>
      </c>
      <c r="J1115" s="114" t="str">
        <f t="shared" si="17"/>
        <v>INSERT INTO DOCUMENTOS (NRO_DOCUMENTO,FECHA_EMISION,TOTAL_BRUTO,TOTAL_NETO,TOTAL_IVA, ID_TIPO, RUT_EMPLEADO, ID_CLIENTE) VALUES(1111,TO_DATE('30-06-2025','DD-MM-YYYY'),8200,6891,1309,1,'14526149-K',363);</v>
      </c>
    </row>
    <row r="1116" spans="1:10">
      <c r="A1116" s="149"/>
      <c r="B1116" s="149">
        <v>1112</v>
      </c>
      <c r="C1116" s="118" t="s">
        <v>2343</v>
      </c>
      <c r="D1116" t="s">
        <v>2090</v>
      </c>
      <c r="E1116" s="150">
        <v>451</v>
      </c>
      <c r="F1116" s="142">
        <v>11500</v>
      </c>
      <c r="G1116" s="143">
        <v>9664</v>
      </c>
      <c r="H1116" s="144">
        <v>1836</v>
      </c>
      <c r="I1116" s="140">
        <v>1</v>
      </c>
      <c r="J1116" s="114" t="str">
        <f t="shared" si="17"/>
        <v>INSERT INTO DOCUMENTOS (NRO_DOCUMENTO,FECHA_EMISION,TOTAL_BRUTO,TOTAL_NETO,TOTAL_IVA, ID_TIPO, RUT_EMPLEADO, ID_CLIENTE) VALUES(1112,TO_DATE('30-06-2025','DD-MM-YYYY'),11500,9664,1836,1,'14526149-K',451);</v>
      </c>
    </row>
    <row r="1117" spans="1:10">
      <c r="A1117" s="149"/>
      <c r="B1117" s="149">
        <v>1113</v>
      </c>
      <c r="C1117" s="118" t="s">
        <v>2343</v>
      </c>
      <c r="D1117" t="s">
        <v>2090</v>
      </c>
      <c r="E1117" s="150">
        <v>459</v>
      </c>
      <c r="F1117" s="142">
        <v>20000</v>
      </c>
      <c r="G1117" s="143">
        <v>16807</v>
      </c>
      <c r="H1117" s="144">
        <v>3193</v>
      </c>
      <c r="I1117" s="140">
        <v>1</v>
      </c>
      <c r="J1117" s="114" t="str">
        <f t="shared" si="17"/>
        <v>INSERT INTO DOCUMENTOS (NRO_DOCUMENTO,FECHA_EMISION,TOTAL_BRUTO,TOTAL_NETO,TOTAL_IVA, ID_TIPO, RUT_EMPLEADO, ID_CLIENTE) VALUES(1113,TO_DATE('30-06-2025','DD-MM-YYYY'),20000,16807,3193,1,'14526149-K',459);</v>
      </c>
    </row>
    <row r="1118" spans="1:10">
      <c r="A1118" s="149"/>
      <c r="B1118" s="149">
        <v>1114</v>
      </c>
      <c r="C1118" s="118" t="s">
        <v>2343</v>
      </c>
      <c r="D1118" t="s">
        <v>2090</v>
      </c>
      <c r="E1118" s="150">
        <v>476</v>
      </c>
      <c r="F1118" s="142">
        <v>14200</v>
      </c>
      <c r="G1118" s="143">
        <v>11933</v>
      </c>
      <c r="H1118" s="144">
        <v>2267</v>
      </c>
      <c r="I1118" s="140">
        <v>1</v>
      </c>
      <c r="J1118" s="114" t="str">
        <f t="shared" si="17"/>
        <v>INSERT INTO DOCUMENTOS (NRO_DOCUMENTO,FECHA_EMISION,TOTAL_BRUTO,TOTAL_NETO,TOTAL_IVA, ID_TIPO, RUT_EMPLEADO, ID_CLIENTE) VALUES(1114,TO_DATE('30-06-2025','DD-MM-YYYY'),14200,11933,2267,1,'14526149-K',476);</v>
      </c>
    </row>
    <row r="1119" spans="1:10">
      <c r="A1119" s="149"/>
      <c r="B1119" s="149">
        <v>1115</v>
      </c>
      <c r="C1119" s="151" t="s">
        <v>2344</v>
      </c>
      <c r="D1119" t="s">
        <v>2090</v>
      </c>
      <c r="E1119" s="150">
        <v>349</v>
      </c>
      <c r="F1119" s="142">
        <v>4800</v>
      </c>
      <c r="G1119" s="143">
        <v>4034</v>
      </c>
      <c r="H1119" s="144">
        <v>766</v>
      </c>
      <c r="I1119" s="140">
        <v>1</v>
      </c>
      <c r="J1119" s="114" t="str">
        <f t="shared" si="17"/>
        <v>INSERT INTO DOCUMENTOS (NRO_DOCUMENTO,FECHA_EMISION,TOTAL_BRUTO,TOTAL_NETO,TOTAL_IVA, ID_TIPO, RUT_EMPLEADO, ID_CLIENTE) VALUES(1115,TO_DATE('01-07-2025','DD-MM-YYYY'),4800,4034,766,1,'14526149-K',349);</v>
      </c>
    </row>
    <row r="1120" spans="1:10">
      <c r="A1120" s="149"/>
      <c r="B1120" s="149">
        <v>1116</v>
      </c>
      <c r="C1120" s="151" t="s">
        <v>2345</v>
      </c>
      <c r="D1120" t="s">
        <v>2090</v>
      </c>
      <c r="E1120" s="150">
        <v>402</v>
      </c>
      <c r="F1120" s="142">
        <v>8200</v>
      </c>
      <c r="G1120" s="143">
        <v>6891</v>
      </c>
      <c r="H1120" s="144">
        <v>1309</v>
      </c>
      <c r="I1120" s="140">
        <v>1</v>
      </c>
      <c r="J1120" s="114" t="str">
        <f t="shared" si="17"/>
        <v>INSERT INTO DOCUMENTOS (NRO_DOCUMENTO,FECHA_EMISION,TOTAL_BRUTO,TOTAL_NETO,TOTAL_IVA, ID_TIPO, RUT_EMPLEADO, ID_CLIENTE) VALUES(1116,TO_DATE('02-07-2025','DD-MM-YYYY'),8200,6891,1309,1,'14526149-K',402);</v>
      </c>
    </row>
    <row r="1121" spans="1:10">
      <c r="A1121" s="149"/>
      <c r="B1121" s="149">
        <v>1117</v>
      </c>
      <c r="C1121" s="151" t="s">
        <v>2346</v>
      </c>
      <c r="D1121" t="s">
        <v>2090</v>
      </c>
      <c r="E1121" s="150">
        <v>202</v>
      </c>
      <c r="F1121" s="142">
        <v>19200</v>
      </c>
      <c r="G1121" s="143">
        <v>16135</v>
      </c>
      <c r="H1121" s="144">
        <v>3065</v>
      </c>
      <c r="I1121" s="140">
        <v>1</v>
      </c>
      <c r="J1121" s="114" t="str">
        <f t="shared" si="17"/>
        <v>INSERT INTO DOCUMENTOS (NRO_DOCUMENTO,FECHA_EMISION,TOTAL_BRUTO,TOTAL_NETO,TOTAL_IVA, ID_TIPO, RUT_EMPLEADO, ID_CLIENTE) VALUES(1117,TO_DATE('03-07-2025','DD-MM-YYYY'),19200,16135,3065,1,'14526149-K',202);</v>
      </c>
    </row>
    <row r="1122" spans="1:10">
      <c r="A1122" s="149"/>
      <c r="B1122" s="149">
        <v>1118</v>
      </c>
      <c r="C1122" s="118" t="s">
        <v>2346</v>
      </c>
      <c r="D1122" t="s">
        <v>2090</v>
      </c>
      <c r="E1122" s="150">
        <v>212</v>
      </c>
      <c r="F1122" s="142">
        <v>19490</v>
      </c>
      <c r="G1122" s="143">
        <v>16378</v>
      </c>
      <c r="H1122" s="144">
        <v>3112</v>
      </c>
      <c r="I1122" s="140">
        <v>1</v>
      </c>
      <c r="J1122" s="114" t="str">
        <f t="shared" si="17"/>
        <v>INSERT INTO DOCUMENTOS (NRO_DOCUMENTO,FECHA_EMISION,TOTAL_BRUTO,TOTAL_NETO,TOTAL_IVA, ID_TIPO, RUT_EMPLEADO, ID_CLIENTE) VALUES(1118,TO_DATE('03-07-2025','DD-MM-YYYY'),19490,16378,3112,1,'14526149-K',212);</v>
      </c>
    </row>
    <row r="1123" spans="1:10">
      <c r="A1123" s="149"/>
      <c r="B1123" s="149">
        <v>1119</v>
      </c>
      <c r="C1123" s="118" t="s">
        <v>2346</v>
      </c>
      <c r="D1123" t="s">
        <v>2090</v>
      </c>
      <c r="E1123" s="150">
        <v>263</v>
      </c>
      <c r="F1123" s="142">
        <v>8200</v>
      </c>
      <c r="G1123" s="143">
        <v>6891</v>
      </c>
      <c r="H1123" s="144">
        <v>1309</v>
      </c>
      <c r="I1123" s="140">
        <v>1</v>
      </c>
      <c r="J1123" s="114" t="str">
        <f t="shared" si="17"/>
        <v>INSERT INTO DOCUMENTOS (NRO_DOCUMENTO,FECHA_EMISION,TOTAL_BRUTO,TOTAL_NETO,TOTAL_IVA, ID_TIPO, RUT_EMPLEADO, ID_CLIENTE) VALUES(1119,TO_DATE('03-07-2025','DD-MM-YYYY'),8200,6891,1309,1,'14526149-K',263);</v>
      </c>
    </row>
    <row r="1124" spans="1:10">
      <c r="A1124" s="149"/>
      <c r="B1124" s="149">
        <v>1120</v>
      </c>
      <c r="C1124" s="118" t="s">
        <v>2346</v>
      </c>
      <c r="D1124" t="s">
        <v>2090</v>
      </c>
      <c r="E1124" s="150">
        <v>303</v>
      </c>
      <c r="F1124" s="142">
        <v>33200</v>
      </c>
      <c r="G1124" s="143">
        <v>27900</v>
      </c>
      <c r="H1124" s="144">
        <v>5300</v>
      </c>
      <c r="I1124" s="140">
        <v>1</v>
      </c>
      <c r="J1124" s="114" t="str">
        <f t="shared" si="17"/>
        <v>INSERT INTO DOCUMENTOS (NRO_DOCUMENTO,FECHA_EMISION,TOTAL_BRUTO,TOTAL_NETO,TOTAL_IVA, ID_TIPO, RUT_EMPLEADO, ID_CLIENTE) VALUES(1120,TO_DATE('03-07-2025','DD-MM-YYYY'),33200,27900,5300,1,'14526149-K',303);</v>
      </c>
    </row>
    <row r="1125" spans="1:10">
      <c r="A1125" s="149"/>
      <c r="B1125" s="149">
        <v>1121</v>
      </c>
      <c r="C1125" s="118" t="s">
        <v>2346</v>
      </c>
      <c r="D1125" t="s">
        <v>2090</v>
      </c>
      <c r="E1125" s="150">
        <v>343</v>
      </c>
      <c r="F1125" s="142">
        <v>32800</v>
      </c>
      <c r="G1125" s="143">
        <v>27563</v>
      </c>
      <c r="H1125" s="144">
        <v>5237</v>
      </c>
      <c r="I1125" s="140">
        <v>1</v>
      </c>
      <c r="J1125" s="114" t="str">
        <f t="shared" si="17"/>
        <v>INSERT INTO DOCUMENTOS (NRO_DOCUMENTO,FECHA_EMISION,TOTAL_BRUTO,TOTAL_NETO,TOTAL_IVA, ID_TIPO, RUT_EMPLEADO, ID_CLIENTE) VALUES(1121,TO_DATE('03-07-2025','DD-MM-YYYY'),32800,27563,5237,1,'14526149-K',343);</v>
      </c>
    </row>
    <row r="1126" spans="1:10">
      <c r="A1126" s="149"/>
      <c r="B1126" s="149">
        <v>1122</v>
      </c>
      <c r="C1126" s="118" t="s">
        <v>2346</v>
      </c>
      <c r="D1126" t="s">
        <v>2090</v>
      </c>
      <c r="E1126" s="150">
        <v>374</v>
      </c>
      <c r="F1126" s="142">
        <v>11000</v>
      </c>
      <c r="G1126" s="143">
        <v>9244</v>
      </c>
      <c r="H1126" s="144">
        <v>1756</v>
      </c>
      <c r="I1126" s="140">
        <v>1</v>
      </c>
      <c r="J1126" s="114" t="str">
        <f t="shared" si="17"/>
        <v>INSERT INTO DOCUMENTOS (NRO_DOCUMENTO,FECHA_EMISION,TOTAL_BRUTO,TOTAL_NETO,TOTAL_IVA, ID_TIPO, RUT_EMPLEADO, ID_CLIENTE) VALUES(1122,TO_DATE('03-07-2025','DD-MM-YYYY'),11000,9244,1756,1,'14526149-K',374);</v>
      </c>
    </row>
    <row r="1127" spans="1:10">
      <c r="A1127" s="149"/>
      <c r="B1127" s="149">
        <v>1123</v>
      </c>
      <c r="C1127" s="118" t="s">
        <v>2346</v>
      </c>
      <c r="D1127" t="s">
        <v>2090</v>
      </c>
      <c r="E1127" s="150">
        <v>382</v>
      </c>
      <c r="F1127" s="142">
        <v>8200</v>
      </c>
      <c r="G1127" s="143">
        <v>6891</v>
      </c>
      <c r="H1127" s="144">
        <v>1309</v>
      </c>
      <c r="I1127" s="140">
        <v>1</v>
      </c>
      <c r="J1127" s="114" t="str">
        <f t="shared" si="17"/>
        <v>INSERT INTO DOCUMENTOS (NRO_DOCUMENTO,FECHA_EMISION,TOTAL_BRUTO,TOTAL_NETO,TOTAL_IVA, ID_TIPO, RUT_EMPLEADO, ID_CLIENTE) VALUES(1123,TO_DATE('03-07-2025','DD-MM-YYYY'),8200,6891,1309,1,'14526149-K',382);</v>
      </c>
    </row>
    <row r="1128" spans="1:10">
      <c r="A1128" s="149"/>
      <c r="B1128" s="149">
        <v>1124</v>
      </c>
      <c r="C1128" s="151" t="s">
        <v>2347</v>
      </c>
      <c r="D1128" t="s">
        <v>2090</v>
      </c>
      <c r="E1128" s="150">
        <v>63</v>
      </c>
      <c r="F1128" s="142">
        <v>8200</v>
      </c>
      <c r="G1128" s="143">
        <v>6891</v>
      </c>
      <c r="H1128" s="144">
        <v>1309</v>
      </c>
      <c r="I1128" s="140">
        <v>1</v>
      </c>
      <c r="J1128" s="114" t="str">
        <f t="shared" si="17"/>
        <v>INSERT INTO DOCUMENTOS (NRO_DOCUMENTO,FECHA_EMISION,TOTAL_BRUTO,TOTAL_NETO,TOTAL_IVA, ID_TIPO, RUT_EMPLEADO, ID_CLIENTE) VALUES(1124,TO_DATE('04-07-2025','DD-MM-YYYY'),8200,6891,1309,1,'14526149-K',63);</v>
      </c>
    </row>
    <row r="1129" spans="1:10">
      <c r="A1129" s="149"/>
      <c r="B1129" s="149">
        <v>1125</v>
      </c>
      <c r="C1129" s="118" t="s">
        <v>2347</v>
      </c>
      <c r="D1129" t="s">
        <v>2090</v>
      </c>
      <c r="E1129" s="150">
        <v>155</v>
      </c>
      <c r="F1129" s="142">
        <v>8200</v>
      </c>
      <c r="G1129" s="143">
        <v>6891</v>
      </c>
      <c r="H1129" s="144">
        <v>1309</v>
      </c>
      <c r="I1129" s="140">
        <v>1</v>
      </c>
      <c r="J1129" s="114" t="str">
        <f t="shared" si="17"/>
        <v>INSERT INTO DOCUMENTOS (NRO_DOCUMENTO,FECHA_EMISION,TOTAL_BRUTO,TOTAL_NETO,TOTAL_IVA, ID_TIPO, RUT_EMPLEADO, ID_CLIENTE) VALUES(1125,TO_DATE('04-07-2025','DD-MM-YYYY'),8200,6891,1309,1,'14526149-K',155);</v>
      </c>
    </row>
    <row r="1130" spans="1:10">
      <c r="A1130" s="149"/>
      <c r="B1130" s="149">
        <v>1126</v>
      </c>
      <c r="C1130" s="118" t="s">
        <v>2347</v>
      </c>
      <c r="D1130" t="s">
        <v>2090</v>
      </c>
      <c r="E1130" s="150">
        <v>200</v>
      </c>
      <c r="F1130" s="142">
        <v>8200</v>
      </c>
      <c r="G1130" s="143">
        <v>6891</v>
      </c>
      <c r="H1130" s="144">
        <v>1309</v>
      </c>
      <c r="I1130" s="140">
        <v>1</v>
      </c>
      <c r="J1130" s="114" t="str">
        <f t="shared" si="17"/>
        <v>INSERT INTO DOCUMENTOS (NRO_DOCUMENTO,FECHA_EMISION,TOTAL_BRUTO,TOTAL_NETO,TOTAL_IVA, ID_TIPO, RUT_EMPLEADO, ID_CLIENTE) VALUES(1126,TO_DATE('04-07-2025','DD-MM-YYYY'),8200,6891,1309,1,'14526149-K',200);</v>
      </c>
    </row>
    <row r="1131" spans="1:10">
      <c r="A1131" s="149"/>
      <c r="B1131" s="149">
        <v>1127</v>
      </c>
      <c r="C1131" s="151" t="s">
        <v>2348</v>
      </c>
      <c r="D1131" t="s">
        <v>2090</v>
      </c>
      <c r="E1131" s="150">
        <v>57</v>
      </c>
      <c r="F1131" s="142">
        <v>8200</v>
      </c>
      <c r="G1131" s="143">
        <v>6891</v>
      </c>
      <c r="H1131" s="144">
        <v>1309</v>
      </c>
      <c r="I1131" s="140">
        <v>1</v>
      </c>
      <c r="J1131" s="114" t="str">
        <f t="shared" si="17"/>
        <v>INSERT INTO DOCUMENTOS (NRO_DOCUMENTO,FECHA_EMISION,TOTAL_BRUTO,TOTAL_NETO,TOTAL_IVA, ID_TIPO, RUT_EMPLEADO, ID_CLIENTE) VALUES(1127,TO_DATE('05-07-2025','DD-MM-YYYY'),8200,6891,1309,1,'14526149-K',57);</v>
      </c>
    </row>
    <row r="1132" spans="1:10">
      <c r="A1132" s="149"/>
      <c r="B1132" s="149">
        <v>1128</v>
      </c>
      <c r="C1132" s="118" t="s">
        <v>2348</v>
      </c>
      <c r="D1132" t="s">
        <v>2090</v>
      </c>
      <c r="E1132" s="150">
        <v>98</v>
      </c>
      <c r="F1132" s="142">
        <v>6000</v>
      </c>
      <c r="G1132" s="143">
        <v>5042</v>
      </c>
      <c r="H1132" s="144">
        <v>958</v>
      </c>
      <c r="I1132" s="140">
        <v>1</v>
      </c>
      <c r="J1132" s="114" t="str">
        <f t="shared" si="17"/>
        <v>INSERT INTO DOCUMENTOS (NRO_DOCUMENTO,FECHA_EMISION,TOTAL_BRUTO,TOTAL_NETO,TOTAL_IVA, ID_TIPO, RUT_EMPLEADO, ID_CLIENTE) VALUES(1128,TO_DATE('05-07-2025','DD-MM-YYYY'),6000,5042,958,1,'14526149-K',98);</v>
      </c>
    </row>
    <row r="1133" spans="1:10">
      <c r="A1133" s="149"/>
      <c r="B1133" s="149">
        <v>1129</v>
      </c>
      <c r="C1133" s="118" t="s">
        <v>2348</v>
      </c>
      <c r="D1133" t="s">
        <v>2090</v>
      </c>
      <c r="E1133" s="150">
        <v>164</v>
      </c>
      <c r="F1133" s="142">
        <v>20900</v>
      </c>
      <c r="G1133" s="143">
        <v>17563</v>
      </c>
      <c r="H1133" s="144">
        <v>3337</v>
      </c>
      <c r="I1133" s="140">
        <v>1</v>
      </c>
      <c r="J1133" s="114" t="str">
        <f t="shared" si="17"/>
        <v>INSERT INTO DOCUMENTOS (NRO_DOCUMENTO,FECHA_EMISION,TOTAL_BRUTO,TOTAL_NETO,TOTAL_IVA, ID_TIPO, RUT_EMPLEADO, ID_CLIENTE) VALUES(1129,TO_DATE('05-07-2025','DD-MM-YYYY'),20900,17563,3337,1,'14526149-K',164);</v>
      </c>
    </row>
    <row r="1134" spans="1:10">
      <c r="A1134" s="149"/>
      <c r="B1134" s="149">
        <v>1130</v>
      </c>
      <c r="C1134" s="118" t="s">
        <v>2348</v>
      </c>
      <c r="D1134" t="s">
        <v>2090</v>
      </c>
      <c r="E1134" s="150">
        <v>345</v>
      </c>
      <c r="F1134" s="142">
        <v>20900</v>
      </c>
      <c r="G1134" s="143">
        <v>17563</v>
      </c>
      <c r="H1134" s="144">
        <v>3337</v>
      </c>
      <c r="I1134" s="140">
        <v>1</v>
      </c>
      <c r="J1134" s="114" t="str">
        <f t="shared" si="17"/>
        <v>INSERT INTO DOCUMENTOS (NRO_DOCUMENTO,FECHA_EMISION,TOTAL_BRUTO,TOTAL_NETO,TOTAL_IVA, ID_TIPO, RUT_EMPLEADO, ID_CLIENTE) VALUES(1130,TO_DATE('05-07-2025','DD-MM-YYYY'),20900,17563,3337,1,'14526149-K',345);</v>
      </c>
    </row>
    <row r="1135" spans="1:10">
      <c r="A1135" s="149"/>
      <c r="B1135" s="149">
        <v>1131</v>
      </c>
      <c r="C1135" s="118" t="s">
        <v>2348</v>
      </c>
      <c r="D1135" t="s">
        <v>2090</v>
      </c>
      <c r="E1135" s="150">
        <v>389</v>
      </c>
      <c r="F1135" s="142">
        <v>17200</v>
      </c>
      <c r="G1135" s="143">
        <v>14454</v>
      </c>
      <c r="H1135" s="144">
        <v>2746</v>
      </c>
      <c r="I1135" s="140">
        <v>1</v>
      </c>
      <c r="J1135" s="114" t="str">
        <f t="shared" si="17"/>
        <v>INSERT INTO DOCUMENTOS (NRO_DOCUMENTO,FECHA_EMISION,TOTAL_BRUTO,TOTAL_NETO,TOTAL_IVA, ID_TIPO, RUT_EMPLEADO, ID_CLIENTE) VALUES(1131,TO_DATE('05-07-2025','DD-MM-YYYY'),17200,14454,2746,1,'14526149-K',389);</v>
      </c>
    </row>
    <row r="1136" spans="1:10">
      <c r="A1136" s="149"/>
      <c r="B1136" s="149">
        <v>1132</v>
      </c>
      <c r="C1136" s="118" t="s">
        <v>2348</v>
      </c>
      <c r="D1136" t="s">
        <v>2090</v>
      </c>
      <c r="E1136" s="150">
        <v>427</v>
      </c>
      <c r="F1136" s="142">
        <v>4500</v>
      </c>
      <c r="G1136" s="143">
        <v>3782</v>
      </c>
      <c r="H1136" s="144">
        <v>718</v>
      </c>
      <c r="I1136" s="140">
        <v>1</v>
      </c>
      <c r="J1136" s="114" t="str">
        <f t="shared" si="17"/>
        <v>INSERT INTO DOCUMENTOS (NRO_DOCUMENTO,FECHA_EMISION,TOTAL_BRUTO,TOTAL_NETO,TOTAL_IVA, ID_TIPO, RUT_EMPLEADO, ID_CLIENTE) VALUES(1132,TO_DATE('05-07-2025','DD-MM-YYYY'),4500,3782,718,1,'14526149-K',427);</v>
      </c>
    </row>
    <row r="1137" spans="1:10">
      <c r="A1137" s="149"/>
      <c r="B1137" s="149">
        <v>1133</v>
      </c>
      <c r="C1137" s="151" t="s">
        <v>2349</v>
      </c>
      <c r="D1137" t="s">
        <v>2090</v>
      </c>
      <c r="E1137" s="150">
        <v>38</v>
      </c>
      <c r="F1137" s="142">
        <v>20900</v>
      </c>
      <c r="G1137" s="143">
        <v>17563</v>
      </c>
      <c r="H1137" s="144">
        <v>3337</v>
      </c>
      <c r="I1137" s="140">
        <v>1</v>
      </c>
      <c r="J1137" s="114" t="str">
        <f t="shared" si="17"/>
        <v>INSERT INTO DOCUMENTOS (NRO_DOCUMENTO,FECHA_EMISION,TOTAL_BRUTO,TOTAL_NETO,TOTAL_IVA, ID_TIPO, RUT_EMPLEADO, ID_CLIENTE) VALUES(1133,TO_DATE('06-07-2025','DD-MM-YYYY'),20900,17563,3337,1,'14526149-K',38);</v>
      </c>
    </row>
    <row r="1138" spans="1:10">
      <c r="A1138" s="149"/>
      <c r="B1138" s="149">
        <v>1134</v>
      </c>
      <c r="C1138" s="118" t="s">
        <v>2349</v>
      </c>
      <c r="D1138" t="s">
        <v>2090</v>
      </c>
      <c r="E1138" s="150">
        <v>119</v>
      </c>
      <c r="F1138" s="142">
        <v>38000</v>
      </c>
      <c r="G1138" s="143">
        <v>31933</v>
      </c>
      <c r="H1138" s="144">
        <v>6067</v>
      </c>
      <c r="I1138" s="140">
        <v>1</v>
      </c>
      <c r="J1138" s="114" t="str">
        <f t="shared" si="17"/>
        <v>INSERT INTO DOCUMENTOS (NRO_DOCUMENTO,FECHA_EMISION,TOTAL_BRUTO,TOTAL_NETO,TOTAL_IVA, ID_TIPO, RUT_EMPLEADO, ID_CLIENTE) VALUES(1134,TO_DATE('06-07-2025','DD-MM-YYYY'),38000,31933,6067,1,'14526149-K',119);</v>
      </c>
    </row>
    <row r="1139" spans="1:10">
      <c r="A1139" s="149"/>
      <c r="B1139" s="149">
        <v>1135</v>
      </c>
      <c r="C1139" s="118" t="s">
        <v>2349</v>
      </c>
      <c r="D1139" t="s">
        <v>2090</v>
      </c>
      <c r="E1139" s="150">
        <v>153</v>
      </c>
      <c r="F1139" s="142">
        <v>27450</v>
      </c>
      <c r="G1139" s="143">
        <v>23069</v>
      </c>
      <c r="H1139" s="144">
        <v>4381</v>
      </c>
      <c r="I1139" s="140">
        <v>1</v>
      </c>
      <c r="J1139" s="114" t="str">
        <f t="shared" si="17"/>
        <v>INSERT INTO DOCUMENTOS (NRO_DOCUMENTO,FECHA_EMISION,TOTAL_BRUTO,TOTAL_NETO,TOTAL_IVA, ID_TIPO, RUT_EMPLEADO, ID_CLIENTE) VALUES(1135,TO_DATE('06-07-2025','DD-MM-YYYY'),27450,23069,4381,1,'14526149-K',153);</v>
      </c>
    </row>
    <row r="1140" spans="1:10">
      <c r="A1140" s="149"/>
      <c r="B1140" s="149">
        <v>1136</v>
      </c>
      <c r="C1140" s="118" t="s">
        <v>2349</v>
      </c>
      <c r="D1140" t="s">
        <v>2090</v>
      </c>
      <c r="E1140" s="150">
        <v>166</v>
      </c>
      <c r="F1140" s="142">
        <v>19300</v>
      </c>
      <c r="G1140" s="143">
        <v>16219</v>
      </c>
      <c r="H1140" s="144">
        <v>3081</v>
      </c>
      <c r="I1140" s="140">
        <v>1</v>
      </c>
      <c r="J1140" s="114" t="str">
        <f t="shared" si="17"/>
        <v>INSERT INTO DOCUMENTOS (NRO_DOCUMENTO,FECHA_EMISION,TOTAL_BRUTO,TOTAL_NETO,TOTAL_IVA, ID_TIPO, RUT_EMPLEADO, ID_CLIENTE) VALUES(1136,TO_DATE('06-07-2025','DD-MM-YYYY'),19300,16219,3081,1,'14526149-K',166);</v>
      </c>
    </row>
    <row r="1141" spans="1:10">
      <c r="A1141" s="149"/>
      <c r="B1141" s="149">
        <v>1137</v>
      </c>
      <c r="C1141" s="118" t="s">
        <v>2349</v>
      </c>
      <c r="D1141" t="s">
        <v>2090</v>
      </c>
      <c r="E1141" s="150">
        <v>198</v>
      </c>
      <c r="F1141" s="142">
        <v>6000</v>
      </c>
      <c r="G1141" s="143">
        <v>5042</v>
      </c>
      <c r="H1141" s="144">
        <v>958</v>
      </c>
      <c r="I1141" s="140">
        <v>1</v>
      </c>
      <c r="J1141" s="114" t="str">
        <f t="shared" si="17"/>
        <v>INSERT INTO DOCUMENTOS (NRO_DOCUMENTO,FECHA_EMISION,TOTAL_BRUTO,TOTAL_NETO,TOTAL_IVA, ID_TIPO, RUT_EMPLEADO, ID_CLIENTE) VALUES(1137,TO_DATE('06-07-2025','DD-MM-YYYY'),6000,5042,958,1,'14526149-K',198);</v>
      </c>
    </row>
    <row r="1142" spans="1:10">
      <c r="A1142" s="149"/>
      <c r="B1142" s="149">
        <v>1138</v>
      </c>
      <c r="C1142" s="118" t="s">
        <v>2349</v>
      </c>
      <c r="D1142" t="s">
        <v>2090</v>
      </c>
      <c r="E1142" s="150">
        <v>274</v>
      </c>
      <c r="F1142" s="142">
        <v>25900</v>
      </c>
      <c r="G1142" s="143">
        <v>21765</v>
      </c>
      <c r="H1142" s="144">
        <v>4135</v>
      </c>
      <c r="I1142" s="140">
        <v>1</v>
      </c>
      <c r="J1142" s="114" t="str">
        <f t="shared" si="17"/>
        <v>INSERT INTO DOCUMENTOS (NRO_DOCUMENTO,FECHA_EMISION,TOTAL_BRUTO,TOTAL_NETO,TOTAL_IVA, ID_TIPO, RUT_EMPLEADO, ID_CLIENTE) VALUES(1138,TO_DATE('06-07-2025','DD-MM-YYYY'),25900,21765,4135,1,'14526149-K',274);</v>
      </c>
    </row>
    <row r="1143" spans="1:10">
      <c r="A1143" s="149"/>
      <c r="B1143" s="149">
        <v>1139</v>
      </c>
      <c r="C1143" s="118" t="s">
        <v>2349</v>
      </c>
      <c r="D1143" t="s">
        <v>2090</v>
      </c>
      <c r="E1143" s="150">
        <v>345</v>
      </c>
      <c r="F1143" s="142">
        <v>6000</v>
      </c>
      <c r="G1143" s="143">
        <v>5042</v>
      </c>
      <c r="H1143" s="144">
        <v>958</v>
      </c>
      <c r="I1143" s="140">
        <v>1</v>
      </c>
      <c r="J1143" s="114" t="str">
        <f t="shared" si="17"/>
        <v>INSERT INTO DOCUMENTOS (NRO_DOCUMENTO,FECHA_EMISION,TOTAL_BRUTO,TOTAL_NETO,TOTAL_IVA, ID_TIPO, RUT_EMPLEADO, ID_CLIENTE) VALUES(1139,TO_DATE('06-07-2025','DD-MM-YYYY'),6000,5042,958,1,'14526149-K',345);</v>
      </c>
    </row>
    <row r="1144" spans="1:10">
      <c r="A1144" s="149"/>
      <c r="B1144" s="149">
        <v>1140</v>
      </c>
      <c r="C1144" s="118" t="s">
        <v>2349</v>
      </c>
      <c r="D1144" t="s">
        <v>2090</v>
      </c>
      <c r="E1144" s="150">
        <v>408</v>
      </c>
      <c r="F1144" s="142">
        <v>28000</v>
      </c>
      <c r="G1144" s="143">
        <v>23529</v>
      </c>
      <c r="H1144" s="144">
        <v>4471</v>
      </c>
      <c r="I1144" s="140">
        <v>1</v>
      </c>
      <c r="J1144" s="114" t="str">
        <f t="shared" si="17"/>
        <v>INSERT INTO DOCUMENTOS (NRO_DOCUMENTO,FECHA_EMISION,TOTAL_BRUTO,TOTAL_NETO,TOTAL_IVA, ID_TIPO, RUT_EMPLEADO, ID_CLIENTE) VALUES(1140,TO_DATE('06-07-2025','DD-MM-YYYY'),28000,23529,4471,1,'14526149-K',408);</v>
      </c>
    </row>
    <row r="1145" spans="1:10">
      <c r="A1145" s="149"/>
      <c r="B1145" s="149">
        <v>1141</v>
      </c>
      <c r="C1145" s="118" t="s">
        <v>2349</v>
      </c>
      <c r="D1145" t="s">
        <v>2090</v>
      </c>
      <c r="E1145" s="150">
        <v>418</v>
      </c>
      <c r="F1145" s="142">
        <v>4500</v>
      </c>
      <c r="G1145" s="143">
        <v>3782</v>
      </c>
      <c r="H1145" s="144">
        <v>718</v>
      </c>
      <c r="I1145" s="140">
        <v>1</v>
      </c>
      <c r="J1145" s="114" t="str">
        <f t="shared" si="17"/>
        <v>INSERT INTO DOCUMENTOS (NRO_DOCUMENTO,FECHA_EMISION,TOTAL_BRUTO,TOTAL_NETO,TOTAL_IVA, ID_TIPO, RUT_EMPLEADO, ID_CLIENTE) VALUES(1141,TO_DATE('06-07-2025','DD-MM-YYYY'),4500,3782,718,1,'14526149-K',418);</v>
      </c>
    </row>
    <row r="1146" spans="1:10">
      <c r="A1146" s="149"/>
      <c r="B1146" s="149">
        <v>1142</v>
      </c>
      <c r="C1146" s="118" t="s">
        <v>2349</v>
      </c>
      <c r="D1146" t="s">
        <v>2090</v>
      </c>
      <c r="E1146" s="150">
        <v>470</v>
      </c>
      <c r="F1146" s="142">
        <v>1200</v>
      </c>
      <c r="G1146" s="143">
        <v>1008</v>
      </c>
      <c r="H1146" s="144">
        <v>192</v>
      </c>
      <c r="I1146" s="140">
        <v>1</v>
      </c>
      <c r="J1146" s="114" t="str">
        <f t="shared" si="17"/>
        <v>INSERT INTO DOCUMENTOS (NRO_DOCUMENTO,FECHA_EMISION,TOTAL_BRUTO,TOTAL_NETO,TOTAL_IVA, ID_TIPO, RUT_EMPLEADO, ID_CLIENTE) VALUES(1142,TO_DATE('06-07-2025','DD-MM-YYYY'),1200,1008,192,1,'14526149-K',470);</v>
      </c>
    </row>
    <row r="1147" spans="1:10">
      <c r="A1147" s="149"/>
      <c r="B1147" s="149">
        <v>1143</v>
      </c>
      <c r="C1147" s="151" t="s">
        <v>2350</v>
      </c>
      <c r="D1147" t="s">
        <v>2090</v>
      </c>
      <c r="E1147" s="150">
        <v>56</v>
      </c>
      <c r="F1147" s="142">
        <v>20900</v>
      </c>
      <c r="G1147" s="143">
        <v>17563</v>
      </c>
      <c r="H1147" s="144">
        <v>3337</v>
      </c>
      <c r="I1147" s="140">
        <v>1</v>
      </c>
      <c r="J1147" s="114" t="str">
        <f t="shared" si="17"/>
        <v>INSERT INTO DOCUMENTOS (NRO_DOCUMENTO,FECHA_EMISION,TOTAL_BRUTO,TOTAL_NETO,TOTAL_IVA, ID_TIPO, RUT_EMPLEADO, ID_CLIENTE) VALUES(1143,TO_DATE('07-07-2025','DD-MM-YYYY'),20900,17563,3337,1,'14526149-K',56);</v>
      </c>
    </row>
    <row r="1148" spans="1:10">
      <c r="A1148" s="149"/>
      <c r="B1148" s="149">
        <v>1144</v>
      </c>
      <c r="C1148" s="118" t="s">
        <v>2350</v>
      </c>
      <c r="D1148" t="s">
        <v>2090</v>
      </c>
      <c r="E1148" s="150">
        <v>166</v>
      </c>
      <c r="F1148" s="142">
        <v>8200</v>
      </c>
      <c r="G1148" s="143">
        <v>6891</v>
      </c>
      <c r="H1148" s="144">
        <v>1309</v>
      </c>
      <c r="I1148" s="140">
        <v>1</v>
      </c>
      <c r="J1148" s="114" t="str">
        <f t="shared" si="17"/>
        <v>INSERT INTO DOCUMENTOS (NRO_DOCUMENTO,FECHA_EMISION,TOTAL_BRUTO,TOTAL_NETO,TOTAL_IVA, ID_TIPO, RUT_EMPLEADO, ID_CLIENTE) VALUES(1144,TO_DATE('07-07-2025','DD-MM-YYYY'),8200,6891,1309,1,'14526149-K',166);</v>
      </c>
    </row>
    <row r="1149" spans="1:10">
      <c r="A1149" s="149"/>
      <c r="B1149" s="149">
        <v>1145</v>
      </c>
      <c r="C1149" s="118" t="s">
        <v>2350</v>
      </c>
      <c r="D1149" t="s">
        <v>2090</v>
      </c>
      <c r="E1149" s="150">
        <v>202</v>
      </c>
      <c r="F1149" s="142">
        <v>52200</v>
      </c>
      <c r="G1149" s="143">
        <v>43866</v>
      </c>
      <c r="H1149" s="144">
        <v>8334</v>
      </c>
      <c r="I1149" s="140">
        <v>1</v>
      </c>
      <c r="J1149" s="114" t="str">
        <f t="shared" si="17"/>
        <v>INSERT INTO DOCUMENTOS (NRO_DOCUMENTO,FECHA_EMISION,TOTAL_BRUTO,TOTAL_NETO,TOTAL_IVA, ID_TIPO, RUT_EMPLEADO, ID_CLIENTE) VALUES(1145,TO_DATE('07-07-2025','DD-MM-YYYY'),52200,43866,8334,1,'14526149-K',202);</v>
      </c>
    </row>
    <row r="1150" spans="1:10">
      <c r="A1150" s="149"/>
      <c r="B1150" s="149">
        <v>1146</v>
      </c>
      <c r="C1150" s="118" t="s">
        <v>2350</v>
      </c>
      <c r="D1150" t="s">
        <v>2090</v>
      </c>
      <c r="E1150" s="150">
        <v>267</v>
      </c>
      <c r="F1150" s="142">
        <v>2900</v>
      </c>
      <c r="G1150" s="143">
        <v>2437</v>
      </c>
      <c r="H1150" s="144">
        <v>463</v>
      </c>
      <c r="I1150" s="140">
        <v>1</v>
      </c>
      <c r="J1150" s="114" t="str">
        <f t="shared" si="17"/>
        <v>INSERT INTO DOCUMENTOS (NRO_DOCUMENTO,FECHA_EMISION,TOTAL_BRUTO,TOTAL_NETO,TOTAL_IVA, ID_TIPO, RUT_EMPLEADO, ID_CLIENTE) VALUES(1146,TO_DATE('07-07-2025','DD-MM-YYYY'),2900,2437,463,1,'14526149-K',267);</v>
      </c>
    </row>
    <row r="1151" spans="1:10">
      <c r="A1151" s="149"/>
      <c r="B1151" s="149">
        <v>1147</v>
      </c>
      <c r="C1151" s="118" t="s">
        <v>2350</v>
      </c>
      <c r="D1151" t="s">
        <v>2090</v>
      </c>
      <c r="E1151" s="150">
        <v>411</v>
      </c>
      <c r="F1151" s="142">
        <v>8200</v>
      </c>
      <c r="G1151" s="143">
        <v>6891</v>
      </c>
      <c r="H1151" s="144">
        <v>1309</v>
      </c>
      <c r="I1151" s="140">
        <v>1</v>
      </c>
      <c r="J1151" s="114" t="str">
        <f t="shared" si="17"/>
        <v>INSERT INTO DOCUMENTOS (NRO_DOCUMENTO,FECHA_EMISION,TOTAL_BRUTO,TOTAL_NETO,TOTAL_IVA, ID_TIPO, RUT_EMPLEADO, ID_CLIENTE) VALUES(1147,TO_DATE('07-07-2025','DD-MM-YYYY'),8200,6891,1309,1,'14526149-K',411);</v>
      </c>
    </row>
    <row r="1152" spans="1:10">
      <c r="A1152" s="149"/>
      <c r="B1152" s="149">
        <v>1148</v>
      </c>
      <c r="C1152" s="118" t="s">
        <v>2350</v>
      </c>
      <c r="D1152" t="s">
        <v>2090</v>
      </c>
      <c r="E1152" s="150">
        <v>416</v>
      </c>
      <c r="F1152" s="142">
        <v>6000</v>
      </c>
      <c r="G1152" s="143">
        <v>5042</v>
      </c>
      <c r="H1152" s="144">
        <v>958</v>
      </c>
      <c r="I1152" s="140">
        <v>1</v>
      </c>
      <c r="J1152" s="114" t="str">
        <f t="shared" si="17"/>
        <v>INSERT INTO DOCUMENTOS (NRO_DOCUMENTO,FECHA_EMISION,TOTAL_BRUTO,TOTAL_NETO,TOTAL_IVA, ID_TIPO, RUT_EMPLEADO, ID_CLIENTE) VALUES(1148,TO_DATE('07-07-2025','DD-MM-YYYY'),6000,5042,958,1,'14526149-K',416);</v>
      </c>
    </row>
    <row r="1153" spans="1:10">
      <c r="A1153" s="149"/>
      <c r="B1153" s="149">
        <v>1149</v>
      </c>
      <c r="C1153" s="151" t="s">
        <v>2351</v>
      </c>
      <c r="D1153" t="s">
        <v>2090</v>
      </c>
      <c r="E1153" s="150">
        <v>29</v>
      </c>
      <c r="F1153" s="142">
        <v>21500</v>
      </c>
      <c r="G1153" s="143">
        <v>18069</v>
      </c>
      <c r="H1153" s="144">
        <v>3431</v>
      </c>
      <c r="I1153" s="140">
        <v>1</v>
      </c>
      <c r="J1153" s="114" t="str">
        <f t="shared" si="17"/>
        <v>INSERT INTO DOCUMENTOS (NRO_DOCUMENTO,FECHA_EMISION,TOTAL_BRUTO,TOTAL_NETO,TOTAL_IVA, ID_TIPO, RUT_EMPLEADO, ID_CLIENTE) VALUES(1149,TO_DATE('08-07-2025','DD-MM-YYYY'),21500,18069,3431,1,'14526149-K',29);</v>
      </c>
    </row>
    <row r="1154" spans="1:10">
      <c r="A1154" s="149"/>
      <c r="B1154" s="150">
        <v>1150</v>
      </c>
      <c r="C1154" s="118" t="s">
        <v>2351</v>
      </c>
      <c r="D1154" t="s">
        <v>2090</v>
      </c>
      <c r="E1154" s="150">
        <v>377</v>
      </c>
      <c r="F1154" s="142">
        <v>35800</v>
      </c>
      <c r="G1154" s="143">
        <v>30084</v>
      </c>
      <c r="H1154" s="144">
        <v>5716</v>
      </c>
      <c r="I1154" s="140">
        <v>1</v>
      </c>
      <c r="J1154" s="114" t="str">
        <f t="shared" si="17"/>
        <v>INSERT INTO DOCUMENTOS (NRO_DOCUMENTO,FECHA_EMISION,TOTAL_BRUTO,TOTAL_NETO,TOTAL_IVA, ID_TIPO, RUT_EMPLEADO, ID_CLIENTE) VALUES(1150,TO_DATE('08-07-2025','DD-MM-YYYY'),35800,30084,5716,1,'14526149-K',377);</v>
      </c>
    </row>
    <row r="1155" spans="1:10">
      <c r="A1155" s="149"/>
      <c r="B1155" s="149">
        <v>1151</v>
      </c>
      <c r="C1155" s="118" t="s">
        <v>2351</v>
      </c>
      <c r="D1155" t="s">
        <v>2090</v>
      </c>
      <c r="E1155" s="150">
        <v>457</v>
      </c>
      <c r="F1155" s="142">
        <v>24190</v>
      </c>
      <c r="G1155" s="143">
        <v>20328</v>
      </c>
      <c r="H1155" s="144">
        <v>3862</v>
      </c>
      <c r="I1155" s="140">
        <v>1</v>
      </c>
      <c r="J1155" s="114" t="str">
        <f t="shared" si="17"/>
        <v>INSERT INTO DOCUMENTOS (NRO_DOCUMENTO,FECHA_EMISION,TOTAL_BRUTO,TOTAL_NETO,TOTAL_IVA, ID_TIPO, RUT_EMPLEADO, ID_CLIENTE) VALUES(1151,TO_DATE('08-07-2025','DD-MM-YYYY'),24190,20328,3862,1,'14526149-K',457);</v>
      </c>
    </row>
    <row r="1156" spans="1:10">
      <c r="A1156" s="149"/>
      <c r="B1156" s="149">
        <v>1152</v>
      </c>
      <c r="C1156" s="118" t="s">
        <v>2351</v>
      </c>
      <c r="D1156" t="s">
        <v>2090</v>
      </c>
      <c r="E1156" s="150">
        <v>479</v>
      </c>
      <c r="F1156" s="142">
        <v>42000</v>
      </c>
      <c r="G1156" s="143">
        <v>35294</v>
      </c>
      <c r="H1156" s="144">
        <v>6706</v>
      </c>
      <c r="I1156" s="140">
        <v>1</v>
      </c>
      <c r="J1156" s="114" t="str">
        <f t="shared" si="17"/>
        <v>INSERT INTO DOCUMENTOS (NRO_DOCUMENTO,FECHA_EMISION,TOTAL_BRUTO,TOTAL_NETO,TOTAL_IVA, ID_TIPO, RUT_EMPLEADO, ID_CLIENTE) VALUES(1152,TO_DATE('08-07-2025','DD-MM-YYYY'),42000,35294,6706,1,'14526149-K',479);</v>
      </c>
    </row>
    <row r="1157" spans="1:10">
      <c r="A1157" s="149"/>
      <c r="B1157" s="149">
        <v>1153</v>
      </c>
      <c r="C1157" s="118" t="s">
        <v>2351</v>
      </c>
      <c r="D1157" t="s">
        <v>2090</v>
      </c>
      <c r="E1157" s="150">
        <v>485</v>
      </c>
      <c r="F1157" s="142">
        <v>8600</v>
      </c>
      <c r="G1157" s="143">
        <v>7227</v>
      </c>
      <c r="H1157" s="144">
        <v>1373</v>
      </c>
      <c r="I1157" s="140">
        <v>1</v>
      </c>
      <c r="J1157" s="114" t="str">
        <f t="shared" si="17"/>
        <v>INSERT INTO DOCUMENTOS (NRO_DOCUMENTO,FECHA_EMISION,TOTAL_BRUTO,TOTAL_NETO,TOTAL_IVA, ID_TIPO, RUT_EMPLEADO, ID_CLIENTE) VALUES(1153,TO_DATE('08-07-2025','DD-MM-YYYY'),8600,7227,1373,1,'14526149-K',485);</v>
      </c>
    </row>
    <row r="1158" spans="1:10">
      <c r="A1158" s="149"/>
      <c r="B1158" s="149">
        <v>1154</v>
      </c>
      <c r="C1158" s="151" t="s">
        <v>2352</v>
      </c>
      <c r="D1158" t="s">
        <v>2090</v>
      </c>
      <c r="E1158" s="150">
        <v>92</v>
      </c>
      <c r="F1158" s="142">
        <v>6000</v>
      </c>
      <c r="G1158" s="143">
        <v>5042</v>
      </c>
      <c r="H1158" s="144">
        <v>958</v>
      </c>
      <c r="I1158" s="140">
        <v>1</v>
      </c>
      <c r="J1158" s="114" t="str">
        <f t="shared" ref="J1158:J1221" si="18">CONCATENATE("INSERT INTO DOCUMENTOS (NRO_DOCUMENTO,FECHA_EMISION,TOTAL_BRUTO,TOTAL_NETO,TOTAL_IVA, ID_TIPO, RUT_EMPLEADO, ID_CLIENTE) VALUES(",B1158,",","TO_DATE('",C1158,"'",",'DD-MM-YYYY'),",F1158,",",G1158,",",H1158,",",I1158,",","'",D1158,"',",E1158,");")</f>
        <v>INSERT INTO DOCUMENTOS (NRO_DOCUMENTO,FECHA_EMISION,TOTAL_BRUTO,TOTAL_NETO,TOTAL_IVA, ID_TIPO, RUT_EMPLEADO, ID_CLIENTE) VALUES(1154,TO_DATE('09-07-2025','DD-MM-YYYY'),6000,5042,958,1,'14526149-K',92);</v>
      </c>
    </row>
    <row r="1159" spans="1:10">
      <c r="A1159" s="149"/>
      <c r="B1159" s="149">
        <v>1155</v>
      </c>
      <c r="C1159" s="151" t="s">
        <v>2353</v>
      </c>
      <c r="D1159" t="s">
        <v>2090</v>
      </c>
      <c r="E1159" s="150">
        <v>116</v>
      </c>
      <c r="F1159" s="142">
        <v>27000</v>
      </c>
      <c r="G1159" s="143">
        <v>22690</v>
      </c>
      <c r="H1159" s="144">
        <v>4310</v>
      </c>
      <c r="I1159" s="140">
        <v>1</v>
      </c>
      <c r="J1159" s="114" t="str">
        <f t="shared" si="18"/>
        <v>INSERT INTO DOCUMENTOS (NRO_DOCUMENTO,FECHA_EMISION,TOTAL_BRUTO,TOTAL_NETO,TOTAL_IVA, ID_TIPO, RUT_EMPLEADO, ID_CLIENTE) VALUES(1155,TO_DATE('10-07-2025','DD-MM-YYYY'),27000,22690,4310,1,'14526149-K',116);</v>
      </c>
    </row>
    <row r="1160" spans="1:10">
      <c r="A1160" s="149"/>
      <c r="B1160" s="149">
        <v>1156</v>
      </c>
      <c r="C1160" s="118" t="s">
        <v>2353</v>
      </c>
      <c r="D1160" t="s">
        <v>2090</v>
      </c>
      <c r="E1160" s="150">
        <v>179</v>
      </c>
      <c r="F1160" s="142">
        <v>76600</v>
      </c>
      <c r="G1160" s="143">
        <v>64370</v>
      </c>
      <c r="H1160" s="144">
        <v>12230</v>
      </c>
      <c r="I1160" s="140">
        <v>1</v>
      </c>
      <c r="J1160" s="114" t="str">
        <f t="shared" si="18"/>
        <v>INSERT INTO DOCUMENTOS (NRO_DOCUMENTO,FECHA_EMISION,TOTAL_BRUTO,TOTAL_NETO,TOTAL_IVA, ID_TIPO, RUT_EMPLEADO, ID_CLIENTE) VALUES(1156,TO_DATE('10-07-2025','DD-MM-YYYY'),76600,64370,12230,1,'14526149-K',179);</v>
      </c>
    </row>
    <row r="1161" spans="1:10">
      <c r="A1161" s="149"/>
      <c r="B1161" s="149">
        <v>1157</v>
      </c>
      <c r="C1161" s="118" t="s">
        <v>2353</v>
      </c>
      <c r="D1161" t="s">
        <v>2090</v>
      </c>
      <c r="E1161" s="150">
        <v>321</v>
      </c>
      <c r="F1161" s="142">
        <v>67200</v>
      </c>
      <c r="G1161" s="143">
        <v>56471</v>
      </c>
      <c r="H1161" s="144">
        <v>10729</v>
      </c>
      <c r="I1161" s="140">
        <v>1</v>
      </c>
      <c r="J1161" s="114" t="str">
        <f t="shared" si="18"/>
        <v>INSERT INTO DOCUMENTOS (NRO_DOCUMENTO,FECHA_EMISION,TOTAL_BRUTO,TOTAL_NETO,TOTAL_IVA, ID_TIPO, RUT_EMPLEADO, ID_CLIENTE) VALUES(1157,TO_DATE('10-07-2025','DD-MM-YYYY'),67200,56471,10729,1,'14526149-K',321);</v>
      </c>
    </row>
    <row r="1162" spans="1:10">
      <c r="A1162" s="149"/>
      <c r="B1162" s="149">
        <v>1158</v>
      </c>
      <c r="C1162" s="118" t="s">
        <v>2353</v>
      </c>
      <c r="D1162" t="s">
        <v>2090</v>
      </c>
      <c r="E1162" s="150">
        <v>323</v>
      </c>
      <c r="F1162" s="142">
        <v>19000</v>
      </c>
      <c r="G1162" s="143">
        <v>15967</v>
      </c>
      <c r="H1162" s="144">
        <v>3033</v>
      </c>
      <c r="I1162" s="140">
        <v>1</v>
      </c>
      <c r="J1162" s="114" t="str">
        <f t="shared" si="18"/>
        <v>INSERT INTO DOCUMENTOS (NRO_DOCUMENTO,FECHA_EMISION,TOTAL_BRUTO,TOTAL_NETO,TOTAL_IVA, ID_TIPO, RUT_EMPLEADO, ID_CLIENTE) VALUES(1158,TO_DATE('10-07-2025','DD-MM-YYYY'),19000,15967,3033,1,'14526149-K',323);</v>
      </c>
    </row>
    <row r="1163" spans="1:10">
      <c r="A1163" s="149"/>
      <c r="B1163" s="149">
        <v>1159</v>
      </c>
      <c r="C1163" s="118" t="s">
        <v>2353</v>
      </c>
      <c r="D1163" t="s">
        <v>2090</v>
      </c>
      <c r="E1163" s="150">
        <v>352</v>
      </c>
      <c r="F1163" s="142">
        <v>42700</v>
      </c>
      <c r="G1163" s="143">
        <v>35883</v>
      </c>
      <c r="H1163" s="144">
        <v>6817</v>
      </c>
      <c r="I1163" s="140">
        <v>1</v>
      </c>
      <c r="J1163" s="114" t="str">
        <f t="shared" si="18"/>
        <v>INSERT INTO DOCUMENTOS (NRO_DOCUMENTO,FECHA_EMISION,TOTAL_BRUTO,TOTAL_NETO,TOTAL_IVA, ID_TIPO, RUT_EMPLEADO, ID_CLIENTE) VALUES(1159,TO_DATE('10-07-2025','DD-MM-YYYY'),42700,35883,6817,1,'14526149-K',352);</v>
      </c>
    </row>
    <row r="1164" spans="1:10">
      <c r="A1164" s="149"/>
      <c r="B1164" s="149">
        <v>1160</v>
      </c>
      <c r="C1164" s="118" t="s">
        <v>2353</v>
      </c>
      <c r="D1164" t="s">
        <v>2090</v>
      </c>
      <c r="E1164" s="150">
        <v>418</v>
      </c>
      <c r="F1164" s="142">
        <v>8200</v>
      </c>
      <c r="G1164" s="143">
        <v>6891</v>
      </c>
      <c r="H1164" s="144">
        <v>1309</v>
      </c>
      <c r="I1164" s="140">
        <v>1</v>
      </c>
      <c r="J1164" s="114" t="str">
        <f t="shared" si="18"/>
        <v>INSERT INTO DOCUMENTOS (NRO_DOCUMENTO,FECHA_EMISION,TOTAL_BRUTO,TOTAL_NETO,TOTAL_IVA, ID_TIPO, RUT_EMPLEADO, ID_CLIENTE) VALUES(1160,TO_DATE('10-07-2025','DD-MM-YYYY'),8200,6891,1309,1,'14526149-K',418);</v>
      </c>
    </row>
    <row r="1165" spans="1:10">
      <c r="A1165" s="149"/>
      <c r="B1165" s="149">
        <v>1161</v>
      </c>
      <c r="C1165" s="118" t="s">
        <v>2353</v>
      </c>
      <c r="D1165" t="s">
        <v>2090</v>
      </c>
      <c r="E1165" s="150">
        <v>451</v>
      </c>
      <c r="F1165" s="142">
        <v>20900</v>
      </c>
      <c r="G1165" s="143">
        <v>17563</v>
      </c>
      <c r="H1165" s="144">
        <v>3337</v>
      </c>
      <c r="I1165" s="140">
        <v>1</v>
      </c>
      <c r="J1165" s="114" t="str">
        <f t="shared" si="18"/>
        <v>INSERT INTO DOCUMENTOS (NRO_DOCUMENTO,FECHA_EMISION,TOTAL_BRUTO,TOTAL_NETO,TOTAL_IVA, ID_TIPO, RUT_EMPLEADO, ID_CLIENTE) VALUES(1161,TO_DATE('10-07-2025','DD-MM-YYYY'),20900,17563,3337,1,'14526149-K',451);</v>
      </c>
    </row>
    <row r="1166" spans="1:10">
      <c r="A1166" s="149"/>
      <c r="B1166" s="149">
        <v>1162</v>
      </c>
      <c r="C1166" s="151" t="s">
        <v>2354</v>
      </c>
      <c r="D1166" t="s">
        <v>2090</v>
      </c>
      <c r="E1166" s="150">
        <v>98</v>
      </c>
      <c r="F1166" s="142">
        <v>6000</v>
      </c>
      <c r="G1166" s="143">
        <v>5042</v>
      </c>
      <c r="H1166" s="144">
        <v>958</v>
      </c>
      <c r="I1166" s="140">
        <v>1</v>
      </c>
      <c r="J1166" s="114" t="str">
        <f t="shared" si="18"/>
        <v>INSERT INTO DOCUMENTOS (NRO_DOCUMENTO,FECHA_EMISION,TOTAL_BRUTO,TOTAL_NETO,TOTAL_IVA, ID_TIPO, RUT_EMPLEADO, ID_CLIENTE) VALUES(1162,TO_DATE('11-07-2025','DD-MM-YYYY'),6000,5042,958,1,'14526149-K',98);</v>
      </c>
    </row>
    <row r="1167" spans="1:10">
      <c r="A1167" s="149"/>
      <c r="B1167" s="149">
        <v>1163</v>
      </c>
      <c r="C1167" s="118" t="s">
        <v>2354</v>
      </c>
      <c r="D1167" t="s">
        <v>2090</v>
      </c>
      <c r="E1167" s="150">
        <v>207</v>
      </c>
      <c r="F1167" s="142">
        <v>14000</v>
      </c>
      <c r="G1167" s="143">
        <v>11765</v>
      </c>
      <c r="H1167" s="144">
        <v>2235</v>
      </c>
      <c r="I1167" s="140">
        <v>1</v>
      </c>
      <c r="J1167" s="114" t="str">
        <f t="shared" si="18"/>
        <v>INSERT INTO DOCUMENTOS (NRO_DOCUMENTO,FECHA_EMISION,TOTAL_BRUTO,TOTAL_NETO,TOTAL_IVA, ID_TIPO, RUT_EMPLEADO, ID_CLIENTE) VALUES(1163,TO_DATE('11-07-2025','DD-MM-YYYY'),14000,11765,2235,1,'14526149-K',207);</v>
      </c>
    </row>
    <row r="1168" spans="1:10">
      <c r="A1168" s="149"/>
      <c r="B1168" s="149">
        <v>1164</v>
      </c>
      <c r="C1168" s="118" t="s">
        <v>2354</v>
      </c>
      <c r="D1168" t="s">
        <v>2090</v>
      </c>
      <c r="E1168" s="150">
        <v>268</v>
      </c>
      <c r="F1168" s="142">
        <v>45200</v>
      </c>
      <c r="G1168" s="143">
        <v>37984</v>
      </c>
      <c r="H1168" s="144">
        <v>7216</v>
      </c>
      <c r="I1168" s="140">
        <v>1</v>
      </c>
      <c r="J1168" s="114" t="str">
        <f t="shared" si="18"/>
        <v>INSERT INTO DOCUMENTOS (NRO_DOCUMENTO,FECHA_EMISION,TOTAL_BRUTO,TOTAL_NETO,TOTAL_IVA, ID_TIPO, RUT_EMPLEADO, ID_CLIENTE) VALUES(1164,TO_DATE('11-07-2025','DD-MM-YYYY'),45200,37984,7216,1,'14526149-K',268);</v>
      </c>
    </row>
    <row r="1169" spans="1:10">
      <c r="A1169" s="149"/>
      <c r="B1169" s="149">
        <v>1165</v>
      </c>
      <c r="C1169" s="118" t="s">
        <v>2354</v>
      </c>
      <c r="D1169" t="s">
        <v>2090</v>
      </c>
      <c r="E1169" s="150">
        <v>278</v>
      </c>
      <c r="F1169" s="142">
        <v>57100</v>
      </c>
      <c r="G1169" s="143">
        <v>47985</v>
      </c>
      <c r="H1169" s="144">
        <v>9115</v>
      </c>
      <c r="I1169" s="140">
        <v>1</v>
      </c>
      <c r="J1169" s="114" t="str">
        <f t="shared" si="18"/>
        <v>INSERT INTO DOCUMENTOS (NRO_DOCUMENTO,FECHA_EMISION,TOTAL_BRUTO,TOTAL_NETO,TOTAL_IVA, ID_TIPO, RUT_EMPLEADO, ID_CLIENTE) VALUES(1165,TO_DATE('11-07-2025','DD-MM-YYYY'),57100,47985,9115,1,'14526149-K',278);</v>
      </c>
    </row>
    <row r="1170" spans="1:10">
      <c r="A1170" s="149"/>
      <c r="B1170" s="149">
        <v>1166</v>
      </c>
      <c r="C1170" s="118" t="s">
        <v>2354</v>
      </c>
      <c r="D1170" t="s">
        <v>2090</v>
      </c>
      <c r="E1170" s="150">
        <v>353</v>
      </c>
      <c r="F1170" s="142">
        <v>20900</v>
      </c>
      <c r="G1170" s="143">
        <v>17563</v>
      </c>
      <c r="H1170" s="144">
        <v>3337</v>
      </c>
      <c r="I1170" s="140">
        <v>1</v>
      </c>
      <c r="J1170" s="114" t="str">
        <f t="shared" si="18"/>
        <v>INSERT INTO DOCUMENTOS (NRO_DOCUMENTO,FECHA_EMISION,TOTAL_BRUTO,TOTAL_NETO,TOTAL_IVA, ID_TIPO, RUT_EMPLEADO, ID_CLIENTE) VALUES(1166,TO_DATE('11-07-2025','DD-MM-YYYY'),20900,17563,3337,1,'14526149-K',353);</v>
      </c>
    </row>
    <row r="1171" spans="1:10">
      <c r="A1171" s="149"/>
      <c r="B1171" s="149">
        <v>1167</v>
      </c>
      <c r="C1171" s="151" t="s">
        <v>2355</v>
      </c>
      <c r="D1171" t="s">
        <v>2090</v>
      </c>
      <c r="E1171" s="150">
        <v>76</v>
      </c>
      <c r="F1171" s="142">
        <v>11000</v>
      </c>
      <c r="G1171" s="143">
        <v>9244</v>
      </c>
      <c r="H1171" s="144">
        <v>1756</v>
      </c>
      <c r="I1171" s="140">
        <v>1</v>
      </c>
      <c r="J1171" s="114" t="str">
        <f t="shared" si="18"/>
        <v>INSERT INTO DOCUMENTOS (NRO_DOCUMENTO,FECHA_EMISION,TOTAL_BRUTO,TOTAL_NETO,TOTAL_IVA, ID_TIPO, RUT_EMPLEADO, ID_CLIENTE) VALUES(1167,TO_DATE('12-07-2025','DD-MM-YYYY'),11000,9244,1756,1,'14526149-K',76);</v>
      </c>
    </row>
    <row r="1172" spans="1:10">
      <c r="A1172" s="149"/>
      <c r="B1172" s="149">
        <v>1168</v>
      </c>
      <c r="C1172" s="118" t="s">
        <v>2355</v>
      </c>
      <c r="D1172" t="s">
        <v>2090</v>
      </c>
      <c r="E1172" s="150">
        <v>300</v>
      </c>
      <c r="F1172" s="142">
        <v>18900</v>
      </c>
      <c r="G1172" s="143">
        <v>15883</v>
      </c>
      <c r="H1172" s="144">
        <v>3017</v>
      </c>
      <c r="I1172" s="140">
        <v>1</v>
      </c>
      <c r="J1172" s="114" t="str">
        <f t="shared" si="18"/>
        <v>INSERT INTO DOCUMENTOS (NRO_DOCUMENTO,FECHA_EMISION,TOTAL_BRUTO,TOTAL_NETO,TOTAL_IVA, ID_TIPO, RUT_EMPLEADO, ID_CLIENTE) VALUES(1168,TO_DATE('12-07-2025','DD-MM-YYYY'),18900,15883,3017,1,'14526149-K',300);</v>
      </c>
    </row>
    <row r="1173" spans="1:10">
      <c r="A1173" s="149"/>
      <c r="B1173" s="149">
        <v>1169</v>
      </c>
      <c r="C1173" s="118" t="s">
        <v>2355</v>
      </c>
      <c r="D1173" t="s">
        <v>2090</v>
      </c>
      <c r="E1173" s="150">
        <v>360</v>
      </c>
      <c r="F1173" s="142">
        <v>24200</v>
      </c>
      <c r="G1173" s="143">
        <v>20336</v>
      </c>
      <c r="H1173" s="144">
        <v>3864</v>
      </c>
      <c r="I1173" s="140">
        <v>1</v>
      </c>
      <c r="J1173" s="114" t="str">
        <f t="shared" si="18"/>
        <v>INSERT INTO DOCUMENTOS (NRO_DOCUMENTO,FECHA_EMISION,TOTAL_BRUTO,TOTAL_NETO,TOTAL_IVA, ID_TIPO, RUT_EMPLEADO, ID_CLIENTE) VALUES(1169,TO_DATE('12-07-2025','DD-MM-YYYY'),24200,20336,3864,1,'14526149-K',360);</v>
      </c>
    </row>
    <row r="1174" spans="1:10">
      <c r="A1174" s="149"/>
      <c r="B1174" s="149">
        <v>1170</v>
      </c>
      <c r="C1174" s="151" t="s">
        <v>2356</v>
      </c>
      <c r="D1174" t="s">
        <v>2090</v>
      </c>
      <c r="E1174" s="150">
        <v>108</v>
      </c>
      <c r="F1174" s="142">
        <v>33050</v>
      </c>
      <c r="G1174" s="143">
        <v>27775</v>
      </c>
      <c r="H1174" s="144">
        <v>5275</v>
      </c>
      <c r="I1174" s="140">
        <v>1</v>
      </c>
      <c r="J1174" s="114" t="str">
        <f t="shared" si="18"/>
        <v>INSERT INTO DOCUMENTOS (NRO_DOCUMENTO,FECHA_EMISION,TOTAL_BRUTO,TOTAL_NETO,TOTAL_IVA, ID_TIPO, RUT_EMPLEADO, ID_CLIENTE) VALUES(1170,TO_DATE('13-07-2025','DD-MM-YYYY'),33050,27775,5275,1,'14526149-K',108);</v>
      </c>
    </row>
    <row r="1175" spans="1:10">
      <c r="A1175" s="149"/>
      <c r="B1175" s="149">
        <v>1171</v>
      </c>
      <c r="C1175" s="118" t="s">
        <v>2356</v>
      </c>
      <c r="D1175" t="s">
        <v>2090</v>
      </c>
      <c r="E1175" s="150">
        <v>122</v>
      </c>
      <c r="F1175" s="142">
        <v>11600</v>
      </c>
      <c r="G1175" s="143">
        <v>9748</v>
      </c>
      <c r="H1175" s="144">
        <v>1852</v>
      </c>
      <c r="I1175" s="140">
        <v>1</v>
      </c>
      <c r="J1175" s="114" t="str">
        <f t="shared" si="18"/>
        <v>INSERT INTO DOCUMENTOS (NRO_DOCUMENTO,FECHA_EMISION,TOTAL_BRUTO,TOTAL_NETO,TOTAL_IVA, ID_TIPO, RUT_EMPLEADO, ID_CLIENTE) VALUES(1171,TO_DATE('13-07-2025','DD-MM-YYYY'),11600,9748,1852,1,'14526149-K',122);</v>
      </c>
    </row>
    <row r="1176" spans="1:10">
      <c r="A1176" s="149"/>
      <c r="B1176" s="149">
        <v>1172</v>
      </c>
      <c r="C1176" s="118" t="s">
        <v>2356</v>
      </c>
      <c r="D1176" t="s">
        <v>2090</v>
      </c>
      <c r="E1176" s="150">
        <v>166</v>
      </c>
      <c r="F1176" s="142">
        <v>13500</v>
      </c>
      <c r="G1176" s="143">
        <v>11345</v>
      </c>
      <c r="H1176" s="144">
        <v>2155</v>
      </c>
      <c r="I1176" s="140">
        <v>1</v>
      </c>
      <c r="J1176" s="114" t="str">
        <f t="shared" si="18"/>
        <v>INSERT INTO DOCUMENTOS (NRO_DOCUMENTO,FECHA_EMISION,TOTAL_BRUTO,TOTAL_NETO,TOTAL_IVA, ID_TIPO, RUT_EMPLEADO, ID_CLIENTE) VALUES(1172,TO_DATE('13-07-2025','DD-MM-YYYY'),13500,11345,2155,1,'14526149-K',166);</v>
      </c>
    </row>
    <row r="1177" spans="1:10">
      <c r="A1177" s="149"/>
      <c r="B1177" s="149">
        <v>1173</v>
      </c>
      <c r="C1177" s="118" t="s">
        <v>2356</v>
      </c>
      <c r="D1177" t="s">
        <v>2090</v>
      </c>
      <c r="E1177" s="150">
        <v>198</v>
      </c>
      <c r="F1177" s="142">
        <v>11000</v>
      </c>
      <c r="G1177" s="143">
        <v>9244</v>
      </c>
      <c r="H1177" s="144">
        <v>1756</v>
      </c>
      <c r="I1177" s="140">
        <v>1</v>
      </c>
      <c r="J1177" s="114" t="str">
        <f t="shared" si="18"/>
        <v>INSERT INTO DOCUMENTOS (NRO_DOCUMENTO,FECHA_EMISION,TOTAL_BRUTO,TOTAL_NETO,TOTAL_IVA, ID_TIPO, RUT_EMPLEADO, ID_CLIENTE) VALUES(1173,TO_DATE('13-07-2025','DD-MM-YYYY'),11000,9244,1756,1,'14526149-K',198);</v>
      </c>
    </row>
    <row r="1178" spans="1:10">
      <c r="A1178" s="149"/>
      <c r="B1178" s="149">
        <v>1174</v>
      </c>
      <c r="C1178" s="118" t="s">
        <v>2356</v>
      </c>
      <c r="D1178" t="s">
        <v>2090</v>
      </c>
      <c r="E1178" s="150">
        <v>322</v>
      </c>
      <c r="F1178" s="142">
        <v>11000</v>
      </c>
      <c r="G1178" s="143">
        <v>9244</v>
      </c>
      <c r="H1178" s="144">
        <v>1756</v>
      </c>
      <c r="I1178" s="140">
        <v>1</v>
      </c>
      <c r="J1178" s="114" t="str">
        <f t="shared" si="18"/>
        <v>INSERT INTO DOCUMENTOS (NRO_DOCUMENTO,FECHA_EMISION,TOTAL_BRUTO,TOTAL_NETO,TOTAL_IVA, ID_TIPO, RUT_EMPLEADO, ID_CLIENTE) VALUES(1174,TO_DATE('13-07-2025','DD-MM-YYYY'),11000,9244,1756,1,'14526149-K',322);</v>
      </c>
    </row>
    <row r="1179" spans="1:10">
      <c r="A1179" s="149"/>
      <c r="B1179" s="149">
        <v>1175</v>
      </c>
      <c r="C1179" s="118" t="s">
        <v>2356</v>
      </c>
      <c r="D1179" t="s">
        <v>2090</v>
      </c>
      <c r="E1179" s="150">
        <v>402</v>
      </c>
      <c r="F1179" s="142">
        <v>18900</v>
      </c>
      <c r="G1179" s="143">
        <v>15883</v>
      </c>
      <c r="H1179" s="144">
        <v>3017</v>
      </c>
      <c r="I1179" s="140">
        <v>1</v>
      </c>
      <c r="J1179" s="114" t="str">
        <f t="shared" si="18"/>
        <v>INSERT INTO DOCUMENTOS (NRO_DOCUMENTO,FECHA_EMISION,TOTAL_BRUTO,TOTAL_NETO,TOTAL_IVA, ID_TIPO, RUT_EMPLEADO, ID_CLIENTE) VALUES(1175,TO_DATE('13-07-2025','DD-MM-YYYY'),18900,15883,3017,1,'14526149-K',402);</v>
      </c>
    </row>
    <row r="1180" spans="1:10">
      <c r="A1180" s="149"/>
      <c r="B1180" s="149">
        <v>1176</v>
      </c>
      <c r="C1180" s="118" t="s">
        <v>2356</v>
      </c>
      <c r="D1180" t="s">
        <v>2090</v>
      </c>
      <c r="E1180" s="150">
        <v>416</v>
      </c>
      <c r="F1180" s="142">
        <v>16500</v>
      </c>
      <c r="G1180" s="143">
        <v>13866</v>
      </c>
      <c r="H1180" s="144">
        <v>2634</v>
      </c>
      <c r="I1180" s="140">
        <v>1</v>
      </c>
      <c r="J1180" s="114" t="str">
        <f t="shared" si="18"/>
        <v>INSERT INTO DOCUMENTOS (NRO_DOCUMENTO,FECHA_EMISION,TOTAL_BRUTO,TOTAL_NETO,TOTAL_IVA, ID_TIPO, RUT_EMPLEADO, ID_CLIENTE) VALUES(1176,TO_DATE('13-07-2025','DD-MM-YYYY'),16500,13866,2634,1,'14526149-K',416);</v>
      </c>
    </row>
    <row r="1181" spans="1:10">
      <c r="A1181" s="149"/>
      <c r="B1181" s="149">
        <v>1177</v>
      </c>
      <c r="C1181" s="118" t="s">
        <v>2356</v>
      </c>
      <c r="D1181" t="s">
        <v>2090</v>
      </c>
      <c r="E1181" s="150">
        <v>444</v>
      </c>
      <c r="F1181" s="142">
        <v>7900</v>
      </c>
      <c r="G1181" s="143">
        <v>6639</v>
      </c>
      <c r="H1181" s="144">
        <v>1261</v>
      </c>
      <c r="I1181" s="140">
        <v>1</v>
      </c>
      <c r="J1181" s="114" t="str">
        <f t="shared" si="18"/>
        <v>INSERT INTO DOCUMENTOS (NRO_DOCUMENTO,FECHA_EMISION,TOTAL_BRUTO,TOTAL_NETO,TOTAL_IVA, ID_TIPO, RUT_EMPLEADO, ID_CLIENTE) VALUES(1177,TO_DATE('13-07-2025','DD-MM-YYYY'),7900,6639,1261,1,'14526149-K',444);</v>
      </c>
    </row>
    <row r="1182" spans="1:10">
      <c r="A1182" s="149"/>
      <c r="B1182" s="149">
        <v>1178</v>
      </c>
      <c r="C1182" s="118" t="s">
        <v>2356</v>
      </c>
      <c r="D1182" t="s">
        <v>2090</v>
      </c>
      <c r="E1182" s="150">
        <v>451</v>
      </c>
      <c r="F1182" s="142">
        <v>7000</v>
      </c>
      <c r="G1182" s="143">
        <v>5882</v>
      </c>
      <c r="H1182" s="144">
        <v>1118</v>
      </c>
      <c r="I1182" s="140">
        <v>1</v>
      </c>
      <c r="J1182" s="114" t="str">
        <f t="shared" si="18"/>
        <v>INSERT INTO DOCUMENTOS (NRO_DOCUMENTO,FECHA_EMISION,TOTAL_BRUTO,TOTAL_NETO,TOTAL_IVA, ID_TIPO, RUT_EMPLEADO, ID_CLIENTE) VALUES(1178,TO_DATE('13-07-2025','DD-MM-YYYY'),7000,5882,1118,1,'14526149-K',451);</v>
      </c>
    </row>
    <row r="1183" spans="1:10">
      <c r="A1183" s="149"/>
      <c r="B1183" s="149">
        <v>1179</v>
      </c>
      <c r="C1183" s="151" t="s">
        <v>2357</v>
      </c>
      <c r="D1183" t="s">
        <v>2090</v>
      </c>
      <c r="E1183" s="150">
        <v>108</v>
      </c>
      <c r="F1183" s="142">
        <v>3000</v>
      </c>
      <c r="G1183" s="143">
        <v>2521</v>
      </c>
      <c r="H1183" s="144">
        <v>479</v>
      </c>
      <c r="I1183" s="140">
        <v>1</v>
      </c>
      <c r="J1183" s="114" t="str">
        <f t="shared" si="18"/>
        <v>INSERT INTO DOCUMENTOS (NRO_DOCUMENTO,FECHA_EMISION,TOTAL_BRUTO,TOTAL_NETO,TOTAL_IVA, ID_TIPO, RUT_EMPLEADO, ID_CLIENTE) VALUES(1179,TO_DATE('14-07-2025','DD-MM-YYYY'),3000,2521,479,1,'14526149-K',108);</v>
      </c>
    </row>
    <row r="1184" spans="1:10">
      <c r="A1184" s="149"/>
      <c r="B1184" s="149">
        <v>1180</v>
      </c>
      <c r="C1184" s="118" t="s">
        <v>2357</v>
      </c>
      <c r="D1184" t="s">
        <v>2090</v>
      </c>
      <c r="E1184" s="150">
        <v>155</v>
      </c>
      <c r="F1184" s="142">
        <v>7900</v>
      </c>
      <c r="G1184" s="143">
        <v>6639</v>
      </c>
      <c r="H1184" s="144">
        <v>1261</v>
      </c>
      <c r="I1184" s="140">
        <v>1</v>
      </c>
      <c r="J1184" s="114" t="str">
        <f t="shared" si="18"/>
        <v>INSERT INTO DOCUMENTOS (NRO_DOCUMENTO,FECHA_EMISION,TOTAL_BRUTO,TOTAL_NETO,TOTAL_IVA, ID_TIPO, RUT_EMPLEADO, ID_CLIENTE) VALUES(1180,TO_DATE('14-07-2025','DD-MM-YYYY'),7900,6639,1261,1,'14526149-K',155);</v>
      </c>
    </row>
    <row r="1185" spans="1:10">
      <c r="A1185" s="149"/>
      <c r="B1185" s="149">
        <v>1181</v>
      </c>
      <c r="C1185" s="118" t="s">
        <v>2357</v>
      </c>
      <c r="D1185" t="s">
        <v>2090</v>
      </c>
      <c r="E1185" s="150">
        <v>166</v>
      </c>
      <c r="F1185" s="142">
        <v>6000</v>
      </c>
      <c r="G1185" s="143">
        <v>5042</v>
      </c>
      <c r="H1185" s="144">
        <v>958</v>
      </c>
      <c r="I1185" s="140">
        <v>1</v>
      </c>
      <c r="J1185" s="114" t="str">
        <f t="shared" si="18"/>
        <v>INSERT INTO DOCUMENTOS (NRO_DOCUMENTO,FECHA_EMISION,TOTAL_BRUTO,TOTAL_NETO,TOTAL_IVA, ID_TIPO, RUT_EMPLEADO, ID_CLIENTE) VALUES(1181,TO_DATE('14-07-2025','DD-MM-YYYY'),6000,5042,958,1,'14526149-K',166);</v>
      </c>
    </row>
    <row r="1186" spans="1:10">
      <c r="A1186" s="149"/>
      <c r="B1186" s="149">
        <v>1182</v>
      </c>
      <c r="C1186" s="118" t="s">
        <v>2357</v>
      </c>
      <c r="D1186" t="s">
        <v>2090</v>
      </c>
      <c r="E1186" s="150">
        <v>306</v>
      </c>
      <c r="F1186" s="142">
        <v>215900</v>
      </c>
      <c r="G1186" s="143">
        <v>181429</v>
      </c>
      <c r="H1186" s="144">
        <v>34471</v>
      </c>
      <c r="I1186" s="140">
        <v>1</v>
      </c>
      <c r="J1186" s="114" t="str">
        <f t="shared" si="18"/>
        <v>INSERT INTO DOCUMENTOS (NRO_DOCUMENTO,FECHA_EMISION,TOTAL_BRUTO,TOTAL_NETO,TOTAL_IVA, ID_TIPO, RUT_EMPLEADO, ID_CLIENTE) VALUES(1182,TO_DATE('14-07-2025','DD-MM-YYYY'),215900,181429,34471,1,'14526149-K',306);</v>
      </c>
    </row>
    <row r="1187" spans="1:10">
      <c r="A1187" s="149"/>
      <c r="B1187" s="149">
        <v>1183</v>
      </c>
      <c r="C1187" s="151" t="s">
        <v>2358</v>
      </c>
      <c r="D1187" t="s">
        <v>2090</v>
      </c>
      <c r="E1187" s="150">
        <v>24</v>
      </c>
      <c r="F1187" s="142">
        <v>7250</v>
      </c>
      <c r="G1187" s="143">
        <v>6093</v>
      </c>
      <c r="H1187" s="144">
        <v>1157</v>
      </c>
      <c r="I1187" s="140">
        <v>1</v>
      </c>
      <c r="J1187" s="114" t="str">
        <f t="shared" si="18"/>
        <v>INSERT INTO DOCUMENTOS (NRO_DOCUMENTO,FECHA_EMISION,TOTAL_BRUTO,TOTAL_NETO,TOTAL_IVA, ID_TIPO, RUT_EMPLEADO, ID_CLIENTE) VALUES(1183,TO_DATE('15-07-2025','DD-MM-YYYY'),7250,6093,1157,1,'14526149-K',24);</v>
      </c>
    </row>
    <row r="1188" spans="1:10">
      <c r="A1188" s="149"/>
      <c r="B1188" s="149">
        <v>1184</v>
      </c>
      <c r="C1188" s="118" t="s">
        <v>2358</v>
      </c>
      <c r="D1188" t="s">
        <v>2090</v>
      </c>
      <c r="E1188" s="150">
        <v>25</v>
      </c>
      <c r="F1188" s="142">
        <v>7900</v>
      </c>
      <c r="G1188" s="143">
        <v>6639</v>
      </c>
      <c r="H1188" s="144">
        <v>1261</v>
      </c>
      <c r="I1188" s="140">
        <v>1</v>
      </c>
      <c r="J1188" s="114" t="str">
        <f t="shared" si="18"/>
        <v>INSERT INTO DOCUMENTOS (NRO_DOCUMENTO,FECHA_EMISION,TOTAL_BRUTO,TOTAL_NETO,TOTAL_IVA, ID_TIPO, RUT_EMPLEADO, ID_CLIENTE) VALUES(1184,TO_DATE('15-07-2025','DD-MM-YYYY'),7900,6639,1261,1,'14526149-K',25);</v>
      </c>
    </row>
    <row r="1189" spans="1:10">
      <c r="A1189" s="149"/>
      <c r="B1189" s="149">
        <v>1185</v>
      </c>
      <c r="C1189" s="118" t="s">
        <v>2358</v>
      </c>
      <c r="D1189" t="s">
        <v>2090</v>
      </c>
      <c r="E1189" s="150">
        <v>48</v>
      </c>
      <c r="F1189" s="142">
        <v>54700</v>
      </c>
      <c r="G1189" s="143">
        <v>45970</v>
      </c>
      <c r="H1189" s="144">
        <v>8730</v>
      </c>
      <c r="I1189" s="140">
        <v>1</v>
      </c>
      <c r="J1189" s="114" t="str">
        <f t="shared" si="18"/>
        <v>INSERT INTO DOCUMENTOS (NRO_DOCUMENTO,FECHA_EMISION,TOTAL_BRUTO,TOTAL_NETO,TOTAL_IVA, ID_TIPO, RUT_EMPLEADO, ID_CLIENTE) VALUES(1185,TO_DATE('15-07-2025','DD-MM-YYYY'),54700,45970,8730,1,'14526149-K',48);</v>
      </c>
    </row>
    <row r="1190" spans="1:10">
      <c r="A1190" s="149"/>
      <c r="B1190" s="149">
        <v>1186</v>
      </c>
      <c r="C1190" s="118" t="s">
        <v>2358</v>
      </c>
      <c r="D1190" t="s">
        <v>2090</v>
      </c>
      <c r="E1190" s="150">
        <v>111</v>
      </c>
      <c r="F1190" s="142">
        <v>16500</v>
      </c>
      <c r="G1190" s="143">
        <v>13866</v>
      </c>
      <c r="H1190" s="144">
        <v>2634</v>
      </c>
      <c r="I1190" s="140">
        <v>1</v>
      </c>
      <c r="J1190" s="114" t="str">
        <f t="shared" si="18"/>
        <v>INSERT INTO DOCUMENTOS (NRO_DOCUMENTO,FECHA_EMISION,TOTAL_BRUTO,TOTAL_NETO,TOTAL_IVA, ID_TIPO, RUT_EMPLEADO, ID_CLIENTE) VALUES(1186,TO_DATE('15-07-2025','DD-MM-YYYY'),16500,13866,2634,1,'14526149-K',111);</v>
      </c>
    </row>
    <row r="1191" spans="1:10">
      <c r="A1191" s="149"/>
      <c r="B1191" s="149">
        <v>1187</v>
      </c>
      <c r="C1191" s="118" t="s">
        <v>2358</v>
      </c>
      <c r="D1191" t="s">
        <v>2090</v>
      </c>
      <c r="E1191" s="150">
        <v>119</v>
      </c>
      <c r="F1191" s="142">
        <v>20700</v>
      </c>
      <c r="G1191" s="143">
        <v>17395</v>
      </c>
      <c r="H1191" s="144">
        <v>3305</v>
      </c>
      <c r="I1191" s="140">
        <v>1</v>
      </c>
      <c r="J1191" s="114" t="str">
        <f t="shared" si="18"/>
        <v>INSERT INTO DOCUMENTOS (NRO_DOCUMENTO,FECHA_EMISION,TOTAL_BRUTO,TOTAL_NETO,TOTAL_IVA, ID_TIPO, RUT_EMPLEADO, ID_CLIENTE) VALUES(1187,TO_DATE('15-07-2025','DD-MM-YYYY'),20700,17395,3305,1,'14526149-K',119);</v>
      </c>
    </row>
    <row r="1192" spans="1:10">
      <c r="A1192" s="149"/>
      <c r="B1192" s="149">
        <v>1188</v>
      </c>
      <c r="C1192" s="118" t="s">
        <v>2358</v>
      </c>
      <c r="D1192" t="s">
        <v>2090</v>
      </c>
      <c r="E1192" s="150">
        <v>135</v>
      </c>
      <c r="F1192" s="142">
        <v>31600</v>
      </c>
      <c r="G1192" s="143">
        <v>26555</v>
      </c>
      <c r="H1192" s="144">
        <v>5045</v>
      </c>
      <c r="I1192" s="140">
        <v>1</v>
      </c>
      <c r="J1192" s="114" t="str">
        <f t="shared" si="18"/>
        <v>INSERT INTO DOCUMENTOS (NRO_DOCUMENTO,FECHA_EMISION,TOTAL_BRUTO,TOTAL_NETO,TOTAL_IVA, ID_TIPO, RUT_EMPLEADO, ID_CLIENTE) VALUES(1188,TO_DATE('15-07-2025','DD-MM-YYYY'),31600,26555,5045,1,'14526149-K',135);</v>
      </c>
    </row>
    <row r="1193" spans="1:10">
      <c r="A1193" s="149"/>
      <c r="B1193" s="149">
        <v>1189</v>
      </c>
      <c r="C1193" s="118" t="s">
        <v>2358</v>
      </c>
      <c r="D1193" t="s">
        <v>2090</v>
      </c>
      <c r="E1193" s="150">
        <v>323</v>
      </c>
      <c r="F1193" s="142">
        <v>20900</v>
      </c>
      <c r="G1193" s="143">
        <v>17563</v>
      </c>
      <c r="H1193" s="144">
        <v>3337</v>
      </c>
      <c r="I1193" s="140">
        <v>1</v>
      </c>
      <c r="J1193" s="114" t="str">
        <f t="shared" si="18"/>
        <v>INSERT INTO DOCUMENTOS (NRO_DOCUMENTO,FECHA_EMISION,TOTAL_BRUTO,TOTAL_NETO,TOTAL_IVA, ID_TIPO, RUT_EMPLEADO, ID_CLIENTE) VALUES(1189,TO_DATE('15-07-2025','DD-MM-YYYY'),20900,17563,3337,1,'14526149-K',323);</v>
      </c>
    </row>
    <row r="1194" spans="1:10">
      <c r="A1194" s="149"/>
      <c r="B1194" s="149">
        <v>1190</v>
      </c>
      <c r="C1194" s="118" t="s">
        <v>2358</v>
      </c>
      <c r="D1194" t="s">
        <v>2090</v>
      </c>
      <c r="E1194" s="150">
        <v>363</v>
      </c>
      <c r="F1194" s="142">
        <v>7900</v>
      </c>
      <c r="G1194" s="143">
        <v>6639</v>
      </c>
      <c r="H1194" s="144">
        <v>1261</v>
      </c>
      <c r="I1194" s="140">
        <v>1</v>
      </c>
      <c r="J1194" s="114" t="str">
        <f t="shared" si="18"/>
        <v>INSERT INTO DOCUMENTOS (NRO_DOCUMENTO,FECHA_EMISION,TOTAL_BRUTO,TOTAL_NETO,TOTAL_IVA, ID_TIPO, RUT_EMPLEADO, ID_CLIENTE) VALUES(1190,TO_DATE('15-07-2025','DD-MM-YYYY'),7900,6639,1261,1,'14526149-K',363);</v>
      </c>
    </row>
    <row r="1195" spans="1:10">
      <c r="A1195" s="149"/>
      <c r="B1195" s="149">
        <v>1191</v>
      </c>
      <c r="C1195" s="118" t="s">
        <v>2358</v>
      </c>
      <c r="D1195" t="s">
        <v>2090</v>
      </c>
      <c r="E1195" s="150">
        <v>374</v>
      </c>
      <c r="F1195" s="142">
        <v>11000</v>
      </c>
      <c r="G1195" s="143">
        <v>9244</v>
      </c>
      <c r="H1195" s="144">
        <v>1756</v>
      </c>
      <c r="I1195" s="140">
        <v>1</v>
      </c>
      <c r="J1195" s="114" t="str">
        <f t="shared" si="18"/>
        <v>INSERT INTO DOCUMENTOS (NRO_DOCUMENTO,FECHA_EMISION,TOTAL_BRUTO,TOTAL_NETO,TOTAL_IVA, ID_TIPO, RUT_EMPLEADO, ID_CLIENTE) VALUES(1191,TO_DATE('15-07-2025','DD-MM-YYYY'),11000,9244,1756,1,'14526149-K',374);</v>
      </c>
    </row>
    <row r="1196" spans="1:10">
      <c r="A1196" s="149"/>
      <c r="B1196" s="149">
        <v>1192</v>
      </c>
      <c r="C1196" s="118" t="s">
        <v>2358</v>
      </c>
      <c r="D1196" t="s">
        <v>2090</v>
      </c>
      <c r="E1196" s="150">
        <v>446</v>
      </c>
      <c r="F1196" s="142">
        <v>6500</v>
      </c>
      <c r="G1196" s="143">
        <v>5462</v>
      </c>
      <c r="H1196" s="144">
        <v>1038</v>
      </c>
      <c r="I1196" s="140">
        <v>1</v>
      </c>
      <c r="J1196" s="114" t="str">
        <f t="shared" si="18"/>
        <v>INSERT INTO DOCUMENTOS (NRO_DOCUMENTO,FECHA_EMISION,TOTAL_BRUTO,TOTAL_NETO,TOTAL_IVA, ID_TIPO, RUT_EMPLEADO, ID_CLIENTE) VALUES(1192,TO_DATE('15-07-2025','DD-MM-YYYY'),6500,5462,1038,1,'14526149-K',446);</v>
      </c>
    </row>
    <row r="1197" spans="1:10">
      <c r="A1197" s="149"/>
      <c r="B1197" s="149">
        <v>1193</v>
      </c>
      <c r="C1197" s="118" t="s">
        <v>2358</v>
      </c>
      <c r="D1197" t="s">
        <v>2090</v>
      </c>
      <c r="E1197" s="150">
        <v>476</v>
      </c>
      <c r="F1197" s="142">
        <v>13900</v>
      </c>
      <c r="G1197" s="143">
        <v>11681</v>
      </c>
      <c r="H1197" s="144">
        <v>2219</v>
      </c>
      <c r="I1197" s="140">
        <v>1</v>
      </c>
      <c r="J1197" s="114" t="str">
        <f t="shared" si="18"/>
        <v>INSERT INTO DOCUMENTOS (NRO_DOCUMENTO,FECHA_EMISION,TOTAL_BRUTO,TOTAL_NETO,TOTAL_IVA, ID_TIPO, RUT_EMPLEADO, ID_CLIENTE) VALUES(1193,TO_DATE('15-07-2025','DD-MM-YYYY'),13900,11681,2219,1,'14526149-K',476);</v>
      </c>
    </row>
    <row r="1198" spans="1:10">
      <c r="A1198" s="149"/>
      <c r="B1198" s="149">
        <v>1194</v>
      </c>
      <c r="C1198" s="151" t="s">
        <v>2359</v>
      </c>
      <c r="D1198" t="s">
        <v>2090</v>
      </c>
      <c r="E1198" s="150">
        <v>63</v>
      </c>
      <c r="F1198" s="142">
        <v>20900</v>
      </c>
      <c r="G1198" s="143">
        <v>17563</v>
      </c>
      <c r="H1198" s="144">
        <v>3337</v>
      </c>
      <c r="I1198" s="140">
        <v>1</v>
      </c>
      <c r="J1198" s="114" t="str">
        <f t="shared" si="18"/>
        <v>INSERT INTO DOCUMENTOS (NRO_DOCUMENTO,FECHA_EMISION,TOTAL_BRUTO,TOTAL_NETO,TOTAL_IVA, ID_TIPO, RUT_EMPLEADO, ID_CLIENTE) VALUES(1194,TO_DATE('16-07-2025','DD-MM-YYYY'),20900,17563,3337,1,'14526149-K',63);</v>
      </c>
    </row>
    <row r="1199" spans="1:10">
      <c r="A1199" s="149"/>
      <c r="B1199" s="149">
        <v>1195</v>
      </c>
      <c r="C1199" s="118" t="s">
        <v>2359</v>
      </c>
      <c r="D1199" t="s">
        <v>2090</v>
      </c>
      <c r="E1199" s="150">
        <v>166</v>
      </c>
      <c r="F1199" s="142">
        <v>6000</v>
      </c>
      <c r="G1199" s="143">
        <v>5042</v>
      </c>
      <c r="H1199" s="144">
        <v>958</v>
      </c>
      <c r="I1199" s="140">
        <v>1</v>
      </c>
      <c r="J1199" s="114" t="str">
        <f t="shared" si="18"/>
        <v>INSERT INTO DOCUMENTOS (NRO_DOCUMENTO,FECHA_EMISION,TOTAL_BRUTO,TOTAL_NETO,TOTAL_IVA, ID_TIPO, RUT_EMPLEADO, ID_CLIENTE) VALUES(1195,TO_DATE('16-07-2025','DD-MM-YYYY'),6000,5042,958,1,'14526149-K',166);</v>
      </c>
    </row>
    <row r="1200" spans="1:10">
      <c r="A1200" s="149"/>
      <c r="B1200" s="149">
        <v>1196</v>
      </c>
      <c r="C1200" s="118" t="s">
        <v>2359</v>
      </c>
      <c r="D1200" t="s">
        <v>2090</v>
      </c>
      <c r="E1200" s="150">
        <v>457</v>
      </c>
      <c r="F1200" s="142">
        <v>7900</v>
      </c>
      <c r="G1200" s="143">
        <v>6639</v>
      </c>
      <c r="H1200" s="144">
        <v>1261</v>
      </c>
      <c r="I1200" s="140">
        <v>1</v>
      </c>
      <c r="J1200" s="114" t="str">
        <f t="shared" si="18"/>
        <v>INSERT INTO DOCUMENTOS (NRO_DOCUMENTO,FECHA_EMISION,TOTAL_BRUTO,TOTAL_NETO,TOTAL_IVA, ID_TIPO, RUT_EMPLEADO, ID_CLIENTE) VALUES(1196,TO_DATE('16-07-2025','DD-MM-YYYY'),7900,6639,1261,1,'14526149-K',457);</v>
      </c>
    </row>
    <row r="1201" spans="1:10">
      <c r="A1201" s="149"/>
      <c r="B1201" s="149">
        <v>1197</v>
      </c>
      <c r="C1201" s="151" t="s">
        <v>2360</v>
      </c>
      <c r="D1201" t="s">
        <v>2090</v>
      </c>
      <c r="E1201" s="150">
        <v>63</v>
      </c>
      <c r="F1201" s="142">
        <v>7900</v>
      </c>
      <c r="G1201" s="143">
        <v>6639</v>
      </c>
      <c r="H1201" s="144">
        <v>1261</v>
      </c>
      <c r="I1201" s="140">
        <v>1</v>
      </c>
      <c r="J1201" s="114" t="str">
        <f t="shared" si="18"/>
        <v>INSERT INTO DOCUMENTOS (NRO_DOCUMENTO,FECHA_EMISION,TOTAL_BRUTO,TOTAL_NETO,TOTAL_IVA, ID_TIPO, RUT_EMPLEADO, ID_CLIENTE) VALUES(1197,TO_DATE('17-07-2025','DD-MM-YYYY'),7900,6639,1261,1,'14526149-K',63);</v>
      </c>
    </row>
    <row r="1202" spans="1:10">
      <c r="A1202" s="149"/>
      <c r="B1202" s="149">
        <v>1198</v>
      </c>
      <c r="C1202" s="118" t="s">
        <v>2360</v>
      </c>
      <c r="D1202" t="s">
        <v>2090</v>
      </c>
      <c r="E1202" s="150">
        <v>97</v>
      </c>
      <c r="F1202" s="142">
        <v>6000</v>
      </c>
      <c r="G1202" s="143">
        <v>5042</v>
      </c>
      <c r="H1202" s="144">
        <v>958</v>
      </c>
      <c r="I1202" s="140">
        <v>1</v>
      </c>
      <c r="J1202" s="114" t="str">
        <f t="shared" si="18"/>
        <v>INSERT INTO DOCUMENTOS (NRO_DOCUMENTO,FECHA_EMISION,TOTAL_BRUTO,TOTAL_NETO,TOTAL_IVA, ID_TIPO, RUT_EMPLEADO, ID_CLIENTE) VALUES(1198,TO_DATE('17-07-2025','DD-MM-YYYY'),6000,5042,958,1,'14526149-K',97);</v>
      </c>
    </row>
    <row r="1203" spans="1:10">
      <c r="A1203" s="149"/>
      <c r="B1203" s="149">
        <v>1199</v>
      </c>
      <c r="C1203" s="118" t="s">
        <v>2360</v>
      </c>
      <c r="D1203" t="s">
        <v>2090</v>
      </c>
      <c r="E1203" s="150">
        <v>122</v>
      </c>
      <c r="F1203" s="142">
        <v>31600</v>
      </c>
      <c r="G1203" s="143">
        <v>26555</v>
      </c>
      <c r="H1203" s="144">
        <v>5045</v>
      </c>
      <c r="I1203" s="140">
        <v>1</v>
      </c>
      <c r="J1203" s="114" t="str">
        <f t="shared" si="18"/>
        <v>INSERT INTO DOCUMENTOS (NRO_DOCUMENTO,FECHA_EMISION,TOTAL_BRUTO,TOTAL_NETO,TOTAL_IVA, ID_TIPO, RUT_EMPLEADO, ID_CLIENTE) VALUES(1199,TO_DATE('17-07-2025','DD-MM-YYYY'),31600,26555,5045,1,'14526149-K',122);</v>
      </c>
    </row>
    <row r="1204" spans="1:10">
      <c r="A1204" s="149"/>
      <c r="B1204" s="150">
        <v>1200</v>
      </c>
      <c r="C1204" s="118" t="s">
        <v>2360</v>
      </c>
      <c r="D1204" t="s">
        <v>2090</v>
      </c>
      <c r="E1204" s="150">
        <v>153</v>
      </c>
      <c r="F1204" s="142">
        <v>11000</v>
      </c>
      <c r="G1204" s="143">
        <v>9244</v>
      </c>
      <c r="H1204" s="144">
        <v>1756</v>
      </c>
      <c r="I1204" s="140">
        <v>1</v>
      </c>
      <c r="J1204" s="114" t="str">
        <f t="shared" si="18"/>
        <v>INSERT INTO DOCUMENTOS (NRO_DOCUMENTO,FECHA_EMISION,TOTAL_BRUTO,TOTAL_NETO,TOTAL_IVA, ID_TIPO, RUT_EMPLEADO, ID_CLIENTE) VALUES(1200,TO_DATE('17-07-2025','DD-MM-YYYY'),11000,9244,1756,1,'14526149-K',153);</v>
      </c>
    </row>
    <row r="1205" spans="1:10">
      <c r="A1205" s="149"/>
      <c r="B1205" s="149">
        <v>1201</v>
      </c>
      <c r="C1205" s="118" t="s">
        <v>2360</v>
      </c>
      <c r="D1205" t="s">
        <v>2090</v>
      </c>
      <c r="E1205" s="150">
        <v>161</v>
      </c>
      <c r="F1205" s="142">
        <v>13900</v>
      </c>
      <c r="G1205" s="143">
        <v>11681</v>
      </c>
      <c r="H1205" s="144">
        <v>2219</v>
      </c>
      <c r="I1205" s="140">
        <v>1</v>
      </c>
      <c r="J1205" s="114" t="str">
        <f t="shared" si="18"/>
        <v>INSERT INTO DOCUMENTOS (NRO_DOCUMENTO,FECHA_EMISION,TOTAL_BRUTO,TOTAL_NETO,TOTAL_IVA, ID_TIPO, RUT_EMPLEADO, ID_CLIENTE) VALUES(1201,TO_DATE('17-07-2025','DD-MM-YYYY'),13900,11681,2219,1,'14526149-K',161);</v>
      </c>
    </row>
    <row r="1206" spans="1:10">
      <c r="A1206" s="149"/>
      <c r="B1206" s="149">
        <v>1202</v>
      </c>
      <c r="C1206" s="118" t="s">
        <v>2360</v>
      </c>
      <c r="D1206" t="s">
        <v>2090</v>
      </c>
      <c r="E1206" s="150">
        <v>166</v>
      </c>
      <c r="F1206" s="142">
        <v>7900</v>
      </c>
      <c r="G1206" s="143">
        <v>6639</v>
      </c>
      <c r="H1206" s="144">
        <v>1261</v>
      </c>
      <c r="I1206" s="140">
        <v>1</v>
      </c>
      <c r="J1206" s="114" t="str">
        <f t="shared" si="18"/>
        <v>INSERT INTO DOCUMENTOS (NRO_DOCUMENTO,FECHA_EMISION,TOTAL_BRUTO,TOTAL_NETO,TOTAL_IVA, ID_TIPO, RUT_EMPLEADO, ID_CLIENTE) VALUES(1202,TO_DATE('17-07-2025','DD-MM-YYYY'),7900,6639,1261,1,'14526149-K',166);</v>
      </c>
    </row>
    <row r="1207" spans="1:10">
      <c r="A1207" s="149"/>
      <c r="B1207" s="149">
        <v>1203</v>
      </c>
      <c r="C1207" s="118" t="s">
        <v>2360</v>
      </c>
      <c r="D1207" t="s">
        <v>2090</v>
      </c>
      <c r="E1207" s="150">
        <v>200</v>
      </c>
      <c r="F1207" s="142">
        <v>18900</v>
      </c>
      <c r="G1207" s="143">
        <v>15883</v>
      </c>
      <c r="H1207" s="144">
        <v>3017</v>
      </c>
      <c r="I1207" s="140">
        <v>1</v>
      </c>
      <c r="J1207" s="114" t="str">
        <f t="shared" si="18"/>
        <v>INSERT INTO DOCUMENTOS (NRO_DOCUMENTO,FECHA_EMISION,TOTAL_BRUTO,TOTAL_NETO,TOTAL_IVA, ID_TIPO, RUT_EMPLEADO, ID_CLIENTE) VALUES(1203,TO_DATE('17-07-2025','DD-MM-YYYY'),18900,15883,3017,1,'14526149-K',200);</v>
      </c>
    </row>
    <row r="1208" spans="1:10">
      <c r="A1208" s="149"/>
      <c r="B1208" s="149">
        <v>1204</v>
      </c>
      <c r="C1208" s="118" t="s">
        <v>2360</v>
      </c>
      <c r="D1208" t="s">
        <v>2090</v>
      </c>
      <c r="E1208" s="150">
        <v>389</v>
      </c>
      <c r="F1208" s="142">
        <v>21400</v>
      </c>
      <c r="G1208" s="143">
        <v>17984</v>
      </c>
      <c r="H1208" s="144">
        <v>3416</v>
      </c>
      <c r="I1208" s="140">
        <v>1</v>
      </c>
      <c r="J1208" s="114" t="str">
        <f t="shared" si="18"/>
        <v>INSERT INTO DOCUMENTOS (NRO_DOCUMENTO,FECHA_EMISION,TOTAL_BRUTO,TOTAL_NETO,TOTAL_IVA, ID_TIPO, RUT_EMPLEADO, ID_CLIENTE) VALUES(1204,TO_DATE('17-07-2025','DD-MM-YYYY'),21400,17984,3416,1,'14526149-K',389);</v>
      </c>
    </row>
    <row r="1209" spans="1:10">
      <c r="A1209" s="149"/>
      <c r="B1209" s="149">
        <v>1205</v>
      </c>
      <c r="C1209" s="118" t="s">
        <v>2360</v>
      </c>
      <c r="D1209" t="s">
        <v>2090</v>
      </c>
      <c r="E1209" s="150">
        <v>397</v>
      </c>
      <c r="F1209" s="142">
        <v>9000</v>
      </c>
      <c r="G1209" s="143">
        <v>7563</v>
      </c>
      <c r="H1209" s="144">
        <v>1437</v>
      </c>
      <c r="I1209" s="140">
        <v>1</v>
      </c>
      <c r="J1209" s="114" t="str">
        <f t="shared" si="18"/>
        <v>INSERT INTO DOCUMENTOS (NRO_DOCUMENTO,FECHA_EMISION,TOTAL_BRUTO,TOTAL_NETO,TOTAL_IVA, ID_TIPO, RUT_EMPLEADO, ID_CLIENTE) VALUES(1205,TO_DATE('17-07-2025','DD-MM-YYYY'),9000,7563,1437,1,'14526149-K',397);</v>
      </c>
    </row>
    <row r="1210" spans="1:10">
      <c r="A1210" s="149"/>
      <c r="B1210" s="149">
        <v>1206</v>
      </c>
      <c r="C1210" s="118" t="s">
        <v>2360</v>
      </c>
      <c r="D1210" t="s">
        <v>2090</v>
      </c>
      <c r="E1210" s="150">
        <v>407</v>
      </c>
      <c r="F1210" s="142">
        <v>24400</v>
      </c>
      <c r="G1210" s="143">
        <v>20504</v>
      </c>
      <c r="H1210" s="144">
        <v>3896</v>
      </c>
      <c r="I1210" s="140">
        <v>1</v>
      </c>
      <c r="J1210" s="114" t="str">
        <f t="shared" si="18"/>
        <v>INSERT INTO DOCUMENTOS (NRO_DOCUMENTO,FECHA_EMISION,TOTAL_BRUTO,TOTAL_NETO,TOTAL_IVA, ID_TIPO, RUT_EMPLEADO, ID_CLIENTE) VALUES(1206,TO_DATE('17-07-2025','DD-MM-YYYY'),24400,20504,3896,1,'14526149-K',407);</v>
      </c>
    </row>
    <row r="1211" spans="1:10">
      <c r="A1211" s="149"/>
      <c r="B1211" s="149">
        <v>1207</v>
      </c>
      <c r="C1211" s="118" t="s">
        <v>2360</v>
      </c>
      <c r="D1211" t="s">
        <v>2090</v>
      </c>
      <c r="E1211" s="150">
        <v>445</v>
      </c>
      <c r="F1211" s="142">
        <v>6000</v>
      </c>
      <c r="G1211" s="143">
        <v>5042</v>
      </c>
      <c r="H1211" s="144">
        <v>958</v>
      </c>
      <c r="I1211" s="140">
        <v>1</v>
      </c>
      <c r="J1211" s="114" t="str">
        <f t="shared" si="18"/>
        <v>INSERT INTO DOCUMENTOS (NRO_DOCUMENTO,FECHA_EMISION,TOTAL_BRUTO,TOTAL_NETO,TOTAL_IVA, ID_TIPO, RUT_EMPLEADO, ID_CLIENTE) VALUES(1207,TO_DATE('17-07-2025','DD-MM-YYYY'),6000,5042,958,1,'14526149-K',445);</v>
      </c>
    </row>
    <row r="1212" spans="1:10">
      <c r="A1212" s="149"/>
      <c r="B1212" s="149">
        <v>1208</v>
      </c>
      <c r="C1212" s="151" t="s">
        <v>2361</v>
      </c>
      <c r="D1212" t="s">
        <v>2090</v>
      </c>
      <c r="E1212" s="150">
        <v>98</v>
      </c>
      <c r="F1212" s="142">
        <v>6000</v>
      </c>
      <c r="G1212" s="143">
        <v>5042</v>
      </c>
      <c r="H1212" s="144">
        <v>958</v>
      </c>
      <c r="I1212" s="140">
        <v>1</v>
      </c>
      <c r="J1212" s="114" t="str">
        <f t="shared" si="18"/>
        <v>INSERT INTO DOCUMENTOS (NRO_DOCUMENTO,FECHA_EMISION,TOTAL_BRUTO,TOTAL_NETO,TOTAL_IVA, ID_TIPO, RUT_EMPLEADO, ID_CLIENTE) VALUES(1208,TO_DATE('18-07-2025','DD-MM-YYYY'),6000,5042,958,1,'14526149-K',98);</v>
      </c>
    </row>
    <row r="1213" spans="1:10">
      <c r="A1213" s="149"/>
      <c r="B1213" s="149">
        <v>1209</v>
      </c>
      <c r="C1213" s="118" t="s">
        <v>2361</v>
      </c>
      <c r="D1213" t="s">
        <v>2090</v>
      </c>
      <c r="E1213" s="150">
        <v>159</v>
      </c>
      <c r="F1213" s="142">
        <v>7900</v>
      </c>
      <c r="G1213" s="143">
        <v>6639</v>
      </c>
      <c r="H1213" s="144">
        <v>1261</v>
      </c>
      <c r="I1213" s="140">
        <v>1</v>
      </c>
      <c r="J1213" s="114" t="str">
        <f t="shared" si="18"/>
        <v>INSERT INTO DOCUMENTOS (NRO_DOCUMENTO,FECHA_EMISION,TOTAL_BRUTO,TOTAL_NETO,TOTAL_IVA, ID_TIPO, RUT_EMPLEADO, ID_CLIENTE) VALUES(1209,TO_DATE('18-07-2025','DD-MM-YYYY'),7900,6639,1261,1,'14526149-K',159);</v>
      </c>
    </row>
    <row r="1214" spans="1:10">
      <c r="A1214" s="149"/>
      <c r="B1214" s="149">
        <v>1210</v>
      </c>
      <c r="C1214" s="151" t="s">
        <v>2362</v>
      </c>
      <c r="D1214" t="s">
        <v>2090</v>
      </c>
      <c r="E1214" s="150">
        <v>56</v>
      </c>
      <c r="F1214" s="142">
        <v>7900</v>
      </c>
      <c r="G1214" s="143">
        <v>6639</v>
      </c>
      <c r="H1214" s="144">
        <v>1261</v>
      </c>
      <c r="I1214" s="140">
        <v>1</v>
      </c>
      <c r="J1214" s="114" t="str">
        <f t="shared" si="18"/>
        <v>INSERT INTO DOCUMENTOS (NRO_DOCUMENTO,FECHA_EMISION,TOTAL_BRUTO,TOTAL_NETO,TOTAL_IVA, ID_TIPO, RUT_EMPLEADO, ID_CLIENTE) VALUES(1210,TO_DATE('19-07-2025','DD-MM-YYYY'),7900,6639,1261,1,'14526149-K',56);</v>
      </c>
    </row>
    <row r="1215" spans="1:10">
      <c r="A1215" s="149"/>
      <c r="B1215" s="149">
        <v>1211</v>
      </c>
      <c r="C1215" s="118" t="s">
        <v>2362</v>
      </c>
      <c r="D1215" t="s">
        <v>2090</v>
      </c>
      <c r="E1215" s="150">
        <v>110</v>
      </c>
      <c r="F1215" s="142">
        <v>23600</v>
      </c>
      <c r="G1215" s="143">
        <v>19832</v>
      </c>
      <c r="H1215" s="144">
        <v>3768</v>
      </c>
      <c r="I1215" s="140">
        <v>1</v>
      </c>
      <c r="J1215" s="114" t="str">
        <f t="shared" si="18"/>
        <v>INSERT INTO DOCUMENTOS (NRO_DOCUMENTO,FECHA_EMISION,TOTAL_BRUTO,TOTAL_NETO,TOTAL_IVA, ID_TIPO, RUT_EMPLEADO, ID_CLIENTE) VALUES(1211,TO_DATE('19-07-2025','DD-MM-YYYY'),23600,19832,3768,1,'14526149-K',110);</v>
      </c>
    </row>
    <row r="1216" spans="1:10">
      <c r="A1216" s="149"/>
      <c r="B1216" s="149">
        <v>1212</v>
      </c>
      <c r="C1216" s="118" t="s">
        <v>2362</v>
      </c>
      <c r="D1216" t="s">
        <v>2090</v>
      </c>
      <c r="E1216" s="150">
        <v>345</v>
      </c>
      <c r="F1216" s="142">
        <v>13000</v>
      </c>
      <c r="G1216" s="143">
        <v>10925</v>
      </c>
      <c r="H1216" s="144">
        <v>2075</v>
      </c>
      <c r="I1216" s="140">
        <v>1</v>
      </c>
      <c r="J1216" s="114" t="str">
        <f t="shared" si="18"/>
        <v>INSERT INTO DOCUMENTOS (NRO_DOCUMENTO,FECHA_EMISION,TOTAL_BRUTO,TOTAL_NETO,TOTAL_IVA, ID_TIPO, RUT_EMPLEADO, ID_CLIENTE) VALUES(1212,TO_DATE('19-07-2025','DD-MM-YYYY'),13000,10925,2075,1,'14526149-K',345);</v>
      </c>
    </row>
    <row r="1217" spans="1:10">
      <c r="A1217" s="149"/>
      <c r="B1217" s="149">
        <v>1213</v>
      </c>
      <c r="C1217" s="118" t="s">
        <v>2362</v>
      </c>
      <c r="D1217" t="s">
        <v>2090</v>
      </c>
      <c r="E1217" s="150">
        <v>411</v>
      </c>
      <c r="F1217" s="142">
        <v>9000</v>
      </c>
      <c r="G1217" s="143">
        <v>7563</v>
      </c>
      <c r="H1217" s="144">
        <v>1437</v>
      </c>
      <c r="I1217" s="140">
        <v>1</v>
      </c>
      <c r="J1217" s="114" t="str">
        <f t="shared" si="18"/>
        <v>INSERT INTO DOCUMENTOS (NRO_DOCUMENTO,FECHA_EMISION,TOTAL_BRUTO,TOTAL_NETO,TOTAL_IVA, ID_TIPO, RUT_EMPLEADO, ID_CLIENTE) VALUES(1213,TO_DATE('19-07-2025','DD-MM-YYYY'),9000,7563,1437,1,'14526149-K',411);</v>
      </c>
    </row>
    <row r="1218" spans="1:10">
      <c r="A1218" s="149"/>
      <c r="B1218" s="149">
        <v>1214</v>
      </c>
      <c r="C1218" s="151" t="s">
        <v>2363</v>
      </c>
      <c r="D1218" t="s">
        <v>2090</v>
      </c>
      <c r="E1218" s="150">
        <v>124</v>
      </c>
      <c r="F1218" s="142">
        <v>14600</v>
      </c>
      <c r="G1218" s="143">
        <v>12269</v>
      </c>
      <c r="H1218" s="144">
        <v>2331</v>
      </c>
      <c r="I1218" s="140">
        <v>1</v>
      </c>
      <c r="J1218" s="114" t="str">
        <f t="shared" si="18"/>
        <v>INSERT INTO DOCUMENTOS (NRO_DOCUMENTO,FECHA_EMISION,TOTAL_BRUTO,TOTAL_NETO,TOTAL_IVA, ID_TIPO, RUT_EMPLEADO, ID_CLIENTE) VALUES(1214,TO_DATE('20-07-2025','DD-MM-YYYY'),14600,12269,2331,1,'14526149-K',124);</v>
      </c>
    </row>
    <row r="1219" spans="1:10">
      <c r="A1219" s="149"/>
      <c r="B1219" s="149">
        <v>1215</v>
      </c>
      <c r="C1219" s="118" t="s">
        <v>2363</v>
      </c>
      <c r="D1219" t="s">
        <v>2090</v>
      </c>
      <c r="E1219" s="150">
        <v>142</v>
      </c>
      <c r="F1219" s="142">
        <v>11000</v>
      </c>
      <c r="G1219" s="143">
        <v>9244</v>
      </c>
      <c r="H1219" s="144">
        <v>1756</v>
      </c>
      <c r="I1219" s="140">
        <v>1</v>
      </c>
      <c r="J1219" s="114" t="str">
        <f t="shared" si="18"/>
        <v>INSERT INTO DOCUMENTOS (NRO_DOCUMENTO,FECHA_EMISION,TOTAL_BRUTO,TOTAL_NETO,TOTAL_IVA, ID_TIPO, RUT_EMPLEADO, ID_CLIENTE) VALUES(1215,TO_DATE('20-07-2025','DD-MM-YYYY'),11000,9244,1756,1,'14526149-K',142);</v>
      </c>
    </row>
    <row r="1220" spans="1:10">
      <c r="A1220" s="149"/>
      <c r="B1220" s="149">
        <v>1216</v>
      </c>
      <c r="C1220" s="118" t="s">
        <v>2363</v>
      </c>
      <c r="D1220" t="s">
        <v>2090</v>
      </c>
      <c r="E1220" s="150">
        <v>397</v>
      </c>
      <c r="F1220" s="142">
        <v>11000</v>
      </c>
      <c r="G1220" s="143">
        <v>9244</v>
      </c>
      <c r="H1220" s="144">
        <v>1756</v>
      </c>
      <c r="I1220" s="140">
        <v>1</v>
      </c>
      <c r="J1220" s="114" t="str">
        <f t="shared" si="18"/>
        <v>INSERT INTO DOCUMENTOS (NRO_DOCUMENTO,FECHA_EMISION,TOTAL_BRUTO,TOTAL_NETO,TOTAL_IVA, ID_TIPO, RUT_EMPLEADO, ID_CLIENTE) VALUES(1216,TO_DATE('20-07-2025','DD-MM-YYYY'),11000,9244,1756,1,'14526149-K',397);</v>
      </c>
    </row>
    <row r="1221" spans="1:10">
      <c r="A1221" s="149"/>
      <c r="B1221" s="149">
        <v>1217</v>
      </c>
      <c r="C1221" s="151" t="s">
        <v>2364</v>
      </c>
      <c r="D1221" t="s">
        <v>2090</v>
      </c>
      <c r="E1221" s="150">
        <v>73</v>
      </c>
      <c r="F1221" s="142">
        <v>9000</v>
      </c>
      <c r="G1221" s="143">
        <v>7563</v>
      </c>
      <c r="H1221" s="144">
        <v>1437</v>
      </c>
      <c r="I1221" s="140">
        <v>1</v>
      </c>
      <c r="J1221" s="114" t="str">
        <f t="shared" si="18"/>
        <v>INSERT INTO DOCUMENTOS (NRO_DOCUMENTO,FECHA_EMISION,TOTAL_BRUTO,TOTAL_NETO,TOTAL_IVA, ID_TIPO, RUT_EMPLEADO, ID_CLIENTE) VALUES(1217,TO_DATE('21-07-2025','DD-MM-YYYY'),9000,7563,1437,1,'14526149-K',73);</v>
      </c>
    </row>
    <row r="1222" spans="1:10">
      <c r="A1222" s="149"/>
      <c r="B1222" s="149">
        <v>1218</v>
      </c>
      <c r="C1222" s="118" t="s">
        <v>2364</v>
      </c>
      <c r="D1222" t="s">
        <v>2090</v>
      </c>
      <c r="E1222" s="150">
        <v>92</v>
      </c>
      <c r="F1222" s="142">
        <v>4000</v>
      </c>
      <c r="G1222" s="143">
        <v>3361</v>
      </c>
      <c r="H1222" s="144">
        <v>639</v>
      </c>
      <c r="I1222" s="140">
        <v>1</v>
      </c>
      <c r="J1222" s="114" t="str">
        <f t="shared" ref="J1222:J1285" si="19">CONCATENATE("INSERT INTO DOCUMENTOS (NRO_DOCUMENTO,FECHA_EMISION,TOTAL_BRUTO,TOTAL_NETO,TOTAL_IVA, ID_TIPO, RUT_EMPLEADO, ID_CLIENTE) VALUES(",B1222,",","TO_DATE('",C1222,"'",",'DD-MM-YYYY'),",F1222,",",G1222,",",H1222,",",I1222,",","'",D1222,"',",E1222,");")</f>
        <v>INSERT INTO DOCUMENTOS (NRO_DOCUMENTO,FECHA_EMISION,TOTAL_BRUTO,TOTAL_NETO,TOTAL_IVA, ID_TIPO, RUT_EMPLEADO, ID_CLIENTE) VALUES(1218,TO_DATE('21-07-2025','DD-MM-YYYY'),4000,3361,639,1,'14526149-K',92);</v>
      </c>
    </row>
    <row r="1223" spans="1:10">
      <c r="A1223" s="149"/>
      <c r="B1223" s="149">
        <v>1219</v>
      </c>
      <c r="C1223" s="118" t="s">
        <v>2364</v>
      </c>
      <c r="D1223" t="s">
        <v>2090</v>
      </c>
      <c r="E1223" s="150">
        <v>323</v>
      </c>
      <c r="F1223" s="142">
        <v>20900</v>
      </c>
      <c r="G1223" s="143">
        <v>17563</v>
      </c>
      <c r="H1223" s="144">
        <v>3337</v>
      </c>
      <c r="I1223" s="140">
        <v>1</v>
      </c>
      <c r="J1223" s="114" t="str">
        <f t="shared" si="19"/>
        <v>INSERT INTO DOCUMENTOS (NRO_DOCUMENTO,FECHA_EMISION,TOTAL_BRUTO,TOTAL_NETO,TOTAL_IVA, ID_TIPO, RUT_EMPLEADO, ID_CLIENTE) VALUES(1219,TO_DATE('21-07-2025','DD-MM-YYYY'),20900,17563,3337,1,'14526149-K',323);</v>
      </c>
    </row>
    <row r="1224" spans="1:10">
      <c r="A1224" s="149"/>
      <c r="B1224" s="149">
        <v>1220</v>
      </c>
      <c r="C1224" s="118" t="s">
        <v>2364</v>
      </c>
      <c r="D1224" t="s">
        <v>2090</v>
      </c>
      <c r="E1224" s="150">
        <v>470</v>
      </c>
      <c r="F1224" s="142">
        <v>6000</v>
      </c>
      <c r="G1224" s="143">
        <v>5042</v>
      </c>
      <c r="H1224" s="144">
        <v>958</v>
      </c>
      <c r="I1224" s="140">
        <v>1</v>
      </c>
      <c r="J1224" s="114" t="str">
        <f t="shared" si="19"/>
        <v>INSERT INTO DOCUMENTOS (NRO_DOCUMENTO,FECHA_EMISION,TOTAL_BRUTO,TOTAL_NETO,TOTAL_IVA, ID_TIPO, RUT_EMPLEADO, ID_CLIENTE) VALUES(1220,TO_DATE('21-07-2025','DD-MM-YYYY'),6000,5042,958,1,'14526149-K',470);</v>
      </c>
    </row>
    <row r="1225" spans="1:10">
      <c r="A1225" s="149"/>
      <c r="B1225" s="149">
        <v>1221</v>
      </c>
      <c r="C1225" s="151" t="s">
        <v>2365</v>
      </c>
      <c r="D1225" t="s">
        <v>2090</v>
      </c>
      <c r="E1225" s="150">
        <v>82</v>
      </c>
      <c r="F1225" s="142">
        <v>11000</v>
      </c>
      <c r="G1225" s="143">
        <v>9244</v>
      </c>
      <c r="H1225" s="144">
        <v>1756</v>
      </c>
      <c r="I1225" s="140">
        <v>1</v>
      </c>
      <c r="J1225" s="114" t="str">
        <f t="shared" si="19"/>
        <v>INSERT INTO DOCUMENTOS (NRO_DOCUMENTO,FECHA_EMISION,TOTAL_BRUTO,TOTAL_NETO,TOTAL_IVA, ID_TIPO, RUT_EMPLEADO, ID_CLIENTE) VALUES(1221,TO_DATE('22-07-2025','DD-MM-YYYY'),11000,9244,1756,1,'14526149-K',82);</v>
      </c>
    </row>
    <row r="1226" spans="1:10">
      <c r="A1226" s="149"/>
      <c r="B1226" s="149">
        <v>1222</v>
      </c>
      <c r="C1226" s="118" t="s">
        <v>2365</v>
      </c>
      <c r="D1226" t="s">
        <v>2090</v>
      </c>
      <c r="E1226" s="150">
        <v>222</v>
      </c>
      <c r="F1226" s="142">
        <v>14000</v>
      </c>
      <c r="G1226" s="143">
        <v>11765</v>
      </c>
      <c r="H1226" s="144">
        <v>2235</v>
      </c>
      <c r="I1226" s="140">
        <v>1</v>
      </c>
      <c r="J1226" s="114" t="str">
        <f t="shared" si="19"/>
        <v>INSERT INTO DOCUMENTOS (NRO_DOCUMENTO,FECHA_EMISION,TOTAL_BRUTO,TOTAL_NETO,TOTAL_IVA, ID_TIPO, RUT_EMPLEADO, ID_CLIENTE) VALUES(1222,TO_DATE('22-07-2025','DD-MM-YYYY'),14000,11765,2235,1,'14526149-K',222);</v>
      </c>
    </row>
    <row r="1227" spans="1:10">
      <c r="A1227" s="149"/>
      <c r="B1227" s="149">
        <v>1223</v>
      </c>
      <c r="C1227" s="118" t="s">
        <v>2365</v>
      </c>
      <c r="D1227" t="s">
        <v>2090</v>
      </c>
      <c r="E1227" s="150">
        <v>315</v>
      </c>
      <c r="F1227" s="142">
        <v>7900</v>
      </c>
      <c r="G1227" s="143">
        <v>6639</v>
      </c>
      <c r="H1227" s="144">
        <v>1261</v>
      </c>
      <c r="I1227" s="140">
        <v>1</v>
      </c>
      <c r="J1227" s="114" t="str">
        <f t="shared" si="19"/>
        <v>INSERT INTO DOCUMENTOS (NRO_DOCUMENTO,FECHA_EMISION,TOTAL_BRUTO,TOTAL_NETO,TOTAL_IVA, ID_TIPO, RUT_EMPLEADO, ID_CLIENTE) VALUES(1223,TO_DATE('22-07-2025','DD-MM-YYYY'),7900,6639,1261,1,'14526149-K',315);</v>
      </c>
    </row>
    <row r="1228" spans="1:10">
      <c r="A1228" s="149"/>
      <c r="B1228" s="149">
        <v>1224</v>
      </c>
      <c r="C1228" s="118" t="s">
        <v>2365</v>
      </c>
      <c r="D1228" t="s">
        <v>2090</v>
      </c>
      <c r="E1228" s="150">
        <v>416</v>
      </c>
      <c r="F1228" s="142">
        <v>13000</v>
      </c>
      <c r="G1228" s="143">
        <v>10924</v>
      </c>
      <c r="H1228" s="144">
        <v>2076</v>
      </c>
      <c r="I1228" s="140">
        <v>1</v>
      </c>
      <c r="J1228" s="114" t="str">
        <f t="shared" si="19"/>
        <v>INSERT INTO DOCUMENTOS (NRO_DOCUMENTO,FECHA_EMISION,TOTAL_BRUTO,TOTAL_NETO,TOTAL_IVA, ID_TIPO, RUT_EMPLEADO, ID_CLIENTE) VALUES(1224,TO_DATE('22-07-2025','DD-MM-YYYY'),13000,10924,2076,1,'14526149-K',416);</v>
      </c>
    </row>
    <row r="1229" spans="1:10">
      <c r="A1229" s="149"/>
      <c r="B1229" s="149">
        <v>1225</v>
      </c>
      <c r="C1229" s="151" t="s">
        <v>2366</v>
      </c>
      <c r="D1229" t="s">
        <v>2090</v>
      </c>
      <c r="E1229" s="150">
        <v>82</v>
      </c>
      <c r="F1229" s="142">
        <v>17000</v>
      </c>
      <c r="G1229" s="143">
        <v>14286</v>
      </c>
      <c r="H1229" s="144">
        <v>2714</v>
      </c>
      <c r="I1229" s="140">
        <v>1</v>
      </c>
      <c r="J1229" s="114" t="str">
        <f t="shared" si="19"/>
        <v>INSERT INTO DOCUMENTOS (NRO_DOCUMENTO,FECHA_EMISION,TOTAL_BRUTO,TOTAL_NETO,TOTAL_IVA, ID_TIPO, RUT_EMPLEADO, ID_CLIENTE) VALUES(1225,TO_DATE('23-07-2025','DD-MM-YYYY'),17000,14286,2714,1,'14526149-K',82);</v>
      </c>
    </row>
    <row r="1230" spans="1:10">
      <c r="A1230" s="149"/>
      <c r="B1230" s="149">
        <v>1226</v>
      </c>
      <c r="C1230" s="118" t="s">
        <v>2366</v>
      </c>
      <c r="D1230" t="s">
        <v>2090</v>
      </c>
      <c r="E1230" s="150">
        <v>236</v>
      </c>
      <c r="F1230" s="142">
        <v>21000</v>
      </c>
      <c r="G1230" s="143">
        <v>17647</v>
      </c>
      <c r="H1230" s="144">
        <v>3353</v>
      </c>
      <c r="I1230" s="140">
        <v>1</v>
      </c>
      <c r="J1230" s="114" t="str">
        <f t="shared" si="19"/>
        <v>INSERT INTO DOCUMENTOS (NRO_DOCUMENTO,FECHA_EMISION,TOTAL_BRUTO,TOTAL_NETO,TOTAL_IVA, ID_TIPO, RUT_EMPLEADO, ID_CLIENTE) VALUES(1226,TO_DATE('23-07-2025','DD-MM-YYYY'),21000,17647,3353,1,'14526149-K',236);</v>
      </c>
    </row>
    <row r="1231" spans="1:10">
      <c r="A1231" s="149"/>
      <c r="B1231" s="149">
        <v>1227</v>
      </c>
      <c r="C1231" s="118" t="s">
        <v>2366</v>
      </c>
      <c r="D1231" t="s">
        <v>2090</v>
      </c>
      <c r="E1231" s="150">
        <v>349</v>
      </c>
      <c r="F1231" s="142">
        <v>16800</v>
      </c>
      <c r="G1231" s="143">
        <v>14118</v>
      </c>
      <c r="H1231" s="144">
        <v>2682</v>
      </c>
      <c r="I1231" s="140">
        <v>1</v>
      </c>
      <c r="J1231" s="114" t="str">
        <f t="shared" si="19"/>
        <v>INSERT INTO DOCUMENTOS (NRO_DOCUMENTO,FECHA_EMISION,TOTAL_BRUTO,TOTAL_NETO,TOTAL_IVA, ID_TIPO, RUT_EMPLEADO, ID_CLIENTE) VALUES(1227,TO_DATE('23-07-2025','DD-MM-YYYY'),16800,14118,2682,1,'14526149-K',349);</v>
      </c>
    </row>
    <row r="1232" spans="1:10">
      <c r="A1232" s="149"/>
      <c r="B1232" s="149">
        <v>1228</v>
      </c>
      <c r="C1232" s="151" t="s">
        <v>2367</v>
      </c>
      <c r="D1232" t="s">
        <v>2090</v>
      </c>
      <c r="E1232" s="150">
        <v>267</v>
      </c>
      <c r="F1232" s="142">
        <v>7500</v>
      </c>
      <c r="G1232" s="143">
        <v>6300</v>
      </c>
      <c r="H1232" s="144">
        <v>1200</v>
      </c>
      <c r="I1232" s="140">
        <v>1</v>
      </c>
      <c r="J1232" s="114" t="str">
        <f t="shared" si="19"/>
        <v>INSERT INTO DOCUMENTOS (NRO_DOCUMENTO,FECHA_EMISION,TOTAL_BRUTO,TOTAL_NETO,TOTAL_IVA, ID_TIPO, RUT_EMPLEADO, ID_CLIENTE) VALUES(1228,TO_DATE('24-07-2025','DD-MM-YYYY'),7500,6300,1200,1,'14526149-K',267);</v>
      </c>
    </row>
    <row r="1233" spans="1:10">
      <c r="A1233" s="149"/>
      <c r="B1233" s="149">
        <v>1229</v>
      </c>
      <c r="C1233" s="151" t="s">
        <v>2368</v>
      </c>
      <c r="D1233" t="s">
        <v>2090</v>
      </c>
      <c r="E1233" s="150">
        <v>119</v>
      </c>
      <c r="F1233" s="142">
        <v>25100</v>
      </c>
      <c r="G1233" s="143">
        <v>21093</v>
      </c>
      <c r="H1233" s="144">
        <v>4007</v>
      </c>
      <c r="I1233" s="140">
        <v>1</v>
      </c>
      <c r="J1233" s="114" t="str">
        <f t="shared" si="19"/>
        <v>INSERT INTO DOCUMENTOS (NRO_DOCUMENTO,FECHA_EMISION,TOTAL_BRUTO,TOTAL_NETO,TOTAL_IVA, ID_TIPO, RUT_EMPLEADO, ID_CLIENTE) VALUES(1229,TO_DATE('25-07-2025','DD-MM-YYYY'),25100,21093,4007,1,'14526149-K',119);</v>
      </c>
    </row>
    <row r="1234" spans="1:10">
      <c r="A1234" s="149"/>
      <c r="B1234" s="149">
        <v>1230</v>
      </c>
      <c r="C1234" s="118" t="s">
        <v>2368</v>
      </c>
      <c r="D1234" t="s">
        <v>2090</v>
      </c>
      <c r="E1234" s="150">
        <v>122</v>
      </c>
      <c r="F1234" s="142">
        <v>11200</v>
      </c>
      <c r="G1234" s="143">
        <v>9412</v>
      </c>
      <c r="H1234" s="144">
        <v>1788</v>
      </c>
      <c r="I1234" s="140">
        <v>1</v>
      </c>
      <c r="J1234" s="114" t="str">
        <f t="shared" si="19"/>
        <v>INSERT INTO DOCUMENTOS (NRO_DOCUMENTO,FECHA_EMISION,TOTAL_BRUTO,TOTAL_NETO,TOTAL_IVA, ID_TIPO, RUT_EMPLEADO, ID_CLIENTE) VALUES(1230,TO_DATE('25-07-2025','DD-MM-YYYY'),11200,9412,1788,1,'14526149-K',122);</v>
      </c>
    </row>
    <row r="1235" spans="1:10">
      <c r="A1235" s="149"/>
      <c r="B1235" s="149">
        <v>1231</v>
      </c>
      <c r="C1235" s="118" t="s">
        <v>2368</v>
      </c>
      <c r="D1235" t="s">
        <v>2090</v>
      </c>
      <c r="E1235" s="150">
        <v>147</v>
      </c>
      <c r="F1235" s="142">
        <v>7900</v>
      </c>
      <c r="G1235" s="143">
        <v>6639</v>
      </c>
      <c r="H1235" s="144">
        <v>1261</v>
      </c>
      <c r="I1235" s="140">
        <v>1</v>
      </c>
      <c r="J1235" s="114" t="str">
        <f t="shared" si="19"/>
        <v>INSERT INTO DOCUMENTOS (NRO_DOCUMENTO,FECHA_EMISION,TOTAL_BRUTO,TOTAL_NETO,TOTAL_IVA, ID_TIPO, RUT_EMPLEADO, ID_CLIENTE) VALUES(1231,TO_DATE('25-07-2025','DD-MM-YYYY'),7900,6639,1261,1,'14526149-K',147);</v>
      </c>
    </row>
    <row r="1236" spans="1:10">
      <c r="A1236" s="149"/>
      <c r="B1236" s="149">
        <v>1232</v>
      </c>
      <c r="C1236" s="118" t="s">
        <v>2368</v>
      </c>
      <c r="D1236" t="s">
        <v>2090</v>
      </c>
      <c r="E1236" s="150">
        <v>166</v>
      </c>
      <c r="F1236" s="142">
        <v>7900</v>
      </c>
      <c r="G1236" s="143">
        <v>6639</v>
      </c>
      <c r="H1236" s="144">
        <v>1261</v>
      </c>
      <c r="I1236" s="140">
        <v>1</v>
      </c>
      <c r="J1236" s="114" t="str">
        <f t="shared" si="19"/>
        <v>INSERT INTO DOCUMENTOS (NRO_DOCUMENTO,FECHA_EMISION,TOTAL_BRUTO,TOTAL_NETO,TOTAL_IVA, ID_TIPO, RUT_EMPLEADO, ID_CLIENTE) VALUES(1232,TO_DATE('25-07-2025','DD-MM-YYYY'),7900,6639,1261,1,'14526149-K',166);</v>
      </c>
    </row>
    <row r="1237" spans="1:10">
      <c r="A1237" s="149"/>
      <c r="B1237" s="149">
        <v>1233</v>
      </c>
      <c r="C1237" s="118" t="s">
        <v>2368</v>
      </c>
      <c r="D1237" t="s">
        <v>2090</v>
      </c>
      <c r="E1237" s="150">
        <v>230</v>
      </c>
      <c r="F1237" s="142">
        <v>16500</v>
      </c>
      <c r="G1237" s="143">
        <v>13865</v>
      </c>
      <c r="H1237" s="144">
        <v>2635</v>
      </c>
      <c r="I1237" s="140">
        <v>1</v>
      </c>
      <c r="J1237" s="114" t="str">
        <f t="shared" si="19"/>
        <v>INSERT INTO DOCUMENTOS (NRO_DOCUMENTO,FECHA_EMISION,TOTAL_BRUTO,TOTAL_NETO,TOTAL_IVA, ID_TIPO, RUT_EMPLEADO, ID_CLIENTE) VALUES(1233,TO_DATE('25-07-2025','DD-MM-YYYY'),16500,13865,2635,1,'14526149-K',230);</v>
      </c>
    </row>
    <row r="1238" spans="1:10">
      <c r="A1238" s="149"/>
      <c r="B1238" s="149">
        <v>1234</v>
      </c>
      <c r="C1238" s="118" t="s">
        <v>2368</v>
      </c>
      <c r="D1238" t="s">
        <v>2090</v>
      </c>
      <c r="E1238" s="150">
        <v>302</v>
      </c>
      <c r="F1238" s="142">
        <v>11000</v>
      </c>
      <c r="G1238" s="143">
        <v>9244</v>
      </c>
      <c r="H1238" s="144">
        <v>1756</v>
      </c>
      <c r="I1238" s="140">
        <v>1</v>
      </c>
      <c r="J1238" s="114" t="str">
        <f t="shared" si="19"/>
        <v>INSERT INTO DOCUMENTOS (NRO_DOCUMENTO,FECHA_EMISION,TOTAL_BRUTO,TOTAL_NETO,TOTAL_IVA, ID_TIPO, RUT_EMPLEADO, ID_CLIENTE) VALUES(1234,TO_DATE('25-07-2025','DD-MM-YYYY'),11000,9244,1756,1,'14526149-K',302);</v>
      </c>
    </row>
    <row r="1239" spans="1:10">
      <c r="A1239" s="149"/>
      <c r="B1239" s="149">
        <v>1235</v>
      </c>
      <c r="C1239" s="118" t="s">
        <v>2368</v>
      </c>
      <c r="D1239" t="s">
        <v>2090</v>
      </c>
      <c r="E1239" s="150">
        <v>386</v>
      </c>
      <c r="F1239" s="142">
        <v>48300</v>
      </c>
      <c r="G1239" s="143">
        <v>40588</v>
      </c>
      <c r="H1239" s="144">
        <v>7712</v>
      </c>
      <c r="I1239" s="140">
        <v>1</v>
      </c>
      <c r="J1239" s="114" t="str">
        <f t="shared" si="19"/>
        <v>INSERT INTO DOCUMENTOS (NRO_DOCUMENTO,FECHA_EMISION,TOTAL_BRUTO,TOTAL_NETO,TOTAL_IVA, ID_TIPO, RUT_EMPLEADO, ID_CLIENTE) VALUES(1235,TO_DATE('25-07-2025','DD-MM-YYYY'),48300,40588,7712,1,'14526149-K',386);</v>
      </c>
    </row>
    <row r="1240" spans="1:10">
      <c r="A1240" s="149"/>
      <c r="B1240" s="149">
        <v>1236</v>
      </c>
      <c r="C1240" s="151" t="s">
        <v>2369</v>
      </c>
      <c r="D1240" t="s">
        <v>2090</v>
      </c>
      <c r="E1240" s="150">
        <v>56</v>
      </c>
      <c r="F1240" s="142">
        <v>16900</v>
      </c>
      <c r="G1240" s="143">
        <v>14202</v>
      </c>
      <c r="H1240" s="144">
        <v>2698</v>
      </c>
      <c r="I1240" s="140">
        <v>1</v>
      </c>
      <c r="J1240" s="114" t="str">
        <f t="shared" si="19"/>
        <v>INSERT INTO DOCUMENTOS (NRO_DOCUMENTO,FECHA_EMISION,TOTAL_BRUTO,TOTAL_NETO,TOTAL_IVA, ID_TIPO, RUT_EMPLEADO, ID_CLIENTE) VALUES(1236,TO_DATE('26-07-2025','DD-MM-YYYY'),16900,14202,2698,1,'14526149-K',56);</v>
      </c>
    </row>
    <row r="1241" spans="1:10">
      <c r="A1241" s="149"/>
      <c r="B1241" s="149">
        <v>1237</v>
      </c>
      <c r="C1241" s="118" t="s">
        <v>2369</v>
      </c>
      <c r="D1241" t="s">
        <v>2090</v>
      </c>
      <c r="E1241" s="150">
        <v>57</v>
      </c>
      <c r="F1241" s="142">
        <v>7900</v>
      </c>
      <c r="G1241" s="143">
        <v>6639</v>
      </c>
      <c r="H1241" s="144">
        <v>1261</v>
      </c>
      <c r="I1241" s="140">
        <v>1</v>
      </c>
      <c r="J1241" s="114" t="str">
        <f t="shared" si="19"/>
        <v>INSERT INTO DOCUMENTOS (NRO_DOCUMENTO,FECHA_EMISION,TOTAL_BRUTO,TOTAL_NETO,TOTAL_IVA, ID_TIPO, RUT_EMPLEADO, ID_CLIENTE) VALUES(1237,TO_DATE('26-07-2025','DD-MM-YYYY'),7900,6639,1261,1,'14526149-K',57);</v>
      </c>
    </row>
    <row r="1242" spans="1:10">
      <c r="A1242" s="149"/>
      <c r="B1242" s="149">
        <v>1238</v>
      </c>
      <c r="C1242" s="118" t="s">
        <v>2369</v>
      </c>
      <c r="D1242" t="s">
        <v>2090</v>
      </c>
      <c r="E1242" s="150">
        <v>76</v>
      </c>
      <c r="F1242" s="142">
        <v>11000</v>
      </c>
      <c r="G1242" s="143">
        <v>9244</v>
      </c>
      <c r="H1242" s="144">
        <v>1756</v>
      </c>
      <c r="I1242" s="140">
        <v>1</v>
      </c>
      <c r="J1242" s="114" t="str">
        <f t="shared" si="19"/>
        <v>INSERT INTO DOCUMENTOS (NRO_DOCUMENTO,FECHA_EMISION,TOTAL_BRUTO,TOTAL_NETO,TOTAL_IVA, ID_TIPO, RUT_EMPLEADO, ID_CLIENTE) VALUES(1238,TO_DATE('26-07-2025','DD-MM-YYYY'),11000,9244,1756,1,'14526149-K',76);</v>
      </c>
    </row>
    <row r="1243" spans="1:10">
      <c r="A1243" s="149"/>
      <c r="B1243" s="149">
        <v>1239</v>
      </c>
      <c r="C1243" s="118" t="s">
        <v>2369</v>
      </c>
      <c r="D1243" t="s">
        <v>2090</v>
      </c>
      <c r="E1243" s="150">
        <v>98</v>
      </c>
      <c r="F1243" s="142">
        <v>6000</v>
      </c>
      <c r="G1243" s="143">
        <v>5042</v>
      </c>
      <c r="H1243" s="144">
        <v>958</v>
      </c>
      <c r="I1243" s="140">
        <v>1</v>
      </c>
      <c r="J1243" s="114" t="str">
        <f t="shared" si="19"/>
        <v>INSERT INTO DOCUMENTOS (NRO_DOCUMENTO,FECHA_EMISION,TOTAL_BRUTO,TOTAL_NETO,TOTAL_IVA, ID_TIPO, RUT_EMPLEADO, ID_CLIENTE) VALUES(1239,TO_DATE('26-07-2025','DD-MM-YYYY'),6000,5042,958,1,'14526149-K',98);</v>
      </c>
    </row>
    <row r="1244" spans="1:10">
      <c r="A1244" s="149"/>
      <c r="B1244" s="149">
        <v>1240</v>
      </c>
      <c r="C1244" s="118" t="s">
        <v>2369</v>
      </c>
      <c r="D1244" t="s">
        <v>2090</v>
      </c>
      <c r="E1244" s="150">
        <v>166</v>
      </c>
      <c r="F1244" s="142">
        <v>6000</v>
      </c>
      <c r="G1244" s="143">
        <v>5042</v>
      </c>
      <c r="H1244" s="144">
        <v>958</v>
      </c>
      <c r="I1244" s="140">
        <v>1</v>
      </c>
      <c r="J1244" s="114" t="str">
        <f t="shared" si="19"/>
        <v>INSERT INTO DOCUMENTOS (NRO_DOCUMENTO,FECHA_EMISION,TOTAL_BRUTO,TOTAL_NETO,TOTAL_IVA, ID_TIPO, RUT_EMPLEADO, ID_CLIENTE) VALUES(1240,TO_DATE('26-07-2025','DD-MM-YYYY'),6000,5042,958,1,'14526149-K',166);</v>
      </c>
    </row>
    <row r="1245" spans="1:10">
      <c r="A1245" s="149"/>
      <c r="B1245" s="149">
        <v>1241</v>
      </c>
      <c r="C1245" s="118" t="s">
        <v>2369</v>
      </c>
      <c r="D1245" t="s">
        <v>2090</v>
      </c>
      <c r="E1245" s="150">
        <v>219</v>
      </c>
      <c r="F1245" s="142">
        <v>20900</v>
      </c>
      <c r="G1245" s="143">
        <v>17563</v>
      </c>
      <c r="H1245" s="144">
        <v>3337</v>
      </c>
      <c r="I1245" s="140">
        <v>1</v>
      </c>
      <c r="J1245" s="114" t="str">
        <f t="shared" si="19"/>
        <v>INSERT INTO DOCUMENTOS (NRO_DOCUMENTO,FECHA_EMISION,TOTAL_BRUTO,TOTAL_NETO,TOTAL_IVA, ID_TIPO, RUT_EMPLEADO, ID_CLIENTE) VALUES(1241,TO_DATE('26-07-2025','DD-MM-YYYY'),20900,17563,3337,1,'14526149-K',219);</v>
      </c>
    </row>
    <row r="1246" spans="1:10">
      <c r="A1246" s="149"/>
      <c r="B1246" s="149">
        <v>1242</v>
      </c>
      <c r="C1246" s="151" t="s">
        <v>2370</v>
      </c>
      <c r="D1246" t="s">
        <v>2090</v>
      </c>
      <c r="E1246" s="150">
        <v>108</v>
      </c>
      <c r="F1246" s="142">
        <v>8550</v>
      </c>
      <c r="G1246" s="143">
        <v>7186</v>
      </c>
      <c r="H1246" s="144">
        <v>1364</v>
      </c>
      <c r="I1246" s="140">
        <v>1</v>
      </c>
      <c r="J1246" s="114" t="str">
        <f t="shared" si="19"/>
        <v>INSERT INTO DOCUMENTOS (NRO_DOCUMENTO,FECHA_EMISION,TOTAL_BRUTO,TOTAL_NETO,TOTAL_IVA, ID_TIPO, RUT_EMPLEADO, ID_CLIENTE) VALUES(1242,TO_DATE('27-07-2025','DD-MM-YYYY'),8550,7186,1364,1,'14526149-K',108);</v>
      </c>
    </row>
    <row r="1247" spans="1:10">
      <c r="A1247" s="149"/>
      <c r="B1247" s="149">
        <v>1243</v>
      </c>
      <c r="C1247" s="118" t="s">
        <v>2370</v>
      </c>
      <c r="D1247" t="s">
        <v>2090</v>
      </c>
      <c r="E1247" s="150">
        <v>416</v>
      </c>
      <c r="F1247" s="142">
        <v>6000</v>
      </c>
      <c r="G1247" s="143">
        <v>5042</v>
      </c>
      <c r="H1247" s="144">
        <v>958</v>
      </c>
      <c r="I1247" s="140">
        <v>1</v>
      </c>
      <c r="J1247" s="114" t="str">
        <f t="shared" si="19"/>
        <v>INSERT INTO DOCUMENTOS (NRO_DOCUMENTO,FECHA_EMISION,TOTAL_BRUTO,TOTAL_NETO,TOTAL_IVA, ID_TIPO, RUT_EMPLEADO, ID_CLIENTE) VALUES(1243,TO_DATE('27-07-2025','DD-MM-YYYY'),6000,5042,958,1,'14526149-K',416);</v>
      </c>
    </row>
    <row r="1248" spans="1:10">
      <c r="A1248" s="149"/>
      <c r="B1248" s="149">
        <v>1244</v>
      </c>
      <c r="C1248" s="151" t="s">
        <v>2371</v>
      </c>
      <c r="D1248" t="s">
        <v>2090</v>
      </c>
      <c r="E1248" s="150">
        <v>48</v>
      </c>
      <c r="F1248" s="142">
        <v>23600</v>
      </c>
      <c r="G1248" s="143">
        <v>19832</v>
      </c>
      <c r="H1248" s="144">
        <v>3768</v>
      </c>
      <c r="I1248" s="140">
        <v>1</v>
      </c>
      <c r="J1248" s="114" t="str">
        <f t="shared" si="19"/>
        <v>INSERT INTO DOCUMENTOS (NRO_DOCUMENTO,FECHA_EMISION,TOTAL_BRUTO,TOTAL_NETO,TOTAL_IVA, ID_TIPO, RUT_EMPLEADO, ID_CLIENTE) VALUES(1244,TO_DATE('28-07-2025','DD-MM-YYYY'),23600,19832,3768,1,'14526149-K',48);</v>
      </c>
    </row>
    <row r="1249" spans="1:10">
      <c r="A1249" s="149"/>
      <c r="B1249" s="149">
        <v>1245</v>
      </c>
      <c r="C1249" s="118" t="s">
        <v>2371</v>
      </c>
      <c r="D1249" t="s">
        <v>2090</v>
      </c>
      <c r="E1249" s="150">
        <v>230</v>
      </c>
      <c r="F1249" s="142">
        <v>23000</v>
      </c>
      <c r="G1249" s="143">
        <v>19327</v>
      </c>
      <c r="H1249" s="144">
        <v>3673</v>
      </c>
      <c r="I1249" s="140">
        <v>1</v>
      </c>
      <c r="J1249" s="114" t="str">
        <f t="shared" si="19"/>
        <v>INSERT INTO DOCUMENTOS (NRO_DOCUMENTO,FECHA_EMISION,TOTAL_BRUTO,TOTAL_NETO,TOTAL_IVA, ID_TIPO, RUT_EMPLEADO, ID_CLIENTE) VALUES(1245,TO_DATE('28-07-2025','DD-MM-YYYY'),23000,19327,3673,1,'14526149-K',230);</v>
      </c>
    </row>
    <row r="1250" spans="1:10">
      <c r="A1250" s="149"/>
      <c r="B1250" s="149">
        <v>1246</v>
      </c>
      <c r="C1250" s="118" t="s">
        <v>2371</v>
      </c>
      <c r="D1250" t="s">
        <v>2090</v>
      </c>
      <c r="E1250" s="150">
        <v>267</v>
      </c>
      <c r="F1250" s="142">
        <v>1800</v>
      </c>
      <c r="G1250" s="143">
        <v>1513</v>
      </c>
      <c r="H1250" s="144">
        <v>287</v>
      </c>
      <c r="I1250" s="140">
        <v>1</v>
      </c>
      <c r="J1250" s="114" t="str">
        <f t="shared" si="19"/>
        <v>INSERT INTO DOCUMENTOS (NRO_DOCUMENTO,FECHA_EMISION,TOTAL_BRUTO,TOTAL_NETO,TOTAL_IVA, ID_TIPO, RUT_EMPLEADO, ID_CLIENTE) VALUES(1246,TO_DATE('28-07-2025','DD-MM-YYYY'),1800,1513,287,1,'14526149-K',267);</v>
      </c>
    </row>
    <row r="1251" spans="1:10">
      <c r="A1251" s="149"/>
      <c r="B1251" s="149">
        <v>1247</v>
      </c>
      <c r="C1251" s="118" t="s">
        <v>2371</v>
      </c>
      <c r="D1251" t="s">
        <v>2090</v>
      </c>
      <c r="E1251" s="150">
        <v>353</v>
      </c>
      <c r="F1251" s="142">
        <v>7900</v>
      </c>
      <c r="G1251" s="143">
        <v>6639</v>
      </c>
      <c r="H1251" s="144">
        <v>1261</v>
      </c>
      <c r="I1251" s="140">
        <v>1</v>
      </c>
      <c r="J1251" s="114" t="str">
        <f t="shared" si="19"/>
        <v>INSERT INTO DOCUMENTOS (NRO_DOCUMENTO,FECHA_EMISION,TOTAL_BRUTO,TOTAL_NETO,TOTAL_IVA, ID_TIPO, RUT_EMPLEADO, ID_CLIENTE) VALUES(1247,TO_DATE('28-07-2025','DD-MM-YYYY'),7900,6639,1261,1,'14526149-K',353);</v>
      </c>
    </row>
    <row r="1252" spans="1:10">
      <c r="A1252" s="149"/>
      <c r="B1252" s="149">
        <v>1248</v>
      </c>
      <c r="C1252" s="118" t="s">
        <v>2371</v>
      </c>
      <c r="D1252" t="s">
        <v>2090</v>
      </c>
      <c r="E1252" s="150">
        <v>451</v>
      </c>
      <c r="F1252" s="142">
        <v>7200</v>
      </c>
      <c r="G1252" s="143">
        <v>6050</v>
      </c>
      <c r="H1252" s="144">
        <v>1150</v>
      </c>
      <c r="I1252" s="140">
        <v>1</v>
      </c>
      <c r="J1252" s="114" t="str">
        <f t="shared" si="19"/>
        <v>INSERT INTO DOCUMENTOS (NRO_DOCUMENTO,FECHA_EMISION,TOTAL_BRUTO,TOTAL_NETO,TOTAL_IVA, ID_TIPO, RUT_EMPLEADO, ID_CLIENTE) VALUES(1248,TO_DATE('28-07-2025','DD-MM-YYYY'),7200,6050,1150,1,'14526149-K',451);</v>
      </c>
    </row>
    <row r="1253" spans="1:10">
      <c r="A1253" s="149"/>
      <c r="B1253" s="149">
        <v>1249</v>
      </c>
      <c r="C1253" s="151" t="s">
        <v>2372</v>
      </c>
      <c r="D1253" t="s">
        <v>2090</v>
      </c>
      <c r="E1253" s="150">
        <v>63</v>
      </c>
      <c r="F1253" s="142">
        <v>8000</v>
      </c>
      <c r="G1253" s="143">
        <v>6723</v>
      </c>
      <c r="H1253" s="144">
        <v>1277</v>
      </c>
      <c r="I1253" s="140">
        <v>1</v>
      </c>
      <c r="J1253" s="114" t="str">
        <f t="shared" si="19"/>
        <v>INSERT INTO DOCUMENTOS (NRO_DOCUMENTO,FECHA_EMISION,TOTAL_BRUTO,TOTAL_NETO,TOTAL_IVA, ID_TIPO, RUT_EMPLEADO, ID_CLIENTE) VALUES(1249,TO_DATE('29-07-2025','DD-MM-YYYY'),8000,6723,1277,1,'14526149-K',63);</v>
      </c>
    </row>
    <row r="1254" spans="1:10">
      <c r="A1254" s="149"/>
      <c r="B1254" s="150">
        <v>1250</v>
      </c>
      <c r="C1254" s="118" t="s">
        <v>2372</v>
      </c>
      <c r="D1254" t="s">
        <v>2090</v>
      </c>
      <c r="E1254" s="150">
        <v>72</v>
      </c>
      <c r="F1254" s="142">
        <v>6000</v>
      </c>
      <c r="G1254" s="143">
        <v>5042</v>
      </c>
      <c r="H1254" s="144">
        <v>958</v>
      </c>
      <c r="I1254" s="140">
        <v>1</v>
      </c>
      <c r="J1254" s="114" t="str">
        <f t="shared" si="19"/>
        <v>INSERT INTO DOCUMENTOS (NRO_DOCUMENTO,FECHA_EMISION,TOTAL_BRUTO,TOTAL_NETO,TOTAL_IVA, ID_TIPO, RUT_EMPLEADO, ID_CLIENTE) VALUES(1250,TO_DATE('29-07-2025','DD-MM-YYYY'),6000,5042,958,1,'14526149-K',72);</v>
      </c>
    </row>
    <row r="1255" spans="1:10">
      <c r="A1255" s="149"/>
      <c r="B1255" s="149">
        <v>1251</v>
      </c>
      <c r="C1255" s="118" t="s">
        <v>2372</v>
      </c>
      <c r="D1255" t="s">
        <v>2090</v>
      </c>
      <c r="E1255" s="150">
        <v>135</v>
      </c>
      <c r="F1255" s="142">
        <v>31600</v>
      </c>
      <c r="G1255" s="143">
        <v>26555</v>
      </c>
      <c r="H1255" s="144">
        <v>5045</v>
      </c>
      <c r="I1255" s="140">
        <v>1</v>
      </c>
      <c r="J1255" s="114" t="str">
        <f t="shared" si="19"/>
        <v>INSERT INTO DOCUMENTOS (NRO_DOCUMENTO,FECHA_EMISION,TOTAL_BRUTO,TOTAL_NETO,TOTAL_IVA, ID_TIPO, RUT_EMPLEADO, ID_CLIENTE) VALUES(1251,TO_DATE('29-07-2025','DD-MM-YYYY'),31600,26555,5045,1,'14526149-K',135);</v>
      </c>
    </row>
    <row r="1256" spans="1:10">
      <c r="A1256" s="149"/>
      <c r="B1256" s="149">
        <v>1252</v>
      </c>
      <c r="C1256" s="118" t="s">
        <v>2372</v>
      </c>
      <c r="D1256" t="s">
        <v>2090</v>
      </c>
      <c r="E1256" s="150">
        <v>155</v>
      </c>
      <c r="F1256" s="142">
        <v>8000</v>
      </c>
      <c r="G1256" s="143">
        <v>6723</v>
      </c>
      <c r="H1256" s="144">
        <v>1277</v>
      </c>
      <c r="I1256" s="140">
        <v>1</v>
      </c>
      <c r="J1256" s="114" t="str">
        <f t="shared" si="19"/>
        <v>INSERT INTO DOCUMENTOS (NRO_DOCUMENTO,FECHA_EMISION,TOTAL_BRUTO,TOTAL_NETO,TOTAL_IVA, ID_TIPO, RUT_EMPLEADO, ID_CLIENTE) VALUES(1252,TO_DATE('29-07-2025','DD-MM-YYYY'),8000,6723,1277,1,'14526149-K',155);</v>
      </c>
    </row>
    <row r="1257" spans="1:10">
      <c r="A1257" s="149"/>
      <c r="B1257" s="149">
        <v>1253</v>
      </c>
      <c r="C1257" s="118" t="s">
        <v>2372</v>
      </c>
      <c r="D1257" t="s">
        <v>2090</v>
      </c>
      <c r="E1257" s="150">
        <v>254</v>
      </c>
      <c r="F1257" s="142">
        <v>25000</v>
      </c>
      <c r="G1257" s="143">
        <v>21009</v>
      </c>
      <c r="H1257" s="144">
        <v>3991</v>
      </c>
      <c r="I1257" s="140">
        <v>1</v>
      </c>
      <c r="J1257" s="114" t="str">
        <f t="shared" si="19"/>
        <v>INSERT INTO DOCUMENTOS (NRO_DOCUMENTO,FECHA_EMISION,TOTAL_BRUTO,TOTAL_NETO,TOTAL_IVA, ID_TIPO, RUT_EMPLEADO, ID_CLIENTE) VALUES(1253,TO_DATE('29-07-2025','DD-MM-YYYY'),25000,21009,3991,1,'14526149-K',254);</v>
      </c>
    </row>
    <row r="1258" spans="1:10">
      <c r="A1258" s="149"/>
      <c r="B1258" s="149">
        <v>1254</v>
      </c>
      <c r="C1258" s="118" t="s">
        <v>2372</v>
      </c>
      <c r="D1258" t="s">
        <v>2090</v>
      </c>
      <c r="E1258" s="150">
        <v>408</v>
      </c>
      <c r="F1258" s="142">
        <v>17500</v>
      </c>
      <c r="G1258" s="143">
        <v>14706</v>
      </c>
      <c r="H1258" s="144">
        <v>2794</v>
      </c>
      <c r="I1258" s="140">
        <v>1</v>
      </c>
      <c r="J1258" s="114" t="str">
        <f t="shared" si="19"/>
        <v>INSERT INTO DOCUMENTOS (NRO_DOCUMENTO,FECHA_EMISION,TOTAL_BRUTO,TOTAL_NETO,TOTAL_IVA, ID_TIPO, RUT_EMPLEADO, ID_CLIENTE) VALUES(1254,TO_DATE('29-07-2025','DD-MM-YYYY'),17500,14706,2794,1,'14526149-K',408);</v>
      </c>
    </row>
    <row r="1259" spans="1:10">
      <c r="A1259" s="149"/>
      <c r="B1259" s="149">
        <v>1255</v>
      </c>
      <c r="C1259" s="118" t="s">
        <v>2372</v>
      </c>
      <c r="D1259" t="s">
        <v>2090</v>
      </c>
      <c r="E1259" s="150">
        <v>411</v>
      </c>
      <c r="F1259" s="142">
        <v>24000</v>
      </c>
      <c r="G1259" s="143">
        <v>20168</v>
      </c>
      <c r="H1259" s="144">
        <v>3832</v>
      </c>
      <c r="I1259" s="140">
        <v>1</v>
      </c>
      <c r="J1259" s="114" t="str">
        <f t="shared" si="19"/>
        <v>INSERT INTO DOCUMENTOS (NRO_DOCUMENTO,FECHA_EMISION,TOTAL_BRUTO,TOTAL_NETO,TOTAL_IVA, ID_TIPO, RUT_EMPLEADO, ID_CLIENTE) VALUES(1255,TO_DATE('29-07-2025','DD-MM-YYYY'),24000,20168,3832,1,'14526149-K',411);</v>
      </c>
    </row>
    <row r="1260" spans="1:10">
      <c r="A1260" s="149"/>
      <c r="B1260" s="149">
        <v>1256</v>
      </c>
      <c r="C1260" s="151" t="s">
        <v>2373</v>
      </c>
      <c r="D1260" t="s">
        <v>2090</v>
      </c>
      <c r="E1260" s="150">
        <v>23</v>
      </c>
      <c r="F1260" s="142">
        <v>8000</v>
      </c>
      <c r="G1260" s="143">
        <v>6723</v>
      </c>
      <c r="H1260" s="144">
        <v>1277</v>
      </c>
      <c r="I1260" s="140">
        <v>1</v>
      </c>
      <c r="J1260" s="114" t="str">
        <f t="shared" si="19"/>
        <v>INSERT INTO DOCUMENTOS (NRO_DOCUMENTO,FECHA_EMISION,TOTAL_BRUTO,TOTAL_NETO,TOTAL_IVA, ID_TIPO, RUT_EMPLEADO, ID_CLIENTE) VALUES(1256,TO_DATE('30-07-2025','DD-MM-YYYY'),8000,6723,1277,1,'14526149-K',23);</v>
      </c>
    </row>
    <row r="1261" spans="1:10">
      <c r="A1261" s="149"/>
      <c r="B1261" s="149">
        <v>1257</v>
      </c>
      <c r="C1261" s="118" t="s">
        <v>2373</v>
      </c>
      <c r="D1261" t="s">
        <v>2090</v>
      </c>
      <c r="E1261" s="150">
        <v>108</v>
      </c>
      <c r="F1261" s="142">
        <v>2500</v>
      </c>
      <c r="G1261" s="143">
        <v>2101</v>
      </c>
      <c r="H1261" s="144">
        <v>399</v>
      </c>
      <c r="I1261" s="140">
        <v>1</v>
      </c>
      <c r="J1261" s="114" t="str">
        <f t="shared" si="19"/>
        <v>INSERT INTO DOCUMENTOS (NRO_DOCUMENTO,FECHA_EMISION,TOTAL_BRUTO,TOTAL_NETO,TOTAL_IVA, ID_TIPO, RUT_EMPLEADO, ID_CLIENTE) VALUES(1257,TO_DATE('30-07-2025','DD-MM-YYYY'),2500,2101,399,1,'14526149-K',108);</v>
      </c>
    </row>
    <row r="1262" spans="1:10">
      <c r="A1262" s="149"/>
      <c r="B1262" s="149">
        <v>1258</v>
      </c>
      <c r="C1262" s="118" t="s">
        <v>2373</v>
      </c>
      <c r="D1262" t="s">
        <v>2090</v>
      </c>
      <c r="E1262" s="150">
        <v>407</v>
      </c>
      <c r="F1262" s="142">
        <v>8000</v>
      </c>
      <c r="G1262" s="143">
        <v>6723</v>
      </c>
      <c r="H1262" s="144">
        <v>1277</v>
      </c>
      <c r="I1262" s="140">
        <v>1</v>
      </c>
      <c r="J1262" s="114" t="str">
        <f t="shared" si="19"/>
        <v>INSERT INTO DOCUMENTOS (NRO_DOCUMENTO,FECHA_EMISION,TOTAL_BRUTO,TOTAL_NETO,TOTAL_IVA, ID_TIPO, RUT_EMPLEADO, ID_CLIENTE) VALUES(1258,TO_DATE('30-07-2025','DD-MM-YYYY'),8000,6723,1277,1,'14526149-K',407);</v>
      </c>
    </row>
    <row r="1263" spans="1:10">
      <c r="A1263" s="149"/>
      <c r="B1263" s="149">
        <v>1259</v>
      </c>
      <c r="C1263" s="118" t="s">
        <v>2373</v>
      </c>
      <c r="D1263" t="s">
        <v>2090</v>
      </c>
      <c r="E1263" s="150">
        <v>427</v>
      </c>
      <c r="F1263" s="142">
        <v>23900</v>
      </c>
      <c r="G1263" s="143">
        <v>20084</v>
      </c>
      <c r="H1263" s="144">
        <v>3816</v>
      </c>
      <c r="I1263" s="140">
        <v>1</v>
      </c>
      <c r="J1263" s="114" t="str">
        <f t="shared" si="19"/>
        <v>INSERT INTO DOCUMENTOS (NRO_DOCUMENTO,FECHA_EMISION,TOTAL_BRUTO,TOTAL_NETO,TOTAL_IVA, ID_TIPO, RUT_EMPLEADO, ID_CLIENTE) VALUES(1259,TO_DATE('30-07-2025','DD-MM-YYYY'),23900,20084,3816,1,'14526149-K',427);</v>
      </c>
    </row>
    <row r="1264" spans="1:10">
      <c r="A1264" s="149"/>
      <c r="B1264" s="149">
        <v>1260</v>
      </c>
      <c r="C1264" s="118" t="s">
        <v>2373</v>
      </c>
      <c r="D1264" t="s">
        <v>2090</v>
      </c>
      <c r="E1264" s="150">
        <v>483</v>
      </c>
      <c r="F1264" s="142">
        <v>99550</v>
      </c>
      <c r="G1264" s="143">
        <v>83654</v>
      </c>
      <c r="H1264" s="144">
        <v>15896</v>
      </c>
      <c r="I1264" s="140">
        <v>1</v>
      </c>
      <c r="J1264" s="114" t="str">
        <f t="shared" si="19"/>
        <v>INSERT INTO DOCUMENTOS (NRO_DOCUMENTO,FECHA_EMISION,TOTAL_BRUTO,TOTAL_NETO,TOTAL_IVA, ID_TIPO, RUT_EMPLEADO, ID_CLIENTE) VALUES(1260,TO_DATE('30-07-2025','DD-MM-YYYY'),99550,83654,15896,1,'14526149-K',483);</v>
      </c>
    </row>
    <row r="1265" spans="1:10">
      <c r="A1265" s="149"/>
      <c r="B1265" s="149">
        <v>1261</v>
      </c>
      <c r="C1265" s="151" t="s">
        <v>2374</v>
      </c>
      <c r="D1265" t="s">
        <v>2090</v>
      </c>
      <c r="E1265" s="150">
        <v>21</v>
      </c>
      <c r="F1265" s="142">
        <v>32000</v>
      </c>
      <c r="G1265" s="143">
        <v>26891</v>
      </c>
      <c r="H1265" s="144">
        <v>5109</v>
      </c>
      <c r="I1265" s="140">
        <v>1</v>
      </c>
      <c r="J1265" s="114" t="str">
        <f t="shared" si="19"/>
        <v>INSERT INTO DOCUMENTOS (NRO_DOCUMENTO,FECHA_EMISION,TOTAL_BRUTO,TOTAL_NETO,TOTAL_IVA, ID_TIPO, RUT_EMPLEADO, ID_CLIENTE) VALUES(1261,TO_DATE('31-07-2025','DD-MM-YYYY'),32000,26891,5109,1,'14526149-K',21);</v>
      </c>
    </row>
    <row r="1266" spans="1:10">
      <c r="A1266" s="149"/>
      <c r="B1266" s="149">
        <v>1262</v>
      </c>
      <c r="C1266" s="118" t="s">
        <v>2374</v>
      </c>
      <c r="D1266" t="s">
        <v>2090</v>
      </c>
      <c r="E1266" s="150">
        <v>41</v>
      </c>
      <c r="F1266" s="142">
        <v>32000</v>
      </c>
      <c r="G1266" s="143">
        <v>26891</v>
      </c>
      <c r="H1266" s="144">
        <v>5109</v>
      </c>
      <c r="I1266" s="140">
        <v>1</v>
      </c>
      <c r="J1266" s="114" t="str">
        <f t="shared" si="19"/>
        <v>INSERT INTO DOCUMENTOS (NRO_DOCUMENTO,FECHA_EMISION,TOTAL_BRUTO,TOTAL_NETO,TOTAL_IVA, ID_TIPO, RUT_EMPLEADO, ID_CLIENTE) VALUES(1262,TO_DATE('31-07-2025','DD-MM-YYYY'),32000,26891,5109,1,'14526149-K',41);</v>
      </c>
    </row>
    <row r="1267" spans="1:10">
      <c r="A1267" s="149"/>
      <c r="B1267" s="149">
        <v>1263</v>
      </c>
      <c r="C1267" s="118" t="s">
        <v>2374</v>
      </c>
      <c r="D1267" t="s">
        <v>2090</v>
      </c>
      <c r="E1267" s="150">
        <v>163</v>
      </c>
      <c r="F1267" s="142">
        <v>20900</v>
      </c>
      <c r="G1267" s="143">
        <v>17563</v>
      </c>
      <c r="H1267" s="144">
        <v>3337</v>
      </c>
      <c r="I1267" s="140">
        <v>1</v>
      </c>
      <c r="J1267" s="114" t="str">
        <f t="shared" si="19"/>
        <v>INSERT INTO DOCUMENTOS (NRO_DOCUMENTO,FECHA_EMISION,TOTAL_BRUTO,TOTAL_NETO,TOTAL_IVA, ID_TIPO, RUT_EMPLEADO, ID_CLIENTE) VALUES(1263,TO_DATE('31-07-2025','DD-MM-YYYY'),20900,17563,3337,1,'14526149-K',163);</v>
      </c>
    </row>
    <row r="1268" spans="1:10">
      <c r="A1268" s="149"/>
      <c r="B1268" s="149">
        <v>1264</v>
      </c>
      <c r="C1268" s="118" t="s">
        <v>2374</v>
      </c>
      <c r="D1268" t="s">
        <v>2090</v>
      </c>
      <c r="E1268" s="150">
        <v>212</v>
      </c>
      <c r="F1268" s="142">
        <v>8000</v>
      </c>
      <c r="G1268" s="143">
        <v>6723</v>
      </c>
      <c r="H1268" s="144">
        <v>1277</v>
      </c>
      <c r="I1268" s="140">
        <v>1</v>
      </c>
      <c r="J1268" s="114" t="str">
        <f t="shared" si="19"/>
        <v>INSERT INTO DOCUMENTOS (NRO_DOCUMENTO,FECHA_EMISION,TOTAL_BRUTO,TOTAL_NETO,TOTAL_IVA, ID_TIPO, RUT_EMPLEADO, ID_CLIENTE) VALUES(1264,TO_DATE('31-07-2025','DD-MM-YYYY'),8000,6723,1277,1,'14526149-K',212);</v>
      </c>
    </row>
    <row r="1269" spans="1:10">
      <c r="A1269" s="149"/>
      <c r="B1269" s="149">
        <v>1265</v>
      </c>
      <c r="C1269" s="118" t="s">
        <v>2374</v>
      </c>
      <c r="D1269" t="s">
        <v>2090</v>
      </c>
      <c r="E1269" s="150">
        <v>229</v>
      </c>
      <c r="F1269" s="142">
        <v>32000</v>
      </c>
      <c r="G1269" s="143">
        <v>26891</v>
      </c>
      <c r="H1269" s="144">
        <v>5109</v>
      </c>
      <c r="I1269" s="140">
        <v>1</v>
      </c>
      <c r="J1269" s="114" t="str">
        <f t="shared" si="19"/>
        <v>INSERT INTO DOCUMENTOS (NRO_DOCUMENTO,FECHA_EMISION,TOTAL_BRUTO,TOTAL_NETO,TOTAL_IVA, ID_TIPO, RUT_EMPLEADO, ID_CLIENTE) VALUES(1265,TO_DATE('31-07-2025','DD-MM-YYYY'),32000,26891,5109,1,'14526149-K',229);</v>
      </c>
    </row>
    <row r="1270" spans="1:10">
      <c r="A1270" s="149"/>
      <c r="B1270" s="149">
        <v>1266</v>
      </c>
      <c r="C1270" s="118" t="s">
        <v>2374</v>
      </c>
      <c r="D1270" t="s">
        <v>2090</v>
      </c>
      <c r="E1270" s="150">
        <v>306</v>
      </c>
      <c r="F1270" s="142">
        <v>44000</v>
      </c>
      <c r="G1270" s="143">
        <v>36975</v>
      </c>
      <c r="H1270" s="144">
        <v>7025</v>
      </c>
      <c r="I1270" s="140">
        <v>1</v>
      </c>
      <c r="J1270" s="114" t="str">
        <f t="shared" si="19"/>
        <v>INSERT INTO DOCUMENTOS (NRO_DOCUMENTO,FECHA_EMISION,TOTAL_BRUTO,TOTAL_NETO,TOTAL_IVA, ID_TIPO, RUT_EMPLEADO, ID_CLIENTE) VALUES(1266,TO_DATE('31-07-2025','DD-MM-YYYY'),44000,36975,7025,1,'14526149-K',306);</v>
      </c>
    </row>
    <row r="1271" spans="1:10">
      <c r="A1271" s="149"/>
      <c r="B1271" s="149">
        <v>1267</v>
      </c>
      <c r="C1271" s="118" t="s">
        <v>2374</v>
      </c>
      <c r="D1271" t="s">
        <v>2090</v>
      </c>
      <c r="E1271" s="150">
        <v>343</v>
      </c>
      <c r="F1271" s="142">
        <v>32000</v>
      </c>
      <c r="G1271" s="143">
        <v>26891</v>
      </c>
      <c r="H1271" s="144">
        <v>5109</v>
      </c>
      <c r="I1271" s="140">
        <v>1</v>
      </c>
      <c r="J1271" s="114" t="str">
        <f t="shared" si="19"/>
        <v>INSERT INTO DOCUMENTOS (NRO_DOCUMENTO,FECHA_EMISION,TOTAL_BRUTO,TOTAL_NETO,TOTAL_IVA, ID_TIPO, RUT_EMPLEADO, ID_CLIENTE) VALUES(1267,TO_DATE('31-07-2025','DD-MM-YYYY'),32000,26891,5109,1,'14526149-K',343);</v>
      </c>
    </row>
    <row r="1272" spans="1:10">
      <c r="A1272" s="149"/>
      <c r="B1272" s="149">
        <v>1268</v>
      </c>
      <c r="C1272" s="118" t="s">
        <v>2374</v>
      </c>
      <c r="D1272" t="s">
        <v>2090</v>
      </c>
      <c r="E1272" s="150">
        <v>376</v>
      </c>
      <c r="F1272" s="142">
        <v>8000</v>
      </c>
      <c r="G1272" s="143">
        <v>6723</v>
      </c>
      <c r="H1272" s="144">
        <v>1277</v>
      </c>
      <c r="I1272" s="140">
        <v>1</v>
      </c>
      <c r="J1272" s="114" t="str">
        <f t="shared" si="19"/>
        <v>INSERT INTO DOCUMENTOS (NRO_DOCUMENTO,FECHA_EMISION,TOTAL_BRUTO,TOTAL_NETO,TOTAL_IVA, ID_TIPO, RUT_EMPLEADO, ID_CLIENTE) VALUES(1268,TO_DATE('31-07-2025','DD-MM-YYYY'),8000,6723,1277,1,'14526149-K',376);</v>
      </c>
    </row>
    <row r="1273" spans="1:10">
      <c r="A1273" s="149"/>
      <c r="B1273" s="149">
        <v>1269</v>
      </c>
      <c r="C1273" s="118" t="s">
        <v>2374</v>
      </c>
      <c r="D1273" t="s">
        <v>2090</v>
      </c>
      <c r="E1273" s="150">
        <v>393</v>
      </c>
      <c r="F1273" s="142">
        <v>5400</v>
      </c>
      <c r="G1273" s="143">
        <v>4537</v>
      </c>
      <c r="H1273" s="144">
        <v>863</v>
      </c>
      <c r="I1273" s="140">
        <v>1</v>
      </c>
      <c r="J1273" s="114" t="str">
        <f t="shared" si="19"/>
        <v>INSERT INTO DOCUMENTOS (NRO_DOCUMENTO,FECHA_EMISION,TOTAL_BRUTO,TOTAL_NETO,TOTAL_IVA, ID_TIPO, RUT_EMPLEADO, ID_CLIENTE) VALUES(1269,TO_DATE('31-07-2025','DD-MM-YYYY'),5400,4537,863,1,'14526149-K',393);</v>
      </c>
    </row>
    <row r="1274" spans="1:10">
      <c r="A1274" s="149"/>
      <c r="B1274" s="149">
        <v>1270</v>
      </c>
      <c r="C1274" s="118" t="s">
        <v>2374</v>
      </c>
      <c r="D1274" t="s">
        <v>2090</v>
      </c>
      <c r="E1274" s="150">
        <v>436</v>
      </c>
      <c r="F1274" s="142">
        <v>27000</v>
      </c>
      <c r="G1274" s="143">
        <v>22690</v>
      </c>
      <c r="H1274" s="144">
        <v>4310</v>
      </c>
      <c r="I1274" s="140">
        <v>1</v>
      </c>
      <c r="J1274" s="114" t="str">
        <f t="shared" si="19"/>
        <v>INSERT INTO DOCUMENTOS (NRO_DOCUMENTO,FECHA_EMISION,TOTAL_BRUTO,TOTAL_NETO,TOTAL_IVA, ID_TIPO, RUT_EMPLEADO, ID_CLIENTE) VALUES(1270,TO_DATE('31-07-2025','DD-MM-YYYY'),27000,22690,4310,1,'14526149-K',436);</v>
      </c>
    </row>
    <row r="1275" spans="1:10">
      <c r="A1275" s="149"/>
      <c r="B1275" s="149">
        <v>1271</v>
      </c>
      <c r="C1275" s="118" t="s">
        <v>2374</v>
      </c>
      <c r="D1275" t="s">
        <v>2090</v>
      </c>
      <c r="E1275" s="150">
        <v>446</v>
      </c>
      <c r="F1275" s="142">
        <v>3000</v>
      </c>
      <c r="G1275" s="143">
        <v>2521</v>
      </c>
      <c r="H1275" s="144">
        <v>479</v>
      </c>
      <c r="I1275" s="140">
        <v>1</v>
      </c>
      <c r="J1275" s="114" t="str">
        <f t="shared" si="19"/>
        <v>INSERT INTO DOCUMENTOS (NRO_DOCUMENTO,FECHA_EMISION,TOTAL_BRUTO,TOTAL_NETO,TOTAL_IVA, ID_TIPO, RUT_EMPLEADO, ID_CLIENTE) VALUES(1271,TO_DATE('31-07-2025','DD-MM-YYYY'),3000,2521,479,1,'14526149-K',446);</v>
      </c>
    </row>
    <row r="1276" spans="1:10">
      <c r="A1276" s="149"/>
      <c r="B1276" s="149">
        <v>1272</v>
      </c>
      <c r="C1276" s="118" t="s">
        <v>2374</v>
      </c>
      <c r="D1276" t="s">
        <v>2090</v>
      </c>
      <c r="E1276" s="150">
        <v>477</v>
      </c>
      <c r="F1276" s="142">
        <v>34600</v>
      </c>
      <c r="G1276" s="143">
        <v>29075</v>
      </c>
      <c r="H1276" s="144">
        <v>5525</v>
      </c>
      <c r="I1276" s="140">
        <v>1</v>
      </c>
      <c r="J1276" s="114" t="str">
        <f t="shared" si="19"/>
        <v>INSERT INTO DOCUMENTOS (NRO_DOCUMENTO,FECHA_EMISION,TOTAL_BRUTO,TOTAL_NETO,TOTAL_IVA, ID_TIPO, RUT_EMPLEADO, ID_CLIENTE) VALUES(1272,TO_DATE('31-07-2025','DD-MM-YYYY'),34600,29075,5525,1,'14526149-K',477);</v>
      </c>
    </row>
    <row r="1277" spans="1:10">
      <c r="A1277" s="149"/>
      <c r="B1277" s="149">
        <v>1273</v>
      </c>
      <c r="C1277" s="151" t="s">
        <v>2375</v>
      </c>
      <c r="D1277" t="s">
        <v>2090</v>
      </c>
      <c r="E1277" s="150">
        <v>108</v>
      </c>
      <c r="F1277" s="142">
        <v>10000</v>
      </c>
      <c r="G1277" s="143">
        <v>8403</v>
      </c>
      <c r="H1277" s="144">
        <v>1597</v>
      </c>
      <c r="I1277" s="140">
        <v>1</v>
      </c>
      <c r="J1277" s="114" t="str">
        <f t="shared" si="19"/>
        <v>INSERT INTO DOCUMENTOS (NRO_DOCUMENTO,FECHA_EMISION,TOTAL_BRUTO,TOTAL_NETO,TOTAL_IVA, ID_TIPO, RUT_EMPLEADO, ID_CLIENTE) VALUES(1273,TO_DATE('01-08-2025','DD-MM-YYYY'),10000,8403,1597,1,'14526149-K',108);</v>
      </c>
    </row>
    <row r="1278" spans="1:10">
      <c r="A1278" s="149"/>
      <c r="B1278" s="149">
        <v>1274</v>
      </c>
      <c r="C1278" s="118" t="s">
        <v>2375</v>
      </c>
      <c r="D1278" t="s">
        <v>2090</v>
      </c>
      <c r="E1278" s="150">
        <v>363</v>
      </c>
      <c r="F1278" s="142">
        <v>14000</v>
      </c>
      <c r="G1278" s="143">
        <v>11765</v>
      </c>
      <c r="H1278" s="144">
        <v>2235</v>
      </c>
      <c r="I1278" s="140">
        <v>1</v>
      </c>
      <c r="J1278" s="114" t="str">
        <f t="shared" si="19"/>
        <v>INSERT INTO DOCUMENTOS (NRO_DOCUMENTO,FECHA_EMISION,TOTAL_BRUTO,TOTAL_NETO,TOTAL_IVA, ID_TIPO, RUT_EMPLEADO, ID_CLIENTE) VALUES(1274,TO_DATE('01-08-2025','DD-MM-YYYY'),14000,11765,2235,1,'14526149-K',363);</v>
      </c>
    </row>
    <row r="1279" spans="1:10">
      <c r="A1279" s="149"/>
      <c r="B1279" s="149">
        <v>1275</v>
      </c>
      <c r="C1279" s="151" t="s">
        <v>2376</v>
      </c>
      <c r="D1279" t="s">
        <v>2090</v>
      </c>
      <c r="E1279" s="150">
        <v>56</v>
      </c>
      <c r="F1279" s="142">
        <v>8000</v>
      </c>
      <c r="G1279" s="143">
        <v>6723</v>
      </c>
      <c r="H1279" s="144">
        <v>1277</v>
      </c>
      <c r="I1279" s="140">
        <v>1</v>
      </c>
      <c r="J1279" s="114" t="str">
        <f t="shared" si="19"/>
        <v>INSERT INTO DOCUMENTOS (NRO_DOCUMENTO,FECHA_EMISION,TOTAL_BRUTO,TOTAL_NETO,TOTAL_IVA, ID_TIPO, RUT_EMPLEADO, ID_CLIENTE) VALUES(1275,TO_DATE('02-08-2025','DD-MM-YYYY'),8000,6723,1277,1,'14526149-K',56);</v>
      </c>
    </row>
    <row r="1280" spans="1:10">
      <c r="A1280" s="149"/>
      <c r="B1280" s="149">
        <v>1276</v>
      </c>
      <c r="C1280" s="151" t="s">
        <v>2377</v>
      </c>
      <c r="D1280" t="s">
        <v>2090</v>
      </c>
      <c r="E1280" s="150">
        <v>56</v>
      </c>
      <c r="F1280" s="142">
        <v>20900</v>
      </c>
      <c r="G1280" s="143">
        <v>17563</v>
      </c>
      <c r="H1280" s="144">
        <v>3337</v>
      </c>
      <c r="I1280" s="140">
        <v>1</v>
      </c>
      <c r="J1280" s="114" t="str">
        <f t="shared" si="19"/>
        <v>INSERT INTO DOCUMENTOS (NRO_DOCUMENTO,FECHA_EMISION,TOTAL_BRUTO,TOTAL_NETO,TOTAL_IVA, ID_TIPO, RUT_EMPLEADO, ID_CLIENTE) VALUES(1276,TO_DATE('03-08-2025','DD-MM-YYYY'),20900,17563,3337,1,'14526149-K',56);</v>
      </c>
    </row>
    <row r="1281" spans="1:10">
      <c r="A1281" s="149"/>
      <c r="B1281" s="149">
        <v>1277</v>
      </c>
      <c r="C1281" s="118" t="s">
        <v>2377</v>
      </c>
      <c r="D1281" t="s">
        <v>2090</v>
      </c>
      <c r="E1281" s="150">
        <v>119</v>
      </c>
      <c r="F1281" s="142">
        <v>27500</v>
      </c>
      <c r="G1281" s="143">
        <v>23110</v>
      </c>
      <c r="H1281" s="144">
        <v>4390</v>
      </c>
      <c r="I1281" s="140">
        <v>1</v>
      </c>
      <c r="J1281" s="114" t="str">
        <f t="shared" si="19"/>
        <v>INSERT INTO DOCUMENTOS (NRO_DOCUMENTO,FECHA_EMISION,TOTAL_BRUTO,TOTAL_NETO,TOTAL_IVA, ID_TIPO, RUT_EMPLEADO, ID_CLIENTE) VALUES(1277,TO_DATE('03-08-2025','DD-MM-YYYY'),27500,23110,4390,1,'14526149-K',119);</v>
      </c>
    </row>
    <row r="1282" spans="1:10">
      <c r="A1282" s="149"/>
      <c r="B1282" s="149">
        <v>1278</v>
      </c>
      <c r="C1282" s="118" t="s">
        <v>2377</v>
      </c>
      <c r="D1282" t="s">
        <v>2090</v>
      </c>
      <c r="E1282" s="150">
        <v>122</v>
      </c>
      <c r="F1282" s="142">
        <v>30700</v>
      </c>
      <c r="G1282" s="143">
        <v>25798</v>
      </c>
      <c r="H1282" s="144">
        <v>4902</v>
      </c>
      <c r="I1282" s="140">
        <v>1</v>
      </c>
      <c r="J1282" s="114" t="str">
        <f t="shared" si="19"/>
        <v>INSERT INTO DOCUMENTOS (NRO_DOCUMENTO,FECHA_EMISION,TOTAL_BRUTO,TOTAL_NETO,TOTAL_IVA, ID_TIPO, RUT_EMPLEADO, ID_CLIENTE) VALUES(1278,TO_DATE('03-08-2025','DD-MM-YYYY'),30700,25798,4902,1,'14526149-K',122);</v>
      </c>
    </row>
    <row r="1283" spans="1:10">
      <c r="A1283" s="149"/>
      <c r="B1283" s="149">
        <v>1279</v>
      </c>
      <c r="C1283" s="118" t="s">
        <v>2377</v>
      </c>
      <c r="D1283" t="s">
        <v>2090</v>
      </c>
      <c r="E1283" s="150">
        <v>166</v>
      </c>
      <c r="F1283" s="142">
        <v>3500</v>
      </c>
      <c r="G1283" s="143">
        <v>2941</v>
      </c>
      <c r="H1283" s="144">
        <v>559</v>
      </c>
      <c r="I1283" s="140">
        <v>1</v>
      </c>
      <c r="J1283" s="114" t="str">
        <f t="shared" si="19"/>
        <v>INSERT INTO DOCUMENTOS (NRO_DOCUMENTO,FECHA_EMISION,TOTAL_BRUTO,TOTAL_NETO,TOTAL_IVA, ID_TIPO, RUT_EMPLEADO, ID_CLIENTE) VALUES(1279,TO_DATE('03-08-2025','DD-MM-YYYY'),3500,2941,559,1,'14526149-K',166);</v>
      </c>
    </row>
    <row r="1284" spans="1:10">
      <c r="A1284" s="149"/>
      <c r="B1284" s="149">
        <v>1280</v>
      </c>
      <c r="C1284" s="118" t="s">
        <v>2377</v>
      </c>
      <c r="D1284" t="s">
        <v>2090</v>
      </c>
      <c r="E1284" s="150">
        <v>230</v>
      </c>
      <c r="F1284" s="142">
        <v>22000</v>
      </c>
      <c r="G1284" s="143">
        <v>18487</v>
      </c>
      <c r="H1284" s="144">
        <v>3513</v>
      </c>
      <c r="I1284" s="140">
        <v>1</v>
      </c>
      <c r="J1284" s="114" t="str">
        <f t="shared" si="19"/>
        <v>INSERT INTO DOCUMENTOS (NRO_DOCUMENTO,FECHA_EMISION,TOTAL_BRUTO,TOTAL_NETO,TOTAL_IVA, ID_TIPO, RUT_EMPLEADO, ID_CLIENTE) VALUES(1280,TO_DATE('03-08-2025','DD-MM-YYYY'),22000,18487,3513,1,'14526149-K',230);</v>
      </c>
    </row>
    <row r="1285" spans="1:10">
      <c r="A1285" s="149"/>
      <c r="B1285" s="149">
        <v>1281</v>
      </c>
      <c r="C1285" s="118" t="s">
        <v>2377</v>
      </c>
      <c r="D1285" t="s">
        <v>2090</v>
      </c>
      <c r="E1285" s="150">
        <v>300</v>
      </c>
      <c r="F1285" s="142">
        <v>24000</v>
      </c>
      <c r="G1285" s="143">
        <v>20168</v>
      </c>
      <c r="H1285" s="144">
        <v>3832</v>
      </c>
      <c r="I1285" s="140">
        <v>1</v>
      </c>
      <c r="J1285" s="114" t="str">
        <f t="shared" si="19"/>
        <v>INSERT INTO DOCUMENTOS (NRO_DOCUMENTO,FECHA_EMISION,TOTAL_BRUTO,TOTAL_NETO,TOTAL_IVA, ID_TIPO, RUT_EMPLEADO, ID_CLIENTE) VALUES(1281,TO_DATE('03-08-2025','DD-MM-YYYY'),24000,20168,3832,1,'14526149-K',300);</v>
      </c>
    </row>
    <row r="1286" spans="1:10">
      <c r="A1286" s="149"/>
      <c r="B1286" s="149">
        <v>1282</v>
      </c>
      <c r="C1286" s="118" t="s">
        <v>2377</v>
      </c>
      <c r="D1286" t="s">
        <v>2090</v>
      </c>
      <c r="E1286" s="150">
        <v>323</v>
      </c>
      <c r="F1286" s="142">
        <v>15900</v>
      </c>
      <c r="G1286" s="143">
        <v>13361</v>
      </c>
      <c r="H1286" s="144">
        <v>2539</v>
      </c>
      <c r="I1286" s="140">
        <v>1</v>
      </c>
      <c r="J1286" s="114" t="str">
        <f t="shared" ref="J1286:J1349" si="20">CONCATENATE("INSERT INTO DOCUMENTOS (NRO_DOCUMENTO,FECHA_EMISION,TOTAL_BRUTO,TOTAL_NETO,TOTAL_IVA, ID_TIPO, RUT_EMPLEADO, ID_CLIENTE) VALUES(",B1286,",","TO_DATE('",C1286,"'",",'DD-MM-YYYY'),",F1286,",",G1286,",",H1286,",",I1286,",","'",D1286,"',",E1286,");")</f>
        <v>INSERT INTO DOCUMENTOS (NRO_DOCUMENTO,FECHA_EMISION,TOTAL_BRUTO,TOTAL_NETO,TOTAL_IVA, ID_TIPO, RUT_EMPLEADO, ID_CLIENTE) VALUES(1282,TO_DATE('03-08-2025','DD-MM-YYYY'),15900,13361,2539,1,'14526149-K',323);</v>
      </c>
    </row>
    <row r="1287" spans="1:10">
      <c r="A1287" s="149"/>
      <c r="B1287" s="149">
        <v>1283</v>
      </c>
      <c r="C1287" s="118" t="s">
        <v>2377</v>
      </c>
      <c r="D1287" t="s">
        <v>2090</v>
      </c>
      <c r="E1287" s="150">
        <v>353</v>
      </c>
      <c r="F1287" s="142">
        <v>17500</v>
      </c>
      <c r="G1287" s="143">
        <v>14706</v>
      </c>
      <c r="H1287" s="144">
        <v>2794</v>
      </c>
      <c r="I1287" s="140">
        <v>1</v>
      </c>
      <c r="J1287" s="114" t="str">
        <f t="shared" si="20"/>
        <v>INSERT INTO DOCUMENTOS (NRO_DOCUMENTO,FECHA_EMISION,TOTAL_BRUTO,TOTAL_NETO,TOTAL_IVA, ID_TIPO, RUT_EMPLEADO, ID_CLIENTE) VALUES(1283,TO_DATE('03-08-2025','DD-MM-YYYY'),17500,14706,2794,1,'14526149-K',353);</v>
      </c>
    </row>
    <row r="1288" spans="1:10">
      <c r="A1288" s="149"/>
      <c r="B1288" s="149">
        <v>1284</v>
      </c>
      <c r="C1288" s="118" t="s">
        <v>2377</v>
      </c>
      <c r="D1288" t="s">
        <v>2090</v>
      </c>
      <c r="E1288" s="150">
        <v>377</v>
      </c>
      <c r="F1288" s="142">
        <v>35800</v>
      </c>
      <c r="G1288" s="143">
        <v>30084</v>
      </c>
      <c r="H1288" s="144">
        <v>5716</v>
      </c>
      <c r="I1288" s="140">
        <v>1</v>
      </c>
      <c r="J1288" s="114" t="str">
        <f t="shared" si="20"/>
        <v>INSERT INTO DOCUMENTOS (NRO_DOCUMENTO,FECHA_EMISION,TOTAL_BRUTO,TOTAL_NETO,TOTAL_IVA, ID_TIPO, RUT_EMPLEADO, ID_CLIENTE) VALUES(1284,TO_DATE('03-08-2025','DD-MM-YYYY'),35800,30084,5716,1,'14526149-K',377);</v>
      </c>
    </row>
    <row r="1289" spans="1:10">
      <c r="A1289" s="149"/>
      <c r="B1289" s="149">
        <v>1285</v>
      </c>
      <c r="C1289" s="118" t="s">
        <v>2377</v>
      </c>
      <c r="D1289" t="s">
        <v>2090</v>
      </c>
      <c r="E1289" s="150">
        <v>408</v>
      </c>
      <c r="F1289" s="142">
        <v>68000</v>
      </c>
      <c r="G1289" s="143">
        <v>57143</v>
      </c>
      <c r="H1289" s="144">
        <v>10857</v>
      </c>
      <c r="I1289" s="140">
        <v>1</v>
      </c>
      <c r="J1289" s="114" t="str">
        <f t="shared" si="20"/>
        <v>INSERT INTO DOCUMENTOS (NRO_DOCUMENTO,FECHA_EMISION,TOTAL_BRUTO,TOTAL_NETO,TOTAL_IVA, ID_TIPO, RUT_EMPLEADO, ID_CLIENTE) VALUES(1285,TO_DATE('03-08-2025','DD-MM-YYYY'),68000,57143,10857,1,'14526149-K',408);</v>
      </c>
    </row>
    <row r="1290" spans="1:10">
      <c r="A1290" s="149"/>
      <c r="B1290" s="149">
        <v>1286</v>
      </c>
      <c r="C1290" s="118" t="s">
        <v>2377</v>
      </c>
      <c r="D1290" t="s">
        <v>2090</v>
      </c>
      <c r="E1290" s="150">
        <v>442</v>
      </c>
      <c r="F1290" s="142">
        <v>24300</v>
      </c>
      <c r="G1290" s="143">
        <v>20421</v>
      </c>
      <c r="H1290" s="144">
        <v>3879</v>
      </c>
      <c r="I1290" s="140">
        <v>1</v>
      </c>
      <c r="J1290" s="114" t="str">
        <f t="shared" si="20"/>
        <v>INSERT INTO DOCUMENTOS (NRO_DOCUMENTO,FECHA_EMISION,TOTAL_BRUTO,TOTAL_NETO,TOTAL_IVA, ID_TIPO, RUT_EMPLEADO, ID_CLIENTE) VALUES(1286,TO_DATE('03-08-2025','DD-MM-YYYY'),24300,20421,3879,1,'14526149-K',442);</v>
      </c>
    </row>
    <row r="1291" spans="1:10">
      <c r="A1291" s="149"/>
      <c r="B1291" s="149">
        <v>1287</v>
      </c>
      <c r="C1291" s="118" t="s">
        <v>2377</v>
      </c>
      <c r="D1291" t="s">
        <v>2090</v>
      </c>
      <c r="E1291" s="150">
        <v>443</v>
      </c>
      <c r="F1291" s="142">
        <v>7000</v>
      </c>
      <c r="G1291" s="143">
        <v>5882</v>
      </c>
      <c r="H1291" s="144">
        <v>1118</v>
      </c>
      <c r="I1291" s="140">
        <v>1</v>
      </c>
      <c r="J1291" s="114" t="str">
        <f t="shared" si="20"/>
        <v>INSERT INTO DOCUMENTOS (NRO_DOCUMENTO,FECHA_EMISION,TOTAL_BRUTO,TOTAL_NETO,TOTAL_IVA, ID_TIPO, RUT_EMPLEADO, ID_CLIENTE) VALUES(1287,TO_DATE('03-08-2025','DD-MM-YYYY'),7000,5882,1118,1,'14526149-K',443);</v>
      </c>
    </row>
    <row r="1292" spans="1:10">
      <c r="A1292" s="149"/>
      <c r="B1292" s="149">
        <v>1288</v>
      </c>
      <c r="C1292" s="118" t="s">
        <v>2377</v>
      </c>
      <c r="D1292" t="s">
        <v>2090</v>
      </c>
      <c r="E1292" s="150">
        <v>465</v>
      </c>
      <c r="F1292" s="142">
        <v>37000</v>
      </c>
      <c r="G1292" s="143">
        <v>31092</v>
      </c>
      <c r="H1292" s="144">
        <v>5908</v>
      </c>
      <c r="I1292" s="140">
        <v>1</v>
      </c>
      <c r="J1292" s="114" t="str">
        <f t="shared" si="20"/>
        <v>INSERT INTO DOCUMENTOS (NRO_DOCUMENTO,FECHA_EMISION,TOTAL_BRUTO,TOTAL_NETO,TOTAL_IVA, ID_TIPO, RUT_EMPLEADO, ID_CLIENTE) VALUES(1288,TO_DATE('03-08-2025','DD-MM-YYYY'),37000,31092,5908,1,'14526149-K',465);</v>
      </c>
    </row>
    <row r="1293" spans="1:10">
      <c r="A1293" s="149"/>
      <c r="B1293" s="149">
        <v>1289</v>
      </c>
      <c r="C1293" s="151" t="s">
        <v>2378</v>
      </c>
      <c r="D1293" t="s">
        <v>2090</v>
      </c>
      <c r="E1293" s="150">
        <v>19</v>
      </c>
      <c r="F1293" s="142">
        <v>9600</v>
      </c>
      <c r="G1293" s="143">
        <v>8067</v>
      </c>
      <c r="H1293" s="144">
        <v>1533</v>
      </c>
      <c r="I1293" s="140">
        <v>1</v>
      </c>
      <c r="J1293" s="114" t="str">
        <f t="shared" si="20"/>
        <v>INSERT INTO DOCUMENTOS (NRO_DOCUMENTO,FECHA_EMISION,TOTAL_BRUTO,TOTAL_NETO,TOTAL_IVA, ID_TIPO, RUT_EMPLEADO, ID_CLIENTE) VALUES(1289,TO_DATE('04-08-2025','DD-MM-YYYY'),9600,8067,1533,1,'14526149-K',19);</v>
      </c>
    </row>
    <row r="1294" spans="1:10">
      <c r="A1294" s="149"/>
      <c r="B1294" s="149">
        <v>1290</v>
      </c>
      <c r="C1294" s="118" t="s">
        <v>2378</v>
      </c>
      <c r="D1294" t="s">
        <v>2090</v>
      </c>
      <c r="E1294" s="150">
        <v>97</v>
      </c>
      <c r="F1294" s="142">
        <v>14000</v>
      </c>
      <c r="G1294" s="143">
        <v>11765</v>
      </c>
      <c r="H1294" s="144">
        <v>2235</v>
      </c>
      <c r="I1294" s="140">
        <v>1</v>
      </c>
      <c r="J1294" s="114" t="str">
        <f t="shared" si="20"/>
        <v>INSERT INTO DOCUMENTOS (NRO_DOCUMENTO,FECHA_EMISION,TOTAL_BRUTO,TOTAL_NETO,TOTAL_IVA, ID_TIPO, RUT_EMPLEADO, ID_CLIENTE) VALUES(1290,TO_DATE('04-08-2025','DD-MM-YYYY'),14000,11765,2235,1,'14526149-K',97);</v>
      </c>
    </row>
    <row r="1295" spans="1:10">
      <c r="A1295" s="149"/>
      <c r="B1295" s="149">
        <v>1291</v>
      </c>
      <c r="C1295" s="118" t="s">
        <v>2378</v>
      </c>
      <c r="D1295" t="s">
        <v>2090</v>
      </c>
      <c r="E1295" s="150">
        <v>166</v>
      </c>
      <c r="F1295" s="142">
        <v>2500</v>
      </c>
      <c r="G1295" s="143">
        <v>2101</v>
      </c>
      <c r="H1295" s="144">
        <v>399</v>
      </c>
      <c r="I1295" s="140">
        <v>1</v>
      </c>
      <c r="J1295" s="114" t="str">
        <f t="shared" si="20"/>
        <v>INSERT INTO DOCUMENTOS (NRO_DOCUMENTO,FECHA_EMISION,TOTAL_BRUTO,TOTAL_NETO,TOTAL_IVA, ID_TIPO, RUT_EMPLEADO, ID_CLIENTE) VALUES(1291,TO_DATE('04-08-2025','DD-MM-YYYY'),2500,2101,399,1,'14526149-K',166);</v>
      </c>
    </row>
    <row r="1296" spans="1:10">
      <c r="A1296" s="149"/>
      <c r="B1296" s="149">
        <v>1292</v>
      </c>
      <c r="C1296" s="118" t="s">
        <v>2378</v>
      </c>
      <c r="D1296" t="s">
        <v>2090</v>
      </c>
      <c r="E1296" s="150">
        <v>231</v>
      </c>
      <c r="F1296" s="142">
        <v>35800</v>
      </c>
      <c r="G1296" s="143">
        <v>30084</v>
      </c>
      <c r="H1296" s="144">
        <v>5716</v>
      </c>
      <c r="I1296" s="140">
        <v>1</v>
      </c>
      <c r="J1296" s="114" t="str">
        <f t="shared" si="20"/>
        <v>INSERT INTO DOCUMENTOS (NRO_DOCUMENTO,FECHA_EMISION,TOTAL_BRUTO,TOTAL_NETO,TOTAL_IVA, ID_TIPO, RUT_EMPLEADO, ID_CLIENTE) VALUES(1292,TO_DATE('04-08-2025','DD-MM-YYYY'),35800,30084,5716,1,'14526149-K',231);</v>
      </c>
    </row>
    <row r="1297" spans="1:10">
      <c r="A1297" s="149"/>
      <c r="B1297" s="149">
        <v>1293</v>
      </c>
      <c r="C1297" s="151" t="s">
        <v>2379</v>
      </c>
      <c r="D1297" t="s">
        <v>2090</v>
      </c>
      <c r="E1297" s="150">
        <v>18</v>
      </c>
      <c r="F1297" s="142">
        <v>20900</v>
      </c>
      <c r="G1297" s="143">
        <v>17563</v>
      </c>
      <c r="H1297" s="144">
        <v>3337</v>
      </c>
      <c r="I1297" s="140">
        <v>1</v>
      </c>
      <c r="J1297" s="114" t="str">
        <f t="shared" si="20"/>
        <v>INSERT INTO DOCUMENTOS (NRO_DOCUMENTO,FECHA_EMISION,TOTAL_BRUTO,TOTAL_NETO,TOTAL_IVA, ID_TIPO, RUT_EMPLEADO, ID_CLIENTE) VALUES(1293,TO_DATE('05-08-2025','DD-MM-YYYY'),20900,17563,3337,1,'14526149-K',18);</v>
      </c>
    </row>
    <row r="1298" spans="1:10">
      <c r="A1298" s="149"/>
      <c r="B1298" s="149">
        <v>1294</v>
      </c>
      <c r="C1298" s="118" t="s">
        <v>2379</v>
      </c>
      <c r="D1298" t="s">
        <v>2090</v>
      </c>
      <c r="E1298" s="150">
        <v>62</v>
      </c>
      <c r="F1298" s="142">
        <v>68150</v>
      </c>
      <c r="G1298" s="143">
        <v>57269</v>
      </c>
      <c r="H1298" s="144">
        <v>10881</v>
      </c>
      <c r="I1298" s="140">
        <v>1</v>
      </c>
      <c r="J1298" s="114" t="str">
        <f t="shared" si="20"/>
        <v>INSERT INTO DOCUMENTOS (NRO_DOCUMENTO,FECHA_EMISION,TOTAL_BRUTO,TOTAL_NETO,TOTAL_IVA, ID_TIPO, RUT_EMPLEADO, ID_CLIENTE) VALUES(1294,TO_DATE('05-08-2025','DD-MM-YYYY'),68150,57269,10881,1,'14526149-K',62);</v>
      </c>
    </row>
    <row r="1299" spans="1:10">
      <c r="A1299" s="149"/>
      <c r="B1299" s="149">
        <v>1295</v>
      </c>
      <c r="C1299" s="118" t="s">
        <v>2379</v>
      </c>
      <c r="D1299" t="s">
        <v>2090</v>
      </c>
      <c r="E1299" s="150">
        <v>166</v>
      </c>
      <c r="F1299" s="142">
        <v>8000</v>
      </c>
      <c r="G1299" s="143">
        <v>6723</v>
      </c>
      <c r="H1299" s="144">
        <v>1277</v>
      </c>
      <c r="I1299" s="140">
        <v>1</v>
      </c>
      <c r="J1299" s="114" t="str">
        <f t="shared" si="20"/>
        <v>INSERT INTO DOCUMENTOS (NRO_DOCUMENTO,FECHA_EMISION,TOTAL_BRUTO,TOTAL_NETO,TOTAL_IVA, ID_TIPO, RUT_EMPLEADO, ID_CLIENTE) VALUES(1295,TO_DATE('05-08-2025','DD-MM-YYYY'),8000,6723,1277,1,'14526149-K',166);</v>
      </c>
    </row>
    <row r="1300" spans="1:10">
      <c r="A1300" s="149"/>
      <c r="B1300" s="149">
        <v>1296</v>
      </c>
      <c r="C1300" s="118" t="s">
        <v>2379</v>
      </c>
      <c r="D1300" t="s">
        <v>2090</v>
      </c>
      <c r="E1300" s="150">
        <v>360</v>
      </c>
      <c r="F1300" s="142">
        <v>17600</v>
      </c>
      <c r="G1300" s="143">
        <v>14790</v>
      </c>
      <c r="H1300" s="144">
        <v>2810</v>
      </c>
      <c r="I1300" s="140">
        <v>1</v>
      </c>
      <c r="J1300" s="114" t="str">
        <f t="shared" si="20"/>
        <v>INSERT INTO DOCUMENTOS (NRO_DOCUMENTO,FECHA_EMISION,TOTAL_BRUTO,TOTAL_NETO,TOTAL_IVA, ID_TIPO, RUT_EMPLEADO, ID_CLIENTE) VALUES(1296,TO_DATE('05-08-2025','DD-MM-YYYY'),17600,14790,2810,1,'14526149-K',360);</v>
      </c>
    </row>
    <row r="1301" spans="1:10">
      <c r="A1301" s="149"/>
      <c r="B1301" s="149">
        <v>1297</v>
      </c>
      <c r="C1301" s="118" t="s">
        <v>2379</v>
      </c>
      <c r="D1301" t="s">
        <v>2090</v>
      </c>
      <c r="E1301" s="150">
        <v>382</v>
      </c>
      <c r="F1301" s="142">
        <v>8000</v>
      </c>
      <c r="G1301" s="143">
        <v>6723</v>
      </c>
      <c r="H1301" s="144">
        <v>1277</v>
      </c>
      <c r="I1301" s="140">
        <v>1</v>
      </c>
      <c r="J1301" s="114" t="str">
        <f t="shared" si="20"/>
        <v>INSERT INTO DOCUMENTOS (NRO_DOCUMENTO,FECHA_EMISION,TOTAL_BRUTO,TOTAL_NETO,TOTAL_IVA, ID_TIPO, RUT_EMPLEADO, ID_CLIENTE) VALUES(1297,TO_DATE('05-08-2025','DD-MM-YYYY'),8000,6723,1277,1,'14526149-K',382);</v>
      </c>
    </row>
    <row r="1302" spans="1:10">
      <c r="A1302" s="149"/>
      <c r="B1302" s="149">
        <v>1298</v>
      </c>
      <c r="C1302" s="151" t="s">
        <v>2380</v>
      </c>
      <c r="D1302" t="s">
        <v>2090</v>
      </c>
      <c r="E1302" s="150">
        <v>202</v>
      </c>
      <c r="F1302" s="142">
        <v>11000</v>
      </c>
      <c r="G1302" s="143">
        <v>9244</v>
      </c>
      <c r="H1302" s="144">
        <v>1756</v>
      </c>
      <c r="I1302" s="140">
        <v>1</v>
      </c>
      <c r="J1302" s="114" t="str">
        <f t="shared" si="20"/>
        <v>INSERT INTO DOCUMENTOS (NRO_DOCUMENTO,FECHA_EMISION,TOTAL_BRUTO,TOTAL_NETO,TOTAL_IVA, ID_TIPO, RUT_EMPLEADO, ID_CLIENTE) VALUES(1298,TO_DATE('06-08-2025','DD-MM-YYYY'),11000,9244,1756,1,'14526149-K',202);</v>
      </c>
    </row>
    <row r="1303" spans="1:10">
      <c r="A1303" s="149"/>
      <c r="B1303" s="149">
        <v>1299</v>
      </c>
      <c r="C1303" s="118" t="s">
        <v>2380</v>
      </c>
      <c r="D1303" t="s">
        <v>2090</v>
      </c>
      <c r="E1303" s="150">
        <v>247</v>
      </c>
      <c r="F1303" s="142">
        <v>27500</v>
      </c>
      <c r="G1303" s="143">
        <v>23110</v>
      </c>
      <c r="H1303" s="144">
        <v>4390</v>
      </c>
      <c r="I1303" s="140">
        <v>1</v>
      </c>
      <c r="J1303" s="114" t="str">
        <f t="shared" si="20"/>
        <v>INSERT INTO DOCUMENTOS (NRO_DOCUMENTO,FECHA_EMISION,TOTAL_BRUTO,TOTAL_NETO,TOTAL_IVA, ID_TIPO, RUT_EMPLEADO, ID_CLIENTE) VALUES(1299,TO_DATE('06-08-2025','DD-MM-YYYY'),27500,23110,4390,1,'14526149-K',247);</v>
      </c>
    </row>
    <row r="1304" spans="1:10">
      <c r="A1304" s="149"/>
      <c r="B1304" s="150">
        <v>1300</v>
      </c>
      <c r="C1304" s="118" t="s">
        <v>2380</v>
      </c>
      <c r="D1304" t="s">
        <v>2090</v>
      </c>
      <c r="E1304" s="150">
        <v>374</v>
      </c>
      <c r="F1304" s="142">
        <v>11000</v>
      </c>
      <c r="G1304" s="143">
        <v>9244</v>
      </c>
      <c r="H1304" s="144">
        <v>1756</v>
      </c>
      <c r="I1304" s="140">
        <v>1</v>
      </c>
      <c r="J1304" s="114" t="str">
        <f t="shared" si="20"/>
        <v>INSERT INTO DOCUMENTOS (NRO_DOCUMENTO,FECHA_EMISION,TOTAL_BRUTO,TOTAL_NETO,TOTAL_IVA, ID_TIPO, RUT_EMPLEADO, ID_CLIENTE) VALUES(1300,TO_DATE('06-08-2025','DD-MM-YYYY'),11000,9244,1756,1,'14526149-K',374);</v>
      </c>
    </row>
    <row r="1305" spans="1:10">
      <c r="A1305" s="149"/>
      <c r="B1305" s="149">
        <v>1301</v>
      </c>
      <c r="C1305" s="118" t="s">
        <v>2380</v>
      </c>
      <c r="D1305" t="s">
        <v>2090</v>
      </c>
      <c r="E1305" s="150">
        <v>402</v>
      </c>
      <c r="F1305" s="142">
        <v>8000</v>
      </c>
      <c r="G1305" s="143">
        <v>6723</v>
      </c>
      <c r="H1305" s="144">
        <v>1277</v>
      </c>
      <c r="I1305" s="140">
        <v>1</v>
      </c>
      <c r="J1305" s="114" t="str">
        <f t="shared" si="20"/>
        <v>INSERT INTO DOCUMENTOS (NRO_DOCUMENTO,FECHA_EMISION,TOTAL_BRUTO,TOTAL_NETO,TOTAL_IVA, ID_TIPO, RUT_EMPLEADO, ID_CLIENTE) VALUES(1301,TO_DATE('06-08-2025','DD-MM-YYYY'),8000,6723,1277,1,'14526149-K',402);</v>
      </c>
    </row>
    <row r="1306" spans="1:10">
      <c r="A1306" s="149"/>
      <c r="B1306" s="149">
        <v>1302</v>
      </c>
      <c r="C1306" s="118" t="s">
        <v>2380</v>
      </c>
      <c r="D1306" t="s">
        <v>2090</v>
      </c>
      <c r="E1306" s="150">
        <v>430</v>
      </c>
      <c r="F1306" s="142">
        <v>11150</v>
      </c>
      <c r="G1306" s="143">
        <v>9371</v>
      </c>
      <c r="H1306" s="144">
        <v>1779</v>
      </c>
      <c r="I1306" s="140">
        <v>1</v>
      </c>
      <c r="J1306" s="114" t="str">
        <f t="shared" si="20"/>
        <v>INSERT INTO DOCUMENTOS (NRO_DOCUMENTO,FECHA_EMISION,TOTAL_BRUTO,TOTAL_NETO,TOTAL_IVA, ID_TIPO, RUT_EMPLEADO, ID_CLIENTE) VALUES(1302,TO_DATE('06-08-2025','DD-MM-YYYY'),11150,9371,1779,1,'14526149-K',430);</v>
      </c>
    </row>
    <row r="1307" spans="1:10">
      <c r="A1307" s="149"/>
      <c r="B1307" s="149">
        <v>1303</v>
      </c>
      <c r="C1307" s="118" t="s">
        <v>2380</v>
      </c>
      <c r="D1307" t="s">
        <v>2090</v>
      </c>
      <c r="E1307" s="150">
        <v>470</v>
      </c>
      <c r="F1307" s="142">
        <v>32000</v>
      </c>
      <c r="G1307" s="143">
        <v>26891</v>
      </c>
      <c r="H1307" s="144">
        <v>5109</v>
      </c>
      <c r="I1307" s="140">
        <v>1</v>
      </c>
      <c r="J1307" s="114" t="str">
        <f t="shared" si="20"/>
        <v>INSERT INTO DOCUMENTOS (NRO_DOCUMENTO,FECHA_EMISION,TOTAL_BRUTO,TOTAL_NETO,TOTAL_IVA, ID_TIPO, RUT_EMPLEADO, ID_CLIENTE) VALUES(1303,TO_DATE('06-08-2025','DD-MM-YYYY'),32000,26891,5109,1,'14526149-K',470);</v>
      </c>
    </row>
    <row r="1308" spans="1:10">
      <c r="A1308" s="149"/>
      <c r="B1308" s="149">
        <v>1304</v>
      </c>
      <c r="C1308" s="151" t="s">
        <v>2381</v>
      </c>
      <c r="D1308" t="s">
        <v>2090</v>
      </c>
      <c r="E1308" s="150">
        <v>98</v>
      </c>
      <c r="F1308" s="142">
        <v>11000</v>
      </c>
      <c r="G1308" s="143">
        <v>9244</v>
      </c>
      <c r="H1308" s="144">
        <v>1756</v>
      </c>
      <c r="I1308" s="140">
        <v>1</v>
      </c>
      <c r="J1308" s="114" t="str">
        <f t="shared" si="20"/>
        <v>INSERT INTO DOCUMENTOS (NRO_DOCUMENTO,FECHA_EMISION,TOTAL_BRUTO,TOTAL_NETO,TOTAL_IVA, ID_TIPO, RUT_EMPLEADO, ID_CLIENTE) VALUES(1304,TO_DATE('07-08-2025','DD-MM-YYYY'),11000,9244,1756,1,'14526149-K',98);</v>
      </c>
    </row>
    <row r="1309" spans="1:10">
      <c r="A1309" s="149"/>
      <c r="B1309" s="149">
        <v>1305</v>
      </c>
      <c r="C1309" s="118" t="s">
        <v>2381</v>
      </c>
      <c r="D1309" t="s">
        <v>2090</v>
      </c>
      <c r="E1309" s="150">
        <v>323</v>
      </c>
      <c r="F1309" s="142">
        <v>135998</v>
      </c>
      <c r="G1309" s="143">
        <v>114284</v>
      </c>
      <c r="H1309" s="144">
        <v>21714</v>
      </c>
      <c r="I1309" s="140">
        <v>1</v>
      </c>
      <c r="J1309" s="114" t="str">
        <f t="shared" si="20"/>
        <v>INSERT INTO DOCUMENTOS (NRO_DOCUMENTO,FECHA_EMISION,TOTAL_BRUTO,TOTAL_NETO,TOTAL_IVA, ID_TIPO, RUT_EMPLEADO, ID_CLIENTE) VALUES(1305,TO_DATE('07-08-2025','DD-MM-YYYY'),135998,114284,21714,1,'14526149-K',323);</v>
      </c>
    </row>
    <row r="1310" spans="1:10">
      <c r="A1310" s="149"/>
      <c r="B1310" s="149">
        <v>1306</v>
      </c>
      <c r="C1310" s="151" t="s">
        <v>2382</v>
      </c>
      <c r="D1310" t="s">
        <v>2090</v>
      </c>
      <c r="E1310" s="150">
        <v>207</v>
      </c>
      <c r="F1310" s="142">
        <v>14000</v>
      </c>
      <c r="G1310" s="143">
        <v>11765</v>
      </c>
      <c r="H1310" s="144">
        <v>2235</v>
      </c>
      <c r="I1310" s="140">
        <v>1</v>
      </c>
      <c r="J1310" s="114" t="str">
        <f t="shared" si="20"/>
        <v>INSERT INTO DOCUMENTOS (NRO_DOCUMENTO,FECHA_EMISION,TOTAL_BRUTO,TOTAL_NETO,TOTAL_IVA, ID_TIPO, RUT_EMPLEADO, ID_CLIENTE) VALUES(1306,TO_DATE('08-08-2025','DD-MM-YYYY'),14000,11765,2235,1,'14526149-K',207);</v>
      </c>
    </row>
    <row r="1311" spans="1:10">
      <c r="A1311" s="149"/>
      <c r="B1311" s="149">
        <v>1307</v>
      </c>
      <c r="C1311" s="118" t="s">
        <v>2382</v>
      </c>
      <c r="D1311" t="s">
        <v>2090</v>
      </c>
      <c r="E1311" s="150">
        <v>300</v>
      </c>
      <c r="F1311" s="142">
        <v>13800</v>
      </c>
      <c r="G1311" s="143">
        <v>11597</v>
      </c>
      <c r="H1311" s="144">
        <v>2203</v>
      </c>
      <c r="I1311" s="140">
        <v>1</v>
      </c>
      <c r="J1311" s="114" t="str">
        <f t="shared" si="20"/>
        <v>INSERT INTO DOCUMENTOS (NRO_DOCUMENTO,FECHA_EMISION,TOTAL_BRUTO,TOTAL_NETO,TOTAL_IVA, ID_TIPO, RUT_EMPLEADO, ID_CLIENTE) VALUES(1307,TO_DATE('08-08-2025','DD-MM-YYYY'),13800,11597,2203,1,'14526149-K',300);</v>
      </c>
    </row>
    <row r="1312" spans="1:10">
      <c r="A1312" s="149"/>
      <c r="B1312" s="149">
        <v>1308</v>
      </c>
      <c r="C1312" s="151" t="s">
        <v>2383</v>
      </c>
      <c r="D1312" t="s">
        <v>2090</v>
      </c>
      <c r="E1312" s="150">
        <v>63</v>
      </c>
      <c r="F1312" s="142">
        <v>8000</v>
      </c>
      <c r="G1312" s="143">
        <v>6723</v>
      </c>
      <c r="H1312" s="144">
        <v>1277</v>
      </c>
      <c r="I1312" s="140">
        <v>1</v>
      </c>
      <c r="J1312" s="114" t="str">
        <f t="shared" si="20"/>
        <v>INSERT INTO DOCUMENTOS (NRO_DOCUMENTO,FECHA_EMISION,TOTAL_BRUTO,TOTAL_NETO,TOTAL_IVA, ID_TIPO, RUT_EMPLEADO, ID_CLIENTE) VALUES(1308,TO_DATE('09-08-2025','DD-MM-YYYY'),8000,6723,1277,1,'14526149-K',63);</v>
      </c>
    </row>
    <row r="1313" spans="1:10">
      <c r="A1313" s="149"/>
      <c r="B1313" s="149">
        <v>1309</v>
      </c>
      <c r="C1313" s="118" t="s">
        <v>2383</v>
      </c>
      <c r="D1313" t="s">
        <v>2090</v>
      </c>
      <c r="E1313" s="150">
        <v>196</v>
      </c>
      <c r="F1313" s="142">
        <v>28200</v>
      </c>
      <c r="G1313" s="143">
        <v>23697</v>
      </c>
      <c r="H1313" s="144">
        <v>4503</v>
      </c>
      <c r="I1313" s="140">
        <v>1</v>
      </c>
      <c r="J1313" s="114" t="str">
        <f t="shared" si="20"/>
        <v>INSERT INTO DOCUMENTOS (NRO_DOCUMENTO,FECHA_EMISION,TOTAL_BRUTO,TOTAL_NETO,TOTAL_IVA, ID_TIPO, RUT_EMPLEADO, ID_CLIENTE) VALUES(1309,TO_DATE('09-08-2025','DD-MM-YYYY'),28200,23697,4503,1,'14526149-K',196);</v>
      </c>
    </row>
    <row r="1314" spans="1:10">
      <c r="A1314" s="149"/>
      <c r="B1314" s="149">
        <v>1310</v>
      </c>
      <c r="C1314" s="118" t="s">
        <v>2383</v>
      </c>
      <c r="D1314" t="s">
        <v>2090</v>
      </c>
      <c r="E1314" s="150">
        <v>263</v>
      </c>
      <c r="F1314" s="142">
        <v>8000</v>
      </c>
      <c r="G1314" s="143">
        <v>6723</v>
      </c>
      <c r="H1314" s="144">
        <v>1277</v>
      </c>
      <c r="I1314" s="140">
        <v>1</v>
      </c>
      <c r="J1314" s="114" t="str">
        <f t="shared" si="20"/>
        <v>INSERT INTO DOCUMENTOS (NRO_DOCUMENTO,FECHA_EMISION,TOTAL_BRUTO,TOTAL_NETO,TOTAL_IVA, ID_TIPO, RUT_EMPLEADO, ID_CLIENTE) VALUES(1310,TO_DATE('09-08-2025','DD-MM-YYYY'),8000,6723,1277,1,'14526149-K',263);</v>
      </c>
    </row>
    <row r="1315" spans="1:10">
      <c r="A1315" s="149"/>
      <c r="B1315" s="149">
        <v>1311</v>
      </c>
      <c r="C1315" s="118" t="s">
        <v>2383</v>
      </c>
      <c r="D1315" t="s">
        <v>2090</v>
      </c>
      <c r="E1315" s="150">
        <v>279</v>
      </c>
      <c r="F1315" s="142">
        <v>8000</v>
      </c>
      <c r="G1315" s="143">
        <v>6723</v>
      </c>
      <c r="H1315" s="144">
        <v>1277</v>
      </c>
      <c r="I1315" s="140">
        <v>1</v>
      </c>
      <c r="J1315" s="114" t="str">
        <f t="shared" si="20"/>
        <v>INSERT INTO DOCUMENTOS (NRO_DOCUMENTO,FECHA_EMISION,TOTAL_BRUTO,TOTAL_NETO,TOTAL_IVA, ID_TIPO, RUT_EMPLEADO, ID_CLIENTE) VALUES(1311,TO_DATE('09-08-2025','DD-MM-YYYY'),8000,6723,1277,1,'14526149-K',279);</v>
      </c>
    </row>
    <row r="1316" spans="1:10">
      <c r="A1316" s="149"/>
      <c r="B1316" s="149">
        <v>1312</v>
      </c>
      <c r="C1316" s="118" t="s">
        <v>2383</v>
      </c>
      <c r="D1316" t="s">
        <v>2090</v>
      </c>
      <c r="E1316" s="150">
        <v>298</v>
      </c>
      <c r="F1316" s="142">
        <v>34400</v>
      </c>
      <c r="G1316" s="143">
        <v>28908</v>
      </c>
      <c r="H1316" s="144">
        <v>5492</v>
      </c>
      <c r="I1316" s="140">
        <v>1</v>
      </c>
      <c r="J1316" s="114" t="str">
        <f t="shared" si="20"/>
        <v>INSERT INTO DOCUMENTOS (NRO_DOCUMENTO,FECHA_EMISION,TOTAL_BRUTO,TOTAL_NETO,TOTAL_IVA, ID_TIPO, RUT_EMPLEADO, ID_CLIENTE) VALUES(1312,TO_DATE('09-08-2025','DD-MM-YYYY'),34400,28908,5492,1,'14526149-K',298);</v>
      </c>
    </row>
    <row r="1317" spans="1:10">
      <c r="A1317" s="149"/>
      <c r="B1317" s="149">
        <v>1313</v>
      </c>
      <c r="C1317" s="118" t="s">
        <v>2383</v>
      </c>
      <c r="D1317" t="s">
        <v>2090</v>
      </c>
      <c r="E1317" s="150">
        <v>306</v>
      </c>
      <c r="F1317" s="142">
        <v>44000</v>
      </c>
      <c r="G1317" s="143">
        <v>36975</v>
      </c>
      <c r="H1317" s="144">
        <v>7025</v>
      </c>
      <c r="I1317" s="140">
        <v>1</v>
      </c>
      <c r="J1317" s="114" t="str">
        <f t="shared" si="20"/>
        <v>INSERT INTO DOCUMENTOS (NRO_DOCUMENTO,FECHA_EMISION,TOTAL_BRUTO,TOTAL_NETO,TOTAL_IVA, ID_TIPO, RUT_EMPLEADO, ID_CLIENTE) VALUES(1313,TO_DATE('09-08-2025','DD-MM-YYYY'),44000,36975,7025,1,'14526149-K',306);</v>
      </c>
    </row>
    <row r="1318" spans="1:10">
      <c r="A1318" s="149"/>
      <c r="B1318" s="149">
        <v>1314</v>
      </c>
      <c r="C1318" s="118" t="s">
        <v>2383</v>
      </c>
      <c r="D1318" t="s">
        <v>2090</v>
      </c>
      <c r="E1318" s="150">
        <v>389</v>
      </c>
      <c r="F1318" s="142">
        <v>20000</v>
      </c>
      <c r="G1318" s="143">
        <v>16807</v>
      </c>
      <c r="H1318" s="144">
        <v>3193</v>
      </c>
      <c r="I1318" s="140">
        <v>1</v>
      </c>
      <c r="J1318" s="114" t="str">
        <f t="shared" si="20"/>
        <v>INSERT INTO DOCUMENTOS (NRO_DOCUMENTO,FECHA_EMISION,TOTAL_BRUTO,TOTAL_NETO,TOTAL_IVA, ID_TIPO, RUT_EMPLEADO, ID_CLIENTE) VALUES(1314,TO_DATE('09-08-2025','DD-MM-YYYY'),20000,16807,3193,1,'14526149-K',389);</v>
      </c>
    </row>
    <row r="1319" spans="1:10">
      <c r="A1319" s="149"/>
      <c r="B1319" s="149">
        <v>1315</v>
      </c>
      <c r="C1319" s="118" t="s">
        <v>2383</v>
      </c>
      <c r="D1319" t="s">
        <v>2090</v>
      </c>
      <c r="E1319" s="150">
        <v>457</v>
      </c>
      <c r="F1319" s="142">
        <v>32000</v>
      </c>
      <c r="G1319" s="143">
        <v>26891</v>
      </c>
      <c r="H1319" s="144">
        <v>5109</v>
      </c>
      <c r="I1319" s="140">
        <v>1</v>
      </c>
      <c r="J1319" s="114" t="str">
        <f t="shared" si="20"/>
        <v>INSERT INTO DOCUMENTOS (NRO_DOCUMENTO,FECHA_EMISION,TOTAL_BRUTO,TOTAL_NETO,TOTAL_IVA, ID_TIPO, RUT_EMPLEADO, ID_CLIENTE) VALUES(1315,TO_DATE('09-08-2025','DD-MM-YYYY'),32000,26891,5109,1,'14526149-K',457);</v>
      </c>
    </row>
    <row r="1320" spans="1:10">
      <c r="A1320" s="149"/>
      <c r="B1320" s="149">
        <v>1316</v>
      </c>
      <c r="C1320" s="151" t="s">
        <v>2384</v>
      </c>
      <c r="D1320" t="s">
        <v>2090</v>
      </c>
      <c r="E1320" s="150">
        <v>274</v>
      </c>
      <c r="F1320" s="142">
        <v>27700</v>
      </c>
      <c r="G1320" s="143">
        <v>23277</v>
      </c>
      <c r="H1320" s="144">
        <v>4423</v>
      </c>
      <c r="I1320" s="140">
        <v>1</v>
      </c>
      <c r="J1320" s="114" t="str">
        <f t="shared" si="20"/>
        <v>INSERT INTO DOCUMENTOS (NRO_DOCUMENTO,FECHA_EMISION,TOTAL_BRUTO,TOTAL_NETO,TOTAL_IVA, ID_TIPO, RUT_EMPLEADO, ID_CLIENTE) VALUES(1316,TO_DATE('10-08-2025','DD-MM-YYYY'),27700,23277,4423,1,'14526149-K',274);</v>
      </c>
    </row>
    <row r="1321" spans="1:10">
      <c r="A1321" s="149"/>
      <c r="B1321" s="149">
        <v>1317</v>
      </c>
      <c r="C1321" s="118" t="s">
        <v>2384</v>
      </c>
      <c r="D1321" t="s">
        <v>2090</v>
      </c>
      <c r="E1321" s="150">
        <v>476</v>
      </c>
      <c r="F1321" s="142">
        <v>11000</v>
      </c>
      <c r="G1321" s="143">
        <v>9244</v>
      </c>
      <c r="H1321" s="144">
        <v>1756</v>
      </c>
      <c r="I1321" s="140">
        <v>1</v>
      </c>
      <c r="J1321" s="114" t="str">
        <f t="shared" si="20"/>
        <v>INSERT INTO DOCUMENTOS (NRO_DOCUMENTO,FECHA_EMISION,TOTAL_BRUTO,TOTAL_NETO,TOTAL_IVA, ID_TIPO, RUT_EMPLEADO, ID_CLIENTE) VALUES(1317,TO_DATE('10-08-2025','DD-MM-YYYY'),11000,9244,1756,1,'14526149-K',476);</v>
      </c>
    </row>
    <row r="1322" spans="1:10">
      <c r="A1322" s="149"/>
      <c r="B1322" s="149">
        <v>1318</v>
      </c>
      <c r="C1322" s="151" t="s">
        <v>2385</v>
      </c>
      <c r="D1322" t="s">
        <v>2090</v>
      </c>
      <c r="E1322" s="150">
        <v>119</v>
      </c>
      <c r="F1322" s="142">
        <v>8000</v>
      </c>
      <c r="G1322" s="143">
        <v>6723</v>
      </c>
      <c r="H1322" s="144">
        <v>1277</v>
      </c>
      <c r="I1322" s="140">
        <v>1</v>
      </c>
      <c r="J1322" s="114" t="str">
        <f t="shared" si="20"/>
        <v>INSERT INTO DOCUMENTOS (NRO_DOCUMENTO,FECHA_EMISION,TOTAL_BRUTO,TOTAL_NETO,TOTAL_IVA, ID_TIPO, RUT_EMPLEADO, ID_CLIENTE) VALUES(1318,TO_DATE('11-08-2025','DD-MM-YYYY'),8000,6723,1277,1,'14526149-K',119);</v>
      </c>
    </row>
    <row r="1323" spans="1:10">
      <c r="A1323" s="149"/>
      <c r="B1323" s="149">
        <v>1319</v>
      </c>
      <c r="C1323" s="118" t="s">
        <v>2385</v>
      </c>
      <c r="D1323" t="s">
        <v>2090</v>
      </c>
      <c r="E1323" s="150">
        <v>166</v>
      </c>
      <c r="F1323" s="142">
        <v>3400</v>
      </c>
      <c r="G1323" s="143">
        <v>2857</v>
      </c>
      <c r="H1323" s="144">
        <v>543</v>
      </c>
      <c r="I1323" s="140">
        <v>1</v>
      </c>
      <c r="J1323" s="114" t="str">
        <f t="shared" si="20"/>
        <v>INSERT INTO DOCUMENTOS (NRO_DOCUMENTO,FECHA_EMISION,TOTAL_BRUTO,TOTAL_NETO,TOTAL_IVA, ID_TIPO, RUT_EMPLEADO, ID_CLIENTE) VALUES(1319,TO_DATE('11-08-2025','DD-MM-YYYY'),3400,2857,543,1,'14526149-K',166);</v>
      </c>
    </row>
    <row r="1324" spans="1:10">
      <c r="A1324" s="149"/>
      <c r="B1324" s="149">
        <v>1320</v>
      </c>
      <c r="C1324" s="151" t="s">
        <v>2386</v>
      </c>
      <c r="D1324" t="s">
        <v>2090</v>
      </c>
      <c r="E1324" s="150">
        <v>179</v>
      </c>
      <c r="F1324" s="142">
        <v>11000</v>
      </c>
      <c r="G1324" s="143">
        <v>9244</v>
      </c>
      <c r="H1324" s="144">
        <v>1756</v>
      </c>
      <c r="I1324" s="140">
        <v>1</v>
      </c>
      <c r="J1324" s="114" t="str">
        <f t="shared" si="20"/>
        <v>INSERT INTO DOCUMENTOS (NRO_DOCUMENTO,FECHA_EMISION,TOTAL_BRUTO,TOTAL_NETO,TOTAL_IVA, ID_TIPO, RUT_EMPLEADO, ID_CLIENTE) VALUES(1320,TO_DATE('12-08-2025','DD-MM-YYYY'),11000,9244,1756,1,'14526149-K',179);</v>
      </c>
    </row>
    <row r="1325" spans="1:10">
      <c r="A1325" s="149"/>
      <c r="B1325" s="149">
        <v>1321</v>
      </c>
      <c r="C1325" s="118" t="s">
        <v>2386</v>
      </c>
      <c r="D1325" t="s">
        <v>2090</v>
      </c>
      <c r="E1325" s="150">
        <v>219</v>
      </c>
      <c r="F1325" s="142">
        <v>8000</v>
      </c>
      <c r="G1325" s="143">
        <v>6723</v>
      </c>
      <c r="H1325" s="144">
        <v>1277</v>
      </c>
      <c r="I1325" s="140">
        <v>1</v>
      </c>
      <c r="J1325" s="114" t="str">
        <f t="shared" si="20"/>
        <v>INSERT INTO DOCUMENTOS (NRO_DOCUMENTO,FECHA_EMISION,TOTAL_BRUTO,TOTAL_NETO,TOTAL_IVA, ID_TIPO, RUT_EMPLEADO, ID_CLIENTE) VALUES(1321,TO_DATE('12-08-2025','DD-MM-YYYY'),8000,6723,1277,1,'14526149-K',219);</v>
      </c>
    </row>
    <row r="1326" spans="1:10">
      <c r="A1326" s="149"/>
      <c r="B1326" s="149">
        <v>1322</v>
      </c>
      <c r="C1326" s="118" t="s">
        <v>2386</v>
      </c>
      <c r="D1326" t="s">
        <v>2090</v>
      </c>
      <c r="E1326" s="150">
        <v>278</v>
      </c>
      <c r="F1326" s="142">
        <v>71100</v>
      </c>
      <c r="G1326" s="143">
        <v>59751</v>
      </c>
      <c r="H1326" s="144">
        <v>11349</v>
      </c>
      <c r="I1326" s="140">
        <v>1</v>
      </c>
      <c r="J1326" s="114" t="str">
        <f t="shared" si="20"/>
        <v>INSERT INTO DOCUMENTOS (NRO_DOCUMENTO,FECHA_EMISION,TOTAL_BRUTO,TOTAL_NETO,TOTAL_IVA, ID_TIPO, RUT_EMPLEADO, ID_CLIENTE) VALUES(1322,TO_DATE('12-08-2025','DD-MM-YYYY'),71100,59751,11349,1,'14526149-K',278);</v>
      </c>
    </row>
    <row r="1327" spans="1:10">
      <c r="A1327" s="149"/>
      <c r="B1327" s="149">
        <v>1323</v>
      </c>
      <c r="C1327" s="118" t="s">
        <v>2386</v>
      </c>
      <c r="D1327" t="s">
        <v>2090</v>
      </c>
      <c r="E1327" s="150">
        <v>343</v>
      </c>
      <c r="F1327" s="142">
        <v>64600</v>
      </c>
      <c r="G1327" s="143">
        <v>54287</v>
      </c>
      <c r="H1327" s="144">
        <v>10313</v>
      </c>
      <c r="I1327" s="140">
        <v>1</v>
      </c>
      <c r="J1327" s="114" t="str">
        <f t="shared" si="20"/>
        <v>INSERT INTO DOCUMENTOS (NRO_DOCUMENTO,FECHA_EMISION,TOTAL_BRUTO,TOTAL_NETO,TOTAL_IVA, ID_TIPO, RUT_EMPLEADO, ID_CLIENTE) VALUES(1323,TO_DATE('12-08-2025','DD-MM-YYYY'),64600,54287,10313,1,'14526149-K',343);</v>
      </c>
    </row>
    <row r="1328" spans="1:10">
      <c r="A1328" s="149"/>
      <c r="B1328" s="149">
        <v>1324</v>
      </c>
      <c r="C1328" s="118" t="s">
        <v>2386</v>
      </c>
      <c r="D1328" t="s">
        <v>2090</v>
      </c>
      <c r="E1328" s="150">
        <v>347</v>
      </c>
      <c r="F1328" s="142">
        <v>17600</v>
      </c>
      <c r="G1328" s="143">
        <v>14789</v>
      </c>
      <c r="H1328" s="144">
        <v>2811</v>
      </c>
      <c r="I1328" s="140">
        <v>1</v>
      </c>
      <c r="J1328" s="114" t="str">
        <f t="shared" si="20"/>
        <v>INSERT INTO DOCUMENTOS (NRO_DOCUMENTO,FECHA_EMISION,TOTAL_BRUTO,TOTAL_NETO,TOTAL_IVA, ID_TIPO, RUT_EMPLEADO, ID_CLIENTE) VALUES(1324,TO_DATE('12-08-2025','DD-MM-YYYY'),17600,14789,2811,1,'14526149-K',347);</v>
      </c>
    </row>
    <row r="1329" spans="1:10">
      <c r="A1329" s="149"/>
      <c r="B1329" s="149">
        <v>1325</v>
      </c>
      <c r="C1329" s="118" t="s">
        <v>2386</v>
      </c>
      <c r="D1329" t="s">
        <v>2090</v>
      </c>
      <c r="E1329" s="150">
        <v>363</v>
      </c>
      <c r="F1329" s="142">
        <v>25500</v>
      </c>
      <c r="G1329" s="143">
        <v>21429</v>
      </c>
      <c r="H1329" s="144">
        <v>4071</v>
      </c>
      <c r="I1329" s="140">
        <v>1</v>
      </c>
      <c r="J1329" s="114" t="str">
        <f t="shared" si="20"/>
        <v>INSERT INTO DOCUMENTOS (NRO_DOCUMENTO,FECHA_EMISION,TOTAL_BRUTO,TOTAL_NETO,TOTAL_IVA, ID_TIPO, RUT_EMPLEADO, ID_CLIENTE) VALUES(1325,TO_DATE('12-08-2025','DD-MM-YYYY'),25500,21429,4071,1,'14526149-K',363);</v>
      </c>
    </row>
    <row r="1330" spans="1:10">
      <c r="A1330" s="149"/>
      <c r="B1330" s="149">
        <v>1326</v>
      </c>
      <c r="C1330" s="151" t="s">
        <v>2387</v>
      </c>
      <c r="D1330" t="s">
        <v>2090</v>
      </c>
      <c r="E1330" s="150">
        <v>21</v>
      </c>
      <c r="F1330" s="142">
        <v>32000</v>
      </c>
      <c r="G1330" s="143">
        <v>26891</v>
      </c>
      <c r="H1330" s="144">
        <v>5109</v>
      </c>
      <c r="I1330" s="140">
        <v>1</v>
      </c>
      <c r="J1330" s="114" t="str">
        <f t="shared" si="20"/>
        <v>INSERT INTO DOCUMENTOS (NRO_DOCUMENTO,FECHA_EMISION,TOTAL_BRUTO,TOTAL_NETO,TOTAL_IVA, ID_TIPO, RUT_EMPLEADO, ID_CLIENTE) VALUES(1326,TO_DATE('13-08-2025','DD-MM-YYYY'),32000,26891,5109,1,'14526149-K',21);</v>
      </c>
    </row>
    <row r="1331" spans="1:10">
      <c r="A1331" s="149"/>
      <c r="B1331" s="149">
        <v>1327</v>
      </c>
      <c r="C1331" s="118" t="s">
        <v>2387</v>
      </c>
      <c r="D1331" t="s">
        <v>2090</v>
      </c>
      <c r="E1331" s="150">
        <v>29</v>
      </c>
      <c r="F1331" s="142">
        <v>27800</v>
      </c>
      <c r="G1331" s="143">
        <v>23362</v>
      </c>
      <c r="H1331" s="144">
        <v>4438</v>
      </c>
      <c r="I1331" s="140">
        <v>1</v>
      </c>
      <c r="J1331" s="114" t="str">
        <f t="shared" si="20"/>
        <v>INSERT INTO DOCUMENTOS (NRO_DOCUMENTO,FECHA_EMISION,TOTAL_BRUTO,TOTAL_NETO,TOTAL_IVA, ID_TIPO, RUT_EMPLEADO, ID_CLIENTE) VALUES(1327,TO_DATE('13-08-2025','DD-MM-YYYY'),27800,23362,4438,1,'14526149-K',29);</v>
      </c>
    </row>
    <row r="1332" spans="1:10">
      <c r="A1332" s="149"/>
      <c r="B1332" s="149">
        <v>1328</v>
      </c>
      <c r="C1332" s="118" t="s">
        <v>2387</v>
      </c>
      <c r="D1332" t="s">
        <v>2090</v>
      </c>
      <c r="E1332" s="150">
        <v>78</v>
      </c>
      <c r="F1332" s="142">
        <v>64200</v>
      </c>
      <c r="G1332" s="143">
        <v>53951</v>
      </c>
      <c r="H1332" s="144">
        <v>10249</v>
      </c>
      <c r="I1332" s="140">
        <v>1</v>
      </c>
      <c r="J1332" s="114" t="str">
        <f t="shared" si="20"/>
        <v>INSERT INTO DOCUMENTOS (NRO_DOCUMENTO,FECHA_EMISION,TOTAL_BRUTO,TOTAL_NETO,TOTAL_IVA, ID_TIPO, RUT_EMPLEADO, ID_CLIENTE) VALUES(1328,TO_DATE('13-08-2025','DD-MM-YYYY'),64200,53951,10249,1,'14526149-K',78);</v>
      </c>
    </row>
    <row r="1333" spans="1:10">
      <c r="A1333" s="149"/>
      <c r="B1333" s="149">
        <v>1329</v>
      </c>
      <c r="C1333" s="118" t="s">
        <v>2387</v>
      </c>
      <c r="D1333" t="s">
        <v>2090</v>
      </c>
      <c r="E1333" s="150">
        <v>219</v>
      </c>
      <c r="F1333" s="142">
        <v>32000</v>
      </c>
      <c r="G1333" s="143">
        <v>26891</v>
      </c>
      <c r="H1333" s="144">
        <v>5109</v>
      </c>
      <c r="I1333" s="140">
        <v>1</v>
      </c>
      <c r="J1333" s="114" t="str">
        <f t="shared" si="20"/>
        <v>INSERT INTO DOCUMENTOS (NRO_DOCUMENTO,FECHA_EMISION,TOTAL_BRUTO,TOTAL_NETO,TOTAL_IVA, ID_TIPO, RUT_EMPLEADO, ID_CLIENTE) VALUES(1329,TO_DATE('13-08-2025','DD-MM-YYYY'),32000,26891,5109,1,'14526149-K',219);</v>
      </c>
    </row>
    <row r="1334" spans="1:10">
      <c r="A1334" s="149"/>
      <c r="B1334" s="149">
        <v>1330</v>
      </c>
      <c r="C1334" s="118" t="s">
        <v>2387</v>
      </c>
      <c r="D1334" t="s">
        <v>2090</v>
      </c>
      <c r="E1334" s="150">
        <v>256</v>
      </c>
      <c r="F1334" s="142">
        <v>32000</v>
      </c>
      <c r="G1334" s="143">
        <v>26891</v>
      </c>
      <c r="H1334" s="144">
        <v>5109</v>
      </c>
      <c r="I1334" s="140">
        <v>1</v>
      </c>
      <c r="J1334" s="114" t="str">
        <f t="shared" si="20"/>
        <v>INSERT INTO DOCUMENTOS (NRO_DOCUMENTO,FECHA_EMISION,TOTAL_BRUTO,TOTAL_NETO,TOTAL_IVA, ID_TIPO, RUT_EMPLEADO, ID_CLIENTE) VALUES(1330,TO_DATE('13-08-2025','DD-MM-YYYY'),32000,26891,5109,1,'14526149-K',256);</v>
      </c>
    </row>
    <row r="1335" spans="1:10">
      <c r="A1335" s="149"/>
      <c r="B1335" s="149">
        <v>1331</v>
      </c>
      <c r="C1335" s="118" t="s">
        <v>2387</v>
      </c>
      <c r="D1335" t="s">
        <v>2090</v>
      </c>
      <c r="E1335" s="150">
        <v>268</v>
      </c>
      <c r="F1335" s="142">
        <v>122300</v>
      </c>
      <c r="G1335" s="143">
        <v>102774</v>
      </c>
      <c r="H1335" s="144">
        <v>19526</v>
      </c>
      <c r="I1335" s="140">
        <v>1</v>
      </c>
      <c r="J1335" s="114" t="str">
        <f t="shared" si="20"/>
        <v>INSERT INTO DOCUMENTOS (NRO_DOCUMENTO,FECHA_EMISION,TOTAL_BRUTO,TOTAL_NETO,TOTAL_IVA, ID_TIPO, RUT_EMPLEADO, ID_CLIENTE) VALUES(1331,TO_DATE('13-08-2025','DD-MM-YYYY'),122300,102774,19526,1,'14526149-K',268);</v>
      </c>
    </row>
    <row r="1336" spans="1:10">
      <c r="A1336" s="149"/>
      <c r="B1336" s="149">
        <v>1332</v>
      </c>
      <c r="C1336" s="118" t="s">
        <v>2387</v>
      </c>
      <c r="D1336" t="s">
        <v>2090</v>
      </c>
      <c r="E1336" s="150">
        <v>411</v>
      </c>
      <c r="F1336" s="142">
        <v>17000</v>
      </c>
      <c r="G1336" s="143">
        <v>14286</v>
      </c>
      <c r="H1336" s="144">
        <v>2714</v>
      </c>
      <c r="I1336" s="140">
        <v>1</v>
      </c>
      <c r="J1336" s="114" t="str">
        <f t="shared" si="20"/>
        <v>INSERT INTO DOCUMENTOS (NRO_DOCUMENTO,FECHA_EMISION,TOTAL_BRUTO,TOTAL_NETO,TOTAL_IVA, ID_TIPO, RUT_EMPLEADO, ID_CLIENTE) VALUES(1332,TO_DATE('13-08-2025','DD-MM-YYYY'),17000,14286,2714,1,'14526149-K',411);</v>
      </c>
    </row>
    <row r="1337" spans="1:10">
      <c r="A1337" s="149"/>
      <c r="B1337" s="149">
        <v>1333</v>
      </c>
      <c r="C1337" s="118" t="s">
        <v>2387</v>
      </c>
      <c r="D1337" t="s">
        <v>2090</v>
      </c>
      <c r="E1337" s="150">
        <v>416</v>
      </c>
      <c r="F1337" s="142">
        <v>6000</v>
      </c>
      <c r="G1337" s="143">
        <v>5042</v>
      </c>
      <c r="H1337" s="144">
        <v>958</v>
      </c>
      <c r="I1337" s="140">
        <v>1</v>
      </c>
      <c r="J1337" s="114" t="str">
        <f t="shared" si="20"/>
        <v>INSERT INTO DOCUMENTOS (NRO_DOCUMENTO,FECHA_EMISION,TOTAL_BRUTO,TOTAL_NETO,TOTAL_IVA, ID_TIPO, RUT_EMPLEADO, ID_CLIENTE) VALUES(1333,TO_DATE('13-08-2025','DD-MM-YYYY'),6000,5042,958,1,'14526149-K',416);</v>
      </c>
    </row>
    <row r="1338" spans="1:10">
      <c r="A1338" s="149"/>
      <c r="B1338" s="149">
        <v>1334</v>
      </c>
      <c r="C1338" s="151" t="s">
        <v>2388</v>
      </c>
      <c r="D1338" t="s">
        <v>2090</v>
      </c>
      <c r="E1338" s="150">
        <v>334</v>
      </c>
      <c r="F1338" s="142">
        <v>12500</v>
      </c>
      <c r="G1338" s="143">
        <v>10504</v>
      </c>
      <c r="H1338" s="144">
        <v>1996</v>
      </c>
      <c r="I1338" s="140">
        <v>1</v>
      </c>
      <c r="J1338" s="114" t="str">
        <f t="shared" si="20"/>
        <v>INSERT INTO DOCUMENTOS (NRO_DOCUMENTO,FECHA_EMISION,TOTAL_BRUTO,TOTAL_NETO,TOTAL_IVA, ID_TIPO, RUT_EMPLEADO, ID_CLIENTE) VALUES(1334,TO_DATE('14-08-2025','DD-MM-YYYY'),12500,10504,1996,1,'14526149-K',334);</v>
      </c>
    </row>
    <row r="1339" spans="1:10">
      <c r="A1339" s="149"/>
      <c r="B1339" s="149">
        <v>1335</v>
      </c>
      <c r="C1339" s="118" t="s">
        <v>2388</v>
      </c>
      <c r="D1339" t="s">
        <v>2090</v>
      </c>
      <c r="E1339" s="150">
        <v>471</v>
      </c>
      <c r="F1339" s="142">
        <v>12500</v>
      </c>
      <c r="G1339" s="143">
        <v>10504</v>
      </c>
      <c r="H1339" s="144">
        <v>1996</v>
      </c>
      <c r="I1339" s="140">
        <v>1</v>
      </c>
      <c r="J1339" s="114" t="str">
        <f t="shared" si="20"/>
        <v>INSERT INTO DOCUMENTOS (NRO_DOCUMENTO,FECHA_EMISION,TOTAL_BRUTO,TOTAL_NETO,TOTAL_IVA, ID_TIPO, RUT_EMPLEADO, ID_CLIENTE) VALUES(1335,TO_DATE('14-08-2025','DD-MM-YYYY'),12500,10504,1996,1,'14526149-K',471);</v>
      </c>
    </row>
    <row r="1340" spans="1:10">
      <c r="A1340" s="149"/>
      <c r="B1340" s="149">
        <v>1336</v>
      </c>
      <c r="C1340" s="151" t="s">
        <v>2389</v>
      </c>
      <c r="D1340" t="s">
        <v>2090</v>
      </c>
      <c r="E1340" s="150">
        <v>202</v>
      </c>
      <c r="F1340" s="142">
        <v>19000</v>
      </c>
      <c r="G1340" s="143">
        <v>15967</v>
      </c>
      <c r="H1340" s="144">
        <v>3033</v>
      </c>
      <c r="I1340" s="140">
        <v>1</v>
      </c>
      <c r="J1340" s="114" t="str">
        <f t="shared" si="20"/>
        <v>INSERT INTO DOCUMENTOS (NRO_DOCUMENTO,FECHA_EMISION,TOTAL_BRUTO,TOTAL_NETO,TOTAL_IVA, ID_TIPO, RUT_EMPLEADO, ID_CLIENTE) VALUES(1336,TO_DATE('15-08-2025','DD-MM-YYYY'),19000,15967,3033,1,'14526149-K',202);</v>
      </c>
    </row>
    <row r="1341" spans="1:10">
      <c r="A1341" s="149"/>
      <c r="B1341" s="149">
        <v>1337</v>
      </c>
      <c r="C1341" s="118" t="s">
        <v>2389</v>
      </c>
      <c r="D1341" t="s">
        <v>2090</v>
      </c>
      <c r="E1341" s="150">
        <v>267</v>
      </c>
      <c r="F1341" s="142">
        <v>4000</v>
      </c>
      <c r="G1341" s="143">
        <v>3361</v>
      </c>
      <c r="H1341" s="144">
        <v>639</v>
      </c>
      <c r="I1341" s="140">
        <v>1</v>
      </c>
      <c r="J1341" s="114" t="str">
        <f t="shared" si="20"/>
        <v>INSERT INTO DOCUMENTOS (NRO_DOCUMENTO,FECHA_EMISION,TOTAL_BRUTO,TOTAL_NETO,TOTAL_IVA, ID_TIPO, RUT_EMPLEADO, ID_CLIENTE) VALUES(1337,TO_DATE('15-08-2025','DD-MM-YYYY'),4000,3361,639,1,'14526149-K',267);</v>
      </c>
    </row>
    <row r="1342" spans="1:10">
      <c r="A1342" s="149"/>
      <c r="B1342" s="149">
        <v>1338</v>
      </c>
      <c r="C1342" s="118" t="s">
        <v>2389</v>
      </c>
      <c r="D1342" t="s">
        <v>2090</v>
      </c>
      <c r="E1342" s="150">
        <v>303</v>
      </c>
      <c r="F1342" s="142">
        <v>16500</v>
      </c>
      <c r="G1342" s="143">
        <v>13866</v>
      </c>
      <c r="H1342" s="144">
        <v>2634</v>
      </c>
      <c r="I1342" s="140">
        <v>1</v>
      </c>
      <c r="J1342" s="114" t="str">
        <f t="shared" si="20"/>
        <v>INSERT INTO DOCUMENTOS (NRO_DOCUMENTO,FECHA_EMISION,TOTAL_BRUTO,TOTAL_NETO,TOTAL_IVA, ID_TIPO, RUT_EMPLEADO, ID_CLIENTE) VALUES(1338,TO_DATE('15-08-2025','DD-MM-YYYY'),16500,13866,2634,1,'14526149-K',303);</v>
      </c>
    </row>
    <row r="1343" spans="1:10">
      <c r="A1343" s="149"/>
      <c r="B1343" s="149">
        <v>1339</v>
      </c>
      <c r="C1343" s="118" t="s">
        <v>2389</v>
      </c>
      <c r="D1343" t="s">
        <v>2090</v>
      </c>
      <c r="E1343" s="150">
        <v>315</v>
      </c>
      <c r="F1343" s="142">
        <v>3200</v>
      </c>
      <c r="G1343" s="143">
        <v>2689</v>
      </c>
      <c r="H1343" s="144">
        <v>511</v>
      </c>
      <c r="I1343" s="140">
        <v>1</v>
      </c>
      <c r="J1343" s="114" t="str">
        <f t="shared" si="20"/>
        <v>INSERT INTO DOCUMENTOS (NRO_DOCUMENTO,FECHA_EMISION,TOTAL_BRUTO,TOTAL_NETO,TOTAL_IVA, ID_TIPO, RUT_EMPLEADO, ID_CLIENTE) VALUES(1339,TO_DATE('15-08-2025','DD-MM-YYYY'),3200,2689,511,1,'14526149-K',315);</v>
      </c>
    </row>
    <row r="1344" spans="1:10">
      <c r="A1344" s="149"/>
      <c r="B1344" s="149">
        <v>1340</v>
      </c>
      <c r="C1344" s="151" t="s">
        <v>2390</v>
      </c>
      <c r="D1344" t="s">
        <v>2090</v>
      </c>
      <c r="E1344" s="150">
        <v>17</v>
      </c>
      <c r="F1344" s="142">
        <v>8000</v>
      </c>
      <c r="G1344" s="143">
        <v>6723</v>
      </c>
      <c r="H1344" s="144">
        <v>1277</v>
      </c>
      <c r="I1344" s="140">
        <v>1</v>
      </c>
      <c r="J1344" s="114" t="str">
        <f t="shared" si="20"/>
        <v>INSERT INTO DOCUMENTOS (NRO_DOCUMENTO,FECHA_EMISION,TOTAL_BRUTO,TOTAL_NETO,TOTAL_IVA, ID_TIPO, RUT_EMPLEADO, ID_CLIENTE) VALUES(1340,TO_DATE('16-08-2025','DD-MM-YYYY'),8000,6723,1277,1,'14526149-K',17);</v>
      </c>
    </row>
    <row r="1345" spans="1:10">
      <c r="A1345" s="149"/>
      <c r="B1345" s="149">
        <v>1341</v>
      </c>
      <c r="C1345" s="118" t="s">
        <v>2390</v>
      </c>
      <c r="D1345" t="s">
        <v>2090</v>
      </c>
      <c r="E1345" s="150">
        <v>76</v>
      </c>
      <c r="F1345" s="142">
        <v>11000</v>
      </c>
      <c r="G1345" s="143">
        <v>9244</v>
      </c>
      <c r="H1345" s="144">
        <v>1756</v>
      </c>
      <c r="I1345" s="140">
        <v>1</v>
      </c>
      <c r="J1345" s="114" t="str">
        <f t="shared" si="20"/>
        <v>INSERT INTO DOCUMENTOS (NRO_DOCUMENTO,FECHA_EMISION,TOTAL_BRUTO,TOTAL_NETO,TOTAL_IVA, ID_TIPO, RUT_EMPLEADO, ID_CLIENTE) VALUES(1341,TO_DATE('16-08-2025','DD-MM-YYYY'),11000,9244,1756,1,'14526149-K',76);</v>
      </c>
    </row>
    <row r="1346" spans="1:10">
      <c r="A1346" s="149"/>
      <c r="B1346" s="149">
        <v>1342</v>
      </c>
      <c r="C1346" s="118" t="s">
        <v>2390</v>
      </c>
      <c r="D1346" t="s">
        <v>2090</v>
      </c>
      <c r="E1346" s="150">
        <v>82</v>
      </c>
      <c r="F1346" s="142">
        <v>11000</v>
      </c>
      <c r="G1346" s="143">
        <v>9244</v>
      </c>
      <c r="H1346" s="144">
        <v>1756</v>
      </c>
      <c r="I1346" s="140">
        <v>1</v>
      </c>
      <c r="J1346" s="114" t="str">
        <f t="shared" si="20"/>
        <v>INSERT INTO DOCUMENTOS (NRO_DOCUMENTO,FECHA_EMISION,TOTAL_BRUTO,TOTAL_NETO,TOTAL_IVA, ID_TIPO, RUT_EMPLEADO, ID_CLIENTE) VALUES(1342,TO_DATE('16-08-2025','DD-MM-YYYY'),11000,9244,1756,1,'14526149-K',82);</v>
      </c>
    </row>
    <row r="1347" spans="1:10">
      <c r="A1347" s="149"/>
      <c r="B1347" s="149">
        <v>1343</v>
      </c>
      <c r="C1347" s="118" t="s">
        <v>2390</v>
      </c>
      <c r="D1347" t="s">
        <v>2090</v>
      </c>
      <c r="E1347" s="150">
        <v>166</v>
      </c>
      <c r="F1347" s="142">
        <v>3000</v>
      </c>
      <c r="G1347" s="143">
        <v>2521</v>
      </c>
      <c r="H1347" s="144">
        <v>479</v>
      </c>
      <c r="I1347" s="140">
        <v>1</v>
      </c>
      <c r="J1347" s="114" t="str">
        <f t="shared" si="20"/>
        <v>INSERT INTO DOCUMENTOS (NRO_DOCUMENTO,FECHA_EMISION,TOTAL_BRUTO,TOTAL_NETO,TOTAL_IVA, ID_TIPO, RUT_EMPLEADO, ID_CLIENTE) VALUES(1343,TO_DATE('16-08-2025','DD-MM-YYYY'),3000,2521,479,1,'14526149-K',166);</v>
      </c>
    </row>
    <row r="1348" spans="1:10">
      <c r="A1348" s="149"/>
      <c r="B1348" s="149">
        <v>1344</v>
      </c>
      <c r="C1348" s="118" t="s">
        <v>2390</v>
      </c>
      <c r="D1348" t="s">
        <v>2090</v>
      </c>
      <c r="E1348" s="150">
        <v>374</v>
      </c>
      <c r="F1348" s="142">
        <v>50000</v>
      </c>
      <c r="G1348" s="143">
        <v>42018</v>
      </c>
      <c r="H1348" s="144">
        <v>7982</v>
      </c>
      <c r="I1348" s="140">
        <v>1</v>
      </c>
      <c r="J1348" s="114" t="str">
        <f t="shared" si="20"/>
        <v>INSERT INTO DOCUMENTOS (NRO_DOCUMENTO,FECHA_EMISION,TOTAL_BRUTO,TOTAL_NETO,TOTAL_IVA, ID_TIPO, RUT_EMPLEADO, ID_CLIENTE) VALUES(1344,TO_DATE('16-08-2025','DD-MM-YYYY'),50000,42018,7982,1,'14526149-K',374);</v>
      </c>
    </row>
    <row r="1349" spans="1:10">
      <c r="A1349" s="149"/>
      <c r="B1349" s="149">
        <v>1345</v>
      </c>
      <c r="C1349" s="118" t="s">
        <v>2390</v>
      </c>
      <c r="D1349" t="s">
        <v>2090</v>
      </c>
      <c r="E1349" s="150">
        <v>443</v>
      </c>
      <c r="F1349" s="142">
        <v>15500</v>
      </c>
      <c r="G1349" s="143">
        <v>13025</v>
      </c>
      <c r="H1349" s="144">
        <v>2475</v>
      </c>
      <c r="I1349" s="140">
        <v>1</v>
      </c>
      <c r="J1349" s="114" t="str">
        <f t="shared" si="20"/>
        <v>INSERT INTO DOCUMENTOS (NRO_DOCUMENTO,FECHA_EMISION,TOTAL_BRUTO,TOTAL_NETO,TOTAL_IVA, ID_TIPO, RUT_EMPLEADO, ID_CLIENTE) VALUES(1345,TO_DATE('16-08-2025','DD-MM-YYYY'),15500,13025,2475,1,'14526149-K',443);</v>
      </c>
    </row>
    <row r="1350" spans="1:10">
      <c r="A1350" s="149"/>
      <c r="B1350" s="149">
        <v>1346</v>
      </c>
      <c r="C1350" s="151" t="s">
        <v>2391</v>
      </c>
      <c r="D1350" t="s">
        <v>2090</v>
      </c>
      <c r="E1350" s="150">
        <v>26</v>
      </c>
      <c r="F1350" s="142">
        <v>8000</v>
      </c>
      <c r="G1350" s="143">
        <v>6723</v>
      </c>
      <c r="H1350" s="144">
        <v>1277</v>
      </c>
      <c r="I1350" s="140">
        <v>1</v>
      </c>
      <c r="J1350" s="114" t="str">
        <f t="shared" ref="J1350:J1413" si="21">CONCATENATE("INSERT INTO DOCUMENTOS (NRO_DOCUMENTO,FECHA_EMISION,TOTAL_BRUTO,TOTAL_NETO,TOTAL_IVA, ID_TIPO, RUT_EMPLEADO, ID_CLIENTE) VALUES(",B1350,",","TO_DATE('",C1350,"'",",'DD-MM-YYYY'),",F1350,",",G1350,",",H1350,",",I1350,",","'",D1350,"',",E1350,");")</f>
        <v>INSERT INTO DOCUMENTOS (NRO_DOCUMENTO,FECHA_EMISION,TOTAL_BRUTO,TOTAL_NETO,TOTAL_IVA, ID_TIPO, RUT_EMPLEADO, ID_CLIENTE) VALUES(1346,TO_DATE('17-08-2025','DD-MM-YYYY'),8000,6723,1277,1,'14526149-K',26);</v>
      </c>
    </row>
    <row r="1351" spans="1:10">
      <c r="A1351" s="149"/>
      <c r="B1351" s="149">
        <v>1347</v>
      </c>
      <c r="C1351" s="118" t="s">
        <v>2391</v>
      </c>
      <c r="D1351" t="s">
        <v>2090</v>
      </c>
      <c r="E1351" s="150">
        <v>122</v>
      </c>
      <c r="F1351" s="142">
        <v>3500</v>
      </c>
      <c r="G1351" s="143">
        <v>2941</v>
      </c>
      <c r="H1351" s="144">
        <v>559</v>
      </c>
      <c r="I1351" s="140">
        <v>1</v>
      </c>
      <c r="J1351" s="114" t="str">
        <f t="shared" si="21"/>
        <v>INSERT INTO DOCUMENTOS (NRO_DOCUMENTO,FECHA_EMISION,TOTAL_BRUTO,TOTAL_NETO,TOTAL_IVA, ID_TIPO, RUT_EMPLEADO, ID_CLIENTE) VALUES(1347,TO_DATE('17-08-2025','DD-MM-YYYY'),3500,2941,559,1,'14526149-K',122);</v>
      </c>
    </row>
    <row r="1352" spans="1:10">
      <c r="A1352" s="149"/>
      <c r="B1352" s="149">
        <v>1348</v>
      </c>
      <c r="C1352" s="118" t="s">
        <v>2391</v>
      </c>
      <c r="D1352" t="s">
        <v>2090</v>
      </c>
      <c r="E1352" s="150">
        <v>230</v>
      </c>
      <c r="F1352" s="142">
        <v>31500</v>
      </c>
      <c r="G1352" s="143">
        <v>26470</v>
      </c>
      <c r="H1352" s="144">
        <v>5030</v>
      </c>
      <c r="I1352" s="140">
        <v>1</v>
      </c>
      <c r="J1352" s="114" t="str">
        <f t="shared" si="21"/>
        <v>INSERT INTO DOCUMENTOS (NRO_DOCUMENTO,FECHA_EMISION,TOTAL_BRUTO,TOTAL_NETO,TOTAL_IVA, ID_TIPO, RUT_EMPLEADO, ID_CLIENTE) VALUES(1348,TO_DATE('17-08-2025','DD-MM-YYYY'),31500,26470,5030,1,'14526149-K',230);</v>
      </c>
    </row>
    <row r="1353" spans="1:10">
      <c r="A1353" s="149"/>
      <c r="B1353" s="149">
        <v>1349</v>
      </c>
      <c r="C1353" s="118" t="s">
        <v>2391</v>
      </c>
      <c r="D1353" t="s">
        <v>2090</v>
      </c>
      <c r="E1353" s="150">
        <v>263</v>
      </c>
      <c r="F1353" s="142">
        <v>8000</v>
      </c>
      <c r="G1353" s="143">
        <v>6723</v>
      </c>
      <c r="H1353" s="144">
        <v>1277</v>
      </c>
      <c r="I1353" s="140">
        <v>1</v>
      </c>
      <c r="J1353" s="114" t="str">
        <f t="shared" si="21"/>
        <v>INSERT INTO DOCUMENTOS (NRO_DOCUMENTO,FECHA_EMISION,TOTAL_BRUTO,TOTAL_NETO,TOTAL_IVA, ID_TIPO, RUT_EMPLEADO, ID_CLIENTE) VALUES(1349,TO_DATE('17-08-2025','DD-MM-YYYY'),8000,6723,1277,1,'14526149-K',263);</v>
      </c>
    </row>
    <row r="1354" spans="1:10">
      <c r="A1354" s="149"/>
      <c r="B1354" s="150">
        <v>1350</v>
      </c>
      <c r="C1354" s="118" t="s">
        <v>2391</v>
      </c>
      <c r="D1354" t="s">
        <v>2090</v>
      </c>
      <c r="E1354" s="150">
        <v>267</v>
      </c>
      <c r="F1354" s="142">
        <v>14000</v>
      </c>
      <c r="G1354" s="143">
        <v>11766</v>
      </c>
      <c r="H1354" s="144">
        <v>2234</v>
      </c>
      <c r="I1354" s="140">
        <v>1</v>
      </c>
      <c r="J1354" s="114" t="str">
        <f t="shared" si="21"/>
        <v>INSERT INTO DOCUMENTOS (NRO_DOCUMENTO,FECHA_EMISION,TOTAL_BRUTO,TOTAL_NETO,TOTAL_IVA, ID_TIPO, RUT_EMPLEADO, ID_CLIENTE) VALUES(1350,TO_DATE('17-08-2025','DD-MM-YYYY'),14000,11766,2234,1,'14526149-K',267);</v>
      </c>
    </row>
    <row r="1355" spans="1:10">
      <c r="A1355" s="149"/>
      <c r="B1355" s="149">
        <v>1351</v>
      </c>
      <c r="C1355" s="118" t="s">
        <v>2391</v>
      </c>
      <c r="D1355" t="s">
        <v>2090</v>
      </c>
      <c r="E1355" s="150">
        <v>342</v>
      </c>
      <c r="F1355" s="142">
        <v>87000</v>
      </c>
      <c r="G1355" s="143">
        <v>73109</v>
      </c>
      <c r="H1355" s="144">
        <v>13891</v>
      </c>
      <c r="I1355" s="140">
        <v>1</v>
      </c>
      <c r="J1355" s="114" t="str">
        <f t="shared" si="21"/>
        <v>INSERT INTO DOCUMENTOS (NRO_DOCUMENTO,FECHA_EMISION,TOTAL_BRUTO,TOTAL_NETO,TOTAL_IVA, ID_TIPO, RUT_EMPLEADO, ID_CLIENTE) VALUES(1351,TO_DATE('17-08-2025','DD-MM-YYYY'),87000,73109,13891,1,'14526149-K',342);</v>
      </c>
    </row>
    <row r="1356" spans="1:10">
      <c r="A1356" s="149"/>
      <c r="B1356" s="149">
        <v>1352</v>
      </c>
      <c r="C1356" s="118" t="s">
        <v>2391</v>
      </c>
      <c r="D1356" t="s">
        <v>2090</v>
      </c>
      <c r="E1356" s="150">
        <v>397</v>
      </c>
      <c r="F1356" s="142">
        <v>52900</v>
      </c>
      <c r="G1356" s="143">
        <v>44454</v>
      </c>
      <c r="H1356" s="144">
        <v>8446</v>
      </c>
      <c r="I1356" s="140">
        <v>1</v>
      </c>
      <c r="J1356" s="114" t="str">
        <f t="shared" si="21"/>
        <v>INSERT INTO DOCUMENTOS (NRO_DOCUMENTO,FECHA_EMISION,TOTAL_BRUTO,TOTAL_NETO,TOTAL_IVA, ID_TIPO, RUT_EMPLEADO, ID_CLIENTE) VALUES(1352,TO_DATE('17-08-2025','DD-MM-YYYY'),52900,44454,8446,1,'14526149-K',397);</v>
      </c>
    </row>
    <row r="1357" spans="1:10">
      <c r="A1357" s="149"/>
      <c r="B1357" s="149">
        <v>1353</v>
      </c>
      <c r="C1357" s="118" t="s">
        <v>2391</v>
      </c>
      <c r="D1357" t="s">
        <v>2090</v>
      </c>
      <c r="E1357" s="150">
        <v>476</v>
      </c>
      <c r="F1357" s="142">
        <v>8000</v>
      </c>
      <c r="G1357" s="143">
        <v>6723</v>
      </c>
      <c r="H1357" s="144">
        <v>1277</v>
      </c>
      <c r="I1357" s="140">
        <v>1</v>
      </c>
      <c r="J1357" s="114" t="str">
        <f t="shared" si="21"/>
        <v>INSERT INTO DOCUMENTOS (NRO_DOCUMENTO,FECHA_EMISION,TOTAL_BRUTO,TOTAL_NETO,TOTAL_IVA, ID_TIPO, RUT_EMPLEADO, ID_CLIENTE) VALUES(1353,TO_DATE('17-08-2025','DD-MM-YYYY'),8000,6723,1277,1,'14526149-K',476);</v>
      </c>
    </row>
    <row r="1358" spans="1:10">
      <c r="A1358" s="149"/>
      <c r="B1358" s="149">
        <v>1354</v>
      </c>
      <c r="C1358" s="118" t="s">
        <v>2391</v>
      </c>
      <c r="D1358" t="s">
        <v>2090</v>
      </c>
      <c r="E1358" s="150">
        <v>477</v>
      </c>
      <c r="F1358" s="142">
        <v>10700</v>
      </c>
      <c r="G1358" s="143">
        <v>8991</v>
      </c>
      <c r="H1358" s="144">
        <v>1709</v>
      </c>
      <c r="I1358" s="140">
        <v>1</v>
      </c>
      <c r="J1358" s="114" t="str">
        <f t="shared" si="21"/>
        <v>INSERT INTO DOCUMENTOS (NRO_DOCUMENTO,FECHA_EMISION,TOTAL_BRUTO,TOTAL_NETO,TOTAL_IVA, ID_TIPO, RUT_EMPLEADO, ID_CLIENTE) VALUES(1354,TO_DATE('17-08-2025','DD-MM-YYYY'),10700,8991,1709,1,'14526149-K',477);</v>
      </c>
    </row>
    <row r="1359" spans="1:10">
      <c r="A1359" s="149"/>
      <c r="B1359" s="149">
        <v>1355</v>
      </c>
      <c r="C1359" s="151" t="s">
        <v>2392</v>
      </c>
      <c r="D1359" t="s">
        <v>2090</v>
      </c>
      <c r="E1359" s="150">
        <v>151</v>
      </c>
      <c r="F1359" s="142">
        <v>8000</v>
      </c>
      <c r="G1359" s="143">
        <v>6723</v>
      </c>
      <c r="H1359" s="144">
        <v>1277</v>
      </c>
      <c r="I1359" s="140">
        <v>1</v>
      </c>
      <c r="J1359" s="114" t="str">
        <f t="shared" si="21"/>
        <v>INSERT INTO DOCUMENTOS (NRO_DOCUMENTO,FECHA_EMISION,TOTAL_BRUTO,TOTAL_NETO,TOTAL_IVA, ID_TIPO, RUT_EMPLEADO, ID_CLIENTE) VALUES(1355,TO_DATE('18-08-2025','DD-MM-YYYY'),8000,6723,1277,1,'14526149-K',151);</v>
      </c>
    </row>
    <row r="1360" spans="1:10">
      <c r="A1360" s="149"/>
      <c r="B1360" s="149">
        <v>1356</v>
      </c>
      <c r="C1360" s="118" t="s">
        <v>2392</v>
      </c>
      <c r="D1360" t="s">
        <v>2090</v>
      </c>
      <c r="E1360" s="150">
        <v>254</v>
      </c>
      <c r="F1360" s="142">
        <v>22000</v>
      </c>
      <c r="G1360" s="143">
        <v>18488</v>
      </c>
      <c r="H1360" s="144">
        <v>3512</v>
      </c>
      <c r="I1360" s="140">
        <v>1</v>
      </c>
      <c r="J1360" s="114" t="str">
        <f t="shared" si="21"/>
        <v>INSERT INTO DOCUMENTOS (NRO_DOCUMENTO,FECHA_EMISION,TOTAL_BRUTO,TOTAL_NETO,TOTAL_IVA, ID_TIPO, RUT_EMPLEADO, ID_CLIENTE) VALUES(1356,TO_DATE('18-08-2025','DD-MM-YYYY'),22000,18488,3512,1,'14526149-K',254);</v>
      </c>
    </row>
    <row r="1361" spans="1:10">
      <c r="A1361" s="149"/>
      <c r="B1361" s="149">
        <v>1357</v>
      </c>
      <c r="C1361" s="118" t="s">
        <v>2392</v>
      </c>
      <c r="D1361" t="s">
        <v>2090</v>
      </c>
      <c r="E1361" s="150">
        <v>306</v>
      </c>
      <c r="F1361" s="142">
        <v>52000</v>
      </c>
      <c r="G1361" s="143">
        <v>43698</v>
      </c>
      <c r="H1361" s="144">
        <v>8302</v>
      </c>
      <c r="I1361" s="140">
        <v>1</v>
      </c>
      <c r="J1361" s="114" t="str">
        <f t="shared" si="21"/>
        <v>INSERT INTO DOCUMENTOS (NRO_DOCUMENTO,FECHA_EMISION,TOTAL_BRUTO,TOTAL_NETO,TOTAL_IVA, ID_TIPO, RUT_EMPLEADO, ID_CLIENTE) VALUES(1357,TO_DATE('18-08-2025','DD-MM-YYYY'),52000,43698,8302,1,'14526149-K',306);</v>
      </c>
    </row>
    <row r="1362" spans="1:10">
      <c r="A1362" s="149"/>
      <c r="B1362" s="149">
        <v>1358</v>
      </c>
      <c r="C1362" s="151" t="s">
        <v>2393</v>
      </c>
      <c r="D1362" t="s">
        <v>2090</v>
      </c>
      <c r="E1362" s="150">
        <v>48</v>
      </c>
      <c r="F1362" s="142">
        <v>27500</v>
      </c>
      <c r="G1362" s="143">
        <v>23110</v>
      </c>
      <c r="H1362" s="144">
        <v>4390</v>
      </c>
      <c r="I1362" s="140">
        <v>1</v>
      </c>
      <c r="J1362" s="114" t="str">
        <f t="shared" si="21"/>
        <v>INSERT INTO DOCUMENTOS (NRO_DOCUMENTO,FECHA_EMISION,TOTAL_BRUTO,TOTAL_NETO,TOTAL_IVA, ID_TIPO, RUT_EMPLEADO, ID_CLIENTE) VALUES(1358,TO_DATE('19-08-2025','DD-MM-YYYY'),27500,23110,4390,1,'14526149-K',48);</v>
      </c>
    </row>
    <row r="1363" spans="1:10">
      <c r="A1363" s="149"/>
      <c r="B1363" s="149">
        <v>1359</v>
      </c>
      <c r="C1363" s="118" t="s">
        <v>2393</v>
      </c>
      <c r="D1363" t="s">
        <v>2090</v>
      </c>
      <c r="E1363" s="150">
        <v>119</v>
      </c>
      <c r="F1363" s="142">
        <v>8000</v>
      </c>
      <c r="G1363" s="143">
        <v>6723</v>
      </c>
      <c r="H1363" s="144">
        <v>1277</v>
      </c>
      <c r="I1363" s="140">
        <v>1</v>
      </c>
      <c r="J1363" s="114" t="str">
        <f t="shared" si="21"/>
        <v>INSERT INTO DOCUMENTOS (NRO_DOCUMENTO,FECHA_EMISION,TOTAL_BRUTO,TOTAL_NETO,TOTAL_IVA, ID_TIPO, RUT_EMPLEADO, ID_CLIENTE) VALUES(1359,TO_DATE('19-08-2025','DD-MM-YYYY'),8000,6723,1277,1,'14526149-K',119);</v>
      </c>
    </row>
    <row r="1364" spans="1:10">
      <c r="A1364" s="149"/>
      <c r="B1364" s="149">
        <v>1360</v>
      </c>
      <c r="C1364" s="118" t="s">
        <v>2393</v>
      </c>
      <c r="D1364" t="s">
        <v>2090</v>
      </c>
      <c r="E1364" s="150">
        <v>135</v>
      </c>
      <c r="F1364" s="142">
        <v>32000</v>
      </c>
      <c r="G1364" s="143">
        <v>26891</v>
      </c>
      <c r="H1364" s="144">
        <v>5109</v>
      </c>
      <c r="I1364" s="140">
        <v>1</v>
      </c>
      <c r="J1364" s="114" t="str">
        <f t="shared" si="21"/>
        <v>INSERT INTO DOCUMENTOS (NRO_DOCUMENTO,FECHA_EMISION,TOTAL_BRUTO,TOTAL_NETO,TOTAL_IVA, ID_TIPO, RUT_EMPLEADO, ID_CLIENTE) VALUES(1360,TO_DATE('19-08-2025','DD-MM-YYYY'),32000,26891,5109,1,'14526149-K',135);</v>
      </c>
    </row>
    <row r="1365" spans="1:10">
      <c r="A1365" s="149"/>
      <c r="B1365" s="149">
        <v>1361</v>
      </c>
      <c r="C1365" s="118" t="s">
        <v>2393</v>
      </c>
      <c r="D1365" t="s">
        <v>2090</v>
      </c>
      <c r="E1365" s="150">
        <v>393</v>
      </c>
      <c r="F1365" s="142">
        <v>14100</v>
      </c>
      <c r="G1365" s="143">
        <v>11849</v>
      </c>
      <c r="H1365" s="144">
        <v>2251</v>
      </c>
      <c r="I1365" s="140">
        <v>1</v>
      </c>
      <c r="J1365" s="114" t="str">
        <f t="shared" si="21"/>
        <v>INSERT INTO DOCUMENTOS (NRO_DOCUMENTO,FECHA_EMISION,TOTAL_BRUTO,TOTAL_NETO,TOTAL_IVA, ID_TIPO, RUT_EMPLEADO, ID_CLIENTE) VALUES(1361,TO_DATE('19-08-2025','DD-MM-YYYY'),14100,11849,2251,1,'14526149-K',393);</v>
      </c>
    </row>
    <row r="1366" spans="1:10">
      <c r="A1366" s="149"/>
      <c r="B1366" s="149">
        <v>1362</v>
      </c>
      <c r="C1366" s="118" t="s">
        <v>2393</v>
      </c>
      <c r="D1366" t="s">
        <v>2090</v>
      </c>
      <c r="E1366" s="150">
        <v>407</v>
      </c>
      <c r="F1366" s="142">
        <v>14100</v>
      </c>
      <c r="G1366" s="143">
        <v>11849</v>
      </c>
      <c r="H1366" s="144">
        <v>2251</v>
      </c>
      <c r="I1366" s="140">
        <v>1</v>
      </c>
      <c r="J1366" s="114" t="str">
        <f t="shared" si="21"/>
        <v>INSERT INTO DOCUMENTOS (NRO_DOCUMENTO,FECHA_EMISION,TOTAL_BRUTO,TOTAL_NETO,TOTAL_IVA, ID_TIPO, RUT_EMPLEADO, ID_CLIENTE) VALUES(1362,TO_DATE('19-08-2025','DD-MM-YYYY'),14100,11849,2251,1,'14526149-K',407);</v>
      </c>
    </row>
    <row r="1367" spans="1:10">
      <c r="A1367" s="149"/>
      <c r="B1367" s="149">
        <v>1363</v>
      </c>
      <c r="C1367" s="118" t="s">
        <v>2393</v>
      </c>
      <c r="D1367" t="s">
        <v>2090</v>
      </c>
      <c r="E1367" s="150">
        <v>446</v>
      </c>
      <c r="F1367" s="142">
        <v>9500</v>
      </c>
      <c r="G1367" s="143">
        <v>7983</v>
      </c>
      <c r="H1367" s="144">
        <v>1517</v>
      </c>
      <c r="I1367" s="140">
        <v>1</v>
      </c>
      <c r="J1367" s="114" t="str">
        <f t="shared" si="21"/>
        <v>INSERT INTO DOCUMENTOS (NRO_DOCUMENTO,FECHA_EMISION,TOTAL_BRUTO,TOTAL_NETO,TOTAL_IVA, ID_TIPO, RUT_EMPLEADO, ID_CLIENTE) VALUES(1363,TO_DATE('19-08-2025','DD-MM-YYYY'),9500,7983,1517,1,'14526149-K',446);</v>
      </c>
    </row>
    <row r="1368" spans="1:10">
      <c r="A1368" s="149"/>
      <c r="B1368" s="149">
        <v>1364</v>
      </c>
      <c r="C1368" s="118" t="s">
        <v>2393</v>
      </c>
      <c r="D1368" t="s">
        <v>2090</v>
      </c>
      <c r="E1368" s="150">
        <v>474</v>
      </c>
      <c r="F1368" s="142">
        <v>14400</v>
      </c>
      <c r="G1368" s="143">
        <v>12101</v>
      </c>
      <c r="H1368" s="144">
        <v>2299</v>
      </c>
      <c r="I1368" s="140">
        <v>1</v>
      </c>
      <c r="J1368" s="114" t="str">
        <f t="shared" si="21"/>
        <v>INSERT INTO DOCUMENTOS (NRO_DOCUMENTO,FECHA_EMISION,TOTAL_BRUTO,TOTAL_NETO,TOTAL_IVA, ID_TIPO, RUT_EMPLEADO, ID_CLIENTE) VALUES(1364,TO_DATE('19-08-2025','DD-MM-YYYY'),14400,12101,2299,1,'14526149-K',474);</v>
      </c>
    </row>
    <row r="1369" spans="1:10">
      <c r="A1369" s="149"/>
      <c r="B1369" s="149">
        <v>1365</v>
      </c>
      <c r="C1369" s="151" t="s">
        <v>2394</v>
      </c>
      <c r="D1369" t="s">
        <v>2090</v>
      </c>
      <c r="E1369" s="150">
        <v>16</v>
      </c>
      <c r="F1369" s="142">
        <v>53000</v>
      </c>
      <c r="G1369" s="143">
        <v>44539</v>
      </c>
      <c r="H1369" s="144">
        <v>8461</v>
      </c>
      <c r="I1369" s="140">
        <v>1</v>
      </c>
      <c r="J1369" s="114" t="str">
        <f t="shared" si="21"/>
        <v>INSERT INTO DOCUMENTOS (NRO_DOCUMENTO,FECHA_EMISION,TOTAL_BRUTO,TOTAL_NETO,TOTAL_IVA, ID_TIPO, RUT_EMPLEADO, ID_CLIENTE) VALUES(1365,TO_DATE('20-08-2025','DD-MM-YYYY'),53000,44539,8461,1,'14526149-K',16);</v>
      </c>
    </row>
    <row r="1370" spans="1:10">
      <c r="A1370" s="149"/>
      <c r="B1370" s="149">
        <v>1366</v>
      </c>
      <c r="C1370" s="118" t="s">
        <v>2394</v>
      </c>
      <c r="D1370" t="s">
        <v>2090</v>
      </c>
      <c r="E1370" s="150">
        <v>92</v>
      </c>
      <c r="F1370" s="142">
        <v>4000</v>
      </c>
      <c r="G1370" s="143">
        <v>3361</v>
      </c>
      <c r="H1370" s="144">
        <v>639</v>
      </c>
      <c r="I1370" s="140">
        <v>1</v>
      </c>
      <c r="J1370" s="114" t="str">
        <f t="shared" si="21"/>
        <v>INSERT INTO DOCUMENTOS (NRO_DOCUMENTO,FECHA_EMISION,TOTAL_BRUTO,TOTAL_NETO,TOTAL_IVA, ID_TIPO, RUT_EMPLEADO, ID_CLIENTE) VALUES(1366,TO_DATE('20-08-2025','DD-MM-YYYY'),4000,3361,639,1,'14526149-K',92);</v>
      </c>
    </row>
    <row r="1371" spans="1:10">
      <c r="A1371" s="149"/>
      <c r="B1371" s="149">
        <v>1367</v>
      </c>
      <c r="C1371" s="118" t="s">
        <v>2394</v>
      </c>
      <c r="D1371" t="s">
        <v>2090</v>
      </c>
      <c r="E1371" s="150">
        <v>114</v>
      </c>
      <c r="F1371" s="142">
        <v>23400</v>
      </c>
      <c r="G1371" s="143">
        <v>19664</v>
      </c>
      <c r="H1371" s="144">
        <v>3736</v>
      </c>
      <c r="I1371" s="140">
        <v>1</v>
      </c>
      <c r="J1371" s="114" t="str">
        <f t="shared" si="21"/>
        <v>INSERT INTO DOCUMENTOS (NRO_DOCUMENTO,FECHA_EMISION,TOTAL_BRUTO,TOTAL_NETO,TOTAL_IVA, ID_TIPO, RUT_EMPLEADO, ID_CLIENTE) VALUES(1367,TO_DATE('20-08-2025','DD-MM-YYYY'),23400,19664,3736,1,'14526149-K',114);</v>
      </c>
    </row>
    <row r="1372" spans="1:10">
      <c r="A1372" s="149"/>
      <c r="B1372" s="149">
        <v>1368</v>
      </c>
      <c r="C1372" s="118" t="s">
        <v>2394</v>
      </c>
      <c r="D1372" t="s">
        <v>2090</v>
      </c>
      <c r="E1372" s="150">
        <v>166</v>
      </c>
      <c r="F1372" s="142">
        <v>11000</v>
      </c>
      <c r="G1372" s="143">
        <v>9244</v>
      </c>
      <c r="H1372" s="144">
        <v>1756</v>
      </c>
      <c r="I1372" s="140">
        <v>1</v>
      </c>
      <c r="J1372" s="114" t="str">
        <f t="shared" si="21"/>
        <v>INSERT INTO DOCUMENTOS (NRO_DOCUMENTO,FECHA_EMISION,TOTAL_BRUTO,TOTAL_NETO,TOTAL_IVA, ID_TIPO, RUT_EMPLEADO, ID_CLIENTE) VALUES(1368,TO_DATE('20-08-2025','DD-MM-YYYY'),11000,9244,1756,1,'14526149-K',166);</v>
      </c>
    </row>
    <row r="1373" spans="1:10">
      <c r="A1373" s="149"/>
      <c r="B1373" s="149">
        <v>1369</v>
      </c>
      <c r="C1373" s="118" t="s">
        <v>2394</v>
      </c>
      <c r="D1373" t="s">
        <v>2090</v>
      </c>
      <c r="E1373" s="150">
        <v>363</v>
      </c>
      <c r="F1373" s="142">
        <v>8000</v>
      </c>
      <c r="G1373" s="143">
        <v>6723</v>
      </c>
      <c r="H1373" s="144">
        <v>1277</v>
      </c>
      <c r="I1373" s="140">
        <v>1</v>
      </c>
      <c r="J1373" s="114" t="str">
        <f t="shared" si="21"/>
        <v>INSERT INTO DOCUMENTOS (NRO_DOCUMENTO,FECHA_EMISION,TOTAL_BRUTO,TOTAL_NETO,TOTAL_IVA, ID_TIPO, RUT_EMPLEADO, ID_CLIENTE) VALUES(1369,TO_DATE('20-08-2025','DD-MM-YYYY'),8000,6723,1277,1,'14526149-K',363);</v>
      </c>
    </row>
    <row r="1374" spans="1:10">
      <c r="A1374" s="149"/>
      <c r="B1374" s="149">
        <v>1370</v>
      </c>
      <c r="C1374" s="118" t="s">
        <v>2394</v>
      </c>
      <c r="D1374" t="s">
        <v>2090</v>
      </c>
      <c r="E1374" s="150">
        <v>398</v>
      </c>
      <c r="F1374" s="142">
        <v>6000</v>
      </c>
      <c r="G1374" s="143">
        <v>5042</v>
      </c>
      <c r="H1374" s="144">
        <v>958</v>
      </c>
      <c r="I1374" s="140">
        <v>1</v>
      </c>
      <c r="J1374" s="114" t="str">
        <f t="shared" si="21"/>
        <v>INSERT INTO DOCUMENTOS (NRO_DOCUMENTO,FECHA_EMISION,TOTAL_BRUTO,TOTAL_NETO,TOTAL_IVA, ID_TIPO, RUT_EMPLEADO, ID_CLIENTE) VALUES(1370,TO_DATE('20-08-2025','DD-MM-YYYY'),6000,5042,958,1,'14526149-K',398);</v>
      </c>
    </row>
    <row r="1375" spans="1:10">
      <c r="A1375" s="149"/>
      <c r="B1375" s="149">
        <v>1371</v>
      </c>
      <c r="C1375" s="118" t="s">
        <v>2394</v>
      </c>
      <c r="D1375" t="s">
        <v>2090</v>
      </c>
      <c r="E1375" s="150">
        <v>470</v>
      </c>
      <c r="F1375" s="142">
        <v>8000</v>
      </c>
      <c r="G1375" s="143">
        <v>6723</v>
      </c>
      <c r="H1375" s="144">
        <v>1277</v>
      </c>
      <c r="I1375" s="140">
        <v>1</v>
      </c>
      <c r="J1375" s="114" t="str">
        <f t="shared" si="21"/>
        <v>INSERT INTO DOCUMENTOS (NRO_DOCUMENTO,FECHA_EMISION,TOTAL_BRUTO,TOTAL_NETO,TOTAL_IVA, ID_TIPO, RUT_EMPLEADO, ID_CLIENTE) VALUES(1371,TO_DATE('20-08-2025','DD-MM-YYYY'),8000,6723,1277,1,'14526149-K',470);</v>
      </c>
    </row>
    <row r="1376" spans="1:10">
      <c r="A1376" s="149"/>
      <c r="B1376" s="149">
        <v>1372</v>
      </c>
      <c r="C1376" s="151" t="s">
        <v>2395</v>
      </c>
      <c r="D1376" t="s">
        <v>2090</v>
      </c>
      <c r="E1376" s="150">
        <v>15</v>
      </c>
      <c r="F1376" s="142">
        <v>11000</v>
      </c>
      <c r="G1376" s="143">
        <v>9244</v>
      </c>
      <c r="H1376" s="144">
        <v>1756</v>
      </c>
      <c r="I1376" s="140">
        <v>1</v>
      </c>
      <c r="J1376" s="114" t="str">
        <f t="shared" si="21"/>
        <v>INSERT INTO DOCUMENTOS (NRO_DOCUMENTO,FECHA_EMISION,TOTAL_BRUTO,TOTAL_NETO,TOTAL_IVA, ID_TIPO, RUT_EMPLEADO, ID_CLIENTE) VALUES(1372,TO_DATE('21-08-2025','DD-MM-YYYY'),11000,9244,1756,1,'14526149-K',15);</v>
      </c>
    </row>
    <row r="1377" spans="1:10">
      <c r="A1377" s="149"/>
      <c r="B1377" s="149">
        <v>1373</v>
      </c>
      <c r="C1377" s="118" t="s">
        <v>2395</v>
      </c>
      <c r="D1377" t="s">
        <v>2090</v>
      </c>
      <c r="E1377" s="150">
        <v>98</v>
      </c>
      <c r="F1377" s="142">
        <v>11000</v>
      </c>
      <c r="G1377" s="143">
        <v>9244</v>
      </c>
      <c r="H1377" s="144">
        <v>1756</v>
      </c>
      <c r="I1377" s="140">
        <v>1</v>
      </c>
      <c r="J1377" s="114" t="str">
        <f t="shared" si="21"/>
        <v>INSERT INTO DOCUMENTOS (NRO_DOCUMENTO,FECHA_EMISION,TOTAL_BRUTO,TOTAL_NETO,TOTAL_IVA, ID_TIPO, RUT_EMPLEADO, ID_CLIENTE) VALUES(1373,TO_DATE('21-08-2025','DD-MM-YYYY'),11000,9244,1756,1,'14526149-K',98);</v>
      </c>
    </row>
    <row r="1378" spans="1:10">
      <c r="A1378" s="149"/>
      <c r="B1378" s="149">
        <v>1374</v>
      </c>
      <c r="C1378" s="118" t="s">
        <v>2395</v>
      </c>
      <c r="D1378" t="s">
        <v>2090</v>
      </c>
      <c r="E1378" s="150">
        <v>466</v>
      </c>
      <c r="F1378" s="142">
        <v>22200</v>
      </c>
      <c r="G1378" s="143">
        <v>18655</v>
      </c>
      <c r="H1378" s="144">
        <v>3545</v>
      </c>
      <c r="I1378" s="140">
        <v>1</v>
      </c>
      <c r="J1378" s="114" t="str">
        <f t="shared" si="21"/>
        <v>INSERT INTO DOCUMENTOS (NRO_DOCUMENTO,FECHA_EMISION,TOTAL_BRUTO,TOTAL_NETO,TOTAL_IVA, ID_TIPO, RUT_EMPLEADO, ID_CLIENTE) VALUES(1374,TO_DATE('21-08-2025','DD-MM-YYYY'),22200,18655,3545,1,'14526149-K',466);</v>
      </c>
    </row>
    <row r="1379" spans="1:10">
      <c r="A1379" s="149"/>
      <c r="B1379" s="149">
        <v>1375</v>
      </c>
      <c r="C1379" s="118" t="s">
        <v>2395</v>
      </c>
      <c r="D1379" t="s">
        <v>2090</v>
      </c>
      <c r="E1379" s="150">
        <v>470</v>
      </c>
      <c r="F1379" s="142">
        <v>32000</v>
      </c>
      <c r="G1379" s="143">
        <v>26891</v>
      </c>
      <c r="H1379" s="144">
        <v>5109</v>
      </c>
      <c r="I1379" s="140">
        <v>1</v>
      </c>
      <c r="J1379" s="114" t="str">
        <f t="shared" si="21"/>
        <v>INSERT INTO DOCUMENTOS (NRO_DOCUMENTO,FECHA_EMISION,TOTAL_BRUTO,TOTAL_NETO,TOTAL_IVA, ID_TIPO, RUT_EMPLEADO, ID_CLIENTE) VALUES(1375,TO_DATE('21-08-2025','DD-MM-YYYY'),32000,26891,5109,1,'14526149-K',470);</v>
      </c>
    </row>
    <row r="1380" spans="1:10">
      <c r="A1380" s="149"/>
      <c r="B1380" s="149">
        <v>1376</v>
      </c>
      <c r="C1380" s="118" t="s">
        <v>2395</v>
      </c>
      <c r="D1380" t="s">
        <v>2090</v>
      </c>
      <c r="E1380" s="150">
        <v>471</v>
      </c>
      <c r="F1380" s="142">
        <v>8000</v>
      </c>
      <c r="G1380" s="143">
        <v>6723</v>
      </c>
      <c r="H1380" s="144">
        <v>1277</v>
      </c>
      <c r="I1380" s="140">
        <v>1</v>
      </c>
      <c r="J1380" s="114" t="str">
        <f t="shared" si="21"/>
        <v>INSERT INTO DOCUMENTOS (NRO_DOCUMENTO,FECHA_EMISION,TOTAL_BRUTO,TOTAL_NETO,TOTAL_IVA, ID_TIPO, RUT_EMPLEADO, ID_CLIENTE) VALUES(1376,TO_DATE('21-08-2025','DD-MM-YYYY'),8000,6723,1277,1,'14526149-K',471);</v>
      </c>
    </row>
    <row r="1381" spans="1:10">
      <c r="A1381" s="149"/>
      <c r="B1381" s="149">
        <v>1377</v>
      </c>
      <c r="C1381" s="151" t="s">
        <v>2396</v>
      </c>
      <c r="D1381" t="s">
        <v>2090</v>
      </c>
      <c r="E1381" s="150">
        <v>56</v>
      </c>
      <c r="F1381" s="142">
        <v>17000</v>
      </c>
      <c r="G1381" s="143">
        <v>14286</v>
      </c>
      <c r="H1381" s="144">
        <v>2714</v>
      </c>
      <c r="I1381" s="140">
        <v>1</v>
      </c>
      <c r="J1381" s="114" t="str">
        <f t="shared" si="21"/>
        <v>INSERT INTO DOCUMENTOS (NRO_DOCUMENTO,FECHA_EMISION,TOTAL_BRUTO,TOTAL_NETO,TOTAL_IVA, ID_TIPO, RUT_EMPLEADO, ID_CLIENTE) VALUES(1377,TO_DATE('22-08-2025','DD-MM-YYYY'),17000,14286,2714,1,'14526149-K',56);</v>
      </c>
    </row>
    <row r="1382" spans="1:10">
      <c r="A1382" s="149"/>
      <c r="B1382" s="149">
        <v>1378</v>
      </c>
      <c r="C1382" s="118" t="s">
        <v>2396</v>
      </c>
      <c r="D1382" t="s">
        <v>2090</v>
      </c>
      <c r="E1382" s="150">
        <v>166</v>
      </c>
      <c r="F1382" s="142">
        <v>8000</v>
      </c>
      <c r="G1382" s="143">
        <v>6723</v>
      </c>
      <c r="H1382" s="144">
        <v>1277</v>
      </c>
      <c r="I1382" s="140">
        <v>1</v>
      </c>
      <c r="J1382" s="114" t="str">
        <f t="shared" si="21"/>
        <v>INSERT INTO DOCUMENTOS (NRO_DOCUMENTO,FECHA_EMISION,TOTAL_BRUTO,TOTAL_NETO,TOTAL_IVA, ID_TIPO, RUT_EMPLEADO, ID_CLIENTE) VALUES(1378,TO_DATE('22-08-2025','DD-MM-YYYY'),8000,6723,1277,1,'14526149-K',166);</v>
      </c>
    </row>
    <row r="1383" spans="1:10">
      <c r="A1383" s="149"/>
      <c r="B1383" s="149">
        <v>1379</v>
      </c>
      <c r="C1383" s="151" t="s">
        <v>2397</v>
      </c>
      <c r="D1383" t="s">
        <v>2090</v>
      </c>
      <c r="E1383" s="150">
        <v>63</v>
      </c>
      <c r="F1383" s="142">
        <v>8000</v>
      </c>
      <c r="G1383" s="143">
        <v>6723</v>
      </c>
      <c r="H1383" s="144">
        <v>1277</v>
      </c>
      <c r="I1383" s="140">
        <v>1</v>
      </c>
      <c r="J1383" s="114" t="str">
        <f t="shared" si="21"/>
        <v>INSERT INTO DOCUMENTOS (NRO_DOCUMENTO,FECHA_EMISION,TOTAL_BRUTO,TOTAL_NETO,TOTAL_IVA, ID_TIPO, RUT_EMPLEADO, ID_CLIENTE) VALUES(1379,TO_DATE('23-08-2025','DD-MM-YYYY'),8000,6723,1277,1,'14526149-K',63);</v>
      </c>
    </row>
    <row r="1384" spans="1:10">
      <c r="A1384" s="149"/>
      <c r="B1384" s="149">
        <v>1380</v>
      </c>
      <c r="C1384" s="118" t="s">
        <v>2397</v>
      </c>
      <c r="D1384" t="s">
        <v>2090</v>
      </c>
      <c r="E1384" s="150">
        <v>119</v>
      </c>
      <c r="F1384" s="142">
        <v>54350</v>
      </c>
      <c r="G1384" s="143">
        <v>45672</v>
      </c>
      <c r="H1384" s="144">
        <v>8678</v>
      </c>
      <c r="I1384" s="140">
        <v>1</v>
      </c>
      <c r="J1384" s="114" t="str">
        <f t="shared" si="21"/>
        <v>INSERT INTO DOCUMENTOS (NRO_DOCUMENTO,FECHA_EMISION,TOTAL_BRUTO,TOTAL_NETO,TOTAL_IVA, ID_TIPO, RUT_EMPLEADO, ID_CLIENTE) VALUES(1380,TO_DATE('23-08-2025','DD-MM-YYYY'),54350,45672,8678,1,'14526149-K',119);</v>
      </c>
    </row>
    <row r="1385" spans="1:10">
      <c r="A1385" s="149"/>
      <c r="B1385" s="149">
        <v>1381</v>
      </c>
      <c r="C1385" s="118" t="s">
        <v>2397</v>
      </c>
      <c r="D1385" t="s">
        <v>2090</v>
      </c>
      <c r="E1385" s="150">
        <v>122</v>
      </c>
      <c r="F1385" s="142">
        <v>3500</v>
      </c>
      <c r="G1385" s="143">
        <v>2941</v>
      </c>
      <c r="H1385" s="144">
        <v>559</v>
      </c>
      <c r="I1385" s="140">
        <v>1</v>
      </c>
      <c r="J1385" s="114" t="str">
        <f t="shared" si="21"/>
        <v>INSERT INTO DOCUMENTOS (NRO_DOCUMENTO,FECHA_EMISION,TOTAL_BRUTO,TOTAL_NETO,TOTAL_IVA, ID_TIPO, RUT_EMPLEADO, ID_CLIENTE) VALUES(1381,TO_DATE('23-08-2025','DD-MM-YYYY'),3500,2941,559,1,'14526149-K',122);</v>
      </c>
    </row>
    <row r="1386" spans="1:10">
      <c r="A1386" s="149"/>
      <c r="B1386" s="149">
        <v>1382</v>
      </c>
      <c r="C1386" s="118" t="s">
        <v>2397</v>
      </c>
      <c r="D1386" t="s">
        <v>2090</v>
      </c>
      <c r="E1386" s="150">
        <v>155</v>
      </c>
      <c r="F1386" s="142">
        <v>32000</v>
      </c>
      <c r="G1386" s="143">
        <v>26891</v>
      </c>
      <c r="H1386" s="144">
        <v>5109</v>
      </c>
      <c r="I1386" s="140">
        <v>1</v>
      </c>
      <c r="J1386" s="114" t="str">
        <f t="shared" si="21"/>
        <v>INSERT INTO DOCUMENTOS (NRO_DOCUMENTO,FECHA_EMISION,TOTAL_BRUTO,TOTAL_NETO,TOTAL_IVA, ID_TIPO, RUT_EMPLEADO, ID_CLIENTE) VALUES(1382,TO_DATE('23-08-2025','DD-MM-YYYY'),32000,26891,5109,1,'14526149-K',155);</v>
      </c>
    </row>
    <row r="1387" spans="1:10">
      <c r="A1387" s="149"/>
      <c r="B1387" s="149">
        <v>1383</v>
      </c>
      <c r="C1387" s="118" t="s">
        <v>2397</v>
      </c>
      <c r="D1387" t="s">
        <v>2090</v>
      </c>
      <c r="E1387" s="150">
        <v>229</v>
      </c>
      <c r="F1387" s="142">
        <v>32000</v>
      </c>
      <c r="G1387" s="143">
        <v>26891</v>
      </c>
      <c r="H1387" s="144">
        <v>5109</v>
      </c>
      <c r="I1387" s="140">
        <v>1</v>
      </c>
      <c r="J1387" s="114" t="str">
        <f t="shared" si="21"/>
        <v>INSERT INTO DOCUMENTOS (NRO_DOCUMENTO,FECHA_EMISION,TOTAL_BRUTO,TOTAL_NETO,TOTAL_IVA, ID_TIPO, RUT_EMPLEADO, ID_CLIENTE) VALUES(1383,TO_DATE('23-08-2025','DD-MM-YYYY'),32000,26891,5109,1,'14526149-K',229);</v>
      </c>
    </row>
    <row r="1388" spans="1:10">
      <c r="A1388" s="149"/>
      <c r="B1388" s="149">
        <v>1384</v>
      </c>
      <c r="C1388" s="118" t="s">
        <v>2397</v>
      </c>
      <c r="D1388" t="s">
        <v>2090</v>
      </c>
      <c r="E1388" s="150">
        <v>300</v>
      </c>
      <c r="F1388" s="142">
        <v>41300</v>
      </c>
      <c r="G1388" s="143">
        <v>34706</v>
      </c>
      <c r="H1388" s="144">
        <v>6594</v>
      </c>
      <c r="I1388" s="140">
        <v>1</v>
      </c>
      <c r="J1388" s="114" t="str">
        <f t="shared" si="21"/>
        <v>INSERT INTO DOCUMENTOS (NRO_DOCUMENTO,FECHA_EMISION,TOTAL_BRUTO,TOTAL_NETO,TOTAL_IVA, ID_TIPO, RUT_EMPLEADO, ID_CLIENTE) VALUES(1384,TO_DATE('23-08-2025','DD-MM-YYYY'),41300,34706,6594,1,'14526149-K',300);</v>
      </c>
    </row>
    <row r="1389" spans="1:10">
      <c r="A1389" s="149"/>
      <c r="B1389" s="149">
        <v>1385</v>
      </c>
      <c r="C1389" s="118" t="s">
        <v>2397</v>
      </c>
      <c r="D1389" t="s">
        <v>2090</v>
      </c>
      <c r="E1389" s="150">
        <v>345</v>
      </c>
      <c r="F1389" s="142">
        <v>6000</v>
      </c>
      <c r="G1389" s="143">
        <v>5042</v>
      </c>
      <c r="H1389" s="144">
        <v>958</v>
      </c>
      <c r="I1389" s="140">
        <v>1</v>
      </c>
      <c r="J1389" s="114" t="str">
        <f t="shared" si="21"/>
        <v>INSERT INTO DOCUMENTOS (NRO_DOCUMENTO,FECHA_EMISION,TOTAL_BRUTO,TOTAL_NETO,TOTAL_IVA, ID_TIPO, RUT_EMPLEADO, ID_CLIENTE) VALUES(1385,TO_DATE('23-08-2025','DD-MM-YYYY'),6000,5042,958,1,'14526149-K',345);</v>
      </c>
    </row>
    <row r="1390" spans="1:10">
      <c r="A1390" s="149"/>
      <c r="B1390" s="149">
        <v>1386</v>
      </c>
      <c r="C1390" s="118" t="s">
        <v>2397</v>
      </c>
      <c r="D1390" t="s">
        <v>2090</v>
      </c>
      <c r="E1390" s="150">
        <v>402</v>
      </c>
      <c r="F1390" s="142">
        <v>8000</v>
      </c>
      <c r="G1390" s="143">
        <v>6723</v>
      </c>
      <c r="H1390" s="144">
        <v>1277</v>
      </c>
      <c r="I1390" s="140">
        <v>1</v>
      </c>
      <c r="J1390" s="114" t="str">
        <f t="shared" si="21"/>
        <v>INSERT INTO DOCUMENTOS (NRO_DOCUMENTO,FECHA_EMISION,TOTAL_BRUTO,TOTAL_NETO,TOTAL_IVA, ID_TIPO, RUT_EMPLEADO, ID_CLIENTE) VALUES(1386,TO_DATE('23-08-2025','DD-MM-YYYY'),8000,6723,1277,1,'14526149-K',402);</v>
      </c>
    </row>
    <row r="1391" spans="1:10">
      <c r="A1391" s="149"/>
      <c r="B1391" s="149">
        <v>1387</v>
      </c>
      <c r="C1391" s="118" t="s">
        <v>2397</v>
      </c>
      <c r="D1391" t="s">
        <v>2090</v>
      </c>
      <c r="E1391" s="150">
        <v>408</v>
      </c>
      <c r="F1391" s="142">
        <v>16000</v>
      </c>
      <c r="G1391" s="143">
        <v>13445</v>
      </c>
      <c r="H1391" s="144">
        <v>2555</v>
      </c>
      <c r="I1391" s="140">
        <v>1</v>
      </c>
      <c r="J1391" s="114" t="str">
        <f t="shared" si="21"/>
        <v>INSERT INTO DOCUMENTOS (NRO_DOCUMENTO,FECHA_EMISION,TOTAL_BRUTO,TOTAL_NETO,TOTAL_IVA, ID_TIPO, RUT_EMPLEADO, ID_CLIENTE) VALUES(1387,TO_DATE('23-08-2025','DD-MM-YYYY'),16000,13445,2555,1,'14526149-K',408);</v>
      </c>
    </row>
    <row r="1392" spans="1:10">
      <c r="A1392" s="149"/>
      <c r="B1392" s="149">
        <v>1388</v>
      </c>
      <c r="C1392" s="118" t="s">
        <v>2397</v>
      </c>
      <c r="D1392" t="s">
        <v>2090</v>
      </c>
      <c r="E1392" s="150">
        <v>416</v>
      </c>
      <c r="F1392" s="142">
        <v>26900</v>
      </c>
      <c r="G1392" s="143">
        <v>22605</v>
      </c>
      <c r="H1392" s="144">
        <v>4295</v>
      </c>
      <c r="I1392" s="140">
        <v>1</v>
      </c>
      <c r="J1392" s="114" t="str">
        <f t="shared" si="21"/>
        <v>INSERT INTO DOCUMENTOS (NRO_DOCUMENTO,FECHA_EMISION,TOTAL_BRUTO,TOTAL_NETO,TOTAL_IVA, ID_TIPO, RUT_EMPLEADO, ID_CLIENTE) VALUES(1388,TO_DATE('23-08-2025','DD-MM-YYYY'),26900,22605,4295,1,'14526149-K',416);</v>
      </c>
    </row>
    <row r="1393" spans="1:10">
      <c r="A1393" s="149"/>
      <c r="B1393" s="149">
        <v>1389</v>
      </c>
      <c r="C1393" s="118" t="s">
        <v>2397</v>
      </c>
      <c r="D1393" t="s">
        <v>2090</v>
      </c>
      <c r="E1393" s="150">
        <v>427</v>
      </c>
      <c r="F1393" s="142">
        <v>6100</v>
      </c>
      <c r="G1393" s="143">
        <v>5127</v>
      </c>
      <c r="H1393" s="144">
        <v>973</v>
      </c>
      <c r="I1393" s="140">
        <v>1</v>
      </c>
      <c r="J1393" s="114" t="str">
        <f t="shared" si="21"/>
        <v>INSERT INTO DOCUMENTOS (NRO_DOCUMENTO,FECHA_EMISION,TOTAL_BRUTO,TOTAL_NETO,TOTAL_IVA, ID_TIPO, RUT_EMPLEADO, ID_CLIENTE) VALUES(1389,TO_DATE('23-08-2025','DD-MM-YYYY'),6100,5127,973,1,'14526149-K',427);</v>
      </c>
    </row>
    <row r="1394" spans="1:10">
      <c r="A1394" s="149"/>
      <c r="B1394" s="149">
        <v>1390</v>
      </c>
      <c r="C1394" s="118" t="s">
        <v>2397</v>
      </c>
      <c r="D1394" t="s">
        <v>2090</v>
      </c>
      <c r="E1394" s="150">
        <v>449</v>
      </c>
      <c r="F1394" s="142">
        <v>48900</v>
      </c>
      <c r="G1394" s="143">
        <v>41093</v>
      </c>
      <c r="H1394" s="144">
        <v>7807</v>
      </c>
      <c r="I1394" s="140">
        <v>1</v>
      </c>
      <c r="J1394" s="114" t="str">
        <f t="shared" si="21"/>
        <v>INSERT INTO DOCUMENTOS (NRO_DOCUMENTO,FECHA_EMISION,TOTAL_BRUTO,TOTAL_NETO,TOTAL_IVA, ID_TIPO, RUT_EMPLEADO, ID_CLIENTE) VALUES(1390,TO_DATE('23-08-2025','DD-MM-YYYY'),48900,41093,7807,1,'14526149-K',449);</v>
      </c>
    </row>
    <row r="1395" spans="1:10">
      <c r="A1395" s="149"/>
      <c r="B1395" s="149">
        <v>1391</v>
      </c>
      <c r="C1395" s="118" t="s">
        <v>2397</v>
      </c>
      <c r="D1395" t="s">
        <v>2090</v>
      </c>
      <c r="E1395" s="150">
        <v>470</v>
      </c>
      <c r="F1395" s="142">
        <v>32000</v>
      </c>
      <c r="G1395" s="143">
        <v>26891</v>
      </c>
      <c r="H1395" s="144">
        <v>5109</v>
      </c>
      <c r="I1395" s="140">
        <v>1</v>
      </c>
      <c r="J1395" s="114" t="str">
        <f t="shared" si="21"/>
        <v>INSERT INTO DOCUMENTOS (NRO_DOCUMENTO,FECHA_EMISION,TOTAL_BRUTO,TOTAL_NETO,TOTAL_IVA, ID_TIPO, RUT_EMPLEADO, ID_CLIENTE) VALUES(1391,TO_DATE('23-08-2025','DD-MM-YYYY'),32000,26891,5109,1,'14526149-K',470);</v>
      </c>
    </row>
    <row r="1396" spans="1:10">
      <c r="A1396" s="149"/>
      <c r="B1396" s="149">
        <v>1392</v>
      </c>
      <c r="C1396" s="151" t="s">
        <v>2398</v>
      </c>
      <c r="D1396" t="s">
        <v>2090</v>
      </c>
      <c r="E1396" s="150">
        <v>13</v>
      </c>
      <c r="F1396" s="142">
        <v>17500</v>
      </c>
      <c r="G1396" s="143">
        <v>14706</v>
      </c>
      <c r="H1396" s="144">
        <v>2794</v>
      </c>
      <c r="I1396" s="140">
        <v>1</v>
      </c>
      <c r="J1396" s="114" t="str">
        <f t="shared" si="21"/>
        <v>INSERT INTO DOCUMENTOS (NRO_DOCUMENTO,FECHA_EMISION,TOTAL_BRUTO,TOTAL_NETO,TOTAL_IVA, ID_TIPO, RUT_EMPLEADO, ID_CLIENTE) VALUES(1392,TO_DATE('24-08-2025','DD-MM-YYYY'),17500,14706,2794,1,'14526149-K',13);</v>
      </c>
    </row>
    <row r="1397" spans="1:10">
      <c r="A1397" s="149"/>
      <c r="B1397" s="149">
        <v>1393</v>
      </c>
      <c r="C1397" s="118" t="s">
        <v>2398</v>
      </c>
      <c r="D1397" t="s">
        <v>2090</v>
      </c>
      <c r="E1397" s="150">
        <v>14</v>
      </c>
      <c r="F1397" s="142">
        <v>19500</v>
      </c>
      <c r="G1397" s="143">
        <v>16387</v>
      </c>
      <c r="H1397" s="144">
        <v>3113</v>
      </c>
      <c r="I1397" s="140">
        <v>1</v>
      </c>
      <c r="J1397" s="114" t="str">
        <f t="shared" si="21"/>
        <v>INSERT INTO DOCUMENTOS (NRO_DOCUMENTO,FECHA_EMISION,TOTAL_BRUTO,TOTAL_NETO,TOTAL_IVA, ID_TIPO, RUT_EMPLEADO, ID_CLIENTE) VALUES(1393,TO_DATE('24-08-2025','DD-MM-YYYY'),19500,16387,3113,1,'14526149-K',14);</v>
      </c>
    </row>
    <row r="1398" spans="1:10">
      <c r="A1398" s="149"/>
      <c r="B1398" s="149">
        <v>1394</v>
      </c>
      <c r="C1398" s="118" t="s">
        <v>2398</v>
      </c>
      <c r="D1398" t="s">
        <v>2090</v>
      </c>
      <c r="E1398" s="150">
        <v>98</v>
      </c>
      <c r="F1398" s="142">
        <v>11000</v>
      </c>
      <c r="G1398" s="143">
        <v>9244</v>
      </c>
      <c r="H1398" s="144">
        <v>1756</v>
      </c>
      <c r="I1398" s="140">
        <v>1</v>
      </c>
      <c r="J1398" s="114" t="str">
        <f t="shared" si="21"/>
        <v>INSERT INTO DOCUMENTOS (NRO_DOCUMENTO,FECHA_EMISION,TOTAL_BRUTO,TOTAL_NETO,TOTAL_IVA, ID_TIPO, RUT_EMPLEADO, ID_CLIENTE) VALUES(1394,TO_DATE('24-08-2025','DD-MM-YYYY'),11000,9244,1756,1,'14526149-K',98);</v>
      </c>
    </row>
    <row r="1399" spans="1:10">
      <c r="A1399" s="149"/>
      <c r="B1399" s="149">
        <v>1395</v>
      </c>
      <c r="C1399" s="118" t="s">
        <v>2398</v>
      </c>
      <c r="D1399" t="s">
        <v>2090</v>
      </c>
      <c r="E1399" s="150">
        <v>196</v>
      </c>
      <c r="F1399" s="142">
        <v>21500</v>
      </c>
      <c r="G1399" s="143">
        <v>18068</v>
      </c>
      <c r="H1399" s="144">
        <v>3432</v>
      </c>
      <c r="I1399" s="140">
        <v>1</v>
      </c>
      <c r="J1399" s="114" t="str">
        <f t="shared" si="21"/>
        <v>INSERT INTO DOCUMENTOS (NRO_DOCUMENTO,FECHA_EMISION,TOTAL_BRUTO,TOTAL_NETO,TOTAL_IVA, ID_TIPO, RUT_EMPLEADO, ID_CLIENTE) VALUES(1395,TO_DATE('24-08-2025','DD-MM-YYYY'),21500,18068,3432,1,'14526149-K',196);</v>
      </c>
    </row>
    <row r="1400" spans="1:10">
      <c r="A1400" s="149"/>
      <c r="B1400" s="149">
        <v>1396</v>
      </c>
      <c r="C1400" s="118" t="s">
        <v>2398</v>
      </c>
      <c r="D1400" t="s">
        <v>2090</v>
      </c>
      <c r="E1400" s="150">
        <v>202</v>
      </c>
      <c r="F1400" s="142">
        <v>9000</v>
      </c>
      <c r="G1400" s="143">
        <v>7563</v>
      </c>
      <c r="H1400" s="144">
        <v>1437</v>
      </c>
      <c r="I1400" s="140">
        <v>1</v>
      </c>
      <c r="J1400" s="114" t="str">
        <f t="shared" si="21"/>
        <v>INSERT INTO DOCUMENTOS (NRO_DOCUMENTO,FECHA_EMISION,TOTAL_BRUTO,TOTAL_NETO,TOTAL_IVA, ID_TIPO, RUT_EMPLEADO, ID_CLIENTE) VALUES(1396,TO_DATE('24-08-2025','DD-MM-YYYY'),9000,7563,1437,1,'14526149-K',202);</v>
      </c>
    </row>
    <row r="1401" spans="1:10">
      <c r="A1401" s="149"/>
      <c r="B1401" s="149">
        <v>1397</v>
      </c>
      <c r="C1401" s="118" t="s">
        <v>2398</v>
      </c>
      <c r="D1401" t="s">
        <v>2090</v>
      </c>
      <c r="E1401" s="150">
        <v>277</v>
      </c>
      <c r="F1401" s="142">
        <v>8000</v>
      </c>
      <c r="G1401" s="143">
        <v>6723</v>
      </c>
      <c r="H1401" s="144">
        <v>1277</v>
      </c>
      <c r="I1401" s="140">
        <v>1</v>
      </c>
      <c r="J1401" s="114" t="str">
        <f t="shared" si="21"/>
        <v>INSERT INTO DOCUMENTOS (NRO_DOCUMENTO,FECHA_EMISION,TOTAL_BRUTO,TOTAL_NETO,TOTAL_IVA, ID_TIPO, RUT_EMPLEADO, ID_CLIENTE) VALUES(1397,TO_DATE('24-08-2025','DD-MM-YYYY'),8000,6723,1277,1,'14526149-K',277);</v>
      </c>
    </row>
    <row r="1402" spans="1:10">
      <c r="A1402" s="149"/>
      <c r="B1402" s="149">
        <v>1398</v>
      </c>
      <c r="C1402" s="118" t="s">
        <v>2398</v>
      </c>
      <c r="D1402" t="s">
        <v>2090</v>
      </c>
      <c r="E1402" s="150">
        <v>387</v>
      </c>
      <c r="F1402" s="142">
        <v>20900</v>
      </c>
      <c r="G1402" s="143">
        <v>17563</v>
      </c>
      <c r="H1402" s="144">
        <v>3337</v>
      </c>
      <c r="I1402" s="140">
        <v>1</v>
      </c>
      <c r="J1402" s="114" t="str">
        <f t="shared" si="21"/>
        <v>INSERT INTO DOCUMENTOS (NRO_DOCUMENTO,FECHA_EMISION,TOTAL_BRUTO,TOTAL_NETO,TOTAL_IVA, ID_TIPO, RUT_EMPLEADO, ID_CLIENTE) VALUES(1398,TO_DATE('24-08-2025','DD-MM-YYYY'),20900,17563,3337,1,'14526149-K',387);</v>
      </c>
    </row>
    <row r="1403" spans="1:10">
      <c r="A1403" s="149"/>
      <c r="B1403" s="149">
        <v>1399</v>
      </c>
      <c r="C1403" s="118" t="s">
        <v>2398</v>
      </c>
      <c r="D1403" t="s">
        <v>2090</v>
      </c>
      <c r="E1403" s="150">
        <v>444</v>
      </c>
      <c r="F1403" s="142">
        <v>8000</v>
      </c>
      <c r="G1403" s="143">
        <v>6723</v>
      </c>
      <c r="H1403" s="144">
        <v>1277</v>
      </c>
      <c r="I1403" s="140">
        <v>1</v>
      </c>
      <c r="J1403" s="114" t="str">
        <f t="shared" si="21"/>
        <v>INSERT INTO DOCUMENTOS (NRO_DOCUMENTO,FECHA_EMISION,TOTAL_BRUTO,TOTAL_NETO,TOTAL_IVA, ID_TIPO, RUT_EMPLEADO, ID_CLIENTE) VALUES(1399,TO_DATE('24-08-2025','DD-MM-YYYY'),8000,6723,1277,1,'14526149-K',444);</v>
      </c>
    </row>
    <row r="1404" spans="1:10">
      <c r="A1404" s="149"/>
      <c r="B1404" s="150">
        <v>1400</v>
      </c>
      <c r="C1404" s="151" t="s">
        <v>2399</v>
      </c>
      <c r="D1404" t="s">
        <v>2090</v>
      </c>
      <c r="E1404" s="150">
        <v>21</v>
      </c>
      <c r="F1404" s="142">
        <v>72003</v>
      </c>
      <c r="G1404" s="143">
        <v>60507</v>
      </c>
      <c r="H1404" s="144">
        <v>11496</v>
      </c>
      <c r="I1404" s="140">
        <v>1</v>
      </c>
      <c r="J1404" s="114" t="str">
        <f t="shared" si="21"/>
        <v>INSERT INTO DOCUMENTOS (NRO_DOCUMENTO,FECHA_EMISION,TOTAL_BRUTO,TOTAL_NETO,TOTAL_IVA, ID_TIPO, RUT_EMPLEADO, ID_CLIENTE) VALUES(1400,TO_DATE('25-08-2025','DD-MM-YYYY'),72003,60507,11496,1,'14526149-K',21);</v>
      </c>
    </row>
    <row r="1405" spans="1:10">
      <c r="A1405" s="149"/>
      <c r="B1405" s="149">
        <v>1401</v>
      </c>
      <c r="C1405" s="118" t="s">
        <v>2399</v>
      </c>
      <c r="D1405" t="s">
        <v>2090</v>
      </c>
      <c r="E1405" s="150">
        <v>25</v>
      </c>
      <c r="F1405" s="142">
        <v>8000</v>
      </c>
      <c r="G1405" s="143">
        <v>6723</v>
      </c>
      <c r="H1405" s="144">
        <v>1277</v>
      </c>
      <c r="I1405" s="140">
        <v>1</v>
      </c>
      <c r="J1405" s="114" t="str">
        <f t="shared" si="21"/>
        <v>INSERT INTO DOCUMENTOS (NRO_DOCUMENTO,FECHA_EMISION,TOTAL_BRUTO,TOTAL_NETO,TOTAL_IVA, ID_TIPO, RUT_EMPLEADO, ID_CLIENTE) VALUES(1401,TO_DATE('25-08-2025','DD-MM-YYYY'),8000,6723,1277,1,'14526149-K',25);</v>
      </c>
    </row>
    <row r="1406" spans="1:10">
      <c r="A1406" s="149"/>
      <c r="B1406" s="149">
        <v>1402</v>
      </c>
      <c r="C1406" s="118" t="s">
        <v>2399</v>
      </c>
      <c r="D1406" t="s">
        <v>2090</v>
      </c>
      <c r="E1406" s="150">
        <v>147</v>
      </c>
      <c r="F1406" s="142">
        <v>8000</v>
      </c>
      <c r="G1406" s="143">
        <v>6723</v>
      </c>
      <c r="H1406" s="144">
        <v>1277</v>
      </c>
      <c r="I1406" s="140">
        <v>1</v>
      </c>
      <c r="J1406" s="114" t="str">
        <f t="shared" si="21"/>
        <v>INSERT INTO DOCUMENTOS (NRO_DOCUMENTO,FECHA_EMISION,TOTAL_BRUTO,TOTAL_NETO,TOTAL_IVA, ID_TIPO, RUT_EMPLEADO, ID_CLIENTE) VALUES(1402,TO_DATE('25-08-2025','DD-MM-YYYY'),8000,6723,1277,1,'14526149-K',147);</v>
      </c>
    </row>
    <row r="1407" spans="1:10">
      <c r="A1407" s="149"/>
      <c r="B1407" s="149">
        <v>1403</v>
      </c>
      <c r="C1407" s="118" t="s">
        <v>2399</v>
      </c>
      <c r="D1407" t="s">
        <v>2090</v>
      </c>
      <c r="E1407" s="150">
        <v>315</v>
      </c>
      <c r="F1407" s="142">
        <v>8000</v>
      </c>
      <c r="G1407" s="143">
        <v>6723</v>
      </c>
      <c r="H1407" s="144">
        <v>1277</v>
      </c>
      <c r="I1407" s="140">
        <v>1</v>
      </c>
      <c r="J1407" s="114" t="str">
        <f t="shared" si="21"/>
        <v>INSERT INTO DOCUMENTOS (NRO_DOCUMENTO,FECHA_EMISION,TOTAL_BRUTO,TOTAL_NETO,TOTAL_IVA, ID_TIPO, RUT_EMPLEADO, ID_CLIENTE) VALUES(1403,TO_DATE('25-08-2025','DD-MM-YYYY'),8000,6723,1277,1,'14526149-K',315);</v>
      </c>
    </row>
    <row r="1408" spans="1:10">
      <c r="A1408" s="149"/>
      <c r="B1408" s="149">
        <v>1404</v>
      </c>
      <c r="C1408" s="118" t="s">
        <v>2399</v>
      </c>
      <c r="D1408" t="s">
        <v>2090</v>
      </c>
      <c r="E1408" s="150">
        <v>343</v>
      </c>
      <c r="F1408" s="142">
        <v>32000</v>
      </c>
      <c r="G1408" s="143">
        <v>26891</v>
      </c>
      <c r="H1408" s="144">
        <v>5109</v>
      </c>
      <c r="I1408" s="140">
        <v>1</v>
      </c>
      <c r="J1408" s="114" t="str">
        <f t="shared" si="21"/>
        <v>INSERT INTO DOCUMENTOS (NRO_DOCUMENTO,FECHA_EMISION,TOTAL_BRUTO,TOTAL_NETO,TOTAL_IVA, ID_TIPO, RUT_EMPLEADO, ID_CLIENTE) VALUES(1404,TO_DATE('25-08-2025','DD-MM-YYYY'),32000,26891,5109,1,'14526149-K',343);</v>
      </c>
    </row>
    <row r="1409" spans="1:10">
      <c r="A1409" s="149"/>
      <c r="B1409" s="149">
        <v>1405</v>
      </c>
      <c r="C1409" s="118" t="s">
        <v>2399</v>
      </c>
      <c r="D1409" t="s">
        <v>2090</v>
      </c>
      <c r="E1409" s="150">
        <v>411</v>
      </c>
      <c r="F1409" s="142">
        <v>44900</v>
      </c>
      <c r="G1409" s="143">
        <v>37731</v>
      </c>
      <c r="H1409" s="144">
        <v>7169</v>
      </c>
      <c r="I1409" s="140">
        <v>1</v>
      </c>
      <c r="J1409" s="114" t="str">
        <f t="shared" si="21"/>
        <v>INSERT INTO DOCUMENTOS (NRO_DOCUMENTO,FECHA_EMISION,TOTAL_BRUTO,TOTAL_NETO,TOTAL_IVA, ID_TIPO, RUT_EMPLEADO, ID_CLIENTE) VALUES(1405,TO_DATE('25-08-2025','DD-MM-YYYY'),44900,37731,7169,1,'14526149-K',411);</v>
      </c>
    </row>
    <row r="1410" spans="1:10">
      <c r="A1410" s="149"/>
      <c r="B1410" s="149">
        <v>1406</v>
      </c>
      <c r="C1410" s="118" t="s">
        <v>2399</v>
      </c>
      <c r="D1410" t="s">
        <v>2090</v>
      </c>
      <c r="E1410" s="150">
        <v>470</v>
      </c>
      <c r="F1410" s="142">
        <v>8000</v>
      </c>
      <c r="G1410" s="143">
        <v>6723</v>
      </c>
      <c r="H1410" s="144">
        <v>1277</v>
      </c>
      <c r="I1410" s="140">
        <v>1</v>
      </c>
      <c r="J1410" s="114" t="str">
        <f t="shared" si="21"/>
        <v>INSERT INTO DOCUMENTOS (NRO_DOCUMENTO,FECHA_EMISION,TOTAL_BRUTO,TOTAL_NETO,TOTAL_IVA, ID_TIPO, RUT_EMPLEADO, ID_CLIENTE) VALUES(1406,TO_DATE('25-08-2025','DD-MM-YYYY'),8000,6723,1277,1,'14526149-K',470);</v>
      </c>
    </row>
    <row r="1411" spans="1:10">
      <c r="A1411" s="149"/>
      <c r="B1411" s="149">
        <v>1407</v>
      </c>
      <c r="C1411" s="151" t="s">
        <v>2400</v>
      </c>
      <c r="D1411" t="s">
        <v>2090</v>
      </c>
      <c r="E1411" s="150">
        <v>10</v>
      </c>
      <c r="F1411" s="142">
        <v>8000</v>
      </c>
      <c r="G1411" s="143">
        <v>6723</v>
      </c>
      <c r="H1411" s="144">
        <v>1277</v>
      </c>
      <c r="I1411" s="140">
        <v>1</v>
      </c>
      <c r="J1411" s="114" t="str">
        <f t="shared" si="21"/>
        <v>INSERT INTO DOCUMENTOS (NRO_DOCUMENTO,FECHA_EMISION,TOTAL_BRUTO,TOTAL_NETO,TOTAL_IVA, ID_TIPO, RUT_EMPLEADO, ID_CLIENTE) VALUES(1407,TO_DATE('26-08-2025','DD-MM-YYYY'),8000,6723,1277,1,'14526149-K',10);</v>
      </c>
    </row>
    <row r="1412" spans="1:10">
      <c r="A1412" s="149"/>
      <c r="B1412" s="149">
        <v>1408</v>
      </c>
      <c r="C1412" s="118" t="s">
        <v>2400</v>
      </c>
      <c r="D1412" t="s">
        <v>2090</v>
      </c>
      <c r="E1412" s="150">
        <v>11</v>
      </c>
      <c r="F1412" s="142">
        <v>32500</v>
      </c>
      <c r="G1412" s="143">
        <v>27311</v>
      </c>
      <c r="H1412" s="144">
        <v>5189</v>
      </c>
      <c r="I1412" s="140">
        <v>1</v>
      </c>
      <c r="J1412" s="114" t="str">
        <f t="shared" si="21"/>
        <v>INSERT INTO DOCUMENTOS (NRO_DOCUMENTO,FECHA_EMISION,TOTAL_BRUTO,TOTAL_NETO,TOTAL_IVA, ID_TIPO, RUT_EMPLEADO, ID_CLIENTE) VALUES(1408,TO_DATE('26-08-2025','DD-MM-YYYY'),32500,27311,5189,1,'14526149-K',11);</v>
      </c>
    </row>
    <row r="1413" spans="1:10">
      <c r="A1413" s="149"/>
      <c r="B1413" s="149">
        <v>1409</v>
      </c>
      <c r="C1413" s="118" t="s">
        <v>2400</v>
      </c>
      <c r="D1413" t="s">
        <v>2090</v>
      </c>
      <c r="E1413" s="150">
        <v>12</v>
      </c>
      <c r="F1413" s="142">
        <v>8000</v>
      </c>
      <c r="G1413" s="143">
        <v>6723</v>
      </c>
      <c r="H1413" s="144">
        <v>1277</v>
      </c>
      <c r="I1413" s="140">
        <v>1</v>
      </c>
      <c r="J1413" s="114" t="str">
        <f t="shared" si="21"/>
        <v>INSERT INTO DOCUMENTOS (NRO_DOCUMENTO,FECHA_EMISION,TOTAL_BRUTO,TOTAL_NETO,TOTAL_IVA, ID_TIPO, RUT_EMPLEADO, ID_CLIENTE) VALUES(1409,TO_DATE('26-08-2025','DD-MM-YYYY'),8000,6723,1277,1,'14526149-K',12);</v>
      </c>
    </row>
    <row r="1414" spans="1:10">
      <c r="A1414" s="149"/>
      <c r="B1414" s="149">
        <v>1410</v>
      </c>
      <c r="C1414" s="118" t="s">
        <v>2400</v>
      </c>
      <c r="D1414" t="s">
        <v>2090</v>
      </c>
      <c r="E1414" s="150">
        <v>142</v>
      </c>
      <c r="F1414" s="142">
        <v>4200</v>
      </c>
      <c r="G1414" s="143">
        <v>3529</v>
      </c>
      <c r="H1414" s="144">
        <v>671</v>
      </c>
      <c r="I1414" s="140">
        <v>1</v>
      </c>
      <c r="J1414" s="114" t="str">
        <f t="shared" ref="J1414:J1477" si="22">CONCATENATE("INSERT INTO DOCUMENTOS (NRO_DOCUMENTO,FECHA_EMISION,TOTAL_BRUTO,TOTAL_NETO,TOTAL_IVA, ID_TIPO, RUT_EMPLEADO, ID_CLIENTE) VALUES(",B1414,",","TO_DATE('",C1414,"'",",'DD-MM-YYYY'),",F1414,",",G1414,",",H1414,",",I1414,",","'",D1414,"',",E1414,");")</f>
        <v>INSERT INTO DOCUMENTOS (NRO_DOCUMENTO,FECHA_EMISION,TOTAL_BRUTO,TOTAL_NETO,TOTAL_IVA, ID_TIPO, RUT_EMPLEADO, ID_CLIENTE) VALUES(1410,TO_DATE('26-08-2025','DD-MM-YYYY'),4200,3529,671,1,'14526149-K',142);</v>
      </c>
    </row>
    <row r="1415" spans="1:10">
      <c r="A1415" s="149"/>
      <c r="B1415" s="149">
        <v>1411</v>
      </c>
      <c r="C1415" s="118" t="s">
        <v>2400</v>
      </c>
      <c r="D1415" t="s">
        <v>2090</v>
      </c>
      <c r="E1415" s="150">
        <v>166</v>
      </c>
      <c r="F1415" s="142">
        <v>1500</v>
      </c>
      <c r="G1415" s="143">
        <v>1261</v>
      </c>
      <c r="H1415" s="144">
        <v>239</v>
      </c>
      <c r="I1415" s="140">
        <v>1</v>
      </c>
      <c r="J1415" s="114" t="str">
        <f t="shared" si="22"/>
        <v>INSERT INTO DOCUMENTOS (NRO_DOCUMENTO,FECHA_EMISION,TOTAL_BRUTO,TOTAL_NETO,TOTAL_IVA, ID_TIPO, RUT_EMPLEADO, ID_CLIENTE) VALUES(1411,TO_DATE('26-08-2025','DD-MM-YYYY'),1500,1261,239,1,'14526149-K',166);</v>
      </c>
    </row>
    <row r="1416" spans="1:10">
      <c r="A1416" s="149"/>
      <c r="B1416" s="149">
        <v>1412</v>
      </c>
      <c r="C1416" s="118" t="s">
        <v>2400</v>
      </c>
      <c r="D1416" t="s">
        <v>2090</v>
      </c>
      <c r="E1416" s="150">
        <v>263</v>
      </c>
      <c r="F1416" s="142">
        <v>15000</v>
      </c>
      <c r="G1416" s="143">
        <v>12605</v>
      </c>
      <c r="H1416" s="144">
        <v>2395</v>
      </c>
      <c r="I1416" s="140">
        <v>1</v>
      </c>
      <c r="J1416" s="114" t="str">
        <f t="shared" si="22"/>
        <v>INSERT INTO DOCUMENTOS (NRO_DOCUMENTO,FECHA_EMISION,TOTAL_BRUTO,TOTAL_NETO,TOTAL_IVA, ID_TIPO, RUT_EMPLEADO, ID_CLIENTE) VALUES(1412,TO_DATE('26-08-2025','DD-MM-YYYY'),15000,12605,2395,1,'14526149-K',263);</v>
      </c>
    </row>
    <row r="1417" spans="1:10">
      <c r="A1417" s="149"/>
      <c r="B1417" s="149">
        <v>1413</v>
      </c>
      <c r="C1417" s="151" t="s">
        <v>2401</v>
      </c>
      <c r="D1417" t="s">
        <v>2090</v>
      </c>
      <c r="E1417" s="150">
        <v>69</v>
      </c>
      <c r="F1417" s="142">
        <v>29000</v>
      </c>
      <c r="G1417" s="143">
        <v>24370</v>
      </c>
      <c r="H1417" s="144">
        <v>4630</v>
      </c>
      <c r="I1417" s="140">
        <v>1</v>
      </c>
      <c r="J1417" s="114" t="str">
        <f t="shared" si="22"/>
        <v>INSERT INTO DOCUMENTOS (NRO_DOCUMENTO,FECHA_EMISION,TOTAL_BRUTO,TOTAL_NETO,TOTAL_IVA, ID_TIPO, RUT_EMPLEADO, ID_CLIENTE) VALUES(1413,TO_DATE('27-08-2025','DD-MM-YYYY'),29000,24370,4630,1,'14526149-K',69);</v>
      </c>
    </row>
    <row r="1418" spans="1:10">
      <c r="A1418" s="149"/>
      <c r="B1418" s="149">
        <v>1414</v>
      </c>
      <c r="C1418" s="118" t="s">
        <v>2401</v>
      </c>
      <c r="D1418" t="s">
        <v>2090</v>
      </c>
      <c r="E1418" s="150">
        <v>267</v>
      </c>
      <c r="F1418" s="142">
        <v>8000</v>
      </c>
      <c r="G1418" s="143">
        <v>6723</v>
      </c>
      <c r="H1418" s="144">
        <v>1277</v>
      </c>
      <c r="I1418" s="140">
        <v>1</v>
      </c>
      <c r="J1418" s="114" t="str">
        <f t="shared" si="22"/>
        <v>INSERT INTO DOCUMENTOS (NRO_DOCUMENTO,FECHA_EMISION,TOTAL_BRUTO,TOTAL_NETO,TOTAL_IVA, ID_TIPO, RUT_EMPLEADO, ID_CLIENTE) VALUES(1414,TO_DATE('27-08-2025','DD-MM-YYYY'),8000,6723,1277,1,'14526149-K',267);</v>
      </c>
    </row>
    <row r="1419" spans="1:10">
      <c r="A1419" s="149"/>
      <c r="B1419" s="149">
        <v>1415</v>
      </c>
      <c r="C1419" s="151" t="s">
        <v>2402</v>
      </c>
      <c r="D1419" t="s">
        <v>2090</v>
      </c>
      <c r="E1419" s="150">
        <v>98</v>
      </c>
      <c r="F1419" s="142">
        <v>11000</v>
      </c>
      <c r="G1419" s="143">
        <v>9244</v>
      </c>
      <c r="H1419" s="144">
        <v>1756</v>
      </c>
      <c r="I1419" s="140">
        <v>1</v>
      </c>
      <c r="J1419" s="114" t="str">
        <f t="shared" si="22"/>
        <v>INSERT INTO DOCUMENTOS (NRO_DOCUMENTO,FECHA_EMISION,TOTAL_BRUTO,TOTAL_NETO,TOTAL_IVA, ID_TIPO, RUT_EMPLEADO, ID_CLIENTE) VALUES(1415,TO_DATE('28-08-2025','DD-MM-YYYY'),11000,9244,1756,1,'14526149-K',98);</v>
      </c>
    </row>
    <row r="1420" spans="1:10">
      <c r="A1420" s="149"/>
      <c r="B1420" s="149">
        <v>1416</v>
      </c>
      <c r="C1420" s="118" t="s">
        <v>2402</v>
      </c>
      <c r="D1420" t="s">
        <v>2090</v>
      </c>
      <c r="E1420" s="150">
        <v>122</v>
      </c>
      <c r="F1420" s="142">
        <v>19100</v>
      </c>
      <c r="G1420" s="143">
        <v>16050</v>
      </c>
      <c r="H1420" s="144">
        <v>3050</v>
      </c>
      <c r="I1420" s="140">
        <v>1</v>
      </c>
      <c r="J1420" s="114" t="str">
        <f t="shared" si="22"/>
        <v>INSERT INTO DOCUMENTOS (NRO_DOCUMENTO,FECHA_EMISION,TOTAL_BRUTO,TOTAL_NETO,TOTAL_IVA, ID_TIPO, RUT_EMPLEADO, ID_CLIENTE) VALUES(1416,TO_DATE('28-08-2025','DD-MM-YYYY'),19100,16050,3050,1,'14526149-K',122);</v>
      </c>
    </row>
    <row r="1421" spans="1:10">
      <c r="A1421" s="149"/>
      <c r="B1421" s="149">
        <v>1417</v>
      </c>
      <c r="C1421" s="118" t="s">
        <v>2402</v>
      </c>
      <c r="D1421" t="s">
        <v>2090</v>
      </c>
      <c r="E1421" s="150">
        <v>153</v>
      </c>
      <c r="F1421" s="142">
        <v>21400</v>
      </c>
      <c r="G1421" s="143">
        <v>17984</v>
      </c>
      <c r="H1421" s="144">
        <v>3416</v>
      </c>
      <c r="I1421" s="140">
        <v>1</v>
      </c>
      <c r="J1421" s="114" t="str">
        <f t="shared" si="22"/>
        <v>INSERT INTO DOCUMENTOS (NRO_DOCUMENTO,FECHA_EMISION,TOTAL_BRUTO,TOTAL_NETO,TOTAL_IVA, ID_TIPO, RUT_EMPLEADO, ID_CLIENTE) VALUES(1417,TO_DATE('28-08-2025','DD-MM-YYYY'),21400,17984,3416,1,'14526149-K',153);</v>
      </c>
    </row>
    <row r="1422" spans="1:10">
      <c r="A1422" s="149"/>
      <c r="B1422" s="149">
        <v>1418</v>
      </c>
      <c r="C1422" s="118" t="s">
        <v>2402</v>
      </c>
      <c r="D1422" t="s">
        <v>2090</v>
      </c>
      <c r="E1422" s="150">
        <v>166</v>
      </c>
      <c r="F1422" s="142">
        <v>7500</v>
      </c>
      <c r="G1422" s="143">
        <v>6303</v>
      </c>
      <c r="H1422" s="144">
        <v>1197</v>
      </c>
      <c r="I1422" s="140">
        <v>1</v>
      </c>
      <c r="J1422" s="114" t="str">
        <f t="shared" si="22"/>
        <v>INSERT INTO DOCUMENTOS (NRO_DOCUMENTO,FECHA_EMISION,TOTAL_BRUTO,TOTAL_NETO,TOTAL_IVA, ID_TIPO, RUT_EMPLEADO, ID_CLIENTE) VALUES(1418,TO_DATE('28-08-2025','DD-MM-YYYY'),7500,6303,1197,1,'14526149-K',166);</v>
      </c>
    </row>
    <row r="1423" spans="1:10">
      <c r="A1423" s="149"/>
      <c r="B1423" s="149">
        <v>1419</v>
      </c>
      <c r="C1423" s="118" t="s">
        <v>2402</v>
      </c>
      <c r="D1423" t="s">
        <v>2090</v>
      </c>
      <c r="E1423" s="150">
        <v>222</v>
      </c>
      <c r="F1423" s="142">
        <v>39800</v>
      </c>
      <c r="G1423" s="143">
        <v>33445</v>
      </c>
      <c r="H1423" s="144">
        <v>6355</v>
      </c>
      <c r="I1423" s="140">
        <v>1</v>
      </c>
      <c r="J1423" s="114" t="str">
        <f t="shared" si="22"/>
        <v>INSERT INTO DOCUMENTOS (NRO_DOCUMENTO,FECHA_EMISION,TOTAL_BRUTO,TOTAL_NETO,TOTAL_IVA, ID_TIPO, RUT_EMPLEADO, ID_CLIENTE) VALUES(1419,TO_DATE('28-08-2025','DD-MM-YYYY'),39800,33445,6355,1,'14526149-K',222);</v>
      </c>
    </row>
    <row r="1424" spans="1:10">
      <c r="A1424" s="149"/>
      <c r="B1424" s="149">
        <v>1420</v>
      </c>
      <c r="C1424" s="118" t="s">
        <v>2402</v>
      </c>
      <c r="D1424" t="s">
        <v>2090</v>
      </c>
      <c r="E1424" s="150">
        <v>323</v>
      </c>
      <c r="F1424" s="142">
        <v>13200</v>
      </c>
      <c r="G1424" s="143">
        <v>11093</v>
      </c>
      <c r="H1424" s="144">
        <v>2107</v>
      </c>
      <c r="I1424" s="140">
        <v>1</v>
      </c>
      <c r="J1424" s="114" t="str">
        <f t="shared" si="22"/>
        <v>INSERT INTO DOCUMENTOS (NRO_DOCUMENTO,FECHA_EMISION,TOTAL_BRUTO,TOTAL_NETO,TOTAL_IVA, ID_TIPO, RUT_EMPLEADO, ID_CLIENTE) VALUES(1420,TO_DATE('28-08-2025','DD-MM-YYYY'),13200,11093,2107,1,'14526149-K',323);</v>
      </c>
    </row>
    <row r="1425" spans="1:10">
      <c r="A1425" s="149"/>
      <c r="B1425" s="149">
        <v>1421</v>
      </c>
      <c r="C1425" s="118" t="s">
        <v>2402</v>
      </c>
      <c r="D1425" t="s">
        <v>2090</v>
      </c>
      <c r="E1425" s="150">
        <v>334</v>
      </c>
      <c r="F1425" s="142">
        <v>34000</v>
      </c>
      <c r="G1425" s="143">
        <v>28571</v>
      </c>
      <c r="H1425" s="144">
        <v>5429</v>
      </c>
      <c r="I1425" s="140">
        <v>1</v>
      </c>
      <c r="J1425" s="114" t="str">
        <f t="shared" si="22"/>
        <v>INSERT INTO DOCUMENTOS (NRO_DOCUMENTO,FECHA_EMISION,TOTAL_BRUTO,TOTAL_NETO,TOTAL_IVA, ID_TIPO, RUT_EMPLEADO, ID_CLIENTE) VALUES(1421,TO_DATE('28-08-2025','DD-MM-YYYY'),34000,28571,5429,1,'14526149-K',334);</v>
      </c>
    </row>
    <row r="1426" spans="1:10">
      <c r="A1426" s="149"/>
      <c r="B1426" s="149">
        <v>1422</v>
      </c>
      <c r="C1426" s="118" t="s">
        <v>2402</v>
      </c>
      <c r="D1426" t="s">
        <v>2090</v>
      </c>
      <c r="E1426" s="150">
        <v>376</v>
      </c>
      <c r="F1426" s="142">
        <v>8000</v>
      </c>
      <c r="G1426" s="143">
        <v>6723</v>
      </c>
      <c r="H1426" s="144">
        <v>1277</v>
      </c>
      <c r="I1426" s="140">
        <v>1</v>
      </c>
      <c r="J1426" s="114" t="str">
        <f t="shared" si="22"/>
        <v>INSERT INTO DOCUMENTOS (NRO_DOCUMENTO,FECHA_EMISION,TOTAL_BRUTO,TOTAL_NETO,TOTAL_IVA, ID_TIPO, RUT_EMPLEADO, ID_CLIENTE) VALUES(1422,TO_DATE('28-08-2025','DD-MM-YYYY'),8000,6723,1277,1,'14526149-K',376);</v>
      </c>
    </row>
    <row r="1427" spans="1:10">
      <c r="A1427" s="149"/>
      <c r="B1427" s="149">
        <v>1423</v>
      </c>
      <c r="C1427" s="118" t="s">
        <v>2402</v>
      </c>
      <c r="D1427" t="s">
        <v>2090</v>
      </c>
      <c r="E1427" s="150">
        <v>389</v>
      </c>
      <c r="F1427" s="142">
        <v>34000</v>
      </c>
      <c r="G1427" s="143">
        <v>28571</v>
      </c>
      <c r="H1427" s="144">
        <v>5429</v>
      </c>
      <c r="I1427" s="140">
        <v>1</v>
      </c>
      <c r="J1427" s="114" t="str">
        <f t="shared" si="22"/>
        <v>INSERT INTO DOCUMENTOS (NRO_DOCUMENTO,FECHA_EMISION,TOTAL_BRUTO,TOTAL_NETO,TOTAL_IVA, ID_TIPO, RUT_EMPLEADO, ID_CLIENTE) VALUES(1423,TO_DATE('28-08-2025','DD-MM-YYYY'),34000,28571,5429,1,'14526149-K',389);</v>
      </c>
    </row>
    <row r="1428" spans="1:10">
      <c r="A1428" s="149"/>
      <c r="B1428" s="149">
        <v>1424</v>
      </c>
      <c r="C1428" s="118" t="s">
        <v>2402</v>
      </c>
      <c r="D1428" t="s">
        <v>2090</v>
      </c>
      <c r="E1428" s="150">
        <v>474</v>
      </c>
      <c r="F1428" s="142">
        <v>39000</v>
      </c>
      <c r="G1428" s="143">
        <v>32774</v>
      </c>
      <c r="H1428" s="144">
        <v>6226</v>
      </c>
      <c r="I1428" s="140">
        <v>1</v>
      </c>
      <c r="J1428" s="114" t="str">
        <f t="shared" si="22"/>
        <v>INSERT INTO DOCUMENTOS (NRO_DOCUMENTO,FECHA_EMISION,TOTAL_BRUTO,TOTAL_NETO,TOTAL_IVA, ID_TIPO, RUT_EMPLEADO, ID_CLIENTE) VALUES(1424,TO_DATE('28-08-2025','DD-MM-YYYY'),39000,32774,6226,1,'14526149-K',474);</v>
      </c>
    </row>
    <row r="1429" spans="1:10">
      <c r="A1429" s="149"/>
      <c r="B1429" s="149">
        <v>1425</v>
      </c>
      <c r="C1429" s="118" t="s">
        <v>2402</v>
      </c>
      <c r="D1429" t="s">
        <v>2090</v>
      </c>
      <c r="E1429" s="150">
        <v>483</v>
      </c>
      <c r="F1429" s="142">
        <v>36000</v>
      </c>
      <c r="G1429" s="143">
        <v>30252</v>
      </c>
      <c r="H1429" s="144">
        <v>5748</v>
      </c>
      <c r="I1429" s="140">
        <v>1</v>
      </c>
      <c r="J1429" s="114" t="str">
        <f t="shared" si="22"/>
        <v>INSERT INTO DOCUMENTOS (NRO_DOCUMENTO,FECHA_EMISION,TOTAL_BRUTO,TOTAL_NETO,TOTAL_IVA, ID_TIPO, RUT_EMPLEADO, ID_CLIENTE) VALUES(1425,TO_DATE('28-08-2025','DD-MM-YYYY'),36000,30252,5748,1,'14526149-K',483);</v>
      </c>
    </row>
    <row r="1430" spans="1:10">
      <c r="A1430" s="149"/>
      <c r="B1430" s="149">
        <v>1426</v>
      </c>
      <c r="C1430" s="151" t="s">
        <v>2403</v>
      </c>
      <c r="D1430" t="s">
        <v>2090</v>
      </c>
      <c r="E1430" s="150">
        <v>135</v>
      </c>
      <c r="F1430" s="142">
        <v>32800</v>
      </c>
      <c r="G1430" s="143">
        <v>27563</v>
      </c>
      <c r="H1430" s="144">
        <v>5237</v>
      </c>
      <c r="I1430" s="140">
        <v>1</v>
      </c>
      <c r="J1430" s="114" t="str">
        <f t="shared" si="22"/>
        <v>INSERT INTO DOCUMENTOS (NRO_DOCUMENTO,FECHA_EMISION,TOTAL_BRUTO,TOTAL_NETO,TOTAL_IVA, ID_TIPO, RUT_EMPLEADO, ID_CLIENTE) VALUES(1426,TO_DATE('29-08-2025','DD-MM-YYYY'),32800,27563,5237,1,'14526149-K',135);</v>
      </c>
    </row>
    <row r="1431" spans="1:10">
      <c r="A1431" s="149"/>
      <c r="B1431" s="149">
        <v>1427</v>
      </c>
      <c r="C1431" s="118" t="s">
        <v>2403</v>
      </c>
      <c r="D1431" t="s">
        <v>2090</v>
      </c>
      <c r="E1431" s="150">
        <v>151</v>
      </c>
      <c r="F1431" s="142">
        <v>13500</v>
      </c>
      <c r="G1431" s="143">
        <v>11345</v>
      </c>
      <c r="H1431" s="144">
        <v>2155</v>
      </c>
      <c r="I1431" s="140">
        <v>1</v>
      </c>
      <c r="J1431" s="114" t="str">
        <f t="shared" si="22"/>
        <v>INSERT INTO DOCUMENTOS (NRO_DOCUMENTO,FECHA_EMISION,TOTAL_BRUTO,TOTAL_NETO,TOTAL_IVA, ID_TIPO, RUT_EMPLEADO, ID_CLIENTE) VALUES(1427,TO_DATE('29-08-2025','DD-MM-YYYY'),13500,11345,2155,1,'14526149-K',151);</v>
      </c>
    </row>
    <row r="1432" spans="1:10">
      <c r="A1432" s="149"/>
      <c r="B1432" s="149">
        <v>1428</v>
      </c>
      <c r="C1432" s="118" t="s">
        <v>2403</v>
      </c>
      <c r="D1432" t="s">
        <v>2090</v>
      </c>
      <c r="E1432" s="150">
        <v>164</v>
      </c>
      <c r="F1432" s="142">
        <v>20900</v>
      </c>
      <c r="G1432" s="143">
        <v>17563</v>
      </c>
      <c r="H1432" s="144">
        <v>3337</v>
      </c>
      <c r="I1432" s="140">
        <v>1</v>
      </c>
      <c r="J1432" s="114" t="str">
        <f t="shared" si="22"/>
        <v>INSERT INTO DOCUMENTOS (NRO_DOCUMENTO,FECHA_EMISION,TOTAL_BRUTO,TOTAL_NETO,TOTAL_IVA, ID_TIPO, RUT_EMPLEADO, ID_CLIENTE) VALUES(1428,TO_DATE('29-08-2025','DD-MM-YYYY'),20900,17563,3337,1,'14526149-K',164);</v>
      </c>
    </row>
    <row r="1433" spans="1:10">
      <c r="A1433" s="149"/>
      <c r="B1433" s="149">
        <v>1429</v>
      </c>
      <c r="C1433" s="118" t="s">
        <v>2403</v>
      </c>
      <c r="D1433" t="s">
        <v>2090</v>
      </c>
      <c r="E1433" s="150">
        <v>187</v>
      </c>
      <c r="F1433" s="142">
        <v>23200</v>
      </c>
      <c r="G1433" s="143">
        <v>19496</v>
      </c>
      <c r="H1433" s="144">
        <v>3704</v>
      </c>
      <c r="I1433" s="140">
        <v>1</v>
      </c>
      <c r="J1433" s="114" t="str">
        <f t="shared" si="22"/>
        <v>INSERT INTO DOCUMENTOS (NRO_DOCUMENTO,FECHA_EMISION,TOTAL_BRUTO,TOTAL_NETO,TOTAL_IVA, ID_TIPO, RUT_EMPLEADO, ID_CLIENTE) VALUES(1429,TO_DATE('29-08-2025','DD-MM-YYYY'),23200,19496,3704,1,'14526149-K',187);</v>
      </c>
    </row>
    <row r="1434" spans="1:10">
      <c r="A1434" s="149"/>
      <c r="B1434" s="149">
        <v>1430</v>
      </c>
      <c r="C1434" s="118" t="s">
        <v>2403</v>
      </c>
      <c r="D1434" t="s">
        <v>2090</v>
      </c>
      <c r="E1434" s="150">
        <v>230</v>
      </c>
      <c r="F1434" s="142">
        <v>32000</v>
      </c>
      <c r="G1434" s="143">
        <v>26891</v>
      </c>
      <c r="H1434" s="144">
        <v>5109</v>
      </c>
      <c r="I1434" s="140">
        <v>1</v>
      </c>
      <c r="J1434" s="114" t="str">
        <f t="shared" si="22"/>
        <v>INSERT INTO DOCUMENTOS (NRO_DOCUMENTO,FECHA_EMISION,TOTAL_BRUTO,TOTAL_NETO,TOTAL_IVA, ID_TIPO, RUT_EMPLEADO, ID_CLIENTE) VALUES(1430,TO_DATE('29-08-2025','DD-MM-YYYY'),32000,26891,5109,1,'14526149-K',230);</v>
      </c>
    </row>
    <row r="1435" spans="1:10">
      <c r="A1435" s="149"/>
      <c r="B1435" s="149">
        <v>1431</v>
      </c>
      <c r="C1435" s="118" t="s">
        <v>2403</v>
      </c>
      <c r="D1435" t="s">
        <v>2090</v>
      </c>
      <c r="E1435" s="150">
        <v>357</v>
      </c>
      <c r="F1435" s="142">
        <v>8200</v>
      </c>
      <c r="G1435" s="143">
        <v>6891</v>
      </c>
      <c r="H1435" s="144">
        <v>1309</v>
      </c>
      <c r="I1435" s="140">
        <v>1</v>
      </c>
      <c r="J1435" s="114" t="str">
        <f t="shared" si="22"/>
        <v>INSERT INTO DOCUMENTOS (NRO_DOCUMENTO,FECHA_EMISION,TOTAL_BRUTO,TOTAL_NETO,TOTAL_IVA, ID_TIPO, RUT_EMPLEADO, ID_CLIENTE) VALUES(1431,TO_DATE('29-08-2025','DD-MM-YYYY'),8200,6891,1309,1,'14526149-K',357);</v>
      </c>
    </row>
    <row r="1436" spans="1:10">
      <c r="A1436" s="149"/>
      <c r="B1436" s="149">
        <v>1432</v>
      </c>
      <c r="C1436" s="118" t="s">
        <v>2403</v>
      </c>
      <c r="D1436" t="s">
        <v>2090</v>
      </c>
      <c r="E1436" s="150">
        <v>360</v>
      </c>
      <c r="F1436" s="142">
        <v>24500</v>
      </c>
      <c r="G1436" s="143">
        <v>20589</v>
      </c>
      <c r="H1436" s="144">
        <v>3911</v>
      </c>
      <c r="I1436" s="140">
        <v>1</v>
      </c>
      <c r="J1436" s="114" t="str">
        <f t="shared" si="22"/>
        <v>INSERT INTO DOCUMENTOS (NRO_DOCUMENTO,FECHA_EMISION,TOTAL_BRUTO,TOTAL_NETO,TOTAL_IVA, ID_TIPO, RUT_EMPLEADO, ID_CLIENTE) VALUES(1432,TO_DATE('29-08-2025','DD-MM-YYYY'),24500,20589,3911,1,'14526149-K',360);</v>
      </c>
    </row>
    <row r="1437" spans="1:10">
      <c r="A1437" s="149"/>
      <c r="B1437" s="149">
        <v>1433</v>
      </c>
      <c r="C1437" s="118" t="s">
        <v>2403</v>
      </c>
      <c r="D1437" t="s">
        <v>2090</v>
      </c>
      <c r="E1437" s="150">
        <v>382</v>
      </c>
      <c r="F1437" s="142">
        <v>8000</v>
      </c>
      <c r="G1437" s="143">
        <v>6723</v>
      </c>
      <c r="H1437" s="144">
        <v>1277</v>
      </c>
      <c r="I1437" s="140">
        <v>1</v>
      </c>
      <c r="J1437" s="114" t="str">
        <f t="shared" si="22"/>
        <v>INSERT INTO DOCUMENTOS (NRO_DOCUMENTO,FECHA_EMISION,TOTAL_BRUTO,TOTAL_NETO,TOTAL_IVA, ID_TIPO, RUT_EMPLEADO, ID_CLIENTE) VALUES(1433,TO_DATE('29-08-2025','DD-MM-YYYY'),8000,6723,1277,1,'14526149-K',382);</v>
      </c>
    </row>
    <row r="1438" spans="1:10">
      <c r="A1438" s="149"/>
      <c r="B1438" s="149">
        <v>1434</v>
      </c>
      <c r="C1438" s="118" t="s">
        <v>2403</v>
      </c>
      <c r="D1438" t="s">
        <v>2090</v>
      </c>
      <c r="E1438" s="150">
        <v>483</v>
      </c>
      <c r="F1438" s="142">
        <v>138500</v>
      </c>
      <c r="G1438" s="143">
        <v>116386</v>
      </c>
      <c r="H1438" s="144">
        <v>22114</v>
      </c>
      <c r="I1438" s="140">
        <v>1</v>
      </c>
      <c r="J1438" s="114" t="str">
        <f t="shared" si="22"/>
        <v>INSERT INTO DOCUMENTOS (NRO_DOCUMENTO,FECHA_EMISION,TOTAL_BRUTO,TOTAL_NETO,TOTAL_IVA, ID_TIPO, RUT_EMPLEADO, ID_CLIENTE) VALUES(1434,TO_DATE('29-08-2025','DD-MM-YYYY'),138500,116386,22114,1,'14526149-K',483);</v>
      </c>
    </row>
    <row r="1439" spans="1:10">
      <c r="A1439" s="149"/>
      <c r="B1439" s="149">
        <v>1435</v>
      </c>
      <c r="C1439" s="151" t="s">
        <v>2404</v>
      </c>
      <c r="D1439" t="s">
        <v>2090</v>
      </c>
      <c r="E1439" s="150">
        <v>76</v>
      </c>
      <c r="F1439" s="142">
        <v>11000</v>
      </c>
      <c r="G1439" s="143">
        <v>9244</v>
      </c>
      <c r="H1439" s="144">
        <v>1756</v>
      </c>
      <c r="I1439" s="140">
        <v>1</v>
      </c>
      <c r="J1439" s="114" t="str">
        <f t="shared" si="22"/>
        <v>INSERT INTO DOCUMENTOS (NRO_DOCUMENTO,FECHA_EMISION,TOTAL_BRUTO,TOTAL_NETO,TOTAL_IVA, ID_TIPO, RUT_EMPLEADO, ID_CLIENTE) VALUES(1435,TO_DATE('30-08-2025','DD-MM-YYYY'),11000,9244,1756,1,'14526149-K',76);</v>
      </c>
    </row>
    <row r="1440" spans="1:10">
      <c r="A1440" s="149"/>
      <c r="B1440" s="149">
        <v>1436</v>
      </c>
      <c r="C1440" s="118" t="s">
        <v>2404</v>
      </c>
      <c r="D1440" t="s">
        <v>2090</v>
      </c>
      <c r="E1440" s="150">
        <v>155</v>
      </c>
      <c r="F1440" s="142">
        <v>8000</v>
      </c>
      <c r="G1440" s="143">
        <v>6723</v>
      </c>
      <c r="H1440" s="144">
        <v>1277</v>
      </c>
      <c r="I1440" s="140">
        <v>1</v>
      </c>
      <c r="J1440" s="114" t="str">
        <f t="shared" si="22"/>
        <v>INSERT INTO DOCUMENTOS (NRO_DOCUMENTO,FECHA_EMISION,TOTAL_BRUTO,TOTAL_NETO,TOTAL_IVA, ID_TIPO, RUT_EMPLEADO, ID_CLIENTE) VALUES(1436,TO_DATE('30-08-2025','DD-MM-YYYY'),8000,6723,1277,1,'14526149-K',155);</v>
      </c>
    </row>
    <row r="1441" spans="1:10">
      <c r="A1441" s="149"/>
      <c r="B1441" s="149">
        <v>1437</v>
      </c>
      <c r="C1441" s="118" t="s">
        <v>2404</v>
      </c>
      <c r="D1441" t="s">
        <v>2090</v>
      </c>
      <c r="E1441" s="150">
        <v>199</v>
      </c>
      <c r="F1441" s="142">
        <v>8000</v>
      </c>
      <c r="G1441" s="143">
        <v>6723</v>
      </c>
      <c r="H1441" s="144">
        <v>1277</v>
      </c>
      <c r="I1441" s="140">
        <v>1</v>
      </c>
      <c r="J1441" s="114" t="str">
        <f t="shared" si="22"/>
        <v>INSERT INTO DOCUMENTOS (NRO_DOCUMENTO,FECHA_EMISION,TOTAL_BRUTO,TOTAL_NETO,TOTAL_IVA, ID_TIPO, RUT_EMPLEADO, ID_CLIENTE) VALUES(1437,TO_DATE('30-08-2025','DD-MM-YYYY'),8000,6723,1277,1,'14526149-K',199);</v>
      </c>
    </row>
    <row r="1442" spans="1:10">
      <c r="A1442" s="149"/>
      <c r="B1442" s="149">
        <v>1438</v>
      </c>
      <c r="C1442" s="118" t="s">
        <v>2404</v>
      </c>
      <c r="D1442" t="s">
        <v>2090</v>
      </c>
      <c r="E1442" s="150">
        <v>300</v>
      </c>
      <c r="F1442" s="142">
        <v>14000</v>
      </c>
      <c r="G1442" s="143">
        <v>11765</v>
      </c>
      <c r="H1442" s="144">
        <v>2235</v>
      </c>
      <c r="I1442" s="140">
        <v>1</v>
      </c>
      <c r="J1442" s="114" t="str">
        <f t="shared" si="22"/>
        <v>INSERT INTO DOCUMENTOS (NRO_DOCUMENTO,FECHA_EMISION,TOTAL_BRUTO,TOTAL_NETO,TOTAL_IVA, ID_TIPO, RUT_EMPLEADO, ID_CLIENTE) VALUES(1438,TO_DATE('30-08-2025','DD-MM-YYYY'),14000,11765,2235,1,'14526149-K',300);</v>
      </c>
    </row>
    <row r="1443" spans="1:10">
      <c r="A1443" s="149"/>
      <c r="B1443" s="149">
        <v>1439</v>
      </c>
      <c r="C1443" s="118" t="s">
        <v>2404</v>
      </c>
      <c r="D1443" t="s">
        <v>2090</v>
      </c>
      <c r="E1443" s="150">
        <v>394</v>
      </c>
      <c r="F1443" s="142">
        <v>25500</v>
      </c>
      <c r="G1443" s="143">
        <v>21428</v>
      </c>
      <c r="H1443" s="144">
        <v>4072</v>
      </c>
      <c r="I1443" s="140">
        <v>1</v>
      </c>
      <c r="J1443" s="114" t="str">
        <f t="shared" si="22"/>
        <v>INSERT INTO DOCUMENTOS (NRO_DOCUMENTO,FECHA_EMISION,TOTAL_BRUTO,TOTAL_NETO,TOTAL_IVA, ID_TIPO, RUT_EMPLEADO, ID_CLIENTE) VALUES(1439,TO_DATE('30-08-2025','DD-MM-YYYY'),25500,21428,4072,1,'14526149-K',394);</v>
      </c>
    </row>
    <row r="1444" spans="1:10">
      <c r="A1444" s="149"/>
      <c r="B1444" s="149">
        <v>1440</v>
      </c>
      <c r="C1444" s="118" t="s">
        <v>2404</v>
      </c>
      <c r="D1444" t="s">
        <v>2090</v>
      </c>
      <c r="E1444" s="150">
        <v>407</v>
      </c>
      <c r="F1444" s="142">
        <v>14000</v>
      </c>
      <c r="G1444" s="143">
        <v>11765</v>
      </c>
      <c r="H1444" s="144">
        <v>2235</v>
      </c>
      <c r="I1444" s="140">
        <v>1</v>
      </c>
      <c r="J1444" s="114" t="str">
        <f t="shared" si="22"/>
        <v>INSERT INTO DOCUMENTOS (NRO_DOCUMENTO,FECHA_EMISION,TOTAL_BRUTO,TOTAL_NETO,TOTAL_IVA, ID_TIPO, RUT_EMPLEADO, ID_CLIENTE) VALUES(1440,TO_DATE('30-08-2025','DD-MM-YYYY'),14000,11765,2235,1,'14526149-K',407);</v>
      </c>
    </row>
    <row r="1445" spans="1:10">
      <c r="A1445" s="149"/>
      <c r="B1445" s="149">
        <v>1441</v>
      </c>
      <c r="C1445" s="151" t="s">
        <v>2405</v>
      </c>
      <c r="D1445" t="s">
        <v>2090</v>
      </c>
      <c r="E1445" s="150">
        <v>97</v>
      </c>
      <c r="F1445" s="142">
        <v>17000</v>
      </c>
      <c r="G1445" s="143">
        <v>14286</v>
      </c>
      <c r="H1445" s="144">
        <v>2714</v>
      </c>
      <c r="I1445" s="140">
        <v>1</v>
      </c>
      <c r="J1445" s="114" t="str">
        <f t="shared" si="22"/>
        <v>INSERT INTO DOCUMENTOS (NRO_DOCUMENTO,FECHA_EMISION,TOTAL_BRUTO,TOTAL_NETO,TOTAL_IVA, ID_TIPO, RUT_EMPLEADO, ID_CLIENTE) VALUES(1441,TO_DATE('31-08-2025','DD-MM-YYYY'),17000,14286,2714,1,'14526149-K',97);</v>
      </c>
    </row>
    <row r="1446" spans="1:10">
      <c r="A1446" s="149"/>
      <c r="B1446" s="149">
        <v>1442</v>
      </c>
      <c r="C1446" s="118" t="s">
        <v>2405</v>
      </c>
      <c r="D1446" t="s">
        <v>2090</v>
      </c>
      <c r="E1446" s="150">
        <v>122</v>
      </c>
      <c r="F1446" s="142">
        <v>14900</v>
      </c>
      <c r="G1446" s="143">
        <v>12521</v>
      </c>
      <c r="H1446" s="144">
        <v>2379</v>
      </c>
      <c r="I1446" s="140">
        <v>1</v>
      </c>
      <c r="J1446" s="114" t="str">
        <f t="shared" si="22"/>
        <v>INSERT INTO DOCUMENTOS (NRO_DOCUMENTO,FECHA_EMISION,TOTAL_BRUTO,TOTAL_NETO,TOTAL_IVA, ID_TIPO, RUT_EMPLEADO, ID_CLIENTE) VALUES(1442,TO_DATE('31-08-2025','DD-MM-YYYY'),14900,12521,2379,1,'14526149-K',122);</v>
      </c>
    </row>
    <row r="1447" spans="1:10">
      <c r="A1447" s="149"/>
      <c r="B1447" s="149">
        <v>1443</v>
      </c>
      <c r="C1447" s="118" t="s">
        <v>2405</v>
      </c>
      <c r="D1447" t="s">
        <v>2090</v>
      </c>
      <c r="E1447" s="150">
        <v>333</v>
      </c>
      <c r="F1447" s="142">
        <v>8200</v>
      </c>
      <c r="G1447" s="143">
        <v>6891</v>
      </c>
      <c r="H1447" s="144">
        <v>1309</v>
      </c>
      <c r="I1447" s="140">
        <v>1</v>
      </c>
      <c r="J1447" s="114" t="str">
        <f t="shared" si="22"/>
        <v>INSERT INTO DOCUMENTOS (NRO_DOCUMENTO,FECHA_EMISION,TOTAL_BRUTO,TOTAL_NETO,TOTAL_IVA, ID_TIPO, RUT_EMPLEADO, ID_CLIENTE) VALUES(1443,TO_DATE('31-08-2025','DD-MM-YYYY'),8200,6891,1309,1,'14526149-K',333);</v>
      </c>
    </row>
    <row r="1448" spans="1:10">
      <c r="A1448" s="149"/>
      <c r="B1448" s="149">
        <v>1444</v>
      </c>
      <c r="C1448" s="118" t="s">
        <v>2405</v>
      </c>
      <c r="D1448" t="s">
        <v>2090</v>
      </c>
      <c r="E1448" s="150">
        <v>345</v>
      </c>
      <c r="F1448" s="142">
        <v>20900</v>
      </c>
      <c r="G1448" s="143">
        <v>17563</v>
      </c>
      <c r="H1448" s="144">
        <v>3337</v>
      </c>
      <c r="I1448" s="140">
        <v>1</v>
      </c>
      <c r="J1448" s="114" t="str">
        <f t="shared" si="22"/>
        <v>INSERT INTO DOCUMENTOS (NRO_DOCUMENTO,FECHA_EMISION,TOTAL_BRUTO,TOTAL_NETO,TOTAL_IVA, ID_TIPO, RUT_EMPLEADO, ID_CLIENTE) VALUES(1444,TO_DATE('31-08-2025','DD-MM-YYYY'),20900,17563,3337,1,'14526149-K',345);</v>
      </c>
    </row>
    <row r="1449" spans="1:10">
      <c r="A1449" s="149"/>
      <c r="B1449" s="149">
        <v>1445</v>
      </c>
      <c r="C1449" s="118" t="s">
        <v>2405</v>
      </c>
      <c r="D1449" t="s">
        <v>2090</v>
      </c>
      <c r="E1449" s="150">
        <v>367</v>
      </c>
      <c r="F1449" s="142">
        <v>24000</v>
      </c>
      <c r="G1449" s="143">
        <v>20168</v>
      </c>
      <c r="H1449" s="144">
        <v>3832</v>
      </c>
      <c r="I1449" s="140">
        <v>1</v>
      </c>
      <c r="J1449" s="114" t="str">
        <f t="shared" si="22"/>
        <v>INSERT INTO DOCUMENTOS (NRO_DOCUMENTO,FECHA_EMISION,TOTAL_BRUTO,TOTAL_NETO,TOTAL_IVA, ID_TIPO, RUT_EMPLEADO, ID_CLIENTE) VALUES(1445,TO_DATE('31-08-2025','DD-MM-YYYY'),24000,20168,3832,1,'14526149-K',367);</v>
      </c>
    </row>
    <row r="1450" spans="1:10">
      <c r="A1450" s="149"/>
      <c r="B1450" s="149">
        <v>1446</v>
      </c>
      <c r="C1450" s="118" t="s">
        <v>2405</v>
      </c>
      <c r="D1450" t="s">
        <v>2090</v>
      </c>
      <c r="E1450" s="150">
        <v>397</v>
      </c>
      <c r="F1450" s="142">
        <v>24000</v>
      </c>
      <c r="G1450" s="143">
        <v>20168</v>
      </c>
      <c r="H1450" s="144">
        <v>3832</v>
      </c>
      <c r="I1450" s="140">
        <v>1</v>
      </c>
      <c r="J1450" s="114" t="str">
        <f t="shared" si="22"/>
        <v>INSERT INTO DOCUMENTOS (NRO_DOCUMENTO,FECHA_EMISION,TOTAL_BRUTO,TOTAL_NETO,TOTAL_IVA, ID_TIPO, RUT_EMPLEADO, ID_CLIENTE) VALUES(1446,TO_DATE('31-08-2025','DD-MM-YYYY'),24000,20168,3832,1,'14526149-K',397);</v>
      </c>
    </row>
    <row r="1451" spans="1:10">
      <c r="A1451" s="149"/>
      <c r="B1451" s="149">
        <v>1447</v>
      </c>
      <c r="C1451" s="118" t="s">
        <v>2405</v>
      </c>
      <c r="D1451" t="s">
        <v>2090</v>
      </c>
      <c r="E1451" s="150">
        <v>427</v>
      </c>
      <c r="F1451" s="142">
        <v>23900</v>
      </c>
      <c r="G1451" s="143">
        <v>20084</v>
      </c>
      <c r="H1451" s="144">
        <v>3816</v>
      </c>
      <c r="I1451" s="140">
        <v>1</v>
      </c>
      <c r="J1451" s="114" t="str">
        <f t="shared" si="22"/>
        <v>INSERT INTO DOCUMENTOS (NRO_DOCUMENTO,FECHA_EMISION,TOTAL_BRUTO,TOTAL_NETO,TOTAL_IVA, ID_TIPO, RUT_EMPLEADO, ID_CLIENTE) VALUES(1447,TO_DATE('31-08-2025','DD-MM-YYYY'),23900,20084,3816,1,'14526149-K',427);</v>
      </c>
    </row>
    <row r="1452" spans="1:10">
      <c r="A1452" s="149"/>
      <c r="B1452" s="149">
        <v>1448</v>
      </c>
      <c r="C1452" s="118" t="s">
        <v>2405</v>
      </c>
      <c r="D1452" t="s">
        <v>2090</v>
      </c>
      <c r="E1452" s="150">
        <v>451</v>
      </c>
      <c r="F1452" s="142">
        <v>20500</v>
      </c>
      <c r="G1452" s="143">
        <v>17227</v>
      </c>
      <c r="H1452" s="144">
        <v>3273</v>
      </c>
      <c r="I1452" s="140">
        <v>1</v>
      </c>
      <c r="J1452" s="114" t="str">
        <f t="shared" si="22"/>
        <v>INSERT INTO DOCUMENTOS (NRO_DOCUMENTO,FECHA_EMISION,TOTAL_BRUTO,TOTAL_NETO,TOTAL_IVA, ID_TIPO, RUT_EMPLEADO, ID_CLIENTE) VALUES(1448,TO_DATE('31-08-2025','DD-MM-YYYY'),20500,17227,3273,1,'14526149-K',451);</v>
      </c>
    </row>
    <row r="1453" spans="1:10">
      <c r="A1453" s="149"/>
      <c r="B1453" s="149">
        <v>1449</v>
      </c>
      <c r="C1453" s="118" t="s">
        <v>2405</v>
      </c>
      <c r="D1453" t="s">
        <v>2090</v>
      </c>
      <c r="E1453" s="150">
        <v>466</v>
      </c>
      <c r="F1453" s="142">
        <v>35900</v>
      </c>
      <c r="G1453" s="143">
        <v>30168</v>
      </c>
      <c r="H1453" s="144">
        <v>5732</v>
      </c>
      <c r="I1453" s="140">
        <v>1</v>
      </c>
      <c r="J1453" s="114" t="str">
        <f t="shared" si="22"/>
        <v>INSERT INTO DOCUMENTOS (NRO_DOCUMENTO,FECHA_EMISION,TOTAL_BRUTO,TOTAL_NETO,TOTAL_IVA, ID_TIPO, RUT_EMPLEADO, ID_CLIENTE) VALUES(1449,TO_DATE('31-08-2025','DD-MM-YYYY'),35900,30168,5732,1,'14526149-K',466);</v>
      </c>
    </row>
    <row r="1454" spans="1:10">
      <c r="A1454" s="149"/>
      <c r="B1454" s="150">
        <v>1450</v>
      </c>
      <c r="C1454" s="118" t="s">
        <v>2405</v>
      </c>
      <c r="D1454" t="s">
        <v>2090</v>
      </c>
      <c r="E1454" s="150">
        <v>476</v>
      </c>
      <c r="F1454" s="142">
        <v>8000</v>
      </c>
      <c r="G1454" s="143">
        <v>6723</v>
      </c>
      <c r="H1454" s="144">
        <v>1277</v>
      </c>
      <c r="I1454" s="140">
        <v>1</v>
      </c>
      <c r="J1454" s="114" t="str">
        <f t="shared" si="22"/>
        <v>INSERT INTO DOCUMENTOS (NRO_DOCUMENTO,FECHA_EMISION,TOTAL_BRUTO,TOTAL_NETO,TOTAL_IVA, ID_TIPO, RUT_EMPLEADO, ID_CLIENTE) VALUES(1450,TO_DATE('31-08-2025','DD-MM-YYYY'),8000,6723,1277,1,'14526149-K',476);</v>
      </c>
    </row>
    <row r="1455" spans="1:10">
      <c r="A1455" s="149"/>
      <c r="B1455" s="149">
        <v>1451</v>
      </c>
      <c r="C1455" s="151" t="s">
        <v>2406</v>
      </c>
      <c r="D1455" t="s">
        <v>2090</v>
      </c>
      <c r="E1455" s="150">
        <v>48</v>
      </c>
      <c r="F1455" s="142">
        <v>22500</v>
      </c>
      <c r="G1455" s="143">
        <v>18908</v>
      </c>
      <c r="H1455" s="144">
        <v>3592</v>
      </c>
      <c r="I1455" s="140">
        <v>1</v>
      </c>
      <c r="J1455" s="114" t="str">
        <f t="shared" si="22"/>
        <v>INSERT INTO DOCUMENTOS (NRO_DOCUMENTO,FECHA_EMISION,TOTAL_BRUTO,TOTAL_NETO,TOTAL_IVA, ID_TIPO, RUT_EMPLEADO, ID_CLIENTE) VALUES(1451,TO_DATE('01-09-2025','DD-MM-YYYY'),22500,18908,3592,1,'14526149-K',48);</v>
      </c>
    </row>
    <row r="1456" spans="1:10">
      <c r="A1456" s="149"/>
      <c r="B1456" s="149">
        <v>1452</v>
      </c>
      <c r="C1456" s="118" t="s">
        <v>2406</v>
      </c>
      <c r="D1456" t="s">
        <v>2090</v>
      </c>
      <c r="E1456" s="150">
        <v>119</v>
      </c>
      <c r="F1456" s="142">
        <v>8000</v>
      </c>
      <c r="G1456" s="143">
        <v>6723</v>
      </c>
      <c r="H1456" s="144">
        <v>1277</v>
      </c>
      <c r="I1456" s="140">
        <v>1</v>
      </c>
      <c r="J1456" s="114" t="str">
        <f t="shared" si="22"/>
        <v>INSERT INTO DOCUMENTOS (NRO_DOCUMENTO,FECHA_EMISION,TOTAL_BRUTO,TOTAL_NETO,TOTAL_IVA, ID_TIPO, RUT_EMPLEADO, ID_CLIENTE) VALUES(1452,TO_DATE('01-09-2025','DD-MM-YYYY'),8000,6723,1277,1,'14526149-K',119);</v>
      </c>
    </row>
    <row r="1457" spans="1:10">
      <c r="A1457" s="149"/>
      <c r="B1457" s="149">
        <v>1453</v>
      </c>
      <c r="C1457" s="118" t="s">
        <v>2406</v>
      </c>
      <c r="D1457" t="s">
        <v>2090</v>
      </c>
      <c r="E1457" s="150">
        <v>302</v>
      </c>
      <c r="F1457" s="142">
        <v>22998</v>
      </c>
      <c r="G1457" s="143">
        <v>19326</v>
      </c>
      <c r="H1457" s="144">
        <v>3672</v>
      </c>
      <c r="I1457" s="140">
        <v>1</v>
      </c>
      <c r="J1457" s="114" t="str">
        <f t="shared" si="22"/>
        <v>INSERT INTO DOCUMENTOS (NRO_DOCUMENTO,FECHA_EMISION,TOTAL_BRUTO,TOTAL_NETO,TOTAL_IVA, ID_TIPO, RUT_EMPLEADO, ID_CLIENTE) VALUES(1453,TO_DATE('01-09-2025','DD-MM-YYYY'),22998,19326,3672,1,'14526149-K',302);</v>
      </c>
    </row>
    <row r="1458" spans="1:10">
      <c r="A1458" s="149"/>
      <c r="B1458" s="149">
        <v>1454</v>
      </c>
      <c r="C1458" s="118" t="s">
        <v>2406</v>
      </c>
      <c r="D1458" t="s">
        <v>2090</v>
      </c>
      <c r="E1458" s="150">
        <v>353</v>
      </c>
      <c r="F1458" s="142">
        <v>16500</v>
      </c>
      <c r="G1458" s="143">
        <v>13866</v>
      </c>
      <c r="H1458" s="144">
        <v>2634</v>
      </c>
      <c r="I1458" s="140">
        <v>1</v>
      </c>
      <c r="J1458" s="114" t="str">
        <f t="shared" si="22"/>
        <v>INSERT INTO DOCUMENTOS (NRO_DOCUMENTO,FECHA_EMISION,TOTAL_BRUTO,TOTAL_NETO,TOTAL_IVA, ID_TIPO, RUT_EMPLEADO, ID_CLIENTE) VALUES(1454,TO_DATE('01-09-2025','DD-MM-YYYY'),16500,13866,2634,1,'14526149-K',353);</v>
      </c>
    </row>
    <row r="1459" spans="1:10">
      <c r="A1459" s="149"/>
      <c r="B1459" s="149">
        <v>1455</v>
      </c>
      <c r="C1459" s="118" t="s">
        <v>2406</v>
      </c>
      <c r="D1459" t="s">
        <v>2090</v>
      </c>
      <c r="E1459" s="150">
        <v>398</v>
      </c>
      <c r="F1459" s="142">
        <v>24000</v>
      </c>
      <c r="G1459" s="143">
        <v>20168</v>
      </c>
      <c r="H1459" s="144">
        <v>3832</v>
      </c>
      <c r="I1459" s="140">
        <v>1</v>
      </c>
      <c r="J1459" s="114" t="str">
        <f t="shared" si="22"/>
        <v>INSERT INTO DOCUMENTOS (NRO_DOCUMENTO,FECHA_EMISION,TOTAL_BRUTO,TOTAL_NETO,TOTAL_IVA, ID_TIPO, RUT_EMPLEADO, ID_CLIENTE) VALUES(1455,TO_DATE('01-09-2025','DD-MM-YYYY'),24000,20168,3832,1,'14526149-K',398);</v>
      </c>
    </row>
    <row r="1460" spans="1:10">
      <c r="A1460" s="149"/>
      <c r="B1460" s="149">
        <v>1456</v>
      </c>
      <c r="C1460" s="118" t="s">
        <v>2406</v>
      </c>
      <c r="D1460" t="s">
        <v>2090</v>
      </c>
      <c r="E1460" s="150">
        <v>442</v>
      </c>
      <c r="F1460" s="142">
        <v>32000</v>
      </c>
      <c r="G1460" s="143">
        <v>26891</v>
      </c>
      <c r="H1460" s="144">
        <v>5109</v>
      </c>
      <c r="I1460" s="140">
        <v>1</v>
      </c>
      <c r="J1460" s="114" t="str">
        <f t="shared" si="22"/>
        <v>INSERT INTO DOCUMENTOS (NRO_DOCUMENTO,FECHA_EMISION,TOTAL_BRUTO,TOTAL_NETO,TOTAL_IVA, ID_TIPO, RUT_EMPLEADO, ID_CLIENTE) VALUES(1456,TO_DATE('01-09-2025','DD-MM-YYYY'),32000,26891,5109,1,'14526149-K',442);</v>
      </c>
    </row>
    <row r="1461" spans="1:10">
      <c r="A1461" s="149"/>
      <c r="B1461" s="149">
        <v>1457</v>
      </c>
      <c r="C1461" s="118" t="s">
        <v>2406</v>
      </c>
      <c r="D1461" t="s">
        <v>2090</v>
      </c>
      <c r="E1461" s="150">
        <v>470</v>
      </c>
      <c r="F1461" s="142">
        <v>8000</v>
      </c>
      <c r="G1461" s="143">
        <v>6723</v>
      </c>
      <c r="H1461" s="144">
        <v>1277</v>
      </c>
      <c r="I1461" s="140">
        <v>1</v>
      </c>
      <c r="J1461" s="114" t="str">
        <f t="shared" si="22"/>
        <v>INSERT INTO DOCUMENTOS (NRO_DOCUMENTO,FECHA_EMISION,TOTAL_BRUTO,TOTAL_NETO,TOTAL_IVA, ID_TIPO, RUT_EMPLEADO, ID_CLIENTE) VALUES(1457,TO_DATE('01-09-2025','DD-MM-YYYY'),8000,6723,1277,1,'14526149-K',470);</v>
      </c>
    </row>
    <row r="1462" spans="1:10">
      <c r="A1462" s="149"/>
      <c r="B1462" s="149">
        <v>1458</v>
      </c>
      <c r="C1462" s="118" t="s">
        <v>2406</v>
      </c>
      <c r="D1462" t="s">
        <v>2090</v>
      </c>
      <c r="E1462" s="150">
        <v>479</v>
      </c>
      <c r="F1462" s="142">
        <v>10500</v>
      </c>
      <c r="G1462" s="143">
        <v>8824</v>
      </c>
      <c r="H1462" s="144">
        <v>1676</v>
      </c>
      <c r="I1462" s="140">
        <v>1</v>
      </c>
      <c r="J1462" s="114" t="str">
        <f t="shared" si="22"/>
        <v>INSERT INTO DOCUMENTOS (NRO_DOCUMENTO,FECHA_EMISION,TOTAL_BRUTO,TOTAL_NETO,TOTAL_IVA, ID_TIPO, RUT_EMPLEADO, ID_CLIENTE) VALUES(1458,TO_DATE('01-09-2025','DD-MM-YYYY'),10500,8824,1676,1,'14526149-K',479);</v>
      </c>
    </row>
    <row r="1463" spans="1:10">
      <c r="A1463" s="149"/>
      <c r="B1463" s="149">
        <v>1459</v>
      </c>
      <c r="C1463" s="151" t="s">
        <v>2407</v>
      </c>
      <c r="D1463" t="s">
        <v>2090</v>
      </c>
      <c r="E1463" s="150">
        <v>219</v>
      </c>
      <c r="F1463" s="142">
        <v>72003</v>
      </c>
      <c r="G1463" s="143">
        <v>60507</v>
      </c>
      <c r="H1463" s="144">
        <v>11496</v>
      </c>
      <c r="I1463" s="140">
        <v>1</v>
      </c>
      <c r="J1463" s="114" t="str">
        <f t="shared" si="22"/>
        <v>INSERT INTO DOCUMENTOS (NRO_DOCUMENTO,FECHA_EMISION,TOTAL_BRUTO,TOTAL_NETO,TOTAL_IVA, ID_TIPO, RUT_EMPLEADO, ID_CLIENTE) VALUES(1459,TO_DATE('02-09-2025','DD-MM-YYYY'),72003,60507,11496,1,'14526149-K',219);</v>
      </c>
    </row>
    <row r="1464" spans="1:10">
      <c r="A1464" s="149"/>
      <c r="B1464" s="149">
        <v>1460</v>
      </c>
      <c r="C1464" s="118" t="s">
        <v>2407</v>
      </c>
      <c r="D1464" t="s">
        <v>2090</v>
      </c>
      <c r="E1464" s="150">
        <v>405</v>
      </c>
      <c r="F1464" s="142">
        <v>27400</v>
      </c>
      <c r="G1464" s="143">
        <v>23025</v>
      </c>
      <c r="H1464" s="144">
        <v>4375</v>
      </c>
      <c r="I1464" s="140">
        <v>1</v>
      </c>
      <c r="J1464" s="114" t="str">
        <f t="shared" si="22"/>
        <v>INSERT INTO DOCUMENTOS (NRO_DOCUMENTO,FECHA_EMISION,TOTAL_BRUTO,TOTAL_NETO,TOTAL_IVA, ID_TIPO, RUT_EMPLEADO, ID_CLIENTE) VALUES(1460,TO_DATE('02-09-2025','DD-MM-YYYY'),27400,23025,4375,1,'14526149-K',405);</v>
      </c>
    </row>
    <row r="1465" spans="1:10">
      <c r="A1465" s="149"/>
      <c r="B1465" s="149">
        <v>1461</v>
      </c>
      <c r="C1465" s="118" t="s">
        <v>2407</v>
      </c>
      <c r="D1465" t="s">
        <v>2090</v>
      </c>
      <c r="E1465" s="150">
        <v>472</v>
      </c>
      <c r="F1465" s="142">
        <v>13000</v>
      </c>
      <c r="G1465" s="143">
        <v>10924</v>
      </c>
      <c r="H1465" s="144">
        <v>2076</v>
      </c>
      <c r="I1465" s="140">
        <v>1</v>
      </c>
      <c r="J1465" s="114" t="str">
        <f t="shared" si="22"/>
        <v>INSERT INTO DOCUMENTOS (NRO_DOCUMENTO,FECHA_EMISION,TOTAL_BRUTO,TOTAL_NETO,TOTAL_IVA, ID_TIPO, RUT_EMPLEADO, ID_CLIENTE) VALUES(1461,TO_DATE('02-09-2025','DD-MM-YYYY'),13000,10924,2076,1,'14526149-K',472);</v>
      </c>
    </row>
    <row r="1466" spans="1:10">
      <c r="A1466" s="149"/>
      <c r="B1466" s="149">
        <v>1462</v>
      </c>
      <c r="C1466" s="151" t="s">
        <v>2408</v>
      </c>
      <c r="D1466" t="s">
        <v>2090</v>
      </c>
      <c r="E1466" s="150">
        <v>94</v>
      </c>
      <c r="F1466" s="142">
        <v>8000</v>
      </c>
      <c r="G1466" s="143">
        <v>6723</v>
      </c>
      <c r="H1466" s="144">
        <v>1277</v>
      </c>
      <c r="I1466" s="140">
        <v>1</v>
      </c>
      <c r="J1466" s="114" t="str">
        <f t="shared" si="22"/>
        <v>INSERT INTO DOCUMENTOS (NRO_DOCUMENTO,FECHA_EMISION,TOTAL_BRUTO,TOTAL_NETO,TOTAL_IVA, ID_TIPO, RUT_EMPLEADO, ID_CLIENTE) VALUES(1462,TO_DATE('03-09-2025','DD-MM-YYYY'),8000,6723,1277,1,'14526149-K',94);</v>
      </c>
    </row>
    <row r="1467" spans="1:10">
      <c r="A1467" s="149"/>
      <c r="B1467" s="149">
        <v>1463</v>
      </c>
      <c r="C1467" s="118" t="s">
        <v>2408</v>
      </c>
      <c r="D1467" t="s">
        <v>2090</v>
      </c>
      <c r="E1467" s="150">
        <v>159</v>
      </c>
      <c r="F1467" s="142">
        <v>25200</v>
      </c>
      <c r="G1467" s="143">
        <v>21176</v>
      </c>
      <c r="H1467" s="144">
        <v>4024</v>
      </c>
      <c r="I1467" s="140">
        <v>1</v>
      </c>
      <c r="J1467" s="114" t="str">
        <f t="shared" si="22"/>
        <v>INSERT INTO DOCUMENTOS (NRO_DOCUMENTO,FECHA_EMISION,TOTAL_BRUTO,TOTAL_NETO,TOTAL_IVA, ID_TIPO, RUT_EMPLEADO, ID_CLIENTE) VALUES(1463,TO_DATE('03-09-2025','DD-MM-YYYY'),25200,21176,4024,1,'14526149-K',159);</v>
      </c>
    </row>
    <row r="1468" spans="1:10">
      <c r="A1468" s="149"/>
      <c r="B1468" s="149">
        <v>1464</v>
      </c>
      <c r="C1468" s="118" t="s">
        <v>2408</v>
      </c>
      <c r="D1468" t="s">
        <v>2090</v>
      </c>
      <c r="E1468" s="150">
        <v>166</v>
      </c>
      <c r="F1468" s="142">
        <v>26500</v>
      </c>
      <c r="G1468" s="143">
        <v>22269</v>
      </c>
      <c r="H1468" s="144">
        <v>4231</v>
      </c>
      <c r="I1468" s="140">
        <v>1</v>
      </c>
      <c r="J1468" s="114" t="str">
        <f t="shared" si="22"/>
        <v>INSERT INTO DOCUMENTOS (NRO_DOCUMENTO,FECHA_EMISION,TOTAL_BRUTO,TOTAL_NETO,TOTAL_IVA, ID_TIPO, RUT_EMPLEADO, ID_CLIENTE) VALUES(1464,TO_DATE('03-09-2025','DD-MM-YYYY'),26500,22269,4231,1,'14526149-K',166);</v>
      </c>
    </row>
    <row r="1469" spans="1:10">
      <c r="A1469" s="149"/>
      <c r="B1469" s="149">
        <v>1465</v>
      </c>
      <c r="C1469" s="118" t="s">
        <v>2408</v>
      </c>
      <c r="D1469" t="s">
        <v>2090</v>
      </c>
      <c r="E1469" s="150">
        <v>202</v>
      </c>
      <c r="F1469" s="142">
        <v>17000</v>
      </c>
      <c r="G1469" s="143">
        <v>14286</v>
      </c>
      <c r="H1469" s="144">
        <v>2714</v>
      </c>
      <c r="I1469" s="140">
        <v>1</v>
      </c>
      <c r="J1469" s="114" t="str">
        <f t="shared" si="22"/>
        <v>INSERT INTO DOCUMENTOS (NRO_DOCUMENTO,FECHA_EMISION,TOTAL_BRUTO,TOTAL_NETO,TOTAL_IVA, ID_TIPO, RUT_EMPLEADO, ID_CLIENTE) VALUES(1465,TO_DATE('03-09-2025','DD-MM-YYYY'),17000,14286,2714,1,'14526149-K',202);</v>
      </c>
    </row>
    <row r="1470" spans="1:10">
      <c r="A1470" s="149"/>
      <c r="B1470" s="149">
        <v>1466</v>
      </c>
      <c r="C1470" s="118" t="s">
        <v>2408</v>
      </c>
      <c r="D1470" t="s">
        <v>2090</v>
      </c>
      <c r="E1470" s="150">
        <v>234</v>
      </c>
      <c r="F1470" s="142">
        <v>8000</v>
      </c>
      <c r="G1470" s="143">
        <v>6723</v>
      </c>
      <c r="H1470" s="144">
        <v>1277</v>
      </c>
      <c r="I1470" s="140">
        <v>1</v>
      </c>
      <c r="J1470" s="114" t="str">
        <f t="shared" si="22"/>
        <v>INSERT INTO DOCUMENTOS (NRO_DOCUMENTO,FECHA_EMISION,TOTAL_BRUTO,TOTAL_NETO,TOTAL_IVA, ID_TIPO, RUT_EMPLEADO, ID_CLIENTE) VALUES(1466,TO_DATE('03-09-2025','DD-MM-YYYY'),8000,6723,1277,1,'14526149-K',234);</v>
      </c>
    </row>
    <row r="1471" spans="1:10">
      <c r="A1471" s="149"/>
      <c r="B1471" s="149">
        <v>1467</v>
      </c>
      <c r="C1471" s="118" t="s">
        <v>2408</v>
      </c>
      <c r="D1471" t="s">
        <v>2090</v>
      </c>
      <c r="E1471" s="150">
        <v>263</v>
      </c>
      <c r="F1471" s="142">
        <v>8000</v>
      </c>
      <c r="G1471" s="143">
        <v>6723</v>
      </c>
      <c r="H1471" s="144">
        <v>1277</v>
      </c>
      <c r="I1471" s="140">
        <v>1</v>
      </c>
      <c r="J1471" s="114" t="str">
        <f t="shared" si="22"/>
        <v>INSERT INTO DOCUMENTOS (NRO_DOCUMENTO,FECHA_EMISION,TOTAL_BRUTO,TOTAL_NETO,TOTAL_IVA, ID_TIPO, RUT_EMPLEADO, ID_CLIENTE) VALUES(1467,TO_DATE('03-09-2025','DD-MM-YYYY'),8000,6723,1277,1,'14526149-K',263);</v>
      </c>
    </row>
    <row r="1472" spans="1:10">
      <c r="A1472" s="149"/>
      <c r="B1472" s="149">
        <v>1468</v>
      </c>
      <c r="C1472" s="118" t="s">
        <v>2408</v>
      </c>
      <c r="D1472" t="s">
        <v>2090</v>
      </c>
      <c r="E1472" s="150">
        <v>315</v>
      </c>
      <c r="F1472" s="142">
        <v>6000</v>
      </c>
      <c r="G1472" s="143">
        <v>5042</v>
      </c>
      <c r="H1472" s="144">
        <v>958</v>
      </c>
      <c r="I1472" s="140">
        <v>1</v>
      </c>
      <c r="J1472" s="114" t="str">
        <f t="shared" si="22"/>
        <v>INSERT INTO DOCUMENTOS (NRO_DOCUMENTO,FECHA_EMISION,TOTAL_BRUTO,TOTAL_NETO,TOTAL_IVA, ID_TIPO, RUT_EMPLEADO, ID_CLIENTE) VALUES(1468,TO_DATE('03-09-2025','DD-MM-YYYY'),6000,5042,958,1,'14526149-K',315);</v>
      </c>
    </row>
    <row r="1473" spans="1:10">
      <c r="A1473" s="149"/>
      <c r="B1473" s="149">
        <v>1469</v>
      </c>
      <c r="C1473" s="118" t="s">
        <v>2408</v>
      </c>
      <c r="D1473" t="s">
        <v>2090</v>
      </c>
      <c r="E1473" s="150">
        <v>373</v>
      </c>
      <c r="F1473" s="142">
        <v>15300</v>
      </c>
      <c r="G1473" s="143">
        <v>12857</v>
      </c>
      <c r="H1473" s="144">
        <v>2443</v>
      </c>
      <c r="I1473" s="140">
        <v>1</v>
      </c>
      <c r="J1473" s="114" t="str">
        <f t="shared" si="22"/>
        <v>INSERT INTO DOCUMENTOS (NRO_DOCUMENTO,FECHA_EMISION,TOTAL_BRUTO,TOTAL_NETO,TOTAL_IVA, ID_TIPO, RUT_EMPLEADO, ID_CLIENTE) VALUES(1469,TO_DATE('03-09-2025','DD-MM-YYYY'),15300,12857,2443,1,'14526149-K',373);</v>
      </c>
    </row>
    <row r="1474" spans="1:10">
      <c r="A1474" s="149"/>
      <c r="B1474" s="149">
        <v>1470</v>
      </c>
      <c r="C1474" s="118" t="s">
        <v>2408</v>
      </c>
      <c r="D1474" t="s">
        <v>2090</v>
      </c>
      <c r="E1474" s="150">
        <v>446</v>
      </c>
      <c r="F1474" s="142">
        <v>6000</v>
      </c>
      <c r="G1474" s="143">
        <v>5042</v>
      </c>
      <c r="H1474" s="144">
        <v>958</v>
      </c>
      <c r="I1474" s="140">
        <v>1</v>
      </c>
      <c r="J1474" s="114" t="str">
        <f t="shared" si="22"/>
        <v>INSERT INTO DOCUMENTOS (NRO_DOCUMENTO,FECHA_EMISION,TOTAL_BRUTO,TOTAL_NETO,TOTAL_IVA, ID_TIPO, RUT_EMPLEADO, ID_CLIENTE) VALUES(1470,TO_DATE('03-09-2025','DD-MM-YYYY'),6000,5042,958,1,'14526149-K',446);</v>
      </c>
    </row>
    <row r="1475" spans="1:10">
      <c r="A1475" s="149"/>
      <c r="B1475" s="149">
        <v>1471</v>
      </c>
      <c r="C1475" s="118" t="s">
        <v>2408</v>
      </c>
      <c r="D1475" t="s">
        <v>2090</v>
      </c>
      <c r="E1475" s="150">
        <v>470</v>
      </c>
      <c r="F1475" s="142">
        <v>8000</v>
      </c>
      <c r="G1475" s="143">
        <v>6723</v>
      </c>
      <c r="H1475" s="144">
        <v>1277</v>
      </c>
      <c r="I1475" s="140">
        <v>1</v>
      </c>
      <c r="J1475" s="114" t="str">
        <f t="shared" si="22"/>
        <v>INSERT INTO DOCUMENTOS (NRO_DOCUMENTO,FECHA_EMISION,TOTAL_BRUTO,TOTAL_NETO,TOTAL_IVA, ID_TIPO, RUT_EMPLEADO, ID_CLIENTE) VALUES(1471,TO_DATE('03-09-2025','DD-MM-YYYY'),8000,6723,1277,1,'14526149-K',470);</v>
      </c>
    </row>
    <row r="1476" spans="1:10">
      <c r="A1476" s="149"/>
      <c r="B1476" s="149">
        <v>1472</v>
      </c>
      <c r="C1476" s="151" t="s">
        <v>2409</v>
      </c>
      <c r="D1476" t="s">
        <v>2090</v>
      </c>
      <c r="E1476" s="150">
        <v>73</v>
      </c>
      <c r="F1476" s="142">
        <v>68000</v>
      </c>
      <c r="G1476" s="143">
        <v>57143</v>
      </c>
      <c r="H1476" s="144">
        <v>10857</v>
      </c>
      <c r="I1476" s="140">
        <v>1</v>
      </c>
      <c r="J1476" s="114" t="str">
        <f t="shared" si="22"/>
        <v>INSERT INTO DOCUMENTOS (NRO_DOCUMENTO,FECHA_EMISION,TOTAL_BRUTO,TOTAL_NETO,TOTAL_IVA, ID_TIPO, RUT_EMPLEADO, ID_CLIENTE) VALUES(1472,TO_DATE('04-09-2025','DD-MM-YYYY'),68000,57143,10857,1,'14526149-K',73);</v>
      </c>
    </row>
    <row r="1477" spans="1:10">
      <c r="A1477" s="149"/>
      <c r="B1477" s="149">
        <v>1473</v>
      </c>
      <c r="C1477" s="118" t="s">
        <v>2409</v>
      </c>
      <c r="D1477" t="s">
        <v>2090</v>
      </c>
      <c r="E1477" s="150">
        <v>82</v>
      </c>
      <c r="F1477" s="142">
        <v>211800</v>
      </c>
      <c r="G1477" s="143">
        <v>177983</v>
      </c>
      <c r="H1477" s="144">
        <v>33817</v>
      </c>
      <c r="I1477" s="140">
        <v>1</v>
      </c>
      <c r="J1477" s="114" t="str">
        <f t="shared" si="22"/>
        <v>INSERT INTO DOCUMENTOS (NRO_DOCUMENTO,FECHA_EMISION,TOTAL_BRUTO,TOTAL_NETO,TOTAL_IVA, ID_TIPO, RUT_EMPLEADO, ID_CLIENTE) VALUES(1473,TO_DATE('04-09-2025','DD-MM-YYYY'),211800,177983,33817,1,'14526149-K',82);</v>
      </c>
    </row>
    <row r="1478" spans="1:10">
      <c r="A1478" s="149"/>
      <c r="B1478" s="149">
        <v>1474</v>
      </c>
      <c r="C1478" s="118" t="s">
        <v>2409</v>
      </c>
      <c r="D1478" t="s">
        <v>2090</v>
      </c>
      <c r="E1478" s="150">
        <v>315</v>
      </c>
      <c r="F1478" s="142">
        <v>14000</v>
      </c>
      <c r="G1478" s="143">
        <v>11765</v>
      </c>
      <c r="H1478" s="144">
        <v>2235</v>
      </c>
      <c r="I1478" s="140">
        <v>1</v>
      </c>
      <c r="J1478" s="114" t="str">
        <f t="shared" ref="J1478:J1541" si="23">CONCATENATE("INSERT INTO DOCUMENTOS (NRO_DOCUMENTO,FECHA_EMISION,TOTAL_BRUTO,TOTAL_NETO,TOTAL_IVA, ID_TIPO, RUT_EMPLEADO, ID_CLIENTE) VALUES(",B1478,",","TO_DATE('",C1478,"'",",'DD-MM-YYYY'),",F1478,",",G1478,",",H1478,",",I1478,",","'",D1478,"',",E1478,");")</f>
        <v>INSERT INTO DOCUMENTOS (NRO_DOCUMENTO,FECHA_EMISION,TOTAL_BRUTO,TOTAL_NETO,TOTAL_IVA, ID_TIPO, RUT_EMPLEADO, ID_CLIENTE) VALUES(1474,TO_DATE('04-09-2025','DD-MM-YYYY'),14000,11765,2235,1,'14526149-K',315);</v>
      </c>
    </row>
    <row r="1479" spans="1:10">
      <c r="A1479" s="149"/>
      <c r="B1479" s="149">
        <v>1475</v>
      </c>
      <c r="C1479" s="118" t="s">
        <v>2409</v>
      </c>
      <c r="D1479" t="s">
        <v>2090</v>
      </c>
      <c r="E1479" s="150">
        <v>374</v>
      </c>
      <c r="F1479" s="142">
        <v>11000</v>
      </c>
      <c r="G1479" s="143">
        <v>9244</v>
      </c>
      <c r="H1479" s="144">
        <v>1756</v>
      </c>
      <c r="I1479" s="140">
        <v>1</v>
      </c>
      <c r="J1479" s="114" t="str">
        <f t="shared" si="23"/>
        <v>INSERT INTO DOCUMENTOS (NRO_DOCUMENTO,FECHA_EMISION,TOTAL_BRUTO,TOTAL_NETO,TOTAL_IVA, ID_TIPO, RUT_EMPLEADO, ID_CLIENTE) VALUES(1475,TO_DATE('04-09-2025','DD-MM-YYYY'),11000,9244,1756,1,'14526149-K',374);</v>
      </c>
    </row>
    <row r="1480" spans="1:10">
      <c r="A1480" s="149"/>
      <c r="B1480" s="149">
        <v>1476</v>
      </c>
      <c r="C1480" s="151" t="s">
        <v>2410</v>
      </c>
      <c r="D1480" t="s">
        <v>2090</v>
      </c>
      <c r="E1480" s="150">
        <v>9</v>
      </c>
      <c r="F1480" s="142">
        <v>-1600</v>
      </c>
      <c r="G1480" s="143">
        <v>-1345</v>
      </c>
      <c r="H1480" s="144">
        <v>-255</v>
      </c>
      <c r="I1480" s="140">
        <v>1</v>
      </c>
      <c r="J1480" s="114" t="str">
        <f t="shared" si="23"/>
        <v>INSERT INTO DOCUMENTOS (NRO_DOCUMENTO,FECHA_EMISION,TOTAL_BRUTO,TOTAL_NETO,TOTAL_IVA, ID_TIPO, RUT_EMPLEADO, ID_CLIENTE) VALUES(1476,TO_DATE('05-09-2025','DD-MM-YYYY'),-1600,-1345,-255,1,'14526149-K',9);</v>
      </c>
    </row>
    <row r="1481" spans="1:10">
      <c r="A1481" s="149"/>
      <c r="B1481" s="149">
        <v>1477</v>
      </c>
      <c r="C1481" s="118" t="s">
        <v>2410</v>
      </c>
      <c r="D1481" t="s">
        <v>2090</v>
      </c>
      <c r="E1481" s="150">
        <v>15</v>
      </c>
      <c r="F1481" s="142">
        <v>44000</v>
      </c>
      <c r="G1481" s="143">
        <v>36975</v>
      </c>
      <c r="H1481" s="144">
        <v>7025</v>
      </c>
      <c r="I1481" s="140">
        <v>1</v>
      </c>
      <c r="J1481" s="114" t="str">
        <f t="shared" si="23"/>
        <v>INSERT INTO DOCUMENTOS (NRO_DOCUMENTO,FECHA_EMISION,TOTAL_BRUTO,TOTAL_NETO,TOTAL_IVA, ID_TIPO, RUT_EMPLEADO, ID_CLIENTE) VALUES(1477,TO_DATE('05-09-2025','DD-MM-YYYY'),44000,36975,7025,1,'14526149-K',15);</v>
      </c>
    </row>
    <row r="1482" spans="1:10">
      <c r="A1482" s="149"/>
      <c r="B1482" s="149">
        <v>1478</v>
      </c>
      <c r="C1482" s="118" t="s">
        <v>2410</v>
      </c>
      <c r="D1482" t="s">
        <v>2090</v>
      </c>
      <c r="E1482" s="150">
        <v>62</v>
      </c>
      <c r="F1482" s="142">
        <v>132100</v>
      </c>
      <c r="G1482" s="143">
        <v>111010</v>
      </c>
      <c r="H1482" s="144">
        <v>21090</v>
      </c>
      <c r="I1482" s="140">
        <v>1</v>
      </c>
      <c r="J1482" s="114" t="str">
        <f t="shared" si="23"/>
        <v>INSERT INTO DOCUMENTOS (NRO_DOCUMENTO,FECHA_EMISION,TOTAL_BRUTO,TOTAL_NETO,TOTAL_IVA, ID_TIPO, RUT_EMPLEADO, ID_CLIENTE) VALUES(1478,TO_DATE('05-09-2025','DD-MM-YYYY'),132100,111010,21090,1,'14526149-K',62);</v>
      </c>
    </row>
    <row r="1483" spans="1:10">
      <c r="A1483" s="149"/>
      <c r="B1483" s="149">
        <v>1479</v>
      </c>
      <c r="C1483" s="118" t="s">
        <v>2410</v>
      </c>
      <c r="D1483" t="s">
        <v>2090</v>
      </c>
      <c r="E1483" s="150">
        <v>151</v>
      </c>
      <c r="F1483" s="142">
        <v>6300</v>
      </c>
      <c r="G1483" s="143">
        <v>5294</v>
      </c>
      <c r="H1483" s="144">
        <v>1006</v>
      </c>
      <c r="I1483" s="140">
        <v>1</v>
      </c>
      <c r="J1483" s="114" t="str">
        <f t="shared" si="23"/>
        <v>INSERT INTO DOCUMENTOS (NRO_DOCUMENTO,FECHA_EMISION,TOTAL_BRUTO,TOTAL_NETO,TOTAL_IVA, ID_TIPO, RUT_EMPLEADO, ID_CLIENTE) VALUES(1479,TO_DATE('05-09-2025','DD-MM-YYYY'),6300,5294,1006,1,'14526149-K',151);</v>
      </c>
    </row>
    <row r="1484" spans="1:10">
      <c r="A1484" s="149"/>
      <c r="B1484" s="149">
        <v>1480</v>
      </c>
      <c r="C1484" s="118" t="s">
        <v>2410</v>
      </c>
      <c r="D1484" t="s">
        <v>2090</v>
      </c>
      <c r="E1484" s="150">
        <v>166</v>
      </c>
      <c r="F1484" s="142">
        <v>11000</v>
      </c>
      <c r="G1484" s="143">
        <v>9244</v>
      </c>
      <c r="H1484" s="144">
        <v>1756</v>
      </c>
      <c r="I1484" s="140">
        <v>1</v>
      </c>
      <c r="J1484" s="114" t="str">
        <f t="shared" si="23"/>
        <v>INSERT INTO DOCUMENTOS (NRO_DOCUMENTO,FECHA_EMISION,TOTAL_BRUTO,TOTAL_NETO,TOTAL_IVA, ID_TIPO, RUT_EMPLEADO, ID_CLIENTE) VALUES(1480,TO_DATE('05-09-2025','DD-MM-YYYY'),11000,9244,1756,1,'14526149-K',166);</v>
      </c>
    </row>
    <row r="1485" spans="1:10">
      <c r="A1485" s="149"/>
      <c r="B1485" s="149">
        <v>1481</v>
      </c>
      <c r="C1485" s="118" t="s">
        <v>2410</v>
      </c>
      <c r="D1485" t="s">
        <v>2090</v>
      </c>
      <c r="E1485" s="150">
        <v>212</v>
      </c>
      <c r="F1485" s="142">
        <v>43500</v>
      </c>
      <c r="G1485" s="143">
        <v>36554</v>
      </c>
      <c r="H1485" s="144">
        <v>6946</v>
      </c>
      <c r="I1485" s="140">
        <v>1</v>
      </c>
      <c r="J1485" s="114" t="str">
        <f t="shared" si="23"/>
        <v>INSERT INTO DOCUMENTOS (NRO_DOCUMENTO,FECHA_EMISION,TOTAL_BRUTO,TOTAL_NETO,TOTAL_IVA, ID_TIPO, RUT_EMPLEADO, ID_CLIENTE) VALUES(1481,TO_DATE('05-09-2025','DD-MM-YYYY'),43500,36554,6946,1,'14526149-K',212);</v>
      </c>
    </row>
    <row r="1486" spans="1:10">
      <c r="A1486" s="149"/>
      <c r="B1486" s="149">
        <v>1482</v>
      </c>
      <c r="C1486" s="118" t="s">
        <v>2410</v>
      </c>
      <c r="D1486" t="s">
        <v>2090</v>
      </c>
      <c r="E1486" s="150">
        <v>306</v>
      </c>
      <c r="F1486" s="142">
        <v>109000</v>
      </c>
      <c r="G1486" s="143">
        <v>91596</v>
      </c>
      <c r="H1486" s="144">
        <v>17404</v>
      </c>
      <c r="I1486" s="140">
        <v>1</v>
      </c>
      <c r="J1486" s="114" t="str">
        <f t="shared" si="23"/>
        <v>INSERT INTO DOCUMENTOS (NRO_DOCUMENTO,FECHA_EMISION,TOTAL_BRUTO,TOTAL_NETO,TOTAL_IVA, ID_TIPO, RUT_EMPLEADO, ID_CLIENTE) VALUES(1482,TO_DATE('05-09-2025','DD-MM-YYYY'),109000,91596,17404,1,'14526149-K',306);</v>
      </c>
    </row>
    <row r="1487" spans="1:10">
      <c r="A1487" s="149"/>
      <c r="B1487" s="149">
        <v>1483</v>
      </c>
      <c r="C1487" s="118" t="s">
        <v>2410</v>
      </c>
      <c r="D1487" t="s">
        <v>2090</v>
      </c>
      <c r="E1487" s="150">
        <v>357</v>
      </c>
      <c r="F1487" s="142">
        <v>32000</v>
      </c>
      <c r="G1487" s="143">
        <v>26891</v>
      </c>
      <c r="H1487" s="144">
        <v>5109</v>
      </c>
      <c r="I1487" s="140">
        <v>1</v>
      </c>
      <c r="J1487" s="114" t="str">
        <f t="shared" si="23"/>
        <v>INSERT INTO DOCUMENTOS (NRO_DOCUMENTO,FECHA_EMISION,TOTAL_BRUTO,TOTAL_NETO,TOTAL_IVA, ID_TIPO, RUT_EMPLEADO, ID_CLIENTE) VALUES(1483,TO_DATE('05-09-2025','DD-MM-YYYY'),32000,26891,5109,1,'14526149-K',357);</v>
      </c>
    </row>
    <row r="1488" spans="1:10">
      <c r="A1488" s="149"/>
      <c r="B1488" s="149">
        <v>1484</v>
      </c>
      <c r="C1488" s="118" t="s">
        <v>2410</v>
      </c>
      <c r="D1488" t="s">
        <v>2090</v>
      </c>
      <c r="E1488" s="150">
        <v>446</v>
      </c>
      <c r="F1488" s="142">
        <v>9000</v>
      </c>
      <c r="G1488" s="143">
        <v>7563</v>
      </c>
      <c r="H1488" s="144">
        <v>1437</v>
      </c>
      <c r="I1488" s="140">
        <v>1</v>
      </c>
      <c r="J1488" s="114" t="str">
        <f t="shared" si="23"/>
        <v>INSERT INTO DOCUMENTOS (NRO_DOCUMENTO,FECHA_EMISION,TOTAL_BRUTO,TOTAL_NETO,TOTAL_IVA, ID_TIPO, RUT_EMPLEADO, ID_CLIENTE) VALUES(1484,TO_DATE('05-09-2025','DD-MM-YYYY'),9000,7563,1437,1,'14526149-K',446);</v>
      </c>
    </row>
    <row r="1489" spans="1:10">
      <c r="A1489" s="149"/>
      <c r="B1489" s="149">
        <v>1485</v>
      </c>
      <c r="C1489" s="151" t="s">
        <v>2411</v>
      </c>
      <c r="D1489" t="s">
        <v>2090</v>
      </c>
      <c r="E1489" s="150">
        <v>8</v>
      </c>
      <c r="F1489" s="142">
        <v>8200</v>
      </c>
      <c r="G1489" s="143">
        <v>6891</v>
      </c>
      <c r="H1489" s="144">
        <v>1309</v>
      </c>
      <c r="I1489" s="140">
        <v>1</v>
      </c>
      <c r="J1489" s="114" t="str">
        <f t="shared" si="23"/>
        <v>INSERT INTO DOCUMENTOS (NRO_DOCUMENTO,FECHA_EMISION,TOTAL_BRUTO,TOTAL_NETO,TOTAL_IVA, ID_TIPO, RUT_EMPLEADO, ID_CLIENTE) VALUES(1485,TO_DATE('06-09-2025','DD-MM-YYYY'),8200,6891,1309,1,'14526149-K',8);</v>
      </c>
    </row>
    <row r="1490" spans="1:10">
      <c r="A1490" s="149"/>
      <c r="B1490" s="149">
        <v>1486</v>
      </c>
      <c r="C1490" s="118" t="s">
        <v>2411</v>
      </c>
      <c r="D1490" t="s">
        <v>2090</v>
      </c>
      <c r="E1490" s="150">
        <v>98</v>
      </c>
      <c r="F1490" s="142">
        <v>6000</v>
      </c>
      <c r="G1490" s="143">
        <v>5042</v>
      </c>
      <c r="H1490" s="144">
        <v>958</v>
      </c>
      <c r="I1490" s="140">
        <v>1</v>
      </c>
      <c r="J1490" s="114" t="str">
        <f t="shared" si="23"/>
        <v>INSERT INTO DOCUMENTOS (NRO_DOCUMENTO,FECHA_EMISION,TOTAL_BRUTO,TOTAL_NETO,TOTAL_IVA, ID_TIPO, RUT_EMPLEADO, ID_CLIENTE) VALUES(1486,TO_DATE('06-09-2025','DD-MM-YYYY'),6000,5042,958,1,'14526149-K',98);</v>
      </c>
    </row>
    <row r="1491" spans="1:10">
      <c r="A1491" s="149"/>
      <c r="B1491" s="149">
        <v>1487</v>
      </c>
      <c r="C1491" s="118" t="s">
        <v>2411</v>
      </c>
      <c r="D1491" t="s">
        <v>2090</v>
      </c>
      <c r="E1491" s="150">
        <v>119</v>
      </c>
      <c r="F1491" s="142">
        <v>39850</v>
      </c>
      <c r="G1491" s="143">
        <v>33488</v>
      </c>
      <c r="H1491" s="144">
        <v>6362</v>
      </c>
      <c r="I1491" s="140">
        <v>1</v>
      </c>
      <c r="J1491" s="114" t="str">
        <f t="shared" si="23"/>
        <v>INSERT INTO DOCUMENTOS (NRO_DOCUMENTO,FECHA_EMISION,TOTAL_BRUTO,TOTAL_NETO,TOTAL_IVA, ID_TIPO, RUT_EMPLEADO, ID_CLIENTE) VALUES(1487,TO_DATE('06-09-2025','DD-MM-YYYY'),39850,33488,6362,1,'14526149-K',119);</v>
      </c>
    </row>
    <row r="1492" spans="1:10">
      <c r="A1492" s="149"/>
      <c r="B1492" s="149">
        <v>1488</v>
      </c>
      <c r="C1492" s="118" t="s">
        <v>2411</v>
      </c>
      <c r="D1492" t="s">
        <v>2090</v>
      </c>
      <c r="E1492" s="150">
        <v>216</v>
      </c>
      <c r="F1492" s="142">
        <v>20900</v>
      </c>
      <c r="G1492" s="143">
        <v>17563</v>
      </c>
      <c r="H1492" s="144">
        <v>3337</v>
      </c>
      <c r="I1492" s="140">
        <v>1</v>
      </c>
      <c r="J1492" s="114" t="str">
        <f t="shared" si="23"/>
        <v>INSERT INTO DOCUMENTOS (NRO_DOCUMENTO,FECHA_EMISION,TOTAL_BRUTO,TOTAL_NETO,TOTAL_IVA, ID_TIPO, RUT_EMPLEADO, ID_CLIENTE) VALUES(1488,TO_DATE('06-09-2025','DD-MM-YYYY'),20900,17563,3337,1,'14526149-K',216);</v>
      </c>
    </row>
    <row r="1493" spans="1:10">
      <c r="A1493" s="149"/>
      <c r="B1493" s="149">
        <v>1489</v>
      </c>
      <c r="C1493" s="118" t="s">
        <v>2411</v>
      </c>
      <c r="D1493" t="s">
        <v>2090</v>
      </c>
      <c r="E1493" s="150">
        <v>300</v>
      </c>
      <c r="F1493" s="142">
        <v>46000</v>
      </c>
      <c r="G1493" s="143">
        <v>38656</v>
      </c>
      <c r="H1493" s="144">
        <v>7344</v>
      </c>
      <c r="I1493" s="140">
        <v>1</v>
      </c>
      <c r="J1493" s="114" t="str">
        <f t="shared" si="23"/>
        <v>INSERT INTO DOCUMENTOS (NRO_DOCUMENTO,FECHA_EMISION,TOTAL_BRUTO,TOTAL_NETO,TOTAL_IVA, ID_TIPO, RUT_EMPLEADO, ID_CLIENTE) VALUES(1489,TO_DATE('06-09-2025','DD-MM-YYYY'),46000,38656,7344,1,'14526149-K',300);</v>
      </c>
    </row>
    <row r="1494" spans="1:10">
      <c r="A1494" s="149"/>
      <c r="B1494" s="149">
        <v>1490</v>
      </c>
      <c r="C1494" s="118" t="s">
        <v>2411</v>
      </c>
      <c r="D1494" t="s">
        <v>2090</v>
      </c>
      <c r="E1494" s="150">
        <v>352</v>
      </c>
      <c r="F1494" s="142">
        <v>34100</v>
      </c>
      <c r="G1494" s="143">
        <v>28655</v>
      </c>
      <c r="H1494" s="144">
        <v>5445</v>
      </c>
      <c r="I1494" s="140">
        <v>1</v>
      </c>
      <c r="J1494" s="114" t="str">
        <f t="shared" si="23"/>
        <v>INSERT INTO DOCUMENTOS (NRO_DOCUMENTO,FECHA_EMISION,TOTAL_BRUTO,TOTAL_NETO,TOTAL_IVA, ID_TIPO, RUT_EMPLEADO, ID_CLIENTE) VALUES(1490,TO_DATE('06-09-2025','DD-MM-YYYY'),34100,28655,5445,1,'14526149-K',352);</v>
      </c>
    </row>
    <row r="1495" spans="1:10">
      <c r="A1495" s="149"/>
      <c r="B1495" s="149">
        <v>1491</v>
      </c>
      <c r="C1495" s="118" t="s">
        <v>2411</v>
      </c>
      <c r="D1495" t="s">
        <v>2090</v>
      </c>
      <c r="E1495" s="150">
        <v>389</v>
      </c>
      <c r="F1495" s="142">
        <v>41500</v>
      </c>
      <c r="G1495" s="143">
        <v>34874</v>
      </c>
      <c r="H1495" s="144">
        <v>6626</v>
      </c>
      <c r="I1495" s="140">
        <v>1</v>
      </c>
      <c r="J1495" s="114" t="str">
        <f t="shared" si="23"/>
        <v>INSERT INTO DOCUMENTOS (NRO_DOCUMENTO,FECHA_EMISION,TOTAL_BRUTO,TOTAL_NETO,TOTAL_IVA, ID_TIPO, RUT_EMPLEADO, ID_CLIENTE) VALUES(1491,TO_DATE('06-09-2025','DD-MM-YYYY'),41500,34874,6626,1,'14526149-K',389);</v>
      </c>
    </row>
    <row r="1496" spans="1:10">
      <c r="A1496" s="149"/>
      <c r="B1496" s="149">
        <v>1492</v>
      </c>
      <c r="C1496" s="151" t="s">
        <v>2412</v>
      </c>
      <c r="D1496" t="s">
        <v>2090</v>
      </c>
      <c r="E1496" s="150">
        <v>227</v>
      </c>
      <c r="F1496" s="142">
        <v>8200</v>
      </c>
      <c r="G1496" s="143">
        <v>6891</v>
      </c>
      <c r="H1496" s="144">
        <v>1309</v>
      </c>
      <c r="I1496" s="140">
        <v>1</v>
      </c>
      <c r="J1496" s="114" t="str">
        <f t="shared" si="23"/>
        <v>INSERT INTO DOCUMENTOS (NRO_DOCUMENTO,FECHA_EMISION,TOTAL_BRUTO,TOTAL_NETO,TOTAL_IVA, ID_TIPO, RUT_EMPLEADO, ID_CLIENTE) VALUES(1492,TO_DATE('07-09-2025','DD-MM-YYYY'),8200,6891,1309,1,'14526149-K',227);</v>
      </c>
    </row>
    <row r="1497" spans="1:10">
      <c r="A1497" s="149"/>
      <c r="B1497" s="149">
        <v>1493</v>
      </c>
      <c r="C1497" s="118" t="s">
        <v>2412</v>
      </c>
      <c r="D1497" t="s">
        <v>2090</v>
      </c>
      <c r="E1497" s="150">
        <v>315</v>
      </c>
      <c r="F1497" s="142">
        <v>8000</v>
      </c>
      <c r="G1497" s="143">
        <v>6723</v>
      </c>
      <c r="H1497" s="144">
        <v>1277</v>
      </c>
      <c r="I1497" s="140">
        <v>1</v>
      </c>
      <c r="J1497" s="114" t="str">
        <f t="shared" si="23"/>
        <v>INSERT INTO DOCUMENTOS (NRO_DOCUMENTO,FECHA_EMISION,TOTAL_BRUTO,TOTAL_NETO,TOTAL_IVA, ID_TIPO, RUT_EMPLEADO, ID_CLIENTE) VALUES(1493,TO_DATE('07-09-2025','DD-MM-YYYY'),8000,6723,1277,1,'14526149-K',315);</v>
      </c>
    </row>
    <row r="1498" spans="1:10">
      <c r="A1498" s="149"/>
      <c r="B1498" s="149">
        <v>1494</v>
      </c>
      <c r="C1498" s="118" t="s">
        <v>2412</v>
      </c>
      <c r="D1498" t="s">
        <v>2090</v>
      </c>
      <c r="E1498" s="150">
        <v>387</v>
      </c>
      <c r="F1498" s="142">
        <v>32800</v>
      </c>
      <c r="G1498" s="143">
        <v>27563</v>
      </c>
      <c r="H1498" s="144">
        <v>5237</v>
      </c>
      <c r="I1498" s="140">
        <v>1</v>
      </c>
      <c r="J1498" s="114" t="str">
        <f t="shared" si="23"/>
        <v>INSERT INTO DOCUMENTOS (NRO_DOCUMENTO,FECHA_EMISION,TOTAL_BRUTO,TOTAL_NETO,TOTAL_IVA, ID_TIPO, RUT_EMPLEADO, ID_CLIENTE) VALUES(1494,TO_DATE('07-09-2025','DD-MM-YYYY'),32800,27563,5237,1,'14526149-K',387);</v>
      </c>
    </row>
    <row r="1499" spans="1:10">
      <c r="A1499" s="149"/>
      <c r="B1499" s="149">
        <v>1495</v>
      </c>
      <c r="C1499" s="118" t="s">
        <v>2412</v>
      </c>
      <c r="D1499" t="s">
        <v>2090</v>
      </c>
      <c r="E1499" s="150">
        <v>412</v>
      </c>
      <c r="F1499" s="142">
        <v>8000</v>
      </c>
      <c r="G1499" s="143">
        <v>6723</v>
      </c>
      <c r="H1499" s="144">
        <v>1277</v>
      </c>
      <c r="I1499" s="140">
        <v>1</v>
      </c>
      <c r="J1499" s="114" t="str">
        <f t="shared" si="23"/>
        <v>INSERT INTO DOCUMENTOS (NRO_DOCUMENTO,FECHA_EMISION,TOTAL_BRUTO,TOTAL_NETO,TOTAL_IVA, ID_TIPO, RUT_EMPLEADO, ID_CLIENTE) VALUES(1495,TO_DATE('07-09-2025','DD-MM-YYYY'),8000,6723,1277,1,'14526149-K',412);</v>
      </c>
    </row>
    <row r="1500" spans="1:10">
      <c r="A1500" s="149"/>
      <c r="B1500" s="149">
        <v>1496</v>
      </c>
      <c r="C1500" s="151" t="s">
        <v>2413</v>
      </c>
      <c r="D1500" t="s">
        <v>2090</v>
      </c>
      <c r="E1500" s="150">
        <v>6</v>
      </c>
      <c r="F1500" s="142">
        <v>8200</v>
      </c>
      <c r="G1500" s="143">
        <v>6891</v>
      </c>
      <c r="H1500" s="144">
        <v>1309</v>
      </c>
      <c r="I1500" s="140">
        <v>1</v>
      </c>
      <c r="J1500" s="114" t="str">
        <f t="shared" si="23"/>
        <v>INSERT INTO DOCUMENTOS (NRO_DOCUMENTO,FECHA_EMISION,TOTAL_BRUTO,TOTAL_NETO,TOTAL_IVA, ID_TIPO, RUT_EMPLEADO, ID_CLIENTE) VALUES(1496,TO_DATE('08-09-2025','DD-MM-YYYY'),8200,6891,1309,1,'14526149-K',6);</v>
      </c>
    </row>
    <row r="1501" spans="1:10">
      <c r="A1501" s="149"/>
      <c r="B1501" s="149">
        <v>1497</v>
      </c>
      <c r="C1501" s="118" t="s">
        <v>2413</v>
      </c>
      <c r="D1501" t="s">
        <v>2090</v>
      </c>
      <c r="E1501" s="150">
        <v>7</v>
      </c>
      <c r="F1501" s="142">
        <v>8000</v>
      </c>
      <c r="G1501" s="143">
        <v>6723</v>
      </c>
      <c r="H1501" s="144">
        <v>1277</v>
      </c>
      <c r="I1501" s="140">
        <v>1</v>
      </c>
      <c r="J1501" s="114" t="str">
        <f t="shared" si="23"/>
        <v>INSERT INTO DOCUMENTOS (NRO_DOCUMENTO,FECHA_EMISION,TOTAL_BRUTO,TOTAL_NETO,TOTAL_IVA, ID_TIPO, RUT_EMPLEADO, ID_CLIENTE) VALUES(1497,TO_DATE('08-09-2025','DD-MM-YYYY'),8000,6723,1277,1,'14526149-K',7);</v>
      </c>
    </row>
    <row r="1502" spans="1:10">
      <c r="A1502" s="149"/>
      <c r="B1502" s="149">
        <v>1498</v>
      </c>
      <c r="C1502" s="118" t="s">
        <v>2413</v>
      </c>
      <c r="D1502" t="s">
        <v>2090</v>
      </c>
      <c r="E1502" s="150">
        <v>84</v>
      </c>
      <c r="F1502" s="142">
        <v>9000</v>
      </c>
      <c r="G1502" s="143">
        <v>7563</v>
      </c>
      <c r="H1502" s="144">
        <v>1437</v>
      </c>
      <c r="I1502" s="140">
        <v>1</v>
      </c>
      <c r="J1502" s="114" t="str">
        <f t="shared" si="23"/>
        <v>INSERT INTO DOCUMENTOS (NRO_DOCUMENTO,FECHA_EMISION,TOTAL_BRUTO,TOTAL_NETO,TOTAL_IVA, ID_TIPO, RUT_EMPLEADO, ID_CLIENTE) VALUES(1498,TO_DATE('08-09-2025','DD-MM-YYYY'),9000,7563,1437,1,'14526149-K',84);</v>
      </c>
    </row>
    <row r="1503" spans="1:10">
      <c r="A1503" s="149"/>
      <c r="B1503" s="149">
        <v>1499</v>
      </c>
      <c r="C1503" s="118" t="s">
        <v>2413</v>
      </c>
      <c r="D1503" t="s">
        <v>2090</v>
      </c>
      <c r="E1503" s="150">
        <v>184</v>
      </c>
      <c r="F1503" s="142">
        <v>27200</v>
      </c>
      <c r="G1503" s="143">
        <v>22858</v>
      </c>
      <c r="H1503" s="144">
        <v>4342</v>
      </c>
      <c r="I1503" s="140">
        <v>1</v>
      </c>
      <c r="J1503" s="114" t="str">
        <f t="shared" si="23"/>
        <v>INSERT INTO DOCUMENTOS (NRO_DOCUMENTO,FECHA_EMISION,TOTAL_BRUTO,TOTAL_NETO,TOTAL_IVA, ID_TIPO, RUT_EMPLEADO, ID_CLIENTE) VALUES(1499,TO_DATE('08-09-2025','DD-MM-YYYY'),27200,22858,4342,1,'14526149-K',184);</v>
      </c>
    </row>
    <row r="1504" spans="1:10">
      <c r="A1504" s="149"/>
      <c r="B1504" s="150">
        <v>1500</v>
      </c>
      <c r="C1504" s="151" t="s">
        <v>2414</v>
      </c>
      <c r="D1504" t="s">
        <v>2090</v>
      </c>
      <c r="E1504" s="150">
        <v>5</v>
      </c>
      <c r="F1504" s="142">
        <v>42200</v>
      </c>
      <c r="G1504" s="143">
        <v>35462</v>
      </c>
      <c r="H1504" s="144">
        <v>6738</v>
      </c>
      <c r="I1504" s="140">
        <v>1</v>
      </c>
      <c r="J1504" s="114" t="str">
        <f t="shared" si="23"/>
        <v>INSERT INTO DOCUMENTOS (NRO_DOCUMENTO,FECHA_EMISION,TOTAL_BRUTO,TOTAL_NETO,TOTAL_IVA, ID_TIPO, RUT_EMPLEADO, ID_CLIENTE) VALUES(1500,TO_DATE('09-09-2025','DD-MM-YYYY'),42200,35462,6738,1,'14526149-K',5);</v>
      </c>
    </row>
    <row r="1505" spans="1:10">
      <c r="A1505" s="149"/>
      <c r="B1505" s="149">
        <v>1501</v>
      </c>
      <c r="C1505" s="118" t="s">
        <v>2414</v>
      </c>
      <c r="D1505" t="s">
        <v>2090</v>
      </c>
      <c r="E1505" s="150">
        <v>62</v>
      </c>
      <c r="F1505" s="142">
        <v>59200</v>
      </c>
      <c r="G1505" s="143">
        <v>49748</v>
      </c>
      <c r="H1505" s="144">
        <v>9452</v>
      </c>
      <c r="I1505" s="140">
        <v>1</v>
      </c>
      <c r="J1505" s="114" t="str">
        <f t="shared" si="23"/>
        <v>INSERT INTO DOCUMENTOS (NRO_DOCUMENTO,FECHA_EMISION,TOTAL_BRUTO,TOTAL_NETO,TOTAL_IVA, ID_TIPO, RUT_EMPLEADO, ID_CLIENTE) VALUES(1501,TO_DATE('09-09-2025','DD-MM-YYYY'),59200,49748,9452,1,'14526149-K',62);</v>
      </c>
    </row>
    <row r="1506" spans="1:10">
      <c r="A1506" s="149"/>
      <c r="B1506" s="149">
        <v>1502</v>
      </c>
      <c r="C1506" s="118" t="s">
        <v>2414</v>
      </c>
      <c r="D1506" t="s">
        <v>2090</v>
      </c>
      <c r="E1506" s="150">
        <v>110</v>
      </c>
      <c r="F1506" s="142">
        <v>3500</v>
      </c>
      <c r="G1506" s="143">
        <v>2941</v>
      </c>
      <c r="H1506" s="144">
        <v>559</v>
      </c>
      <c r="I1506" s="140">
        <v>1</v>
      </c>
      <c r="J1506" s="114" t="str">
        <f t="shared" si="23"/>
        <v>INSERT INTO DOCUMENTOS (NRO_DOCUMENTO,FECHA_EMISION,TOTAL_BRUTO,TOTAL_NETO,TOTAL_IVA, ID_TIPO, RUT_EMPLEADO, ID_CLIENTE) VALUES(1502,TO_DATE('09-09-2025','DD-MM-YYYY'),3500,2941,559,1,'14526149-K',110);</v>
      </c>
    </row>
    <row r="1507" spans="1:10">
      <c r="A1507" s="149"/>
      <c r="B1507" s="149">
        <v>1503</v>
      </c>
      <c r="C1507" s="118" t="s">
        <v>2414</v>
      </c>
      <c r="D1507" t="s">
        <v>2090</v>
      </c>
      <c r="E1507" s="150">
        <v>166</v>
      </c>
      <c r="F1507" s="142">
        <v>44000</v>
      </c>
      <c r="G1507" s="143">
        <v>36975</v>
      </c>
      <c r="H1507" s="144">
        <v>7025</v>
      </c>
      <c r="I1507" s="140">
        <v>1</v>
      </c>
      <c r="J1507" s="114" t="str">
        <f t="shared" si="23"/>
        <v>INSERT INTO DOCUMENTOS (NRO_DOCUMENTO,FECHA_EMISION,TOTAL_BRUTO,TOTAL_NETO,TOTAL_IVA, ID_TIPO, RUT_EMPLEADO, ID_CLIENTE) VALUES(1503,TO_DATE('09-09-2025','DD-MM-YYYY'),44000,36975,7025,1,'14526149-K',166);</v>
      </c>
    </row>
    <row r="1508" spans="1:10">
      <c r="A1508" s="149"/>
      <c r="B1508" s="149">
        <v>1504</v>
      </c>
      <c r="C1508" s="118" t="s">
        <v>2414</v>
      </c>
      <c r="D1508" t="s">
        <v>2090</v>
      </c>
      <c r="E1508" s="150">
        <v>268</v>
      </c>
      <c r="F1508" s="142">
        <v>85650</v>
      </c>
      <c r="G1508" s="143">
        <v>71977</v>
      </c>
      <c r="H1508" s="144">
        <v>13673</v>
      </c>
      <c r="I1508" s="140">
        <v>1</v>
      </c>
      <c r="J1508" s="114" t="str">
        <f t="shared" si="23"/>
        <v>INSERT INTO DOCUMENTOS (NRO_DOCUMENTO,FECHA_EMISION,TOTAL_BRUTO,TOTAL_NETO,TOTAL_IVA, ID_TIPO, RUT_EMPLEADO, ID_CLIENTE) VALUES(1504,TO_DATE('09-09-2025','DD-MM-YYYY'),85650,71977,13673,1,'14526149-K',268);</v>
      </c>
    </row>
    <row r="1509" spans="1:10">
      <c r="A1509" s="149"/>
      <c r="B1509" s="149">
        <v>1505</v>
      </c>
      <c r="C1509" s="118" t="s">
        <v>2414</v>
      </c>
      <c r="D1509" t="s">
        <v>2090</v>
      </c>
      <c r="E1509" s="150">
        <v>278</v>
      </c>
      <c r="F1509" s="142">
        <v>112100</v>
      </c>
      <c r="G1509" s="143">
        <v>94205</v>
      </c>
      <c r="H1509" s="144">
        <v>17895</v>
      </c>
      <c r="I1509" s="140">
        <v>1</v>
      </c>
      <c r="J1509" s="114" t="str">
        <f t="shared" si="23"/>
        <v>INSERT INTO DOCUMENTOS (NRO_DOCUMENTO,FECHA_EMISION,TOTAL_BRUTO,TOTAL_NETO,TOTAL_IVA, ID_TIPO, RUT_EMPLEADO, ID_CLIENTE) VALUES(1505,TO_DATE('09-09-2025','DD-MM-YYYY'),112100,94205,17895,1,'14526149-K',278);</v>
      </c>
    </row>
    <row r="1510" spans="1:10">
      <c r="A1510" s="149"/>
      <c r="B1510" s="149">
        <v>1506</v>
      </c>
      <c r="C1510" s="118" t="s">
        <v>2414</v>
      </c>
      <c r="D1510" t="s">
        <v>2090</v>
      </c>
      <c r="E1510" s="150">
        <v>476</v>
      </c>
      <c r="F1510" s="142">
        <v>6000</v>
      </c>
      <c r="G1510" s="143">
        <v>5042</v>
      </c>
      <c r="H1510" s="144">
        <v>958</v>
      </c>
      <c r="I1510" s="140">
        <v>1</v>
      </c>
      <c r="J1510" s="114" t="str">
        <f t="shared" si="23"/>
        <v>INSERT INTO DOCUMENTOS (NRO_DOCUMENTO,FECHA_EMISION,TOTAL_BRUTO,TOTAL_NETO,TOTAL_IVA, ID_TIPO, RUT_EMPLEADO, ID_CLIENTE) VALUES(1506,TO_DATE('09-09-2025','DD-MM-YYYY'),6000,5042,958,1,'14526149-K',476);</v>
      </c>
    </row>
    <row r="1511" spans="1:10">
      <c r="A1511" s="149"/>
      <c r="B1511" s="149">
        <v>1507</v>
      </c>
      <c r="C1511" s="151" t="s">
        <v>2415</v>
      </c>
      <c r="D1511" t="s">
        <v>2090</v>
      </c>
      <c r="E1511" s="150">
        <v>2</v>
      </c>
      <c r="F1511" s="142">
        <v>15000</v>
      </c>
      <c r="G1511" s="143">
        <v>12605</v>
      </c>
      <c r="H1511" s="144">
        <v>2395</v>
      </c>
      <c r="I1511" s="140">
        <v>1</v>
      </c>
      <c r="J1511" s="114" t="str">
        <f t="shared" si="23"/>
        <v>INSERT INTO DOCUMENTOS (NRO_DOCUMENTO,FECHA_EMISION,TOTAL_BRUTO,TOTAL_NETO,TOTAL_IVA, ID_TIPO, RUT_EMPLEADO, ID_CLIENTE) VALUES(1507,TO_DATE('10-09-2025','DD-MM-YYYY'),15000,12605,2395,1,'14526149-K',2);</v>
      </c>
    </row>
    <row r="1512" spans="1:10">
      <c r="A1512" s="149"/>
      <c r="B1512" s="149">
        <v>1508</v>
      </c>
      <c r="C1512" s="118" t="s">
        <v>2415</v>
      </c>
      <c r="D1512" t="s">
        <v>2090</v>
      </c>
      <c r="E1512" s="150">
        <v>188</v>
      </c>
      <c r="F1512" s="142">
        <v>20900</v>
      </c>
      <c r="G1512" s="143">
        <v>17563</v>
      </c>
      <c r="H1512" s="144">
        <v>3337</v>
      </c>
      <c r="I1512" s="140">
        <v>1</v>
      </c>
      <c r="J1512" s="114" t="str">
        <f t="shared" si="23"/>
        <v>INSERT INTO DOCUMENTOS (NRO_DOCUMENTO,FECHA_EMISION,TOTAL_BRUTO,TOTAL_NETO,TOTAL_IVA, ID_TIPO, RUT_EMPLEADO, ID_CLIENTE) VALUES(1508,TO_DATE('10-09-2025','DD-MM-YYYY'),20900,17563,3337,1,'14526149-K',188);</v>
      </c>
    </row>
    <row r="1513" spans="1:10">
      <c r="A1513" s="149"/>
      <c r="B1513" s="149">
        <v>1509</v>
      </c>
      <c r="C1513" s="118" t="s">
        <v>2415</v>
      </c>
      <c r="D1513" t="s">
        <v>2090</v>
      </c>
      <c r="E1513" s="150">
        <v>278</v>
      </c>
      <c r="F1513" s="142">
        <v>13600</v>
      </c>
      <c r="G1513" s="143">
        <v>11428</v>
      </c>
      <c r="H1513" s="144">
        <v>2172</v>
      </c>
      <c r="I1513" s="140">
        <v>1</v>
      </c>
      <c r="J1513" s="114" t="str">
        <f t="shared" si="23"/>
        <v>INSERT INTO DOCUMENTOS (NRO_DOCUMENTO,FECHA_EMISION,TOTAL_BRUTO,TOTAL_NETO,TOTAL_IVA, ID_TIPO, RUT_EMPLEADO, ID_CLIENTE) VALUES(1509,TO_DATE('10-09-2025','DD-MM-YYYY'),13600,11428,2172,1,'14526149-K',278);</v>
      </c>
    </row>
    <row r="1514" spans="1:10">
      <c r="A1514" s="149"/>
      <c r="B1514" s="149">
        <v>1510</v>
      </c>
      <c r="C1514" s="118" t="s">
        <v>2415</v>
      </c>
      <c r="D1514" t="s">
        <v>2090</v>
      </c>
      <c r="E1514" s="150">
        <v>345</v>
      </c>
      <c r="F1514" s="142">
        <v>14000</v>
      </c>
      <c r="G1514" s="143">
        <v>11765</v>
      </c>
      <c r="H1514" s="144">
        <v>2235</v>
      </c>
      <c r="I1514" s="140">
        <v>1</v>
      </c>
      <c r="J1514" s="114" t="str">
        <f t="shared" si="23"/>
        <v>INSERT INTO DOCUMENTOS (NRO_DOCUMENTO,FECHA_EMISION,TOTAL_BRUTO,TOTAL_NETO,TOTAL_IVA, ID_TIPO, RUT_EMPLEADO, ID_CLIENTE) VALUES(1510,TO_DATE('10-09-2025','DD-MM-YYYY'),14000,11765,2235,1,'14526149-K',345);</v>
      </c>
    </row>
    <row r="1515" spans="1:10">
      <c r="A1515" s="149"/>
      <c r="B1515" s="149">
        <v>1511</v>
      </c>
      <c r="C1515" s="118" t="s">
        <v>2415</v>
      </c>
      <c r="D1515" t="s">
        <v>2090</v>
      </c>
      <c r="E1515" s="150">
        <v>363</v>
      </c>
      <c r="F1515" s="142">
        <v>21700</v>
      </c>
      <c r="G1515" s="143">
        <v>18236</v>
      </c>
      <c r="H1515" s="144">
        <v>3464</v>
      </c>
      <c r="I1515" s="140">
        <v>1</v>
      </c>
      <c r="J1515" s="114" t="str">
        <f t="shared" si="23"/>
        <v>INSERT INTO DOCUMENTOS (NRO_DOCUMENTO,FECHA_EMISION,TOTAL_BRUTO,TOTAL_NETO,TOTAL_IVA, ID_TIPO, RUT_EMPLEADO, ID_CLIENTE) VALUES(1511,TO_DATE('10-09-2025','DD-MM-YYYY'),21700,18236,3464,1,'14526149-K',363);</v>
      </c>
    </row>
    <row r="1516" spans="1:10">
      <c r="A1516" s="149"/>
      <c r="B1516" s="149">
        <v>1512</v>
      </c>
      <c r="C1516" s="118" t="s">
        <v>2415</v>
      </c>
      <c r="D1516" t="s">
        <v>2090</v>
      </c>
      <c r="E1516" s="150">
        <v>387</v>
      </c>
      <c r="F1516" s="142">
        <v>8200</v>
      </c>
      <c r="G1516" s="143">
        <v>6891</v>
      </c>
      <c r="H1516" s="144">
        <v>1309</v>
      </c>
      <c r="I1516" s="140">
        <v>1</v>
      </c>
      <c r="J1516" s="114" t="str">
        <f t="shared" si="23"/>
        <v>INSERT INTO DOCUMENTOS (NRO_DOCUMENTO,FECHA_EMISION,TOTAL_BRUTO,TOTAL_NETO,TOTAL_IVA, ID_TIPO, RUT_EMPLEADO, ID_CLIENTE) VALUES(1512,TO_DATE('10-09-2025','DD-MM-YYYY'),8200,6891,1309,1,'14526149-K',387);</v>
      </c>
    </row>
    <row r="1517" spans="1:10">
      <c r="A1517" s="149"/>
      <c r="B1517" s="149">
        <v>1513</v>
      </c>
      <c r="C1517" s="151" t="s">
        <v>2416</v>
      </c>
      <c r="D1517" t="s">
        <v>2090</v>
      </c>
      <c r="E1517" s="150">
        <v>230</v>
      </c>
      <c r="F1517" s="142">
        <v>8200</v>
      </c>
      <c r="G1517" s="143">
        <v>6891</v>
      </c>
      <c r="H1517" s="144">
        <v>1309</v>
      </c>
      <c r="I1517" s="140">
        <v>1</v>
      </c>
      <c r="J1517" s="114" t="str">
        <f t="shared" si="23"/>
        <v>INSERT INTO DOCUMENTOS (NRO_DOCUMENTO,FECHA_EMISION,TOTAL_BRUTO,TOTAL_NETO,TOTAL_IVA, ID_TIPO, RUT_EMPLEADO, ID_CLIENTE) VALUES(1513,TO_DATE('12-09-2025','DD-MM-YYYY'),8200,6891,1309,1,'14526149-K',230);</v>
      </c>
    </row>
    <row r="1518" spans="1:10">
      <c r="A1518" s="149"/>
      <c r="B1518" s="149">
        <v>1514</v>
      </c>
      <c r="C1518" s="118" t="s">
        <v>2416</v>
      </c>
      <c r="D1518" t="s">
        <v>2090</v>
      </c>
      <c r="E1518" s="150">
        <v>339</v>
      </c>
      <c r="F1518" s="142">
        <v>27000</v>
      </c>
      <c r="G1518" s="143">
        <v>22690</v>
      </c>
      <c r="H1518" s="144">
        <v>4310</v>
      </c>
      <c r="I1518" s="140">
        <v>1</v>
      </c>
      <c r="J1518" s="114" t="str">
        <f t="shared" si="23"/>
        <v>INSERT INTO DOCUMENTOS (NRO_DOCUMENTO,FECHA_EMISION,TOTAL_BRUTO,TOTAL_NETO,TOTAL_IVA, ID_TIPO, RUT_EMPLEADO, ID_CLIENTE) VALUES(1514,TO_DATE('12-09-2025','DD-MM-YYYY'),27000,22690,4310,1,'14526149-K',339);</v>
      </c>
    </row>
    <row r="1519" spans="1:10">
      <c r="A1519" s="149"/>
      <c r="B1519" s="149">
        <v>1515</v>
      </c>
      <c r="C1519" s="151" t="s">
        <v>2417</v>
      </c>
      <c r="D1519" t="s">
        <v>2090</v>
      </c>
      <c r="E1519" s="150">
        <v>2</v>
      </c>
      <c r="F1519" s="142">
        <v>38000</v>
      </c>
      <c r="G1519" s="143">
        <v>31933</v>
      </c>
      <c r="H1519" s="144">
        <v>6067</v>
      </c>
      <c r="I1519" s="140">
        <v>1</v>
      </c>
      <c r="J1519" s="114" t="str">
        <f t="shared" si="23"/>
        <v>INSERT INTO DOCUMENTOS (NRO_DOCUMENTO,FECHA_EMISION,TOTAL_BRUTO,TOTAL_NETO,TOTAL_IVA, ID_TIPO, RUT_EMPLEADO, ID_CLIENTE) VALUES(1515,TO_DATE('13-09-2025','DD-MM-YYYY'),38000,31933,6067,1,'14526149-K',2);</v>
      </c>
    </row>
    <row r="1520" spans="1:10">
      <c r="A1520" s="149"/>
      <c r="B1520" s="149">
        <v>1516</v>
      </c>
      <c r="C1520" s="118" t="s">
        <v>2417</v>
      </c>
      <c r="D1520" t="s">
        <v>2090</v>
      </c>
      <c r="E1520" s="150">
        <v>4</v>
      </c>
      <c r="F1520" s="142">
        <v>8200</v>
      </c>
      <c r="G1520" s="143">
        <v>6891</v>
      </c>
      <c r="H1520" s="144">
        <v>1309</v>
      </c>
      <c r="I1520" s="140">
        <v>1</v>
      </c>
      <c r="J1520" s="114" t="str">
        <f t="shared" si="23"/>
        <v>INSERT INTO DOCUMENTOS (NRO_DOCUMENTO,FECHA_EMISION,TOTAL_BRUTO,TOTAL_NETO,TOTAL_IVA, ID_TIPO, RUT_EMPLEADO, ID_CLIENTE) VALUES(1516,TO_DATE('13-09-2025','DD-MM-YYYY'),8200,6891,1309,1,'14526149-K',4);</v>
      </c>
    </row>
    <row r="1521" spans="1:10">
      <c r="A1521" s="149"/>
      <c r="B1521" s="149">
        <v>1517</v>
      </c>
      <c r="C1521" s="118" t="s">
        <v>2417</v>
      </c>
      <c r="D1521" t="s">
        <v>2090</v>
      </c>
      <c r="E1521" s="150">
        <v>72</v>
      </c>
      <c r="F1521" s="142">
        <v>9000</v>
      </c>
      <c r="G1521" s="143">
        <v>7563</v>
      </c>
      <c r="H1521" s="144">
        <v>1437</v>
      </c>
      <c r="I1521" s="140">
        <v>1</v>
      </c>
      <c r="J1521" s="114" t="str">
        <f t="shared" si="23"/>
        <v>INSERT INTO DOCUMENTOS (NRO_DOCUMENTO,FECHA_EMISION,TOTAL_BRUTO,TOTAL_NETO,TOTAL_IVA, ID_TIPO, RUT_EMPLEADO, ID_CLIENTE) VALUES(1517,TO_DATE('13-09-2025','DD-MM-YYYY'),9000,7563,1437,1,'14526149-K',72);</v>
      </c>
    </row>
    <row r="1522" spans="1:10">
      <c r="A1522" s="149"/>
      <c r="B1522" s="149">
        <v>1518</v>
      </c>
      <c r="C1522" s="118" t="s">
        <v>2417</v>
      </c>
      <c r="D1522" t="s">
        <v>2090</v>
      </c>
      <c r="E1522" s="150">
        <v>82</v>
      </c>
      <c r="F1522" s="142">
        <v>11000</v>
      </c>
      <c r="G1522" s="143">
        <v>9244</v>
      </c>
      <c r="H1522" s="144">
        <v>1756</v>
      </c>
      <c r="I1522" s="140">
        <v>1</v>
      </c>
      <c r="J1522" s="114" t="str">
        <f t="shared" si="23"/>
        <v>INSERT INTO DOCUMENTOS (NRO_DOCUMENTO,FECHA_EMISION,TOTAL_BRUTO,TOTAL_NETO,TOTAL_IVA, ID_TIPO, RUT_EMPLEADO, ID_CLIENTE) VALUES(1518,TO_DATE('13-09-2025','DD-MM-YYYY'),11000,9244,1756,1,'14526149-K',82);</v>
      </c>
    </row>
    <row r="1523" spans="1:10">
      <c r="A1523" s="149"/>
      <c r="B1523" s="149">
        <v>1519</v>
      </c>
      <c r="C1523" s="118" t="s">
        <v>2417</v>
      </c>
      <c r="D1523" t="s">
        <v>2090</v>
      </c>
      <c r="E1523" s="150">
        <v>98</v>
      </c>
      <c r="F1523" s="142">
        <v>25200</v>
      </c>
      <c r="G1523" s="143">
        <v>21177</v>
      </c>
      <c r="H1523" s="144">
        <v>4023</v>
      </c>
      <c r="I1523" s="140">
        <v>1</v>
      </c>
      <c r="J1523" s="114" t="str">
        <f t="shared" si="23"/>
        <v>INSERT INTO DOCUMENTOS (NRO_DOCUMENTO,FECHA_EMISION,TOTAL_BRUTO,TOTAL_NETO,TOTAL_IVA, ID_TIPO, RUT_EMPLEADO, ID_CLIENTE) VALUES(1519,TO_DATE('13-09-2025','DD-MM-YYYY'),25200,21177,4023,1,'14526149-K',98);</v>
      </c>
    </row>
    <row r="1524" spans="1:10">
      <c r="A1524" s="149"/>
      <c r="B1524" s="149">
        <v>1520</v>
      </c>
      <c r="C1524" s="118" t="s">
        <v>2417</v>
      </c>
      <c r="D1524" t="s">
        <v>2090</v>
      </c>
      <c r="E1524" s="150">
        <v>111</v>
      </c>
      <c r="F1524" s="142">
        <v>21100</v>
      </c>
      <c r="G1524" s="143">
        <v>17732</v>
      </c>
      <c r="H1524" s="144">
        <v>3368</v>
      </c>
      <c r="I1524" s="140">
        <v>1</v>
      </c>
      <c r="J1524" s="114" t="str">
        <f t="shared" si="23"/>
        <v>INSERT INTO DOCUMENTOS (NRO_DOCUMENTO,FECHA_EMISION,TOTAL_BRUTO,TOTAL_NETO,TOTAL_IVA, ID_TIPO, RUT_EMPLEADO, ID_CLIENTE) VALUES(1520,TO_DATE('13-09-2025','DD-MM-YYYY'),21100,17732,3368,1,'14526149-K',111);</v>
      </c>
    </row>
    <row r="1525" spans="1:10">
      <c r="A1525" s="149"/>
      <c r="B1525" s="149">
        <v>1521</v>
      </c>
      <c r="C1525" s="118" t="s">
        <v>2417</v>
      </c>
      <c r="D1525" t="s">
        <v>2090</v>
      </c>
      <c r="E1525" s="150">
        <v>198</v>
      </c>
      <c r="F1525" s="142">
        <v>11000</v>
      </c>
      <c r="G1525" s="143">
        <v>9244</v>
      </c>
      <c r="H1525" s="144">
        <v>1756</v>
      </c>
      <c r="I1525" s="140">
        <v>1</v>
      </c>
      <c r="J1525" s="114" t="str">
        <f t="shared" si="23"/>
        <v>INSERT INTO DOCUMENTOS (NRO_DOCUMENTO,FECHA_EMISION,TOTAL_BRUTO,TOTAL_NETO,TOTAL_IVA, ID_TIPO, RUT_EMPLEADO, ID_CLIENTE) VALUES(1521,TO_DATE('13-09-2025','DD-MM-YYYY'),11000,9244,1756,1,'14526149-K',198);</v>
      </c>
    </row>
    <row r="1526" spans="1:10">
      <c r="A1526" s="149"/>
      <c r="B1526" s="149">
        <v>1522</v>
      </c>
      <c r="C1526" s="118" t="s">
        <v>2417</v>
      </c>
      <c r="D1526" t="s">
        <v>2090</v>
      </c>
      <c r="E1526" s="150">
        <v>200</v>
      </c>
      <c r="F1526" s="142">
        <v>19000</v>
      </c>
      <c r="G1526" s="143">
        <v>15967</v>
      </c>
      <c r="H1526" s="144">
        <v>3033</v>
      </c>
      <c r="I1526" s="140">
        <v>1</v>
      </c>
      <c r="J1526" s="114" t="str">
        <f t="shared" si="23"/>
        <v>INSERT INTO DOCUMENTOS (NRO_DOCUMENTO,FECHA_EMISION,TOTAL_BRUTO,TOTAL_NETO,TOTAL_IVA, ID_TIPO, RUT_EMPLEADO, ID_CLIENTE) VALUES(1522,TO_DATE('13-09-2025','DD-MM-YYYY'),19000,15967,3033,1,'14526149-K',200);</v>
      </c>
    </row>
    <row r="1527" spans="1:10">
      <c r="A1527" s="149"/>
      <c r="B1527" s="149">
        <v>1523</v>
      </c>
      <c r="C1527" s="118" t="s">
        <v>2417</v>
      </c>
      <c r="D1527" t="s">
        <v>2090</v>
      </c>
      <c r="E1527" s="150">
        <v>202</v>
      </c>
      <c r="F1527" s="142">
        <v>17000</v>
      </c>
      <c r="G1527" s="143">
        <v>14286</v>
      </c>
      <c r="H1527" s="144">
        <v>2714</v>
      </c>
      <c r="I1527" s="140">
        <v>1</v>
      </c>
      <c r="J1527" s="114" t="str">
        <f t="shared" si="23"/>
        <v>INSERT INTO DOCUMENTOS (NRO_DOCUMENTO,FECHA_EMISION,TOTAL_BRUTO,TOTAL_NETO,TOTAL_IVA, ID_TIPO, RUT_EMPLEADO, ID_CLIENTE) VALUES(1523,TO_DATE('13-09-2025','DD-MM-YYYY'),17000,14286,2714,1,'14526149-K',202);</v>
      </c>
    </row>
    <row r="1528" spans="1:10">
      <c r="A1528" s="149"/>
      <c r="B1528" s="149">
        <v>1524</v>
      </c>
      <c r="C1528" s="118" t="s">
        <v>2417</v>
      </c>
      <c r="D1528" t="s">
        <v>2090</v>
      </c>
      <c r="E1528" s="150">
        <v>254</v>
      </c>
      <c r="F1528" s="142">
        <v>48100</v>
      </c>
      <c r="G1528" s="143">
        <v>40421</v>
      </c>
      <c r="H1528" s="144">
        <v>7679</v>
      </c>
      <c r="I1528" s="140">
        <v>1</v>
      </c>
      <c r="J1528" s="114" t="str">
        <f t="shared" si="23"/>
        <v>INSERT INTO DOCUMENTOS (NRO_DOCUMENTO,FECHA_EMISION,TOTAL_BRUTO,TOTAL_NETO,TOTAL_IVA, ID_TIPO, RUT_EMPLEADO, ID_CLIENTE) VALUES(1524,TO_DATE('13-09-2025','DD-MM-YYYY'),48100,40421,7679,1,'14526149-K',254);</v>
      </c>
    </row>
    <row r="1529" spans="1:10">
      <c r="A1529" s="149"/>
      <c r="B1529" s="149">
        <v>1525</v>
      </c>
      <c r="C1529" s="118" t="s">
        <v>2417</v>
      </c>
      <c r="D1529" t="s">
        <v>2090</v>
      </c>
      <c r="E1529" s="150">
        <v>276</v>
      </c>
      <c r="F1529" s="142">
        <v>8200</v>
      </c>
      <c r="G1529" s="143">
        <v>6891</v>
      </c>
      <c r="H1529" s="144">
        <v>1309</v>
      </c>
      <c r="I1529" s="140">
        <v>1</v>
      </c>
      <c r="J1529" s="114" t="str">
        <f t="shared" si="23"/>
        <v>INSERT INTO DOCUMENTOS (NRO_DOCUMENTO,FECHA_EMISION,TOTAL_BRUTO,TOTAL_NETO,TOTAL_IVA, ID_TIPO, RUT_EMPLEADO, ID_CLIENTE) VALUES(1525,TO_DATE('13-09-2025','DD-MM-YYYY'),8200,6891,1309,1,'14526149-K',276);</v>
      </c>
    </row>
    <row r="1530" spans="1:10">
      <c r="A1530" s="149"/>
      <c r="B1530" s="149">
        <v>1526</v>
      </c>
      <c r="C1530" s="118" t="s">
        <v>2417</v>
      </c>
      <c r="D1530" t="s">
        <v>2090</v>
      </c>
      <c r="E1530" s="150">
        <v>315</v>
      </c>
      <c r="F1530" s="142">
        <v>8200</v>
      </c>
      <c r="G1530" s="143">
        <v>6891</v>
      </c>
      <c r="H1530" s="144">
        <v>1309</v>
      </c>
      <c r="I1530" s="140">
        <v>1</v>
      </c>
      <c r="J1530" s="114" t="str">
        <f t="shared" si="23"/>
        <v>INSERT INTO DOCUMENTOS (NRO_DOCUMENTO,FECHA_EMISION,TOTAL_BRUTO,TOTAL_NETO,TOTAL_IVA, ID_TIPO, RUT_EMPLEADO, ID_CLIENTE) VALUES(1526,TO_DATE('13-09-2025','DD-MM-YYYY'),8200,6891,1309,1,'14526149-K',315);</v>
      </c>
    </row>
    <row r="1531" spans="1:10">
      <c r="A1531" s="149"/>
      <c r="B1531" s="149">
        <v>1527</v>
      </c>
      <c r="C1531" s="118" t="s">
        <v>2417</v>
      </c>
      <c r="D1531" t="s">
        <v>2090</v>
      </c>
      <c r="E1531" s="150">
        <v>374</v>
      </c>
      <c r="F1531" s="142">
        <v>11000</v>
      </c>
      <c r="G1531" s="143">
        <v>9244</v>
      </c>
      <c r="H1531" s="144">
        <v>1756</v>
      </c>
      <c r="I1531" s="140">
        <v>1</v>
      </c>
      <c r="J1531" s="114" t="str">
        <f t="shared" si="23"/>
        <v>INSERT INTO DOCUMENTOS (NRO_DOCUMENTO,FECHA_EMISION,TOTAL_BRUTO,TOTAL_NETO,TOTAL_IVA, ID_TIPO, RUT_EMPLEADO, ID_CLIENTE) VALUES(1527,TO_DATE('13-09-2025','DD-MM-YYYY'),11000,9244,1756,1,'14526149-K',374);</v>
      </c>
    </row>
    <row r="1532" spans="1:10">
      <c r="A1532" s="149"/>
      <c r="B1532" s="149">
        <v>1528</v>
      </c>
      <c r="C1532" s="118" t="s">
        <v>2417</v>
      </c>
      <c r="D1532" t="s">
        <v>2090</v>
      </c>
      <c r="E1532" s="150">
        <v>382</v>
      </c>
      <c r="F1532" s="142">
        <v>8000</v>
      </c>
      <c r="G1532" s="143">
        <v>6723</v>
      </c>
      <c r="H1532" s="144">
        <v>1277</v>
      </c>
      <c r="I1532" s="140">
        <v>1</v>
      </c>
      <c r="J1532" s="114" t="str">
        <f t="shared" si="23"/>
        <v>INSERT INTO DOCUMENTOS (NRO_DOCUMENTO,FECHA_EMISION,TOTAL_BRUTO,TOTAL_NETO,TOTAL_IVA, ID_TIPO, RUT_EMPLEADO, ID_CLIENTE) VALUES(1528,TO_DATE('13-09-2025','DD-MM-YYYY'),8000,6723,1277,1,'14526149-K',382);</v>
      </c>
    </row>
    <row r="1533" spans="1:10">
      <c r="A1533" s="149"/>
      <c r="B1533" s="149">
        <v>1529</v>
      </c>
      <c r="C1533" s="118" t="s">
        <v>2417</v>
      </c>
      <c r="D1533" t="s">
        <v>2090</v>
      </c>
      <c r="E1533" s="150">
        <v>402</v>
      </c>
      <c r="F1533" s="142">
        <v>4000</v>
      </c>
      <c r="G1533" s="143">
        <v>3362</v>
      </c>
      <c r="H1533" s="144">
        <v>638</v>
      </c>
      <c r="I1533" s="140">
        <v>1</v>
      </c>
      <c r="J1533" s="114" t="str">
        <f t="shared" si="23"/>
        <v>INSERT INTO DOCUMENTOS (NRO_DOCUMENTO,FECHA_EMISION,TOTAL_BRUTO,TOTAL_NETO,TOTAL_IVA, ID_TIPO, RUT_EMPLEADO, ID_CLIENTE) VALUES(1529,TO_DATE('13-09-2025','DD-MM-YYYY'),4000,3362,638,1,'14526149-K',402);</v>
      </c>
    </row>
    <row r="1534" spans="1:10">
      <c r="A1534" s="149"/>
      <c r="B1534" s="149">
        <v>1530</v>
      </c>
      <c r="C1534" s="118" t="s">
        <v>2417</v>
      </c>
      <c r="D1534" t="s">
        <v>2090</v>
      </c>
      <c r="E1534" s="150">
        <v>411</v>
      </c>
      <c r="F1534" s="142">
        <v>9000</v>
      </c>
      <c r="G1534" s="143">
        <v>7563</v>
      </c>
      <c r="H1534" s="144">
        <v>1437</v>
      </c>
      <c r="I1534" s="140">
        <v>1</v>
      </c>
      <c r="J1534" s="114" t="str">
        <f t="shared" si="23"/>
        <v>INSERT INTO DOCUMENTOS (NRO_DOCUMENTO,FECHA_EMISION,TOTAL_BRUTO,TOTAL_NETO,TOTAL_IVA, ID_TIPO, RUT_EMPLEADO, ID_CLIENTE) VALUES(1530,TO_DATE('13-09-2025','DD-MM-YYYY'),9000,7563,1437,1,'14526149-K',411);</v>
      </c>
    </row>
    <row r="1535" spans="1:10">
      <c r="A1535" s="149"/>
      <c r="B1535" s="149">
        <v>1531</v>
      </c>
      <c r="C1535" s="118" t="s">
        <v>2417</v>
      </c>
      <c r="D1535" t="s">
        <v>2090</v>
      </c>
      <c r="E1535" s="150">
        <v>446</v>
      </c>
      <c r="F1535" s="142">
        <v>12000</v>
      </c>
      <c r="G1535" s="143">
        <v>10084</v>
      </c>
      <c r="H1535" s="144">
        <v>1916</v>
      </c>
      <c r="I1535" s="140">
        <v>1</v>
      </c>
      <c r="J1535" s="114" t="str">
        <f t="shared" si="23"/>
        <v>INSERT INTO DOCUMENTOS (NRO_DOCUMENTO,FECHA_EMISION,TOTAL_BRUTO,TOTAL_NETO,TOTAL_IVA, ID_TIPO, RUT_EMPLEADO, ID_CLIENTE) VALUES(1531,TO_DATE('13-09-2025','DD-MM-YYYY'),12000,10084,1916,1,'14526149-K',446);</v>
      </c>
    </row>
    <row r="1536" spans="1:10">
      <c r="A1536" s="149"/>
      <c r="B1536" s="149">
        <v>1532</v>
      </c>
      <c r="C1536" s="118" t="s">
        <v>2417</v>
      </c>
      <c r="D1536" t="s">
        <v>2090</v>
      </c>
      <c r="E1536" s="150">
        <v>475</v>
      </c>
      <c r="F1536" s="142">
        <v>13000</v>
      </c>
      <c r="G1536" s="143">
        <v>10924</v>
      </c>
      <c r="H1536" s="144">
        <v>2076</v>
      </c>
      <c r="I1536" s="140">
        <v>1</v>
      </c>
      <c r="J1536" s="114" t="str">
        <f t="shared" si="23"/>
        <v>INSERT INTO DOCUMENTOS (NRO_DOCUMENTO,FECHA_EMISION,TOTAL_BRUTO,TOTAL_NETO,TOTAL_IVA, ID_TIPO, RUT_EMPLEADO, ID_CLIENTE) VALUES(1532,TO_DATE('13-09-2025','DD-MM-YYYY'),13000,10924,2076,1,'14526149-K',475);</v>
      </c>
    </row>
    <row r="1537" spans="1:10">
      <c r="A1537" s="149"/>
      <c r="B1537" s="149">
        <v>1533</v>
      </c>
      <c r="C1537" s="151" t="s">
        <v>2418</v>
      </c>
      <c r="D1537" t="s">
        <v>2090</v>
      </c>
      <c r="E1537" s="150">
        <v>3</v>
      </c>
      <c r="F1537" s="142">
        <v>16200</v>
      </c>
      <c r="G1537" s="143">
        <v>13614</v>
      </c>
      <c r="H1537" s="144">
        <v>2586</v>
      </c>
      <c r="I1537" s="140">
        <v>1</v>
      </c>
      <c r="J1537" s="114" t="str">
        <f t="shared" si="23"/>
        <v>INSERT INTO DOCUMENTOS (NRO_DOCUMENTO,FECHA_EMISION,TOTAL_BRUTO,TOTAL_NETO,TOTAL_IVA, ID_TIPO, RUT_EMPLEADO, ID_CLIENTE) VALUES(1533,TO_DATE('14-09-2025','DD-MM-YYYY'),16200,13614,2586,1,'14526149-K',3);</v>
      </c>
    </row>
    <row r="1538" spans="1:10">
      <c r="A1538" s="149"/>
      <c r="B1538" s="149">
        <v>1534</v>
      </c>
      <c r="C1538" s="118" t="s">
        <v>2418</v>
      </c>
      <c r="D1538" t="s">
        <v>2090</v>
      </c>
      <c r="E1538" s="150">
        <v>166</v>
      </c>
      <c r="F1538" s="142">
        <v>43000</v>
      </c>
      <c r="G1538" s="143">
        <v>36135</v>
      </c>
      <c r="H1538" s="144">
        <v>6865</v>
      </c>
      <c r="I1538" s="140">
        <v>1</v>
      </c>
      <c r="J1538" s="114" t="str">
        <f t="shared" si="23"/>
        <v>INSERT INTO DOCUMENTOS (NRO_DOCUMENTO,FECHA_EMISION,TOTAL_BRUTO,TOTAL_NETO,TOTAL_IVA, ID_TIPO, RUT_EMPLEADO, ID_CLIENTE) VALUES(1534,TO_DATE('14-09-2025','DD-MM-YYYY'),43000,36135,6865,1,'14526149-K',166);</v>
      </c>
    </row>
    <row r="1539" spans="1:10">
      <c r="A1539" s="149"/>
      <c r="B1539" s="149">
        <v>1535</v>
      </c>
      <c r="C1539" s="118" t="s">
        <v>2418</v>
      </c>
      <c r="D1539" t="s">
        <v>2090</v>
      </c>
      <c r="E1539" s="150">
        <v>319</v>
      </c>
      <c r="F1539" s="142">
        <v>31500</v>
      </c>
      <c r="G1539" s="143">
        <v>26471</v>
      </c>
      <c r="H1539" s="144">
        <v>5029</v>
      </c>
      <c r="I1539" s="140">
        <v>1</v>
      </c>
      <c r="J1539" s="114" t="str">
        <f t="shared" si="23"/>
        <v>INSERT INTO DOCUMENTOS (NRO_DOCUMENTO,FECHA_EMISION,TOTAL_BRUTO,TOTAL_NETO,TOTAL_IVA, ID_TIPO, RUT_EMPLEADO, ID_CLIENTE) VALUES(1535,TO_DATE('14-09-2025','DD-MM-YYYY'),31500,26471,5029,1,'14526149-K',319);</v>
      </c>
    </row>
    <row r="1540" spans="1:10">
      <c r="A1540" s="149"/>
      <c r="B1540" s="149">
        <v>1536</v>
      </c>
      <c r="C1540" s="118" t="s">
        <v>2418</v>
      </c>
      <c r="D1540" t="s">
        <v>2090</v>
      </c>
      <c r="E1540" s="150">
        <v>386</v>
      </c>
      <c r="F1540" s="142">
        <v>14000</v>
      </c>
      <c r="G1540" s="143">
        <v>11765</v>
      </c>
      <c r="H1540" s="144">
        <v>2235</v>
      </c>
      <c r="I1540" s="140">
        <v>1</v>
      </c>
      <c r="J1540" s="114" t="str">
        <f t="shared" si="23"/>
        <v>INSERT INTO DOCUMENTOS (NRO_DOCUMENTO,FECHA_EMISION,TOTAL_BRUTO,TOTAL_NETO,TOTAL_IVA, ID_TIPO, RUT_EMPLEADO, ID_CLIENTE) VALUES(1536,TO_DATE('14-09-2025','DD-MM-YYYY'),14000,11765,2235,1,'14526149-K',386);</v>
      </c>
    </row>
    <row r="1541" spans="1:10">
      <c r="A1541" s="149"/>
      <c r="B1541" s="149">
        <v>1537</v>
      </c>
      <c r="C1541" s="118" t="s">
        <v>2418</v>
      </c>
      <c r="D1541" t="s">
        <v>2090</v>
      </c>
      <c r="E1541" s="150">
        <v>407</v>
      </c>
      <c r="F1541" s="142">
        <v>23500</v>
      </c>
      <c r="G1541" s="143">
        <v>19748</v>
      </c>
      <c r="H1541" s="144">
        <v>3752</v>
      </c>
      <c r="I1541" s="140">
        <v>1</v>
      </c>
      <c r="J1541" s="114" t="str">
        <f t="shared" si="23"/>
        <v>INSERT INTO DOCUMENTOS (NRO_DOCUMENTO,FECHA_EMISION,TOTAL_BRUTO,TOTAL_NETO,TOTAL_IVA, ID_TIPO, RUT_EMPLEADO, ID_CLIENTE) VALUES(1537,TO_DATE('14-09-2025','DD-MM-YYYY'),23500,19748,3752,1,'14526149-K',407);</v>
      </c>
    </row>
    <row r="1542" spans="1:10">
      <c r="A1542" s="149"/>
      <c r="B1542" s="149">
        <v>1538</v>
      </c>
      <c r="C1542" s="118" t="s">
        <v>2418</v>
      </c>
      <c r="D1542" t="s">
        <v>2090</v>
      </c>
      <c r="E1542" s="150">
        <v>416</v>
      </c>
      <c r="F1542" s="142">
        <v>8100</v>
      </c>
      <c r="G1542" s="143">
        <v>6806</v>
      </c>
      <c r="H1542" s="144">
        <v>1294</v>
      </c>
      <c r="I1542" s="140">
        <v>1</v>
      </c>
      <c r="J1542" s="114" t="str">
        <f t="shared" ref="J1542:J1605" si="24">CONCATENATE("INSERT INTO DOCUMENTOS (NRO_DOCUMENTO,FECHA_EMISION,TOTAL_BRUTO,TOTAL_NETO,TOTAL_IVA, ID_TIPO, RUT_EMPLEADO, ID_CLIENTE) VALUES(",B1542,",","TO_DATE('",C1542,"'",",'DD-MM-YYYY'),",F1542,",",G1542,",",H1542,",",I1542,",","'",D1542,"',",E1542,");")</f>
        <v>INSERT INTO DOCUMENTOS (NRO_DOCUMENTO,FECHA_EMISION,TOTAL_BRUTO,TOTAL_NETO,TOTAL_IVA, ID_TIPO, RUT_EMPLEADO, ID_CLIENTE) VALUES(1538,TO_DATE('14-09-2025','DD-MM-YYYY'),8100,6806,1294,1,'14526149-K',416);</v>
      </c>
    </row>
    <row r="1543" spans="1:10">
      <c r="A1543" s="149"/>
      <c r="B1543" s="149">
        <v>1539</v>
      </c>
      <c r="C1543" s="118" t="s">
        <v>2418</v>
      </c>
      <c r="D1543" t="s">
        <v>2090</v>
      </c>
      <c r="E1543" s="150">
        <v>476</v>
      </c>
      <c r="F1543" s="142">
        <v>8000</v>
      </c>
      <c r="G1543" s="143">
        <v>6723</v>
      </c>
      <c r="H1543" s="144">
        <v>1277</v>
      </c>
      <c r="I1543" s="140">
        <v>1</v>
      </c>
      <c r="J1543" s="114" t="str">
        <f t="shared" si="24"/>
        <v>INSERT INTO DOCUMENTOS (NRO_DOCUMENTO,FECHA_EMISION,TOTAL_BRUTO,TOTAL_NETO,TOTAL_IVA, ID_TIPO, RUT_EMPLEADO, ID_CLIENTE) VALUES(1539,TO_DATE('14-09-2025','DD-MM-YYYY'),8000,6723,1277,1,'14526149-K',476);</v>
      </c>
    </row>
    <row r="1544" spans="1:10">
      <c r="A1544" s="149"/>
      <c r="B1544" s="149">
        <v>1540</v>
      </c>
      <c r="C1544" s="151" t="s">
        <v>2419</v>
      </c>
      <c r="D1544" t="s">
        <v>2090</v>
      </c>
      <c r="E1544" s="150">
        <v>8</v>
      </c>
      <c r="F1544" s="142">
        <v>32800</v>
      </c>
      <c r="G1544" s="143">
        <v>27563</v>
      </c>
      <c r="H1544" s="144">
        <v>5237</v>
      </c>
      <c r="I1544" s="140">
        <v>1</v>
      </c>
      <c r="J1544" s="114" t="str">
        <f t="shared" si="24"/>
        <v>INSERT INTO DOCUMENTOS (NRO_DOCUMENTO,FECHA_EMISION,TOTAL_BRUTO,TOTAL_NETO,TOTAL_IVA, ID_TIPO, RUT_EMPLEADO, ID_CLIENTE) VALUES(1540,TO_DATE('15-09-2025','DD-MM-YYYY'),32800,27563,5237,1,'14526149-K',8);</v>
      </c>
    </row>
    <row r="1545" spans="1:10">
      <c r="A1545" s="149"/>
      <c r="B1545" s="149">
        <v>1541</v>
      </c>
      <c r="C1545" s="118" t="s">
        <v>2419</v>
      </c>
      <c r="D1545" t="s">
        <v>2090</v>
      </c>
      <c r="E1545" s="150">
        <v>21</v>
      </c>
      <c r="F1545" s="142">
        <v>72003</v>
      </c>
      <c r="G1545" s="143">
        <v>60507</v>
      </c>
      <c r="H1545" s="144">
        <v>11496</v>
      </c>
      <c r="I1545" s="140">
        <v>1</v>
      </c>
      <c r="J1545" s="114" t="str">
        <f t="shared" si="24"/>
        <v>INSERT INTO DOCUMENTOS (NRO_DOCUMENTO,FECHA_EMISION,TOTAL_BRUTO,TOTAL_NETO,TOTAL_IVA, ID_TIPO, RUT_EMPLEADO, ID_CLIENTE) VALUES(1541,TO_DATE('15-09-2025','DD-MM-YYYY'),72003,60507,11496,1,'14526149-K',21);</v>
      </c>
    </row>
    <row r="1546" spans="1:10">
      <c r="A1546" s="149"/>
      <c r="B1546" s="149">
        <v>1542</v>
      </c>
      <c r="C1546" s="118" t="s">
        <v>2419</v>
      </c>
      <c r="D1546" t="s">
        <v>2090</v>
      </c>
      <c r="E1546" s="150">
        <v>48</v>
      </c>
      <c r="F1546" s="142">
        <v>66950</v>
      </c>
      <c r="G1546" s="143">
        <v>56262</v>
      </c>
      <c r="H1546" s="144">
        <v>10688</v>
      </c>
      <c r="I1546" s="140">
        <v>1</v>
      </c>
      <c r="J1546" s="114" t="str">
        <f t="shared" si="24"/>
        <v>INSERT INTO DOCUMENTOS (NRO_DOCUMENTO,FECHA_EMISION,TOTAL_BRUTO,TOTAL_NETO,TOTAL_IVA, ID_TIPO, RUT_EMPLEADO, ID_CLIENTE) VALUES(1542,TO_DATE('15-09-2025','DD-MM-YYYY'),66950,56262,10688,1,'14526149-K',48);</v>
      </c>
    </row>
    <row r="1547" spans="1:10">
      <c r="A1547" s="149"/>
      <c r="B1547" s="149">
        <v>1543</v>
      </c>
      <c r="C1547" s="118" t="s">
        <v>2419</v>
      </c>
      <c r="D1547" t="s">
        <v>2090</v>
      </c>
      <c r="E1547" s="150">
        <v>323</v>
      </c>
      <c r="F1547" s="142">
        <v>55500</v>
      </c>
      <c r="G1547" s="143">
        <v>46639</v>
      </c>
      <c r="H1547" s="144">
        <v>8861</v>
      </c>
      <c r="I1547" s="140">
        <v>1</v>
      </c>
      <c r="J1547" s="114" t="str">
        <f t="shared" si="24"/>
        <v>INSERT INTO DOCUMENTOS (NRO_DOCUMENTO,FECHA_EMISION,TOTAL_BRUTO,TOTAL_NETO,TOTAL_IVA, ID_TIPO, RUT_EMPLEADO, ID_CLIENTE) VALUES(1543,TO_DATE('15-09-2025','DD-MM-YYYY'),55500,46639,8861,1,'14526149-K',323);</v>
      </c>
    </row>
    <row r="1548" spans="1:10">
      <c r="A1548" s="149"/>
      <c r="B1548" s="149">
        <v>1544</v>
      </c>
      <c r="C1548" s="118" t="s">
        <v>2419</v>
      </c>
      <c r="D1548" t="s">
        <v>2090</v>
      </c>
      <c r="E1548" s="150">
        <v>425</v>
      </c>
      <c r="F1548" s="142">
        <v>6050</v>
      </c>
      <c r="G1548" s="143">
        <v>5084</v>
      </c>
      <c r="H1548" s="144">
        <v>966</v>
      </c>
      <c r="I1548" s="140">
        <v>1</v>
      </c>
      <c r="J1548" s="114" t="str">
        <f t="shared" si="24"/>
        <v>INSERT INTO DOCUMENTOS (NRO_DOCUMENTO,FECHA_EMISION,TOTAL_BRUTO,TOTAL_NETO,TOTAL_IVA, ID_TIPO, RUT_EMPLEADO, ID_CLIENTE) VALUES(1544,TO_DATE('15-09-2025','DD-MM-YYYY'),6050,5084,966,1,'14526149-K',425);</v>
      </c>
    </row>
    <row r="1549" spans="1:10">
      <c r="A1549" s="149"/>
      <c r="B1549" s="149">
        <v>1545</v>
      </c>
      <c r="C1549" s="118" t="s">
        <v>2419</v>
      </c>
      <c r="D1549" t="s">
        <v>2090</v>
      </c>
      <c r="E1549" s="150">
        <v>451</v>
      </c>
      <c r="F1549" s="142">
        <v>5500</v>
      </c>
      <c r="G1549" s="143">
        <v>4622</v>
      </c>
      <c r="H1549" s="144">
        <v>878</v>
      </c>
      <c r="I1549" s="140">
        <v>1</v>
      </c>
      <c r="J1549" s="114" t="str">
        <f t="shared" si="24"/>
        <v>INSERT INTO DOCUMENTOS (NRO_DOCUMENTO,FECHA_EMISION,TOTAL_BRUTO,TOTAL_NETO,TOTAL_IVA, ID_TIPO, RUT_EMPLEADO, ID_CLIENTE) VALUES(1545,TO_DATE('15-09-2025','DD-MM-YYYY'),5500,4622,878,1,'14526149-K',451);</v>
      </c>
    </row>
    <row r="1550" spans="1:10">
      <c r="A1550" s="149"/>
      <c r="B1550" s="149">
        <v>1546</v>
      </c>
      <c r="C1550" s="151" t="s">
        <v>2420</v>
      </c>
      <c r="D1550" t="s">
        <v>2090</v>
      </c>
      <c r="E1550" s="150">
        <v>100</v>
      </c>
      <c r="F1550" s="142">
        <v>17200</v>
      </c>
      <c r="G1550" s="143">
        <v>14454</v>
      </c>
      <c r="H1550" s="144">
        <v>2746</v>
      </c>
      <c r="I1550" s="140">
        <v>1</v>
      </c>
      <c r="J1550" s="114" t="str">
        <f t="shared" si="24"/>
        <v>INSERT INTO DOCUMENTOS (NRO_DOCUMENTO,FECHA_EMISION,TOTAL_BRUTO,TOTAL_NETO,TOTAL_IVA, ID_TIPO, RUT_EMPLEADO, ID_CLIENTE) VALUES(1546,TO_DATE('16-09-2025','DD-MM-YYYY'),17200,14454,2746,1,'14526149-K',100);</v>
      </c>
    </row>
    <row r="1551" spans="1:10">
      <c r="A1551" s="149"/>
      <c r="B1551" s="149">
        <v>1547</v>
      </c>
      <c r="C1551" s="118" t="s">
        <v>2420</v>
      </c>
      <c r="D1551" t="s">
        <v>2090</v>
      </c>
      <c r="E1551" s="150">
        <v>166</v>
      </c>
      <c r="F1551" s="142">
        <v>4000</v>
      </c>
      <c r="G1551" s="143">
        <v>3361</v>
      </c>
      <c r="H1551" s="144">
        <v>639</v>
      </c>
      <c r="I1551" s="140">
        <v>1</v>
      </c>
      <c r="J1551" s="114" t="str">
        <f t="shared" si="24"/>
        <v>INSERT INTO DOCUMENTOS (NRO_DOCUMENTO,FECHA_EMISION,TOTAL_BRUTO,TOTAL_NETO,TOTAL_IVA, ID_TIPO, RUT_EMPLEADO, ID_CLIENTE) VALUES(1547,TO_DATE('16-09-2025','DD-MM-YYYY'),4000,3361,639,1,'14526149-K',166);</v>
      </c>
    </row>
    <row r="1552" spans="1:10">
      <c r="A1552" s="149"/>
      <c r="B1552" s="149">
        <v>1548</v>
      </c>
      <c r="C1552" s="118" t="s">
        <v>2420</v>
      </c>
      <c r="D1552" t="s">
        <v>2090</v>
      </c>
      <c r="E1552" s="150">
        <v>198</v>
      </c>
      <c r="F1552" s="142">
        <v>11000</v>
      </c>
      <c r="G1552" s="143">
        <v>9244</v>
      </c>
      <c r="H1552" s="144">
        <v>1756</v>
      </c>
      <c r="I1552" s="140">
        <v>1</v>
      </c>
      <c r="J1552" s="114" t="str">
        <f t="shared" si="24"/>
        <v>INSERT INTO DOCUMENTOS (NRO_DOCUMENTO,FECHA_EMISION,TOTAL_BRUTO,TOTAL_NETO,TOTAL_IVA, ID_TIPO, RUT_EMPLEADO, ID_CLIENTE) VALUES(1548,TO_DATE('16-09-2025','DD-MM-YYYY'),11000,9244,1756,1,'14526149-K',198);</v>
      </c>
    </row>
    <row r="1553" spans="1:10">
      <c r="A1553" s="149"/>
      <c r="B1553" s="149">
        <v>1549</v>
      </c>
      <c r="C1553" s="118" t="s">
        <v>2420</v>
      </c>
      <c r="D1553" t="s">
        <v>2090</v>
      </c>
      <c r="E1553" s="150">
        <v>231</v>
      </c>
      <c r="F1553" s="142">
        <v>23900</v>
      </c>
      <c r="G1553" s="143">
        <v>20084</v>
      </c>
      <c r="H1553" s="144">
        <v>3816</v>
      </c>
      <c r="I1553" s="140">
        <v>1</v>
      </c>
      <c r="J1553" s="114" t="str">
        <f t="shared" si="24"/>
        <v>INSERT INTO DOCUMENTOS (NRO_DOCUMENTO,FECHA_EMISION,TOTAL_BRUTO,TOTAL_NETO,TOTAL_IVA, ID_TIPO, RUT_EMPLEADO, ID_CLIENTE) VALUES(1549,TO_DATE('16-09-2025','DD-MM-YYYY'),23900,20084,3816,1,'14526149-K',231);</v>
      </c>
    </row>
    <row r="1554" spans="1:10">
      <c r="A1554" s="149"/>
      <c r="B1554" s="150">
        <v>1550</v>
      </c>
      <c r="C1554" s="118" t="s">
        <v>2420</v>
      </c>
      <c r="D1554" t="s">
        <v>2090</v>
      </c>
      <c r="E1554" s="150">
        <v>236</v>
      </c>
      <c r="F1554" s="142">
        <v>21700</v>
      </c>
      <c r="G1554" s="143">
        <v>18235</v>
      </c>
      <c r="H1554" s="144">
        <v>3465</v>
      </c>
      <c r="I1554" s="140">
        <v>1</v>
      </c>
      <c r="J1554" s="114" t="str">
        <f t="shared" si="24"/>
        <v>INSERT INTO DOCUMENTOS (NRO_DOCUMENTO,FECHA_EMISION,TOTAL_BRUTO,TOTAL_NETO,TOTAL_IVA, ID_TIPO, RUT_EMPLEADO, ID_CLIENTE) VALUES(1550,TO_DATE('16-09-2025','DD-MM-YYYY'),21700,18235,3465,1,'14526149-K',236);</v>
      </c>
    </row>
    <row r="1555" spans="1:10">
      <c r="A1555" s="149"/>
      <c r="B1555" s="149">
        <v>1551</v>
      </c>
      <c r="C1555" s="118" t="s">
        <v>2420</v>
      </c>
      <c r="D1555" t="s">
        <v>2090</v>
      </c>
      <c r="E1555" s="150">
        <v>263</v>
      </c>
      <c r="F1555" s="142">
        <v>23200</v>
      </c>
      <c r="G1555" s="143">
        <v>19496</v>
      </c>
      <c r="H1555" s="144">
        <v>3704</v>
      </c>
      <c r="I1555" s="140">
        <v>1</v>
      </c>
      <c r="J1555" s="114" t="str">
        <f t="shared" si="24"/>
        <v>INSERT INTO DOCUMENTOS (NRO_DOCUMENTO,FECHA_EMISION,TOTAL_BRUTO,TOTAL_NETO,TOTAL_IVA, ID_TIPO, RUT_EMPLEADO, ID_CLIENTE) VALUES(1551,TO_DATE('16-09-2025','DD-MM-YYYY'),23200,19496,3704,1,'14526149-K',263);</v>
      </c>
    </row>
    <row r="1556" spans="1:10">
      <c r="A1556" s="149"/>
      <c r="B1556" s="149">
        <v>1552</v>
      </c>
      <c r="C1556" s="118" t="s">
        <v>2420</v>
      </c>
      <c r="D1556" t="s">
        <v>2090</v>
      </c>
      <c r="E1556" s="150">
        <v>438</v>
      </c>
      <c r="F1556" s="142">
        <v>8200</v>
      </c>
      <c r="G1556" s="143">
        <v>6891</v>
      </c>
      <c r="H1556" s="144">
        <v>1309</v>
      </c>
      <c r="I1556" s="140">
        <v>1</v>
      </c>
      <c r="J1556" s="114" t="str">
        <f t="shared" si="24"/>
        <v>INSERT INTO DOCUMENTOS (NRO_DOCUMENTO,FECHA_EMISION,TOTAL_BRUTO,TOTAL_NETO,TOTAL_IVA, ID_TIPO, RUT_EMPLEADO, ID_CLIENTE) VALUES(1552,TO_DATE('16-09-2025','DD-MM-YYYY'),8200,6891,1309,1,'14526149-K',438);</v>
      </c>
    </row>
    <row r="1557" spans="1:10">
      <c r="A1557" s="149"/>
      <c r="B1557" s="149">
        <v>1553</v>
      </c>
      <c r="C1557" s="151" t="s">
        <v>2421</v>
      </c>
      <c r="D1557" t="s">
        <v>2090</v>
      </c>
      <c r="E1557" s="150">
        <v>84</v>
      </c>
      <c r="F1557" s="142">
        <v>19500</v>
      </c>
      <c r="G1557" s="143">
        <v>16387</v>
      </c>
      <c r="H1557" s="144">
        <v>3113</v>
      </c>
      <c r="I1557" s="140">
        <v>1</v>
      </c>
      <c r="J1557" s="114" t="str">
        <f t="shared" si="24"/>
        <v>INSERT INTO DOCUMENTOS (NRO_DOCUMENTO,FECHA_EMISION,TOTAL_BRUTO,TOTAL_NETO,TOTAL_IVA, ID_TIPO, RUT_EMPLEADO, ID_CLIENTE) VALUES(1553,TO_DATE('17-09-2025','DD-MM-YYYY'),19500,16387,3113,1,'14526149-K',84);</v>
      </c>
    </row>
    <row r="1558" spans="1:10">
      <c r="A1558" s="149"/>
      <c r="B1558" s="149">
        <v>1554</v>
      </c>
      <c r="C1558" s="118" t="s">
        <v>2421</v>
      </c>
      <c r="D1558" t="s">
        <v>2090</v>
      </c>
      <c r="E1558" s="150">
        <v>179</v>
      </c>
      <c r="F1558" s="142">
        <v>11000</v>
      </c>
      <c r="G1558" s="143">
        <v>9244</v>
      </c>
      <c r="H1558" s="144">
        <v>1756</v>
      </c>
      <c r="I1558" s="140">
        <v>1</v>
      </c>
      <c r="J1558" s="114" t="str">
        <f t="shared" si="24"/>
        <v>INSERT INTO DOCUMENTOS (NRO_DOCUMENTO,FECHA_EMISION,TOTAL_BRUTO,TOTAL_NETO,TOTAL_IVA, ID_TIPO, RUT_EMPLEADO, ID_CLIENTE) VALUES(1554,TO_DATE('17-09-2025','DD-MM-YYYY'),11000,9244,1756,1,'14526149-K',179);</v>
      </c>
    </row>
    <row r="1559" spans="1:10">
      <c r="A1559" s="149"/>
      <c r="B1559" s="150">
        <v>1555</v>
      </c>
      <c r="C1559" s="151" t="s">
        <v>2422</v>
      </c>
      <c r="D1559" t="s">
        <v>2090</v>
      </c>
      <c r="E1559" s="150">
        <v>166</v>
      </c>
      <c r="F1559" s="142">
        <v>11000</v>
      </c>
      <c r="G1559" s="143">
        <v>9244</v>
      </c>
      <c r="H1559" s="144">
        <v>1756</v>
      </c>
      <c r="I1559" s="140">
        <v>1</v>
      </c>
      <c r="J1559" s="114" t="str">
        <f t="shared" si="24"/>
        <v>INSERT INTO DOCUMENTOS (NRO_DOCUMENTO,FECHA_EMISION,TOTAL_BRUTO,TOTAL_NETO,TOTAL_IVA, ID_TIPO, RUT_EMPLEADO, ID_CLIENTE) VALUES(1555,TO_DATE('18-09-2025','DD-MM-YYYY'),11000,9244,1756,1,'14526149-K',166);</v>
      </c>
    </row>
    <row r="1560" spans="1:10">
      <c r="A1560" s="149">
        <v>2</v>
      </c>
      <c r="B1560">
        <v>1</v>
      </c>
      <c r="C1560" s="118" t="s">
        <v>2167</v>
      </c>
      <c r="D1560" t="s">
        <v>2090</v>
      </c>
      <c r="E1560">
        <v>413</v>
      </c>
      <c r="F1560" s="142">
        <v>116990</v>
      </c>
      <c r="G1560" s="143">
        <v>98311</v>
      </c>
      <c r="H1560" s="144">
        <v>18679</v>
      </c>
      <c r="I1560" s="140">
        <v>2</v>
      </c>
      <c r="J1560" s="114" t="str">
        <f t="shared" si="24"/>
        <v>INSERT INTO DOCUMENTOS (NRO_DOCUMENTO,FECHA_EMISION,TOTAL_BRUTO,TOTAL_NETO,TOTAL_IVA, ID_TIPO, RUT_EMPLEADO, ID_CLIENTE) VALUES(1,TO_DATE('04-01-2025','DD-MM-YYYY'),116990,98311,18679,2,'14526149-K',413);</v>
      </c>
    </row>
    <row r="1561" spans="1:10">
      <c r="A1561" s="149"/>
      <c r="B1561">
        <v>2</v>
      </c>
      <c r="C1561" s="118" t="s">
        <v>2169</v>
      </c>
      <c r="D1561" t="s">
        <v>2090</v>
      </c>
      <c r="E1561">
        <v>185</v>
      </c>
      <c r="F1561" s="142">
        <v>117100</v>
      </c>
      <c r="G1561" s="143">
        <v>98404</v>
      </c>
      <c r="H1561" s="144">
        <v>18696</v>
      </c>
      <c r="I1561" s="140">
        <v>2</v>
      </c>
      <c r="J1561" s="114" t="str">
        <f t="shared" si="24"/>
        <v>INSERT INTO DOCUMENTOS (NRO_DOCUMENTO,FECHA_EMISION,TOTAL_BRUTO,TOTAL_NETO,TOTAL_IVA, ID_TIPO, RUT_EMPLEADO, ID_CLIENTE) VALUES(2,TO_DATE('06-01-2025','DD-MM-YYYY'),117100,98404,18696,2,'14526149-K',185);</v>
      </c>
    </row>
    <row r="1562" spans="1:10">
      <c r="A1562" s="149"/>
      <c r="B1562">
        <v>3</v>
      </c>
      <c r="C1562" s="118" t="s">
        <v>2171</v>
      </c>
      <c r="D1562" t="s">
        <v>2090</v>
      </c>
      <c r="E1562">
        <v>125</v>
      </c>
      <c r="F1562" s="142">
        <v>63852</v>
      </c>
      <c r="G1562" s="143">
        <v>53658</v>
      </c>
      <c r="H1562" s="144">
        <v>10194</v>
      </c>
      <c r="I1562" s="140">
        <v>2</v>
      </c>
      <c r="J1562" s="114" t="str">
        <f t="shared" si="24"/>
        <v>INSERT INTO DOCUMENTOS (NRO_DOCUMENTO,FECHA_EMISION,TOTAL_BRUTO,TOTAL_NETO,TOTAL_IVA, ID_TIPO, RUT_EMPLEADO, ID_CLIENTE) VALUES(3,TO_DATE('08-01-2025','DD-MM-YYYY'),63852,53658,10194,2,'14526149-K',125);</v>
      </c>
    </row>
    <row r="1563" spans="1:10">
      <c r="A1563" s="149"/>
      <c r="B1563">
        <v>4</v>
      </c>
      <c r="C1563" s="118" t="s">
        <v>2174</v>
      </c>
      <c r="D1563" t="s">
        <v>2090</v>
      </c>
      <c r="E1563">
        <v>203</v>
      </c>
      <c r="F1563" s="142">
        <v>6000</v>
      </c>
      <c r="G1563" s="143">
        <v>5042</v>
      </c>
      <c r="H1563" s="144">
        <v>958</v>
      </c>
      <c r="I1563" s="140">
        <v>2</v>
      </c>
      <c r="J1563" s="114" t="str">
        <f t="shared" si="24"/>
        <v>INSERT INTO DOCUMENTOS (NRO_DOCUMENTO,FECHA_EMISION,TOTAL_BRUTO,TOTAL_NETO,TOTAL_IVA, ID_TIPO, RUT_EMPLEADO, ID_CLIENTE) VALUES(4,TO_DATE('11-01-2025','DD-MM-YYYY'),6000,5042,958,2,'14526149-K',203);</v>
      </c>
    </row>
    <row r="1564" spans="1:10">
      <c r="A1564" s="149"/>
      <c r="B1564">
        <v>5</v>
      </c>
      <c r="C1564" s="118" t="s">
        <v>2178</v>
      </c>
      <c r="D1564" t="s">
        <v>2090</v>
      </c>
      <c r="E1564">
        <v>203</v>
      </c>
      <c r="F1564" s="142">
        <v>38990</v>
      </c>
      <c r="G1564" s="143">
        <v>32764</v>
      </c>
      <c r="H1564" s="144">
        <v>6226</v>
      </c>
      <c r="I1564" s="140">
        <v>2</v>
      </c>
      <c r="J1564" s="114" t="str">
        <f t="shared" si="24"/>
        <v>INSERT INTO DOCUMENTOS (NRO_DOCUMENTO,FECHA_EMISION,TOTAL_BRUTO,TOTAL_NETO,TOTAL_IVA, ID_TIPO, RUT_EMPLEADO, ID_CLIENTE) VALUES(5,TO_DATE('15-01-2025','DD-MM-YYYY'),38990,32764,6226,2,'14526149-K',203);</v>
      </c>
    </row>
    <row r="1565" spans="1:10">
      <c r="A1565" s="149"/>
      <c r="B1565">
        <v>6</v>
      </c>
      <c r="C1565" s="118" t="s">
        <v>2183</v>
      </c>
      <c r="D1565" t="s">
        <v>2090</v>
      </c>
      <c r="E1565">
        <v>413</v>
      </c>
      <c r="F1565" s="142">
        <v>126490</v>
      </c>
      <c r="G1565" s="143">
        <v>106294</v>
      </c>
      <c r="H1565" s="144">
        <v>20196</v>
      </c>
      <c r="I1565" s="140">
        <v>2</v>
      </c>
      <c r="J1565" s="114" t="str">
        <f t="shared" si="24"/>
        <v>INSERT INTO DOCUMENTOS (NRO_DOCUMENTO,FECHA_EMISION,TOTAL_BRUTO,TOTAL_NETO,TOTAL_IVA, ID_TIPO, RUT_EMPLEADO, ID_CLIENTE) VALUES(6,TO_DATE('20-01-2025','DD-MM-YYYY'),126490,106294,20196,2,'14526149-K',413);</v>
      </c>
    </row>
    <row r="1566" spans="1:10">
      <c r="A1566" s="149"/>
      <c r="B1566">
        <v>7</v>
      </c>
      <c r="C1566" s="118" t="s">
        <v>2186</v>
      </c>
      <c r="D1566" t="s">
        <v>2090</v>
      </c>
      <c r="E1566">
        <v>203</v>
      </c>
      <c r="F1566" s="142">
        <v>3500</v>
      </c>
      <c r="G1566" s="143">
        <v>2941</v>
      </c>
      <c r="H1566" s="144">
        <v>559</v>
      </c>
      <c r="I1566" s="140">
        <v>2</v>
      </c>
      <c r="J1566" s="114" t="str">
        <f t="shared" si="24"/>
        <v>INSERT INTO DOCUMENTOS (NRO_DOCUMENTO,FECHA_EMISION,TOTAL_BRUTO,TOTAL_NETO,TOTAL_IVA, ID_TIPO, RUT_EMPLEADO, ID_CLIENTE) VALUES(7,TO_DATE('23-01-2025','DD-MM-YYYY'),3500,2941,559,2,'14526149-K',203);</v>
      </c>
    </row>
    <row r="1567" spans="1:10">
      <c r="A1567" s="149"/>
      <c r="B1567">
        <v>8</v>
      </c>
      <c r="C1567" s="118" t="s">
        <v>2201</v>
      </c>
      <c r="D1567" t="s">
        <v>2090</v>
      </c>
      <c r="E1567">
        <v>203</v>
      </c>
      <c r="F1567" s="142">
        <v>31300</v>
      </c>
      <c r="G1567" s="143">
        <v>26302</v>
      </c>
      <c r="H1567" s="144">
        <v>4998</v>
      </c>
      <c r="I1567" s="140">
        <v>2</v>
      </c>
      <c r="J1567" s="114" t="str">
        <f t="shared" si="24"/>
        <v>INSERT INTO DOCUMENTOS (NRO_DOCUMENTO,FECHA_EMISION,TOTAL_BRUTO,TOTAL_NETO,TOTAL_IVA, ID_TIPO, RUT_EMPLEADO, ID_CLIENTE) VALUES(8,TO_DATE('07-02-2025','DD-MM-YYYY'),31300,26302,4998,2,'14526149-K',203);</v>
      </c>
    </row>
    <row r="1568" spans="1:10">
      <c r="A1568" s="149"/>
      <c r="B1568">
        <v>9</v>
      </c>
      <c r="C1568" s="118" t="s">
        <v>2203</v>
      </c>
      <c r="D1568" t="s">
        <v>2090</v>
      </c>
      <c r="E1568">
        <v>125</v>
      </c>
      <c r="F1568" s="142">
        <v>245200</v>
      </c>
      <c r="G1568" s="143">
        <v>206051</v>
      </c>
      <c r="H1568" s="144">
        <v>39149</v>
      </c>
      <c r="I1568" s="140">
        <v>2</v>
      </c>
      <c r="J1568" s="114" t="str">
        <f t="shared" si="24"/>
        <v>INSERT INTO DOCUMENTOS (NRO_DOCUMENTO,FECHA_EMISION,TOTAL_BRUTO,TOTAL_NETO,TOTAL_IVA, ID_TIPO, RUT_EMPLEADO, ID_CLIENTE) VALUES(9,TO_DATE('09-02-2025','DD-MM-YYYY'),245200,206051,39149,2,'14526149-K',125);</v>
      </c>
    </row>
    <row r="1569" spans="1:10">
      <c r="A1569" s="149"/>
      <c r="B1569">
        <v>10</v>
      </c>
      <c r="C1569" s="118" t="s">
        <v>2206</v>
      </c>
      <c r="D1569" t="s">
        <v>2090</v>
      </c>
      <c r="E1569">
        <v>180</v>
      </c>
      <c r="F1569" s="142">
        <v>4400</v>
      </c>
      <c r="G1569" s="143">
        <v>3697</v>
      </c>
      <c r="H1569" s="144">
        <v>703</v>
      </c>
      <c r="I1569" s="140">
        <v>2</v>
      </c>
      <c r="J1569" s="114" t="str">
        <f t="shared" si="24"/>
        <v>INSERT INTO DOCUMENTOS (NRO_DOCUMENTO,FECHA_EMISION,TOTAL_BRUTO,TOTAL_NETO,TOTAL_IVA, ID_TIPO, RUT_EMPLEADO, ID_CLIENTE) VALUES(10,TO_DATE('12-02-2025','DD-MM-YYYY'),4400,3697,703,2,'14526149-K',180);</v>
      </c>
    </row>
    <row r="1570" spans="1:10">
      <c r="A1570" s="149"/>
      <c r="B1570">
        <v>11</v>
      </c>
      <c r="C1570" s="118" t="s">
        <v>2206</v>
      </c>
      <c r="D1570" t="s">
        <v>2090</v>
      </c>
      <c r="E1570">
        <v>413</v>
      </c>
      <c r="F1570" s="142">
        <v>91990</v>
      </c>
      <c r="G1570" s="143">
        <v>77303</v>
      </c>
      <c r="H1570" s="144">
        <v>14687</v>
      </c>
      <c r="I1570" s="140">
        <v>2</v>
      </c>
      <c r="J1570" s="114" t="str">
        <f t="shared" si="24"/>
        <v>INSERT INTO DOCUMENTOS (NRO_DOCUMENTO,FECHA_EMISION,TOTAL_BRUTO,TOTAL_NETO,TOTAL_IVA, ID_TIPO, RUT_EMPLEADO, ID_CLIENTE) VALUES(11,TO_DATE('12-02-2025','DD-MM-YYYY'),91990,77303,14687,2,'14526149-K',413);</v>
      </c>
    </row>
    <row r="1571" spans="1:10">
      <c r="A1571" s="149"/>
      <c r="B1571">
        <v>12</v>
      </c>
      <c r="C1571" s="118" t="s">
        <v>2208</v>
      </c>
      <c r="D1571" t="s">
        <v>2090</v>
      </c>
      <c r="E1571">
        <v>203</v>
      </c>
      <c r="F1571" s="142">
        <v>51490</v>
      </c>
      <c r="G1571" s="143">
        <v>43268</v>
      </c>
      <c r="H1571" s="144">
        <v>8222</v>
      </c>
      <c r="I1571" s="140">
        <v>2</v>
      </c>
      <c r="J1571" s="114" t="str">
        <f t="shared" si="24"/>
        <v>INSERT INTO DOCUMENTOS (NRO_DOCUMENTO,FECHA_EMISION,TOTAL_BRUTO,TOTAL_NETO,TOTAL_IVA, ID_TIPO, RUT_EMPLEADO, ID_CLIENTE) VALUES(12,TO_DATE('14-02-2025','DD-MM-YYYY'),51490,43268,8222,2,'14526149-K',203);</v>
      </c>
    </row>
    <row r="1572" spans="1:10">
      <c r="A1572" s="149"/>
      <c r="B1572">
        <v>13</v>
      </c>
      <c r="C1572" s="118" t="s">
        <v>2214</v>
      </c>
      <c r="D1572" t="s">
        <v>2090</v>
      </c>
      <c r="E1572">
        <v>180</v>
      </c>
      <c r="F1572" s="142">
        <v>7300</v>
      </c>
      <c r="G1572" s="143">
        <v>6135</v>
      </c>
      <c r="H1572" s="144">
        <v>1165</v>
      </c>
      <c r="I1572" s="140">
        <v>2</v>
      </c>
      <c r="J1572" s="114" t="str">
        <f t="shared" si="24"/>
        <v>INSERT INTO DOCUMENTOS (NRO_DOCUMENTO,FECHA_EMISION,TOTAL_BRUTO,TOTAL_NETO,TOTAL_IVA, ID_TIPO, RUT_EMPLEADO, ID_CLIENTE) VALUES(13,TO_DATE('20-02-2025','DD-MM-YYYY'),7300,6135,1165,2,'14526149-K',180);</v>
      </c>
    </row>
    <row r="1573" spans="1:10">
      <c r="A1573" s="149"/>
      <c r="B1573">
        <v>14</v>
      </c>
      <c r="C1573" s="118" t="s">
        <v>2218</v>
      </c>
      <c r="D1573" t="s">
        <v>2090</v>
      </c>
      <c r="E1573">
        <v>183</v>
      </c>
      <c r="F1573" s="142">
        <v>31500</v>
      </c>
      <c r="G1573" s="143">
        <v>26471</v>
      </c>
      <c r="H1573" s="144">
        <v>5029</v>
      </c>
      <c r="I1573" s="140">
        <v>2</v>
      </c>
      <c r="J1573" s="114" t="str">
        <f t="shared" si="24"/>
        <v>INSERT INTO DOCUMENTOS (NRO_DOCUMENTO,FECHA_EMISION,TOTAL_BRUTO,TOTAL_NETO,TOTAL_IVA, ID_TIPO, RUT_EMPLEADO, ID_CLIENTE) VALUES(14,TO_DATE('24-02-2025','DD-MM-YYYY'),31500,26471,5029,2,'14526149-K',183);</v>
      </c>
    </row>
    <row r="1574" spans="1:10">
      <c r="A1574" s="149"/>
      <c r="B1574">
        <v>15</v>
      </c>
      <c r="C1574" s="118" t="s">
        <v>2220</v>
      </c>
      <c r="D1574" t="s">
        <v>2090</v>
      </c>
      <c r="E1574">
        <v>203</v>
      </c>
      <c r="F1574" s="142">
        <v>8000</v>
      </c>
      <c r="G1574" s="143">
        <v>6723</v>
      </c>
      <c r="H1574" s="144">
        <v>1277</v>
      </c>
      <c r="I1574" s="140">
        <v>2</v>
      </c>
      <c r="J1574" s="114" t="str">
        <f t="shared" si="24"/>
        <v>INSERT INTO DOCUMENTOS (NRO_DOCUMENTO,FECHA_EMISION,TOTAL_BRUTO,TOTAL_NETO,TOTAL_IVA, ID_TIPO, RUT_EMPLEADO, ID_CLIENTE) VALUES(15,TO_DATE('26-02-2025','DD-MM-YYYY'),8000,6723,1277,2,'14526149-K',203);</v>
      </c>
    </row>
    <row r="1575" spans="1:10">
      <c r="A1575" s="149"/>
      <c r="B1575">
        <v>16</v>
      </c>
      <c r="C1575" s="118" t="s">
        <v>2225</v>
      </c>
      <c r="D1575" t="s">
        <v>2090</v>
      </c>
      <c r="E1575">
        <v>413</v>
      </c>
      <c r="F1575" s="142">
        <v>63490</v>
      </c>
      <c r="G1575" s="143">
        <v>53353</v>
      </c>
      <c r="H1575" s="144">
        <v>10137</v>
      </c>
      <c r="I1575" s="140">
        <v>2</v>
      </c>
      <c r="J1575" s="114" t="str">
        <f t="shared" si="24"/>
        <v>INSERT INTO DOCUMENTOS (NRO_DOCUMENTO,FECHA_EMISION,TOTAL_BRUTO,TOTAL_NETO,TOTAL_IVA, ID_TIPO, RUT_EMPLEADO, ID_CLIENTE) VALUES(16,TO_DATE('03-03-2025','DD-MM-YYYY'),63490,53353,10137,2,'14526149-K',413);</v>
      </c>
    </row>
    <row r="1576" spans="1:10">
      <c r="A1576" s="149"/>
      <c r="B1576">
        <v>17</v>
      </c>
      <c r="C1576" s="118" t="s">
        <v>2227</v>
      </c>
      <c r="D1576" t="s">
        <v>2090</v>
      </c>
      <c r="E1576">
        <v>185</v>
      </c>
      <c r="F1576" s="142">
        <v>114300</v>
      </c>
      <c r="G1576" s="143">
        <v>96050</v>
      </c>
      <c r="H1576" s="144">
        <v>18250</v>
      </c>
      <c r="I1576" s="140">
        <v>2</v>
      </c>
      <c r="J1576" s="114" t="str">
        <f t="shared" si="24"/>
        <v>INSERT INTO DOCUMENTOS (NRO_DOCUMENTO,FECHA_EMISION,TOTAL_BRUTO,TOTAL_NETO,TOTAL_IVA, ID_TIPO, RUT_EMPLEADO, ID_CLIENTE) VALUES(17,TO_DATE('05-03-2025','DD-MM-YYYY'),114300,96050,18250,2,'14526149-K',185);</v>
      </c>
    </row>
    <row r="1577" spans="1:10">
      <c r="A1577" s="149"/>
      <c r="B1577">
        <v>18</v>
      </c>
      <c r="C1577" s="118" t="s">
        <v>2228</v>
      </c>
      <c r="D1577" t="s">
        <v>2090</v>
      </c>
      <c r="E1577">
        <v>203</v>
      </c>
      <c r="F1577" s="142">
        <v>39990</v>
      </c>
      <c r="G1577" s="143">
        <v>33604</v>
      </c>
      <c r="H1577" s="144">
        <v>6386</v>
      </c>
      <c r="I1577" s="140">
        <v>2</v>
      </c>
      <c r="J1577" s="114" t="str">
        <f t="shared" si="24"/>
        <v>INSERT INTO DOCUMENTOS (NRO_DOCUMENTO,FECHA_EMISION,TOTAL_BRUTO,TOTAL_NETO,TOTAL_IVA, ID_TIPO, RUT_EMPLEADO, ID_CLIENTE) VALUES(18,TO_DATE('06-03-2025','DD-MM-YYYY'),39990,33604,6386,2,'14526149-K',203);</v>
      </c>
    </row>
    <row r="1578" spans="1:10">
      <c r="A1578" s="149"/>
      <c r="B1578">
        <v>19</v>
      </c>
      <c r="C1578" s="118" t="s">
        <v>2230</v>
      </c>
      <c r="D1578" t="s">
        <v>2090</v>
      </c>
      <c r="E1578">
        <v>203</v>
      </c>
      <c r="F1578" s="142">
        <v>1500</v>
      </c>
      <c r="G1578" s="143">
        <v>1261</v>
      </c>
      <c r="H1578" s="144">
        <v>239</v>
      </c>
      <c r="I1578" s="140">
        <v>2</v>
      </c>
      <c r="J1578" s="114" t="str">
        <f t="shared" si="24"/>
        <v>INSERT INTO DOCUMENTOS (NRO_DOCUMENTO,FECHA_EMISION,TOTAL_BRUTO,TOTAL_NETO,TOTAL_IVA, ID_TIPO, RUT_EMPLEADO, ID_CLIENTE) VALUES(19,TO_DATE('08-03-2025','DD-MM-YYYY'),1500,1261,239,2,'14526149-K',203);</v>
      </c>
    </row>
    <row r="1579" spans="1:10">
      <c r="A1579" s="149"/>
      <c r="B1579">
        <v>20</v>
      </c>
      <c r="C1579" s="118" t="s">
        <v>2232</v>
      </c>
      <c r="D1579" t="s">
        <v>2090</v>
      </c>
      <c r="E1579">
        <v>364</v>
      </c>
      <c r="F1579" s="142">
        <v>63900</v>
      </c>
      <c r="G1579" s="143">
        <v>53697</v>
      </c>
      <c r="H1579" s="144">
        <v>10203</v>
      </c>
      <c r="I1579" s="140">
        <v>2</v>
      </c>
      <c r="J1579" s="114" t="str">
        <f t="shared" si="24"/>
        <v>INSERT INTO DOCUMENTOS (NRO_DOCUMENTO,FECHA_EMISION,TOTAL_BRUTO,TOTAL_NETO,TOTAL_IVA, ID_TIPO, RUT_EMPLEADO, ID_CLIENTE) VALUES(20,TO_DATE('10-03-2025','DD-MM-YYYY'),63900,53697,10203,2,'14526149-K',364);</v>
      </c>
    </row>
    <row r="1580" spans="1:10">
      <c r="A1580" s="149"/>
      <c r="B1580">
        <v>21</v>
      </c>
      <c r="C1580" s="118" t="s">
        <v>2233</v>
      </c>
      <c r="D1580" t="s">
        <v>2090</v>
      </c>
      <c r="E1580">
        <v>203</v>
      </c>
      <c r="F1580" s="142">
        <v>16800</v>
      </c>
      <c r="G1580" s="143">
        <v>14118</v>
      </c>
      <c r="H1580" s="144">
        <v>2682</v>
      </c>
      <c r="I1580" s="140">
        <v>2</v>
      </c>
      <c r="J1580" s="114" t="str">
        <f t="shared" si="24"/>
        <v>INSERT INTO DOCUMENTOS (NRO_DOCUMENTO,FECHA_EMISION,TOTAL_BRUTO,TOTAL_NETO,TOTAL_IVA, ID_TIPO, RUT_EMPLEADO, ID_CLIENTE) VALUES(21,TO_DATE('11-03-2025','DD-MM-YYYY'),16800,14118,2682,2,'14526149-K',203);</v>
      </c>
    </row>
    <row r="1581" spans="1:10">
      <c r="A1581" s="149"/>
      <c r="B1581">
        <v>22</v>
      </c>
      <c r="C1581" s="118" t="s">
        <v>2235</v>
      </c>
      <c r="D1581" t="s">
        <v>2090</v>
      </c>
      <c r="E1581">
        <v>203</v>
      </c>
      <c r="F1581" s="142">
        <v>7000</v>
      </c>
      <c r="G1581" s="143">
        <v>5882</v>
      </c>
      <c r="H1581" s="144">
        <v>1118</v>
      </c>
      <c r="I1581" s="140">
        <v>2</v>
      </c>
      <c r="J1581" s="114" t="str">
        <f t="shared" si="24"/>
        <v>INSERT INTO DOCUMENTOS (NRO_DOCUMENTO,FECHA_EMISION,TOTAL_BRUTO,TOTAL_NETO,TOTAL_IVA, ID_TIPO, RUT_EMPLEADO, ID_CLIENTE) VALUES(22,TO_DATE('13-03-2025','DD-MM-YYYY'),7000,5882,1118,2,'14526149-K',203);</v>
      </c>
    </row>
    <row r="1582" spans="1:10">
      <c r="A1582" s="149"/>
      <c r="B1582">
        <v>23</v>
      </c>
      <c r="C1582" s="118" t="s">
        <v>2239</v>
      </c>
      <c r="D1582" t="s">
        <v>2090</v>
      </c>
      <c r="E1582">
        <v>203</v>
      </c>
      <c r="F1582" s="142">
        <v>3500</v>
      </c>
      <c r="G1582" s="143">
        <v>2941</v>
      </c>
      <c r="H1582" s="144">
        <v>559</v>
      </c>
      <c r="I1582" s="140">
        <v>2</v>
      </c>
      <c r="J1582" s="114" t="str">
        <f t="shared" si="24"/>
        <v>INSERT INTO DOCUMENTOS (NRO_DOCUMENTO,FECHA_EMISION,TOTAL_BRUTO,TOTAL_NETO,TOTAL_IVA, ID_TIPO, RUT_EMPLEADO, ID_CLIENTE) VALUES(23,TO_DATE('17-03-2025','DD-MM-YYYY'),3500,2941,559,2,'14526149-K',203);</v>
      </c>
    </row>
    <row r="1583" spans="1:10">
      <c r="A1583" s="149"/>
      <c r="B1583">
        <v>24</v>
      </c>
      <c r="C1583" s="118" t="s">
        <v>2245</v>
      </c>
      <c r="D1583" t="s">
        <v>2090</v>
      </c>
      <c r="E1583">
        <v>203</v>
      </c>
      <c r="F1583" s="142">
        <v>15000</v>
      </c>
      <c r="G1583" s="143">
        <v>12605</v>
      </c>
      <c r="H1583" s="144">
        <v>2395</v>
      </c>
      <c r="I1583" s="140">
        <v>2</v>
      </c>
      <c r="J1583" s="114" t="str">
        <f t="shared" si="24"/>
        <v>INSERT INTO DOCUMENTOS (NRO_DOCUMENTO,FECHA_EMISION,TOTAL_BRUTO,TOTAL_NETO,TOTAL_IVA, ID_TIPO, RUT_EMPLEADO, ID_CLIENTE) VALUES(24,TO_DATE('23-03-2025','DD-MM-YYYY'),15000,12605,2395,2,'14526149-K',203);</v>
      </c>
    </row>
    <row r="1584" spans="1:10">
      <c r="A1584" s="149"/>
      <c r="B1584">
        <v>25</v>
      </c>
      <c r="C1584" s="118" t="s">
        <v>2247</v>
      </c>
      <c r="D1584" t="s">
        <v>2090</v>
      </c>
      <c r="E1584">
        <v>413</v>
      </c>
      <c r="F1584" s="142">
        <v>115990</v>
      </c>
      <c r="G1584" s="143">
        <v>97471</v>
      </c>
      <c r="H1584" s="144">
        <v>18519</v>
      </c>
      <c r="I1584" s="140">
        <v>2</v>
      </c>
      <c r="J1584" s="114" t="str">
        <f t="shared" si="24"/>
        <v>INSERT INTO DOCUMENTOS (NRO_DOCUMENTO,FECHA_EMISION,TOTAL_BRUTO,TOTAL_NETO,TOTAL_IVA, ID_TIPO, RUT_EMPLEADO, ID_CLIENTE) VALUES(25,TO_DATE('25-03-2025','DD-MM-YYYY'),115990,97471,18519,2,'14526149-K',413);</v>
      </c>
    </row>
    <row r="1585" spans="1:10">
      <c r="A1585" s="149"/>
      <c r="B1585">
        <v>26</v>
      </c>
      <c r="C1585" s="118" t="s">
        <v>2255</v>
      </c>
      <c r="D1585" t="s">
        <v>2090</v>
      </c>
      <c r="E1585">
        <v>203</v>
      </c>
      <c r="F1585" s="142">
        <v>63990</v>
      </c>
      <c r="G1585" s="143">
        <v>53772</v>
      </c>
      <c r="H1585" s="144">
        <v>10218</v>
      </c>
      <c r="I1585" s="140">
        <v>2</v>
      </c>
      <c r="J1585" s="114" t="str">
        <f t="shared" si="24"/>
        <v>INSERT INTO DOCUMENTOS (NRO_DOCUMENTO,FECHA_EMISION,TOTAL_BRUTO,TOTAL_NETO,TOTAL_IVA, ID_TIPO, RUT_EMPLEADO, ID_CLIENTE) VALUES(26,TO_DATE('02-04-2025','DD-MM-YYYY'),63990,53772,10218,2,'14526149-K',203);</v>
      </c>
    </row>
    <row r="1586" spans="1:10">
      <c r="A1586" s="149"/>
      <c r="B1586">
        <v>27</v>
      </c>
      <c r="C1586" s="118" t="s">
        <v>2260</v>
      </c>
      <c r="D1586" t="s">
        <v>2090</v>
      </c>
      <c r="E1586">
        <v>69</v>
      </c>
      <c r="F1586" s="142">
        <v>37800</v>
      </c>
      <c r="G1586" s="143">
        <v>31765</v>
      </c>
      <c r="H1586" s="144">
        <v>6035</v>
      </c>
      <c r="I1586" s="140">
        <v>2</v>
      </c>
      <c r="J1586" s="114" t="str">
        <f t="shared" si="24"/>
        <v>INSERT INTO DOCUMENTOS (NRO_DOCUMENTO,FECHA_EMISION,TOTAL_BRUTO,TOTAL_NETO,TOTAL_IVA, ID_TIPO, RUT_EMPLEADO, ID_CLIENTE) VALUES(27,TO_DATE('07-04-2025','DD-MM-YYYY'),37800,31765,6035,2,'14526149-K',69);</v>
      </c>
    </row>
    <row r="1587" spans="1:10">
      <c r="A1587" s="149"/>
      <c r="B1587">
        <v>28</v>
      </c>
      <c r="C1587" s="118" t="s">
        <v>2260</v>
      </c>
      <c r="D1587" t="s">
        <v>2090</v>
      </c>
      <c r="E1587">
        <v>327</v>
      </c>
      <c r="F1587" s="142">
        <v>111500</v>
      </c>
      <c r="G1587" s="143">
        <v>93695</v>
      </c>
      <c r="H1587" s="144">
        <v>17805</v>
      </c>
      <c r="I1587" s="140">
        <v>2</v>
      </c>
      <c r="J1587" s="114" t="str">
        <f t="shared" si="24"/>
        <v>INSERT INTO DOCUMENTOS (NRO_DOCUMENTO,FECHA_EMISION,TOTAL_BRUTO,TOTAL_NETO,TOTAL_IVA, ID_TIPO, RUT_EMPLEADO, ID_CLIENTE) VALUES(28,TO_DATE('07-04-2025','DD-MM-YYYY'),111500,93695,17805,2,'14526149-K',327);</v>
      </c>
    </row>
    <row r="1588" spans="1:10">
      <c r="A1588" s="149"/>
      <c r="B1588">
        <v>29</v>
      </c>
      <c r="C1588" s="118" t="s">
        <v>2270</v>
      </c>
      <c r="D1588" t="s">
        <v>2090</v>
      </c>
      <c r="E1588">
        <v>413</v>
      </c>
      <c r="F1588" s="142">
        <v>135490</v>
      </c>
      <c r="G1588" s="143">
        <v>113857</v>
      </c>
      <c r="H1588" s="144">
        <v>21633</v>
      </c>
      <c r="I1588" s="140">
        <v>2</v>
      </c>
      <c r="J1588" s="114" t="str">
        <f t="shared" si="24"/>
        <v>INSERT INTO DOCUMENTOS (NRO_DOCUMENTO,FECHA_EMISION,TOTAL_BRUTO,TOTAL_NETO,TOTAL_IVA, ID_TIPO, RUT_EMPLEADO, ID_CLIENTE) VALUES(29,TO_DATE('17-04-2025','DD-MM-YYYY'),135490,113857,21633,2,'14526149-K',413);</v>
      </c>
    </row>
    <row r="1589" spans="1:10">
      <c r="A1589" s="149"/>
      <c r="B1589">
        <v>30</v>
      </c>
      <c r="C1589" s="118" t="s">
        <v>2274</v>
      </c>
      <c r="D1589" t="s">
        <v>2090</v>
      </c>
      <c r="E1589">
        <v>203</v>
      </c>
      <c r="F1589" s="142">
        <v>9500</v>
      </c>
      <c r="G1589" s="143">
        <v>7984</v>
      </c>
      <c r="H1589" s="144">
        <v>1516</v>
      </c>
      <c r="I1589" s="140">
        <v>2</v>
      </c>
      <c r="J1589" s="114" t="str">
        <f t="shared" si="24"/>
        <v>INSERT INTO DOCUMENTOS (NRO_DOCUMENTO,FECHA_EMISION,TOTAL_BRUTO,TOTAL_NETO,TOTAL_IVA, ID_TIPO, RUT_EMPLEADO, ID_CLIENTE) VALUES(30,TO_DATE('21-04-2025','DD-MM-YYYY'),9500,7984,1516,2,'14526149-K',203);</v>
      </c>
    </row>
    <row r="1590" spans="1:10">
      <c r="A1590" s="149"/>
      <c r="B1590">
        <v>31</v>
      </c>
      <c r="C1590" s="118" t="s">
        <v>2278</v>
      </c>
      <c r="D1590" t="s">
        <v>2090</v>
      </c>
      <c r="E1590">
        <v>203</v>
      </c>
      <c r="F1590" s="142">
        <v>11800</v>
      </c>
      <c r="G1590" s="143">
        <v>9916</v>
      </c>
      <c r="H1590" s="144">
        <v>1884</v>
      </c>
      <c r="I1590" s="140">
        <v>2</v>
      </c>
      <c r="J1590" s="114" t="str">
        <f t="shared" si="24"/>
        <v>INSERT INTO DOCUMENTOS (NRO_DOCUMENTO,FECHA_EMISION,TOTAL_BRUTO,TOTAL_NETO,TOTAL_IVA, ID_TIPO, RUT_EMPLEADO, ID_CLIENTE) VALUES(31,TO_DATE('25-04-2025','DD-MM-YYYY'),11800,9916,1884,2,'14526149-K',203);</v>
      </c>
    </row>
    <row r="1591" spans="1:10">
      <c r="A1591" s="149"/>
      <c r="B1591">
        <v>32</v>
      </c>
      <c r="C1591" s="118" t="s">
        <v>2282</v>
      </c>
      <c r="D1591" t="s">
        <v>2090</v>
      </c>
      <c r="E1591">
        <v>205</v>
      </c>
      <c r="F1591" s="142">
        <v>4200</v>
      </c>
      <c r="G1591" s="143">
        <v>3529</v>
      </c>
      <c r="H1591" s="144">
        <v>671</v>
      </c>
      <c r="I1591" s="140">
        <v>2</v>
      </c>
      <c r="J1591" s="114" t="str">
        <f t="shared" si="24"/>
        <v>INSERT INTO DOCUMENTOS (NRO_DOCUMENTO,FECHA_EMISION,TOTAL_BRUTO,TOTAL_NETO,TOTAL_IVA, ID_TIPO, RUT_EMPLEADO, ID_CLIENTE) VALUES(32,TO_DATE('29-04-2025','DD-MM-YYYY'),4200,3529,671,2,'14526149-K',205);</v>
      </c>
    </row>
    <row r="1592" spans="1:10">
      <c r="A1592" s="149"/>
      <c r="B1592">
        <v>33</v>
      </c>
      <c r="C1592" s="118" t="s">
        <v>2283</v>
      </c>
      <c r="D1592" t="s">
        <v>2090</v>
      </c>
      <c r="E1592">
        <v>203</v>
      </c>
      <c r="F1592" s="142">
        <v>30900</v>
      </c>
      <c r="G1592" s="143">
        <v>25966</v>
      </c>
      <c r="H1592" s="144">
        <v>4934</v>
      </c>
      <c r="I1592" s="140">
        <v>2</v>
      </c>
      <c r="J1592" s="114" t="str">
        <f t="shared" si="24"/>
        <v>INSERT INTO DOCUMENTOS (NRO_DOCUMENTO,FECHA_EMISION,TOTAL_BRUTO,TOTAL_NETO,TOTAL_IVA, ID_TIPO, RUT_EMPLEADO, ID_CLIENTE) VALUES(33,TO_DATE('30-04-2025','DD-MM-YYYY'),30900,25966,4934,2,'14526149-K',203);</v>
      </c>
    </row>
    <row r="1593" spans="1:10">
      <c r="A1593" s="149"/>
      <c r="B1593">
        <v>34</v>
      </c>
      <c r="C1593" s="118" t="s">
        <v>2285</v>
      </c>
      <c r="D1593" t="s">
        <v>2090</v>
      </c>
      <c r="E1593">
        <v>203</v>
      </c>
      <c r="F1593" s="142">
        <v>2600</v>
      </c>
      <c r="G1593" s="143">
        <v>2185</v>
      </c>
      <c r="H1593" s="144">
        <v>415</v>
      </c>
      <c r="I1593" s="140">
        <v>2</v>
      </c>
      <c r="J1593" s="114" t="str">
        <f t="shared" si="24"/>
        <v>INSERT INTO DOCUMENTOS (NRO_DOCUMENTO,FECHA_EMISION,TOTAL_BRUTO,TOTAL_NETO,TOTAL_IVA, ID_TIPO, RUT_EMPLEADO, ID_CLIENTE) VALUES(34,TO_DATE('02-05-2025','DD-MM-YYYY'),2600,2185,415,2,'14526149-K',203);</v>
      </c>
    </row>
    <row r="1594" spans="1:10">
      <c r="A1594" s="149"/>
      <c r="B1594">
        <v>35</v>
      </c>
      <c r="C1594" s="118" t="s">
        <v>2294</v>
      </c>
      <c r="D1594" t="s">
        <v>2090</v>
      </c>
      <c r="E1594">
        <v>203</v>
      </c>
      <c r="F1594" s="142">
        <v>9000</v>
      </c>
      <c r="G1594" s="143">
        <v>7563</v>
      </c>
      <c r="H1594" s="144">
        <v>1437</v>
      </c>
      <c r="I1594" s="140">
        <v>2</v>
      </c>
      <c r="J1594" s="114" t="str">
        <f t="shared" si="24"/>
        <v>INSERT INTO DOCUMENTOS (NRO_DOCUMENTO,FECHA_EMISION,TOTAL_BRUTO,TOTAL_NETO,TOTAL_IVA, ID_TIPO, RUT_EMPLEADO, ID_CLIENTE) VALUES(35,TO_DATE('11-05-2025','DD-MM-YYYY'),9000,7563,1437,2,'14526149-K',203);</v>
      </c>
    </row>
    <row r="1595" spans="1:10">
      <c r="A1595" s="149"/>
      <c r="B1595">
        <v>36</v>
      </c>
      <c r="C1595" s="118" t="s">
        <v>2295</v>
      </c>
      <c r="D1595" t="s">
        <v>2090</v>
      </c>
      <c r="E1595">
        <v>364</v>
      </c>
      <c r="F1595" s="142">
        <v>33202</v>
      </c>
      <c r="G1595" s="143">
        <v>27901</v>
      </c>
      <c r="H1595" s="144">
        <v>5301</v>
      </c>
      <c r="I1595" s="140">
        <v>2</v>
      </c>
      <c r="J1595" s="114" t="str">
        <f t="shared" si="24"/>
        <v>INSERT INTO DOCUMENTOS (NRO_DOCUMENTO,FECHA_EMISION,TOTAL_BRUTO,TOTAL_NETO,TOTAL_IVA, ID_TIPO, RUT_EMPLEADO, ID_CLIENTE) VALUES(36,TO_DATE('12-05-2025','DD-MM-YYYY'),33202,27901,5301,2,'14526149-K',364);</v>
      </c>
    </row>
    <row r="1596" spans="1:10">
      <c r="A1596" s="149"/>
      <c r="B1596">
        <v>37</v>
      </c>
      <c r="C1596" s="118" t="s">
        <v>2296</v>
      </c>
      <c r="D1596" t="s">
        <v>2090</v>
      </c>
      <c r="E1596">
        <v>185</v>
      </c>
      <c r="F1596" s="142">
        <v>132800</v>
      </c>
      <c r="G1596" s="143">
        <v>111596</v>
      </c>
      <c r="H1596" s="144">
        <v>21204</v>
      </c>
      <c r="I1596" s="140">
        <v>2</v>
      </c>
      <c r="J1596" s="114" t="str">
        <f t="shared" si="24"/>
        <v>INSERT INTO DOCUMENTOS (NRO_DOCUMENTO,FECHA_EMISION,TOTAL_BRUTO,TOTAL_NETO,TOTAL_IVA, ID_TIPO, RUT_EMPLEADO, ID_CLIENTE) VALUES(37,TO_DATE('13-05-2025','DD-MM-YYYY'),132800,111596,21204,2,'14526149-K',185);</v>
      </c>
    </row>
    <row r="1597" spans="1:10">
      <c r="A1597" s="149"/>
      <c r="B1597">
        <v>38</v>
      </c>
      <c r="C1597" s="118" t="s">
        <v>2297</v>
      </c>
      <c r="D1597" t="s">
        <v>2090</v>
      </c>
      <c r="E1597">
        <v>101</v>
      </c>
      <c r="F1597" s="142">
        <v>16800</v>
      </c>
      <c r="G1597" s="143">
        <v>14119</v>
      </c>
      <c r="H1597" s="144">
        <v>2681</v>
      </c>
      <c r="I1597" s="140">
        <v>2</v>
      </c>
      <c r="J1597" s="114" t="str">
        <f t="shared" si="24"/>
        <v>INSERT INTO DOCUMENTOS (NRO_DOCUMENTO,FECHA_EMISION,TOTAL_BRUTO,TOTAL_NETO,TOTAL_IVA, ID_TIPO, RUT_EMPLEADO, ID_CLIENTE) VALUES(38,TO_DATE('14-05-2025','DD-MM-YYYY'),16800,14119,2681,2,'14526149-K',101);</v>
      </c>
    </row>
    <row r="1598" spans="1:10">
      <c r="A1598" s="149"/>
      <c r="B1598">
        <v>39</v>
      </c>
      <c r="C1598" s="118" t="s">
        <v>2303</v>
      </c>
      <c r="D1598" t="s">
        <v>2090</v>
      </c>
      <c r="E1598">
        <v>413</v>
      </c>
      <c r="F1598" s="142">
        <v>65400</v>
      </c>
      <c r="G1598" s="143">
        <v>54958</v>
      </c>
      <c r="H1598" s="144">
        <v>10442</v>
      </c>
      <c r="I1598" s="140">
        <v>2</v>
      </c>
      <c r="J1598" s="114" t="str">
        <f t="shared" si="24"/>
        <v>INSERT INTO DOCUMENTOS (NRO_DOCUMENTO,FECHA_EMISION,TOTAL_BRUTO,TOTAL_NETO,TOTAL_IVA, ID_TIPO, RUT_EMPLEADO, ID_CLIENTE) VALUES(39,TO_DATE('20-05-2025','DD-MM-YYYY'),65400,54958,10442,2,'14526149-K',413);</v>
      </c>
    </row>
    <row r="1599" spans="1:10">
      <c r="A1599" s="149"/>
      <c r="B1599">
        <v>40</v>
      </c>
      <c r="C1599" s="118" t="s">
        <v>2306</v>
      </c>
      <c r="D1599" t="s">
        <v>2090</v>
      </c>
      <c r="E1599">
        <v>203</v>
      </c>
      <c r="F1599" s="142">
        <v>29900</v>
      </c>
      <c r="G1599" s="143">
        <v>25127</v>
      </c>
      <c r="H1599" s="144">
        <v>4773</v>
      </c>
      <c r="I1599" s="140">
        <v>2</v>
      </c>
      <c r="J1599" s="114" t="str">
        <f t="shared" si="24"/>
        <v>INSERT INTO DOCUMENTOS (NRO_DOCUMENTO,FECHA_EMISION,TOTAL_BRUTO,TOTAL_NETO,TOTAL_IVA, ID_TIPO, RUT_EMPLEADO, ID_CLIENTE) VALUES(40,TO_DATE('23-05-2025','DD-MM-YYYY'),29900,25127,4773,2,'14526149-K',203);</v>
      </c>
    </row>
    <row r="1600" spans="1:10">
      <c r="A1600" s="149"/>
      <c r="B1600">
        <v>41</v>
      </c>
      <c r="C1600" s="118" t="s">
        <v>2313</v>
      </c>
      <c r="D1600" t="s">
        <v>2090</v>
      </c>
      <c r="E1600">
        <v>203</v>
      </c>
      <c r="F1600" s="142">
        <v>56003</v>
      </c>
      <c r="G1600" s="143">
        <v>47062</v>
      </c>
      <c r="H1600" s="144">
        <v>8941</v>
      </c>
      <c r="I1600" s="140">
        <v>2</v>
      </c>
      <c r="J1600" s="114" t="str">
        <f t="shared" si="24"/>
        <v>INSERT INTO DOCUMENTOS (NRO_DOCUMENTO,FECHA_EMISION,TOTAL_BRUTO,TOTAL_NETO,TOTAL_IVA, ID_TIPO, RUT_EMPLEADO, ID_CLIENTE) VALUES(41,TO_DATE('30-05-2025','DD-MM-YYYY'),56003,47062,8941,2,'14526149-K',203);</v>
      </c>
    </row>
    <row r="1601" spans="1:10">
      <c r="A1601" s="149"/>
      <c r="B1601">
        <v>42</v>
      </c>
      <c r="C1601" s="118" t="s">
        <v>2321</v>
      </c>
      <c r="D1601" t="s">
        <v>2095</v>
      </c>
      <c r="E1601">
        <v>413</v>
      </c>
      <c r="F1601" s="142">
        <v>23500</v>
      </c>
      <c r="G1601" s="143">
        <v>19748</v>
      </c>
      <c r="H1601" s="144">
        <v>3752</v>
      </c>
      <c r="I1601" s="140">
        <v>2</v>
      </c>
      <c r="J1601" s="114" t="str">
        <f t="shared" si="24"/>
        <v>INSERT INTO DOCUMENTOS (NRO_DOCUMENTO,FECHA_EMISION,TOTAL_BRUTO,TOTAL_NETO,TOTAL_IVA, ID_TIPO, RUT_EMPLEADO, ID_CLIENTE) VALUES(42,TO_DATE('08-06-2025','DD-MM-YYYY'),23500,19748,3752,2,'11383327-0',413);</v>
      </c>
    </row>
    <row r="1602" spans="1:10">
      <c r="A1602" s="149"/>
      <c r="B1602">
        <v>43</v>
      </c>
      <c r="C1602" s="118" t="s">
        <v>2322</v>
      </c>
      <c r="D1602" t="s">
        <v>2090</v>
      </c>
      <c r="E1602">
        <v>364</v>
      </c>
      <c r="F1602" s="142">
        <v>85500</v>
      </c>
      <c r="G1602" s="143">
        <v>71849</v>
      </c>
      <c r="H1602" s="144">
        <v>13651</v>
      </c>
      <c r="I1602" s="140">
        <v>2</v>
      </c>
      <c r="J1602" s="114" t="str">
        <f t="shared" si="24"/>
        <v>INSERT INTO DOCUMENTOS (NRO_DOCUMENTO,FECHA_EMISION,TOTAL_BRUTO,TOTAL_NETO,TOTAL_IVA, ID_TIPO, RUT_EMPLEADO, ID_CLIENTE) VALUES(43,TO_DATE('09-06-2025','DD-MM-YYYY'),85500,71849,13651,2,'14526149-K',364);</v>
      </c>
    </row>
    <row r="1603" spans="1:10">
      <c r="A1603" s="149"/>
      <c r="B1603">
        <v>44</v>
      </c>
      <c r="C1603" s="118" t="s">
        <v>2326</v>
      </c>
      <c r="D1603" t="s">
        <v>2090</v>
      </c>
      <c r="E1603">
        <v>203</v>
      </c>
      <c r="F1603" s="142">
        <v>45100</v>
      </c>
      <c r="G1603" s="143">
        <v>37899</v>
      </c>
      <c r="H1603" s="144">
        <v>7201</v>
      </c>
      <c r="I1603" s="140">
        <v>2</v>
      </c>
      <c r="J1603" s="114" t="str">
        <f t="shared" si="24"/>
        <v>INSERT INTO DOCUMENTOS (NRO_DOCUMENTO,FECHA_EMISION,TOTAL_BRUTO,TOTAL_NETO,TOTAL_IVA, ID_TIPO, RUT_EMPLEADO, ID_CLIENTE) VALUES(44,TO_DATE('13-06-2025','DD-MM-YYYY'),45100,37899,7201,2,'14526149-K',203);</v>
      </c>
    </row>
    <row r="1604" spans="1:10">
      <c r="A1604" s="149"/>
      <c r="B1604">
        <v>45</v>
      </c>
      <c r="C1604" s="118" t="s">
        <v>2329</v>
      </c>
      <c r="D1604" t="s">
        <v>2090</v>
      </c>
      <c r="E1604">
        <v>180</v>
      </c>
      <c r="F1604" s="142">
        <v>67500</v>
      </c>
      <c r="G1604" s="143">
        <v>56723</v>
      </c>
      <c r="H1604" s="144">
        <v>10777</v>
      </c>
      <c r="I1604" s="140">
        <v>2</v>
      </c>
      <c r="J1604" s="114" t="str">
        <f t="shared" si="24"/>
        <v>INSERT INTO DOCUMENTOS (NRO_DOCUMENTO,FECHA_EMISION,TOTAL_BRUTO,TOTAL_NETO,TOTAL_IVA, ID_TIPO, RUT_EMPLEADO, ID_CLIENTE) VALUES(45,TO_DATE('16-06-2025','DD-MM-YYYY'),67500,56723,10777,2,'14526149-K',180);</v>
      </c>
    </row>
    <row r="1605" spans="1:10">
      <c r="A1605" s="149"/>
      <c r="B1605">
        <v>46</v>
      </c>
      <c r="C1605" s="118" t="s">
        <v>2329</v>
      </c>
      <c r="D1605" t="s">
        <v>2090</v>
      </c>
      <c r="E1605">
        <v>413</v>
      </c>
      <c r="F1605" s="142">
        <v>131700</v>
      </c>
      <c r="G1605" s="143">
        <v>110673</v>
      </c>
      <c r="H1605" s="144">
        <v>21027</v>
      </c>
      <c r="I1605" s="140">
        <v>2</v>
      </c>
      <c r="J1605" s="114" t="str">
        <f t="shared" si="24"/>
        <v>INSERT INTO DOCUMENTOS (NRO_DOCUMENTO,FECHA_EMISION,TOTAL_BRUTO,TOTAL_NETO,TOTAL_IVA, ID_TIPO, RUT_EMPLEADO, ID_CLIENTE) VALUES(46,TO_DATE('16-06-2025','DD-MM-YYYY'),131700,110673,21027,2,'14526149-K',413);</v>
      </c>
    </row>
    <row r="1606" spans="1:10">
      <c r="A1606" s="149"/>
      <c r="B1606">
        <v>47</v>
      </c>
      <c r="C1606" s="118" t="s">
        <v>2331</v>
      </c>
      <c r="D1606" t="s">
        <v>2095</v>
      </c>
      <c r="E1606">
        <v>488</v>
      </c>
      <c r="F1606" s="142">
        <v>10500</v>
      </c>
      <c r="G1606" s="143">
        <v>8823</v>
      </c>
      <c r="H1606" s="144">
        <v>1677</v>
      </c>
      <c r="I1606" s="140">
        <v>2</v>
      </c>
      <c r="J1606" s="114" t="str">
        <f t="shared" ref="J1606:J1635" si="25">CONCATENATE("INSERT INTO DOCUMENTOS (NRO_DOCUMENTO,FECHA_EMISION,TOTAL_BRUTO,TOTAL_NETO,TOTAL_IVA, ID_TIPO, RUT_EMPLEADO, ID_CLIENTE) VALUES(",B1606,",","TO_DATE('",C1606,"'",",'DD-MM-YYYY'),",F1606,",",G1606,",",H1606,",",I1606,",","'",D1606,"',",E1606,");")</f>
        <v>INSERT INTO DOCUMENTOS (NRO_DOCUMENTO,FECHA_EMISION,TOTAL_BRUTO,TOTAL_NETO,TOTAL_IVA, ID_TIPO, RUT_EMPLEADO, ID_CLIENTE) VALUES(47,TO_DATE('18-06-2025','DD-MM-YYYY'),10500,8823,1677,2,'11383327-0',488);</v>
      </c>
    </row>
    <row r="1607" spans="1:10">
      <c r="A1607" s="149"/>
      <c r="B1607">
        <v>48</v>
      </c>
      <c r="C1607" s="118" t="s">
        <v>2333</v>
      </c>
      <c r="D1607" t="s">
        <v>2095</v>
      </c>
      <c r="E1607">
        <v>203</v>
      </c>
      <c r="F1607" s="142">
        <v>8200</v>
      </c>
      <c r="G1607" s="143">
        <v>6891</v>
      </c>
      <c r="H1607" s="144">
        <v>1309</v>
      </c>
      <c r="I1607" s="140">
        <v>2</v>
      </c>
      <c r="J1607" s="114" t="str">
        <f t="shared" si="25"/>
        <v>INSERT INTO DOCUMENTOS (NRO_DOCUMENTO,FECHA_EMISION,TOTAL_BRUTO,TOTAL_NETO,TOTAL_IVA, ID_TIPO, RUT_EMPLEADO, ID_CLIENTE) VALUES(48,TO_DATE('20-06-2025','DD-MM-YYYY'),8200,6891,1309,2,'11383327-0',203);</v>
      </c>
    </row>
    <row r="1608" spans="1:10">
      <c r="A1608" s="149"/>
      <c r="B1608">
        <v>49</v>
      </c>
      <c r="C1608" s="118" t="s">
        <v>2345</v>
      </c>
      <c r="D1608" t="s">
        <v>2090</v>
      </c>
      <c r="E1608">
        <v>185</v>
      </c>
      <c r="F1608" s="142">
        <v>95600</v>
      </c>
      <c r="G1608" s="143">
        <v>80336</v>
      </c>
      <c r="H1608" s="144">
        <v>15264</v>
      </c>
      <c r="I1608" s="140">
        <v>2</v>
      </c>
      <c r="J1608" s="114" t="str">
        <f t="shared" si="25"/>
        <v>INSERT INTO DOCUMENTOS (NRO_DOCUMENTO,FECHA_EMISION,TOTAL_BRUTO,TOTAL_NETO,TOTAL_IVA, ID_TIPO, RUT_EMPLEADO, ID_CLIENTE) VALUES(49,TO_DATE('02-07-2025','DD-MM-YYYY'),95600,80336,15264,2,'14526149-K',185);</v>
      </c>
    </row>
    <row r="1609" spans="1:10">
      <c r="A1609" s="149"/>
      <c r="B1609">
        <v>50</v>
      </c>
      <c r="C1609" s="118" t="s">
        <v>2349</v>
      </c>
      <c r="D1609" t="s">
        <v>2090</v>
      </c>
      <c r="E1609">
        <v>203</v>
      </c>
      <c r="F1609" s="142">
        <v>39500</v>
      </c>
      <c r="G1609" s="143">
        <v>33193</v>
      </c>
      <c r="H1609" s="144">
        <v>6307</v>
      </c>
      <c r="I1609" s="140">
        <v>2</v>
      </c>
      <c r="J1609" s="114" t="str">
        <f t="shared" si="25"/>
        <v>INSERT INTO DOCUMENTOS (NRO_DOCUMENTO,FECHA_EMISION,TOTAL_BRUTO,TOTAL_NETO,TOTAL_IVA, ID_TIPO, RUT_EMPLEADO, ID_CLIENTE) VALUES(50,TO_DATE('06-07-2025','DD-MM-YYYY'),39500,33193,6307,2,'14526149-K',203);</v>
      </c>
    </row>
    <row r="1610" spans="1:10">
      <c r="A1610" s="149"/>
      <c r="B1610">
        <v>51</v>
      </c>
      <c r="C1610" s="118" t="s">
        <v>2353</v>
      </c>
      <c r="D1610" t="s">
        <v>2090</v>
      </c>
      <c r="E1610">
        <v>413</v>
      </c>
      <c r="F1610" s="142">
        <v>95000</v>
      </c>
      <c r="G1610" s="143">
        <v>79832</v>
      </c>
      <c r="H1610" s="144">
        <v>15168</v>
      </c>
      <c r="I1610" s="140">
        <v>2</v>
      </c>
      <c r="J1610" s="114" t="str">
        <f t="shared" si="25"/>
        <v>INSERT INTO DOCUMENTOS (NRO_DOCUMENTO,FECHA_EMISION,TOTAL_BRUTO,TOTAL_NETO,TOTAL_IVA, ID_TIPO, RUT_EMPLEADO, ID_CLIENTE) VALUES(51,TO_DATE('10-07-2025','DD-MM-YYYY'),95000,79832,15168,2,'14526149-K',413);</v>
      </c>
    </row>
    <row r="1611" spans="1:10">
      <c r="A1611" s="149"/>
      <c r="B1611">
        <v>52</v>
      </c>
      <c r="C1611" s="118" t="s">
        <v>2358</v>
      </c>
      <c r="D1611" t="s">
        <v>2090</v>
      </c>
      <c r="E1611">
        <v>22</v>
      </c>
      <c r="F1611" s="142">
        <v>16300</v>
      </c>
      <c r="G1611" s="143">
        <v>13697</v>
      </c>
      <c r="H1611" s="144">
        <v>2603</v>
      </c>
      <c r="I1611" s="140">
        <v>2</v>
      </c>
      <c r="J1611" s="114" t="str">
        <f t="shared" si="25"/>
        <v>INSERT INTO DOCUMENTOS (NRO_DOCUMENTO,FECHA_EMISION,TOTAL_BRUTO,TOTAL_NETO,TOTAL_IVA, ID_TIPO, RUT_EMPLEADO, ID_CLIENTE) VALUES(52,TO_DATE('15-07-2025','DD-MM-YYYY'),16300,13697,2603,2,'14526149-K',22);</v>
      </c>
    </row>
    <row r="1612" spans="1:10">
      <c r="A1612" s="149"/>
      <c r="B1612">
        <v>53</v>
      </c>
      <c r="C1612" s="118" t="s">
        <v>2364</v>
      </c>
      <c r="D1612" t="s">
        <v>2090</v>
      </c>
      <c r="E1612">
        <v>203</v>
      </c>
      <c r="F1612" s="142">
        <v>14700</v>
      </c>
      <c r="G1612" s="143">
        <v>12354</v>
      </c>
      <c r="H1612" s="144">
        <v>2346</v>
      </c>
      <c r="I1612" s="140">
        <v>2</v>
      </c>
      <c r="J1612" s="114" t="str">
        <f t="shared" si="25"/>
        <v>INSERT INTO DOCUMENTOS (NRO_DOCUMENTO,FECHA_EMISION,TOTAL_BRUTO,TOTAL_NETO,TOTAL_IVA, ID_TIPO, RUT_EMPLEADO, ID_CLIENTE) VALUES(53,TO_DATE('21-07-2025','DD-MM-YYYY'),14700,12354,2346,2,'14526149-K',203);</v>
      </c>
    </row>
    <row r="1613" spans="1:10">
      <c r="A1613" s="149"/>
      <c r="B1613">
        <v>54</v>
      </c>
      <c r="C1613" s="118" t="s">
        <v>2365</v>
      </c>
      <c r="D1613" t="s">
        <v>2090</v>
      </c>
      <c r="E1613">
        <v>125</v>
      </c>
      <c r="F1613" s="142">
        <v>558410</v>
      </c>
      <c r="G1613" s="143">
        <v>469252</v>
      </c>
      <c r="H1613" s="144">
        <v>89158</v>
      </c>
      <c r="I1613" s="140">
        <v>2</v>
      </c>
      <c r="J1613" s="114" t="str">
        <f t="shared" si="25"/>
        <v>INSERT INTO DOCUMENTOS (NRO_DOCUMENTO,FECHA_EMISION,TOTAL_BRUTO,TOTAL_NETO,TOTAL_IVA, ID_TIPO, RUT_EMPLEADO, ID_CLIENTE) VALUES(54,TO_DATE('22-07-2025','DD-MM-YYYY'),558410,469252,89158,2,'14526149-K',125);</v>
      </c>
    </row>
    <row r="1614" spans="1:10">
      <c r="A1614" s="149"/>
      <c r="B1614">
        <v>55</v>
      </c>
      <c r="C1614" s="118" t="s">
        <v>2368</v>
      </c>
      <c r="D1614" t="s">
        <v>2090</v>
      </c>
      <c r="E1614">
        <v>203</v>
      </c>
      <c r="F1614" s="142">
        <v>10800</v>
      </c>
      <c r="G1614" s="143">
        <v>9076</v>
      </c>
      <c r="H1614" s="144">
        <v>1724</v>
      </c>
      <c r="I1614" s="140">
        <v>2</v>
      </c>
      <c r="J1614" s="114" t="str">
        <f t="shared" si="25"/>
        <v>INSERT INTO DOCUMENTOS (NRO_DOCUMENTO,FECHA_EMISION,TOTAL_BRUTO,TOTAL_NETO,TOTAL_IVA, ID_TIPO, RUT_EMPLEADO, ID_CLIENTE) VALUES(55,TO_DATE('25-07-2025','DD-MM-YYYY'),10800,9076,1724,2,'14526149-K',203);</v>
      </c>
    </row>
    <row r="1615" spans="1:10">
      <c r="A1615" s="149"/>
      <c r="B1615">
        <v>56</v>
      </c>
      <c r="C1615" s="118" t="s">
        <v>2369</v>
      </c>
      <c r="D1615" t="s">
        <v>2090</v>
      </c>
      <c r="E1615">
        <v>203</v>
      </c>
      <c r="F1615" s="142">
        <v>34400</v>
      </c>
      <c r="G1615" s="143">
        <v>28907</v>
      </c>
      <c r="H1615" s="144">
        <v>5493</v>
      </c>
      <c r="I1615" s="140">
        <v>2</v>
      </c>
      <c r="J1615" s="114" t="str">
        <f t="shared" si="25"/>
        <v>INSERT INTO DOCUMENTOS (NRO_DOCUMENTO,FECHA_EMISION,TOTAL_BRUTO,TOTAL_NETO,TOTAL_IVA, ID_TIPO, RUT_EMPLEADO, ID_CLIENTE) VALUES(56,TO_DATE('26-07-2025','DD-MM-YYYY'),34400,28907,5493,2,'14526149-K',203);</v>
      </c>
    </row>
    <row r="1616" spans="1:10">
      <c r="A1616" s="149"/>
      <c r="B1616">
        <v>57</v>
      </c>
      <c r="C1616" s="118" t="s">
        <v>2372</v>
      </c>
      <c r="D1616" t="s">
        <v>2090</v>
      </c>
      <c r="E1616">
        <v>22</v>
      </c>
      <c r="F1616" s="142">
        <v>48950</v>
      </c>
      <c r="G1616" s="143">
        <v>41135</v>
      </c>
      <c r="H1616" s="144">
        <v>7815</v>
      </c>
      <c r="I1616" s="140">
        <v>2</v>
      </c>
      <c r="J1616" s="114" t="str">
        <f t="shared" si="25"/>
        <v>INSERT INTO DOCUMENTOS (NRO_DOCUMENTO,FECHA_EMISION,TOTAL_BRUTO,TOTAL_NETO,TOTAL_IVA, ID_TIPO, RUT_EMPLEADO, ID_CLIENTE) VALUES(57,TO_DATE('29-07-2025','DD-MM-YYYY'),48950,41135,7815,2,'14526149-K',22);</v>
      </c>
    </row>
    <row r="1617" spans="1:10">
      <c r="A1617" s="149"/>
      <c r="B1617">
        <v>58</v>
      </c>
      <c r="C1617" s="118" t="s">
        <v>2372</v>
      </c>
      <c r="D1617" t="s">
        <v>2090</v>
      </c>
      <c r="E1617">
        <v>364</v>
      </c>
      <c r="F1617" s="142">
        <v>106400</v>
      </c>
      <c r="G1617" s="143">
        <v>89412</v>
      </c>
      <c r="H1617" s="144">
        <v>16988</v>
      </c>
      <c r="I1617" s="140">
        <v>2</v>
      </c>
      <c r="J1617" s="114" t="str">
        <f t="shared" si="25"/>
        <v>INSERT INTO DOCUMENTOS (NRO_DOCUMENTO,FECHA_EMISION,TOTAL_BRUTO,TOTAL_NETO,TOTAL_IVA, ID_TIPO, RUT_EMPLEADO, ID_CLIENTE) VALUES(58,TO_DATE('29-07-2025','DD-MM-YYYY'),106400,89412,16988,2,'14526149-K',364);</v>
      </c>
    </row>
    <row r="1618" spans="1:10">
      <c r="A1618" s="149"/>
      <c r="B1618">
        <v>59</v>
      </c>
      <c r="C1618" s="118" t="s">
        <v>2373</v>
      </c>
      <c r="D1618" t="s">
        <v>2090</v>
      </c>
      <c r="E1618">
        <v>180</v>
      </c>
      <c r="F1618" s="142">
        <v>22000</v>
      </c>
      <c r="G1618" s="143">
        <v>18487</v>
      </c>
      <c r="H1618" s="144">
        <v>3513</v>
      </c>
      <c r="I1618" s="140">
        <v>2</v>
      </c>
      <c r="J1618" s="114" t="str">
        <f t="shared" si="25"/>
        <v>INSERT INTO DOCUMENTOS (NRO_DOCUMENTO,FECHA_EMISION,TOTAL_BRUTO,TOTAL_NETO,TOTAL_IVA, ID_TIPO, RUT_EMPLEADO, ID_CLIENTE) VALUES(59,TO_DATE('30-07-2025','DD-MM-YYYY'),22000,18487,3513,2,'14526149-K',180);</v>
      </c>
    </row>
    <row r="1619" spans="1:10">
      <c r="A1619" s="149"/>
      <c r="B1619">
        <v>60</v>
      </c>
      <c r="C1619" s="118" t="s">
        <v>2374</v>
      </c>
      <c r="D1619" t="s">
        <v>2090</v>
      </c>
      <c r="E1619">
        <v>327</v>
      </c>
      <c r="F1619" s="142">
        <v>51700</v>
      </c>
      <c r="G1619" s="143">
        <v>43445</v>
      </c>
      <c r="H1619" s="144">
        <v>8255</v>
      </c>
      <c r="I1619" s="140">
        <v>2</v>
      </c>
      <c r="J1619" s="114" t="str">
        <f t="shared" si="25"/>
        <v>INSERT INTO DOCUMENTOS (NRO_DOCUMENTO,FECHA_EMISION,TOTAL_BRUTO,TOTAL_NETO,TOTAL_IVA, ID_TIPO, RUT_EMPLEADO, ID_CLIENTE) VALUES(60,TO_DATE('31-07-2025','DD-MM-YYYY'),51700,43445,8255,2,'14526149-K',327);</v>
      </c>
    </row>
    <row r="1620" spans="1:10">
      <c r="A1620" s="149"/>
      <c r="B1620">
        <v>61</v>
      </c>
      <c r="C1620" s="118" t="s">
        <v>2375</v>
      </c>
      <c r="D1620" t="s">
        <v>2090</v>
      </c>
      <c r="E1620">
        <v>203</v>
      </c>
      <c r="F1620" s="142">
        <v>650</v>
      </c>
      <c r="G1620" s="143">
        <v>546</v>
      </c>
      <c r="H1620" s="144">
        <v>104</v>
      </c>
      <c r="I1620" s="140">
        <v>2</v>
      </c>
      <c r="J1620" s="114" t="str">
        <f t="shared" si="25"/>
        <v>INSERT INTO DOCUMENTOS (NRO_DOCUMENTO,FECHA_EMISION,TOTAL_BRUTO,TOTAL_NETO,TOTAL_IVA, ID_TIPO, RUT_EMPLEADO, ID_CLIENTE) VALUES(61,TO_DATE('01-08-2025','DD-MM-YYYY'),650,546,104,2,'14526149-K',203);</v>
      </c>
    </row>
    <row r="1621" spans="1:10">
      <c r="A1621" s="149"/>
      <c r="B1621">
        <v>62</v>
      </c>
      <c r="C1621" s="118" t="s">
        <v>2377</v>
      </c>
      <c r="D1621" t="s">
        <v>2090</v>
      </c>
      <c r="E1621">
        <v>20</v>
      </c>
      <c r="F1621" s="142">
        <v>19500</v>
      </c>
      <c r="G1621" s="143">
        <v>16387</v>
      </c>
      <c r="H1621" s="144">
        <v>3113</v>
      </c>
      <c r="I1621" s="140">
        <v>2</v>
      </c>
      <c r="J1621" s="114" t="str">
        <f t="shared" si="25"/>
        <v>INSERT INTO DOCUMENTOS (NRO_DOCUMENTO,FECHA_EMISION,TOTAL_BRUTO,TOTAL_NETO,TOTAL_IVA, ID_TIPO, RUT_EMPLEADO, ID_CLIENTE) VALUES(62,TO_DATE('03-08-2025','DD-MM-YYYY'),19500,16387,3113,2,'14526149-K',20);</v>
      </c>
    </row>
    <row r="1622" spans="1:10">
      <c r="A1622" s="149"/>
      <c r="B1622">
        <v>63</v>
      </c>
      <c r="C1622" s="118" t="s">
        <v>2378</v>
      </c>
      <c r="D1622" t="s">
        <v>2090</v>
      </c>
      <c r="E1622">
        <v>180</v>
      </c>
      <c r="F1622" s="142">
        <v>24000</v>
      </c>
      <c r="G1622" s="143">
        <v>20168</v>
      </c>
      <c r="H1622" s="144">
        <v>3832</v>
      </c>
      <c r="I1622" s="140">
        <v>2</v>
      </c>
      <c r="J1622" s="114" t="str">
        <f t="shared" si="25"/>
        <v>INSERT INTO DOCUMENTOS (NRO_DOCUMENTO,FECHA_EMISION,TOTAL_BRUTO,TOTAL_NETO,TOTAL_IVA, ID_TIPO, RUT_EMPLEADO, ID_CLIENTE) VALUES(63,TO_DATE('04-08-2025','DD-MM-YYYY'),24000,20168,3832,2,'14526149-K',180);</v>
      </c>
    </row>
    <row r="1623" spans="1:10">
      <c r="A1623" s="149"/>
      <c r="B1623">
        <v>64</v>
      </c>
      <c r="C1623" s="118" t="s">
        <v>2379</v>
      </c>
      <c r="D1623" t="s">
        <v>2090</v>
      </c>
      <c r="E1623">
        <v>413</v>
      </c>
      <c r="F1623" s="142">
        <v>111800</v>
      </c>
      <c r="G1623" s="143">
        <v>93950</v>
      </c>
      <c r="H1623" s="144">
        <v>17850</v>
      </c>
      <c r="I1623" s="140">
        <v>2</v>
      </c>
      <c r="J1623" s="114" t="str">
        <f t="shared" si="25"/>
        <v>INSERT INTO DOCUMENTOS (NRO_DOCUMENTO,FECHA_EMISION,TOTAL_BRUTO,TOTAL_NETO,TOTAL_IVA, ID_TIPO, RUT_EMPLEADO, ID_CLIENTE) VALUES(64,TO_DATE('05-08-2025','DD-MM-YYYY'),111800,93950,17850,2,'14526149-K',413);</v>
      </c>
    </row>
    <row r="1624" spans="1:10">
      <c r="A1624" s="149"/>
      <c r="B1624">
        <v>65</v>
      </c>
      <c r="C1624" s="118" t="s">
        <v>2386</v>
      </c>
      <c r="D1624" t="s">
        <v>2090</v>
      </c>
      <c r="E1624">
        <v>185</v>
      </c>
      <c r="F1624" s="142">
        <v>200150</v>
      </c>
      <c r="G1624" s="143">
        <v>168194</v>
      </c>
      <c r="H1624" s="144">
        <v>31956</v>
      </c>
      <c r="I1624" s="140">
        <v>2</v>
      </c>
      <c r="J1624" s="114" t="str">
        <f t="shared" si="25"/>
        <v>INSERT INTO DOCUMENTOS (NRO_DOCUMENTO,FECHA_EMISION,TOTAL_BRUTO,TOTAL_NETO,TOTAL_IVA, ID_TIPO, RUT_EMPLEADO, ID_CLIENTE) VALUES(65,TO_DATE('12-08-2025','DD-MM-YYYY'),200150,168194,31956,2,'14526149-K',185);</v>
      </c>
    </row>
    <row r="1625" spans="1:10">
      <c r="A1625" s="149"/>
      <c r="B1625">
        <v>66</v>
      </c>
      <c r="C1625" s="118" t="s">
        <v>2390</v>
      </c>
      <c r="D1625" t="s">
        <v>2090</v>
      </c>
      <c r="E1625">
        <v>203</v>
      </c>
      <c r="F1625" s="142">
        <v>103300</v>
      </c>
      <c r="G1625" s="143">
        <v>86809</v>
      </c>
      <c r="H1625" s="144">
        <v>16491</v>
      </c>
      <c r="I1625" s="140">
        <v>2</v>
      </c>
      <c r="J1625" s="114" t="str">
        <f t="shared" si="25"/>
        <v>INSERT INTO DOCUMENTOS (NRO_DOCUMENTO,FECHA_EMISION,TOTAL_BRUTO,TOTAL_NETO,TOTAL_IVA, ID_TIPO, RUT_EMPLEADO, ID_CLIENTE) VALUES(66,TO_DATE('16-08-2025','DD-MM-YYYY'),103300,86809,16491,2,'14526149-K',203);</v>
      </c>
    </row>
    <row r="1626" spans="1:10">
      <c r="A1626" s="149"/>
      <c r="B1626">
        <v>67</v>
      </c>
      <c r="C1626" s="118" t="s">
        <v>2391</v>
      </c>
      <c r="D1626" t="s">
        <v>2090</v>
      </c>
      <c r="E1626">
        <v>22</v>
      </c>
      <c r="F1626" s="142">
        <v>18000</v>
      </c>
      <c r="G1626" s="143">
        <v>15126</v>
      </c>
      <c r="H1626" s="144">
        <v>2874</v>
      </c>
      <c r="I1626" s="140">
        <v>2</v>
      </c>
      <c r="J1626" s="114" t="str">
        <f t="shared" si="25"/>
        <v>INSERT INTO DOCUMENTOS (NRO_DOCUMENTO,FECHA_EMISION,TOTAL_BRUTO,TOTAL_NETO,TOTAL_IVA, ID_TIPO, RUT_EMPLEADO, ID_CLIENTE) VALUES(67,TO_DATE('17-08-2025','DD-MM-YYYY'),18000,15126,2874,2,'14526149-K',22);</v>
      </c>
    </row>
    <row r="1627" spans="1:10">
      <c r="A1627" s="149"/>
      <c r="B1627">
        <v>68</v>
      </c>
      <c r="C1627" s="118" t="s">
        <v>2392</v>
      </c>
      <c r="D1627" t="s">
        <v>2090</v>
      </c>
      <c r="E1627">
        <v>413</v>
      </c>
      <c r="F1627" s="142">
        <v>146800</v>
      </c>
      <c r="G1627" s="143">
        <v>123362</v>
      </c>
      <c r="H1627" s="144">
        <v>23438</v>
      </c>
      <c r="I1627" s="140">
        <v>2</v>
      </c>
      <c r="J1627" s="114" t="str">
        <f t="shared" si="25"/>
        <v>INSERT INTO DOCUMENTOS (NRO_DOCUMENTO,FECHA_EMISION,TOTAL_BRUTO,TOTAL_NETO,TOTAL_IVA, ID_TIPO, RUT_EMPLEADO, ID_CLIENTE) VALUES(68,TO_DATE('18-08-2025','DD-MM-YYYY'),146800,123362,23438,2,'14526149-K',413);</v>
      </c>
    </row>
    <row r="1628" spans="1:10">
      <c r="A1628" s="149"/>
      <c r="B1628">
        <v>69</v>
      </c>
      <c r="C1628" s="118" t="s">
        <v>2408</v>
      </c>
      <c r="D1628" t="s">
        <v>2090</v>
      </c>
      <c r="E1628">
        <v>180</v>
      </c>
      <c r="F1628" s="142">
        <v>17000</v>
      </c>
      <c r="G1628" s="143">
        <v>14286</v>
      </c>
      <c r="H1628" s="144">
        <v>2714</v>
      </c>
      <c r="I1628" s="140">
        <v>2</v>
      </c>
      <c r="J1628" s="114" t="str">
        <f t="shared" si="25"/>
        <v>INSERT INTO DOCUMENTOS (NRO_DOCUMENTO,FECHA_EMISION,TOTAL_BRUTO,TOTAL_NETO,TOTAL_IVA, ID_TIPO, RUT_EMPLEADO, ID_CLIENTE) VALUES(69,TO_DATE('03-09-2025','DD-MM-YYYY'),17000,14286,2714,2,'14526149-K',180);</v>
      </c>
    </row>
    <row r="1629" spans="1:10">
      <c r="A1629" s="149"/>
      <c r="B1629">
        <v>70</v>
      </c>
      <c r="C1629" s="118" t="s">
        <v>2409</v>
      </c>
      <c r="D1629" t="s">
        <v>2090</v>
      </c>
      <c r="E1629">
        <v>180</v>
      </c>
      <c r="F1629" s="142">
        <v>43200</v>
      </c>
      <c r="G1629" s="143">
        <v>36303</v>
      </c>
      <c r="H1629" s="144">
        <v>6897</v>
      </c>
      <c r="I1629" s="140">
        <v>2</v>
      </c>
      <c r="J1629" s="114" t="str">
        <f t="shared" si="25"/>
        <v>INSERT INTO DOCUMENTOS (NRO_DOCUMENTO,FECHA_EMISION,TOTAL_BRUTO,TOTAL_NETO,TOTAL_IVA, ID_TIPO, RUT_EMPLEADO, ID_CLIENTE) VALUES(70,TO_DATE('04-09-2025','DD-MM-YYYY'),43200,36303,6897,2,'14526149-K',180);</v>
      </c>
    </row>
    <row r="1630" spans="1:10">
      <c r="A1630" s="149"/>
      <c r="B1630">
        <v>71</v>
      </c>
      <c r="C1630" s="118" t="s">
        <v>2410</v>
      </c>
      <c r="D1630" t="s">
        <v>2090</v>
      </c>
      <c r="E1630">
        <v>9</v>
      </c>
      <c r="F1630" s="142">
        <v>47450</v>
      </c>
      <c r="G1630" s="143">
        <v>39876</v>
      </c>
      <c r="H1630" s="144">
        <v>7574</v>
      </c>
      <c r="I1630" s="140">
        <v>2</v>
      </c>
      <c r="J1630" s="114" t="str">
        <f t="shared" si="25"/>
        <v>INSERT INTO DOCUMENTOS (NRO_DOCUMENTO,FECHA_EMISION,TOTAL_BRUTO,TOTAL_NETO,TOTAL_IVA, ID_TIPO, RUT_EMPLEADO, ID_CLIENTE) VALUES(71,TO_DATE('05-09-2025','DD-MM-YYYY'),47450,39876,7574,2,'14526149-K',9);</v>
      </c>
    </row>
    <row r="1631" spans="1:10">
      <c r="A1631" s="149"/>
      <c r="B1631">
        <v>72</v>
      </c>
      <c r="C1631" s="118" t="s">
        <v>2412</v>
      </c>
      <c r="D1631" t="s">
        <v>2090</v>
      </c>
      <c r="E1631">
        <v>203</v>
      </c>
      <c r="F1631" s="142">
        <v>10750</v>
      </c>
      <c r="G1631" s="143">
        <v>9034</v>
      </c>
      <c r="H1631" s="144">
        <v>1716</v>
      </c>
      <c r="I1631" s="140">
        <v>2</v>
      </c>
      <c r="J1631" s="114" t="str">
        <f t="shared" si="25"/>
        <v>INSERT INTO DOCUMENTOS (NRO_DOCUMENTO,FECHA_EMISION,TOTAL_BRUTO,TOTAL_NETO,TOTAL_IVA, ID_TIPO, RUT_EMPLEADO, ID_CLIENTE) VALUES(72,TO_DATE('07-09-2025','DD-MM-YYYY'),10750,9034,1716,2,'14526149-K',203);</v>
      </c>
    </row>
    <row r="1632" spans="1:10">
      <c r="A1632" s="149"/>
      <c r="B1632">
        <v>73</v>
      </c>
      <c r="C1632" s="118" t="s">
        <v>2414</v>
      </c>
      <c r="D1632" t="s">
        <v>2090</v>
      </c>
      <c r="E1632">
        <v>413</v>
      </c>
      <c r="F1632" s="142">
        <v>217200</v>
      </c>
      <c r="G1632" s="143">
        <v>182522</v>
      </c>
      <c r="H1632" s="144">
        <v>34678</v>
      </c>
      <c r="I1632" s="140">
        <v>2</v>
      </c>
      <c r="J1632" s="114" t="str">
        <f t="shared" si="25"/>
        <v>INSERT INTO DOCUMENTOS (NRO_DOCUMENTO,FECHA_EMISION,TOTAL_BRUTO,TOTAL_NETO,TOTAL_IVA, ID_TIPO, RUT_EMPLEADO, ID_CLIENTE) VALUES(73,TO_DATE('09-09-2025','DD-MM-YYYY'),217200,182522,34678,2,'14526149-K',413);</v>
      </c>
    </row>
    <row r="1633" spans="1:10">
      <c r="A1633" s="149"/>
      <c r="B1633">
        <v>74</v>
      </c>
      <c r="C1633" s="118" t="s">
        <v>2419</v>
      </c>
      <c r="D1633" t="s">
        <v>2090</v>
      </c>
      <c r="E1633">
        <v>364</v>
      </c>
      <c r="F1633" s="142">
        <v>12002</v>
      </c>
      <c r="G1633" s="143">
        <v>10086</v>
      </c>
      <c r="H1633" s="144">
        <v>1916</v>
      </c>
      <c r="I1633" s="140">
        <v>2</v>
      </c>
      <c r="J1633" s="114" t="str">
        <f t="shared" si="25"/>
        <v>INSERT INTO DOCUMENTOS (NRO_DOCUMENTO,FECHA_EMISION,TOTAL_BRUTO,TOTAL_NETO,TOTAL_IVA, ID_TIPO, RUT_EMPLEADO, ID_CLIENTE) VALUES(74,TO_DATE('15-09-2025','DD-MM-YYYY'),12002,10086,1916,2,'14526149-K',364);</v>
      </c>
    </row>
    <row r="1634" spans="1:10">
      <c r="A1634" s="150"/>
      <c r="B1634">
        <v>75</v>
      </c>
      <c r="C1634" s="118" t="s">
        <v>2420</v>
      </c>
      <c r="D1634" t="s">
        <v>2090</v>
      </c>
      <c r="E1634">
        <v>203</v>
      </c>
      <c r="F1634" s="145">
        <v>63450</v>
      </c>
      <c r="G1634" s="146">
        <v>53320</v>
      </c>
      <c r="H1634" s="147">
        <v>10130</v>
      </c>
      <c r="I1634" s="140">
        <v>2</v>
      </c>
      <c r="J1634" s="114" t="str">
        <f t="shared" si="25"/>
        <v>INSERT INTO DOCUMENTOS (NRO_DOCUMENTO,FECHA_EMISION,TOTAL_BRUTO,TOTAL_NETO,TOTAL_IVA, ID_TIPO, RUT_EMPLEADO, ID_CLIENTE) VALUES(75,TO_DATE('16-09-2025','DD-MM-YYYY'),63450,53320,10130,2,'14526149-K',203);</v>
      </c>
    </row>
    <row r="1635" spans="1:10">
      <c r="A1635" t="s">
        <v>2159</v>
      </c>
      <c r="F1635" s="127">
        <v>35929330</v>
      </c>
      <c r="G1635" s="127">
        <v>30193012</v>
      </c>
      <c r="H1635" s="127">
        <v>5736318</v>
      </c>
      <c r="I1635" s="127"/>
      <c r="J1635" s="115" t="s">
        <v>2052</v>
      </c>
    </row>
  </sheetData>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18"/>
  <sheetViews>
    <sheetView tabSelected="1" topLeftCell="I3593" workbookViewId="0">
      <selection activeCell="K3600" sqref="K3600"/>
    </sheetView>
  </sheetViews>
  <sheetFormatPr baseColWidth="10" defaultRowHeight="13.2"/>
  <cols>
    <col min="1" max="1" width="7.33203125" bestFit="1" customWidth="1"/>
    <col min="2" max="2" width="15" bestFit="1" customWidth="1"/>
    <col min="3" max="3" width="14.109375" style="118" bestFit="1" customWidth="1"/>
    <col min="4" max="4" width="16.6640625" bestFit="1" customWidth="1"/>
    <col min="5" max="5" width="9.5546875" bestFit="1" customWidth="1"/>
    <col min="6" max="6" width="11.6640625" bestFit="1" customWidth="1"/>
    <col min="7" max="7" width="13.21875" bestFit="1" customWidth="1"/>
    <col min="8" max="9" width="11.77734375" bestFit="1" customWidth="1"/>
    <col min="10" max="10" width="10.21875" bestFit="1" customWidth="1"/>
    <col min="11" max="11" width="8.5546875" bestFit="1" customWidth="1"/>
    <col min="12" max="12" width="174.5546875" bestFit="1" customWidth="1"/>
  </cols>
  <sheetData>
    <row r="1" spans="1:12">
      <c r="A1" s="112" t="s">
        <v>2053</v>
      </c>
      <c r="B1" s="112" t="s">
        <v>2161</v>
      </c>
      <c r="C1" s="117" t="s">
        <v>2155</v>
      </c>
      <c r="D1" s="112" t="s">
        <v>2057</v>
      </c>
      <c r="E1" s="112" t="s">
        <v>2126</v>
      </c>
      <c r="F1" s="112" t="s">
        <v>2148</v>
      </c>
      <c r="G1" s="112" t="s">
        <v>5</v>
      </c>
      <c r="H1" s="112" t="s">
        <v>2152</v>
      </c>
      <c r="I1" s="112" t="s">
        <v>2156</v>
      </c>
      <c r="J1" s="112" t="s">
        <v>2157</v>
      </c>
      <c r="K1" s="112" t="s">
        <v>2158</v>
      </c>
      <c r="L1" s="141" t="s">
        <v>1695</v>
      </c>
    </row>
    <row r="2" spans="1:12">
      <c r="A2" s="114">
        <v>1</v>
      </c>
      <c r="B2" s="114">
        <v>1</v>
      </c>
      <c r="C2" s="139" t="s">
        <v>2165</v>
      </c>
      <c r="D2" s="114" t="s">
        <v>2090</v>
      </c>
      <c r="E2" s="114">
        <v>108</v>
      </c>
      <c r="F2" s="114">
        <v>329</v>
      </c>
      <c r="G2" s="114">
        <v>1</v>
      </c>
      <c r="H2" s="114">
        <v>5500</v>
      </c>
      <c r="I2" s="114">
        <v>5500</v>
      </c>
      <c r="J2" s="114">
        <v>4622</v>
      </c>
      <c r="K2" s="114">
        <v>878</v>
      </c>
      <c r="L2" s="114" t="str">
        <f>CONCATENATE("INSERT INTO DETALLES_DOCUMENTO(NRO_DOCUMENTO,ID_TIPO,ID_PRODUCTO,CANTIDAD,PRECIO,VALOR_BRUTO,VALOR_NETO,VALOR_IVA) VALUES(",B2,",",A2,",",F2,",",G2,",",H2,",",I2,",",J2,",",K2,");")</f>
        <v>INSERT INTO DETALLES_DOCUMENTO(NRO_DOCUMENTO,ID_TIPO,ID_PRODUCTO,CANTIDAD,PRECIO,VALOR_BRUTO,VALOR_NETO,VALOR_IVA) VALUES(1,1,329,1,5500,5500,4622,878);</v>
      </c>
    </row>
    <row r="3" spans="1:12">
      <c r="A3" s="114">
        <v>1</v>
      </c>
      <c r="B3" s="114">
        <v>1</v>
      </c>
      <c r="C3" s="139" t="s">
        <v>2165</v>
      </c>
      <c r="D3" s="114" t="s">
        <v>2090</v>
      </c>
      <c r="E3" s="114">
        <v>108</v>
      </c>
      <c r="F3" s="114">
        <v>382</v>
      </c>
      <c r="G3" s="114">
        <v>1</v>
      </c>
      <c r="H3" s="114">
        <v>2600</v>
      </c>
      <c r="I3" s="114">
        <v>2600</v>
      </c>
      <c r="J3" s="114">
        <v>2185</v>
      </c>
      <c r="K3" s="114">
        <v>415</v>
      </c>
      <c r="L3" s="114" t="str">
        <f t="shared" ref="L3:L66" si="0">CONCATENATE("INSERT INTO DETALLES_DOCUMENTO(NRO_DOCUMENTO,ID_TIPO,ID_PRODUCTO,CANTIDAD,PRECIO,VALOR_BRUTO,VALOR_NETO,VALOR_IVA) VALUES(",B3,",",A3,",",F3,",",G3,",",H3,",",I3,",",J3,",",K3,");")</f>
        <v>INSERT INTO DETALLES_DOCUMENTO(NRO_DOCUMENTO,ID_TIPO,ID_PRODUCTO,CANTIDAD,PRECIO,VALOR_BRUTO,VALOR_NETO,VALOR_IVA) VALUES(1,1,382,1,2600,2600,2185,415);</v>
      </c>
    </row>
    <row r="4" spans="1:12">
      <c r="A4" s="114">
        <v>1</v>
      </c>
      <c r="B4" s="114">
        <v>1</v>
      </c>
      <c r="C4" s="139" t="s">
        <v>2165</v>
      </c>
      <c r="D4" s="114" t="s">
        <v>2090</v>
      </c>
      <c r="E4" s="114">
        <v>108</v>
      </c>
      <c r="F4" s="114">
        <v>191</v>
      </c>
      <c r="G4" s="114">
        <v>1</v>
      </c>
      <c r="H4" s="114">
        <v>2500</v>
      </c>
      <c r="I4" s="114">
        <v>2500</v>
      </c>
      <c r="J4" s="114">
        <v>2101</v>
      </c>
      <c r="K4" s="114">
        <v>399</v>
      </c>
      <c r="L4" s="114" t="str">
        <f t="shared" si="0"/>
        <v>INSERT INTO DETALLES_DOCUMENTO(NRO_DOCUMENTO,ID_TIPO,ID_PRODUCTO,CANTIDAD,PRECIO,VALOR_BRUTO,VALOR_NETO,VALOR_IVA) VALUES(1,1,191,1,2500,2500,2101,399);</v>
      </c>
    </row>
    <row r="5" spans="1:12">
      <c r="A5" s="114">
        <v>1</v>
      </c>
      <c r="B5" s="114">
        <v>2</v>
      </c>
      <c r="C5" s="139" t="s">
        <v>2165</v>
      </c>
      <c r="D5" s="114" t="s">
        <v>2090</v>
      </c>
      <c r="E5" s="114">
        <v>110</v>
      </c>
      <c r="F5" s="114">
        <v>296</v>
      </c>
      <c r="G5" s="114">
        <v>2</v>
      </c>
      <c r="H5" s="114">
        <v>7000</v>
      </c>
      <c r="I5" s="114">
        <v>14000</v>
      </c>
      <c r="J5" s="114">
        <v>11765</v>
      </c>
      <c r="K5" s="114">
        <v>2235</v>
      </c>
      <c r="L5" s="114" t="str">
        <f t="shared" si="0"/>
        <v>INSERT INTO DETALLES_DOCUMENTO(NRO_DOCUMENTO,ID_TIPO,ID_PRODUCTO,CANTIDAD,PRECIO,VALOR_BRUTO,VALOR_NETO,VALOR_IVA) VALUES(2,1,296,2,7000,14000,11765,2235);</v>
      </c>
    </row>
    <row r="6" spans="1:12">
      <c r="A6" s="114">
        <v>1</v>
      </c>
      <c r="B6" s="114">
        <v>3</v>
      </c>
      <c r="C6" s="139" t="s">
        <v>2165</v>
      </c>
      <c r="D6" s="114" t="s">
        <v>2090</v>
      </c>
      <c r="E6" s="114">
        <v>111</v>
      </c>
      <c r="F6" s="114">
        <v>230</v>
      </c>
      <c r="G6" s="114">
        <v>1</v>
      </c>
      <c r="H6" s="114">
        <v>15500</v>
      </c>
      <c r="I6" s="114">
        <v>15500</v>
      </c>
      <c r="J6" s="114">
        <v>13025</v>
      </c>
      <c r="K6" s="114">
        <v>2475</v>
      </c>
      <c r="L6" s="114" t="str">
        <f t="shared" si="0"/>
        <v>INSERT INTO DETALLES_DOCUMENTO(NRO_DOCUMENTO,ID_TIPO,ID_PRODUCTO,CANTIDAD,PRECIO,VALOR_BRUTO,VALOR_NETO,VALOR_IVA) VALUES(3,1,230,1,15500,15500,13025,2475);</v>
      </c>
    </row>
    <row r="7" spans="1:12">
      <c r="A7" s="114">
        <v>1</v>
      </c>
      <c r="B7" s="114">
        <v>4</v>
      </c>
      <c r="C7" s="139" t="s">
        <v>2165</v>
      </c>
      <c r="D7" s="114" t="s">
        <v>2090</v>
      </c>
      <c r="E7" s="114">
        <v>116</v>
      </c>
      <c r="F7" s="114">
        <v>370</v>
      </c>
      <c r="G7" s="114">
        <v>1</v>
      </c>
      <c r="H7" s="114">
        <v>4000</v>
      </c>
      <c r="I7" s="114">
        <v>4000</v>
      </c>
      <c r="J7" s="114">
        <v>3361</v>
      </c>
      <c r="K7" s="114">
        <v>639</v>
      </c>
      <c r="L7" s="114" t="str">
        <f t="shared" si="0"/>
        <v>INSERT INTO DETALLES_DOCUMENTO(NRO_DOCUMENTO,ID_TIPO,ID_PRODUCTO,CANTIDAD,PRECIO,VALOR_BRUTO,VALOR_NETO,VALOR_IVA) VALUES(4,1,370,1,4000,4000,3361,639);</v>
      </c>
    </row>
    <row r="8" spans="1:12">
      <c r="A8" s="114">
        <v>1</v>
      </c>
      <c r="B8" s="114">
        <v>4</v>
      </c>
      <c r="C8" s="139" t="s">
        <v>2165</v>
      </c>
      <c r="D8" s="114" t="s">
        <v>2090</v>
      </c>
      <c r="E8" s="114">
        <v>116</v>
      </c>
      <c r="F8" s="114">
        <v>383</v>
      </c>
      <c r="G8" s="114">
        <v>2</v>
      </c>
      <c r="H8" s="114">
        <v>4800</v>
      </c>
      <c r="I8" s="114">
        <v>9600</v>
      </c>
      <c r="J8" s="114">
        <v>8067</v>
      </c>
      <c r="K8" s="114">
        <v>1533</v>
      </c>
      <c r="L8" s="114" t="str">
        <f t="shared" si="0"/>
        <v>INSERT INTO DETALLES_DOCUMENTO(NRO_DOCUMENTO,ID_TIPO,ID_PRODUCTO,CANTIDAD,PRECIO,VALOR_BRUTO,VALOR_NETO,VALOR_IVA) VALUES(4,1,383,2,4800,9600,8067,1533);</v>
      </c>
    </row>
    <row r="9" spans="1:12">
      <c r="A9" s="114">
        <v>1</v>
      </c>
      <c r="B9" s="114">
        <v>4</v>
      </c>
      <c r="C9" s="139" t="s">
        <v>2165</v>
      </c>
      <c r="D9" s="114" t="s">
        <v>2090</v>
      </c>
      <c r="E9" s="114">
        <v>116</v>
      </c>
      <c r="F9" s="114">
        <v>165</v>
      </c>
      <c r="G9" s="114">
        <v>1</v>
      </c>
      <c r="H9" s="114">
        <v>2000</v>
      </c>
      <c r="I9" s="114">
        <v>2000</v>
      </c>
      <c r="J9" s="114">
        <v>1681</v>
      </c>
      <c r="K9" s="114">
        <v>319</v>
      </c>
      <c r="L9" s="114" t="str">
        <f t="shared" si="0"/>
        <v>INSERT INTO DETALLES_DOCUMENTO(NRO_DOCUMENTO,ID_TIPO,ID_PRODUCTO,CANTIDAD,PRECIO,VALOR_BRUTO,VALOR_NETO,VALOR_IVA) VALUES(4,1,165,1,2000,2000,1681,319);</v>
      </c>
    </row>
    <row r="10" spans="1:12">
      <c r="A10" s="114">
        <v>1</v>
      </c>
      <c r="B10" s="114">
        <v>4</v>
      </c>
      <c r="C10" s="139" t="s">
        <v>2165</v>
      </c>
      <c r="D10" s="114" t="s">
        <v>2090</v>
      </c>
      <c r="E10" s="114">
        <v>116</v>
      </c>
      <c r="F10" s="114">
        <v>157</v>
      </c>
      <c r="G10" s="114">
        <v>1</v>
      </c>
      <c r="H10" s="114">
        <v>4300</v>
      </c>
      <c r="I10" s="114">
        <v>4300</v>
      </c>
      <c r="J10" s="114">
        <v>3613</v>
      </c>
      <c r="K10" s="114">
        <v>687</v>
      </c>
      <c r="L10" s="114" t="str">
        <f t="shared" si="0"/>
        <v>INSERT INTO DETALLES_DOCUMENTO(NRO_DOCUMENTO,ID_TIPO,ID_PRODUCTO,CANTIDAD,PRECIO,VALOR_BRUTO,VALOR_NETO,VALOR_IVA) VALUES(4,1,157,1,4300,4300,3613,687);</v>
      </c>
    </row>
    <row r="11" spans="1:12">
      <c r="A11" s="114">
        <v>1</v>
      </c>
      <c r="B11" s="114">
        <v>4</v>
      </c>
      <c r="C11" s="139" t="s">
        <v>2165</v>
      </c>
      <c r="D11" s="114" t="s">
        <v>2090</v>
      </c>
      <c r="E11" s="114">
        <v>116</v>
      </c>
      <c r="F11" s="114">
        <v>29</v>
      </c>
      <c r="G11" s="114">
        <v>1</v>
      </c>
      <c r="H11" s="114">
        <v>1000</v>
      </c>
      <c r="I11" s="114">
        <v>1000</v>
      </c>
      <c r="J11" s="114">
        <v>840</v>
      </c>
      <c r="K11" s="114">
        <v>160</v>
      </c>
      <c r="L11" s="114" t="str">
        <f t="shared" si="0"/>
        <v>INSERT INTO DETALLES_DOCUMENTO(NRO_DOCUMENTO,ID_TIPO,ID_PRODUCTO,CANTIDAD,PRECIO,VALOR_BRUTO,VALOR_NETO,VALOR_IVA) VALUES(4,1,29,1,1000,1000,840,160);</v>
      </c>
    </row>
    <row r="12" spans="1:12">
      <c r="A12" s="114">
        <v>1</v>
      </c>
      <c r="B12" s="114">
        <v>5</v>
      </c>
      <c r="C12" s="139" t="s">
        <v>2165</v>
      </c>
      <c r="D12" s="114" t="s">
        <v>2090</v>
      </c>
      <c r="E12" s="114">
        <v>119</v>
      </c>
      <c r="F12" s="114">
        <v>329</v>
      </c>
      <c r="G12" s="114">
        <v>1</v>
      </c>
      <c r="H12" s="114">
        <v>5500</v>
      </c>
      <c r="I12" s="114">
        <v>5500</v>
      </c>
      <c r="J12" s="114">
        <v>4622</v>
      </c>
      <c r="K12" s="114">
        <v>878</v>
      </c>
      <c r="L12" s="114" t="str">
        <f t="shared" si="0"/>
        <v>INSERT INTO DETALLES_DOCUMENTO(NRO_DOCUMENTO,ID_TIPO,ID_PRODUCTO,CANTIDAD,PRECIO,VALOR_BRUTO,VALOR_NETO,VALOR_IVA) VALUES(5,1,329,1,5500,5500,4622,878);</v>
      </c>
    </row>
    <row r="13" spans="1:12">
      <c r="A13" s="114">
        <v>1</v>
      </c>
      <c r="B13" s="114">
        <v>5</v>
      </c>
      <c r="C13" s="139" t="s">
        <v>2165</v>
      </c>
      <c r="D13" s="114" t="s">
        <v>2090</v>
      </c>
      <c r="E13" s="114">
        <v>119</v>
      </c>
      <c r="F13" s="114">
        <v>143</v>
      </c>
      <c r="G13" s="114">
        <v>1</v>
      </c>
      <c r="H13" s="114">
        <v>6500</v>
      </c>
      <c r="I13" s="114">
        <v>6500</v>
      </c>
      <c r="J13" s="114">
        <v>5462</v>
      </c>
      <c r="K13" s="114">
        <v>1038</v>
      </c>
      <c r="L13" s="114" t="str">
        <f t="shared" si="0"/>
        <v>INSERT INTO DETALLES_DOCUMENTO(NRO_DOCUMENTO,ID_TIPO,ID_PRODUCTO,CANTIDAD,PRECIO,VALOR_BRUTO,VALOR_NETO,VALOR_IVA) VALUES(5,1,143,1,6500,6500,5462,1038);</v>
      </c>
    </row>
    <row r="14" spans="1:12">
      <c r="A14" s="114">
        <v>1</v>
      </c>
      <c r="B14" s="114">
        <v>6</v>
      </c>
      <c r="C14" s="139" t="s">
        <v>2165</v>
      </c>
      <c r="D14" s="114" t="s">
        <v>2090</v>
      </c>
      <c r="E14" s="114">
        <v>166</v>
      </c>
      <c r="F14" s="114">
        <v>150</v>
      </c>
      <c r="G14" s="114">
        <v>1</v>
      </c>
      <c r="H14" s="114">
        <v>4200</v>
      </c>
      <c r="I14" s="114">
        <v>4200</v>
      </c>
      <c r="J14" s="114">
        <v>3529</v>
      </c>
      <c r="K14" s="114">
        <v>671</v>
      </c>
      <c r="L14" s="114" t="str">
        <f t="shared" si="0"/>
        <v>INSERT INTO DETALLES_DOCUMENTO(NRO_DOCUMENTO,ID_TIPO,ID_PRODUCTO,CANTIDAD,PRECIO,VALOR_BRUTO,VALOR_NETO,VALOR_IVA) VALUES(6,1,150,1,4200,4200,3529,671);</v>
      </c>
    </row>
    <row r="15" spans="1:12">
      <c r="A15" s="114">
        <v>1</v>
      </c>
      <c r="B15" s="114">
        <v>6</v>
      </c>
      <c r="C15" s="139" t="s">
        <v>2165</v>
      </c>
      <c r="D15" s="114" t="s">
        <v>2090</v>
      </c>
      <c r="E15" s="114">
        <v>166</v>
      </c>
      <c r="F15" s="114">
        <v>155</v>
      </c>
      <c r="G15" s="114">
        <v>1</v>
      </c>
      <c r="H15" s="114">
        <v>1650</v>
      </c>
      <c r="I15" s="114">
        <v>1650</v>
      </c>
      <c r="J15" s="114">
        <v>1387</v>
      </c>
      <c r="K15" s="114">
        <v>263</v>
      </c>
      <c r="L15" s="114" t="str">
        <f t="shared" si="0"/>
        <v>INSERT INTO DETALLES_DOCUMENTO(NRO_DOCUMENTO,ID_TIPO,ID_PRODUCTO,CANTIDAD,PRECIO,VALOR_BRUTO,VALOR_NETO,VALOR_IVA) VALUES(6,1,155,1,1650,1650,1387,263);</v>
      </c>
    </row>
    <row r="16" spans="1:12">
      <c r="A16" s="114">
        <v>1</v>
      </c>
      <c r="B16" s="114">
        <v>6</v>
      </c>
      <c r="C16" s="139" t="s">
        <v>2165</v>
      </c>
      <c r="D16" s="114" t="s">
        <v>2090</v>
      </c>
      <c r="E16" s="114">
        <v>166</v>
      </c>
      <c r="F16" s="114">
        <v>156</v>
      </c>
      <c r="G16" s="114">
        <v>1</v>
      </c>
      <c r="H16" s="114">
        <v>1400</v>
      </c>
      <c r="I16" s="114">
        <v>1400</v>
      </c>
      <c r="J16" s="114">
        <v>1176</v>
      </c>
      <c r="K16" s="114">
        <v>224</v>
      </c>
      <c r="L16" s="114" t="str">
        <f t="shared" si="0"/>
        <v>INSERT INTO DETALLES_DOCUMENTO(NRO_DOCUMENTO,ID_TIPO,ID_PRODUCTO,CANTIDAD,PRECIO,VALOR_BRUTO,VALOR_NETO,VALOR_IVA) VALUES(6,1,156,1,1400,1400,1176,224);</v>
      </c>
    </row>
    <row r="17" spans="1:12">
      <c r="A17" s="114">
        <v>1</v>
      </c>
      <c r="B17" s="114">
        <v>7</v>
      </c>
      <c r="C17" s="139" t="s">
        <v>2165</v>
      </c>
      <c r="D17" s="114" t="s">
        <v>2090</v>
      </c>
      <c r="E17" s="114">
        <v>219</v>
      </c>
      <c r="F17" s="114">
        <v>143</v>
      </c>
      <c r="G17" s="114">
        <v>1</v>
      </c>
      <c r="H17" s="114">
        <v>6500</v>
      </c>
      <c r="I17" s="114">
        <v>6500</v>
      </c>
      <c r="J17" s="114">
        <v>5462</v>
      </c>
      <c r="K17" s="114">
        <v>1038</v>
      </c>
      <c r="L17" s="114" t="str">
        <f t="shared" si="0"/>
        <v>INSERT INTO DETALLES_DOCUMENTO(NRO_DOCUMENTO,ID_TIPO,ID_PRODUCTO,CANTIDAD,PRECIO,VALOR_BRUTO,VALOR_NETO,VALOR_IVA) VALUES(7,1,143,1,6500,6500,5462,1038);</v>
      </c>
    </row>
    <row r="18" spans="1:12">
      <c r="A18" s="114">
        <v>1</v>
      </c>
      <c r="B18" s="114">
        <v>7</v>
      </c>
      <c r="C18" s="139" t="s">
        <v>2165</v>
      </c>
      <c r="D18" s="114" t="s">
        <v>2090</v>
      </c>
      <c r="E18" s="114">
        <v>219</v>
      </c>
      <c r="F18" s="114">
        <v>231</v>
      </c>
      <c r="G18" s="114">
        <v>1</v>
      </c>
      <c r="H18" s="114">
        <v>19990</v>
      </c>
      <c r="I18" s="114">
        <v>19990</v>
      </c>
      <c r="J18" s="114">
        <v>16798</v>
      </c>
      <c r="K18" s="114">
        <v>3192</v>
      </c>
      <c r="L18" s="114" t="str">
        <f t="shared" si="0"/>
        <v>INSERT INTO DETALLES_DOCUMENTO(NRO_DOCUMENTO,ID_TIPO,ID_PRODUCTO,CANTIDAD,PRECIO,VALOR_BRUTO,VALOR_NETO,VALOR_IVA) VALUES(7,1,231,1,19990,19990,16798,3192);</v>
      </c>
    </row>
    <row r="19" spans="1:12">
      <c r="A19" s="114">
        <v>1</v>
      </c>
      <c r="B19" s="114">
        <v>8</v>
      </c>
      <c r="C19" s="139" t="s">
        <v>2165</v>
      </c>
      <c r="D19" s="114" t="s">
        <v>2090</v>
      </c>
      <c r="E19" s="114">
        <v>353</v>
      </c>
      <c r="F19" s="114">
        <v>231</v>
      </c>
      <c r="G19" s="114">
        <v>1</v>
      </c>
      <c r="H19" s="114">
        <v>19990</v>
      </c>
      <c r="I19" s="114">
        <v>19990</v>
      </c>
      <c r="J19" s="114">
        <v>16798</v>
      </c>
      <c r="K19" s="114">
        <v>3192</v>
      </c>
      <c r="L19" s="114" t="str">
        <f t="shared" si="0"/>
        <v>INSERT INTO DETALLES_DOCUMENTO(NRO_DOCUMENTO,ID_TIPO,ID_PRODUCTO,CANTIDAD,PRECIO,VALOR_BRUTO,VALOR_NETO,VALOR_IVA) VALUES(8,1,231,1,19990,19990,16798,3192);</v>
      </c>
    </row>
    <row r="20" spans="1:12">
      <c r="A20" s="114">
        <v>1</v>
      </c>
      <c r="B20" s="114">
        <v>9</v>
      </c>
      <c r="C20" s="139" t="s">
        <v>2165</v>
      </c>
      <c r="D20" s="114" t="s">
        <v>2090</v>
      </c>
      <c r="E20" s="114">
        <v>374</v>
      </c>
      <c r="F20" s="114">
        <v>324</v>
      </c>
      <c r="G20" s="114">
        <v>1</v>
      </c>
      <c r="H20" s="114">
        <v>10500</v>
      </c>
      <c r="I20" s="114">
        <v>10500</v>
      </c>
      <c r="J20" s="114">
        <v>8824</v>
      </c>
      <c r="K20" s="114">
        <v>1676</v>
      </c>
      <c r="L20" s="114" t="str">
        <f t="shared" si="0"/>
        <v>INSERT INTO DETALLES_DOCUMENTO(NRO_DOCUMENTO,ID_TIPO,ID_PRODUCTO,CANTIDAD,PRECIO,VALOR_BRUTO,VALOR_NETO,VALOR_IVA) VALUES(9,1,324,1,10500,10500,8824,1676);</v>
      </c>
    </row>
    <row r="21" spans="1:12">
      <c r="A21" s="114">
        <v>1</v>
      </c>
      <c r="B21" s="114">
        <v>10</v>
      </c>
      <c r="C21" s="139" t="s">
        <v>2165</v>
      </c>
      <c r="D21" s="114" t="s">
        <v>2090</v>
      </c>
      <c r="E21" s="114">
        <v>446</v>
      </c>
      <c r="F21" s="114">
        <v>329</v>
      </c>
      <c r="G21" s="114">
        <v>1</v>
      </c>
      <c r="H21" s="114">
        <v>5500</v>
      </c>
      <c r="I21" s="114">
        <v>5500</v>
      </c>
      <c r="J21" s="114">
        <v>4622</v>
      </c>
      <c r="K21" s="114">
        <v>878</v>
      </c>
      <c r="L21" s="114" t="str">
        <f t="shared" si="0"/>
        <v>INSERT INTO DETALLES_DOCUMENTO(NRO_DOCUMENTO,ID_TIPO,ID_PRODUCTO,CANTIDAD,PRECIO,VALOR_BRUTO,VALOR_NETO,VALOR_IVA) VALUES(10,1,329,1,5500,5500,4622,878);</v>
      </c>
    </row>
    <row r="22" spans="1:12">
      <c r="A22" s="114">
        <v>1</v>
      </c>
      <c r="B22" s="114">
        <v>10</v>
      </c>
      <c r="C22" s="139" t="s">
        <v>2165</v>
      </c>
      <c r="D22" s="114" t="s">
        <v>2090</v>
      </c>
      <c r="E22" s="114">
        <v>446</v>
      </c>
      <c r="F22" s="114">
        <v>69</v>
      </c>
      <c r="G22" s="114">
        <v>1</v>
      </c>
      <c r="H22" s="114">
        <v>3000</v>
      </c>
      <c r="I22" s="114">
        <v>3000</v>
      </c>
      <c r="J22" s="114">
        <v>2521</v>
      </c>
      <c r="K22" s="114">
        <v>479</v>
      </c>
      <c r="L22" s="114" t="str">
        <f t="shared" si="0"/>
        <v>INSERT INTO DETALLES_DOCUMENTO(NRO_DOCUMENTO,ID_TIPO,ID_PRODUCTO,CANTIDAD,PRECIO,VALOR_BRUTO,VALOR_NETO,VALOR_IVA) VALUES(10,1,69,1,3000,3000,2521,479);</v>
      </c>
    </row>
    <row r="23" spans="1:12">
      <c r="A23" s="114">
        <v>1</v>
      </c>
      <c r="B23" s="114">
        <v>10</v>
      </c>
      <c r="C23" s="139" t="s">
        <v>2165</v>
      </c>
      <c r="D23" s="114" t="s">
        <v>2090</v>
      </c>
      <c r="E23" s="114">
        <v>446</v>
      </c>
      <c r="F23" s="114">
        <v>368</v>
      </c>
      <c r="G23" s="114">
        <v>1</v>
      </c>
      <c r="H23" s="114">
        <v>3000</v>
      </c>
      <c r="I23" s="114">
        <v>3000</v>
      </c>
      <c r="J23" s="114">
        <v>2521</v>
      </c>
      <c r="K23" s="114">
        <v>479</v>
      </c>
      <c r="L23" s="114" t="str">
        <f t="shared" si="0"/>
        <v>INSERT INTO DETALLES_DOCUMENTO(NRO_DOCUMENTO,ID_TIPO,ID_PRODUCTO,CANTIDAD,PRECIO,VALOR_BRUTO,VALOR_NETO,VALOR_IVA) VALUES(10,1,368,1,3000,3000,2521,479);</v>
      </c>
    </row>
    <row r="24" spans="1:12">
      <c r="A24" s="114">
        <v>1</v>
      </c>
      <c r="B24" s="114">
        <v>11</v>
      </c>
      <c r="C24" s="139" t="s">
        <v>2165</v>
      </c>
      <c r="D24" s="114" t="s">
        <v>2090</v>
      </c>
      <c r="E24" s="114">
        <v>457</v>
      </c>
      <c r="F24" s="114">
        <v>230</v>
      </c>
      <c r="G24" s="114">
        <v>1</v>
      </c>
      <c r="H24" s="114">
        <v>15500</v>
      </c>
      <c r="I24" s="114">
        <v>15500</v>
      </c>
      <c r="J24" s="114">
        <v>13025</v>
      </c>
      <c r="K24" s="114">
        <v>2475</v>
      </c>
      <c r="L24" s="114" t="str">
        <f t="shared" si="0"/>
        <v>INSERT INTO DETALLES_DOCUMENTO(NRO_DOCUMENTO,ID_TIPO,ID_PRODUCTO,CANTIDAD,PRECIO,VALOR_BRUTO,VALOR_NETO,VALOR_IVA) VALUES(11,1,230,1,15500,15500,13025,2475);</v>
      </c>
    </row>
    <row r="25" spans="1:12">
      <c r="A25" s="114">
        <v>1</v>
      </c>
      <c r="B25" s="114">
        <v>12</v>
      </c>
      <c r="C25" s="139" t="s">
        <v>2165</v>
      </c>
      <c r="D25" s="114" t="s">
        <v>2090</v>
      </c>
      <c r="E25" s="114">
        <v>469</v>
      </c>
      <c r="F25" s="114">
        <v>143</v>
      </c>
      <c r="G25" s="114">
        <v>1</v>
      </c>
      <c r="H25" s="114">
        <v>6500</v>
      </c>
      <c r="I25" s="114">
        <v>6500</v>
      </c>
      <c r="J25" s="114">
        <v>5462</v>
      </c>
      <c r="K25" s="114">
        <v>1038</v>
      </c>
      <c r="L25" s="114" t="str">
        <f t="shared" si="0"/>
        <v>INSERT INTO DETALLES_DOCUMENTO(NRO_DOCUMENTO,ID_TIPO,ID_PRODUCTO,CANTIDAD,PRECIO,VALOR_BRUTO,VALOR_NETO,VALOR_IVA) VALUES(12,1,143,1,6500,6500,5462,1038);</v>
      </c>
    </row>
    <row r="26" spans="1:12">
      <c r="A26" s="114">
        <v>1</v>
      </c>
      <c r="B26" s="114">
        <v>13</v>
      </c>
      <c r="C26" s="139" t="s">
        <v>2165</v>
      </c>
      <c r="D26" s="114" t="s">
        <v>2090</v>
      </c>
      <c r="E26" s="114">
        <v>470</v>
      </c>
      <c r="F26" s="114">
        <v>144</v>
      </c>
      <c r="G26" s="114">
        <v>1</v>
      </c>
      <c r="H26" s="114">
        <v>6900</v>
      </c>
      <c r="I26" s="114">
        <v>6900</v>
      </c>
      <c r="J26" s="114">
        <v>5798</v>
      </c>
      <c r="K26" s="114">
        <v>1102</v>
      </c>
      <c r="L26" s="114" t="str">
        <f t="shared" si="0"/>
        <v>INSERT INTO DETALLES_DOCUMENTO(NRO_DOCUMENTO,ID_TIPO,ID_PRODUCTO,CANTIDAD,PRECIO,VALOR_BRUTO,VALOR_NETO,VALOR_IVA) VALUES(13,1,144,1,6900,6900,5798,1102);</v>
      </c>
    </row>
    <row r="27" spans="1:12">
      <c r="A27" s="114">
        <v>1</v>
      </c>
      <c r="B27" s="114">
        <v>14</v>
      </c>
      <c r="C27" s="139" t="s">
        <v>2166</v>
      </c>
      <c r="D27" s="114" t="s">
        <v>2090</v>
      </c>
      <c r="E27" s="114">
        <v>22</v>
      </c>
      <c r="F27" s="114">
        <v>98</v>
      </c>
      <c r="G27" s="114">
        <v>1</v>
      </c>
      <c r="H27" s="114">
        <v>3500</v>
      </c>
      <c r="I27" s="114">
        <v>3500</v>
      </c>
      <c r="J27" s="114">
        <v>2941</v>
      </c>
      <c r="K27" s="114">
        <v>559</v>
      </c>
      <c r="L27" s="114" t="str">
        <f t="shared" si="0"/>
        <v>INSERT INTO DETALLES_DOCUMENTO(NRO_DOCUMENTO,ID_TIPO,ID_PRODUCTO,CANTIDAD,PRECIO,VALOR_BRUTO,VALOR_NETO,VALOR_IVA) VALUES(14,1,98,1,3500,3500,2941,559);</v>
      </c>
    </row>
    <row r="28" spans="1:12">
      <c r="A28" s="114">
        <v>1</v>
      </c>
      <c r="B28" s="114">
        <v>14</v>
      </c>
      <c r="C28" s="139" t="s">
        <v>2166</v>
      </c>
      <c r="D28" s="114" t="s">
        <v>2090</v>
      </c>
      <c r="E28" s="114">
        <v>22</v>
      </c>
      <c r="F28" s="114">
        <v>275</v>
      </c>
      <c r="G28" s="114">
        <v>1</v>
      </c>
      <c r="H28" s="114">
        <v>6900</v>
      </c>
      <c r="I28" s="114">
        <v>6900</v>
      </c>
      <c r="J28" s="114">
        <v>5798</v>
      </c>
      <c r="K28" s="114">
        <v>1102</v>
      </c>
      <c r="L28" s="114" t="str">
        <f t="shared" si="0"/>
        <v>INSERT INTO DETALLES_DOCUMENTO(NRO_DOCUMENTO,ID_TIPO,ID_PRODUCTO,CANTIDAD,PRECIO,VALOR_BRUTO,VALOR_NETO,VALOR_IVA) VALUES(14,1,275,1,6900,6900,5798,1102);</v>
      </c>
    </row>
    <row r="29" spans="1:12">
      <c r="A29" s="114">
        <v>1</v>
      </c>
      <c r="B29" s="114">
        <v>14</v>
      </c>
      <c r="C29" s="139" t="s">
        <v>2166</v>
      </c>
      <c r="D29" s="114" t="s">
        <v>2090</v>
      </c>
      <c r="E29" s="114">
        <v>22</v>
      </c>
      <c r="F29" s="114">
        <v>293</v>
      </c>
      <c r="G29" s="114">
        <v>1</v>
      </c>
      <c r="H29" s="114">
        <v>9500</v>
      </c>
      <c r="I29" s="114">
        <v>9500</v>
      </c>
      <c r="J29" s="114">
        <v>7983</v>
      </c>
      <c r="K29" s="114">
        <v>1517</v>
      </c>
      <c r="L29" s="114" t="str">
        <f t="shared" si="0"/>
        <v>INSERT INTO DETALLES_DOCUMENTO(NRO_DOCUMENTO,ID_TIPO,ID_PRODUCTO,CANTIDAD,PRECIO,VALOR_BRUTO,VALOR_NETO,VALOR_IVA) VALUES(14,1,293,1,9500,9500,7983,1517);</v>
      </c>
    </row>
    <row r="30" spans="1:12">
      <c r="A30" s="114">
        <v>1</v>
      </c>
      <c r="B30" s="114">
        <v>14</v>
      </c>
      <c r="C30" s="139" t="s">
        <v>2166</v>
      </c>
      <c r="D30" s="114" t="s">
        <v>2090</v>
      </c>
      <c r="E30" s="114">
        <v>22</v>
      </c>
      <c r="F30" s="114">
        <v>25</v>
      </c>
      <c r="G30" s="114">
        <v>1</v>
      </c>
      <c r="H30" s="114">
        <v>1800</v>
      </c>
      <c r="I30" s="114">
        <v>1800</v>
      </c>
      <c r="J30" s="114">
        <v>1513</v>
      </c>
      <c r="K30" s="114">
        <v>287</v>
      </c>
      <c r="L30" s="114" t="str">
        <f t="shared" si="0"/>
        <v>INSERT INTO DETALLES_DOCUMENTO(NRO_DOCUMENTO,ID_TIPO,ID_PRODUCTO,CANTIDAD,PRECIO,VALOR_BRUTO,VALOR_NETO,VALOR_IVA) VALUES(14,1,25,1,1800,1800,1513,287);</v>
      </c>
    </row>
    <row r="31" spans="1:12">
      <c r="A31" s="114">
        <v>1</v>
      </c>
      <c r="B31" s="114">
        <v>14</v>
      </c>
      <c r="C31" s="139" t="s">
        <v>2166</v>
      </c>
      <c r="D31" s="114" t="s">
        <v>2090</v>
      </c>
      <c r="E31" s="114">
        <v>22</v>
      </c>
      <c r="F31" s="114">
        <v>26</v>
      </c>
      <c r="G31" s="114">
        <v>1</v>
      </c>
      <c r="H31" s="114">
        <v>3400</v>
      </c>
      <c r="I31" s="114">
        <v>3400</v>
      </c>
      <c r="J31" s="114">
        <v>2857</v>
      </c>
      <c r="K31" s="114">
        <v>543</v>
      </c>
      <c r="L31" s="114" t="str">
        <f t="shared" si="0"/>
        <v>INSERT INTO DETALLES_DOCUMENTO(NRO_DOCUMENTO,ID_TIPO,ID_PRODUCTO,CANTIDAD,PRECIO,VALOR_BRUTO,VALOR_NETO,VALOR_IVA) VALUES(14,1,26,1,3400,3400,2857,543);</v>
      </c>
    </row>
    <row r="32" spans="1:12">
      <c r="A32" s="114">
        <v>1</v>
      </c>
      <c r="B32" s="114">
        <v>14</v>
      </c>
      <c r="C32" s="139" t="s">
        <v>2166</v>
      </c>
      <c r="D32" s="114" t="s">
        <v>2090</v>
      </c>
      <c r="E32" s="114">
        <v>22</v>
      </c>
      <c r="F32" s="114">
        <v>165</v>
      </c>
      <c r="G32" s="114">
        <v>1</v>
      </c>
      <c r="H32" s="114">
        <v>2000</v>
      </c>
      <c r="I32" s="114">
        <v>2000</v>
      </c>
      <c r="J32" s="114">
        <v>1681</v>
      </c>
      <c r="K32" s="114">
        <v>319</v>
      </c>
      <c r="L32" s="114" t="str">
        <f t="shared" si="0"/>
        <v>INSERT INTO DETALLES_DOCUMENTO(NRO_DOCUMENTO,ID_TIPO,ID_PRODUCTO,CANTIDAD,PRECIO,VALOR_BRUTO,VALOR_NETO,VALOR_IVA) VALUES(14,1,165,1,2000,2000,1681,319);</v>
      </c>
    </row>
    <row r="33" spans="1:12">
      <c r="A33" s="114">
        <v>1</v>
      </c>
      <c r="B33" s="114">
        <v>14</v>
      </c>
      <c r="C33" s="139" t="s">
        <v>2166</v>
      </c>
      <c r="D33" s="114" t="s">
        <v>2090</v>
      </c>
      <c r="E33" s="114">
        <v>22</v>
      </c>
      <c r="F33" s="114">
        <v>156</v>
      </c>
      <c r="G33" s="114">
        <v>1</v>
      </c>
      <c r="H33" s="114">
        <v>1400</v>
      </c>
      <c r="I33" s="114">
        <v>1400</v>
      </c>
      <c r="J33" s="114">
        <v>1176</v>
      </c>
      <c r="K33" s="114">
        <v>224</v>
      </c>
      <c r="L33" s="114" t="str">
        <f t="shared" si="0"/>
        <v>INSERT INTO DETALLES_DOCUMENTO(NRO_DOCUMENTO,ID_TIPO,ID_PRODUCTO,CANTIDAD,PRECIO,VALOR_BRUTO,VALOR_NETO,VALOR_IVA) VALUES(14,1,156,1,1400,1400,1176,224);</v>
      </c>
    </row>
    <row r="34" spans="1:12">
      <c r="A34" s="114">
        <v>1</v>
      </c>
      <c r="B34" s="114">
        <v>15</v>
      </c>
      <c r="C34" s="139" t="s">
        <v>2166</v>
      </c>
      <c r="D34" s="114" t="s">
        <v>2090</v>
      </c>
      <c r="E34" s="114">
        <v>65</v>
      </c>
      <c r="F34" s="114">
        <v>8</v>
      </c>
      <c r="G34" s="114">
        <v>1</v>
      </c>
      <c r="H34" s="114">
        <v>18500</v>
      </c>
      <c r="I34" s="114">
        <v>18500</v>
      </c>
      <c r="J34" s="114">
        <v>15546</v>
      </c>
      <c r="K34" s="114">
        <v>2954</v>
      </c>
      <c r="L34" s="114" t="str">
        <f t="shared" si="0"/>
        <v>INSERT INTO DETALLES_DOCUMENTO(NRO_DOCUMENTO,ID_TIPO,ID_PRODUCTO,CANTIDAD,PRECIO,VALOR_BRUTO,VALOR_NETO,VALOR_IVA) VALUES(15,1,8,1,18500,18500,15546,2954);</v>
      </c>
    </row>
    <row r="35" spans="1:12">
      <c r="A35" s="114">
        <v>1</v>
      </c>
      <c r="B35" s="114">
        <v>16</v>
      </c>
      <c r="C35" s="139" t="s">
        <v>2166</v>
      </c>
      <c r="D35" s="114" t="s">
        <v>2090</v>
      </c>
      <c r="E35" s="114">
        <v>73</v>
      </c>
      <c r="F35" s="114">
        <v>167</v>
      </c>
      <c r="G35" s="114">
        <v>2</v>
      </c>
      <c r="H35" s="114">
        <v>16400</v>
      </c>
      <c r="I35" s="114">
        <v>32800</v>
      </c>
      <c r="J35" s="114">
        <v>27563</v>
      </c>
      <c r="K35" s="114">
        <v>5237</v>
      </c>
      <c r="L35" s="114" t="str">
        <f t="shared" si="0"/>
        <v>INSERT INTO DETALLES_DOCUMENTO(NRO_DOCUMENTO,ID_TIPO,ID_PRODUCTO,CANTIDAD,PRECIO,VALOR_BRUTO,VALOR_NETO,VALOR_IVA) VALUES(16,1,167,2,16400,32800,27563,5237);</v>
      </c>
    </row>
    <row r="36" spans="1:12">
      <c r="A36" s="114">
        <v>1</v>
      </c>
      <c r="B36" s="114">
        <v>16</v>
      </c>
      <c r="C36" s="139" t="s">
        <v>2166</v>
      </c>
      <c r="D36" s="114" t="s">
        <v>2090</v>
      </c>
      <c r="E36" s="114">
        <v>73</v>
      </c>
      <c r="F36" s="114">
        <v>6</v>
      </c>
      <c r="G36" s="114">
        <v>1</v>
      </c>
      <c r="H36" s="114">
        <v>8200</v>
      </c>
      <c r="I36" s="114">
        <v>8200</v>
      </c>
      <c r="J36" s="114">
        <v>6891</v>
      </c>
      <c r="K36" s="114">
        <v>1309</v>
      </c>
      <c r="L36" s="114" t="str">
        <f t="shared" si="0"/>
        <v>INSERT INTO DETALLES_DOCUMENTO(NRO_DOCUMENTO,ID_TIPO,ID_PRODUCTO,CANTIDAD,PRECIO,VALOR_BRUTO,VALOR_NETO,VALOR_IVA) VALUES(16,1,6,1,8200,8200,6891,1309);</v>
      </c>
    </row>
    <row r="37" spans="1:12">
      <c r="A37" s="114">
        <v>1</v>
      </c>
      <c r="B37" s="114">
        <v>17</v>
      </c>
      <c r="C37" s="139" t="s">
        <v>2166</v>
      </c>
      <c r="D37" s="114" t="s">
        <v>2090</v>
      </c>
      <c r="E37" s="114">
        <v>342</v>
      </c>
      <c r="F37" s="114">
        <v>233</v>
      </c>
      <c r="G37" s="114">
        <v>2</v>
      </c>
      <c r="H37" s="114">
        <v>31980</v>
      </c>
      <c r="I37" s="114">
        <v>63960</v>
      </c>
      <c r="J37" s="114">
        <v>53748</v>
      </c>
      <c r="K37" s="114">
        <v>10212</v>
      </c>
      <c r="L37" s="114" t="str">
        <f t="shared" si="0"/>
        <v>INSERT INTO DETALLES_DOCUMENTO(NRO_DOCUMENTO,ID_TIPO,ID_PRODUCTO,CANTIDAD,PRECIO,VALOR_BRUTO,VALOR_NETO,VALOR_IVA) VALUES(17,1,233,2,31980,63960,53748,10212);</v>
      </c>
    </row>
    <row r="38" spans="1:12">
      <c r="A38" s="114">
        <v>1</v>
      </c>
      <c r="B38" s="114">
        <v>18</v>
      </c>
      <c r="C38" s="139" t="s">
        <v>2166</v>
      </c>
      <c r="D38" s="114" t="s">
        <v>2090</v>
      </c>
      <c r="E38" s="114">
        <v>374</v>
      </c>
      <c r="F38" s="114">
        <v>230</v>
      </c>
      <c r="G38" s="114">
        <v>1</v>
      </c>
      <c r="H38" s="114">
        <v>15500</v>
      </c>
      <c r="I38" s="114">
        <v>15500</v>
      </c>
      <c r="J38" s="114">
        <v>13025</v>
      </c>
      <c r="K38" s="114">
        <v>2475</v>
      </c>
      <c r="L38" s="114" t="str">
        <f t="shared" si="0"/>
        <v>INSERT INTO DETALLES_DOCUMENTO(NRO_DOCUMENTO,ID_TIPO,ID_PRODUCTO,CANTIDAD,PRECIO,VALOR_BRUTO,VALOR_NETO,VALOR_IVA) VALUES(18,1,230,1,15500,15500,13025,2475);</v>
      </c>
    </row>
    <row r="39" spans="1:12">
      <c r="A39" s="114">
        <v>1</v>
      </c>
      <c r="B39" s="114">
        <v>18</v>
      </c>
      <c r="C39" s="139" t="s">
        <v>2166</v>
      </c>
      <c r="D39" s="114" t="s">
        <v>2090</v>
      </c>
      <c r="E39" s="114">
        <v>374</v>
      </c>
      <c r="F39" s="114">
        <v>229</v>
      </c>
      <c r="G39" s="114">
        <v>1</v>
      </c>
      <c r="H39" s="114">
        <v>18500</v>
      </c>
      <c r="I39" s="114">
        <v>18500</v>
      </c>
      <c r="J39" s="114">
        <v>15546</v>
      </c>
      <c r="K39" s="114">
        <v>2954</v>
      </c>
      <c r="L39" s="114" t="str">
        <f t="shared" si="0"/>
        <v>INSERT INTO DETALLES_DOCUMENTO(NRO_DOCUMENTO,ID_TIPO,ID_PRODUCTO,CANTIDAD,PRECIO,VALOR_BRUTO,VALOR_NETO,VALOR_IVA) VALUES(18,1,229,1,18500,18500,15546,2954);</v>
      </c>
    </row>
    <row r="40" spans="1:12">
      <c r="A40" s="114">
        <v>1</v>
      </c>
      <c r="B40" s="114">
        <v>18</v>
      </c>
      <c r="C40" s="139" t="s">
        <v>2166</v>
      </c>
      <c r="D40" s="114" t="s">
        <v>2090</v>
      </c>
      <c r="E40" s="114">
        <v>374</v>
      </c>
      <c r="F40" s="114">
        <v>259</v>
      </c>
      <c r="G40" s="114">
        <v>1</v>
      </c>
      <c r="H40" s="114">
        <v>4500</v>
      </c>
      <c r="I40" s="114">
        <v>4500</v>
      </c>
      <c r="J40" s="114">
        <v>3782</v>
      </c>
      <c r="K40" s="114">
        <v>718</v>
      </c>
      <c r="L40" s="114" t="str">
        <f t="shared" si="0"/>
        <v>INSERT INTO DETALLES_DOCUMENTO(NRO_DOCUMENTO,ID_TIPO,ID_PRODUCTO,CANTIDAD,PRECIO,VALOR_BRUTO,VALOR_NETO,VALOR_IVA) VALUES(18,1,259,1,4500,4500,3782,718);</v>
      </c>
    </row>
    <row r="41" spans="1:12">
      <c r="A41" s="114">
        <v>1</v>
      </c>
      <c r="B41" s="114">
        <v>18</v>
      </c>
      <c r="C41" s="139" t="s">
        <v>2166</v>
      </c>
      <c r="D41" s="114" t="s">
        <v>2090</v>
      </c>
      <c r="E41" s="114">
        <v>374</v>
      </c>
      <c r="F41" s="114">
        <v>324</v>
      </c>
      <c r="G41" s="114">
        <v>1</v>
      </c>
      <c r="H41" s="114">
        <v>10500</v>
      </c>
      <c r="I41" s="114">
        <v>10500</v>
      </c>
      <c r="J41" s="114">
        <v>8824</v>
      </c>
      <c r="K41" s="114">
        <v>1676</v>
      </c>
      <c r="L41" s="114" t="str">
        <f t="shared" si="0"/>
        <v>INSERT INTO DETALLES_DOCUMENTO(NRO_DOCUMENTO,ID_TIPO,ID_PRODUCTO,CANTIDAD,PRECIO,VALOR_BRUTO,VALOR_NETO,VALOR_IVA) VALUES(18,1,324,1,10500,10500,8824,1676);</v>
      </c>
    </row>
    <row r="42" spans="1:12">
      <c r="A42" s="114">
        <v>1</v>
      </c>
      <c r="B42" s="114">
        <v>19</v>
      </c>
      <c r="C42" s="139" t="s">
        <v>2167</v>
      </c>
      <c r="D42" s="114" t="s">
        <v>2090</v>
      </c>
      <c r="E42" s="114">
        <v>76</v>
      </c>
      <c r="F42" s="114">
        <v>324</v>
      </c>
      <c r="G42" s="114">
        <v>1</v>
      </c>
      <c r="H42" s="114">
        <v>10500</v>
      </c>
      <c r="I42" s="114">
        <v>10500</v>
      </c>
      <c r="J42" s="114">
        <v>8824</v>
      </c>
      <c r="K42" s="114">
        <v>1676</v>
      </c>
      <c r="L42" s="114" t="str">
        <f t="shared" si="0"/>
        <v>INSERT INTO DETALLES_DOCUMENTO(NRO_DOCUMENTO,ID_TIPO,ID_PRODUCTO,CANTIDAD,PRECIO,VALOR_BRUTO,VALOR_NETO,VALOR_IVA) VALUES(19,1,324,1,10500,10500,8824,1676);</v>
      </c>
    </row>
    <row r="43" spans="1:12">
      <c r="A43" s="114">
        <v>1</v>
      </c>
      <c r="B43" s="114">
        <v>20</v>
      </c>
      <c r="C43" s="139" t="s">
        <v>2167</v>
      </c>
      <c r="D43" s="114" t="s">
        <v>2090</v>
      </c>
      <c r="E43" s="114">
        <v>98</v>
      </c>
      <c r="F43" s="114">
        <v>329</v>
      </c>
      <c r="G43" s="114">
        <v>1</v>
      </c>
      <c r="H43" s="114">
        <v>5500</v>
      </c>
      <c r="I43" s="114">
        <v>5500</v>
      </c>
      <c r="J43" s="114">
        <v>4622</v>
      </c>
      <c r="K43" s="114">
        <v>878</v>
      </c>
      <c r="L43" s="114" t="str">
        <f t="shared" si="0"/>
        <v>INSERT INTO DETALLES_DOCUMENTO(NRO_DOCUMENTO,ID_TIPO,ID_PRODUCTO,CANTIDAD,PRECIO,VALOR_BRUTO,VALOR_NETO,VALOR_IVA) VALUES(20,1,329,1,5500,5500,4622,878);</v>
      </c>
    </row>
    <row r="44" spans="1:12">
      <c r="A44" s="114">
        <v>1</v>
      </c>
      <c r="B44" s="114">
        <v>21</v>
      </c>
      <c r="C44" s="139" t="s">
        <v>2167</v>
      </c>
      <c r="D44" s="114" t="s">
        <v>2090</v>
      </c>
      <c r="E44" s="114">
        <v>152</v>
      </c>
      <c r="F44" s="114">
        <v>69</v>
      </c>
      <c r="G44" s="114">
        <v>1</v>
      </c>
      <c r="H44" s="114">
        <v>3000</v>
      </c>
      <c r="I44" s="114">
        <v>3000</v>
      </c>
      <c r="J44" s="114">
        <v>2521</v>
      </c>
      <c r="K44" s="114">
        <v>479</v>
      </c>
      <c r="L44" s="114" t="str">
        <f t="shared" si="0"/>
        <v>INSERT INTO DETALLES_DOCUMENTO(NRO_DOCUMENTO,ID_TIPO,ID_PRODUCTO,CANTIDAD,PRECIO,VALOR_BRUTO,VALOR_NETO,VALOR_IVA) VALUES(21,1,69,1,3000,3000,2521,479);</v>
      </c>
    </row>
    <row r="45" spans="1:12">
      <c r="A45" s="114">
        <v>1</v>
      </c>
      <c r="B45" s="114">
        <v>21</v>
      </c>
      <c r="C45" s="139" t="s">
        <v>2167</v>
      </c>
      <c r="D45" s="114" t="s">
        <v>2090</v>
      </c>
      <c r="E45" s="114">
        <v>152</v>
      </c>
      <c r="F45" s="114">
        <v>117</v>
      </c>
      <c r="G45" s="114">
        <v>1</v>
      </c>
      <c r="H45" s="114">
        <v>3500</v>
      </c>
      <c r="I45" s="114">
        <v>3500</v>
      </c>
      <c r="J45" s="114">
        <v>2941</v>
      </c>
      <c r="K45" s="114">
        <v>559</v>
      </c>
      <c r="L45" s="114" t="str">
        <f t="shared" si="0"/>
        <v>INSERT INTO DETALLES_DOCUMENTO(NRO_DOCUMENTO,ID_TIPO,ID_PRODUCTO,CANTIDAD,PRECIO,VALOR_BRUTO,VALOR_NETO,VALOR_IVA) VALUES(21,1,117,1,3500,3500,2941,559);</v>
      </c>
    </row>
    <row r="46" spans="1:12">
      <c r="A46" s="114">
        <v>1</v>
      </c>
      <c r="B46" s="114">
        <v>22</v>
      </c>
      <c r="C46" s="139" t="s">
        <v>2167</v>
      </c>
      <c r="D46" s="114" t="s">
        <v>2090</v>
      </c>
      <c r="E46" s="114">
        <v>171</v>
      </c>
      <c r="F46" s="114">
        <v>143</v>
      </c>
      <c r="G46" s="114">
        <v>1</v>
      </c>
      <c r="H46" s="114">
        <v>6500</v>
      </c>
      <c r="I46" s="114">
        <v>6500</v>
      </c>
      <c r="J46" s="114">
        <v>5462</v>
      </c>
      <c r="K46" s="114">
        <v>1038</v>
      </c>
      <c r="L46" s="114" t="str">
        <f t="shared" si="0"/>
        <v>INSERT INTO DETALLES_DOCUMENTO(NRO_DOCUMENTO,ID_TIPO,ID_PRODUCTO,CANTIDAD,PRECIO,VALOR_BRUTO,VALOR_NETO,VALOR_IVA) VALUES(22,1,143,1,6500,6500,5462,1038);</v>
      </c>
    </row>
    <row r="47" spans="1:12">
      <c r="A47" s="114">
        <v>1</v>
      </c>
      <c r="B47" s="114">
        <v>23</v>
      </c>
      <c r="C47" s="139" t="s">
        <v>2167</v>
      </c>
      <c r="D47" s="114" t="s">
        <v>2090</v>
      </c>
      <c r="E47" s="114">
        <v>202</v>
      </c>
      <c r="F47" s="114">
        <v>143</v>
      </c>
      <c r="G47" s="114">
        <v>1</v>
      </c>
      <c r="H47" s="114">
        <v>6500</v>
      </c>
      <c r="I47" s="114">
        <v>6500</v>
      </c>
      <c r="J47" s="114">
        <v>5462</v>
      </c>
      <c r="K47" s="114">
        <v>1038</v>
      </c>
      <c r="L47" s="114" t="str">
        <f t="shared" si="0"/>
        <v>INSERT INTO DETALLES_DOCUMENTO(NRO_DOCUMENTO,ID_TIPO,ID_PRODUCTO,CANTIDAD,PRECIO,VALOR_BRUTO,VALOR_NETO,VALOR_IVA) VALUES(23,1,143,1,6500,6500,5462,1038);</v>
      </c>
    </row>
    <row r="48" spans="1:12">
      <c r="A48" s="114">
        <v>1</v>
      </c>
      <c r="B48" s="114">
        <v>24</v>
      </c>
      <c r="C48" s="139" t="s">
        <v>2167</v>
      </c>
      <c r="D48" s="114" t="s">
        <v>2090</v>
      </c>
      <c r="E48" s="114">
        <v>405</v>
      </c>
      <c r="F48" s="114">
        <v>233</v>
      </c>
      <c r="G48" s="114">
        <v>1</v>
      </c>
      <c r="H48" s="114">
        <v>15990</v>
      </c>
      <c r="I48" s="114">
        <v>15990</v>
      </c>
      <c r="J48" s="114">
        <v>13437</v>
      </c>
      <c r="K48" s="114">
        <v>2553</v>
      </c>
      <c r="L48" s="114" t="str">
        <f t="shared" si="0"/>
        <v>INSERT INTO DETALLES_DOCUMENTO(NRO_DOCUMENTO,ID_TIPO,ID_PRODUCTO,CANTIDAD,PRECIO,VALOR_BRUTO,VALOR_NETO,VALOR_IVA) VALUES(24,1,233,1,15990,15990,13437,2553);</v>
      </c>
    </row>
    <row r="49" spans="1:12">
      <c r="A49" s="114">
        <v>1</v>
      </c>
      <c r="B49" s="114">
        <v>25</v>
      </c>
      <c r="C49" s="139" t="s">
        <v>2168</v>
      </c>
      <c r="D49" s="114" t="s">
        <v>2090</v>
      </c>
      <c r="E49" s="114">
        <v>334</v>
      </c>
      <c r="F49" s="114">
        <v>165</v>
      </c>
      <c r="G49" s="114">
        <v>1</v>
      </c>
      <c r="H49" s="114">
        <v>2000</v>
      </c>
      <c r="I49" s="114">
        <v>2000</v>
      </c>
      <c r="J49" s="114">
        <v>1681</v>
      </c>
      <c r="K49" s="114">
        <v>319</v>
      </c>
      <c r="L49" s="114" t="str">
        <f t="shared" si="0"/>
        <v>INSERT INTO DETALLES_DOCUMENTO(NRO_DOCUMENTO,ID_TIPO,ID_PRODUCTO,CANTIDAD,PRECIO,VALOR_BRUTO,VALOR_NETO,VALOR_IVA) VALUES(25,1,165,1,2000,2000,1681,319);</v>
      </c>
    </row>
    <row r="50" spans="1:12">
      <c r="A50" s="114">
        <v>1</v>
      </c>
      <c r="B50" s="114">
        <v>26</v>
      </c>
      <c r="C50" s="139" t="s">
        <v>2168</v>
      </c>
      <c r="D50" s="114" t="s">
        <v>2090</v>
      </c>
      <c r="E50" s="114">
        <v>360</v>
      </c>
      <c r="F50" s="114">
        <v>230</v>
      </c>
      <c r="G50" s="114">
        <v>1</v>
      </c>
      <c r="H50" s="114">
        <v>15500</v>
      </c>
      <c r="I50" s="114">
        <v>15500</v>
      </c>
      <c r="J50" s="114">
        <v>13025</v>
      </c>
      <c r="K50" s="114">
        <v>2475</v>
      </c>
      <c r="L50" s="114" t="str">
        <f t="shared" si="0"/>
        <v>INSERT INTO DETALLES_DOCUMENTO(NRO_DOCUMENTO,ID_TIPO,ID_PRODUCTO,CANTIDAD,PRECIO,VALOR_BRUTO,VALOR_NETO,VALOR_IVA) VALUES(26,1,230,1,15500,15500,13025,2475);</v>
      </c>
    </row>
    <row r="51" spans="1:12">
      <c r="A51" s="114">
        <v>1</v>
      </c>
      <c r="B51" s="114">
        <v>26</v>
      </c>
      <c r="C51" s="139" t="s">
        <v>2168</v>
      </c>
      <c r="D51" s="114" t="s">
        <v>2090</v>
      </c>
      <c r="E51" s="114">
        <v>360</v>
      </c>
      <c r="F51" s="114">
        <v>165</v>
      </c>
      <c r="G51" s="114">
        <v>1</v>
      </c>
      <c r="H51" s="114">
        <v>2000</v>
      </c>
      <c r="I51" s="114">
        <v>2000</v>
      </c>
      <c r="J51" s="114">
        <v>1681</v>
      </c>
      <c r="K51" s="114">
        <v>319</v>
      </c>
      <c r="L51" s="114" t="str">
        <f t="shared" si="0"/>
        <v>INSERT INTO DETALLES_DOCUMENTO(NRO_DOCUMENTO,ID_TIPO,ID_PRODUCTO,CANTIDAD,PRECIO,VALOR_BRUTO,VALOR_NETO,VALOR_IVA) VALUES(26,1,165,1,2000,2000,1681,319);</v>
      </c>
    </row>
    <row r="52" spans="1:12">
      <c r="A52" s="114">
        <v>1</v>
      </c>
      <c r="B52" s="114">
        <v>27</v>
      </c>
      <c r="C52" s="139" t="s">
        <v>2168</v>
      </c>
      <c r="D52" s="114" t="s">
        <v>2090</v>
      </c>
      <c r="E52" s="114">
        <v>397</v>
      </c>
      <c r="F52" s="114">
        <v>324</v>
      </c>
      <c r="G52" s="114">
        <v>1</v>
      </c>
      <c r="H52" s="114">
        <v>10500</v>
      </c>
      <c r="I52" s="114">
        <v>10500</v>
      </c>
      <c r="J52" s="114">
        <v>8824</v>
      </c>
      <c r="K52" s="114">
        <v>1676</v>
      </c>
      <c r="L52" s="114" t="str">
        <f t="shared" si="0"/>
        <v>INSERT INTO DETALLES_DOCUMENTO(NRO_DOCUMENTO,ID_TIPO,ID_PRODUCTO,CANTIDAD,PRECIO,VALOR_BRUTO,VALOR_NETO,VALOR_IVA) VALUES(27,1,324,1,10500,10500,8824,1676);</v>
      </c>
    </row>
    <row r="53" spans="1:12">
      <c r="A53" s="114">
        <v>1</v>
      </c>
      <c r="B53" s="114">
        <v>28</v>
      </c>
      <c r="C53" s="139" t="s">
        <v>2168</v>
      </c>
      <c r="D53" s="114" t="s">
        <v>2090</v>
      </c>
      <c r="E53" s="114">
        <v>407</v>
      </c>
      <c r="F53" s="114">
        <v>118</v>
      </c>
      <c r="G53" s="114">
        <v>1</v>
      </c>
      <c r="H53" s="114">
        <v>3500</v>
      </c>
      <c r="I53" s="114">
        <v>3500</v>
      </c>
      <c r="J53" s="114">
        <v>2941</v>
      </c>
      <c r="K53" s="114">
        <v>559</v>
      </c>
      <c r="L53" s="114" t="str">
        <f t="shared" si="0"/>
        <v>INSERT INTO DETALLES_DOCUMENTO(NRO_DOCUMENTO,ID_TIPO,ID_PRODUCTO,CANTIDAD,PRECIO,VALOR_BRUTO,VALOR_NETO,VALOR_IVA) VALUES(28,1,118,1,3500,3500,2941,559);</v>
      </c>
    </row>
    <row r="54" spans="1:12">
      <c r="A54" s="114">
        <v>1</v>
      </c>
      <c r="B54" s="114">
        <v>29</v>
      </c>
      <c r="C54" s="139" t="s">
        <v>2169</v>
      </c>
      <c r="D54" s="114" t="s">
        <v>2090</v>
      </c>
      <c r="E54" s="114">
        <v>402</v>
      </c>
      <c r="F54" s="114">
        <v>1</v>
      </c>
      <c r="G54" s="114">
        <v>1</v>
      </c>
      <c r="H54" s="114">
        <v>12500</v>
      </c>
      <c r="I54" s="114">
        <v>12500</v>
      </c>
      <c r="J54" s="114">
        <v>10504</v>
      </c>
      <c r="K54" s="114">
        <v>1996</v>
      </c>
      <c r="L54" s="114" t="str">
        <f t="shared" si="0"/>
        <v>INSERT INTO DETALLES_DOCUMENTO(NRO_DOCUMENTO,ID_TIPO,ID_PRODUCTO,CANTIDAD,PRECIO,VALOR_BRUTO,VALOR_NETO,VALOR_IVA) VALUES(29,1,1,1,12500,12500,10504,1996);</v>
      </c>
    </row>
    <row r="55" spans="1:12">
      <c r="A55" s="114">
        <v>1</v>
      </c>
      <c r="B55" s="114">
        <v>30</v>
      </c>
      <c r="C55" s="139" t="s">
        <v>2169</v>
      </c>
      <c r="D55" s="114" t="s">
        <v>2090</v>
      </c>
      <c r="E55" s="114">
        <v>412</v>
      </c>
      <c r="F55" s="114">
        <v>143</v>
      </c>
      <c r="G55" s="114">
        <v>1</v>
      </c>
      <c r="H55" s="114">
        <v>6500</v>
      </c>
      <c r="I55" s="114">
        <v>6500</v>
      </c>
      <c r="J55" s="114">
        <v>5462</v>
      </c>
      <c r="K55" s="114">
        <v>1038</v>
      </c>
      <c r="L55" s="114" t="str">
        <f t="shared" si="0"/>
        <v>INSERT INTO DETALLES_DOCUMENTO(NRO_DOCUMENTO,ID_TIPO,ID_PRODUCTO,CANTIDAD,PRECIO,VALOR_BRUTO,VALOR_NETO,VALOR_IVA) VALUES(30,1,143,1,6500,6500,5462,1038);</v>
      </c>
    </row>
    <row r="56" spans="1:12">
      <c r="A56" s="114">
        <v>1</v>
      </c>
      <c r="B56" s="114">
        <v>31</v>
      </c>
      <c r="C56" s="139" t="s">
        <v>2170</v>
      </c>
      <c r="D56" s="114" t="s">
        <v>2090</v>
      </c>
      <c r="E56" s="114">
        <v>166</v>
      </c>
      <c r="F56" s="114">
        <v>117</v>
      </c>
      <c r="G56" s="114">
        <v>1</v>
      </c>
      <c r="H56" s="114">
        <v>3500</v>
      </c>
      <c r="I56" s="114">
        <v>3500</v>
      </c>
      <c r="J56" s="114">
        <v>2941</v>
      </c>
      <c r="K56" s="114">
        <v>559</v>
      </c>
      <c r="L56" s="114" t="str">
        <f t="shared" si="0"/>
        <v>INSERT INTO DETALLES_DOCUMENTO(NRO_DOCUMENTO,ID_TIPO,ID_PRODUCTO,CANTIDAD,PRECIO,VALOR_BRUTO,VALOR_NETO,VALOR_IVA) VALUES(31,1,117,1,3500,3500,2941,559);</v>
      </c>
    </row>
    <row r="57" spans="1:12">
      <c r="A57" s="114">
        <v>1</v>
      </c>
      <c r="B57" s="114">
        <v>31</v>
      </c>
      <c r="C57" s="139" t="s">
        <v>2170</v>
      </c>
      <c r="D57" s="114" t="s">
        <v>2090</v>
      </c>
      <c r="E57" s="114">
        <v>166</v>
      </c>
      <c r="F57" s="114">
        <v>118</v>
      </c>
      <c r="G57" s="114">
        <v>1</v>
      </c>
      <c r="H57" s="114">
        <v>3500</v>
      </c>
      <c r="I57" s="114">
        <v>3500</v>
      </c>
      <c r="J57" s="114">
        <v>2941</v>
      </c>
      <c r="K57" s="114">
        <v>559</v>
      </c>
      <c r="L57" s="114" t="str">
        <f t="shared" si="0"/>
        <v>INSERT INTO DETALLES_DOCUMENTO(NRO_DOCUMENTO,ID_TIPO,ID_PRODUCTO,CANTIDAD,PRECIO,VALOR_BRUTO,VALOR_NETO,VALOR_IVA) VALUES(31,1,118,1,3500,3500,2941,559);</v>
      </c>
    </row>
    <row r="58" spans="1:12">
      <c r="A58" s="114">
        <v>1</v>
      </c>
      <c r="B58" s="114">
        <v>31</v>
      </c>
      <c r="C58" s="139" t="s">
        <v>2170</v>
      </c>
      <c r="D58" s="114" t="s">
        <v>2090</v>
      </c>
      <c r="E58" s="114">
        <v>166</v>
      </c>
      <c r="F58" s="114">
        <v>256</v>
      </c>
      <c r="G58" s="114">
        <v>1</v>
      </c>
      <c r="H58" s="114">
        <v>3000</v>
      </c>
      <c r="I58" s="114">
        <v>3000</v>
      </c>
      <c r="J58" s="114">
        <v>2521</v>
      </c>
      <c r="K58" s="114">
        <v>479</v>
      </c>
      <c r="L58" s="114" t="str">
        <f t="shared" si="0"/>
        <v>INSERT INTO DETALLES_DOCUMENTO(NRO_DOCUMENTO,ID_TIPO,ID_PRODUCTO,CANTIDAD,PRECIO,VALOR_BRUTO,VALOR_NETO,VALOR_IVA) VALUES(31,1,256,1,3000,3000,2521,479);</v>
      </c>
    </row>
    <row r="59" spans="1:12">
      <c r="A59" s="114">
        <v>1</v>
      </c>
      <c r="B59" s="114">
        <v>31</v>
      </c>
      <c r="C59" s="139" t="s">
        <v>2170</v>
      </c>
      <c r="D59" s="114" t="s">
        <v>2090</v>
      </c>
      <c r="E59" s="114">
        <v>166</v>
      </c>
      <c r="F59" s="114">
        <v>167</v>
      </c>
      <c r="G59" s="114">
        <v>1</v>
      </c>
      <c r="H59" s="114">
        <v>8200</v>
      </c>
      <c r="I59" s="114">
        <v>8200</v>
      </c>
      <c r="J59" s="114">
        <v>6891</v>
      </c>
      <c r="K59" s="114">
        <v>1309</v>
      </c>
      <c r="L59" s="114" t="str">
        <f t="shared" si="0"/>
        <v>INSERT INTO DETALLES_DOCUMENTO(NRO_DOCUMENTO,ID_TIPO,ID_PRODUCTO,CANTIDAD,PRECIO,VALOR_BRUTO,VALOR_NETO,VALOR_IVA) VALUES(31,1,167,1,8200,8200,6891,1309);</v>
      </c>
    </row>
    <row r="60" spans="1:12">
      <c r="A60" s="114">
        <v>1</v>
      </c>
      <c r="B60" s="114">
        <v>32</v>
      </c>
      <c r="C60" s="139" t="s">
        <v>2170</v>
      </c>
      <c r="D60" s="114" t="s">
        <v>2090</v>
      </c>
      <c r="E60" s="114">
        <v>411</v>
      </c>
      <c r="F60" s="114">
        <v>191</v>
      </c>
      <c r="G60" s="114">
        <v>2</v>
      </c>
      <c r="H60" s="114">
        <v>5000</v>
      </c>
      <c r="I60" s="114">
        <v>10000</v>
      </c>
      <c r="J60" s="114">
        <v>8403</v>
      </c>
      <c r="K60" s="114">
        <v>1597</v>
      </c>
      <c r="L60" s="114" t="str">
        <f t="shared" si="0"/>
        <v>INSERT INTO DETALLES_DOCUMENTO(NRO_DOCUMENTO,ID_TIPO,ID_PRODUCTO,CANTIDAD,PRECIO,VALOR_BRUTO,VALOR_NETO,VALOR_IVA) VALUES(32,1,191,2,5000,10000,8403,1597);</v>
      </c>
    </row>
    <row r="61" spans="1:12">
      <c r="A61" s="114">
        <v>1</v>
      </c>
      <c r="B61" s="114">
        <v>32</v>
      </c>
      <c r="C61" s="139" t="s">
        <v>2170</v>
      </c>
      <c r="D61" s="114" t="s">
        <v>2090</v>
      </c>
      <c r="E61" s="114">
        <v>411</v>
      </c>
      <c r="F61" s="114">
        <v>329</v>
      </c>
      <c r="G61" s="114">
        <v>1</v>
      </c>
      <c r="H61" s="114">
        <v>5500</v>
      </c>
      <c r="I61" s="114">
        <v>5500</v>
      </c>
      <c r="J61" s="114">
        <v>4622</v>
      </c>
      <c r="K61" s="114">
        <v>878</v>
      </c>
      <c r="L61" s="114" t="str">
        <f t="shared" si="0"/>
        <v>INSERT INTO DETALLES_DOCUMENTO(NRO_DOCUMENTO,ID_TIPO,ID_PRODUCTO,CANTIDAD,PRECIO,VALOR_BRUTO,VALOR_NETO,VALOR_IVA) VALUES(32,1,329,1,5500,5500,4622,878);</v>
      </c>
    </row>
    <row r="62" spans="1:12">
      <c r="A62" s="114">
        <v>1</v>
      </c>
      <c r="B62" s="114">
        <v>32</v>
      </c>
      <c r="C62" s="139" t="s">
        <v>2170</v>
      </c>
      <c r="D62" s="114" t="s">
        <v>2090</v>
      </c>
      <c r="E62" s="114">
        <v>411</v>
      </c>
      <c r="F62" s="114">
        <v>368</v>
      </c>
      <c r="G62" s="114">
        <v>1</v>
      </c>
      <c r="H62" s="114">
        <v>3000</v>
      </c>
      <c r="I62" s="114">
        <v>3000</v>
      </c>
      <c r="J62" s="114">
        <v>2521</v>
      </c>
      <c r="K62" s="114">
        <v>479</v>
      </c>
      <c r="L62" s="114" t="str">
        <f t="shared" si="0"/>
        <v>INSERT INTO DETALLES_DOCUMENTO(NRO_DOCUMENTO,ID_TIPO,ID_PRODUCTO,CANTIDAD,PRECIO,VALOR_BRUTO,VALOR_NETO,VALOR_IVA) VALUES(32,1,368,1,3000,3000,2521,479);</v>
      </c>
    </row>
    <row r="63" spans="1:12">
      <c r="A63" s="114">
        <v>1</v>
      </c>
      <c r="B63" s="114">
        <v>33</v>
      </c>
      <c r="C63" s="139" t="s">
        <v>2171</v>
      </c>
      <c r="D63" s="114" t="s">
        <v>2090</v>
      </c>
      <c r="E63" s="114">
        <v>62</v>
      </c>
      <c r="F63" s="114">
        <v>378</v>
      </c>
      <c r="G63" s="114">
        <v>1</v>
      </c>
      <c r="H63" s="114">
        <v>1200</v>
      </c>
      <c r="I63" s="114">
        <v>1200</v>
      </c>
      <c r="J63" s="114">
        <v>1008</v>
      </c>
      <c r="K63" s="114">
        <v>192</v>
      </c>
      <c r="L63" s="114" t="str">
        <f t="shared" si="0"/>
        <v>INSERT INTO DETALLES_DOCUMENTO(NRO_DOCUMENTO,ID_TIPO,ID_PRODUCTO,CANTIDAD,PRECIO,VALOR_BRUTO,VALOR_NETO,VALOR_IVA) VALUES(33,1,378,1,1200,1200,1008,192);</v>
      </c>
    </row>
    <row r="64" spans="1:12">
      <c r="A64" s="114">
        <v>1</v>
      </c>
      <c r="B64" s="114">
        <v>33</v>
      </c>
      <c r="C64" s="139" t="s">
        <v>2171</v>
      </c>
      <c r="D64" s="114" t="s">
        <v>2090</v>
      </c>
      <c r="E64" s="114">
        <v>62</v>
      </c>
      <c r="F64" s="114">
        <v>117</v>
      </c>
      <c r="G64" s="114">
        <v>4</v>
      </c>
      <c r="H64" s="114">
        <v>14000</v>
      </c>
      <c r="I64" s="114">
        <v>56000</v>
      </c>
      <c r="J64" s="114">
        <v>47059</v>
      </c>
      <c r="K64" s="114">
        <v>8941</v>
      </c>
      <c r="L64" s="114" t="str">
        <f t="shared" si="0"/>
        <v>INSERT INTO DETALLES_DOCUMENTO(NRO_DOCUMENTO,ID_TIPO,ID_PRODUCTO,CANTIDAD,PRECIO,VALOR_BRUTO,VALOR_NETO,VALOR_IVA) VALUES(33,1,117,4,14000,56000,47059,8941);</v>
      </c>
    </row>
    <row r="65" spans="1:12">
      <c r="A65" s="114">
        <v>1</v>
      </c>
      <c r="B65" s="114">
        <v>33</v>
      </c>
      <c r="C65" s="139" t="s">
        <v>2171</v>
      </c>
      <c r="D65" s="114" t="s">
        <v>2090</v>
      </c>
      <c r="E65" s="114">
        <v>62</v>
      </c>
      <c r="F65" s="114">
        <v>97</v>
      </c>
      <c r="G65" s="114">
        <v>1</v>
      </c>
      <c r="H65" s="114">
        <v>2000</v>
      </c>
      <c r="I65" s="114">
        <v>2000</v>
      </c>
      <c r="J65" s="114">
        <v>1681</v>
      </c>
      <c r="K65" s="114">
        <v>319</v>
      </c>
      <c r="L65" s="114" t="str">
        <f t="shared" si="0"/>
        <v>INSERT INTO DETALLES_DOCUMENTO(NRO_DOCUMENTO,ID_TIPO,ID_PRODUCTO,CANTIDAD,PRECIO,VALOR_BRUTO,VALOR_NETO,VALOR_IVA) VALUES(33,1,97,1,2000,2000,1681,319);</v>
      </c>
    </row>
    <row r="66" spans="1:12">
      <c r="A66" s="114">
        <v>1</v>
      </c>
      <c r="B66" s="114">
        <v>33</v>
      </c>
      <c r="C66" s="139" t="s">
        <v>2171</v>
      </c>
      <c r="D66" s="114" t="s">
        <v>2090</v>
      </c>
      <c r="E66" s="114">
        <v>62</v>
      </c>
      <c r="F66" s="114">
        <v>231</v>
      </c>
      <c r="G66" s="114">
        <v>1</v>
      </c>
      <c r="H66" s="114">
        <v>19990</v>
      </c>
      <c r="I66" s="114">
        <v>19990</v>
      </c>
      <c r="J66" s="114">
        <v>16798</v>
      </c>
      <c r="K66" s="114">
        <v>3192</v>
      </c>
      <c r="L66" s="114" t="str">
        <f t="shared" si="0"/>
        <v>INSERT INTO DETALLES_DOCUMENTO(NRO_DOCUMENTO,ID_TIPO,ID_PRODUCTO,CANTIDAD,PRECIO,VALOR_BRUTO,VALOR_NETO,VALOR_IVA) VALUES(33,1,231,1,19990,19990,16798,3192);</v>
      </c>
    </row>
    <row r="67" spans="1:12">
      <c r="A67" s="114">
        <v>1</v>
      </c>
      <c r="B67" s="114">
        <v>33</v>
      </c>
      <c r="C67" s="139" t="s">
        <v>2171</v>
      </c>
      <c r="D67" s="114" t="s">
        <v>2090</v>
      </c>
      <c r="E67" s="114">
        <v>62</v>
      </c>
      <c r="F67" s="114">
        <v>356</v>
      </c>
      <c r="G67" s="114">
        <v>1</v>
      </c>
      <c r="H67" s="114">
        <v>3000</v>
      </c>
      <c r="I67" s="114">
        <v>3000</v>
      </c>
      <c r="J67" s="114">
        <v>2521</v>
      </c>
      <c r="K67" s="114">
        <v>479</v>
      </c>
      <c r="L67" s="114" t="str">
        <f t="shared" ref="L67:L130" si="1">CONCATENATE("INSERT INTO DETALLES_DOCUMENTO(NRO_DOCUMENTO,ID_TIPO,ID_PRODUCTO,CANTIDAD,PRECIO,VALOR_BRUTO,VALOR_NETO,VALOR_IVA) VALUES(",B67,",",A67,",",F67,",",G67,",",H67,",",I67,",",J67,",",K67,");")</f>
        <v>INSERT INTO DETALLES_DOCUMENTO(NRO_DOCUMENTO,ID_TIPO,ID_PRODUCTO,CANTIDAD,PRECIO,VALOR_BRUTO,VALOR_NETO,VALOR_IVA) VALUES(33,1,356,1,3000,3000,2521,479);</v>
      </c>
    </row>
    <row r="68" spans="1:12">
      <c r="A68" s="114">
        <v>1</v>
      </c>
      <c r="B68" s="114">
        <v>33</v>
      </c>
      <c r="C68" s="139" t="s">
        <v>2171</v>
      </c>
      <c r="D68" s="114" t="s">
        <v>2090</v>
      </c>
      <c r="E68" s="114">
        <v>62</v>
      </c>
      <c r="F68" s="114">
        <v>162</v>
      </c>
      <c r="G68" s="114">
        <v>2</v>
      </c>
      <c r="H68" s="114">
        <v>3200</v>
      </c>
      <c r="I68" s="114">
        <v>6400</v>
      </c>
      <c r="J68" s="114">
        <v>5378</v>
      </c>
      <c r="K68" s="114">
        <v>1022</v>
      </c>
      <c r="L68" s="114" t="str">
        <f t="shared" si="1"/>
        <v>INSERT INTO DETALLES_DOCUMENTO(NRO_DOCUMENTO,ID_TIPO,ID_PRODUCTO,CANTIDAD,PRECIO,VALOR_BRUTO,VALOR_NETO,VALOR_IVA) VALUES(33,1,162,2,3200,6400,5378,1022);</v>
      </c>
    </row>
    <row r="69" spans="1:12">
      <c r="A69" s="114">
        <v>1</v>
      </c>
      <c r="B69" s="114">
        <v>33</v>
      </c>
      <c r="C69" s="139" t="s">
        <v>2171</v>
      </c>
      <c r="D69" s="114" t="s">
        <v>2090</v>
      </c>
      <c r="E69" s="114">
        <v>62</v>
      </c>
      <c r="F69" s="114">
        <v>247</v>
      </c>
      <c r="G69" s="114">
        <v>1</v>
      </c>
      <c r="H69" s="114">
        <v>2800</v>
      </c>
      <c r="I69" s="114">
        <v>2800</v>
      </c>
      <c r="J69" s="114">
        <v>2353</v>
      </c>
      <c r="K69" s="114">
        <v>447</v>
      </c>
      <c r="L69" s="114" t="str">
        <f t="shared" si="1"/>
        <v>INSERT INTO DETALLES_DOCUMENTO(NRO_DOCUMENTO,ID_TIPO,ID_PRODUCTO,CANTIDAD,PRECIO,VALOR_BRUTO,VALOR_NETO,VALOR_IVA) VALUES(33,1,247,1,2800,2800,2353,447);</v>
      </c>
    </row>
    <row r="70" spans="1:12">
      <c r="A70" s="114">
        <v>1</v>
      </c>
      <c r="B70" s="114">
        <v>33</v>
      </c>
      <c r="C70" s="139" t="s">
        <v>2171</v>
      </c>
      <c r="D70" s="114" t="s">
        <v>2090</v>
      </c>
      <c r="E70" s="114">
        <v>62</v>
      </c>
      <c r="F70" s="114">
        <v>81</v>
      </c>
      <c r="G70" s="114">
        <v>1</v>
      </c>
      <c r="H70" s="114">
        <v>1600</v>
      </c>
      <c r="I70" s="114">
        <v>1600</v>
      </c>
      <c r="J70" s="114">
        <v>1345</v>
      </c>
      <c r="K70" s="114">
        <v>255</v>
      </c>
      <c r="L70" s="114" t="str">
        <f t="shared" si="1"/>
        <v>INSERT INTO DETALLES_DOCUMENTO(NRO_DOCUMENTO,ID_TIPO,ID_PRODUCTO,CANTIDAD,PRECIO,VALOR_BRUTO,VALOR_NETO,VALOR_IVA) VALUES(33,1,81,1,1600,1600,1345,255);</v>
      </c>
    </row>
    <row r="71" spans="1:12">
      <c r="A71" s="114">
        <v>1</v>
      </c>
      <c r="B71" s="114">
        <v>33</v>
      </c>
      <c r="C71" s="139" t="s">
        <v>2171</v>
      </c>
      <c r="D71" s="114" t="s">
        <v>2090</v>
      </c>
      <c r="E71" s="114">
        <v>62</v>
      </c>
      <c r="F71" s="114">
        <v>386</v>
      </c>
      <c r="G71" s="114">
        <v>3</v>
      </c>
      <c r="H71" s="114">
        <v>8100</v>
      </c>
      <c r="I71" s="114">
        <v>24300</v>
      </c>
      <c r="J71" s="114">
        <v>20420</v>
      </c>
      <c r="K71" s="114">
        <v>3880</v>
      </c>
      <c r="L71" s="114" t="str">
        <f t="shared" si="1"/>
        <v>INSERT INTO DETALLES_DOCUMENTO(NRO_DOCUMENTO,ID_TIPO,ID_PRODUCTO,CANTIDAD,PRECIO,VALOR_BRUTO,VALOR_NETO,VALOR_IVA) VALUES(33,1,386,3,8100,24300,20420,3880);</v>
      </c>
    </row>
    <row r="72" spans="1:12">
      <c r="A72" s="114">
        <v>1</v>
      </c>
      <c r="B72" s="114">
        <v>33</v>
      </c>
      <c r="C72" s="139" t="s">
        <v>2171</v>
      </c>
      <c r="D72" s="114" t="s">
        <v>2090</v>
      </c>
      <c r="E72" s="114">
        <v>62</v>
      </c>
      <c r="F72" s="114">
        <v>67</v>
      </c>
      <c r="G72" s="114">
        <v>2</v>
      </c>
      <c r="H72" s="114">
        <v>1300</v>
      </c>
      <c r="I72" s="114">
        <v>2600</v>
      </c>
      <c r="J72" s="114">
        <v>2185</v>
      </c>
      <c r="K72" s="114">
        <v>415</v>
      </c>
      <c r="L72" s="114" t="str">
        <f t="shared" si="1"/>
        <v>INSERT INTO DETALLES_DOCUMENTO(NRO_DOCUMENTO,ID_TIPO,ID_PRODUCTO,CANTIDAD,PRECIO,VALOR_BRUTO,VALOR_NETO,VALOR_IVA) VALUES(33,1,67,2,1300,2600,2185,415);</v>
      </c>
    </row>
    <row r="73" spans="1:12">
      <c r="A73" s="114">
        <v>1</v>
      </c>
      <c r="B73" s="114">
        <v>33</v>
      </c>
      <c r="C73" s="139" t="s">
        <v>2171</v>
      </c>
      <c r="D73" s="114" t="s">
        <v>2090</v>
      </c>
      <c r="E73" s="114">
        <v>62</v>
      </c>
      <c r="F73" s="114">
        <v>69</v>
      </c>
      <c r="G73" s="114">
        <v>1</v>
      </c>
      <c r="H73" s="114">
        <v>3000</v>
      </c>
      <c r="I73" s="114">
        <v>3000</v>
      </c>
      <c r="J73" s="114">
        <v>2521</v>
      </c>
      <c r="K73" s="114">
        <v>479</v>
      </c>
      <c r="L73" s="114" t="str">
        <f t="shared" si="1"/>
        <v>INSERT INTO DETALLES_DOCUMENTO(NRO_DOCUMENTO,ID_TIPO,ID_PRODUCTO,CANTIDAD,PRECIO,VALOR_BRUTO,VALOR_NETO,VALOR_IVA) VALUES(33,1,69,1,3000,3000,2521,479);</v>
      </c>
    </row>
    <row r="74" spans="1:12">
      <c r="A74" s="114">
        <v>1</v>
      </c>
      <c r="B74" s="114">
        <v>33</v>
      </c>
      <c r="C74" s="139" t="s">
        <v>2171</v>
      </c>
      <c r="D74" s="114" t="s">
        <v>2090</v>
      </c>
      <c r="E74" s="114">
        <v>62</v>
      </c>
      <c r="F74" s="114">
        <v>368</v>
      </c>
      <c r="G74" s="114">
        <v>3</v>
      </c>
      <c r="H74" s="114">
        <v>9000</v>
      </c>
      <c r="I74" s="114">
        <v>27000</v>
      </c>
      <c r="J74" s="114">
        <v>22689</v>
      </c>
      <c r="K74" s="114">
        <v>4311</v>
      </c>
      <c r="L74" s="114" t="str">
        <f t="shared" si="1"/>
        <v>INSERT INTO DETALLES_DOCUMENTO(NRO_DOCUMENTO,ID_TIPO,ID_PRODUCTO,CANTIDAD,PRECIO,VALOR_BRUTO,VALOR_NETO,VALOR_IVA) VALUES(33,1,368,3,9000,27000,22689,4311);</v>
      </c>
    </row>
    <row r="75" spans="1:12">
      <c r="A75" s="114">
        <v>1</v>
      </c>
      <c r="B75" s="114">
        <v>34</v>
      </c>
      <c r="C75" s="139" t="s">
        <v>2171</v>
      </c>
      <c r="D75" s="114" t="s">
        <v>2090</v>
      </c>
      <c r="E75" s="114">
        <v>212</v>
      </c>
      <c r="F75" s="114">
        <v>226</v>
      </c>
      <c r="G75" s="114">
        <v>1</v>
      </c>
      <c r="H75" s="114">
        <v>22500</v>
      </c>
      <c r="I75" s="114">
        <v>22500</v>
      </c>
      <c r="J75" s="114">
        <v>18908</v>
      </c>
      <c r="K75" s="114">
        <v>3592</v>
      </c>
      <c r="L75" s="114" t="str">
        <f t="shared" si="1"/>
        <v>INSERT INTO DETALLES_DOCUMENTO(NRO_DOCUMENTO,ID_TIPO,ID_PRODUCTO,CANTIDAD,PRECIO,VALOR_BRUTO,VALOR_NETO,VALOR_IVA) VALUES(34,1,226,1,22500,22500,18908,3592);</v>
      </c>
    </row>
    <row r="76" spans="1:12">
      <c r="A76" s="114">
        <v>1</v>
      </c>
      <c r="B76" s="114">
        <v>35</v>
      </c>
      <c r="C76" s="139" t="s">
        <v>2171</v>
      </c>
      <c r="D76" s="114" t="s">
        <v>2090</v>
      </c>
      <c r="E76" s="114">
        <v>298</v>
      </c>
      <c r="F76" s="114">
        <v>57</v>
      </c>
      <c r="G76" s="114">
        <v>1</v>
      </c>
      <c r="H76" s="114">
        <v>4000</v>
      </c>
      <c r="I76" s="114">
        <v>4000</v>
      </c>
      <c r="J76" s="114">
        <v>3361</v>
      </c>
      <c r="K76" s="114">
        <v>639</v>
      </c>
      <c r="L76" s="114" t="str">
        <f t="shared" si="1"/>
        <v>INSERT INTO DETALLES_DOCUMENTO(NRO_DOCUMENTO,ID_TIPO,ID_PRODUCTO,CANTIDAD,PRECIO,VALOR_BRUTO,VALOR_NETO,VALOR_IVA) VALUES(35,1,57,1,4000,4000,3361,639);</v>
      </c>
    </row>
    <row r="77" spans="1:12">
      <c r="A77" s="114">
        <v>1</v>
      </c>
      <c r="B77" s="114">
        <v>35</v>
      </c>
      <c r="C77" s="139" t="s">
        <v>2171</v>
      </c>
      <c r="D77" s="114" t="s">
        <v>2090</v>
      </c>
      <c r="E77" s="114">
        <v>298</v>
      </c>
      <c r="F77" s="114">
        <v>164</v>
      </c>
      <c r="G77" s="114">
        <v>1</v>
      </c>
      <c r="H77" s="114">
        <v>3200</v>
      </c>
      <c r="I77" s="114">
        <v>3200</v>
      </c>
      <c r="J77" s="114">
        <v>2689</v>
      </c>
      <c r="K77" s="114">
        <v>511</v>
      </c>
      <c r="L77" s="114" t="str">
        <f t="shared" si="1"/>
        <v>INSERT INTO DETALLES_DOCUMENTO(NRO_DOCUMENTO,ID_TIPO,ID_PRODUCTO,CANTIDAD,PRECIO,VALOR_BRUTO,VALOR_NETO,VALOR_IVA) VALUES(35,1,164,1,3200,3200,2689,511);</v>
      </c>
    </row>
    <row r="78" spans="1:12">
      <c r="A78" s="114">
        <v>1</v>
      </c>
      <c r="B78" s="114">
        <v>35</v>
      </c>
      <c r="C78" s="139" t="s">
        <v>2171</v>
      </c>
      <c r="D78" s="114" t="s">
        <v>2090</v>
      </c>
      <c r="E78" s="114">
        <v>298</v>
      </c>
      <c r="F78" s="114">
        <v>276</v>
      </c>
      <c r="G78" s="114">
        <v>1</v>
      </c>
      <c r="H78" s="114">
        <v>8000</v>
      </c>
      <c r="I78" s="114">
        <v>8000</v>
      </c>
      <c r="J78" s="114">
        <v>6723</v>
      </c>
      <c r="K78" s="114">
        <v>1277</v>
      </c>
      <c r="L78" s="114" t="str">
        <f t="shared" si="1"/>
        <v>INSERT INTO DETALLES_DOCUMENTO(NRO_DOCUMENTO,ID_TIPO,ID_PRODUCTO,CANTIDAD,PRECIO,VALOR_BRUTO,VALOR_NETO,VALOR_IVA) VALUES(35,1,276,1,8000,8000,6723,1277);</v>
      </c>
    </row>
    <row r="79" spans="1:12">
      <c r="A79" s="114">
        <v>1</v>
      </c>
      <c r="B79" s="114">
        <v>35</v>
      </c>
      <c r="C79" s="139" t="s">
        <v>2171</v>
      </c>
      <c r="D79" s="114" t="s">
        <v>2090</v>
      </c>
      <c r="E79" s="114">
        <v>298</v>
      </c>
      <c r="F79" s="114">
        <v>230</v>
      </c>
      <c r="G79" s="114">
        <v>1</v>
      </c>
      <c r="H79" s="114">
        <v>15500</v>
      </c>
      <c r="I79" s="114">
        <v>15500</v>
      </c>
      <c r="J79" s="114">
        <v>13025</v>
      </c>
      <c r="K79" s="114">
        <v>2475</v>
      </c>
      <c r="L79" s="114" t="str">
        <f t="shared" si="1"/>
        <v>INSERT INTO DETALLES_DOCUMENTO(NRO_DOCUMENTO,ID_TIPO,ID_PRODUCTO,CANTIDAD,PRECIO,VALOR_BRUTO,VALOR_NETO,VALOR_IVA) VALUES(35,1,230,1,15500,15500,13025,2475);</v>
      </c>
    </row>
    <row r="80" spans="1:12">
      <c r="A80" s="114">
        <v>1</v>
      </c>
      <c r="B80" s="114">
        <v>35</v>
      </c>
      <c r="C80" s="139" t="s">
        <v>2171</v>
      </c>
      <c r="D80" s="114" t="s">
        <v>2090</v>
      </c>
      <c r="E80" s="114">
        <v>298</v>
      </c>
      <c r="F80" s="114">
        <v>290</v>
      </c>
      <c r="G80" s="114">
        <v>1</v>
      </c>
      <c r="H80" s="114">
        <v>1200</v>
      </c>
      <c r="I80" s="114">
        <v>1200</v>
      </c>
      <c r="J80" s="114">
        <v>1008</v>
      </c>
      <c r="K80" s="114">
        <v>192</v>
      </c>
      <c r="L80" s="114" t="str">
        <f t="shared" si="1"/>
        <v>INSERT INTO DETALLES_DOCUMENTO(NRO_DOCUMENTO,ID_TIPO,ID_PRODUCTO,CANTIDAD,PRECIO,VALOR_BRUTO,VALOR_NETO,VALOR_IVA) VALUES(35,1,290,1,1200,1200,1008,192);</v>
      </c>
    </row>
    <row r="81" spans="1:12">
      <c r="A81" s="114">
        <v>1</v>
      </c>
      <c r="B81" s="114">
        <v>35</v>
      </c>
      <c r="C81" s="139" t="s">
        <v>2171</v>
      </c>
      <c r="D81" s="114" t="s">
        <v>2090</v>
      </c>
      <c r="E81" s="114">
        <v>298</v>
      </c>
      <c r="F81" s="114">
        <v>125</v>
      </c>
      <c r="G81" s="114">
        <v>1</v>
      </c>
      <c r="H81" s="114">
        <v>1700</v>
      </c>
      <c r="I81" s="114">
        <v>1700</v>
      </c>
      <c r="J81" s="114">
        <v>1429</v>
      </c>
      <c r="K81" s="114">
        <v>271</v>
      </c>
      <c r="L81" s="114" t="str">
        <f t="shared" si="1"/>
        <v>INSERT INTO DETALLES_DOCUMENTO(NRO_DOCUMENTO,ID_TIPO,ID_PRODUCTO,CANTIDAD,PRECIO,VALOR_BRUTO,VALOR_NETO,VALOR_IVA) VALUES(35,1,125,1,1700,1700,1429,271);</v>
      </c>
    </row>
    <row r="82" spans="1:12">
      <c r="A82" s="114">
        <v>1</v>
      </c>
      <c r="B82" s="114">
        <v>35</v>
      </c>
      <c r="C82" s="139" t="s">
        <v>2171</v>
      </c>
      <c r="D82" s="114" t="s">
        <v>2090</v>
      </c>
      <c r="E82" s="114">
        <v>298</v>
      </c>
      <c r="F82" s="114">
        <v>354</v>
      </c>
      <c r="G82" s="114">
        <v>1</v>
      </c>
      <c r="H82" s="114">
        <v>1800</v>
      </c>
      <c r="I82" s="114">
        <v>1800</v>
      </c>
      <c r="J82" s="114">
        <v>1513</v>
      </c>
      <c r="K82" s="114">
        <v>287</v>
      </c>
      <c r="L82" s="114" t="str">
        <f t="shared" si="1"/>
        <v>INSERT INTO DETALLES_DOCUMENTO(NRO_DOCUMENTO,ID_TIPO,ID_PRODUCTO,CANTIDAD,PRECIO,VALOR_BRUTO,VALOR_NETO,VALOR_IVA) VALUES(35,1,354,1,1800,1800,1513,287);</v>
      </c>
    </row>
    <row r="83" spans="1:12">
      <c r="A83" s="114">
        <v>1</v>
      </c>
      <c r="B83" s="114">
        <v>35</v>
      </c>
      <c r="C83" s="139" t="s">
        <v>2171</v>
      </c>
      <c r="D83" s="114" t="s">
        <v>2090</v>
      </c>
      <c r="E83" s="114">
        <v>298</v>
      </c>
      <c r="F83" s="114">
        <v>372</v>
      </c>
      <c r="G83" s="114">
        <v>1</v>
      </c>
      <c r="H83" s="114">
        <v>1300</v>
      </c>
      <c r="I83" s="114">
        <v>1300</v>
      </c>
      <c r="J83" s="114">
        <v>1092</v>
      </c>
      <c r="K83" s="114">
        <v>208</v>
      </c>
      <c r="L83" s="114" t="str">
        <f t="shared" si="1"/>
        <v>INSERT INTO DETALLES_DOCUMENTO(NRO_DOCUMENTO,ID_TIPO,ID_PRODUCTO,CANTIDAD,PRECIO,VALOR_BRUTO,VALOR_NETO,VALOR_IVA) VALUES(35,1,372,1,1300,1300,1092,208);</v>
      </c>
    </row>
    <row r="84" spans="1:12">
      <c r="A84" s="114">
        <v>1</v>
      </c>
      <c r="B84" s="114">
        <v>36</v>
      </c>
      <c r="C84" s="139" t="s">
        <v>2172</v>
      </c>
      <c r="D84" s="114" t="s">
        <v>2090</v>
      </c>
      <c r="E84" s="114">
        <v>108</v>
      </c>
      <c r="F84" s="114">
        <v>69</v>
      </c>
      <c r="G84" s="114">
        <v>1</v>
      </c>
      <c r="H84" s="114">
        <v>3000</v>
      </c>
      <c r="I84" s="114">
        <v>3000</v>
      </c>
      <c r="J84" s="114">
        <v>2521</v>
      </c>
      <c r="K84" s="114">
        <v>479</v>
      </c>
      <c r="L84" s="114" t="str">
        <f t="shared" si="1"/>
        <v>INSERT INTO DETALLES_DOCUMENTO(NRO_DOCUMENTO,ID_TIPO,ID_PRODUCTO,CANTIDAD,PRECIO,VALOR_BRUTO,VALOR_NETO,VALOR_IVA) VALUES(36,1,69,1,3000,3000,2521,479);</v>
      </c>
    </row>
    <row r="85" spans="1:12">
      <c r="A85" s="114">
        <v>1</v>
      </c>
      <c r="B85" s="114">
        <v>36</v>
      </c>
      <c r="C85" s="139" t="s">
        <v>2172</v>
      </c>
      <c r="D85" s="114" t="s">
        <v>2090</v>
      </c>
      <c r="E85" s="114">
        <v>108</v>
      </c>
      <c r="F85" s="114">
        <v>143</v>
      </c>
      <c r="G85" s="114">
        <v>1</v>
      </c>
      <c r="H85" s="114">
        <v>6500</v>
      </c>
      <c r="I85" s="114">
        <v>6500</v>
      </c>
      <c r="J85" s="114">
        <v>5462</v>
      </c>
      <c r="K85" s="114">
        <v>1038</v>
      </c>
      <c r="L85" s="114" t="str">
        <f t="shared" si="1"/>
        <v>INSERT INTO DETALLES_DOCUMENTO(NRO_DOCUMENTO,ID_TIPO,ID_PRODUCTO,CANTIDAD,PRECIO,VALOR_BRUTO,VALOR_NETO,VALOR_IVA) VALUES(36,1,143,1,6500,6500,5462,1038);</v>
      </c>
    </row>
    <row r="86" spans="1:12">
      <c r="A86" s="114">
        <v>1</v>
      </c>
      <c r="B86" s="114">
        <v>36</v>
      </c>
      <c r="C86" s="139" t="s">
        <v>2172</v>
      </c>
      <c r="D86" s="114" t="s">
        <v>2090</v>
      </c>
      <c r="E86" s="114">
        <v>108</v>
      </c>
      <c r="F86" s="114">
        <v>247</v>
      </c>
      <c r="G86" s="114">
        <v>1</v>
      </c>
      <c r="H86" s="114">
        <v>2800</v>
      </c>
      <c r="I86" s="114">
        <v>2800</v>
      </c>
      <c r="J86" s="114">
        <v>2353</v>
      </c>
      <c r="K86" s="114">
        <v>447</v>
      </c>
      <c r="L86" s="114" t="str">
        <f t="shared" si="1"/>
        <v>INSERT INTO DETALLES_DOCUMENTO(NRO_DOCUMENTO,ID_TIPO,ID_PRODUCTO,CANTIDAD,PRECIO,VALOR_BRUTO,VALOR_NETO,VALOR_IVA) VALUES(36,1,247,1,2800,2800,2353,447);</v>
      </c>
    </row>
    <row r="87" spans="1:12">
      <c r="A87" s="114">
        <v>1</v>
      </c>
      <c r="B87" s="114">
        <v>37</v>
      </c>
      <c r="C87" s="139" t="s">
        <v>2172</v>
      </c>
      <c r="D87" s="114" t="s">
        <v>2090</v>
      </c>
      <c r="E87" s="114">
        <v>254</v>
      </c>
      <c r="F87" s="114">
        <v>230</v>
      </c>
      <c r="G87" s="114">
        <v>1</v>
      </c>
      <c r="H87" s="114">
        <v>15500</v>
      </c>
      <c r="I87" s="114">
        <v>15500</v>
      </c>
      <c r="J87" s="114">
        <v>13025</v>
      </c>
      <c r="K87" s="114">
        <v>2475</v>
      </c>
      <c r="L87" s="114" t="str">
        <f t="shared" si="1"/>
        <v>INSERT INTO DETALLES_DOCUMENTO(NRO_DOCUMENTO,ID_TIPO,ID_PRODUCTO,CANTIDAD,PRECIO,VALOR_BRUTO,VALOR_NETO,VALOR_IVA) VALUES(37,1,230,1,15500,15500,13025,2475);</v>
      </c>
    </row>
    <row r="88" spans="1:12">
      <c r="A88" s="114">
        <v>1</v>
      </c>
      <c r="B88" s="114">
        <v>37</v>
      </c>
      <c r="C88" s="139" t="s">
        <v>2172</v>
      </c>
      <c r="D88" s="114" t="s">
        <v>2090</v>
      </c>
      <c r="E88" s="114">
        <v>254</v>
      </c>
      <c r="F88" s="114">
        <v>368</v>
      </c>
      <c r="G88" s="114">
        <v>1</v>
      </c>
      <c r="H88" s="114">
        <v>3000</v>
      </c>
      <c r="I88" s="114">
        <v>3000</v>
      </c>
      <c r="J88" s="114">
        <v>2521</v>
      </c>
      <c r="K88" s="114">
        <v>479</v>
      </c>
      <c r="L88" s="114" t="str">
        <f t="shared" si="1"/>
        <v>INSERT INTO DETALLES_DOCUMENTO(NRO_DOCUMENTO,ID_TIPO,ID_PRODUCTO,CANTIDAD,PRECIO,VALOR_BRUTO,VALOR_NETO,VALOR_IVA) VALUES(37,1,368,1,3000,3000,2521,479);</v>
      </c>
    </row>
    <row r="89" spans="1:12">
      <c r="A89" s="114">
        <v>1</v>
      </c>
      <c r="B89" s="114">
        <v>37</v>
      </c>
      <c r="C89" s="139" t="s">
        <v>2172</v>
      </c>
      <c r="D89" s="114" t="s">
        <v>2090</v>
      </c>
      <c r="E89" s="114">
        <v>254</v>
      </c>
      <c r="F89" s="114">
        <v>165</v>
      </c>
      <c r="G89" s="114">
        <v>1</v>
      </c>
      <c r="H89" s="114">
        <v>2000</v>
      </c>
      <c r="I89" s="114">
        <v>2000</v>
      </c>
      <c r="J89" s="114">
        <v>1681</v>
      </c>
      <c r="K89" s="114">
        <v>319</v>
      </c>
      <c r="L89" s="114" t="str">
        <f t="shared" si="1"/>
        <v>INSERT INTO DETALLES_DOCUMENTO(NRO_DOCUMENTO,ID_TIPO,ID_PRODUCTO,CANTIDAD,PRECIO,VALOR_BRUTO,VALOR_NETO,VALOR_IVA) VALUES(37,1,165,1,2000,2000,1681,319);</v>
      </c>
    </row>
    <row r="90" spans="1:12">
      <c r="A90" s="114">
        <v>1</v>
      </c>
      <c r="B90" s="114">
        <v>38</v>
      </c>
      <c r="C90" s="139" t="s">
        <v>2172</v>
      </c>
      <c r="D90" s="114" t="s">
        <v>2090</v>
      </c>
      <c r="E90" s="114">
        <v>315</v>
      </c>
      <c r="F90" s="114">
        <v>329</v>
      </c>
      <c r="G90" s="114">
        <v>1</v>
      </c>
      <c r="H90" s="114">
        <v>5500</v>
      </c>
      <c r="I90" s="114">
        <v>5500</v>
      </c>
      <c r="J90" s="114">
        <v>4622</v>
      </c>
      <c r="K90" s="114">
        <v>878</v>
      </c>
      <c r="L90" s="114" t="str">
        <f t="shared" si="1"/>
        <v>INSERT INTO DETALLES_DOCUMENTO(NRO_DOCUMENTO,ID_TIPO,ID_PRODUCTO,CANTIDAD,PRECIO,VALOR_BRUTO,VALOR_NETO,VALOR_IVA) VALUES(38,1,329,1,5500,5500,4622,878);</v>
      </c>
    </row>
    <row r="91" spans="1:12">
      <c r="A91" s="114">
        <v>1</v>
      </c>
      <c r="B91" s="114">
        <v>39</v>
      </c>
      <c r="C91" s="139" t="s">
        <v>2173</v>
      </c>
      <c r="D91" s="114" t="s">
        <v>2090</v>
      </c>
      <c r="E91" s="114">
        <v>68</v>
      </c>
      <c r="F91" s="114">
        <v>28</v>
      </c>
      <c r="G91" s="114">
        <v>1</v>
      </c>
      <c r="H91" s="114">
        <v>16000</v>
      </c>
      <c r="I91" s="114">
        <v>16000</v>
      </c>
      <c r="J91" s="114">
        <v>13445</v>
      </c>
      <c r="K91" s="114">
        <v>2555</v>
      </c>
      <c r="L91" s="114" t="str">
        <f t="shared" si="1"/>
        <v>INSERT INTO DETALLES_DOCUMENTO(NRO_DOCUMENTO,ID_TIPO,ID_PRODUCTO,CANTIDAD,PRECIO,VALOR_BRUTO,VALOR_NETO,VALOR_IVA) VALUES(39,1,28,1,16000,16000,13445,2555);</v>
      </c>
    </row>
    <row r="92" spans="1:12">
      <c r="A92" s="114">
        <v>1</v>
      </c>
      <c r="B92" s="114">
        <v>40</v>
      </c>
      <c r="C92" s="139" t="s">
        <v>2173</v>
      </c>
      <c r="D92" s="114" t="s">
        <v>2090</v>
      </c>
      <c r="E92" s="114">
        <v>122</v>
      </c>
      <c r="F92" s="114">
        <v>83</v>
      </c>
      <c r="G92" s="114">
        <v>2</v>
      </c>
      <c r="H92" s="114">
        <v>3200</v>
      </c>
      <c r="I92" s="114">
        <v>6400</v>
      </c>
      <c r="J92" s="114">
        <v>5378</v>
      </c>
      <c r="K92" s="114">
        <v>1022</v>
      </c>
      <c r="L92" s="114" t="str">
        <f t="shared" si="1"/>
        <v>INSERT INTO DETALLES_DOCUMENTO(NRO_DOCUMENTO,ID_TIPO,ID_PRODUCTO,CANTIDAD,PRECIO,VALOR_BRUTO,VALOR_NETO,VALOR_IVA) VALUES(40,1,83,2,3200,6400,5378,1022);</v>
      </c>
    </row>
    <row r="93" spans="1:12">
      <c r="A93" s="114">
        <v>1</v>
      </c>
      <c r="B93" s="114">
        <v>40</v>
      </c>
      <c r="C93" s="139" t="s">
        <v>2173</v>
      </c>
      <c r="D93" s="114" t="s">
        <v>2090</v>
      </c>
      <c r="E93" s="114">
        <v>122</v>
      </c>
      <c r="F93" s="114">
        <v>157</v>
      </c>
      <c r="G93" s="114">
        <v>1</v>
      </c>
      <c r="H93" s="114">
        <v>4300</v>
      </c>
      <c r="I93" s="114">
        <v>4300</v>
      </c>
      <c r="J93" s="114">
        <v>3613</v>
      </c>
      <c r="K93" s="114">
        <v>687</v>
      </c>
      <c r="L93" s="114" t="str">
        <f t="shared" si="1"/>
        <v>INSERT INTO DETALLES_DOCUMENTO(NRO_DOCUMENTO,ID_TIPO,ID_PRODUCTO,CANTIDAD,PRECIO,VALOR_BRUTO,VALOR_NETO,VALOR_IVA) VALUES(40,1,157,1,4300,4300,3613,687);</v>
      </c>
    </row>
    <row r="94" spans="1:12">
      <c r="A94" s="114">
        <v>1</v>
      </c>
      <c r="B94" s="114">
        <v>40</v>
      </c>
      <c r="C94" s="139" t="s">
        <v>2173</v>
      </c>
      <c r="D94" s="114" t="s">
        <v>2090</v>
      </c>
      <c r="E94" s="114">
        <v>122</v>
      </c>
      <c r="F94" s="114">
        <v>95</v>
      </c>
      <c r="G94" s="114">
        <v>1</v>
      </c>
      <c r="H94" s="114">
        <v>2400</v>
      </c>
      <c r="I94" s="114">
        <v>2400</v>
      </c>
      <c r="J94" s="114">
        <v>2017</v>
      </c>
      <c r="K94" s="114">
        <v>383</v>
      </c>
      <c r="L94" s="114" t="str">
        <f t="shared" si="1"/>
        <v>INSERT INTO DETALLES_DOCUMENTO(NRO_DOCUMENTO,ID_TIPO,ID_PRODUCTO,CANTIDAD,PRECIO,VALOR_BRUTO,VALOR_NETO,VALOR_IVA) VALUES(40,1,95,1,2400,2400,2017,383);</v>
      </c>
    </row>
    <row r="95" spans="1:12">
      <c r="A95" s="114">
        <v>1</v>
      </c>
      <c r="B95" s="114">
        <v>40</v>
      </c>
      <c r="C95" s="139" t="s">
        <v>2173</v>
      </c>
      <c r="D95" s="114" t="s">
        <v>2090</v>
      </c>
      <c r="E95" s="114">
        <v>122</v>
      </c>
      <c r="F95" s="114">
        <v>97</v>
      </c>
      <c r="G95" s="114">
        <v>1</v>
      </c>
      <c r="H95" s="114">
        <v>2000</v>
      </c>
      <c r="I95" s="114">
        <v>2000</v>
      </c>
      <c r="J95" s="114">
        <v>1681</v>
      </c>
      <c r="K95" s="114">
        <v>319</v>
      </c>
      <c r="L95" s="114" t="str">
        <f t="shared" si="1"/>
        <v>INSERT INTO DETALLES_DOCUMENTO(NRO_DOCUMENTO,ID_TIPO,ID_PRODUCTO,CANTIDAD,PRECIO,VALOR_BRUTO,VALOR_NETO,VALOR_IVA) VALUES(40,1,97,1,2000,2000,1681,319);</v>
      </c>
    </row>
    <row r="96" spans="1:12">
      <c r="A96" s="114">
        <v>1</v>
      </c>
      <c r="B96" s="114">
        <v>40</v>
      </c>
      <c r="C96" s="139" t="s">
        <v>2173</v>
      </c>
      <c r="D96" s="114" t="s">
        <v>2090</v>
      </c>
      <c r="E96" s="114">
        <v>122</v>
      </c>
      <c r="F96" s="114">
        <v>261</v>
      </c>
      <c r="G96" s="114">
        <v>1</v>
      </c>
      <c r="H96" s="114">
        <v>7000</v>
      </c>
      <c r="I96" s="114">
        <v>7000</v>
      </c>
      <c r="J96" s="114">
        <v>5882</v>
      </c>
      <c r="K96" s="114">
        <v>1118</v>
      </c>
      <c r="L96" s="114" t="str">
        <f t="shared" si="1"/>
        <v>INSERT INTO DETALLES_DOCUMENTO(NRO_DOCUMENTO,ID_TIPO,ID_PRODUCTO,CANTIDAD,PRECIO,VALOR_BRUTO,VALOR_NETO,VALOR_IVA) VALUES(40,1,261,1,7000,7000,5882,1118);</v>
      </c>
    </row>
    <row r="97" spans="1:12">
      <c r="A97" s="114">
        <v>1</v>
      </c>
      <c r="B97" s="114">
        <v>41</v>
      </c>
      <c r="C97" s="139" t="s">
        <v>2173</v>
      </c>
      <c r="D97" s="114" t="s">
        <v>2090</v>
      </c>
      <c r="E97" s="114">
        <v>155</v>
      </c>
      <c r="F97" s="114">
        <v>143</v>
      </c>
      <c r="G97" s="114">
        <v>1</v>
      </c>
      <c r="H97" s="114">
        <v>6500</v>
      </c>
      <c r="I97" s="114">
        <v>6500</v>
      </c>
      <c r="J97" s="114">
        <v>5462</v>
      </c>
      <c r="K97" s="114">
        <v>1038</v>
      </c>
      <c r="L97" s="114" t="str">
        <f t="shared" si="1"/>
        <v>INSERT INTO DETALLES_DOCUMENTO(NRO_DOCUMENTO,ID_TIPO,ID_PRODUCTO,CANTIDAD,PRECIO,VALOR_BRUTO,VALOR_NETO,VALOR_IVA) VALUES(41,1,143,1,6500,6500,5462,1038);</v>
      </c>
    </row>
    <row r="98" spans="1:12">
      <c r="A98" s="114">
        <v>1</v>
      </c>
      <c r="B98" s="114">
        <v>42</v>
      </c>
      <c r="C98" s="139" t="s">
        <v>2173</v>
      </c>
      <c r="D98" s="114" t="s">
        <v>2090</v>
      </c>
      <c r="E98" s="114">
        <v>198</v>
      </c>
      <c r="F98" s="114">
        <v>324</v>
      </c>
      <c r="G98" s="114">
        <v>1</v>
      </c>
      <c r="H98" s="114">
        <v>10500</v>
      </c>
      <c r="I98" s="114">
        <v>10500</v>
      </c>
      <c r="J98" s="114">
        <v>8824</v>
      </c>
      <c r="K98" s="114">
        <v>1676</v>
      </c>
      <c r="L98" s="114" t="str">
        <f t="shared" si="1"/>
        <v>INSERT INTO DETALLES_DOCUMENTO(NRO_DOCUMENTO,ID_TIPO,ID_PRODUCTO,CANTIDAD,PRECIO,VALOR_BRUTO,VALOR_NETO,VALOR_IVA) VALUES(42,1,324,1,10500,10500,8824,1676);</v>
      </c>
    </row>
    <row r="99" spans="1:12">
      <c r="A99" s="114">
        <v>1</v>
      </c>
      <c r="B99" s="114">
        <v>43</v>
      </c>
      <c r="C99" s="139" t="s">
        <v>2173</v>
      </c>
      <c r="D99" s="114" t="s">
        <v>2090</v>
      </c>
      <c r="E99" s="114">
        <v>268</v>
      </c>
      <c r="F99" s="114">
        <v>231</v>
      </c>
      <c r="G99" s="114">
        <v>2</v>
      </c>
      <c r="H99" s="114">
        <v>39979</v>
      </c>
      <c r="I99" s="114">
        <v>79958</v>
      </c>
      <c r="J99" s="114">
        <v>67192</v>
      </c>
      <c r="K99" s="114">
        <v>12766</v>
      </c>
      <c r="L99" s="114" t="str">
        <f t="shared" si="1"/>
        <v>INSERT INTO DETALLES_DOCUMENTO(NRO_DOCUMENTO,ID_TIPO,ID_PRODUCTO,CANTIDAD,PRECIO,VALOR_BRUTO,VALOR_NETO,VALOR_IVA) VALUES(43,1,231,2,39979,79958,67192,12766);</v>
      </c>
    </row>
    <row r="100" spans="1:12">
      <c r="A100" s="114">
        <v>1</v>
      </c>
      <c r="B100" s="114">
        <v>43</v>
      </c>
      <c r="C100" s="139" t="s">
        <v>2173</v>
      </c>
      <c r="D100" s="114" t="s">
        <v>2090</v>
      </c>
      <c r="E100" s="114">
        <v>268</v>
      </c>
      <c r="F100" s="114">
        <v>368</v>
      </c>
      <c r="G100" s="114">
        <v>2</v>
      </c>
      <c r="H100" s="114">
        <v>6000</v>
      </c>
      <c r="I100" s="114">
        <v>12000</v>
      </c>
      <c r="J100" s="114">
        <v>10084</v>
      </c>
      <c r="K100" s="114">
        <v>1916</v>
      </c>
      <c r="L100" s="114" t="str">
        <f t="shared" si="1"/>
        <v>INSERT INTO DETALLES_DOCUMENTO(NRO_DOCUMENTO,ID_TIPO,ID_PRODUCTO,CANTIDAD,PRECIO,VALOR_BRUTO,VALOR_NETO,VALOR_IVA) VALUES(43,1,368,2,6000,12000,10084,1916);</v>
      </c>
    </row>
    <row r="101" spans="1:12">
      <c r="A101" s="114">
        <v>1</v>
      </c>
      <c r="B101" s="114">
        <v>43</v>
      </c>
      <c r="C101" s="139" t="s">
        <v>2173</v>
      </c>
      <c r="D101" s="114" t="s">
        <v>2090</v>
      </c>
      <c r="E101" s="114">
        <v>268</v>
      </c>
      <c r="F101" s="114">
        <v>264</v>
      </c>
      <c r="G101" s="114">
        <v>1</v>
      </c>
      <c r="H101" s="114">
        <v>5000</v>
      </c>
      <c r="I101" s="114">
        <v>5000</v>
      </c>
      <c r="J101" s="114">
        <v>4202</v>
      </c>
      <c r="K101" s="114">
        <v>798</v>
      </c>
      <c r="L101" s="114" t="str">
        <f t="shared" si="1"/>
        <v>INSERT INTO DETALLES_DOCUMENTO(NRO_DOCUMENTO,ID_TIPO,ID_PRODUCTO,CANTIDAD,PRECIO,VALOR_BRUTO,VALOR_NETO,VALOR_IVA) VALUES(43,1,264,1,5000,5000,4202,798);</v>
      </c>
    </row>
    <row r="102" spans="1:12">
      <c r="A102" s="114">
        <v>1</v>
      </c>
      <c r="B102" s="114">
        <v>43</v>
      </c>
      <c r="C102" s="139" t="s">
        <v>2173</v>
      </c>
      <c r="D102" s="114" t="s">
        <v>2090</v>
      </c>
      <c r="E102" s="114">
        <v>268</v>
      </c>
      <c r="F102" s="114">
        <v>359</v>
      </c>
      <c r="G102" s="114">
        <v>1</v>
      </c>
      <c r="H102" s="114">
        <v>2500</v>
      </c>
      <c r="I102" s="114">
        <v>2500</v>
      </c>
      <c r="J102" s="114">
        <v>2101</v>
      </c>
      <c r="K102" s="114">
        <v>399</v>
      </c>
      <c r="L102" s="114" t="str">
        <f t="shared" si="1"/>
        <v>INSERT INTO DETALLES_DOCUMENTO(NRO_DOCUMENTO,ID_TIPO,ID_PRODUCTO,CANTIDAD,PRECIO,VALOR_BRUTO,VALOR_NETO,VALOR_IVA) VALUES(43,1,359,1,2500,2500,2101,399);</v>
      </c>
    </row>
    <row r="103" spans="1:12">
      <c r="A103" s="114">
        <v>1</v>
      </c>
      <c r="B103" s="114">
        <v>43</v>
      </c>
      <c r="C103" s="139" t="s">
        <v>2173</v>
      </c>
      <c r="D103" s="114" t="s">
        <v>2090</v>
      </c>
      <c r="E103" s="114">
        <v>268</v>
      </c>
      <c r="F103" s="114">
        <v>384</v>
      </c>
      <c r="G103" s="114">
        <v>1</v>
      </c>
      <c r="H103" s="114">
        <v>2750</v>
      </c>
      <c r="I103" s="114">
        <v>2750</v>
      </c>
      <c r="J103" s="114">
        <v>2311</v>
      </c>
      <c r="K103" s="114">
        <v>439</v>
      </c>
      <c r="L103" s="114" t="str">
        <f t="shared" si="1"/>
        <v>INSERT INTO DETALLES_DOCUMENTO(NRO_DOCUMENTO,ID_TIPO,ID_PRODUCTO,CANTIDAD,PRECIO,VALOR_BRUTO,VALOR_NETO,VALOR_IVA) VALUES(43,1,384,1,2750,2750,2311,439);</v>
      </c>
    </row>
    <row r="104" spans="1:12">
      <c r="A104" s="114">
        <v>1</v>
      </c>
      <c r="B104" s="114">
        <v>43</v>
      </c>
      <c r="C104" s="139" t="s">
        <v>2173</v>
      </c>
      <c r="D104" s="114" t="s">
        <v>2090</v>
      </c>
      <c r="E104" s="114">
        <v>268</v>
      </c>
      <c r="F104" s="114">
        <v>170</v>
      </c>
      <c r="G104" s="114">
        <v>1</v>
      </c>
      <c r="H104" s="114">
        <v>3600</v>
      </c>
      <c r="I104" s="114">
        <v>3600</v>
      </c>
      <c r="J104" s="114">
        <v>3025</v>
      </c>
      <c r="K104" s="114">
        <v>575</v>
      </c>
      <c r="L104" s="114" t="str">
        <f t="shared" si="1"/>
        <v>INSERT INTO DETALLES_DOCUMENTO(NRO_DOCUMENTO,ID_TIPO,ID_PRODUCTO,CANTIDAD,PRECIO,VALOR_BRUTO,VALOR_NETO,VALOR_IVA) VALUES(43,1,170,1,3600,3600,3025,575);</v>
      </c>
    </row>
    <row r="105" spans="1:12">
      <c r="A105" s="114">
        <v>1</v>
      </c>
      <c r="B105" s="114">
        <v>44</v>
      </c>
      <c r="C105" s="139" t="s">
        <v>2173</v>
      </c>
      <c r="D105" s="114" t="s">
        <v>2090</v>
      </c>
      <c r="E105" s="114">
        <v>358</v>
      </c>
      <c r="F105" s="114">
        <v>143</v>
      </c>
      <c r="G105" s="114">
        <v>1</v>
      </c>
      <c r="H105" s="114">
        <v>6500</v>
      </c>
      <c r="I105" s="114">
        <v>6500</v>
      </c>
      <c r="J105" s="114">
        <v>5462</v>
      </c>
      <c r="K105" s="114">
        <v>1038</v>
      </c>
      <c r="L105" s="114" t="str">
        <f t="shared" si="1"/>
        <v>INSERT INTO DETALLES_DOCUMENTO(NRO_DOCUMENTO,ID_TIPO,ID_PRODUCTO,CANTIDAD,PRECIO,VALOR_BRUTO,VALOR_NETO,VALOR_IVA) VALUES(44,1,143,1,6500,6500,5462,1038);</v>
      </c>
    </row>
    <row r="106" spans="1:12">
      <c r="A106" s="114">
        <v>1</v>
      </c>
      <c r="B106" s="114">
        <v>44</v>
      </c>
      <c r="C106" s="139" t="s">
        <v>2173</v>
      </c>
      <c r="D106" s="114" t="s">
        <v>2090</v>
      </c>
      <c r="E106" s="114">
        <v>358</v>
      </c>
      <c r="F106" s="114">
        <v>329</v>
      </c>
      <c r="G106" s="114">
        <v>1</v>
      </c>
      <c r="H106" s="114">
        <v>5500</v>
      </c>
      <c r="I106" s="114">
        <v>5500</v>
      </c>
      <c r="J106" s="114">
        <v>4622</v>
      </c>
      <c r="K106" s="114">
        <v>878</v>
      </c>
      <c r="L106" s="114" t="str">
        <f t="shared" si="1"/>
        <v>INSERT INTO DETALLES_DOCUMENTO(NRO_DOCUMENTO,ID_TIPO,ID_PRODUCTO,CANTIDAD,PRECIO,VALOR_BRUTO,VALOR_NETO,VALOR_IVA) VALUES(44,1,329,1,5500,5500,4622,878);</v>
      </c>
    </row>
    <row r="107" spans="1:12">
      <c r="A107" s="114">
        <v>1</v>
      </c>
      <c r="B107" s="114">
        <v>45</v>
      </c>
      <c r="C107" s="139" t="s">
        <v>2173</v>
      </c>
      <c r="D107" s="114" t="s">
        <v>2090</v>
      </c>
      <c r="E107" s="114">
        <v>446</v>
      </c>
      <c r="F107" s="114">
        <v>122</v>
      </c>
      <c r="G107" s="114">
        <v>1</v>
      </c>
      <c r="H107" s="114">
        <v>6000</v>
      </c>
      <c r="I107" s="114">
        <v>6000</v>
      </c>
      <c r="J107" s="114">
        <v>5042</v>
      </c>
      <c r="K107" s="114">
        <v>958</v>
      </c>
      <c r="L107" s="114" t="str">
        <f t="shared" si="1"/>
        <v>INSERT INTO DETALLES_DOCUMENTO(NRO_DOCUMENTO,ID_TIPO,ID_PRODUCTO,CANTIDAD,PRECIO,VALOR_BRUTO,VALOR_NETO,VALOR_IVA) VALUES(45,1,122,1,6000,6000,5042,958);</v>
      </c>
    </row>
    <row r="108" spans="1:12">
      <c r="A108" s="114">
        <v>1</v>
      </c>
      <c r="B108" s="114">
        <v>45</v>
      </c>
      <c r="C108" s="139" t="s">
        <v>2173</v>
      </c>
      <c r="D108" s="114" t="s">
        <v>2090</v>
      </c>
      <c r="E108" s="114">
        <v>446</v>
      </c>
      <c r="F108" s="114">
        <v>329</v>
      </c>
      <c r="G108" s="114">
        <v>1</v>
      </c>
      <c r="H108" s="114">
        <v>5500</v>
      </c>
      <c r="I108" s="114">
        <v>5500</v>
      </c>
      <c r="J108" s="114">
        <v>4622</v>
      </c>
      <c r="K108" s="114">
        <v>878</v>
      </c>
      <c r="L108" s="114" t="str">
        <f t="shared" si="1"/>
        <v>INSERT INTO DETALLES_DOCUMENTO(NRO_DOCUMENTO,ID_TIPO,ID_PRODUCTO,CANTIDAD,PRECIO,VALOR_BRUTO,VALOR_NETO,VALOR_IVA) VALUES(45,1,329,1,5500,5500,4622,878);</v>
      </c>
    </row>
    <row r="109" spans="1:12">
      <c r="A109" s="114">
        <v>1</v>
      </c>
      <c r="B109" s="114">
        <v>46</v>
      </c>
      <c r="C109" s="139" t="s">
        <v>2174</v>
      </c>
      <c r="D109" s="114" t="s">
        <v>2090</v>
      </c>
      <c r="E109" s="114">
        <v>56</v>
      </c>
      <c r="F109" s="114">
        <v>231</v>
      </c>
      <c r="G109" s="114">
        <v>1</v>
      </c>
      <c r="H109" s="114">
        <v>19990</v>
      </c>
      <c r="I109" s="114">
        <v>19990</v>
      </c>
      <c r="J109" s="114">
        <v>16798</v>
      </c>
      <c r="K109" s="114">
        <v>3192</v>
      </c>
      <c r="L109" s="114" t="str">
        <f t="shared" si="1"/>
        <v>INSERT INTO DETALLES_DOCUMENTO(NRO_DOCUMENTO,ID_TIPO,ID_PRODUCTO,CANTIDAD,PRECIO,VALOR_BRUTO,VALOR_NETO,VALOR_IVA) VALUES(46,1,231,1,19990,19990,16798,3192);</v>
      </c>
    </row>
    <row r="110" spans="1:12">
      <c r="A110" s="114">
        <v>1</v>
      </c>
      <c r="B110" s="114">
        <v>47</v>
      </c>
      <c r="C110" s="139" t="s">
        <v>2174</v>
      </c>
      <c r="D110" s="114" t="s">
        <v>2090</v>
      </c>
      <c r="E110" s="114">
        <v>85</v>
      </c>
      <c r="F110" s="114">
        <v>143</v>
      </c>
      <c r="G110" s="114">
        <v>1</v>
      </c>
      <c r="H110" s="114">
        <v>6500</v>
      </c>
      <c r="I110" s="114">
        <v>6500</v>
      </c>
      <c r="J110" s="114">
        <v>5462</v>
      </c>
      <c r="K110" s="114">
        <v>1038</v>
      </c>
      <c r="L110" s="114" t="str">
        <f t="shared" si="1"/>
        <v>INSERT INTO DETALLES_DOCUMENTO(NRO_DOCUMENTO,ID_TIPO,ID_PRODUCTO,CANTIDAD,PRECIO,VALOR_BRUTO,VALOR_NETO,VALOR_IVA) VALUES(47,1,143,1,6500,6500,5462,1038);</v>
      </c>
    </row>
    <row r="111" spans="1:12">
      <c r="A111" s="114">
        <v>1</v>
      </c>
      <c r="B111" s="114">
        <v>48</v>
      </c>
      <c r="C111" s="139" t="s">
        <v>2174</v>
      </c>
      <c r="D111" s="114" t="s">
        <v>2090</v>
      </c>
      <c r="E111" s="114">
        <v>89</v>
      </c>
      <c r="F111" s="114">
        <v>231</v>
      </c>
      <c r="G111" s="114">
        <v>1</v>
      </c>
      <c r="H111" s="114">
        <v>19990</v>
      </c>
      <c r="I111" s="114">
        <v>19990</v>
      </c>
      <c r="J111" s="114">
        <v>16798</v>
      </c>
      <c r="K111" s="114">
        <v>3192</v>
      </c>
      <c r="L111" s="114" t="str">
        <f t="shared" si="1"/>
        <v>INSERT INTO DETALLES_DOCUMENTO(NRO_DOCUMENTO,ID_TIPO,ID_PRODUCTO,CANTIDAD,PRECIO,VALOR_BRUTO,VALOR_NETO,VALOR_IVA) VALUES(48,1,231,1,19990,19990,16798,3192);</v>
      </c>
    </row>
    <row r="112" spans="1:12">
      <c r="A112" s="114">
        <v>1</v>
      </c>
      <c r="B112" s="114">
        <v>48</v>
      </c>
      <c r="C112" s="139" t="s">
        <v>2174</v>
      </c>
      <c r="D112" s="114" t="s">
        <v>2090</v>
      </c>
      <c r="E112" s="114">
        <v>89</v>
      </c>
      <c r="F112" s="114">
        <v>368</v>
      </c>
      <c r="G112" s="114">
        <v>2</v>
      </c>
      <c r="H112" s="114">
        <v>6000</v>
      </c>
      <c r="I112" s="114">
        <v>12000</v>
      </c>
      <c r="J112" s="114">
        <v>10084</v>
      </c>
      <c r="K112" s="114">
        <v>1916</v>
      </c>
      <c r="L112" s="114" t="str">
        <f t="shared" si="1"/>
        <v>INSERT INTO DETALLES_DOCUMENTO(NRO_DOCUMENTO,ID_TIPO,ID_PRODUCTO,CANTIDAD,PRECIO,VALOR_BRUTO,VALOR_NETO,VALOR_IVA) VALUES(48,1,368,2,6000,12000,10084,1916);</v>
      </c>
    </row>
    <row r="113" spans="1:12">
      <c r="A113" s="114">
        <v>1</v>
      </c>
      <c r="B113" s="114">
        <v>49</v>
      </c>
      <c r="C113" s="139" t="s">
        <v>2174</v>
      </c>
      <c r="D113" s="114" t="s">
        <v>2090</v>
      </c>
      <c r="E113" s="114">
        <v>108</v>
      </c>
      <c r="F113" s="114">
        <v>296</v>
      </c>
      <c r="G113" s="114">
        <v>2</v>
      </c>
      <c r="H113" s="114">
        <v>7000</v>
      </c>
      <c r="I113" s="114">
        <v>14000</v>
      </c>
      <c r="J113" s="114">
        <v>11765</v>
      </c>
      <c r="K113" s="114">
        <v>2235</v>
      </c>
      <c r="L113" s="114" t="str">
        <f t="shared" si="1"/>
        <v>INSERT INTO DETALLES_DOCUMENTO(NRO_DOCUMENTO,ID_TIPO,ID_PRODUCTO,CANTIDAD,PRECIO,VALOR_BRUTO,VALOR_NETO,VALOR_IVA) VALUES(49,1,296,2,7000,14000,11765,2235);</v>
      </c>
    </row>
    <row r="114" spans="1:12">
      <c r="A114" s="114">
        <v>1</v>
      </c>
      <c r="B114" s="114">
        <v>50</v>
      </c>
      <c r="C114" s="139" t="s">
        <v>2174</v>
      </c>
      <c r="D114" s="114" t="s">
        <v>2090</v>
      </c>
      <c r="E114" s="114">
        <v>122</v>
      </c>
      <c r="F114" s="114">
        <v>1</v>
      </c>
      <c r="G114" s="114">
        <v>1</v>
      </c>
      <c r="H114" s="114">
        <v>12500</v>
      </c>
      <c r="I114" s="114">
        <v>12500</v>
      </c>
      <c r="J114" s="114">
        <v>10504</v>
      </c>
      <c r="K114" s="114">
        <v>1996</v>
      </c>
      <c r="L114" s="114" t="str">
        <f t="shared" si="1"/>
        <v>INSERT INTO DETALLES_DOCUMENTO(NRO_DOCUMENTO,ID_TIPO,ID_PRODUCTO,CANTIDAD,PRECIO,VALOR_BRUTO,VALOR_NETO,VALOR_IVA) VALUES(50,1,1,1,12500,12500,10504,1996);</v>
      </c>
    </row>
    <row r="115" spans="1:12">
      <c r="A115" s="114">
        <v>1</v>
      </c>
      <c r="B115" s="114">
        <v>51</v>
      </c>
      <c r="C115" s="139" t="s">
        <v>2174</v>
      </c>
      <c r="D115" s="114" t="s">
        <v>2090</v>
      </c>
      <c r="E115" s="114">
        <v>166</v>
      </c>
      <c r="F115" s="114">
        <v>155</v>
      </c>
      <c r="G115" s="114">
        <v>1</v>
      </c>
      <c r="H115" s="114">
        <v>1650</v>
      </c>
      <c r="I115" s="114">
        <v>1650</v>
      </c>
      <c r="J115" s="114">
        <v>1387</v>
      </c>
      <c r="K115" s="114">
        <v>263</v>
      </c>
      <c r="L115" s="114" t="str">
        <f t="shared" si="1"/>
        <v>INSERT INTO DETALLES_DOCUMENTO(NRO_DOCUMENTO,ID_TIPO,ID_PRODUCTO,CANTIDAD,PRECIO,VALOR_BRUTO,VALOR_NETO,VALOR_IVA) VALUES(51,1,155,1,1650,1650,1387,263);</v>
      </c>
    </row>
    <row r="116" spans="1:12">
      <c r="A116" s="114">
        <v>1</v>
      </c>
      <c r="B116" s="114">
        <v>51</v>
      </c>
      <c r="C116" s="139" t="s">
        <v>2174</v>
      </c>
      <c r="D116" s="114" t="s">
        <v>2090</v>
      </c>
      <c r="E116" s="114">
        <v>166</v>
      </c>
      <c r="F116" s="114">
        <v>95</v>
      </c>
      <c r="G116" s="114">
        <v>1</v>
      </c>
      <c r="H116" s="114">
        <v>2400</v>
      </c>
      <c r="I116" s="114">
        <v>2400</v>
      </c>
      <c r="J116" s="114">
        <v>2017</v>
      </c>
      <c r="K116" s="114">
        <v>383</v>
      </c>
      <c r="L116" s="114" t="str">
        <f t="shared" si="1"/>
        <v>INSERT INTO DETALLES_DOCUMENTO(NRO_DOCUMENTO,ID_TIPO,ID_PRODUCTO,CANTIDAD,PRECIO,VALOR_BRUTO,VALOR_NETO,VALOR_IVA) VALUES(51,1,95,1,2400,2400,2017,383);</v>
      </c>
    </row>
    <row r="117" spans="1:12">
      <c r="A117" s="114">
        <v>1</v>
      </c>
      <c r="B117" s="114">
        <v>51</v>
      </c>
      <c r="C117" s="139" t="s">
        <v>2174</v>
      </c>
      <c r="D117" s="114" t="s">
        <v>2090</v>
      </c>
      <c r="E117" s="114">
        <v>166</v>
      </c>
      <c r="F117" s="114">
        <v>24</v>
      </c>
      <c r="G117" s="114">
        <v>1</v>
      </c>
      <c r="H117" s="114">
        <v>1650</v>
      </c>
      <c r="I117" s="114">
        <v>1650</v>
      </c>
      <c r="J117" s="114">
        <v>1387</v>
      </c>
      <c r="K117" s="114">
        <v>263</v>
      </c>
      <c r="L117" s="114" t="str">
        <f t="shared" si="1"/>
        <v>INSERT INTO DETALLES_DOCUMENTO(NRO_DOCUMENTO,ID_TIPO,ID_PRODUCTO,CANTIDAD,PRECIO,VALOR_BRUTO,VALOR_NETO,VALOR_IVA) VALUES(51,1,24,1,1650,1650,1387,263);</v>
      </c>
    </row>
    <row r="118" spans="1:12">
      <c r="A118" s="114">
        <v>1</v>
      </c>
      <c r="B118" s="114">
        <v>52</v>
      </c>
      <c r="C118" s="139" t="s">
        <v>2174</v>
      </c>
      <c r="D118" s="114" t="s">
        <v>2090</v>
      </c>
      <c r="E118" s="114">
        <v>238</v>
      </c>
      <c r="F118" s="114">
        <v>124</v>
      </c>
      <c r="G118" s="114">
        <v>1</v>
      </c>
      <c r="H118" s="114">
        <v>4000</v>
      </c>
      <c r="I118" s="114">
        <v>4000</v>
      </c>
      <c r="J118" s="114">
        <v>3361</v>
      </c>
      <c r="K118" s="114">
        <v>639</v>
      </c>
      <c r="L118" s="114" t="str">
        <f t="shared" si="1"/>
        <v>INSERT INTO DETALLES_DOCUMENTO(NRO_DOCUMENTO,ID_TIPO,ID_PRODUCTO,CANTIDAD,PRECIO,VALOR_BRUTO,VALOR_NETO,VALOR_IVA) VALUES(52,1,124,1,4000,4000,3361,639);</v>
      </c>
    </row>
    <row r="119" spans="1:12">
      <c r="A119" s="114">
        <v>1</v>
      </c>
      <c r="B119" s="114">
        <v>52</v>
      </c>
      <c r="C119" s="139" t="s">
        <v>2174</v>
      </c>
      <c r="D119" s="114" t="s">
        <v>2090</v>
      </c>
      <c r="E119" s="114">
        <v>238</v>
      </c>
      <c r="F119" s="114">
        <v>288</v>
      </c>
      <c r="G119" s="114">
        <v>1</v>
      </c>
      <c r="H119" s="114">
        <v>8000</v>
      </c>
      <c r="I119" s="114">
        <v>8000</v>
      </c>
      <c r="J119" s="114">
        <v>6723</v>
      </c>
      <c r="K119" s="114">
        <v>1277</v>
      </c>
      <c r="L119" s="114" t="str">
        <f t="shared" si="1"/>
        <v>INSERT INTO DETALLES_DOCUMENTO(NRO_DOCUMENTO,ID_TIPO,ID_PRODUCTO,CANTIDAD,PRECIO,VALOR_BRUTO,VALOR_NETO,VALOR_IVA) VALUES(52,1,288,1,8000,8000,6723,1277);</v>
      </c>
    </row>
    <row r="120" spans="1:12">
      <c r="A120" s="114">
        <v>1</v>
      </c>
      <c r="B120" s="114">
        <v>53</v>
      </c>
      <c r="C120" s="139" t="s">
        <v>2174</v>
      </c>
      <c r="D120" s="114" t="s">
        <v>2090</v>
      </c>
      <c r="E120" s="114">
        <v>302</v>
      </c>
      <c r="F120" s="114">
        <v>324</v>
      </c>
      <c r="G120" s="114">
        <v>1</v>
      </c>
      <c r="H120" s="114">
        <v>10500</v>
      </c>
      <c r="I120" s="114">
        <v>10500</v>
      </c>
      <c r="J120" s="114">
        <v>8824</v>
      </c>
      <c r="K120" s="114">
        <v>1676</v>
      </c>
      <c r="L120" s="114" t="str">
        <f t="shared" si="1"/>
        <v>INSERT INTO DETALLES_DOCUMENTO(NRO_DOCUMENTO,ID_TIPO,ID_PRODUCTO,CANTIDAD,PRECIO,VALOR_BRUTO,VALOR_NETO,VALOR_IVA) VALUES(53,1,324,1,10500,10500,8824,1676);</v>
      </c>
    </row>
    <row r="121" spans="1:12">
      <c r="A121" s="114">
        <v>1</v>
      </c>
      <c r="B121" s="114">
        <v>54</v>
      </c>
      <c r="C121" s="139" t="s">
        <v>2174</v>
      </c>
      <c r="D121" s="114" t="s">
        <v>2090</v>
      </c>
      <c r="E121" s="114">
        <v>315</v>
      </c>
      <c r="F121" s="114">
        <v>332</v>
      </c>
      <c r="G121" s="114">
        <v>1</v>
      </c>
      <c r="H121" s="114">
        <v>2600</v>
      </c>
      <c r="I121" s="114">
        <v>2600</v>
      </c>
      <c r="J121" s="114">
        <v>2185</v>
      </c>
      <c r="K121" s="114">
        <v>415</v>
      </c>
      <c r="L121" s="114" t="str">
        <f t="shared" si="1"/>
        <v>INSERT INTO DETALLES_DOCUMENTO(NRO_DOCUMENTO,ID_TIPO,ID_PRODUCTO,CANTIDAD,PRECIO,VALOR_BRUTO,VALOR_NETO,VALOR_IVA) VALUES(54,1,332,1,2600,2600,2185,415);</v>
      </c>
    </row>
    <row r="122" spans="1:12">
      <c r="A122" s="114">
        <v>1</v>
      </c>
      <c r="B122" s="114">
        <v>55</v>
      </c>
      <c r="C122" s="139" t="s">
        <v>2174</v>
      </c>
      <c r="D122" s="114" t="s">
        <v>2090</v>
      </c>
      <c r="E122" s="114">
        <v>345</v>
      </c>
      <c r="F122" s="114">
        <v>231</v>
      </c>
      <c r="G122" s="114">
        <v>1</v>
      </c>
      <c r="H122" s="114">
        <v>19990</v>
      </c>
      <c r="I122" s="114">
        <v>19990</v>
      </c>
      <c r="J122" s="114">
        <v>16798</v>
      </c>
      <c r="K122" s="114">
        <v>3192</v>
      </c>
      <c r="L122" s="114" t="str">
        <f t="shared" si="1"/>
        <v>INSERT INTO DETALLES_DOCUMENTO(NRO_DOCUMENTO,ID_TIPO,ID_PRODUCTO,CANTIDAD,PRECIO,VALOR_BRUTO,VALOR_NETO,VALOR_IVA) VALUES(55,1,231,1,19990,19990,16798,3192);</v>
      </c>
    </row>
    <row r="123" spans="1:12">
      <c r="A123" s="114">
        <v>1</v>
      </c>
      <c r="B123" s="114">
        <v>56</v>
      </c>
      <c r="C123" s="139" t="s">
        <v>2174</v>
      </c>
      <c r="D123" s="114" t="s">
        <v>2090</v>
      </c>
      <c r="E123" s="114">
        <v>386</v>
      </c>
      <c r="F123" s="114">
        <v>231</v>
      </c>
      <c r="G123" s="114">
        <v>1</v>
      </c>
      <c r="H123" s="114">
        <v>19990</v>
      </c>
      <c r="I123" s="114">
        <v>19990</v>
      </c>
      <c r="J123" s="114">
        <v>16798</v>
      </c>
      <c r="K123" s="114">
        <v>3192</v>
      </c>
      <c r="L123" s="114" t="str">
        <f t="shared" si="1"/>
        <v>INSERT INTO DETALLES_DOCUMENTO(NRO_DOCUMENTO,ID_TIPO,ID_PRODUCTO,CANTIDAD,PRECIO,VALOR_BRUTO,VALOR_NETO,VALOR_IVA) VALUES(56,1,231,1,19990,19990,16798,3192);</v>
      </c>
    </row>
    <row r="124" spans="1:12">
      <c r="A124" s="114">
        <v>1</v>
      </c>
      <c r="B124" s="114">
        <v>56</v>
      </c>
      <c r="C124" s="139" t="s">
        <v>2174</v>
      </c>
      <c r="D124" s="114" t="s">
        <v>2090</v>
      </c>
      <c r="E124" s="114">
        <v>386</v>
      </c>
      <c r="F124" s="114">
        <v>126</v>
      </c>
      <c r="G124" s="114">
        <v>1</v>
      </c>
      <c r="H124" s="114">
        <v>9000</v>
      </c>
      <c r="I124" s="114">
        <v>9000</v>
      </c>
      <c r="J124" s="114">
        <v>7563</v>
      </c>
      <c r="K124" s="114">
        <v>1437</v>
      </c>
      <c r="L124" s="114" t="str">
        <f t="shared" si="1"/>
        <v>INSERT INTO DETALLES_DOCUMENTO(NRO_DOCUMENTO,ID_TIPO,ID_PRODUCTO,CANTIDAD,PRECIO,VALOR_BRUTO,VALOR_NETO,VALOR_IVA) VALUES(56,1,126,1,9000,9000,7563,1437);</v>
      </c>
    </row>
    <row r="125" spans="1:12">
      <c r="A125" s="114">
        <v>1</v>
      </c>
      <c r="B125" s="114">
        <v>57</v>
      </c>
      <c r="C125" s="139" t="s">
        <v>2174</v>
      </c>
      <c r="D125" s="114" t="s">
        <v>2090</v>
      </c>
      <c r="E125" s="114">
        <v>462</v>
      </c>
      <c r="F125" s="114">
        <v>122</v>
      </c>
      <c r="G125" s="114">
        <v>1</v>
      </c>
      <c r="H125" s="114">
        <v>6000</v>
      </c>
      <c r="I125" s="114">
        <v>6000</v>
      </c>
      <c r="J125" s="114">
        <v>5042</v>
      </c>
      <c r="K125" s="114">
        <v>958</v>
      </c>
      <c r="L125" s="114" t="str">
        <f t="shared" si="1"/>
        <v>INSERT INTO DETALLES_DOCUMENTO(NRO_DOCUMENTO,ID_TIPO,ID_PRODUCTO,CANTIDAD,PRECIO,VALOR_BRUTO,VALOR_NETO,VALOR_IVA) VALUES(57,1,122,1,6000,6000,5042,958);</v>
      </c>
    </row>
    <row r="126" spans="1:12">
      <c r="A126" s="114">
        <v>1</v>
      </c>
      <c r="B126" s="114">
        <v>58</v>
      </c>
      <c r="C126" s="139" t="s">
        <v>2175</v>
      </c>
      <c r="D126" s="114" t="s">
        <v>2090</v>
      </c>
      <c r="E126" s="114">
        <v>164</v>
      </c>
      <c r="F126" s="114">
        <v>231</v>
      </c>
      <c r="G126" s="114">
        <v>1</v>
      </c>
      <c r="H126" s="114">
        <v>19990</v>
      </c>
      <c r="I126" s="114">
        <v>19990</v>
      </c>
      <c r="J126" s="114">
        <v>16798</v>
      </c>
      <c r="K126" s="114">
        <v>3192</v>
      </c>
      <c r="L126" s="114" t="str">
        <f t="shared" si="1"/>
        <v>INSERT INTO DETALLES_DOCUMENTO(NRO_DOCUMENTO,ID_TIPO,ID_PRODUCTO,CANTIDAD,PRECIO,VALOR_BRUTO,VALOR_NETO,VALOR_IVA) VALUES(58,1,231,1,19990,19990,16798,3192);</v>
      </c>
    </row>
    <row r="127" spans="1:12">
      <c r="A127" s="114">
        <v>1</v>
      </c>
      <c r="B127" s="114">
        <v>59</v>
      </c>
      <c r="C127" s="139" t="s">
        <v>2175</v>
      </c>
      <c r="D127" s="114" t="s">
        <v>2090</v>
      </c>
      <c r="E127" s="114">
        <v>166</v>
      </c>
      <c r="F127" s="114">
        <v>8</v>
      </c>
      <c r="G127" s="114">
        <v>1</v>
      </c>
      <c r="H127" s="114">
        <v>18500</v>
      </c>
      <c r="I127" s="114">
        <v>18500</v>
      </c>
      <c r="J127" s="114">
        <v>15546</v>
      </c>
      <c r="K127" s="114">
        <v>2954</v>
      </c>
      <c r="L127" s="114" t="str">
        <f t="shared" si="1"/>
        <v>INSERT INTO DETALLES_DOCUMENTO(NRO_DOCUMENTO,ID_TIPO,ID_PRODUCTO,CANTIDAD,PRECIO,VALOR_BRUTO,VALOR_NETO,VALOR_IVA) VALUES(59,1,8,1,18500,18500,15546,2954);</v>
      </c>
    </row>
    <row r="128" spans="1:12">
      <c r="A128" s="114">
        <v>1</v>
      </c>
      <c r="B128" s="114">
        <v>60</v>
      </c>
      <c r="C128" s="139" t="s">
        <v>2175</v>
      </c>
      <c r="D128" s="114" t="s">
        <v>2090</v>
      </c>
      <c r="E128" s="114">
        <v>388</v>
      </c>
      <c r="F128" s="114">
        <v>235</v>
      </c>
      <c r="G128" s="114">
        <v>1</v>
      </c>
      <c r="H128" s="114">
        <v>14500</v>
      </c>
      <c r="I128" s="114">
        <v>14500</v>
      </c>
      <c r="J128" s="114">
        <v>12185</v>
      </c>
      <c r="K128" s="114">
        <v>2315</v>
      </c>
      <c r="L128" s="114" t="str">
        <f t="shared" si="1"/>
        <v>INSERT INTO DETALLES_DOCUMENTO(NRO_DOCUMENTO,ID_TIPO,ID_PRODUCTO,CANTIDAD,PRECIO,VALOR_BRUTO,VALOR_NETO,VALOR_IVA) VALUES(60,1,235,1,14500,14500,12185,2315);</v>
      </c>
    </row>
    <row r="129" spans="1:12">
      <c r="A129" s="114">
        <v>1</v>
      </c>
      <c r="B129" s="114">
        <v>61</v>
      </c>
      <c r="C129" s="139" t="s">
        <v>2176</v>
      </c>
      <c r="D129" s="114" t="s">
        <v>2090</v>
      </c>
      <c r="E129" s="114">
        <v>78</v>
      </c>
      <c r="F129" s="114">
        <v>230</v>
      </c>
      <c r="G129" s="114">
        <v>1</v>
      </c>
      <c r="H129" s="114">
        <v>15500</v>
      </c>
      <c r="I129" s="114">
        <v>15500</v>
      </c>
      <c r="J129" s="114">
        <v>13025</v>
      </c>
      <c r="K129" s="114">
        <v>2475</v>
      </c>
      <c r="L129" s="114" t="str">
        <f t="shared" si="1"/>
        <v>INSERT INTO DETALLES_DOCUMENTO(NRO_DOCUMENTO,ID_TIPO,ID_PRODUCTO,CANTIDAD,PRECIO,VALOR_BRUTO,VALOR_NETO,VALOR_IVA) VALUES(61,1,230,1,15500,15500,13025,2475);</v>
      </c>
    </row>
    <row r="130" spans="1:12">
      <c r="A130" s="114">
        <v>1</v>
      </c>
      <c r="B130" s="114">
        <v>61</v>
      </c>
      <c r="C130" s="139" t="s">
        <v>2176</v>
      </c>
      <c r="D130" s="114" t="s">
        <v>2090</v>
      </c>
      <c r="E130" s="114">
        <v>78</v>
      </c>
      <c r="F130" s="114">
        <v>118</v>
      </c>
      <c r="G130" s="114">
        <v>1</v>
      </c>
      <c r="H130" s="114">
        <v>3500</v>
      </c>
      <c r="I130" s="114">
        <v>3500</v>
      </c>
      <c r="J130" s="114">
        <v>2941</v>
      </c>
      <c r="K130" s="114">
        <v>559</v>
      </c>
      <c r="L130" s="114" t="str">
        <f t="shared" si="1"/>
        <v>INSERT INTO DETALLES_DOCUMENTO(NRO_DOCUMENTO,ID_TIPO,ID_PRODUCTO,CANTIDAD,PRECIO,VALOR_BRUTO,VALOR_NETO,VALOR_IVA) VALUES(61,1,118,1,3500,3500,2941,559);</v>
      </c>
    </row>
    <row r="131" spans="1:12">
      <c r="A131" s="114">
        <v>1</v>
      </c>
      <c r="B131" s="114">
        <v>61</v>
      </c>
      <c r="C131" s="139" t="s">
        <v>2176</v>
      </c>
      <c r="D131" s="114" t="s">
        <v>2090</v>
      </c>
      <c r="E131" s="114">
        <v>78</v>
      </c>
      <c r="F131" s="114">
        <v>99</v>
      </c>
      <c r="G131" s="114">
        <v>1</v>
      </c>
      <c r="H131" s="114">
        <v>1500</v>
      </c>
      <c r="I131" s="114">
        <v>1500</v>
      </c>
      <c r="J131" s="114">
        <v>1261</v>
      </c>
      <c r="K131" s="114">
        <v>239</v>
      </c>
      <c r="L131" s="114" t="str">
        <f t="shared" ref="L131:L194" si="2">CONCATENATE("INSERT INTO DETALLES_DOCUMENTO(NRO_DOCUMENTO,ID_TIPO,ID_PRODUCTO,CANTIDAD,PRECIO,VALOR_BRUTO,VALOR_NETO,VALOR_IVA) VALUES(",B131,",",A131,",",F131,",",G131,",",H131,",",I131,",",J131,",",K131,");")</f>
        <v>INSERT INTO DETALLES_DOCUMENTO(NRO_DOCUMENTO,ID_TIPO,ID_PRODUCTO,CANTIDAD,PRECIO,VALOR_BRUTO,VALOR_NETO,VALOR_IVA) VALUES(61,1,99,1,1500,1500,1261,239);</v>
      </c>
    </row>
    <row r="132" spans="1:12">
      <c r="A132" s="114">
        <v>1</v>
      </c>
      <c r="B132" s="114">
        <v>62</v>
      </c>
      <c r="C132" s="139" t="s">
        <v>2176</v>
      </c>
      <c r="D132" s="114" t="s">
        <v>2090</v>
      </c>
      <c r="E132" s="114">
        <v>166</v>
      </c>
      <c r="F132" s="114">
        <v>329</v>
      </c>
      <c r="G132" s="114">
        <v>1</v>
      </c>
      <c r="H132" s="114">
        <v>5500</v>
      </c>
      <c r="I132" s="114">
        <v>5500</v>
      </c>
      <c r="J132" s="114">
        <v>4622</v>
      </c>
      <c r="K132" s="114">
        <v>878</v>
      </c>
      <c r="L132" s="114" t="str">
        <f t="shared" si="2"/>
        <v>INSERT INTO DETALLES_DOCUMENTO(NRO_DOCUMENTO,ID_TIPO,ID_PRODUCTO,CANTIDAD,PRECIO,VALOR_BRUTO,VALOR_NETO,VALOR_IVA) VALUES(62,1,329,1,5500,5500,4622,878);</v>
      </c>
    </row>
    <row r="133" spans="1:12">
      <c r="A133" s="114">
        <v>1</v>
      </c>
      <c r="B133" s="114">
        <v>63</v>
      </c>
      <c r="C133" s="139" t="s">
        <v>2177</v>
      </c>
      <c r="D133" s="114" t="s">
        <v>2090</v>
      </c>
      <c r="E133" s="114">
        <v>92</v>
      </c>
      <c r="F133" s="114">
        <v>124</v>
      </c>
      <c r="G133" s="114">
        <v>1</v>
      </c>
      <c r="H133" s="114">
        <v>4000</v>
      </c>
      <c r="I133" s="114">
        <v>4000</v>
      </c>
      <c r="J133" s="114">
        <v>3361</v>
      </c>
      <c r="K133" s="114">
        <v>639</v>
      </c>
      <c r="L133" s="114" t="str">
        <f t="shared" si="2"/>
        <v>INSERT INTO DETALLES_DOCUMENTO(NRO_DOCUMENTO,ID_TIPO,ID_PRODUCTO,CANTIDAD,PRECIO,VALOR_BRUTO,VALOR_NETO,VALOR_IVA) VALUES(63,1,124,1,4000,4000,3361,639);</v>
      </c>
    </row>
    <row r="134" spans="1:12">
      <c r="A134" s="114">
        <v>1</v>
      </c>
      <c r="B134" s="114">
        <v>64</v>
      </c>
      <c r="C134" s="139" t="s">
        <v>2177</v>
      </c>
      <c r="D134" s="114" t="s">
        <v>2090</v>
      </c>
      <c r="E134" s="114">
        <v>119</v>
      </c>
      <c r="F134" s="114">
        <v>143</v>
      </c>
      <c r="G134" s="114">
        <v>1</v>
      </c>
      <c r="H134" s="114">
        <v>6500</v>
      </c>
      <c r="I134" s="114">
        <v>6500</v>
      </c>
      <c r="J134" s="114">
        <v>5462</v>
      </c>
      <c r="K134" s="114">
        <v>1038</v>
      </c>
      <c r="L134" s="114" t="str">
        <f t="shared" si="2"/>
        <v>INSERT INTO DETALLES_DOCUMENTO(NRO_DOCUMENTO,ID_TIPO,ID_PRODUCTO,CANTIDAD,PRECIO,VALOR_BRUTO,VALOR_NETO,VALOR_IVA) VALUES(64,1,143,1,6500,6500,5462,1038);</v>
      </c>
    </row>
    <row r="135" spans="1:12">
      <c r="A135" s="114">
        <v>1</v>
      </c>
      <c r="B135" s="114">
        <v>64</v>
      </c>
      <c r="C135" s="139" t="s">
        <v>2177</v>
      </c>
      <c r="D135" s="114" t="s">
        <v>2090</v>
      </c>
      <c r="E135" s="114">
        <v>119</v>
      </c>
      <c r="F135" s="114">
        <v>264</v>
      </c>
      <c r="G135" s="114">
        <v>1</v>
      </c>
      <c r="H135" s="114">
        <v>5000</v>
      </c>
      <c r="I135" s="114">
        <v>5000</v>
      </c>
      <c r="J135" s="114">
        <v>4202</v>
      </c>
      <c r="K135" s="114">
        <v>798</v>
      </c>
      <c r="L135" s="114" t="str">
        <f t="shared" si="2"/>
        <v>INSERT INTO DETALLES_DOCUMENTO(NRO_DOCUMENTO,ID_TIPO,ID_PRODUCTO,CANTIDAD,PRECIO,VALOR_BRUTO,VALOR_NETO,VALOR_IVA) VALUES(64,1,264,1,5000,5000,4202,798);</v>
      </c>
    </row>
    <row r="136" spans="1:12">
      <c r="A136" s="114">
        <v>1</v>
      </c>
      <c r="B136" s="114">
        <v>64</v>
      </c>
      <c r="C136" s="139" t="s">
        <v>2177</v>
      </c>
      <c r="D136" s="114" t="s">
        <v>2090</v>
      </c>
      <c r="E136" s="114">
        <v>119</v>
      </c>
      <c r="F136" s="114">
        <v>117</v>
      </c>
      <c r="G136" s="114">
        <v>2</v>
      </c>
      <c r="H136" s="114">
        <v>7000</v>
      </c>
      <c r="I136" s="114">
        <v>14000</v>
      </c>
      <c r="J136" s="114">
        <v>11765</v>
      </c>
      <c r="K136" s="114">
        <v>2235</v>
      </c>
      <c r="L136" s="114" t="str">
        <f t="shared" si="2"/>
        <v>INSERT INTO DETALLES_DOCUMENTO(NRO_DOCUMENTO,ID_TIPO,ID_PRODUCTO,CANTIDAD,PRECIO,VALOR_BRUTO,VALOR_NETO,VALOR_IVA) VALUES(64,1,117,2,7000,14000,11765,2235);</v>
      </c>
    </row>
    <row r="137" spans="1:12">
      <c r="A137" s="114">
        <v>1</v>
      </c>
      <c r="B137" s="114">
        <v>64</v>
      </c>
      <c r="C137" s="139" t="s">
        <v>2177</v>
      </c>
      <c r="D137" s="114" t="s">
        <v>2090</v>
      </c>
      <c r="E137" s="114">
        <v>119</v>
      </c>
      <c r="F137" s="114">
        <v>26</v>
      </c>
      <c r="G137" s="114">
        <v>1</v>
      </c>
      <c r="H137" s="114">
        <v>3400</v>
      </c>
      <c r="I137" s="114">
        <v>3400</v>
      </c>
      <c r="J137" s="114">
        <v>2857</v>
      </c>
      <c r="K137" s="114">
        <v>543</v>
      </c>
      <c r="L137" s="114" t="str">
        <f t="shared" si="2"/>
        <v>INSERT INTO DETALLES_DOCUMENTO(NRO_DOCUMENTO,ID_TIPO,ID_PRODUCTO,CANTIDAD,PRECIO,VALOR_BRUTO,VALOR_NETO,VALOR_IVA) VALUES(64,1,26,1,3400,3400,2857,543);</v>
      </c>
    </row>
    <row r="138" spans="1:12">
      <c r="A138" s="114">
        <v>1</v>
      </c>
      <c r="B138" s="114">
        <v>64</v>
      </c>
      <c r="C138" s="139" t="s">
        <v>2177</v>
      </c>
      <c r="D138" s="114" t="s">
        <v>2090</v>
      </c>
      <c r="E138" s="114">
        <v>119</v>
      </c>
      <c r="F138" s="114">
        <v>167</v>
      </c>
      <c r="G138" s="114">
        <v>1</v>
      </c>
      <c r="H138" s="114">
        <v>8200</v>
      </c>
      <c r="I138" s="114">
        <v>8200</v>
      </c>
      <c r="J138" s="114">
        <v>6891</v>
      </c>
      <c r="K138" s="114">
        <v>1309</v>
      </c>
      <c r="L138" s="114" t="str">
        <f t="shared" si="2"/>
        <v>INSERT INTO DETALLES_DOCUMENTO(NRO_DOCUMENTO,ID_TIPO,ID_PRODUCTO,CANTIDAD,PRECIO,VALOR_BRUTO,VALOR_NETO,VALOR_IVA) VALUES(64,1,167,1,8200,8200,6891,1309);</v>
      </c>
    </row>
    <row r="139" spans="1:12">
      <c r="A139" s="114">
        <v>1</v>
      </c>
      <c r="B139" s="114">
        <v>65</v>
      </c>
      <c r="C139" s="139" t="s">
        <v>2177</v>
      </c>
      <c r="D139" s="114" t="s">
        <v>2090</v>
      </c>
      <c r="E139" s="114">
        <v>130</v>
      </c>
      <c r="F139" s="114">
        <v>143</v>
      </c>
      <c r="G139" s="114">
        <v>1</v>
      </c>
      <c r="H139" s="114">
        <v>6500</v>
      </c>
      <c r="I139" s="114">
        <v>6500</v>
      </c>
      <c r="J139" s="114">
        <v>5462</v>
      </c>
      <c r="K139" s="114">
        <v>1038</v>
      </c>
      <c r="L139" s="114" t="str">
        <f t="shared" si="2"/>
        <v>INSERT INTO DETALLES_DOCUMENTO(NRO_DOCUMENTO,ID_TIPO,ID_PRODUCTO,CANTIDAD,PRECIO,VALOR_BRUTO,VALOR_NETO,VALOR_IVA) VALUES(65,1,143,1,6500,6500,5462,1038);</v>
      </c>
    </row>
    <row r="140" spans="1:12">
      <c r="A140" s="114">
        <v>1</v>
      </c>
      <c r="B140" s="114">
        <v>66</v>
      </c>
      <c r="C140" s="139" t="s">
        <v>2177</v>
      </c>
      <c r="D140" s="114" t="s">
        <v>2090</v>
      </c>
      <c r="E140" s="114">
        <v>135</v>
      </c>
      <c r="F140" s="114">
        <v>1</v>
      </c>
      <c r="G140" s="114">
        <v>1</v>
      </c>
      <c r="H140" s="114">
        <v>12500</v>
      </c>
      <c r="I140" s="114">
        <v>12500</v>
      </c>
      <c r="J140" s="114">
        <v>10504</v>
      </c>
      <c r="K140" s="114">
        <v>1996</v>
      </c>
      <c r="L140" s="114" t="str">
        <f t="shared" si="2"/>
        <v>INSERT INTO DETALLES_DOCUMENTO(NRO_DOCUMENTO,ID_TIPO,ID_PRODUCTO,CANTIDAD,PRECIO,VALOR_BRUTO,VALOR_NETO,VALOR_IVA) VALUES(66,1,1,1,12500,12500,10504,1996);</v>
      </c>
    </row>
    <row r="141" spans="1:12">
      <c r="A141" s="114">
        <v>1</v>
      </c>
      <c r="B141" s="114">
        <v>66</v>
      </c>
      <c r="C141" s="139" t="s">
        <v>2177</v>
      </c>
      <c r="D141" s="114" t="s">
        <v>2090</v>
      </c>
      <c r="E141" s="114">
        <v>135</v>
      </c>
      <c r="F141" s="114">
        <v>7</v>
      </c>
      <c r="G141" s="114">
        <v>1</v>
      </c>
      <c r="H141" s="114">
        <v>7000</v>
      </c>
      <c r="I141" s="114">
        <v>7000</v>
      </c>
      <c r="J141" s="114">
        <v>5882</v>
      </c>
      <c r="K141" s="114">
        <v>1118</v>
      </c>
      <c r="L141" s="114" t="str">
        <f t="shared" si="2"/>
        <v>INSERT INTO DETALLES_DOCUMENTO(NRO_DOCUMENTO,ID_TIPO,ID_PRODUCTO,CANTIDAD,PRECIO,VALOR_BRUTO,VALOR_NETO,VALOR_IVA) VALUES(66,1,7,1,7000,7000,5882,1118);</v>
      </c>
    </row>
    <row r="142" spans="1:12">
      <c r="A142" s="114">
        <v>1</v>
      </c>
      <c r="B142" s="114">
        <v>66</v>
      </c>
      <c r="C142" s="139" t="s">
        <v>2177</v>
      </c>
      <c r="D142" s="114" t="s">
        <v>2090</v>
      </c>
      <c r="E142" s="114">
        <v>135</v>
      </c>
      <c r="F142" s="114">
        <v>164</v>
      </c>
      <c r="G142" s="114">
        <v>1</v>
      </c>
      <c r="H142" s="114">
        <v>3200</v>
      </c>
      <c r="I142" s="114">
        <v>3200</v>
      </c>
      <c r="J142" s="114">
        <v>2689</v>
      </c>
      <c r="K142" s="114">
        <v>511</v>
      </c>
      <c r="L142" s="114" t="str">
        <f t="shared" si="2"/>
        <v>INSERT INTO DETALLES_DOCUMENTO(NRO_DOCUMENTO,ID_TIPO,ID_PRODUCTO,CANTIDAD,PRECIO,VALOR_BRUTO,VALOR_NETO,VALOR_IVA) VALUES(66,1,164,1,3200,3200,2689,511);</v>
      </c>
    </row>
    <row r="143" spans="1:12">
      <c r="A143" s="114">
        <v>1</v>
      </c>
      <c r="B143" s="114">
        <v>67</v>
      </c>
      <c r="C143" s="139" t="s">
        <v>2177</v>
      </c>
      <c r="D143" s="114" t="s">
        <v>2090</v>
      </c>
      <c r="E143" s="114">
        <v>166</v>
      </c>
      <c r="F143" s="114">
        <v>191</v>
      </c>
      <c r="G143" s="114">
        <v>1</v>
      </c>
      <c r="H143" s="114">
        <v>2500</v>
      </c>
      <c r="I143" s="114">
        <v>2500</v>
      </c>
      <c r="J143" s="114">
        <v>2101</v>
      </c>
      <c r="K143" s="114">
        <v>399</v>
      </c>
      <c r="L143" s="114" t="str">
        <f t="shared" si="2"/>
        <v>INSERT INTO DETALLES_DOCUMENTO(NRO_DOCUMENTO,ID_TIPO,ID_PRODUCTO,CANTIDAD,PRECIO,VALOR_BRUTO,VALOR_NETO,VALOR_IVA) VALUES(67,1,191,1,2500,2500,2101,399);</v>
      </c>
    </row>
    <row r="144" spans="1:12">
      <c r="A144" s="114">
        <v>1</v>
      </c>
      <c r="B144" s="114">
        <v>68</v>
      </c>
      <c r="C144" s="139" t="s">
        <v>2177</v>
      </c>
      <c r="D144" s="114" t="s">
        <v>2090</v>
      </c>
      <c r="E144" s="114">
        <v>407</v>
      </c>
      <c r="F144" s="114">
        <v>143</v>
      </c>
      <c r="G144" s="114">
        <v>1</v>
      </c>
      <c r="H144" s="114">
        <v>6500</v>
      </c>
      <c r="I144" s="114">
        <v>6500</v>
      </c>
      <c r="J144" s="114">
        <v>5462</v>
      </c>
      <c r="K144" s="114">
        <v>1038</v>
      </c>
      <c r="L144" s="114" t="str">
        <f t="shared" si="2"/>
        <v>INSERT INTO DETALLES_DOCUMENTO(NRO_DOCUMENTO,ID_TIPO,ID_PRODUCTO,CANTIDAD,PRECIO,VALOR_BRUTO,VALOR_NETO,VALOR_IVA) VALUES(68,1,143,1,6500,6500,5462,1038);</v>
      </c>
    </row>
    <row r="145" spans="1:12">
      <c r="A145" s="114">
        <v>1</v>
      </c>
      <c r="B145" s="114">
        <v>68</v>
      </c>
      <c r="C145" s="139" t="s">
        <v>2177</v>
      </c>
      <c r="D145" s="114" t="s">
        <v>2090</v>
      </c>
      <c r="E145" s="114">
        <v>407</v>
      </c>
      <c r="F145" s="114">
        <v>118</v>
      </c>
      <c r="G145" s="114">
        <v>1</v>
      </c>
      <c r="H145" s="114">
        <v>3500</v>
      </c>
      <c r="I145" s="114">
        <v>3500</v>
      </c>
      <c r="J145" s="114">
        <v>2941</v>
      </c>
      <c r="K145" s="114">
        <v>559</v>
      </c>
      <c r="L145" s="114" t="str">
        <f t="shared" si="2"/>
        <v>INSERT INTO DETALLES_DOCUMENTO(NRO_DOCUMENTO,ID_TIPO,ID_PRODUCTO,CANTIDAD,PRECIO,VALOR_BRUTO,VALOR_NETO,VALOR_IVA) VALUES(68,1,118,1,3500,3500,2941,559);</v>
      </c>
    </row>
    <row r="146" spans="1:12">
      <c r="A146" s="114">
        <v>1</v>
      </c>
      <c r="B146" s="114">
        <v>69</v>
      </c>
      <c r="C146" s="139" t="s">
        <v>2178</v>
      </c>
      <c r="D146" s="114" t="s">
        <v>2090</v>
      </c>
      <c r="E146" s="114">
        <v>57</v>
      </c>
      <c r="F146" s="114">
        <v>143</v>
      </c>
      <c r="G146" s="114">
        <v>1</v>
      </c>
      <c r="H146" s="114">
        <v>6500</v>
      </c>
      <c r="I146" s="114">
        <v>6500</v>
      </c>
      <c r="J146" s="114">
        <v>5462</v>
      </c>
      <c r="K146" s="114">
        <v>1038</v>
      </c>
      <c r="L146" s="114" t="str">
        <f t="shared" si="2"/>
        <v>INSERT INTO DETALLES_DOCUMENTO(NRO_DOCUMENTO,ID_TIPO,ID_PRODUCTO,CANTIDAD,PRECIO,VALOR_BRUTO,VALOR_NETO,VALOR_IVA) VALUES(69,1,143,1,6500,6500,5462,1038);</v>
      </c>
    </row>
    <row r="147" spans="1:12">
      <c r="A147" s="114">
        <v>1</v>
      </c>
      <c r="B147" s="114">
        <v>70</v>
      </c>
      <c r="C147" s="139" t="s">
        <v>2178</v>
      </c>
      <c r="D147" s="114" t="s">
        <v>2090</v>
      </c>
      <c r="E147" s="114">
        <v>159</v>
      </c>
      <c r="F147" s="114">
        <v>1</v>
      </c>
      <c r="G147" s="114">
        <v>1</v>
      </c>
      <c r="H147" s="114">
        <v>12500</v>
      </c>
      <c r="I147" s="114">
        <v>12500</v>
      </c>
      <c r="J147" s="114">
        <v>10504</v>
      </c>
      <c r="K147" s="114">
        <v>1996</v>
      </c>
      <c r="L147" s="114" t="str">
        <f t="shared" si="2"/>
        <v>INSERT INTO DETALLES_DOCUMENTO(NRO_DOCUMENTO,ID_TIPO,ID_PRODUCTO,CANTIDAD,PRECIO,VALOR_BRUTO,VALOR_NETO,VALOR_IVA) VALUES(70,1,1,1,12500,12500,10504,1996);</v>
      </c>
    </row>
    <row r="148" spans="1:12">
      <c r="A148" s="114">
        <v>1</v>
      </c>
      <c r="B148" s="114">
        <v>71</v>
      </c>
      <c r="C148" s="139" t="s">
        <v>2178</v>
      </c>
      <c r="D148" s="114" t="s">
        <v>2090</v>
      </c>
      <c r="E148" s="114">
        <v>166</v>
      </c>
      <c r="F148" s="114">
        <v>68</v>
      </c>
      <c r="G148" s="114">
        <v>1</v>
      </c>
      <c r="H148" s="114">
        <v>1200</v>
      </c>
      <c r="I148" s="114">
        <v>1200</v>
      </c>
      <c r="J148" s="114">
        <v>1008</v>
      </c>
      <c r="K148" s="114">
        <v>192</v>
      </c>
      <c r="L148" s="114" t="str">
        <f t="shared" si="2"/>
        <v>INSERT INTO DETALLES_DOCUMENTO(NRO_DOCUMENTO,ID_TIPO,ID_PRODUCTO,CANTIDAD,PRECIO,VALOR_BRUTO,VALOR_NETO,VALOR_IVA) VALUES(71,1,68,1,1200,1200,1008,192);</v>
      </c>
    </row>
    <row r="149" spans="1:12">
      <c r="A149" s="114">
        <v>1</v>
      </c>
      <c r="B149" s="114">
        <v>71</v>
      </c>
      <c r="C149" s="139" t="s">
        <v>2178</v>
      </c>
      <c r="D149" s="114" t="s">
        <v>2090</v>
      </c>
      <c r="E149" s="114">
        <v>166</v>
      </c>
      <c r="F149" s="114">
        <v>256</v>
      </c>
      <c r="G149" s="114">
        <v>1</v>
      </c>
      <c r="H149" s="114">
        <v>3000</v>
      </c>
      <c r="I149" s="114">
        <v>3000</v>
      </c>
      <c r="J149" s="114">
        <v>2521</v>
      </c>
      <c r="K149" s="114">
        <v>479</v>
      </c>
      <c r="L149" s="114" t="str">
        <f t="shared" si="2"/>
        <v>INSERT INTO DETALLES_DOCUMENTO(NRO_DOCUMENTO,ID_TIPO,ID_PRODUCTO,CANTIDAD,PRECIO,VALOR_BRUTO,VALOR_NETO,VALOR_IVA) VALUES(71,1,256,1,3000,3000,2521,479);</v>
      </c>
    </row>
    <row r="150" spans="1:12">
      <c r="A150" s="114">
        <v>1</v>
      </c>
      <c r="B150" s="114">
        <v>71</v>
      </c>
      <c r="C150" s="139" t="s">
        <v>2178</v>
      </c>
      <c r="D150" s="114" t="s">
        <v>2090</v>
      </c>
      <c r="E150" s="114">
        <v>166</v>
      </c>
      <c r="F150" s="114">
        <v>324</v>
      </c>
      <c r="G150" s="114">
        <v>1</v>
      </c>
      <c r="H150" s="114">
        <v>10500</v>
      </c>
      <c r="I150" s="114">
        <v>10500</v>
      </c>
      <c r="J150" s="114">
        <v>8824</v>
      </c>
      <c r="K150" s="114">
        <v>1676</v>
      </c>
      <c r="L150" s="114" t="str">
        <f t="shared" si="2"/>
        <v>INSERT INTO DETALLES_DOCUMENTO(NRO_DOCUMENTO,ID_TIPO,ID_PRODUCTO,CANTIDAD,PRECIO,VALOR_BRUTO,VALOR_NETO,VALOR_IVA) VALUES(71,1,324,1,10500,10500,8824,1676);</v>
      </c>
    </row>
    <row r="151" spans="1:12">
      <c r="A151" s="114">
        <v>1</v>
      </c>
      <c r="B151" s="114">
        <v>72</v>
      </c>
      <c r="C151" s="139" t="s">
        <v>2178</v>
      </c>
      <c r="D151" s="114" t="s">
        <v>2090</v>
      </c>
      <c r="E151" s="114">
        <v>223</v>
      </c>
      <c r="F151" s="114">
        <v>324</v>
      </c>
      <c r="G151" s="114">
        <v>1</v>
      </c>
      <c r="H151" s="114">
        <v>10500</v>
      </c>
      <c r="I151" s="114">
        <v>10500</v>
      </c>
      <c r="J151" s="114">
        <v>8824</v>
      </c>
      <c r="K151" s="114">
        <v>1676</v>
      </c>
      <c r="L151" s="114" t="str">
        <f t="shared" si="2"/>
        <v>INSERT INTO DETALLES_DOCUMENTO(NRO_DOCUMENTO,ID_TIPO,ID_PRODUCTO,CANTIDAD,PRECIO,VALOR_BRUTO,VALOR_NETO,VALOR_IVA) VALUES(72,1,324,1,10500,10500,8824,1676);</v>
      </c>
    </row>
    <row r="152" spans="1:12">
      <c r="A152" s="114">
        <v>1</v>
      </c>
      <c r="B152" s="114">
        <v>72</v>
      </c>
      <c r="C152" s="139" t="s">
        <v>2178</v>
      </c>
      <c r="D152" s="114" t="s">
        <v>2090</v>
      </c>
      <c r="E152" s="114">
        <v>223</v>
      </c>
      <c r="F152" s="114">
        <v>99</v>
      </c>
      <c r="G152" s="114">
        <v>1</v>
      </c>
      <c r="H152" s="114">
        <v>1500</v>
      </c>
      <c r="I152" s="114">
        <v>1500</v>
      </c>
      <c r="J152" s="114">
        <v>1261</v>
      </c>
      <c r="K152" s="114">
        <v>239</v>
      </c>
      <c r="L152" s="114" t="str">
        <f t="shared" si="2"/>
        <v>INSERT INTO DETALLES_DOCUMENTO(NRO_DOCUMENTO,ID_TIPO,ID_PRODUCTO,CANTIDAD,PRECIO,VALOR_BRUTO,VALOR_NETO,VALOR_IVA) VALUES(72,1,99,1,1500,1500,1261,239);</v>
      </c>
    </row>
    <row r="153" spans="1:12">
      <c r="A153" s="114">
        <v>1</v>
      </c>
      <c r="B153" s="114">
        <v>72</v>
      </c>
      <c r="C153" s="139" t="s">
        <v>2178</v>
      </c>
      <c r="D153" s="114" t="s">
        <v>2090</v>
      </c>
      <c r="E153" s="114">
        <v>223</v>
      </c>
      <c r="F153" s="114">
        <v>143</v>
      </c>
      <c r="G153" s="114">
        <v>1</v>
      </c>
      <c r="H153" s="114">
        <v>6500</v>
      </c>
      <c r="I153" s="114">
        <v>6500</v>
      </c>
      <c r="J153" s="114">
        <v>5462</v>
      </c>
      <c r="K153" s="114">
        <v>1038</v>
      </c>
      <c r="L153" s="114" t="str">
        <f t="shared" si="2"/>
        <v>INSERT INTO DETALLES_DOCUMENTO(NRO_DOCUMENTO,ID_TIPO,ID_PRODUCTO,CANTIDAD,PRECIO,VALOR_BRUTO,VALOR_NETO,VALOR_IVA) VALUES(72,1,143,1,6500,6500,5462,1038);</v>
      </c>
    </row>
    <row r="154" spans="1:12">
      <c r="A154" s="114">
        <v>1</v>
      </c>
      <c r="B154" s="114">
        <v>73</v>
      </c>
      <c r="C154" s="139" t="s">
        <v>2178</v>
      </c>
      <c r="D154" s="114" t="s">
        <v>2090</v>
      </c>
      <c r="E154" s="114">
        <v>427</v>
      </c>
      <c r="F154" s="114">
        <v>230</v>
      </c>
      <c r="G154" s="114">
        <v>1</v>
      </c>
      <c r="H154" s="114">
        <v>15500</v>
      </c>
      <c r="I154" s="114">
        <v>15500</v>
      </c>
      <c r="J154" s="114">
        <v>13025</v>
      </c>
      <c r="K154" s="114">
        <v>2475</v>
      </c>
      <c r="L154" s="114" t="str">
        <f t="shared" si="2"/>
        <v>INSERT INTO DETALLES_DOCUMENTO(NRO_DOCUMENTO,ID_TIPO,ID_PRODUCTO,CANTIDAD,PRECIO,VALOR_BRUTO,VALOR_NETO,VALOR_IVA) VALUES(73,1,230,1,15500,15500,13025,2475);</v>
      </c>
    </row>
    <row r="155" spans="1:12">
      <c r="A155" s="114">
        <v>1</v>
      </c>
      <c r="B155" s="114">
        <v>73</v>
      </c>
      <c r="C155" s="139" t="s">
        <v>2178</v>
      </c>
      <c r="D155" s="114" t="s">
        <v>2090</v>
      </c>
      <c r="E155" s="114">
        <v>427</v>
      </c>
      <c r="F155" s="114">
        <v>254</v>
      </c>
      <c r="G155" s="114">
        <v>1</v>
      </c>
      <c r="H155" s="114">
        <v>2000</v>
      </c>
      <c r="I155" s="114">
        <v>2000</v>
      </c>
      <c r="J155" s="114">
        <v>1681</v>
      </c>
      <c r="K155" s="114">
        <v>319</v>
      </c>
      <c r="L155" s="114" t="str">
        <f t="shared" si="2"/>
        <v>INSERT INTO DETALLES_DOCUMENTO(NRO_DOCUMENTO,ID_TIPO,ID_PRODUCTO,CANTIDAD,PRECIO,VALOR_BRUTO,VALOR_NETO,VALOR_IVA) VALUES(73,1,254,1,2000,2000,1681,319);</v>
      </c>
    </row>
    <row r="156" spans="1:12">
      <c r="A156" s="114">
        <v>1</v>
      </c>
      <c r="B156" s="114">
        <v>73</v>
      </c>
      <c r="C156" s="139" t="s">
        <v>2178</v>
      </c>
      <c r="D156" s="114" t="s">
        <v>2090</v>
      </c>
      <c r="E156" s="114">
        <v>427</v>
      </c>
      <c r="F156" s="114">
        <v>329</v>
      </c>
      <c r="G156" s="114">
        <v>1</v>
      </c>
      <c r="H156" s="114">
        <v>5500</v>
      </c>
      <c r="I156" s="114">
        <v>5500</v>
      </c>
      <c r="J156" s="114">
        <v>4622</v>
      </c>
      <c r="K156" s="114">
        <v>878</v>
      </c>
      <c r="L156" s="114" t="str">
        <f t="shared" si="2"/>
        <v>INSERT INTO DETALLES_DOCUMENTO(NRO_DOCUMENTO,ID_TIPO,ID_PRODUCTO,CANTIDAD,PRECIO,VALOR_BRUTO,VALOR_NETO,VALOR_IVA) VALUES(73,1,329,1,5500,5500,4622,878);</v>
      </c>
    </row>
    <row r="157" spans="1:12">
      <c r="A157" s="114">
        <v>1</v>
      </c>
      <c r="B157" s="114">
        <v>74</v>
      </c>
      <c r="C157" s="139" t="s">
        <v>2179</v>
      </c>
      <c r="D157" s="114" t="s">
        <v>2090</v>
      </c>
      <c r="E157" s="114">
        <v>166</v>
      </c>
      <c r="F157" s="114">
        <v>254</v>
      </c>
      <c r="G157" s="114">
        <v>2</v>
      </c>
      <c r="H157" s="114">
        <v>4000</v>
      </c>
      <c r="I157" s="114">
        <v>8000</v>
      </c>
      <c r="J157" s="114">
        <v>6723</v>
      </c>
      <c r="K157" s="114">
        <v>1277</v>
      </c>
      <c r="L157" s="114" t="str">
        <f t="shared" si="2"/>
        <v>INSERT INTO DETALLES_DOCUMENTO(NRO_DOCUMENTO,ID_TIPO,ID_PRODUCTO,CANTIDAD,PRECIO,VALOR_BRUTO,VALOR_NETO,VALOR_IVA) VALUES(74,1,254,2,4000,8000,6723,1277);</v>
      </c>
    </row>
    <row r="158" spans="1:12">
      <c r="A158" s="114">
        <v>1</v>
      </c>
      <c r="B158" s="114">
        <v>75</v>
      </c>
      <c r="C158" s="139" t="s">
        <v>2179</v>
      </c>
      <c r="D158" s="114" t="s">
        <v>2090</v>
      </c>
      <c r="E158" s="114">
        <v>300</v>
      </c>
      <c r="F158" s="114">
        <v>144</v>
      </c>
      <c r="G158" s="114">
        <v>1</v>
      </c>
      <c r="H158" s="114">
        <v>6000</v>
      </c>
      <c r="I158" s="114">
        <v>6000</v>
      </c>
      <c r="J158" s="114">
        <v>5042</v>
      </c>
      <c r="K158" s="114">
        <v>958</v>
      </c>
      <c r="L158" s="114" t="str">
        <f t="shared" si="2"/>
        <v>INSERT INTO DETALLES_DOCUMENTO(NRO_DOCUMENTO,ID_TIPO,ID_PRODUCTO,CANTIDAD,PRECIO,VALOR_BRUTO,VALOR_NETO,VALOR_IVA) VALUES(75,1,144,1,6000,6000,5042,958);</v>
      </c>
    </row>
    <row r="159" spans="1:12">
      <c r="A159" s="114">
        <v>1</v>
      </c>
      <c r="B159" s="114">
        <v>75</v>
      </c>
      <c r="C159" s="139" t="s">
        <v>2179</v>
      </c>
      <c r="D159" s="114" t="s">
        <v>2090</v>
      </c>
      <c r="E159" s="114">
        <v>300</v>
      </c>
      <c r="F159" s="114">
        <v>361</v>
      </c>
      <c r="G159" s="114">
        <v>2</v>
      </c>
      <c r="H159" s="114">
        <v>7000</v>
      </c>
      <c r="I159" s="114">
        <v>14000</v>
      </c>
      <c r="J159" s="114">
        <v>11765</v>
      </c>
      <c r="K159" s="114">
        <v>2235</v>
      </c>
      <c r="L159" s="114" t="str">
        <f t="shared" si="2"/>
        <v>INSERT INTO DETALLES_DOCUMENTO(NRO_DOCUMENTO,ID_TIPO,ID_PRODUCTO,CANTIDAD,PRECIO,VALOR_BRUTO,VALOR_NETO,VALOR_IVA) VALUES(75,1,361,2,7000,14000,11765,2235);</v>
      </c>
    </row>
    <row r="160" spans="1:12">
      <c r="A160" s="114">
        <v>1</v>
      </c>
      <c r="B160" s="114">
        <v>75</v>
      </c>
      <c r="C160" s="139" t="s">
        <v>2179</v>
      </c>
      <c r="D160" s="114" t="s">
        <v>2090</v>
      </c>
      <c r="E160" s="114">
        <v>300</v>
      </c>
      <c r="F160" s="114">
        <v>293</v>
      </c>
      <c r="G160" s="114">
        <v>1</v>
      </c>
      <c r="H160" s="114">
        <v>9500</v>
      </c>
      <c r="I160" s="114">
        <v>9500</v>
      </c>
      <c r="J160" s="114">
        <v>7983</v>
      </c>
      <c r="K160" s="114">
        <v>1517</v>
      </c>
      <c r="L160" s="114" t="str">
        <f t="shared" si="2"/>
        <v>INSERT INTO DETALLES_DOCUMENTO(NRO_DOCUMENTO,ID_TIPO,ID_PRODUCTO,CANTIDAD,PRECIO,VALOR_BRUTO,VALOR_NETO,VALOR_IVA) VALUES(75,1,293,1,9500,9500,7983,1517);</v>
      </c>
    </row>
    <row r="161" spans="1:12">
      <c r="A161" s="114">
        <v>1</v>
      </c>
      <c r="B161" s="114">
        <v>75</v>
      </c>
      <c r="C161" s="139" t="s">
        <v>2179</v>
      </c>
      <c r="D161" s="114" t="s">
        <v>2090</v>
      </c>
      <c r="E161" s="114">
        <v>300</v>
      </c>
      <c r="F161" s="114">
        <v>155</v>
      </c>
      <c r="G161" s="114">
        <v>2</v>
      </c>
      <c r="H161" s="114">
        <v>3301</v>
      </c>
      <c r="I161" s="114">
        <v>6602</v>
      </c>
      <c r="J161" s="114">
        <v>5548</v>
      </c>
      <c r="K161" s="114">
        <v>1054</v>
      </c>
      <c r="L161" s="114" t="str">
        <f t="shared" si="2"/>
        <v>INSERT INTO DETALLES_DOCUMENTO(NRO_DOCUMENTO,ID_TIPO,ID_PRODUCTO,CANTIDAD,PRECIO,VALOR_BRUTO,VALOR_NETO,VALOR_IVA) VALUES(75,1,155,2,3301,6602,5548,1054);</v>
      </c>
    </row>
    <row r="162" spans="1:12">
      <c r="A162" s="114">
        <v>1</v>
      </c>
      <c r="B162" s="114">
        <v>75</v>
      </c>
      <c r="C162" s="139" t="s">
        <v>2179</v>
      </c>
      <c r="D162" s="114" t="s">
        <v>2090</v>
      </c>
      <c r="E162" s="114">
        <v>300</v>
      </c>
      <c r="F162" s="114">
        <v>97</v>
      </c>
      <c r="G162" s="114">
        <v>1</v>
      </c>
      <c r="H162" s="114">
        <v>2000</v>
      </c>
      <c r="I162" s="114">
        <v>2000</v>
      </c>
      <c r="J162" s="114">
        <v>1681</v>
      </c>
      <c r="K162" s="114">
        <v>319</v>
      </c>
      <c r="L162" s="114" t="str">
        <f t="shared" si="2"/>
        <v>INSERT INTO DETALLES_DOCUMENTO(NRO_DOCUMENTO,ID_TIPO,ID_PRODUCTO,CANTIDAD,PRECIO,VALOR_BRUTO,VALOR_NETO,VALOR_IVA) VALUES(75,1,97,1,2000,2000,1681,319);</v>
      </c>
    </row>
    <row r="163" spans="1:12">
      <c r="A163" s="114">
        <v>1</v>
      </c>
      <c r="B163" s="114">
        <v>76</v>
      </c>
      <c r="C163" s="139" t="s">
        <v>2179</v>
      </c>
      <c r="D163" s="114" t="s">
        <v>2090</v>
      </c>
      <c r="E163" s="114">
        <v>365</v>
      </c>
      <c r="F163" s="114">
        <v>293</v>
      </c>
      <c r="G163" s="114">
        <v>1</v>
      </c>
      <c r="H163" s="114">
        <v>9500</v>
      </c>
      <c r="I163" s="114">
        <v>9500</v>
      </c>
      <c r="J163" s="114">
        <v>7983</v>
      </c>
      <c r="K163" s="114">
        <v>1517</v>
      </c>
      <c r="L163" s="114" t="str">
        <f t="shared" si="2"/>
        <v>INSERT INTO DETALLES_DOCUMENTO(NRO_DOCUMENTO,ID_TIPO,ID_PRODUCTO,CANTIDAD,PRECIO,VALOR_BRUTO,VALOR_NETO,VALOR_IVA) VALUES(76,1,293,1,9500,9500,7983,1517);</v>
      </c>
    </row>
    <row r="164" spans="1:12">
      <c r="A164" s="114">
        <v>1</v>
      </c>
      <c r="B164" s="114">
        <v>76</v>
      </c>
      <c r="C164" s="139" t="s">
        <v>2179</v>
      </c>
      <c r="D164" s="114" t="s">
        <v>2090</v>
      </c>
      <c r="E164" s="114">
        <v>365</v>
      </c>
      <c r="F164" s="114">
        <v>283</v>
      </c>
      <c r="G164" s="114">
        <v>1</v>
      </c>
      <c r="H164" s="114">
        <v>7600</v>
      </c>
      <c r="I164" s="114">
        <v>7600</v>
      </c>
      <c r="J164" s="114">
        <v>6387</v>
      </c>
      <c r="K164" s="114">
        <v>1213</v>
      </c>
      <c r="L164" s="114" t="str">
        <f t="shared" si="2"/>
        <v>INSERT INTO DETALLES_DOCUMENTO(NRO_DOCUMENTO,ID_TIPO,ID_PRODUCTO,CANTIDAD,PRECIO,VALOR_BRUTO,VALOR_NETO,VALOR_IVA) VALUES(76,1,283,1,7600,7600,6387,1213);</v>
      </c>
    </row>
    <row r="165" spans="1:12">
      <c r="A165" s="114">
        <v>1</v>
      </c>
      <c r="B165" s="114">
        <v>76</v>
      </c>
      <c r="C165" s="139" t="s">
        <v>2179</v>
      </c>
      <c r="D165" s="114" t="s">
        <v>2090</v>
      </c>
      <c r="E165" s="114">
        <v>365</v>
      </c>
      <c r="F165" s="114">
        <v>264</v>
      </c>
      <c r="G165" s="114">
        <v>1</v>
      </c>
      <c r="H165" s="114">
        <v>5000</v>
      </c>
      <c r="I165" s="114">
        <v>5000</v>
      </c>
      <c r="J165" s="114">
        <v>4202</v>
      </c>
      <c r="K165" s="114">
        <v>798</v>
      </c>
      <c r="L165" s="114" t="str">
        <f t="shared" si="2"/>
        <v>INSERT INTO DETALLES_DOCUMENTO(NRO_DOCUMENTO,ID_TIPO,ID_PRODUCTO,CANTIDAD,PRECIO,VALOR_BRUTO,VALOR_NETO,VALOR_IVA) VALUES(76,1,264,1,5000,5000,4202,798);</v>
      </c>
    </row>
    <row r="166" spans="1:12">
      <c r="A166" s="114">
        <v>1</v>
      </c>
      <c r="B166" s="114">
        <v>76</v>
      </c>
      <c r="C166" s="139" t="s">
        <v>2179</v>
      </c>
      <c r="D166" s="114" t="s">
        <v>2090</v>
      </c>
      <c r="E166" s="114">
        <v>365</v>
      </c>
      <c r="F166" s="114">
        <v>259</v>
      </c>
      <c r="G166" s="114">
        <v>1</v>
      </c>
      <c r="H166" s="114">
        <v>4500</v>
      </c>
      <c r="I166" s="114">
        <v>4500</v>
      </c>
      <c r="J166" s="114">
        <v>3782</v>
      </c>
      <c r="K166" s="114">
        <v>718</v>
      </c>
      <c r="L166" s="114" t="str">
        <f t="shared" si="2"/>
        <v>INSERT INTO DETALLES_DOCUMENTO(NRO_DOCUMENTO,ID_TIPO,ID_PRODUCTO,CANTIDAD,PRECIO,VALOR_BRUTO,VALOR_NETO,VALOR_IVA) VALUES(76,1,259,1,4500,4500,3782,718);</v>
      </c>
    </row>
    <row r="167" spans="1:12">
      <c r="A167" s="114">
        <v>1</v>
      </c>
      <c r="B167" s="114">
        <v>76</v>
      </c>
      <c r="C167" s="139" t="s">
        <v>2179</v>
      </c>
      <c r="D167" s="114" t="s">
        <v>2090</v>
      </c>
      <c r="E167" s="114">
        <v>365</v>
      </c>
      <c r="F167" s="114">
        <v>288</v>
      </c>
      <c r="G167" s="114">
        <v>1</v>
      </c>
      <c r="H167" s="114">
        <v>8000</v>
      </c>
      <c r="I167" s="114">
        <v>8000</v>
      </c>
      <c r="J167" s="114">
        <v>6723</v>
      </c>
      <c r="K167" s="114">
        <v>1277</v>
      </c>
      <c r="L167" s="114" t="str">
        <f t="shared" si="2"/>
        <v>INSERT INTO DETALLES_DOCUMENTO(NRO_DOCUMENTO,ID_TIPO,ID_PRODUCTO,CANTIDAD,PRECIO,VALOR_BRUTO,VALOR_NETO,VALOR_IVA) VALUES(76,1,288,1,8000,8000,6723,1277);</v>
      </c>
    </row>
    <row r="168" spans="1:12">
      <c r="A168" s="114">
        <v>1</v>
      </c>
      <c r="B168" s="114">
        <v>76</v>
      </c>
      <c r="C168" s="139" t="s">
        <v>2179</v>
      </c>
      <c r="D168" s="114" t="s">
        <v>2090</v>
      </c>
      <c r="E168" s="114">
        <v>365</v>
      </c>
      <c r="F168" s="114">
        <v>287</v>
      </c>
      <c r="G168" s="114">
        <v>1</v>
      </c>
      <c r="H168" s="114">
        <v>3000</v>
      </c>
      <c r="I168" s="114">
        <v>3000</v>
      </c>
      <c r="J168" s="114">
        <v>2521</v>
      </c>
      <c r="K168" s="114">
        <v>479</v>
      </c>
      <c r="L168" s="114" t="str">
        <f t="shared" si="2"/>
        <v>INSERT INTO DETALLES_DOCUMENTO(NRO_DOCUMENTO,ID_TIPO,ID_PRODUCTO,CANTIDAD,PRECIO,VALOR_BRUTO,VALOR_NETO,VALOR_IVA) VALUES(76,1,287,1,3000,3000,2521,479);</v>
      </c>
    </row>
    <row r="169" spans="1:12">
      <c r="A169" s="114">
        <v>1</v>
      </c>
      <c r="B169" s="114">
        <v>76</v>
      </c>
      <c r="C169" s="139" t="s">
        <v>2179</v>
      </c>
      <c r="D169" s="114" t="s">
        <v>2090</v>
      </c>
      <c r="E169" s="114">
        <v>365</v>
      </c>
      <c r="F169" s="114">
        <v>29</v>
      </c>
      <c r="G169" s="114">
        <v>1</v>
      </c>
      <c r="H169" s="114">
        <v>1000</v>
      </c>
      <c r="I169" s="114">
        <v>1000</v>
      </c>
      <c r="J169" s="114">
        <v>840</v>
      </c>
      <c r="K169" s="114">
        <v>160</v>
      </c>
      <c r="L169" s="114" t="str">
        <f t="shared" si="2"/>
        <v>INSERT INTO DETALLES_DOCUMENTO(NRO_DOCUMENTO,ID_TIPO,ID_PRODUCTO,CANTIDAD,PRECIO,VALOR_BRUTO,VALOR_NETO,VALOR_IVA) VALUES(76,1,29,1,1000,1000,840,160);</v>
      </c>
    </row>
    <row r="170" spans="1:12">
      <c r="A170" s="114">
        <v>1</v>
      </c>
      <c r="B170" s="114">
        <v>76</v>
      </c>
      <c r="C170" s="139" t="s">
        <v>2179</v>
      </c>
      <c r="D170" s="114" t="s">
        <v>2090</v>
      </c>
      <c r="E170" s="114">
        <v>365</v>
      </c>
      <c r="F170" s="114">
        <v>31</v>
      </c>
      <c r="G170" s="114">
        <v>1</v>
      </c>
      <c r="H170" s="114">
        <v>3400</v>
      </c>
      <c r="I170" s="114">
        <v>3400</v>
      </c>
      <c r="J170" s="114">
        <v>2857</v>
      </c>
      <c r="K170" s="114">
        <v>543</v>
      </c>
      <c r="L170" s="114" t="str">
        <f t="shared" si="2"/>
        <v>INSERT INTO DETALLES_DOCUMENTO(NRO_DOCUMENTO,ID_TIPO,ID_PRODUCTO,CANTIDAD,PRECIO,VALOR_BRUTO,VALOR_NETO,VALOR_IVA) VALUES(76,1,31,1,3400,3400,2857,543);</v>
      </c>
    </row>
    <row r="171" spans="1:12">
      <c r="A171" s="114">
        <v>1</v>
      </c>
      <c r="B171" s="114">
        <v>77</v>
      </c>
      <c r="C171" s="139" t="s">
        <v>2179</v>
      </c>
      <c r="D171" s="114" t="s">
        <v>2090</v>
      </c>
      <c r="E171" s="114">
        <v>451</v>
      </c>
      <c r="F171" s="114">
        <v>118</v>
      </c>
      <c r="G171" s="114">
        <v>1</v>
      </c>
      <c r="H171" s="114">
        <v>3500</v>
      </c>
      <c r="I171" s="114">
        <v>3500</v>
      </c>
      <c r="J171" s="114">
        <v>2941</v>
      </c>
      <c r="K171" s="114">
        <v>559</v>
      </c>
      <c r="L171" s="114" t="str">
        <f t="shared" si="2"/>
        <v>INSERT INTO DETALLES_DOCUMENTO(NRO_DOCUMENTO,ID_TIPO,ID_PRODUCTO,CANTIDAD,PRECIO,VALOR_BRUTO,VALOR_NETO,VALOR_IVA) VALUES(77,1,118,1,3500,3500,2941,559);</v>
      </c>
    </row>
    <row r="172" spans="1:12">
      <c r="A172" s="114">
        <v>1</v>
      </c>
      <c r="B172" s="114">
        <v>78</v>
      </c>
      <c r="C172" s="139" t="s">
        <v>2180</v>
      </c>
      <c r="D172" s="114" t="s">
        <v>2090</v>
      </c>
      <c r="E172" s="114">
        <v>56</v>
      </c>
      <c r="F172" s="114">
        <v>143</v>
      </c>
      <c r="G172" s="114">
        <v>1</v>
      </c>
      <c r="H172" s="114">
        <v>6200</v>
      </c>
      <c r="I172" s="114">
        <v>6200</v>
      </c>
      <c r="J172" s="114">
        <v>5210</v>
      </c>
      <c r="K172" s="114">
        <v>990</v>
      </c>
      <c r="L172" s="114" t="str">
        <f t="shared" si="2"/>
        <v>INSERT INTO DETALLES_DOCUMENTO(NRO_DOCUMENTO,ID_TIPO,ID_PRODUCTO,CANTIDAD,PRECIO,VALOR_BRUTO,VALOR_NETO,VALOR_IVA) VALUES(78,1,143,1,6200,6200,5210,990);</v>
      </c>
    </row>
    <row r="173" spans="1:12">
      <c r="A173" s="114">
        <v>1</v>
      </c>
      <c r="B173" s="114">
        <v>79</v>
      </c>
      <c r="C173" s="139" t="s">
        <v>2180</v>
      </c>
      <c r="D173" s="114" t="s">
        <v>2090</v>
      </c>
      <c r="E173" s="114">
        <v>129</v>
      </c>
      <c r="F173" s="114">
        <v>235</v>
      </c>
      <c r="G173" s="114">
        <v>1</v>
      </c>
      <c r="H173" s="114">
        <v>14500</v>
      </c>
      <c r="I173" s="114">
        <v>14500</v>
      </c>
      <c r="J173" s="114">
        <v>12185</v>
      </c>
      <c r="K173" s="114">
        <v>2315</v>
      </c>
      <c r="L173" s="114" t="str">
        <f t="shared" si="2"/>
        <v>INSERT INTO DETALLES_DOCUMENTO(NRO_DOCUMENTO,ID_TIPO,ID_PRODUCTO,CANTIDAD,PRECIO,VALOR_BRUTO,VALOR_NETO,VALOR_IVA) VALUES(79,1,235,1,14500,14500,12185,2315);</v>
      </c>
    </row>
    <row r="174" spans="1:12">
      <c r="A174" s="114">
        <v>1</v>
      </c>
      <c r="B174" s="114">
        <v>79</v>
      </c>
      <c r="C174" s="139" t="s">
        <v>2180</v>
      </c>
      <c r="D174" s="114" t="s">
        <v>2090</v>
      </c>
      <c r="E174" s="114">
        <v>129</v>
      </c>
      <c r="F174" s="114">
        <v>368</v>
      </c>
      <c r="G174" s="114">
        <v>1</v>
      </c>
      <c r="H174" s="114">
        <v>3000</v>
      </c>
      <c r="I174" s="114">
        <v>3000</v>
      </c>
      <c r="J174" s="114">
        <v>2521</v>
      </c>
      <c r="K174" s="114">
        <v>479</v>
      </c>
      <c r="L174" s="114" t="str">
        <f t="shared" si="2"/>
        <v>INSERT INTO DETALLES_DOCUMENTO(NRO_DOCUMENTO,ID_TIPO,ID_PRODUCTO,CANTIDAD,PRECIO,VALOR_BRUTO,VALOR_NETO,VALOR_IVA) VALUES(79,1,368,1,3000,3000,2521,479);</v>
      </c>
    </row>
    <row r="175" spans="1:12">
      <c r="A175" s="114">
        <v>1</v>
      </c>
      <c r="B175" s="114">
        <v>79</v>
      </c>
      <c r="C175" s="139" t="s">
        <v>2180</v>
      </c>
      <c r="D175" s="114" t="s">
        <v>2090</v>
      </c>
      <c r="E175" s="114">
        <v>129</v>
      </c>
      <c r="F175" s="114">
        <v>155</v>
      </c>
      <c r="G175" s="114">
        <v>2</v>
      </c>
      <c r="H175" s="114">
        <v>3301</v>
      </c>
      <c r="I175" s="114">
        <v>6602</v>
      </c>
      <c r="J175" s="114">
        <v>5548</v>
      </c>
      <c r="K175" s="114">
        <v>1054</v>
      </c>
      <c r="L175" s="114" t="str">
        <f t="shared" si="2"/>
        <v>INSERT INTO DETALLES_DOCUMENTO(NRO_DOCUMENTO,ID_TIPO,ID_PRODUCTO,CANTIDAD,PRECIO,VALOR_BRUTO,VALOR_NETO,VALOR_IVA) VALUES(79,1,155,2,3301,6602,5548,1054);</v>
      </c>
    </row>
    <row r="176" spans="1:12">
      <c r="A176" s="114">
        <v>1</v>
      </c>
      <c r="B176" s="114">
        <v>79</v>
      </c>
      <c r="C176" s="139" t="s">
        <v>2180</v>
      </c>
      <c r="D176" s="114" t="s">
        <v>2090</v>
      </c>
      <c r="E176" s="114">
        <v>129</v>
      </c>
      <c r="F176" s="114">
        <v>57</v>
      </c>
      <c r="G176" s="114">
        <v>1</v>
      </c>
      <c r="H176" s="114">
        <v>4000</v>
      </c>
      <c r="I176" s="114">
        <v>4000</v>
      </c>
      <c r="J176" s="114">
        <v>3361</v>
      </c>
      <c r="K176" s="114">
        <v>639</v>
      </c>
      <c r="L176" s="114" t="str">
        <f t="shared" si="2"/>
        <v>INSERT INTO DETALLES_DOCUMENTO(NRO_DOCUMENTO,ID_TIPO,ID_PRODUCTO,CANTIDAD,PRECIO,VALOR_BRUTO,VALOR_NETO,VALOR_IVA) VALUES(79,1,57,1,4000,4000,3361,639);</v>
      </c>
    </row>
    <row r="177" spans="1:12">
      <c r="A177" s="114">
        <v>1</v>
      </c>
      <c r="B177" s="114">
        <v>80</v>
      </c>
      <c r="C177" s="139" t="s">
        <v>2180</v>
      </c>
      <c r="D177" s="114" t="s">
        <v>2090</v>
      </c>
      <c r="E177" s="114">
        <v>300</v>
      </c>
      <c r="F177" s="114">
        <v>191</v>
      </c>
      <c r="G177" s="114">
        <v>2</v>
      </c>
      <c r="H177" s="114">
        <v>5000</v>
      </c>
      <c r="I177" s="114">
        <v>10000</v>
      </c>
      <c r="J177" s="114">
        <v>8403</v>
      </c>
      <c r="K177" s="114">
        <v>1597</v>
      </c>
      <c r="L177" s="114" t="str">
        <f t="shared" si="2"/>
        <v>INSERT INTO DETALLES_DOCUMENTO(NRO_DOCUMENTO,ID_TIPO,ID_PRODUCTO,CANTIDAD,PRECIO,VALOR_BRUTO,VALOR_NETO,VALOR_IVA) VALUES(80,1,191,2,5000,10000,8403,1597);</v>
      </c>
    </row>
    <row r="178" spans="1:12">
      <c r="A178" s="114">
        <v>1</v>
      </c>
      <c r="B178" s="114">
        <v>80</v>
      </c>
      <c r="C178" s="139" t="s">
        <v>2180</v>
      </c>
      <c r="D178" s="114" t="s">
        <v>2090</v>
      </c>
      <c r="E178" s="114">
        <v>300</v>
      </c>
      <c r="F178" s="114">
        <v>329</v>
      </c>
      <c r="G178" s="114">
        <v>1</v>
      </c>
      <c r="H178" s="114">
        <v>5500</v>
      </c>
      <c r="I178" s="114">
        <v>5500</v>
      </c>
      <c r="J178" s="114">
        <v>4622</v>
      </c>
      <c r="K178" s="114">
        <v>878</v>
      </c>
      <c r="L178" s="114" t="str">
        <f t="shared" si="2"/>
        <v>INSERT INTO DETALLES_DOCUMENTO(NRO_DOCUMENTO,ID_TIPO,ID_PRODUCTO,CANTIDAD,PRECIO,VALOR_BRUTO,VALOR_NETO,VALOR_IVA) VALUES(80,1,329,1,5500,5500,4622,878);</v>
      </c>
    </row>
    <row r="179" spans="1:12">
      <c r="A179" s="114">
        <v>1</v>
      </c>
      <c r="B179" s="114">
        <v>81</v>
      </c>
      <c r="C179" s="139" t="s">
        <v>2180</v>
      </c>
      <c r="D179" s="114" t="s">
        <v>2090</v>
      </c>
      <c r="E179" s="114">
        <v>393</v>
      </c>
      <c r="F179" s="114">
        <v>117</v>
      </c>
      <c r="G179" s="114">
        <v>1</v>
      </c>
      <c r="H179" s="114">
        <v>3500</v>
      </c>
      <c r="I179" s="114">
        <v>3500</v>
      </c>
      <c r="J179" s="114">
        <v>2941</v>
      </c>
      <c r="K179" s="114">
        <v>559</v>
      </c>
      <c r="L179" s="114" t="str">
        <f t="shared" si="2"/>
        <v>INSERT INTO DETALLES_DOCUMENTO(NRO_DOCUMENTO,ID_TIPO,ID_PRODUCTO,CANTIDAD,PRECIO,VALOR_BRUTO,VALOR_NETO,VALOR_IVA) VALUES(81,1,117,1,3500,3500,2941,559);</v>
      </c>
    </row>
    <row r="180" spans="1:12">
      <c r="A180" s="114">
        <v>1</v>
      </c>
      <c r="B180" s="114">
        <v>81</v>
      </c>
      <c r="C180" s="139" t="s">
        <v>2180</v>
      </c>
      <c r="D180" s="114" t="s">
        <v>2090</v>
      </c>
      <c r="E180" s="114">
        <v>393</v>
      </c>
      <c r="F180" s="114">
        <v>165</v>
      </c>
      <c r="G180" s="114">
        <v>1</v>
      </c>
      <c r="H180" s="114">
        <v>2000</v>
      </c>
      <c r="I180" s="114">
        <v>2000</v>
      </c>
      <c r="J180" s="114">
        <v>1681</v>
      </c>
      <c r="K180" s="114">
        <v>319</v>
      </c>
      <c r="L180" s="114" t="str">
        <f t="shared" si="2"/>
        <v>INSERT INTO DETALLES_DOCUMENTO(NRO_DOCUMENTO,ID_TIPO,ID_PRODUCTO,CANTIDAD,PRECIO,VALOR_BRUTO,VALOR_NETO,VALOR_IVA) VALUES(81,1,165,1,2000,2000,1681,319);</v>
      </c>
    </row>
    <row r="181" spans="1:12">
      <c r="A181" s="114">
        <v>1</v>
      </c>
      <c r="B181" s="114">
        <v>82</v>
      </c>
      <c r="C181" s="139" t="s">
        <v>2180</v>
      </c>
      <c r="D181" s="114" t="s">
        <v>2090</v>
      </c>
      <c r="E181" s="114">
        <v>446</v>
      </c>
      <c r="F181" s="114">
        <v>329</v>
      </c>
      <c r="G181" s="114">
        <v>1</v>
      </c>
      <c r="H181" s="114">
        <v>5500</v>
      </c>
      <c r="I181" s="114">
        <v>5500</v>
      </c>
      <c r="J181" s="114">
        <v>4622</v>
      </c>
      <c r="K181" s="114">
        <v>878</v>
      </c>
      <c r="L181" s="114" t="str">
        <f t="shared" si="2"/>
        <v>INSERT INTO DETALLES_DOCUMENTO(NRO_DOCUMENTO,ID_TIPO,ID_PRODUCTO,CANTIDAD,PRECIO,VALOR_BRUTO,VALOR_NETO,VALOR_IVA) VALUES(82,1,329,1,5500,5500,4622,878);</v>
      </c>
    </row>
    <row r="182" spans="1:12">
      <c r="A182" s="114">
        <v>1</v>
      </c>
      <c r="B182" s="114">
        <v>83</v>
      </c>
      <c r="C182" s="139" t="s">
        <v>2180</v>
      </c>
      <c r="D182" s="114" t="s">
        <v>2090</v>
      </c>
      <c r="E182" s="114">
        <v>451</v>
      </c>
      <c r="F182" s="114">
        <v>57</v>
      </c>
      <c r="G182" s="114">
        <v>2</v>
      </c>
      <c r="H182" s="114">
        <v>8000</v>
      </c>
      <c r="I182" s="114">
        <v>16000</v>
      </c>
      <c r="J182" s="114">
        <v>13445</v>
      </c>
      <c r="K182" s="114">
        <v>2555</v>
      </c>
      <c r="L182" s="114" t="str">
        <f t="shared" si="2"/>
        <v>INSERT INTO DETALLES_DOCUMENTO(NRO_DOCUMENTO,ID_TIPO,ID_PRODUCTO,CANTIDAD,PRECIO,VALOR_BRUTO,VALOR_NETO,VALOR_IVA) VALUES(83,1,57,2,8000,16000,13445,2555);</v>
      </c>
    </row>
    <row r="183" spans="1:12">
      <c r="A183" s="114">
        <v>1</v>
      </c>
      <c r="B183" s="114">
        <v>84</v>
      </c>
      <c r="C183" s="139" t="s">
        <v>2180</v>
      </c>
      <c r="D183" s="114" t="s">
        <v>2090</v>
      </c>
      <c r="E183" s="114">
        <v>476</v>
      </c>
      <c r="F183" s="114">
        <v>143</v>
      </c>
      <c r="G183" s="114">
        <v>1</v>
      </c>
      <c r="H183" s="114">
        <v>6200</v>
      </c>
      <c r="I183" s="114">
        <v>6200</v>
      </c>
      <c r="J183" s="114">
        <v>5210</v>
      </c>
      <c r="K183" s="114">
        <v>990</v>
      </c>
      <c r="L183" s="114" t="str">
        <f t="shared" si="2"/>
        <v>INSERT INTO DETALLES_DOCUMENTO(NRO_DOCUMENTO,ID_TIPO,ID_PRODUCTO,CANTIDAD,PRECIO,VALOR_BRUTO,VALOR_NETO,VALOR_IVA) VALUES(84,1,143,1,6200,6200,5210,990);</v>
      </c>
    </row>
    <row r="184" spans="1:12">
      <c r="A184" s="114">
        <v>1</v>
      </c>
      <c r="B184" s="114">
        <v>85</v>
      </c>
      <c r="C184" s="139" t="s">
        <v>2181</v>
      </c>
      <c r="D184" s="114" t="s">
        <v>2090</v>
      </c>
      <c r="E184" s="114">
        <v>38</v>
      </c>
      <c r="F184" s="114">
        <v>231</v>
      </c>
      <c r="G184" s="114">
        <v>1</v>
      </c>
      <c r="H184" s="114">
        <v>19990</v>
      </c>
      <c r="I184" s="114">
        <v>19990</v>
      </c>
      <c r="J184" s="114">
        <v>16798</v>
      </c>
      <c r="K184" s="114">
        <v>3192</v>
      </c>
      <c r="L184" s="114" t="str">
        <f t="shared" si="2"/>
        <v>INSERT INTO DETALLES_DOCUMENTO(NRO_DOCUMENTO,ID_TIPO,ID_PRODUCTO,CANTIDAD,PRECIO,VALOR_BRUTO,VALOR_NETO,VALOR_IVA) VALUES(85,1,231,1,19990,19990,16798,3192);</v>
      </c>
    </row>
    <row r="185" spans="1:12">
      <c r="A185" s="114">
        <v>1</v>
      </c>
      <c r="B185" s="114">
        <v>86</v>
      </c>
      <c r="C185" s="139" t="s">
        <v>2181</v>
      </c>
      <c r="D185" s="114" t="s">
        <v>2090</v>
      </c>
      <c r="E185" s="114">
        <v>109</v>
      </c>
      <c r="F185" s="114">
        <v>24</v>
      </c>
      <c r="G185" s="114">
        <v>1</v>
      </c>
      <c r="H185" s="114">
        <v>1650</v>
      </c>
      <c r="I185" s="114">
        <v>1650</v>
      </c>
      <c r="J185" s="114">
        <v>1387</v>
      </c>
      <c r="K185" s="114">
        <v>263</v>
      </c>
      <c r="L185" s="114" t="str">
        <f t="shared" si="2"/>
        <v>INSERT INTO DETALLES_DOCUMENTO(NRO_DOCUMENTO,ID_TIPO,ID_PRODUCTO,CANTIDAD,PRECIO,VALOR_BRUTO,VALOR_NETO,VALOR_IVA) VALUES(86,1,24,1,1650,1650,1387,263);</v>
      </c>
    </row>
    <row r="186" spans="1:12">
      <c r="A186" s="114">
        <v>1</v>
      </c>
      <c r="B186" s="114">
        <v>86</v>
      </c>
      <c r="C186" s="139" t="s">
        <v>2181</v>
      </c>
      <c r="D186" s="114" t="s">
        <v>2090</v>
      </c>
      <c r="E186" s="114">
        <v>109</v>
      </c>
      <c r="F186" s="114">
        <v>69</v>
      </c>
      <c r="G186" s="114">
        <v>2</v>
      </c>
      <c r="H186" s="114">
        <v>6000</v>
      </c>
      <c r="I186" s="114">
        <v>12000</v>
      </c>
      <c r="J186" s="114">
        <v>10084</v>
      </c>
      <c r="K186" s="114">
        <v>1916</v>
      </c>
      <c r="L186" s="114" t="str">
        <f t="shared" si="2"/>
        <v>INSERT INTO DETALLES_DOCUMENTO(NRO_DOCUMENTO,ID_TIPO,ID_PRODUCTO,CANTIDAD,PRECIO,VALOR_BRUTO,VALOR_NETO,VALOR_IVA) VALUES(86,1,69,2,6000,12000,10084,1916);</v>
      </c>
    </row>
    <row r="187" spans="1:12">
      <c r="A187" s="114">
        <v>1</v>
      </c>
      <c r="B187" s="114">
        <v>86</v>
      </c>
      <c r="C187" s="139" t="s">
        <v>2181</v>
      </c>
      <c r="D187" s="114" t="s">
        <v>2090</v>
      </c>
      <c r="E187" s="114">
        <v>109</v>
      </c>
      <c r="F187" s="114">
        <v>26</v>
      </c>
      <c r="G187" s="114">
        <v>1</v>
      </c>
      <c r="H187" s="114">
        <v>3400</v>
      </c>
      <c r="I187" s="114">
        <v>3400</v>
      </c>
      <c r="J187" s="114">
        <v>2857</v>
      </c>
      <c r="K187" s="114">
        <v>543</v>
      </c>
      <c r="L187" s="114" t="str">
        <f t="shared" si="2"/>
        <v>INSERT INTO DETALLES_DOCUMENTO(NRO_DOCUMENTO,ID_TIPO,ID_PRODUCTO,CANTIDAD,PRECIO,VALOR_BRUTO,VALOR_NETO,VALOR_IVA) VALUES(86,1,26,1,3400,3400,2857,543);</v>
      </c>
    </row>
    <row r="188" spans="1:12">
      <c r="A188" s="114">
        <v>1</v>
      </c>
      <c r="B188" s="114">
        <v>86</v>
      </c>
      <c r="C188" s="139" t="s">
        <v>2181</v>
      </c>
      <c r="D188" s="114" t="s">
        <v>2090</v>
      </c>
      <c r="E188" s="114">
        <v>109</v>
      </c>
      <c r="F188" s="114">
        <v>150</v>
      </c>
      <c r="G188" s="114">
        <v>2</v>
      </c>
      <c r="H188" s="114">
        <v>8400</v>
      </c>
      <c r="I188" s="114">
        <v>16800</v>
      </c>
      <c r="J188" s="114">
        <v>14118</v>
      </c>
      <c r="K188" s="114">
        <v>2682</v>
      </c>
      <c r="L188" s="114" t="str">
        <f t="shared" si="2"/>
        <v>INSERT INTO DETALLES_DOCUMENTO(NRO_DOCUMENTO,ID_TIPO,ID_PRODUCTO,CANTIDAD,PRECIO,VALOR_BRUTO,VALOR_NETO,VALOR_IVA) VALUES(86,1,150,2,8400,16800,14118,2682);</v>
      </c>
    </row>
    <row r="189" spans="1:12">
      <c r="A189" s="114">
        <v>1</v>
      </c>
      <c r="B189" s="114">
        <v>86</v>
      </c>
      <c r="C189" s="139" t="s">
        <v>2181</v>
      </c>
      <c r="D189" s="114" t="s">
        <v>2090</v>
      </c>
      <c r="E189" s="114">
        <v>109</v>
      </c>
      <c r="F189" s="114">
        <v>250</v>
      </c>
      <c r="G189" s="114">
        <v>1</v>
      </c>
      <c r="H189" s="114">
        <v>6800</v>
      </c>
      <c r="I189" s="114">
        <v>6800</v>
      </c>
      <c r="J189" s="114">
        <v>5714</v>
      </c>
      <c r="K189" s="114">
        <v>1086</v>
      </c>
      <c r="L189" s="114" t="str">
        <f t="shared" si="2"/>
        <v>INSERT INTO DETALLES_DOCUMENTO(NRO_DOCUMENTO,ID_TIPO,ID_PRODUCTO,CANTIDAD,PRECIO,VALOR_BRUTO,VALOR_NETO,VALOR_IVA) VALUES(86,1,250,1,6800,6800,5714,1086);</v>
      </c>
    </row>
    <row r="190" spans="1:12">
      <c r="A190" s="114">
        <v>1</v>
      </c>
      <c r="B190" s="114">
        <v>86</v>
      </c>
      <c r="C190" s="139" t="s">
        <v>2181</v>
      </c>
      <c r="D190" s="114" t="s">
        <v>2090</v>
      </c>
      <c r="E190" s="114">
        <v>109</v>
      </c>
      <c r="F190" s="114">
        <v>163</v>
      </c>
      <c r="G190" s="114">
        <v>1</v>
      </c>
      <c r="H190" s="114">
        <v>1500</v>
      </c>
      <c r="I190" s="114">
        <v>1500</v>
      </c>
      <c r="J190" s="114">
        <v>1261</v>
      </c>
      <c r="K190" s="114">
        <v>239</v>
      </c>
      <c r="L190" s="114" t="str">
        <f t="shared" si="2"/>
        <v>INSERT INTO DETALLES_DOCUMENTO(NRO_DOCUMENTO,ID_TIPO,ID_PRODUCTO,CANTIDAD,PRECIO,VALOR_BRUTO,VALOR_NETO,VALOR_IVA) VALUES(86,1,163,1,1500,1500,1261,239);</v>
      </c>
    </row>
    <row r="191" spans="1:12">
      <c r="A191" s="114">
        <v>1</v>
      </c>
      <c r="B191" s="114">
        <v>86</v>
      </c>
      <c r="C191" s="139" t="s">
        <v>2181</v>
      </c>
      <c r="D191" s="114" t="s">
        <v>2090</v>
      </c>
      <c r="E191" s="114">
        <v>109</v>
      </c>
      <c r="F191" s="114">
        <v>98</v>
      </c>
      <c r="G191" s="114">
        <v>1</v>
      </c>
      <c r="H191" s="114">
        <v>3500</v>
      </c>
      <c r="I191" s="114">
        <v>3500</v>
      </c>
      <c r="J191" s="114">
        <v>2941</v>
      </c>
      <c r="K191" s="114">
        <v>559</v>
      </c>
      <c r="L191" s="114" t="str">
        <f t="shared" si="2"/>
        <v>INSERT INTO DETALLES_DOCUMENTO(NRO_DOCUMENTO,ID_TIPO,ID_PRODUCTO,CANTIDAD,PRECIO,VALOR_BRUTO,VALOR_NETO,VALOR_IVA) VALUES(86,1,98,1,3500,3500,2941,559);</v>
      </c>
    </row>
    <row r="192" spans="1:12">
      <c r="A192" s="114">
        <v>1</v>
      </c>
      <c r="B192" s="114">
        <v>86</v>
      </c>
      <c r="C192" s="139" t="s">
        <v>2181</v>
      </c>
      <c r="D192" s="114" t="s">
        <v>2090</v>
      </c>
      <c r="E192" s="114">
        <v>109</v>
      </c>
      <c r="F192" s="114">
        <v>117</v>
      </c>
      <c r="G192" s="114">
        <v>2</v>
      </c>
      <c r="H192" s="114">
        <v>7000</v>
      </c>
      <c r="I192" s="114">
        <v>14000</v>
      </c>
      <c r="J192" s="114">
        <v>11765</v>
      </c>
      <c r="K192" s="114">
        <v>2235</v>
      </c>
      <c r="L192" s="114" t="str">
        <f t="shared" si="2"/>
        <v>INSERT INTO DETALLES_DOCUMENTO(NRO_DOCUMENTO,ID_TIPO,ID_PRODUCTO,CANTIDAD,PRECIO,VALOR_BRUTO,VALOR_NETO,VALOR_IVA) VALUES(86,1,117,2,7000,14000,11765,2235);</v>
      </c>
    </row>
    <row r="193" spans="1:12">
      <c r="A193" s="114">
        <v>1</v>
      </c>
      <c r="B193" s="114">
        <v>86</v>
      </c>
      <c r="C193" s="139" t="s">
        <v>2181</v>
      </c>
      <c r="D193" s="114" t="s">
        <v>2090</v>
      </c>
      <c r="E193" s="114">
        <v>109</v>
      </c>
      <c r="F193" s="114">
        <v>247</v>
      </c>
      <c r="G193" s="114">
        <v>1</v>
      </c>
      <c r="H193" s="114">
        <v>2800</v>
      </c>
      <c r="I193" s="114">
        <v>2800</v>
      </c>
      <c r="J193" s="114">
        <v>2353</v>
      </c>
      <c r="K193" s="114">
        <v>447</v>
      </c>
      <c r="L193" s="114" t="str">
        <f t="shared" si="2"/>
        <v>INSERT INTO DETALLES_DOCUMENTO(NRO_DOCUMENTO,ID_TIPO,ID_PRODUCTO,CANTIDAD,PRECIO,VALOR_BRUTO,VALOR_NETO,VALOR_IVA) VALUES(86,1,247,1,2800,2800,2353,447);</v>
      </c>
    </row>
    <row r="194" spans="1:12">
      <c r="A194" s="114">
        <v>1</v>
      </c>
      <c r="B194" s="114">
        <v>86</v>
      </c>
      <c r="C194" s="139" t="s">
        <v>2181</v>
      </c>
      <c r="D194" s="114" t="s">
        <v>2090</v>
      </c>
      <c r="E194" s="114">
        <v>109</v>
      </c>
      <c r="F194" s="114">
        <v>235</v>
      </c>
      <c r="G194" s="114">
        <v>1</v>
      </c>
      <c r="H194" s="114">
        <v>14500</v>
      </c>
      <c r="I194" s="114">
        <v>14500</v>
      </c>
      <c r="J194" s="114">
        <v>12185</v>
      </c>
      <c r="K194" s="114">
        <v>2315</v>
      </c>
      <c r="L194" s="114" t="str">
        <f t="shared" si="2"/>
        <v>INSERT INTO DETALLES_DOCUMENTO(NRO_DOCUMENTO,ID_TIPO,ID_PRODUCTO,CANTIDAD,PRECIO,VALOR_BRUTO,VALOR_NETO,VALOR_IVA) VALUES(86,1,235,1,14500,14500,12185,2315);</v>
      </c>
    </row>
    <row r="195" spans="1:12">
      <c r="A195" s="114">
        <v>1</v>
      </c>
      <c r="B195" s="114">
        <v>86</v>
      </c>
      <c r="C195" s="139" t="s">
        <v>2181</v>
      </c>
      <c r="D195" s="114" t="s">
        <v>2090</v>
      </c>
      <c r="E195" s="114">
        <v>109</v>
      </c>
      <c r="F195" s="114">
        <v>373</v>
      </c>
      <c r="G195" s="114">
        <v>1</v>
      </c>
      <c r="H195" s="114">
        <v>3500</v>
      </c>
      <c r="I195" s="114">
        <v>3500</v>
      </c>
      <c r="J195" s="114">
        <v>2941</v>
      </c>
      <c r="K195" s="114">
        <v>559</v>
      </c>
      <c r="L195" s="114" t="str">
        <f t="shared" ref="L195:L258" si="3">CONCATENATE("INSERT INTO DETALLES_DOCUMENTO(NRO_DOCUMENTO,ID_TIPO,ID_PRODUCTO,CANTIDAD,PRECIO,VALOR_BRUTO,VALOR_NETO,VALOR_IVA) VALUES(",B195,",",A195,",",F195,",",G195,",",H195,",",I195,",",J195,",",K195,");")</f>
        <v>INSERT INTO DETALLES_DOCUMENTO(NRO_DOCUMENTO,ID_TIPO,ID_PRODUCTO,CANTIDAD,PRECIO,VALOR_BRUTO,VALOR_NETO,VALOR_IVA) VALUES(86,1,373,1,3500,3500,2941,559);</v>
      </c>
    </row>
    <row r="196" spans="1:12">
      <c r="A196" s="114">
        <v>1</v>
      </c>
      <c r="B196" s="114">
        <v>86</v>
      </c>
      <c r="C196" s="139" t="s">
        <v>2181</v>
      </c>
      <c r="D196" s="114" t="s">
        <v>2090</v>
      </c>
      <c r="E196" s="114">
        <v>109</v>
      </c>
      <c r="F196" s="114">
        <v>124</v>
      </c>
      <c r="G196" s="114">
        <v>1</v>
      </c>
      <c r="H196" s="114">
        <v>4000</v>
      </c>
      <c r="I196" s="114">
        <v>4000</v>
      </c>
      <c r="J196" s="114">
        <v>3361</v>
      </c>
      <c r="K196" s="114">
        <v>639</v>
      </c>
      <c r="L196" s="114" t="str">
        <f t="shared" si="3"/>
        <v>INSERT INTO DETALLES_DOCUMENTO(NRO_DOCUMENTO,ID_TIPO,ID_PRODUCTO,CANTIDAD,PRECIO,VALOR_BRUTO,VALOR_NETO,VALOR_IVA) VALUES(86,1,124,1,4000,4000,3361,639);</v>
      </c>
    </row>
    <row r="197" spans="1:12">
      <c r="A197" s="114">
        <v>1</v>
      </c>
      <c r="B197" s="114">
        <v>86</v>
      </c>
      <c r="C197" s="139" t="s">
        <v>2181</v>
      </c>
      <c r="D197" s="114" t="s">
        <v>2090</v>
      </c>
      <c r="E197" s="114">
        <v>109</v>
      </c>
      <c r="F197" s="114">
        <v>275</v>
      </c>
      <c r="G197" s="114">
        <v>1</v>
      </c>
      <c r="H197" s="114">
        <v>6900</v>
      </c>
      <c r="I197" s="114">
        <v>6900</v>
      </c>
      <c r="J197" s="114">
        <v>5798</v>
      </c>
      <c r="K197" s="114">
        <v>1102</v>
      </c>
      <c r="L197" s="114" t="str">
        <f t="shared" si="3"/>
        <v>INSERT INTO DETALLES_DOCUMENTO(NRO_DOCUMENTO,ID_TIPO,ID_PRODUCTO,CANTIDAD,PRECIO,VALOR_BRUTO,VALOR_NETO,VALOR_IVA) VALUES(86,1,275,1,6900,6900,5798,1102);</v>
      </c>
    </row>
    <row r="198" spans="1:12">
      <c r="A198" s="114">
        <v>1</v>
      </c>
      <c r="B198" s="114">
        <v>86</v>
      </c>
      <c r="C198" s="139" t="s">
        <v>2181</v>
      </c>
      <c r="D198" s="114" t="s">
        <v>2090</v>
      </c>
      <c r="E198" s="114">
        <v>109</v>
      </c>
      <c r="F198" s="114">
        <v>357</v>
      </c>
      <c r="G198" s="114">
        <v>2</v>
      </c>
      <c r="H198" s="114">
        <v>3600</v>
      </c>
      <c r="I198" s="114">
        <v>7200</v>
      </c>
      <c r="J198" s="114">
        <v>6050</v>
      </c>
      <c r="K198" s="114">
        <v>1150</v>
      </c>
      <c r="L198" s="114" t="str">
        <f t="shared" si="3"/>
        <v>INSERT INTO DETALLES_DOCUMENTO(NRO_DOCUMENTO,ID_TIPO,ID_PRODUCTO,CANTIDAD,PRECIO,VALOR_BRUTO,VALOR_NETO,VALOR_IVA) VALUES(86,1,357,2,3600,7200,6050,1150);</v>
      </c>
    </row>
    <row r="199" spans="1:12">
      <c r="A199" s="114">
        <v>1</v>
      </c>
      <c r="B199" s="114">
        <v>86</v>
      </c>
      <c r="C199" s="139" t="s">
        <v>2181</v>
      </c>
      <c r="D199" s="114" t="s">
        <v>2090</v>
      </c>
      <c r="E199" s="114">
        <v>109</v>
      </c>
      <c r="F199" s="114">
        <v>82</v>
      </c>
      <c r="G199" s="114">
        <v>2</v>
      </c>
      <c r="H199" s="114">
        <v>3200</v>
      </c>
      <c r="I199" s="114">
        <v>6400</v>
      </c>
      <c r="J199" s="114">
        <v>5378</v>
      </c>
      <c r="K199" s="114">
        <v>1022</v>
      </c>
      <c r="L199" s="114" t="str">
        <f t="shared" si="3"/>
        <v>INSERT INTO DETALLES_DOCUMENTO(NRO_DOCUMENTO,ID_TIPO,ID_PRODUCTO,CANTIDAD,PRECIO,VALOR_BRUTO,VALOR_NETO,VALOR_IVA) VALUES(86,1,82,2,3200,6400,5378,1022);</v>
      </c>
    </row>
    <row r="200" spans="1:12">
      <c r="A200" s="114">
        <v>1</v>
      </c>
      <c r="B200" s="114">
        <v>87</v>
      </c>
      <c r="C200" s="139" t="s">
        <v>2181</v>
      </c>
      <c r="D200" s="114" t="s">
        <v>2090</v>
      </c>
      <c r="E200" s="114">
        <v>222</v>
      </c>
      <c r="F200" s="114">
        <v>163</v>
      </c>
      <c r="G200" s="114">
        <v>1</v>
      </c>
      <c r="H200" s="114">
        <v>1500</v>
      </c>
      <c r="I200" s="114">
        <v>1500</v>
      </c>
      <c r="J200" s="114">
        <v>1261</v>
      </c>
      <c r="K200" s="114">
        <v>239</v>
      </c>
      <c r="L200" s="114" t="str">
        <f t="shared" si="3"/>
        <v>INSERT INTO DETALLES_DOCUMENTO(NRO_DOCUMENTO,ID_TIPO,ID_PRODUCTO,CANTIDAD,PRECIO,VALOR_BRUTO,VALOR_NETO,VALOR_IVA) VALUES(87,1,163,1,1500,1500,1261,239);</v>
      </c>
    </row>
    <row r="201" spans="1:12">
      <c r="A201" s="114">
        <v>1</v>
      </c>
      <c r="B201" s="114">
        <v>88</v>
      </c>
      <c r="C201" s="139" t="s">
        <v>2181</v>
      </c>
      <c r="D201" s="114" t="s">
        <v>2090</v>
      </c>
      <c r="E201" s="114">
        <v>350</v>
      </c>
      <c r="F201" s="114">
        <v>124</v>
      </c>
      <c r="G201" s="114">
        <v>1</v>
      </c>
      <c r="H201" s="114">
        <v>4000</v>
      </c>
      <c r="I201" s="114">
        <v>4000</v>
      </c>
      <c r="J201" s="114">
        <v>3361</v>
      </c>
      <c r="K201" s="114">
        <v>639</v>
      </c>
      <c r="L201" s="114" t="str">
        <f t="shared" si="3"/>
        <v>INSERT INTO DETALLES_DOCUMENTO(NRO_DOCUMENTO,ID_TIPO,ID_PRODUCTO,CANTIDAD,PRECIO,VALOR_BRUTO,VALOR_NETO,VALOR_IVA) VALUES(88,1,124,1,4000,4000,3361,639);</v>
      </c>
    </row>
    <row r="202" spans="1:12">
      <c r="A202" s="114">
        <v>1</v>
      </c>
      <c r="B202" s="114">
        <v>88</v>
      </c>
      <c r="C202" s="139" t="s">
        <v>2181</v>
      </c>
      <c r="D202" s="114" t="s">
        <v>2090</v>
      </c>
      <c r="E202" s="114">
        <v>350</v>
      </c>
      <c r="F202" s="114">
        <v>300</v>
      </c>
      <c r="G202" s="114">
        <v>1</v>
      </c>
      <c r="H202" s="114">
        <v>9000</v>
      </c>
      <c r="I202" s="114">
        <v>9000</v>
      </c>
      <c r="J202" s="114">
        <v>7563</v>
      </c>
      <c r="K202" s="114">
        <v>1437</v>
      </c>
      <c r="L202" s="114" t="str">
        <f t="shared" si="3"/>
        <v>INSERT INTO DETALLES_DOCUMENTO(NRO_DOCUMENTO,ID_TIPO,ID_PRODUCTO,CANTIDAD,PRECIO,VALOR_BRUTO,VALOR_NETO,VALOR_IVA) VALUES(88,1,300,1,9000,9000,7563,1437);</v>
      </c>
    </row>
    <row r="203" spans="1:12">
      <c r="A203" s="114">
        <v>1</v>
      </c>
      <c r="B203" s="114">
        <v>88</v>
      </c>
      <c r="C203" s="139" t="s">
        <v>2181</v>
      </c>
      <c r="D203" s="114" t="s">
        <v>2090</v>
      </c>
      <c r="E203" s="114">
        <v>350</v>
      </c>
      <c r="F203" s="114">
        <v>157</v>
      </c>
      <c r="G203" s="114">
        <v>1</v>
      </c>
      <c r="H203" s="114">
        <v>4300</v>
      </c>
      <c r="I203" s="114">
        <v>4300</v>
      </c>
      <c r="J203" s="114">
        <v>3613</v>
      </c>
      <c r="K203" s="114">
        <v>687</v>
      </c>
      <c r="L203" s="114" t="str">
        <f t="shared" si="3"/>
        <v>INSERT INTO DETALLES_DOCUMENTO(NRO_DOCUMENTO,ID_TIPO,ID_PRODUCTO,CANTIDAD,PRECIO,VALOR_BRUTO,VALOR_NETO,VALOR_IVA) VALUES(88,1,157,1,4300,4300,3613,687);</v>
      </c>
    </row>
    <row r="204" spans="1:12">
      <c r="A204" s="114">
        <v>1</v>
      </c>
      <c r="B204" s="114">
        <v>89</v>
      </c>
      <c r="C204" s="139" t="s">
        <v>2181</v>
      </c>
      <c r="D204" s="114" t="s">
        <v>2090</v>
      </c>
      <c r="E204" s="114">
        <v>439</v>
      </c>
      <c r="F204" s="114">
        <v>143</v>
      </c>
      <c r="G204" s="114">
        <v>1</v>
      </c>
      <c r="H204" s="114">
        <v>6200</v>
      </c>
      <c r="I204" s="114">
        <v>6200</v>
      </c>
      <c r="J204" s="114">
        <v>5210</v>
      </c>
      <c r="K204" s="114">
        <v>990</v>
      </c>
      <c r="L204" s="114" t="str">
        <f t="shared" si="3"/>
        <v>INSERT INTO DETALLES_DOCUMENTO(NRO_DOCUMENTO,ID_TIPO,ID_PRODUCTO,CANTIDAD,PRECIO,VALOR_BRUTO,VALOR_NETO,VALOR_IVA) VALUES(89,1,143,1,6200,6200,5210,990);</v>
      </c>
    </row>
    <row r="205" spans="1:12">
      <c r="A205" s="114">
        <v>1</v>
      </c>
      <c r="B205" s="114">
        <v>90</v>
      </c>
      <c r="C205" s="139" t="s">
        <v>2182</v>
      </c>
      <c r="D205" s="114" t="s">
        <v>2090</v>
      </c>
      <c r="E205" s="114">
        <v>85</v>
      </c>
      <c r="F205" s="114">
        <v>143</v>
      </c>
      <c r="G205" s="114">
        <v>1</v>
      </c>
      <c r="H205" s="114">
        <v>6200</v>
      </c>
      <c r="I205" s="114">
        <v>6200</v>
      </c>
      <c r="J205" s="114">
        <v>5210</v>
      </c>
      <c r="K205" s="114">
        <v>990</v>
      </c>
      <c r="L205" s="114" t="str">
        <f t="shared" si="3"/>
        <v>INSERT INTO DETALLES_DOCUMENTO(NRO_DOCUMENTO,ID_TIPO,ID_PRODUCTO,CANTIDAD,PRECIO,VALOR_BRUTO,VALOR_NETO,VALOR_IVA) VALUES(90,1,143,1,6200,6200,5210,990);</v>
      </c>
    </row>
    <row r="206" spans="1:12">
      <c r="A206" s="114">
        <v>1</v>
      </c>
      <c r="B206" s="114">
        <v>90</v>
      </c>
      <c r="C206" s="139" t="s">
        <v>2182</v>
      </c>
      <c r="D206" s="114" t="s">
        <v>2090</v>
      </c>
      <c r="E206" s="114">
        <v>85</v>
      </c>
      <c r="F206" s="114">
        <v>290</v>
      </c>
      <c r="G206" s="114">
        <v>1</v>
      </c>
      <c r="H206" s="114">
        <v>1200</v>
      </c>
      <c r="I206" s="114">
        <v>1200</v>
      </c>
      <c r="J206" s="114">
        <v>1008</v>
      </c>
      <c r="K206" s="114">
        <v>192</v>
      </c>
      <c r="L206" s="114" t="str">
        <f t="shared" si="3"/>
        <v>INSERT INTO DETALLES_DOCUMENTO(NRO_DOCUMENTO,ID_TIPO,ID_PRODUCTO,CANTIDAD,PRECIO,VALOR_BRUTO,VALOR_NETO,VALOR_IVA) VALUES(90,1,290,1,1200,1200,1008,192);</v>
      </c>
    </row>
    <row r="207" spans="1:12">
      <c r="A207" s="114">
        <v>1</v>
      </c>
      <c r="B207" s="114">
        <v>90</v>
      </c>
      <c r="C207" s="139" t="s">
        <v>2182</v>
      </c>
      <c r="D207" s="114" t="s">
        <v>2090</v>
      </c>
      <c r="E207" s="114">
        <v>85</v>
      </c>
      <c r="F207" s="114">
        <v>124</v>
      </c>
      <c r="G207" s="114">
        <v>1</v>
      </c>
      <c r="H207" s="114">
        <v>4000</v>
      </c>
      <c r="I207" s="114">
        <v>4000</v>
      </c>
      <c r="J207" s="114">
        <v>3361</v>
      </c>
      <c r="K207" s="114">
        <v>639</v>
      </c>
      <c r="L207" s="114" t="str">
        <f t="shared" si="3"/>
        <v>INSERT INTO DETALLES_DOCUMENTO(NRO_DOCUMENTO,ID_TIPO,ID_PRODUCTO,CANTIDAD,PRECIO,VALOR_BRUTO,VALOR_NETO,VALOR_IVA) VALUES(90,1,124,1,4000,4000,3361,639);</v>
      </c>
    </row>
    <row r="208" spans="1:12">
      <c r="A208" s="114">
        <v>1</v>
      </c>
      <c r="B208" s="114">
        <v>91</v>
      </c>
      <c r="C208" s="139" t="s">
        <v>2182</v>
      </c>
      <c r="D208" s="114" t="s">
        <v>2090</v>
      </c>
      <c r="E208" s="114">
        <v>128</v>
      </c>
      <c r="F208" s="114">
        <v>293</v>
      </c>
      <c r="G208" s="114">
        <v>1</v>
      </c>
      <c r="H208" s="114">
        <v>9500</v>
      </c>
      <c r="I208" s="114">
        <v>9500</v>
      </c>
      <c r="J208" s="114">
        <v>7983</v>
      </c>
      <c r="K208" s="114">
        <v>1517</v>
      </c>
      <c r="L208" s="114" t="str">
        <f t="shared" si="3"/>
        <v>INSERT INTO DETALLES_DOCUMENTO(NRO_DOCUMENTO,ID_TIPO,ID_PRODUCTO,CANTIDAD,PRECIO,VALOR_BRUTO,VALOR_NETO,VALOR_IVA) VALUES(91,1,293,1,9500,9500,7983,1517);</v>
      </c>
    </row>
    <row r="209" spans="1:12">
      <c r="A209" s="114">
        <v>1</v>
      </c>
      <c r="B209" s="114">
        <v>92</v>
      </c>
      <c r="C209" s="139" t="s">
        <v>2182</v>
      </c>
      <c r="D209" s="114" t="s">
        <v>2090</v>
      </c>
      <c r="E209" s="114">
        <v>166</v>
      </c>
      <c r="F209" s="114">
        <v>67</v>
      </c>
      <c r="G209" s="114">
        <v>1</v>
      </c>
      <c r="H209" s="114">
        <v>650</v>
      </c>
      <c r="I209" s="114">
        <v>650</v>
      </c>
      <c r="J209" s="114">
        <v>546</v>
      </c>
      <c r="K209" s="114">
        <v>104</v>
      </c>
      <c r="L209" s="114" t="str">
        <f t="shared" si="3"/>
        <v>INSERT INTO DETALLES_DOCUMENTO(NRO_DOCUMENTO,ID_TIPO,ID_PRODUCTO,CANTIDAD,PRECIO,VALOR_BRUTO,VALOR_NETO,VALOR_IVA) VALUES(92,1,67,1,650,650,546,104);</v>
      </c>
    </row>
    <row r="210" spans="1:12">
      <c r="A210" s="114">
        <v>1</v>
      </c>
      <c r="B210" s="114">
        <v>92</v>
      </c>
      <c r="C210" s="139" t="s">
        <v>2182</v>
      </c>
      <c r="D210" s="114" t="s">
        <v>2090</v>
      </c>
      <c r="E210" s="114">
        <v>166</v>
      </c>
      <c r="F210" s="114">
        <v>386</v>
      </c>
      <c r="G210" s="114">
        <v>1</v>
      </c>
      <c r="H210" s="114">
        <v>2700</v>
      </c>
      <c r="I210" s="114">
        <v>2700</v>
      </c>
      <c r="J210" s="114">
        <v>2269</v>
      </c>
      <c r="K210" s="114">
        <v>431</v>
      </c>
      <c r="L210" s="114" t="str">
        <f t="shared" si="3"/>
        <v>INSERT INTO DETALLES_DOCUMENTO(NRO_DOCUMENTO,ID_TIPO,ID_PRODUCTO,CANTIDAD,PRECIO,VALOR_BRUTO,VALOR_NETO,VALOR_IVA) VALUES(92,1,386,1,2700,2700,2269,431);</v>
      </c>
    </row>
    <row r="211" spans="1:12">
      <c r="A211" s="114">
        <v>1</v>
      </c>
      <c r="B211" s="114">
        <v>92</v>
      </c>
      <c r="C211" s="139" t="s">
        <v>2182</v>
      </c>
      <c r="D211" s="114" t="s">
        <v>2090</v>
      </c>
      <c r="E211" s="114">
        <v>166</v>
      </c>
      <c r="F211" s="114">
        <v>165</v>
      </c>
      <c r="G211" s="114">
        <v>1</v>
      </c>
      <c r="H211" s="114">
        <v>2000</v>
      </c>
      <c r="I211" s="114">
        <v>2000</v>
      </c>
      <c r="J211" s="114">
        <v>1681</v>
      </c>
      <c r="K211" s="114">
        <v>319</v>
      </c>
      <c r="L211" s="114" t="str">
        <f t="shared" si="3"/>
        <v>INSERT INTO DETALLES_DOCUMENTO(NRO_DOCUMENTO,ID_TIPO,ID_PRODUCTO,CANTIDAD,PRECIO,VALOR_BRUTO,VALOR_NETO,VALOR_IVA) VALUES(92,1,165,1,2000,2000,1681,319);</v>
      </c>
    </row>
    <row r="212" spans="1:12">
      <c r="A212" s="114">
        <v>1</v>
      </c>
      <c r="B212" s="114">
        <v>93</v>
      </c>
      <c r="C212" s="139" t="s">
        <v>2182</v>
      </c>
      <c r="D212" s="114" t="s">
        <v>2090</v>
      </c>
      <c r="E212" s="114">
        <v>196</v>
      </c>
      <c r="F212" s="114">
        <v>361</v>
      </c>
      <c r="G212" s="114">
        <v>1</v>
      </c>
      <c r="H212" s="114">
        <v>3500</v>
      </c>
      <c r="I212" s="114">
        <v>3500</v>
      </c>
      <c r="J212" s="114">
        <v>2941</v>
      </c>
      <c r="K212" s="114">
        <v>559</v>
      </c>
      <c r="L212" s="114" t="str">
        <f t="shared" si="3"/>
        <v>INSERT INTO DETALLES_DOCUMENTO(NRO_DOCUMENTO,ID_TIPO,ID_PRODUCTO,CANTIDAD,PRECIO,VALOR_BRUTO,VALOR_NETO,VALOR_IVA) VALUES(93,1,361,1,3500,3500,2941,559);</v>
      </c>
    </row>
    <row r="213" spans="1:12">
      <c r="A213" s="114">
        <v>1</v>
      </c>
      <c r="B213" s="114">
        <v>93</v>
      </c>
      <c r="C213" s="139" t="s">
        <v>2182</v>
      </c>
      <c r="D213" s="114" t="s">
        <v>2090</v>
      </c>
      <c r="E213" s="114">
        <v>196</v>
      </c>
      <c r="F213" s="114">
        <v>241</v>
      </c>
      <c r="G213" s="114">
        <v>1</v>
      </c>
      <c r="H213" s="114">
        <v>4000</v>
      </c>
      <c r="I213" s="114">
        <v>4000</v>
      </c>
      <c r="J213" s="114">
        <v>3361</v>
      </c>
      <c r="K213" s="114">
        <v>639</v>
      </c>
      <c r="L213" s="114" t="str">
        <f t="shared" si="3"/>
        <v>INSERT INTO DETALLES_DOCUMENTO(NRO_DOCUMENTO,ID_TIPO,ID_PRODUCTO,CANTIDAD,PRECIO,VALOR_BRUTO,VALOR_NETO,VALOR_IVA) VALUES(93,1,241,1,4000,4000,3361,639);</v>
      </c>
    </row>
    <row r="214" spans="1:12">
      <c r="A214" s="114">
        <v>1</v>
      </c>
      <c r="B214" s="114">
        <v>93</v>
      </c>
      <c r="C214" s="139" t="s">
        <v>2182</v>
      </c>
      <c r="D214" s="114" t="s">
        <v>2090</v>
      </c>
      <c r="E214" s="114">
        <v>196</v>
      </c>
      <c r="F214" s="114">
        <v>97</v>
      </c>
      <c r="G214" s="114">
        <v>1</v>
      </c>
      <c r="H214" s="114">
        <v>2000</v>
      </c>
      <c r="I214" s="114">
        <v>2000</v>
      </c>
      <c r="J214" s="114">
        <v>1681</v>
      </c>
      <c r="K214" s="114">
        <v>319</v>
      </c>
      <c r="L214" s="114" t="str">
        <f t="shared" si="3"/>
        <v>INSERT INTO DETALLES_DOCUMENTO(NRO_DOCUMENTO,ID_TIPO,ID_PRODUCTO,CANTIDAD,PRECIO,VALOR_BRUTO,VALOR_NETO,VALOR_IVA) VALUES(93,1,97,1,2000,2000,1681,319);</v>
      </c>
    </row>
    <row r="215" spans="1:12">
      <c r="A215" s="114">
        <v>1</v>
      </c>
      <c r="B215" s="114">
        <v>93</v>
      </c>
      <c r="C215" s="139" t="s">
        <v>2182</v>
      </c>
      <c r="D215" s="114" t="s">
        <v>2090</v>
      </c>
      <c r="E215" s="114">
        <v>196</v>
      </c>
      <c r="F215" s="114">
        <v>275</v>
      </c>
      <c r="G215" s="114">
        <v>1</v>
      </c>
      <c r="H215" s="114">
        <v>6900</v>
      </c>
      <c r="I215" s="114">
        <v>6900</v>
      </c>
      <c r="J215" s="114">
        <v>5798</v>
      </c>
      <c r="K215" s="114">
        <v>1102</v>
      </c>
      <c r="L215" s="114" t="str">
        <f t="shared" si="3"/>
        <v>INSERT INTO DETALLES_DOCUMENTO(NRO_DOCUMENTO,ID_TIPO,ID_PRODUCTO,CANTIDAD,PRECIO,VALOR_BRUTO,VALOR_NETO,VALOR_IVA) VALUES(93,1,275,1,6900,6900,5798,1102);</v>
      </c>
    </row>
    <row r="216" spans="1:12">
      <c r="A216" s="114">
        <v>1</v>
      </c>
      <c r="B216" s="114">
        <v>93</v>
      </c>
      <c r="C216" s="139" t="s">
        <v>2182</v>
      </c>
      <c r="D216" s="114" t="s">
        <v>2090</v>
      </c>
      <c r="E216" s="114">
        <v>196</v>
      </c>
      <c r="F216" s="114">
        <v>236</v>
      </c>
      <c r="G216" s="114">
        <v>1</v>
      </c>
      <c r="H216" s="114">
        <v>18990</v>
      </c>
      <c r="I216" s="114">
        <v>18990</v>
      </c>
      <c r="J216" s="114">
        <v>15958</v>
      </c>
      <c r="K216" s="114">
        <v>3032</v>
      </c>
      <c r="L216" s="114" t="str">
        <f t="shared" si="3"/>
        <v>INSERT INTO DETALLES_DOCUMENTO(NRO_DOCUMENTO,ID_TIPO,ID_PRODUCTO,CANTIDAD,PRECIO,VALOR_BRUTO,VALOR_NETO,VALOR_IVA) VALUES(93,1,236,1,18990,18990,15958,3032);</v>
      </c>
    </row>
    <row r="217" spans="1:12">
      <c r="A217" s="114">
        <v>1</v>
      </c>
      <c r="B217" s="114">
        <v>93</v>
      </c>
      <c r="C217" s="139" t="s">
        <v>2182</v>
      </c>
      <c r="D217" s="114" t="s">
        <v>2090</v>
      </c>
      <c r="E217" s="114">
        <v>196</v>
      </c>
      <c r="F217" s="114">
        <v>143</v>
      </c>
      <c r="G217" s="114">
        <v>1</v>
      </c>
      <c r="H217" s="114">
        <v>6200</v>
      </c>
      <c r="I217" s="114">
        <v>6200</v>
      </c>
      <c r="J217" s="114">
        <v>5210</v>
      </c>
      <c r="K217" s="114">
        <v>990</v>
      </c>
      <c r="L217" s="114" t="str">
        <f t="shared" si="3"/>
        <v>INSERT INTO DETALLES_DOCUMENTO(NRO_DOCUMENTO,ID_TIPO,ID_PRODUCTO,CANTIDAD,PRECIO,VALOR_BRUTO,VALOR_NETO,VALOR_IVA) VALUES(93,1,143,1,6200,6200,5210,990);</v>
      </c>
    </row>
    <row r="218" spans="1:12">
      <c r="A218" s="114">
        <v>1</v>
      </c>
      <c r="B218" s="114">
        <v>94</v>
      </c>
      <c r="C218" s="139" t="s">
        <v>2182</v>
      </c>
      <c r="D218" s="114" t="s">
        <v>2090</v>
      </c>
      <c r="E218" s="114">
        <v>470</v>
      </c>
      <c r="F218" s="114">
        <v>143</v>
      </c>
      <c r="G218" s="114">
        <v>1</v>
      </c>
      <c r="H218" s="114">
        <v>6200</v>
      </c>
      <c r="I218" s="114">
        <v>6200</v>
      </c>
      <c r="J218" s="114">
        <v>5210</v>
      </c>
      <c r="K218" s="114">
        <v>990</v>
      </c>
      <c r="L218" s="114" t="str">
        <f t="shared" si="3"/>
        <v>INSERT INTO DETALLES_DOCUMENTO(NRO_DOCUMENTO,ID_TIPO,ID_PRODUCTO,CANTIDAD,PRECIO,VALOR_BRUTO,VALOR_NETO,VALOR_IVA) VALUES(94,1,143,1,6200,6200,5210,990);</v>
      </c>
    </row>
    <row r="219" spans="1:12">
      <c r="A219" s="114">
        <v>1</v>
      </c>
      <c r="B219" s="114">
        <v>95</v>
      </c>
      <c r="C219" s="139" t="s">
        <v>2183</v>
      </c>
      <c r="D219" s="114" t="s">
        <v>2090</v>
      </c>
      <c r="E219" s="114">
        <v>166</v>
      </c>
      <c r="F219" s="114">
        <v>329</v>
      </c>
      <c r="G219" s="114">
        <v>1</v>
      </c>
      <c r="H219" s="114">
        <v>5500</v>
      </c>
      <c r="I219" s="114">
        <v>5500</v>
      </c>
      <c r="J219" s="114">
        <v>4622</v>
      </c>
      <c r="K219" s="114">
        <v>878</v>
      </c>
      <c r="L219" s="114" t="str">
        <f t="shared" si="3"/>
        <v>INSERT INTO DETALLES_DOCUMENTO(NRO_DOCUMENTO,ID_TIPO,ID_PRODUCTO,CANTIDAD,PRECIO,VALOR_BRUTO,VALOR_NETO,VALOR_IVA) VALUES(95,1,329,1,5500,5500,4622,878);</v>
      </c>
    </row>
    <row r="220" spans="1:12">
      <c r="A220" s="114">
        <v>1</v>
      </c>
      <c r="B220" s="114">
        <v>96</v>
      </c>
      <c r="C220" s="139" t="s">
        <v>2183</v>
      </c>
      <c r="D220" s="114" t="s">
        <v>2090</v>
      </c>
      <c r="E220" s="114">
        <v>171</v>
      </c>
      <c r="F220" s="114">
        <v>143</v>
      </c>
      <c r="G220" s="114">
        <v>1</v>
      </c>
      <c r="H220" s="114">
        <v>6200</v>
      </c>
      <c r="I220" s="114">
        <v>6200</v>
      </c>
      <c r="J220" s="114">
        <v>5210</v>
      </c>
      <c r="K220" s="114">
        <v>990</v>
      </c>
      <c r="L220" s="114" t="str">
        <f t="shared" si="3"/>
        <v>INSERT INTO DETALLES_DOCUMENTO(NRO_DOCUMENTO,ID_TIPO,ID_PRODUCTO,CANTIDAD,PRECIO,VALOR_BRUTO,VALOR_NETO,VALOR_IVA) VALUES(96,1,143,1,6200,6200,5210,990);</v>
      </c>
    </row>
    <row r="221" spans="1:12">
      <c r="A221" s="114">
        <v>1</v>
      </c>
      <c r="B221" s="114">
        <v>97</v>
      </c>
      <c r="C221" s="139" t="s">
        <v>2183</v>
      </c>
      <c r="D221" s="114" t="s">
        <v>2090</v>
      </c>
      <c r="E221" s="114">
        <v>207</v>
      </c>
      <c r="F221" s="114">
        <v>118</v>
      </c>
      <c r="G221" s="114">
        <v>2</v>
      </c>
      <c r="H221" s="114">
        <v>7000</v>
      </c>
      <c r="I221" s="114">
        <v>14000</v>
      </c>
      <c r="J221" s="114">
        <v>11765</v>
      </c>
      <c r="K221" s="114">
        <v>2235</v>
      </c>
      <c r="L221" s="114" t="str">
        <f t="shared" si="3"/>
        <v>INSERT INTO DETALLES_DOCUMENTO(NRO_DOCUMENTO,ID_TIPO,ID_PRODUCTO,CANTIDAD,PRECIO,VALOR_BRUTO,VALOR_NETO,VALOR_IVA) VALUES(97,1,118,2,7000,14000,11765,2235);</v>
      </c>
    </row>
    <row r="222" spans="1:12">
      <c r="A222" s="114">
        <v>1</v>
      </c>
      <c r="B222" s="114">
        <v>98</v>
      </c>
      <c r="C222" s="139" t="s">
        <v>2183</v>
      </c>
      <c r="D222" s="114" t="s">
        <v>2090</v>
      </c>
      <c r="E222" s="114">
        <v>230</v>
      </c>
      <c r="F222" s="114">
        <v>118</v>
      </c>
      <c r="G222" s="114">
        <v>1</v>
      </c>
      <c r="H222" s="114">
        <v>3500</v>
      </c>
      <c r="I222" s="114">
        <v>3500</v>
      </c>
      <c r="J222" s="114">
        <v>2941</v>
      </c>
      <c r="K222" s="114">
        <v>559</v>
      </c>
      <c r="L222" s="114" t="str">
        <f t="shared" si="3"/>
        <v>INSERT INTO DETALLES_DOCUMENTO(NRO_DOCUMENTO,ID_TIPO,ID_PRODUCTO,CANTIDAD,PRECIO,VALOR_BRUTO,VALOR_NETO,VALOR_IVA) VALUES(98,1,118,1,3500,3500,2941,559);</v>
      </c>
    </row>
    <row r="223" spans="1:12">
      <c r="A223" s="114">
        <v>1</v>
      </c>
      <c r="B223" s="114">
        <v>98</v>
      </c>
      <c r="C223" s="139" t="s">
        <v>2183</v>
      </c>
      <c r="D223" s="114" t="s">
        <v>2090</v>
      </c>
      <c r="E223" s="114">
        <v>230</v>
      </c>
      <c r="F223" s="114">
        <v>367</v>
      </c>
      <c r="G223" s="114">
        <v>2</v>
      </c>
      <c r="H223" s="114">
        <v>3000</v>
      </c>
      <c r="I223" s="114">
        <v>6000</v>
      </c>
      <c r="J223" s="114">
        <v>5042</v>
      </c>
      <c r="K223" s="114">
        <v>958</v>
      </c>
      <c r="L223" s="114" t="str">
        <f t="shared" si="3"/>
        <v>INSERT INTO DETALLES_DOCUMENTO(NRO_DOCUMENTO,ID_TIPO,ID_PRODUCTO,CANTIDAD,PRECIO,VALOR_BRUTO,VALOR_NETO,VALOR_IVA) VALUES(98,1,367,2,3000,6000,5042,958);</v>
      </c>
    </row>
    <row r="224" spans="1:12">
      <c r="A224" s="114">
        <v>1</v>
      </c>
      <c r="B224" s="114">
        <v>98</v>
      </c>
      <c r="C224" s="139" t="s">
        <v>2183</v>
      </c>
      <c r="D224" s="114" t="s">
        <v>2090</v>
      </c>
      <c r="E224" s="114">
        <v>230</v>
      </c>
      <c r="F224" s="114">
        <v>296</v>
      </c>
      <c r="G224" s="114">
        <v>2</v>
      </c>
      <c r="H224" s="114">
        <v>7000</v>
      </c>
      <c r="I224" s="114">
        <v>14000</v>
      </c>
      <c r="J224" s="114">
        <v>11765</v>
      </c>
      <c r="K224" s="114">
        <v>2235</v>
      </c>
      <c r="L224" s="114" t="str">
        <f t="shared" si="3"/>
        <v>INSERT INTO DETALLES_DOCUMENTO(NRO_DOCUMENTO,ID_TIPO,ID_PRODUCTO,CANTIDAD,PRECIO,VALOR_BRUTO,VALOR_NETO,VALOR_IVA) VALUES(98,1,296,2,7000,14000,11765,2235);</v>
      </c>
    </row>
    <row r="225" spans="1:12">
      <c r="A225" s="114">
        <v>1</v>
      </c>
      <c r="B225" s="114">
        <v>98</v>
      </c>
      <c r="C225" s="139" t="s">
        <v>2183</v>
      </c>
      <c r="D225" s="114" t="s">
        <v>2090</v>
      </c>
      <c r="E225" s="114">
        <v>230</v>
      </c>
      <c r="F225" s="114">
        <v>383</v>
      </c>
      <c r="G225" s="114">
        <v>2</v>
      </c>
      <c r="H225" s="114">
        <v>4800</v>
      </c>
      <c r="I225" s="114">
        <v>9600</v>
      </c>
      <c r="J225" s="114">
        <v>8067</v>
      </c>
      <c r="K225" s="114">
        <v>1533</v>
      </c>
      <c r="L225" s="114" t="str">
        <f t="shared" si="3"/>
        <v>INSERT INTO DETALLES_DOCUMENTO(NRO_DOCUMENTO,ID_TIPO,ID_PRODUCTO,CANTIDAD,PRECIO,VALOR_BRUTO,VALOR_NETO,VALOR_IVA) VALUES(98,1,383,2,4800,9600,8067,1533);</v>
      </c>
    </row>
    <row r="226" spans="1:12">
      <c r="A226" s="114">
        <v>1</v>
      </c>
      <c r="B226" s="114">
        <v>99</v>
      </c>
      <c r="C226" s="139" t="s">
        <v>2183</v>
      </c>
      <c r="D226" s="114" t="s">
        <v>2090</v>
      </c>
      <c r="E226" s="114">
        <v>278</v>
      </c>
      <c r="F226" s="114">
        <v>300</v>
      </c>
      <c r="G226" s="114">
        <v>1</v>
      </c>
      <c r="H226" s="114">
        <v>9000</v>
      </c>
      <c r="I226" s="114">
        <v>9000</v>
      </c>
      <c r="J226" s="114">
        <v>7563</v>
      </c>
      <c r="K226" s="114">
        <v>1437</v>
      </c>
      <c r="L226" s="114" t="str">
        <f t="shared" si="3"/>
        <v>INSERT INTO DETALLES_DOCUMENTO(NRO_DOCUMENTO,ID_TIPO,ID_PRODUCTO,CANTIDAD,PRECIO,VALOR_BRUTO,VALOR_NETO,VALOR_IVA) VALUES(99,1,300,1,9000,9000,7563,1437);</v>
      </c>
    </row>
    <row r="227" spans="1:12">
      <c r="A227" s="114">
        <v>1</v>
      </c>
      <c r="B227" s="114">
        <v>99</v>
      </c>
      <c r="C227" s="139" t="s">
        <v>2183</v>
      </c>
      <c r="D227" s="114" t="s">
        <v>2090</v>
      </c>
      <c r="E227" s="114">
        <v>278</v>
      </c>
      <c r="F227" s="114">
        <v>370</v>
      </c>
      <c r="G227" s="114">
        <v>1</v>
      </c>
      <c r="H227" s="114">
        <v>4000</v>
      </c>
      <c r="I227" s="114">
        <v>4000</v>
      </c>
      <c r="J227" s="114">
        <v>3361</v>
      </c>
      <c r="K227" s="114">
        <v>639</v>
      </c>
      <c r="L227" s="114" t="str">
        <f t="shared" si="3"/>
        <v>INSERT INTO DETALLES_DOCUMENTO(NRO_DOCUMENTO,ID_TIPO,ID_PRODUCTO,CANTIDAD,PRECIO,VALOR_BRUTO,VALOR_NETO,VALOR_IVA) VALUES(99,1,370,1,4000,4000,3361,639);</v>
      </c>
    </row>
    <row r="228" spans="1:12">
      <c r="A228" s="114">
        <v>1</v>
      </c>
      <c r="B228" s="114">
        <v>99</v>
      </c>
      <c r="C228" s="139" t="s">
        <v>2183</v>
      </c>
      <c r="D228" s="114" t="s">
        <v>2090</v>
      </c>
      <c r="E228" s="114">
        <v>278</v>
      </c>
      <c r="F228" s="114">
        <v>125</v>
      </c>
      <c r="G228" s="114">
        <v>1</v>
      </c>
      <c r="H228" s="114">
        <v>1700</v>
      </c>
      <c r="I228" s="114">
        <v>1700</v>
      </c>
      <c r="J228" s="114">
        <v>1429</v>
      </c>
      <c r="K228" s="114">
        <v>271</v>
      </c>
      <c r="L228" s="114" t="str">
        <f t="shared" si="3"/>
        <v>INSERT INTO DETALLES_DOCUMENTO(NRO_DOCUMENTO,ID_TIPO,ID_PRODUCTO,CANTIDAD,PRECIO,VALOR_BRUTO,VALOR_NETO,VALOR_IVA) VALUES(99,1,125,1,1700,1700,1429,271);</v>
      </c>
    </row>
    <row r="229" spans="1:12">
      <c r="A229" s="114">
        <v>1</v>
      </c>
      <c r="B229" s="114">
        <v>99</v>
      </c>
      <c r="C229" s="139" t="s">
        <v>2183</v>
      </c>
      <c r="D229" s="114" t="s">
        <v>2090</v>
      </c>
      <c r="E229" s="114">
        <v>278</v>
      </c>
      <c r="F229" s="114">
        <v>359</v>
      </c>
      <c r="G229" s="114">
        <v>1</v>
      </c>
      <c r="H229" s="114">
        <v>2500</v>
      </c>
      <c r="I229" s="114">
        <v>2500</v>
      </c>
      <c r="J229" s="114">
        <v>2101</v>
      </c>
      <c r="K229" s="114">
        <v>399</v>
      </c>
      <c r="L229" s="114" t="str">
        <f t="shared" si="3"/>
        <v>INSERT INTO DETALLES_DOCUMENTO(NRO_DOCUMENTO,ID_TIPO,ID_PRODUCTO,CANTIDAD,PRECIO,VALOR_BRUTO,VALOR_NETO,VALOR_IVA) VALUES(99,1,359,1,2500,2500,2101,399);</v>
      </c>
    </row>
    <row r="230" spans="1:12">
      <c r="A230" s="114">
        <v>1</v>
      </c>
      <c r="B230" s="114">
        <v>99</v>
      </c>
      <c r="C230" s="139" t="s">
        <v>2183</v>
      </c>
      <c r="D230" s="114" t="s">
        <v>2090</v>
      </c>
      <c r="E230" s="114">
        <v>278</v>
      </c>
      <c r="F230" s="114">
        <v>259</v>
      </c>
      <c r="G230" s="114">
        <v>1</v>
      </c>
      <c r="H230" s="114">
        <v>4500</v>
      </c>
      <c r="I230" s="114">
        <v>4500</v>
      </c>
      <c r="J230" s="114">
        <v>3782</v>
      </c>
      <c r="K230" s="114">
        <v>718</v>
      </c>
      <c r="L230" s="114" t="str">
        <f t="shared" si="3"/>
        <v>INSERT INTO DETALLES_DOCUMENTO(NRO_DOCUMENTO,ID_TIPO,ID_PRODUCTO,CANTIDAD,PRECIO,VALOR_BRUTO,VALOR_NETO,VALOR_IVA) VALUES(99,1,259,1,4500,4500,3782,718);</v>
      </c>
    </row>
    <row r="231" spans="1:12">
      <c r="A231" s="114">
        <v>1</v>
      </c>
      <c r="B231" s="114">
        <v>99</v>
      </c>
      <c r="C231" s="139" t="s">
        <v>2183</v>
      </c>
      <c r="D231" s="114" t="s">
        <v>2090</v>
      </c>
      <c r="E231" s="114">
        <v>278</v>
      </c>
      <c r="F231" s="114">
        <v>150</v>
      </c>
      <c r="G231" s="114">
        <v>1</v>
      </c>
      <c r="H231" s="114">
        <v>4200</v>
      </c>
      <c r="I231" s="114">
        <v>4200</v>
      </c>
      <c r="J231" s="114">
        <v>3529</v>
      </c>
      <c r="K231" s="114">
        <v>671</v>
      </c>
      <c r="L231" s="114" t="str">
        <f t="shared" si="3"/>
        <v>INSERT INTO DETALLES_DOCUMENTO(NRO_DOCUMENTO,ID_TIPO,ID_PRODUCTO,CANTIDAD,PRECIO,VALOR_BRUTO,VALOR_NETO,VALOR_IVA) VALUES(99,1,150,1,4200,4200,3529,671);</v>
      </c>
    </row>
    <row r="232" spans="1:12">
      <c r="A232" s="114">
        <v>1</v>
      </c>
      <c r="B232" s="114">
        <v>99</v>
      </c>
      <c r="C232" s="139" t="s">
        <v>2183</v>
      </c>
      <c r="D232" s="114" t="s">
        <v>2090</v>
      </c>
      <c r="E232" s="114">
        <v>278</v>
      </c>
      <c r="F232" s="114">
        <v>252</v>
      </c>
      <c r="G232" s="114">
        <v>1</v>
      </c>
      <c r="H232" s="114">
        <v>4800</v>
      </c>
      <c r="I232" s="114">
        <v>4800</v>
      </c>
      <c r="J232" s="114">
        <v>4034</v>
      </c>
      <c r="K232" s="114">
        <v>766</v>
      </c>
      <c r="L232" s="114" t="str">
        <f t="shared" si="3"/>
        <v>INSERT INTO DETALLES_DOCUMENTO(NRO_DOCUMENTO,ID_TIPO,ID_PRODUCTO,CANTIDAD,PRECIO,VALOR_BRUTO,VALOR_NETO,VALOR_IVA) VALUES(99,1,252,1,4800,4800,4034,766);</v>
      </c>
    </row>
    <row r="233" spans="1:12">
      <c r="A233" s="114">
        <v>1</v>
      </c>
      <c r="B233" s="114">
        <v>99</v>
      </c>
      <c r="C233" s="139" t="s">
        <v>2183</v>
      </c>
      <c r="D233" s="114" t="s">
        <v>2090</v>
      </c>
      <c r="E233" s="114">
        <v>278</v>
      </c>
      <c r="F233" s="114">
        <v>100</v>
      </c>
      <c r="G233" s="114">
        <v>2</v>
      </c>
      <c r="H233" s="114">
        <v>3000</v>
      </c>
      <c r="I233" s="114">
        <v>6000</v>
      </c>
      <c r="J233" s="114">
        <v>5042</v>
      </c>
      <c r="K233" s="114">
        <v>958</v>
      </c>
      <c r="L233" s="114" t="str">
        <f t="shared" si="3"/>
        <v>INSERT INTO DETALLES_DOCUMENTO(NRO_DOCUMENTO,ID_TIPO,ID_PRODUCTO,CANTIDAD,PRECIO,VALOR_BRUTO,VALOR_NETO,VALOR_IVA) VALUES(99,1,100,2,3000,6000,5042,958);</v>
      </c>
    </row>
    <row r="234" spans="1:12">
      <c r="A234" s="114">
        <v>1</v>
      </c>
      <c r="B234" s="114">
        <v>99</v>
      </c>
      <c r="C234" s="139" t="s">
        <v>2183</v>
      </c>
      <c r="D234" s="114" t="s">
        <v>2090</v>
      </c>
      <c r="E234" s="114">
        <v>278</v>
      </c>
      <c r="F234" s="114">
        <v>165</v>
      </c>
      <c r="G234" s="114">
        <v>2</v>
      </c>
      <c r="H234" s="114">
        <v>4000</v>
      </c>
      <c r="I234" s="114">
        <v>8000</v>
      </c>
      <c r="J234" s="114">
        <v>6723</v>
      </c>
      <c r="K234" s="114">
        <v>1277</v>
      </c>
      <c r="L234" s="114" t="str">
        <f t="shared" si="3"/>
        <v>INSERT INTO DETALLES_DOCUMENTO(NRO_DOCUMENTO,ID_TIPO,ID_PRODUCTO,CANTIDAD,PRECIO,VALOR_BRUTO,VALOR_NETO,VALOR_IVA) VALUES(99,1,165,2,4000,8000,6723,1277);</v>
      </c>
    </row>
    <row r="235" spans="1:12">
      <c r="A235" s="114">
        <v>1</v>
      </c>
      <c r="B235" s="114">
        <v>99</v>
      </c>
      <c r="C235" s="139" t="s">
        <v>2183</v>
      </c>
      <c r="D235" s="114" t="s">
        <v>2090</v>
      </c>
      <c r="E235" s="114">
        <v>278</v>
      </c>
      <c r="F235" s="114">
        <v>117</v>
      </c>
      <c r="G235" s="114">
        <v>2</v>
      </c>
      <c r="H235" s="114">
        <v>7000</v>
      </c>
      <c r="I235" s="114">
        <v>14000</v>
      </c>
      <c r="J235" s="114">
        <v>11765</v>
      </c>
      <c r="K235" s="114">
        <v>2235</v>
      </c>
      <c r="L235" s="114" t="str">
        <f t="shared" si="3"/>
        <v>INSERT INTO DETALLES_DOCUMENTO(NRO_DOCUMENTO,ID_TIPO,ID_PRODUCTO,CANTIDAD,PRECIO,VALOR_BRUTO,VALOR_NETO,VALOR_IVA) VALUES(99,1,117,2,7000,14000,11765,2235);</v>
      </c>
    </row>
    <row r="236" spans="1:12">
      <c r="A236" s="114">
        <v>1</v>
      </c>
      <c r="B236" s="114">
        <v>100</v>
      </c>
      <c r="C236" s="139" t="s">
        <v>2184</v>
      </c>
      <c r="D236" s="114" t="s">
        <v>2090</v>
      </c>
      <c r="E236" s="114">
        <v>66</v>
      </c>
      <c r="F236" s="114">
        <v>233</v>
      </c>
      <c r="G236" s="114">
        <v>1</v>
      </c>
      <c r="H236" s="114">
        <v>15990</v>
      </c>
      <c r="I236" s="114">
        <v>15990</v>
      </c>
      <c r="J236" s="114">
        <v>13437</v>
      </c>
      <c r="K236" s="114">
        <v>2553</v>
      </c>
      <c r="L236" s="114" t="str">
        <f t="shared" si="3"/>
        <v>INSERT INTO DETALLES_DOCUMENTO(NRO_DOCUMENTO,ID_TIPO,ID_PRODUCTO,CANTIDAD,PRECIO,VALOR_BRUTO,VALOR_NETO,VALOR_IVA) VALUES(100,1,233,1,15990,15990,13437,2553);</v>
      </c>
    </row>
    <row r="237" spans="1:12">
      <c r="A237" s="114">
        <v>1</v>
      </c>
      <c r="B237" s="114">
        <v>100</v>
      </c>
      <c r="C237" s="139" t="s">
        <v>2184</v>
      </c>
      <c r="D237" s="114" t="s">
        <v>2090</v>
      </c>
      <c r="E237" s="114">
        <v>66</v>
      </c>
      <c r="F237" s="114">
        <v>100</v>
      </c>
      <c r="G237" s="114">
        <v>2</v>
      </c>
      <c r="H237" s="114">
        <v>3000</v>
      </c>
      <c r="I237" s="114">
        <v>6000</v>
      </c>
      <c r="J237" s="114">
        <v>5042</v>
      </c>
      <c r="K237" s="114">
        <v>958</v>
      </c>
      <c r="L237" s="114" t="str">
        <f t="shared" si="3"/>
        <v>INSERT INTO DETALLES_DOCUMENTO(NRO_DOCUMENTO,ID_TIPO,ID_PRODUCTO,CANTIDAD,PRECIO,VALOR_BRUTO,VALOR_NETO,VALOR_IVA) VALUES(100,1,100,2,3000,6000,5042,958);</v>
      </c>
    </row>
    <row r="238" spans="1:12">
      <c r="A238" s="114">
        <v>1</v>
      </c>
      <c r="B238" s="114">
        <v>100</v>
      </c>
      <c r="C238" s="139" t="s">
        <v>2184</v>
      </c>
      <c r="D238" s="114" t="s">
        <v>2090</v>
      </c>
      <c r="E238" s="114">
        <v>66</v>
      </c>
      <c r="F238" s="114">
        <v>165</v>
      </c>
      <c r="G238" s="114">
        <v>1</v>
      </c>
      <c r="H238" s="114">
        <v>2000</v>
      </c>
      <c r="I238" s="114">
        <v>2000</v>
      </c>
      <c r="J238" s="114">
        <v>1681</v>
      </c>
      <c r="K238" s="114">
        <v>319</v>
      </c>
      <c r="L238" s="114" t="str">
        <f t="shared" si="3"/>
        <v>INSERT INTO DETALLES_DOCUMENTO(NRO_DOCUMENTO,ID_TIPO,ID_PRODUCTO,CANTIDAD,PRECIO,VALOR_BRUTO,VALOR_NETO,VALOR_IVA) VALUES(100,1,165,1,2000,2000,1681,319);</v>
      </c>
    </row>
    <row r="239" spans="1:12">
      <c r="A239" s="114">
        <v>1</v>
      </c>
      <c r="B239" s="114">
        <v>100</v>
      </c>
      <c r="C239" s="139" t="s">
        <v>2184</v>
      </c>
      <c r="D239" s="114" t="s">
        <v>2090</v>
      </c>
      <c r="E239" s="114">
        <v>66</v>
      </c>
      <c r="F239" s="114">
        <v>57</v>
      </c>
      <c r="G239" s="114">
        <v>1</v>
      </c>
      <c r="H239" s="114">
        <v>4000</v>
      </c>
      <c r="I239" s="114">
        <v>4000</v>
      </c>
      <c r="J239" s="114">
        <v>3361</v>
      </c>
      <c r="K239" s="114">
        <v>639</v>
      </c>
      <c r="L239" s="114" t="str">
        <f t="shared" si="3"/>
        <v>INSERT INTO DETALLES_DOCUMENTO(NRO_DOCUMENTO,ID_TIPO,ID_PRODUCTO,CANTIDAD,PRECIO,VALOR_BRUTO,VALOR_NETO,VALOR_IVA) VALUES(100,1,57,1,4000,4000,3361,639);</v>
      </c>
    </row>
    <row r="240" spans="1:12">
      <c r="A240" s="114">
        <v>1</v>
      </c>
      <c r="B240" s="114">
        <v>100</v>
      </c>
      <c r="C240" s="139" t="s">
        <v>2184</v>
      </c>
      <c r="D240" s="114" t="s">
        <v>2090</v>
      </c>
      <c r="E240" s="114">
        <v>66</v>
      </c>
      <c r="F240" s="114">
        <v>118</v>
      </c>
      <c r="G240" s="114">
        <v>1</v>
      </c>
      <c r="H240" s="114">
        <v>3500</v>
      </c>
      <c r="I240" s="114">
        <v>3500</v>
      </c>
      <c r="J240" s="114">
        <v>2941</v>
      </c>
      <c r="K240" s="114">
        <v>559</v>
      </c>
      <c r="L240" s="114" t="str">
        <f t="shared" si="3"/>
        <v>INSERT INTO DETALLES_DOCUMENTO(NRO_DOCUMENTO,ID_TIPO,ID_PRODUCTO,CANTIDAD,PRECIO,VALOR_BRUTO,VALOR_NETO,VALOR_IVA) VALUES(100,1,118,1,3500,3500,2941,559);</v>
      </c>
    </row>
    <row r="241" spans="1:12">
      <c r="A241" s="114">
        <v>1</v>
      </c>
      <c r="B241" s="114">
        <v>100</v>
      </c>
      <c r="C241" s="139" t="s">
        <v>2184</v>
      </c>
      <c r="D241" s="114" t="s">
        <v>2090</v>
      </c>
      <c r="E241" s="114">
        <v>66</v>
      </c>
      <c r="F241" s="114">
        <v>117</v>
      </c>
      <c r="G241" s="114">
        <v>1</v>
      </c>
      <c r="H241" s="114">
        <v>3500</v>
      </c>
      <c r="I241" s="114">
        <v>3500</v>
      </c>
      <c r="J241" s="114">
        <v>2941</v>
      </c>
      <c r="K241" s="114">
        <v>559</v>
      </c>
      <c r="L241" s="114" t="str">
        <f t="shared" si="3"/>
        <v>INSERT INTO DETALLES_DOCUMENTO(NRO_DOCUMENTO,ID_TIPO,ID_PRODUCTO,CANTIDAD,PRECIO,VALOR_BRUTO,VALOR_NETO,VALOR_IVA) VALUES(100,1,117,1,3500,3500,2941,559);</v>
      </c>
    </row>
    <row r="242" spans="1:12">
      <c r="A242" s="114">
        <v>1</v>
      </c>
      <c r="B242" s="114">
        <v>100</v>
      </c>
      <c r="C242" s="139" t="s">
        <v>2184</v>
      </c>
      <c r="D242" s="114" t="s">
        <v>2090</v>
      </c>
      <c r="E242" s="114">
        <v>66</v>
      </c>
      <c r="F242" s="114">
        <v>254</v>
      </c>
      <c r="G242" s="114">
        <v>2</v>
      </c>
      <c r="H242" s="114">
        <v>4000</v>
      </c>
      <c r="I242" s="114">
        <v>8000</v>
      </c>
      <c r="J242" s="114">
        <v>6723</v>
      </c>
      <c r="K242" s="114">
        <v>1277</v>
      </c>
      <c r="L242" s="114" t="str">
        <f t="shared" si="3"/>
        <v>INSERT INTO DETALLES_DOCUMENTO(NRO_DOCUMENTO,ID_TIPO,ID_PRODUCTO,CANTIDAD,PRECIO,VALOR_BRUTO,VALOR_NETO,VALOR_IVA) VALUES(100,1,254,2,4000,8000,6723,1277);</v>
      </c>
    </row>
    <row r="243" spans="1:12">
      <c r="A243" s="114">
        <v>1</v>
      </c>
      <c r="B243" s="114">
        <v>100</v>
      </c>
      <c r="C243" s="139" t="s">
        <v>2184</v>
      </c>
      <c r="D243" s="114" t="s">
        <v>2090</v>
      </c>
      <c r="E243" s="114">
        <v>66</v>
      </c>
      <c r="F243" s="114">
        <v>356</v>
      </c>
      <c r="G243" s="114">
        <v>1</v>
      </c>
      <c r="H243" s="114">
        <v>3000</v>
      </c>
      <c r="I243" s="114">
        <v>3000</v>
      </c>
      <c r="J243" s="114">
        <v>2521</v>
      </c>
      <c r="K243" s="114">
        <v>479</v>
      </c>
      <c r="L243" s="114" t="str">
        <f t="shared" si="3"/>
        <v>INSERT INTO DETALLES_DOCUMENTO(NRO_DOCUMENTO,ID_TIPO,ID_PRODUCTO,CANTIDAD,PRECIO,VALOR_BRUTO,VALOR_NETO,VALOR_IVA) VALUES(100,1,356,1,3000,3000,2521,479);</v>
      </c>
    </row>
    <row r="244" spans="1:12">
      <c r="A244" s="114">
        <v>1</v>
      </c>
      <c r="B244" s="114">
        <v>100</v>
      </c>
      <c r="C244" s="139" t="s">
        <v>2184</v>
      </c>
      <c r="D244" s="114" t="s">
        <v>2090</v>
      </c>
      <c r="E244" s="114">
        <v>66</v>
      </c>
      <c r="F244" s="114">
        <v>157</v>
      </c>
      <c r="G244" s="114">
        <v>1</v>
      </c>
      <c r="H244" s="114">
        <v>4300</v>
      </c>
      <c r="I244" s="114">
        <v>4300</v>
      </c>
      <c r="J244" s="114">
        <v>3613</v>
      </c>
      <c r="K244" s="114">
        <v>687</v>
      </c>
      <c r="L244" s="114" t="str">
        <f t="shared" si="3"/>
        <v>INSERT INTO DETALLES_DOCUMENTO(NRO_DOCUMENTO,ID_TIPO,ID_PRODUCTO,CANTIDAD,PRECIO,VALOR_BRUTO,VALOR_NETO,VALOR_IVA) VALUES(100,1,157,1,4300,4300,3613,687);</v>
      </c>
    </row>
    <row r="245" spans="1:12">
      <c r="A245" s="114">
        <v>1</v>
      </c>
      <c r="B245" s="114">
        <v>100</v>
      </c>
      <c r="C245" s="139" t="s">
        <v>2184</v>
      </c>
      <c r="D245" s="114" t="s">
        <v>2090</v>
      </c>
      <c r="E245" s="114">
        <v>66</v>
      </c>
      <c r="F245" s="114">
        <v>287</v>
      </c>
      <c r="G245" s="114">
        <v>1</v>
      </c>
      <c r="H245" s="114">
        <v>3000</v>
      </c>
      <c r="I245" s="114">
        <v>3000</v>
      </c>
      <c r="J245" s="114">
        <v>2521</v>
      </c>
      <c r="K245" s="114">
        <v>479</v>
      </c>
      <c r="L245" s="114" t="str">
        <f t="shared" si="3"/>
        <v>INSERT INTO DETALLES_DOCUMENTO(NRO_DOCUMENTO,ID_TIPO,ID_PRODUCTO,CANTIDAD,PRECIO,VALOR_BRUTO,VALOR_NETO,VALOR_IVA) VALUES(100,1,287,1,3000,3000,2521,479);</v>
      </c>
    </row>
    <row r="246" spans="1:12">
      <c r="A246" s="114">
        <v>1</v>
      </c>
      <c r="B246" s="114">
        <v>100</v>
      </c>
      <c r="C246" s="139" t="s">
        <v>2184</v>
      </c>
      <c r="D246" s="114" t="s">
        <v>2090</v>
      </c>
      <c r="E246" s="114">
        <v>66</v>
      </c>
      <c r="F246" s="114">
        <v>29</v>
      </c>
      <c r="G246" s="114">
        <v>1</v>
      </c>
      <c r="H246" s="114">
        <v>1000</v>
      </c>
      <c r="I246" s="114">
        <v>1000</v>
      </c>
      <c r="J246" s="114">
        <v>840</v>
      </c>
      <c r="K246" s="114">
        <v>160</v>
      </c>
      <c r="L246" s="114" t="str">
        <f t="shared" si="3"/>
        <v>INSERT INTO DETALLES_DOCUMENTO(NRO_DOCUMENTO,ID_TIPO,ID_PRODUCTO,CANTIDAD,PRECIO,VALOR_BRUTO,VALOR_NETO,VALOR_IVA) VALUES(100,1,29,1,1000,1000,840,160);</v>
      </c>
    </row>
    <row r="247" spans="1:12">
      <c r="A247" s="114">
        <v>1</v>
      </c>
      <c r="B247" s="114">
        <v>100</v>
      </c>
      <c r="C247" s="139" t="s">
        <v>2184</v>
      </c>
      <c r="D247" s="114" t="s">
        <v>2090</v>
      </c>
      <c r="E247" s="114">
        <v>66</v>
      </c>
      <c r="F247" s="114">
        <v>69</v>
      </c>
      <c r="G247" s="114">
        <v>1</v>
      </c>
      <c r="H247" s="114">
        <v>3000</v>
      </c>
      <c r="I247" s="114">
        <v>3000</v>
      </c>
      <c r="J247" s="114">
        <v>2521</v>
      </c>
      <c r="K247" s="114">
        <v>479</v>
      </c>
      <c r="L247" s="114" t="str">
        <f t="shared" si="3"/>
        <v>INSERT INTO DETALLES_DOCUMENTO(NRO_DOCUMENTO,ID_TIPO,ID_PRODUCTO,CANTIDAD,PRECIO,VALOR_BRUTO,VALOR_NETO,VALOR_IVA) VALUES(100,1,69,1,3000,3000,2521,479);</v>
      </c>
    </row>
    <row r="248" spans="1:12">
      <c r="A248" s="114">
        <v>1</v>
      </c>
      <c r="B248" s="114">
        <v>100</v>
      </c>
      <c r="C248" s="139" t="s">
        <v>2184</v>
      </c>
      <c r="D248" s="114" t="s">
        <v>2090</v>
      </c>
      <c r="E248" s="114">
        <v>66</v>
      </c>
      <c r="F248" s="114">
        <v>30</v>
      </c>
      <c r="G248" s="114">
        <v>1</v>
      </c>
      <c r="H248" s="114">
        <v>3000</v>
      </c>
      <c r="I248" s="114">
        <v>3000</v>
      </c>
      <c r="J248" s="114">
        <v>2521</v>
      </c>
      <c r="K248" s="114">
        <v>479</v>
      </c>
      <c r="L248" s="114" t="str">
        <f t="shared" si="3"/>
        <v>INSERT INTO DETALLES_DOCUMENTO(NRO_DOCUMENTO,ID_TIPO,ID_PRODUCTO,CANTIDAD,PRECIO,VALOR_BRUTO,VALOR_NETO,VALOR_IVA) VALUES(100,1,30,1,3000,3000,2521,479);</v>
      </c>
    </row>
    <row r="249" spans="1:12">
      <c r="A249" s="114">
        <v>1</v>
      </c>
      <c r="B249" s="114">
        <v>100</v>
      </c>
      <c r="C249" s="139" t="s">
        <v>2184</v>
      </c>
      <c r="D249" s="114" t="s">
        <v>2090</v>
      </c>
      <c r="E249" s="114">
        <v>66</v>
      </c>
      <c r="F249" s="114">
        <v>150</v>
      </c>
      <c r="G249" s="114">
        <v>1</v>
      </c>
      <c r="H249" s="114">
        <v>4200</v>
      </c>
      <c r="I249" s="114">
        <v>4200</v>
      </c>
      <c r="J249" s="114">
        <v>3529</v>
      </c>
      <c r="K249" s="114">
        <v>671</v>
      </c>
      <c r="L249" s="114" t="str">
        <f t="shared" si="3"/>
        <v>INSERT INTO DETALLES_DOCUMENTO(NRO_DOCUMENTO,ID_TIPO,ID_PRODUCTO,CANTIDAD,PRECIO,VALOR_BRUTO,VALOR_NETO,VALOR_IVA) VALUES(100,1,150,1,4200,4200,3529,671);</v>
      </c>
    </row>
    <row r="250" spans="1:12">
      <c r="A250" s="114">
        <v>1</v>
      </c>
      <c r="B250" s="114">
        <v>100</v>
      </c>
      <c r="C250" s="139" t="s">
        <v>2184</v>
      </c>
      <c r="D250" s="114" t="s">
        <v>2090</v>
      </c>
      <c r="E250" s="114">
        <v>66</v>
      </c>
      <c r="F250" s="114">
        <v>151</v>
      </c>
      <c r="G250" s="114">
        <v>1</v>
      </c>
      <c r="H250" s="114">
        <v>4200</v>
      </c>
      <c r="I250" s="114">
        <v>4200</v>
      </c>
      <c r="J250" s="114">
        <v>3529</v>
      </c>
      <c r="K250" s="114">
        <v>671</v>
      </c>
      <c r="L250" s="114" t="str">
        <f t="shared" si="3"/>
        <v>INSERT INTO DETALLES_DOCUMENTO(NRO_DOCUMENTO,ID_TIPO,ID_PRODUCTO,CANTIDAD,PRECIO,VALOR_BRUTO,VALOR_NETO,VALOR_IVA) VALUES(100,1,151,1,4200,4200,3529,671);</v>
      </c>
    </row>
    <row r="251" spans="1:12">
      <c r="A251" s="114">
        <v>1</v>
      </c>
      <c r="B251" s="114">
        <v>100</v>
      </c>
      <c r="C251" s="139" t="s">
        <v>2184</v>
      </c>
      <c r="D251" s="114" t="s">
        <v>2090</v>
      </c>
      <c r="E251" s="114">
        <v>66</v>
      </c>
      <c r="F251" s="114">
        <v>246</v>
      </c>
      <c r="G251" s="114">
        <v>1</v>
      </c>
      <c r="H251" s="114">
        <v>3000</v>
      </c>
      <c r="I251" s="114">
        <v>3000</v>
      </c>
      <c r="J251" s="114">
        <v>2521</v>
      </c>
      <c r="K251" s="114">
        <v>479</v>
      </c>
      <c r="L251" s="114" t="str">
        <f t="shared" si="3"/>
        <v>INSERT INTO DETALLES_DOCUMENTO(NRO_DOCUMENTO,ID_TIPO,ID_PRODUCTO,CANTIDAD,PRECIO,VALOR_BRUTO,VALOR_NETO,VALOR_IVA) VALUES(100,1,246,1,3000,3000,2521,479);</v>
      </c>
    </row>
    <row r="252" spans="1:12">
      <c r="A252" s="114">
        <v>1</v>
      </c>
      <c r="B252" s="114">
        <v>100</v>
      </c>
      <c r="C252" s="139" t="s">
        <v>2184</v>
      </c>
      <c r="D252" s="114" t="s">
        <v>2090</v>
      </c>
      <c r="E252" s="114">
        <v>66</v>
      </c>
      <c r="F252" s="114">
        <v>80</v>
      </c>
      <c r="G252" s="114">
        <v>1</v>
      </c>
      <c r="H252" s="114">
        <v>1600</v>
      </c>
      <c r="I252" s="114">
        <v>1600</v>
      </c>
      <c r="J252" s="114">
        <v>1345</v>
      </c>
      <c r="K252" s="114">
        <v>255</v>
      </c>
      <c r="L252" s="114" t="str">
        <f t="shared" si="3"/>
        <v>INSERT INTO DETALLES_DOCUMENTO(NRO_DOCUMENTO,ID_TIPO,ID_PRODUCTO,CANTIDAD,PRECIO,VALOR_BRUTO,VALOR_NETO,VALOR_IVA) VALUES(100,1,80,1,1600,1600,1345,255);</v>
      </c>
    </row>
    <row r="253" spans="1:12">
      <c r="A253" s="114">
        <v>1</v>
      </c>
      <c r="B253" s="114">
        <v>100</v>
      </c>
      <c r="C253" s="139" t="s">
        <v>2184</v>
      </c>
      <c r="D253" s="114" t="s">
        <v>2090</v>
      </c>
      <c r="E253" s="114">
        <v>66</v>
      </c>
      <c r="F253" s="114">
        <v>155</v>
      </c>
      <c r="G253" s="114">
        <v>1</v>
      </c>
      <c r="H253" s="114">
        <v>1650</v>
      </c>
      <c r="I253" s="114">
        <v>1650</v>
      </c>
      <c r="J253" s="114">
        <v>1387</v>
      </c>
      <c r="K253" s="114">
        <v>263</v>
      </c>
      <c r="L253" s="114" t="str">
        <f t="shared" si="3"/>
        <v>INSERT INTO DETALLES_DOCUMENTO(NRO_DOCUMENTO,ID_TIPO,ID_PRODUCTO,CANTIDAD,PRECIO,VALOR_BRUTO,VALOR_NETO,VALOR_IVA) VALUES(100,1,155,1,1650,1650,1387,263);</v>
      </c>
    </row>
    <row r="254" spans="1:12">
      <c r="A254" s="114">
        <v>1</v>
      </c>
      <c r="B254" s="114">
        <v>100</v>
      </c>
      <c r="C254" s="139" t="s">
        <v>2184</v>
      </c>
      <c r="D254" s="114" t="s">
        <v>2090</v>
      </c>
      <c r="E254" s="114">
        <v>66</v>
      </c>
      <c r="F254" s="114">
        <v>290</v>
      </c>
      <c r="G254" s="114">
        <v>1</v>
      </c>
      <c r="H254" s="114">
        <v>1200</v>
      </c>
      <c r="I254" s="114">
        <v>1200</v>
      </c>
      <c r="J254" s="114">
        <v>1008</v>
      </c>
      <c r="K254" s="114">
        <v>192</v>
      </c>
      <c r="L254" s="114" t="str">
        <f t="shared" si="3"/>
        <v>INSERT INTO DETALLES_DOCUMENTO(NRO_DOCUMENTO,ID_TIPO,ID_PRODUCTO,CANTIDAD,PRECIO,VALOR_BRUTO,VALOR_NETO,VALOR_IVA) VALUES(100,1,290,1,1200,1200,1008,192);</v>
      </c>
    </row>
    <row r="255" spans="1:12">
      <c r="A255" s="114">
        <v>1</v>
      </c>
      <c r="B255" s="114">
        <v>100</v>
      </c>
      <c r="C255" s="139" t="s">
        <v>2184</v>
      </c>
      <c r="D255" s="114" t="s">
        <v>2090</v>
      </c>
      <c r="E255" s="114">
        <v>66</v>
      </c>
      <c r="F255" s="114">
        <v>125</v>
      </c>
      <c r="G255" s="114">
        <v>1</v>
      </c>
      <c r="H255" s="114">
        <v>1700</v>
      </c>
      <c r="I255" s="114">
        <v>1700</v>
      </c>
      <c r="J255" s="114">
        <v>1429</v>
      </c>
      <c r="K255" s="114">
        <v>271</v>
      </c>
      <c r="L255" s="114" t="str">
        <f t="shared" si="3"/>
        <v>INSERT INTO DETALLES_DOCUMENTO(NRO_DOCUMENTO,ID_TIPO,ID_PRODUCTO,CANTIDAD,PRECIO,VALOR_BRUTO,VALOR_NETO,VALOR_IVA) VALUES(100,1,125,1,1700,1700,1429,271);</v>
      </c>
    </row>
    <row r="256" spans="1:12">
      <c r="A256" s="114">
        <v>1</v>
      </c>
      <c r="B256" s="114">
        <v>101</v>
      </c>
      <c r="C256" s="139" t="s">
        <v>2184</v>
      </c>
      <c r="D256" s="114" t="s">
        <v>2090</v>
      </c>
      <c r="E256" s="114">
        <v>122</v>
      </c>
      <c r="F256" s="114">
        <v>386</v>
      </c>
      <c r="G256" s="114">
        <v>1</v>
      </c>
      <c r="H256" s="114">
        <v>2700</v>
      </c>
      <c r="I256" s="114">
        <v>2700</v>
      </c>
      <c r="J256" s="114">
        <v>2269</v>
      </c>
      <c r="K256" s="114">
        <v>431</v>
      </c>
      <c r="L256" s="114" t="str">
        <f t="shared" si="3"/>
        <v>INSERT INTO DETALLES_DOCUMENTO(NRO_DOCUMENTO,ID_TIPO,ID_PRODUCTO,CANTIDAD,PRECIO,VALOR_BRUTO,VALOR_NETO,VALOR_IVA) VALUES(101,1,386,1,2700,2700,2269,431);</v>
      </c>
    </row>
    <row r="257" spans="1:12">
      <c r="A257" s="114">
        <v>1</v>
      </c>
      <c r="B257" s="114">
        <v>101</v>
      </c>
      <c r="C257" s="139" t="s">
        <v>2184</v>
      </c>
      <c r="D257" s="114" t="s">
        <v>2090</v>
      </c>
      <c r="E257" s="114">
        <v>122</v>
      </c>
      <c r="F257" s="114">
        <v>24</v>
      </c>
      <c r="G257" s="114">
        <v>1</v>
      </c>
      <c r="H257" s="114">
        <v>1650</v>
      </c>
      <c r="I257" s="114">
        <v>1650</v>
      </c>
      <c r="J257" s="114">
        <v>1387</v>
      </c>
      <c r="K257" s="114">
        <v>263</v>
      </c>
      <c r="L257" s="114" t="str">
        <f t="shared" si="3"/>
        <v>INSERT INTO DETALLES_DOCUMENTO(NRO_DOCUMENTO,ID_TIPO,ID_PRODUCTO,CANTIDAD,PRECIO,VALOR_BRUTO,VALOR_NETO,VALOR_IVA) VALUES(101,1,24,1,1650,1650,1387,263);</v>
      </c>
    </row>
    <row r="258" spans="1:12">
      <c r="A258" s="114">
        <v>1</v>
      </c>
      <c r="B258" s="114">
        <v>102</v>
      </c>
      <c r="C258" s="139" t="s">
        <v>2184</v>
      </c>
      <c r="D258" s="114" t="s">
        <v>2090</v>
      </c>
      <c r="E258" s="114">
        <v>276</v>
      </c>
      <c r="F258" s="114">
        <v>324</v>
      </c>
      <c r="G258" s="114">
        <v>1</v>
      </c>
      <c r="H258" s="114">
        <v>10500</v>
      </c>
      <c r="I258" s="114">
        <v>10500</v>
      </c>
      <c r="J258" s="114">
        <v>8824</v>
      </c>
      <c r="K258" s="114">
        <v>1676</v>
      </c>
      <c r="L258" s="114" t="str">
        <f t="shared" si="3"/>
        <v>INSERT INTO DETALLES_DOCUMENTO(NRO_DOCUMENTO,ID_TIPO,ID_PRODUCTO,CANTIDAD,PRECIO,VALOR_BRUTO,VALOR_NETO,VALOR_IVA) VALUES(102,1,324,1,10500,10500,8824,1676);</v>
      </c>
    </row>
    <row r="259" spans="1:12">
      <c r="A259" s="114">
        <v>1</v>
      </c>
      <c r="B259" s="114">
        <v>103</v>
      </c>
      <c r="C259" s="139" t="s">
        <v>2184</v>
      </c>
      <c r="D259" s="114" t="s">
        <v>2090</v>
      </c>
      <c r="E259" s="114">
        <v>353</v>
      </c>
      <c r="F259" s="114">
        <v>135</v>
      </c>
      <c r="G259" s="114">
        <v>3</v>
      </c>
      <c r="H259" s="114">
        <v>3000</v>
      </c>
      <c r="I259" s="114">
        <v>9000</v>
      </c>
      <c r="J259" s="114">
        <v>7563</v>
      </c>
      <c r="K259" s="114">
        <v>1437</v>
      </c>
      <c r="L259" s="114" t="str">
        <f t="shared" ref="L259:L322" si="4">CONCATENATE("INSERT INTO DETALLES_DOCUMENTO(NRO_DOCUMENTO,ID_TIPO,ID_PRODUCTO,CANTIDAD,PRECIO,VALOR_BRUTO,VALOR_NETO,VALOR_IVA) VALUES(",B259,",",A259,",",F259,",",G259,",",H259,",",I259,",",J259,",",K259,");")</f>
        <v>INSERT INTO DETALLES_DOCUMENTO(NRO_DOCUMENTO,ID_TIPO,ID_PRODUCTO,CANTIDAD,PRECIO,VALOR_BRUTO,VALOR_NETO,VALOR_IVA) VALUES(103,1,135,3,3000,9000,7563,1437);</v>
      </c>
    </row>
    <row r="260" spans="1:12">
      <c r="A260" s="114">
        <v>1</v>
      </c>
      <c r="B260" s="114">
        <v>104</v>
      </c>
      <c r="C260" s="139" t="s">
        <v>2185</v>
      </c>
      <c r="D260" s="114" t="s">
        <v>2090</v>
      </c>
      <c r="E260" s="114">
        <v>54</v>
      </c>
      <c r="F260" s="114">
        <v>67</v>
      </c>
      <c r="G260" s="114">
        <v>1</v>
      </c>
      <c r="H260" s="114">
        <v>650</v>
      </c>
      <c r="I260" s="114">
        <v>650</v>
      </c>
      <c r="J260" s="114">
        <v>546</v>
      </c>
      <c r="K260" s="114">
        <v>104</v>
      </c>
      <c r="L260" s="114" t="str">
        <f t="shared" si="4"/>
        <v>INSERT INTO DETALLES_DOCUMENTO(NRO_DOCUMENTO,ID_TIPO,ID_PRODUCTO,CANTIDAD,PRECIO,VALOR_BRUTO,VALOR_NETO,VALOR_IVA) VALUES(104,1,67,1,650,650,546,104);</v>
      </c>
    </row>
    <row r="261" spans="1:12">
      <c r="A261" s="114">
        <v>1</v>
      </c>
      <c r="B261" s="114">
        <v>104</v>
      </c>
      <c r="C261" s="139" t="s">
        <v>2185</v>
      </c>
      <c r="D261" s="114" t="s">
        <v>2090</v>
      </c>
      <c r="E261" s="114">
        <v>54</v>
      </c>
      <c r="F261" s="114">
        <v>155</v>
      </c>
      <c r="G261" s="114">
        <v>1</v>
      </c>
      <c r="H261" s="114">
        <v>1650</v>
      </c>
      <c r="I261" s="114">
        <v>1650</v>
      </c>
      <c r="J261" s="114">
        <v>1387</v>
      </c>
      <c r="K261" s="114">
        <v>263</v>
      </c>
      <c r="L261" s="114" t="str">
        <f t="shared" si="4"/>
        <v>INSERT INTO DETALLES_DOCUMENTO(NRO_DOCUMENTO,ID_TIPO,ID_PRODUCTO,CANTIDAD,PRECIO,VALOR_BRUTO,VALOR_NETO,VALOR_IVA) VALUES(104,1,155,1,1650,1650,1387,263);</v>
      </c>
    </row>
    <row r="262" spans="1:12">
      <c r="A262" s="114">
        <v>1</v>
      </c>
      <c r="B262" s="114">
        <v>104</v>
      </c>
      <c r="C262" s="139" t="s">
        <v>2185</v>
      </c>
      <c r="D262" s="114" t="s">
        <v>2090</v>
      </c>
      <c r="E262" s="114">
        <v>54</v>
      </c>
      <c r="F262" s="114">
        <v>99</v>
      </c>
      <c r="G262" s="114">
        <v>1</v>
      </c>
      <c r="H262" s="114">
        <v>1500</v>
      </c>
      <c r="I262" s="114">
        <v>1500</v>
      </c>
      <c r="J262" s="114">
        <v>1261</v>
      </c>
      <c r="K262" s="114">
        <v>239</v>
      </c>
      <c r="L262" s="114" t="str">
        <f t="shared" si="4"/>
        <v>INSERT INTO DETALLES_DOCUMENTO(NRO_DOCUMENTO,ID_TIPO,ID_PRODUCTO,CANTIDAD,PRECIO,VALOR_BRUTO,VALOR_NETO,VALOR_IVA) VALUES(104,1,99,1,1500,1500,1261,239);</v>
      </c>
    </row>
    <row r="263" spans="1:12">
      <c r="A263" s="114">
        <v>1</v>
      </c>
      <c r="B263" s="114">
        <v>104</v>
      </c>
      <c r="C263" s="139" t="s">
        <v>2185</v>
      </c>
      <c r="D263" s="114" t="s">
        <v>2090</v>
      </c>
      <c r="E263" s="114">
        <v>54</v>
      </c>
      <c r="F263" s="114">
        <v>387</v>
      </c>
      <c r="G263" s="114">
        <v>1</v>
      </c>
      <c r="H263" s="114">
        <v>1500</v>
      </c>
      <c r="I263" s="114">
        <v>1500</v>
      </c>
      <c r="J263" s="114">
        <v>1261</v>
      </c>
      <c r="K263" s="114">
        <v>239</v>
      </c>
      <c r="L263" s="114" t="str">
        <f t="shared" si="4"/>
        <v>INSERT INTO DETALLES_DOCUMENTO(NRO_DOCUMENTO,ID_TIPO,ID_PRODUCTO,CANTIDAD,PRECIO,VALOR_BRUTO,VALOR_NETO,VALOR_IVA) VALUES(104,1,387,1,1500,1500,1261,239);</v>
      </c>
    </row>
    <row r="264" spans="1:12">
      <c r="A264" s="114">
        <v>1</v>
      </c>
      <c r="B264" s="114">
        <v>105</v>
      </c>
      <c r="C264" s="139" t="s">
        <v>2185</v>
      </c>
      <c r="D264" s="114" t="s">
        <v>2090</v>
      </c>
      <c r="E264" s="114">
        <v>122</v>
      </c>
      <c r="F264" s="114">
        <v>26</v>
      </c>
      <c r="G264" s="114">
        <v>1</v>
      </c>
      <c r="H264" s="114">
        <v>3400</v>
      </c>
      <c r="I264" s="114">
        <v>3400</v>
      </c>
      <c r="J264" s="114">
        <v>2857</v>
      </c>
      <c r="K264" s="114">
        <v>543</v>
      </c>
      <c r="L264" s="114" t="str">
        <f t="shared" si="4"/>
        <v>INSERT INTO DETALLES_DOCUMENTO(NRO_DOCUMENTO,ID_TIPO,ID_PRODUCTO,CANTIDAD,PRECIO,VALOR_BRUTO,VALOR_NETO,VALOR_IVA) VALUES(105,1,26,1,3400,3400,2857,543);</v>
      </c>
    </row>
    <row r="265" spans="1:12">
      <c r="A265" s="114">
        <v>1</v>
      </c>
      <c r="B265" s="114">
        <v>106</v>
      </c>
      <c r="C265" s="139" t="s">
        <v>2185</v>
      </c>
      <c r="D265" s="114" t="s">
        <v>2090</v>
      </c>
      <c r="E265" s="114">
        <v>166</v>
      </c>
      <c r="F265" s="114">
        <v>191</v>
      </c>
      <c r="G265" s="114">
        <v>1</v>
      </c>
      <c r="H265" s="114">
        <v>2500</v>
      </c>
      <c r="I265" s="114">
        <v>2500</v>
      </c>
      <c r="J265" s="114">
        <v>2101</v>
      </c>
      <c r="K265" s="114">
        <v>399</v>
      </c>
      <c r="L265" s="114" t="str">
        <f t="shared" si="4"/>
        <v>INSERT INTO DETALLES_DOCUMENTO(NRO_DOCUMENTO,ID_TIPO,ID_PRODUCTO,CANTIDAD,PRECIO,VALOR_BRUTO,VALOR_NETO,VALOR_IVA) VALUES(106,1,191,1,2500,2500,2101,399);</v>
      </c>
    </row>
    <row r="266" spans="1:12">
      <c r="A266" s="114">
        <v>1</v>
      </c>
      <c r="B266" s="114">
        <v>107</v>
      </c>
      <c r="C266" s="139" t="s">
        <v>2185</v>
      </c>
      <c r="D266" s="114" t="s">
        <v>2090</v>
      </c>
      <c r="E266" s="114">
        <v>274</v>
      </c>
      <c r="F266" s="114">
        <v>231</v>
      </c>
      <c r="G266" s="114">
        <v>1</v>
      </c>
      <c r="H266" s="114">
        <v>19990</v>
      </c>
      <c r="I266" s="114">
        <v>19990</v>
      </c>
      <c r="J266" s="114">
        <v>16798</v>
      </c>
      <c r="K266" s="114">
        <v>3192</v>
      </c>
      <c r="L266" s="114" t="str">
        <f t="shared" si="4"/>
        <v>INSERT INTO DETALLES_DOCUMENTO(NRO_DOCUMENTO,ID_TIPO,ID_PRODUCTO,CANTIDAD,PRECIO,VALOR_BRUTO,VALOR_NETO,VALOR_IVA) VALUES(107,1,231,1,19990,19990,16798,3192);</v>
      </c>
    </row>
    <row r="267" spans="1:12">
      <c r="A267" s="114">
        <v>1</v>
      </c>
      <c r="B267" s="114">
        <v>107</v>
      </c>
      <c r="C267" s="139" t="s">
        <v>2185</v>
      </c>
      <c r="D267" s="114" t="s">
        <v>2090</v>
      </c>
      <c r="E267" s="114">
        <v>274</v>
      </c>
      <c r="F267" s="114">
        <v>264</v>
      </c>
      <c r="G267" s="114">
        <v>1</v>
      </c>
      <c r="H267" s="114">
        <v>5000</v>
      </c>
      <c r="I267" s="114">
        <v>5000</v>
      </c>
      <c r="J267" s="114">
        <v>4202</v>
      </c>
      <c r="K267" s="114">
        <v>798</v>
      </c>
      <c r="L267" s="114" t="str">
        <f t="shared" si="4"/>
        <v>INSERT INTO DETALLES_DOCUMENTO(NRO_DOCUMENTO,ID_TIPO,ID_PRODUCTO,CANTIDAD,PRECIO,VALOR_BRUTO,VALOR_NETO,VALOR_IVA) VALUES(107,1,264,1,5000,5000,4202,798);</v>
      </c>
    </row>
    <row r="268" spans="1:12">
      <c r="A268" s="114">
        <v>1</v>
      </c>
      <c r="B268" s="114">
        <v>108</v>
      </c>
      <c r="C268" s="139" t="s">
        <v>2185</v>
      </c>
      <c r="D268" s="114" t="s">
        <v>2090</v>
      </c>
      <c r="E268" s="114">
        <v>407</v>
      </c>
      <c r="F268" s="114">
        <v>143</v>
      </c>
      <c r="G268" s="114">
        <v>1</v>
      </c>
      <c r="H268" s="114">
        <v>6200</v>
      </c>
      <c r="I268" s="114">
        <v>6200</v>
      </c>
      <c r="J268" s="114">
        <v>5210</v>
      </c>
      <c r="K268" s="114">
        <v>990</v>
      </c>
      <c r="L268" s="114" t="str">
        <f t="shared" si="4"/>
        <v>INSERT INTO DETALLES_DOCUMENTO(NRO_DOCUMENTO,ID_TIPO,ID_PRODUCTO,CANTIDAD,PRECIO,VALOR_BRUTO,VALOR_NETO,VALOR_IVA) VALUES(108,1,143,1,6200,6200,5210,990);</v>
      </c>
    </row>
    <row r="269" spans="1:12">
      <c r="A269" s="114">
        <v>1</v>
      </c>
      <c r="B269" s="114">
        <v>109</v>
      </c>
      <c r="C269" s="139" t="s">
        <v>2185</v>
      </c>
      <c r="D269" s="114" t="s">
        <v>2090</v>
      </c>
      <c r="E269" s="114">
        <v>411</v>
      </c>
      <c r="F269" s="114">
        <v>191</v>
      </c>
      <c r="G269" s="114">
        <v>2</v>
      </c>
      <c r="H269" s="114">
        <v>5000</v>
      </c>
      <c r="I269" s="114">
        <v>10000</v>
      </c>
      <c r="J269" s="114">
        <v>8403</v>
      </c>
      <c r="K269" s="114">
        <v>1597</v>
      </c>
      <c r="L269" s="114" t="str">
        <f t="shared" si="4"/>
        <v>INSERT INTO DETALLES_DOCUMENTO(NRO_DOCUMENTO,ID_TIPO,ID_PRODUCTO,CANTIDAD,PRECIO,VALOR_BRUTO,VALOR_NETO,VALOR_IVA) VALUES(109,1,191,2,5000,10000,8403,1597);</v>
      </c>
    </row>
    <row r="270" spans="1:12">
      <c r="A270" s="114">
        <v>1</v>
      </c>
      <c r="B270" s="114">
        <v>109</v>
      </c>
      <c r="C270" s="139" t="s">
        <v>2185</v>
      </c>
      <c r="D270" s="114" t="s">
        <v>2090</v>
      </c>
      <c r="E270" s="114">
        <v>411</v>
      </c>
      <c r="F270" s="114">
        <v>329</v>
      </c>
      <c r="G270" s="114">
        <v>1</v>
      </c>
      <c r="H270" s="114">
        <v>5500</v>
      </c>
      <c r="I270" s="114">
        <v>5500</v>
      </c>
      <c r="J270" s="114">
        <v>4622</v>
      </c>
      <c r="K270" s="114">
        <v>878</v>
      </c>
      <c r="L270" s="114" t="str">
        <f t="shared" si="4"/>
        <v>INSERT INTO DETALLES_DOCUMENTO(NRO_DOCUMENTO,ID_TIPO,ID_PRODUCTO,CANTIDAD,PRECIO,VALOR_BRUTO,VALOR_NETO,VALOR_IVA) VALUES(109,1,329,1,5500,5500,4622,878);</v>
      </c>
    </row>
    <row r="271" spans="1:12">
      <c r="A271" s="114">
        <v>1</v>
      </c>
      <c r="B271" s="114">
        <v>109</v>
      </c>
      <c r="C271" s="139" t="s">
        <v>2185</v>
      </c>
      <c r="D271" s="114" t="s">
        <v>2090</v>
      </c>
      <c r="E271" s="114">
        <v>411</v>
      </c>
      <c r="F271" s="114">
        <v>368</v>
      </c>
      <c r="G271" s="114">
        <v>1</v>
      </c>
      <c r="H271" s="114">
        <v>3000</v>
      </c>
      <c r="I271" s="114">
        <v>3000</v>
      </c>
      <c r="J271" s="114">
        <v>2521</v>
      </c>
      <c r="K271" s="114">
        <v>479</v>
      </c>
      <c r="L271" s="114" t="str">
        <f t="shared" si="4"/>
        <v>INSERT INTO DETALLES_DOCUMENTO(NRO_DOCUMENTO,ID_TIPO,ID_PRODUCTO,CANTIDAD,PRECIO,VALOR_BRUTO,VALOR_NETO,VALOR_IVA) VALUES(109,1,368,1,3000,3000,2521,479);</v>
      </c>
    </row>
    <row r="272" spans="1:12">
      <c r="A272" s="114">
        <v>1</v>
      </c>
      <c r="B272" s="114">
        <v>110</v>
      </c>
      <c r="C272" s="139" t="s">
        <v>2185</v>
      </c>
      <c r="D272" s="114" t="s">
        <v>2090</v>
      </c>
      <c r="E272" s="114">
        <v>457</v>
      </c>
      <c r="F272" s="114">
        <v>143</v>
      </c>
      <c r="G272" s="114">
        <v>1</v>
      </c>
      <c r="H272" s="114">
        <v>6200</v>
      </c>
      <c r="I272" s="114">
        <v>6200</v>
      </c>
      <c r="J272" s="114">
        <v>5210</v>
      </c>
      <c r="K272" s="114">
        <v>990</v>
      </c>
      <c r="L272" s="114" t="str">
        <f t="shared" si="4"/>
        <v>INSERT INTO DETALLES_DOCUMENTO(NRO_DOCUMENTO,ID_TIPO,ID_PRODUCTO,CANTIDAD,PRECIO,VALOR_BRUTO,VALOR_NETO,VALOR_IVA) VALUES(110,1,143,1,6200,6200,5210,990);</v>
      </c>
    </row>
    <row r="273" spans="1:12">
      <c r="A273" s="114">
        <v>1</v>
      </c>
      <c r="B273" s="114">
        <v>111</v>
      </c>
      <c r="C273" s="139" t="s">
        <v>2186</v>
      </c>
      <c r="D273" s="114" t="s">
        <v>2090</v>
      </c>
      <c r="E273" s="114">
        <v>65</v>
      </c>
      <c r="F273" s="114">
        <v>143</v>
      </c>
      <c r="G273" s="114">
        <v>1</v>
      </c>
      <c r="H273" s="114">
        <v>6200</v>
      </c>
      <c r="I273" s="114">
        <v>6200</v>
      </c>
      <c r="J273" s="114">
        <v>5210</v>
      </c>
      <c r="K273" s="114">
        <v>990</v>
      </c>
      <c r="L273" s="114" t="str">
        <f t="shared" si="4"/>
        <v>INSERT INTO DETALLES_DOCUMENTO(NRO_DOCUMENTO,ID_TIPO,ID_PRODUCTO,CANTIDAD,PRECIO,VALOR_BRUTO,VALOR_NETO,VALOR_IVA) VALUES(111,1,143,1,6200,6200,5210,990);</v>
      </c>
    </row>
    <row r="274" spans="1:12">
      <c r="A274" s="114">
        <v>1</v>
      </c>
      <c r="B274" s="114">
        <v>112</v>
      </c>
      <c r="C274" s="139" t="s">
        <v>2186</v>
      </c>
      <c r="D274" s="114" t="s">
        <v>2090</v>
      </c>
      <c r="E274" s="114">
        <v>251</v>
      </c>
      <c r="F274" s="114">
        <v>144</v>
      </c>
      <c r="G274" s="114">
        <v>1</v>
      </c>
      <c r="H274" s="114">
        <v>6000</v>
      </c>
      <c r="I274" s="114">
        <v>6000</v>
      </c>
      <c r="J274" s="114">
        <v>5042</v>
      </c>
      <c r="K274" s="114">
        <v>958</v>
      </c>
      <c r="L274" s="114" t="str">
        <f t="shared" si="4"/>
        <v>INSERT INTO DETALLES_DOCUMENTO(NRO_DOCUMENTO,ID_TIPO,ID_PRODUCTO,CANTIDAD,PRECIO,VALOR_BRUTO,VALOR_NETO,VALOR_IVA) VALUES(112,1,144,1,6000,6000,5042,958);</v>
      </c>
    </row>
    <row r="275" spans="1:12">
      <c r="A275" s="114">
        <v>1</v>
      </c>
      <c r="B275" s="114">
        <v>113</v>
      </c>
      <c r="C275" s="139" t="s">
        <v>2186</v>
      </c>
      <c r="D275" s="114" t="s">
        <v>2090</v>
      </c>
      <c r="E275" s="114">
        <v>389</v>
      </c>
      <c r="F275" s="114">
        <v>230</v>
      </c>
      <c r="G275" s="114">
        <v>1</v>
      </c>
      <c r="H275" s="114">
        <v>15500</v>
      </c>
      <c r="I275" s="114">
        <v>15500</v>
      </c>
      <c r="J275" s="114">
        <v>13025</v>
      </c>
      <c r="K275" s="114">
        <v>2475</v>
      </c>
      <c r="L275" s="114" t="str">
        <f t="shared" si="4"/>
        <v>INSERT INTO DETALLES_DOCUMENTO(NRO_DOCUMENTO,ID_TIPO,ID_PRODUCTO,CANTIDAD,PRECIO,VALOR_BRUTO,VALOR_NETO,VALOR_IVA) VALUES(113,1,230,1,15500,15500,13025,2475);</v>
      </c>
    </row>
    <row r="276" spans="1:12">
      <c r="A276" s="114">
        <v>1</v>
      </c>
      <c r="B276" s="114">
        <v>113</v>
      </c>
      <c r="C276" s="139" t="s">
        <v>2186</v>
      </c>
      <c r="D276" s="114" t="s">
        <v>2090</v>
      </c>
      <c r="E276" s="114">
        <v>389</v>
      </c>
      <c r="F276" s="114">
        <v>332</v>
      </c>
      <c r="G276" s="114">
        <v>1</v>
      </c>
      <c r="H276" s="114">
        <v>2600</v>
      </c>
      <c r="I276" s="114">
        <v>2600</v>
      </c>
      <c r="J276" s="114">
        <v>2185</v>
      </c>
      <c r="K276" s="114">
        <v>415</v>
      </c>
      <c r="L276" s="114" t="str">
        <f t="shared" si="4"/>
        <v>INSERT INTO DETALLES_DOCUMENTO(NRO_DOCUMENTO,ID_TIPO,ID_PRODUCTO,CANTIDAD,PRECIO,VALOR_BRUTO,VALOR_NETO,VALOR_IVA) VALUES(113,1,332,1,2600,2600,2185,415);</v>
      </c>
    </row>
    <row r="277" spans="1:12">
      <c r="A277" s="114">
        <v>1</v>
      </c>
      <c r="B277" s="114">
        <v>114</v>
      </c>
      <c r="C277" s="139" t="s">
        <v>2186</v>
      </c>
      <c r="D277" s="114" t="s">
        <v>2090</v>
      </c>
      <c r="E277" s="114">
        <v>393</v>
      </c>
      <c r="F277" s="114">
        <v>98</v>
      </c>
      <c r="G277" s="114">
        <v>1</v>
      </c>
      <c r="H277" s="114">
        <v>3500</v>
      </c>
      <c r="I277" s="114">
        <v>3500</v>
      </c>
      <c r="J277" s="114">
        <v>2941</v>
      </c>
      <c r="K277" s="114">
        <v>559</v>
      </c>
      <c r="L277" s="114" t="str">
        <f t="shared" si="4"/>
        <v>INSERT INTO DETALLES_DOCUMENTO(NRO_DOCUMENTO,ID_TIPO,ID_PRODUCTO,CANTIDAD,PRECIO,VALOR_BRUTO,VALOR_NETO,VALOR_IVA) VALUES(114,1,98,1,3500,3500,2941,559);</v>
      </c>
    </row>
    <row r="278" spans="1:12">
      <c r="A278" s="114">
        <v>1</v>
      </c>
      <c r="B278" s="114">
        <v>114</v>
      </c>
      <c r="C278" s="139" t="s">
        <v>2186</v>
      </c>
      <c r="D278" s="114" t="s">
        <v>2090</v>
      </c>
      <c r="E278" s="114">
        <v>393</v>
      </c>
      <c r="F278" s="114">
        <v>382</v>
      </c>
      <c r="G278" s="114">
        <v>1</v>
      </c>
      <c r="H278" s="114">
        <v>2600</v>
      </c>
      <c r="I278" s="114">
        <v>2600</v>
      </c>
      <c r="J278" s="114">
        <v>2185</v>
      </c>
      <c r="K278" s="114">
        <v>415</v>
      </c>
      <c r="L278" s="114" t="str">
        <f t="shared" si="4"/>
        <v>INSERT INTO DETALLES_DOCUMENTO(NRO_DOCUMENTO,ID_TIPO,ID_PRODUCTO,CANTIDAD,PRECIO,VALOR_BRUTO,VALOR_NETO,VALOR_IVA) VALUES(114,1,382,1,2600,2600,2185,415);</v>
      </c>
    </row>
    <row r="279" spans="1:12">
      <c r="A279" s="114">
        <v>1</v>
      </c>
      <c r="B279" s="114">
        <v>115</v>
      </c>
      <c r="C279" s="139" t="s">
        <v>2186</v>
      </c>
      <c r="D279" s="114" t="s">
        <v>2090</v>
      </c>
      <c r="E279" s="114">
        <v>446</v>
      </c>
      <c r="F279" s="114">
        <v>117</v>
      </c>
      <c r="G279" s="114">
        <v>1</v>
      </c>
      <c r="H279" s="114">
        <v>3500</v>
      </c>
      <c r="I279" s="114">
        <v>3500</v>
      </c>
      <c r="J279" s="114">
        <v>2941</v>
      </c>
      <c r="K279" s="114">
        <v>559</v>
      </c>
      <c r="L279" s="114" t="str">
        <f t="shared" si="4"/>
        <v>INSERT INTO DETALLES_DOCUMENTO(NRO_DOCUMENTO,ID_TIPO,ID_PRODUCTO,CANTIDAD,PRECIO,VALOR_BRUTO,VALOR_NETO,VALOR_IVA) VALUES(115,1,117,1,3500,3500,2941,559);</v>
      </c>
    </row>
    <row r="280" spans="1:12">
      <c r="A280" s="114">
        <v>1</v>
      </c>
      <c r="B280" s="114">
        <v>115</v>
      </c>
      <c r="C280" s="139" t="s">
        <v>2186</v>
      </c>
      <c r="D280" s="114" t="s">
        <v>2090</v>
      </c>
      <c r="E280" s="114">
        <v>446</v>
      </c>
      <c r="F280" s="114">
        <v>368</v>
      </c>
      <c r="G280" s="114">
        <v>1</v>
      </c>
      <c r="H280" s="114">
        <v>3000</v>
      </c>
      <c r="I280" s="114">
        <v>3000</v>
      </c>
      <c r="J280" s="114">
        <v>2521</v>
      </c>
      <c r="K280" s="114">
        <v>479</v>
      </c>
      <c r="L280" s="114" t="str">
        <f t="shared" si="4"/>
        <v>INSERT INTO DETALLES_DOCUMENTO(NRO_DOCUMENTO,ID_TIPO,ID_PRODUCTO,CANTIDAD,PRECIO,VALOR_BRUTO,VALOR_NETO,VALOR_IVA) VALUES(115,1,368,1,3000,3000,2521,479);</v>
      </c>
    </row>
    <row r="281" spans="1:12">
      <c r="A281" s="114">
        <v>1</v>
      </c>
      <c r="B281" s="114">
        <v>115</v>
      </c>
      <c r="C281" s="139" t="s">
        <v>2186</v>
      </c>
      <c r="D281" s="114" t="s">
        <v>2090</v>
      </c>
      <c r="E281" s="114">
        <v>446</v>
      </c>
      <c r="F281" s="114">
        <v>69</v>
      </c>
      <c r="G281" s="114">
        <v>1</v>
      </c>
      <c r="H281" s="114">
        <v>3000</v>
      </c>
      <c r="I281" s="114">
        <v>3000</v>
      </c>
      <c r="J281" s="114">
        <v>2521</v>
      </c>
      <c r="K281" s="114">
        <v>479</v>
      </c>
      <c r="L281" s="114" t="str">
        <f t="shared" si="4"/>
        <v>INSERT INTO DETALLES_DOCUMENTO(NRO_DOCUMENTO,ID_TIPO,ID_PRODUCTO,CANTIDAD,PRECIO,VALOR_BRUTO,VALOR_NETO,VALOR_IVA) VALUES(115,1,69,1,3000,3000,2521,479);</v>
      </c>
    </row>
    <row r="282" spans="1:12">
      <c r="A282" s="114">
        <v>1</v>
      </c>
      <c r="B282" s="114">
        <v>116</v>
      </c>
      <c r="C282" s="139" t="s">
        <v>2187</v>
      </c>
      <c r="D282" s="114" t="s">
        <v>2090</v>
      </c>
      <c r="E282" s="114">
        <v>110</v>
      </c>
      <c r="F282" s="114">
        <v>118</v>
      </c>
      <c r="G282" s="114">
        <v>1</v>
      </c>
      <c r="H282" s="114">
        <v>3500</v>
      </c>
      <c r="I282" s="114">
        <v>3500</v>
      </c>
      <c r="J282" s="114">
        <v>2941</v>
      </c>
      <c r="K282" s="114">
        <v>559</v>
      </c>
      <c r="L282" s="114" t="str">
        <f t="shared" si="4"/>
        <v>INSERT INTO DETALLES_DOCUMENTO(NRO_DOCUMENTO,ID_TIPO,ID_PRODUCTO,CANTIDAD,PRECIO,VALOR_BRUTO,VALOR_NETO,VALOR_IVA) VALUES(116,1,118,1,3500,3500,2941,559);</v>
      </c>
    </row>
    <row r="283" spans="1:12">
      <c r="A283" s="114">
        <v>1</v>
      </c>
      <c r="B283" s="114">
        <v>116</v>
      </c>
      <c r="C283" s="139" t="s">
        <v>2187</v>
      </c>
      <c r="D283" s="114" t="s">
        <v>2090</v>
      </c>
      <c r="E283" s="114">
        <v>110</v>
      </c>
      <c r="F283" s="114">
        <v>233</v>
      </c>
      <c r="G283" s="114">
        <v>1</v>
      </c>
      <c r="H283" s="114">
        <v>15990</v>
      </c>
      <c r="I283" s="114">
        <v>15990</v>
      </c>
      <c r="J283" s="114">
        <v>13437</v>
      </c>
      <c r="K283" s="114">
        <v>2553</v>
      </c>
      <c r="L283" s="114" t="str">
        <f t="shared" si="4"/>
        <v>INSERT INTO DETALLES_DOCUMENTO(NRO_DOCUMENTO,ID_TIPO,ID_PRODUCTO,CANTIDAD,PRECIO,VALOR_BRUTO,VALOR_NETO,VALOR_IVA) VALUES(116,1,233,1,15990,15990,13437,2553);</v>
      </c>
    </row>
    <row r="284" spans="1:12">
      <c r="A284" s="114">
        <v>1</v>
      </c>
      <c r="B284" s="114">
        <v>117</v>
      </c>
      <c r="C284" s="139" t="s">
        <v>2187</v>
      </c>
      <c r="D284" s="114" t="s">
        <v>2090</v>
      </c>
      <c r="E284" s="114">
        <v>166</v>
      </c>
      <c r="F284" s="114">
        <v>117</v>
      </c>
      <c r="G284" s="114">
        <v>1</v>
      </c>
      <c r="H284" s="114">
        <v>3500</v>
      </c>
      <c r="I284" s="114">
        <v>3500</v>
      </c>
      <c r="J284" s="114">
        <v>2941</v>
      </c>
      <c r="K284" s="114">
        <v>559</v>
      </c>
      <c r="L284" s="114" t="str">
        <f t="shared" si="4"/>
        <v>INSERT INTO DETALLES_DOCUMENTO(NRO_DOCUMENTO,ID_TIPO,ID_PRODUCTO,CANTIDAD,PRECIO,VALOR_BRUTO,VALOR_NETO,VALOR_IVA) VALUES(117,1,117,1,3500,3500,2941,559);</v>
      </c>
    </row>
    <row r="285" spans="1:12">
      <c r="A285" s="114">
        <v>1</v>
      </c>
      <c r="B285" s="114">
        <v>118</v>
      </c>
      <c r="C285" s="139" t="s">
        <v>2188</v>
      </c>
      <c r="D285" s="114" t="s">
        <v>2090</v>
      </c>
      <c r="E285" s="114">
        <v>76</v>
      </c>
      <c r="F285" s="114">
        <v>324</v>
      </c>
      <c r="G285" s="114">
        <v>1</v>
      </c>
      <c r="H285" s="114">
        <v>10500</v>
      </c>
      <c r="I285" s="114">
        <v>10500</v>
      </c>
      <c r="J285" s="114">
        <v>8824</v>
      </c>
      <c r="K285" s="114">
        <v>1676</v>
      </c>
      <c r="L285" s="114" t="str">
        <f t="shared" si="4"/>
        <v>INSERT INTO DETALLES_DOCUMENTO(NRO_DOCUMENTO,ID_TIPO,ID_PRODUCTO,CANTIDAD,PRECIO,VALOR_BRUTO,VALOR_NETO,VALOR_IVA) VALUES(118,1,324,1,10500,10500,8824,1676);</v>
      </c>
    </row>
    <row r="286" spans="1:12">
      <c r="A286" s="114">
        <v>1</v>
      </c>
      <c r="B286" s="114">
        <v>119</v>
      </c>
      <c r="C286" s="139" t="s">
        <v>2188</v>
      </c>
      <c r="D286" s="114" t="s">
        <v>2090</v>
      </c>
      <c r="E286" s="114">
        <v>300</v>
      </c>
      <c r="F286" s="114">
        <v>144</v>
      </c>
      <c r="G286" s="114">
        <v>1</v>
      </c>
      <c r="H286" s="114">
        <v>6000</v>
      </c>
      <c r="I286" s="114">
        <v>6000</v>
      </c>
      <c r="J286" s="114">
        <v>5042</v>
      </c>
      <c r="K286" s="114">
        <v>958</v>
      </c>
      <c r="L286" s="114" t="str">
        <f t="shared" si="4"/>
        <v>INSERT INTO DETALLES_DOCUMENTO(NRO_DOCUMENTO,ID_TIPO,ID_PRODUCTO,CANTIDAD,PRECIO,VALOR_BRUTO,VALOR_NETO,VALOR_IVA) VALUES(119,1,144,1,6000,6000,5042,958);</v>
      </c>
    </row>
    <row r="287" spans="1:12">
      <c r="A287" s="114">
        <v>1</v>
      </c>
      <c r="B287" s="114">
        <v>119</v>
      </c>
      <c r="C287" s="139" t="s">
        <v>2188</v>
      </c>
      <c r="D287" s="114" t="s">
        <v>2090</v>
      </c>
      <c r="E287" s="114">
        <v>300</v>
      </c>
      <c r="F287" s="114">
        <v>329</v>
      </c>
      <c r="G287" s="114">
        <v>1</v>
      </c>
      <c r="H287" s="114">
        <v>5500</v>
      </c>
      <c r="I287" s="114">
        <v>5500</v>
      </c>
      <c r="J287" s="114">
        <v>4622</v>
      </c>
      <c r="K287" s="114">
        <v>878</v>
      </c>
      <c r="L287" s="114" t="str">
        <f t="shared" si="4"/>
        <v>INSERT INTO DETALLES_DOCUMENTO(NRO_DOCUMENTO,ID_TIPO,ID_PRODUCTO,CANTIDAD,PRECIO,VALOR_BRUTO,VALOR_NETO,VALOR_IVA) VALUES(119,1,329,1,5500,5500,4622,878);</v>
      </c>
    </row>
    <row r="288" spans="1:12">
      <c r="A288" s="114">
        <v>1</v>
      </c>
      <c r="B288" s="114">
        <v>119</v>
      </c>
      <c r="C288" s="139" t="s">
        <v>2188</v>
      </c>
      <c r="D288" s="114" t="s">
        <v>2090</v>
      </c>
      <c r="E288" s="114">
        <v>300</v>
      </c>
      <c r="F288" s="114">
        <v>354</v>
      </c>
      <c r="G288" s="114">
        <v>1</v>
      </c>
      <c r="H288" s="114">
        <v>1800</v>
      </c>
      <c r="I288" s="114">
        <v>1800</v>
      </c>
      <c r="J288" s="114">
        <v>1513</v>
      </c>
      <c r="K288" s="114">
        <v>287</v>
      </c>
      <c r="L288" s="114" t="str">
        <f t="shared" si="4"/>
        <v>INSERT INTO DETALLES_DOCUMENTO(NRO_DOCUMENTO,ID_TIPO,ID_PRODUCTO,CANTIDAD,PRECIO,VALOR_BRUTO,VALOR_NETO,VALOR_IVA) VALUES(119,1,354,1,1800,1800,1513,287);</v>
      </c>
    </row>
    <row r="289" spans="1:12">
      <c r="A289" s="114">
        <v>1</v>
      </c>
      <c r="B289" s="114">
        <v>119</v>
      </c>
      <c r="C289" s="139" t="s">
        <v>2188</v>
      </c>
      <c r="D289" s="114" t="s">
        <v>2090</v>
      </c>
      <c r="E289" s="114">
        <v>300</v>
      </c>
      <c r="F289" s="114">
        <v>68</v>
      </c>
      <c r="G289" s="114">
        <v>2</v>
      </c>
      <c r="H289" s="114">
        <v>2200</v>
      </c>
      <c r="I289" s="114">
        <v>4400</v>
      </c>
      <c r="J289" s="114">
        <v>3697</v>
      </c>
      <c r="K289" s="114">
        <v>703</v>
      </c>
      <c r="L289" s="114" t="str">
        <f t="shared" si="4"/>
        <v>INSERT INTO DETALLES_DOCUMENTO(NRO_DOCUMENTO,ID_TIPO,ID_PRODUCTO,CANTIDAD,PRECIO,VALOR_BRUTO,VALOR_NETO,VALOR_IVA) VALUES(119,1,68,2,2200,4400,3697,703);</v>
      </c>
    </row>
    <row r="290" spans="1:12">
      <c r="A290" s="114">
        <v>1</v>
      </c>
      <c r="B290" s="114">
        <v>120</v>
      </c>
      <c r="C290" s="139" t="s">
        <v>2189</v>
      </c>
      <c r="D290" s="114" t="s">
        <v>2090</v>
      </c>
      <c r="E290" s="114">
        <v>122</v>
      </c>
      <c r="F290" s="114">
        <v>144</v>
      </c>
      <c r="G290" s="114">
        <v>1</v>
      </c>
      <c r="H290" s="114">
        <v>6000</v>
      </c>
      <c r="I290" s="114">
        <v>6000</v>
      </c>
      <c r="J290" s="114">
        <v>5042</v>
      </c>
      <c r="K290" s="114">
        <v>958</v>
      </c>
      <c r="L290" s="114" t="str">
        <f t="shared" si="4"/>
        <v>INSERT INTO DETALLES_DOCUMENTO(NRO_DOCUMENTO,ID_TIPO,ID_PRODUCTO,CANTIDAD,PRECIO,VALOR_BRUTO,VALOR_NETO,VALOR_IVA) VALUES(120,1,144,1,6000,6000,5042,958);</v>
      </c>
    </row>
    <row r="291" spans="1:12">
      <c r="A291" s="114">
        <v>1</v>
      </c>
      <c r="B291" s="114">
        <v>121</v>
      </c>
      <c r="C291" s="139" t="s">
        <v>2189</v>
      </c>
      <c r="D291" s="114" t="s">
        <v>2090</v>
      </c>
      <c r="E291" s="114">
        <v>166</v>
      </c>
      <c r="F291" s="114">
        <v>6</v>
      </c>
      <c r="G291" s="114">
        <v>2</v>
      </c>
      <c r="H291" s="114">
        <v>16400</v>
      </c>
      <c r="I291" s="114">
        <v>32800</v>
      </c>
      <c r="J291" s="114">
        <v>27563</v>
      </c>
      <c r="K291" s="114">
        <v>5237</v>
      </c>
      <c r="L291" s="114" t="str">
        <f t="shared" si="4"/>
        <v>INSERT INTO DETALLES_DOCUMENTO(NRO_DOCUMENTO,ID_TIPO,ID_PRODUCTO,CANTIDAD,PRECIO,VALOR_BRUTO,VALOR_NETO,VALOR_IVA) VALUES(121,1,6,2,16400,32800,27563,5237);</v>
      </c>
    </row>
    <row r="292" spans="1:12">
      <c r="A292" s="114">
        <v>1</v>
      </c>
      <c r="B292" s="114">
        <v>122</v>
      </c>
      <c r="C292" s="139" t="s">
        <v>2189</v>
      </c>
      <c r="D292" s="114" t="s">
        <v>2090</v>
      </c>
      <c r="E292" s="114">
        <v>230</v>
      </c>
      <c r="F292" s="114">
        <v>26</v>
      </c>
      <c r="G292" s="114">
        <v>1</v>
      </c>
      <c r="H292" s="114">
        <v>3400</v>
      </c>
      <c r="I292" s="114">
        <v>3400</v>
      </c>
      <c r="J292" s="114">
        <v>2857</v>
      </c>
      <c r="K292" s="114">
        <v>543</v>
      </c>
      <c r="L292" s="114" t="str">
        <f t="shared" si="4"/>
        <v>INSERT INTO DETALLES_DOCUMENTO(NRO_DOCUMENTO,ID_TIPO,ID_PRODUCTO,CANTIDAD,PRECIO,VALOR_BRUTO,VALOR_NETO,VALOR_IVA) VALUES(122,1,26,1,3400,3400,2857,543);</v>
      </c>
    </row>
    <row r="293" spans="1:12">
      <c r="A293" s="114">
        <v>1</v>
      </c>
      <c r="B293" s="114">
        <v>123</v>
      </c>
      <c r="C293" s="139" t="s">
        <v>2189</v>
      </c>
      <c r="D293" s="114" t="s">
        <v>2090</v>
      </c>
      <c r="E293" s="114">
        <v>374</v>
      </c>
      <c r="F293" s="114">
        <v>144</v>
      </c>
      <c r="G293" s="114">
        <v>1</v>
      </c>
      <c r="H293" s="114">
        <v>6000</v>
      </c>
      <c r="I293" s="114">
        <v>6000</v>
      </c>
      <c r="J293" s="114">
        <v>5042</v>
      </c>
      <c r="K293" s="114">
        <v>958</v>
      </c>
      <c r="L293" s="114" t="str">
        <f t="shared" si="4"/>
        <v>INSERT INTO DETALLES_DOCUMENTO(NRO_DOCUMENTO,ID_TIPO,ID_PRODUCTO,CANTIDAD,PRECIO,VALOR_BRUTO,VALOR_NETO,VALOR_IVA) VALUES(123,1,144,1,6000,6000,5042,958);</v>
      </c>
    </row>
    <row r="294" spans="1:12">
      <c r="A294" s="114">
        <v>1</v>
      </c>
      <c r="B294" s="114">
        <v>124</v>
      </c>
      <c r="C294" s="139" t="s">
        <v>2189</v>
      </c>
      <c r="D294" s="114" t="s">
        <v>2090</v>
      </c>
      <c r="E294" s="114">
        <v>408</v>
      </c>
      <c r="F294" s="114">
        <v>329</v>
      </c>
      <c r="G294" s="114">
        <v>1</v>
      </c>
      <c r="H294" s="114">
        <v>5500</v>
      </c>
      <c r="I294" s="114">
        <v>5500</v>
      </c>
      <c r="J294" s="114">
        <v>4622</v>
      </c>
      <c r="K294" s="114">
        <v>878</v>
      </c>
      <c r="L294" s="114" t="str">
        <f t="shared" si="4"/>
        <v>INSERT INTO DETALLES_DOCUMENTO(NRO_DOCUMENTO,ID_TIPO,ID_PRODUCTO,CANTIDAD,PRECIO,VALOR_BRUTO,VALOR_NETO,VALOR_IVA) VALUES(124,1,329,1,5500,5500,4622,878);</v>
      </c>
    </row>
    <row r="295" spans="1:12">
      <c r="A295" s="114">
        <v>1</v>
      </c>
      <c r="B295" s="114">
        <v>124</v>
      </c>
      <c r="C295" s="139" t="s">
        <v>2189</v>
      </c>
      <c r="D295" s="114" t="s">
        <v>2090</v>
      </c>
      <c r="E295" s="114">
        <v>408</v>
      </c>
      <c r="F295" s="114">
        <v>261</v>
      </c>
      <c r="G295" s="114">
        <v>1</v>
      </c>
      <c r="H295" s="114">
        <v>7000</v>
      </c>
      <c r="I295" s="114">
        <v>7000</v>
      </c>
      <c r="J295" s="114">
        <v>5882</v>
      </c>
      <c r="K295" s="114">
        <v>1118</v>
      </c>
      <c r="L295" s="114" t="str">
        <f t="shared" si="4"/>
        <v>INSERT INTO DETALLES_DOCUMENTO(NRO_DOCUMENTO,ID_TIPO,ID_PRODUCTO,CANTIDAD,PRECIO,VALOR_BRUTO,VALOR_NETO,VALOR_IVA) VALUES(124,1,261,1,7000,7000,5882,1118);</v>
      </c>
    </row>
    <row r="296" spans="1:12">
      <c r="A296" s="114">
        <v>1</v>
      </c>
      <c r="B296" s="114">
        <v>125</v>
      </c>
      <c r="C296" s="139" t="s">
        <v>2190</v>
      </c>
      <c r="D296" s="114" t="s">
        <v>2090</v>
      </c>
      <c r="E296" s="114">
        <v>353</v>
      </c>
      <c r="F296" s="114">
        <v>135</v>
      </c>
      <c r="G296" s="114">
        <v>3</v>
      </c>
      <c r="H296" s="114">
        <v>3000</v>
      </c>
      <c r="I296" s="114">
        <v>9000</v>
      </c>
      <c r="J296" s="114">
        <v>7563</v>
      </c>
      <c r="K296" s="114">
        <v>1437</v>
      </c>
      <c r="L296" s="114" t="str">
        <f t="shared" si="4"/>
        <v>INSERT INTO DETALLES_DOCUMENTO(NRO_DOCUMENTO,ID_TIPO,ID_PRODUCTO,CANTIDAD,PRECIO,VALOR_BRUTO,VALOR_NETO,VALOR_IVA) VALUES(125,1,135,3,3000,9000,7563,1437);</v>
      </c>
    </row>
    <row r="297" spans="1:12">
      <c r="A297" s="114">
        <v>1</v>
      </c>
      <c r="B297" s="114">
        <v>126</v>
      </c>
      <c r="C297" s="139" t="s">
        <v>2190</v>
      </c>
      <c r="D297" s="114" t="s">
        <v>2090</v>
      </c>
      <c r="E297" s="114">
        <v>445</v>
      </c>
      <c r="F297" s="114">
        <v>144</v>
      </c>
      <c r="G297" s="114">
        <v>1</v>
      </c>
      <c r="H297" s="114">
        <v>6000</v>
      </c>
      <c r="I297" s="114">
        <v>6000</v>
      </c>
      <c r="J297" s="114">
        <v>5042</v>
      </c>
      <c r="K297" s="114">
        <v>958</v>
      </c>
      <c r="L297" s="114" t="str">
        <f t="shared" si="4"/>
        <v>INSERT INTO DETALLES_DOCUMENTO(NRO_DOCUMENTO,ID_TIPO,ID_PRODUCTO,CANTIDAD,PRECIO,VALOR_BRUTO,VALOR_NETO,VALOR_IVA) VALUES(126,1,144,1,6000,6000,5042,958);</v>
      </c>
    </row>
    <row r="298" spans="1:12">
      <c r="A298" s="114">
        <v>1</v>
      </c>
      <c r="B298" s="114">
        <v>127</v>
      </c>
      <c r="C298" s="139" t="s">
        <v>2190</v>
      </c>
      <c r="D298" s="114" t="s">
        <v>2090</v>
      </c>
      <c r="E298" s="114">
        <v>470</v>
      </c>
      <c r="F298" s="114">
        <v>369</v>
      </c>
      <c r="G298" s="114">
        <v>2</v>
      </c>
      <c r="H298" s="114">
        <v>21000</v>
      </c>
      <c r="I298" s="114">
        <v>42000</v>
      </c>
      <c r="J298" s="114">
        <v>35294</v>
      </c>
      <c r="K298" s="114">
        <v>6706</v>
      </c>
      <c r="L298" s="114" t="str">
        <f t="shared" si="4"/>
        <v>INSERT INTO DETALLES_DOCUMENTO(NRO_DOCUMENTO,ID_TIPO,ID_PRODUCTO,CANTIDAD,PRECIO,VALOR_BRUTO,VALOR_NETO,VALOR_IVA) VALUES(127,1,369,2,21000,42000,35294,6706);</v>
      </c>
    </row>
    <row r="299" spans="1:12">
      <c r="A299" s="114">
        <v>1</v>
      </c>
      <c r="B299" s="114">
        <v>128</v>
      </c>
      <c r="C299" s="139" t="s">
        <v>2191</v>
      </c>
      <c r="D299" s="114" t="s">
        <v>2090</v>
      </c>
      <c r="E299" s="114">
        <v>55</v>
      </c>
      <c r="F299" s="114">
        <v>144</v>
      </c>
      <c r="G299" s="114">
        <v>1</v>
      </c>
      <c r="H299" s="114">
        <v>6000</v>
      </c>
      <c r="I299" s="114">
        <v>6000</v>
      </c>
      <c r="J299" s="114">
        <v>5042</v>
      </c>
      <c r="K299" s="114">
        <v>958</v>
      </c>
      <c r="L299" s="114" t="str">
        <f t="shared" si="4"/>
        <v>INSERT INTO DETALLES_DOCUMENTO(NRO_DOCUMENTO,ID_TIPO,ID_PRODUCTO,CANTIDAD,PRECIO,VALOR_BRUTO,VALOR_NETO,VALOR_IVA) VALUES(128,1,144,1,6000,6000,5042,958);</v>
      </c>
    </row>
    <row r="300" spans="1:12">
      <c r="A300" s="114">
        <v>1</v>
      </c>
      <c r="B300" s="114">
        <v>128</v>
      </c>
      <c r="C300" s="139" t="s">
        <v>2191</v>
      </c>
      <c r="D300" s="114" t="s">
        <v>2090</v>
      </c>
      <c r="E300" s="114">
        <v>55</v>
      </c>
      <c r="F300" s="114">
        <v>329</v>
      </c>
      <c r="G300" s="114">
        <v>1</v>
      </c>
      <c r="H300" s="114">
        <v>5500</v>
      </c>
      <c r="I300" s="114">
        <v>5500</v>
      </c>
      <c r="J300" s="114">
        <v>4622</v>
      </c>
      <c r="K300" s="114">
        <v>878</v>
      </c>
      <c r="L300" s="114" t="str">
        <f t="shared" si="4"/>
        <v>INSERT INTO DETALLES_DOCUMENTO(NRO_DOCUMENTO,ID_TIPO,ID_PRODUCTO,CANTIDAD,PRECIO,VALOR_BRUTO,VALOR_NETO,VALOR_IVA) VALUES(128,1,329,1,5500,5500,4622,878);</v>
      </c>
    </row>
    <row r="301" spans="1:12">
      <c r="A301" s="114">
        <v>1</v>
      </c>
      <c r="B301" s="114">
        <v>129</v>
      </c>
      <c r="C301" s="139" t="s">
        <v>2191</v>
      </c>
      <c r="D301" s="114" t="s">
        <v>2090</v>
      </c>
      <c r="E301" s="114">
        <v>82</v>
      </c>
      <c r="F301" s="114">
        <v>324</v>
      </c>
      <c r="G301" s="114">
        <v>1</v>
      </c>
      <c r="H301" s="114">
        <v>10500</v>
      </c>
      <c r="I301" s="114">
        <v>10500</v>
      </c>
      <c r="J301" s="114">
        <v>8824</v>
      </c>
      <c r="K301" s="114">
        <v>1676</v>
      </c>
      <c r="L301" s="114" t="str">
        <f t="shared" si="4"/>
        <v>INSERT INTO DETALLES_DOCUMENTO(NRO_DOCUMENTO,ID_TIPO,ID_PRODUCTO,CANTIDAD,PRECIO,VALOR_BRUTO,VALOR_NETO,VALOR_IVA) VALUES(129,1,324,1,10500,10500,8824,1676);</v>
      </c>
    </row>
    <row r="302" spans="1:12">
      <c r="A302" s="114">
        <v>1</v>
      </c>
      <c r="B302" s="114">
        <v>129</v>
      </c>
      <c r="C302" s="139" t="s">
        <v>2191</v>
      </c>
      <c r="D302" s="114" t="s">
        <v>2090</v>
      </c>
      <c r="E302" s="114">
        <v>82</v>
      </c>
      <c r="F302" s="114">
        <v>135</v>
      </c>
      <c r="G302" s="114">
        <v>2</v>
      </c>
      <c r="H302" s="114">
        <v>2000</v>
      </c>
      <c r="I302" s="114">
        <v>4000</v>
      </c>
      <c r="J302" s="114">
        <v>3361</v>
      </c>
      <c r="K302" s="114">
        <v>639</v>
      </c>
      <c r="L302" s="114" t="str">
        <f t="shared" si="4"/>
        <v>INSERT INTO DETALLES_DOCUMENTO(NRO_DOCUMENTO,ID_TIPO,ID_PRODUCTO,CANTIDAD,PRECIO,VALOR_BRUTO,VALOR_NETO,VALOR_IVA) VALUES(129,1,135,2,2000,4000,3361,639);</v>
      </c>
    </row>
    <row r="303" spans="1:12">
      <c r="A303" s="114">
        <v>1</v>
      </c>
      <c r="B303" s="114">
        <v>130</v>
      </c>
      <c r="C303" s="139" t="s">
        <v>2191</v>
      </c>
      <c r="D303" s="114" t="s">
        <v>2090</v>
      </c>
      <c r="E303" s="114">
        <v>108</v>
      </c>
      <c r="F303" s="114">
        <v>97</v>
      </c>
      <c r="G303" s="114">
        <v>1</v>
      </c>
      <c r="H303" s="114">
        <v>2000</v>
      </c>
      <c r="I303" s="114">
        <v>2000</v>
      </c>
      <c r="J303" s="114">
        <v>1681</v>
      </c>
      <c r="K303" s="114">
        <v>319</v>
      </c>
      <c r="L303" s="114" t="str">
        <f t="shared" si="4"/>
        <v>INSERT INTO DETALLES_DOCUMENTO(NRO_DOCUMENTO,ID_TIPO,ID_PRODUCTO,CANTIDAD,PRECIO,VALOR_BRUTO,VALOR_NETO,VALOR_IVA) VALUES(130,1,97,1,2000,2000,1681,319);</v>
      </c>
    </row>
    <row r="304" spans="1:12">
      <c r="A304" s="114">
        <v>1</v>
      </c>
      <c r="B304" s="114">
        <v>130</v>
      </c>
      <c r="C304" s="139" t="s">
        <v>2191</v>
      </c>
      <c r="D304" s="114" t="s">
        <v>2090</v>
      </c>
      <c r="E304" s="114">
        <v>108</v>
      </c>
      <c r="F304" s="114">
        <v>124</v>
      </c>
      <c r="G304" s="114">
        <v>1</v>
      </c>
      <c r="H304" s="114">
        <v>4000</v>
      </c>
      <c r="I304" s="114">
        <v>4000</v>
      </c>
      <c r="J304" s="114">
        <v>3361</v>
      </c>
      <c r="K304" s="114">
        <v>639</v>
      </c>
      <c r="L304" s="114" t="str">
        <f t="shared" si="4"/>
        <v>INSERT INTO DETALLES_DOCUMENTO(NRO_DOCUMENTO,ID_TIPO,ID_PRODUCTO,CANTIDAD,PRECIO,VALOR_BRUTO,VALOR_NETO,VALOR_IVA) VALUES(130,1,124,1,4000,4000,3361,639);</v>
      </c>
    </row>
    <row r="305" spans="1:12">
      <c r="A305" s="114">
        <v>1</v>
      </c>
      <c r="B305" s="114">
        <v>131</v>
      </c>
      <c r="C305" s="139" t="s">
        <v>2191</v>
      </c>
      <c r="D305" s="114" t="s">
        <v>2090</v>
      </c>
      <c r="E305" s="114">
        <v>110</v>
      </c>
      <c r="F305" s="114">
        <v>265</v>
      </c>
      <c r="G305" s="114">
        <v>1</v>
      </c>
      <c r="H305" s="114">
        <v>10000</v>
      </c>
      <c r="I305" s="114">
        <v>10000</v>
      </c>
      <c r="J305" s="114">
        <v>8403</v>
      </c>
      <c r="K305" s="114">
        <v>1597</v>
      </c>
      <c r="L305" s="114" t="str">
        <f t="shared" si="4"/>
        <v>INSERT INTO DETALLES_DOCUMENTO(NRO_DOCUMENTO,ID_TIPO,ID_PRODUCTO,CANTIDAD,PRECIO,VALOR_BRUTO,VALOR_NETO,VALOR_IVA) VALUES(131,1,265,1,10000,10000,8403,1597);</v>
      </c>
    </row>
    <row r="306" spans="1:12">
      <c r="A306" s="114">
        <v>1</v>
      </c>
      <c r="B306" s="114">
        <v>131</v>
      </c>
      <c r="C306" s="139" t="s">
        <v>2191</v>
      </c>
      <c r="D306" s="114" t="s">
        <v>2090</v>
      </c>
      <c r="E306" s="114">
        <v>110</v>
      </c>
      <c r="F306" s="114">
        <v>361</v>
      </c>
      <c r="G306" s="114">
        <v>1</v>
      </c>
      <c r="H306" s="114">
        <v>3500</v>
      </c>
      <c r="I306" s="114">
        <v>3500</v>
      </c>
      <c r="J306" s="114">
        <v>2941</v>
      </c>
      <c r="K306" s="114">
        <v>559</v>
      </c>
      <c r="L306" s="114" t="str">
        <f t="shared" si="4"/>
        <v>INSERT INTO DETALLES_DOCUMENTO(NRO_DOCUMENTO,ID_TIPO,ID_PRODUCTO,CANTIDAD,PRECIO,VALOR_BRUTO,VALOR_NETO,VALOR_IVA) VALUES(131,1,361,1,3500,3500,2941,559);</v>
      </c>
    </row>
    <row r="307" spans="1:12">
      <c r="A307" s="114">
        <v>1</v>
      </c>
      <c r="B307" s="114">
        <v>132</v>
      </c>
      <c r="C307" s="139" t="s">
        <v>2191</v>
      </c>
      <c r="D307" s="114" t="s">
        <v>2090</v>
      </c>
      <c r="E307" s="114">
        <v>116</v>
      </c>
      <c r="F307" s="114">
        <v>230</v>
      </c>
      <c r="G307" s="114">
        <v>1</v>
      </c>
      <c r="H307" s="114">
        <v>15500</v>
      </c>
      <c r="I307" s="114">
        <v>15500</v>
      </c>
      <c r="J307" s="114">
        <v>13025</v>
      </c>
      <c r="K307" s="114">
        <v>2475</v>
      </c>
      <c r="L307" s="114" t="str">
        <f t="shared" si="4"/>
        <v>INSERT INTO DETALLES_DOCUMENTO(NRO_DOCUMENTO,ID_TIPO,ID_PRODUCTO,CANTIDAD,PRECIO,VALOR_BRUTO,VALOR_NETO,VALOR_IVA) VALUES(132,1,230,1,15500,15500,13025,2475);</v>
      </c>
    </row>
    <row r="308" spans="1:12">
      <c r="A308" s="114">
        <v>1</v>
      </c>
      <c r="B308" s="114">
        <v>132</v>
      </c>
      <c r="C308" s="139" t="s">
        <v>2191</v>
      </c>
      <c r="D308" s="114" t="s">
        <v>2090</v>
      </c>
      <c r="E308" s="114">
        <v>116</v>
      </c>
      <c r="F308" s="114">
        <v>275</v>
      </c>
      <c r="G308" s="114">
        <v>1</v>
      </c>
      <c r="H308" s="114">
        <v>6900</v>
      </c>
      <c r="I308" s="114">
        <v>6900</v>
      </c>
      <c r="J308" s="114">
        <v>5798</v>
      </c>
      <c r="K308" s="114">
        <v>1102</v>
      </c>
      <c r="L308" s="114" t="str">
        <f t="shared" si="4"/>
        <v>INSERT INTO DETALLES_DOCUMENTO(NRO_DOCUMENTO,ID_TIPO,ID_PRODUCTO,CANTIDAD,PRECIO,VALOR_BRUTO,VALOR_NETO,VALOR_IVA) VALUES(132,1,275,1,6900,6900,5798,1102);</v>
      </c>
    </row>
    <row r="309" spans="1:12">
      <c r="A309" s="114">
        <v>1</v>
      </c>
      <c r="B309" s="114">
        <v>132</v>
      </c>
      <c r="C309" s="139" t="s">
        <v>2191</v>
      </c>
      <c r="D309" s="114" t="s">
        <v>2090</v>
      </c>
      <c r="E309" s="114">
        <v>116</v>
      </c>
      <c r="F309" s="114">
        <v>259</v>
      </c>
      <c r="G309" s="114">
        <v>1</v>
      </c>
      <c r="H309" s="114">
        <v>4500</v>
      </c>
      <c r="I309" s="114">
        <v>4500</v>
      </c>
      <c r="J309" s="114">
        <v>3782</v>
      </c>
      <c r="K309" s="114">
        <v>718</v>
      </c>
      <c r="L309" s="114" t="str">
        <f t="shared" si="4"/>
        <v>INSERT INTO DETALLES_DOCUMENTO(NRO_DOCUMENTO,ID_TIPO,ID_PRODUCTO,CANTIDAD,PRECIO,VALOR_BRUTO,VALOR_NETO,VALOR_IVA) VALUES(132,1,259,1,4500,4500,3782,718);</v>
      </c>
    </row>
    <row r="310" spans="1:12">
      <c r="A310" s="114">
        <v>1</v>
      </c>
      <c r="B310" s="114">
        <v>132</v>
      </c>
      <c r="C310" s="139" t="s">
        <v>2191</v>
      </c>
      <c r="D310" s="114" t="s">
        <v>2090</v>
      </c>
      <c r="E310" s="114">
        <v>116</v>
      </c>
      <c r="F310" s="114">
        <v>369</v>
      </c>
      <c r="G310" s="114">
        <v>1</v>
      </c>
      <c r="H310" s="114">
        <v>10500</v>
      </c>
      <c r="I310" s="114">
        <v>10500</v>
      </c>
      <c r="J310" s="114">
        <v>8824</v>
      </c>
      <c r="K310" s="114">
        <v>1676</v>
      </c>
      <c r="L310" s="114" t="str">
        <f t="shared" si="4"/>
        <v>INSERT INTO DETALLES_DOCUMENTO(NRO_DOCUMENTO,ID_TIPO,ID_PRODUCTO,CANTIDAD,PRECIO,VALOR_BRUTO,VALOR_NETO,VALOR_IVA) VALUES(132,1,369,1,10500,10500,8824,1676);</v>
      </c>
    </row>
    <row r="311" spans="1:12">
      <c r="A311" s="114">
        <v>1</v>
      </c>
      <c r="B311" s="114">
        <v>133</v>
      </c>
      <c r="C311" s="139" t="s">
        <v>2191</v>
      </c>
      <c r="D311" s="114" t="s">
        <v>2090</v>
      </c>
      <c r="E311" s="114">
        <v>119</v>
      </c>
      <c r="F311" s="114">
        <v>231</v>
      </c>
      <c r="G311" s="114">
        <v>1</v>
      </c>
      <c r="H311" s="114">
        <v>19990</v>
      </c>
      <c r="I311" s="114">
        <v>19990</v>
      </c>
      <c r="J311" s="114">
        <v>16798</v>
      </c>
      <c r="K311" s="114">
        <v>3192</v>
      </c>
      <c r="L311" s="114" t="str">
        <f t="shared" si="4"/>
        <v>INSERT INTO DETALLES_DOCUMENTO(NRO_DOCUMENTO,ID_TIPO,ID_PRODUCTO,CANTIDAD,PRECIO,VALOR_BRUTO,VALOR_NETO,VALOR_IVA) VALUES(133,1,231,1,19990,19990,16798,3192);</v>
      </c>
    </row>
    <row r="312" spans="1:12">
      <c r="A312" s="114">
        <v>1</v>
      </c>
      <c r="B312" s="114">
        <v>133</v>
      </c>
      <c r="C312" s="139" t="s">
        <v>2191</v>
      </c>
      <c r="D312" s="114" t="s">
        <v>2090</v>
      </c>
      <c r="E312" s="114">
        <v>119</v>
      </c>
      <c r="F312" s="114">
        <v>225</v>
      </c>
      <c r="G312" s="114">
        <v>1</v>
      </c>
      <c r="H312" s="114">
        <v>19500</v>
      </c>
      <c r="I312" s="114">
        <v>19500</v>
      </c>
      <c r="J312" s="114">
        <v>16387</v>
      </c>
      <c r="K312" s="114">
        <v>3113</v>
      </c>
      <c r="L312" s="114" t="str">
        <f t="shared" si="4"/>
        <v>INSERT INTO DETALLES_DOCUMENTO(NRO_DOCUMENTO,ID_TIPO,ID_PRODUCTO,CANTIDAD,PRECIO,VALOR_BRUTO,VALOR_NETO,VALOR_IVA) VALUES(133,1,225,1,19500,19500,16387,3113);</v>
      </c>
    </row>
    <row r="313" spans="1:12">
      <c r="A313" s="114">
        <v>1</v>
      </c>
      <c r="B313" s="114">
        <v>133</v>
      </c>
      <c r="C313" s="139" t="s">
        <v>2191</v>
      </c>
      <c r="D313" s="114" t="s">
        <v>2090</v>
      </c>
      <c r="E313" s="114">
        <v>119</v>
      </c>
      <c r="F313" s="114">
        <v>168</v>
      </c>
      <c r="G313" s="114">
        <v>1</v>
      </c>
      <c r="H313" s="114">
        <v>1500</v>
      </c>
      <c r="I313" s="114">
        <v>1500</v>
      </c>
      <c r="J313" s="114">
        <v>1261</v>
      </c>
      <c r="K313" s="114">
        <v>239</v>
      </c>
      <c r="L313" s="114" t="str">
        <f t="shared" si="4"/>
        <v>INSERT INTO DETALLES_DOCUMENTO(NRO_DOCUMENTO,ID_TIPO,ID_PRODUCTO,CANTIDAD,PRECIO,VALOR_BRUTO,VALOR_NETO,VALOR_IVA) VALUES(133,1,168,1,1500,1500,1261,239);</v>
      </c>
    </row>
    <row r="314" spans="1:12">
      <c r="A314" s="114">
        <v>1</v>
      </c>
      <c r="B314" s="114">
        <v>133</v>
      </c>
      <c r="C314" s="139" t="s">
        <v>2191</v>
      </c>
      <c r="D314" s="114" t="s">
        <v>2090</v>
      </c>
      <c r="E314" s="114">
        <v>119</v>
      </c>
      <c r="F314" s="114">
        <v>98</v>
      </c>
      <c r="G314" s="114">
        <v>1</v>
      </c>
      <c r="H314" s="114">
        <v>3500</v>
      </c>
      <c r="I314" s="114">
        <v>3500</v>
      </c>
      <c r="J314" s="114">
        <v>2941</v>
      </c>
      <c r="K314" s="114">
        <v>559</v>
      </c>
      <c r="L314" s="114" t="str">
        <f t="shared" si="4"/>
        <v>INSERT INTO DETALLES_DOCUMENTO(NRO_DOCUMENTO,ID_TIPO,ID_PRODUCTO,CANTIDAD,PRECIO,VALOR_BRUTO,VALOR_NETO,VALOR_IVA) VALUES(133,1,98,1,3500,3500,2941,559);</v>
      </c>
    </row>
    <row r="315" spans="1:12">
      <c r="A315" s="114">
        <v>1</v>
      </c>
      <c r="B315" s="114">
        <v>133</v>
      </c>
      <c r="C315" s="139" t="s">
        <v>2191</v>
      </c>
      <c r="D315" s="114" t="s">
        <v>2090</v>
      </c>
      <c r="E315" s="114">
        <v>119</v>
      </c>
      <c r="F315" s="114">
        <v>165</v>
      </c>
      <c r="G315" s="114">
        <v>1</v>
      </c>
      <c r="H315" s="114">
        <v>2000</v>
      </c>
      <c r="I315" s="114">
        <v>2000</v>
      </c>
      <c r="J315" s="114">
        <v>1681</v>
      </c>
      <c r="K315" s="114">
        <v>319</v>
      </c>
      <c r="L315" s="114" t="str">
        <f t="shared" si="4"/>
        <v>INSERT INTO DETALLES_DOCUMENTO(NRO_DOCUMENTO,ID_TIPO,ID_PRODUCTO,CANTIDAD,PRECIO,VALOR_BRUTO,VALOR_NETO,VALOR_IVA) VALUES(133,1,165,1,2000,2000,1681,319);</v>
      </c>
    </row>
    <row r="316" spans="1:12">
      <c r="A316" s="114">
        <v>1</v>
      </c>
      <c r="B316" s="114">
        <v>133</v>
      </c>
      <c r="C316" s="139" t="s">
        <v>2191</v>
      </c>
      <c r="D316" s="114" t="s">
        <v>2090</v>
      </c>
      <c r="E316" s="114">
        <v>119</v>
      </c>
      <c r="F316" s="114">
        <v>155</v>
      </c>
      <c r="G316" s="114">
        <v>1</v>
      </c>
      <c r="H316" s="114">
        <v>1650</v>
      </c>
      <c r="I316" s="114">
        <v>1650</v>
      </c>
      <c r="J316" s="114">
        <v>1387</v>
      </c>
      <c r="K316" s="114">
        <v>263</v>
      </c>
      <c r="L316" s="114" t="str">
        <f t="shared" si="4"/>
        <v>INSERT INTO DETALLES_DOCUMENTO(NRO_DOCUMENTO,ID_TIPO,ID_PRODUCTO,CANTIDAD,PRECIO,VALOR_BRUTO,VALOR_NETO,VALOR_IVA) VALUES(133,1,155,1,1650,1650,1387,263);</v>
      </c>
    </row>
    <row r="317" spans="1:12">
      <c r="A317" s="114">
        <v>1</v>
      </c>
      <c r="B317" s="114">
        <v>133</v>
      </c>
      <c r="C317" s="139" t="s">
        <v>2191</v>
      </c>
      <c r="D317" s="114" t="s">
        <v>2090</v>
      </c>
      <c r="E317" s="114">
        <v>119</v>
      </c>
      <c r="F317" s="114">
        <v>144</v>
      </c>
      <c r="G317" s="114">
        <v>1</v>
      </c>
      <c r="H317" s="114">
        <v>6000</v>
      </c>
      <c r="I317" s="114">
        <v>6000</v>
      </c>
      <c r="J317" s="114">
        <v>5042</v>
      </c>
      <c r="K317" s="114">
        <v>958</v>
      </c>
      <c r="L317" s="114" t="str">
        <f t="shared" si="4"/>
        <v>INSERT INTO DETALLES_DOCUMENTO(NRO_DOCUMENTO,ID_TIPO,ID_PRODUCTO,CANTIDAD,PRECIO,VALOR_BRUTO,VALOR_NETO,VALOR_IVA) VALUES(133,1,144,1,6000,6000,5042,958);</v>
      </c>
    </row>
    <row r="318" spans="1:12">
      <c r="A318" s="114">
        <v>1</v>
      </c>
      <c r="B318" s="114">
        <v>133</v>
      </c>
      <c r="C318" s="139" t="s">
        <v>2191</v>
      </c>
      <c r="D318" s="114" t="s">
        <v>2090</v>
      </c>
      <c r="E318" s="114">
        <v>119</v>
      </c>
      <c r="F318" s="114">
        <v>117</v>
      </c>
      <c r="G318" s="114">
        <v>1</v>
      </c>
      <c r="H318" s="114">
        <v>3500</v>
      </c>
      <c r="I318" s="114">
        <v>3500</v>
      </c>
      <c r="J318" s="114">
        <v>2941</v>
      </c>
      <c r="K318" s="114">
        <v>559</v>
      </c>
      <c r="L318" s="114" t="str">
        <f t="shared" si="4"/>
        <v>INSERT INTO DETALLES_DOCUMENTO(NRO_DOCUMENTO,ID_TIPO,ID_PRODUCTO,CANTIDAD,PRECIO,VALOR_BRUTO,VALOR_NETO,VALOR_IVA) VALUES(133,1,117,1,3500,3500,2941,559);</v>
      </c>
    </row>
    <row r="319" spans="1:12">
      <c r="A319" s="114">
        <v>1</v>
      </c>
      <c r="B319" s="114">
        <v>134</v>
      </c>
      <c r="C319" s="139" t="s">
        <v>2191</v>
      </c>
      <c r="D319" s="114" t="s">
        <v>2090</v>
      </c>
      <c r="E319" s="114">
        <v>278</v>
      </c>
      <c r="F319" s="114">
        <v>144</v>
      </c>
      <c r="G319" s="114">
        <v>1</v>
      </c>
      <c r="H319" s="114">
        <v>6000</v>
      </c>
      <c r="I319" s="114">
        <v>6000</v>
      </c>
      <c r="J319" s="114">
        <v>5042</v>
      </c>
      <c r="K319" s="114">
        <v>958</v>
      </c>
      <c r="L319" s="114" t="str">
        <f t="shared" si="4"/>
        <v>INSERT INTO DETALLES_DOCUMENTO(NRO_DOCUMENTO,ID_TIPO,ID_PRODUCTO,CANTIDAD,PRECIO,VALOR_BRUTO,VALOR_NETO,VALOR_IVA) VALUES(134,1,144,1,6000,6000,5042,958);</v>
      </c>
    </row>
    <row r="320" spans="1:12">
      <c r="A320" s="114">
        <v>1</v>
      </c>
      <c r="B320" s="114">
        <v>135</v>
      </c>
      <c r="C320" s="139" t="s">
        <v>2191</v>
      </c>
      <c r="D320" s="114" t="s">
        <v>2090</v>
      </c>
      <c r="E320" s="114">
        <v>360</v>
      </c>
      <c r="F320" s="114">
        <v>230</v>
      </c>
      <c r="G320" s="114">
        <v>1</v>
      </c>
      <c r="H320" s="114">
        <v>15500</v>
      </c>
      <c r="I320" s="114">
        <v>15500</v>
      </c>
      <c r="J320" s="114">
        <v>13025</v>
      </c>
      <c r="K320" s="114">
        <v>2475</v>
      </c>
      <c r="L320" s="114" t="str">
        <f t="shared" si="4"/>
        <v>INSERT INTO DETALLES_DOCUMENTO(NRO_DOCUMENTO,ID_TIPO,ID_PRODUCTO,CANTIDAD,PRECIO,VALOR_BRUTO,VALOR_NETO,VALOR_IVA) VALUES(135,1,230,1,15500,15500,13025,2475);</v>
      </c>
    </row>
    <row r="321" spans="1:12">
      <c r="A321" s="114">
        <v>1</v>
      </c>
      <c r="B321" s="114">
        <v>136</v>
      </c>
      <c r="C321" s="139" t="s">
        <v>2191</v>
      </c>
      <c r="D321" s="114" t="s">
        <v>2090</v>
      </c>
      <c r="E321" s="114">
        <v>382</v>
      </c>
      <c r="F321" s="114">
        <v>144</v>
      </c>
      <c r="G321" s="114">
        <v>1</v>
      </c>
      <c r="H321" s="114">
        <v>6000</v>
      </c>
      <c r="I321" s="114">
        <v>6000</v>
      </c>
      <c r="J321" s="114">
        <v>5042</v>
      </c>
      <c r="K321" s="114">
        <v>958</v>
      </c>
      <c r="L321" s="114" t="str">
        <f t="shared" si="4"/>
        <v>INSERT INTO DETALLES_DOCUMENTO(NRO_DOCUMENTO,ID_TIPO,ID_PRODUCTO,CANTIDAD,PRECIO,VALOR_BRUTO,VALOR_NETO,VALOR_IVA) VALUES(136,1,144,1,6000,6000,5042,958);</v>
      </c>
    </row>
    <row r="322" spans="1:12">
      <c r="A322" s="114">
        <v>1</v>
      </c>
      <c r="B322" s="114">
        <v>137</v>
      </c>
      <c r="C322" s="139" t="s">
        <v>2191</v>
      </c>
      <c r="D322" s="114" t="s">
        <v>2090</v>
      </c>
      <c r="E322" s="114">
        <v>476</v>
      </c>
      <c r="F322" s="114">
        <v>144</v>
      </c>
      <c r="G322" s="114">
        <v>1</v>
      </c>
      <c r="H322" s="114">
        <v>6000</v>
      </c>
      <c r="I322" s="114">
        <v>6000</v>
      </c>
      <c r="J322" s="114">
        <v>5042</v>
      </c>
      <c r="K322" s="114">
        <v>958</v>
      </c>
      <c r="L322" s="114" t="str">
        <f t="shared" si="4"/>
        <v>INSERT INTO DETALLES_DOCUMENTO(NRO_DOCUMENTO,ID_TIPO,ID_PRODUCTO,CANTIDAD,PRECIO,VALOR_BRUTO,VALOR_NETO,VALOR_IVA) VALUES(137,1,144,1,6000,6000,5042,958);</v>
      </c>
    </row>
    <row r="323" spans="1:12">
      <c r="A323" s="114">
        <v>1</v>
      </c>
      <c r="B323" s="114">
        <v>137</v>
      </c>
      <c r="C323" s="139" t="s">
        <v>2191</v>
      </c>
      <c r="D323" s="114" t="s">
        <v>2090</v>
      </c>
      <c r="E323" s="114">
        <v>476</v>
      </c>
      <c r="F323" s="114">
        <v>329</v>
      </c>
      <c r="G323" s="114">
        <v>1</v>
      </c>
      <c r="H323" s="114">
        <v>5500</v>
      </c>
      <c r="I323" s="114">
        <v>5500</v>
      </c>
      <c r="J323" s="114">
        <v>4622</v>
      </c>
      <c r="K323" s="114">
        <v>878</v>
      </c>
      <c r="L323" s="114" t="str">
        <f t="shared" ref="L323:L386" si="5">CONCATENATE("INSERT INTO DETALLES_DOCUMENTO(NRO_DOCUMENTO,ID_TIPO,ID_PRODUCTO,CANTIDAD,PRECIO,VALOR_BRUTO,VALOR_NETO,VALOR_IVA) VALUES(",B323,",",A323,",",F323,",",G323,",",H323,",",I323,",",J323,",",K323,");")</f>
        <v>INSERT INTO DETALLES_DOCUMENTO(NRO_DOCUMENTO,ID_TIPO,ID_PRODUCTO,CANTIDAD,PRECIO,VALOR_BRUTO,VALOR_NETO,VALOR_IVA) VALUES(137,1,329,1,5500,5500,4622,878);</v>
      </c>
    </row>
    <row r="324" spans="1:12">
      <c r="A324" s="114">
        <v>1</v>
      </c>
      <c r="B324" s="114">
        <v>138</v>
      </c>
      <c r="C324" s="139" t="s">
        <v>2192</v>
      </c>
      <c r="D324" s="114" t="s">
        <v>2090</v>
      </c>
      <c r="E324" s="114">
        <v>166</v>
      </c>
      <c r="F324" s="114">
        <v>191</v>
      </c>
      <c r="G324" s="114">
        <v>1</v>
      </c>
      <c r="H324" s="114">
        <v>2500</v>
      </c>
      <c r="I324" s="114">
        <v>2500</v>
      </c>
      <c r="J324" s="114">
        <v>2101</v>
      </c>
      <c r="K324" s="114">
        <v>399</v>
      </c>
      <c r="L324" s="114" t="str">
        <f t="shared" si="5"/>
        <v>INSERT INTO DETALLES_DOCUMENTO(NRO_DOCUMENTO,ID_TIPO,ID_PRODUCTO,CANTIDAD,PRECIO,VALOR_BRUTO,VALOR_NETO,VALOR_IVA) VALUES(138,1,191,1,2500,2500,2101,399);</v>
      </c>
    </row>
    <row r="325" spans="1:12">
      <c r="A325" s="114">
        <v>1</v>
      </c>
      <c r="B325" s="114">
        <v>139</v>
      </c>
      <c r="C325" s="139" t="s">
        <v>2192</v>
      </c>
      <c r="D325" s="114" t="s">
        <v>2090</v>
      </c>
      <c r="E325" s="114">
        <v>261</v>
      </c>
      <c r="F325" s="114">
        <v>120</v>
      </c>
      <c r="G325" s="114">
        <v>2</v>
      </c>
      <c r="H325" s="114">
        <v>3400</v>
      </c>
      <c r="I325" s="114">
        <v>6800</v>
      </c>
      <c r="J325" s="114">
        <v>5714</v>
      </c>
      <c r="K325" s="114">
        <v>1086</v>
      </c>
      <c r="L325" s="114" t="str">
        <f t="shared" si="5"/>
        <v>INSERT INTO DETALLES_DOCUMENTO(NRO_DOCUMENTO,ID_TIPO,ID_PRODUCTO,CANTIDAD,PRECIO,VALOR_BRUTO,VALOR_NETO,VALOR_IVA) VALUES(139,1,120,2,3400,6800,5714,1086);</v>
      </c>
    </row>
    <row r="326" spans="1:12">
      <c r="A326" s="114">
        <v>1</v>
      </c>
      <c r="B326" s="114">
        <v>140</v>
      </c>
      <c r="C326" s="139" t="s">
        <v>2192</v>
      </c>
      <c r="D326" s="114" t="s">
        <v>2090</v>
      </c>
      <c r="E326" s="114">
        <v>312</v>
      </c>
      <c r="F326" s="114">
        <v>144</v>
      </c>
      <c r="G326" s="114">
        <v>1</v>
      </c>
      <c r="H326" s="114">
        <v>6000</v>
      </c>
      <c r="I326" s="114">
        <v>6000</v>
      </c>
      <c r="J326" s="114">
        <v>5042</v>
      </c>
      <c r="K326" s="114">
        <v>958</v>
      </c>
      <c r="L326" s="114" t="str">
        <f t="shared" si="5"/>
        <v>INSERT INTO DETALLES_DOCUMENTO(NRO_DOCUMENTO,ID_TIPO,ID_PRODUCTO,CANTIDAD,PRECIO,VALOR_BRUTO,VALOR_NETO,VALOR_IVA) VALUES(140,1,144,1,6000,6000,5042,958);</v>
      </c>
    </row>
    <row r="327" spans="1:12">
      <c r="A327" s="114">
        <v>1</v>
      </c>
      <c r="B327" s="114">
        <v>141</v>
      </c>
      <c r="C327" s="139" t="s">
        <v>2192</v>
      </c>
      <c r="D327" s="114" t="s">
        <v>2090</v>
      </c>
      <c r="E327" s="114">
        <v>393</v>
      </c>
      <c r="F327" s="114">
        <v>117</v>
      </c>
      <c r="G327" s="114">
        <v>1</v>
      </c>
      <c r="H327" s="114">
        <v>3500</v>
      </c>
      <c r="I327" s="114">
        <v>3500</v>
      </c>
      <c r="J327" s="114">
        <v>2941</v>
      </c>
      <c r="K327" s="114">
        <v>559</v>
      </c>
      <c r="L327" s="114" t="str">
        <f t="shared" si="5"/>
        <v>INSERT INTO DETALLES_DOCUMENTO(NRO_DOCUMENTO,ID_TIPO,ID_PRODUCTO,CANTIDAD,PRECIO,VALOR_BRUTO,VALOR_NETO,VALOR_IVA) VALUES(141,1,117,1,3500,3500,2941,559);</v>
      </c>
    </row>
    <row r="328" spans="1:12">
      <c r="A328" s="114">
        <v>1</v>
      </c>
      <c r="B328" s="114">
        <v>142</v>
      </c>
      <c r="C328" s="139" t="s">
        <v>2192</v>
      </c>
      <c r="D328" s="114" t="s">
        <v>2090</v>
      </c>
      <c r="E328" s="114">
        <v>446</v>
      </c>
      <c r="F328" s="114">
        <v>329</v>
      </c>
      <c r="G328" s="114">
        <v>1</v>
      </c>
      <c r="H328" s="114">
        <v>5500</v>
      </c>
      <c r="I328" s="114">
        <v>5500</v>
      </c>
      <c r="J328" s="114">
        <v>4622</v>
      </c>
      <c r="K328" s="114">
        <v>878</v>
      </c>
      <c r="L328" s="114" t="str">
        <f t="shared" si="5"/>
        <v>INSERT INTO DETALLES_DOCUMENTO(NRO_DOCUMENTO,ID_TIPO,ID_PRODUCTO,CANTIDAD,PRECIO,VALOR_BRUTO,VALOR_NETO,VALOR_IVA) VALUES(142,1,329,1,5500,5500,4622,878);</v>
      </c>
    </row>
    <row r="329" spans="1:12">
      <c r="A329" s="114">
        <v>1</v>
      </c>
      <c r="B329" s="114">
        <v>142</v>
      </c>
      <c r="C329" s="139" t="s">
        <v>2192</v>
      </c>
      <c r="D329" s="114" t="s">
        <v>2090</v>
      </c>
      <c r="E329" s="114">
        <v>446</v>
      </c>
      <c r="F329" s="114">
        <v>383</v>
      </c>
      <c r="G329" s="114">
        <v>1</v>
      </c>
      <c r="H329" s="114">
        <v>2400</v>
      </c>
      <c r="I329" s="114">
        <v>2400</v>
      </c>
      <c r="J329" s="114">
        <v>2017</v>
      </c>
      <c r="K329" s="114">
        <v>383</v>
      </c>
      <c r="L329" s="114" t="str">
        <f t="shared" si="5"/>
        <v>INSERT INTO DETALLES_DOCUMENTO(NRO_DOCUMENTO,ID_TIPO,ID_PRODUCTO,CANTIDAD,PRECIO,VALOR_BRUTO,VALOR_NETO,VALOR_IVA) VALUES(142,1,383,1,2400,2400,2017,383);</v>
      </c>
    </row>
    <row r="330" spans="1:12">
      <c r="A330" s="114">
        <v>1</v>
      </c>
      <c r="B330" s="114">
        <v>142</v>
      </c>
      <c r="C330" s="139" t="s">
        <v>2192</v>
      </c>
      <c r="D330" s="114" t="s">
        <v>2090</v>
      </c>
      <c r="E330" s="114">
        <v>446</v>
      </c>
      <c r="F330" s="114">
        <v>377</v>
      </c>
      <c r="G330" s="114">
        <v>1</v>
      </c>
      <c r="H330" s="114">
        <v>1600</v>
      </c>
      <c r="I330" s="114">
        <v>1600</v>
      </c>
      <c r="J330" s="114">
        <v>1345</v>
      </c>
      <c r="K330" s="114">
        <v>255</v>
      </c>
      <c r="L330" s="114" t="str">
        <f t="shared" si="5"/>
        <v>INSERT INTO DETALLES_DOCUMENTO(NRO_DOCUMENTO,ID_TIPO,ID_PRODUCTO,CANTIDAD,PRECIO,VALOR_BRUTO,VALOR_NETO,VALOR_IVA) VALUES(142,1,377,1,1600,1600,1345,255);</v>
      </c>
    </row>
    <row r="331" spans="1:12">
      <c r="A331" s="114">
        <v>1</v>
      </c>
      <c r="B331" s="114">
        <v>143</v>
      </c>
      <c r="C331" s="139" t="s">
        <v>2193</v>
      </c>
      <c r="D331" s="114" t="s">
        <v>2090</v>
      </c>
      <c r="E331" s="114">
        <v>97</v>
      </c>
      <c r="F331" s="114">
        <v>143</v>
      </c>
      <c r="G331" s="114">
        <v>1</v>
      </c>
      <c r="H331" s="114">
        <v>6300</v>
      </c>
      <c r="I331" s="114">
        <v>6300</v>
      </c>
      <c r="J331" s="114">
        <v>5294</v>
      </c>
      <c r="K331" s="114">
        <v>1006</v>
      </c>
      <c r="L331" s="114" t="str">
        <f t="shared" si="5"/>
        <v>INSERT INTO DETALLES_DOCUMENTO(NRO_DOCUMENTO,ID_TIPO,ID_PRODUCTO,CANTIDAD,PRECIO,VALOR_BRUTO,VALOR_NETO,VALOR_IVA) VALUES(143,1,143,1,6300,6300,5294,1006);</v>
      </c>
    </row>
    <row r="332" spans="1:12">
      <c r="A332" s="114">
        <v>1</v>
      </c>
      <c r="B332" s="114">
        <v>144</v>
      </c>
      <c r="C332" s="139" t="s">
        <v>2193</v>
      </c>
      <c r="D332" s="114" t="s">
        <v>2090</v>
      </c>
      <c r="E332" s="114">
        <v>122</v>
      </c>
      <c r="F332" s="114">
        <v>143</v>
      </c>
      <c r="G332" s="114">
        <v>1</v>
      </c>
      <c r="H332" s="114">
        <v>6300</v>
      </c>
      <c r="I332" s="114">
        <v>6300</v>
      </c>
      <c r="J332" s="114">
        <v>5294</v>
      </c>
      <c r="K332" s="114">
        <v>1006</v>
      </c>
      <c r="L332" s="114" t="str">
        <f t="shared" si="5"/>
        <v>INSERT INTO DETALLES_DOCUMENTO(NRO_DOCUMENTO,ID_TIPO,ID_PRODUCTO,CANTIDAD,PRECIO,VALOR_BRUTO,VALOR_NETO,VALOR_IVA) VALUES(144,1,143,1,6300,6300,5294,1006);</v>
      </c>
    </row>
    <row r="333" spans="1:12">
      <c r="A333" s="114">
        <v>1</v>
      </c>
      <c r="B333" s="114">
        <v>144</v>
      </c>
      <c r="C333" s="139" t="s">
        <v>2193</v>
      </c>
      <c r="D333" s="114" t="s">
        <v>2090</v>
      </c>
      <c r="E333" s="114">
        <v>122</v>
      </c>
      <c r="F333" s="114">
        <v>259</v>
      </c>
      <c r="G333" s="114">
        <v>1</v>
      </c>
      <c r="H333" s="114">
        <v>4500</v>
      </c>
      <c r="I333" s="114">
        <v>4500</v>
      </c>
      <c r="J333" s="114">
        <v>3782</v>
      </c>
      <c r="K333" s="114">
        <v>718</v>
      </c>
      <c r="L333" s="114" t="str">
        <f t="shared" si="5"/>
        <v>INSERT INTO DETALLES_DOCUMENTO(NRO_DOCUMENTO,ID_TIPO,ID_PRODUCTO,CANTIDAD,PRECIO,VALOR_BRUTO,VALOR_NETO,VALOR_IVA) VALUES(144,1,259,1,4500,4500,3782,718);</v>
      </c>
    </row>
    <row r="334" spans="1:12">
      <c r="A334" s="114">
        <v>1</v>
      </c>
      <c r="B334" s="114">
        <v>145</v>
      </c>
      <c r="C334" s="139" t="s">
        <v>2193</v>
      </c>
      <c r="D334" s="114" t="s">
        <v>2090</v>
      </c>
      <c r="E334" s="114">
        <v>167</v>
      </c>
      <c r="F334" s="114">
        <v>230</v>
      </c>
      <c r="G334" s="114">
        <v>1</v>
      </c>
      <c r="H334" s="114">
        <v>15500</v>
      </c>
      <c r="I334" s="114">
        <v>15500</v>
      </c>
      <c r="J334" s="114">
        <v>13025</v>
      </c>
      <c r="K334" s="114">
        <v>2475</v>
      </c>
      <c r="L334" s="114" t="str">
        <f t="shared" si="5"/>
        <v>INSERT INTO DETALLES_DOCUMENTO(NRO_DOCUMENTO,ID_TIPO,ID_PRODUCTO,CANTIDAD,PRECIO,VALOR_BRUTO,VALOR_NETO,VALOR_IVA) VALUES(145,1,230,1,15500,15500,13025,2475);</v>
      </c>
    </row>
    <row r="335" spans="1:12">
      <c r="A335" s="114">
        <v>1</v>
      </c>
      <c r="B335" s="114">
        <v>145</v>
      </c>
      <c r="C335" s="139" t="s">
        <v>2193</v>
      </c>
      <c r="D335" s="114" t="s">
        <v>2090</v>
      </c>
      <c r="E335" s="114">
        <v>167</v>
      </c>
      <c r="F335" s="114">
        <v>370</v>
      </c>
      <c r="G335" s="114">
        <v>1</v>
      </c>
      <c r="H335" s="114">
        <v>4000</v>
      </c>
      <c r="I335" s="114">
        <v>4000</v>
      </c>
      <c r="J335" s="114">
        <v>3361</v>
      </c>
      <c r="K335" s="114">
        <v>639</v>
      </c>
      <c r="L335" s="114" t="str">
        <f t="shared" si="5"/>
        <v>INSERT INTO DETALLES_DOCUMENTO(NRO_DOCUMENTO,ID_TIPO,ID_PRODUCTO,CANTIDAD,PRECIO,VALOR_BRUTO,VALOR_NETO,VALOR_IVA) VALUES(145,1,370,1,4000,4000,3361,639);</v>
      </c>
    </row>
    <row r="336" spans="1:12">
      <c r="A336" s="114">
        <v>1</v>
      </c>
      <c r="B336" s="114">
        <v>145</v>
      </c>
      <c r="C336" s="139" t="s">
        <v>2193</v>
      </c>
      <c r="D336" s="114" t="s">
        <v>2090</v>
      </c>
      <c r="E336" s="114">
        <v>167</v>
      </c>
      <c r="F336" s="114">
        <v>274</v>
      </c>
      <c r="G336" s="114">
        <v>1</v>
      </c>
      <c r="H336" s="114">
        <v>7500</v>
      </c>
      <c r="I336" s="114">
        <v>7500</v>
      </c>
      <c r="J336" s="114">
        <v>6303</v>
      </c>
      <c r="K336" s="114">
        <v>1197</v>
      </c>
      <c r="L336" s="114" t="str">
        <f t="shared" si="5"/>
        <v>INSERT INTO DETALLES_DOCUMENTO(NRO_DOCUMENTO,ID_TIPO,ID_PRODUCTO,CANTIDAD,PRECIO,VALOR_BRUTO,VALOR_NETO,VALOR_IVA) VALUES(145,1,274,1,7500,7500,6303,1197);</v>
      </c>
    </row>
    <row r="337" spans="1:12">
      <c r="A337" s="114">
        <v>1</v>
      </c>
      <c r="B337" s="114">
        <v>145</v>
      </c>
      <c r="C337" s="139" t="s">
        <v>2193</v>
      </c>
      <c r="D337" s="114" t="s">
        <v>2090</v>
      </c>
      <c r="E337" s="114">
        <v>167</v>
      </c>
      <c r="F337" s="114">
        <v>98</v>
      </c>
      <c r="G337" s="114">
        <v>1</v>
      </c>
      <c r="H337" s="114">
        <v>3500</v>
      </c>
      <c r="I337" s="114">
        <v>3500</v>
      </c>
      <c r="J337" s="114">
        <v>2941</v>
      </c>
      <c r="K337" s="114">
        <v>559</v>
      </c>
      <c r="L337" s="114" t="str">
        <f t="shared" si="5"/>
        <v>INSERT INTO DETALLES_DOCUMENTO(NRO_DOCUMENTO,ID_TIPO,ID_PRODUCTO,CANTIDAD,PRECIO,VALOR_BRUTO,VALOR_NETO,VALOR_IVA) VALUES(145,1,98,1,3500,3500,2941,559);</v>
      </c>
    </row>
    <row r="338" spans="1:12">
      <c r="A338" s="114">
        <v>1</v>
      </c>
      <c r="B338" s="114">
        <v>146</v>
      </c>
      <c r="C338" s="139" t="s">
        <v>2193</v>
      </c>
      <c r="D338" s="114" t="s">
        <v>2090</v>
      </c>
      <c r="E338" s="114">
        <v>287</v>
      </c>
      <c r="F338" s="114">
        <v>126</v>
      </c>
      <c r="G338" s="114">
        <v>1</v>
      </c>
      <c r="H338" s="114">
        <v>9000</v>
      </c>
      <c r="I338" s="114">
        <v>9000</v>
      </c>
      <c r="J338" s="114">
        <v>7563</v>
      </c>
      <c r="K338" s="114">
        <v>1437</v>
      </c>
      <c r="L338" s="114" t="str">
        <f t="shared" si="5"/>
        <v>INSERT INTO DETALLES_DOCUMENTO(NRO_DOCUMENTO,ID_TIPO,ID_PRODUCTO,CANTIDAD,PRECIO,VALOR_BRUTO,VALOR_NETO,VALOR_IVA) VALUES(146,1,126,1,9000,9000,7563,1437);</v>
      </c>
    </row>
    <row r="339" spans="1:12">
      <c r="A339" s="114">
        <v>1</v>
      </c>
      <c r="B339" s="114">
        <v>146</v>
      </c>
      <c r="C339" s="139" t="s">
        <v>2193</v>
      </c>
      <c r="D339" s="114" t="s">
        <v>2090</v>
      </c>
      <c r="E339" s="114">
        <v>287</v>
      </c>
      <c r="F339" s="114">
        <v>288</v>
      </c>
      <c r="G339" s="114">
        <v>1</v>
      </c>
      <c r="H339" s="114">
        <v>8000</v>
      </c>
      <c r="I339" s="114">
        <v>8000</v>
      </c>
      <c r="J339" s="114">
        <v>6723</v>
      </c>
      <c r="K339" s="114">
        <v>1277</v>
      </c>
      <c r="L339" s="114" t="str">
        <f t="shared" si="5"/>
        <v>INSERT INTO DETALLES_DOCUMENTO(NRO_DOCUMENTO,ID_TIPO,ID_PRODUCTO,CANTIDAD,PRECIO,VALOR_BRUTO,VALOR_NETO,VALOR_IVA) VALUES(146,1,288,1,8000,8000,6723,1277);</v>
      </c>
    </row>
    <row r="340" spans="1:12">
      <c r="A340" s="114">
        <v>1</v>
      </c>
      <c r="B340" s="114">
        <v>147</v>
      </c>
      <c r="C340" s="139" t="s">
        <v>2193</v>
      </c>
      <c r="D340" s="114" t="s">
        <v>2090</v>
      </c>
      <c r="E340" s="114">
        <v>306</v>
      </c>
      <c r="F340" s="114">
        <v>324</v>
      </c>
      <c r="G340" s="114">
        <v>2</v>
      </c>
      <c r="H340" s="114">
        <v>21000</v>
      </c>
      <c r="I340" s="114">
        <v>42000</v>
      </c>
      <c r="J340" s="114">
        <v>35294</v>
      </c>
      <c r="K340" s="114">
        <v>6706</v>
      </c>
      <c r="L340" s="114" t="str">
        <f t="shared" si="5"/>
        <v>INSERT INTO DETALLES_DOCUMENTO(NRO_DOCUMENTO,ID_TIPO,ID_PRODUCTO,CANTIDAD,PRECIO,VALOR_BRUTO,VALOR_NETO,VALOR_IVA) VALUES(147,1,324,2,21000,42000,35294,6706);</v>
      </c>
    </row>
    <row r="341" spans="1:12">
      <c r="A341" s="114">
        <v>1</v>
      </c>
      <c r="B341" s="114">
        <v>147</v>
      </c>
      <c r="C341" s="139" t="s">
        <v>2193</v>
      </c>
      <c r="D341" s="114" t="s">
        <v>2090</v>
      </c>
      <c r="E341" s="114">
        <v>306</v>
      </c>
      <c r="F341" s="114">
        <v>263</v>
      </c>
      <c r="G341" s="114">
        <v>1</v>
      </c>
      <c r="H341" s="114">
        <v>8000</v>
      </c>
      <c r="I341" s="114">
        <v>8000</v>
      </c>
      <c r="J341" s="114">
        <v>6723</v>
      </c>
      <c r="K341" s="114">
        <v>1277</v>
      </c>
      <c r="L341" s="114" t="str">
        <f t="shared" si="5"/>
        <v>INSERT INTO DETALLES_DOCUMENTO(NRO_DOCUMENTO,ID_TIPO,ID_PRODUCTO,CANTIDAD,PRECIO,VALOR_BRUTO,VALOR_NETO,VALOR_IVA) VALUES(147,1,263,1,8000,8000,6723,1277);</v>
      </c>
    </row>
    <row r="342" spans="1:12">
      <c r="A342" s="114">
        <v>1</v>
      </c>
      <c r="B342" s="114">
        <v>147</v>
      </c>
      <c r="C342" s="139" t="s">
        <v>2193</v>
      </c>
      <c r="D342" s="114" t="s">
        <v>2090</v>
      </c>
      <c r="E342" s="114">
        <v>306</v>
      </c>
      <c r="F342" s="114">
        <v>7</v>
      </c>
      <c r="G342" s="114">
        <v>1</v>
      </c>
      <c r="H342" s="114">
        <v>7000</v>
      </c>
      <c r="I342" s="114">
        <v>7000</v>
      </c>
      <c r="J342" s="114">
        <v>5882</v>
      </c>
      <c r="K342" s="114">
        <v>1118</v>
      </c>
      <c r="L342" s="114" t="str">
        <f t="shared" si="5"/>
        <v>INSERT INTO DETALLES_DOCUMENTO(NRO_DOCUMENTO,ID_TIPO,ID_PRODUCTO,CANTIDAD,PRECIO,VALOR_BRUTO,VALOR_NETO,VALOR_IVA) VALUES(147,1,7,1,7000,7000,5882,1118);</v>
      </c>
    </row>
    <row r="343" spans="1:12">
      <c r="A343" s="114">
        <v>1</v>
      </c>
      <c r="B343" s="114">
        <v>148</v>
      </c>
      <c r="C343" s="139" t="s">
        <v>2193</v>
      </c>
      <c r="D343" s="114" t="s">
        <v>2090</v>
      </c>
      <c r="E343" s="114">
        <v>315</v>
      </c>
      <c r="F343" s="114">
        <v>143</v>
      </c>
      <c r="G343" s="114">
        <v>1</v>
      </c>
      <c r="H343" s="114">
        <v>6300</v>
      </c>
      <c r="I343" s="114">
        <v>6300</v>
      </c>
      <c r="J343" s="114">
        <v>5294</v>
      </c>
      <c r="K343" s="114">
        <v>1006</v>
      </c>
      <c r="L343" s="114" t="str">
        <f t="shared" si="5"/>
        <v>INSERT INTO DETALLES_DOCUMENTO(NRO_DOCUMENTO,ID_TIPO,ID_PRODUCTO,CANTIDAD,PRECIO,VALOR_BRUTO,VALOR_NETO,VALOR_IVA) VALUES(148,1,143,1,6300,6300,5294,1006);</v>
      </c>
    </row>
    <row r="344" spans="1:12">
      <c r="A344" s="114">
        <v>1</v>
      </c>
      <c r="B344" s="114">
        <v>148</v>
      </c>
      <c r="C344" s="139" t="s">
        <v>2193</v>
      </c>
      <c r="D344" s="114" t="s">
        <v>2090</v>
      </c>
      <c r="E344" s="114">
        <v>315</v>
      </c>
      <c r="F344" s="114">
        <v>329</v>
      </c>
      <c r="G344" s="114">
        <v>1</v>
      </c>
      <c r="H344" s="114">
        <v>5500</v>
      </c>
      <c r="I344" s="114">
        <v>5500</v>
      </c>
      <c r="J344" s="114">
        <v>4622</v>
      </c>
      <c r="K344" s="114">
        <v>878</v>
      </c>
      <c r="L344" s="114" t="str">
        <f t="shared" si="5"/>
        <v>INSERT INTO DETALLES_DOCUMENTO(NRO_DOCUMENTO,ID_TIPO,ID_PRODUCTO,CANTIDAD,PRECIO,VALOR_BRUTO,VALOR_NETO,VALOR_IVA) VALUES(148,1,329,1,5500,5500,4622,878);</v>
      </c>
    </row>
    <row r="345" spans="1:12">
      <c r="A345" s="114">
        <v>1</v>
      </c>
      <c r="B345" s="114">
        <v>149</v>
      </c>
      <c r="C345" s="139" t="s">
        <v>2193</v>
      </c>
      <c r="D345" s="114" t="s">
        <v>2090</v>
      </c>
      <c r="E345" s="114">
        <v>374</v>
      </c>
      <c r="F345" s="114">
        <v>324</v>
      </c>
      <c r="G345" s="114">
        <v>1</v>
      </c>
      <c r="H345" s="114">
        <v>10500</v>
      </c>
      <c r="I345" s="114">
        <v>10500</v>
      </c>
      <c r="J345" s="114">
        <v>8824</v>
      </c>
      <c r="K345" s="114">
        <v>1676</v>
      </c>
      <c r="L345" s="114" t="str">
        <f t="shared" si="5"/>
        <v>INSERT INTO DETALLES_DOCUMENTO(NRO_DOCUMENTO,ID_TIPO,ID_PRODUCTO,CANTIDAD,PRECIO,VALOR_BRUTO,VALOR_NETO,VALOR_IVA) VALUES(149,1,324,1,10500,10500,8824,1676);</v>
      </c>
    </row>
    <row r="346" spans="1:12">
      <c r="A346" s="114">
        <v>1</v>
      </c>
      <c r="B346" s="114">
        <v>149</v>
      </c>
      <c r="C346" s="139" t="s">
        <v>2193</v>
      </c>
      <c r="D346" s="114" t="s">
        <v>2090</v>
      </c>
      <c r="E346" s="114">
        <v>374</v>
      </c>
      <c r="F346" s="114">
        <v>180</v>
      </c>
      <c r="G346" s="114">
        <v>1</v>
      </c>
      <c r="H346" s="114">
        <v>4000</v>
      </c>
      <c r="I346" s="114">
        <v>4000</v>
      </c>
      <c r="J346" s="114">
        <v>3361</v>
      </c>
      <c r="K346" s="114">
        <v>639</v>
      </c>
      <c r="L346" s="114" t="str">
        <f t="shared" si="5"/>
        <v>INSERT INTO DETALLES_DOCUMENTO(NRO_DOCUMENTO,ID_TIPO,ID_PRODUCTO,CANTIDAD,PRECIO,VALOR_BRUTO,VALOR_NETO,VALOR_IVA) VALUES(149,1,180,1,4000,4000,3361,639);</v>
      </c>
    </row>
    <row r="347" spans="1:12">
      <c r="A347" s="114">
        <v>1</v>
      </c>
      <c r="B347" s="114">
        <v>150</v>
      </c>
      <c r="C347" s="139" t="s">
        <v>2193</v>
      </c>
      <c r="D347" s="114" t="s">
        <v>2090</v>
      </c>
      <c r="E347" s="114">
        <v>400</v>
      </c>
      <c r="F347" s="114">
        <v>122</v>
      </c>
      <c r="G347" s="114">
        <v>1</v>
      </c>
      <c r="H347" s="114">
        <v>6000</v>
      </c>
      <c r="I347" s="114">
        <v>6000</v>
      </c>
      <c r="J347" s="114">
        <v>5042</v>
      </c>
      <c r="K347" s="114">
        <v>958</v>
      </c>
      <c r="L347" s="114" t="str">
        <f t="shared" si="5"/>
        <v>INSERT INTO DETALLES_DOCUMENTO(NRO_DOCUMENTO,ID_TIPO,ID_PRODUCTO,CANTIDAD,PRECIO,VALOR_BRUTO,VALOR_NETO,VALOR_IVA) VALUES(150,1,122,1,6000,6000,5042,958);</v>
      </c>
    </row>
    <row r="348" spans="1:12">
      <c r="A348" s="114">
        <v>1</v>
      </c>
      <c r="B348" s="114">
        <v>151</v>
      </c>
      <c r="C348" s="139" t="s">
        <v>2193</v>
      </c>
      <c r="D348" s="114" t="s">
        <v>2090</v>
      </c>
      <c r="E348" s="114">
        <v>443</v>
      </c>
      <c r="F348" s="114">
        <v>303</v>
      </c>
      <c r="G348" s="114">
        <v>1</v>
      </c>
      <c r="H348" s="114">
        <v>2400</v>
      </c>
      <c r="I348" s="114">
        <v>2400</v>
      </c>
      <c r="J348" s="114">
        <v>2017</v>
      </c>
      <c r="K348" s="114">
        <v>383</v>
      </c>
      <c r="L348" s="114" t="str">
        <f t="shared" si="5"/>
        <v>INSERT INTO DETALLES_DOCUMENTO(NRO_DOCUMENTO,ID_TIPO,ID_PRODUCTO,CANTIDAD,PRECIO,VALOR_BRUTO,VALOR_NETO,VALOR_IVA) VALUES(151,1,303,1,2400,2400,2017,383);</v>
      </c>
    </row>
    <row r="349" spans="1:12">
      <c r="A349" s="114">
        <v>1</v>
      </c>
      <c r="B349" s="114">
        <v>152</v>
      </c>
      <c r="C349" s="139" t="s">
        <v>2194</v>
      </c>
      <c r="D349" s="114" t="s">
        <v>2090</v>
      </c>
      <c r="E349" s="114">
        <v>54</v>
      </c>
      <c r="F349" s="114">
        <v>367</v>
      </c>
      <c r="G349" s="114">
        <v>2</v>
      </c>
      <c r="H349" s="114">
        <v>3000</v>
      </c>
      <c r="I349" s="114">
        <v>6000</v>
      </c>
      <c r="J349" s="114">
        <v>5042</v>
      </c>
      <c r="K349" s="114">
        <v>958</v>
      </c>
      <c r="L349" s="114" t="str">
        <f t="shared" si="5"/>
        <v>INSERT INTO DETALLES_DOCUMENTO(NRO_DOCUMENTO,ID_TIPO,ID_PRODUCTO,CANTIDAD,PRECIO,VALOR_BRUTO,VALOR_NETO,VALOR_IVA) VALUES(152,1,367,2,3000,6000,5042,958);</v>
      </c>
    </row>
    <row r="350" spans="1:12">
      <c r="A350" s="114">
        <v>1</v>
      </c>
      <c r="B350" s="114">
        <v>152</v>
      </c>
      <c r="C350" s="139" t="s">
        <v>2194</v>
      </c>
      <c r="D350" s="114" t="s">
        <v>2090</v>
      </c>
      <c r="E350" s="114">
        <v>54</v>
      </c>
      <c r="F350" s="114">
        <v>118</v>
      </c>
      <c r="G350" s="114">
        <v>1</v>
      </c>
      <c r="H350" s="114">
        <v>3500</v>
      </c>
      <c r="I350" s="114">
        <v>3500</v>
      </c>
      <c r="J350" s="114">
        <v>2941</v>
      </c>
      <c r="K350" s="114">
        <v>559</v>
      </c>
      <c r="L350" s="114" t="str">
        <f t="shared" si="5"/>
        <v>INSERT INTO DETALLES_DOCUMENTO(NRO_DOCUMENTO,ID_TIPO,ID_PRODUCTO,CANTIDAD,PRECIO,VALOR_BRUTO,VALOR_NETO,VALOR_IVA) VALUES(152,1,118,1,3500,3500,2941,559);</v>
      </c>
    </row>
    <row r="351" spans="1:12">
      <c r="A351" s="114">
        <v>1</v>
      </c>
      <c r="B351" s="114">
        <v>152</v>
      </c>
      <c r="C351" s="139" t="s">
        <v>2194</v>
      </c>
      <c r="D351" s="114" t="s">
        <v>2090</v>
      </c>
      <c r="E351" s="114">
        <v>54</v>
      </c>
      <c r="F351" s="114">
        <v>125</v>
      </c>
      <c r="G351" s="114">
        <v>1</v>
      </c>
      <c r="H351" s="114">
        <v>1700</v>
      </c>
      <c r="I351" s="114">
        <v>1700</v>
      </c>
      <c r="J351" s="114">
        <v>1429</v>
      </c>
      <c r="K351" s="114">
        <v>271</v>
      </c>
      <c r="L351" s="114" t="str">
        <f t="shared" si="5"/>
        <v>INSERT INTO DETALLES_DOCUMENTO(NRO_DOCUMENTO,ID_TIPO,ID_PRODUCTO,CANTIDAD,PRECIO,VALOR_BRUTO,VALOR_NETO,VALOR_IVA) VALUES(152,1,125,1,1700,1700,1429,271);</v>
      </c>
    </row>
    <row r="352" spans="1:12">
      <c r="A352" s="114">
        <v>1</v>
      </c>
      <c r="B352" s="114">
        <v>153</v>
      </c>
      <c r="C352" s="139" t="s">
        <v>2194</v>
      </c>
      <c r="D352" s="114" t="s">
        <v>2090</v>
      </c>
      <c r="E352" s="114">
        <v>152</v>
      </c>
      <c r="F352" s="114">
        <v>120</v>
      </c>
      <c r="G352" s="114">
        <v>2</v>
      </c>
      <c r="H352" s="114">
        <v>3400</v>
      </c>
      <c r="I352" s="114">
        <v>6800</v>
      </c>
      <c r="J352" s="114">
        <v>5714</v>
      </c>
      <c r="K352" s="114">
        <v>1086</v>
      </c>
      <c r="L352" s="114" t="str">
        <f t="shared" si="5"/>
        <v>INSERT INTO DETALLES_DOCUMENTO(NRO_DOCUMENTO,ID_TIPO,ID_PRODUCTO,CANTIDAD,PRECIO,VALOR_BRUTO,VALOR_NETO,VALOR_IVA) VALUES(153,1,120,2,3400,6800,5714,1086);</v>
      </c>
    </row>
    <row r="353" spans="1:12">
      <c r="A353" s="114">
        <v>1</v>
      </c>
      <c r="B353" s="114">
        <v>154</v>
      </c>
      <c r="C353" s="139" t="s">
        <v>2194</v>
      </c>
      <c r="D353" s="114" t="s">
        <v>2090</v>
      </c>
      <c r="E353" s="114">
        <v>187</v>
      </c>
      <c r="F353" s="114">
        <v>167</v>
      </c>
      <c r="G353" s="114">
        <v>2</v>
      </c>
      <c r="H353" s="114">
        <v>16400</v>
      </c>
      <c r="I353" s="114">
        <v>32800</v>
      </c>
      <c r="J353" s="114">
        <v>27563</v>
      </c>
      <c r="K353" s="114">
        <v>5237</v>
      </c>
      <c r="L353" s="114" t="str">
        <f t="shared" si="5"/>
        <v>INSERT INTO DETALLES_DOCUMENTO(NRO_DOCUMENTO,ID_TIPO,ID_PRODUCTO,CANTIDAD,PRECIO,VALOR_BRUTO,VALOR_NETO,VALOR_IVA) VALUES(154,1,167,2,16400,32800,27563,5237);</v>
      </c>
    </row>
    <row r="354" spans="1:12">
      <c r="A354" s="114">
        <v>1</v>
      </c>
      <c r="B354" s="114">
        <v>155</v>
      </c>
      <c r="C354" s="139" t="s">
        <v>2194</v>
      </c>
      <c r="D354" s="114" t="s">
        <v>2090</v>
      </c>
      <c r="E354" s="114">
        <v>278</v>
      </c>
      <c r="F354" s="114">
        <v>324</v>
      </c>
      <c r="G354" s="114">
        <v>2</v>
      </c>
      <c r="H354" s="114">
        <v>21000</v>
      </c>
      <c r="I354" s="114">
        <v>42000</v>
      </c>
      <c r="J354" s="114">
        <v>35294</v>
      </c>
      <c r="K354" s="114">
        <v>6706</v>
      </c>
      <c r="L354" s="114" t="str">
        <f t="shared" si="5"/>
        <v>INSERT INTO DETALLES_DOCUMENTO(NRO_DOCUMENTO,ID_TIPO,ID_PRODUCTO,CANTIDAD,PRECIO,VALOR_BRUTO,VALOR_NETO,VALOR_IVA) VALUES(155,1,324,2,21000,42000,35294,6706);</v>
      </c>
    </row>
    <row r="355" spans="1:12">
      <c r="A355" s="114">
        <v>1</v>
      </c>
      <c r="B355" s="114">
        <v>155</v>
      </c>
      <c r="C355" s="139" t="s">
        <v>2194</v>
      </c>
      <c r="D355" s="114" t="s">
        <v>2090</v>
      </c>
      <c r="E355" s="114">
        <v>278</v>
      </c>
      <c r="F355" s="114">
        <v>120</v>
      </c>
      <c r="G355" s="114">
        <v>1</v>
      </c>
      <c r="H355" s="114">
        <v>1700</v>
      </c>
      <c r="I355" s="114">
        <v>1700</v>
      </c>
      <c r="J355" s="114">
        <v>1429</v>
      </c>
      <c r="K355" s="114">
        <v>271</v>
      </c>
      <c r="L355" s="114" t="str">
        <f t="shared" si="5"/>
        <v>INSERT INTO DETALLES_DOCUMENTO(NRO_DOCUMENTO,ID_TIPO,ID_PRODUCTO,CANTIDAD,PRECIO,VALOR_BRUTO,VALOR_NETO,VALOR_IVA) VALUES(155,1,120,1,1700,1700,1429,271);</v>
      </c>
    </row>
    <row r="356" spans="1:12">
      <c r="A356" s="114">
        <v>1</v>
      </c>
      <c r="B356" s="114">
        <v>155</v>
      </c>
      <c r="C356" s="139" t="s">
        <v>2194</v>
      </c>
      <c r="D356" s="114" t="s">
        <v>2090</v>
      </c>
      <c r="E356" s="114">
        <v>278</v>
      </c>
      <c r="F356" s="114">
        <v>379</v>
      </c>
      <c r="G356" s="114">
        <v>2</v>
      </c>
      <c r="H356" s="114">
        <v>4000</v>
      </c>
      <c r="I356" s="114">
        <v>8000</v>
      </c>
      <c r="J356" s="114">
        <v>6723</v>
      </c>
      <c r="K356" s="114">
        <v>1277</v>
      </c>
      <c r="L356" s="114" t="str">
        <f t="shared" si="5"/>
        <v>INSERT INTO DETALLES_DOCUMENTO(NRO_DOCUMENTO,ID_TIPO,ID_PRODUCTO,CANTIDAD,PRECIO,VALOR_BRUTO,VALOR_NETO,VALOR_IVA) VALUES(155,1,379,2,4000,8000,6723,1277);</v>
      </c>
    </row>
    <row r="357" spans="1:12">
      <c r="A357" s="114">
        <v>1</v>
      </c>
      <c r="B357" s="114">
        <v>155</v>
      </c>
      <c r="C357" s="139" t="s">
        <v>2194</v>
      </c>
      <c r="D357" s="114" t="s">
        <v>2090</v>
      </c>
      <c r="E357" s="114">
        <v>278</v>
      </c>
      <c r="F357" s="114">
        <v>125</v>
      </c>
      <c r="G357" s="114">
        <v>1</v>
      </c>
      <c r="H357" s="114">
        <v>1700</v>
      </c>
      <c r="I357" s="114">
        <v>1700</v>
      </c>
      <c r="J357" s="114">
        <v>1429</v>
      </c>
      <c r="K357" s="114">
        <v>271</v>
      </c>
      <c r="L357" s="114" t="str">
        <f t="shared" si="5"/>
        <v>INSERT INTO DETALLES_DOCUMENTO(NRO_DOCUMENTO,ID_TIPO,ID_PRODUCTO,CANTIDAD,PRECIO,VALOR_BRUTO,VALOR_NETO,VALOR_IVA) VALUES(155,1,125,1,1700,1700,1429,271);</v>
      </c>
    </row>
    <row r="358" spans="1:12">
      <c r="A358" s="114">
        <v>1</v>
      </c>
      <c r="B358" s="114">
        <v>155</v>
      </c>
      <c r="C358" s="139" t="s">
        <v>2194</v>
      </c>
      <c r="D358" s="114" t="s">
        <v>2090</v>
      </c>
      <c r="E358" s="114">
        <v>278</v>
      </c>
      <c r="F358" s="114">
        <v>25</v>
      </c>
      <c r="G358" s="114">
        <v>1</v>
      </c>
      <c r="H358" s="114">
        <v>1800</v>
      </c>
      <c r="I358" s="114">
        <v>1800</v>
      </c>
      <c r="J358" s="114">
        <v>1513</v>
      </c>
      <c r="K358" s="114">
        <v>287</v>
      </c>
      <c r="L358" s="114" t="str">
        <f t="shared" si="5"/>
        <v>INSERT INTO DETALLES_DOCUMENTO(NRO_DOCUMENTO,ID_TIPO,ID_PRODUCTO,CANTIDAD,PRECIO,VALOR_BRUTO,VALOR_NETO,VALOR_IVA) VALUES(155,1,25,1,1800,1800,1513,287);</v>
      </c>
    </row>
    <row r="359" spans="1:12">
      <c r="A359" s="114">
        <v>1</v>
      </c>
      <c r="B359" s="114">
        <v>155</v>
      </c>
      <c r="C359" s="139" t="s">
        <v>2194</v>
      </c>
      <c r="D359" s="114" t="s">
        <v>2090</v>
      </c>
      <c r="E359" s="114">
        <v>278</v>
      </c>
      <c r="F359" s="114">
        <v>354</v>
      </c>
      <c r="G359" s="114">
        <v>1</v>
      </c>
      <c r="H359" s="114">
        <v>1800</v>
      </c>
      <c r="I359" s="114">
        <v>1800</v>
      </c>
      <c r="J359" s="114">
        <v>1513</v>
      </c>
      <c r="K359" s="114">
        <v>287</v>
      </c>
      <c r="L359" s="114" t="str">
        <f t="shared" si="5"/>
        <v>INSERT INTO DETALLES_DOCUMENTO(NRO_DOCUMENTO,ID_TIPO,ID_PRODUCTO,CANTIDAD,PRECIO,VALOR_BRUTO,VALOR_NETO,VALOR_IVA) VALUES(155,1,354,1,1800,1800,1513,287);</v>
      </c>
    </row>
    <row r="360" spans="1:12">
      <c r="A360" s="114">
        <v>1</v>
      </c>
      <c r="B360" s="114">
        <v>156</v>
      </c>
      <c r="C360" s="139" t="s">
        <v>2194</v>
      </c>
      <c r="D360" s="114" t="s">
        <v>2090</v>
      </c>
      <c r="E360" s="114">
        <v>285</v>
      </c>
      <c r="F360" s="114">
        <v>230</v>
      </c>
      <c r="G360" s="114">
        <v>1</v>
      </c>
      <c r="H360" s="114">
        <v>15500</v>
      </c>
      <c r="I360" s="114">
        <v>15500</v>
      </c>
      <c r="J360" s="114">
        <v>13025</v>
      </c>
      <c r="K360" s="114">
        <v>2475</v>
      </c>
      <c r="L360" s="114" t="str">
        <f t="shared" si="5"/>
        <v>INSERT INTO DETALLES_DOCUMENTO(NRO_DOCUMENTO,ID_TIPO,ID_PRODUCTO,CANTIDAD,PRECIO,VALOR_BRUTO,VALOR_NETO,VALOR_IVA) VALUES(156,1,230,1,15500,15500,13025,2475);</v>
      </c>
    </row>
    <row r="361" spans="1:12">
      <c r="A361" s="114">
        <v>1</v>
      </c>
      <c r="B361" s="114">
        <v>156</v>
      </c>
      <c r="C361" s="139" t="s">
        <v>2194</v>
      </c>
      <c r="D361" s="114" t="s">
        <v>2090</v>
      </c>
      <c r="E361" s="114">
        <v>285</v>
      </c>
      <c r="F361" s="114">
        <v>368</v>
      </c>
      <c r="G361" s="114">
        <v>1</v>
      </c>
      <c r="H361" s="114">
        <v>3000</v>
      </c>
      <c r="I361" s="114">
        <v>3000</v>
      </c>
      <c r="J361" s="114">
        <v>2521</v>
      </c>
      <c r="K361" s="114">
        <v>479</v>
      </c>
      <c r="L361" s="114" t="str">
        <f t="shared" si="5"/>
        <v>INSERT INTO DETALLES_DOCUMENTO(NRO_DOCUMENTO,ID_TIPO,ID_PRODUCTO,CANTIDAD,PRECIO,VALOR_BRUTO,VALOR_NETO,VALOR_IVA) VALUES(156,1,368,1,3000,3000,2521,479);</v>
      </c>
    </row>
    <row r="362" spans="1:12">
      <c r="A362" s="114">
        <v>1</v>
      </c>
      <c r="B362" s="114">
        <v>156</v>
      </c>
      <c r="C362" s="139" t="s">
        <v>2194</v>
      </c>
      <c r="D362" s="114" t="s">
        <v>2090</v>
      </c>
      <c r="E362" s="114">
        <v>285</v>
      </c>
      <c r="F362" s="114">
        <v>367</v>
      </c>
      <c r="G362" s="114">
        <v>1</v>
      </c>
      <c r="H362" s="114">
        <v>1500</v>
      </c>
      <c r="I362" s="114">
        <v>1500</v>
      </c>
      <c r="J362" s="114">
        <v>1261</v>
      </c>
      <c r="K362" s="114">
        <v>239</v>
      </c>
      <c r="L362" s="114" t="str">
        <f t="shared" si="5"/>
        <v>INSERT INTO DETALLES_DOCUMENTO(NRO_DOCUMENTO,ID_TIPO,ID_PRODUCTO,CANTIDAD,PRECIO,VALOR_BRUTO,VALOR_NETO,VALOR_IVA) VALUES(156,1,367,1,1500,1500,1261,239);</v>
      </c>
    </row>
    <row r="363" spans="1:12">
      <c r="A363" s="114">
        <v>1</v>
      </c>
      <c r="B363" s="114">
        <v>156</v>
      </c>
      <c r="C363" s="139" t="s">
        <v>2194</v>
      </c>
      <c r="D363" s="114" t="s">
        <v>2090</v>
      </c>
      <c r="E363" s="114">
        <v>285</v>
      </c>
      <c r="F363" s="114">
        <v>274</v>
      </c>
      <c r="G363" s="114">
        <v>1</v>
      </c>
      <c r="H363" s="114">
        <v>7500</v>
      </c>
      <c r="I363" s="114">
        <v>7500</v>
      </c>
      <c r="J363" s="114">
        <v>6303</v>
      </c>
      <c r="K363" s="114">
        <v>1197</v>
      </c>
      <c r="L363" s="114" t="str">
        <f t="shared" si="5"/>
        <v>INSERT INTO DETALLES_DOCUMENTO(NRO_DOCUMENTO,ID_TIPO,ID_PRODUCTO,CANTIDAD,PRECIO,VALOR_BRUTO,VALOR_NETO,VALOR_IVA) VALUES(156,1,274,1,7500,7500,6303,1197);</v>
      </c>
    </row>
    <row r="364" spans="1:12">
      <c r="A364" s="114">
        <v>1</v>
      </c>
      <c r="B364" s="114">
        <v>157</v>
      </c>
      <c r="C364" s="139" t="s">
        <v>2194</v>
      </c>
      <c r="D364" s="114" t="s">
        <v>2090</v>
      </c>
      <c r="E364" s="114">
        <v>302</v>
      </c>
      <c r="F364" s="114">
        <v>324</v>
      </c>
      <c r="G364" s="114">
        <v>1</v>
      </c>
      <c r="H364" s="114">
        <v>10500</v>
      </c>
      <c r="I364" s="114">
        <v>10500</v>
      </c>
      <c r="J364" s="114">
        <v>8824</v>
      </c>
      <c r="K364" s="114">
        <v>1676</v>
      </c>
      <c r="L364" s="114" t="str">
        <f t="shared" si="5"/>
        <v>INSERT INTO DETALLES_DOCUMENTO(NRO_DOCUMENTO,ID_TIPO,ID_PRODUCTO,CANTIDAD,PRECIO,VALOR_BRUTO,VALOR_NETO,VALOR_IVA) VALUES(157,1,324,1,10500,10500,8824,1676);</v>
      </c>
    </row>
    <row r="365" spans="1:12">
      <c r="A365" s="114">
        <v>1</v>
      </c>
      <c r="B365" s="114">
        <v>157</v>
      </c>
      <c r="C365" s="139" t="s">
        <v>2194</v>
      </c>
      <c r="D365" s="114" t="s">
        <v>2090</v>
      </c>
      <c r="E365" s="114">
        <v>302</v>
      </c>
      <c r="F365" s="114">
        <v>143</v>
      </c>
      <c r="G365" s="114">
        <v>1</v>
      </c>
      <c r="H365" s="114">
        <v>6300</v>
      </c>
      <c r="I365" s="114">
        <v>6300</v>
      </c>
      <c r="J365" s="114">
        <v>5294</v>
      </c>
      <c r="K365" s="114">
        <v>1006</v>
      </c>
      <c r="L365" s="114" t="str">
        <f t="shared" si="5"/>
        <v>INSERT INTO DETALLES_DOCUMENTO(NRO_DOCUMENTO,ID_TIPO,ID_PRODUCTO,CANTIDAD,PRECIO,VALOR_BRUTO,VALOR_NETO,VALOR_IVA) VALUES(157,1,143,1,6300,6300,5294,1006);</v>
      </c>
    </row>
    <row r="366" spans="1:12">
      <c r="A366" s="114">
        <v>1</v>
      </c>
      <c r="B366" s="114">
        <v>158</v>
      </c>
      <c r="C366" s="139" t="s">
        <v>2194</v>
      </c>
      <c r="D366" s="114" t="s">
        <v>2090</v>
      </c>
      <c r="E366" s="114">
        <v>312</v>
      </c>
      <c r="F366" s="114">
        <v>143</v>
      </c>
      <c r="G366" s="114">
        <v>1</v>
      </c>
      <c r="H366" s="114">
        <v>6300</v>
      </c>
      <c r="I366" s="114">
        <v>6300</v>
      </c>
      <c r="J366" s="114">
        <v>5294</v>
      </c>
      <c r="K366" s="114">
        <v>1006</v>
      </c>
      <c r="L366" s="114" t="str">
        <f t="shared" si="5"/>
        <v>INSERT INTO DETALLES_DOCUMENTO(NRO_DOCUMENTO,ID_TIPO,ID_PRODUCTO,CANTIDAD,PRECIO,VALOR_BRUTO,VALOR_NETO,VALOR_IVA) VALUES(158,1,143,1,6300,6300,5294,1006);</v>
      </c>
    </row>
    <row r="367" spans="1:12">
      <c r="A367" s="114">
        <v>1</v>
      </c>
      <c r="B367" s="114">
        <v>158</v>
      </c>
      <c r="C367" s="139" t="s">
        <v>2194</v>
      </c>
      <c r="D367" s="114" t="s">
        <v>2090</v>
      </c>
      <c r="E367" s="114">
        <v>312</v>
      </c>
      <c r="F367" s="114">
        <v>112</v>
      </c>
      <c r="G367" s="114">
        <v>1</v>
      </c>
      <c r="H367" s="114">
        <v>300</v>
      </c>
      <c r="I367" s="114">
        <v>300</v>
      </c>
      <c r="J367" s="114">
        <v>252</v>
      </c>
      <c r="K367" s="114">
        <v>48</v>
      </c>
      <c r="L367" s="114" t="str">
        <f t="shared" si="5"/>
        <v>INSERT INTO DETALLES_DOCUMENTO(NRO_DOCUMENTO,ID_TIPO,ID_PRODUCTO,CANTIDAD,PRECIO,VALOR_BRUTO,VALOR_NETO,VALOR_IVA) VALUES(158,1,112,1,300,300,252,48);</v>
      </c>
    </row>
    <row r="368" spans="1:12">
      <c r="A368" s="114">
        <v>1</v>
      </c>
      <c r="B368" s="114">
        <v>158</v>
      </c>
      <c r="C368" s="139" t="s">
        <v>2194</v>
      </c>
      <c r="D368" s="114" t="s">
        <v>2090</v>
      </c>
      <c r="E368" s="114">
        <v>312</v>
      </c>
      <c r="F368" s="114">
        <v>144</v>
      </c>
      <c r="G368" s="114">
        <v>-1</v>
      </c>
      <c r="H368" s="114">
        <v>-6000</v>
      </c>
      <c r="I368" s="114">
        <v>6000</v>
      </c>
      <c r="J368" s="114">
        <v>5042</v>
      </c>
      <c r="K368" s="114">
        <v>958</v>
      </c>
      <c r="L368" s="114" t="str">
        <f t="shared" si="5"/>
        <v>INSERT INTO DETALLES_DOCUMENTO(NRO_DOCUMENTO,ID_TIPO,ID_PRODUCTO,CANTIDAD,PRECIO,VALOR_BRUTO,VALOR_NETO,VALOR_IVA) VALUES(158,1,144,-1,-6000,6000,5042,958);</v>
      </c>
    </row>
    <row r="369" spans="1:12">
      <c r="A369" s="114">
        <v>1</v>
      </c>
      <c r="B369" s="114">
        <v>159</v>
      </c>
      <c r="C369" s="139" t="s">
        <v>2194</v>
      </c>
      <c r="D369" s="114" t="s">
        <v>2090</v>
      </c>
      <c r="E369" s="114">
        <v>397</v>
      </c>
      <c r="F369" s="114">
        <v>324</v>
      </c>
      <c r="G369" s="114">
        <v>1</v>
      </c>
      <c r="H369" s="114">
        <v>10500</v>
      </c>
      <c r="I369" s="114">
        <v>10500</v>
      </c>
      <c r="J369" s="114">
        <v>8824</v>
      </c>
      <c r="K369" s="114">
        <v>1676</v>
      </c>
      <c r="L369" s="114" t="str">
        <f t="shared" si="5"/>
        <v>INSERT INTO DETALLES_DOCUMENTO(NRO_DOCUMENTO,ID_TIPO,ID_PRODUCTO,CANTIDAD,PRECIO,VALOR_BRUTO,VALOR_NETO,VALOR_IVA) VALUES(159,1,324,1,10500,10500,8824,1676);</v>
      </c>
    </row>
    <row r="370" spans="1:12">
      <c r="A370" s="114">
        <v>1</v>
      </c>
      <c r="B370" s="114">
        <v>159</v>
      </c>
      <c r="C370" s="139" t="s">
        <v>2194</v>
      </c>
      <c r="D370" s="114" t="s">
        <v>2090</v>
      </c>
      <c r="E370" s="114">
        <v>397</v>
      </c>
      <c r="F370" s="114">
        <v>276</v>
      </c>
      <c r="G370" s="114">
        <v>1</v>
      </c>
      <c r="H370" s="114">
        <v>8000</v>
      </c>
      <c r="I370" s="114">
        <v>8000</v>
      </c>
      <c r="J370" s="114">
        <v>6723</v>
      </c>
      <c r="K370" s="114">
        <v>1277</v>
      </c>
      <c r="L370" s="114" t="str">
        <f t="shared" si="5"/>
        <v>INSERT INTO DETALLES_DOCUMENTO(NRO_DOCUMENTO,ID_TIPO,ID_PRODUCTO,CANTIDAD,PRECIO,VALOR_BRUTO,VALOR_NETO,VALOR_IVA) VALUES(159,1,276,1,8000,8000,6723,1277);</v>
      </c>
    </row>
    <row r="371" spans="1:12">
      <c r="A371" s="114">
        <v>1</v>
      </c>
      <c r="B371" s="114">
        <v>159</v>
      </c>
      <c r="C371" s="139" t="s">
        <v>2194</v>
      </c>
      <c r="D371" s="114" t="s">
        <v>2090</v>
      </c>
      <c r="E371" s="114">
        <v>397</v>
      </c>
      <c r="F371" s="114">
        <v>162</v>
      </c>
      <c r="G371" s="114">
        <v>1</v>
      </c>
      <c r="H371" s="114">
        <v>1600</v>
      </c>
      <c r="I371" s="114">
        <v>1600</v>
      </c>
      <c r="J371" s="114">
        <v>1345</v>
      </c>
      <c r="K371" s="114">
        <v>255</v>
      </c>
      <c r="L371" s="114" t="str">
        <f t="shared" si="5"/>
        <v>INSERT INTO DETALLES_DOCUMENTO(NRO_DOCUMENTO,ID_TIPO,ID_PRODUCTO,CANTIDAD,PRECIO,VALOR_BRUTO,VALOR_NETO,VALOR_IVA) VALUES(159,1,162,1,1600,1600,1345,255);</v>
      </c>
    </row>
    <row r="372" spans="1:12">
      <c r="A372" s="114">
        <v>1</v>
      </c>
      <c r="B372" s="114">
        <v>160</v>
      </c>
      <c r="C372" s="139" t="s">
        <v>2194</v>
      </c>
      <c r="D372" s="114" t="s">
        <v>2090</v>
      </c>
      <c r="E372" s="114">
        <v>446</v>
      </c>
      <c r="F372" s="114">
        <v>332</v>
      </c>
      <c r="G372" s="114">
        <v>1</v>
      </c>
      <c r="H372" s="114">
        <v>2600</v>
      </c>
      <c r="I372" s="114">
        <v>2600</v>
      </c>
      <c r="J372" s="114">
        <v>2185</v>
      </c>
      <c r="K372" s="114">
        <v>415</v>
      </c>
      <c r="L372" s="114" t="str">
        <f t="shared" si="5"/>
        <v>INSERT INTO DETALLES_DOCUMENTO(NRO_DOCUMENTO,ID_TIPO,ID_PRODUCTO,CANTIDAD,PRECIO,VALOR_BRUTO,VALOR_NETO,VALOR_IVA) VALUES(160,1,332,1,2600,2600,2185,415);</v>
      </c>
    </row>
    <row r="373" spans="1:12">
      <c r="A373" s="114">
        <v>1</v>
      </c>
      <c r="B373" s="114">
        <v>160</v>
      </c>
      <c r="C373" s="139" t="s">
        <v>2194</v>
      </c>
      <c r="D373" s="114" t="s">
        <v>2090</v>
      </c>
      <c r="E373" s="114">
        <v>446</v>
      </c>
      <c r="F373" s="114">
        <v>114</v>
      </c>
      <c r="G373" s="114">
        <v>1</v>
      </c>
      <c r="H373" s="114">
        <v>1600</v>
      </c>
      <c r="I373" s="114">
        <v>1600</v>
      </c>
      <c r="J373" s="114">
        <v>1345</v>
      </c>
      <c r="K373" s="114">
        <v>255</v>
      </c>
      <c r="L373" s="114" t="str">
        <f t="shared" si="5"/>
        <v>INSERT INTO DETALLES_DOCUMENTO(NRO_DOCUMENTO,ID_TIPO,ID_PRODUCTO,CANTIDAD,PRECIO,VALOR_BRUTO,VALOR_NETO,VALOR_IVA) VALUES(160,1,114,1,1600,1600,1345,255);</v>
      </c>
    </row>
    <row r="374" spans="1:12">
      <c r="A374" s="114">
        <v>1</v>
      </c>
      <c r="B374" s="114">
        <v>160</v>
      </c>
      <c r="C374" s="139" t="s">
        <v>2194</v>
      </c>
      <c r="D374" s="114" t="s">
        <v>2090</v>
      </c>
      <c r="E374" s="114">
        <v>446</v>
      </c>
      <c r="F374" s="114">
        <v>69</v>
      </c>
      <c r="G374" s="114">
        <v>1</v>
      </c>
      <c r="H374" s="114">
        <v>3000</v>
      </c>
      <c r="I374" s="114">
        <v>3000</v>
      </c>
      <c r="J374" s="114">
        <v>2521</v>
      </c>
      <c r="K374" s="114">
        <v>479</v>
      </c>
      <c r="L374" s="114" t="str">
        <f t="shared" si="5"/>
        <v>INSERT INTO DETALLES_DOCUMENTO(NRO_DOCUMENTO,ID_TIPO,ID_PRODUCTO,CANTIDAD,PRECIO,VALOR_BRUTO,VALOR_NETO,VALOR_IVA) VALUES(160,1,69,1,3000,3000,2521,479);</v>
      </c>
    </row>
    <row r="375" spans="1:12">
      <c r="A375" s="114">
        <v>1</v>
      </c>
      <c r="B375" s="114">
        <v>161</v>
      </c>
      <c r="C375" s="139" t="s">
        <v>2195</v>
      </c>
      <c r="D375" s="114" t="s">
        <v>2090</v>
      </c>
      <c r="E375" s="114">
        <v>97</v>
      </c>
      <c r="F375" s="114">
        <v>263</v>
      </c>
      <c r="G375" s="114">
        <v>1</v>
      </c>
      <c r="H375" s="114">
        <v>8000</v>
      </c>
      <c r="I375" s="114">
        <v>8000</v>
      </c>
      <c r="J375" s="114">
        <v>6723</v>
      </c>
      <c r="K375" s="114">
        <v>1277</v>
      </c>
      <c r="L375" s="114" t="str">
        <f t="shared" si="5"/>
        <v>INSERT INTO DETALLES_DOCUMENTO(NRO_DOCUMENTO,ID_TIPO,ID_PRODUCTO,CANTIDAD,PRECIO,VALOR_BRUTO,VALOR_NETO,VALOR_IVA) VALUES(161,1,263,1,8000,8000,6723,1277);</v>
      </c>
    </row>
    <row r="376" spans="1:12">
      <c r="A376" s="114">
        <v>1</v>
      </c>
      <c r="B376" s="114">
        <v>162</v>
      </c>
      <c r="C376" s="139" t="s">
        <v>2195</v>
      </c>
      <c r="D376" s="114" t="s">
        <v>2090</v>
      </c>
      <c r="E376" s="114">
        <v>111</v>
      </c>
      <c r="F376" s="114">
        <v>230</v>
      </c>
      <c r="G376" s="114">
        <v>1</v>
      </c>
      <c r="H376" s="114">
        <v>15500</v>
      </c>
      <c r="I376" s="114">
        <v>15500</v>
      </c>
      <c r="J376" s="114">
        <v>13025</v>
      </c>
      <c r="K376" s="114">
        <v>2475</v>
      </c>
      <c r="L376" s="114" t="str">
        <f t="shared" si="5"/>
        <v>INSERT INTO DETALLES_DOCUMENTO(NRO_DOCUMENTO,ID_TIPO,ID_PRODUCTO,CANTIDAD,PRECIO,VALOR_BRUTO,VALOR_NETO,VALOR_IVA) VALUES(162,1,230,1,15500,15500,13025,2475);</v>
      </c>
    </row>
    <row r="377" spans="1:12">
      <c r="A377" s="114">
        <v>1</v>
      </c>
      <c r="B377" s="114">
        <v>163</v>
      </c>
      <c r="C377" s="139" t="s">
        <v>2195</v>
      </c>
      <c r="D377" s="114" t="s">
        <v>2090</v>
      </c>
      <c r="E377" s="114">
        <v>166</v>
      </c>
      <c r="F377" s="114">
        <v>324</v>
      </c>
      <c r="G377" s="114">
        <v>1</v>
      </c>
      <c r="H377" s="114">
        <v>10500</v>
      </c>
      <c r="I377" s="114">
        <v>10500</v>
      </c>
      <c r="J377" s="114">
        <v>8824</v>
      </c>
      <c r="K377" s="114">
        <v>1676</v>
      </c>
      <c r="L377" s="114" t="str">
        <f t="shared" si="5"/>
        <v>INSERT INTO DETALLES_DOCUMENTO(NRO_DOCUMENTO,ID_TIPO,ID_PRODUCTO,CANTIDAD,PRECIO,VALOR_BRUTO,VALOR_NETO,VALOR_IVA) VALUES(163,1,324,1,10500,10500,8824,1676);</v>
      </c>
    </row>
    <row r="378" spans="1:12">
      <c r="A378" s="114">
        <v>1</v>
      </c>
      <c r="B378" s="114">
        <v>164</v>
      </c>
      <c r="C378" s="139" t="s">
        <v>2195</v>
      </c>
      <c r="D378" s="114" t="s">
        <v>2090</v>
      </c>
      <c r="E378" s="114">
        <v>277</v>
      </c>
      <c r="F378" s="114">
        <v>143</v>
      </c>
      <c r="G378" s="114">
        <v>1</v>
      </c>
      <c r="H378" s="114">
        <v>6300</v>
      </c>
      <c r="I378" s="114">
        <v>6300</v>
      </c>
      <c r="J378" s="114">
        <v>5294</v>
      </c>
      <c r="K378" s="114">
        <v>1006</v>
      </c>
      <c r="L378" s="114" t="str">
        <f t="shared" si="5"/>
        <v>INSERT INTO DETALLES_DOCUMENTO(NRO_DOCUMENTO,ID_TIPO,ID_PRODUCTO,CANTIDAD,PRECIO,VALOR_BRUTO,VALOR_NETO,VALOR_IVA) VALUES(164,1,143,1,6300,6300,5294,1006);</v>
      </c>
    </row>
    <row r="379" spans="1:12">
      <c r="A379" s="114">
        <v>1</v>
      </c>
      <c r="B379" s="114">
        <v>165</v>
      </c>
      <c r="C379" s="139" t="s">
        <v>2195</v>
      </c>
      <c r="D379" s="114" t="s">
        <v>2090</v>
      </c>
      <c r="E379" s="114">
        <v>300</v>
      </c>
      <c r="F379" s="114">
        <v>143</v>
      </c>
      <c r="G379" s="114">
        <v>1</v>
      </c>
      <c r="H379" s="114">
        <v>6300</v>
      </c>
      <c r="I379" s="114">
        <v>6300</v>
      </c>
      <c r="J379" s="114">
        <v>5294</v>
      </c>
      <c r="K379" s="114">
        <v>1006</v>
      </c>
      <c r="L379" s="114" t="str">
        <f t="shared" si="5"/>
        <v>INSERT INTO DETALLES_DOCUMENTO(NRO_DOCUMENTO,ID_TIPO,ID_PRODUCTO,CANTIDAD,PRECIO,VALOR_BRUTO,VALOR_NETO,VALOR_IVA) VALUES(165,1,143,1,6300,6300,5294,1006);</v>
      </c>
    </row>
    <row r="380" spans="1:12">
      <c r="A380" s="114">
        <v>1</v>
      </c>
      <c r="B380" s="114">
        <v>165</v>
      </c>
      <c r="C380" s="139" t="s">
        <v>2195</v>
      </c>
      <c r="D380" s="114" t="s">
        <v>2090</v>
      </c>
      <c r="E380" s="114">
        <v>300</v>
      </c>
      <c r="F380" s="114">
        <v>230</v>
      </c>
      <c r="G380" s="114">
        <v>1</v>
      </c>
      <c r="H380" s="114">
        <v>15500</v>
      </c>
      <c r="I380" s="114">
        <v>15500</v>
      </c>
      <c r="J380" s="114">
        <v>13025</v>
      </c>
      <c r="K380" s="114">
        <v>2475</v>
      </c>
      <c r="L380" s="114" t="str">
        <f t="shared" si="5"/>
        <v>INSERT INTO DETALLES_DOCUMENTO(NRO_DOCUMENTO,ID_TIPO,ID_PRODUCTO,CANTIDAD,PRECIO,VALOR_BRUTO,VALOR_NETO,VALOR_IVA) VALUES(165,1,230,1,15500,15500,13025,2475);</v>
      </c>
    </row>
    <row r="381" spans="1:12">
      <c r="A381" s="114">
        <v>1</v>
      </c>
      <c r="B381" s="114">
        <v>165</v>
      </c>
      <c r="C381" s="139" t="s">
        <v>2195</v>
      </c>
      <c r="D381" s="114" t="s">
        <v>2090</v>
      </c>
      <c r="E381" s="114">
        <v>300</v>
      </c>
      <c r="F381" s="114">
        <v>361</v>
      </c>
      <c r="G381" s="114">
        <v>1</v>
      </c>
      <c r="H381" s="114">
        <v>3500</v>
      </c>
      <c r="I381" s="114">
        <v>3500</v>
      </c>
      <c r="J381" s="114">
        <v>2941</v>
      </c>
      <c r="K381" s="114">
        <v>559</v>
      </c>
      <c r="L381" s="114" t="str">
        <f t="shared" si="5"/>
        <v>INSERT INTO DETALLES_DOCUMENTO(NRO_DOCUMENTO,ID_TIPO,ID_PRODUCTO,CANTIDAD,PRECIO,VALOR_BRUTO,VALOR_NETO,VALOR_IVA) VALUES(165,1,361,1,3500,3500,2941,559);</v>
      </c>
    </row>
    <row r="382" spans="1:12">
      <c r="A382" s="114">
        <v>1</v>
      </c>
      <c r="B382" s="114">
        <v>165</v>
      </c>
      <c r="C382" s="139" t="s">
        <v>2195</v>
      </c>
      <c r="D382" s="114" t="s">
        <v>2090</v>
      </c>
      <c r="E382" s="114">
        <v>300</v>
      </c>
      <c r="F382" s="114">
        <v>329</v>
      </c>
      <c r="G382" s="114">
        <v>1</v>
      </c>
      <c r="H382" s="114">
        <v>5500</v>
      </c>
      <c r="I382" s="114">
        <v>5500</v>
      </c>
      <c r="J382" s="114">
        <v>4622</v>
      </c>
      <c r="K382" s="114">
        <v>878</v>
      </c>
      <c r="L382" s="114" t="str">
        <f t="shared" si="5"/>
        <v>INSERT INTO DETALLES_DOCUMENTO(NRO_DOCUMENTO,ID_TIPO,ID_PRODUCTO,CANTIDAD,PRECIO,VALOR_BRUTO,VALOR_NETO,VALOR_IVA) VALUES(165,1,329,1,5500,5500,4622,878);</v>
      </c>
    </row>
    <row r="383" spans="1:12">
      <c r="A383" s="114">
        <v>1</v>
      </c>
      <c r="B383" s="114">
        <v>165</v>
      </c>
      <c r="C383" s="139" t="s">
        <v>2195</v>
      </c>
      <c r="D383" s="114" t="s">
        <v>2090</v>
      </c>
      <c r="E383" s="114">
        <v>300</v>
      </c>
      <c r="F383" s="114">
        <v>118</v>
      </c>
      <c r="G383" s="114">
        <v>1</v>
      </c>
      <c r="H383" s="114">
        <v>3500</v>
      </c>
      <c r="I383" s="114">
        <v>3500</v>
      </c>
      <c r="J383" s="114">
        <v>2941</v>
      </c>
      <c r="K383" s="114">
        <v>559</v>
      </c>
      <c r="L383" s="114" t="str">
        <f t="shared" si="5"/>
        <v>INSERT INTO DETALLES_DOCUMENTO(NRO_DOCUMENTO,ID_TIPO,ID_PRODUCTO,CANTIDAD,PRECIO,VALOR_BRUTO,VALOR_NETO,VALOR_IVA) VALUES(165,1,118,1,3500,3500,2941,559);</v>
      </c>
    </row>
    <row r="384" spans="1:12">
      <c r="A384" s="114">
        <v>1</v>
      </c>
      <c r="B384" s="114">
        <v>165</v>
      </c>
      <c r="C384" s="139" t="s">
        <v>2195</v>
      </c>
      <c r="D384" s="114" t="s">
        <v>2090</v>
      </c>
      <c r="E384" s="114">
        <v>300</v>
      </c>
      <c r="F384" s="114">
        <v>356</v>
      </c>
      <c r="G384" s="114">
        <v>1</v>
      </c>
      <c r="H384" s="114">
        <v>3000</v>
      </c>
      <c r="I384" s="114">
        <v>3000</v>
      </c>
      <c r="J384" s="114">
        <v>2521</v>
      </c>
      <c r="K384" s="114">
        <v>479</v>
      </c>
      <c r="L384" s="114" t="str">
        <f t="shared" si="5"/>
        <v>INSERT INTO DETALLES_DOCUMENTO(NRO_DOCUMENTO,ID_TIPO,ID_PRODUCTO,CANTIDAD,PRECIO,VALOR_BRUTO,VALOR_NETO,VALOR_IVA) VALUES(165,1,356,1,3000,3000,2521,479);</v>
      </c>
    </row>
    <row r="385" spans="1:12">
      <c r="A385" s="114">
        <v>1</v>
      </c>
      <c r="B385" s="114">
        <v>166</v>
      </c>
      <c r="C385" s="139" t="s">
        <v>2195</v>
      </c>
      <c r="D385" s="114" t="s">
        <v>2090</v>
      </c>
      <c r="E385" s="114">
        <v>315</v>
      </c>
      <c r="F385" s="114">
        <v>379</v>
      </c>
      <c r="G385" s="114">
        <v>2</v>
      </c>
      <c r="H385" s="114">
        <v>4000</v>
      </c>
      <c r="I385" s="114">
        <v>8000</v>
      </c>
      <c r="J385" s="114">
        <v>6723</v>
      </c>
      <c r="K385" s="114">
        <v>1277</v>
      </c>
      <c r="L385" s="114" t="str">
        <f t="shared" si="5"/>
        <v>INSERT INTO DETALLES_DOCUMENTO(NRO_DOCUMENTO,ID_TIPO,ID_PRODUCTO,CANTIDAD,PRECIO,VALOR_BRUTO,VALOR_NETO,VALOR_IVA) VALUES(166,1,379,2,4000,8000,6723,1277);</v>
      </c>
    </row>
    <row r="386" spans="1:12">
      <c r="A386" s="114">
        <v>1</v>
      </c>
      <c r="B386" s="114">
        <v>166</v>
      </c>
      <c r="C386" s="139" t="s">
        <v>2195</v>
      </c>
      <c r="D386" s="114" t="s">
        <v>2090</v>
      </c>
      <c r="E386" s="114">
        <v>315</v>
      </c>
      <c r="F386" s="114">
        <v>31</v>
      </c>
      <c r="G386" s="114">
        <v>1</v>
      </c>
      <c r="H386" s="114">
        <v>3400</v>
      </c>
      <c r="I386" s="114">
        <v>3400</v>
      </c>
      <c r="J386" s="114">
        <v>2857</v>
      </c>
      <c r="K386" s="114">
        <v>543</v>
      </c>
      <c r="L386" s="114" t="str">
        <f t="shared" si="5"/>
        <v>INSERT INTO DETALLES_DOCUMENTO(NRO_DOCUMENTO,ID_TIPO,ID_PRODUCTO,CANTIDAD,PRECIO,VALOR_BRUTO,VALOR_NETO,VALOR_IVA) VALUES(166,1,31,1,3400,3400,2857,543);</v>
      </c>
    </row>
    <row r="387" spans="1:12">
      <c r="A387" s="114">
        <v>1</v>
      </c>
      <c r="B387" s="114">
        <v>167</v>
      </c>
      <c r="C387" s="139" t="s">
        <v>2195</v>
      </c>
      <c r="D387" s="114" t="s">
        <v>2090</v>
      </c>
      <c r="E387" s="114">
        <v>397</v>
      </c>
      <c r="F387" s="114">
        <v>122</v>
      </c>
      <c r="G387" s="114">
        <v>1</v>
      </c>
      <c r="H387" s="114">
        <v>6000</v>
      </c>
      <c r="I387" s="114">
        <v>6000</v>
      </c>
      <c r="J387" s="114">
        <v>5042</v>
      </c>
      <c r="K387" s="114">
        <v>958</v>
      </c>
      <c r="L387" s="114" t="str">
        <f t="shared" ref="L387:L450" si="6">CONCATENATE("INSERT INTO DETALLES_DOCUMENTO(NRO_DOCUMENTO,ID_TIPO,ID_PRODUCTO,CANTIDAD,PRECIO,VALOR_BRUTO,VALOR_NETO,VALOR_IVA) VALUES(",B387,",",A387,",",F387,",",G387,",",H387,",",I387,",",J387,",",K387,");")</f>
        <v>INSERT INTO DETALLES_DOCUMENTO(NRO_DOCUMENTO,ID_TIPO,ID_PRODUCTO,CANTIDAD,PRECIO,VALOR_BRUTO,VALOR_NETO,VALOR_IVA) VALUES(167,1,122,1,6000,6000,5042,958);</v>
      </c>
    </row>
    <row r="388" spans="1:12">
      <c r="A388" s="114">
        <v>1</v>
      </c>
      <c r="B388" s="114">
        <v>168</v>
      </c>
      <c r="C388" s="139" t="s">
        <v>2195</v>
      </c>
      <c r="D388" s="114" t="s">
        <v>2090</v>
      </c>
      <c r="E388" s="114">
        <v>407</v>
      </c>
      <c r="F388" s="114">
        <v>97</v>
      </c>
      <c r="G388" s="114">
        <v>1</v>
      </c>
      <c r="H388" s="114">
        <v>2000</v>
      </c>
      <c r="I388" s="114">
        <v>2000</v>
      </c>
      <c r="J388" s="114">
        <v>1681</v>
      </c>
      <c r="K388" s="114">
        <v>319</v>
      </c>
      <c r="L388" s="114" t="str">
        <f t="shared" si="6"/>
        <v>INSERT INTO DETALLES_DOCUMENTO(NRO_DOCUMENTO,ID_TIPO,ID_PRODUCTO,CANTIDAD,PRECIO,VALOR_BRUTO,VALOR_NETO,VALOR_IVA) VALUES(168,1,97,1,2000,2000,1681,319);</v>
      </c>
    </row>
    <row r="389" spans="1:12">
      <c r="A389" s="114">
        <v>1</v>
      </c>
      <c r="B389" s="114">
        <v>168</v>
      </c>
      <c r="C389" s="139" t="s">
        <v>2195</v>
      </c>
      <c r="D389" s="114" t="s">
        <v>2090</v>
      </c>
      <c r="E389" s="114">
        <v>407</v>
      </c>
      <c r="F389" s="114">
        <v>118</v>
      </c>
      <c r="G389" s="114">
        <v>1</v>
      </c>
      <c r="H389" s="114">
        <v>3500</v>
      </c>
      <c r="I389" s="114">
        <v>3500</v>
      </c>
      <c r="J389" s="114">
        <v>2941</v>
      </c>
      <c r="K389" s="114">
        <v>559</v>
      </c>
      <c r="L389" s="114" t="str">
        <f t="shared" si="6"/>
        <v>INSERT INTO DETALLES_DOCUMENTO(NRO_DOCUMENTO,ID_TIPO,ID_PRODUCTO,CANTIDAD,PRECIO,VALOR_BRUTO,VALOR_NETO,VALOR_IVA) VALUES(168,1,118,1,3500,3500,2941,559);</v>
      </c>
    </row>
    <row r="390" spans="1:12">
      <c r="A390" s="114">
        <v>1</v>
      </c>
      <c r="B390" s="114">
        <v>168</v>
      </c>
      <c r="C390" s="139" t="s">
        <v>2195</v>
      </c>
      <c r="D390" s="114" t="s">
        <v>2090</v>
      </c>
      <c r="E390" s="114">
        <v>407</v>
      </c>
      <c r="F390" s="114">
        <v>165</v>
      </c>
      <c r="G390" s="114">
        <v>1</v>
      </c>
      <c r="H390" s="114">
        <v>2000</v>
      </c>
      <c r="I390" s="114">
        <v>2000</v>
      </c>
      <c r="J390" s="114">
        <v>1681</v>
      </c>
      <c r="K390" s="114">
        <v>319</v>
      </c>
      <c r="L390" s="114" t="str">
        <f t="shared" si="6"/>
        <v>INSERT INTO DETALLES_DOCUMENTO(NRO_DOCUMENTO,ID_TIPO,ID_PRODUCTO,CANTIDAD,PRECIO,VALOR_BRUTO,VALOR_NETO,VALOR_IVA) VALUES(168,1,165,1,2000,2000,1681,319);</v>
      </c>
    </row>
    <row r="391" spans="1:12">
      <c r="A391" s="114">
        <v>1</v>
      </c>
      <c r="B391" s="114">
        <v>168</v>
      </c>
      <c r="C391" s="139" t="s">
        <v>2195</v>
      </c>
      <c r="D391" s="114" t="s">
        <v>2090</v>
      </c>
      <c r="E391" s="114">
        <v>407</v>
      </c>
      <c r="F391" s="114">
        <v>329</v>
      </c>
      <c r="G391" s="114">
        <v>1</v>
      </c>
      <c r="H391" s="114">
        <v>5500</v>
      </c>
      <c r="I391" s="114">
        <v>5500</v>
      </c>
      <c r="J391" s="114">
        <v>4622</v>
      </c>
      <c r="K391" s="114">
        <v>878</v>
      </c>
      <c r="L391" s="114" t="str">
        <f t="shared" si="6"/>
        <v>INSERT INTO DETALLES_DOCUMENTO(NRO_DOCUMENTO,ID_TIPO,ID_PRODUCTO,CANTIDAD,PRECIO,VALOR_BRUTO,VALOR_NETO,VALOR_IVA) VALUES(168,1,329,1,5500,5500,4622,878);</v>
      </c>
    </row>
    <row r="392" spans="1:12">
      <c r="A392" s="114">
        <v>1</v>
      </c>
      <c r="B392" s="114">
        <v>168</v>
      </c>
      <c r="C392" s="139" t="s">
        <v>2195</v>
      </c>
      <c r="D392" s="114" t="s">
        <v>2090</v>
      </c>
      <c r="E392" s="114">
        <v>407</v>
      </c>
      <c r="F392" s="114">
        <v>167</v>
      </c>
      <c r="G392" s="114">
        <v>1</v>
      </c>
      <c r="H392" s="114">
        <v>8200</v>
      </c>
      <c r="I392" s="114">
        <v>8200</v>
      </c>
      <c r="J392" s="114">
        <v>6891</v>
      </c>
      <c r="K392" s="114">
        <v>1309</v>
      </c>
      <c r="L392" s="114" t="str">
        <f t="shared" si="6"/>
        <v>INSERT INTO DETALLES_DOCUMENTO(NRO_DOCUMENTO,ID_TIPO,ID_PRODUCTO,CANTIDAD,PRECIO,VALOR_BRUTO,VALOR_NETO,VALOR_IVA) VALUES(168,1,167,1,8200,8200,6891,1309);</v>
      </c>
    </row>
    <row r="393" spans="1:12">
      <c r="A393" s="114">
        <v>1</v>
      </c>
      <c r="B393" s="114">
        <v>169</v>
      </c>
      <c r="C393" s="139" t="s">
        <v>2196</v>
      </c>
      <c r="D393" s="114" t="s">
        <v>2090</v>
      </c>
      <c r="E393" s="114">
        <v>56</v>
      </c>
      <c r="F393" s="114">
        <v>143</v>
      </c>
      <c r="G393" s="114">
        <v>1</v>
      </c>
      <c r="H393" s="114">
        <v>6300</v>
      </c>
      <c r="I393" s="114">
        <v>6300</v>
      </c>
      <c r="J393" s="114">
        <v>5294</v>
      </c>
      <c r="K393" s="114">
        <v>1006</v>
      </c>
      <c r="L393" s="114" t="str">
        <f t="shared" si="6"/>
        <v>INSERT INTO DETALLES_DOCUMENTO(NRO_DOCUMENTO,ID_TIPO,ID_PRODUCTO,CANTIDAD,PRECIO,VALOR_BRUTO,VALOR_NETO,VALOR_IVA) VALUES(169,1,143,1,6300,6300,5294,1006);</v>
      </c>
    </row>
    <row r="394" spans="1:12">
      <c r="A394" s="114">
        <v>1</v>
      </c>
      <c r="B394" s="114">
        <v>169</v>
      </c>
      <c r="C394" s="139" t="s">
        <v>2196</v>
      </c>
      <c r="D394" s="114" t="s">
        <v>2090</v>
      </c>
      <c r="E394" s="114">
        <v>56</v>
      </c>
      <c r="F394" s="114">
        <v>135</v>
      </c>
      <c r="G394" s="114">
        <v>1</v>
      </c>
      <c r="H394" s="114">
        <v>1000</v>
      </c>
      <c r="I394" s="114">
        <v>1000</v>
      </c>
      <c r="J394" s="114">
        <v>840</v>
      </c>
      <c r="K394" s="114">
        <v>160</v>
      </c>
      <c r="L394" s="114" t="str">
        <f t="shared" si="6"/>
        <v>INSERT INTO DETALLES_DOCUMENTO(NRO_DOCUMENTO,ID_TIPO,ID_PRODUCTO,CANTIDAD,PRECIO,VALOR_BRUTO,VALOR_NETO,VALOR_IVA) VALUES(169,1,135,1,1000,1000,840,160);</v>
      </c>
    </row>
    <row r="395" spans="1:12">
      <c r="A395" s="114">
        <v>1</v>
      </c>
      <c r="B395" s="114">
        <v>170</v>
      </c>
      <c r="C395" s="139" t="s">
        <v>2196</v>
      </c>
      <c r="D395" s="114" t="s">
        <v>2090</v>
      </c>
      <c r="E395" s="114">
        <v>72</v>
      </c>
      <c r="F395" s="114">
        <v>329</v>
      </c>
      <c r="G395" s="114">
        <v>1</v>
      </c>
      <c r="H395" s="114">
        <v>5500</v>
      </c>
      <c r="I395" s="114">
        <v>5500</v>
      </c>
      <c r="J395" s="114">
        <v>4622</v>
      </c>
      <c r="K395" s="114">
        <v>878</v>
      </c>
      <c r="L395" s="114" t="str">
        <f t="shared" si="6"/>
        <v>INSERT INTO DETALLES_DOCUMENTO(NRO_DOCUMENTO,ID_TIPO,ID_PRODUCTO,CANTIDAD,PRECIO,VALOR_BRUTO,VALOR_NETO,VALOR_IVA) VALUES(170,1,329,1,5500,5500,4622,878);</v>
      </c>
    </row>
    <row r="396" spans="1:12">
      <c r="A396" s="114">
        <v>1</v>
      </c>
      <c r="B396" s="114">
        <v>170</v>
      </c>
      <c r="C396" s="139" t="s">
        <v>2196</v>
      </c>
      <c r="D396" s="114" t="s">
        <v>2090</v>
      </c>
      <c r="E396" s="114">
        <v>72</v>
      </c>
      <c r="F396" s="114">
        <v>120</v>
      </c>
      <c r="G396" s="114">
        <v>1</v>
      </c>
      <c r="H396" s="114">
        <v>1700</v>
      </c>
      <c r="I396" s="114">
        <v>1700</v>
      </c>
      <c r="J396" s="114">
        <v>1429</v>
      </c>
      <c r="K396" s="114">
        <v>271</v>
      </c>
      <c r="L396" s="114" t="str">
        <f t="shared" si="6"/>
        <v>INSERT INTO DETALLES_DOCUMENTO(NRO_DOCUMENTO,ID_TIPO,ID_PRODUCTO,CANTIDAD,PRECIO,VALOR_BRUTO,VALOR_NETO,VALOR_IVA) VALUES(170,1,120,1,1700,1700,1429,271);</v>
      </c>
    </row>
    <row r="397" spans="1:12">
      <c r="A397" s="114">
        <v>1</v>
      </c>
      <c r="B397" s="114">
        <v>171</v>
      </c>
      <c r="C397" s="139" t="s">
        <v>2196</v>
      </c>
      <c r="D397" s="114" t="s">
        <v>2090</v>
      </c>
      <c r="E397" s="114">
        <v>166</v>
      </c>
      <c r="F397" s="114">
        <v>324</v>
      </c>
      <c r="G397" s="114">
        <v>1</v>
      </c>
      <c r="H397" s="114">
        <v>10500</v>
      </c>
      <c r="I397" s="114">
        <v>10500</v>
      </c>
      <c r="J397" s="114">
        <v>8824</v>
      </c>
      <c r="K397" s="114">
        <v>1676</v>
      </c>
      <c r="L397" s="114" t="str">
        <f t="shared" si="6"/>
        <v>INSERT INTO DETALLES_DOCUMENTO(NRO_DOCUMENTO,ID_TIPO,ID_PRODUCTO,CANTIDAD,PRECIO,VALOR_BRUTO,VALOR_NETO,VALOR_IVA) VALUES(171,1,324,1,10500,10500,8824,1676);</v>
      </c>
    </row>
    <row r="398" spans="1:12">
      <c r="A398" s="114">
        <v>1</v>
      </c>
      <c r="B398" s="114">
        <v>172</v>
      </c>
      <c r="C398" s="139" t="s">
        <v>2196</v>
      </c>
      <c r="D398" s="114" t="s">
        <v>2090</v>
      </c>
      <c r="E398" s="114">
        <v>179</v>
      </c>
      <c r="F398" s="114">
        <v>324</v>
      </c>
      <c r="G398" s="114">
        <v>1</v>
      </c>
      <c r="H398" s="114">
        <v>10500</v>
      </c>
      <c r="I398" s="114">
        <v>10500</v>
      </c>
      <c r="J398" s="114">
        <v>8824</v>
      </c>
      <c r="K398" s="114">
        <v>1676</v>
      </c>
      <c r="L398" s="114" t="str">
        <f t="shared" si="6"/>
        <v>INSERT INTO DETALLES_DOCUMENTO(NRO_DOCUMENTO,ID_TIPO,ID_PRODUCTO,CANTIDAD,PRECIO,VALOR_BRUTO,VALOR_NETO,VALOR_IVA) VALUES(172,1,324,1,10500,10500,8824,1676);</v>
      </c>
    </row>
    <row r="399" spans="1:12">
      <c r="A399" s="114">
        <v>1</v>
      </c>
      <c r="B399" s="114">
        <v>172</v>
      </c>
      <c r="C399" s="139" t="s">
        <v>2196</v>
      </c>
      <c r="D399" s="114" t="s">
        <v>2090</v>
      </c>
      <c r="E399" s="114">
        <v>179</v>
      </c>
      <c r="F399" s="114">
        <v>97</v>
      </c>
      <c r="G399" s="114">
        <v>1</v>
      </c>
      <c r="H399" s="114">
        <v>2000</v>
      </c>
      <c r="I399" s="114">
        <v>2000</v>
      </c>
      <c r="J399" s="114">
        <v>1681</v>
      </c>
      <c r="K399" s="114">
        <v>319</v>
      </c>
      <c r="L399" s="114" t="str">
        <f t="shared" si="6"/>
        <v>INSERT INTO DETALLES_DOCUMENTO(NRO_DOCUMENTO,ID_TIPO,ID_PRODUCTO,CANTIDAD,PRECIO,VALOR_BRUTO,VALOR_NETO,VALOR_IVA) VALUES(172,1,97,1,2000,2000,1681,319);</v>
      </c>
    </row>
    <row r="400" spans="1:12">
      <c r="A400" s="114">
        <v>1</v>
      </c>
      <c r="B400" s="114">
        <v>173</v>
      </c>
      <c r="C400" s="139" t="s">
        <v>2196</v>
      </c>
      <c r="D400" s="114" t="s">
        <v>2090</v>
      </c>
      <c r="E400" s="114">
        <v>320</v>
      </c>
      <c r="F400" s="114">
        <v>143</v>
      </c>
      <c r="G400" s="114">
        <v>1</v>
      </c>
      <c r="H400" s="114">
        <v>6300</v>
      </c>
      <c r="I400" s="114">
        <v>6300</v>
      </c>
      <c r="J400" s="114">
        <v>5294</v>
      </c>
      <c r="K400" s="114">
        <v>1006</v>
      </c>
      <c r="L400" s="114" t="str">
        <f t="shared" si="6"/>
        <v>INSERT INTO DETALLES_DOCUMENTO(NRO_DOCUMENTO,ID_TIPO,ID_PRODUCTO,CANTIDAD,PRECIO,VALOR_BRUTO,VALOR_NETO,VALOR_IVA) VALUES(173,1,143,1,6300,6300,5294,1006);</v>
      </c>
    </row>
    <row r="401" spans="1:12">
      <c r="A401" s="114">
        <v>1</v>
      </c>
      <c r="B401" s="114">
        <v>174</v>
      </c>
      <c r="C401" s="139" t="s">
        <v>2196</v>
      </c>
      <c r="D401" s="114" t="s">
        <v>2090</v>
      </c>
      <c r="E401" s="114">
        <v>353</v>
      </c>
      <c r="F401" s="114">
        <v>231</v>
      </c>
      <c r="G401" s="114">
        <v>1</v>
      </c>
      <c r="H401" s="114">
        <v>19990</v>
      </c>
      <c r="I401" s="114">
        <v>19990</v>
      </c>
      <c r="J401" s="114">
        <v>16798</v>
      </c>
      <c r="K401" s="114">
        <v>3192</v>
      </c>
      <c r="L401" s="114" t="str">
        <f t="shared" si="6"/>
        <v>INSERT INTO DETALLES_DOCUMENTO(NRO_DOCUMENTO,ID_TIPO,ID_PRODUCTO,CANTIDAD,PRECIO,VALOR_BRUTO,VALOR_NETO,VALOR_IVA) VALUES(174,1,231,1,19990,19990,16798,3192);</v>
      </c>
    </row>
    <row r="402" spans="1:12">
      <c r="A402" s="114">
        <v>1</v>
      </c>
      <c r="B402" s="114">
        <v>174</v>
      </c>
      <c r="C402" s="139" t="s">
        <v>2196</v>
      </c>
      <c r="D402" s="114" t="s">
        <v>2090</v>
      </c>
      <c r="E402" s="114">
        <v>353</v>
      </c>
      <c r="F402" s="114">
        <v>57</v>
      </c>
      <c r="G402" s="114">
        <v>1</v>
      </c>
      <c r="H402" s="114">
        <v>4000</v>
      </c>
      <c r="I402" s="114">
        <v>4000</v>
      </c>
      <c r="J402" s="114">
        <v>3361</v>
      </c>
      <c r="K402" s="114">
        <v>639</v>
      </c>
      <c r="L402" s="114" t="str">
        <f t="shared" si="6"/>
        <v>INSERT INTO DETALLES_DOCUMENTO(NRO_DOCUMENTO,ID_TIPO,ID_PRODUCTO,CANTIDAD,PRECIO,VALOR_BRUTO,VALOR_NETO,VALOR_IVA) VALUES(174,1,57,1,4000,4000,3361,639);</v>
      </c>
    </row>
    <row r="403" spans="1:12">
      <c r="A403" s="114">
        <v>1</v>
      </c>
      <c r="B403" s="114">
        <v>175</v>
      </c>
      <c r="C403" s="139" t="s">
        <v>2196</v>
      </c>
      <c r="D403" s="114" t="s">
        <v>2090</v>
      </c>
      <c r="E403" s="114">
        <v>411</v>
      </c>
      <c r="F403" s="114">
        <v>329</v>
      </c>
      <c r="G403" s="114">
        <v>1</v>
      </c>
      <c r="H403" s="114">
        <v>5500</v>
      </c>
      <c r="I403" s="114">
        <v>5500</v>
      </c>
      <c r="J403" s="114">
        <v>4622</v>
      </c>
      <c r="K403" s="114">
        <v>878</v>
      </c>
      <c r="L403" s="114" t="str">
        <f t="shared" si="6"/>
        <v>INSERT INTO DETALLES_DOCUMENTO(NRO_DOCUMENTO,ID_TIPO,ID_PRODUCTO,CANTIDAD,PRECIO,VALOR_BRUTO,VALOR_NETO,VALOR_IVA) VALUES(175,1,329,1,5500,5500,4622,878);</v>
      </c>
    </row>
    <row r="404" spans="1:12">
      <c r="A404" s="114">
        <v>1</v>
      </c>
      <c r="B404" s="114">
        <v>175</v>
      </c>
      <c r="C404" s="139" t="s">
        <v>2196</v>
      </c>
      <c r="D404" s="114" t="s">
        <v>2090</v>
      </c>
      <c r="E404" s="114">
        <v>411</v>
      </c>
      <c r="F404" s="114">
        <v>191</v>
      </c>
      <c r="G404" s="114">
        <v>2</v>
      </c>
      <c r="H404" s="114">
        <v>5000</v>
      </c>
      <c r="I404" s="114">
        <v>10000</v>
      </c>
      <c r="J404" s="114">
        <v>8403</v>
      </c>
      <c r="K404" s="114">
        <v>1597</v>
      </c>
      <c r="L404" s="114" t="str">
        <f t="shared" si="6"/>
        <v>INSERT INTO DETALLES_DOCUMENTO(NRO_DOCUMENTO,ID_TIPO,ID_PRODUCTO,CANTIDAD,PRECIO,VALOR_BRUTO,VALOR_NETO,VALOR_IVA) VALUES(175,1,191,2,5000,10000,8403,1597);</v>
      </c>
    </row>
    <row r="405" spans="1:12">
      <c r="A405" s="114">
        <v>1</v>
      </c>
      <c r="B405" s="114">
        <v>175</v>
      </c>
      <c r="C405" s="139" t="s">
        <v>2196</v>
      </c>
      <c r="D405" s="114" t="s">
        <v>2090</v>
      </c>
      <c r="E405" s="114">
        <v>411</v>
      </c>
      <c r="F405" s="114">
        <v>368</v>
      </c>
      <c r="G405" s="114">
        <v>2</v>
      </c>
      <c r="H405" s="114">
        <v>6000</v>
      </c>
      <c r="I405" s="114">
        <v>12000</v>
      </c>
      <c r="J405" s="114">
        <v>10084</v>
      </c>
      <c r="K405" s="114">
        <v>1916</v>
      </c>
      <c r="L405" s="114" t="str">
        <f t="shared" si="6"/>
        <v>INSERT INTO DETALLES_DOCUMENTO(NRO_DOCUMENTO,ID_TIPO,ID_PRODUCTO,CANTIDAD,PRECIO,VALOR_BRUTO,VALOR_NETO,VALOR_IVA) VALUES(175,1,368,2,6000,12000,10084,1916);</v>
      </c>
    </row>
    <row r="406" spans="1:12">
      <c r="A406" s="114">
        <v>1</v>
      </c>
      <c r="B406" s="114">
        <v>176</v>
      </c>
      <c r="C406" s="139" t="s">
        <v>2197</v>
      </c>
      <c r="D406" s="114" t="s">
        <v>2090</v>
      </c>
      <c r="E406" s="114">
        <v>151</v>
      </c>
      <c r="F406" s="114">
        <v>165</v>
      </c>
      <c r="G406" s="114">
        <v>1</v>
      </c>
      <c r="H406" s="114">
        <v>2000</v>
      </c>
      <c r="I406" s="114">
        <v>2000</v>
      </c>
      <c r="J406" s="114">
        <v>1681</v>
      </c>
      <c r="K406" s="114">
        <v>319</v>
      </c>
      <c r="L406" s="114" t="str">
        <f t="shared" si="6"/>
        <v>INSERT INTO DETALLES_DOCUMENTO(NRO_DOCUMENTO,ID_TIPO,ID_PRODUCTO,CANTIDAD,PRECIO,VALOR_BRUTO,VALOR_NETO,VALOR_IVA) VALUES(176,1,165,1,2000,2000,1681,319);</v>
      </c>
    </row>
    <row r="407" spans="1:12">
      <c r="A407" s="114">
        <v>1</v>
      </c>
      <c r="B407" s="114">
        <v>177</v>
      </c>
      <c r="C407" s="139" t="s">
        <v>2197</v>
      </c>
      <c r="D407" s="114" t="s">
        <v>2090</v>
      </c>
      <c r="E407" s="114">
        <v>171</v>
      </c>
      <c r="F407" s="114">
        <v>143</v>
      </c>
      <c r="G407" s="114">
        <v>1</v>
      </c>
      <c r="H407" s="114">
        <v>6300</v>
      </c>
      <c r="I407" s="114">
        <v>6300</v>
      </c>
      <c r="J407" s="114">
        <v>5294</v>
      </c>
      <c r="K407" s="114">
        <v>1006</v>
      </c>
      <c r="L407" s="114" t="str">
        <f t="shared" si="6"/>
        <v>INSERT INTO DETALLES_DOCUMENTO(NRO_DOCUMENTO,ID_TIPO,ID_PRODUCTO,CANTIDAD,PRECIO,VALOR_BRUTO,VALOR_NETO,VALOR_IVA) VALUES(177,1,143,1,6300,6300,5294,1006);</v>
      </c>
    </row>
    <row r="408" spans="1:12">
      <c r="A408" s="114">
        <v>1</v>
      </c>
      <c r="B408" s="114">
        <v>178</v>
      </c>
      <c r="C408" s="139" t="s">
        <v>2197</v>
      </c>
      <c r="D408" s="114" t="s">
        <v>2090</v>
      </c>
      <c r="E408" s="114">
        <v>230</v>
      </c>
      <c r="F408" s="114">
        <v>143</v>
      </c>
      <c r="G408" s="114">
        <v>1</v>
      </c>
      <c r="H408" s="114">
        <v>6300</v>
      </c>
      <c r="I408" s="114">
        <v>6300</v>
      </c>
      <c r="J408" s="114">
        <v>5294</v>
      </c>
      <c r="K408" s="114">
        <v>1006</v>
      </c>
      <c r="L408" s="114" t="str">
        <f t="shared" si="6"/>
        <v>INSERT INTO DETALLES_DOCUMENTO(NRO_DOCUMENTO,ID_TIPO,ID_PRODUCTO,CANTIDAD,PRECIO,VALOR_BRUTO,VALOR_NETO,VALOR_IVA) VALUES(178,1,143,1,6300,6300,5294,1006);</v>
      </c>
    </row>
    <row r="409" spans="1:12">
      <c r="A409" s="114">
        <v>1</v>
      </c>
      <c r="B409" s="114">
        <v>179</v>
      </c>
      <c r="C409" s="139" t="s">
        <v>2197</v>
      </c>
      <c r="D409" s="114" t="s">
        <v>2090</v>
      </c>
      <c r="E409" s="114">
        <v>353</v>
      </c>
      <c r="F409" s="114">
        <v>135</v>
      </c>
      <c r="G409" s="114">
        <v>4</v>
      </c>
      <c r="H409" s="114">
        <v>4000</v>
      </c>
      <c r="I409" s="114">
        <v>16000</v>
      </c>
      <c r="J409" s="114">
        <v>13445</v>
      </c>
      <c r="K409" s="114">
        <v>2555</v>
      </c>
      <c r="L409" s="114" t="str">
        <f t="shared" si="6"/>
        <v>INSERT INTO DETALLES_DOCUMENTO(NRO_DOCUMENTO,ID_TIPO,ID_PRODUCTO,CANTIDAD,PRECIO,VALOR_BRUTO,VALOR_NETO,VALOR_IVA) VALUES(179,1,135,4,4000,16000,13445,2555);</v>
      </c>
    </row>
    <row r="410" spans="1:12">
      <c r="A410" s="114">
        <v>1</v>
      </c>
      <c r="B410" s="114">
        <v>180</v>
      </c>
      <c r="C410" s="139" t="s">
        <v>2197</v>
      </c>
      <c r="D410" s="114" t="s">
        <v>2090</v>
      </c>
      <c r="E410" s="114">
        <v>397</v>
      </c>
      <c r="F410" s="114">
        <v>324</v>
      </c>
      <c r="G410" s="114">
        <v>1</v>
      </c>
      <c r="H410" s="114">
        <v>10500</v>
      </c>
      <c r="I410" s="114">
        <v>10500</v>
      </c>
      <c r="J410" s="114">
        <v>8824</v>
      </c>
      <c r="K410" s="114">
        <v>1676</v>
      </c>
      <c r="L410" s="114" t="str">
        <f t="shared" si="6"/>
        <v>INSERT INTO DETALLES_DOCUMENTO(NRO_DOCUMENTO,ID_TIPO,ID_PRODUCTO,CANTIDAD,PRECIO,VALOR_BRUTO,VALOR_NETO,VALOR_IVA) VALUES(180,1,324,1,10500,10500,8824,1676);</v>
      </c>
    </row>
    <row r="411" spans="1:12">
      <c r="A411" s="114">
        <v>1</v>
      </c>
      <c r="B411" s="114">
        <v>181</v>
      </c>
      <c r="C411" s="139" t="s">
        <v>2197</v>
      </c>
      <c r="D411" s="114" t="s">
        <v>2090</v>
      </c>
      <c r="E411" s="114">
        <v>457</v>
      </c>
      <c r="F411" s="114">
        <v>143</v>
      </c>
      <c r="G411" s="114">
        <v>1</v>
      </c>
      <c r="H411" s="114">
        <v>6300</v>
      </c>
      <c r="I411" s="114">
        <v>6300</v>
      </c>
      <c r="J411" s="114">
        <v>5294</v>
      </c>
      <c r="K411" s="114">
        <v>1006</v>
      </c>
      <c r="L411" s="114" t="str">
        <f t="shared" si="6"/>
        <v>INSERT INTO DETALLES_DOCUMENTO(NRO_DOCUMENTO,ID_TIPO,ID_PRODUCTO,CANTIDAD,PRECIO,VALOR_BRUTO,VALOR_NETO,VALOR_IVA) VALUES(181,1,143,1,6300,6300,5294,1006);</v>
      </c>
    </row>
    <row r="412" spans="1:12">
      <c r="A412" s="114">
        <v>1</v>
      </c>
      <c r="B412" s="114">
        <v>182</v>
      </c>
      <c r="C412" s="139" t="s">
        <v>2198</v>
      </c>
      <c r="D412" s="114" t="s">
        <v>2090</v>
      </c>
      <c r="E412" s="114">
        <v>22</v>
      </c>
      <c r="F412" s="114">
        <v>300</v>
      </c>
      <c r="G412" s="114">
        <v>1</v>
      </c>
      <c r="H412" s="114">
        <v>9000</v>
      </c>
      <c r="I412" s="114">
        <v>9000</v>
      </c>
      <c r="J412" s="114">
        <v>7563</v>
      </c>
      <c r="K412" s="114">
        <v>1437</v>
      </c>
      <c r="L412" s="114" t="str">
        <f t="shared" si="6"/>
        <v>INSERT INTO DETALLES_DOCUMENTO(NRO_DOCUMENTO,ID_TIPO,ID_PRODUCTO,CANTIDAD,PRECIO,VALOR_BRUTO,VALOR_NETO,VALOR_IVA) VALUES(182,1,300,1,9000,9000,7563,1437);</v>
      </c>
    </row>
    <row r="413" spans="1:12">
      <c r="A413" s="114">
        <v>1</v>
      </c>
      <c r="B413" s="114">
        <v>182</v>
      </c>
      <c r="C413" s="139" t="s">
        <v>2198</v>
      </c>
      <c r="D413" s="114" t="s">
        <v>2090</v>
      </c>
      <c r="E413" s="114">
        <v>22</v>
      </c>
      <c r="F413" s="114">
        <v>365</v>
      </c>
      <c r="G413" s="114">
        <v>1</v>
      </c>
      <c r="H413" s="114">
        <v>3200</v>
      </c>
      <c r="I413" s="114">
        <v>3200</v>
      </c>
      <c r="J413" s="114">
        <v>2689</v>
      </c>
      <c r="K413" s="114">
        <v>511</v>
      </c>
      <c r="L413" s="114" t="str">
        <f t="shared" si="6"/>
        <v>INSERT INTO DETALLES_DOCUMENTO(NRO_DOCUMENTO,ID_TIPO,ID_PRODUCTO,CANTIDAD,PRECIO,VALOR_BRUTO,VALOR_NETO,VALOR_IVA) VALUES(182,1,365,1,3200,3200,2689,511);</v>
      </c>
    </row>
    <row r="414" spans="1:12">
      <c r="A414" s="114">
        <v>1</v>
      </c>
      <c r="B414" s="114">
        <v>182</v>
      </c>
      <c r="C414" s="139" t="s">
        <v>2198</v>
      </c>
      <c r="D414" s="114" t="s">
        <v>2090</v>
      </c>
      <c r="E414" s="114">
        <v>22</v>
      </c>
      <c r="F414" s="114">
        <v>97</v>
      </c>
      <c r="G414" s="114">
        <v>1</v>
      </c>
      <c r="H414" s="114">
        <v>2000</v>
      </c>
      <c r="I414" s="114">
        <v>2000</v>
      </c>
      <c r="J414" s="114">
        <v>1681</v>
      </c>
      <c r="K414" s="114">
        <v>319</v>
      </c>
      <c r="L414" s="114" t="str">
        <f t="shared" si="6"/>
        <v>INSERT INTO DETALLES_DOCUMENTO(NRO_DOCUMENTO,ID_TIPO,ID_PRODUCTO,CANTIDAD,PRECIO,VALOR_BRUTO,VALOR_NETO,VALOR_IVA) VALUES(182,1,97,1,2000,2000,1681,319);</v>
      </c>
    </row>
    <row r="415" spans="1:12">
      <c r="A415" s="114">
        <v>1</v>
      </c>
      <c r="B415" s="114">
        <v>182</v>
      </c>
      <c r="C415" s="139" t="s">
        <v>2198</v>
      </c>
      <c r="D415" s="114" t="s">
        <v>2090</v>
      </c>
      <c r="E415" s="114">
        <v>22</v>
      </c>
      <c r="F415" s="114">
        <v>378</v>
      </c>
      <c r="G415" s="114">
        <v>1</v>
      </c>
      <c r="H415" s="114">
        <v>1200</v>
      </c>
      <c r="I415" s="114">
        <v>1200</v>
      </c>
      <c r="J415" s="114">
        <v>1008</v>
      </c>
      <c r="K415" s="114">
        <v>192</v>
      </c>
      <c r="L415" s="114" t="str">
        <f t="shared" si="6"/>
        <v>INSERT INTO DETALLES_DOCUMENTO(NRO_DOCUMENTO,ID_TIPO,ID_PRODUCTO,CANTIDAD,PRECIO,VALOR_BRUTO,VALOR_NETO,VALOR_IVA) VALUES(182,1,378,1,1200,1200,1008,192);</v>
      </c>
    </row>
    <row r="416" spans="1:12">
      <c r="A416" s="114">
        <v>1</v>
      </c>
      <c r="B416" s="114">
        <v>183</v>
      </c>
      <c r="C416" s="139" t="s">
        <v>2198</v>
      </c>
      <c r="D416" s="114" t="s">
        <v>2090</v>
      </c>
      <c r="E416" s="114">
        <v>407</v>
      </c>
      <c r="F416" s="114">
        <v>31</v>
      </c>
      <c r="G416" s="114">
        <v>1</v>
      </c>
      <c r="H416" s="114">
        <v>3400</v>
      </c>
      <c r="I416" s="114">
        <v>3400</v>
      </c>
      <c r="J416" s="114">
        <v>2857</v>
      </c>
      <c r="K416" s="114">
        <v>543</v>
      </c>
      <c r="L416" s="114" t="str">
        <f t="shared" si="6"/>
        <v>INSERT INTO DETALLES_DOCUMENTO(NRO_DOCUMENTO,ID_TIPO,ID_PRODUCTO,CANTIDAD,PRECIO,VALOR_BRUTO,VALOR_NETO,VALOR_IVA) VALUES(183,1,31,1,3400,3400,2857,543);</v>
      </c>
    </row>
    <row r="417" spans="1:12">
      <c r="A417" s="114">
        <v>1</v>
      </c>
      <c r="B417" s="114">
        <v>184</v>
      </c>
      <c r="C417" s="139" t="s">
        <v>2198</v>
      </c>
      <c r="D417" s="114" t="s">
        <v>2090</v>
      </c>
      <c r="E417" s="114">
        <v>443</v>
      </c>
      <c r="F417" s="114">
        <v>135</v>
      </c>
      <c r="G417" s="114">
        <v>1</v>
      </c>
      <c r="H417" s="114">
        <v>1000</v>
      </c>
      <c r="I417" s="114">
        <v>1000</v>
      </c>
      <c r="J417" s="114">
        <v>840</v>
      </c>
      <c r="K417" s="114">
        <v>160</v>
      </c>
      <c r="L417" s="114" t="str">
        <f t="shared" si="6"/>
        <v>INSERT INTO DETALLES_DOCUMENTO(NRO_DOCUMENTO,ID_TIPO,ID_PRODUCTO,CANTIDAD,PRECIO,VALOR_BRUTO,VALOR_NETO,VALOR_IVA) VALUES(184,1,135,1,1000,1000,840,160);</v>
      </c>
    </row>
    <row r="418" spans="1:12">
      <c r="A418" s="114">
        <v>1</v>
      </c>
      <c r="B418" s="114">
        <v>185</v>
      </c>
      <c r="C418" s="139" t="s">
        <v>2199</v>
      </c>
      <c r="D418" s="114" t="s">
        <v>2090</v>
      </c>
      <c r="E418" s="114">
        <v>36</v>
      </c>
      <c r="F418" s="114">
        <v>231</v>
      </c>
      <c r="G418" s="114">
        <v>1</v>
      </c>
      <c r="H418" s="114">
        <v>19990</v>
      </c>
      <c r="I418" s="114">
        <v>19990</v>
      </c>
      <c r="J418" s="114">
        <v>16798</v>
      </c>
      <c r="K418" s="114">
        <v>3192</v>
      </c>
      <c r="L418" s="114" t="str">
        <f t="shared" si="6"/>
        <v>INSERT INTO DETALLES_DOCUMENTO(NRO_DOCUMENTO,ID_TIPO,ID_PRODUCTO,CANTIDAD,PRECIO,VALOR_BRUTO,VALOR_NETO,VALOR_IVA) VALUES(185,1,231,1,19990,19990,16798,3192);</v>
      </c>
    </row>
    <row r="419" spans="1:12">
      <c r="A419" s="114">
        <v>1</v>
      </c>
      <c r="B419" s="114">
        <v>186</v>
      </c>
      <c r="C419" s="139" t="s">
        <v>2199</v>
      </c>
      <c r="D419" s="114" t="s">
        <v>2090</v>
      </c>
      <c r="E419" s="114">
        <v>85</v>
      </c>
      <c r="F419" s="114">
        <v>143</v>
      </c>
      <c r="G419" s="114">
        <v>1</v>
      </c>
      <c r="H419" s="114">
        <v>6300</v>
      </c>
      <c r="I419" s="114">
        <v>6300</v>
      </c>
      <c r="J419" s="114">
        <v>5294</v>
      </c>
      <c r="K419" s="114">
        <v>1006</v>
      </c>
      <c r="L419" s="114" t="str">
        <f t="shared" si="6"/>
        <v>INSERT INTO DETALLES_DOCUMENTO(NRO_DOCUMENTO,ID_TIPO,ID_PRODUCTO,CANTIDAD,PRECIO,VALOR_BRUTO,VALOR_NETO,VALOR_IVA) VALUES(186,1,143,1,6300,6300,5294,1006);</v>
      </c>
    </row>
    <row r="420" spans="1:12">
      <c r="A420" s="114">
        <v>1</v>
      </c>
      <c r="B420" s="114">
        <v>187</v>
      </c>
      <c r="C420" s="139" t="s">
        <v>2199</v>
      </c>
      <c r="D420" s="114" t="s">
        <v>2090</v>
      </c>
      <c r="E420" s="114">
        <v>154</v>
      </c>
      <c r="F420" s="114">
        <v>231</v>
      </c>
      <c r="G420" s="114">
        <v>1</v>
      </c>
      <c r="H420" s="114">
        <v>19990</v>
      </c>
      <c r="I420" s="114">
        <v>19990</v>
      </c>
      <c r="J420" s="114">
        <v>16798</v>
      </c>
      <c r="K420" s="114">
        <v>3192</v>
      </c>
      <c r="L420" s="114" t="str">
        <f t="shared" si="6"/>
        <v>INSERT INTO DETALLES_DOCUMENTO(NRO_DOCUMENTO,ID_TIPO,ID_PRODUCTO,CANTIDAD,PRECIO,VALOR_BRUTO,VALOR_NETO,VALOR_IVA) VALUES(187,1,231,1,19990,19990,16798,3192);</v>
      </c>
    </row>
    <row r="421" spans="1:12">
      <c r="A421" s="114">
        <v>1</v>
      </c>
      <c r="B421" s="114">
        <v>187</v>
      </c>
      <c r="C421" s="139" t="s">
        <v>2199</v>
      </c>
      <c r="D421" s="114" t="s">
        <v>2090</v>
      </c>
      <c r="E421" s="114">
        <v>154</v>
      </c>
      <c r="F421" s="114">
        <v>118</v>
      </c>
      <c r="G421" s="114">
        <v>1</v>
      </c>
      <c r="H421" s="114">
        <v>3500</v>
      </c>
      <c r="I421" s="114">
        <v>3500</v>
      </c>
      <c r="J421" s="114">
        <v>2941</v>
      </c>
      <c r="K421" s="114">
        <v>559</v>
      </c>
      <c r="L421" s="114" t="str">
        <f t="shared" si="6"/>
        <v>INSERT INTO DETALLES_DOCUMENTO(NRO_DOCUMENTO,ID_TIPO,ID_PRODUCTO,CANTIDAD,PRECIO,VALOR_BRUTO,VALOR_NETO,VALOR_IVA) VALUES(187,1,118,1,3500,3500,2941,559);</v>
      </c>
    </row>
    <row r="422" spans="1:12">
      <c r="A422" s="114">
        <v>1</v>
      </c>
      <c r="B422" s="114">
        <v>188</v>
      </c>
      <c r="C422" s="139" t="s">
        <v>2199</v>
      </c>
      <c r="D422" s="114" t="s">
        <v>2090</v>
      </c>
      <c r="E422" s="114">
        <v>155</v>
      </c>
      <c r="F422" s="114">
        <v>143</v>
      </c>
      <c r="G422" s="114">
        <v>1</v>
      </c>
      <c r="H422" s="114">
        <v>6300</v>
      </c>
      <c r="I422" s="114">
        <v>6300</v>
      </c>
      <c r="J422" s="114">
        <v>5294</v>
      </c>
      <c r="K422" s="114">
        <v>1006</v>
      </c>
      <c r="L422" s="114" t="str">
        <f t="shared" si="6"/>
        <v>INSERT INTO DETALLES_DOCUMENTO(NRO_DOCUMENTO,ID_TIPO,ID_PRODUCTO,CANTIDAD,PRECIO,VALOR_BRUTO,VALOR_NETO,VALOR_IVA) VALUES(188,1,143,1,6300,6300,5294,1006);</v>
      </c>
    </row>
    <row r="423" spans="1:12">
      <c r="A423" s="114">
        <v>1</v>
      </c>
      <c r="B423" s="114">
        <v>189</v>
      </c>
      <c r="C423" s="139" t="s">
        <v>2199</v>
      </c>
      <c r="D423" s="114" t="s">
        <v>2090</v>
      </c>
      <c r="E423" s="114">
        <v>166</v>
      </c>
      <c r="F423" s="114">
        <v>236</v>
      </c>
      <c r="G423" s="114">
        <v>1</v>
      </c>
      <c r="H423" s="114">
        <v>18990</v>
      </c>
      <c r="I423" s="114">
        <v>18990</v>
      </c>
      <c r="J423" s="114">
        <v>15958</v>
      </c>
      <c r="K423" s="114">
        <v>3032</v>
      </c>
      <c r="L423" s="114" t="str">
        <f t="shared" si="6"/>
        <v>INSERT INTO DETALLES_DOCUMENTO(NRO_DOCUMENTO,ID_TIPO,ID_PRODUCTO,CANTIDAD,PRECIO,VALOR_BRUTO,VALOR_NETO,VALOR_IVA) VALUES(189,1,236,1,18990,18990,15958,3032);</v>
      </c>
    </row>
    <row r="424" spans="1:12">
      <c r="A424" s="114">
        <v>1</v>
      </c>
      <c r="B424" s="114">
        <v>190</v>
      </c>
      <c r="C424" s="139" t="s">
        <v>2199</v>
      </c>
      <c r="D424" s="114" t="s">
        <v>2090</v>
      </c>
      <c r="E424" s="114">
        <v>217</v>
      </c>
      <c r="F424" s="114">
        <v>293</v>
      </c>
      <c r="G424" s="114">
        <v>1</v>
      </c>
      <c r="H424" s="114">
        <v>9500</v>
      </c>
      <c r="I424" s="114">
        <v>9500</v>
      </c>
      <c r="J424" s="114">
        <v>7983</v>
      </c>
      <c r="K424" s="114">
        <v>1517</v>
      </c>
      <c r="L424" s="114" t="str">
        <f t="shared" si="6"/>
        <v>INSERT INTO DETALLES_DOCUMENTO(NRO_DOCUMENTO,ID_TIPO,ID_PRODUCTO,CANTIDAD,PRECIO,VALOR_BRUTO,VALOR_NETO,VALOR_IVA) VALUES(190,1,293,1,9500,9500,7983,1517);</v>
      </c>
    </row>
    <row r="425" spans="1:12">
      <c r="A425" s="114">
        <v>1</v>
      </c>
      <c r="B425" s="114">
        <v>190</v>
      </c>
      <c r="C425" s="139" t="s">
        <v>2199</v>
      </c>
      <c r="D425" s="114" t="s">
        <v>2090</v>
      </c>
      <c r="E425" s="114">
        <v>217</v>
      </c>
      <c r="F425" s="114">
        <v>365</v>
      </c>
      <c r="G425" s="114">
        <v>1</v>
      </c>
      <c r="H425" s="114">
        <v>3200</v>
      </c>
      <c r="I425" s="114">
        <v>3200</v>
      </c>
      <c r="J425" s="114">
        <v>2689</v>
      </c>
      <c r="K425" s="114">
        <v>511</v>
      </c>
      <c r="L425" s="114" t="str">
        <f t="shared" si="6"/>
        <v>INSERT INTO DETALLES_DOCUMENTO(NRO_DOCUMENTO,ID_TIPO,ID_PRODUCTO,CANTIDAD,PRECIO,VALOR_BRUTO,VALOR_NETO,VALOR_IVA) VALUES(190,1,365,1,3200,3200,2689,511);</v>
      </c>
    </row>
    <row r="426" spans="1:12">
      <c r="A426" s="114">
        <v>1</v>
      </c>
      <c r="B426" s="114">
        <v>190</v>
      </c>
      <c r="C426" s="139" t="s">
        <v>2199</v>
      </c>
      <c r="D426" s="114" t="s">
        <v>2090</v>
      </c>
      <c r="E426" s="114">
        <v>217</v>
      </c>
      <c r="F426" s="114">
        <v>166</v>
      </c>
      <c r="G426" s="114">
        <v>2</v>
      </c>
      <c r="H426" s="114">
        <v>3200</v>
      </c>
      <c r="I426" s="114">
        <v>6400</v>
      </c>
      <c r="J426" s="114">
        <v>5378</v>
      </c>
      <c r="K426" s="114">
        <v>1022</v>
      </c>
      <c r="L426" s="114" t="str">
        <f t="shared" si="6"/>
        <v>INSERT INTO DETALLES_DOCUMENTO(NRO_DOCUMENTO,ID_TIPO,ID_PRODUCTO,CANTIDAD,PRECIO,VALOR_BRUTO,VALOR_NETO,VALOR_IVA) VALUES(190,1,166,2,3200,6400,5378,1022);</v>
      </c>
    </row>
    <row r="427" spans="1:12">
      <c r="A427" s="114">
        <v>1</v>
      </c>
      <c r="B427" s="114">
        <v>190</v>
      </c>
      <c r="C427" s="139" t="s">
        <v>2199</v>
      </c>
      <c r="D427" s="114" t="s">
        <v>2090</v>
      </c>
      <c r="E427" s="114">
        <v>217</v>
      </c>
      <c r="F427" s="114">
        <v>125</v>
      </c>
      <c r="G427" s="114">
        <v>1</v>
      </c>
      <c r="H427" s="114">
        <v>1700</v>
      </c>
      <c r="I427" s="114">
        <v>1700</v>
      </c>
      <c r="J427" s="114">
        <v>1429</v>
      </c>
      <c r="K427" s="114">
        <v>271</v>
      </c>
      <c r="L427" s="114" t="str">
        <f t="shared" si="6"/>
        <v>INSERT INTO DETALLES_DOCUMENTO(NRO_DOCUMENTO,ID_TIPO,ID_PRODUCTO,CANTIDAD,PRECIO,VALOR_BRUTO,VALOR_NETO,VALOR_IVA) VALUES(190,1,125,1,1700,1700,1429,271);</v>
      </c>
    </row>
    <row r="428" spans="1:12">
      <c r="A428" s="114">
        <v>1</v>
      </c>
      <c r="B428" s="114">
        <v>191</v>
      </c>
      <c r="C428" s="139" t="s">
        <v>2199</v>
      </c>
      <c r="D428" s="114" t="s">
        <v>2090</v>
      </c>
      <c r="E428" s="114">
        <v>237</v>
      </c>
      <c r="F428" s="114">
        <v>143</v>
      </c>
      <c r="G428" s="114">
        <v>2</v>
      </c>
      <c r="H428" s="114">
        <v>12600</v>
      </c>
      <c r="I428" s="114">
        <v>25200</v>
      </c>
      <c r="J428" s="114">
        <v>21176</v>
      </c>
      <c r="K428" s="114">
        <v>4024</v>
      </c>
      <c r="L428" s="114" t="str">
        <f t="shared" si="6"/>
        <v>INSERT INTO DETALLES_DOCUMENTO(NRO_DOCUMENTO,ID_TIPO,ID_PRODUCTO,CANTIDAD,PRECIO,VALOR_BRUTO,VALOR_NETO,VALOR_IVA) VALUES(191,1,143,2,12600,25200,21176,4024);</v>
      </c>
    </row>
    <row r="429" spans="1:12">
      <c r="A429" s="114">
        <v>1</v>
      </c>
      <c r="B429" s="114">
        <v>192</v>
      </c>
      <c r="C429" s="139" t="s">
        <v>2199</v>
      </c>
      <c r="D429" s="114" t="s">
        <v>2090</v>
      </c>
      <c r="E429" s="114">
        <v>267</v>
      </c>
      <c r="F429" s="114">
        <v>120</v>
      </c>
      <c r="G429" s="114">
        <v>1</v>
      </c>
      <c r="H429" s="114">
        <v>1700</v>
      </c>
      <c r="I429" s="114">
        <v>1700</v>
      </c>
      <c r="J429" s="114">
        <v>1429</v>
      </c>
      <c r="K429" s="114">
        <v>271</v>
      </c>
      <c r="L429" s="114" t="str">
        <f t="shared" si="6"/>
        <v>INSERT INTO DETALLES_DOCUMENTO(NRO_DOCUMENTO,ID_TIPO,ID_PRODUCTO,CANTIDAD,PRECIO,VALOR_BRUTO,VALOR_NETO,VALOR_IVA) VALUES(192,1,120,1,1700,1700,1429,271);</v>
      </c>
    </row>
    <row r="430" spans="1:12">
      <c r="A430" s="114">
        <v>1</v>
      </c>
      <c r="B430" s="114">
        <v>193</v>
      </c>
      <c r="C430" s="139" t="s">
        <v>2199</v>
      </c>
      <c r="D430" s="114" t="s">
        <v>2090</v>
      </c>
      <c r="E430" s="114">
        <v>299</v>
      </c>
      <c r="F430" s="114">
        <v>143</v>
      </c>
      <c r="G430" s="114">
        <v>1</v>
      </c>
      <c r="H430" s="114">
        <v>6300</v>
      </c>
      <c r="I430" s="114">
        <v>6300</v>
      </c>
      <c r="J430" s="114">
        <v>5294</v>
      </c>
      <c r="K430" s="114">
        <v>1006</v>
      </c>
      <c r="L430" s="114" t="str">
        <f t="shared" si="6"/>
        <v>INSERT INTO DETALLES_DOCUMENTO(NRO_DOCUMENTO,ID_TIPO,ID_PRODUCTO,CANTIDAD,PRECIO,VALOR_BRUTO,VALOR_NETO,VALOR_IVA) VALUES(193,1,143,1,6300,6300,5294,1006);</v>
      </c>
    </row>
    <row r="431" spans="1:12">
      <c r="A431" s="114">
        <v>1</v>
      </c>
      <c r="B431" s="114">
        <v>194</v>
      </c>
      <c r="C431" s="139" t="s">
        <v>2199</v>
      </c>
      <c r="D431" s="114" t="s">
        <v>2090</v>
      </c>
      <c r="E431" s="114">
        <v>303</v>
      </c>
      <c r="F431" s="114">
        <v>230</v>
      </c>
      <c r="G431" s="114">
        <v>1</v>
      </c>
      <c r="H431" s="114">
        <v>15500</v>
      </c>
      <c r="I431" s="114">
        <v>15500</v>
      </c>
      <c r="J431" s="114">
        <v>13025</v>
      </c>
      <c r="K431" s="114">
        <v>2475</v>
      </c>
      <c r="L431" s="114" t="str">
        <f t="shared" si="6"/>
        <v>INSERT INTO DETALLES_DOCUMENTO(NRO_DOCUMENTO,ID_TIPO,ID_PRODUCTO,CANTIDAD,PRECIO,VALOR_BRUTO,VALOR_NETO,VALOR_IVA) VALUES(194,1,230,1,15500,15500,13025,2475);</v>
      </c>
    </row>
    <row r="432" spans="1:12">
      <c r="A432" s="114">
        <v>1</v>
      </c>
      <c r="B432" s="114">
        <v>194</v>
      </c>
      <c r="C432" s="139" t="s">
        <v>2199</v>
      </c>
      <c r="D432" s="114" t="s">
        <v>2090</v>
      </c>
      <c r="E432" s="114">
        <v>303</v>
      </c>
      <c r="F432" s="114">
        <v>369</v>
      </c>
      <c r="G432" s="114">
        <v>1</v>
      </c>
      <c r="H432" s="114">
        <v>10500</v>
      </c>
      <c r="I432" s="114">
        <v>10500</v>
      </c>
      <c r="J432" s="114">
        <v>8824</v>
      </c>
      <c r="K432" s="114">
        <v>1676</v>
      </c>
      <c r="L432" s="114" t="str">
        <f t="shared" si="6"/>
        <v>INSERT INTO DETALLES_DOCUMENTO(NRO_DOCUMENTO,ID_TIPO,ID_PRODUCTO,CANTIDAD,PRECIO,VALOR_BRUTO,VALOR_NETO,VALOR_IVA) VALUES(194,1,369,1,10500,10500,8824,1676);</v>
      </c>
    </row>
    <row r="433" spans="1:12">
      <c r="A433" s="114">
        <v>1</v>
      </c>
      <c r="B433" s="114">
        <v>195</v>
      </c>
      <c r="C433" s="139" t="s">
        <v>2199</v>
      </c>
      <c r="D433" s="114" t="s">
        <v>2090</v>
      </c>
      <c r="E433" s="114">
        <v>402</v>
      </c>
      <c r="F433" s="114">
        <v>143</v>
      </c>
      <c r="G433" s="114">
        <v>1</v>
      </c>
      <c r="H433" s="114">
        <v>6300</v>
      </c>
      <c r="I433" s="114">
        <v>6300</v>
      </c>
      <c r="J433" s="114">
        <v>5294</v>
      </c>
      <c r="K433" s="114">
        <v>1006</v>
      </c>
      <c r="L433" s="114" t="str">
        <f t="shared" si="6"/>
        <v>INSERT INTO DETALLES_DOCUMENTO(NRO_DOCUMENTO,ID_TIPO,ID_PRODUCTO,CANTIDAD,PRECIO,VALOR_BRUTO,VALOR_NETO,VALOR_IVA) VALUES(195,1,143,1,6300,6300,5294,1006);</v>
      </c>
    </row>
    <row r="434" spans="1:12">
      <c r="A434" s="114">
        <v>1</v>
      </c>
      <c r="B434" s="114">
        <v>196</v>
      </c>
      <c r="C434" s="139" t="s">
        <v>2199</v>
      </c>
      <c r="D434" s="114" t="s">
        <v>2090</v>
      </c>
      <c r="E434" s="114">
        <v>451</v>
      </c>
      <c r="F434" s="114">
        <v>383</v>
      </c>
      <c r="G434" s="114">
        <v>1</v>
      </c>
      <c r="H434" s="114">
        <v>2400</v>
      </c>
      <c r="I434" s="114">
        <v>2400</v>
      </c>
      <c r="J434" s="114">
        <v>2017</v>
      </c>
      <c r="K434" s="114">
        <v>383</v>
      </c>
      <c r="L434" s="114" t="str">
        <f t="shared" si="6"/>
        <v>INSERT INTO DETALLES_DOCUMENTO(NRO_DOCUMENTO,ID_TIPO,ID_PRODUCTO,CANTIDAD,PRECIO,VALOR_BRUTO,VALOR_NETO,VALOR_IVA) VALUES(196,1,383,1,2400,2400,2017,383);</v>
      </c>
    </row>
    <row r="435" spans="1:12">
      <c r="A435" s="114">
        <v>1</v>
      </c>
      <c r="B435" s="114">
        <v>196</v>
      </c>
      <c r="C435" s="139" t="s">
        <v>2199</v>
      </c>
      <c r="D435" s="114" t="s">
        <v>2090</v>
      </c>
      <c r="E435" s="114">
        <v>451</v>
      </c>
      <c r="F435" s="114">
        <v>118</v>
      </c>
      <c r="G435" s="114">
        <v>1</v>
      </c>
      <c r="H435" s="114">
        <v>3500</v>
      </c>
      <c r="I435" s="114">
        <v>3500</v>
      </c>
      <c r="J435" s="114">
        <v>2941</v>
      </c>
      <c r="K435" s="114">
        <v>559</v>
      </c>
      <c r="L435" s="114" t="str">
        <f t="shared" si="6"/>
        <v>INSERT INTO DETALLES_DOCUMENTO(NRO_DOCUMENTO,ID_TIPO,ID_PRODUCTO,CANTIDAD,PRECIO,VALOR_BRUTO,VALOR_NETO,VALOR_IVA) VALUES(196,1,118,1,3500,3500,2941,559);</v>
      </c>
    </row>
    <row r="436" spans="1:12">
      <c r="A436" s="114">
        <v>1</v>
      </c>
      <c r="B436" s="114">
        <v>197</v>
      </c>
      <c r="C436" s="139" t="s">
        <v>2199</v>
      </c>
      <c r="D436" s="114" t="s">
        <v>2090</v>
      </c>
      <c r="E436" s="114">
        <v>474</v>
      </c>
      <c r="F436" s="114">
        <v>288</v>
      </c>
      <c r="G436" s="114">
        <v>1</v>
      </c>
      <c r="H436" s="114">
        <v>8000</v>
      </c>
      <c r="I436" s="114">
        <v>8000</v>
      </c>
      <c r="J436" s="114">
        <v>6723</v>
      </c>
      <c r="K436" s="114">
        <v>1277</v>
      </c>
      <c r="L436" s="114" t="str">
        <f t="shared" si="6"/>
        <v>INSERT INTO DETALLES_DOCUMENTO(NRO_DOCUMENTO,ID_TIPO,ID_PRODUCTO,CANTIDAD,PRECIO,VALOR_BRUTO,VALOR_NETO,VALOR_IVA) VALUES(197,1,288,1,8000,8000,6723,1277);</v>
      </c>
    </row>
    <row r="437" spans="1:12">
      <c r="A437" s="114">
        <v>1</v>
      </c>
      <c r="B437" s="114">
        <v>198</v>
      </c>
      <c r="C437" s="139" t="s">
        <v>2200</v>
      </c>
      <c r="D437" s="114" t="s">
        <v>2094</v>
      </c>
      <c r="E437" s="114">
        <v>76</v>
      </c>
      <c r="F437" s="114">
        <v>324</v>
      </c>
      <c r="G437" s="114">
        <v>1</v>
      </c>
      <c r="H437" s="114">
        <v>10500</v>
      </c>
      <c r="I437" s="114">
        <v>10500</v>
      </c>
      <c r="J437" s="114">
        <v>8824</v>
      </c>
      <c r="K437" s="114">
        <v>1676</v>
      </c>
      <c r="L437" s="114" t="str">
        <f t="shared" si="6"/>
        <v>INSERT INTO DETALLES_DOCUMENTO(NRO_DOCUMENTO,ID_TIPO,ID_PRODUCTO,CANTIDAD,PRECIO,VALOR_BRUTO,VALOR_NETO,VALOR_IVA) VALUES(198,1,324,1,10500,10500,8824,1676);</v>
      </c>
    </row>
    <row r="438" spans="1:12">
      <c r="A438" s="114">
        <v>1</v>
      </c>
      <c r="B438" s="114">
        <v>199</v>
      </c>
      <c r="C438" s="139" t="s">
        <v>2200</v>
      </c>
      <c r="D438" s="114" t="s">
        <v>2090</v>
      </c>
      <c r="E438" s="114">
        <v>159</v>
      </c>
      <c r="F438" s="114">
        <v>143</v>
      </c>
      <c r="G438" s="114">
        <v>2</v>
      </c>
      <c r="H438" s="114">
        <v>12600</v>
      </c>
      <c r="I438" s="114">
        <v>25200</v>
      </c>
      <c r="J438" s="114">
        <v>21176</v>
      </c>
      <c r="K438" s="114">
        <v>4024</v>
      </c>
      <c r="L438" s="114" t="str">
        <f t="shared" si="6"/>
        <v>INSERT INTO DETALLES_DOCUMENTO(NRO_DOCUMENTO,ID_TIPO,ID_PRODUCTO,CANTIDAD,PRECIO,VALOR_BRUTO,VALOR_NETO,VALOR_IVA) VALUES(199,1,143,2,12600,25200,21176,4024);</v>
      </c>
    </row>
    <row r="439" spans="1:12">
      <c r="A439" s="114">
        <v>1</v>
      </c>
      <c r="B439" s="114">
        <v>200</v>
      </c>
      <c r="C439" s="139" t="s">
        <v>2200</v>
      </c>
      <c r="D439" s="114" t="s">
        <v>2090</v>
      </c>
      <c r="E439" s="114">
        <v>477</v>
      </c>
      <c r="F439" s="114">
        <v>231</v>
      </c>
      <c r="G439" s="114">
        <v>1</v>
      </c>
      <c r="H439" s="114">
        <v>19990</v>
      </c>
      <c r="I439" s="114">
        <v>19990</v>
      </c>
      <c r="J439" s="114">
        <v>16798</v>
      </c>
      <c r="K439" s="114">
        <v>3192</v>
      </c>
      <c r="L439" s="114" t="str">
        <f t="shared" si="6"/>
        <v>INSERT INTO DETALLES_DOCUMENTO(NRO_DOCUMENTO,ID_TIPO,ID_PRODUCTO,CANTIDAD,PRECIO,VALOR_BRUTO,VALOR_NETO,VALOR_IVA) VALUES(200,1,231,1,19990,19990,16798,3192);</v>
      </c>
    </row>
    <row r="440" spans="1:12">
      <c r="A440" s="114">
        <v>1</v>
      </c>
      <c r="B440" s="114">
        <v>201</v>
      </c>
      <c r="C440" s="139" t="s">
        <v>2200</v>
      </c>
      <c r="D440" s="114" t="s">
        <v>2094</v>
      </c>
      <c r="E440" s="114">
        <v>483</v>
      </c>
      <c r="F440" s="114">
        <v>99</v>
      </c>
      <c r="G440" s="114">
        <v>2</v>
      </c>
      <c r="H440" s="114">
        <v>3000</v>
      </c>
      <c r="I440" s="114">
        <v>6000</v>
      </c>
      <c r="J440" s="114">
        <v>5042</v>
      </c>
      <c r="K440" s="114">
        <v>958</v>
      </c>
      <c r="L440" s="114" t="str">
        <f t="shared" si="6"/>
        <v>INSERT INTO DETALLES_DOCUMENTO(NRO_DOCUMENTO,ID_TIPO,ID_PRODUCTO,CANTIDAD,PRECIO,VALOR_BRUTO,VALOR_NETO,VALOR_IVA) VALUES(201,1,99,2,3000,6000,5042,958);</v>
      </c>
    </row>
    <row r="441" spans="1:12">
      <c r="A441" s="114">
        <v>1</v>
      </c>
      <c r="B441" s="114">
        <v>201</v>
      </c>
      <c r="C441" s="139" t="s">
        <v>2200</v>
      </c>
      <c r="D441" s="114" t="s">
        <v>2094</v>
      </c>
      <c r="E441" s="114">
        <v>483</v>
      </c>
      <c r="F441" s="114">
        <v>24</v>
      </c>
      <c r="G441" s="114">
        <v>1</v>
      </c>
      <c r="H441" s="114">
        <v>1650</v>
      </c>
      <c r="I441" s="114">
        <v>1650</v>
      </c>
      <c r="J441" s="114">
        <v>1387</v>
      </c>
      <c r="K441" s="114">
        <v>263</v>
      </c>
      <c r="L441" s="114" t="str">
        <f t="shared" si="6"/>
        <v>INSERT INTO DETALLES_DOCUMENTO(NRO_DOCUMENTO,ID_TIPO,ID_PRODUCTO,CANTIDAD,PRECIO,VALOR_BRUTO,VALOR_NETO,VALOR_IVA) VALUES(201,1,24,1,1650,1650,1387,263);</v>
      </c>
    </row>
    <row r="442" spans="1:12">
      <c r="A442" s="114">
        <v>1</v>
      </c>
      <c r="B442" s="114">
        <v>201</v>
      </c>
      <c r="C442" s="139" t="s">
        <v>2200</v>
      </c>
      <c r="D442" s="114" t="s">
        <v>2094</v>
      </c>
      <c r="E442" s="114">
        <v>483</v>
      </c>
      <c r="F442" s="114">
        <v>32</v>
      </c>
      <c r="G442" s="114">
        <v>1</v>
      </c>
      <c r="H442" s="114">
        <v>6500</v>
      </c>
      <c r="I442" s="114">
        <v>6500</v>
      </c>
      <c r="J442" s="114">
        <v>5462</v>
      </c>
      <c r="K442" s="114">
        <v>1038</v>
      </c>
      <c r="L442" s="114" t="str">
        <f t="shared" si="6"/>
        <v>INSERT INTO DETALLES_DOCUMENTO(NRO_DOCUMENTO,ID_TIPO,ID_PRODUCTO,CANTIDAD,PRECIO,VALOR_BRUTO,VALOR_NETO,VALOR_IVA) VALUES(201,1,32,1,6500,6500,5462,1038);</v>
      </c>
    </row>
    <row r="443" spans="1:12">
      <c r="A443" s="114">
        <v>1</v>
      </c>
      <c r="B443" s="114">
        <v>201</v>
      </c>
      <c r="C443" s="139" t="s">
        <v>2200</v>
      </c>
      <c r="D443" s="114" t="s">
        <v>2094</v>
      </c>
      <c r="E443" s="114">
        <v>483</v>
      </c>
      <c r="F443" s="114">
        <v>152</v>
      </c>
      <c r="G443" s="114">
        <v>2</v>
      </c>
      <c r="H443" s="114">
        <v>8400</v>
      </c>
      <c r="I443" s="114">
        <v>16800</v>
      </c>
      <c r="J443" s="114">
        <v>14118</v>
      </c>
      <c r="K443" s="114">
        <v>2682</v>
      </c>
      <c r="L443" s="114" t="str">
        <f t="shared" si="6"/>
        <v>INSERT INTO DETALLES_DOCUMENTO(NRO_DOCUMENTO,ID_TIPO,ID_PRODUCTO,CANTIDAD,PRECIO,VALOR_BRUTO,VALOR_NETO,VALOR_IVA) VALUES(201,1,152,2,8400,16800,14118,2682);</v>
      </c>
    </row>
    <row r="444" spans="1:12">
      <c r="A444" s="114">
        <v>1</v>
      </c>
      <c r="B444" s="114">
        <v>201</v>
      </c>
      <c r="C444" s="139" t="s">
        <v>2200</v>
      </c>
      <c r="D444" s="114" t="s">
        <v>2094</v>
      </c>
      <c r="E444" s="114">
        <v>483</v>
      </c>
      <c r="F444" s="114">
        <v>288</v>
      </c>
      <c r="G444" s="114">
        <v>1</v>
      </c>
      <c r="H444" s="114">
        <v>8000</v>
      </c>
      <c r="I444" s="114">
        <v>8000</v>
      </c>
      <c r="J444" s="114">
        <v>6723</v>
      </c>
      <c r="K444" s="114">
        <v>1277</v>
      </c>
      <c r="L444" s="114" t="str">
        <f t="shared" si="6"/>
        <v>INSERT INTO DETALLES_DOCUMENTO(NRO_DOCUMENTO,ID_TIPO,ID_PRODUCTO,CANTIDAD,PRECIO,VALOR_BRUTO,VALOR_NETO,VALOR_IVA) VALUES(201,1,288,1,8000,8000,6723,1277);</v>
      </c>
    </row>
    <row r="445" spans="1:12">
      <c r="A445" s="114">
        <v>1</v>
      </c>
      <c r="B445" s="114">
        <v>201</v>
      </c>
      <c r="C445" s="139" t="s">
        <v>2200</v>
      </c>
      <c r="D445" s="114" t="s">
        <v>2094</v>
      </c>
      <c r="E445" s="114">
        <v>483</v>
      </c>
      <c r="F445" s="114">
        <v>126</v>
      </c>
      <c r="G445" s="114">
        <v>1</v>
      </c>
      <c r="H445" s="114">
        <v>9000</v>
      </c>
      <c r="I445" s="114">
        <v>9000</v>
      </c>
      <c r="J445" s="114">
        <v>7563</v>
      </c>
      <c r="K445" s="114">
        <v>1437</v>
      </c>
      <c r="L445" s="114" t="str">
        <f t="shared" si="6"/>
        <v>INSERT INTO DETALLES_DOCUMENTO(NRO_DOCUMENTO,ID_TIPO,ID_PRODUCTO,CANTIDAD,PRECIO,VALOR_BRUTO,VALOR_NETO,VALOR_IVA) VALUES(201,1,126,1,9000,9000,7563,1437);</v>
      </c>
    </row>
    <row r="446" spans="1:12">
      <c r="A446" s="114">
        <v>1</v>
      </c>
      <c r="B446" s="114">
        <v>201</v>
      </c>
      <c r="C446" s="139" t="s">
        <v>2200</v>
      </c>
      <c r="D446" s="114" t="s">
        <v>2094</v>
      </c>
      <c r="E446" s="114">
        <v>483</v>
      </c>
      <c r="F446" s="114">
        <v>120</v>
      </c>
      <c r="G446" s="114">
        <v>1</v>
      </c>
      <c r="H446" s="114">
        <v>1700</v>
      </c>
      <c r="I446" s="114">
        <v>1700</v>
      </c>
      <c r="J446" s="114">
        <v>1429</v>
      </c>
      <c r="K446" s="114">
        <v>271</v>
      </c>
      <c r="L446" s="114" t="str">
        <f t="shared" si="6"/>
        <v>INSERT INTO DETALLES_DOCUMENTO(NRO_DOCUMENTO,ID_TIPO,ID_PRODUCTO,CANTIDAD,PRECIO,VALOR_BRUTO,VALOR_NETO,VALOR_IVA) VALUES(201,1,120,1,1700,1700,1429,271);</v>
      </c>
    </row>
    <row r="447" spans="1:12">
      <c r="A447" s="114">
        <v>1</v>
      </c>
      <c r="B447" s="114">
        <v>201</v>
      </c>
      <c r="C447" s="139" t="s">
        <v>2200</v>
      </c>
      <c r="D447" s="114" t="s">
        <v>2094</v>
      </c>
      <c r="E447" s="114">
        <v>483</v>
      </c>
      <c r="F447" s="114">
        <v>259</v>
      </c>
      <c r="G447" s="114">
        <v>2</v>
      </c>
      <c r="H447" s="114">
        <v>9000</v>
      </c>
      <c r="I447" s="114">
        <v>18000</v>
      </c>
      <c r="J447" s="114">
        <v>15126</v>
      </c>
      <c r="K447" s="114">
        <v>2874</v>
      </c>
      <c r="L447" s="114" t="str">
        <f t="shared" si="6"/>
        <v>INSERT INTO DETALLES_DOCUMENTO(NRO_DOCUMENTO,ID_TIPO,ID_PRODUCTO,CANTIDAD,PRECIO,VALOR_BRUTO,VALOR_NETO,VALOR_IVA) VALUES(201,1,259,2,9000,18000,15126,2874);</v>
      </c>
    </row>
    <row r="448" spans="1:12">
      <c r="A448" s="114">
        <v>1</v>
      </c>
      <c r="B448" s="114">
        <v>201</v>
      </c>
      <c r="C448" s="139" t="s">
        <v>2200</v>
      </c>
      <c r="D448" s="114" t="s">
        <v>2094</v>
      </c>
      <c r="E448" s="114">
        <v>483</v>
      </c>
      <c r="F448" s="114">
        <v>228</v>
      </c>
      <c r="G448" s="114">
        <v>1</v>
      </c>
      <c r="H448" s="114">
        <v>21500</v>
      </c>
      <c r="I448" s="114">
        <v>21500</v>
      </c>
      <c r="J448" s="114">
        <v>18067</v>
      </c>
      <c r="K448" s="114">
        <v>3433</v>
      </c>
      <c r="L448" s="114" t="str">
        <f t="shared" si="6"/>
        <v>INSERT INTO DETALLES_DOCUMENTO(NRO_DOCUMENTO,ID_TIPO,ID_PRODUCTO,CANTIDAD,PRECIO,VALOR_BRUTO,VALOR_NETO,VALOR_IVA) VALUES(201,1,228,1,21500,21500,18067,3433);</v>
      </c>
    </row>
    <row r="449" spans="1:12">
      <c r="A449" s="114">
        <v>1</v>
      </c>
      <c r="B449" s="114">
        <v>201</v>
      </c>
      <c r="C449" s="139" t="s">
        <v>2200</v>
      </c>
      <c r="D449" s="114" t="s">
        <v>2094</v>
      </c>
      <c r="E449" s="114">
        <v>483</v>
      </c>
      <c r="F449" s="114">
        <v>231</v>
      </c>
      <c r="G449" s="114">
        <v>1</v>
      </c>
      <c r="H449" s="114">
        <v>19990</v>
      </c>
      <c r="I449" s="114">
        <v>19990</v>
      </c>
      <c r="J449" s="114">
        <v>16798</v>
      </c>
      <c r="K449" s="114">
        <v>3192</v>
      </c>
      <c r="L449" s="114" t="str">
        <f t="shared" si="6"/>
        <v>INSERT INTO DETALLES_DOCUMENTO(NRO_DOCUMENTO,ID_TIPO,ID_PRODUCTO,CANTIDAD,PRECIO,VALOR_BRUTO,VALOR_NETO,VALOR_IVA) VALUES(201,1,231,1,19990,19990,16798,3192);</v>
      </c>
    </row>
    <row r="450" spans="1:12">
      <c r="A450" s="114">
        <v>1</v>
      </c>
      <c r="B450" s="114">
        <v>202</v>
      </c>
      <c r="C450" s="139" t="s">
        <v>2201</v>
      </c>
      <c r="D450" s="114" t="s">
        <v>2090</v>
      </c>
      <c r="E450" s="114">
        <v>62</v>
      </c>
      <c r="F450" s="114">
        <v>117</v>
      </c>
      <c r="G450" s="114">
        <v>5</v>
      </c>
      <c r="H450" s="114">
        <v>17500</v>
      </c>
      <c r="I450" s="114">
        <v>87500</v>
      </c>
      <c r="J450" s="114">
        <v>73529</v>
      </c>
      <c r="K450" s="114">
        <v>13971</v>
      </c>
      <c r="L450" s="114" t="str">
        <f t="shared" si="6"/>
        <v>INSERT INTO DETALLES_DOCUMENTO(NRO_DOCUMENTO,ID_TIPO,ID_PRODUCTO,CANTIDAD,PRECIO,VALOR_BRUTO,VALOR_NETO,VALOR_IVA) VALUES(202,1,117,5,17500,87500,73529,13971);</v>
      </c>
    </row>
    <row r="451" spans="1:12">
      <c r="A451" s="114">
        <v>1</v>
      </c>
      <c r="B451" s="114">
        <v>202</v>
      </c>
      <c r="C451" s="139" t="s">
        <v>2201</v>
      </c>
      <c r="D451" s="114" t="s">
        <v>2090</v>
      </c>
      <c r="E451" s="114">
        <v>62</v>
      </c>
      <c r="F451" s="114">
        <v>67</v>
      </c>
      <c r="G451" s="114">
        <v>2</v>
      </c>
      <c r="H451" s="114">
        <v>1300</v>
      </c>
      <c r="I451" s="114">
        <v>2600</v>
      </c>
      <c r="J451" s="114">
        <v>2185</v>
      </c>
      <c r="K451" s="114">
        <v>415</v>
      </c>
      <c r="L451" s="114" t="str">
        <f t="shared" ref="L451:L514" si="7">CONCATENATE("INSERT INTO DETALLES_DOCUMENTO(NRO_DOCUMENTO,ID_TIPO,ID_PRODUCTO,CANTIDAD,PRECIO,VALOR_BRUTO,VALOR_NETO,VALOR_IVA) VALUES(",B451,",",A451,",",F451,",",G451,",",H451,",",I451,",",J451,",",K451,");")</f>
        <v>INSERT INTO DETALLES_DOCUMENTO(NRO_DOCUMENTO,ID_TIPO,ID_PRODUCTO,CANTIDAD,PRECIO,VALOR_BRUTO,VALOR_NETO,VALOR_IVA) VALUES(202,1,67,2,1300,2600,2185,415);</v>
      </c>
    </row>
    <row r="452" spans="1:12">
      <c r="A452" s="114">
        <v>1</v>
      </c>
      <c r="B452" s="114">
        <v>202</v>
      </c>
      <c r="C452" s="139" t="s">
        <v>2201</v>
      </c>
      <c r="D452" s="114" t="s">
        <v>2090</v>
      </c>
      <c r="E452" s="114">
        <v>62</v>
      </c>
      <c r="F452" s="114">
        <v>69</v>
      </c>
      <c r="G452" s="114">
        <v>2</v>
      </c>
      <c r="H452" s="114">
        <v>6000</v>
      </c>
      <c r="I452" s="114">
        <v>12000</v>
      </c>
      <c r="J452" s="114">
        <v>10084</v>
      </c>
      <c r="K452" s="114">
        <v>1916</v>
      </c>
      <c r="L452" s="114" t="str">
        <f t="shared" si="7"/>
        <v>INSERT INTO DETALLES_DOCUMENTO(NRO_DOCUMENTO,ID_TIPO,ID_PRODUCTO,CANTIDAD,PRECIO,VALOR_BRUTO,VALOR_NETO,VALOR_IVA) VALUES(202,1,69,2,6000,12000,10084,1916);</v>
      </c>
    </row>
    <row r="453" spans="1:12">
      <c r="A453" s="114">
        <v>1</v>
      </c>
      <c r="B453" s="114">
        <v>202</v>
      </c>
      <c r="C453" s="139" t="s">
        <v>2201</v>
      </c>
      <c r="D453" s="114" t="s">
        <v>2090</v>
      </c>
      <c r="E453" s="114">
        <v>62</v>
      </c>
      <c r="F453" s="114">
        <v>231</v>
      </c>
      <c r="G453" s="114">
        <v>1</v>
      </c>
      <c r="H453" s="114">
        <v>19990</v>
      </c>
      <c r="I453" s="114">
        <v>19990</v>
      </c>
      <c r="J453" s="114">
        <v>16798</v>
      </c>
      <c r="K453" s="114">
        <v>3192</v>
      </c>
      <c r="L453" s="114" t="str">
        <f t="shared" si="7"/>
        <v>INSERT INTO DETALLES_DOCUMENTO(NRO_DOCUMENTO,ID_TIPO,ID_PRODUCTO,CANTIDAD,PRECIO,VALOR_BRUTO,VALOR_NETO,VALOR_IVA) VALUES(202,1,231,1,19990,19990,16798,3192);</v>
      </c>
    </row>
    <row r="454" spans="1:12">
      <c r="A454" s="114">
        <v>1</v>
      </c>
      <c r="B454" s="114">
        <v>202</v>
      </c>
      <c r="C454" s="139" t="s">
        <v>2201</v>
      </c>
      <c r="D454" s="114" t="s">
        <v>2090</v>
      </c>
      <c r="E454" s="114">
        <v>62</v>
      </c>
      <c r="F454" s="114">
        <v>368</v>
      </c>
      <c r="G454" s="114">
        <v>2</v>
      </c>
      <c r="H454" s="114">
        <v>6000</v>
      </c>
      <c r="I454" s="114">
        <v>12000</v>
      </c>
      <c r="J454" s="114">
        <v>10084</v>
      </c>
      <c r="K454" s="114">
        <v>1916</v>
      </c>
      <c r="L454" s="114" t="str">
        <f t="shared" si="7"/>
        <v>INSERT INTO DETALLES_DOCUMENTO(NRO_DOCUMENTO,ID_TIPO,ID_PRODUCTO,CANTIDAD,PRECIO,VALOR_BRUTO,VALOR_NETO,VALOR_IVA) VALUES(202,1,368,2,6000,12000,10084,1916);</v>
      </c>
    </row>
    <row r="455" spans="1:12">
      <c r="A455" s="114">
        <v>1</v>
      </c>
      <c r="B455" s="114">
        <v>202</v>
      </c>
      <c r="C455" s="139" t="s">
        <v>2201</v>
      </c>
      <c r="D455" s="114" t="s">
        <v>2090</v>
      </c>
      <c r="E455" s="114">
        <v>62</v>
      </c>
      <c r="F455" s="114">
        <v>95</v>
      </c>
      <c r="G455" s="114">
        <v>1</v>
      </c>
      <c r="H455" s="114">
        <v>2400</v>
      </c>
      <c r="I455" s="114">
        <v>2400</v>
      </c>
      <c r="J455" s="114">
        <v>2017</v>
      </c>
      <c r="K455" s="114">
        <v>383</v>
      </c>
      <c r="L455" s="114" t="str">
        <f t="shared" si="7"/>
        <v>INSERT INTO DETALLES_DOCUMENTO(NRO_DOCUMENTO,ID_TIPO,ID_PRODUCTO,CANTIDAD,PRECIO,VALOR_BRUTO,VALOR_NETO,VALOR_IVA) VALUES(202,1,95,1,2400,2400,2017,383);</v>
      </c>
    </row>
    <row r="456" spans="1:12">
      <c r="A456" s="114">
        <v>1</v>
      </c>
      <c r="B456" s="114">
        <v>203</v>
      </c>
      <c r="C456" s="139" t="s">
        <v>2201</v>
      </c>
      <c r="D456" s="114" t="s">
        <v>2090</v>
      </c>
      <c r="E456" s="114">
        <v>73</v>
      </c>
      <c r="F456" s="114">
        <v>223</v>
      </c>
      <c r="G456" s="114">
        <v>1</v>
      </c>
      <c r="H456" s="114">
        <v>24000</v>
      </c>
      <c r="I456" s="114">
        <v>24000</v>
      </c>
      <c r="J456" s="114">
        <v>20168</v>
      </c>
      <c r="K456" s="114">
        <v>3832</v>
      </c>
      <c r="L456" s="114" t="str">
        <f t="shared" si="7"/>
        <v>INSERT INTO DETALLES_DOCUMENTO(NRO_DOCUMENTO,ID_TIPO,ID_PRODUCTO,CANTIDAD,PRECIO,VALOR_BRUTO,VALOR_NETO,VALOR_IVA) VALUES(203,1,223,1,24000,24000,20168,3832);</v>
      </c>
    </row>
    <row r="457" spans="1:12">
      <c r="A457" s="114">
        <v>1</v>
      </c>
      <c r="B457" s="114">
        <v>204</v>
      </c>
      <c r="C457" s="139" t="s">
        <v>2201</v>
      </c>
      <c r="D457" s="114" t="s">
        <v>2090</v>
      </c>
      <c r="E457" s="114">
        <v>166</v>
      </c>
      <c r="F457" s="114">
        <v>117</v>
      </c>
      <c r="G457" s="114">
        <v>1</v>
      </c>
      <c r="H457" s="114">
        <v>3500</v>
      </c>
      <c r="I457" s="114">
        <v>3500</v>
      </c>
      <c r="J457" s="114">
        <v>2941</v>
      </c>
      <c r="K457" s="114">
        <v>559</v>
      </c>
      <c r="L457" s="114" t="str">
        <f t="shared" si="7"/>
        <v>INSERT INTO DETALLES_DOCUMENTO(NRO_DOCUMENTO,ID_TIPO,ID_PRODUCTO,CANTIDAD,PRECIO,VALOR_BRUTO,VALOR_NETO,VALOR_IVA) VALUES(204,1,117,1,3500,3500,2941,559);</v>
      </c>
    </row>
    <row r="458" spans="1:12">
      <c r="A458" s="114">
        <v>1</v>
      </c>
      <c r="B458" s="114">
        <v>205</v>
      </c>
      <c r="C458" s="139" t="s">
        <v>2201</v>
      </c>
      <c r="D458" s="114" t="s">
        <v>2090</v>
      </c>
      <c r="E458" s="114">
        <v>202</v>
      </c>
      <c r="F458" s="114">
        <v>143</v>
      </c>
      <c r="G458" s="114">
        <v>1</v>
      </c>
      <c r="H458" s="114">
        <v>6900</v>
      </c>
      <c r="I458" s="114">
        <v>6900</v>
      </c>
      <c r="J458" s="114">
        <v>5798</v>
      </c>
      <c r="K458" s="114">
        <v>1102</v>
      </c>
      <c r="L458" s="114" t="str">
        <f t="shared" si="7"/>
        <v>INSERT INTO DETALLES_DOCUMENTO(NRO_DOCUMENTO,ID_TIPO,ID_PRODUCTO,CANTIDAD,PRECIO,VALOR_BRUTO,VALOR_NETO,VALOR_IVA) VALUES(205,1,143,1,6900,6900,5798,1102);</v>
      </c>
    </row>
    <row r="459" spans="1:12">
      <c r="A459" s="114">
        <v>1</v>
      </c>
      <c r="B459" s="114">
        <v>206</v>
      </c>
      <c r="C459" s="139" t="s">
        <v>2201</v>
      </c>
      <c r="D459" s="114" t="s">
        <v>2090</v>
      </c>
      <c r="E459" s="114">
        <v>407</v>
      </c>
      <c r="F459" s="114">
        <v>143</v>
      </c>
      <c r="G459" s="114">
        <v>1</v>
      </c>
      <c r="H459" s="114">
        <v>6900</v>
      </c>
      <c r="I459" s="114">
        <v>6900</v>
      </c>
      <c r="J459" s="114">
        <v>5798</v>
      </c>
      <c r="K459" s="114">
        <v>1102</v>
      </c>
      <c r="L459" s="114" t="str">
        <f t="shared" si="7"/>
        <v>INSERT INTO DETALLES_DOCUMENTO(NRO_DOCUMENTO,ID_TIPO,ID_PRODUCTO,CANTIDAD,PRECIO,VALOR_BRUTO,VALOR_NETO,VALOR_IVA) VALUES(206,1,143,1,6900,6900,5798,1102);</v>
      </c>
    </row>
    <row r="460" spans="1:12">
      <c r="A460" s="114">
        <v>1</v>
      </c>
      <c r="B460" s="114">
        <v>207</v>
      </c>
      <c r="C460" s="139" t="s">
        <v>2201</v>
      </c>
      <c r="D460" s="114" t="s">
        <v>2090</v>
      </c>
      <c r="E460" s="114">
        <v>418</v>
      </c>
      <c r="F460" s="114">
        <v>329</v>
      </c>
      <c r="G460" s="114">
        <v>1</v>
      </c>
      <c r="H460" s="114">
        <v>5500</v>
      </c>
      <c r="I460" s="114">
        <v>5500</v>
      </c>
      <c r="J460" s="114">
        <v>4622</v>
      </c>
      <c r="K460" s="114">
        <v>878</v>
      </c>
      <c r="L460" s="114" t="str">
        <f t="shared" si="7"/>
        <v>INSERT INTO DETALLES_DOCUMENTO(NRO_DOCUMENTO,ID_TIPO,ID_PRODUCTO,CANTIDAD,PRECIO,VALOR_BRUTO,VALOR_NETO,VALOR_IVA) VALUES(207,1,329,1,5500,5500,4622,878);</v>
      </c>
    </row>
    <row r="461" spans="1:12">
      <c r="A461" s="114">
        <v>1</v>
      </c>
      <c r="B461" s="114">
        <v>207</v>
      </c>
      <c r="C461" s="139" t="s">
        <v>2201</v>
      </c>
      <c r="D461" s="114" t="s">
        <v>2090</v>
      </c>
      <c r="E461" s="114">
        <v>418</v>
      </c>
      <c r="F461" s="114">
        <v>143</v>
      </c>
      <c r="G461" s="114">
        <v>1</v>
      </c>
      <c r="H461" s="114">
        <v>6300</v>
      </c>
      <c r="I461" s="114">
        <v>6300</v>
      </c>
      <c r="J461" s="114">
        <v>5294</v>
      </c>
      <c r="K461" s="114">
        <v>1006</v>
      </c>
      <c r="L461" s="114" t="str">
        <f t="shared" si="7"/>
        <v>INSERT INTO DETALLES_DOCUMENTO(NRO_DOCUMENTO,ID_TIPO,ID_PRODUCTO,CANTIDAD,PRECIO,VALOR_BRUTO,VALOR_NETO,VALOR_IVA) VALUES(207,1,143,1,6300,6300,5294,1006);</v>
      </c>
    </row>
    <row r="462" spans="1:12">
      <c r="A462" s="114">
        <v>1</v>
      </c>
      <c r="B462" s="114">
        <v>208</v>
      </c>
      <c r="C462" s="139" t="s">
        <v>2201</v>
      </c>
      <c r="D462" s="114" t="s">
        <v>2090</v>
      </c>
      <c r="E462" s="114">
        <v>436</v>
      </c>
      <c r="F462" s="114">
        <v>230</v>
      </c>
      <c r="G462" s="114">
        <v>1</v>
      </c>
      <c r="H462" s="114">
        <v>15500</v>
      </c>
      <c r="I462" s="114">
        <v>15500</v>
      </c>
      <c r="J462" s="114">
        <v>13025</v>
      </c>
      <c r="K462" s="114">
        <v>2475</v>
      </c>
      <c r="L462" s="114" t="str">
        <f t="shared" si="7"/>
        <v>INSERT INTO DETALLES_DOCUMENTO(NRO_DOCUMENTO,ID_TIPO,ID_PRODUCTO,CANTIDAD,PRECIO,VALOR_BRUTO,VALOR_NETO,VALOR_IVA) VALUES(208,1,230,1,15500,15500,13025,2475);</v>
      </c>
    </row>
    <row r="463" spans="1:12">
      <c r="A463" s="114">
        <v>1</v>
      </c>
      <c r="B463" s="114">
        <v>208</v>
      </c>
      <c r="C463" s="139" t="s">
        <v>2201</v>
      </c>
      <c r="D463" s="114" t="s">
        <v>2090</v>
      </c>
      <c r="E463" s="114">
        <v>436</v>
      </c>
      <c r="F463" s="114">
        <v>143</v>
      </c>
      <c r="G463" s="114">
        <v>1</v>
      </c>
      <c r="H463" s="114">
        <v>6900</v>
      </c>
      <c r="I463" s="114">
        <v>6900</v>
      </c>
      <c r="J463" s="114">
        <v>5798</v>
      </c>
      <c r="K463" s="114">
        <v>1102</v>
      </c>
      <c r="L463" s="114" t="str">
        <f t="shared" si="7"/>
        <v>INSERT INTO DETALLES_DOCUMENTO(NRO_DOCUMENTO,ID_TIPO,ID_PRODUCTO,CANTIDAD,PRECIO,VALOR_BRUTO,VALOR_NETO,VALOR_IVA) VALUES(208,1,143,1,6900,6900,5798,1102);</v>
      </c>
    </row>
    <row r="464" spans="1:12">
      <c r="A464" s="114">
        <v>1</v>
      </c>
      <c r="B464" s="114">
        <v>209</v>
      </c>
      <c r="C464" s="139" t="s">
        <v>2202</v>
      </c>
      <c r="D464" s="114" t="s">
        <v>2090</v>
      </c>
      <c r="E464" s="114">
        <v>130</v>
      </c>
      <c r="F464" s="114">
        <v>143</v>
      </c>
      <c r="G464" s="114">
        <v>1</v>
      </c>
      <c r="H464" s="114">
        <v>6300</v>
      </c>
      <c r="I464" s="114">
        <v>6300</v>
      </c>
      <c r="J464" s="114">
        <v>5294</v>
      </c>
      <c r="K464" s="114">
        <v>1006</v>
      </c>
      <c r="L464" s="114" t="str">
        <f t="shared" si="7"/>
        <v>INSERT INTO DETALLES_DOCUMENTO(NRO_DOCUMENTO,ID_TIPO,ID_PRODUCTO,CANTIDAD,PRECIO,VALOR_BRUTO,VALOR_NETO,VALOR_IVA) VALUES(209,1,143,1,6300,6300,5294,1006);</v>
      </c>
    </row>
    <row r="465" spans="1:12">
      <c r="A465" s="114">
        <v>1</v>
      </c>
      <c r="B465" s="114">
        <v>210</v>
      </c>
      <c r="C465" s="139" t="s">
        <v>2202</v>
      </c>
      <c r="D465" s="114" t="s">
        <v>2090</v>
      </c>
      <c r="E465" s="114">
        <v>247</v>
      </c>
      <c r="F465" s="114">
        <v>97</v>
      </c>
      <c r="G465" s="114">
        <v>1</v>
      </c>
      <c r="H465" s="114">
        <v>2000</v>
      </c>
      <c r="I465" s="114">
        <v>2000</v>
      </c>
      <c r="J465" s="114">
        <v>1681</v>
      </c>
      <c r="K465" s="114">
        <v>319</v>
      </c>
      <c r="L465" s="114" t="str">
        <f t="shared" si="7"/>
        <v>INSERT INTO DETALLES_DOCUMENTO(NRO_DOCUMENTO,ID_TIPO,ID_PRODUCTO,CANTIDAD,PRECIO,VALOR_BRUTO,VALOR_NETO,VALOR_IVA) VALUES(210,1,97,1,2000,2000,1681,319);</v>
      </c>
    </row>
    <row r="466" spans="1:12">
      <c r="A466" s="114">
        <v>1</v>
      </c>
      <c r="B466" s="114">
        <v>210</v>
      </c>
      <c r="C466" s="139" t="s">
        <v>2202</v>
      </c>
      <c r="D466" s="114" t="s">
        <v>2090</v>
      </c>
      <c r="E466" s="114">
        <v>247</v>
      </c>
      <c r="F466" s="114">
        <v>117</v>
      </c>
      <c r="G466" s="114">
        <v>2</v>
      </c>
      <c r="H466" s="114">
        <v>7000</v>
      </c>
      <c r="I466" s="114">
        <v>14000</v>
      </c>
      <c r="J466" s="114">
        <v>11765</v>
      </c>
      <c r="K466" s="114">
        <v>2235</v>
      </c>
      <c r="L466" s="114" t="str">
        <f t="shared" si="7"/>
        <v>INSERT INTO DETALLES_DOCUMENTO(NRO_DOCUMENTO,ID_TIPO,ID_PRODUCTO,CANTIDAD,PRECIO,VALOR_BRUTO,VALOR_NETO,VALOR_IVA) VALUES(210,1,117,2,7000,14000,11765,2235);</v>
      </c>
    </row>
    <row r="467" spans="1:12">
      <c r="A467" s="114">
        <v>1</v>
      </c>
      <c r="B467" s="114">
        <v>210</v>
      </c>
      <c r="C467" s="139" t="s">
        <v>2202</v>
      </c>
      <c r="D467" s="114" t="s">
        <v>2090</v>
      </c>
      <c r="E467" s="114">
        <v>247</v>
      </c>
      <c r="F467" s="114">
        <v>382</v>
      </c>
      <c r="G467" s="114">
        <v>2</v>
      </c>
      <c r="H467" s="114">
        <v>5200</v>
      </c>
      <c r="I467" s="114">
        <v>10400</v>
      </c>
      <c r="J467" s="114">
        <v>8739</v>
      </c>
      <c r="K467" s="114">
        <v>1661</v>
      </c>
      <c r="L467" s="114" t="str">
        <f t="shared" si="7"/>
        <v>INSERT INTO DETALLES_DOCUMENTO(NRO_DOCUMENTO,ID_TIPO,ID_PRODUCTO,CANTIDAD,PRECIO,VALOR_BRUTO,VALOR_NETO,VALOR_IVA) VALUES(210,1,382,2,5200,10400,8739,1661);</v>
      </c>
    </row>
    <row r="468" spans="1:12">
      <c r="A468" s="114">
        <v>1</v>
      </c>
      <c r="B468" s="114">
        <v>210</v>
      </c>
      <c r="C468" s="139" t="s">
        <v>2202</v>
      </c>
      <c r="D468" s="114" t="s">
        <v>2090</v>
      </c>
      <c r="E468" s="114">
        <v>247</v>
      </c>
      <c r="F468" s="114">
        <v>370</v>
      </c>
      <c r="G468" s="114">
        <v>1</v>
      </c>
      <c r="H468" s="114">
        <v>4000</v>
      </c>
      <c r="I468" s="114">
        <v>4000</v>
      </c>
      <c r="J468" s="114">
        <v>3361</v>
      </c>
      <c r="K468" s="114">
        <v>639</v>
      </c>
      <c r="L468" s="114" t="str">
        <f t="shared" si="7"/>
        <v>INSERT INTO DETALLES_DOCUMENTO(NRO_DOCUMENTO,ID_TIPO,ID_PRODUCTO,CANTIDAD,PRECIO,VALOR_BRUTO,VALOR_NETO,VALOR_IVA) VALUES(210,1,370,1,4000,4000,3361,639);</v>
      </c>
    </row>
    <row r="469" spans="1:12">
      <c r="A469" s="114">
        <v>1</v>
      </c>
      <c r="B469" s="114">
        <v>210</v>
      </c>
      <c r="C469" s="139" t="s">
        <v>2202</v>
      </c>
      <c r="D469" s="114" t="s">
        <v>2090</v>
      </c>
      <c r="E469" s="114">
        <v>247</v>
      </c>
      <c r="F469" s="114">
        <v>170</v>
      </c>
      <c r="G469" s="114">
        <v>1</v>
      </c>
      <c r="H469" s="114">
        <v>3600</v>
      </c>
      <c r="I469" s="114">
        <v>3600</v>
      </c>
      <c r="J469" s="114">
        <v>3025</v>
      </c>
      <c r="K469" s="114">
        <v>575</v>
      </c>
      <c r="L469" s="114" t="str">
        <f t="shared" si="7"/>
        <v>INSERT INTO DETALLES_DOCUMENTO(NRO_DOCUMENTO,ID_TIPO,ID_PRODUCTO,CANTIDAD,PRECIO,VALOR_BRUTO,VALOR_NETO,VALOR_IVA) VALUES(210,1,170,1,3600,3600,3025,575);</v>
      </c>
    </row>
    <row r="470" spans="1:12">
      <c r="A470" s="114">
        <v>1</v>
      </c>
      <c r="B470" s="114">
        <v>211</v>
      </c>
      <c r="C470" s="139" t="s">
        <v>2202</v>
      </c>
      <c r="D470" s="114" t="s">
        <v>2090</v>
      </c>
      <c r="E470" s="114">
        <v>368</v>
      </c>
      <c r="F470" s="114">
        <v>167</v>
      </c>
      <c r="G470" s="114">
        <v>1</v>
      </c>
      <c r="H470" s="114">
        <v>8200</v>
      </c>
      <c r="I470" s="114">
        <v>8200</v>
      </c>
      <c r="J470" s="114">
        <v>6891</v>
      </c>
      <c r="K470" s="114">
        <v>1309</v>
      </c>
      <c r="L470" s="114" t="str">
        <f t="shared" si="7"/>
        <v>INSERT INTO DETALLES_DOCUMENTO(NRO_DOCUMENTO,ID_TIPO,ID_PRODUCTO,CANTIDAD,PRECIO,VALOR_BRUTO,VALOR_NETO,VALOR_IVA) VALUES(211,1,167,1,8200,8200,6891,1309);</v>
      </c>
    </row>
    <row r="471" spans="1:12">
      <c r="A471" s="114">
        <v>1</v>
      </c>
      <c r="B471" s="114">
        <v>212</v>
      </c>
      <c r="C471" s="139" t="s">
        <v>2202</v>
      </c>
      <c r="D471" s="114" t="s">
        <v>2090</v>
      </c>
      <c r="E471" s="114">
        <v>398</v>
      </c>
      <c r="F471" s="114">
        <v>167</v>
      </c>
      <c r="G471" s="114">
        <v>2</v>
      </c>
      <c r="H471" s="114">
        <v>16400</v>
      </c>
      <c r="I471" s="114">
        <v>32800</v>
      </c>
      <c r="J471" s="114">
        <v>27563</v>
      </c>
      <c r="K471" s="114">
        <v>5237</v>
      </c>
      <c r="L471" s="114" t="str">
        <f t="shared" si="7"/>
        <v>INSERT INTO DETALLES_DOCUMENTO(NRO_DOCUMENTO,ID_TIPO,ID_PRODUCTO,CANTIDAD,PRECIO,VALOR_BRUTO,VALOR_NETO,VALOR_IVA) VALUES(212,1,167,2,16400,32800,27563,5237);</v>
      </c>
    </row>
    <row r="472" spans="1:12">
      <c r="A472" s="114">
        <v>1</v>
      </c>
      <c r="B472" s="114">
        <v>213</v>
      </c>
      <c r="C472" s="139" t="s">
        <v>2202</v>
      </c>
      <c r="D472" s="114" t="s">
        <v>2090</v>
      </c>
      <c r="E472" s="114">
        <v>425</v>
      </c>
      <c r="F472" s="114">
        <v>386</v>
      </c>
      <c r="G472" s="114">
        <v>1</v>
      </c>
      <c r="H472" s="114">
        <v>2700</v>
      </c>
      <c r="I472" s="114">
        <v>2700</v>
      </c>
      <c r="J472" s="114">
        <v>2269</v>
      </c>
      <c r="K472" s="114">
        <v>431</v>
      </c>
      <c r="L472" s="114" t="str">
        <f t="shared" si="7"/>
        <v>INSERT INTO DETALLES_DOCUMENTO(NRO_DOCUMENTO,ID_TIPO,ID_PRODUCTO,CANTIDAD,PRECIO,VALOR_BRUTO,VALOR_NETO,VALOR_IVA) VALUES(213,1,386,1,2700,2700,2269,431);</v>
      </c>
    </row>
    <row r="473" spans="1:12">
      <c r="A473" s="114">
        <v>1</v>
      </c>
      <c r="B473" s="114">
        <v>214</v>
      </c>
      <c r="C473" s="139" t="s">
        <v>2203</v>
      </c>
      <c r="D473" s="114" t="s">
        <v>2090</v>
      </c>
      <c r="E473" s="114">
        <v>57</v>
      </c>
      <c r="F473" s="114">
        <v>143</v>
      </c>
      <c r="G473" s="114">
        <v>1</v>
      </c>
      <c r="H473" s="114">
        <v>6900</v>
      </c>
      <c r="I473" s="114">
        <v>6900</v>
      </c>
      <c r="J473" s="114">
        <v>5798</v>
      </c>
      <c r="K473" s="114">
        <v>1102</v>
      </c>
      <c r="L473" s="114" t="str">
        <f t="shared" si="7"/>
        <v>INSERT INTO DETALLES_DOCUMENTO(NRO_DOCUMENTO,ID_TIPO,ID_PRODUCTO,CANTIDAD,PRECIO,VALOR_BRUTO,VALOR_NETO,VALOR_IVA) VALUES(214,1,143,1,6900,6900,5798,1102);</v>
      </c>
    </row>
    <row r="474" spans="1:12">
      <c r="A474" s="114">
        <v>1</v>
      </c>
      <c r="B474" s="114">
        <v>215</v>
      </c>
      <c r="C474" s="139" t="s">
        <v>2203</v>
      </c>
      <c r="D474" s="114" t="s">
        <v>2090</v>
      </c>
      <c r="E474" s="114">
        <v>143</v>
      </c>
      <c r="F474" s="114">
        <v>329</v>
      </c>
      <c r="G474" s="114">
        <v>1</v>
      </c>
      <c r="H474" s="114">
        <v>5500</v>
      </c>
      <c r="I474" s="114">
        <v>5500</v>
      </c>
      <c r="J474" s="114">
        <v>4622</v>
      </c>
      <c r="K474" s="114">
        <v>878</v>
      </c>
      <c r="L474" s="114" t="str">
        <f t="shared" si="7"/>
        <v>INSERT INTO DETALLES_DOCUMENTO(NRO_DOCUMENTO,ID_TIPO,ID_PRODUCTO,CANTIDAD,PRECIO,VALOR_BRUTO,VALOR_NETO,VALOR_IVA) VALUES(215,1,329,1,5500,5500,4622,878);</v>
      </c>
    </row>
    <row r="475" spans="1:12">
      <c r="A475" s="114">
        <v>1</v>
      </c>
      <c r="B475" s="114">
        <v>215</v>
      </c>
      <c r="C475" s="139" t="s">
        <v>2203</v>
      </c>
      <c r="D475" s="114" t="s">
        <v>2090</v>
      </c>
      <c r="E475" s="114">
        <v>143</v>
      </c>
      <c r="F475" s="114">
        <v>143</v>
      </c>
      <c r="G475" s="114">
        <v>2</v>
      </c>
      <c r="H475" s="114">
        <v>13800</v>
      </c>
      <c r="I475" s="114">
        <v>27600</v>
      </c>
      <c r="J475" s="114">
        <v>23193</v>
      </c>
      <c r="K475" s="114">
        <v>4407</v>
      </c>
      <c r="L475" s="114" t="str">
        <f t="shared" si="7"/>
        <v>INSERT INTO DETALLES_DOCUMENTO(NRO_DOCUMENTO,ID_TIPO,ID_PRODUCTO,CANTIDAD,PRECIO,VALOR_BRUTO,VALOR_NETO,VALOR_IVA) VALUES(215,1,143,2,13800,27600,23193,4407);</v>
      </c>
    </row>
    <row r="476" spans="1:12">
      <c r="A476" s="114">
        <v>1</v>
      </c>
      <c r="B476" s="114">
        <v>215</v>
      </c>
      <c r="C476" s="139" t="s">
        <v>2203</v>
      </c>
      <c r="D476" s="114" t="s">
        <v>2090</v>
      </c>
      <c r="E476" s="114">
        <v>143</v>
      </c>
      <c r="F476" s="114">
        <v>118</v>
      </c>
      <c r="G476" s="114">
        <v>1</v>
      </c>
      <c r="H476" s="114">
        <v>3500</v>
      </c>
      <c r="I476" s="114">
        <v>3500</v>
      </c>
      <c r="J476" s="114">
        <v>2941</v>
      </c>
      <c r="K476" s="114">
        <v>559</v>
      </c>
      <c r="L476" s="114" t="str">
        <f t="shared" si="7"/>
        <v>INSERT INTO DETALLES_DOCUMENTO(NRO_DOCUMENTO,ID_TIPO,ID_PRODUCTO,CANTIDAD,PRECIO,VALOR_BRUTO,VALOR_NETO,VALOR_IVA) VALUES(215,1,118,1,3500,3500,2941,559);</v>
      </c>
    </row>
    <row r="477" spans="1:12">
      <c r="A477" s="114">
        <v>1</v>
      </c>
      <c r="B477" s="114">
        <v>215</v>
      </c>
      <c r="C477" s="139" t="s">
        <v>2203</v>
      </c>
      <c r="D477" s="114" t="s">
        <v>2090</v>
      </c>
      <c r="E477" s="114">
        <v>143</v>
      </c>
      <c r="F477" s="114">
        <v>120</v>
      </c>
      <c r="G477" s="114">
        <v>1</v>
      </c>
      <c r="H477" s="114">
        <v>1700</v>
      </c>
      <c r="I477" s="114">
        <v>1700</v>
      </c>
      <c r="J477" s="114">
        <v>1429</v>
      </c>
      <c r="K477" s="114">
        <v>271</v>
      </c>
      <c r="L477" s="114" t="str">
        <f t="shared" si="7"/>
        <v>INSERT INTO DETALLES_DOCUMENTO(NRO_DOCUMENTO,ID_TIPO,ID_PRODUCTO,CANTIDAD,PRECIO,VALOR_BRUTO,VALOR_NETO,VALOR_IVA) VALUES(215,1,120,1,1700,1700,1429,271);</v>
      </c>
    </row>
    <row r="478" spans="1:12">
      <c r="A478" s="114">
        <v>1</v>
      </c>
      <c r="B478" s="114">
        <v>216</v>
      </c>
      <c r="C478" s="139" t="s">
        <v>2203</v>
      </c>
      <c r="D478" s="114" t="s">
        <v>2090</v>
      </c>
      <c r="E478" s="114">
        <v>387</v>
      </c>
      <c r="F478" s="114">
        <v>369</v>
      </c>
      <c r="G478" s="114">
        <v>1</v>
      </c>
      <c r="H478" s="114">
        <v>10500</v>
      </c>
      <c r="I478" s="114">
        <v>10500</v>
      </c>
      <c r="J478" s="114">
        <v>8824</v>
      </c>
      <c r="K478" s="114">
        <v>1676</v>
      </c>
      <c r="L478" s="114" t="str">
        <f t="shared" si="7"/>
        <v>INSERT INTO DETALLES_DOCUMENTO(NRO_DOCUMENTO,ID_TIPO,ID_PRODUCTO,CANTIDAD,PRECIO,VALOR_BRUTO,VALOR_NETO,VALOR_IVA) VALUES(216,1,369,1,10500,10500,8824,1676);</v>
      </c>
    </row>
    <row r="479" spans="1:12">
      <c r="A479" s="114">
        <v>1</v>
      </c>
      <c r="B479" s="114">
        <v>217</v>
      </c>
      <c r="C479" s="139" t="s">
        <v>2203</v>
      </c>
      <c r="D479" s="114" t="s">
        <v>2090</v>
      </c>
      <c r="E479" s="114">
        <v>416</v>
      </c>
      <c r="F479" s="114">
        <v>263</v>
      </c>
      <c r="G479" s="114">
        <v>1</v>
      </c>
      <c r="H479" s="114">
        <v>8000</v>
      </c>
      <c r="I479" s="114">
        <v>8000</v>
      </c>
      <c r="J479" s="114">
        <v>6723</v>
      </c>
      <c r="K479" s="114">
        <v>1277</v>
      </c>
      <c r="L479" s="114" t="str">
        <f t="shared" si="7"/>
        <v>INSERT INTO DETALLES_DOCUMENTO(NRO_DOCUMENTO,ID_TIPO,ID_PRODUCTO,CANTIDAD,PRECIO,VALOR_BRUTO,VALOR_NETO,VALOR_IVA) VALUES(217,1,263,1,8000,8000,6723,1277);</v>
      </c>
    </row>
    <row r="480" spans="1:12">
      <c r="A480" s="114">
        <v>1</v>
      </c>
      <c r="B480" s="114">
        <v>218</v>
      </c>
      <c r="C480" s="139" t="s">
        <v>2203</v>
      </c>
      <c r="D480" s="114" t="s">
        <v>2090</v>
      </c>
      <c r="E480" s="114">
        <v>446</v>
      </c>
      <c r="F480" s="114">
        <v>329</v>
      </c>
      <c r="G480" s="114">
        <v>1</v>
      </c>
      <c r="H480" s="114">
        <v>5500</v>
      </c>
      <c r="I480" s="114">
        <v>5500</v>
      </c>
      <c r="J480" s="114">
        <v>4622</v>
      </c>
      <c r="K480" s="114">
        <v>878</v>
      </c>
      <c r="L480" s="114" t="str">
        <f t="shared" si="7"/>
        <v>INSERT INTO DETALLES_DOCUMENTO(NRO_DOCUMENTO,ID_TIPO,ID_PRODUCTO,CANTIDAD,PRECIO,VALOR_BRUTO,VALOR_NETO,VALOR_IVA) VALUES(218,1,329,1,5500,5500,4622,878);</v>
      </c>
    </row>
    <row r="481" spans="1:12">
      <c r="A481" s="114">
        <v>1</v>
      </c>
      <c r="B481" s="114">
        <v>218</v>
      </c>
      <c r="C481" s="139" t="s">
        <v>2203</v>
      </c>
      <c r="D481" s="114" t="s">
        <v>2090</v>
      </c>
      <c r="E481" s="114">
        <v>446</v>
      </c>
      <c r="F481" s="114">
        <v>69</v>
      </c>
      <c r="G481" s="114">
        <v>1</v>
      </c>
      <c r="H481" s="114">
        <v>3000</v>
      </c>
      <c r="I481" s="114">
        <v>3000</v>
      </c>
      <c r="J481" s="114">
        <v>2521</v>
      </c>
      <c r="K481" s="114">
        <v>479</v>
      </c>
      <c r="L481" s="114" t="str">
        <f t="shared" si="7"/>
        <v>INSERT INTO DETALLES_DOCUMENTO(NRO_DOCUMENTO,ID_TIPO,ID_PRODUCTO,CANTIDAD,PRECIO,VALOR_BRUTO,VALOR_NETO,VALOR_IVA) VALUES(218,1,69,1,3000,3000,2521,479);</v>
      </c>
    </row>
    <row r="482" spans="1:12">
      <c r="A482" s="114">
        <v>1</v>
      </c>
      <c r="B482" s="114">
        <v>219</v>
      </c>
      <c r="C482" s="139" t="s">
        <v>2204</v>
      </c>
      <c r="D482" s="114" t="s">
        <v>2090</v>
      </c>
      <c r="E482" s="114">
        <v>59</v>
      </c>
      <c r="F482" s="114">
        <v>143</v>
      </c>
      <c r="G482" s="114">
        <v>1</v>
      </c>
      <c r="H482" s="114">
        <v>6900</v>
      </c>
      <c r="I482" s="114">
        <v>6900</v>
      </c>
      <c r="J482" s="114">
        <v>5798</v>
      </c>
      <c r="K482" s="114">
        <v>1102</v>
      </c>
      <c r="L482" s="114" t="str">
        <f t="shared" si="7"/>
        <v>INSERT INTO DETALLES_DOCUMENTO(NRO_DOCUMENTO,ID_TIPO,ID_PRODUCTO,CANTIDAD,PRECIO,VALOR_BRUTO,VALOR_NETO,VALOR_IVA) VALUES(219,1,143,1,6900,6900,5798,1102);</v>
      </c>
    </row>
    <row r="483" spans="1:12">
      <c r="A483" s="114">
        <v>1</v>
      </c>
      <c r="B483" s="114">
        <v>220</v>
      </c>
      <c r="C483" s="139" t="s">
        <v>2204</v>
      </c>
      <c r="D483" s="114" t="s">
        <v>2090</v>
      </c>
      <c r="E483" s="114">
        <v>166</v>
      </c>
      <c r="F483" s="114">
        <v>191</v>
      </c>
      <c r="G483" s="114">
        <v>3</v>
      </c>
      <c r="H483" s="114">
        <v>7500</v>
      </c>
      <c r="I483" s="114">
        <v>22500</v>
      </c>
      <c r="J483" s="114">
        <v>18908</v>
      </c>
      <c r="K483" s="114">
        <v>3592</v>
      </c>
      <c r="L483" s="114" t="str">
        <f t="shared" si="7"/>
        <v>INSERT INTO DETALLES_DOCUMENTO(NRO_DOCUMENTO,ID_TIPO,ID_PRODUCTO,CANTIDAD,PRECIO,VALOR_BRUTO,VALOR_NETO,VALOR_IVA) VALUES(220,1,191,3,7500,22500,18908,3592);</v>
      </c>
    </row>
    <row r="484" spans="1:12">
      <c r="A484" s="114">
        <v>1</v>
      </c>
      <c r="B484" s="114">
        <v>220</v>
      </c>
      <c r="C484" s="139" t="s">
        <v>2204</v>
      </c>
      <c r="D484" s="114" t="s">
        <v>2090</v>
      </c>
      <c r="E484" s="114">
        <v>166</v>
      </c>
      <c r="F484" s="114">
        <v>329</v>
      </c>
      <c r="G484" s="114">
        <v>1</v>
      </c>
      <c r="H484" s="114">
        <v>5500</v>
      </c>
      <c r="I484" s="114">
        <v>5500</v>
      </c>
      <c r="J484" s="114">
        <v>4622</v>
      </c>
      <c r="K484" s="114">
        <v>878</v>
      </c>
      <c r="L484" s="114" t="str">
        <f t="shared" si="7"/>
        <v>INSERT INTO DETALLES_DOCUMENTO(NRO_DOCUMENTO,ID_TIPO,ID_PRODUCTO,CANTIDAD,PRECIO,VALOR_BRUTO,VALOR_NETO,VALOR_IVA) VALUES(220,1,329,1,5500,5500,4622,878);</v>
      </c>
    </row>
    <row r="485" spans="1:12">
      <c r="A485" s="114">
        <v>1</v>
      </c>
      <c r="B485" s="114">
        <v>221</v>
      </c>
      <c r="C485" s="139" t="s">
        <v>2204</v>
      </c>
      <c r="D485" s="114" t="s">
        <v>2090</v>
      </c>
      <c r="E485" s="114">
        <v>353</v>
      </c>
      <c r="F485" s="114">
        <v>136</v>
      </c>
      <c r="G485" s="114">
        <v>1</v>
      </c>
      <c r="H485" s="114">
        <v>4500</v>
      </c>
      <c r="I485" s="114">
        <v>4500</v>
      </c>
      <c r="J485" s="114">
        <v>3782</v>
      </c>
      <c r="K485" s="114">
        <v>718</v>
      </c>
      <c r="L485" s="114" t="str">
        <f t="shared" si="7"/>
        <v>INSERT INTO DETALLES_DOCUMENTO(NRO_DOCUMENTO,ID_TIPO,ID_PRODUCTO,CANTIDAD,PRECIO,VALOR_BRUTO,VALOR_NETO,VALOR_IVA) VALUES(221,1,136,1,4500,4500,3782,718);</v>
      </c>
    </row>
    <row r="486" spans="1:12">
      <c r="A486" s="114">
        <v>1</v>
      </c>
      <c r="B486" s="114">
        <v>222</v>
      </c>
      <c r="C486" s="139" t="s">
        <v>2204</v>
      </c>
      <c r="D486" s="114" t="s">
        <v>2090</v>
      </c>
      <c r="E486" s="114">
        <v>386</v>
      </c>
      <c r="F486" s="114">
        <v>143</v>
      </c>
      <c r="G486" s="114">
        <v>1</v>
      </c>
      <c r="H486" s="114">
        <v>6900</v>
      </c>
      <c r="I486" s="114">
        <v>6900</v>
      </c>
      <c r="J486" s="114">
        <v>5798</v>
      </c>
      <c r="K486" s="114">
        <v>1102</v>
      </c>
      <c r="L486" s="114" t="str">
        <f t="shared" si="7"/>
        <v>INSERT INTO DETALLES_DOCUMENTO(NRO_DOCUMENTO,ID_TIPO,ID_PRODUCTO,CANTIDAD,PRECIO,VALOR_BRUTO,VALOR_NETO,VALOR_IVA) VALUES(222,1,143,1,6900,6900,5798,1102);</v>
      </c>
    </row>
    <row r="487" spans="1:12">
      <c r="A487" s="114">
        <v>1</v>
      </c>
      <c r="B487" s="114">
        <v>223</v>
      </c>
      <c r="C487" s="139" t="s">
        <v>2204</v>
      </c>
      <c r="D487" s="114" t="s">
        <v>2090</v>
      </c>
      <c r="E487" s="114">
        <v>429</v>
      </c>
      <c r="F487" s="114">
        <v>143</v>
      </c>
      <c r="G487" s="114">
        <v>1</v>
      </c>
      <c r="H487" s="114">
        <v>6900</v>
      </c>
      <c r="I487" s="114">
        <v>6900</v>
      </c>
      <c r="J487" s="114">
        <v>5798</v>
      </c>
      <c r="K487" s="114">
        <v>1102</v>
      </c>
      <c r="L487" s="114" t="str">
        <f t="shared" si="7"/>
        <v>INSERT INTO DETALLES_DOCUMENTO(NRO_DOCUMENTO,ID_TIPO,ID_PRODUCTO,CANTIDAD,PRECIO,VALOR_BRUTO,VALOR_NETO,VALOR_IVA) VALUES(223,1,143,1,6900,6900,5798,1102);</v>
      </c>
    </row>
    <row r="488" spans="1:12">
      <c r="A488" s="114">
        <v>1</v>
      </c>
      <c r="B488" s="114">
        <v>224</v>
      </c>
      <c r="C488" s="139" t="s">
        <v>2205</v>
      </c>
      <c r="D488" s="114" t="s">
        <v>2090</v>
      </c>
      <c r="E488" s="114">
        <v>119</v>
      </c>
      <c r="F488" s="114">
        <v>143</v>
      </c>
      <c r="G488" s="114">
        <v>1</v>
      </c>
      <c r="H488" s="114">
        <v>6900</v>
      </c>
      <c r="I488" s="114">
        <v>6900</v>
      </c>
      <c r="J488" s="114">
        <v>5798</v>
      </c>
      <c r="K488" s="114">
        <v>1102</v>
      </c>
      <c r="L488" s="114" t="str">
        <f t="shared" si="7"/>
        <v>INSERT INTO DETALLES_DOCUMENTO(NRO_DOCUMENTO,ID_TIPO,ID_PRODUCTO,CANTIDAD,PRECIO,VALOR_BRUTO,VALOR_NETO,VALOR_IVA) VALUES(224,1,143,1,6900,6900,5798,1102);</v>
      </c>
    </row>
    <row r="489" spans="1:12">
      <c r="A489" s="114">
        <v>1</v>
      </c>
      <c r="B489" s="114">
        <v>224</v>
      </c>
      <c r="C489" s="139" t="s">
        <v>2205</v>
      </c>
      <c r="D489" s="114" t="s">
        <v>2090</v>
      </c>
      <c r="E489" s="114">
        <v>119</v>
      </c>
      <c r="F489" s="114">
        <v>117</v>
      </c>
      <c r="G489" s="114">
        <v>4</v>
      </c>
      <c r="H489" s="114">
        <v>14000</v>
      </c>
      <c r="I489" s="114">
        <v>56000</v>
      </c>
      <c r="J489" s="114">
        <v>47059</v>
      </c>
      <c r="K489" s="114">
        <v>8941</v>
      </c>
      <c r="L489" s="114" t="str">
        <f t="shared" si="7"/>
        <v>INSERT INTO DETALLES_DOCUMENTO(NRO_DOCUMENTO,ID_TIPO,ID_PRODUCTO,CANTIDAD,PRECIO,VALOR_BRUTO,VALOR_NETO,VALOR_IVA) VALUES(224,1,117,4,14000,56000,47059,8941);</v>
      </c>
    </row>
    <row r="490" spans="1:12">
      <c r="A490" s="114">
        <v>1</v>
      </c>
      <c r="B490" s="114">
        <v>224</v>
      </c>
      <c r="C490" s="139" t="s">
        <v>2205</v>
      </c>
      <c r="D490" s="114" t="s">
        <v>2090</v>
      </c>
      <c r="E490" s="114">
        <v>119</v>
      </c>
      <c r="F490" s="114">
        <v>152</v>
      </c>
      <c r="G490" s="114">
        <v>1</v>
      </c>
      <c r="H490" s="114">
        <v>4200</v>
      </c>
      <c r="I490" s="114">
        <v>4200</v>
      </c>
      <c r="J490" s="114">
        <v>3529</v>
      </c>
      <c r="K490" s="114">
        <v>671</v>
      </c>
      <c r="L490" s="114" t="str">
        <f t="shared" si="7"/>
        <v>INSERT INTO DETALLES_DOCUMENTO(NRO_DOCUMENTO,ID_TIPO,ID_PRODUCTO,CANTIDAD,PRECIO,VALOR_BRUTO,VALOR_NETO,VALOR_IVA) VALUES(224,1,152,1,4200,4200,3529,671);</v>
      </c>
    </row>
    <row r="491" spans="1:12">
      <c r="A491" s="114">
        <v>1</v>
      </c>
      <c r="B491" s="114">
        <v>224</v>
      </c>
      <c r="C491" s="139" t="s">
        <v>2205</v>
      </c>
      <c r="D491" s="114" t="s">
        <v>2090</v>
      </c>
      <c r="E491" s="114">
        <v>119</v>
      </c>
      <c r="F491" s="114">
        <v>275</v>
      </c>
      <c r="G491" s="114">
        <v>1</v>
      </c>
      <c r="H491" s="114">
        <v>6900</v>
      </c>
      <c r="I491" s="114">
        <v>6900</v>
      </c>
      <c r="J491" s="114">
        <v>5798</v>
      </c>
      <c r="K491" s="114">
        <v>1102</v>
      </c>
      <c r="L491" s="114" t="str">
        <f t="shared" si="7"/>
        <v>INSERT INTO DETALLES_DOCUMENTO(NRO_DOCUMENTO,ID_TIPO,ID_PRODUCTO,CANTIDAD,PRECIO,VALOR_BRUTO,VALOR_NETO,VALOR_IVA) VALUES(224,1,275,1,6900,6900,5798,1102);</v>
      </c>
    </row>
    <row r="492" spans="1:12">
      <c r="A492" s="114">
        <v>1</v>
      </c>
      <c r="B492" s="114">
        <v>225</v>
      </c>
      <c r="C492" s="139" t="s">
        <v>2205</v>
      </c>
      <c r="D492" s="114" t="s">
        <v>2090</v>
      </c>
      <c r="E492" s="114">
        <v>171</v>
      </c>
      <c r="F492" s="114">
        <v>143</v>
      </c>
      <c r="G492" s="114">
        <v>1</v>
      </c>
      <c r="H492" s="114">
        <v>6900</v>
      </c>
      <c r="I492" s="114">
        <v>6900</v>
      </c>
      <c r="J492" s="114">
        <v>5798</v>
      </c>
      <c r="K492" s="114">
        <v>1102</v>
      </c>
      <c r="L492" s="114" t="str">
        <f t="shared" si="7"/>
        <v>INSERT INTO DETALLES_DOCUMENTO(NRO_DOCUMENTO,ID_TIPO,ID_PRODUCTO,CANTIDAD,PRECIO,VALOR_BRUTO,VALOR_NETO,VALOR_IVA) VALUES(225,1,143,1,6900,6900,5798,1102);</v>
      </c>
    </row>
    <row r="493" spans="1:12">
      <c r="A493" s="114">
        <v>1</v>
      </c>
      <c r="B493" s="114">
        <v>226</v>
      </c>
      <c r="C493" s="139" t="s">
        <v>2205</v>
      </c>
      <c r="D493" s="114" t="s">
        <v>2090</v>
      </c>
      <c r="E493" s="114">
        <v>411</v>
      </c>
      <c r="F493" s="114">
        <v>329</v>
      </c>
      <c r="G493" s="114">
        <v>1</v>
      </c>
      <c r="H493" s="114">
        <v>5500</v>
      </c>
      <c r="I493" s="114">
        <v>5500</v>
      </c>
      <c r="J493" s="114">
        <v>4622</v>
      </c>
      <c r="K493" s="114">
        <v>878</v>
      </c>
      <c r="L493" s="114" t="str">
        <f t="shared" si="7"/>
        <v>INSERT INTO DETALLES_DOCUMENTO(NRO_DOCUMENTO,ID_TIPO,ID_PRODUCTO,CANTIDAD,PRECIO,VALOR_BRUTO,VALOR_NETO,VALOR_IVA) VALUES(226,1,329,1,5500,5500,4622,878);</v>
      </c>
    </row>
    <row r="494" spans="1:12">
      <c r="A494" s="114">
        <v>1</v>
      </c>
      <c r="B494" s="114">
        <v>227</v>
      </c>
      <c r="C494" s="139" t="s">
        <v>2205</v>
      </c>
      <c r="D494" s="114" t="s">
        <v>2090</v>
      </c>
      <c r="E494" s="114">
        <v>425</v>
      </c>
      <c r="F494" s="114">
        <v>107</v>
      </c>
      <c r="G494" s="114">
        <v>1</v>
      </c>
      <c r="H494" s="114">
        <v>2500</v>
      </c>
      <c r="I494" s="114">
        <v>2500</v>
      </c>
      <c r="J494" s="114">
        <v>2101</v>
      </c>
      <c r="K494" s="114">
        <v>399</v>
      </c>
      <c r="L494" s="114" t="str">
        <f t="shared" si="7"/>
        <v>INSERT INTO DETALLES_DOCUMENTO(NRO_DOCUMENTO,ID_TIPO,ID_PRODUCTO,CANTIDAD,PRECIO,VALOR_BRUTO,VALOR_NETO,VALOR_IVA) VALUES(227,1,107,1,2500,2500,2101,399);</v>
      </c>
    </row>
    <row r="495" spans="1:12">
      <c r="A495" s="114">
        <v>1</v>
      </c>
      <c r="B495" s="114">
        <v>227</v>
      </c>
      <c r="C495" s="139" t="s">
        <v>2205</v>
      </c>
      <c r="D495" s="114" t="s">
        <v>2090</v>
      </c>
      <c r="E495" s="114">
        <v>425</v>
      </c>
      <c r="F495" s="114">
        <v>351</v>
      </c>
      <c r="G495" s="114">
        <v>1</v>
      </c>
      <c r="H495" s="114">
        <v>2300</v>
      </c>
      <c r="I495" s="114">
        <v>2300</v>
      </c>
      <c r="J495" s="114">
        <v>1933</v>
      </c>
      <c r="K495" s="114">
        <v>367</v>
      </c>
      <c r="L495" s="114" t="str">
        <f t="shared" si="7"/>
        <v>INSERT INTO DETALLES_DOCUMENTO(NRO_DOCUMENTO,ID_TIPO,ID_PRODUCTO,CANTIDAD,PRECIO,VALOR_BRUTO,VALOR_NETO,VALOR_IVA) VALUES(227,1,351,1,2300,2300,1933,367);</v>
      </c>
    </row>
    <row r="496" spans="1:12">
      <c r="A496" s="114">
        <v>1</v>
      </c>
      <c r="B496" s="114">
        <v>228</v>
      </c>
      <c r="C496" s="139" t="s">
        <v>2205</v>
      </c>
      <c r="D496" s="114" t="s">
        <v>2090</v>
      </c>
      <c r="E496" s="114">
        <v>466</v>
      </c>
      <c r="F496" s="114">
        <v>136</v>
      </c>
      <c r="G496" s="114">
        <v>1</v>
      </c>
      <c r="H496" s="114">
        <v>4500</v>
      </c>
      <c r="I496" s="114">
        <v>4500</v>
      </c>
      <c r="J496" s="114">
        <v>3782</v>
      </c>
      <c r="K496" s="114">
        <v>718</v>
      </c>
      <c r="L496" s="114" t="str">
        <f t="shared" si="7"/>
        <v>INSERT INTO DETALLES_DOCUMENTO(NRO_DOCUMENTO,ID_TIPO,ID_PRODUCTO,CANTIDAD,PRECIO,VALOR_BRUTO,VALOR_NETO,VALOR_IVA) VALUES(228,1,136,1,4500,4500,3782,718);</v>
      </c>
    </row>
    <row r="497" spans="1:12">
      <c r="A497" s="114">
        <v>1</v>
      </c>
      <c r="B497" s="114">
        <v>229</v>
      </c>
      <c r="C497" s="139" t="s">
        <v>2205</v>
      </c>
      <c r="D497" s="114" t="s">
        <v>2090</v>
      </c>
      <c r="E497" s="114">
        <v>485</v>
      </c>
      <c r="F497" s="114">
        <v>354</v>
      </c>
      <c r="G497" s="114">
        <v>1</v>
      </c>
      <c r="H497" s="114">
        <v>1800</v>
      </c>
      <c r="I497" s="114">
        <v>1800</v>
      </c>
      <c r="J497" s="114">
        <v>1513</v>
      </c>
      <c r="K497" s="114">
        <v>287</v>
      </c>
      <c r="L497" s="114" t="str">
        <f t="shared" si="7"/>
        <v>INSERT INTO DETALLES_DOCUMENTO(NRO_DOCUMENTO,ID_TIPO,ID_PRODUCTO,CANTIDAD,PRECIO,VALOR_BRUTO,VALOR_NETO,VALOR_IVA) VALUES(229,1,354,1,1800,1800,1513,287);</v>
      </c>
    </row>
    <row r="498" spans="1:12">
      <c r="A498" s="114">
        <v>1</v>
      </c>
      <c r="B498" s="114">
        <v>229</v>
      </c>
      <c r="C498" s="139" t="s">
        <v>2205</v>
      </c>
      <c r="D498" s="114" t="s">
        <v>2090</v>
      </c>
      <c r="E498" s="114">
        <v>485</v>
      </c>
      <c r="F498" s="114">
        <v>155</v>
      </c>
      <c r="G498" s="114">
        <v>1</v>
      </c>
      <c r="H498" s="114">
        <v>1650</v>
      </c>
      <c r="I498" s="114">
        <v>1650</v>
      </c>
      <c r="J498" s="114">
        <v>1387</v>
      </c>
      <c r="K498" s="114">
        <v>263</v>
      </c>
      <c r="L498" s="114" t="str">
        <f t="shared" si="7"/>
        <v>INSERT INTO DETALLES_DOCUMENTO(NRO_DOCUMENTO,ID_TIPO,ID_PRODUCTO,CANTIDAD,PRECIO,VALOR_BRUTO,VALOR_NETO,VALOR_IVA) VALUES(229,1,155,1,1650,1650,1387,263);</v>
      </c>
    </row>
    <row r="499" spans="1:12">
      <c r="A499" s="114">
        <v>1</v>
      </c>
      <c r="B499" s="114">
        <v>229</v>
      </c>
      <c r="C499" s="139" t="s">
        <v>2205</v>
      </c>
      <c r="D499" s="114" t="s">
        <v>2090</v>
      </c>
      <c r="E499" s="114">
        <v>485</v>
      </c>
      <c r="F499" s="114">
        <v>29</v>
      </c>
      <c r="G499" s="114">
        <v>1</v>
      </c>
      <c r="H499" s="114">
        <v>1000</v>
      </c>
      <c r="I499" s="114">
        <v>1000</v>
      </c>
      <c r="J499" s="114">
        <v>840</v>
      </c>
      <c r="K499" s="114">
        <v>160</v>
      </c>
      <c r="L499" s="114" t="str">
        <f t="shared" si="7"/>
        <v>INSERT INTO DETALLES_DOCUMENTO(NRO_DOCUMENTO,ID_TIPO,ID_PRODUCTO,CANTIDAD,PRECIO,VALOR_BRUTO,VALOR_NETO,VALOR_IVA) VALUES(229,1,29,1,1000,1000,840,160);</v>
      </c>
    </row>
    <row r="500" spans="1:12">
      <c r="A500" s="114">
        <v>1</v>
      </c>
      <c r="B500" s="114">
        <v>229</v>
      </c>
      <c r="C500" s="139" t="s">
        <v>2205</v>
      </c>
      <c r="D500" s="114" t="s">
        <v>2090</v>
      </c>
      <c r="E500" s="114">
        <v>485</v>
      </c>
      <c r="F500" s="114">
        <v>166</v>
      </c>
      <c r="G500" s="114">
        <v>1</v>
      </c>
      <c r="H500" s="114">
        <v>1600</v>
      </c>
      <c r="I500" s="114">
        <v>1600</v>
      </c>
      <c r="J500" s="114">
        <v>1345</v>
      </c>
      <c r="K500" s="114">
        <v>255</v>
      </c>
      <c r="L500" s="114" t="str">
        <f t="shared" si="7"/>
        <v>INSERT INTO DETALLES_DOCUMENTO(NRO_DOCUMENTO,ID_TIPO,ID_PRODUCTO,CANTIDAD,PRECIO,VALOR_BRUTO,VALOR_NETO,VALOR_IVA) VALUES(229,1,166,1,1600,1600,1345,255);</v>
      </c>
    </row>
    <row r="501" spans="1:12">
      <c r="A501" s="114">
        <v>1</v>
      </c>
      <c r="B501" s="114">
        <v>229</v>
      </c>
      <c r="C501" s="139" t="s">
        <v>2205</v>
      </c>
      <c r="D501" s="114" t="s">
        <v>2090</v>
      </c>
      <c r="E501" s="114">
        <v>485</v>
      </c>
      <c r="F501" s="114">
        <v>254</v>
      </c>
      <c r="G501" s="114">
        <v>1</v>
      </c>
      <c r="H501" s="114">
        <v>2000</v>
      </c>
      <c r="I501" s="114">
        <v>2000</v>
      </c>
      <c r="J501" s="114">
        <v>1681</v>
      </c>
      <c r="K501" s="114">
        <v>319</v>
      </c>
      <c r="L501" s="114" t="str">
        <f t="shared" si="7"/>
        <v>INSERT INTO DETALLES_DOCUMENTO(NRO_DOCUMENTO,ID_TIPO,ID_PRODUCTO,CANTIDAD,PRECIO,VALOR_BRUTO,VALOR_NETO,VALOR_IVA) VALUES(229,1,254,1,2000,2000,1681,319);</v>
      </c>
    </row>
    <row r="502" spans="1:12">
      <c r="A502" s="114">
        <v>1</v>
      </c>
      <c r="B502" s="114">
        <v>229</v>
      </c>
      <c r="C502" s="139" t="s">
        <v>2205</v>
      </c>
      <c r="D502" s="114" t="s">
        <v>2090</v>
      </c>
      <c r="E502" s="114">
        <v>485</v>
      </c>
      <c r="F502" s="114">
        <v>164</v>
      </c>
      <c r="G502" s="114">
        <v>1</v>
      </c>
      <c r="H502" s="114">
        <v>3200</v>
      </c>
      <c r="I502" s="114">
        <v>3200</v>
      </c>
      <c r="J502" s="114">
        <v>2689</v>
      </c>
      <c r="K502" s="114">
        <v>511</v>
      </c>
      <c r="L502" s="114" t="str">
        <f t="shared" si="7"/>
        <v>INSERT INTO DETALLES_DOCUMENTO(NRO_DOCUMENTO,ID_TIPO,ID_PRODUCTO,CANTIDAD,PRECIO,VALOR_BRUTO,VALOR_NETO,VALOR_IVA) VALUES(229,1,164,1,3200,3200,2689,511);</v>
      </c>
    </row>
    <row r="503" spans="1:12">
      <c r="A503" s="114">
        <v>1</v>
      </c>
      <c r="B503" s="114">
        <v>229</v>
      </c>
      <c r="C503" s="139" t="s">
        <v>2205</v>
      </c>
      <c r="D503" s="114" t="s">
        <v>2090</v>
      </c>
      <c r="E503" s="114">
        <v>485</v>
      </c>
      <c r="F503" s="114">
        <v>143</v>
      </c>
      <c r="G503" s="114">
        <v>1</v>
      </c>
      <c r="H503" s="114">
        <v>6900</v>
      </c>
      <c r="I503" s="114">
        <v>6900</v>
      </c>
      <c r="J503" s="114">
        <v>5798</v>
      </c>
      <c r="K503" s="114">
        <v>1102</v>
      </c>
      <c r="L503" s="114" t="str">
        <f t="shared" si="7"/>
        <v>INSERT INTO DETALLES_DOCUMENTO(NRO_DOCUMENTO,ID_TIPO,ID_PRODUCTO,CANTIDAD,PRECIO,VALOR_BRUTO,VALOR_NETO,VALOR_IVA) VALUES(229,1,143,1,6900,6900,5798,1102);</v>
      </c>
    </row>
    <row r="504" spans="1:12">
      <c r="A504" s="114">
        <v>1</v>
      </c>
      <c r="B504" s="114">
        <v>230</v>
      </c>
      <c r="C504" s="139" t="s">
        <v>2206</v>
      </c>
      <c r="D504" s="114" t="s">
        <v>2090</v>
      </c>
      <c r="E504" s="114">
        <v>63</v>
      </c>
      <c r="F504" s="114">
        <v>231</v>
      </c>
      <c r="G504" s="114">
        <v>1</v>
      </c>
      <c r="H504" s="114">
        <v>19990</v>
      </c>
      <c r="I504" s="114">
        <v>19990</v>
      </c>
      <c r="J504" s="114">
        <v>16798</v>
      </c>
      <c r="K504" s="114">
        <v>3192</v>
      </c>
      <c r="L504" s="114" t="str">
        <f t="shared" si="7"/>
        <v>INSERT INTO DETALLES_DOCUMENTO(NRO_DOCUMENTO,ID_TIPO,ID_PRODUCTO,CANTIDAD,PRECIO,VALOR_BRUTO,VALOR_NETO,VALOR_IVA) VALUES(230,1,231,1,19990,19990,16798,3192);</v>
      </c>
    </row>
    <row r="505" spans="1:12">
      <c r="A505" s="114">
        <v>1</v>
      </c>
      <c r="B505" s="114">
        <v>231</v>
      </c>
      <c r="C505" s="139" t="s">
        <v>2206</v>
      </c>
      <c r="D505" s="114" t="s">
        <v>2090</v>
      </c>
      <c r="E505" s="114">
        <v>159</v>
      </c>
      <c r="F505" s="114">
        <v>143</v>
      </c>
      <c r="G505" s="114">
        <v>1</v>
      </c>
      <c r="H505" s="114">
        <v>6900</v>
      </c>
      <c r="I505" s="114">
        <v>6900</v>
      </c>
      <c r="J505" s="114">
        <v>5798</v>
      </c>
      <c r="K505" s="114">
        <v>1102</v>
      </c>
      <c r="L505" s="114" t="str">
        <f t="shared" si="7"/>
        <v>INSERT INTO DETALLES_DOCUMENTO(NRO_DOCUMENTO,ID_TIPO,ID_PRODUCTO,CANTIDAD,PRECIO,VALOR_BRUTO,VALOR_NETO,VALOR_IVA) VALUES(231,1,143,1,6900,6900,5798,1102);</v>
      </c>
    </row>
    <row r="506" spans="1:12">
      <c r="A506" s="114">
        <v>1</v>
      </c>
      <c r="B506" s="114">
        <v>232</v>
      </c>
      <c r="C506" s="139" t="s">
        <v>2206</v>
      </c>
      <c r="D506" s="114" t="s">
        <v>2090</v>
      </c>
      <c r="E506" s="114">
        <v>166</v>
      </c>
      <c r="F506" s="114">
        <v>329</v>
      </c>
      <c r="G506" s="114">
        <v>1</v>
      </c>
      <c r="H506" s="114">
        <v>5500</v>
      </c>
      <c r="I506" s="114">
        <v>5500</v>
      </c>
      <c r="J506" s="114">
        <v>4622</v>
      </c>
      <c r="K506" s="114">
        <v>878</v>
      </c>
      <c r="L506" s="114" t="str">
        <f t="shared" si="7"/>
        <v>INSERT INTO DETALLES_DOCUMENTO(NRO_DOCUMENTO,ID_TIPO,ID_PRODUCTO,CANTIDAD,PRECIO,VALOR_BRUTO,VALOR_NETO,VALOR_IVA) VALUES(232,1,329,1,5500,5500,4622,878);</v>
      </c>
    </row>
    <row r="507" spans="1:12">
      <c r="A507" s="114">
        <v>1</v>
      </c>
      <c r="B507" s="114">
        <v>233</v>
      </c>
      <c r="C507" s="139" t="s">
        <v>2206</v>
      </c>
      <c r="D507" s="114" t="s">
        <v>2090</v>
      </c>
      <c r="E507" s="114">
        <v>308</v>
      </c>
      <c r="F507" s="114">
        <v>232</v>
      </c>
      <c r="G507" s="114">
        <v>1</v>
      </c>
      <c r="H507" s="114">
        <v>12500</v>
      </c>
      <c r="I507" s="114">
        <v>12500</v>
      </c>
      <c r="J507" s="114">
        <v>10504</v>
      </c>
      <c r="K507" s="114">
        <v>1996</v>
      </c>
      <c r="L507" s="114" t="str">
        <f t="shared" si="7"/>
        <v>INSERT INTO DETALLES_DOCUMENTO(NRO_DOCUMENTO,ID_TIPO,ID_PRODUCTO,CANTIDAD,PRECIO,VALOR_BRUTO,VALOR_NETO,VALOR_IVA) VALUES(233,1,232,1,12500,12500,10504,1996);</v>
      </c>
    </row>
    <row r="508" spans="1:12">
      <c r="A508" s="114">
        <v>1</v>
      </c>
      <c r="B508" s="114">
        <v>234</v>
      </c>
      <c r="C508" s="139" t="s">
        <v>2206</v>
      </c>
      <c r="D508" s="114" t="s">
        <v>2090</v>
      </c>
      <c r="E508" s="114">
        <v>315</v>
      </c>
      <c r="F508" s="114">
        <v>143</v>
      </c>
      <c r="G508" s="114">
        <v>1</v>
      </c>
      <c r="H508" s="114">
        <v>6900</v>
      </c>
      <c r="I508" s="114">
        <v>6900</v>
      </c>
      <c r="J508" s="114">
        <v>5798</v>
      </c>
      <c r="K508" s="114">
        <v>1102</v>
      </c>
      <c r="L508" s="114" t="str">
        <f t="shared" si="7"/>
        <v>INSERT INTO DETALLES_DOCUMENTO(NRO_DOCUMENTO,ID_TIPO,ID_PRODUCTO,CANTIDAD,PRECIO,VALOR_BRUTO,VALOR_NETO,VALOR_IVA) VALUES(234,1,143,1,6900,6900,5798,1102);</v>
      </c>
    </row>
    <row r="509" spans="1:12">
      <c r="A509" s="114">
        <v>1</v>
      </c>
      <c r="B509" s="114">
        <v>235</v>
      </c>
      <c r="C509" s="139" t="s">
        <v>2206</v>
      </c>
      <c r="D509" s="114" t="s">
        <v>2090</v>
      </c>
      <c r="E509" s="114">
        <v>379</v>
      </c>
      <c r="F509" s="114">
        <v>126</v>
      </c>
      <c r="G509" s="114">
        <v>1</v>
      </c>
      <c r="H509" s="114">
        <v>9000</v>
      </c>
      <c r="I509" s="114">
        <v>9000</v>
      </c>
      <c r="J509" s="114">
        <v>7563</v>
      </c>
      <c r="K509" s="114">
        <v>1437</v>
      </c>
      <c r="L509" s="114" t="str">
        <f t="shared" si="7"/>
        <v>INSERT INTO DETALLES_DOCUMENTO(NRO_DOCUMENTO,ID_TIPO,ID_PRODUCTO,CANTIDAD,PRECIO,VALOR_BRUTO,VALOR_NETO,VALOR_IVA) VALUES(235,1,126,1,9000,9000,7563,1437);</v>
      </c>
    </row>
    <row r="510" spans="1:12">
      <c r="A510" s="114">
        <v>1</v>
      </c>
      <c r="B510" s="114">
        <v>236</v>
      </c>
      <c r="C510" s="139" t="s">
        <v>2206</v>
      </c>
      <c r="D510" s="114" t="s">
        <v>2090</v>
      </c>
      <c r="E510" s="114">
        <v>389</v>
      </c>
      <c r="F510" s="114">
        <v>329</v>
      </c>
      <c r="G510" s="114">
        <v>1</v>
      </c>
      <c r="H510" s="114">
        <v>5500</v>
      </c>
      <c r="I510" s="114">
        <v>5500</v>
      </c>
      <c r="J510" s="114">
        <v>4622</v>
      </c>
      <c r="K510" s="114">
        <v>878</v>
      </c>
      <c r="L510" s="114" t="str">
        <f t="shared" si="7"/>
        <v>INSERT INTO DETALLES_DOCUMENTO(NRO_DOCUMENTO,ID_TIPO,ID_PRODUCTO,CANTIDAD,PRECIO,VALOR_BRUTO,VALOR_NETO,VALOR_IVA) VALUES(236,1,329,1,5500,5500,4622,878);</v>
      </c>
    </row>
    <row r="511" spans="1:12">
      <c r="A511" s="114">
        <v>1</v>
      </c>
      <c r="B511" s="114">
        <v>236</v>
      </c>
      <c r="C511" s="139" t="s">
        <v>2206</v>
      </c>
      <c r="D511" s="114" t="s">
        <v>2090</v>
      </c>
      <c r="E511" s="114">
        <v>389</v>
      </c>
      <c r="F511" s="114">
        <v>135</v>
      </c>
      <c r="G511" s="114">
        <v>1</v>
      </c>
      <c r="H511" s="114">
        <v>1000</v>
      </c>
      <c r="I511" s="114">
        <v>1000</v>
      </c>
      <c r="J511" s="114">
        <v>840</v>
      </c>
      <c r="K511" s="114">
        <v>160</v>
      </c>
      <c r="L511" s="114" t="str">
        <f t="shared" si="7"/>
        <v>INSERT INTO DETALLES_DOCUMENTO(NRO_DOCUMENTO,ID_TIPO,ID_PRODUCTO,CANTIDAD,PRECIO,VALOR_BRUTO,VALOR_NETO,VALOR_IVA) VALUES(236,1,135,1,1000,1000,840,160);</v>
      </c>
    </row>
    <row r="512" spans="1:12">
      <c r="A512" s="114">
        <v>1</v>
      </c>
      <c r="B512" s="114">
        <v>237</v>
      </c>
      <c r="C512" s="139" t="s">
        <v>2206</v>
      </c>
      <c r="D512" s="114" t="s">
        <v>2090</v>
      </c>
      <c r="E512" s="114">
        <v>467</v>
      </c>
      <c r="F512" s="114">
        <v>329</v>
      </c>
      <c r="G512" s="114">
        <v>1</v>
      </c>
      <c r="H512" s="114">
        <v>5500</v>
      </c>
      <c r="I512" s="114">
        <v>5500</v>
      </c>
      <c r="J512" s="114">
        <v>4622</v>
      </c>
      <c r="K512" s="114">
        <v>878</v>
      </c>
      <c r="L512" s="114" t="str">
        <f t="shared" si="7"/>
        <v>INSERT INTO DETALLES_DOCUMENTO(NRO_DOCUMENTO,ID_TIPO,ID_PRODUCTO,CANTIDAD,PRECIO,VALOR_BRUTO,VALOR_NETO,VALOR_IVA) VALUES(237,1,329,1,5500,5500,4622,878);</v>
      </c>
    </row>
    <row r="513" spans="1:12">
      <c r="A513" s="114">
        <v>1</v>
      </c>
      <c r="B513" s="114">
        <v>237</v>
      </c>
      <c r="C513" s="139" t="s">
        <v>2206</v>
      </c>
      <c r="D513" s="114" t="s">
        <v>2090</v>
      </c>
      <c r="E513" s="114">
        <v>467</v>
      </c>
      <c r="F513" s="114">
        <v>100</v>
      </c>
      <c r="G513" s="114">
        <v>1</v>
      </c>
      <c r="H513" s="114">
        <v>1500</v>
      </c>
      <c r="I513" s="114">
        <v>1500</v>
      </c>
      <c r="J513" s="114">
        <v>1261</v>
      </c>
      <c r="K513" s="114">
        <v>239</v>
      </c>
      <c r="L513" s="114" t="str">
        <f t="shared" si="7"/>
        <v>INSERT INTO DETALLES_DOCUMENTO(NRO_DOCUMENTO,ID_TIPO,ID_PRODUCTO,CANTIDAD,PRECIO,VALOR_BRUTO,VALOR_NETO,VALOR_IVA) VALUES(237,1,100,1,1500,1500,1261,239);</v>
      </c>
    </row>
    <row r="514" spans="1:12">
      <c r="A514" s="114">
        <v>1</v>
      </c>
      <c r="B514" s="114">
        <v>238</v>
      </c>
      <c r="C514" s="139" t="s">
        <v>2207</v>
      </c>
      <c r="D514" s="114" t="s">
        <v>2090</v>
      </c>
      <c r="E514" s="114">
        <v>110</v>
      </c>
      <c r="F514" s="114">
        <v>233</v>
      </c>
      <c r="G514" s="114">
        <v>1</v>
      </c>
      <c r="H514" s="114">
        <v>15990</v>
      </c>
      <c r="I514" s="114">
        <v>15990</v>
      </c>
      <c r="J514" s="114">
        <v>13437</v>
      </c>
      <c r="K514" s="114">
        <v>2553</v>
      </c>
      <c r="L514" s="114" t="str">
        <f t="shared" si="7"/>
        <v>INSERT INTO DETALLES_DOCUMENTO(NRO_DOCUMENTO,ID_TIPO,ID_PRODUCTO,CANTIDAD,PRECIO,VALOR_BRUTO,VALOR_NETO,VALOR_IVA) VALUES(238,1,233,1,15990,15990,13437,2553);</v>
      </c>
    </row>
    <row r="515" spans="1:12">
      <c r="A515" s="114">
        <v>1</v>
      </c>
      <c r="B515" s="114">
        <v>239</v>
      </c>
      <c r="C515" s="139" t="s">
        <v>2207</v>
      </c>
      <c r="D515" s="114" t="s">
        <v>2090</v>
      </c>
      <c r="E515" s="114">
        <v>166</v>
      </c>
      <c r="F515" s="114">
        <v>191</v>
      </c>
      <c r="G515" s="114">
        <v>1</v>
      </c>
      <c r="H515" s="114">
        <v>2500</v>
      </c>
      <c r="I515" s="114">
        <v>2500</v>
      </c>
      <c r="J515" s="114">
        <v>2101</v>
      </c>
      <c r="K515" s="114">
        <v>399</v>
      </c>
      <c r="L515" s="114" t="str">
        <f t="shared" ref="L515:L578" si="8">CONCATENATE("INSERT INTO DETALLES_DOCUMENTO(NRO_DOCUMENTO,ID_TIPO,ID_PRODUCTO,CANTIDAD,PRECIO,VALOR_BRUTO,VALOR_NETO,VALOR_IVA) VALUES(",B515,",",A515,",",F515,",",G515,",",H515,",",I515,",",J515,",",K515,");")</f>
        <v>INSERT INTO DETALLES_DOCUMENTO(NRO_DOCUMENTO,ID_TIPO,ID_PRODUCTO,CANTIDAD,PRECIO,VALOR_BRUTO,VALOR_NETO,VALOR_IVA) VALUES(239,1,191,1,2500,2500,2101,399);</v>
      </c>
    </row>
    <row r="516" spans="1:12">
      <c r="A516" s="114">
        <v>1</v>
      </c>
      <c r="B516" s="114">
        <v>240</v>
      </c>
      <c r="C516" s="139" t="s">
        <v>2207</v>
      </c>
      <c r="D516" s="114" t="s">
        <v>2090</v>
      </c>
      <c r="E516" s="114">
        <v>194</v>
      </c>
      <c r="F516" s="114">
        <v>31</v>
      </c>
      <c r="G516" s="114">
        <v>1</v>
      </c>
      <c r="H516" s="114">
        <v>3400</v>
      </c>
      <c r="I516" s="114">
        <v>3400</v>
      </c>
      <c r="J516" s="114">
        <v>2857</v>
      </c>
      <c r="K516" s="114">
        <v>543</v>
      </c>
      <c r="L516" s="114" t="str">
        <f t="shared" si="8"/>
        <v>INSERT INTO DETALLES_DOCUMENTO(NRO_DOCUMENTO,ID_TIPO,ID_PRODUCTO,CANTIDAD,PRECIO,VALOR_BRUTO,VALOR_NETO,VALOR_IVA) VALUES(240,1,31,1,3400,3400,2857,543);</v>
      </c>
    </row>
    <row r="517" spans="1:12">
      <c r="A517" s="114">
        <v>1</v>
      </c>
      <c r="B517" s="114">
        <v>240</v>
      </c>
      <c r="C517" s="139" t="s">
        <v>2207</v>
      </c>
      <c r="D517" s="114" t="s">
        <v>2090</v>
      </c>
      <c r="E517" s="114">
        <v>194</v>
      </c>
      <c r="F517" s="114">
        <v>29</v>
      </c>
      <c r="G517" s="114">
        <v>1</v>
      </c>
      <c r="H517" s="114">
        <v>1000</v>
      </c>
      <c r="I517" s="114">
        <v>1000</v>
      </c>
      <c r="J517" s="114">
        <v>840</v>
      </c>
      <c r="K517" s="114">
        <v>160</v>
      </c>
      <c r="L517" s="114" t="str">
        <f t="shared" si="8"/>
        <v>INSERT INTO DETALLES_DOCUMENTO(NRO_DOCUMENTO,ID_TIPO,ID_PRODUCTO,CANTIDAD,PRECIO,VALOR_BRUTO,VALOR_NETO,VALOR_IVA) VALUES(240,1,29,1,1000,1000,840,160);</v>
      </c>
    </row>
    <row r="518" spans="1:12">
      <c r="A518" s="114">
        <v>1</v>
      </c>
      <c r="B518" s="114">
        <v>240</v>
      </c>
      <c r="C518" s="139" t="s">
        <v>2207</v>
      </c>
      <c r="D518" s="114" t="s">
        <v>2090</v>
      </c>
      <c r="E518" s="114">
        <v>194</v>
      </c>
      <c r="F518" s="114">
        <v>124</v>
      </c>
      <c r="G518" s="114">
        <v>1</v>
      </c>
      <c r="H518" s="114">
        <v>4000</v>
      </c>
      <c r="I518" s="114">
        <v>4000</v>
      </c>
      <c r="J518" s="114">
        <v>3361</v>
      </c>
      <c r="K518" s="114">
        <v>639</v>
      </c>
      <c r="L518" s="114" t="str">
        <f t="shared" si="8"/>
        <v>INSERT INTO DETALLES_DOCUMENTO(NRO_DOCUMENTO,ID_TIPO,ID_PRODUCTO,CANTIDAD,PRECIO,VALOR_BRUTO,VALOR_NETO,VALOR_IVA) VALUES(240,1,124,1,4000,4000,3361,639);</v>
      </c>
    </row>
    <row r="519" spans="1:12">
      <c r="A519" s="114">
        <v>1</v>
      </c>
      <c r="B519" s="114">
        <v>241</v>
      </c>
      <c r="C519" s="139" t="s">
        <v>2208</v>
      </c>
      <c r="D519" s="114" t="s">
        <v>2090</v>
      </c>
      <c r="E519" s="114">
        <v>166</v>
      </c>
      <c r="F519" s="114">
        <v>376</v>
      </c>
      <c r="G519" s="114">
        <v>1</v>
      </c>
      <c r="H519" s="114">
        <v>2200</v>
      </c>
      <c r="I519" s="114">
        <v>2200</v>
      </c>
      <c r="J519" s="114">
        <v>1849</v>
      </c>
      <c r="K519" s="114">
        <v>351</v>
      </c>
      <c r="L519" s="114" t="str">
        <f t="shared" si="8"/>
        <v>INSERT INTO DETALLES_DOCUMENTO(NRO_DOCUMENTO,ID_TIPO,ID_PRODUCTO,CANTIDAD,PRECIO,VALOR_BRUTO,VALOR_NETO,VALOR_IVA) VALUES(241,1,376,1,2200,2200,1849,351);</v>
      </c>
    </row>
    <row r="520" spans="1:12">
      <c r="A520" s="114">
        <v>1</v>
      </c>
      <c r="B520" s="114">
        <v>242</v>
      </c>
      <c r="C520" s="139" t="s">
        <v>2208</v>
      </c>
      <c r="D520" s="114" t="s">
        <v>2090</v>
      </c>
      <c r="E520" s="114">
        <v>171</v>
      </c>
      <c r="F520" s="114">
        <v>143</v>
      </c>
      <c r="G520" s="114">
        <v>1</v>
      </c>
      <c r="H520" s="114">
        <v>6900</v>
      </c>
      <c r="I520" s="114">
        <v>6900</v>
      </c>
      <c r="J520" s="114">
        <v>5798</v>
      </c>
      <c r="K520" s="114">
        <v>1102</v>
      </c>
      <c r="L520" s="114" t="str">
        <f t="shared" si="8"/>
        <v>INSERT INTO DETALLES_DOCUMENTO(NRO_DOCUMENTO,ID_TIPO,ID_PRODUCTO,CANTIDAD,PRECIO,VALOR_BRUTO,VALOR_NETO,VALOR_IVA) VALUES(242,1,143,1,6900,6900,5798,1102);</v>
      </c>
    </row>
    <row r="521" spans="1:12">
      <c r="A521" s="114">
        <v>1</v>
      </c>
      <c r="B521" s="114">
        <v>242</v>
      </c>
      <c r="C521" s="139" t="s">
        <v>2208</v>
      </c>
      <c r="D521" s="114" t="s">
        <v>2090</v>
      </c>
      <c r="E521" s="114">
        <v>171</v>
      </c>
      <c r="F521" s="114">
        <v>367</v>
      </c>
      <c r="G521" s="114">
        <v>2</v>
      </c>
      <c r="H521" s="114">
        <v>3000</v>
      </c>
      <c r="I521" s="114">
        <v>6000</v>
      </c>
      <c r="J521" s="114">
        <v>5042</v>
      </c>
      <c r="K521" s="114">
        <v>958</v>
      </c>
      <c r="L521" s="114" t="str">
        <f t="shared" si="8"/>
        <v>INSERT INTO DETALLES_DOCUMENTO(NRO_DOCUMENTO,ID_TIPO,ID_PRODUCTO,CANTIDAD,PRECIO,VALOR_BRUTO,VALOR_NETO,VALOR_IVA) VALUES(242,1,367,2,3000,6000,5042,958);</v>
      </c>
    </row>
    <row r="522" spans="1:12">
      <c r="A522" s="114">
        <v>1</v>
      </c>
      <c r="B522" s="114">
        <v>243</v>
      </c>
      <c r="C522" s="139" t="s">
        <v>2208</v>
      </c>
      <c r="D522" s="114" t="s">
        <v>2090</v>
      </c>
      <c r="E522" s="114">
        <v>222</v>
      </c>
      <c r="F522" s="114">
        <v>135</v>
      </c>
      <c r="G522" s="114">
        <v>1</v>
      </c>
      <c r="H522" s="114">
        <v>1000</v>
      </c>
      <c r="I522" s="114">
        <v>1000</v>
      </c>
      <c r="J522" s="114">
        <v>840</v>
      </c>
      <c r="K522" s="114">
        <v>160</v>
      </c>
      <c r="L522" s="114" t="str">
        <f t="shared" si="8"/>
        <v>INSERT INTO DETALLES_DOCUMENTO(NRO_DOCUMENTO,ID_TIPO,ID_PRODUCTO,CANTIDAD,PRECIO,VALOR_BRUTO,VALOR_NETO,VALOR_IVA) VALUES(243,1,135,1,1000,1000,840,160);</v>
      </c>
    </row>
    <row r="523" spans="1:12">
      <c r="A523" s="114">
        <v>1</v>
      </c>
      <c r="B523" s="114">
        <v>243</v>
      </c>
      <c r="C523" s="139" t="s">
        <v>2208</v>
      </c>
      <c r="D523" s="114" t="s">
        <v>2090</v>
      </c>
      <c r="E523" s="114">
        <v>222</v>
      </c>
      <c r="F523" s="114">
        <v>167</v>
      </c>
      <c r="G523" s="114">
        <v>2</v>
      </c>
      <c r="H523" s="114">
        <v>16400</v>
      </c>
      <c r="I523" s="114">
        <v>32800</v>
      </c>
      <c r="J523" s="114">
        <v>27563</v>
      </c>
      <c r="K523" s="114">
        <v>5237</v>
      </c>
      <c r="L523" s="114" t="str">
        <f t="shared" si="8"/>
        <v>INSERT INTO DETALLES_DOCUMENTO(NRO_DOCUMENTO,ID_TIPO,ID_PRODUCTO,CANTIDAD,PRECIO,VALOR_BRUTO,VALOR_NETO,VALOR_IVA) VALUES(243,1,167,2,16400,32800,27563,5237);</v>
      </c>
    </row>
    <row r="524" spans="1:12">
      <c r="A524" s="114">
        <v>1</v>
      </c>
      <c r="B524" s="114">
        <v>243</v>
      </c>
      <c r="C524" s="139" t="s">
        <v>2208</v>
      </c>
      <c r="D524" s="114" t="s">
        <v>2090</v>
      </c>
      <c r="E524" s="114">
        <v>222</v>
      </c>
      <c r="F524" s="114">
        <v>165</v>
      </c>
      <c r="G524" s="114">
        <v>1</v>
      </c>
      <c r="H524" s="114">
        <v>2000</v>
      </c>
      <c r="I524" s="114">
        <v>2000</v>
      </c>
      <c r="J524" s="114">
        <v>1681</v>
      </c>
      <c r="K524" s="114">
        <v>319</v>
      </c>
      <c r="L524" s="114" t="str">
        <f t="shared" si="8"/>
        <v>INSERT INTO DETALLES_DOCUMENTO(NRO_DOCUMENTO,ID_TIPO,ID_PRODUCTO,CANTIDAD,PRECIO,VALOR_BRUTO,VALOR_NETO,VALOR_IVA) VALUES(243,1,165,1,2000,2000,1681,319);</v>
      </c>
    </row>
    <row r="525" spans="1:12">
      <c r="A525" s="114">
        <v>1</v>
      </c>
      <c r="B525" s="114">
        <v>244</v>
      </c>
      <c r="C525" s="139" t="s">
        <v>2208</v>
      </c>
      <c r="D525" s="114" t="s">
        <v>2090</v>
      </c>
      <c r="E525" s="114">
        <v>254</v>
      </c>
      <c r="F525" s="114">
        <v>230</v>
      </c>
      <c r="G525" s="114">
        <v>1</v>
      </c>
      <c r="H525" s="114">
        <v>15500</v>
      </c>
      <c r="I525" s="114">
        <v>15500</v>
      </c>
      <c r="J525" s="114">
        <v>13025</v>
      </c>
      <c r="K525" s="114">
        <v>2475</v>
      </c>
      <c r="L525" s="114" t="str">
        <f t="shared" si="8"/>
        <v>INSERT INTO DETALLES_DOCUMENTO(NRO_DOCUMENTO,ID_TIPO,ID_PRODUCTO,CANTIDAD,PRECIO,VALOR_BRUTO,VALOR_NETO,VALOR_IVA) VALUES(244,1,230,1,15500,15500,13025,2475);</v>
      </c>
    </row>
    <row r="526" spans="1:12">
      <c r="A526" s="114">
        <v>1</v>
      </c>
      <c r="B526" s="114">
        <v>244</v>
      </c>
      <c r="C526" s="139" t="s">
        <v>2208</v>
      </c>
      <c r="D526" s="114" t="s">
        <v>2090</v>
      </c>
      <c r="E526" s="114">
        <v>254</v>
      </c>
      <c r="F526" s="114">
        <v>165</v>
      </c>
      <c r="G526" s="114">
        <v>2</v>
      </c>
      <c r="H526" s="114">
        <v>4000</v>
      </c>
      <c r="I526" s="114">
        <v>8000</v>
      </c>
      <c r="J526" s="114">
        <v>6723</v>
      </c>
      <c r="K526" s="114">
        <v>1277</v>
      </c>
      <c r="L526" s="114" t="str">
        <f t="shared" si="8"/>
        <v>INSERT INTO DETALLES_DOCUMENTO(NRO_DOCUMENTO,ID_TIPO,ID_PRODUCTO,CANTIDAD,PRECIO,VALOR_BRUTO,VALOR_NETO,VALOR_IVA) VALUES(244,1,165,2,4000,8000,6723,1277);</v>
      </c>
    </row>
    <row r="527" spans="1:12">
      <c r="A527" s="114">
        <v>1</v>
      </c>
      <c r="B527" s="114">
        <v>244</v>
      </c>
      <c r="C527" s="139" t="s">
        <v>2208</v>
      </c>
      <c r="D527" s="114" t="s">
        <v>2090</v>
      </c>
      <c r="E527" s="114">
        <v>254</v>
      </c>
      <c r="F527" s="114">
        <v>117</v>
      </c>
      <c r="G527" s="114">
        <v>2</v>
      </c>
      <c r="H527" s="114">
        <v>7000</v>
      </c>
      <c r="I527" s="114">
        <v>14000</v>
      </c>
      <c r="J527" s="114">
        <v>11765</v>
      </c>
      <c r="K527" s="114">
        <v>2235</v>
      </c>
      <c r="L527" s="114" t="str">
        <f t="shared" si="8"/>
        <v>INSERT INTO DETALLES_DOCUMENTO(NRO_DOCUMENTO,ID_TIPO,ID_PRODUCTO,CANTIDAD,PRECIO,VALOR_BRUTO,VALOR_NETO,VALOR_IVA) VALUES(244,1,117,2,7000,14000,11765,2235);</v>
      </c>
    </row>
    <row r="528" spans="1:12">
      <c r="A528" s="114">
        <v>1</v>
      </c>
      <c r="B528" s="114">
        <v>245</v>
      </c>
      <c r="C528" s="139" t="s">
        <v>2208</v>
      </c>
      <c r="D528" s="114" t="s">
        <v>2090</v>
      </c>
      <c r="E528" s="114">
        <v>343</v>
      </c>
      <c r="F528" s="114">
        <v>143</v>
      </c>
      <c r="G528" s="114">
        <v>1</v>
      </c>
      <c r="H528" s="114">
        <v>6900</v>
      </c>
      <c r="I528" s="114">
        <v>6900</v>
      </c>
      <c r="J528" s="114">
        <v>5798</v>
      </c>
      <c r="K528" s="114">
        <v>1102</v>
      </c>
      <c r="L528" s="114" t="str">
        <f t="shared" si="8"/>
        <v>INSERT INTO DETALLES_DOCUMENTO(NRO_DOCUMENTO,ID_TIPO,ID_PRODUCTO,CANTIDAD,PRECIO,VALOR_BRUTO,VALOR_NETO,VALOR_IVA) VALUES(245,1,143,1,6900,6900,5798,1102);</v>
      </c>
    </row>
    <row r="529" spans="1:12">
      <c r="A529" s="114">
        <v>1</v>
      </c>
      <c r="B529" s="114">
        <v>246</v>
      </c>
      <c r="C529" s="139" t="s">
        <v>2209</v>
      </c>
      <c r="D529" s="114" t="s">
        <v>2090</v>
      </c>
      <c r="E529" s="114">
        <v>97</v>
      </c>
      <c r="F529" s="114">
        <v>143</v>
      </c>
      <c r="G529" s="114">
        <v>1</v>
      </c>
      <c r="H529" s="114">
        <v>6900</v>
      </c>
      <c r="I529" s="114">
        <v>6900</v>
      </c>
      <c r="J529" s="114">
        <v>5798</v>
      </c>
      <c r="K529" s="114">
        <v>1102</v>
      </c>
      <c r="L529" s="114" t="str">
        <f t="shared" si="8"/>
        <v>INSERT INTO DETALLES_DOCUMENTO(NRO_DOCUMENTO,ID_TIPO,ID_PRODUCTO,CANTIDAD,PRECIO,VALOR_BRUTO,VALOR_NETO,VALOR_IVA) VALUES(246,1,143,1,6900,6900,5798,1102);</v>
      </c>
    </row>
    <row r="530" spans="1:12">
      <c r="A530" s="114">
        <v>1</v>
      </c>
      <c r="B530" s="114">
        <v>247</v>
      </c>
      <c r="C530" s="139" t="s">
        <v>2209</v>
      </c>
      <c r="D530" s="114" t="s">
        <v>2090</v>
      </c>
      <c r="E530" s="114">
        <v>202</v>
      </c>
      <c r="F530" s="114">
        <v>135</v>
      </c>
      <c r="G530" s="114">
        <v>2</v>
      </c>
      <c r="H530" s="114">
        <v>2000</v>
      </c>
      <c r="I530" s="114">
        <v>4000</v>
      </c>
      <c r="J530" s="114">
        <v>3361</v>
      </c>
      <c r="K530" s="114">
        <v>639</v>
      </c>
      <c r="L530" s="114" t="str">
        <f t="shared" si="8"/>
        <v>INSERT INTO DETALLES_DOCUMENTO(NRO_DOCUMENTO,ID_TIPO,ID_PRODUCTO,CANTIDAD,PRECIO,VALOR_BRUTO,VALOR_NETO,VALOR_IVA) VALUES(247,1,135,2,2000,4000,3361,639);</v>
      </c>
    </row>
    <row r="531" spans="1:12">
      <c r="A531" s="114">
        <v>1</v>
      </c>
      <c r="B531" s="114">
        <v>248</v>
      </c>
      <c r="C531" s="139" t="s">
        <v>2209</v>
      </c>
      <c r="D531" s="114" t="s">
        <v>2090</v>
      </c>
      <c r="E531" s="114">
        <v>343</v>
      </c>
      <c r="F531" s="114">
        <v>136</v>
      </c>
      <c r="G531" s="114">
        <v>1</v>
      </c>
      <c r="H531" s="114">
        <v>4500</v>
      </c>
      <c r="I531" s="114">
        <v>4500</v>
      </c>
      <c r="J531" s="114">
        <v>3782</v>
      </c>
      <c r="K531" s="114">
        <v>718</v>
      </c>
      <c r="L531" s="114" t="str">
        <f t="shared" si="8"/>
        <v>INSERT INTO DETALLES_DOCUMENTO(NRO_DOCUMENTO,ID_TIPO,ID_PRODUCTO,CANTIDAD,PRECIO,VALOR_BRUTO,VALOR_NETO,VALOR_IVA) VALUES(248,1,136,1,4500,4500,3782,718);</v>
      </c>
    </row>
    <row r="532" spans="1:12">
      <c r="A532" s="114">
        <v>1</v>
      </c>
      <c r="B532" s="114">
        <v>249</v>
      </c>
      <c r="C532" s="139" t="s">
        <v>2210</v>
      </c>
      <c r="D532" s="114" t="s">
        <v>2090</v>
      </c>
      <c r="E532" s="114">
        <v>179</v>
      </c>
      <c r="F532" s="114">
        <v>324</v>
      </c>
      <c r="G532" s="114">
        <v>2</v>
      </c>
      <c r="H532" s="114">
        <v>21000</v>
      </c>
      <c r="I532" s="114">
        <v>42000</v>
      </c>
      <c r="J532" s="114">
        <v>35294</v>
      </c>
      <c r="K532" s="114">
        <v>6706</v>
      </c>
      <c r="L532" s="114" t="str">
        <f t="shared" si="8"/>
        <v>INSERT INTO DETALLES_DOCUMENTO(NRO_DOCUMENTO,ID_TIPO,ID_PRODUCTO,CANTIDAD,PRECIO,VALOR_BRUTO,VALOR_NETO,VALOR_IVA) VALUES(249,1,324,2,21000,42000,35294,6706);</v>
      </c>
    </row>
    <row r="533" spans="1:12">
      <c r="A533" s="114">
        <v>1</v>
      </c>
      <c r="B533" s="114">
        <v>250</v>
      </c>
      <c r="C533" s="139" t="s">
        <v>2210</v>
      </c>
      <c r="D533" s="114" t="s">
        <v>2090</v>
      </c>
      <c r="E533" s="114">
        <v>351</v>
      </c>
      <c r="F533" s="114">
        <v>244</v>
      </c>
      <c r="G533" s="114">
        <v>1</v>
      </c>
      <c r="H533" s="114">
        <v>14900</v>
      </c>
      <c r="I533" s="114">
        <v>14900</v>
      </c>
      <c r="J533" s="114">
        <v>12521</v>
      </c>
      <c r="K533" s="114">
        <v>2379</v>
      </c>
      <c r="L533" s="114" t="str">
        <f t="shared" si="8"/>
        <v>INSERT INTO DETALLES_DOCUMENTO(NRO_DOCUMENTO,ID_TIPO,ID_PRODUCTO,CANTIDAD,PRECIO,VALOR_BRUTO,VALOR_NETO,VALOR_IVA) VALUES(250,1,244,1,14900,14900,12521,2379);</v>
      </c>
    </row>
    <row r="534" spans="1:12">
      <c r="A534" s="114">
        <v>1</v>
      </c>
      <c r="B534" s="114">
        <v>251</v>
      </c>
      <c r="C534" s="139" t="s">
        <v>2210</v>
      </c>
      <c r="D534" s="114" t="s">
        <v>2090</v>
      </c>
      <c r="E534" s="114">
        <v>407</v>
      </c>
      <c r="F534" s="114">
        <v>118</v>
      </c>
      <c r="G534" s="114">
        <v>1</v>
      </c>
      <c r="H534" s="114">
        <v>3500</v>
      </c>
      <c r="I534" s="114">
        <v>3500</v>
      </c>
      <c r="J534" s="114">
        <v>2941</v>
      </c>
      <c r="K534" s="114">
        <v>559</v>
      </c>
      <c r="L534" s="114" t="str">
        <f t="shared" si="8"/>
        <v>INSERT INTO DETALLES_DOCUMENTO(NRO_DOCUMENTO,ID_TIPO,ID_PRODUCTO,CANTIDAD,PRECIO,VALOR_BRUTO,VALOR_NETO,VALOR_IVA) VALUES(251,1,118,1,3500,3500,2941,559);</v>
      </c>
    </row>
    <row r="535" spans="1:12">
      <c r="A535" s="114">
        <v>1</v>
      </c>
      <c r="B535" s="114">
        <v>252</v>
      </c>
      <c r="C535" s="139" t="s">
        <v>2210</v>
      </c>
      <c r="D535" s="114" t="s">
        <v>2090</v>
      </c>
      <c r="E535" s="114">
        <v>416</v>
      </c>
      <c r="F535" s="114">
        <v>231</v>
      </c>
      <c r="G535" s="114">
        <v>1</v>
      </c>
      <c r="H535" s="114">
        <v>19990</v>
      </c>
      <c r="I535" s="114">
        <v>19990</v>
      </c>
      <c r="J535" s="114">
        <v>16798</v>
      </c>
      <c r="K535" s="114">
        <v>3192</v>
      </c>
      <c r="L535" s="114" t="str">
        <f t="shared" si="8"/>
        <v>INSERT INTO DETALLES_DOCUMENTO(NRO_DOCUMENTO,ID_TIPO,ID_PRODUCTO,CANTIDAD,PRECIO,VALOR_BRUTO,VALOR_NETO,VALOR_IVA) VALUES(252,1,231,1,19990,19990,16798,3192);</v>
      </c>
    </row>
    <row r="536" spans="1:12">
      <c r="A536" s="114">
        <v>1</v>
      </c>
      <c r="B536" s="114">
        <v>253</v>
      </c>
      <c r="C536" s="139" t="s">
        <v>2211</v>
      </c>
      <c r="D536" s="114" t="s">
        <v>2090</v>
      </c>
      <c r="E536" s="114">
        <v>86</v>
      </c>
      <c r="F536" s="114">
        <v>125</v>
      </c>
      <c r="G536" s="114">
        <v>1</v>
      </c>
      <c r="H536" s="114">
        <v>1700</v>
      </c>
      <c r="I536" s="114">
        <v>1700</v>
      </c>
      <c r="J536" s="114">
        <v>1429</v>
      </c>
      <c r="K536" s="114">
        <v>271</v>
      </c>
      <c r="L536" s="114" t="str">
        <f t="shared" si="8"/>
        <v>INSERT INTO DETALLES_DOCUMENTO(NRO_DOCUMENTO,ID_TIPO,ID_PRODUCTO,CANTIDAD,PRECIO,VALOR_BRUTO,VALOR_NETO,VALOR_IVA) VALUES(253,1,125,1,1700,1700,1429,271);</v>
      </c>
    </row>
    <row r="537" spans="1:12">
      <c r="A537" s="114">
        <v>1</v>
      </c>
      <c r="B537" s="114">
        <v>253</v>
      </c>
      <c r="C537" s="139" t="s">
        <v>2211</v>
      </c>
      <c r="D537" s="114" t="s">
        <v>2090</v>
      </c>
      <c r="E537" s="114">
        <v>86</v>
      </c>
      <c r="F537" s="114">
        <v>143</v>
      </c>
      <c r="G537" s="114">
        <v>1</v>
      </c>
      <c r="H537" s="114">
        <v>7500</v>
      </c>
      <c r="I537" s="114">
        <v>7500</v>
      </c>
      <c r="J537" s="114">
        <v>6303</v>
      </c>
      <c r="K537" s="114">
        <v>1197</v>
      </c>
      <c r="L537" s="114" t="str">
        <f t="shared" si="8"/>
        <v>INSERT INTO DETALLES_DOCUMENTO(NRO_DOCUMENTO,ID_TIPO,ID_PRODUCTO,CANTIDAD,PRECIO,VALOR_BRUTO,VALOR_NETO,VALOR_IVA) VALUES(253,1,143,1,7500,7500,6303,1197);</v>
      </c>
    </row>
    <row r="538" spans="1:12">
      <c r="A538" s="114">
        <v>1</v>
      </c>
      <c r="B538" s="114">
        <v>254</v>
      </c>
      <c r="C538" s="139" t="s">
        <v>2211</v>
      </c>
      <c r="D538" s="114" t="s">
        <v>2090</v>
      </c>
      <c r="E538" s="114">
        <v>119</v>
      </c>
      <c r="F538" s="114">
        <v>57</v>
      </c>
      <c r="G538" s="114">
        <v>1</v>
      </c>
      <c r="H538" s="114">
        <v>4000</v>
      </c>
      <c r="I538" s="114">
        <v>4000</v>
      </c>
      <c r="J538" s="114">
        <v>3361</v>
      </c>
      <c r="K538" s="114">
        <v>639</v>
      </c>
      <c r="L538" s="114" t="str">
        <f t="shared" si="8"/>
        <v>INSERT INTO DETALLES_DOCUMENTO(NRO_DOCUMENTO,ID_TIPO,ID_PRODUCTO,CANTIDAD,PRECIO,VALOR_BRUTO,VALOR_NETO,VALOR_IVA) VALUES(254,1,57,1,4000,4000,3361,639);</v>
      </c>
    </row>
    <row r="539" spans="1:12">
      <c r="A539" s="114">
        <v>1</v>
      </c>
      <c r="B539" s="114">
        <v>254</v>
      </c>
      <c r="C539" s="139" t="s">
        <v>2211</v>
      </c>
      <c r="D539" s="114" t="s">
        <v>2090</v>
      </c>
      <c r="E539" s="114">
        <v>119</v>
      </c>
      <c r="F539" s="114">
        <v>143</v>
      </c>
      <c r="G539" s="114">
        <v>1</v>
      </c>
      <c r="H539" s="114">
        <v>6900</v>
      </c>
      <c r="I539" s="114">
        <v>6900</v>
      </c>
      <c r="J539" s="114">
        <v>5798</v>
      </c>
      <c r="K539" s="114">
        <v>1102</v>
      </c>
      <c r="L539" s="114" t="str">
        <f t="shared" si="8"/>
        <v>INSERT INTO DETALLES_DOCUMENTO(NRO_DOCUMENTO,ID_TIPO,ID_PRODUCTO,CANTIDAD,PRECIO,VALOR_BRUTO,VALOR_NETO,VALOR_IVA) VALUES(254,1,143,1,6900,6900,5798,1102);</v>
      </c>
    </row>
    <row r="540" spans="1:12">
      <c r="A540" s="114">
        <v>1</v>
      </c>
      <c r="B540" s="114">
        <v>255</v>
      </c>
      <c r="C540" s="139" t="s">
        <v>2211</v>
      </c>
      <c r="D540" s="114" t="s">
        <v>2090</v>
      </c>
      <c r="E540" s="114">
        <v>418</v>
      </c>
      <c r="F540" s="114">
        <v>143</v>
      </c>
      <c r="G540" s="114">
        <v>1</v>
      </c>
      <c r="H540" s="114">
        <v>6900</v>
      </c>
      <c r="I540" s="114">
        <v>6900</v>
      </c>
      <c r="J540" s="114">
        <v>5798</v>
      </c>
      <c r="K540" s="114">
        <v>1102</v>
      </c>
      <c r="L540" s="114" t="str">
        <f t="shared" si="8"/>
        <v>INSERT INTO DETALLES_DOCUMENTO(NRO_DOCUMENTO,ID_TIPO,ID_PRODUCTO,CANTIDAD,PRECIO,VALOR_BRUTO,VALOR_NETO,VALOR_IVA) VALUES(255,1,143,1,6900,6900,5798,1102);</v>
      </c>
    </row>
    <row r="541" spans="1:12">
      <c r="A541" s="114">
        <v>1</v>
      </c>
      <c r="B541" s="114">
        <v>255</v>
      </c>
      <c r="C541" s="139" t="s">
        <v>2211</v>
      </c>
      <c r="D541" s="114" t="s">
        <v>2090</v>
      </c>
      <c r="E541" s="114">
        <v>418</v>
      </c>
      <c r="F541" s="114">
        <v>329</v>
      </c>
      <c r="G541" s="114">
        <v>1</v>
      </c>
      <c r="H541" s="114">
        <v>5500</v>
      </c>
      <c r="I541" s="114">
        <v>5500</v>
      </c>
      <c r="J541" s="114">
        <v>4622</v>
      </c>
      <c r="K541" s="114">
        <v>878</v>
      </c>
      <c r="L541" s="114" t="str">
        <f t="shared" si="8"/>
        <v>INSERT INTO DETALLES_DOCUMENTO(NRO_DOCUMENTO,ID_TIPO,ID_PRODUCTO,CANTIDAD,PRECIO,VALOR_BRUTO,VALOR_NETO,VALOR_IVA) VALUES(255,1,329,1,5500,5500,4622,878);</v>
      </c>
    </row>
    <row r="542" spans="1:12">
      <c r="A542" s="114">
        <v>1</v>
      </c>
      <c r="B542" s="114">
        <v>256</v>
      </c>
      <c r="C542" s="139" t="s">
        <v>2211</v>
      </c>
      <c r="D542" s="114" t="s">
        <v>2090</v>
      </c>
      <c r="E542" s="114">
        <v>451</v>
      </c>
      <c r="F542" s="114">
        <v>118</v>
      </c>
      <c r="G542" s="114">
        <v>1</v>
      </c>
      <c r="H542" s="114">
        <v>3500</v>
      </c>
      <c r="I542" s="114">
        <v>3500</v>
      </c>
      <c r="J542" s="114">
        <v>2941</v>
      </c>
      <c r="K542" s="114">
        <v>559</v>
      </c>
      <c r="L542" s="114" t="str">
        <f t="shared" si="8"/>
        <v>INSERT INTO DETALLES_DOCUMENTO(NRO_DOCUMENTO,ID_TIPO,ID_PRODUCTO,CANTIDAD,PRECIO,VALOR_BRUTO,VALOR_NETO,VALOR_IVA) VALUES(256,1,118,1,3500,3500,2941,559);</v>
      </c>
    </row>
    <row r="543" spans="1:12">
      <c r="A543" s="114">
        <v>1</v>
      </c>
      <c r="B543" s="114">
        <v>257</v>
      </c>
      <c r="C543" s="139" t="s">
        <v>2211</v>
      </c>
      <c r="D543" s="114" t="s">
        <v>2090</v>
      </c>
      <c r="E543" s="114">
        <v>457</v>
      </c>
      <c r="F543" s="114">
        <v>143</v>
      </c>
      <c r="G543" s="114">
        <v>1</v>
      </c>
      <c r="H543" s="114">
        <v>6900</v>
      </c>
      <c r="I543" s="114">
        <v>6900</v>
      </c>
      <c r="J543" s="114">
        <v>5798</v>
      </c>
      <c r="K543" s="114">
        <v>1102</v>
      </c>
      <c r="L543" s="114" t="str">
        <f t="shared" si="8"/>
        <v>INSERT INTO DETALLES_DOCUMENTO(NRO_DOCUMENTO,ID_TIPO,ID_PRODUCTO,CANTIDAD,PRECIO,VALOR_BRUTO,VALOR_NETO,VALOR_IVA) VALUES(257,1,143,1,6900,6900,5798,1102);</v>
      </c>
    </row>
    <row r="544" spans="1:12">
      <c r="A544" s="114">
        <v>1</v>
      </c>
      <c r="B544" s="114">
        <v>258</v>
      </c>
      <c r="C544" s="139" t="s">
        <v>2212</v>
      </c>
      <c r="D544" s="114" t="s">
        <v>2090</v>
      </c>
      <c r="E544" s="114">
        <v>166</v>
      </c>
      <c r="F544" s="114">
        <v>331</v>
      </c>
      <c r="G544" s="114">
        <v>1</v>
      </c>
      <c r="H544" s="114">
        <v>3700</v>
      </c>
      <c r="I544" s="114">
        <v>3700</v>
      </c>
      <c r="J544" s="114">
        <v>3109</v>
      </c>
      <c r="K544" s="114">
        <v>591</v>
      </c>
      <c r="L544" s="114" t="str">
        <f t="shared" si="8"/>
        <v>INSERT INTO DETALLES_DOCUMENTO(NRO_DOCUMENTO,ID_TIPO,ID_PRODUCTO,CANTIDAD,PRECIO,VALOR_BRUTO,VALOR_NETO,VALOR_IVA) VALUES(258,1,331,1,3700,3700,3109,591);</v>
      </c>
    </row>
    <row r="545" spans="1:12">
      <c r="A545" s="114">
        <v>1</v>
      </c>
      <c r="B545" s="114">
        <v>259</v>
      </c>
      <c r="C545" s="139" t="s">
        <v>2212</v>
      </c>
      <c r="D545" s="114" t="s">
        <v>2090</v>
      </c>
      <c r="E545" s="114">
        <v>278</v>
      </c>
      <c r="F545" s="114">
        <v>236</v>
      </c>
      <c r="G545" s="114">
        <v>1</v>
      </c>
      <c r="H545" s="114">
        <v>18990</v>
      </c>
      <c r="I545" s="114">
        <v>18990</v>
      </c>
      <c r="J545" s="114">
        <v>15958</v>
      </c>
      <c r="K545" s="114">
        <v>3032</v>
      </c>
      <c r="L545" s="114" t="str">
        <f t="shared" si="8"/>
        <v>INSERT INTO DETALLES_DOCUMENTO(NRO_DOCUMENTO,ID_TIPO,ID_PRODUCTO,CANTIDAD,PRECIO,VALOR_BRUTO,VALOR_NETO,VALOR_IVA) VALUES(259,1,236,1,18990,18990,15958,3032);</v>
      </c>
    </row>
    <row r="546" spans="1:12">
      <c r="A546" s="114">
        <v>1</v>
      </c>
      <c r="B546" s="114">
        <v>259</v>
      </c>
      <c r="C546" s="139" t="s">
        <v>2212</v>
      </c>
      <c r="D546" s="114" t="s">
        <v>2090</v>
      </c>
      <c r="E546" s="114">
        <v>278</v>
      </c>
      <c r="F546" s="114">
        <v>369</v>
      </c>
      <c r="G546" s="114">
        <v>1</v>
      </c>
      <c r="H546" s="114">
        <v>10500</v>
      </c>
      <c r="I546" s="114">
        <v>10500</v>
      </c>
      <c r="J546" s="114">
        <v>8824</v>
      </c>
      <c r="K546" s="114">
        <v>1676</v>
      </c>
      <c r="L546" s="114" t="str">
        <f t="shared" si="8"/>
        <v>INSERT INTO DETALLES_DOCUMENTO(NRO_DOCUMENTO,ID_TIPO,ID_PRODUCTO,CANTIDAD,PRECIO,VALOR_BRUTO,VALOR_NETO,VALOR_IVA) VALUES(259,1,369,1,10500,10500,8824,1676);</v>
      </c>
    </row>
    <row r="547" spans="1:12">
      <c r="A547" s="114">
        <v>1</v>
      </c>
      <c r="B547" s="114">
        <v>259</v>
      </c>
      <c r="C547" s="139" t="s">
        <v>2212</v>
      </c>
      <c r="D547" s="114" t="s">
        <v>2090</v>
      </c>
      <c r="E547" s="114">
        <v>278</v>
      </c>
      <c r="F547" s="114">
        <v>31</v>
      </c>
      <c r="G547" s="114">
        <v>1</v>
      </c>
      <c r="H547" s="114">
        <v>3400</v>
      </c>
      <c r="I547" s="114">
        <v>3400</v>
      </c>
      <c r="J547" s="114">
        <v>2857</v>
      </c>
      <c r="K547" s="114">
        <v>543</v>
      </c>
      <c r="L547" s="114" t="str">
        <f t="shared" si="8"/>
        <v>INSERT INTO DETALLES_DOCUMENTO(NRO_DOCUMENTO,ID_TIPO,ID_PRODUCTO,CANTIDAD,PRECIO,VALOR_BRUTO,VALOR_NETO,VALOR_IVA) VALUES(259,1,31,1,3400,3400,2857,543);</v>
      </c>
    </row>
    <row r="548" spans="1:12">
      <c r="A548" s="114">
        <v>1</v>
      </c>
      <c r="B548" s="114">
        <v>259</v>
      </c>
      <c r="C548" s="139" t="s">
        <v>2212</v>
      </c>
      <c r="D548" s="114" t="s">
        <v>2090</v>
      </c>
      <c r="E548" s="114">
        <v>278</v>
      </c>
      <c r="F548" s="114">
        <v>354</v>
      </c>
      <c r="G548" s="114">
        <v>1</v>
      </c>
      <c r="H548" s="114">
        <v>1800</v>
      </c>
      <c r="I548" s="114">
        <v>1800</v>
      </c>
      <c r="J548" s="114">
        <v>1513</v>
      </c>
      <c r="K548" s="114">
        <v>287</v>
      </c>
      <c r="L548" s="114" t="str">
        <f t="shared" si="8"/>
        <v>INSERT INTO DETALLES_DOCUMENTO(NRO_DOCUMENTO,ID_TIPO,ID_PRODUCTO,CANTIDAD,PRECIO,VALOR_BRUTO,VALOR_NETO,VALOR_IVA) VALUES(259,1,354,1,1800,1800,1513,287);</v>
      </c>
    </row>
    <row r="549" spans="1:12">
      <c r="A549" s="114">
        <v>1</v>
      </c>
      <c r="B549" s="114">
        <v>259</v>
      </c>
      <c r="C549" s="139" t="s">
        <v>2212</v>
      </c>
      <c r="D549" s="114" t="s">
        <v>2090</v>
      </c>
      <c r="E549" s="114">
        <v>278</v>
      </c>
      <c r="F549" s="114">
        <v>259</v>
      </c>
      <c r="G549" s="114">
        <v>1</v>
      </c>
      <c r="H549" s="114">
        <v>4500</v>
      </c>
      <c r="I549" s="114">
        <v>4500</v>
      </c>
      <c r="J549" s="114">
        <v>3782</v>
      </c>
      <c r="K549" s="114">
        <v>718</v>
      </c>
      <c r="L549" s="114" t="str">
        <f t="shared" si="8"/>
        <v>INSERT INTO DETALLES_DOCUMENTO(NRO_DOCUMENTO,ID_TIPO,ID_PRODUCTO,CANTIDAD,PRECIO,VALOR_BRUTO,VALOR_NETO,VALOR_IVA) VALUES(259,1,259,1,4500,4500,3782,718);</v>
      </c>
    </row>
    <row r="550" spans="1:12">
      <c r="A550" s="114">
        <v>1</v>
      </c>
      <c r="B550" s="114">
        <v>259</v>
      </c>
      <c r="C550" s="139" t="s">
        <v>2212</v>
      </c>
      <c r="D550" s="114" t="s">
        <v>2090</v>
      </c>
      <c r="E550" s="114">
        <v>278</v>
      </c>
      <c r="F550" s="114">
        <v>100</v>
      </c>
      <c r="G550" s="114">
        <v>1</v>
      </c>
      <c r="H550" s="114">
        <v>1500</v>
      </c>
      <c r="I550" s="114">
        <v>1500</v>
      </c>
      <c r="J550" s="114">
        <v>1261</v>
      </c>
      <c r="K550" s="114">
        <v>239</v>
      </c>
      <c r="L550" s="114" t="str">
        <f t="shared" si="8"/>
        <v>INSERT INTO DETALLES_DOCUMENTO(NRO_DOCUMENTO,ID_TIPO,ID_PRODUCTO,CANTIDAD,PRECIO,VALOR_BRUTO,VALOR_NETO,VALOR_IVA) VALUES(259,1,100,1,1500,1500,1261,239);</v>
      </c>
    </row>
    <row r="551" spans="1:12">
      <c r="A551" s="114">
        <v>1</v>
      </c>
      <c r="B551" s="114">
        <v>259</v>
      </c>
      <c r="C551" s="139" t="s">
        <v>2212</v>
      </c>
      <c r="D551" s="114" t="s">
        <v>2090</v>
      </c>
      <c r="E551" s="114">
        <v>278</v>
      </c>
      <c r="F551" s="114">
        <v>165</v>
      </c>
      <c r="G551" s="114">
        <v>1</v>
      </c>
      <c r="H551" s="114">
        <v>2000</v>
      </c>
      <c r="I551" s="114">
        <v>2000</v>
      </c>
      <c r="J551" s="114">
        <v>1681</v>
      </c>
      <c r="K551" s="114">
        <v>319</v>
      </c>
      <c r="L551" s="114" t="str">
        <f t="shared" si="8"/>
        <v>INSERT INTO DETALLES_DOCUMENTO(NRO_DOCUMENTO,ID_TIPO,ID_PRODUCTO,CANTIDAD,PRECIO,VALOR_BRUTO,VALOR_NETO,VALOR_IVA) VALUES(259,1,165,1,2000,2000,1681,319);</v>
      </c>
    </row>
    <row r="552" spans="1:12">
      <c r="A552" s="114">
        <v>1</v>
      </c>
      <c r="B552" s="114">
        <v>259</v>
      </c>
      <c r="C552" s="139" t="s">
        <v>2212</v>
      </c>
      <c r="D552" s="114" t="s">
        <v>2090</v>
      </c>
      <c r="E552" s="114">
        <v>278</v>
      </c>
      <c r="F552" s="114">
        <v>324</v>
      </c>
      <c r="G552" s="114">
        <v>2</v>
      </c>
      <c r="H552" s="114">
        <v>21000</v>
      </c>
      <c r="I552" s="114">
        <v>42000</v>
      </c>
      <c r="J552" s="114">
        <v>35294</v>
      </c>
      <c r="K552" s="114">
        <v>6706</v>
      </c>
      <c r="L552" s="114" t="str">
        <f t="shared" si="8"/>
        <v>INSERT INTO DETALLES_DOCUMENTO(NRO_DOCUMENTO,ID_TIPO,ID_PRODUCTO,CANTIDAD,PRECIO,VALOR_BRUTO,VALOR_NETO,VALOR_IVA) VALUES(259,1,324,2,21000,42000,35294,6706);</v>
      </c>
    </row>
    <row r="553" spans="1:12">
      <c r="A553" s="114">
        <v>1</v>
      </c>
      <c r="B553" s="114">
        <v>260</v>
      </c>
      <c r="C553" s="139" t="s">
        <v>2212</v>
      </c>
      <c r="D553" s="114" t="s">
        <v>2090</v>
      </c>
      <c r="E553" s="114">
        <v>411</v>
      </c>
      <c r="F553" s="114">
        <v>191</v>
      </c>
      <c r="G553" s="114">
        <v>1</v>
      </c>
      <c r="H553" s="114">
        <v>2500</v>
      </c>
      <c r="I553" s="114">
        <v>2500</v>
      </c>
      <c r="J553" s="114">
        <v>2101</v>
      </c>
      <c r="K553" s="114">
        <v>399</v>
      </c>
      <c r="L553" s="114" t="str">
        <f t="shared" si="8"/>
        <v>INSERT INTO DETALLES_DOCUMENTO(NRO_DOCUMENTO,ID_TIPO,ID_PRODUCTO,CANTIDAD,PRECIO,VALOR_BRUTO,VALOR_NETO,VALOR_IVA) VALUES(260,1,191,1,2500,2500,2101,399);</v>
      </c>
    </row>
    <row r="554" spans="1:12">
      <c r="A554" s="114">
        <v>1</v>
      </c>
      <c r="B554" s="114">
        <v>261</v>
      </c>
      <c r="C554" s="139" t="s">
        <v>2212</v>
      </c>
      <c r="D554" s="114" t="s">
        <v>2090</v>
      </c>
      <c r="E554" s="114">
        <v>432</v>
      </c>
      <c r="F554" s="114">
        <v>143</v>
      </c>
      <c r="G554" s="114">
        <v>1</v>
      </c>
      <c r="H554" s="114">
        <v>6900</v>
      </c>
      <c r="I554" s="114">
        <v>6900</v>
      </c>
      <c r="J554" s="114">
        <v>5798</v>
      </c>
      <c r="K554" s="114">
        <v>1102</v>
      </c>
      <c r="L554" s="114" t="str">
        <f t="shared" si="8"/>
        <v>INSERT INTO DETALLES_DOCUMENTO(NRO_DOCUMENTO,ID_TIPO,ID_PRODUCTO,CANTIDAD,PRECIO,VALOR_BRUTO,VALOR_NETO,VALOR_IVA) VALUES(261,1,143,1,6900,6900,5798,1102);</v>
      </c>
    </row>
    <row r="555" spans="1:12">
      <c r="A555" s="114">
        <v>1</v>
      </c>
      <c r="B555" s="114">
        <v>262</v>
      </c>
      <c r="C555" s="139" t="s">
        <v>2213</v>
      </c>
      <c r="D555" s="114" t="s">
        <v>2090</v>
      </c>
      <c r="E555" s="114">
        <v>298</v>
      </c>
      <c r="F555" s="114">
        <v>230</v>
      </c>
      <c r="G555" s="114">
        <v>1</v>
      </c>
      <c r="H555" s="114">
        <v>15500</v>
      </c>
      <c r="I555" s="114">
        <v>15500</v>
      </c>
      <c r="J555" s="114">
        <v>13025</v>
      </c>
      <c r="K555" s="114">
        <v>2475</v>
      </c>
      <c r="L555" s="114" t="str">
        <f t="shared" si="8"/>
        <v>INSERT INTO DETALLES_DOCUMENTO(NRO_DOCUMENTO,ID_TIPO,ID_PRODUCTO,CANTIDAD,PRECIO,VALOR_BRUTO,VALOR_NETO,VALOR_IVA) VALUES(262,1,230,1,15500,15500,13025,2475);</v>
      </c>
    </row>
    <row r="556" spans="1:12">
      <c r="A556" s="114">
        <v>1</v>
      </c>
      <c r="B556" s="114">
        <v>262</v>
      </c>
      <c r="C556" s="139" t="s">
        <v>2213</v>
      </c>
      <c r="D556" s="114" t="s">
        <v>2090</v>
      </c>
      <c r="E556" s="114">
        <v>298</v>
      </c>
      <c r="F556" s="114">
        <v>369</v>
      </c>
      <c r="G556" s="114">
        <v>1</v>
      </c>
      <c r="H556" s="114">
        <v>10500</v>
      </c>
      <c r="I556" s="114">
        <v>10500</v>
      </c>
      <c r="J556" s="114">
        <v>8824</v>
      </c>
      <c r="K556" s="114">
        <v>1676</v>
      </c>
      <c r="L556" s="114" t="str">
        <f t="shared" si="8"/>
        <v>INSERT INTO DETALLES_DOCUMENTO(NRO_DOCUMENTO,ID_TIPO,ID_PRODUCTO,CANTIDAD,PRECIO,VALOR_BRUTO,VALOR_NETO,VALOR_IVA) VALUES(262,1,369,1,10500,10500,8824,1676);</v>
      </c>
    </row>
    <row r="557" spans="1:12">
      <c r="A557" s="114">
        <v>1</v>
      </c>
      <c r="B557" s="114">
        <v>262</v>
      </c>
      <c r="C557" s="139" t="s">
        <v>2213</v>
      </c>
      <c r="D557" s="114" t="s">
        <v>2090</v>
      </c>
      <c r="E557" s="114">
        <v>298</v>
      </c>
      <c r="F557" s="114">
        <v>354</v>
      </c>
      <c r="G557" s="114">
        <v>2</v>
      </c>
      <c r="H557" s="114">
        <v>3600</v>
      </c>
      <c r="I557" s="114">
        <v>7200</v>
      </c>
      <c r="J557" s="114">
        <v>6050</v>
      </c>
      <c r="K557" s="114">
        <v>1150</v>
      </c>
      <c r="L557" s="114" t="str">
        <f t="shared" si="8"/>
        <v>INSERT INTO DETALLES_DOCUMENTO(NRO_DOCUMENTO,ID_TIPO,ID_PRODUCTO,CANTIDAD,PRECIO,VALOR_BRUTO,VALOR_NETO,VALOR_IVA) VALUES(262,1,354,2,3600,7200,6050,1150);</v>
      </c>
    </row>
    <row r="558" spans="1:12">
      <c r="A558" s="114">
        <v>1</v>
      </c>
      <c r="B558" s="114">
        <v>262</v>
      </c>
      <c r="C558" s="139" t="s">
        <v>2213</v>
      </c>
      <c r="D558" s="114" t="s">
        <v>2090</v>
      </c>
      <c r="E558" s="114">
        <v>298</v>
      </c>
      <c r="F558" s="114">
        <v>290</v>
      </c>
      <c r="G558" s="114">
        <v>2</v>
      </c>
      <c r="H558" s="114">
        <v>2400</v>
      </c>
      <c r="I558" s="114">
        <v>4800</v>
      </c>
      <c r="J558" s="114">
        <v>4034</v>
      </c>
      <c r="K558" s="114">
        <v>766</v>
      </c>
      <c r="L558" s="114" t="str">
        <f t="shared" si="8"/>
        <v>INSERT INTO DETALLES_DOCUMENTO(NRO_DOCUMENTO,ID_TIPO,ID_PRODUCTO,CANTIDAD,PRECIO,VALOR_BRUTO,VALOR_NETO,VALOR_IVA) VALUES(262,1,290,2,2400,4800,4034,766);</v>
      </c>
    </row>
    <row r="559" spans="1:12">
      <c r="A559" s="114">
        <v>1</v>
      </c>
      <c r="B559" s="114">
        <v>263</v>
      </c>
      <c r="C559" s="139" t="s">
        <v>2213</v>
      </c>
      <c r="D559" s="114" t="s">
        <v>2090</v>
      </c>
      <c r="E559" s="114">
        <v>374</v>
      </c>
      <c r="F559" s="114">
        <v>324</v>
      </c>
      <c r="G559" s="114">
        <v>1</v>
      </c>
      <c r="H559" s="114">
        <v>10500</v>
      </c>
      <c r="I559" s="114">
        <v>10500</v>
      </c>
      <c r="J559" s="114">
        <v>8824</v>
      </c>
      <c r="K559" s="114">
        <v>1676</v>
      </c>
      <c r="L559" s="114" t="str">
        <f t="shared" si="8"/>
        <v>INSERT INTO DETALLES_DOCUMENTO(NRO_DOCUMENTO,ID_TIPO,ID_PRODUCTO,CANTIDAD,PRECIO,VALOR_BRUTO,VALOR_NETO,VALOR_IVA) VALUES(263,1,324,1,10500,10500,8824,1676);</v>
      </c>
    </row>
    <row r="560" spans="1:12">
      <c r="A560" s="114">
        <v>1</v>
      </c>
      <c r="B560" s="114">
        <v>264</v>
      </c>
      <c r="C560" s="139" t="s">
        <v>2214</v>
      </c>
      <c r="D560" s="114" t="s">
        <v>2090</v>
      </c>
      <c r="E560" s="114">
        <v>22</v>
      </c>
      <c r="F560" s="114">
        <v>68</v>
      </c>
      <c r="G560" s="114">
        <v>2</v>
      </c>
      <c r="H560" s="114">
        <v>2400</v>
      </c>
      <c r="I560" s="114">
        <v>4800</v>
      </c>
      <c r="J560" s="114">
        <v>4034</v>
      </c>
      <c r="K560" s="114">
        <v>766</v>
      </c>
      <c r="L560" s="114" t="str">
        <f t="shared" si="8"/>
        <v>INSERT INTO DETALLES_DOCUMENTO(NRO_DOCUMENTO,ID_TIPO,ID_PRODUCTO,CANTIDAD,PRECIO,VALOR_BRUTO,VALOR_NETO,VALOR_IVA) VALUES(264,1,68,2,2400,4800,4034,766);</v>
      </c>
    </row>
    <row r="561" spans="1:12">
      <c r="A561" s="114">
        <v>1</v>
      </c>
      <c r="B561" s="114">
        <v>264</v>
      </c>
      <c r="C561" s="139" t="s">
        <v>2214</v>
      </c>
      <c r="D561" s="114" t="s">
        <v>2090</v>
      </c>
      <c r="E561" s="114">
        <v>22</v>
      </c>
      <c r="F561" s="114">
        <v>97</v>
      </c>
      <c r="G561" s="114">
        <v>1</v>
      </c>
      <c r="H561" s="114">
        <v>2000</v>
      </c>
      <c r="I561" s="114">
        <v>2000</v>
      </c>
      <c r="J561" s="114">
        <v>1681</v>
      </c>
      <c r="K561" s="114">
        <v>319</v>
      </c>
      <c r="L561" s="114" t="str">
        <f t="shared" si="8"/>
        <v>INSERT INTO DETALLES_DOCUMENTO(NRO_DOCUMENTO,ID_TIPO,ID_PRODUCTO,CANTIDAD,PRECIO,VALOR_BRUTO,VALOR_NETO,VALOR_IVA) VALUES(264,1,97,1,2000,2000,1681,319);</v>
      </c>
    </row>
    <row r="562" spans="1:12">
      <c r="A562" s="114">
        <v>1</v>
      </c>
      <c r="B562" s="114">
        <v>264</v>
      </c>
      <c r="C562" s="139" t="s">
        <v>2214</v>
      </c>
      <c r="D562" s="114" t="s">
        <v>2090</v>
      </c>
      <c r="E562" s="114">
        <v>22</v>
      </c>
      <c r="F562" s="114">
        <v>166</v>
      </c>
      <c r="G562" s="114">
        <v>1</v>
      </c>
      <c r="H562" s="114">
        <v>1600</v>
      </c>
      <c r="I562" s="114">
        <v>1600</v>
      </c>
      <c r="J562" s="114">
        <v>1345</v>
      </c>
      <c r="K562" s="114">
        <v>255</v>
      </c>
      <c r="L562" s="114" t="str">
        <f t="shared" si="8"/>
        <v>INSERT INTO DETALLES_DOCUMENTO(NRO_DOCUMENTO,ID_TIPO,ID_PRODUCTO,CANTIDAD,PRECIO,VALOR_BRUTO,VALOR_NETO,VALOR_IVA) VALUES(264,1,166,1,1600,1600,1345,255);</v>
      </c>
    </row>
    <row r="563" spans="1:12">
      <c r="A563" s="114">
        <v>1</v>
      </c>
      <c r="B563" s="114">
        <v>264</v>
      </c>
      <c r="C563" s="139" t="s">
        <v>2214</v>
      </c>
      <c r="D563" s="114" t="s">
        <v>2090</v>
      </c>
      <c r="E563" s="114">
        <v>22</v>
      </c>
      <c r="F563" s="114">
        <v>368</v>
      </c>
      <c r="G563" s="114">
        <v>1</v>
      </c>
      <c r="H563" s="114">
        <v>3000</v>
      </c>
      <c r="I563" s="114">
        <v>3000</v>
      </c>
      <c r="J563" s="114">
        <v>2521</v>
      </c>
      <c r="K563" s="114">
        <v>479</v>
      </c>
      <c r="L563" s="114" t="str">
        <f t="shared" si="8"/>
        <v>INSERT INTO DETALLES_DOCUMENTO(NRO_DOCUMENTO,ID_TIPO,ID_PRODUCTO,CANTIDAD,PRECIO,VALOR_BRUTO,VALOR_NETO,VALOR_IVA) VALUES(264,1,368,1,3000,3000,2521,479);</v>
      </c>
    </row>
    <row r="564" spans="1:12">
      <c r="A564" s="114">
        <v>1</v>
      </c>
      <c r="B564" s="114">
        <v>264</v>
      </c>
      <c r="C564" s="139" t="s">
        <v>2214</v>
      </c>
      <c r="D564" s="114" t="s">
        <v>2090</v>
      </c>
      <c r="E564" s="114">
        <v>22</v>
      </c>
      <c r="F564" s="114">
        <v>157</v>
      </c>
      <c r="G564" s="114">
        <v>1</v>
      </c>
      <c r="H564" s="114">
        <v>4300</v>
      </c>
      <c r="I564" s="114">
        <v>4300</v>
      </c>
      <c r="J564" s="114">
        <v>3613</v>
      </c>
      <c r="K564" s="114">
        <v>687</v>
      </c>
      <c r="L564" s="114" t="str">
        <f t="shared" si="8"/>
        <v>INSERT INTO DETALLES_DOCUMENTO(NRO_DOCUMENTO,ID_TIPO,ID_PRODUCTO,CANTIDAD,PRECIO,VALOR_BRUTO,VALOR_NETO,VALOR_IVA) VALUES(264,1,157,1,4300,4300,3613,687);</v>
      </c>
    </row>
    <row r="565" spans="1:12">
      <c r="A565" s="114">
        <v>1</v>
      </c>
      <c r="B565" s="114">
        <v>265</v>
      </c>
      <c r="C565" s="139" t="s">
        <v>2214</v>
      </c>
      <c r="D565" s="114" t="s">
        <v>2090</v>
      </c>
      <c r="E565" s="114">
        <v>65</v>
      </c>
      <c r="F565" s="114">
        <v>143</v>
      </c>
      <c r="G565" s="114">
        <v>1</v>
      </c>
      <c r="H565" s="114">
        <v>7500</v>
      </c>
      <c r="I565" s="114">
        <v>7500</v>
      </c>
      <c r="J565" s="114">
        <v>6303</v>
      </c>
      <c r="K565" s="114">
        <v>1197</v>
      </c>
      <c r="L565" s="114" t="str">
        <f t="shared" si="8"/>
        <v>INSERT INTO DETALLES_DOCUMENTO(NRO_DOCUMENTO,ID_TIPO,ID_PRODUCTO,CANTIDAD,PRECIO,VALOR_BRUTO,VALOR_NETO,VALOR_IVA) VALUES(265,1,143,1,7500,7500,6303,1197);</v>
      </c>
    </row>
    <row r="566" spans="1:12">
      <c r="A566" s="114">
        <v>1</v>
      </c>
      <c r="B566" s="114">
        <v>266</v>
      </c>
      <c r="C566" s="139" t="s">
        <v>2214</v>
      </c>
      <c r="D566" s="114" t="s">
        <v>2090</v>
      </c>
      <c r="E566" s="114">
        <v>166</v>
      </c>
      <c r="F566" s="114">
        <v>247</v>
      </c>
      <c r="G566" s="114">
        <v>1</v>
      </c>
      <c r="H566" s="114">
        <v>2800</v>
      </c>
      <c r="I566" s="114">
        <v>2800</v>
      </c>
      <c r="J566" s="114">
        <v>2353</v>
      </c>
      <c r="K566" s="114">
        <v>447</v>
      </c>
      <c r="L566" s="114" t="str">
        <f t="shared" si="8"/>
        <v>INSERT INTO DETALLES_DOCUMENTO(NRO_DOCUMENTO,ID_TIPO,ID_PRODUCTO,CANTIDAD,PRECIO,VALOR_BRUTO,VALOR_NETO,VALOR_IVA) VALUES(266,1,247,1,2800,2800,2353,447);</v>
      </c>
    </row>
    <row r="567" spans="1:12">
      <c r="A567" s="114">
        <v>1</v>
      </c>
      <c r="B567" s="114">
        <v>267</v>
      </c>
      <c r="C567" s="139" t="s">
        <v>2214</v>
      </c>
      <c r="D567" s="114" t="s">
        <v>2090</v>
      </c>
      <c r="E567" s="114">
        <v>278</v>
      </c>
      <c r="F567" s="114">
        <v>143</v>
      </c>
      <c r="G567" s="114">
        <v>1</v>
      </c>
      <c r="H567" s="114">
        <v>7500</v>
      </c>
      <c r="I567" s="114">
        <v>7500</v>
      </c>
      <c r="J567" s="114">
        <v>6303</v>
      </c>
      <c r="K567" s="114">
        <v>1197</v>
      </c>
      <c r="L567" s="114" t="str">
        <f t="shared" si="8"/>
        <v>INSERT INTO DETALLES_DOCUMENTO(NRO_DOCUMENTO,ID_TIPO,ID_PRODUCTO,CANTIDAD,PRECIO,VALOR_BRUTO,VALOR_NETO,VALOR_IVA) VALUES(267,1,143,1,7500,7500,6303,1197);</v>
      </c>
    </row>
    <row r="568" spans="1:12">
      <c r="A568" s="114">
        <v>1</v>
      </c>
      <c r="B568" s="114">
        <v>268</v>
      </c>
      <c r="C568" s="139" t="s">
        <v>2215</v>
      </c>
      <c r="D568" s="114" t="s">
        <v>2090</v>
      </c>
      <c r="E568" s="114">
        <v>166</v>
      </c>
      <c r="F568" s="114">
        <v>191</v>
      </c>
      <c r="G568" s="114">
        <v>1</v>
      </c>
      <c r="H568" s="114">
        <v>2500</v>
      </c>
      <c r="I568" s="114">
        <v>2500</v>
      </c>
      <c r="J568" s="114">
        <v>2101</v>
      </c>
      <c r="K568" s="114">
        <v>399</v>
      </c>
      <c r="L568" s="114" t="str">
        <f t="shared" si="8"/>
        <v>INSERT INTO DETALLES_DOCUMENTO(NRO_DOCUMENTO,ID_TIPO,ID_PRODUCTO,CANTIDAD,PRECIO,VALOR_BRUTO,VALOR_NETO,VALOR_IVA) VALUES(268,1,191,1,2500,2500,2101,399);</v>
      </c>
    </row>
    <row r="569" spans="1:12">
      <c r="A569" s="114">
        <v>1</v>
      </c>
      <c r="B569" s="114">
        <v>269</v>
      </c>
      <c r="C569" s="139" t="s">
        <v>2215</v>
      </c>
      <c r="D569" s="114" t="s">
        <v>2090</v>
      </c>
      <c r="E569" s="114">
        <v>230</v>
      </c>
      <c r="F569" s="114">
        <v>118</v>
      </c>
      <c r="G569" s="114">
        <v>1</v>
      </c>
      <c r="H569" s="114">
        <v>3500</v>
      </c>
      <c r="I569" s="114">
        <v>3500</v>
      </c>
      <c r="J569" s="114">
        <v>2941</v>
      </c>
      <c r="K569" s="114">
        <v>559</v>
      </c>
      <c r="L569" s="114" t="str">
        <f t="shared" si="8"/>
        <v>INSERT INTO DETALLES_DOCUMENTO(NRO_DOCUMENTO,ID_TIPO,ID_PRODUCTO,CANTIDAD,PRECIO,VALOR_BRUTO,VALOR_NETO,VALOR_IVA) VALUES(269,1,118,1,3500,3500,2941,559);</v>
      </c>
    </row>
    <row r="570" spans="1:12">
      <c r="A570" s="114">
        <v>1</v>
      </c>
      <c r="B570" s="114">
        <v>269</v>
      </c>
      <c r="C570" s="139" t="s">
        <v>2215</v>
      </c>
      <c r="D570" s="114" t="s">
        <v>2090</v>
      </c>
      <c r="E570" s="114">
        <v>230</v>
      </c>
      <c r="F570" s="114">
        <v>68</v>
      </c>
      <c r="G570" s="114">
        <v>2</v>
      </c>
      <c r="H570" s="114">
        <v>2400</v>
      </c>
      <c r="I570" s="114">
        <v>4800</v>
      </c>
      <c r="J570" s="114">
        <v>4034</v>
      </c>
      <c r="K570" s="114">
        <v>766</v>
      </c>
      <c r="L570" s="114" t="str">
        <f t="shared" si="8"/>
        <v>INSERT INTO DETALLES_DOCUMENTO(NRO_DOCUMENTO,ID_TIPO,ID_PRODUCTO,CANTIDAD,PRECIO,VALOR_BRUTO,VALOR_NETO,VALOR_IVA) VALUES(269,1,68,2,2400,4800,4034,766);</v>
      </c>
    </row>
    <row r="571" spans="1:12">
      <c r="A571" s="114">
        <v>1</v>
      </c>
      <c r="B571" s="114">
        <v>269</v>
      </c>
      <c r="C571" s="139" t="s">
        <v>2215</v>
      </c>
      <c r="D571" s="114" t="s">
        <v>2090</v>
      </c>
      <c r="E571" s="114">
        <v>230</v>
      </c>
      <c r="F571" s="114">
        <v>83</v>
      </c>
      <c r="G571" s="114">
        <v>1</v>
      </c>
      <c r="H571" s="114">
        <v>1600</v>
      </c>
      <c r="I571" s="114">
        <v>1600</v>
      </c>
      <c r="J571" s="114">
        <v>1345</v>
      </c>
      <c r="K571" s="114">
        <v>255</v>
      </c>
      <c r="L571" s="114" t="str">
        <f t="shared" si="8"/>
        <v>INSERT INTO DETALLES_DOCUMENTO(NRO_DOCUMENTO,ID_TIPO,ID_PRODUCTO,CANTIDAD,PRECIO,VALOR_BRUTO,VALOR_NETO,VALOR_IVA) VALUES(269,1,83,1,1600,1600,1345,255);</v>
      </c>
    </row>
    <row r="572" spans="1:12">
      <c r="A572" s="114">
        <v>1</v>
      </c>
      <c r="B572" s="114">
        <v>269</v>
      </c>
      <c r="C572" s="139" t="s">
        <v>2215</v>
      </c>
      <c r="D572" s="114" t="s">
        <v>2090</v>
      </c>
      <c r="E572" s="114">
        <v>230</v>
      </c>
      <c r="F572" s="114">
        <v>327</v>
      </c>
      <c r="G572" s="114">
        <v>1</v>
      </c>
      <c r="H572" s="114">
        <v>3000</v>
      </c>
      <c r="I572" s="114">
        <v>3000</v>
      </c>
      <c r="J572" s="114">
        <v>2521</v>
      </c>
      <c r="K572" s="114">
        <v>479</v>
      </c>
      <c r="L572" s="114" t="str">
        <f t="shared" si="8"/>
        <v>INSERT INTO DETALLES_DOCUMENTO(NRO_DOCUMENTO,ID_TIPO,ID_PRODUCTO,CANTIDAD,PRECIO,VALOR_BRUTO,VALOR_NETO,VALOR_IVA) VALUES(269,1,327,1,3000,3000,2521,479);</v>
      </c>
    </row>
    <row r="573" spans="1:12">
      <c r="A573" s="114">
        <v>1</v>
      </c>
      <c r="B573" s="114">
        <v>269</v>
      </c>
      <c r="C573" s="139" t="s">
        <v>2215</v>
      </c>
      <c r="D573" s="114" t="s">
        <v>2090</v>
      </c>
      <c r="E573" s="114">
        <v>230</v>
      </c>
      <c r="F573" s="114">
        <v>367</v>
      </c>
      <c r="G573" s="114">
        <v>1</v>
      </c>
      <c r="H573" s="114">
        <v>1500</v>
      </c>
      <c r="I573" s="114">
        <v>1500</v>
      </c>
      <c r="J573" s="114">
        <v>1261</v>
      </c>
      <c r="K573" s="114">
        <v>239</v>
      </c>
      <c r="L573" s="114" t="str">
        <f t="shared" si="8"/>
        <v>INSERT INTO DETALLES_DOCUMENTO(NRO_DOCUMENTO,ID_TIPO,ID_PRODUCTO,CANTIDAD,PRECIO,VALOR_BRUTO,VALOR_NETO,VALOR_IVA) VALUES(269,1,367,1,1500,1500,1261,239);</v>
      </c>
    </row>
    <row r="574" spans="1:12">
      <c r="A574" s="114">
        <v>1</v>
      </c>
      <c r="B574" s="114">
        <v>269</v>
      </c>
      <c r="C574" s="139" t="s">
        <v>2215</v>
      </c>
      <c r="D574" s="114" t="s">
        <v>2090</v>
      </c>
      <c r="E574" s="114">
        <v>230</v>
      </c>
      <c r="F574" s="114">
        <v>296</v>
      </c>
      <c r="G574" s="114">
        <v>2</v>
      </c>
      <c r="H574" s="114">
        <v>7000</v>
      </c>
      <c r="I574" s="114">
        <v>14000</v>
      </c>
      <c r="J574" s="114">
        <v>11765</v>
      </c>
      <c r="K574" s="114">
        <v>2235</v>
      </c>
      <c r="L574" s="114" t="str">
        <f t="shared" si="8"/>
        <v>INSERT INTO DETALLES_DOCUMENTO(NRO_DOCUMENTO,ID_TIPO,ID_PRODUCTO,CANTIDAD,PRECIO,VALOR_BRUTO,VALOR_NETO,VALOR_IVA) VALUES(269,1,296,2,7000,14000,11765,2235);</v>
      </c>
    </row>
    <row r="575" spans="1:12">
      <c r="A575" s="114">
        <v>1</v>
      </c>
      <c r="B575" s="114">
        <v>270</v>
      </c>
      <c r="C575" s="139" t="s">
        <v>2215</v>
      </c>
      <c r="D575" s="114" t="s">
        <v>2090</v>
      </c>
      <c r="E575" s="114">
        <v>457</v>
      </c>
      <c r="F575" s="114">
        <v>233</v>
      </c>
      <c r="G575" s="114">
        <v>1</v>
      </c>
      <c r="H575" s="114">
        <v>15990</v>
      </c>
      <c r="I575" s="114">
        <v>15990</v>
      </c>
      <c r="J575" s="114">
        <v>13437</v>
      </c>
      <c r="K575" s="114">
        <v>2553</v>
      </c>
      <c r="L575" s="114" t="str">
        <f t="shared" si="8"/>
        <v>INSERT INTO DETALLES_DOCUMENTO(NRO_DOCUMENTO,ID_TIPO,ID_PRODUCTO,CANTIDAD,PRECIO,VALOR_BRUTO,VALOR_NETO,VALOR_IVA) VALUES(270,1,233,1,15990,15990,13437,2553);</v>
      </c>
    </row>
    <row r="576" spans="1:12">
      <c r="A576" s="114">
        <v>1</v>
      </c>
      <c r="B576" s="114">
        <v>271</v>
      </c>
      <c r="C576" s="139" t="s">
        <v>2215</v>
      </c>
      <c r="D576" s="114" t="s">
        <v>2090</v>
      </c>
      <c r="E576" s="114">
        <v>470</v>
      </c>
      <c r="F576" s="114">
        <v>236</v>
      </c>
      <c r="G576" s="114">
        <v>1</v>
      </c>
      <c r="H576" s="114">
        <v>18990</v>
      </c>
      <c r="I576" s="114">
        <v>18990</v>
      </c>
      <c r="J576" s="114">
        <v>15958</v>
      </c>
      <c r="K576" s="114">
        <v>3032</v>
      </c>
      <c r="L576" s="114" t="str">
        <f t="shared" si="8"/>
        <v>INSERT INTO DETALLES_DOCUMENTO(NRO_DOCUMENTO,ID_TIPO,ID_PRODUCTO,CANTIDAD,PRECIO,VALOR_BRUTO,VALOR_NETO,VALOR_IVA) VALUES(271,1,236,1,18990,18990,15958,3032);</v>
      </c>
    </row>
    <row r="577" spans="1:12">
      <c r="A577" s="114">
        <v>1</v>
      </c>
      <c r="B577" s="114">
        <v>272</v>
      </c>
      <c r="C577" s="139" t="s">
        <v>2215</v>
      </c>
      <c r="D577" s="114" t="s">
        <v>2090</v>
      </c>
      <c r="E577" s="114">
        <v>485</v>
      </c>
      <c r="F577" s="114">
        <v>290</v>
      </c>
      <c r="G577" s="114">
        <v>1</v>
      </c>
      <c r="H577" s="114">
        <v>1200</v>
      </c>
      <c r="I577" s="114">
        <v>1200</v>
      </c>
      <c r="J577" s="114">
        <v>1008</v>
      </c>
      <c r="K577" s="114">
        <v>192</v>
      </c>
      <c r="L577" s="114" t="str">
        <f t="shared" si="8"/>
        <v>INSERT INTO DETALLES_DOCUMENTO(NRO_DOCUMENTO,ID_TIPO,ID_PRODUCTO,CANTIDAD,PRECIO,VALOR_BRUTO,VALOR_NETO,VALOR_IVA) VALUES(272,1,290,1,1200,1200,1008,192);</v>
      </c>
    </row>
    <row r="578" spans="1:12">
      <c r="A578" s="114">
        <v>1</v>
      </c>
      <c r="B578" s="114">
        <v>272</v>
      </c>
      <c r="C578" s="139" t="s">
        <v>2215</v>
      </c>
      <c r="D578" s="114" t="s">
        <v>2090</v>
      </c>
      <c r="E578" s="114">
        <v>485</v>
      </c>
      <c r="F578" s="114">
        <v>125</v>
      </c>
      <c r="G578" s="114">
        <v>1</v>
      </c>
      <c r="H578" s="114">
        <v>1700</v>
      </c>
      <c r="I578" s="114">
        <v>1700</v>
      </c>
      <c r="J578" s="114">
        <v>1429</v>
      </c>
      <c r="K578" s="114">
        <v>271</v>
      </c>
      <c r="L578" s="114" t="str">
        <f t="shared" si="8"/>
        <v>INSERT INTO DETALLES_DOCUMENTO(NRO_DOCUMENTO,ID_TIPO,ID_PRODUCTO,CANTIDAD,PRECIO,VALOR_BRUTO,VALOR_NETO,VALOR_IVA) VALUES(272,1,125,1,1700,1700,1429,271);</v>
      </c>
    </row>
    <row r="579" spans="1:12">
      <c r="A579" s="114">
        <v>1</v>
      </c>
      <c r="B579" s="114">
        <v>273</v>
      </c>
      <c r="C579" s="139" t="s">
        <v>2216</v>
      </c>
      <c r="D579" s="114" t="s">
        <v>2090</v>
      </c>
      <c r="E579" s="114">
        <v>51</v>
      </c>
      <c r="F579" s="114">
        <v>136</v>
      </c>
      <c r="G579" s="114">
        <v>2</v>
      </c>
      <c r="H579" s="114">
        <v>9000</v>
      </c>
      <c r="I579" s="114">
        <v>18000</v>
      </c>
      <c r="J579" s="114">
        <v>15126</v>
      </c>
      <c r="K579" s="114">
        <v>2874</v>
      </c>
      <c r="L579" s="114" t="str">
        <f t="shared" ref="L579:L642" si="9">CONCATENATE("INSERT INTO DETALLES_DOCUMENTO(NRO_DOCUMENTO,ID_TIPO,ID_PRODUCTO,CANTIDAD,PRECIO,VALOR_BRUTO,VALOR_NETO,VALOR_IVA) VALUES(",B579,",",A579,",",F579,",",G579,",",H579,",",I579,",",J579,",",K579,");")</f>
        <v>INSERT INTO DETALLES_DOCUMENTO(NRO_DOCUMENTO,ID_TIPO,ID_PRODUCTO,CANTIDAD,PRECIO,VALOR_BRUTO,VALOR_NETO,VALOR_IVA) VALUES(273,1,136,2,9000,18000,15126,2874);</v>
      </c>
    </row>
    <row r="580" spans="1:12">
      <c r="A580" s="114">
        <v>1</v>
      </c>
      <c r="B580" s="114">
        <v>273</v>
      </c>
      <c r="C580" s="139" t="s">
        <v>2216</v>
      </c>
      <c r="D580" s="114" t="s">
        <v>2090</v>
      </c>
      <c r="E580" s="114">
        <v>51</v>
      </c>
      <c r="F580" s="114">
        <v>167</v>
      </c>
      <c r="G580" s="114">
        <v>1</v>
      </c>
      <c r="H580" s="114">
        <v>8200</v>
      </c>
      <c r="I580" s="114">
        <v>8200</v>
      </c>
      <c r="J580" s="114">
        <v>6891</v>
      </c>
      <c r="K580" s="114">
        <v>1309</v>
      </c>
      <c r="L580" s="114" t="str">
        <f t="shared" si="9"/>
        <v>INSERT INTO DETALLES_DOCUMENTO(NRO_DOCUMENTO,ID_TIPO,ID_PRODUCTO,CANTIDAD,PRECIO,VALOR_BRUTO,VALOR_NETO,VALOR_IVA) VALUES(273,1,167,1,8200,8200,6891,1309);</v>
      </c>
    </row>
    <row r="581" spans="1:12">
      <c r="A581" s="114">
        <v>1</v>
      </c>
      <c r="B581" s="114">
        <v>274</v>
      </c>
      <c r="C581" s="139" t="s">
        <v>2216</v>
      </c>
      <c r="D581" s="114" t="s">
        <v>2090</v>
      </c>
      <c r="E581" s="114">
        <v>63</v>
      </c>
      <c r="F581" s="114">
        <v>143</v>
      </c>
      <c r="G581" s="114">
        <v>1</v>
      </c>
      <c r="H581" s="114">
        <v>7500</v>
      </c>
      <c r="I581" s="114">
        <v>7500</v>
      </c>
      <c r="J581" s="114">
        <v>6303</v>
      </c>
      <c r="K581" s="114">
        <v>1197</v>
      </c>
      <c r="L581" s="114" t="str">
        <f t="shared" si="9"/>
        <v>INSERT INTO DETALLES_DOCUMENTO(NRO_DOCUMENTO,ID_TIPO,ID_PRODUCTO,CANTIDAD,PRECIO,VALOR_BRUTO,VALOR_NETO,VALOR_IVA) VALUES(274,1,143,1,7500,7500,6303,1197);</v>
      </c>
    </row>
    <row r="582" spans="1:12">
      <c r="A582" s="114">
        <v>1</v>
      </c>
      <c r="B582" s="114">
        <v>275</v>
      </c>
      <c r="C582" s="139" t="s">
        <v>2216</v>
      </c>
      <c r="D582" s="114" t="s">
        <v>2090</v>
      </c>
      <c r="E582" s="114">
        <v>76</v>
      </c>
      <c r="F582" s="114">
        <v>324</v>
      </c>
      <c r="G582" s="114">
        <v>1</v>
      </c>
      <c r="H582" s="114">
        <v>10500</v>
      </c>
      <c r="I582" s="114">
        <v>10500</v>
      </c>
      <c r="J582" s="114">
        <v>8824</v>
      </c>
      <c r="K582" s="114">
        <v>1676</v>
      </c>
      <c r="L582" s="114" t="str">
        <f t="shared" si="9"/>
        <v>INSERT INTO DETALLES_DOCUMENTO(NRO_DOCUMENTO,ID_TIPO,ID_PRODUCTO,CANTIDAD,PRECIO,VALOR_BRUTO,VALOR_NETO,VALOR_IVA) VALUES(275,1,324,1,10500,10500,8824,1676);</v>
      </c>
    </row>
    <row r="583" spans="1:12">
      <c r="A583" s="114">
        <v>1</v>
      </c>
      <c r="B583" s="114">
        <v>276</v>
      </c>
      <c r="C583" s="139" t="s">
        <v>2216</v>
      </c>
      <c r="D583" s="114" t="s">
        <v>2090</v>
      </c>
      <c r="E583" s="114">
        <v>102</v>
      </c>
      <c r="F583" s="114">
        <v>167</v>
      </c>
      <c r="G583" s="114">
        <v>1</v>
      </c>
      <c r="H583" s="114">
        <v>8200</v>
      </c>
      <c r="I583" s="114">
        <v>8200</v>
      </c>
      <c r="J583" s="114">
        <v>6891</v>
      </c>
      <c r="K583" s="114">
        <v>1309</v>
      </c>
      <c r="L583" s="114" t="str">
        <f t="shared" si="9"/>
        <v>INSERT INTO DETALLES_DOCUMENTO(NRO_DOCUMENTO,ID_TIPO,ID_PRODUCTO,CANTIDAD,PRECIO,VALOR_BRUTO,VALOR_NETO,VALOR_IVA) VALUES(276,1,167,1,8200,8200,6891,1309);</v>
      </c>
    </row>
    <row r="584" spans="1:12">
      <c r="A584" s="114">
        <v>1</v>
      </c>
      <c r="B584" s="114">
        <v>277</v>
      </c>
      <c r="C584" s="139" t="s">
        <v>2216</v>
      </c>
      <c r="D584" s="114" t="s">
        <v>2090</v>
      </c>
      <c r="E584" s="114">
        <v>111</v>
      </c>
      <c r="F584" s="114">
        <v>278</v>
      </c>
      <c r="G584" s="114">
        <v>1</v>
      </c>
      <c r="H584" s="114">
        <v>11500</v>
      </c>
      <c r="I584" s="114">
        <v>11500</v>
      </c>
      <c r="J584" s="114">
        <v>9664</v>
      </c>
      <c r="K584" s="114">
        <v>1836</v>
      </c>
      <c r="L584" s="114" t="str">
        <f t="shared" si="9"/>
        <v>INSERT INTO DETALLES_DOCUMENTO(NRO_DOCUMENTO,ID_TIPO,ID_PRODUCTO,CANTIDAD,PRECIO,VALOR_BRUTO,VALOR_NETO,VALOR_IVA) VALUES(277,1,278,1,11500,11500,9664,1836);</v>
      </c>
    </row>
    <row r="585" spans="1:12">
      <c r="A585" s="114">
        <v>1</v>
      </c>
      <c r="B585" s="114">
        <v>278</v>
      </c>
      <c r="C585" s="139" t="s">
        <v>2216</v>
      </c>
      <c r="D585" s="114" t="s">
        <v>2090</v>
      </c>
      <c r="E585" s="114">
        <v>166</v>
      </c>
      <c r="F585" s="114">
        <v>324</v>
      </c>
      <c r="G585" s="114">
        <v>1</v>
      </c>
      <c r="H585" s="114">
        <v>10500</v>
      </c>
      <c r="I585" s="114">
        <v>10500</v>
      </c>
      <c r="J585" s="114">
        <v>8824</v>
      </c>
      <c r="K585" s="114">
        <v>1676</v>
      </c>
      <c r="L585" s="114" t="str">
        <f t="shared" si="9"/>
        <v>INSERT INTO DETALLES_DOCUMENTO(NRO_DOCUMENTO,ID_TIPO,ID_PRODUCTO,CANTIDAD,PRECIO,VALOR_BRUTO,VALOR_NETO,VALOR_IVA) VALUES(278,1,324,1,10500,10500,8824,1676);</v>
      </c>
    </row>
    <row r="586" spans="1:12">
      <c r="A586" s="114">
        <v>1</v>
      </c>
      <c r="B586" s="114">
        <v>278</v>
      </c>
      <c r="C586" s="139" t="s">
        <v>2216</v>
      </c>
      <c r="D586" s="114" t="s">
        <v>2090</v>
      </c>
      <c r="E586" s="114">
        <v>166</v>
      </c>
      <c r="F586" s="114">
        <v>26</v>
      </c>
      <c r="G586" s="114">
        <v>1</v>
      </c>
      <c r="H586" s="114">
        <v>3400</v>
      </c>
      <c r="I586" s="114">
        <v>3400</v>
      </c>
      <c r="J586" s="114">
        <v>2857</v>
      </c>
      <c r="K586" s="114">
        <v>543</v>
      </c>
      <c r="L586" s="114" t="str">
        <f t="shared" si="9"/>
        <v>INSERT INTO DETALLES_DOCUMENTO(NRO_DOCUMENTO,ID_TIPO,ID_PRODUCTO,CANTIDAD,PRECIO,VALOR_BRUTO,VALOR_NETO,VALOR_IVA) VALUES(278,1,26,1,3400,3400,2857,543);</v>
      </c>
    </row>
    <row r="587" spans="1:12">
      <c r="A587" s="114">
        <v>1</v>
      </c>
      <c r="B587" s="114">
        <v>279</v>
      </c>
      <c r="C587" s="139" t="s">
        <v>2216</v>
      </c>
      <c r="D587" s="114" t="s">
        <v>2090</v>
      </c>
      <c r="E587" s="114">
        <v>182</v>
      </c>
      <c r="F587" s="114">
        <v>5</v>
      </c>
      <c r="G587" s="114">
        <v>1</v>
      </c>
      <c r="H587" s="114">
        <v>11000</v>
      </c>
      <c r="I587" s="114">
        <v>11000</v>
      </c>
      <c r="J587" s="114">
        <v>9244</v>
      </c>
      <c r="K587" s="114">
        <v>1756</v>
      </c>
      <c r="L587" s="114" t="str">
        <f t="shared" si="9"/>
        <v>INSERT INTO DETALLES_DOCUMENTO(NRO_DOCUMENTO,ID_TIPO,ID_PRODUCTO,CANTIDAD,PRECIO,VALOR_BRUTO,VALOR_NETO,VALOR_IVA) VALUES(279,1,5,1,11000,11000,9244,1756);</v>
      </c>
    </row>
    <row r="588" spans="1:12">
      <c r="A588" s="114">
        <v>1</v>
      </c>
      <c r="B588" s="114">
        <v>280</v>
      </c>
      <c r="C588" s="139" t="s">
        <v>2216</v>
      </c>
      <c r="D588" s="114" t="s">
        <v>2090</v>
      </c>
      <c r="E588" s="114">
        <v>227</v>
      </c>
      <c r="F588" s="114">
        <v>143</v>
      </c>
      <c r="G588" s="114">
        <v>1</v>
      </c>
      <c r="H588" s="114">
        <v>7500</v>
      </c>
      <c r="I588" s="114">
        <v>7500</v>
      </c>
      <c r="J588" s="114">
        <v>6303</v>
      </c>
      <c r="K588" s="114">
        <v>1197</v>
      </c>
      <c r="L588" s="114" t="str">
        <f t="shared" si="9"/>
        <v>INSERT INTO DETALLES_DOCUMENTO(NRO_DOCUMENTO,ID_TIPO,ID_PRODUCTO,CANTIDAD,PRECIO,VALOR_BRUTO,VALOR_NETO,VALOR_IVA) VALUES(280,1,143,1,7500,7500,6303,1197);</v>
      </c>
    </row>
    <row r="589" spans="1:12">
      <c r="A589" s="114">
        <v>1</v>
      </c>
      <c r="B589" s="114">
        <v>281</v>
      </c>
      <c r="C589" s="139" t="s">
        <v>2216</v>
      </c>
      <c r="D589" s="114" t="s">
        <v>2090</v>
      </c>
      <c r="E589" s="114">
        <v>230</v>
      </c>
      <c r="F589" s="114">
        <v>26</v>
      </c>
      <c r="G589" s="114">
        <v>1</v>
      </c>
      <c r="H589" s="114">
        <v>3400</v>
      </c>
      <c r="I589" s="114">
        <v>3400</v>
      </c>
      <c r="J589" s="114">
        <v>2857</v>
      </c>
      <c r="K589" s="114">
        <v>543</v>
      </c>
      <c r="L589" s="114" t="str">
        <f t="shared" si="9"/>
        <v>INSERT INTO DETALLES_DOCUMENTO(NRO_DOCUMENTO,ID_TIPO,ID_PRODUCTO,CANTIDAD,PRECIO,VALOR_BRUTO,VALOR_NETO,VALOR_IVA) VALUES(281,1,26,1,3400,3400,2857,543);</v>
      </c>
    </row>
    <row r="590" spans="1:12">
      <c r="A590" s="114">
        <v>1</v>
      </c>
      <c r="B590" s="114">
        <v>281</v>
      </c>
      <c r="C590" s="139" t="s">
        <v>2216</v>
      </c>
      <c r="D590" s="114" t="s">
        <v>2090</v>
      </c>
      <c r="E590" s="114">
        <v>230</v>
      </c>
      <c r="F590" s="114">
        <v>324</v>
      </c>
      <c r="G590" s="114">
        <v>1</v>
      </c>
      <c r="H590" s="114">
        <v>10500</v>
      </c>
      <c r="I590" s="114">
        <v>10500</v>
      </c>
      <c r="J590" s="114">
        <v>8824</v>
      </c>
      <c r="K590" s="114">
        <v>1676</v>
      </c>
      <c r="L590" s="114" t="str">
        <f t="shared" si="9"/>
        <v>INSERT INTO DETALLES_DOCUMENTO(NRO_DOCUMENTO,ID_TIPO,ID_PRODUCTO,CANTIDAD,PRECIO,VALOR_BRUTO,VALOR_NETO,VALOR_IVA) VALUES(281,1,324,1,10500,10500,8824,1676);</v>
      </c>
    </row>
    <row r="591" spans="1:12">
      <c r="A591" s="114">
        <v>1</v>
      </c>
      <c r="B591" s="114">
        <v>281</v>
      </c>
      <c r="C591" s="139" t="s">
        <v>2216</v>
      </c>
      <c r="D591" s="114" t="s">
        <v>2090</v>
      </c>
      <c r="E591" s="114">
        <v>230</v>
      </c>
      <c r="F591" s="114">
        <v>293</v>
      </c>
      <c r="G591" s="114">
        <v>1</v>
      </c>
      <c r="H591" s="114">
        <v>9500</v>
      </c>
      <c r="I591" s="114">
        <v>9500</v>
      </c>
      <c r="J591" s="114">
        <v>7983</v>
      </c>
      <c r="K591" s="114">
        <v>1517</v>
      </c>
      <c r="L591" s="114" t="str">
        <f t="shared" si="9"/>
        <v>INSERT INTO DETALLES_DOCUMENTO(NRO_DOCUMENTO,ID_TIPO,ID_PRODUCTO,CANTIDAD,PRECIO,VALOR_BRUTO,VALOR_NETO,VALOR_IVA) VALUES(281,1,293,1,9500,9500,7983,1517);</v>
      </c>
    </row>
    <row r="592" spans="1:12">
      <c r="A592" s="114">
        <v>1</v>
      </c>
      <c r="B592" s="114">
        <v>281</v>
      </c>
      <c r="C592" s="139" t="s">
        <v>2216</v>
      </c>
      <c r="D592" s="114" t="s">
        <v>2090</v>
      </c>
      <c r="E592" s="114">
        <v>230</v>
      </c>
      <c r="F592" s="114">
        <v>143</v>
      </c>
      <c r="G592" s="114">
        <v>1</v>
      </c>
      <c r="H592" s="114">
        <v>7500</v>
      </c>
      <c r="I592" s="114">
        <v>7500</v>
      </c>
      <c r="J592" s="114">
        <v>6303</v>
      </c>
      <c r="K592" s="114">
        <v>1197</v>
      </c>
      <c r="L592" s="114" t="str">
        <f t="shared" si="9"/>
        <v>INSERT INTO DETALLES_DOCUMENTO(NRO_DOCUMENTO,ID_TIPO,ID_PRODUCTO,CANTIDAD,PRECIO,VALOR_BRUTO,VALOR_NETO,VALOR_IVA) VALUES(281,1,143,1,7500,7500,6303,1197);</v>
      </c>
    </row>
    <row r="593" spans="1:12">
      <c r="A593" s="114">
        <v>1</v>
      </c>
      <c r="B593" s="114">
        <v>281</v>
      </c>
      <c r="C593" s="139" t="s">
        <v>2216</v>
      </c>
      <c r="D593" s="114" t="s">
        <v>2090</v>
      </c>
      <c r="E593" s="114">
        <v>230</v>
      </c>
      <c r="F593" s="114">
        <v>95</v>
      </c>
      <c r="G593" s="114">
        <v>1</v>
      </c>
      <c r="H593" s="114">
        <v>2400</v>
      </c>
      <c r="I593" s="114">
        <v>2400</v>
      </c>
      <c r="J593" s="114">
        <v>2017</v>
      </c>
      <c r="K593" s="114">
        <v>383</v>
      </c>
      <c r="L593" s="114" t="str">
        <f t="shared" si="9"/>
        <v>INSERT INTO DETALLES_DOCUMENTO(NRO_DOCUMENTO,ID_TIPO,ID_PRODUCTO,CANTIDAD,PRECIO,VALOR_BRUTO,VALOR_NETO,VALOR_IVA) VALUES(281,1,95,1,2400,2400,2017,383);</v>
      </c>
    </row>
    <row r="594" spans="1:12">
      <c r="A594" s="114">
        <v>1</v>
      </c>
      <c r="B594" s="114">
        <v>281</v>
      </c>
      <c r="C594" s="139" t="s">
        <v>2216</v>
      </c>
      <c r="D594" s="114" t="s">
        <v>2090</v>
      </c>
      <c r="E594" s="114">
        <v>230</v>
      </c>
      <c r="F594" s="114">
        <v>162</v>
      </c>
      <c r="G594" s="114">
        <v>1</v>
      </c>
      <c r="H594" s="114">
        <v>1600</v>
      </c>
      <c r="I594" s="114">
        <v>1600</v>
      </c>
      <c r="J594" s="114">
        <v>1345</v>
      </c>
      <c r="K594" s="114">
        <v>255</v>
      </c>
      <c r="L594" s="114" t="str">
        <f t="shared" si="9"/>
        <v>INSERT INTO DETALLES_DOCUMENTO(NRO_DOCUMENTO,ID_TIPO,ID_PRODUCTO,CANTIDAD,PRECIO,VALOR_BRUTO,VALOR_NETO,VALOR_IVA) VALUES(281,1,162,1,1600,1600,1345,255);</v>
      </c>
    </row>
    <row r="595" spans="1:12">
      <c r="A595" s="114">
        <v>1</v>
      </c>
      <c r="B595" s="114">
        <v>281</v>
      </c>
      <c r="C595" s="139" t="s">
        <v>2216</v>
      </c>
      <c r="D595" s="114" t="s">
        <v>2090</v>
      </c>
      <c r="E595" s="114">
        <v>230</v>
      </c>
      <c r="F595" s="114">
        <v>287</v>
      </c>
      <c r="G595" s="114">
        <v>1</v>
      </c>
      <c r="H595" s="114">
        <v>3000</v>
      </c>
      <c r="I595" s="114">
        <v>3000</v>
      </c>
      <c r="J595" s="114">
        <v>2521</v>
      </c>
      <c r="K595" s="114">
        <v>479</v>
      </c>
      <c r="L595" s="114" t="str">
        <f t="shared" si="9"/>
        <v>INSERT INTO DETALLES_DOCUMENTO(NRO_DOCUMENTO,ID_TIPO,ID_PRODUCTO,CANTIDAD,PRECIO,VALOR_BRUTO,VALOR_NETO,VALOR_IVA) VALUES(281,1,287,1,3000,3000,2521,479);</v>
      </c>
    </row>
    <row r="596" spans="1:12">
      <c r="A596" s="114">
        <v>1</v>
      </c>
      <c r="B596" s="114">
        <v>281</v>
      </c>
      <c r="C596" s="139" t="s">
        <v>2216</v>
      </c>
      <c r="D596" s="114" t="s">
        <v>2090</v>
      </c>
      <c r="E596" s="114">
        <v>230</v>
      </c>
      <c r="F596" s="114">
        <v>379</v>
      </c>
      <c r="G596" s="114">
        <v>1</v>
      </c>
      <c r="H596" s="114">
        <v>2000</v>
      </c>
      <c r="I596" s="114">
        <v>2000</v>
      </c>
      <c r="J596" s="114">
        <v>1681</v>
      </c>
      <c r="K596" s="114">
        <v>319</v>
      </c>
      <c r="L596" s="114" t="str">
        <f t="shared" si="9"/>
        <v>INSERT INTO DETALLES_DOCUMENTO(NRO_DOCUMENTO,ID_TIPO,ID_PRODUCTO,CANTIDAD,PRECIO,VALOR_BRUTO,VALOR_NETO,VALOR_IVA) VALUES(281,1,379,1,2000,2000,1681,319);</v>
      </c>
    </row>
    <row r="597" spans="1:12">
      <c r="A597" s="114">
        <v>1</v>
      </c>
      <c r="B597" s="114">
        <v>281</v>
      </c>
      <c r="C597" s="139" t="s">
        <v>2216</v>
      </c>
      <c r="D597" s="114" t="s">
        <v>2090</v>
      </c>
      <c r="E597" s="114">
        <v>230</v>
      </c>
      <c r="F597" s="114">
        <v>125</v>
      </c>
      <c r="G597" s="114">
        <v>1</v>
      </c>
      <c r="H597" s="114">
        <v>1700</v>
      </c>
      <c r="I597" s="114">
        <v>1700</v>
      </c>
      <c r="J597" s="114">
        <v>1429</v>
      </c>
      <c r="K597" s="114">
        <v>271</v>
      </c>
      <c r="L597" s="114" t="str">
        <f t="shared" si="9"/>
        <v>INSERT INTO DETALLES_DOCUMENTO(NRO_DOCUMENTO,ID_TIPO,ID_PRODUCTO,CANTIDAD,PRECIO,VALOR_BRUTO,VALOR_NETO,VALOR_IVA) VALUES(281,1,125,1,1700,1700,1429,271);</v>
      </c>
    </row>
    <row r="598" spans="1:12">
      <c r="A598" s="114">
        <v>1</v>
      </c>
      <c r="B598" s="114">
        <v>281</v>
      </c>
      <c r="C598" s="139" t="s">
        <v>2216</v>
      </c>
      <c r="D598" s="114" t="s">
        <v>2090</v>
      </c>
      <c r="E598" s="114">
        <v>230</v>
      </c>
      <c r="F598" s="114">
        <v>68</v>
      </c>
      <c r="G598" s="114">
        <v>-2</v>
      </c>
      <c r="H598" s="114">
        <v>-2400</v>
      </c>
      <c r="I598" s="114">
        <v>4800</v>
      </c>
      <c r="J598" s="114">
        <v>4034</v>
      </c>
      <c r="K598" s="114">
        <v>766</v>
      </c>
      <c r="L598" s="114" t="str">
        <f t="shared" si="9"/>
        <v>INSERT INTO DETALLES_DOCUMENTO(NRO_DOCUMENTO,ID_TIPO,ID_PRODUCTO,CANTIDAD,PRECIO,VALOR_BRUTO,VALOR_NETO,VALOR_IVA) VALUES(281,1,68,-2,-2400,4800,4034,766);</v>
      </c>
    </row>
    <row r="599" spans="1:12">
      <c r="A599" s="114">
        <v>1</v>
      </c>
      <c r="B599" s="114">
        <v>281</v>
      </c>
      <c r="C599" s="139" t="s">
        <v>2216</v>
      </c>
      <c r="D599" s="114" t="s">
        <v>2090</v>
      </c>
      <c r="E599" s="114">
        <v>230</v>
      </c>
      <c r="F599" s="114">
        <v>327</v>
      </c>
      <c r="G599" s="114">
        <v>-1</v>
      </c>
      <c r="H599" s="114">
        <v>-3000</v>
      </c>
      <c r="I599" s="114">
        <v>3000</v>
      </c>
      <c r="J599" s="114">
        <v>2521</v>
      </c>
      <c r="K599" s="114">
        <v>479</v>
      </c>
      <c r="L599" s="114" t="str">
        <f t="shared" si="9"/>
        <v>INSERT INTO DETALLES_DOCUMENTO(NRO_DOCUMENTO,ID_TIPO,ID_PRODUCTO,CANTIDAD,PRECIO,VALOR_BRUTO,VALOR_NETO,VALOR_IVA) VALUES(281,1,327,-1,-3000,3000,2521,479);</v>
      </c>
    </row>
    <row r="600" spans="1:12">
      <c r="A600" s="114">
        <v>1</v>
      </c>
      <c r="B600" s="114">
        <v>281</v>
      </c>
      <c r="C600" s="139" t="s">
        <v>2216</v>
      </c>
      <c r="D600" s="114" t="s">
        <v>2090</v>
      </c>
      <c r="E600" s="114">
        <v>230</v>
      </c>
      <c r="F600" s="114">
        <v>296</v>
      </c>
      <c r="G600" s="114">
        <v>-2</v>
      </c>
      <c r="H600" s="114">
        <v>-7000</v>
      </c>
      <c r="I600" s="114">
        <v>14000</v>
      </c>
      <c r="J600" s="114">
        <v>11765</v>
      </c>
      <c r="K600" s="114">
        <v>2235</v>
      </c>
      <c r="L600" s="114" t="str">
        <f t="shared" si="9"/>
        <v>INSERT INTO DETALLES_DOCUMENTO(NRO_DOCUMENTO,ID_TIPO,ID_PRODUCTO,CANTIDAD,PRECIO,VALOR_BRUTO,VALOR_NETO,VALOR_IVA) VALUES(281,1,296,-2,-7000,14000,11765,2235);</v>
      </c>
    </row>
    <row r="601" spans="1:12">
      <c r="A601" s="114">
        <v>1</v>
      </c>
      <c r="B601" s="114">
        <v>282</v>
      </c>
      <c r="C601" s="139" t="s">
        <v>2216</v>
      </c>
      <c r="D601" s="114" t="s">
        <v>2090</v>
      </c>
      <c r="E601" s="114">
        <v>276</v>
      </c>
      <c r="F601" s="114">
        <v>324</v>
      </c>
      <c r="G601" s="114">
        <v>1</v>
      </c>
      <c r="H601" s="114">
        <v>10500</v>
      </c>
      <c r="I601" s="114">
        <v>10500</v>
      </c>
      <c r="J601" s="114">
        <v>8824</v>
      </c>
      <c r="K601" s="114">
        <v>1676</v>
      </c>
      <c r="L601" s="114" t="str">
        <f t="shared" si="9"/>
        <v>INSERT INTO DETALLES_DOCUMENTO(NRO_DOCUMENTO,ID_TIPO,ID_PRODUCTO,CANTIDAD,PRECIO,VALOR_BRUTO,VALOR_NETO,VALOR_IVA) VALUES(282,1,324,1,10500,10500,8824,1676);</v>
      </c>
    </row>
    <row r="602" spans="1:12">
      <c r="A602" s="114">
        <v>1</v>
      </c>
      <c r="B602" s="114">
        <v>283</v>
      </c>
      <c r="C602" s="139" t="s">
        <v>2216</v>
      </c>
      <c r="D602" s="114" t="s">
        <v>2090</v>
      </c>
      <c r="E602" s="114">
        <v>312</v>
      </c>
      <c r="F602" s="114">
        <v>143</v>
      </c>
      <c r="G602" s="114">
        <v>1</v>
      </c>
      <c r="H602" s="114">
        <v>7500</v>
      </c>
      <c r="I602" s="114">
        <v>7500</v>
      </c>
      <c r="J602" s="114">
        <v>6303</v>
      </c>
      <c r="K602" s="114">
        <v>1197</v>
      </c>
      <c r="L602" s="114" t="str">
        <f t="shared" si="9"/>
        <v>INSERT INTO DETALLES_DOCUMENTO(NRO_DOCUMENTO,ID_TIPO,ID_PRODUCTO,CANTIDAD,PRECIO,VALOR_BRUTO,VALOR_NETO,VALOR_IVA) VALUES(283,1,143,1,7500,7500,6303,1197);</v>
      </c>
    </row>
    <row r="603" spans="1:12">
      <c r="A603" s="114">
        <v>1</v>
      </c>
      <c r="B603" s="114">
        <v>284</v>
      </c>
      <c r="C603" s="139" t="s">
        <v>2216</v>
      </c>
      <c r="D603" s="114" t="s">
        <v>2090</v>
      </c>
      <c r="E603" s="114">
        <v>411</v>
      </c>
      <c r="F603" s="114">
        <v>191</v>
      </c>
      <c r="G603" s="114">
        <v>2</v>
      </c>
      <c r="H603" s="114">
        <v>5000</v>
      </c>
      <c r="I603" s="114">
        <v>10000</v>
      </c>
      <c r="J603" s="114">
        <v>8403</v>
      </c>
      <c r="K603" s="114">
        <v>1597</v>
      </c>
      <c r="L603" s="114" t="str">
        <f t="shared" si="9"/>
        <v>INSERT INTO DETALLES_DOCUMENTO(NRO_DOCUMENTO,ID_TIPO,ID_PRODUCTO,CANTIDAD,PRECIO,VALOR_BRUTO,VALOR_NETO,VALOR_IVA) VALUES(284,1,191,2,5000,10000,8403,1597);</v>
      </c>
    </row>
    <row r="604" spans="1:12">
      <c r="A604" s="114">
        <v>1</v>
      </c>
      <c r="B604" s="114">
        <v>284</v>
      </c>
      <c r="C604" s="139" t="s">
        <v>2216</v>
      </c>
      <c r="D604" s="114" t="s">
        <v>2090</v>
      </c>
      <c r="E604" s="114">
        <v>411</v>
      </c>
      <c r="F604" s="114">
        <v>324</v>
      </c>
      <c r="G604" s="114">
        <v>1</v>
      </c>
      <c r="H604" s="114">
        <v>10500</v>
      </c>
      <c r="I604" s="114">
        <v>10500</v>
      </c>
      <c r="J604" s="114">
        <v>8824</v>
      </c>
      <c r="K604" s="114">
        <v>1676</v>
      </c>
      <c r="L604" s="114" t="str">
        <f t="shared" si="9"/>
        <v>INSERT INTO DETALLES_DOCUMENTO(NRO_DOCUMENTO,ID_TIPO,ID_PRODUCTO,CANTIDAD,PRECIO,VALOR_BRUTO,VALOR_NETO,VALOR_IVA) VALUES(284,1,324,1,10500,10500,8824,1676);</v>
      </c>
    </row>
    <row r="605" spans="1:12">
      <c r="A605" s="114">
        <v>1</v>
      </c>
      <c r="B605" s="114">
        <v>284</v>
      </c>
      <c r="C605" s="139" t="s">
        <v>2216</v>
      </c>
      <c r="D605" s="114" t="s">
        <v>2090</v>
      </c>
      <c r="E605" s="114">
        <v>411</v>
      </c>
      <c r="F605" s="114">
        <v>368</v>
      </c>
      <c r="G605" s="114">
        <v>1</v>
      </c>
      <c r="H605" s="114">
        <v>3000</v>
      </c>
      <c r="I605" s="114">
        <v>3000</v>
      </c>
      <c r="J605" s="114">
        <v>2521</v>
      </c>
      <c r="K605" s="114">
        <v>479</v>
      </c>
      <c r="L605" s="114" t="str">
        <f t="shared" si="9"/>
        <v>INSERT INTO DETALLES_DOCUMENTO(NRO_DOCUMENTO,ID_TIPO,ID_PRODUCTO,CANTIDAD,PRECIO,VALOR_BRUTO,VALOR_NETO,VALOR_IVA) VALUES(284,1,368,1,3000,3000,2521,479);</v>
      </c>
    </row>
    <row r="606" spans="1:12">
      <c r="A606" s="114">
        <v>1</v>
      </c>
      <c r="B606" s="114">
        <v>285</v>
      </c>
      <c r="C606" s="139" t="s">
        <v>2216</v>
      </c>
      <c r="D606" s="114" t="s">
        <v>2090</v>
      </c>
      <c r="E606" s="114">
        <v>446</v>
      </c>
      <c r="F606" s="114">
        <v>368</v>
      </c>
      <c r="G606" s="114">
        <v>1</v>
      </c>
      <c r="H606" s="114">
        <v>3000</v>
      </c>
      <c r="I606" s="114">
        <v>3000</v>
      </c>
      <c r="J606" s="114">
        <v>2521</v>
      </c>
      <c r="K606" s="114">
        <v>479</v>
      </c>
      <c r="L606" s="114" t="str">
        <f t="shared" si="9"/>
        <v>INSERT INTO DETALLES_DOCUMENTO(NRO_DOCUMENTO,ID_TIPO,ID_PRODUCTO,CANTIDAD,PRECIO,VALOR_BRUTO,VALOR_NETO,VALOR_IVA) VALUES(285,1,368,1,3000,3000,2521,479);</v>
      </c>
    </row>
    <row r="607" spans="1:12">
      <c r="A607" s="114">
        <v>1</v>
      </c>
      <c r="B607" s="114">
        <v>285</v>
      </c>
      <c r="C607" s="139" t="s">
        <v>2216</v>
      </c>
      <c r="D607" s="114" t="s">
        <v>2090</v>
      </c>
      <c r="E607" s="114">
        <v>446</v>
      </c>
      <c r="F607" s="114">
        <v>117</v>
      </c>
      <c r="G607" s="114">
        <v>1</v>
      </c>
      <c r="H607" s="114">
        <v>3500</v>
      </c>
      <c r="I607" s="114">
        <v>3500</v>
      </c>
      <c r="J607" s="114">
        <v>2941</v>
      </c>
      <c r="K607" s="114">
        <v>559</v>
      </c>
      <c r="L607" s="114" t="str">
        <f t="shared" si="9"/>
        <v>INSERT INTO DETALLES_DOCUMENTO(NRO_DOCUMENTO,ID_TIPO,ID_PRODUCTO,CANTIDAD,PRECIO,VALOR_BRUTO,VALOR_NETO,VALOR_IVA) VALUES(285,1,117,1,3500,3500,2941,559);</v>
      </c>
    </row>
    <row r="608" spans="1:12">
      <c r="A608" s="114">
        <v>1</v>
      </c>
      <c r="B608" s="114">
        <v>286</v>
      </c>
      <c r="C608" s="139" t="s">
        <v>2216</v>
      </c>
      <c r="D608" s="114" t="s">
        <v>2090</v>
      </c>
      <c r="E608" s="114">
        <v>476</v>
      </c>
      <c r="F608" s="114">
        <v>143</v>
      </c>
      <c r="G608" s="114">
        <v>1</v>
      </c>
      <c r="H608" s="114">
        <v>7500</v>
      </c>
      <c r="I608" s="114">
        <v>7500</v>
      </c>
      <c r="J608" s="114">
        <v>6303</v>
      </c>
      <c r="K608" s="114">
        <v>1197</v>
      </c>
      <c r="L608" s="114" t="str">
        <f t="shared" si="9"/>
        <v>INSERT INTO DETALLES_DOCUMENTO(NRO_DOCUMENTO,ID_TIPO,ID_PRODUCTO,CANTIDAD,PRECIO,VALOR_BRUTO,VALOR_NETO,VALOR_IVA) VALUES(286,1,143,1,7500,7500,6303,1197);</v>
      </c>
    </row>
    <row r="609" spans="1:12">
      <c r="A609" s="114">
        <v>1</v>
      </c>
      <c r="B609" s="114">
        <v>287</v>
      </c>
      <c r="C609" s="139" t="s">
        <v>2217</v>
      </c>
      <c r="D609" s="114" t="s">
        <v>2090</v>
      </c>
      <c r="E609" s="114">
        <v>135</v>
      </c>
      <c r="F609" s="114">
        <v>143</v>
      </c>
      <c r="G609" s="114">
        <v>2</v>
      </c>
      <c r="H609" s="114">
        <v>15000</v>
      </c>
      <c r="I609" s="114">
        <v>30000</v>
      </c>
      <c r="J609" s="114">
        <v>25210</v>
      </c>
      <c r="K609" s="114">
        <v>4790</v>
      </c>
      <c r="L609" s="114" t="str">
        <f t="shared" si="9"/>
        <v>INSERT INTO DETALLES_DOCUMENTO(NRO_DOCUMENTO,ID_TIPO,ID_PRODUCTO,CANTIDAD,PRECIO,VALOR_BRUTO,VALOR_NETO,VALOR_IVA) VALUES(287,1,143,2,15000,30000,25210,4790);</v>
      </c>
    </row>
    <row r="610" spans="1:12">
      <c r="A610" s="114">
        <v>1</v>
      </c>
      <c r="B610" s="114">
        <v>288</v>
      </c>
      <c r="C610" s="139" t="s">
        <v>2217</v>
      </c>
      <c r="D610" s="114" t="s">
        <v>2090</v>
      </c>
      <c r="E610" s="114">
        <v>230</v>
      </c>
      <c r="F610" s="114">
        <v>136</v>
      </c>
      <c r="G610" s="114">
        <v>2</v>
      </c>
      <c r="H610" s="114">
        <v>9000</v>
      </c>
      <c r="I610" s="114">
        <v>18000</v>
      </c>
      <c r="J610" s="114">
        <v>15126</v>
      </c>
      <c r="K610" s="114">
        <v>2874</v>
      </c>
      <c r="L610" s="114" t="str">
        <f t="shared" si="9"/>
        <v>INSERT INTO DETALLES_DOCUMENTO(NRO_DOCUMENTO,ID_TIPO,ID_PRODUCTO,CANTIDAD,PRECIO,VALOR_BRUTO,VALOR_NETO,VALOR_IVA) VALUES(288,1,136,2,9000,18000,15126,2874);</v>
      </c>
    </row>
    <row r="611" spans="1:12">
      <c r="A611" s="114">
        <v>1</v>
      </c>
      <c r="B611" s="114">
        <v>289</v>
      </c>
      <c r="C611" s="139" t="s">
        <v>2217</v>
      </c>
      <c r="D611" s="114" t="s">
        <v>2090</v>
      </c>
      <c r="E611" s="114">
        <v>231</v>
      </c>
      <c r="F611" s="114">
        <v>231</v>
      </c>
      <c r="G611" s="114">
        <v>1</v>
      </c>
      <c r="H611" s="114">
        <v>19990</v>
      </c>
      <c r="I611" s="114">
        <v>19990</v>
      </c>
      <c r="J611" s="114">
        <v>16798</v>
      </c>
      <c r="K611" s="114">
        <v>3192</v>
      </c>
      <c r="L611" s="114" t="str">
        <f t="shared" si="9"/>
        <v>INSERT INTO DETALLES_DOCUMENTO(NRO_DOCUMENTO,ID_TIPO,ID_PRODUCTO,CANTIDAD,PRECIO,VALOR_BRUTO,VALOR_NETO,VALOR_IVA) VALUES(289,1,231,1,19990,19990,16798,3192);</v>
      </c>
    </row>
    <row r="612" spans="1:12">
      <c r="A612" s="114">
        <v>1</v>
      </c>
      <c r="B612" s="114">
        <v>290</v>
      </c>
      <c r="C612" s="139" t="s">
        <v>2217</v>
      </c>
      <c r="D612" s="114" t="s">
        <v>2090</v>
      </c>
      <c r="E612" s="114">
        <v>300</v>
      </c>
      <c r="F612" s="114">
        <v>155</v>
      </c>
      <c r="G612" s="114">
        <v>2</v>
      </c>
      <c r="H612" s="114">
        <v>3301</v>
      </c>
      <c r="I612" s="114">
        <v>6602</v>
      </c>
      <c r="J612" s="114">
        <v>5548</v>
      </c>
      <c r="K612" s="114">
        <v>1054</v>
      </c>
      <c r="L612" s="114" t="str">
        <f t="shared" si="9"/>
        <v>INSERT INTO DETALLES_DOCUMENTO(NRO_DOCUMENTO,ID_TIPO,ID_PRODUCTO,CANTIDAD,PRECIO,VALOR_BRUTO,VALOR_NETO,VALOR_IVA) VALUES(290,1,155,2,3301,6602,5548,1054);</v>
      </c>
    </row>
    <row r="613" spans="1:12">
      <c r="A613" s="114">
        <v>1</v>
      </c>
      <c r="B613" s="114">
        <v>290</v>
      </c>
      <c r="C613" s="139" t="s">
        <v>2217</v>
      </c>
      <c r="D613" s="114" t="s">
        <v>2090</v>
      </c>
      <c r="E613" s="114">
        <v>300</v>
      </c>
      <c r="F613" s="114">
        <v>29</v>
      </c>
      <c r="G613" s="114">
        <v>1</v>
      </c>
      <c r="H613" s="114">
        <v>1000</v>
      </c>
      <c r="I613" s="114">
        <v>1000</v>
      </c>
      <c r="J613" s="114">
        <v>840</v>
      </c>
      <c r="K613" s="114">
        <v>160</v>
      </c>
      <c r="L613" s="114" t="str">
        <f t="shared" si="9"/>
        <v>INSERT INTO DETALLES_DOCUMENTO(NRO_DOCUMENTO,ID_TIPO,ID_PRODUCTO,CANTIDAD,PRECIO,VALOR_BRUTO,VALOR_NETO,VALOR_IVA) VALUES(290,1,29,1,1000,1000,840,160);</v>
      </c>
    </row>
    <row r="614" spans="1:12">
      <c r="A614" s="114">
        <v>1</v>
      </c>
      <c r="B614" s="114">
        <v>290</v>
      </c>
      <c r="C614" s="139" t="s">
        <v>2217</v>
      </c>
      <c r="D614" s="114" t="s">
        <v>2090</v>
      </c>
      <c r="E614" s="114">
        <v>300</v>
      </c>
      <c r="F614" s="114">
        <v>286</v>
      </c>
      <c r="G614" s="114">
        <v>1</v>
      </c>
      <c r="H614" s="114">
        <v>1100</v>
      </c>
      <c r="I614" s="114">
        <v>1100</v>
      </c>
      <c r="J614" s="114">
        <v>924</v>
      </c>
      <c r="K614" s="114">
        <v>176</v>
      </c>
      <c r="L614" s="114" t="str">
        <f t="shared" si="9"/>
        <v>INSERT INTO DETALLES_DOCUMENTO(NRO_DOCUMENTO,ID_TIPO,ID_PRODUCTO,CANTIDAD,PRECIO,VALOR_BRUTO,VALOR_NETO,VALOR_IVA) VALUES(290,1,286,1,1100,1100,924,176);</v>
      </c>
    </row>
    <row r="615" spans="1:12">
      <c r="A615" s="114">
        <v>1</v>
      </c>
      <c r="B615" s="114">
        <v>290</v>
      </c>
      <c r="C615" s="139" t="s">
        <v>2217</v>
      </c>
      <c r="D615" s="114" t="s">
        <v>2090</v>
      </c>
      <c r="E615" s="114">
        <v>300</v>
      </c>
      <c r="F615" s="114">
        <v>329</v>
      </c>
      <c r="G615" s="114">
        <v>1</v>
      </c>
      <c r="H615" s="114">
        <v>5500</v>
      </c>
      <c r="I615" s="114">
        <v>5500</v>
      </c>
      <c r="J615" s="114">
        <v>4622</v>
      </c>
      <c r="K615" s="114">
        <v>878</v>
      </c>
      <c r="L615" s="114" t="str">
        <f t="shared" si="9"/>
        <v>INSERT INTO DETALLES_DOCUMENTO(NRO_DOCUMENTO,ID_TIPO,ID_PRODUCTO,CANTIDAD,PRECIO,VALOR_BRUTO,VALOR_NETO,VALOR_IVA) VALUES(290,1,329,1,5500,5500,4622,878);</v>
      </c>
    </row>
    <row r="616" spans="1:12">
      <c r="A616" s="114">
        <v>1</v>
      </c>
      <c r="B616" s="114">
        <v>291</v>
      </c>
      <c r="C616" s="139" t="s">
        <v>2218</v>
      </c>
      <c r="D616" s="114" t="s">
        <v>2090</v>
      </c>
      <c r="E616" s="114">
        <v>108</v>
      </c>
      <c r="F616" s="114">
        <v>97</v>
      </c>
      <c r="G616" s="114">
        <v>1</v>
      </c>
      <c r="H616" s="114">
        <v>2000</v>
      </c>
      <c r="I616" s="114">
        <v>2000</v>
      </c>
      <c r="J616" s="114">
        <v>1681</v>
      </c>
      <c r="K616" s="114">
        <v>319</v>
      </c>
      <c r="L616" s="114" t="str">
        <f t="shared" si="9"/>
        <v>INSERT INTO DETALLES_DOCUMENTO(NRO_DOCUMENTO,ID_TIPO,ID_PRODUCTO,CANTIDAD,PRECIO,VALOR_BRUTO,VALOR_NETO,VALOR_IVA) VALUES(291,1,97,1,2000,2000,1681,319);</v>
      </c>
    </row>
    <row r="617" spans="1:12">
      <c r="A617" s="114">
        <v>1</v>
      </c>
      <c r="B617" s="114">
        <v>291</v>
      </c>
      <c r="C617" s="139" t="s">
        <v>2218</v>
      </c>
      <c r="D617" s="114" t="s">
        <v>2090</v>
      </c>
      <c r="E617" s="114">
        <v>108</v>
      </c>
      <c r="F617" s="114">
        <v>95</v>
      </c>
      <c r="G617" s="114">
        <v>1</v>
      </c>
      <c r="H617" s="114">
        <v>2400</v>
      </c>
      <c r="I617" s="114">
        <v>2400</v>
      </c>
      <c r="J617" s="114">
        <v>2017</v>
      </c>
      <c r="K617" s="114">
        <v>383</v>
      </c>
      <c r="L617" s="114" t="str">
        <f t="shared" si="9"/>
        <v>INSERT INTO DETALLES_DOCUMENTO(NRO_DOCUMENTO,ID_TIPO,ID_PRODUCTO,CANTIDAD,PRECIO,VALOR_BRUTO,VALOR_NETO,VALOR_IVA) VALUES(291,1,95,1,2400,2400,2017,383);</v>
      </c>
    </row>
    <row r="618" spans="1:12">
      <c r="A618" s="114">
        <v>1</v>
      </c>
      <c r="B618" s="114">
        <v>291</v>
      </c>
      <c r="C618" s="139" t="s">
        <v>2218</v>
      </c>
      <c r="D618" s="114" t="s">
        <v>2090</v>
      </c>
      <c r="E618" s="114">
        <v>108</v>
      </c>
      <c r="F618" s="114">
        <v>332</v>
      </c>
      <c r="G618" s="114">
        <v>1</v>
      </c>
      <c r="H618" s="114">
        <v>2600</v>
      </c>
      <c r="I618" s="114">
        <v>2600</v>
      </c>
      <c r="J618" s="114">
        <v>2185</v>
      </c>
      <c r="K618" s="114">
        <v>415</v>
      </c>
      <c r="L618" s="114" t="str">
        <f t="shared" si="9"/>
        <v>INSERT INTO DETALLES_DOCUMENTO(NRO_DOCUMENTO,ID_TIPO,ID_PRODUCTO,CANTIDAD,PRECIO,VALOR_BRUTO,VALOR_NETO,VALOR_IVA) VALUES(291,1,332,1,2600,2600,2185,415);</v>
      </c>
    </row>
    <row r="619" spans="1:12">
      <c r="A619" s="114">
        <v>1</v>
      </c>
      <c r="B619" s="114">
        <v>291</v>
      </c>
      <c r="C619" s="139" t="s">
        <v>2218</v>
      </c>
      <c r="D619" s="114" t="s">
        <v>2090</v>
      </c>
      <c r="E619" s="114">
        <v>108</v>
      </c>
      <c r="F619" s="114">
        <v>143</v>
      </c>
      <c r="G619" s="114">
        <v>1</v>
      </c>
      <c r="H619" s="114">
        <v>7500</v>
      </c>
      <c r="I619" s="114">
        <v>7500</v>
      </c>
      <c r="J619" s="114">
        <v>6303</v>
      </c>
      <c r="K619" s="114">
        <v>1197</v>
      </c>
      <c r="L619" s="114" t="str">
        <f t="shared" si="9"/>
        <v>INSERT INTO DETALLES_DOCUMENTO(NRO_DOCUMENTO,ID_TIPO,ID_PRODUCTO,CANTIDAD,PRECIO,VALOR_BRUTO,VALOR_NETO,VALOR_IVA) VALUES(291,1,143,1,7500,7500,6303,1197);</v>
      </c>
    </row>
    <row r="620" spans="1:12">
      <c r="A620" s="114">
        <v>1</v>
      </c>
      <c r="B620" s="114">
        <v>291</v>
      </c>
      <c r="C620" s="139" t="s">
        <v>2218</v>
      </c>
      <c r="D620" s="114" t="s">
        <v>2090</v>
      </c>
      <c r="E620" s="114">
        <v>108</v>
      </c>
      <c r="F620" s="114">
        <v>191</v>
      </c>
      <c r="G620" s="114">
        <v>1</v>
      </c>
      <c r="H620" s="114">
        <v>2500</v>
      </c>
      <c r="I620" s="114">
        <v>2500</v>
      </c>
      <c r="J620" s="114">
        <v>2101</v>
      </c>
      <c r="K620" s="114">
        <v>399</v>
      </c>
      <c r="L620" s="114" t="str">
        <f t="shared" si="9"/>
        <v>INSERT INTO DETALLES_DOCUMENTO(NRO_DOCUMENTO,ID_TIPO,ID_PRODUCTO,CANTIDAD,PRECIO,VALOR_BRUTO,VALOR_NETO,VALOR_IVA) VALUES(291,1,191,1,2500,2500,2101,399);</v>
      </c>
    </row>
    <row r="621" spans="1:12">
      <c r="A621" s="114">
        <v>1</v>
      </c>
      <c r="B621" s="114">
        <v>291</v>
      </c>
      <c r="C621" s="139" t="s">
        <v>2218</v>
      </c>
      <c r="D621" s="114" t="s">
        <v>2090</v>
      </c>
      <c r="E621" s="114">
        <v>108</v>
      </c>
      <c r="F621" s="114">
        <v>118</v>
      </c>
      <c r="G621" s="114">
        <v>1</v>
      </c>
      <c r="H621" s="114">
        <v>3500</v>
      </c>
      <c r="I621" s="114">
        <v>3500</v>
      </c>
      <c r="J621" s="114">
        <v>2941</v>
      </c>
      <c r="K621" s="114">
        <v>559</v>
      </c>
      <c r="L621" s="114" t="str">
        <f t="shared" si="9"/>
        <v>INSERT INTO DETALLES_DOCUMENTO(NRO_DOCUMENTO,ID_TIPO,ID_PRODUCTO,CANTIDAD,PRECIO,VALOR_BRUTO,VALOR_NETO,VALOR_IVA) VALUES(291,1,118,1,3500,3500,2941,559);</v>
      </c>
    </row>
    <row r="622" spans="1:12">
      <c r="A622" s="114">
        <v>1</v>
      </c>
      <c r="B622" s="114">
        <v>291</v>
      </c>
      <c r="C622" s="139" t="s">
        <v>2218</v>
      </c>
      <c r="D622" s="114" t="s">
        <v>2090</v>
      </c>
      <c r="E622" s="114">
        <v>108</v>
      </c>
      <c r="F622" s="114">
        <v>296</v>
      </c>
      <c r="G622" s="114">
        <v>2</v>
      </c>
      <c r="H622" s="114">
        <v>7000</v>
      </c>
      <c r="I622" s="114">
        <v>14000</v>
      </c>
      <c r="J622" s="114">
        <v>11765</v>
      </c>
      <c r="K622" s="114">
        <v>2235</v>
      </c>
      <c r="L622" s="114" t="str">
        <f t="shared" si="9"/>
        <v>INSERT INTO DETALLES_DOCUMENTO(NRO_DOCUMENTO,ID_TIPO,ID_PRODUCTO,CANTIDAD,PRECIO,VALOR_BRUTO,VALOR_NETO,VALOR_IVA) VALUES(291,1,296,2,7000,14000,11765,2235);</v>
      </c>
    </row>
    <row r="623" spans="1:12">
      <c r="A623" s="114">
        <v>1</v>
      </c>
      <c r="B623" s="114">
        <v>291</v>
      </c>
      <c r="C623" s="139" t="s">
        <v>2218</v>
      </c>
      <c r="D623" s="114" t="s">
        <v>2090</v>
      </c>
      <c r="E623" s="114">
        <v>108</v>
      </c>
      <c r="F623" s="114">
        <v>367</v>
      </c>
      <c r="G623" s="114">
        <v>2</v>
      </c>
      <c r="H623" s="114">
        <v>3000</v>
      </c>
      <c r="I623" s="114">
        <v>6000</v>
      </c>
      <c r="J623" s="114">
        <v>5042</v>
      </c>
      <c r="K623" s="114">
        <v>958</v>
      </c>
      <c r="L623" s="114" t="str">
        <f t="shared" si="9"/>
        <v>INSERT INTO DETALLES_DOCUMENTO(NRO_DOCUMENTO,ID_TIPO,ID_PRODUCTO,CANTIDAD,PRECIO,VALOR_BRUTO,VALOR_NETO,VALOR_IVA) VALUES(291,1,367,2,3000,6000,5042,958);</v>
      </c>
    </row>
    <row r="624" spans="1:12">
      <c r="A624" s="114">
        <v>1</v>
      </c>
      <c r="B624" s="114">
        <v>291</v>
      </c>
      <c r="C624" s="139" t="s">
        <v>2218</v>
      </c>
      <c r="D624" s="114" t="s">
        <v>2090</v>
      </c>
      <c r="E624" s="114">
        <v>108</v>
      </c>
      <c r="F624" s="114">
        <v>247</v>
      </c>
      <c r="G624" s="114">
        <v>1</v>
      </c>
      <c r="H624" s="114">
        <v>2800</v>
      </c>
      <c r="I624" s="114">
        <v>2800</v>
      </c>
      <c r="J624" s="114">
        <v>2353</v>
      </c>
      <c r="K624" s="114">
        <v>447</v>
      </c>
      <c r="L624" s="114" t="str">
        <f t="shared" si="9"/>
        <v>INSERT INTO DETALLES_DOCUMENTO(NRO_DOCUMENTO,ID_TIPO,ID_PRODUCTO,CANTIDAD,PRECIO,VALOR_BRUTO,VALOR_NETO,VALOR_IVA) VALUES(291,1,247,1,2800,2800,2353,447);</v>
      </c>
    </row>
    <row r="625" spans="1:12">
      <c r="A625" s="114">
        <v>1</v>
      </c>
      <c r="B625" s="114">
        <v>291</v>
      </c>
      <c r="C625" s="139" t="s">
        <v>2218</v>
      </c>
      <c r="D625" s="114" t="s">
        <v>2090</v>
      </c>
      <c r="E625" s="114">
        <v>108</v>
      </c>
      <c r="F625" s="114">
        <v>155</v>
      </c>
      <c r="G625" s="114">
        <v>2</v>
      </c>
      <c r="H625" s="114">
        <v>3301</v>
      </c>
      <c r="I625" s="114">
        <v>6602</v>
      </c>
      <c r="J625" s="114">
        <v>5548</v>
      </c>
      <c r="K625" s="114">
        <v>1054</v>
      </c>
      <c r="L625" s="114" t="str">
        <f t="shared" si="9"/>
        <v>INSERT INTO DETALLES_DOCUMENTO(NRO_DOCUMENTO,ID_TIPO,ID_PRODUCTO,CANTIDAD,PRECIO,VALOR_BRUTO,VALOR_NETO,VALOR_IVA) VALUES(291,1,155,2,3301,6602,5548,1054);</v>
      </c>
    </row>
    <row r="626" spans="1:12">
      <c r="A626" s="114">
        <v>1</v>
      </c>
      <c r="B626" s="114">
        <v>291</v>
      </c>
      <c r="C626" s="139" t="s">
        <v>2218</v>
      </c>
      <c r="D626" s="114" t="s">
        <v>2090</v>
      </c>
      <c r="E626" s="114">
        <v>108</v>
      </c>
      <c r="F626" s="114">
        <v>329</v>
      </c>
      <c r="G626" s="114">
        <v>1</v>
      </c>
      <c r="H626" s="114">
        <v>5500</v>
      </c>
      <c r="I626" s="114">
        <v>5500</v>
      </c>
      <c r="J626" s="114">
        <v>4622</v>
      </c>
      <c r="K626" s="114">
        <v>878</v>
      </c>
      <c r="L626" s="114" t="str">
        <f t="shared" si="9"/>
        <v>INSERT INTO DETALLES_DOCUMENTO(NRO_DOCUMENTO,ID_TIPO,ID_PRODUCTO,CANTIDAD,PRECIO,VALOR_BRUTO,VALOR_NETO,VALOR_IVA) VALUES(291,1,329,1,5500,5500,4622,878);</v>
      </c>
    </row>
    <row r="627" spans="1:12">
      <c r="A627" s="114">
        <v>1</v>
      </c>
      <c r="B627" s="114">
        <v>291</v>
      </c>
      <c r="C627" s="139" t="s">
        <v>2218</v>
      </c>
      <c r="D627" s="114" t="s">
        <v>2090</v>
      </c>
      <c r="E627" s="114">
        <v>108</v>
      </c>
      <c r="F627" s="114">
        <v>82</v>
      </c>
      <c r="G627" s="114">
        <v>1</v>
      </c>
      <c r="H627" s="114">
        <v>1600</v>
      </c>
      <c r="I627" s="114">
        <v>1600</v>
      </c>
      <c r="J627" s="114">
        <v>1345</v>
      </c>
      <c r="K627" s="114">
        <v>255</v>
      </c>
      <c r="L627" s="114" t="str">
        <f t="shared" si="9"/>
        <v>INSERT INTO DETALLES_DOCUMENTO(NRO_DOCUMENTO,ID_TIPO,ID_PRODUCTO,CANTIDAD,PRECIO,VALOR_BRUTO,VALOR_NETO,VALOR_IVA) VALUES(291,1,82,1,1600,1600,1345,255);</v>
      </c>
    </row>
    <row r="628" spans="1:12">
      <c r="A628" s="114">
        <v>1</v>
      </c>
      <c r="B628" s="114">
        <v>291</v>
      </c>
      <c r="C628" s="139" t="s">
        <v>2218</v>
      </c>
      <c r="D628" s="114" t="s">
        <v>2090</v>
      </c>
      <c r="E628" s="114">
        <v>108</v>
      </c>
      <c r="F628" s="114">
        <v>379</v>
      </c>
      <c r="G628" s="114">
        <v>1</v>
      </c>
      <c r="H628" s="114">
        <v>2000</v>
      </c>
      <c r="I628" s="114">
        <v>2000</v>
      </c>
      <c r="J628" s="114">
        <v>1681</v>
      </c>
      <c r="K628" s="114">
        <v>319</v>
      </c>
      <c r="L628" s="114" t="str">
        <f t="shared" si="9"/>
        <v>INSERT INTO DETALLES_DOCUMENTO(NRO_DOCUMENTO,ID_TIPO,ID_PRODUCTO,CANTIDAD,PRECIO,VALOR_BRUTO,VALOR_NETO,VALOR_IVA) VALUES(291,1,379,1,2000,2000,1681,319);</v>
      </c>
    </row>
    <row r="629" spans="1:12">
      <c r="A629" s="114">
        <v>1</v>
      </c>
      <c r="B629" s="114">
        <v>292</v>
      </c>
      <c r="C629" s="139" t="s">
        <v>2218</v>
      </c>
      <c r="D629" s="114" t="s">
        <v>2090</v>
      </c>
      <c r="E629" s="114">
        <v>159</v>
      </c>
      <c r="F629" s="114">
        <v>143</v>
      </c>
      <c r="G629" s="114">
        <v>1</v>
      </c>
      <c r="H629" s="114">
        <v>7500</v>
      </c>
      <c r="I629" s="114">
        <v>7500</v>
      </c>
      <c r="J629" s="114">
        <v>6303</v>
      </c>
      <c r="K629" s="114">
        <v>1197</v>
      </c>
      <c r="L629" s="114" t="str">
        <f t="shared" si="9"/>
        <v>INSERT INTO DETALLES_DOCUMENTO(NRO_DOCUMENTO,ID_TIPO,ID_PRODUCTO,CANTIDAD,PRECIO,VALOR_BRUTO,VALOR_NETO,VALOR_IVA) VALUES(292,1,143,1,7500,7500,6303,1197);</v>
      </c>
    </row>
    <row r="630" spans="1:12">
      <c r="A630" s="114">
        <v>1</v>
      </c>
      <c r="B630" s="114">
        <v>292</v>
      </c>
      <c r="C630" s="139" t="s">
        <v>2218</v>
      </c>
      <c r="D630" s="114" t="s">
        <v>2090</v>
      </c>
      <c r="E630" s="114">
        <v>159</v>
      </c>
      <c r="F630" s="114">
        <v>69</v>
      </c>
      <c r="G630" s="114">
        <v>1</v>
      </c>
      <c r="H630" s="114">
        <v>3000</v>
      </c>
      <c r="I630" s="114">
        <v>3000</v>
      </c>
      <c r="J630" s="114">
        <v>2521</v>
      </c>
      <c r="K630" s="114">
        <v>479</v>
      </c>
      <c r="L630" s="114" t="str">
        <f t="shared" si="9"/>
        <v>INSERT INTO DETALLES_DOCUMENTO(NRO_DOCUMENTO,ID_TIPO,ID_PRODUCTO,CANTIDAD,PRECIO,VALOR_BRUTO,VALOR_NETO,VALOR_IVA) VALUES(292,1,69,1,3000,3000,2521,479);</v>
      </c>
    </row>
    <row r="631" spans="1:12">
      <c r="A631" s="114">
        <v>1</v>
      </c>
      <c r="B631" s="114">
        <v>293</v>
      </c>
      <c r="C631" s="139" t="s">
        <v>2218</v>
      </c>
      <c r="D631" s="114" t="s">
        <v>2090</v>
      </c>
      <c r="E631" s="114">
        <v>202</v>
      </c>
      <c r="F631" s="114">
        <v>143</v>
      </c>
      <c r="G631" s="114">
        <v>1</v>
      </c>
      <c r="H631" s="114">
        <v>7500</v>
      </c>
      <c r="I631" s="114">
        <v>7500</v>
      </c>
      <c r="J631" s="114">
        <v>6303</v>
      </c>
      <c r="K631" s="114">
        <v>1197</v>
      </c>
      <c r="L631" s="114" t="str">
        <f t="shared" si="9"/>
        <v>INSERT INTO DETALLES_DOCUMENTO(NRO_DOCUMENTO,ID_TIPO,ID_PRODUCTO,CANTIDAD,PRECIO,VALOR_BRUTO,VALOR_NETO,VALOR_IVA) VALUES(293,1,143,1,7500,7500,6303,1197);</v>
      </c>
    </row>
    <row r="632" spans="1:12">
      <c r="A632" s="114">
        <v>1</v>
      </c>
      <c r="B632" s="114">
        <v>294</v>
      </c>
      <c r="C632" s="139" t="s">
        <v>2218</v>
      </c>
      <c r="D632" s="114" t="s">
        <v>2090</v>
      </c>
      <c r="E632" s="114">
        <v>237</v>
      </c>
      <c r="F632" s="114">
        <v>143</v>
      </c>
      <c r="G632" s="114">
        <v>2</v>
      </c>
      <c r="H632" s="114">
        <v>15000</v>
      </c>
      <c r="I632" s="114">
        <v>30000</v>
      </c>
      <c r="J632" s="114">
        <v>25210</v>
      </c>
      <c r="K632" s="114">
        <v>4790</v>
      </c>
      <c r="L632" s="114" t="str">
        <f t="shared" si="9"/>
        <v>INSERT INTO DETALLES_DOCUMENTO(NRO_DOCUMENTO,ID_TIPO,ID_PRODUCTO,CANTIDAD,PRECIO,VALOR_BRUTO,VALOR_NETO,VALOR_IVA) VALUES(294,1,143,2,15000,30000,25210,4790);</v>
      </c>
    </row>
    <row r="633" spans="1:12">
      <c r="A633" s="114">
        <v>1</v>
      </c>
      <c r="B633" s="114">
        <v>295</v>
      </c>
      <c r="C633" s="139" t="s">
        <v>2218</v>
      </c>
      <c r="D633" s="114" t="s">
        <v>2090</v>
      </c>
      <c r="E633" s="114">
        <v>297</v>
      </c>
      <c r="F633" s="114">
        <v>236</v>
      </c>
      <c r="G633" s="114">
        <v>1</v>
      </c>
      <c r="H633" s="114">
        <v>18990</v>
      </c>
      <c r="I633" s="114">
        <v>18990</v>
      </c>
      <c r="J633" s="114">
        <v>15958</v>
      </c>
      <c r="K633" s="114">
        <v>3032</v>
      </c>
      <c r="L633" s="114" t="str">
        <f t="shared" si="9"/>
        <v>INSERT INTO DETALLES_DOCUMENTO(NRO_DOCUMENTO,ID_TIPO,ID_PRODUCTO,CANTIDAD,PRECIO,VALOR_BRUTO,VALOR_NETO,VALOR_IVA) VALUES(295,1,236,1,18990,18990,15958,3032);</v>
      </c>
    </row>
    <row r="634" spans="1:12">
      <c r="A634" s="114">
        <v>1</v>
      </c>
      <c r="B634" s="114">
        <v>295</v>
      </c>
      <c r="C634" s="139" t="s">
        <v>2218</v>
      </c>
      <c r="D634" s="114" t="s">
        <v>2090</v>
      </c>
      <c r="E634" s="114">
        <v>297</v>
      </c>
      <c r="F634" s="114">
        <v>265</v>
      </c>
      <c r="G634" s="114">
        <v>1</v>
      </c>
      <c r="H634" s="114">
        <v>10000</v>
      </c>
      <c r="I634" s="114">
        <v>10000</v>
      </c>
      <c r="J634" s="114">
        <v>8403</v>
      </c>
      <c r="K634" s="114">
        <v>1597</v>
      </c>
      <c r="L634" s="114" t="str">
        <f t="shared" si="9"/>
        <v>INSERT INTO DETALLES_DOCUMENTO(NRO_DOCUMENTO,ID_TIPO,ID_PRODUCTO,CANTIDAD,PRECIO,VALOR_BRUTO,VALOR_NETO,VALOR_IVA) VALUES(295,1,265,1,10000,10000,8403,1597);</v>
      </c>
    </row>
    <row r="635" spans="1:12">
      <c r="A635" s="114">
        <v>1</v>
      </c>
      <c r="B635" s="114">
        <v>295</v>
      </c>
      <c r="C635" s="139" t="s">
        <v>2218</v>
      </c>
      <c r="D635" s="114" t="s">
        <v>2090</v>
      </c>
      <c r="E635" s="114">
        <v>297</v>
      </c>
      <c r="F635" s="114">
        <v>378</v>
      </c>
      <c r="G635" s="114">
        <v>2</v>
      </c>
      <c r="H635" s="114">
        <v>2400</v>
      </c>
      <c r="I635" s="114">
        <v>4800</v>
      </c>
      <c r="J635" s="114">
        <v>4034</v>
      </c>
      <c r="K635" s="114">
        <v>766</v>
      </c>
      <c r="L635" s="114" t="str">
        <f t="shared" si="9"/>
        <v>INSERT INTO DETALLES_DOCUMENTO(NRO_DOCUMENTO,ID_TIPO,ID_PRODUCTO,CANTIDAD,PRECIO,VALOR_BRUTO,VALOR_NETO,VALOR_IVA) VALUES(295,1,378,2,2400,4800,4034,766);</v>
      </c>
    </row>
    <row r="636" spans="1:12">
      <c r="A636" s="114">
        <v>1</v>
      </c>
      <c r="B636" s="114">
        <v>296</v>
      </c>
      <c r="C636" s="139" t="s">
        <v>2218</v>
      </c>
      <c r="D636" s="114" t="s">
        <v>2090</v>
      </c>
      <c r="E636" s="114">
        <v>416</v>
      </c>
      <c r="F636" s="114">
        <v>143</v>
      </c>
      <c r="G636" s="114">
        <v>1</v>
      </c>
      <c r="H636" s="114">
        <v>7500</v>
      </c>
      <c r="I636" s="114">
        <v>7500</v>
      </c>
      <c r="J636" s="114">
        <v>6303</v>
      </c>
      <c r="K636" s="114">
        <v>1197</v>
      </c>
      <c r="L636" s="114" t="str">
        <f t="shared" si="9"/>
        <v>INSERT INTO DETALLES_DOCUMENTO(NRO_DOCUMENTO,ID_TIPO,ID_PRODUCTO,CANTIDAD,PRECIO,VALOR_BRUTO,VALOR_NETO,VALOR_IVA) VALUES(296,1,143,1,7500,7500,6303,1197);</v>
      </c>
    </row>
    <row r="637" spans="1:12">
      <c r="A637" s="114">
        <v>1</v>
      </c>
      <c r="B637" s="114">
        <v>297</v>
      </c>
      <c r="C637" s="139" t="s">
        <v>2218</v>
      </c>
      <c r="D637" s="114" t="s">
        <v>2090</v>
      </c>
      <c r="E637" s="114">
        <v>428</v>
      </c>
      <c r="F637" s="114">
        <v>143</v>
      </c>
      <c r="G637" s="114">
        <v>1</v>
      </c>
      <c r="H637" s="114">
        <v>7500</v>
      </c>
      <c r="I637" s="114">
        <v>7500</v>
      </c>
      <c r="J637" s="114">
        <v>6303</v>
      </c>
      <c r="K637" s="114">
        <v>1197</v>
      </c>
      <c r="L637" s="114" t="str">
        <f t="shared" si="9"/>
        <v>INSERT INTO DETALLES_DOCUMENTO(NRO_DOCUMENTO,ID_TIPO,ID_PRODUCTO,CANTIDAD,PRECIO,VALOR_BRUTO,VALOR_NETO,VALOR_IVA) VALUES(297,1,143,1,7500,7500,6303,1197);</v>
      </c>
    </row>
    <row r="638" spans="1:12">
      <c r="A638" s="114">
        <v>1</v>
      </c>
      <c r="B638" s="114">
        <v>298</v>
      </c>
      <c r="C638" s="139" t="s">
        <v>2219</v>
      </c>
      <c r="D638" s="114" t="s">
        <v>2090</v>
      </c>
      <c r="E638" s="114">
        <v>68</v>
      </c>
      <c r="F638" s="114">
        <v>69</v>
      </c>
      <c r="G638" s="114">
        <v>1</v>
      </c>
      <c r="H638" s="114">
        <v>3000</v>
      </c>
      <c r="I638" s="114">
        <v>3000</v>
      </c>
      <c r="J638" s="114">
        <v>2521</v>
      </c>
      <c r="K638" s="114">
        <v>479</v>
      </c>
      <c r="L638" s="114" t="str">
        <f t="shared" si="9"/>
        <v>INSERT INTO DETALLES_DOCUMENTO(NRO_DOCUMENTO,ID_TIPO,ID_PRODUCTO,CANTIDAD,PRECIO,VALOR_BRUTO,VALOR_NETO,VALOR_IVA) VALUES(298,1,69,1,3000,3000,2521,479);</v>
      </c>
    </row>
    <row r="639" spans="1:12">
      <c r="A639" s="114">
        <v>1</v>
      </c>
      <c r="B639" s="114">
        <v>298</v>
      </c>
      <c r="C639" s="139" t="s">
        <v>2219</v>
      </c>
      <c r="D639" s="114" t="s">
        <v>2090</v>
      </c>
      <c r="E639" s="114">
        <v>68</v>
      </c>
      <c r="F639" s="114">
        <v>155</v>
      </c>
      <c r="G639" s="114">
        <v>1</v>
      </c>
      <c r="H639" s="114">
        <v>1650</v>
      </c>
      <c r="I639" s="114">
        <v>1650</v>
      </c>
      <c r="J639" s="114">
        <v>1387</v>
      </c>
      <c r="K639" s="114">
        <v>263</v>
      </c>
      <c r="L639" s="114" t="str">
        <f t="shared" si="9"/>
        <v>INSERT INTO DETALLES_DOCUMENTO(NRO_DOCUMENTO,ID_TIPO,ID_PRODUCTO,CANTIDAD,PRECIO,VALOR_BRUTO,VALOR_NETO,VALOR_IVA) VALUES(298,1,155,1,1650,1650,1387,263);</v>
      </c>
    </row>
    <row r="640" spans="1:12">
      <c r="A640" s="114">
        <v>1</v>
      </c>
      <c r="B640" s="114">
        <v>299</v>
      </c>
      <c r="C640" s="139" t="s">
        <v>2219</v>
      </c>
      <c r="D640" s="114" t="s">
        <v>2090</v>
      </c>
      <c r="E640" s="114">
        <v>155</v>
      </c>
      <c r="F640" s="114">
        <v>143</v>
      </c>
      <c r="G640" s="114">
        <v>1</v>
      </c>
      <c r="H640" s="114">
        <v>7500</v>
      </c>
      <c r="I640" s="114">
        <v>7500</v>
      </c>
      <c r="J640" s="114">
        <v>6303</v>
      </c>
      <c r="K640" s="114">
        <v>1197</v>
      </c>
      <c r="L640" s="114" t="str">
        <f t="shared" si="9"/>
        <v>INSERT INTO DETALLES_DOCUMENTO(NRO_DOCUMENTO,ID_TIPO,ID_PRODUCTO,CANTIDAD,PRECIO,VALOR_BRUTO,VALOR_NETO,VALOR_IVA) VALUES(299,1,143,1,7500,7500,6303,1197);</v>
      </c>
    </row>
    <row r="641" spans="1:12">
      <c r="A641" s="114">
        <v>1</v>
      </c>
      <c r="B641" s="114">
        <v>300</v>
      </c>
      <c r="C641" s="139" t="s">
        <v>2219</v>
      </c>
      <c r="D641" s="114" t="s">
        <v>2090</v>
      </c>
      <c r="E641" s="114">
        <v>166</v>
      </c>
      <c r="F641" s="114">
        <v>135</v>
      </c>
      <c r="G641" s="114">
        <v>1</v>
      </c>
      <c r="H641" s="114">
        <v>1000</v>
      </c>
      <c r="I641" s="114">
        <v>1000</v>
      </c>
      <c r="J641" s="114">
        <v>840</v>
      </c>
      <c r="K641" s="114">
        <v>160</v>
      </c>
      <c r="L641" s="114" t="str">
        <f t="shared" si="9"/>
        <v>INSERT INTO DETALLES_DOCUMENTO(NRO_DOCUMENTO,ID_TIPO,ID_PRODUCTO,CANTIDAD,PRECIO,VALOR_BRUTO,VALOR_NETO,VALOR_IVA) VALUES(300,1,135,1,1000,1000,840,160);</v>
      </c>
    </row>
    <row r="642" spans="1:12">
      <c r="A642" s="114">
        <v>1</v>
      </c>
      <c r="B642" s="114">
        <v>300</v>
      </c>
      <c r="C642" s="139" t="s">
        <v>2219</v>
      </c>
      <c r="D642" s="114" t="s">
        <v>2090</v>
      </c>
      <c r="E642" s="114">
        <v>166</v>
      </c>
      <c r="F642" s="114">
        <v>118</v>
      </c>
      <c r="G642" s="114">
        <v>1</v>
      </c>
      <c r="H642" s="114">
        <v>3500</v>
      </c>
      <c r="I642" s="114">
        <v>3500</v>
      </c>
      <c r="J642" s="114">
        <v>2941</v>
      </c>
      <c r="K642" s="114">
        <v>559</v>
      </c>
      <c r="L642" s="114" t="str">
        <f t="shared" si="9"/>
        <v>INSERT INTO DETALLES_DOCUMENTO(NRO_DOCUMENTO,ID_TIPO,ID_PRODUCTO,CANTIDAD,PRECIO,VALOR_BRUTO,VALOR_NETO,VALOR_IVA) VALUES(300,1,118,1,3500,3500,2941,559);</v>
      </c>
    </row>
    <row r="643" spans="1:12">
      <c r="A643" s="114">
        <v>1</v>
      </c>
      <c r="B643" s="114">
        <v>301</v>
      </c>
      <c r="C643" s="139" t="s">
        <v>2219</v>
      </c>
      <c r="D643" s="114" t="s">
        <v>2090</v>
      </c>
      <c r="E643" s="114">
        <v>466</v>
      </c>
      <c r="F643" s="114">
        <v>136</v>
      </c>
      <c r="G643" s="114">
        <v>2</v>
      </c>
      <c r="H643" s="114">
        <v>9000</v>
      </c>
      <c r="I643" s="114">
        <v>18000</v>
      </c>
      <c r="J643" s="114">
        <v>15126</v>
      </c>
      <c r="K643" s="114">
        <v>2874</v>
      </c>
      <c r="L643" s="114" t="str">
        <f t="shared" ref="L643:L706" si="10">CONCATENATE("INSERT INTO DETALLES_DOCUMENTO(NRO_DOCUMENTO,ID_TIPO,ID_PRODUCTO,CANTIDAD,PRECIO,VALOR_BRUTO,VALOR_NETO,VALOR_IVA) VALUES(",B643,",",A643,",",F643,",",G643,",",H643,",",I643,",",J643,",",K643,");")</f>
        <v>INSERT INTO DETALLES_DOCUMENTO(NRO_DOCUMENTO,ID_TIPO,ID_PRODUCTO,CANTIDAD,PRECIO,VALOR_BRUTO,VALOR_NETO,VALOR_IVA) VALUES(301,1,136,2,9000,18000,15126,2874);</v>
      </c>
    </row>
    <row r="644" spans="1:12">
      <c r="A644" s="114">
        <v>1</v>
      </c>
      <c r="B644" s="114">
        <v>302</v>
      </c>
      <c r="C644" s="139" t="s">
        <v>2220</v>
      </c>
      <c r="D644" s="114" t="s">
        <v>2090</v>
      </c>
      <c r="E644" s="114">
        <v>51</v>
      </c>
      <c r="F644" s="114">
        <v>143</v>
      </c>
      <c r="G644" s="114">
        <v>1</v>
      </c>
      <c r="H644" s="114">
        <v>7500</v>
      </c>
      <c r="I644" s="114">
        <v>7500</v>
      </c>
      <c r="J644" s="114">
        <v>6303</v>
      </c>
      <c r="K644" s="114">
        <v>1197</v>
      </c>
      <c r="L644" s="114" t="str">
        <f t="shared" si="10"/>
        <v>INSERT INTO DETALLES_DOCUMENTO(NRO_DOCUMENTO,ID_TIPO,ID_PRODUCTO,CANTIDAD,PRECIO,VALOR_BRUTO,VALOR_NETO,VALOR_IVA) VALUES(302,1,143,1,7500,7500,6303,1197);</v>
      </c>
    </row>
    <row r="645" spans="1:12">
      <c r="A645" s="114">
        <v>1</v>
      </c>
      <c r="B645" s="114">
        <v>302</v>
      </c>
      <c r="C645" s="139" t="s">
        <v>2220</v>
      </c>
      <c r="D645" s="114" t="s">
        <v>2090</v>
      </c>
      <c r="E645" s="114">
        <v>51</v>
      </c>
      <c r="F645" s="114">
        <v>277</v>
      </c>
      <c r="G645" s="114">
        <v>1</v>
      </c>
      <c r="H645" s="114">
        <v>10000</v>
      </c>
      <c r="I645" s="114">
        <v>10000</v>
      </c>
      <c r="J645" s="114">
        <v>8403</v>
      </c>
      <c r="K645" s="114">
        <v>1597</v>
      </c>
      <c r="L645" s="114" t="str">
        <f t="shared" si="10"/>
        <v>INSERT INTO DETALLES_DOCUMENTO(NRO_DOCUMENTO,ID_TIPO,ID_PRODUCTO,CANTIDAD,PRECIO,VALOR_BRUTO,VALOR_NETO,VALOR_IVA) VALUES(302,1,277,1,10000,10000,8403,1597);</v>
      </c>
    </row>
    <row r="646" spans="1:12">
      <c r="A646" s="114">
        <v>1</v>
      </c>
      <c r="B646" s="114">
        <v>302</v>
      </c>
      <c r="C646" s="139" t="s">
        <v>2220</v>
      </c>
      <c r="D646" s="114" t="s">
        <v>2090</v>
      </c>
      <c r="E646" s="114">
        <v>51</v>
      </c>
      <c r="F646" s="114">
        <v>236</v>
      </c>
      <c r="G646" s="114">
        <v>1</v>
      </c>
      <c r="H646" s="114">
        <v>18990</v>
      </c>
      <c r="I646" s="114">
        <v>18990</v>
      </c>
      <c r="J646" s="114">
        <v>15958</v>
      </c>
      <c r="K646" s="114">
        <v>3032</v>
      </c>
      <c r="L646" s="114" t="str">
        <f t="shared" si="10"/>
        <v>INSERT INTO DETALLES_DOCUMENTO(NRO_DOCUMENTO,ID_TIPO,ID_PRODUCTO,CANTIDAD,PRECIO,VALOR_BRUTO,VALOR_NETO,VALOR_IVA) VALUES(302,1,236,1,18990,18990,15958,3032);</v>
      </c>
    </row>
    <row r="647" spans="1:12">
      <c r="A647" s="114">
        <v>1</v>
      </c>
      <c r="B647" s="114">
        <v>303</v>
      </c>
      <c r="C647" s="139" t="s">
        <v>2220</v>
      </c>
      <c r="D647" s="114" t="s">
        <v>2090</v>
      </c>
      <c r="E647" s="114">
        <v>62</v>
      </c>
      <c r="F647" s="114">
        <v>117</v>
      </c>
      <c r="G647" s="114">
        <v>4</v>
      </c>
      <c r="H647" s="114">
        <v>14000</v>
      </c>
      <c r="I647" s="114">
        <v>56000</v>
      </c>
      <c r="J647" s="114">
        <v>47059</v>
      </c>
      <c r="K647" s="114">
        <v>8941</v>
      </c>
      <c r="L647" s="114" t="str">
        <f t="shared" si="10"/>
        <v>INSERT INTO DETALLES_DOCUMENTO(NRO_DOCUMENTO,ID_TIPO,ID_PRODUCTO,CANTIDAD,PRECIO,VALOR_BRUTO,VALOR_NETO,VALOR_IVA) VALUES(303,1,117,4,14000,56000,47059,8941);</v>
      </c>
    </row>
    <row r="648" spans="1:12">
      <c r="A648" s="114">
        <v>1</v>
      </c>
      <c r="B648" s="114">
        <v>303</v>
      </c>
      <c r="C648" s="139" t="s">
        <v>2220</v>
      </c>
      <c r="D648" s="114" t="s">
        <v>2090</v>
      </c>
      <c r="E648" s="114">
        <v>62</v>
      </c>
      <c r="F648" s="114">
        <v>356</v>
      </c>
      <c r="G648" s="114">
        <v>1</v>
      </c>
      <c r="H648" s="114">
        <v>3000</v>
      </c>
      <c r="I648" s="114">
        <v>3000</v>
      </c>
      <c r="J648" s="114">
        <v>2521</v>
      </c>
      <c r="K648" s="114">
        <v>479</v>
      </c>
      <c r="L648" s="114" t="str">
        <f t="shared" si="10"/>
        <v>INSERT INTO DETALLES_DOCUMENTO(NRO_DOCUMENTO,ID_TIPO,ID_PRODUCTO,CANTIDAD,PRECIO,VALOR_BRUTO,VALOR_NETO,VALOR_IVA) VALUES(303,1,356,1,3000,3000,2521,479);</v>
      </c>
    </row>
    <row r="649" spans="1:12">
      <c r="A649" s="114">
        <v>1</v>
      </c>
      <c r="B649" s="114">
        <v>303</v>
      </c>
      <c r="C649" s="139" t="s">
        <v>2220</v>
      </c>
      <c r="D649" s="114" t="s">
        <v>2090</v>
      </c>
      <c r="E649" s="114">
        <v>62</v>
      </c>
      <c r="F649" s="114">
        <v>97</v>
      </c>
      <c r="G649" s="114">
        <v>1</v>
      </c>
      <c r="H649" s="114">
        <v>2000</v>
      </c>
      <c r="I649" s="114">
        <v>2000</v>
      </c>
      <c r="J649" s="114">
        <v>1681</v>
      </c>
      <c r="K649" s="114">
        <v>319</v>
      </c>
      <c r="L649" s="114" t="str">
        <f t="shared" si="10"/>
        <v>INSERT INTO DETALLES_DOCUMENTO(NRO_DOCUMENTO,ID_TIPO,ID_PRODUCTO,CANTIDAD,PRECIO,VALOR_BRUTO,VALOR_NETO,VALOR_IVA) VALUES(303,1,97,1,2000,2000,1681,319);</v>
      </c>
    </row>
    <row r="650" spans="1:12">
      <c r="A650" s="114">
        <v>1</v>
      </c>
      <c r="B650" s="114">
        <v>303</v>
      </c>
      <c r="C650" s="139" t="s">
        <v>2220</v>
      </c>
      <c r="D650" s="114" t="s">
        <v>2090</v>
      </c>
      <c r="E650" s="114">
        <v>62</v>
      </c>
      <c r="F650" s="114">
        <v>162</v>
      </c>
      <c r="G650" s="114">
        <v>2</v>
      </c>
      <c r="H650" s="114">
        <v>3200</v>
      </c>
      <c r="I650" s="114">
        <v>6400</v>
      </c>
      <c r="J650" s="114">
        <v>5378</v>
      </c>
      <c r="K650" s="114">
        <v>1022</v>
      </c>
      <c r="L650" s="114" t="str">
        <f t="shared" si="10"/>
        <v>INSERT INTO DETALLES_DOCUMENTO(NRO_DOCUMENTO,ID_TIPO,ID_PRODUCTO,CANTIDAD,PRECIO,VALOR_BRUTO,VALOR_NETO,VALOR_IVA) VALUES(303,1,162,2,3200,6400,5378,1022);</v>
      </c>
    </row>
    <row r="651" spans="1:12">
      <c r="A651" s="114">
        <v>1</v>
      </c>
      <c r="B651" s="114">
        <v>303</v>
      </c>
      <c r="C651" s="139" t="s">
        <v>2220</v>
      </c>
      <c r="D651" s="114" t="s">
        <v>2090</v>
      </c>
      <c r="E651" s="114">
        <v>62</v>
      </c>
      <c r="F651" s="114">
        <v>368</v>
      </c>
      <c r="G651" s="114">
        <v>3</v>
      </c>
      <c r="H651" s="114">
        <v>9000</v>
      </c>
      <c r="I651" s="114">
        <v>27000</v>
      </c>
      <c r="J651" s="114">
        <v>22689</v>
      </c>
      <c r="K651" s="114">
        <v>4311</v>
      </c>
      <c r="L651" s="114" t="str">
        <f t="shared" si="10"/>
        <v>INSERT INTO DETALLES_DOCUMENTO(NRO_DOCUMENTO,ID_TIPO,ID_PRODUCTO,CANTIDAD,PRECIO,VALOR_BRUTO,VALOR_NETO,VALOR_IVA) VALUES(303,1,368,3,9000,27000,22689,4311);</v>
      </c>
    </row>
    <row r="652" spans="1:12">
      <c r="A652" s="114">
        <v>1</v>
      </c>
      <c r="B652" s="114">
        <v>303</v>
      </c>
      <c r="C652" s="139" t="s">
        <v>2220</v>
      </c>
      <c r="D652" s="114" t="s">
        <v>2090</v>
      </c>
      <c r="E652" s="114">
        <v>62</v>
      </c>
      <c r="F652" s="114">
        <v>231</v>
      </c>
      <c r="G652" s="114">
        <v>1</v>
      </c>
      <c r="H652" s="114">
        <v>19990</v>
      </c>
      <c r="I652" s="114">
        <v>19990</v>
      </c>
      <c r="J652" s="114">
        <v>16798</v>
      </c>
      <c r="K652" s="114">
        <v>3192</v>
      </c>
      <c r="L652" s="114" t="str">
        <f t="shared" si="10"/>
        <v>INSERT INTO DETALLES_DOCUMENTO(NRO_DOCUMENTO,ID_TIPO,ID_PRODUCTO,CANTIDAD,PRECIO,VALOR_BRUTO,VALOR_NETO,VALOR_IVA) VALUES(303,1,231,1,19990,19990,16798,3192);</v>
      </c>
    </row>
    <row r="653" spans="1:12">
      <c r="A653" s="114">
        <v>1</v>
      </c>
      <c r="B653" s="114">
        <v>303</v>
      </c>
      <c r="C653" s="139" t="s">
        <v>2220</v>
      </c>
      <c r="D653" s="114" t="s">
        <v>2090</v>
      </c>
      <c r="E653" s="114">
        <v>62</v>
      </c>
      <c r="F653" s="114">
        <v>69</v>
      </c>
      <c r="G653" s="114">
        <v>1</v>
      </c>
      <c r="H653" s="114">
        <v>3000</v>
      </c>
      <c r="I653" s="114">
        <v>3000</v>
      </c>
      <c r="J653" s="114">
        <v>2521</v>
      </c>
      <c r="K653" s="114">
        <v>479</v>
      </c>
      <c r="L653" s="114" t="str">
        <f t="shared" si="10"/>
        <v>INSERT INTO DETALLES_DOCUMENTO(NRO_DOCUMENTO,ID_TIPO,ID_PRODUCTO,CANTIDAD,PRECIO,VALOR_BRUTO,VALOR_NETO,VALOR_IVA) VALUES(303,1,69,1,3000,3000,2521,479);</v>
      </c>
    </row>
    <row r="654" spans="1:12">
      <c r="A654" s="114">
        <v>1</v>
      </c>
      <c r="B654" s="114">
        <v>303</v>
      </c>
      <c r="C654" s="139" t="s">
        <v>2220</v>
      </c>
      <c r="D654" s="114" t="s">
        <v>2090</v>
      </c>
      <c r="E654" s="114">
        <v>62</v>
      </c>
      <c r="F654" s="114">
        <v>67</v>
      </c>
      <c r="G654" s="114">
        <v>1</v>
      </c>
      <c r="H654" s="114">
        <v>650</v>
      </c>
      <c r="I654" s="114">
        <v>650</v>
      </c>
      <c r="J654" s="114">
        <v>546</v>
      </c>
      <c r="K654" s="114">
        <v>104</v>
      </c>
      <c r="L654" s="114" t="str">
        <f t="shared" si="10"/>
        <v>INSERT INTO DETALLES_DOCUMENTO(NRO_DOCUMENTO,ID_TIPO,ID_PRODUCTO,CANTIDAD,PRECIO,VALOR_BRUTO,VALOR_NETO,VALOR_IVA) VALUES(303,1,67,1,650,650,546,104);</v>
      </c>
    </row>
    <row r="655" spans="1:12">
      <c r="A655" s="114">
        <v>1</v>
      </c>
      <c r="B655" s="114">
        <v>303</v>
      </c>
      <c r="C655" s="139" t="s">
        <v>2220</v>
      </c>
      <c r="D655" s="114" t="s">
        <v>2090</v>
      </c>
      <c r="E655" s="114">
        <v>62</v>
      </c>
      <c r="F655" s="114">
        <v>386</v>
      </c>
      <c r="G655" s="114">
        <v>2</v>
      </c>
      <c r="H655" s="114">
        <v>5400</v>
      </c>
      <c r="I655" s="114">
        <v>10800</v>
      </c>
      <c r="J655" s="114">
        <v>9076</v>
      </c>
      <c r="K655" s="114">
        <v>1724</v>
      </c>
      <c r="L655" s="114" t="str">
        <f t="shared" si="10"/>
        <v>INSERT INTO DETALLES_DOCUMENTO(NRO_DOCUMENTO,ID_TIPO,ID_PRODUCTO,CANTIDAD,PRECIO,VALOR_BRUTO,VALOR_NETO,VALOR_IVA) VALUES(303,1,386,2,5400,10800,9076,1724);</v>
      </c>
    </row>
    <row r="656" spans="1:12">
      <c r="A656" s="114">
        <v>1</v>
      </c>
      <c r="B656" s="114">
        <v>304</v>
      </c>
      <c r="C656" s="139" t="s">
        <v>2220</v>
      </c>
      <c r="D656" s="114" t="s">
        <v>2090</v>
      </c>
      <c r="E656" s="114">
        <v>110</v>
      </c>
      <c r="F656" s="114">
        <v>118</v>
      </c>
      <c r="G656" s="114">
        <v>1</v>
      </c>
      <c r="H656" s="114">
        <v>3500</v>
      </c>
      <c r="I656" s="114">
        <v>3500</v>
      </c>
      <c r="J656" s="114">
        <v>2941</v>
      </c>
      <c r="K656" s="114">
        <v>559</v>
      </c>
      <c r="L656" s="114" t="str">
        <f t="shared" si="10"/>
        <v>INSERT INTO DETALLES_DOCUMENTO(NRO_DOCUMENTO,ID_TIPO,ID_PRODUCTO,CANTIDAD,PRECIO,VALOR_BRUTO,VALOR_NETO,VALOR_IVA) VALUES(304,1,118,1,3500,3500,2941,559);</v>
      </c>
    </row>
    <row r="657" spans="1:12">
      <c r="A657" s="114">
        <v>1</v>
      </c>
      <c r="B657" s="114">
        <v>305</v>
      </c>
      <c r="C657" s="139" t="s">
        <v>2220</v>
      </c>
      <c r="D657" s="114" t="s">
        <v>2090</v>
      </c>
      <c r="E657" s="114">
        <v>353</v>
      </c>
      <c r="F657" s="114">
        <v>136</v>
      </c>
      <c r="G657" s="114">
        <v>1</v>
      </c>
      <c r="H657" s="114">
        <v>4500</v>
      </c>
      <c r="I657" s="114">
        <v>4500</v>
      </c>
      <c r="J657" s="114">
        <v>3782</v>
      </c>
      <c r="K657" s="114">
        <v>718</v>
      </c>
      <c r="L657" s="114" t="str">
        <f t="shared" si="10"/>
        <v>INSERT INTO DETALLES_DOCUMENTO(NRO_DOCUMENTO,ID_TIPO,ID_PRODUCTO,CANTIDAD,PRECIO,VALOR_BRUTO,VALOR_NETO,VALOR_IVA) VALUES(305,1,136,1,4500,4500,3782,718);</v>
      </c>
    </row>
    <row r="658" spans="1:12">
      <c r="A658" s="114">
        <v>1</v>
      </c>
      <c r="B658" s="114">
        <v>306</v>
      </c>
      <c r="C658" s="139" t="s">
        <v>2220</v>
      </c>
      <c r="D658" s="114" t="s">
        <v>2090</v>
      </c>
      <c r="E658" s="114">
        <v>402</v>
      </c>
      <c r="F658" s="114">
        <v>143</v>
      </c>
      <c r="G658" s="114">
        <v>1</v>
      </c>
      <c r="H658" s="114">
        <v>7500</v>
      </c>
      <c r="I658" s="114">
        <v>7500</v>
      </c>
      <c r="J658" s="114">
        <v>6303</v>
      </c>
      <c r="K658" s="114">
        <v>1197</v>
      </c>
      <c r="L658" s="114" t="str">
        <f t="shared" si="10"/>
        <v>INSERT INTO DETALLES_DOCUMENTO(NRO_DOCUMENTO,ID_TIPO,ID_PRODUCTO,CANTIDAD,PRECIO,VALOR_BRUTO,VALOR_NETO,VALOR_IVA) VALUES(306,1,143,1,7500,7500,6303,1197);</v>
      </c>
    </row>
    <row r="659" spans="1:12">
      <c r="A659" s="114">
        <v>1</v>
      </c>
      <c r="B659" s="114">
        <v>307</v>
      </c>
      <c r="C659" s="139" t="s">
        <v>2220</v>
      </c>
      <c r="D659" s="114" t="s">
        <v>2090</v>
      </c>
      <c r="E659" s="114">
        <v>407</v>
      </c>
      <c r="F659" s="114">
        <v>143</v>
      </c>
      <c r="G659" s="114">
        <v>1</v>
      </c>
      <c r="H659" s="114">
        <v>7500</v>
      </c>
      <c r="I659" s="114">
        <v>7500</v>
      </c>
      <c r="J659" s="114">
        <v>6303</v>
      </c>
      <c r="K659" s="114">
        <v>1197</v>
      </c>
      <c r="L659" s="114" t="str">
        <f t="shared" si="10"/>
        <v>INSERT INTO DETALLES_DOCUMENTO(NRO_DOCUMENTO,ID_TIPO,ID_PRODUCTO,CANTIDAD,PRECIO,VALOR_BRUTO,VALOR_NETO,VALOR_IVA) VALUES(307,1,143,1,7500,7500,6303,1197);</v>
      </c>
    </row>
    <row r="660" spans="1:12">
      <c r="A660" s="114">
        <v>1</v>
      </c>
      <c r="B660" s="114">
        <v>308</v>
      </c>
      <c r="C660" s="139" t="s">
        <v>2220</v>
      </c>
      <c r="D660" s="114" t="s">
        <v>2090</v>
      </c>
      <c r="E660" s="114">
        <v>451</v>
      </c>
      <c r="F660" s="114">
        <v>383</v>
      </c>
      <c r="G660" s="114">
        <v>1</v>
      </c>
      <c r="H660" s="114">
        <v>2400</v>
      </c>
      <c r="I660" s="114">
        <v>2400</v>
      </c>
      <c r="J660" s="114">
        <v>2017</v>
      </c>
      <c r="K660" s="114">
        <v>383</v>
      </c>
      <c r="L660" s="114" t="str">
        <f t="shared" si="10"/>
        <v>INSERT INTO DETALLES_DOCUMENTO(NRO_DOCUMENTO,ID_TIPO,ID_PRODUCTO,CANTIDAD,PRECIO,VALOR_BRUTO,VALOR_NETO,VALOR_IVA) VALUES(308,1,383,1,2400,2400,2017,383);</v>
      </c>
    </row>
    <row r="661" spans="1:12">
      <c r="A661" s="114">
        <v>1</v>
      </c>
      <c r="B661" s="114">
        <v>308</v>
      </c>
      <c r="C661" s="139" t="s">
        <v>2220</v>
      </c>
      <c r="D661" s="114" t="s">
        <v>2090</v>
      </c>
      <c r="E661" s="114">
        <v>451</v>
      </c>
      <c r="F661" s="114">
        <v>165</v>
      </c>
      <c r="G661" s="114">
        <v>1</v>
      </c>
      <c r="H661" s="114">
        <v>2000</v>
      </c>
      <c r="I661" s="114">
        <v>2000</v>
      </c>
      <c r="J661" s="114">
        <v>1681</v>
      </c>
      <c r="K661" s="114">
        <v>319</v>
      </c>
      <c r="L661" s="114" t="str">
        <f t="shared" si="10"/>
        <v>INSERT INTO DETALLES_DOCUMENTO(NRO_DOCUMENTO,ID_TIPO,ID_PRODUCTO,CANTIDAD,PRECIO,VALOR_BRUTO,VALOR_NETO,VALOR_IVA) VALUES(308,1,165,1,2000,2000,1681,319);</v>
      </c>
    </row>
    <row r="662" spans="1:12">
      <c r="A662" s="114">
        <v>1</v>
      </c>
      <c r="B662" s="114">
        <v>309</v>
      </c>
      <c r="C662" s="139" t="s">
        <v>2221</v>
      </c>
      <c r="D662" s="114" t="s">
        <v>2090</v>
      </c>
      <c r="E662" s="114">
        <v>82</v>
      </c>
      <c r="F662" s="114">
        <v>324</v>
      </c>
      <c r="G662" s="114">
        <v>1</v>
      </c>
      <c r="H662" s="114">
        <v>10500</v>
      </c>
      <c r="I662" s="114">
        <v>10500</v>
      </c>
      <c r="J662" s="114">
        <v>8824</v>
      </c>
      <c r="K662" s="114">
        <v>1676</v>
      </c>
      <c r="L662" s="114" t="str">
        <f t="shared" si="10"/>
        <v>INSERT INTO DETALLES_DOCUMENTO(NRO_DOCUMENTO,ID_TIPO,ID_PRODUCTO,CANTIDAD,PRECIO,VALOR_BRUTO,VALOR_NETO,VALOR_IVA) VALUES(309,1,324,1,10500,10500,8824,1676);</v>
      </c>
    </row>
    <row r="663" spans="1:12">
      <c r="A663" s="114">
        <v>1</v>
      </c>
      <c r="B663" s="114">
        <v>310</v>
      </c>
      <c r="C663" s="139" t="s">
        <v>2221</v>
      </c>
      <c r="D663" s="114" t="s">
        <v>2090</v>
      </c>
      <c r="E663" s="114">
        <v>86</v>
      </c>
      <c r="F663" s="114">
        <v>143</v>
      </c>
      <c r="G663" s="114">
        <v>2</v>
      </c>
      <c r="H663" s="114">
        <v>15000</v>
      </c>
      <c r="I663" s="114">
        <v>30000</v>
      </c>
      <c r="J663" s="114">
        <v>25210</v>
      </c>
      <c r="K663" s="114">
        <v>4790</v>
      </c>
      <c r="L663" s="114" t="str">
        <f t="shared" si="10"/>
        <v>INSERT INTO DETALLES_DOCUMENTO(NRO_DOCUMENTO,ID_TIPO,ID_PRODUCTO,CANTIDAD,PRECIO,VALOR_BRUTO,VALOR_NETO,VALOR_IVA) VALUES(310,1,143,2,15000,30000,25210,4790);</v>
      </c>
    </row>
    <row r="664" spans="1:12">
      <c r="A664" s="114">
        <v>1</v>
      </c>
      <c r="B664" s="114">
        <v>311</v>
      </c>
      <c r="C664" s="139" t="s">
        <v>2221</v>
      </c>
      <c r="D664" s="114" t="s">
        <v>2090</v>
      </c>
      <c r="E664" s="114">
        <v>166</v>
      </c>
      <c r="F664" s="114">
        <v>55</v>
      </c>
      <c r="G664" s="114">
        <v>1</v>
      </c>
      <c r="H664" s="114">
        <v>1600</v>
      </c>
      <c r="I664" s="114">
        <v>1600</v>
      </c>
      <c r="J664" s="114">
        <v>1345</v>
      </c>
      <c r="K664" s="114">
        <v>255</v>
      </c>
      <c r="L664" s="114" t="str">
        <f t="shared" si="10"/>
        <v>INSERT INTO DETALLES_DOCUMENTO(NRO_DOCUMENTO,ID_TIPO,ID_PRODUCTO,CANTIDAD,PRECIO,VALOR_BRUTO,VALOR_NETO,VALOR_IVA) VALUES(311,1,55,1,1600,1600,1345,255);</v>
      </c>
    </row>
    <row r="665" spans="1:12">
      <c r="A665" s="114">
        <v>1</v>
      </c>
      <c r="B665" s="114">
        <v>312</v>
      </c>
      <c r="C665" s="139" t="s">
        <v>2221</v>
      </c>
      <c r="D665" s="114" t="s">
        <v>2090</v>
      </c>
      <c r="E665" s="114">
        <v>302</v>
      </c>
      <c r="F665" s="114">
        <v>143</v>
      </c>
      <c r="G665" s="114">
        <v>1</v>
      </c>
      <c r="H665" s="114">
        <v>7500</v>
      </c>
      <c r="I665" s="114">
        <v>7500</v>
      </c>
      <c r="J665" s="114">
        <v>6303</v>
      </c>
      <c r="K665" s="114">
        <v>1197</v>
      </c>
      <c r="L665" s="114" t="str">
        <f t="shared" si="10"/>
        <v>INSERT INTO DETALLES_DOCUMENTO(NRO_DOCUMENTO,ID_TIPO,ID_PRODUCTO,CANTIDAD,PRECIO,VALOR_BRUTO,VALOR_NETO,VALOR_IVA) VALUES(312,1,143,1,7500,7500,6303,1197);</v>
      </c>
    </row>
    <row r="666" spans="1:12">
      <c r="A666" s="114">
        <v>1</v>
      </c>
      <c r="B666" s="114">
        <v>312</v>
      </c>
      <c r="C666" s="139" t="s">
        <v>2221</v>
      </c>
      <c r="D666" s="114" t="s">
        <v>2090</v>
      </c>
      <c r="E666" s="114">
        <v>302</v>
      </c>
      <c r="F666" s="114">
        <v>324</v>
      </c>
      <c r="G666" s="114">
        <v>1</v>
      </c>
      <c r="H666" s="114">
        <v>10500</v>
      </c>
      <c r="I666" s="114">
        <v>10500</v>
      </c>
      <c r="J666" s="114">
        <v>8824</v>
      </c>
      <c r="K666" s="114">
        <v>1676</v>
      </c>
      <c r="L666" s="114" t="str">
        <f t="shared" si="10"/>
        <v>INSERT INTO DETALLES_DOCUMENTO(NRO_DOCUMENTO,ID_TIPO,ID_PRODUCTO,CANTIDAD,PRECIO,VALOR_BRUTO,VALOR_NETO,VALOR_IVA) VALUES(312,1,324,1,10500,10500,8824,1676);</v>
      </c>
    </row>
    <row r="667" spans="1:12">
      <c r="A667" s="114">
        <v>1</v>
      </c>
      <c r="B667" s="114">
        <v>313</v>
      </c>
      <c r="C667" s="139" t="s">
        <v>2222</v>
      </c>
      <c r="D667" s="114" t="s">
        <v>2090</v>
      </c>
      <c r="E667" s="114">
        <v>100</v>
      </c>
      <c r="F667" s="114">
        <v>361</v>
      </c>
      <c r="G667" s="114">
        <v>1</v>
      </c>
      <c r="H667" s="114">
        <v>3500</v>
      </c>
      <c r="I667" s="114">
        <v>3500</v>
      </c>
      <c r="J667" s="114">
        <v>2941</v>
      </c>
      <c r="K667" s="114">
        <v>559</v>
      </c>
      <c r="L667" s="114" t="str">
        <f t="shared" si="10"/>
        <v>INSERT INTO DETALLES_DOCUMENTO(NRO_DOCUMENTO,ID_TIPO,ID_PRODUCTO,CANTIDAD,PRECIO,VALOR_BRUTO,VALOR_NETO,VALOR_IVA) VALUES(313,1,361,1,3500,3500,2941,559);</v>
      </c>
    </row>
    <row r="668" spans="1:12">
      <c r="A668" s="114">
        <v>1</v>
      </c>
      <c r="B668" s="114">
        <v>313</v>
      </c>
      <c r="C668" s="139" t="s">
        <v>2222</v>
      </c>
      <c r="D668" s="114" t="s">
        <v>2090</v>
      </c>
      <c r="E668" s="114">
        <v>100</v>
      </c>
      <c r="F668" s="114">
        <v>354</v>
      </c>
      <c r="G668" s="114">
        <v>1</v>
      </c>
      <c r="H668" s="114">
        <v>1800</v>
      </c>
      <c r="I668" s="114">
        <v>1800</v>
      </c>
      <c r="J668" s="114">
        <v>1513</v>
      </c>
      <c r="K668" s="114">
        <v>287</v>
      </c>
      <c r="L668" s="114" t="str">
        <f t="shared" si="10"/>
        <v>INSERT INTO DETALLES_DOCUMENTO(NRO_DOCUMENTO,ID_TIPO,ID_PRODUCTO,CANTIDAD,PRECIO,VALOR_BRUTO,VALOR_NETO,VALOR_IVA) VALUES(313,1,354,1,1800,1800,1513,287);</v>
      </c>
    </row>
    <row r="669" spans="1:12">
      <c r="A669" s="114">
        <v>1</v>
      </c>
      <c r="B669" s="114">
        <v>314</v>
      </c>
      <c r="C669" s="139" t="s">
        <v>2222</v>
      </c>
      <c r="D669" s="114" t="s">
        <v>2090</v>
      </c>
      <c r="E669" s="114">
        <v>112</v>
      </c>
      <c r="F669" s="114">
        <v>329</v>
      </c>
      <c r="G669" s="114">
        <v>1</v>
      </c>
      <c r="H669" s="114">
        <v>5500</v>
      </c>
      <c r="I669" s="114">
        <v>5500</v>
      </c>
      <c r="J669" s="114">
        <v>4622</v>
      </c>
      <c r="K669" s="114">
        <v>878</v>
      </c>
      <c r="L669" s="114" t="str">
        <f t="shared" si="10"/>
        <v>INSERT INTO DETALLES_DOCUMENTO(NRO_DOCUMENTO,ID_TIPO,ID_PRODUCTO,CANTIDAD,PRECIO,VALOR_BRUTO,VALOR_NETO,VALOR_IVA) VALUES(314,1,329,1,5500,5500,4622,878);</v>
      </c>
    </row>
    <row r="670" spans="1:12">
      <c r="A670" s="114">
        <v>1</v>
      </c>
      <c r="B670" s="114">
        <v>315</v>
      </c>
      <c r="C670" s="139" t="s">
        <v>2222</v>
      </c>
      <c r="D670" s="114" t="s">
        <v>2090</v>
      </c>
      <c r="E670" s="114">
        <v>122</v>
      </c>
      <c r="F670" s="114">
        <v>143</v>
      </c>
      <c r="G670" s="114">
        <v>2</v>
      </c>
      <c r="H670" s="114">
        <v>15200</v>
      </c>
      <c r="I670" s="114">
        <v>30400</v>
      </c>
      <c r="J670" s="114">
        <v>25546</v>
      </c>
      <c r="K670" s="114">
        <v>4854</v>
      </c>
      <c r="L670" s="114" t="str">
        <f t="shared" si="10"/>
        <v>INSERT INTO DETALLES_DOCUMENTO(NRO_DOCUMENTO,ID_TIPO,ID_PRODUCTO,CANTIDAD,PRECIO,VALOR_BRUTO,VALOR_NETO,VALOR_IVA) VALUES(315,1,143,2,15200,30400,25546,4854);</v>
      </c>
    </row>
    <row r="671" spans="1:12">
      <c r="A671" s="114">
        <v>1</v>
      </c>
      <c r="B671" s="114">
        <v>316</v>
      </c>
      <c r="C671" s="139" t="s">
        <v>2222</v>
      </c>
      <c r="D671" s="114" t="s">
        <v>2090</v>
      </c>
      <c r="E671" s="114">
        <v>128</v>
      </c>
      <c r="F671" s="114">
        <v>293</v>
      </c>
      <c r="G671" s="114">
        <v>1</v>
      </c>
      <c r="H671" s="114">
        <v>9500</v>
      </c>
      <c r="I671" s="114">
        <v>9500</v>
      </c>
      <c r="J671" s="114">
        <v>7983</v>
      </c>
      <c r="K671" s="114">
        <v>1517</v>
      </c>
      <c r="L671" s="114" t="str">
        <f t="shared" si="10"/>
        <v>INSERT INTO DETALLES_DOCUMENTO(NRO_DOCUMENTO,ID_TIPO,ID_PRODUCTO,CANTIDAD,PRECIO,VALOR_BRUTO,VALOR_NETO,VALOR_IVA) VALUES(316,1,293,1,9500,9500,7983,1517);</v>
      </c>
    </row>
    <row r="672" spans="1:12">
      <c r="A672" s="114">
        <v>1</v>
      </c>
      <c r="B672" s="114">
        <v>317</v>
      </c>
      <c r="C672" s="139" t="s">
        <v>2222</v>
      </c>
      <c r="D672" s="114" t="s">
        <v>2090</v>
      </c>
      <c r="E672" s="114">
        <v>163</v>
      </c>
      <c r="F672" s="114">
        <v>231</v>
      </c>
      <c r="G672" s="114">
        <v>1</v>
      </c>
      <c r="H672" s="114">
        <v>19990</v>
      </c>
      <c r="I672" s="114">
        <v>19990</v>
      </c>
      <c r="J672" s="114">
        <v>16798</v>
      </c>
      <c r="K672" s="114">
        <v>3192</v>
      </c>
      <c r="L672" s="114" t="str">
        <f t="shared" si="10"/>
        <v>INSERT INTO DETALLES_DOCUMENTO(NRO_DOCUMENTO,ID_TIPO,ID_PRODUCTO,CANTIDAD,PRECIO,VALOR_BRUTO,VALOR_NETO,VALOR_IVA) VALUES(317,1,231,1,19990,19990,16798,3192);</v>
      </c>
    </row>
    <row r="673" spans="1:12">
      <c r="A673" s="114">
        <v>1</v>
      </c>
      <c r="B673" s="114">
        <v>318</v>
      </c>
      <c r="C673" s="139" t="s">
        <v>2222</v>
      </c>
      <c r="D673" s="114" t="s">
        <v>2090</v>
      </c>
      <c r="E673" s="114">
        <v>401</v>
      </c>
      <c r="F673" s="114">
        <v>25</v>
      </c>
      <c r="G673" s="114">
        <v>1</v>
      </c>
      <c r="H673" s="114">
        <v>1800</v>
      </c>
      <c r="I673" s="114">
        <v>1800</v>
      </c>
      <c r="J673" s="114">
        <v>1513</v>
      </c>
      <c r="K673" s="114">
        <v>287</v>
      </c>
      <c r="L673" s="114" t="str">
        <f t="shared" si="10"/>
        <v>INSERT INTO DETALLES_DOCUMENTO(NRO_DOCUMENTO,ID_TIPO,ID_PRODUCTO,CANTIDAD,PRECIO,VALOR_BRUTO,VALOR_NETO,VALOR_IVA) VALUES(318,1,25,1,1800,1800,1513,287);</v>
      </c>
    </row>
    <row r="674" spans="1:12">
      <c r="A674" s="114">
        <v>1</v>
      </c>
      <c r="B674" s="114">
        <v>318</v>
      </c>
      <c r="C674" s="139" t="s">
        <v>2222</v>
      </c>
      <c r="D674" s="114" t="s">
        <v>2090</v>
      </c>
      <c r="E674" s="114">
        <v>401</v>
      </c>
      <c r="F674" s="114">
        <v>377</v>
      </c>
      <c r="G674" s="114">
        <v>1</v>
      </c>
      <c r="H674" s="114">
        <v>1600</v>
      </c>
      <c r="I674" s="114">
        <v>1600</v>
      </c>
      <c r="J674" s="114">
        <v>1345</v>
      </c>
      <c r="K674" s="114">
        <v>255</v>
      </c>
      <c r="L674" s="114" t="str">
        <f t="shared" si="10"/>
        <v>INSERT INTO DETALLES_DOCUMENTO(NRO_DOCUMENTO,ID_TIPO,ID_PRODUCTO,CANTIDAD,PRECIO,VALOR_BRUTO,VALOR_NETO,VALOR_IVA) VALUES(318,1,377,1,1600,1600,1345,255);</v>
      </c>
    </row>
    <row r="675" spans="1:12">
      <c r="A675" s="114">
        <v>1</v>
      </c>
      <c r="B675" s="114">
        <v>318</v>
      </c>
      <c r="C675" s="139" t="s">
        <v>2222</v>
      </c>
      <c r="D675" s="114" t="s">
        <v>2090</v>
      </c>
      <c r="E675" s="114">
        <v>401</v>
      </c>
      <c r="F675" s="114">
        <v>286</v>
      </c>
      <c r="G675" s="114">
        <v>1</v>
      </c>
      <c r="H675" s="114">
        <v>1100</v>
      </c>
      <c r="I675" s="114">
        <v>1100</v>
      </c>
      <c r="J675" s="114">
        <v>924</v>
      </c>
      <c r="K675" s="114">
        <v>176</v>
      </c>
      <c r="L675" s="114" t="str">
        <f t="shared" si="10"/>
        <v>INSERT INTO DETALLES_DOCUMENTO(NRO_DOCUMENTO,ID_TIPO,ID_PRODUCTO,CANTIDAD,PRECIO,VALOR_BRUTO,VALOR_NETO,VALOR_IVA) VALUES(318,1,286,1,1100,1100,924,176);</v>
      </c>
    </row>
    <row r="676" spans="1:12">
      <c r="A676" s="114">
        <v>1</v>
      </c>
      <c r="B676" s="114">
        <v>318</v>
      </c>
      <c r="C676" s="139" t="s">
        <v>2222</v>
      </c>
      <c r="D676" s="114" t="s">
        <v>2090</v>
      </c>
      <c r="E676" s="114">
        <v>401</v>
      </c>
      <c r="F676" s="114">
        <v>378</v>
      </c>
      <c r="G676" s="114">
        <v>2</v>
      </c>
      <c r="H676" s="114">
        <v>2400</v>
      </c>
      <c r="I676" s="114">
        <v>4800</v>
      </c>
      <c r="J676" s="114">
        <v>4034</v>
      </c>
      <c r="K676" s="114">
        <v>766</v>
      </c>
      <c r="L676" s="114" t="str">
        <f t="shared" si="10"/>
        <v>INSERT INTO DETALLES_DOCUMENTO(NRO_DOCUMENTO,ID_TIPO,ID_PRODUCTO,CANTIDAD,PRECIO,VALOR_BRUTO,VALOR_NETO,VALOR_IVA) VALUES(318,1,378,2,2400,4800,4034,766);</v>
      </c>
    </row>
    <row r="677" spans="1:12">
      <c r="A677" s="114">
        <v>1</v>
      </c>
      <c r="B677" s="114">
        <v>318</v>
      </c>
      <c r="C677" s="139" t="s">
        <v>2222</v>
      </c>
      <c r="D677" s="114" t="s">
        <v>2090</v>
      </c>
      <c r="E677" s="114">
        <v>401</v>
      </c>
      <c r="F677" s="114">
        <v>168</v>
      </c>
      <c r="G677" s="114">
        <v>1</v>
      </c>
      <c r="H677" s="114">
        <v>1500</v>
      </c>
      <c r="I677" s="114">
        <v>1500</v>
      </c>
      <c r="J677" s="114">
        <v>1261</v>
      </c>
      <c r="K677" s="114">
        <v>239</v>
      </c>
      <c r="L677" s="114" t="str">
        <f t="shared" si="10"/>
        <v>INSERT INTO DETALLES_DOCUMENTO(NRO_DOCUMENTO,ID_TIPO,ID_PRODUCTO,CANTIDAD,PRECIO,VALOR_BRUTO,VALOR_NETO,VALOR_IVA) VALUES(318,1,168,1,1500,1500,1261,239);</v>
      </c>
    </row>
    <row r="678" spans="1:12">
      <c r="A678" s="114">
        <v>1</v>
      </c>
      <c r="B678" s="114">
        <v>318</v>
      </c>
      <c r="C678" s="139" t="s">
        <v>2222</v>
      </c>
      <c r="D678" s="114" t="s">
        <v>2090</v>
      </c>
      <c r="E678" s="114">
        <v>401</v>
      </c>
      <c r="F678" s="114">
        <v>55</v>
      </c>
      <c r="G678" s="114">
        <v>1</v>
      </c>
      <c r="H678" s="114">
        <v>1600</v>
      </c>
      <c r="I678" s="114">
        <v>1600</v>
      </c>
      <c r="J678" s="114">
        <v>1345</v>
      </c>
      <c r="K678" s="114">
        <v>255</v>
      </c>
      <c r="L678" s="114" t="str">
        <f t="shared" si="10"/>
        <v>INSERT INTO DETALLES_DOCUMENTO(NRO_DOCUMENTO,ID_TIPO,ID_PRODUCTO,CANTIDAD,PRECIO,VALOR_BRUTO,VALOR_NETO,VALOR_IVA) VALUES(318,1,55,1,1600,1600,1345,255);</v>
      </c>
    </row>
    <row r="679" spans="1:12">
      <c r="A679" s="114">
        <v>1</v>
      </c>
      <c r="B679" s="114">
        <v>318</v>
      </c>
      <c r="C679" s="139" t="s">
        <v>2222</v>
      </c>
      <c r="D679" s="114" t="s">
        <v>2090</v>
      </c>
      <c r="E679" s="114">
        <v>401</v>
      </c>
      <c r="F679" s="114">
        <v>126</v>
      </c>
      <c r="G679" s="114">
        <v>1</v>
      </c>
      <c r="H679" s="114">
        <v>9000</v>
      </c>
      <c r="I679" s="114">
        <v>9000</v>
      </c>
      <c r="J679" s="114">
        <v>7563</v>
      </c>
      <c r="K679" s="114">
        <v>1437</v>
      </c>
      <c r="L679" s="114" t="str">
        <f t="shared" si="10"/>
        <v>INSERT INTO DETALLES_DOCUMENTO(NRO_DOCUMENTO,ID_TIPO,ID_PRODUCTO,CANTIDAD,PRECIO,VALOR_BRUTO,VALOR_NETO,VALOR_IVA) VALUES(318,1,126,1,9000,9000,7563,1437);</v>
      </c>
    </row>
    <row r="680" spans="1:12">
      <c r="A680" s="114">
        <v>1</v>
      </c>
      <c r="B680" s="114">
        <v>319</v>
      </c>
      <c r="C680" s="139" t="s">
        <v>2222</v>
      </c>
      <c r="D680" s="114" t="s">
        <v>2090</v>
      </c>
      <c r="E680" s="114">
        <v>412</v>
      </c>
      <c r="F680" s="114">
        <v>143</v>
      </c>
      <c r="G680" s="114">
        <v>1</v>
      </c>
      <c r="H680" s="114">
        <v>7500</v>
      </c>
      <c r="I680" s="114">
        <v>7500</v>
      </c>
      <c r="J680" s="114">
        <v>6303</v>
      </c>
      <c r="K680" s="114">
        <v>1197</v>
      </c>
      <c r="L680" s="114" t="str">
        <f t="shared" si="10"/>
        <v>INSERT INTO DETALLES_DOCUMENTO(NRO_DOCUMENTO,ID_TIPO,ID_PRODUCTO,CANTIDAD,PRECIO,VALOR_BRUTO,VALOR_NETO,VALOR_IVA) VALUES(319,1,143,1,7500,7500,6303,1197);</v>
      </c>
    </row>
    <row r="681" spans="1:12">
      <c r="A681" s="114">
        <v>1</v>
      </c>
      <c r="B681" s="114">
        <v>320</v>
      </c>
      <c r="C681" s="139" t="s">
        <v>2223</v>
      </c>
      <c r="D681" s="114" t="s">
        <v>2090</v>
      </c>
      <c r="E681" s="114">
        <v>119</v>
      </c>
      <c r="F681" s="114">
        <v>143</v>
      </c>
      <c r="G681" s="114">
        <v>1</v>
      </c>
      <c r="H681" s="114">
        <v>7600</v>
      </c>
      <c r="I681" s="114">
        <v>7600</v>
      </c>
      <c r="J681" s="114">
        <v>6387</v>
      </c>
      <c r="K681" s="114">
        <v>1213</v>
      </c>
      <c r="L681" s="114" t="str">
        <f t="shared" si="10"/>
        <v>INSERT INTO DETALLES_DOCUMENTO(NRO_DOCUMENTO,ID_TIPO,ID_PRODUCTO,CANTIDAD,PRECIO,VALOR_BRUTO,VALOR_NETO,VALOR_IVA) VALUES(320,1,143,1,7600,7600,6387,1213);</v>
      </c>
    </row>
    <row r="682" spans="1:12">
      <c r="A682" s="114">
        <v>1</v>
      </c>
      <c r="B682" s="114">
        <v>320</v>
      </c>
      <c r="C682" s="139" t="s">
        <v>2223</v>
      </c>
      <c r="D682" s="114" t="s">
        <v>2090</v>
      </c>
      <c r="E682" s="114">
        <v>119</v>
      </c>
      <c r="F682" s="114">
        <v>164</v>
      </c>
      <c r="G682" s="114">
        <v>1</v>
      </c>
      <c r="H682" s="114">
        <v>3200</v>
      </c>
      <c r="I682" s="114">
        <v>3200</v>
      </c>
      <c r="J682" s="114">
        <v>2689</v>
      </c>
      <c r="K682" s="114">
        <v>511</v>
      </c>
      <c r="L682" s="114" t="str">
        <f t="shared" si="10"/>
        <v>INSERT INTO DETALLES_DOCUMENTO(NRO_DOCUMENTO,ID_TIPO,ID_PRODUCTO,CANTIDAD,PRECIO,VALOR_BRUTO,VALOR_NETO,VALOR_IVA) VALUES(320,1,164,1,3200,3200,2689,511);</v>
      </c>
    </row>
    <row r="683" spans="1:12">
      <c r="A683" s="114">
        <v>1</v>
      </c>
      <c r="B683" s="114">
        <v>320</v>
      </c>
      <c r="C683" s="139" t="s">
        <v>2223</v>
      </c>
      <c r="D683" s="114" t="s">
        <v>2090</v>
      </c>
      <c r="E683" s="114">
        <v>119</v>
      </c>
      <c r="F683" s="114">
        <v>97</v>
      </c>
      <c r="G683" s="114">
        <v>1</v>
      </c>
      <c r="H683" s="114">
        <v>2000</v>
      </c>
      <c r="I683" s="114">
        <v>2000</v>
      </c>
      <c r="J683" s="114">
        <v>1681</v>
      </c>
      <c r="K683" s="114">
        <v>319</v>
      </c>
      <c r="L683" s="114" t="str">
        <f t="shared" si="10"/>
        <v>INSERT INTO DETALLES_DOCUMENTO(NRO_DOCUMENTO,ID_TIPO,ID_PRODUCTO,CANTIDAD,PRECIO,VALOR_BRUTO,VALOR_NETO,VALOR_IVA) VALUES(320,1,97,1,2000,2000,1681,319);</v>
      </c>
    </row>
    <row r="684" spans="1:12">
      <c r="A684" s="114">
        <v>1</v>
      </c>
      <c r="B684" s="114">
        <v>320</v>
      </c>
      <c r="C684" s="139" t="s">
        <v>2223</v>
      </c>
      <c r="D684" s="114" t="s">
        <v>2090</v>
      </c>
      <c r="E684" s="114">
        <v>119</v>
      </c>
      <c r="F684" s="114">
        <v>117</v>
      </c>
      <c r="G684" s="114">
        <v>2</v>
      </c>
      <c r="H684" s="114">
        <v>7000</v>
      </c>
      <c r="I684" s="114">
        <v>14000</v>
      </c>
      <c r="J684" s="114">
        <v>11765</v>
      </c>
      <c r="K684" s="114">
        <v>2235</v>
      </c>
      <c r="L684" s="114" t="str">
        <f t="shared" si="10"/>
        <v>INSERT INTO DETALLES_DOCUMENTO(NRO_DOCUMENTO,ID_TIPO,ID_PRODUCTO,CANTIDAD,PRECIO,VALOR_BRUTO,VALOR_NETO,VALOR_IVA) VALUES(320,1,117,2,7000,14000,11765,2235);</v>
      </c>
    </row>
    <row r="685" spans="1:12">
      <c r="A685" s="114">
        <v>1</v>
      </c>
      <c r="B685" s="114">
        <v>320</v>
      </c>
      <c r="C685" s="139" t="s">
        <v>2223</v>
      </c>
      <c r="D685" s="114" t="s">
        <v>2090</v>
      </c>
      <c r="E685" s="114">
        <v>119</v>
      </c>
      <c r="F685" s="114">
        <v>66</v>
      </c>
      <c r="G685" s="114">
        <v>1</v>
      </c>
      <c r="H685" s="114">
        <v>600</v>
      </c>
      <c r="I685" s="114">
        <v>600</v>
      </c>
      <c r="J685" s="114">
        <v>504</v>
      </c>
      <c r="K685" s="114">
        <v>96</v>
      </c>
      <c r="L685" s="114" t="str">
        <f t="shared" si="10"/>
        <v>INSERT INTO DETALLES_DOCUMENTO(NRO_DOCUMENTO,ID_TIPO,ID_PRODUCTO,CANTIDAD,PRECIO,VALOR_BRUTO,VALOR_NETO,VALOR_IVA) VALUES(320,1,66,1,600,600,504,96);</v>
      </c>
    </row>
    <row r="686" spans="1:12">
      <c r="A686" s="114">
        <v>1</v>
      </c>
      <c r="B686" s="114">
        <v>320</v>
      </c>
      <c r="C686" s="139" t="s">
        <v>2223</v>
      </c>
      <c r="D686" s="114" t="s">
        <v>2090</v>
      </c>
      <c r="E686" s="114">
        <v>119</v>
      </c>
      <c r="F686" s="114">
        <v>67</v>
      </c>
      <c r="G686" s="114">
        <v>1</v>
      </c>
      <c r="H686" s="114">
        <v>650</v>
      </c>
      <c r="I686" s="114">
        <v>650</v>
      </c>
      <c r="J686" s="114">
        <v>546</v>
      </c>
      <c r="K686" s="114">
        <v>104</v>
      </c>
      <c r="L686" s="114" t="str">
        <f t="shared" si="10"/>
        <v>INSERT INTO DETALLES_DOCUMENTO(NRO_DOCUMENTO,ID_TIPO,ID_PRODUCTO,CANTIDAD,PRECIO,VALOR_BRUTO,VALOR_NETO,VALOR_IVA) VALUES(320,1,67,1,650,650,546,104);</v>
      </c>
    </row>
    <row r="687" spans="1:12">
      <c r="A687" s="114">
        <v>1</v>
      </c>
      <c r="B687" s="114">
        <v>320</v>
      </c>
      <c r="C687" s="139" t="s">
        <v>2223</v>
      </c>
      <c r="D687" s="114" t="s">
        <v>2090</v>
      </c>
      <c r="E687" s="114">
        <v>119</v>
      </c>
      <c r="F687" s="114">
        <v>68</v>
      </c>
      <c r="G687" s="114">
        <v>1</v>
      </c>
      <c r="H687" s="114">
        <v>1200</v>
      </c>
      <c r="I687" s="114">
        <v>1200</v>
      </c>
      <c r="J687" s="114">
        <v>1008</v>
      </c>
      <c r="K687" s="114">
        <v>192</v>
      </c>
      <c r="L687" s="114" t="str">
        <f t="shared" si="10"/>
        <v>INSERT INTO DETALLES_DOCUMENTO(NRO_DOCUMENTO,ID_TIPO,ID_PRODUCTO,CANTIDAD,PRECIO,VALOR_BRUTO,VALOR_NETO,VALOR_IVA) VALUES(320,1,68,1,1200,1200,1008,192);</v>
      </c>
    </row>
    <row r="688" spans="1:12">
      <c r="A688" s="114">
        <v>1</v>
      </c>
      <c r="B688" s="114">
        <v>320</v>
      </c>
      <c r="C688" s="139" t="s">
        <v>2223</v>
      </c>
      <c r="D688" s="114" t="s">
        <v>2090</v>
      </c>
      <c r="E688" s="114">
        <v>119</v>
      </c>
      <c r="F688" s="114">
        <v>69</v>
      </c>
      <c r="G688" s="114">
        <v>1</v>
      </c>
      <c r="H688" s="114">
        <v>3000</v>
      </c>
      <c r="I688" s="114">
        <v>3000</v>
      </c>
      <c r="J688" s="114">
        <v>2521</v>
      </c>
      <c r="K688" s="114">
        <v>479</v>
      </c>
      <c r="L688" s="114" t="str">
        <f t="shared" si="10"/>
        <v>INSERT INTO DETALLES_DOCUMENTO(NRO_DOCUMENTO,ID_TIPO,ID_PRODUCTO,CANTIDAD,PRECIO,VALOR_BRUTO,VALOR_NETO,VALOR_IVA) VALUES(320,1,69,1,3000,3000,2521,479);</v>
      </c>
    </row>
    <row r="689" spans="1:12">
      <c r="A689" s="114">
        <v>1</v>
      </c>
      <c r="B689" s="114">
        <v>320</v>
      </c>
      <c r="C689" s="139" t="s">
        <v>2223</v>
      </c>
      <c r="D689" s="114" t="s">
        <v>2090</v>
      </c>
      <c r="E689" s="114">
        <v>119</v>
      </c>
      <c r="F689" s="114">
        <v>29</v>
      </c>
      <c r="G689" s="114">
        <v>1</v>
      </c>
      <c r="H689" s="114">
        <v>1000</v>
      </c>
      <c r="I689" s="114">
        <v>1000</v>
      </c>
      <c r="J689" s="114">
        <v>840</v>
      </c>
      <c r="K689" s="114">
        <v>160</v>
      </c>
      <c r="L689" s="114" t="str">
        <f t="shared" si="10"/>
        <v>INSERT INTO DETALLES_DOCUMENTO(NRO_DOCUMENTO,ID_TIPO,ID_PRODUCTO,CANTIDAD,PRECIO,VALOR_BRUTO,VALOR_NETO,VALOR_IVA) VALUES(320,1,29,1,1000,1000,840,160);</v>
      </c>
    </row>
    <row r="690" spans="1:12">
      <c r="A690" s="114">
        <v>1</v>
      </c>
      <c r="B690" s="114">
        <v>321</v>
      </c>
      <c r="C690" s="139" t="s">
        <v>2223</v>
      </c>
      <c r="D690" s="114" t="s">
        <v>2090</v>
      </c>
      <c r="E690" s="114">
        <v>122</v>
      </c>
      <c r="F690" s="114">
        <v>29</v>
      </c>
      <c r="G690" s="114">
        <v>1</v>
      </c>
      <c r="H690" s="114">
        <v>1000</v>
      </c>
      <c r="I690" s="114">
        <v>1000</v>
      </c>
      <c r="J690" s="114">
        <v>840</v>
      </c>
      <c r="K690" s="114">
        <v>160</v>
      </c>
      <c r="L690" s="114" t="str">
        <f t="shared" si="10"/>
        <v>INSERT INTO DETALLES_DOCUMENTO(NRO_DOCUMENTO,ID_TIPO,ID_PRODUCTO,CANTIDAD,PRECIO,VALOR_BRUTO,VALOR_NETO,VALOR_IVA) VALUES(321,1,29,1,1000,1000,840,160);</v>
      </c>
    </row>
    <row r="691" spans="1:12">
      <c r="A691" s="114">
        <v>1</v>
      </c>
      <c r="B691" s="114">
        <v>322</v>
      </c>
      <c r="C691" s="139" t="s">
        <v>2223</v>
      </c>
      <c r="D691" s="114" t="s">
        <v>2090</v>
      </c>
      <c r="E691" s="114">
        <v>166</v>
      </c>
      <c r="F691" s="114">
        <v>329</v>
      </c>
      <c r="G691" s="114">
        <v>1</v>
      </c>
      <c r="H691" s="114">
        <v>5500</v>
      </c>
      <c r="I691" s="114">
        <v>5500</v>
      </c>
      <c r="J691" s="114">
        <v>4622</v>
      </c>
      <c r="K691" s="114">
        <v>878</v>
      </c>
      <c r="L691" s="114" t="str">
        <f t="shared" si="10"/>
        <v>INSERT INTO DETALLES_DOCUMENTO(NRO_DOCUMENTO,ID_TIPO,ID_PRODUCTO,CANTIDAD,PRECIO,VALOR_BRUTO,VALOR_NETO,VALOR_IVA) VALUES(322,1,329,1,5500,5500,4622,878);</v>
      </c>
    </row>
    <row r="692" spans="1:12">
      <c r="A692" s="114">
        <v>1</v>
      </c>
      <c r="B692" s="114">
        <v>323</v>
      </c>
      <c r="C692" s="139" t="s">
        <v>2223</v>
      </c>
      <c r="D692" s="114" t="s">
        <v>2090</v>
      </c>
      <c r="E692" s="114">
        <v>198</v>
      </c>
      <c r="F692" s="114">
        <v>329</v>
      </c>
      <c r="G692" s="114">
        <v>1</v>
      </c>
      <c r="H692" s="114">
        <v>5500</v>
      </c>
      <c r="I692" s="114">
        <v>5500</v>
      </c>
      <c r="J692" s="114">
        <v>4622</v>
      </c>
      <c r="K692" s="114">
        <v>878</v>
      </c>
      <c r="L692" s="114" t="str">
        <f t="shared" si="10"/>
        <v>INSERT INTO DETALLES_DOCUMENTO(NRO_DOCUMENTO,ID_TIPO,ID_PRODUCTO,CANTIDAD,PRECIO,VALOR_BRUTO,VALOR_NETO,VALOR_IVA) VALUES(323,1,329,1,5500,5500,4622,878);</v>
      </c>
    </row>
    <row r="693" spans="1:12">
      <c r="A693" s="114">
        <v>1</v>
      </c>
      <c r="B693" s="114">
        <v>324</v>
      </c>
      <c r="C693" s="139" t="s">
        <v>2223</v>
      </c>
      <c r="D693" s="114" t="s">
        <v>2090</v>
      </c>
      <c r="E693" s="114">
        <v>227</v>
      </c>
      <c r="F693" s="114">
        <v>135</v>
      </c>
      <c r="G693" s="114">
        <v>1</v>
      </c>
      <c r="H693" s="114">
        <v>1000</v>
      </c>
      <c r="I693" s="114">
        <v>1000</v>
      </c>
      <c r="J693" s="114">
        <v>840</v>
      </c>
      <c r="K693" s="114">
        <v>160</v>
      </c>
      <c r="L693" s="114" t="str">
        <f t="shared" si="10"/>
        <v>INSERT INTO DETALLES_DOCUMENTO(NRO_DOCUMENTO,ID_TIPO,ID_PRODUCTO,CANTIDAD,PRECIO,VALOR_BRUTO,VALOR_NETO,VALOR_IVA) VALUES(324,1,135,1,1000,1000,840,160);</v>
      </c>
    </row>
    <row r="694" spans="1:12">
      <c r="A694" s="114">
        <v>1</v>
      </c>
      <c r="B694" s="114">
        <v>324</v>
      </c>
      <c r="C694" s="139" t="s">
        <v>2223</v>
      </c>
      <c r="D694" s="114" t="s">
        <v>2090</v>
      </c>
      <c r="E694" s="114">
        <v>227</v>
      </c>
      <c r="F694" s="114">
        <v>136</v>
      </c>
      <c r="G694" s="114">
        <v>1</v>
      </c>
      <c r="H694" s="114">
        <v>4500</v>
      </c>
      <c r="I694" s="114">
        <v>4500</v>
      </c>
      <c r="J694" s="114">
        <v>3782</v>
      </c>
      <c r="K694" s="114">
        <v>718</v>
      </c>
      <c r="L694" s="114" t="str">
        <f t="shared" si="10"/>
        <v>INSERT INTO DETALLES_DOCUMENTO(NRO_DOCUMENTO,ID_TIPO,ID_PRODUCTO,CANTIDAD,PRECIO,VALOR_BRUTO,VALOR_NETO,VALOR_IVA) VALUES(324,1,136,1,4500,4500,3782,718);</v>
      </c>
    </row>
    <row r="695" spans="1:12">
      <c r="A695" s="114">
        <v>1</v>
      </c>
      <c r="B695" s="114">
        <v>325</v>
      </c>
      <c r="C695" s="139" t="s">
        <v>2223</v>
      </c>
      <c r="D695" s="114" t="s">
        <v>2090</v>
      </c>
      <c r="E695" s="114">
        <v>312</v>
      </c>
      <c r="F695" s="114">
        <v>143</v>
      </c>
      <c r="G695" s="114">
        <v>1</v>
      </c>
      <c r="H695" s="114">
        <v>7600</v>
      </c>
      <c r="I695" s="114">
        <v>7600</v>
      </c>
      <c r="J695" s="114">
        <v>6387</v>
      </c>
      <c r="K695" s="114">
        <v>1213</v>
      </c>
      <c r="L695" s="114" t="str">
        <f t="shared" si="10"/>
        <v>INSERT INTO DETALLES_DOCUMENTO(NRO_DOCUMENTO,ID_TIPO,ID_PRODUCTO,CANTIDAD,PRECIO,VALOR_BRUTO,VALOR_NETO,VALOR_IVA) VALUES(325,1,143,1,7600,7600,6387,1213);</v>
      </c>
    </row>
    <row r="696" spans="1:12">
      <c r="A696" s="114">
        <v>1</v>
      </c>
      <c r="B696" s="114">
        <v>326</v>
      </c>
      <c r="C696" s="139" t="s">
        <v>2223</v>
      </c>
      <c r="D696" s="114" t="s">
        <v>2090</v>
      </c>
      <c r="E696" s="114">
        <v>345</v>
      </c>
      <c r="F696" s="114">
        <v>231</v>
      </c>
      <c r="G696" s="114">
        <v>1</v>
      </c>
      <c r="H696" s="114">
        <v>19990</v>
      </c>
      <c r="I696" s="114">
        <v>19990</v>
      </c>
      <c r="J696" s="114">
        <v>16798</v>
      </c>
      <c r="K696" s="114">
        <v>3192</v>
      </c>
      <c r="L696" s="114" t="str">
        <f t="shared" si="10"/>
        <v>INSERT INTO DETALLES_DOCUMENTO(NRO_DOCUMENTO,ID_TIPO,ID_PRODUCTO,CANTIDAD,PRECIO,VALOR_BRUTO,VALOR_NETO,VALOR_IVA) VALUES(326,1,231,1,19990,19990,16798,3192);</v>
      </c>
    </row>
    <row r="697" spans="1:12">
      <c r="A697" s="114">
        <v>1</v>
      </c>
      <c r="B697" s="114">
        <v>326</v>
      </c>
      <c r="C697" s="139" t="s">
        <v>2223</v>
      </c>
      <c r="D697" s="114" t="s">
        <v>2090</v>
      </c>
      <c r="E697" s="114">
        <v>345</v>
      </c>
      <c r="F697" s="114">
        <v>244</v>
      </c>
      <c r="G697" s="114">
        <v>1</v>
      </c>
      <c r="H697" s="114">
        <v>14900</v>
      </c>
      <c r="I697" s="114">
        <v>14900</v>
      </c>
      <c r="J697" s="114">
        <v>12521</v>
      </c>
      <c r="K697" s="114">
        <v>2379</v>
      </c>
      <c r="L697" s="114" t="str">
        <f t="shared" si="10"/>
        <v>INSERT INTO DETALLES_DOCUMENTO(NRO_DOCUMENTO,ID_TIPO,ID_PRODUCTO,CANTIDAD,PRECIO,VALOR_BRUTO,VALOR_NETO,VALOR_IVA) VALUES(326,1,244,1,14900,14900,12521,2379);</v>
      </c>
    </row>
    <row r="698" spans="1:12">
      <c r="A698" s="114">
        <v>1</v>
      </c>
      <c r="B698" s="114">
        <v>326</v>
      </c>
      <c r="C698" s="139" t="s">
        <v>2223</v>
      </c>
      <c r="D698" s="114" t="s">
        <v>2090</v>
      </c>
      <c r="E698" s="114">
        <v>345</v>
      </c>
      <c r="F698" s="114">
        <v>227</v>
      </c>
      <c r="G698" s="114">
        <v>1</v>
      </c>
      <c r="H698" s="114">
        <v>13500</v>
      </c>
      <c r="I698" s="114">
        <v>13500</v>
      </c>
      <c r="J698" s="114">
        <v>11345</v>
      </c>
      <c r="K698" s="114">
        <v>2155</v>
      </c>
      <c r="L698" s="114" t="str">
        <f t="shared" si="10"/>
        <v>INSERT INTO DETALLES_DOCUMENTO(NRO_DOCUMENTO,ID_TIPO,ID_PRODUCTO,CANTIDAD,PRECIO,VALOR_BRUTO,VALOR_NETO,VALOR_IVA) VALUES(326,1,227,1,13500,13500,11345,2155);</v>
      </c>
    </row>
    <row r="699" spans="1:12">
      <c r="A699" s="114">
        <v>1</v>
      </c>
      <c r="B699" s="114">
        <v>327</v>
      </c>
      <c r="C699" s="139" t="s">
        <v>2223</v>
      </c>
      <c r="D699" s="114" t="s">
        <v>2090</v>
      </c>
      <c r="E699" s="114">
        <v>360</v>
      </c>
      <c r="F699" s="114">
        <v>230</v>
      </c>
      <c r="G699" s="114">
        <v>1</v>
      </c>
      <c r="H699" s="114">
        <v>15500</v>
      </c>
      <c r="I699" s="114">
        <v>15500</v>
      </c>
      <c r="J699" s="114">
        <v>13025</v>
      </c>
      <c r="K699" s="114">
        <v>2475</v>
      </c>
      <c r="L699" s="114" t="str">
        <f t="shared" si="10"/>
        <v>INSERT INTO DETALLES_DOCUMENTO(NRO_DOCUMENTO,ID_TIPO,ID_PRODUCTO,CANTIDAD,PRECIO,VALOR_BRUTO,VALOR_NETO,VALOR_IVA) VALUES(327,1,230,1,15500,15500,13025,2475);</v>
      </c>
    </row>
    <row r="700" spans="1:12">
      <c r="A700" s="114">
        <v>1</v>
      </c>
      <c r="B700" s="114">
        <v>327</v>
      </c>
      <c r="C700" s="139" t="s">
        <v>2223</v>
      </c>
      <c r="D700" s="114" t="s">
        <v>2090</v>
      </c>
      <c r="E700" s="114">
        <v>360</v>
      </c>
      <c r="F700" s="114">
        <v>165</v>
      </c>
      <c r="G700" s="114">
        <v>1</v>
      </c>
      <c r="H700" s="114">
        <v>2000</v>
      </c>
      <c r="I700" s="114">
        <v>2000</v>
      </c>
      <c r="J700" s="114">
        <v>1681</v>
      </c>
      <c r="K700" s="114">
        <v>319</v>
      </c>
      <c r="L700" s="114" t="str">
        <f t="shared" si="10"/>
        <v>INSERT INTO DETALLES_DOCUMENTO(NRO_DOCUMENTO,ID_TIPO,ID_PRODUCTO,CANTIDAD,PRECIO,VALOR_BRUTO,VALOR_NETO,VALOR_IVA) VALUES(327,1,165,1,2000,2000,1681,319);</v>
      </c>
    </row>
    <row r="701" spans="1:12">
      <c r="A701" s="114">
        <v>1</v>
      </c>
      <c r="B701" s="114">
        <v>328</v>
      </c>
      <c r="C701" s="139" t="s">
        <v>2223</v>
      </c>
      <c r="D701" s="114" t="s">
        <v>2090</v>
      </c>
      <c r="E701" s="114">
        <v>393</v>
      </c>
      <c r="F701" s="114">
        <v>165</v>
      </c>
      <c r="G701" s="114">
        <v>1</v>
      </c>
      <c r="H701" s="114">
        <v>2000</v>
      </c>
      <c r="I701" s="114">
        <v>2000</v>
      </c>
      <c r="J701" s="114">
        <v>1681</v>
      </c>
      <c r="K701" s="114">
        <v>319</v>
      </c>
      <c r="L701" s="114" t="str">
        <f t="shared" si="10"/>
        <v>INSERT INTO DETALLES_DOCUMENTO(NRO_DOCUMENTO,ID_TIPO,ID_PRODUCTO,CANTIDAD,PRECIO,VALOR_BRUTO,VALOR_NETO,VALOR_IVA) VALUES(328,1,165,1,2000,2000,1681,319);</v>
      </c>
    </row>
    <row r="702" spans="1:12">
      <c r="A702" s="114">
        <v>1</v>
      </c>
      <c r="B702" s="114">
        <v>329</v>
      </c>
      <c r="C702" s="139" t="s">
        <v>2223</v>
      </c>
      <c r="D702" s="114" t="s">
        <v>2090</v>
      </c>
      <c r="E702" s="114">
        <v>407</v>
      </c>
      <c r="F702" s="114">
        <v>118</v>
      </c>
      <c r="G702" s="114">
        <v>1</v>
      </c>
      <c r="H702" s="114">
        <v>3500</v>
      </c>
      <c r="I702" s="114">
        <v>3500</v>
      </c>
      <c r="J702" s="114">
        <v>2941</v>
      </c>
      <c r="K702" s="114">
        <v>559</v>
      </c>
      <c r="L702" s="114" t="str">
        <f t="shared" si="10"/>
        <v>INSERT INTO DETALLES_DOCUMENTO(NRO_DOCUMENTO,ID_TIPO,ID_PRODUCTO,CANTIDAD,PRECIO,VALOR_BRUTO,VALOR_NETO,VALOR_IVA) VALUES(329,1,118,1,3500,3500,2941,559);</v>
      </c>
    </row>
    <row r="703" spans="1:12">
      <c r="A703" s="114">
        <v>1</v>
      </c>
      <c r="B703" s="114">
        <v>329</v>
      </c>
      <c r="C703" s="139" t="s">
        <v>2223</v>
      </c>
      <c r="D703" s="114" t="s">
        <v>2090</v>
      </c>
      <c r="E703" s="114">
        <v>407</v>
      </c>
      <c r="F703" s="114">
        <v>97</v>
      </c>
      <c r="G703" s="114">
        <v>1</v>
      </c>
      <c r="H703" s="114">
        <v>2000</v>
      </c>
      <c r="I703" s="114">
        <v>2000</v>
      </c>
      <c r="J703" s="114">
        <v>1681</v>
      </c>
      <c r="K703" s="114">
        <v>319</v>
      </c>
      <c r="L703" s="114" t="str">
        <f t="shared" si="10"/>
        <v>INSERT INTO DETALLES_DOCUMENTO(NRO_DOCUMENTO,ID_TIPO,ID_PRODUCTO,CANTIDAD,PRECIO,VALOR_BRUTO,VALOR_NETO,VALOR_IVA) VALUES(329,1,97,1,2000,2000,1681,319);</v>
      </c>
    </row>
    <row r="704" spans="1:12">
      <c r="A704" s="114">
        <v>1</v>
      </c>
      <c r="B704" s="114">
        <v>329</v>
      </c>
      <c r="C704" s="139" t="s">
        <v>2223</v>
      </c>
      <c r="D704" s="114" t="s">
        <v>2090</v>
      </c>
      <c r="E704" s="114">
        <v>407</v>
      </c>
      <c r="F704" s="114">
        <v>329</v>
      </c>
      <c r="G704" s="114">
        <v>1</v>
      </c>
      <c r="H704" s="114">
        <v>5500</v>
      </c>
      <c r="I704" s="114">
        <v>5500</v>
      </c>
      <c r="J704" s="114">
        <v>4622</v>
      </c>
      <c r="K704" s="114">
        <v>878</v>
      </c>
      <c r="L704" s="114" t="str">
        <f t="shared" si="10"/>
        <v>INSERT INTO DETALLES_DOCUMENTO(NRO_DOCUMENTO,ID_TIPO,ID_PRODUCTO,CANTIDAD,PRECIO,VALOR_BRUTO,VALOR_NETO,VALOR_IVA) VALUES(329,1,329,1,5500,5500,4622,878);</v>
      </c>
    </row>
    <row r="705" spans="1:12">
      <c r="A705" s="114">
        <v>1</v>
      </c>
      <c r="B705" s="114">
        <v>329</v>
      </c>
      <c r="C705" s="139" t="s">
        <v>2223</v>
      </c>
      <c r="D705" s="114" t="s">
        <v>2090</v>
      </c>
      <c r="E705" s="114">
        <v>407</v>
      </c>
      <c r="F705" s="114">
        <v>247</v>
      </c>
      <c r="G705" s="114">
        <v>1</v>
      </c>
      <c r="H705" s="114">
        <v>2800</v>
      </c>
      <c r="I705" s="114">
        <v>2800</v>
      </c>
      <c r="J705" s="114">
        <v>2353</v>
      </c>
      <c r="K705" s="114">
        <v>447</v>
      </c>
      <c r="L705" s="114" t="str">
        <f t="shared" si="10"/>
        <v>INSERT INTO DETALLES_DOCUMENTO(NRO_DOCUMENTO,ID_TIPO,ID_PRODUCTO,CANTIDAD,PRECIO,VALOR_BRUTO,VALOR_NETO,VALOR_IVA) VALUES(329,1,247,1,2800,2800,2353,447);</v>
      </c>
    </row>
    <row r="706" spans="1:12">
      <c r="A706" s="114">
        <v>1</v>
      </c>
      <c r="B706" s="114">
        <v>329</v>
      </c>
      <c r="C706" s="139" t="s">
        <v>2223</v>
      </c>
      <c r="D706" s="114" t="s">
        <v>2090</v>
      </c>
      <c r="E706" s="114">
        <v>407</v>
      </c>
      <c r="F706" s="114">
        <v>259</v>
      </c>
      <c r="G706" s="114">
        <v>1</v>
      </c>
      <c r="H706" s="114">
        <v>4500</v>
      </c>
      <c r="I706" s="114">
        <v>4500</v>
      </c>
      <c r="J706" s="114">
        <v>3782</v>
      </c>
      <c r="K706" s="114">
        <v>718</v>
      </c>
      <c r="L706" s="114" t="str">
        <f t="shared" si="10"/>
        <v>INSERT INTO DETALLES_DOCUMENTO(NRO_DOCUMENTO,ID_TIPO,ID_PRODUCTO,CANTIDAD,PRECIO,VALOR_BRUTO,VALOR_NETO,VALOR_IVA) VALUES(329,1,259,1,4500,4500,3782,718);</v>
      </c>
    </row>
    <row r="707" spans="1:12">
      <c r="A707" s="114">
        <v>1</v>
      </c>
      <c r="B707" s="114">
        <v>330</v>
      </c>
      <c r="C707" s="139" t="s">
        <v>2223</v>
      </c>
      <c r="D707" s="114" t="s">
        <v>2090</v>
      </c>
      <c r="E707" s="114">
        <v>427</v>
      </c>
      <c r="F707" s="114">
        <v>230</v>
      </c>
      <c r="G707" s="114">
        <v>1</v>
      </c>
      <c r="H707" s="114">
        <v>15500</v>
      </c>
      <c r="I707" s="114">
        <v>15500</v>
      </c>
      <c r="J707" s="114">
        <v>13025</v>
      </c>
      <c r="K707" s="114">
        <v>2475</v>
      </c>
      <c r="L707" s="114" t="str">
        <f t="shared" ref="L707:L770" si="11">CONCATENATE("INSERT INTO DETALLES_DOCUMENTO(NRO_DOCUMENTO,ID_TIPO,ID_PRODUCTO,CANTIDAD,PRECIO,VALOR_BRUTO,VALOR_NETO,VALOR_IVA) VALUES(",B707,",",A707,",",F707,",",G707,",",H707,",",I707,",",J707,",",K707,");")</f>
        <v>INSERT INTO DETALLES_DOCUMENTO(NRO_DOCUMENTO,ID_TIPO,ID_PRODUCTO,CANTIDAD,PRECIO,VALOR_BRUTO,VALOR_NETO,VALOR_IVA) VALUES(330,1,230,1,15500,15500,13025,2475);</v>
      </c>
    </row>
    <row r="708" spans="1:12">
      <c r="A708" s="114">
        <v>1</v>
      </c>
      <c r="B708" s="114">
        <v>330</v>
      </c>
      <c r="C708" s="139" t="s">
        <v>2223</v>
      </c>
      <c r="D708" s="114" t="s">
        <v>2090</v>
      </c>
      <c r="E708" s="114">
        <v>427</v>
      </c>
      <c r="F708" s="114">
        <v>329</v>
      </c>
      <c r="G708" s="114">
        <v>1</v>
      </c>
      <c r="H708" s="114">
        <v>5500</v>
      </c>
      <c r="I708" s="114">
        <v>5500</v>
      </c>
      <c r="J708" s="114">
        <v>4622</v>
      </c>
      <c r="K708" s="114">
        <v>878</v>
      </c>
      <c r="L708" s="114" t="str">
        <f t="shared" si="11"/>
        <v>INSERT INTO DETALLES_DOCUMENTO(NRO_DOCUMENTO,ID_TIPO,ID_PRODUCTO,CANTIDAD,PRECIO,VALOR_BRUTO,VALOR_NETO,VALOR_IVA) VALUES(330,1,329,1,5500,5500,4622,878);</v>
      </c>
    </row>
    <row r="709" spans="1:12">
      <c r="A709" s="114">
        <v>1</v>
      </c>
      <c r="B709" s="114">
        <v>331</v>
      </c>
      <c r="C709" s="139" t="s">
        <v>2223</v>
      </c>
      <c r="D709" s="114" t="s">
        <v>2090</v>
      </c>
      <c r="E709" s="114">
        <v>446</v>
      </c>
      <c r="F709" s="114">
        <v>69</v>
      </c>
      <c r="G709" s="114">
        <v>1</v>
      </c>
      <c r="H709" s="114">
        <v>3000</v>
      </c>
      <c r="I709" s="114">
        <v>3000</v>
      </c>
      <c r="J709" s="114">
        <v>2521</v>
      </c>
      <c r="K709" s="114">
        <v>479</v>
      </c>
      <c r="L709" s="114" t="str">
        <f t="shared" si="11"/>
        <v>INSERT INTO DETALLES_DOCUMENTO(NRO_DOCUMENTO,ID_TIPO,ID_PRODUCTO,CANTIDAD,PRECIO,VALOR_BRUTO,VALOR_NETO,VALOR_IVA) VALUES(331,1,69,1,3000,3000,2521,479);</v>
      </c>
    </row>
    <row r="710" spans="1:12">
      <c r="A710" s="114">
        <v>1</v>
      </c>
      <c r="B710" s="114">
        <v>331</v>
      </c>
      <c r="C710" s="139" t="s">
        <v>2223</v>
      </c>
      <c r="D710" s="114" t="s">
        <v>2090</v>
      </c>
      <c r="E710" s="114">
        <v>446</v>
      </c>
      <c r="F710" s="114">
        <v>329</v>
      </c>
      <c r="G710" s="114">
        <v>1</v>
      </c>
      <c r="H710" s="114">
        <v>5500</v>
      </c>
      <c r="I710" s="114">
        <v>5500</v>
      </c>
      <c r="J710" s="114">
        <v>4622</v>
      </c>
      <c r="K710" s="114">
        <v>878</v>
      </c>
      <c r="L710" s="114" t="str">
        <f t="shared" si="11"/>
        <v>INSERT INTO DETALLES_DOCUMENTO(NRO_DOCUMENTO,ID_TIPO,ID_PRODUCTO,CANTIDAD,PRECIO,VALOR_BRUTO,VALOR_NETO,VALOR_IVA) VALUES(331,1,329,1,5500,5500,4622,878);</v>
      </c>
    </row>
    <row r="711" spans="1:12">
      <c r="A711" s="114">
        <v>1</v>
      </c>
      <c r="B711" s="114">
        <v>332</v>
      </c>
      <c r="C711" s="139" t="s">
        <v>2223</v>
      </c>
      <c r="D711" s="114" t="s">
        <v>2090</v>
      </c>
      <c r="E711" s="114">
        <v>451</v>
      </c>
      <c r="F711" s="114">
        <v>329</v>
      </c>
      <c r="G711" s="114">
        <v>1</v>
      </c>
      <c r="H711" s="114">
        <v>5500</v>
      </c>
      <c r="I711" s="114">
        <v>5500</v>
      </c>
      <c r="J711" s="114">
        <v>4622</v>
      </c>
      <c r="K711" s="114">
        <v>878</v>
      </c>
      <c r="L711" s="114" t="str">
        <f t="shared" si="11"/>
        <v>INSERT INTO DETALLES_DOCUMENTO(NRO_DOCUMENTO,ID_TIPO,ID_PRODUCTO,CANTIDAD,PRECIO,VALOR_BRUTO,VALOR_NETO,VALOR_IVA) VALUES(332,1,329,1,5500,5500,4622,878);</v>
      </c>
    </row>
    <row r="712" spans="1:12">
      <c r="A712" s="114">
        <v>1</v>
      </c>
      <c r="B712" s="114">
        <v>333</v>
      </c>
      <c r="C712" s="139" t="s">
        <v>2224</v>
      </c>
      <c r="D712" s="114" t="s">
        <v>2090</v>
      </c>
      <c r="E712" s="114">
        <v>78</v>
      </c>
      <c r="F712" s="114">
        <v>230</v>
      </c>
      <c r="G712" s="114">
        <v>1</v>
      </c>
      <c r="H712" s="114">
        <v>15500</v>
      </c>
      <c r="I712" s="114">
        <v>15500</v>
      </c>
      <c r="J712" s="114">
        <v>13025</v>
      </c>
      <c r="K712" s="114">
        <v>2475</v>
      </c>
      <c r="L712" s="114" t="str">
        <f t="shared" si="11"/>
        <v>INSERT INTO DETALLES_DOCUMENTO(NRO_DOCUMENTO,ID_TIPO,ID_PRODUCTO,CANTIDAD,PRECIO,VALOR_BRUTO,VALOR_NETO,VALOR_IVA) VALUES(333,1,230,1,15500,15500,13025,2475);</v>
      </c>
    </row>
    <row r="713" spans="1:12">
      <c r="A713" s="114">
        <v>1</v>
      </c>
      <c r="B713" s="114">
        <v>333</v>
      </c>
      <c r="C713" s="139" t="s">
        <v>2224</v>
      </c>
      <c r="D713" s="114" t="s">
        <v>2090</v>
      </c>
      <c r="E713" s="114">
        <v>78</v>
      </c>
      <c r="F713" s="114">
        <v>369</v>
      </c>
      <c r="G713" s="114">
        <v>1</v>
      </c>
      <c r="H713" s="114">
        <v>10500</v>
      </c>
      <c r="I713" s="114">
        <v>10500</v>
      </c>
      <c r="J713" s="114">
        <v>8824</v>
      </c>
      <c r="K713" s="114">
        <v>1676</v>
      </c>
      <c r="L713" s="114" t="str">
        <f t="shared" si="11"/>
        <v>INSERT INTO DETALLES_DOCUMENTO(NRO_DOCUMENTO,ID_TIPO,ID_PRODUCTO,CANTIDAD,PRECIO,VALOR_BRUTO,VALOR_NETO,VALOR_IVA) VALUES(333,1,369,1,10500,10500,8824,1676);</v>
      </c>
    </row>
    <row r="714" spans="1:12">
      <c r="A714" s="114">
        <v>1</v>
      </c>
      <c r="B714" s="114">
        <v>333</v>
      </c>
      <c r="C714" s="139" t="s">
        <v>2224</v>
      </c>
      <c r="D714" s="114" t="s">
        <v>2090</v>
      </c>
      <c r="E714" s="114">
        <v>78</v>
      </c>
      <c r="F714" s="114">
        <v>118</v>
      </c>
      <c r="G714" s="114">
        <v>1</v>
      </c>
      <c r="H714" s="114">
        <v>3500</v>
      </c>
      <c r="I714" s="114">
        <v>3500</v>
      </c>
      <c r="J714" s="114">
        <v>2941</v>
      </c>
      <c r="K714" s="114">
        <v>559</v>
      </c>
      <c r="L714" s="114" t="str">
        <f t="shared" si="11"/>
        <v>INSERT INTO DETALLES_DOCUMENTO(NRO_DOCUMENTO,ID_TIPO,ID_PRODUCTO,CANTIDAD,PRECIO,VALOR_BRUTO,VALOR_NETO,VALOR_IVA) VALUES(333,1,118,1,3500,3500,2941,559);</v>
      </c>
    </row>
    <row r="715" spans="1:12">
      <c r="A715" s="114">
        <v>1</v>
      </c>
      <c r="B715" s="114">
        <v>333</v>
      </c>
      <c r="C715" s="139" t="s">
        <v>2224</v>
      </c>
      <c r="D715" s="114" t="s">
        <v>2090</v>
      </c>
      <c r="E715" s="114">
        <v>78</v>
      </c>
      <c r="F715" s="114">
        <v>25</v>
      </c>
      <c r="G715" s="114">
        <v>1</v>
      </c>
      <c r="H715" s="114">
        <v>1800</v>
      </c>
      <c r="I715" s="114">
        <v>1800</v>
      </c>
      <c r="J715" s="114">
        <v>1513</v>
      </c>
      <c r="K715" s="114">
        <v>287</v>
      </c>
      <c r="L715" s="114" t="str">
        <f t="shared" si="11"/>
        <v>INSERT INTO DETALLES_DOCUMENTO(NRO_DOCUMENTO,ID_TIPO,ID_PRODUCTO,CANTIDAD,PRECIO,VALOR_BRUTO,VALOR_NETO,VALOR_IVA) VALUES(333,1,25,1,1800,1800,1513,287);</v>
      </c>
    </row>
    <row r="716" spans="1:12">
      <c r="A716" s="114">
        <v>1</v>
      </c>
      <c r="B716" s="114">
        <v>334</v>
      </c>
      <c r="C716" s="139" t="s">
        <v>2224</v>
      </c>
      <c r="D716" s="114" t="s">
        <v>2090</v>
      </c>
      <c r="E716" s="114">
        <v>230</v>
      </c>
      <c r="F716" s="114">
        <v>356</v>
      </c>
      <c r="G716" s="114">
        <v>1</v>
      </c>
      <c r="H716" s="114">
        <v>3000</v>
      </c>
      <c r="I716" s="114">
        <v>3000</v>
      </c>
      <c r="J716" s="114">
        <v>2521</v>
      </c>
      <c r="K716" s="114">
        <v>479</v>
      </c>
      <c r="L716" s="114" t="str">
        <f t="shared" si="11"/>
        <v>INSERT INTO DETALLES_DOCUMENTO(NRO_DOCUMENTO,ID_TIPO,ID_PRODUCTO,CANTIDAD,PRECIO,VALOR_BRUTO,VALOR_NETO,VALOR_IVA) VALUES(334,1,356,1,3000,3000,2521,479);</v>
      </c>
    </row>
    <row r="717" spans="1:12">
      <c r="A717" s="114">
        <v>1</v>
      </c>
      <c r="B717" s="114">
        <v>335</v>
      </c>
      <c r="C717" s="139" t="s">
        <v>2224</v>
      </c>
      <c r="D717" s="114" t="s">
        <v>2090</v>
      </c>
      <c r="E717" s="114">
        <v>451</v>
      </c>
      <c r="F717" s="114">
        <v>118</v>
      </c>
      <c r="G717" s="114">
        <v>1</v>
      </c>
      <c r="H717" s="114">
        <v>3500</v>
      </c>
      <c r="I717" s="114">
        <v>3500</v>
      </c>
      <c r="J717" s="114">
        <v>2941</v>
      </c>
      <c r="K717" s="114">
        <v>559</v>
      </c>
      <c r="L717" s="114" t="str">
        <f t="shared" si="11"/>
        <v>INSERT INTO DETALLES_DOCUMENTO(NRO_DOCUMENTO,ID_TIPO,ID_PRODUCTO,CANTIDAD,PRECIO,VALOR_BRUTO,VALOR_NETO,VALOR_IVA) VALUES(335,1,118,1,3500,3500,2941,559);</v>
      </c>
    </row>
    <row r="718" spans="1:12">
      <c r="A718" s="114">
        <v>1</v>
      </c>
      <c r="B718" s="114">
        <v>335</v>
      </c>
      <c r="C718" s="139" t="s">
        <v>2224</v>
      </c>
      <c r="D718" s="114" t="s">
        <v>2090</v>
      </c>
      <c r="E718" s="114">
        <v>451</v>
      </c>
      <c r="F718" s="114">
        <v>368</v>
      </c>
      <c r="G718" s="114">
        <v>1</v>
      </c>
      <c r="H718" s="114">
        <v>3000</v>
      </c>
      <c r="I718" s="114">
        <v>3000</v>
      </c>
      <c r="J718" s="114">
        <v>2521</v>
      </c>
      <c r="K718" s="114">
        <v>479</v>
      </c>
      <c r="L718" s="114" t="str">
        <f t="shared" si="11"/>
        <v>INSERT INTO DETALLES_DOCUMENTO(NRO_DOCUMENTO,ID_TIPO,ID_PRODUCTO,CANTIDAD,PRECIO,VALOR_BRUTO,VALOR_NETO,VALOR_IVA) VALUES(335,1,368,1,3000,3000,2521,479);</v>
      </c>
    </row>
    <row r="719" spans="1:12">
      <c r="A719" s="114">
        <v>1</v>
      </c>
      <c r="B719" s="114">
        <v>336</v>
      </c>
      <c r="C719" s="139" t="s">
        <v>2225</v>
      </c>
      <c r="D719" s="114" t="s">
        <v>2090</v>
      </c>
      <c r="E719" s="114">
        <v>63</v>
      </c>
      <c r="F719" s="114">
        <v>143</v>
      </c>
      <c r="G719" s="114">
        <v>1</v>
      </c>
      <c r="H719" s="114">
        <v>7600</v>
      </c>
      <c r="I719" s="114">
        <v>7600</v>
      </c>
      <c r="J719" s="114">
        <v>6387</v>
      </c>
      <c r="K719" s="114">
        <v>1213</v>
      </c>
      <c r="L719" s="114" t="str">
        <f t="shared" si="11"/>
        <v>INSERT INTO DETALLES_DOCUMENTO(NRO_DOCUMENTO,ID_TIPO,ID_PRODUCTO,CANTIDAD,PRECIO,VALOR_BRUTO,VALOR_NETO,VALOR_IVA) VALUES(336,1,143,1,7600,7600,6387,1213);</v>
      </c>
    </row>
    <row r="720" spans="1:12">
      <c r="A720" s="114">
        <v>1</v>
      </c>
      <c r="B720" s="114">
        <v>337</v>
      </c>
      <c r="C720" s="139" t="s">
        <v>2225</v>
      </c>
      <c r="D720" s="114" t="s">
        <v>2090</v>
      </c>
      <c r="E720" s="114">
        <v>122</v>
      </c>
      <c r="F720" s="114">
        <v>167</v>
      </c>
      <c r="G720" s="114">
        <v>1</v>
      </c>
      <c r="H720" s="114">
        <v>8200</v>
      </c>
      <c r="I720" s="114">
        <v>8200</v>
      </c>
      <c r="J720" s="114">
        <v>6891</v>
      </c>
      <c r="K720" s="114">
        <v>1309</v>
      </c>
      <c r="L720" s="114" t="str">
        <f t="shared" si="11"/>
        <v>INSERT INTO DETALLES_DOCUMENTO(NRO_DOCUMENTO,ID_TIPO,ID_PRODUCTO,CANTIDAD,PRECIO,VALOR_BRUTO,VALOR_NETO,VALOR_IVA) VALUES(337,1,167,1,8200,8200,6891,1309);</v>
      </c>
    </row>
    <row r="721" spans="1:12">
      <c r="A721" s="114">
        <v>1</v>
      </c>
      <c r="B721" s="114">
        <v>338</v>
      </c>
      <c r="C721" s="139" t="s">
        <v>2225</v>
      </c>
      <c r="D721" s="114" t="s">
        <v>2090</v>
      </c>
      <c r="E721" s="114">
        <v>202</v>
      </c>
      <c r="F721" s="114">
        <v>135</v>
      </c>
      <c r="G721" s="114">
        <v>2</v>
      </c>
      <c r="H721" s="114">
        <v>2000</v>
      </c>
      <c r="I721" s="114">
        <v>4000</v>
      </c>
      <c r="J721" s="114">
        <v>3361</v>
      </c>
      <c r="K721" s="114">
        <v>639</v>
      </c>
      <c r="L721" s="114" t="str">
        <f t="shared" si="11"/>
        <v>INSERT INTO DETALLES_DOCUMENTO(NRO_DOCUMENTO,ID_TIPO,ID_PRODUCTO,CANTIDAD,PRECIO,VALOR_BRUTO,VALOR_NETO,VALOR_IVA) VALUES(338,1,135,2,2000,4000,3361,639);</v>
      </c>
    </row>
    <row r="722" spans="1:12">
      <c r="A722" s="114">
        <v>1</v>
      </c>
      <c r="B722" s="114">
        <v>339</v>
      </c>
      <c r="C722" s="139" t="s">
        <v>2225</v>
      </c>
      <c r="D722" s="114" t="s">
        <v>2090</v>
      </c>
      <c r="E722" s="114">
        <v>207</v>
      </c>
      <c r="F722" s="114">
        <v>117</v>
      </c>
      <c r="G722" s="114">
        <v>2</v>
      </c>
      <c r="H722" s="114">
        <v>7000</v>
      </c>
      <c r="I722" s="114">
        <v>14000</v>
      </c>
      <c r="J722" s="114">
        <v>11765</v>
      </c>
      <c r="K722" s="114">
        <v>2235</v>
      </c>
      <c r="L722" s="114" t="str">
        <f t="shared" si="11"/>
        <v>INSERT INTO DETALLES_DOCUMENTO(NRO_DOCUMENTO,ID_TIPO,ID_PRODUCTO,CANTIDAD,PRECIO,VALOR_BRUTO,VALOR_NETO,VALOR_IVA) VALUES(339,1,117,2,7000,14000,11765,2235);</v>
      </c>
    </row>
    <row r="723" spans="1:12">
      <c r="A723" s="114">
        <v>1</v>
      </c>
      <c r="B723" s="114">
        <v>339</v>
      </c>
      <c r="C723" s="139" t="s">
        <v>2225</v>
      </c>
      <c r="D723" s="114" t="s">
        <v>2090</v>
      </c>
      <c r="E723" s="114">
        <v>207</v>
      </c>
      <c r="F723" s="114">
        <v>57</v>
      </c>
      <c r="G723" s="114">
        <v>1</v>
      </c>
      <c r="H723" s="114">
        <v>4000</v>
      </c>
      <c r="I723" s="114">
        <v>4000</v>
      </c>
      <c r="J723" s="114">
        <v>3361</v>
      </c>
      <c r="K723" s="114">
        <v>639</v>
      </c>
      <c r="L723" s="114" t="str">
        <f t="shared" si="11"/>
        <v>INSERT INTO DETALLES_DOCUMENTO(NRO_DOCUMENTO,ID_TIPO,ID_PRODUCTO,CANTIDAD,PRECIO,VALOR_BRUTO,VALOR_NETO,VALOR_IVA) VALUES(339,1,57,1,4000,4000,3361,639);</v>
      </c>
    </row>
    <row r="724" spans="1:12">
      <c r="A724" s="114">
        <v>1</v>
      </c>
      <c r="B724" s="114">
        <v>340</v>
      </c>
      <c r="C724" s="139" t="s">
        <v>2225</v>
      </c>
      <c r="D724" s="114" t="s">
        <v>2090</v>
      </c>
      <c r="E724" s="114">
        <v>300</v>
      </c>
      <c r="F724" s="114">
        <v>143</v>
      </c>
      <c r="G724" s="114">
        <v>1</v>
      </c>
      <c r="H724" s="114">
        <v>7600</v>
      </c>
      <c r="I724" s="114">
        <v>7600</v>
      </c>
      <c r="J724" s="114">
        <v>6387</v>
      </c>
      <c r="K724" s="114">
        <v>1213</v>
      </c>
      <c r="L724" s="114" t="str">
        <f t="shared" si="11"/>
        <v>INSERT INTO DETALLES_DOCUMENTO(NRO_DOCUMENTO,ID_TIPO,ID_PRODUCTO,CANTIDAD,PRECIO,VALOR_BRUTO,VALOR_NETO,VALOR_IVA) VALUES(340,1,143,1,7600,7600,6387,1213);</v>
      </c>
    </row>
    <row r="725" spans="1:12">
      <c r="A725" s="114">
        <v>1</v>
      </c>
      <c r="B725" s="114">
        <v>340</v>
      </c>
      <c r="C725" s="139" t="s">
        <v>2225</v>
      </c>
      <c r="D725" s="114" t="s">
        <v>2090</v>
      </c>
      <c r="E725" s="114">
        <v>300</v>
      </c>
      <c r="F725" s="114">
        <v>368</v>
      </c>
      <c r="G725" s="114">
        <v>1</v>
      </c>
      <c r="H725" s="114">
        <v>3000</v>
      </c>
      <c r="I725" s="114">
        <v>3000</v>
      </c>
      <c r="J725" s="114">
        <v>2521</v>
      </c>
      <c r="K725" s="114">
        <v>479</v>
      </c>
      <c r="L725" s="114" t="str">
        <f t="shared" si="11"/>
        <v>INSERT INTO DETALLES_DOCUMENTO(NRO_DOCUMENTO,ID_TIPO,ID_PRODUCTO,CANTIDAD,PRECIO,VALOR_BRUTO,VALOR_NETO,VALOR_IVA) VALUES(340,1,368,1,3000,3000,2521,479);</v>
      </c>
    </row>
    <row r="726" spans="1:12">
      <c r="A726" s="114">
        <v>1</v>
      </c>
      <c r="B726" s="114">
        <v>341</v>
      </c>
      <c r="C726" s="139" t="s">
        <v>2225</v>
      </c>
      <c r="D726" s="114" t="s">
        <v>2090</v>
      </c>
      <c r="E726" s="114">
        <v>353</v>
      </c>
      <c r="F726" s="114">
        <v>230</v>
      </c>
      <c r="G726" s="114">
        <v>1</v>
      </c>
      <c r="H726" s="114">
        <v>15500</v>
      </c>
      <c r="I726" s="114">
        <v>15500</v>
      </c>
      <c r="J726" s="114">
        <v>13025</v>
      </c>
      <c r="K726" s="114">
        <v>2475</v>
      </c>
      <c r="L726" s="114" t="str">
        <f t="shared" si="11"/>
        <v>INSERT INTO DETALLES_DOCUMENTO(NRO_DOCUMENTO,ID_TIPO,ID_PRODUCTO,CANTIDAD,PRECIO,VALOR_BRUTO,VALOR_NETO,VALOR_IVA) VALUES(341,1,230,1,15500,15500,13025,2475);</v>
      </c>
    </row>
    <row r="727" spans="1:12">
      <c r="A727" s="114">
        <v>1</v>
      </c>
      <c r="B727" s="114">
        <v>341</v>
      </c>
      <c r="C727" s="139" t="s">
        <v>2225</v>
      </c>
      <c r="D727" s="114" t="s">
        <v>2090</v>
      </c>
      <c r="E727" s="114">
        <v>353</v>
      </c>
      <c r="F727" s="114">
        <v>118</v>
      </c>
      <c r="G727" s="114">
        <v>1</v>
      </c>
      <c r="H727" s="114">
        <v>3500</v>
      </c>
      <c r="I727" s="114">
        <v>3500</v>
      </c>
      <c r="J727" s="114">
        <v>2941</v>
      </c>
      <c r="K727" s="114">
        <v>559</v>
      </c>
      <c r="L727" s="114" t="str">
        <f t="shared" si="11"/>
        <v>INSERT INTO DETALLES_DOCUMENTO(NRO_DOCUMENTO,ID_TIPO,ID_PRODUCTO,CANTIDAD,PRECIO,VALOR_BRUTO,VALOR_NETO,VALOR_IVA) VALUES(341,1,118,1,3500,3500,2941,559);</v>
      </c>
    </row>
    <row r="728" spans="1:12">
      <c r="A728" s="114">
        <v>1</v>
      </c>
      <c r="B728" s="114">
        <v>342</v>
      </c>
      <c r="C728" s="139" t="s">
        <v>2225</v>
      </c>
      <c r="D728" s="114" t="s">
        <v>2090</v>
      </c>
      <c r="E728" s="114">
        <v>382</v>
      </c>
      <c r="F728" s="114">
        <v>143</v>
      </c>
      <c r="G728" s="114">
        <v>1</v>
      </c>
      <c r="H728" s="114">
        <v>7600</v>
      </c>
      <c r="I728" s="114">
        <v>7600</v>
      </c>
      <c r="J728" s="114">
        <v>6387</v>
      </c>
      <c r="K728" s="114">
        <v>1213</v>
      </c>
      <c r="L728" s="114" t="str">
        <f t="shared" si="11"/>
        <v>INSERT INTO DETALLES_DOCUMENTO(NRO_DOCUMENTO,ID_TIPO,ID_PRODUCTO,CANTIDAD,PRECIO,VALOR_BRUTO,VALOR_NETO,VALOR_IVA) VALUES(342,1,143,1,7600,7600,6387,1213);</v>
      </c>
    </row>
    <row r="729" spans="1:12">
      <c r="A729" s="114">
        <v>1</v>
      </c>
      <c r="B729" s="114">
        <v>343</v>
      </c>
      <c r="C729" s="139" t="s">
        <v>2225</v>
      </c>
      <c r="D729" s="114" t="s">
        <v>2090</v>
      </c>
      <c r="E729" s="114">
        <v>402</v>
      </c>
      <c r="F729" s="114">
        <v>143</v>
      </c>
      <c r="G729" s="114">
        <v>1</v>
      </c>
      <c r="H729" s="114">
        <v>7600</v>
      </c>
      <c r="I729" s="114">
        <v>7600</v>
      </c>
      <c r="J729" s="114">
        <v>6387</v>
      </c>
      <c r="K729" s="114">
        <v>1213</v>
      </c>
      <c r="L729" s="114" t="str">
        <f t="shared" si="11"/>
        <v>INSERT INTO DETALLES_DOCUMENTO(NRO_DOCUMENTO,ID_TIPO,ID_PRODUCTO,CANTIDAD,PRECIO,VALOR_BRUTO,VALOR_NETO,VALOR_IVA) VALUES(343,1,143,1,7600,7600,6387,1213);</v>
      </c>
    </row>
    <row r="730" spans="1:12">
      <c r="A730" s="114">
        <v>1</v>
      </c>
      <c r="B730" s="114">
        <v>344</v>
      </c>
      <c r="C730" s="139" t="s">
        <v>2226</v>
      </c>
      <c r="D730" s="114" t="s">
        <v>2090</v>
      </c>
      <c r="E730" s="114">
        <v>166</v>
      </c>
      <c r="F730" s="114">
        <v>117</v>
      </c>
      <c r="G730" s="114">
        <v>1</v>
      </c>
      <c r="H730" s="114">
        <v>3500</v>
      </c>
      <c r="I730" s="114">
        <v>3500</v>
      </c>
      <c r="J730" s="114">
        <v>2941</v>
      </c>
      <c r="K730" s="114">
        <v>559</v>
      </c>
      <c r="L730" s="114" t="str">
        <f t="shared" si="11"/>
        <v>INSERT INTO DETALLES_DOCUMENTO(NRO_DOCUMENTO,ID_TIPO,ID_PRODUCTO,CANTIDAD,PRECIO,VALOR_BRUTO,VALOR_NETO,VALOR_IVA) VALUES(344,1,117,1,3500,3500,2941,559);</v>
      </c>
    </row>
    <row r="731" spans="1:12">
      <c r="A731" s="114">
        <v>1</v>
      </c>
      <c r="B731" s="114">
        <v>345</v>
      </c>
      <c r="C731" s="139" t="s">
        <v>2226</v>
      </c>
      <c r="D731" s="114" t="s">
        <v>2090</v>
      </c>
      <c r="E731" s="114">
        <v>219</v>
      </c>
      <c r="F731" s="114">
        <v>231</v>
      </c>
      <c r="G731" s="114">
        <v>1</v>
      </c>
      <c r="H731" s="114">
        <v>19990</v>
      </c>
      <c r="I731" s="114">
        <v>19990</v>
      </c>
      <c r="J731" s="114">
        <v>16798</v>
      </c>
      <c r="K731" s="114">
        <v>3192</v>
      </c>
      <c r="L731" s="114" t="str">
        <f t="shared" si="11"/>
        <v>INSERT INTO DETALLES_DOCUMENTO(NRO_DOCUMENTO,ID_TIPO,ID_PRODUCTO,CANTIDAD,PRECIO,VALOR_BRUTO,VALOR_NETO,VALOR_IVA) VALUES(345,1,231,1,19990,19990,16798,3192);</v>
      </c>
    </row>
    <row r="732" spans="1:12">
      <c r="A732" s="114">
        <v>1</v>
      </c>
      <c r="B732" s="114">
        <v>346</v>
      </c>
      <c r="C732" s="139" t="s">
        <v>2226</v>
      </c>
      <c r="D732" s="114" t="s">
        <v>2090</v>
      </c>
      <c r="E732" s="114">
        <v>315</v>
      </c>
      <c r="F732" s="114">
        <v>143</v>
      </c>
      <c r="G732" s="114">
        <v>1</v>
      </c>
      <c r="H732" s="114">
        <v>7600</v>
      </c>
      <c r="I732" s="114">
        <v>7600</v>
      </c>
      <c r="J732" s="114">
        <v>6387</v>
      </c>
      <c r="K732" s="114">
        <v>1213</v>
      </c>
      <c r="L732" s="114" t="str">
        <f t="shared" si="11"/>
        <v>INSERT INTO DETALLES_DOCUMENTO(NRO_DOCUMENTO,ID_TIPO,ID_PRODUCTO,CANTIDAD,PRECIO,VALOR_BRUTO,VALOR_NETO,VALOR_IVA) VALUES(346,1,143,1,7600,7600,6387,1213);</v>
      </c>
    </row>
    <row r="733" spans="1:12">
      <c r="A733" s="114">
        <v>1</v>
      </c>
      <c r="B733" s="114">
        <v>347</v>
      </c>
      <c r="C733" s="139" t="s">
        <v>2226</v>
      </c>
      <c r="D733" s="114" t="s">
        <v>2090</v>
      </c>
      <c r="E733" s="114">
        <v>393</v>
      </c>
      <c r="F733" s="114">
        <v>98</v>
      </c>
      <c r="G733" s="114">
        <v>1</v>
      </c>
      <c r="H733" s="114">
        <v>3500</v>
      </c>
      <c r="I733" s="114">
        <v>3500</v>
      </c>
      <c r="J733" s="114">
        <v>2941</v>
      </c>
      <c r="K733" s="114">
        <v>559</v>
      </c>
      <c r="L733" s="114" t="str">
        <f t="shared" si="11"/>
        <v>INSERT INTO DETALLES_DOCUMENTO(NRO_DOCUMENTO,ID_TIPO,ID_PRODUCTO,CANTIDAD,PRECIO,VALOR_BRUTO,VALOR_NETO,VALOR_IVA) VALUES(347,1,98,1,3500,3500,2941,559);</v>
      </c>
    </row>
    <row r="734" spans="1:12">
      <c r="A734" s="114">
        <v>1</v>
      </c>
      <c r="B734" s="114">
        <v>348</v>
      </c>
      <c r="C734" s="139" t="s">
        <v>2226</v>
      </c>
      <c r="D734" s="114" t="s">
        <v>2090</v>
      </c>
      <c r="E734" s="114">
        <v>418</v>
      </c>
      <c r="F734" s="114">
        <v>143</v>
      </c>
      <c r="G734" s="114">
        <v>1</v>
      </c>
      <c r="H734" s="114">
        <v>7600</v>
      </c>
      <c r="I734" s="114">
        <v>7600</v>
      </c>
      <c r="J734" s="114">
        <v>6387</v>
      </c>
      <c r="K734" s="114">
        <v>1213</v>
      </c>
      <c r="L734" s="114" t="str">
        <f t="shared" si="11"/>
        <v>INSERT INTO DETALLES_DOCUMENTO(NRO_DOCUMENTO,ID_TIPO,ID_PRODUCTO,CANTIDAD,PRECIO,VALOR_BRUTO,VALOR_NETO,VALOR_IVA) VALUES(348,1,143,1,7600,7600,6387,1213);</v>
      </c>
    </row>
    <row r="735" spans="1:12">
      <c r="A735" s="114">
        <v>1</v>
      </c>
      <c r="B735" s="114">
        <v>349</v>
      </c>
      <c r="C735" s="139" t="s">
        <v>2227</v>
      </c>
      <c r="D735" s="114" t="s">
        <v>2090</v>
      </c>
      <c r="E735" s="114">
        <v>89</v>
      </c>
      <c r="F735" s="114">
        <v>126</v>
      </c>
      <c r="G735" s="114">
        <v>2</v>
      </c>
      <c r="H735" s="114">
        <v>18000</v>
      </c>
      <c r="I735" s="114">
        <v>36000</v>
      </c>
      <c r="J735" s="114">
        <v>30252</v>
      </c>
      <c r="K735" s="114">
        <v>5748</v>
      </c>
      <c r="L735" s="114" t="str">
        <f t="shared" si="11"/>
        <v>INSERT INTO DETALLES_DOCUMENTO(NRO_DOCUMENTO,ID_TIPO,ID_PRODUCTO,CANTIDAD,PRECIO,VALOR_BRUTO,VALOR_NETO,VALOR_IVA) VALUES(349,1,126,2,18000,36000,30252,5748);</v>
      </c>
    </row>
    <row r="736" spans="1:12">
      <c r="A736" s="114">
        <v>1</v>
      </c>
      <c r="B736" s="114">
        <v>350</v>
      </c>
      <c r="C736" s="139" t="s">
        <v>2227</v>
      </c>
      <c r="D736" s="114" t="s">
        <v>2090</v>
      </c>
      <c r="E736" s="114">
        <v>111</v>
      </c>
      <c r="F736" s="114">
        <v>230</v>
      </c>
      <c r="G736" s="114">
        <v>1</v>
      </c>
      <c r="H736" s="114">
        <v>15500</v>
      </c>
      <c r="I736" s="114">
        <v>15500</v>
      </c>
      <c r="J736" s="114">
        <v>13025</v>
      </c>
      <c r="K736" s="114">
        <v>2475</v>
      </c>
      <c r="L736" s="114" t="str">
        <f t="shared" si="11"/>
        <v>INSERT INTO DETALLES_DOCUMENTO(NRO_DOCUMENTO,ID_TIPO,ID_PRODUCTO,CANTIDAD,PRECIO,VALOR_BRUTO,VALOR_NETO,VALOR_IVA) VALUES(350,1,230,1,15500,15500,13025,2475);</v>
      </c>
    </row>
    <row r="737" spans="1:12">
      <c r="A737" s="114">
        <v>1</v>
      </c>
      <c r="B737" s="114">
        <v>351</v>
      </c>
      <c r="C737" s="139" t="s">
        <v>2227</v>
      </c>
      <c r="D737" s="114" t="s">
        <v>2090</v>
      </c>
      <c r="E737" s="114">
        <v>405</v>
      </c>
      <c r="F737" s="114">
        <v>371</v>
      </c>
      <c r="G737" s="114">
        <v>1</v>
      </c>
      <c r="H737" s="114">
        <v>9500</v>
      </c>
      <c r="I737" s="114">
        <v>9500</v>
      </c>
      <c r="J737" s="114">
        <v>7983</v>
      </c>
      <c r="K737" s="114">
        <v>1517</v>
      </c>
      <c r="L737" s="114" t="str">
        <f t="shared" si="11"/>
        <v>INSERT INTO DETALLES_DOCUMENTO(NRO_DOCUMENTO,ID_TIPO,ID_PRODUCTO,CANTIDAD,PRECIO,VALOR_BRUTO,VALOR_NETO,VALOR_IVA) VALUES(351,1,371,1,9500,9500,7983,1517);</v>
      </c>
    </row>
    <row r="738" spans="1:12">
      <c r="A738" s="114">
        <v>1</v>
      </c>
      <c r="B738" s="114">
        <v>351</v>
      </c>
      <c r="C738" s="139" t="s">
        <v>2227</v>
      </c>
      <c r="D738" s="114" t="s">
        <v>2090</v>
      </c>
      <c r="E738" s="114">
        <v>405</v>
      </c>
      <c r="F738" s="114">
        <v>233</v>
      </c>
      <c r="G738" s="114">
        <v>1</v>
      </c>
      <c r="H738" s="114">
        <v>15990</v>
      </c>
      <c r="I738" s="114">
        <v>15990</v>
      </c>
      <c r="J738" s="114">
        <v>13437</v>
      </c>
      <c r="K738" s="114">
        <v>2553</v>
      </c>
      <c r="L738" s="114" t="str">
        <f t="shared" si="11"/>
        <v>INSERT INTO DETALLES_DOCUMENTO(NRO_DOCUMENTO,ID_TIPO,ID_PRODUCTO,CANTIDAD,PRECIO,VALOR_BRUTO,VALOR_NETO,VALOR_IVA) VALUES(351,1,233,1,15990,15990,13437,2553);</v>
      </c>
    </row>
    <row r="739" spans="1:12">
      <c r="A739" s="114">
        <v>1</v>
      </c>
      <c r="B739" s="114">
        <v>352</v>
      </c>
      <c r="C739" s="139" t="s">
        <v>2227</v>
      </c>
      <c r="D739" s="114" t="s">
        <v>2090</v>
      </c>
      <c r="E739" s="114">
        <v>411</v>
      </c>
      <c r="F739" s="114">
        <v>191</v>
      </c>
      <c r="G739" s="114">
        <v>2</v>
      </c>
      <c r="H739" s="114">
        <v>5000</v>
      </c>
      <c r="I739" s="114">
        <v>10000</v>
      </c>
      <c r="J739" s="114">
        <v>8403</v>
      </c>
      <c r="K739" s="114">
        <v>1597</v>
      </c>
      <c r="L739" s="114" t="str">
        <f t="shared" si="11"/>
        <v>INSERT INTO DETALLES_DOCUMENTO(NRO_DOCUMENTO,ID_TIPO,ID_PRODUCTO,CANTIDAD,PRECIO,VALOR_BRUTO,VALOR_NETO,VALOR_IVA) VALUES(352,1,191,2,5000,10000,8403,1597);</v>
      </c>
    </row>
    <row r="740" spans="1:12">
      <c r="A740" s="114">
        <v>1</v>
      </c>
      <c r="B740" s="114">
        <v>353</v>
      </c>
      <c r="C740" s="139" t="s">
        <v>2228</v>
      </c>
      <c r="D740" s="114" t="s">
        <v>2090</v>
      </c>
      <c r="E740" s="114">
        <v>53</v>
      </c>
      <c r="F740" s="114">
        <v>290</v>
      </c>
      <c r="G740" s="114">
        <v>1</v>
      </c>
      <c r="H740" s="114">
        <v>1200</v>
      </c>
      <c r="I740" s="114">
        <v>1200</v>
      </c>
      <c r="J740" s="114">
        <v>1008</v>
      </c>
      <c r="K740" s="114">
        <v>192</v>
      </c>
      <c r="L740" s="114" t="str">
        <f t="shared" si="11"/>
        <v>INSERT INTO DETALLES_DOCUMENTO(NRO_DOCUMENTO,ID_TIPO,ID_PRODUCTO,CANTIDAD,PRECIO,VALOR_BRUTO,VALOR_NETO,VALOR_IVA) VALUES(353,1,290,1,1200,1200,1008,192);</v>
      </c>
    </row>
    <row r="741" spans="1:12">
      <c r="A741" s="114">
        <v>1</v>
      </c>
      <c r="B741" s="114">
        <v>353</v>
      </c>
      <c r="C741" s="139" t="s">
        <v>2228</v>
      </c>
      <c r="D741" s="114" t="s">
        <v>2090</v>
      </c>
      <c r="E741" s="114">
        <v>53</v>
      </c>
      <c r="F741" s="114">
        <v>124</v>
      </c>
      <c r="G741" s="114">
        <v>1</v>
      </c>
      <c r="H741" s="114">
        <v>4000</v>
      </c>
      <c r="I741" s="114">
        <v>4000</v>
      </c>
      <c r="J741" s="114">
        <v>3361</v>
      </c>
      <c r="K741" s="114">
        <v>639</v>
      </c>
      <c r="L741" s="114" t="str">
        <f t="shared" si="11"/>
        <v>INSERT INTO DETALLES_DOCUMENTO(NRO_DOCUMENTO,ID_TIPO,ID_PRODUCTO,CANTIDAD,PRECIO,VALOR_BRUTO,VALOR_NETO,VALOR_IVA) VALUES(353,1,124,1,4000,4000,3361,639);</v>
      </c>
    </row>
    <row r="742" spans="1:12">
      <c r="A742" s="114">
        <v>1</v>
      </c>
      <c r="B742" s="114">
        <v>354</v>
      </c>
      <c r="C742" s="139" t="s">
        <v>2228</v>
      </c>
      <c r="D742" s="114" t="s">
        <v>2090</v>
      </c>
      <c r="E742" s="114">
        <v>84</v>
      </c>
      <c r="F742" s="114">
        <v>140</v>
      </c>
      <c r="G742" s="114">
        <v>1</v>
      </c>
      <c r="H742" s="114">
        <v>3500</v>
      </c>
      <c r="I742" s="114">
        <v>3500</v>
      </c>
      <c r="J742" s="114">
        <v>2941</v>
      </c>
      <c r="K742" s="114">
        <v>559</v>
      </c>
      <c r="L742" s="114" t="str">
        <f t="shared" si="11"/>
        <v>INSERT INTO DETALLES_DOCUMENTO(NRO_DOCUMENTO,ID_TIPO,ID_PRODUCTO,CANTIDAD,PRECIO,VALOR_BRUTO,VALOR_NETO,VALOR_IVA) VALUES(354,1,140,1,3500,3500,2941,559);</v>
      </c>
    </row>
    <row r="743" spans="1:12">
      <c r="A743" s="114">
        <v>1</v>
      </c>
      <c r="B743" s="114">
        <v>355</v>
      </c>
      <c r="C743" s="139" t="s">
        <v>2228</v>
      </c>
      <c r="D743" s="114" t="s">
        <v>2090</v>
      </c>
      <c r="E743" s="114">
        <v>166</v>
      </c>
      <c r="F743" s="114">
        <v>329</v>
      </c>
      <c r="G743" s="114">
        <v>1</v>
      </c>
      <c r="H743" s="114">
        <v>5500</v>
      </c>
      <c r="I743" s="114">
        <v>5500</v>
      </c>
      <c r="J743" s="114">
        <v>4622</v>
      </c>
      <c r="K743" s="114">
        <v>878</v>
      </c>
      <c r="L743" s="114" t="str">
        <f t="shared" si="11"/>
        <v>INSERT INTO DETALLES_DOCUMENTO(NRO_DOCUMENTO,ID_TIPO,ID_PRODUCTO,CANTIDAD,PRECIO,VALOR_BRUTO,VALOR_NETO,VALOR_IVA) VALUES(355,1,329,1,5500,5500,4622,878);</v>
      </c>
    </row>
    <row r="744" spans="1:12">
      <c r="A744" s="114">
        <v>1</v>
      </c>
      <c r="B744" s="114">
        <v>356</v>
      </c>
      <c r="C744" s="139" t="s">
        <v>2228</v>
      </c>
      <c r="D744" s="114" t="s">
        <v>2090</v>
      </c>
      <c r="E744" s="114">
        <v>202</v>
      </c>
      <c r="F744" s="114">
        <v>143</v>
      </c>
      <c r="G744" s="114">
        <v>1</v>
      </c>
      <c r="H744" s="114">
        <v>7600</v>
      </c>
      <c r="I744" s="114">
        <v>7600</v>
      </c>
      <c r="J744" s="114">
        <v>6387</v>
      </c>
      <c r="K744" s="114">
        <v>1213</v>
      </c>
      <c r="L744" s="114" t="str">
        <f t="shared" si="11"/>
        <v>INSERT INTO DETALLES_DOCUMENTO(NRO_DOCUMENTO,ID_TIPO,ID_PRODUCTO,CANTIDAD,PRECIO,VALOR_BRUTO,VALOR_NETO,VALOR_IVA) VALUES(356,1,143,1,7600,7600,6387,1213);</v>
      </c>
    </row>
    <row r="745" spans="1:12">
      <c r="A745" s="114">
        <v>1</v>
      </c>
      <c r="B745" s="114">
        <v>357</v>
      </c>
      <c r="C745" s="139" t="s">
        <v>2228</v>
      </c>
      <c r="D745" s="114" t="s">
        <v>2090</v>
      </c>
      <c r="E745" s="114">
        <v>206</v>
      </c>
      <c r="F745" s="114">
        <v>143</v>
      </c>
      <c r="G745" s="114">
        <v>1</v>
      </c>
      <c r="H745" s="114">
        <v>7600</v>
      </c>
      <c r="I745" s="114">
        <v>7600</v>
      </c>
      <c r="J745" s="114">
        <v>6387</v>
      </c>
      <c r="K745" s="114">
        <v>1213</v>
      </c>
      <c r="L745" s="114" t="str">
        <f t="shared" si="11"/>
        <v>INSERT INTO DETALLES_DOCUMENTO(NRO_DOCUMENTO,ID_TIPO,ID_PRODUCTO,CANTIDAD,PRECIO,VALOR_BRUTO,VALOR_NETO,VALOR_IVA) VALUES(357,1,143,1,7600,7600,6387,1213);</v>
      </c>
    </row>
    <row r="746" spans="1:12">
      <c r="A746" s="114">
        <v>1</v>
      </c>
      <c r="B746" s="114">
        <v>358</v>
      </c>
      <c r="C746" s="139" t="s">
        <v>2228</v>
      </c>
      <c r="D746" s="114" t="s">
        <v>2090</v>
      </c>
      <c r="E746" s="114">
        <v>242</v>
      </c>
      <c r="F746" s="114">
        <v>143</v>
      </c>
      <c r="G746" s="114">
        <v>1</v>
      </c>
      <c r="H746" s="114">
        <v>7600</v>
      </c>
      <c r="I746" s="114">
        <v>7600</v>
      </c>
      <c r="J746" s="114">
        <v>6387</v>
      </c>
      <c r="K746" s="114">
        <v>1213</v>
      </c>
      <c r="L746" s="114" t="str">
        <f t="shared" si="11"/>
        <v>INSERT INTO DETALLES_DOCUMENTO(NRO_DOCUMENTO,ID_TIPO,ID_PRODUCTO,CANTIDAD,PRECIO,VALOR_BRUTO,VALOR_NETO,VALOR_IVA) VALUES(358,1,143,1,7600,7600,6387,1213);</v>
      </c>
    </row>
    <row r="747" spans="1:12">
      <c r="A747" s="114">
        <v>1</v>
      </c>
      <c r="B747" s="114">
        <v>359</v>
      </c>
      <c r="C747" s="139" t="s">
        <v>2228</v>
      </c>
      <c r="D747" s="114" t="s">
        <v>2090</v>
      </c>
      <c r="E747" s="114">
        <v>414</v>
      </c>
      <c r="F747" s="114">
        <v>143</v>
      </c>
      <c r="G747" s="114">
        <v>1</v>
      </c>
      <c r="H747" s="114">
        <v>7600</v>
      </c>
      <c r="I747" s="114">
        <v>7600</v>
      </c>
      <c r="J747" s="114">
        <v>6387</v>
      </c>
      <c r="K747" s="114">
        <v>1213</v>
      </c>
      <c r="L747" s="114" t="str">
        <f t="shared" si="11"/>
        <v>INSERT INTO DETALLES_DOCUMENTO(NRO_DOCUMENTO,ID_TIPO,ID_PRODUCTO,CANTIDAD,PRECIO,VALOR_BRUTO,VALOR_NETO,VALOR_IVA) VALUES(359,1,143,1,7600,7600,6387,1213);</v>
      </c>
    </row>
    <row r="748" spans="1:12">
      <c r="A748" s="114">
        <v>1</v>
      </c>
      <c r="B748" s="114">
        <v>360</v>
      </c>
      <c r="C748" s="139" t="s">
        <v>2229</v>
      </c>
      <c r="D748" s="114" t="s">
        <v>2090</v>
      </c>
      <c r="E748" s="114">
        <v>110</v>
      </c>
      <c r="F748" s="114">
        <v>227</v>
      </c>
      <c r="G748" s="114">
        <v>1</v>
      </c>
      <c r="H748" s="114">
        <v>13500</v>
      </c>
      <c r="I748" s="114">
        <v>13500</v>
      </c>
      <c r="J748" s="114">
        <v>11345</v>
      </c>
      <c r="K748" s="114">
        <v>2155</v>
      </c>
      <c r="L748" s="114" t="str">
        <f t="shared" si="11"/>
        <v>INSERT INTO DETALLES_DOCUMENTO(NRO_DOCUMENTO,ID_TIPO,ID_PRODUCTO,CANTIDAD,PRECIO,VALOR_BRUTO,VALOR_NETO,VALOR_IVA) VALUES(360,1,227,1,13500,13500,11345,2155);</v>
      </c>
    </row>
    <row r="749" spans="1:12">
      <c r="A749" s="114">
        <v>1</v>
      </c>
      <c r="B749" s="114">
        <v>361</v>
      </c>
      <c r="C749" s="139" t="s">
        <v>2229</v>
      </c>
      <c r="D749" s="114" t="s">
        <v>2090</v>
      </c>
      <c r="E749" s="114">
        <v>113</v>
      </c>
      <c r="F749" s="114">
        <v>126</v>
      </c>
      <c r="G749" s="114">
        <v>1</v>
      </c>
      <c r="H749" s="114">
        <v>9000</v>
      </c>
      <c r="I749" s="114">
        <v>9000</v>
      </c>
      <c r="J749" s="114">
        <v>7563</v>
      </c>
      <c r="K749" s="114">
        <v>1437</v>
      </c>
      <c r="L749" s="114" t="str">
        <f t="shared" si="11"/>
        <v>INSERT INTO DETALLES_DOCUMENTO(NRO_DOCUMENTO,ID_TIPO,ID_PRODUCTO,CANTIDAD,PRECIO,VALOR_BRUTO,VALOR_NETO,VALOR_IVA) VALUES(361,1,126,1,9000,9000,7563,1437);</v>
      </c>
    </row>
    <row r="750" spans="1:12">
      <c r="A750" s="114">
        <v>1</v>
      </c>
      <c r="B750" s="114">
        <v>361</v>
      </c>
      <c r="C750" s="139" t="s">
        <v>2229</v>
      </c>
      <c r="D750" s="114" t="s">
        <v>2090</v>
      </c>
      <c r="E750" s="114">
        <v>113</v>
      </c>
      <c r="F750" s="114">
        <v>124</v>
      </c>
      <c r="G750" s="114">
        <v>1</v>
      </c>
      <c r="H750" s="114">
        <v>4000</v>
      </c>
      <c r="I750" s="114">
        <v>4000</v>
      </c>
      <c r="J750" s="114">
        <v>3361</v>
      </c>
      <c r="K750" s="114">
        <v>639</v>
      </c>
      <c r="L750" s="114" t="str">
        <f t="shared" si="11"/>
        <v>INSERT INTO DETALLES_DOCUMENTO(NRO_DOCUMENTO,ID_TIPO,ID_PRODUCTO,CANTIDAD,PRECIO,VALOR_BRUTO,VALOR_NETO,VALOR_IVA) VALUES(361,1,124,1,4000,4000,3361,639);</v>
      </c>
    </row>
    <row r="751" spans="1:12">
      <c r="A751" s="114">
        <v>1</v>
      </c>
      <c r="B751" s="114">
        <v>362</v>
      </c>
      <c r="C751" s="139" t="s">
        <v>2229</v>
      </c>
      <c r="D751" s="114" t="s">
        <v>2090</v>
      </c>
      <c r="E751" s="114">
        <v>374</v>
      </c>
      <c r="F751" s="114">
        <v>324</v>
      </c>
      <c r="G751" s="114">
        <v>1</v>
      </c>
      <c r="H751" s="114">
        <v>10500</v>
      </c>
      <c r="I751" s="114">
        <v>10500</v>
      </c>
      <c r="J751" s="114">
        <v>8824</v>
      </c>
      <c r="K751" s="114">
        <v>1676</v>
      </c>
      <c r="L751" s="114" t="str">
        <f t="shared" si="11"/>
        <v>INSERT INTO DETALLES_DOCUMENTO(NRO_DOCUMENTO,ID_TIPO,ID_PRODUCTO,CANTIDAD,PRECIO,VALOR_BRUTO,VALOR_NETO,VALOR_IVA) VALUES(362,1,324,1,10500,10500,8824,1676);</v>
      </c>
    </row>
    <row r="752" spans="1:12">
      <c r="A752" s="114">
        <v>1</v>
      </c>
      <c r="B752" s="114">
        <v>363</v>
      </c>
      <c r="C752" s="139" t="s">
        <v>2229</v>
      </c>
      <c r="D752" s="114" t="s">
        <v>2090</v>
      </c>
      <c r="E752" s="114">
        <v>386</v>
      </c>
      <c r="F752" s="114">
        <v>143</v>
      </c>
      <c r="G752" s="114">
        <v>1</v>
      </c>
      <c r="H752" s="114">
        <v>7600</v>
      </c>
      <c r="I752" s="114">
        <v>7600</v>
      </c>
      <c r="J752" s="114">
        <v>6387</v>
      </c>
      <c r="K752" s="114">
        <v>1213</v>
      </c>
      <c r="L752" s="114" t="str">
        <f t="shared" si="11"/>
        <v>INSERT INTO DETALLES_DOCUMENTO(NRO_DOCUMENTO,ID_TIPO,ID_PRODUCTO,CANTIDAD,PRECIO,VALOR_BRUTO,VALOR_NETO,VALOR_IVA) VALUES(363,1,143,1,7600,7600,6387,1213);</v>
      </c>
    </row>
    <row r="753" spans="1:12">
      <c r="A753" s="114">
        <v>1</v>
      </c>
      <c r="B753" s="114">
        <v>364</v>
      </c>
      <c r="C753" s="139" t="s">
        <v>2229</v>
      </c>
      <c r="D753" s="114" t="s">
        <v>2090</v>
      </c>
      <c r="E753" s="114">
        <v>389</v>
      </c>
      <c r="F753" s="114">
        <v>324</v>
      </c>
      <c r="G753" s="114">
        <v>1</v>
      </c>
      <c r="H753" s="114">
        <v>10500</v>
      </c>
      <c r="I753" s="114">
        <v>10500</v>
      </c>
      <c r="J753" s="114">
        <v>8824</v>
      </c>
      <c r="K753" s="114">
        <v>1676</v>
      </c>
      <c r="L753" s="114" t="str">
        <f t="shared" si="11"/>
        <v>INSERT INTO DETALLES_DOCUMENTO(NRO_DOCUMENTO,ID_TIPO,ID_PRODUCTO,CANTIDAD,PRECIO,VALOR_BRUTO,VALOR_NETO,VALOR_IVA) VALUES(364,1,324,1,10500,10500,8824,1676);</v>
      </c>
    </row>
    <row r="754" spans="1:12">
      <c r="A754" s="114">
        <v>1</v>
      </c>
      <c r="B754" s="114">
        <v>365</v>
      </c>
      <c r="C754" s="139" t="s">
        <v>2229</v>
      </c>
      <c r="D754" s="114" t="s">
        <v>2090</v>
      </c>
      <c r="E754" s="114">
        <v>407</v>
      </c>
      <c r="F754" s="114">
        <v>165</v>
      </c>
      <c r="G754" s="114">
        <v>1</v>
      </c>
      <c r="H754" s="114">
        <v>2000</v>
      </c>
      <c r="I754" s="114">
        <v>2000</v>
      </c>
      <c r="J754" s="114">
        <v>1681</v>
      </c>
      <c r="K754" s="114">
        <v>319</v>
      </c>
      <c r="L754" s="114" t="str">
        <f t="shared" si="11"/>
        <v>INSERT INTO DETALLES_DOCUMENTO(NRO_DOCUMENTO,ID_TIPO,ID_PRODUCTO,CANTIDAD,PRECIO,VALOR_BRUTO,VALOR_NETO,VALOR_IVA) VALUES(365,1,165,1,2000,2000,1681,319);</v>
      </c>
    </row>
    <row r="755" spans="1:12">
      <c r="A755" s="114">
        <v>1</v>
      </c>
      <c r="B755" s="114">
        <v>365</v>
      </c>
      <c r="C755" s="139" t="s">
        <v>2229</v>
      </c>
      <c r="D755" s="114" t="s">
        <v>2090</v>
      </c>
      <c r="E755" s="114">
        <v>407</v>
      </c>
      <c r="F755" s="114">
        <v>277</v>
      </c>
      <c r="G755" s="114">
        <v>1</v>
      </c>
      <c r="H755" s="114">
        <v>10000</v>
      </c>
      <c r="I755" s="114">
        <v>10000</v>
      </c>
      <c r="J755" s="114">
        <v>8403</v>
      </c>
      <c r="K755" s="114">
        <v>1597</v>
      </c>
      <c r="L755" s="114" t="str">
        <f t="shared" si="11"/>
        <v>INSERT INTO DETALLES_DOCUMENTO(NRO_DOCUMENTO,ID_TIPO,ID_PRODUCTO,CANTIDAD,PRECIO,VALOR_BRUTO,VALOR_NETO,VALOR_IVA) VALUES(365,1,277,1,10000,10000,8403,1597);</v>
      </c>
    </row>
    <row r="756" spans="1:12">
      <c r="A756" s="114">
        <v>1</v>
      </c>
      <c r="B756" s="114">
        <v>365</v>
      </c>
      <c r="C756" s="139" t="s">
        <v>2229</v>
      </c>
      <c r="D756" s="114" t="s">
        <v>2090</v>
      </c>
      <c r="E756" s="114">
        <v>407</v>
      </c>
      <c r="F756" s="114">
        <v>29</v>
      </c>
      <c r="G756" s="114">
        <v>2</v>
      </c>
      <c r="H756" s="114">
        <v>2000</v>
      </c>
      <c r="I756" s="114">
        <v>4000</v>
      </c>
      <c r="J756" s="114">
        <v>3361</v>
      </c>
      <c r="K756" s="114">
        <v>639</v>
      </c>
      <c r="L756" s="114" t="str">
        <f t="shared" si="11"/>
        <v>INSERT INTO DETALLES_DOCUMENTO(NRO_DOCUMENTO,ID_TIPO,ID_PRODUCTO,CANTIDAD,PRECIO,VALOR_BRUTO,VALOR_NETO,VALOR_IVA) VALUES(365,1,29,2,2000,4000,3361,639);</v>
      </c>
    </row>
    <row r="757" spans="1:12">
      <c r="A757" s="114">
        <v>1</v>
      </c>
      <c r="B757" s="114">
        <v>366</v>
      </c>
      <c r="C757" s="139" t="s">
        <v>2229</v>
      </c>
      <c r="D757" s="114" t="s">
        <v>2090</v>
      </c>
      <c r="E757" s="114">
        <v>455</v>
      </c>
      <c r="F757" s="114">
        <v>233</v>
      </c>
      <c r="G757" s="114">
        <v>1</v>
      </c>
      <c r="H757" s="114">
        <v>15990</v>
      </c>
      <c r="I757" s="114">
        <v>15990</v>
      </c>
      <c r="J757" s="114">
        <v>13437</v>
      </c>
      <c r="K757" s="114">
        <v>2553</v>
      </c>
      <c r="L757" s="114" t="str">
        <f t="shared" si="11"/>
        <v>INSERT INTO DETALLES_DOCUMENTO(NRO_DOCUMENTO,ID_TIPO,ID_PRODUCTO,CANTIDAD,PRECIO,VALOR_BRUTO,VALOR_NETO,VALOR_IVA) VALUES(366,1,233,1,15990,15990,13437,2553);</v>
      </c>
    </row>
    <row r="758" spans="1:12">
      <c r="A758" s="114">
        <v>1</v>
      </c>
      <c r="B758" s="114">
        <v>366</v>
      </c>
      <c r="C758" s="139" t="s">
        <v>2229</v>
      </c>
      <c r="D758" s="114" t="s">
        <v>2090</v>
      </c>
      <c r="E758" s="114">
        <v>455</v>
      </c>
      <c r="F758" s="114">
        <v>369</v>
      </c>
      <c r="G758" s="114">
        <v>1</v>
      </c>
      <c r="H758" s="114">
        <v>10500</v>
      </c>
      <c r="I758" s="114">
        <v>10500</v>
      </c>
      <c r="J758" s="114">
        <v>8824</v>
      </c>
      <c r="K758" s="114">
        <v>1676</v>
      </c>
      <c r="L758" s="114" t="str">
        <f t="shared" si="11"/>
        <v>INSERT INTO DETALLES_DOCUMENTO(NRO_DOCUMENTO,ID_TIPO,ID_PRODUCTO,CANTIDAD,PRECIO,VALOR_BRUTO,VALOR_NETO,VALOR_IVA) VALUES(366,1,369,1,10500,10500,8824,1676);</v>
      </c>
    </row>
    <row r="759" spans="1:12">
      <c r="A759" s="114">
        <v>1</v>
      </c>
      <c r="B759" s="114">
        <v>366</v>
      </c>
      <c r="C759" s="139" t="s">
        <v>2229</v>
      </c>
      <c r="D759" s="114" t="s">
        <v>2090</v>
      </c>
      <c r="E759" s="114">
        <v>455</v>
      </c>
      <c r="F759" s="114">
        <v>264</v>
      </c>
      <c r="G759" s="114">
        <v>1</v>
      </c>
      <c r="H759" s="114">
        <v>5000</v>
      </c>
      <c r="I759" s="114">
        <v>5000</v>
      </c>
      <c r="J759" s="114">
        <v>4202</v>
      </c>
      <c r="K759" s="114">
        <v>798</v>
      </c>
      <c r="L759" s="114" t="str">
        <f t="shared" si="11"/>
        <v>INSERT INTO DETALLES_DOCUMENTO(NRO_DOCUMENTO,ID_TIPO,ID_PRODUCTO,CANTIDAD,PRECIO,VALOR_BRUTO,VALOR_NETO,VALOR_IVA) VALUES(366,1,264,1,5000,5000,4202,798);</v>
      </c>
    </row>
    <row r="760" spans="1:12">
      <c r="A760" s="114">
        <v>1</v>
      </c>
      <c r="B760" s="114">
        <v>366</v>
      </c>
      <c r="C760" s="139" t="s">
        <v>2229</v>
      </c>
      <c r="D760" s="114" t="s">
        <v>2090</v>
      </c>
      <c r="E760" s="114">
        <v>455</v>
      </c>
      <c r="F760" s="114">
        <v>356</v>
      </c>
      <c r="G760" s="114">
        <v>2</v>
      </c>
      <c r="H760" s="114">
        <v>6000</v>
      </c>
      <c r="I760" s="114">
        <v>12000</v>
      </c>
      <c r="J760" s="114">
        <v>10084</v>
      </c>
      <c r="K760" s="114">
        <v>1916</v>
      </c>
      <c r="L760" s="114" t="str">
        <f t="shared" si="11"/>
        <v>INSERT INTO DETALLES_DOCUMENTO(NRO_DOCUMENTO,ID_TIPO,ID_PRODUCTO,CANTIDAD,PRECIO,VALOR_BRUTO,VALOR_NETO,VALOR_IVA) VALUES(366,1,356,2,6000,12000,10084,1916);</v>
      </c>
    </row>
    <row r="761" spans="1:12">
      <c r="A761" s="114">
        <v>1</v>
      </c>
      <c r="B761" s="114">
        <v>366</v>
      </c>
      <c r="C761" s="139" t="s">
        <v>2229</v>
      </c>
      <c r="D761" s="114" t="s">
        <v>2090</v>
      </c>
      <c r="E761" s="114">
        <v>455</v>
      </c>
      <c r="F761" s="114">
        <v>360</v>
      </c>
      <c r="G761" s="114">
        <v>2</v>
      </c>
      <c r="H761" s="114">
        <v>6000</v>
      </c>
      <c r="I761" s="114">
        <v>12000</v>
      </c>
      <c r="J761" s="114">
        <v>10084</v>
      </c>
      <c r="K761" s="114">
        <v>1916</v>
      </c>
      <c r="L761" s="114" t="str">
        <f t="shared" si="11"/>
        <v>INSERT INTO DETALLES_DOCUMENTO(NRO_DOCUMENTO,ID_TIPO,ID_PRODUCTO,CANTIDAD,PRECIO,VALOR_BRUTO,VALOR_NETO,VALOR_IVA) VALUES(366,1,360,2,6000,12000,10084,1916);</v>
      </c>
    </row>
    <row r="762" spans="1:12">
      <c r="A762" s="114">
        <v>1</v>
      </c>
      <c r="B762" s="114">
        <v>366</v>
      </c>
      <c r="C762" s="139" t="s">
        <v>2229</v>
      </c>
      <c r="D762" s="114" t="s">
        <v>2090</v>
      </c>
      <c r="E762" s="114">
        <v>455</v>
      </c>
      <c r="F762" s="114">
        <v>29</v>
      </c>
      <c r="G762" s="114">
        <v>2</v>
      </c>
      <c r="H762" s="114">
        <v>2000</v>
      </c>
      <c r="I762" s="114">
        <v>4000</v>
      </c>
      <c r="J762" s="114">
        <v>3361</v>
      </c>
      <c r="K762" s="114">
        <v>639</v>
      </c>
      <c r="L762" s="114" t="str">
        <f t="shared" si="11"/>
        <v>INSERT INTO DETALLES_DOCUMENTO(NRO_DOCUMENTO,ID_TIPO,ID_PRODUCTO,CANTIDAD,PRECIO,VALOR_BRUTO,VALOR_NETO,VALOR_IVA) VALUES(366,1,29,2,2000,4000,3361,639);</v>
      </c>
    </row>
    <row r="763" spans="1:12">
      <c r="A763" s="114">
        <v>1</v>
      </c>
      <c r="B763" s="114">
        <v>366</v>
      </c>
      <c r="C763" s="139" t="s">
        <v>2229</v>
      </c>
      <c r="D763" s="114" t="s">
        <v>2090</v>
      </c>
      <c r="E763" s="114">
        <v>455</v>
      </c>
      <c r="F763" s="114">
        <v>124</v>
      </c>
      <c r="G763" s="114">
        <v>1</v>
      </c>
      <c r="H763" s="114">
        <v>4000</v>
      </c>
      <c r="I763" s="114">
        <v>4000</v>
      </c>
      <c r="J763" s="114">
        <v>3361</v>
      </c>
      <c r="K763" s="114">
        <v>639</v>
      </c>
      <c r="L763" s="114" t="str">
        <f t="shared" si="11"/>
        <v>INSERT INTO DETALLES_DOCUMENTO(NRO_DOCUMENTO,ID_TIPO,ID_PRODUCTO,CANTIDAD,PRECIO,VALOR_BRUTO,VALOR_NETO,VALOR_IVA) VALUES(366,1,124,1,4000,4000,3361,639);</v>
      </c>
    </row>
    <row r="764" spans="1:12">
      <c r="A764" s="114">
        <v>1</v>
      </c>
      <c r="B764" s="114">
        <v>367</v>
      </c>
      <c r="C764" s="139" t="s">
        <v>2229</v>
      </c>
      <c r="D764" s="114" t="s">
        <v>2090</v>
      </c>
      <c r="E764" s="114">
        <v>457</v>
      </c>
      <c r="F764" s="114">
        <v>143</v>
      </c>
      <c r="G764" s="114">
        <v>2</v>
      </c>
      <c r="H764" s="114">
        <v>15200</v>
      </c>
      <c r="I764" s="114">
        <v>30400</v>
      </c>
      <c r="J764" s="114">
        <v>25546</v>
      </c>
      <c r="K764" s="114">
        <v>4854</v>
      </c>
      <c r="L764" s="114" t="str">
        <f t="shared" si="11"/>
        <v>INSERT INTO DETALLES_DOCUMENTO(NRO_DOCUMENTO,ID_TIPO,ID_PRODUCTO,CANTIDAD,PRECIO,VALOR_BRUTO,VALOR_NETO,VALOR_IVA) VALUES(367,1,143,2,15200,30400,25546,4854);</v>
      </c>
    </row>
    <row r="765" spans="1:12">
      <c r="A765" s="114">
        <v>1</v>
      </c>
      <c r="B765" s="114">
        <v>368</v>
      </c>
      <c r="C765" s="139" t="s">
        <v>2229</v>
      </c>
      <c r="D765" s="114" t="s">
        <v>2090</v>
      </c>
      <c r="E765" s="114">
        <v>472</v>
      </c>
      <c r="F765" s="114">
        <v>135</v>
      </c>
      <c r="G765" s="114">
        <v>3</v>
      </c>
      <c r="H765" s="114">
        <v>3000</v>
      </c>
      <c r="I765" s="114">
        <v>9000</v>
      </c>
      <c r="J765" s="114">
        <v>7563</v>
      </c>
      <c r="K765" s="114">
        <v>1437</v>
      </c>
      <c r="L765" s="114" t="str">
        <f t="shared" si="11"/>
        <v>INSERT INTO DETALLES_DOCUMENTO(NRO_DOCUMENTO,ID_TIPO,ID_PRODUCTO,CANTIDAD,PRECIO,VALOR_BRUTO,VALOR_NETO,VALOR_IVA) VALUES(368,1,135,3,3000,9000,7563,1437);</v>
      </c>
    </row>
    <row r="766" spans="1:12">
      <c r="A766" s="114">
        <v>1</v>
      </c>
      <c r="B766" s="114">
        <v>369</v>
      </c>
      <c r="C766" s="139" t="s">
        <v>2229</v>
      </c>
      <c r="D766" s="114" t="s">
        <v>2090</v>
      </c>
      <c r="E766" s="114">
        <v>476</v>
      </c>
      <c r="F766" s="114">
        <v>143</v>
      </c>
      <c r="G766" s="114">
        <v>1</v>
      </c>
      <c r="H766" s="114">
        <v>7600</v>
      </c>
      <c r="I766" s="114">
        <v>7600</v>
      </c>
      <c r="J766" s="114">
        <v>6387</v>
      </c>
      <c r="K766" s="114">
        <v>1213</v>
      </c>
      <c r="L766" s="114" t="str">
        <f t="shared" si="11"/>
        <v>INSERT INTO DETALLES_DOCUMENTO(NRO_DOCUMENTO,ID_TIPO,ID_PRODUCTO,CANTIDAD,PRECIO,VALOR_BRUTO,VALOR_NETO,VALOR_IVA) VALUES(369,1,143,1,7600,7600,6387,1213);</v>
      </c>
    </row>
    <row r="767" spans="1:12">
      <c r="A767" s="114">
        <v>1</v>
      </c>
      <c r="B767" s="114">
        <v>370</v>
      </c>
      <c r="C767" s="139" t="s">
        <v>2230</v>
      </c>
      <c r="D767" s="114" t="s">
        <v>2090</v>
      </c>
      <c r="E767" s="114">
        <v>76</v>
      </c>
      <c r="F767" s="114">
        <v>324</v>
      </c>
      <c r="G767" s="114">
        <v>1</v>
      </c>
      <c r="H767" s="114">
        <v>10500</v>
      </c>
      <c r="I767" s="114">
        <v>10500</v>
      </c>
      <c r="J767" s="114">
        <v>8824</v>
      </c>
      <c r="K767" s="114">
        <v>1676</v>
      </c>
      <c r="L767" s="114" t="str">
        <f t="shared" si="11"/>
        <v>INSERT INTO DETALLES_DOCUMENTO(NRO_DOCUMENTO,ID_TIPO,ID_PRODUCTO,CANTIDAD,PRECIO,VALOR_BRUTO,VALOR_NETO,VALOR_IVA) VALUES(370,1,324,1,10500,10500,8824,1676);</v>
      </c>
    </row>
    <row r="768" spans="1:12">
      <c r="A768" s="114">
        <v>1</v>
      </c>
      <c r="B768" s="114">
        <v>371</v>
      </c>
      <c r="C768" s="139" t="s">
        <v>2230</v>
      </c>
      <c r="D768" s="114" t="s">
        <v>2090</v>
      </c>
      <c r="E768" s="114">
        <v>98</v>
      </c>
      <c r="F768" s="114">
        <v>329</v>
      </c>
      <c r="G768" s="114">
        <v>1</v>
      </c>
      <c r="H768" s="114">
        <v>5500</v>
      </c>
      <c r="I768" s="114">
        <v>5500</v>
      </c>
      <c r="J768" s="114">
        <v>4622</v>
      </c>
      <c r="K768" s="114">
        <v>878</v>
      </c>
      <c r="L768" s="114" t="str">
        <f t="shared" si="11"/>
        <v>INSERT INTO DETALLES_DOCUMENTO(NRO_DOCUMENTO,ID_TIPO,ID_PRODUCTO,CANTIDAD,PRECIO,VALOR_BRUTO,VALOR_NETO,VALOR_IVA) VALUES(371,1,329,1,5500,5500,4622,878);</v>
      </c>
    </row>
    <row r="769" spans="1:12">
      <c r="A769" s="114">
        <v>1</v>
      </c>
      <c r="B769" s="114">
        <v>372</v>
      </c>
      <c r="C769" s="139" t="s">
        <v>2230</v>
      </c>
      <c r="D769" s="114" t="s">
        <v>2090</v>
      </c>
      <c r="E769" s="114">
        <v>112</v>
      </c>
      <c r="F769" s="114">
        <v>329</v>
      </c>
      <c r="G769" s="114">
        <v>1</v>
      </c>
      <c r="H769" s="114">
        <v>5500</v>
      </c>
      <c r="I769" s="114">
        <v>5500</v>
      </c>
      <c r="J769" s="114">
        <v>4622</v>
      </c>
      <c r="K769" s="114">
        <v>878</v>
      </c>
      <c r="L769" s="114" t="str">
        <f t="shared" si="11"/>
        <v>INSERT INTO DETALLES_DOCUMENTO(NRO_DOCUMENTO,ID_TIPO,ID_PRODUCTO,CANTIDAD,PRECIO,VALOR_BRUTO,VALOR_NETO,VALOR_IVA) VALUES(372,1,329,1,5500,5500,4622,878);</v>
      </c>
    </row>
    <row r="770" spans="1:12">
      <c r="A770" s="114">
        <v>1</v>
      </c>
      <c r="B770" s="114">
        <v>373</v>
      </c>
      <c r="C770" s="139" t="s">
        <v>2230</v>
      </c>
      <c r="D770" s="114" t="s">
        <v>2090</v>
      </c>
      <c r="E770" s="114">
        <v>122</v>
      </c>
      <c r="F770" s="114">
        <v>324</v>
      </c>
      <c r="G770" s="114">
        <v>1</v>
      </c>
      <c r="H770" s="114">
        <v>10500</v>
      </c>
      <c r="I770" s="114">
        <v>10500</v>
      </c>
      <c r="J770" s="114">
        <v>8824</v>
      </c>
      <c r="K770" s="114">
        <v>1676</v>
      </c>
      <c r="L770" s="114" t="str">
        <f t="shared" si="11"/>
        <v>INSERT INTO DETALLES_DOCUMENTO(NRO_DOCUMENTO,ID_TIPO,ID_PRODUCTO,CANTIDAD,PRECIO,VALOR_BRUTO,VALOR_NETO,VALOR_IVA) VALUES(373,1,324,1,10500,10500,8824,1676);</v>
      </c>
    </row>
    <row r="771" spans="1:12">
      <c r="A771" s="114">
        <v>1</v>
      </c>
      <c r="B771" s="114">
        <v>373</v>
      </c>
      <c r="C771" s="139" t="s">
        <v>2230</v>
      </c>
      <c r="D771" s="114" t="s">
        <v>2090</v>
      </c>
      <c r="E771" s="114">
        <v>122</v>
      </c>
      <c r="F771" s="114">
        <v>276</v>
      </c>
      <c r="G771" s="114">
        <v>1</v>
      </c>
      <c r="H771" s="114">
        <v>8000</v>
      </c>
      <c r="I771" s="114">
        <v>8000</v>
      </c>
      <c r="J771" s="114">
        <v>6723</v>
      </c>
      <c r="K771" s="114">
        <v>1277</v>
      </c>
      <c r="L771" s="114" t="str">
        <f t="shared" ref="L771:L834" si="12">CONCATENATE("INSERT INTO DETALLES_DOCUMENTO(NRO_DOCUMENTO,ID_TIPO,ID_PRODUCTO,CANTIDAD,PRECIO,VALOR_BRUTO,VALOR_NETO,VALOR_IVA) VALUES(",B771,",",A771,",",F771,",",G771,",",H771,",",I771,",",J771,",",K771,");")</f>
        <v>INSERT INTO DETALLES_DOCUMENTO(NRO_DOCUMENTO,ID_TIPO,ID_PRODUCTO,CANTIDAD,PRECIO,VALOR_BRUTO,VALOR_NETO,VALOR_IVA) VALUES(373,1,276,1,8000,8000,6723,1277);</v>
      </c>
    </row>
    <row r="772" spans="1:12">
      <c r="A772" s="114">
        <v>1</v>
      </c>
      <c r="B772" s="114">
        <v>373</v>
      </c>
      <c r="C772" s="139" t="s">
        <v>2230</v>
      </c>
      <c r="D772" s="114" t="s">
        <v>2090</v>
      </c>
      <c r="E772" s="114">
        <v>122</v>
      </c>
      <c r="F772" s="114">
        <v>26</v>
      </c>
      <c r="G772" s="114">
        <v>1</v>
      </c>
      <c r="H772" s="114">
        <v>3400</v>
      </c>
      <c r="I772" s="114">
        <v>3400</v>
      </c>
      <c r="J772" s="114">
        <v>2857</v>
      </c>
      <c r="K772" s="114">
        <v>543</v>
      </c>
      <c r="L772" s="114" t="str">
        <f t="shared" si="12"/>
        <v>INSERT INTO DETALLES_DOCUMENTO(NRO_DOCUMENTO,ID_TIPO,ID_PRODUCTO,CANTIDAD,PRECIO,VALOR_BRUTO,VALOR_NETO,VALOR_IVA) VALUES(373,1,26,1,3400,3400,2857,543);</v>
      </c>
    </row>
    <row r="773" spans="1:12">
      <c r="A773" s="114">
        <v>1</v>
      </c>
      <c r="B773" s="114">
        <v>373</v>
      </c>
      <c r="C773" s="139" t="s">
        <v>2230</v>
      </c>
      <c r="D773" s="114" t="s">
        <v>2090</v>
      </c>
      <c r="E773" s="114">
        <v>122</v>
      </c>
      <c r="F773" s="114">
        <v>247</v>
      </c>
      <c r="G773" s="114">
        <v>1</v>
      </c>
      <c r="H773" s="114">
        <v>2800</v>
      </c>
      <c r="I773" s="114">
        <v>2800</v>
      </c>
      <c r="J773" s="114">
        <v>2353</v>
      </c>
      <c r="K773" s="114">
        <v>447</v>
      </c>
      <c r="L773" s="114" t="str">
        <f t="shared" si="12"/>
        <v>INSERT INTO DETALLES_DOCUMENTO(NRO_DOCUMENTO,ID_TIPO,ID_PRODUCTO,CANTIDAD,PRECIO,VALOR_BRUTO,VALOR_NETO,VALOR_IVA) VALUES(373,1,247,1,2800,2800,2353,447);</v>
      </c>
    </row>
    <row r="774" spans="1:12">
      <c r="A774" s="114">
        <v>1</v>
      </c>
      <c r="B774" s="114">
        <v>373</v>
      </c>
      <c r="C774" s="139" t="s">
        <v>2230</v>
      </c>
      <c r="D774" s="114" t="s">
        <v>2090</v>
      </c>
      <c r="E774" s="114">
        <v>122</v>
      </c>
      <c r="F774" s="114">
        <v>82</v>
      </c>
      <c r="G774" s="114">
        <v>1</v>
      </c>
      <c r="H774" s="114">
        <v>1600</v>
      </c>
      <c r="I774" s="114">
        <v>1600</v>
      </c>
      <c r="J774" s="114">
        <v>1345</v>
      </c>
      <c r="K774" s="114">
        <v>255</v>
      </c>
      <c r="L774" s="114" t="str">
        <f t="shared" si="12"/>
        <v>INSERT INTO DETALLES_DOCUMENTO(NRO_DOCUMENTO,ID_TIPO,ID_PRODUCTO,CANTIDAD,PRECIO,VALOR_BRUTO,VALOR_NETO,VALOR_IVA) VALUES(373,1,82,1,1600,1600,1345,255);</v>
      </c>
    </row>
    <row r="775" spans="1:12">
      <c r="A775" s="114">
        <v>1</v>
      </c>
      <c r="B775" s="114">
        <v>373</v>
      </c>
      <c r="C775" s="139" t="s">
        <v>2230</v>
      </c>
      <c r="D775" s="114" t="s">
        <v>2090</v>
      </c>
      <c r="E775" s="114">
        <v>122</v>
      </c>
      <c r="F775" s="114">
        <v>83</v>
      </c>
      <c r="G775" s="114">
        <v>1</v>
      </c>
      <c r="H775" s="114">
        <v>1600</v>
      </c>
      <c r="I775" s="114">
        <v>1600</v>
      </c>
      <c r="J775" s="114">
        <v>1345</v>
      </c>
      <c r="K775" s="114">
        <v>255</v>
      </c>
      <c r="L775" s="114" t="str">
        <f t="shared" si="12"/>
        <v>INSERT INTO DETALLES_DOCUMENTO(NRO_DOCUMENTO,ID_TIPO,ID_PRODUCTO,CANTIDAD,PRECIO,VALOR_BRUTO,VALOR_NETO,VALOR_IVA) VALUES(373,1,83,1,1600,1600,1345,255);</v>
      </c>
    </row>
    <row r="776" spans="1:12">
      <c r="A776" s="114">
        <v>1</v>
      </c>
      <c r="B776" s="114">
        <v>373</v>
      </c>
      <c r="C776" s="139" t="s">
        <v>2230</v>
      </c>
      <c r="D776" s="114" t="s">
        <v>2090</v>
      </c>
      <c r="E776" s="114">
        <v>122</v>
      </c>
      <c r="F776" s="114">
        <v>378</v>
      </c>
      <c r="G776" s="114">
        <v>2</v>
      </c>
      <c r="H776" s="114">
        <v>2400</v>
      </c>
      <c r="I776" s="114">
        <v>4800</v>
      </c>
      <c r="J776" s="114">
        <v>4034</v>
      </c>
      <c r="K776" s="114">
        <v>766</v>
      </c>
      <c r="L776" s="114" t="str">
        <f t="shared" si="12"/>
        <v>INSERT INTO DETALLES_DOCUMENTO(NRO_DOCUMENTO,ID_TIPO,ID_PRODUCTO,CANTIDAD,PRECIO,VALOR_BRUTO,VALOR_NETO,VALOR_IVA) VALUES(373,1,378,2,2400,4800,4034,766);</v>
      </c>
    </row>
    <row r="777" spans="1:12">
      <c r="A777" s="114">
        <v>1</v>
      </c>
      <c r="B777" s="114">
        <v>373</v>
      </c>
      <c r="C777" s="139" t="s">
        <v>2230</v>
      </c>
      <c r="D777" s="114" t="s">
        <v>2090</v>
      </c>
      <c r="E777" s="114">
        <v>122</v>
      </c>
      <c r="F777" s="114">
        <v>114</v>
      </c>
      <c r="G777" s="114">
        <v>1</v>
      </c>
      <c r="H777" s="114">
        <v>1600</v>
      </c>
      <c r="I777" s="114">
        <v>1600</v>
      </c>
      <c r="J777" s="114">
        <v>1345</v>
      </c>
      <c r="K777" s="114">
        <v>255</v>
      </c>
      <c r="L777" s="114" t="str">
        <f t="shared" si="12"/>
        <v>INSERT INTO DETALLES_DOCUMENTO(NRO_DOCUMENTO,ID_TIPO,ID_PRODUCTO,CANTIDAD,PRECIO,VALOR_BRUTO,VALOR_NETO,VALOR_IVA) VALUES(373,1,114,1,1600,1600,1345,255);</v>
      </c>
    </row>
    <row r="778" spans="1:12">
      <c r="A778" s="114">
        <v>1</v>
      </c>
      <c r="B778" s="114">
        <v>373</v>
      </c>
      <c r="C778" s="139" t="s">
        <v>2230</v>
      </c>
      <c r="D778" s="114" t="s">
        <v>2090</v>
      </c>
      <c r="E778" s="114">
        <v>122</v>
      </c>
      <c r="F778" s="114">
        <v>100</v>
      </c>
      <c r="G778" s="114">
        <v>1</v>
      </c>
      <c r="H778" s="114">
        <v>1500</v>
      </c>
      <c r="I778" s="114">
        <v>1500</v>
      </c>
      <c r="J778" s="114">
        <v>1261</v>
      </c>
      <c r="K778" s="114">
        <v>239</v>
      </c>
      <c r="L778" s="114" t="str">
        <f t="shared" si="12"/>
        <v>INSERT INTO DETALLES_DOCUMENTO(NRO_DOCUMENTO,ID_TIPO,ID_PRODUCTO,CANTIDAD,PRECIO,VALOR_BRUTO,VALOR_NETO,VALOR_IVA) VALUES(373,1,100,1,1500,1500,1261,239);</v>
      </c>
    </row>
    <row r="779" spans="1:12">
      <c r="A779" s="114">
        <v>1</v>
      </c>
      <c r="B779" s="114">
        <v>374</v>
      </c>
      <c r="C779" s="139" t="s">
        <v>2230</v>
      </c>
      <c r="D779" s="114" t="s">
        <v>2090</v>
      </c>
      <c r="E779" s="114">
        <v>198</v>
      </c>
      <c r="F779" s="114">
        <v>324</v>
      </c>
      <c r="G779" s="114">
        <v>1</v>
      </c>
      <c r="H779" s="114">
        <v>10500</v>
      </c>
      <c r="I779" s="114">
        <v>10500</v>
      </c>
      <c r="J779" s="114">
        <v>8824</v>
      </c>
      <c r="K779" s="114">
        <v>1676</v>
      </c>
      <c r="L779" s="114" t="str">
        <f t="shared" si="12"/>
        <v>INSERT INTO DETALLES_DOCUMENTO(NRO_DOCUMENTO,ID_TIPO,ID_PRODUCTO,CANTIDAD,PRECIO,VALOR_BRUTO,VALOR_NETO,VALOR_IVA) VALUES(374,1,324,1,10500,10500,8824,1676);</v>
      </c>
    </row>
    <row r="780" spans="1:12">
      <c r="A780" s="114">
        <v>1</v>
      </c>
      <c r="B780" s="114">
        <v>375</v>
      </c>
      <c r="C780" s="139" t="s">
        <v>2230</v>
      </c>
      <c r="D780" s="114" t="s">
        <v>2090</v>
      </c>
      <c r="E780" s="114">
        <v>276</v>
      </c>
      <c r="F780" s="114">
        <v>324</v>
      </c>
      <c r="G780" s="114">
        <v>1</v>
      </c>
      <c r="H780" s="114">
        <v>10500</v>
      </c>
      <c r="I780" s="114">
        <v>10500</v>
      </c>
      <c r="J780" s="114">
        <v>8824</v>
      </c>
      <c r="K780" s="114">
        <v>1676</v>
      </c>
      <c r="L780" s="114" t="str">
        <f t="shared" si="12"/>
        <v>INSERT INTO DETALLES_DOCUMENTO(NRO_DOCUMENTO,ID_TIPO,ID_PRODUCTO,CANTIDAD,PRECIO,VALOR_BRUTO,VALOR_NETO,VALOR_IVA) VALUES(375,1,324,1,10500,10500,8824,1676);</v>
      </c>
    </row>
    <row r="781" spans="1:12">
      <c r="A781" s="114">
        <v>1</v>
      </c>
      <c r="B781" s="114">
        <v>376</v>
      </c>
      <c r="C781" s="139" t="s">
        <v>2230</v>
      </c>
      <c r="D781" s="114" t="s">
        <v>2090</v>
      </c>
      <c r="E781" s="114">
        <v>352</v>
      </c>
      <c r="F781" s="114">
        <v>125</v>
      </c>
      <c r="G781" s="114">
        <v>1</v>
      </c>
      <c r="H781" s="114">
        <v>1700</v>
      </c>
      <c r="I781" s="114">
        <v>1700</v>
      </c>
      <c r="J781" s="114">
        <v>1429</v>
      </c>
      <c r="K781" s="114">
        <v>271</v>
      </c>
      <c r="L781" s="114" t="str">
        <f t="shared" si="12"/>
        <v>INSERT INTO DETALLES_DOCUMENTO(NRO_DOCUMENTO,ID_TIPO,ID_PRODUCTO,CANTIDAD,PRECIO,VALOR_BRUTO,VALOR_NETO,VALOR_IVA) VALUES(376,1,125,1,1700,1700,1429,271);</v>
      </c>
    </row>
    <row r="782" spans="1:12">
      <c r="A782" s="114">
        <v>1</v>
      </c>
      <c r="B782" s="114">
        <v>376</v>
      </c>
      <c r="C782" s="139" t="s">
        <v>2230</v>
      </c>
      <c r="D782" s="114" t="s">
        <v>2090</v>
      </c>
      <c r="E782" s="114">
        <v>352</v>
      </c>
      <c r="F782" s="114">
        <v>230</v>
      </c>
      <c r="G782" s="114">
        <v>1</v>
      </c>
      <c r="H782" s="114">
        <v>15500</v>
      </c>
      <c r="I782" s="114">
        <v>15500</v>
      </c>
      <c r="J782" s="114">
        <v>13025</v>
      </c>
      <c r="K782" s="114">
        <v>2475</v>
      </c>
      <c r="L782" s="114" t="str">
        <f t="shared" si="12"/>
        <v>INSERT INTO DETALLES_DOCUMENTO(NRO_DOCUMENTO,ID_TIPO,ID_PRODUCTO,CANTIDAD,PRECIO,VALOR_BRUTO,VALOR_NETO,VALOR_IVA) VALUES(376,1,230,1,15500,15500,13025,2475);</v>
      </c>
    </row>
    <row r="783" spans="1:12">
      <c r="A783" s="114">
        <v>1</v>
      </c>
      <c r="B783" s="114">
        <v>376</v>
      </c>
      <c r="C783" s="139" t="s">
        <v>2230</v>
      </c>
      <c r="D783" s="114" t="s">
        <v>2090</v>
      </c>
      <c r="E783" s="114">
        <v>352</v>
      </c>
      <c r="F783" s="114">
        <v>143</v>
      </c>
      <c r="G783" s="114">
        <v>1</v>
      </c>
      <c r="H783" s="114">
        <v>7600</v>
      </c>
      <c r="I783" s="114">
        <v>7600</v>
      </c>
      <c r="J783" s="114">
        <v>6387</v>
      </c>
      <c r="K783" s="114">
        <v>1213</v>
      </c>
      <c r="L783" s="114" t="str">
        <f t="shared" si="12"/>
        <v>INSERT INTO DETALLES_DOCUMENTO(NRO_DOCUMENTO,ID_TIPO,ID_PRODUCTO,CANTIDAD,PRECIO,VALOR_BRUTO,VALOR_NETO,VALOR_IVA) VALUES(376,1,143,1,7600,7600,6387,1213);</v>
      </c>
    </row>
    <row r="784" spans="1:12">
      <c r="A784" s="114">
        <v>1</v>
      </c>
      <c r="B784" s="114">
        <v>377</v>
      </c>
      <c r="C784" s="139" t="s">
        <v>2230</v>
      </c>
      <c r="D784" s="114" t="s">
        <v>2090</v>
      </c>
      <c r="E784" s="114">
        <v>389</v>
      </c>
      <c r="F784" s="114">
        <v>83</v>
      </c>
      <c r="G784" s="114">
        <v>1</v>
      </c>
      <c r="H784" s="114">
        <v>1600</v>
      </c>
      <c r="I784" s="114">
        <v>1600</v>
      </c>
      <c r="J784" s="114">
        <v>1345</v>
      </c>
      <c r="K784" s="114">
        <v>255</v>
      </c>
      <c r="L784" s="114" t="str">
        <f t="shared" si="12"/>
        <v>INSERT INTO DETALLES_DOCUMENTO(NRO_DOCUMENTO,ID_TIPO,ID_PRODUCTO,CANTIDAD,PRECIO,VALOR_BRUTO,VALOR_NETO,VALOR_IVA) VALUES(377,1,83,1,1600,1600,1345,255);</v>
      </c>
    </row>
    <row r="785" spans="1:12">
      <c r="A785" s="114">
        <v>1</v>
      </c>
      <c r="B785" s="114">
        <v>377</v>
      </c>
      <c r="C785" s="139" t="s">
        <v>2230</v>
      </c>
      <c r="D785" s="114" t="s">
        <v>2090</v>
      </c>
      <c r="E785" s="114">
        <v>389</v>
      </c>
      <c r="F785" s="114">
        <v>261</v>
      </c>
      <c r="G785" s="114">
        <v>1</v>
      </c>
      <c r="H785" s="114">
        <v>7000</v>
      </c>
      <c r="I785" s="114">
        <v>7000</v>
      </c>
      <c r="J785" s="114">
        <v>5882</v>
      </c>
      <c r="K785" s="114">
        <v>1118</v>
      </c>
      <c r="L785" s="114" t="str">
        <f t="shared" si="12"/>
        <v>INSERT INTO DETALLES_DOCUMENTO(NRO_DOCUMENTO,ID_TIPO,ID_PRODUCTO,CANTIDAD,PRECIO,VALOR_BRUTO,VALOR_NETO,VALOR_IVA) VALUES(377,1,261,1,7000,7000,5882,1118);</v>
      </c>
    </row>
    <row r="786" spans="1:12">
      <c r="A786" s="114">
        <v>1</v>
      </c>
      <c r="B786" s="114">
        <v>377</v>
      </c>
      <c r="C786" s="139" t="s">
        <v>2230</v>
      </c>
      <c r="D786" s="114" t="s">
        <v>2090</v>
      </c>
      <c r="E786" s="114">
        <v>389</v>
      </c>
      <c r="F786" s="114">
        <v>276</v>
      </c>
      <c r="G786" s="114">
        <v>1</v>
      </c>
      <c r="H786" s="114">
        <v>8000</v>
      </c>
      <c r="I786" s="114">
        <v>8000</v>
      </c>
      <c r="J786" s="114">
        <v>6723</v>
      </c>
      <c r="K786" s="114">
        <v>1277</v>
      </c>
      <c r="L786" s="114" t="str">
        <f t="shared" si="12"/>
        <v>INSERT INTO DETALLES_DOCUMENTO(NRO_DOCUMENTO,ID_TIPO,ID_PRODUCTO,CANTIDAD,PRECIO,VALOR_BRUTO,VALOR_NETO,VALOR_IVA) VALUES(377,1,276,1,8000,8000,6723,1277);</v>
      </c>
    </row>
    <row r="787" spans="1:12">
      <c r="A787" s="114">
        <v>1</v>
      </c>
      <c r="B787" s="114">
        <v>377</v>
      </c>
      <c r="C787" s="139" t="s">
        <v>2230</v>
      </c>
      <c r="D787" s="114" t="s">
        <v>2090</v>
      </c>
      <c r="E787" s="114">
        <v>389</v>
      </c>
      <c r="F787" s="114">
        <v>378</v>
      </c>
      <c r="G787" s="114">
        <v>1</v>
      </c>
      <c r="H787" s="114">
        <v>1200</v>
      </c>
      <c r="I787" s="114">
        <v>1200</v>
      </c>
      <c r="J787" s="114">
        <v>1008</v>
      </c>
      <c r="K787" s="114">
        <v>192</v>
      </c>
      <c r="L787" s="114" t="str">
        <f t="shared" si="12"/>
        <v>INSERT INTO DETALLES_DOCUMENTO(NRO_DOCUMENTO,ID_TIPO,ID_PRODUCTO,CANTIDAD,PRECIO,VALOR_BRUTO,VALOR_NETO,VALOR_IVA) VALUES(377,1,378,1,1200,1200,1008,192);</v>
      </c>
    </row>
    <row r="788" spans="1:12">
      <c r="A788" s="114">
        <v>1</v>
      </c>
      <c r="B788" s="114">
        <v>377</v>
      </c>
      <c r="C788" s="139" t="s">
        <v>2230</v>
      </c>
      <c r="D788" s="114" t="s">
        <v>2090</v>
      </c>
      <c r="E788" s="114">
        <v>389</v>
      </c>
      <c r="F788" s="114">
        <v>248</v>
      </c>
      <c r="G788" s="114">
        <v>1</v>
      </c>
      <c r="H788" s="114">
        <v>4500</v>
      </c>
      <c r="I788" s="114">
        <v>4500</v>
      </c>
      <c r="J788" s="114">
        <v>3782</v>
      </c>
      <c r="K788" s="114">
        <v>718</v>
      </c>
      <c r="L788" s="114" t="str">
        <f t="shared" si="12"/>
        <v>INSERT INTO DETALLES_DOCUMENTO(NRO_DOCUMENTO,ID_TIPO,ID_PRODUCTO,CANTIDAD,PRECIO,VALOR_BRUTO,VALOR_NETO,VALOR_IVA) VALUES(377,1,248,1,4500,4500,3782,718);</v>
      </c>
    </row>
    <row r="789" spans="1:12">
      <c r="A789" s="114">
        <v>1</v>
      </c>
      <c r="B789" s="114">
        <v>377</v>
      </c>
      <c r="C789" s="139" t="s">
        <v>2230</v>
      </c>
      <c r="D789" s="114" t="s">
        <v>2090</v>
      </c>
      <c r="E789" s="114">
        <v>389</v>
      </c>
      <c r="F789" s="114">
        <v>143</v>
      </c>
      <c r="G789" s="114">
        <v>1</v>
      </c>
      <c r="H789" s="114">
        <v>7600</v>
      </c>
      <c r="I789" s="114">
        <v>7600</v>
      </c>
      <c r="J789" s="114">
        <v>6387</v>
      </c>
      <c r="K789" s="114">
        <v>1213</v>
      </c>
      <c r="L789" s="114" t="str">
        <f t="shared" si="12"/>
        <v>INSERT INTO DETALLES_DOCUMENTO(NRO_DOCUMENTO,ID_TIPO,ID_PRODUCTO,CANTIDAD,PRECIO,VALOR_BRUTO,VALOR_NETO,VALOR_IVA) VALUES(377,1,143,1,7600,7600,6387,1213);</v>
      </c>
    </row>
    <row r="790" spans="1:12">
      <c r="A790" s="114">
        <v>1</v>
      </c>
      <c r="B790" s="114">
        <v>378</v>
      </c>
      <c r="C790" s="139" t="s">
        <v>2231</v>
      </c>
      <c r="D790" s="114" t="s">
        <v>2090</v>
      </c>
      <c r="E790" s="114">
        <v>98</v>
      </c>
      <c r="F790" s="114">
        <v>324</v>
      </c>
      <c r="G790" s="114">
        <v>1</v>
      </c>
      <c r="H790" s="114">
        <v>10500</v>
      </c>
      <c r="I790" s="114">
        <v>10500</v>
      </c>
      <c r="J790" s="114">
        <v>8824</v>
      </c>
      <c r="K790" s="114">
        <v>1676</v>
      </c>
      <c r="L790" s="114" t="str">
        <f t="shared" si="12"/>
        <v>INSERT INTO DETALLES_DOCUMENTO(NRO_DOCUMENTO,ID_TIPO,ID_PRODUCTO,CANTIDAD,PRECIO,VALOR_BRUTO,VALOR_NETO,VALOR_IVA) VALUES(378,1,324,1,10500,10500,8824,1676);</v>
      </c>
    </row>
    <row r="791" spans="1:12">
      <c r="A791" s="114">
        <v>1</v>
      </c>
      <c r="B791" s="114">
        <v>379</v>
      </c>
      <c r="C791" s="139" t="s">
        <v>2231</v>
      </c>
      <c r="D791" s="114" t="s">
        <v>2090</v>
      </c>
      <c r="E791" s="114">
        <v>166</v>
      </c>
      <c r="F791" s="114">
        <v>324</v>
      </c>
      <c r="G791" s="114">
        <v>1</v>
      </c>
      <c r="H791" s="114">
        <v>10500</v>
      </c>
      <c r="I791" s="114">
        <v>10500</v>
      </c>
      <c r="J791" s="114">
        <v>8824</v>
      </c>
      <c r="K791" s="114">
        <v>1676</v>
      </c>
      <c r="L791" s="114" t="str">
        <f t="shared" si="12"/>
        <v>INSERT INTO DETALLES_DOCUMENTO(NRO_DOCUMENTO,ID_TIPO,ID_PRODUCTO,CANTIDAD,PRECIO,VALOR_BRUTO,VALOR_NETO,VALOR_IVA) VALUES(379,1,324,1,10500,10500,8824,1676);</v>
      </c>
    </row>
    <row r="792" spans="1:12">
      <c r="A792" s="114">
        <v>1</v>
      </c>
      <c r="B792" s="114">
        <v>380</v>
      </c>
      <c r="C792" s="139" t="s">
        <v>2231</v>
      </c>
      <c r="D792" s="114" t="s">
        <v>2090</v>
      </c>
      <c r="E792" s="114">
        <v>300</v>
      </c>
      <c r="F792" s="114">
        <v>118</v>
      </c>
      <c r="G792" s="114">
        <v>1</v>
      </c>
      <c r="H792" s="114">
        <v>3500</v>
      </c>
      <c r="I792" s="114">
        <v>3500</v>
      </c>
      <c r="J792" s="114">
        <v>2941</v>
      </c>
      <c r="K792" s="114">
        <v>559</v>
      </c>
      <c r="L792" s="114" t="str">
        <f t="shared" si="12"/>
        <v>INSERT INTO DETALLES_DOCUMENTO(NRO_DOCUMENTO,ID_TIPO,ID_PRODUCTO,CANTIDAD,PRECIO,VALOR_BRUTO,VALOR_NETO,VALOR_IVA) VALUES(380,1,118,1,3500,3500,2941,559);</v>
      </c>
    </row>
    <row r="793" spans="1:12">
      <c r="A793" s="114">
        <v>1</v>
      </c>
      <c r="B793" s="114">
        <v>380</v>
      </c>
      <c r="C793" s="139" t="s">
        <v>2231</v>
      </c>
      <c r="D793" s="114" t="s">
        <v>2090</v>
      </c>
      <c r="E793" s="114">
        <v>300</v>
      </c>
      <c r="F793" s="114">
        <v>117</v>
      </c>
      <c r="G793" s="114">
        <v>1</v>
      </c>
      <c r="H793" s="114">
        <v>3500</v>
      </c>
      <c r="I793" s="114">
        <v>3500</v>
      </c>
      <c r="J793" s="114">
        <v>2941</v>
      </c>
      <c r="K793" s="114">
        <v>559</v>
      </c>
      <c r="L793" s="114" t="str">
        <f t="shared" si="12"/>
        <v>INSERT INTO DETALLES_DOCUMENTO(NRO_DOCUMENTO,ID_TIPO,ID_PRODUCTO,CANTIDAD,PRECIO,VALOR_BRUTO,VALOR_NETO,VALOR_IVA) VALUES(380,1,117,1,3500,3500,2941,559);</v>
      </c>
    </row>
    <row r="794" spans="1:12">
      <c r="A794" s="114">
        <v>1</v>
      </c>
      <c r="B794" s="114">
        <v>380</v>
      </c>
      <c r="C794" s="139" t="s">
        <v>2231</v>
      </c>
      <c r="D794" s="114" t="s">
        <v>2090</v>
      </c>
      <c r="E794" s="114">
        <v>300</v>
      </c>
      <c r="F794" s="114">
        <v>368</v>
      </c>
      <c r="G794" s="114">
        <v>1</v>
      </c>
      <c r="H794" s="114">
        <v>3000</v>
      </c>
      <c r="I794" s="114">
        <v>3000</v>
      </c>
      <c r="J794" s="114">
        <v>2521</v>
      </c>
      <c r="K794" s="114">
        <v>479</v>
      </c>
      <c r="L794" s="114" t="str">
        <f t="shared" si="12"/>
        <v>INSERT INTO DETALLES_DOCUMENTO(NRO_DOCUMENTO,ID_TIPO,ID_PRODUCTO,CANTIDAD,PRECIO,VALOR_BRUTO,VALOR_NETO,VALOR_IVA) VALUES(380,1,368,1,3000,3000,2521,479);</v>
      </c>
    </row>
    <row r="795" spans="1:12">
      <c r="A795" s="114">
        <v>1</v>
      </c>
      <c r="B795" s="114">
        <v>380</v>
      </c>
      <c r="C795" s="139" t="s">
        <v>2231</v>
      </c>
      <c r="D795" s="114" t="s">
        <v>2090</v>
      </c>
      <c r="E795" s="114">
        <v>300</v>
      </c>
      <c r="F795" s="114">
        <v>230</v>
      </c>
      <c r="G795" s="114">
        <v>1</v>
      </c>
      <c r="H795" s="114">
        <v>15500</v>
      </c>
      <c r="I795" s="114">
        <v>15500</v>
      </c>
      <c r="J795" s="114">
        <v>13025</v>
      </c>
      <c r="K795" s="114">
        <v>2475</v>
      </c>
      <c r="L795" s="114" t="str">
        <f t="shared" si="12"/>
        <v>INSERT INTO DETALLES_DOCUMENTO(NRO_DOCUMENTO,ID_TIPO,ID_PRODUCTO,CANTIDAD,PRECIO,VALOR_BRUTO,VALOR_NETO,VALOR_IVA) VALUES(380,1,230,1,15500,15500,13025,2475);</v>
      </c>
    </row>
    <row r="796" spans="1:12">
      <c r="A796" s="114">
        <v>1</v>
      </c>
      <c r="B796" s="114">
        <v>380</v>
      </c>
      <c r="C796" s="139" t="s">
        <v>2231</v>
      </c>
      <c r="D796" s="114" t="s">
        <v>2090</v>
      </c>
      <c r="E796" s="114">
        <v>300</v>
      </c>
      <c r="F796" s="114">
        <v>125</v>
      </c>
      <c r="G796" s="114">
        <v>1</v>
      </c>
      <c r="H796" s="114">
        <v>1700</v>
      </c>
      <c r="I796" s="114">
        <v>1700</v>
      </c>
      <c r="J796" s="114">
        <v>1429</v>
      </c>
      <c r="K796" s="114">
        <v>271</v>
      </c>
      <c r="L796" s="114" t="str">
        <f t="shared" si="12"/>
        <v>INSERT INTO DETALLES_DOCUMENTO(NRO_DOCUMENTO,ID_TIPO,ID_PRODUCTO,CANTIDAD,PRECIO,VALOR_BRUTO,VALOR_NETO,VALOR_IVA) VALUES(380,1,125,1,1700,1700,1429,271);</v>
      </c>
    </row>
    <row r="797" spans="1:12">
      <c r="A797" s="114">
        <v>1</v>
      </c>
      <c r="B797" s="114">
        <v>380</v>
      </c>
      <c r="C797" s="139" t="s">
        <v>2231</v>
      </c>
      <c r="D797" s="114" t="s">
        <v>2090</v>
      </c>
      <c r="E797" s="114">
        <v>300</v>
      </c>
      <c r="F797" s="114">
        <v>290</v>
      </c>
      <c r="G797" s="114">
        <v>1</v>
      </c>
      <c r="H797" s="114">
        <v>1200</v>
      </c>
      <c r="I797" s="114">
        <v>1200</v>
      </c>
      <c r="J797" s="114">
        <v>1008</v>
      </c>
      <c r="K797" s="114">
        <v>192</v>
      </c>
      <c r="L797" s="114" t="str">
        <f t="shared" si="12"/>
        <v>INSERT INTO DETALLES_DOCUMENTO(NRO_DOCUMENTO,ID_TIPO,ID_PRODUCTO,CANTIDAD,PRECIO,VALOR_BRUTO,VALOR_NETO,VALOR_IVA) VALUES(380,1,290,1,1200,1200,1008,192);</v>
      </c>
    </row>
    <row r="798" spans="1:12">
      <c r="A798" s="114">
        <v>1</v>
      </c>
      <c r="B798" s="114">
        <v>380</v>
      </c>
      <c r="C798" s="139" t="s">
        <v>2231</v>
      </c>
      <c r="D798" s="114" t="s">
        <v>2090</v>
      </c>
      <c r="E798" s="114">
        <v>300</v>
      </c>
      <c r="F798" s="114">
        <v>68</v>
      </c>
      <c r="G798" s="114">
        <v>2</v>
      </c>
      <c r="H798" s="114">
        <v>2200</v>
      </c>
      <c r="I798" s="114">
        <v>4400</v>
      </c>
      <c r="J798" s="114">
        <v>3697</v>
      </c>
      <c r="K798" s="114">
        <v>703</v>
      </c>
      <c r="L798" s="114" t="str">
        <f t="shared" si="12"/>
        <v>INSERT INTO DETALLES_DOCUMENTO(NRO_DOCUMENTO,ID_TIPO,ID_PRODUCTO,CANTIDAD,PRECIO,VALOR_BRUTO,VALOR_NETO,VALOR_IVA) VALUES(380,1,68,2,2200,4400,3697,703);</v>
      </c>
    </row>
    <row r="799" spans="1:12">
      <c r="A799" s="114">
        <v>1</v>
      </c>
      <c r="B799" s="114">
        <v>381</v>
      </c>
      <c r="C799" s="139" t="s">
        <v>2231</v>
      </c>
      <c r="D799" s="114" t="s">
        <v>2090</v>
      </c>
      <c r="E799" s="114">
        <v>319</v>
      </c>
      <c r="F799" s="114">
        <v>230</v>
      </c>
      <c r="G799" s="114">
        <v>1</v>
      </c>
      <c r="H799" s="114">
        <v>15500</v>
      </c>
      <c r="I799" s="114">
        <v>15500</v>
      </c>
      <c r="J799" s="114">
        <v>13025</v>
      </c>
      <c r="K799" s="114">
        <v>2475</v>
      </c>
      <c r="L799" s="114" t="str">
        <f t="shared" si="12"/>
        <v>INSERT INTO DETALLES_DOCUMENTO(NRO_DOCUMENTO,ID_TIPO,ID_PRODUCTO,CANTIDAD,PRECIO,VALOR_BRUTO,VALOR_NETO,VALOR_IVA) VALUES(381,1,230,1,15500,15500,13025,2475);</v>
      </c>
    </row>
    <row r="800" spans="1:12">
      <c r="A800" s="114">
        <v>1</v>
      </c>
      <c r="B800" s="114">
        <v>381</v>
      </c>
      <c r="C800" s="139" t="s">
        <v>2231</v>
      </c>
      <c r="D800" s="114" t="s">
        <v>2090</v>
      </c>
      <c r="E800" s="114">
        <v>319</v>
      </c>
      <c r="F800" s="114">
        <v>371</v>
      </c>
      <c r="G800" s="114">
        <v>1</v>
      </c>
      <c r="H800" s="114">
        <v>9500</v>
      </c>
      <c r="I800" s="114">
        <v>9500</v>
      </c>
      <c r="J800" s="114">
        <v>7983</v>
      </c>
      <c r="K800" s="114">
        <v>1517</v>
      </c>
      <c r="L800" s="114" t="str">
        <f t="shared" si="12"/>
        <v>INSERT INTO DETALLES_DOCUMENTO(NRO_DOCUMENTO,ID_TIPO,ID_PRODUCTO,CANTIDAD,PRECIO,VALOR_BRUTO,VALOR_NETO,VALOR_IVA) VALUES(381,1,371,1,9500,9500,7983,1517);</v>
      </c>
    </row>
    <row r="801" spans="1:12">
      <c r="A801" s="114">
        <v>1</v>
      </c>
      <c r="B801" s="114">
        <v>382</v>
      </c>
      <c r="C801" s="139" t="s">
        <v>2231</v>
      </c>
      <c r="D801" s="114" t="s">
        <v>2090</v>
      </c>
      <c r="E801" s="114">
        <v>377</v>
      </c>
      <c r="F801" s="114">
        <v>231</v>
      </c>
      <c r="G801" s="114">
        <v>1</v>
      </c>
      <c r="H801" s="114">
        <v>19990</v>
      </c>
      <c r="I801" s="114">
        <v>19990</v>
      </c>
      <c r="J801" s="114">
        <v>16798</v>
      </c>
      <c r="K801" s="114">
        <v>3192</v>
      </c>
      <c r="L801" s="114" t="str">
        <f t="shared" si="12"/>
        <v>INSERT INTO DETALLES_DOCUMENTO(NRO_DOCUMENTO,ID_TIPO,ID_PRODUCTO,CANTIDAD,PRECIO,VALOR_BRUTO,VALOR_NETO,VALOR_IVA) VALUES(382,1,231,1,19990,19990,16798,3192);</v>
      </c>
    </row>
    <row r="802" spans="1:12">
      <c r="A802" s="114">
        <v>1</v>
      </c>
      <c r="B802" s="114">
        <v>382</v>
      </c>
      <c r="C802" s="139" t="s">
        <v>2231</v>
      </c>
      <c r="D802" s="114" t="s">
        <v>2090</v>
      </c>
      <c r="E802" s="114">
        <v>377</v>
      </c>
      <c r="F802" s="114">
        <v>254</v>
      </c>
      <c r="G802" s="114">
        <v>2</v>
      </c>
      <c r="H802" s="114">
        <v>4000</v>
      </c>
      <c r="I802" s="114">
        <v>8000</v>
      </c>
      <c r="J802" s="114">
        <v>6723</v>
      </c>
      <c r="K802" s="114">
        <v>1277</v>
      </c>
      <c r="L802" s="114" t="str">
        <f t="shared" si="12"/>
        <v>INSERT INTO DETALLES_DOCUMENTO(NRO_DOCUMENTO,ID_TIPO,ID_PRODUCTO,CANTIDAD,PRECIO,VALOR_BRUTO,VALOR_NETO,VALOR_IVA) VALUES(382,1,254,2,4000,8000,6723,1277);</v>
      </c>
    </row>
    <row r="803" spans="1:12">
      <c r="A803" s="114">
        <v>1</v>
      </c>
      <c r="B803" s="114">
        <v>383</v>
      </c>
      <c r="C803" s="139" t="s">
        <v>2231</v>
      </c>
      <c r="D803" s="114" t="s">
        <v>2090</v>
      </c>
      <c r="E803" s="114">
        <v>416</v>
      </c>
      <c r="F803" s="114">
        <v>143</v>
      </c>
      <c r="G803" s="114">
        <v>1</v>
      </c>
      <c r="H803" s="114">
        <v>7600</v>
      </c>
      <c r="I803" s="114">
        <v>7600</v>
      </c>
      <c r="J803" s="114">
        <v>6387</v>
      </c>
      <c r="K803" s="114">
        <v>1213</v>
      </c>
      <c r="L803" s="114" t="str">
        <f t="shared" si="12"/>
        <v>INSERT INTO DETALLES_DOCUMENTO(NRO_DOCUMENTO,ID_TIPO,ID_PRODUCTO,CANTIDAD,PRECIO,VALOR_BRUTO,VALOR_NETO,VALOR_IVA) VALUES(383,1,143,1,7600,7600,6387,1213);</v>
      </c>
    </row>
    <row r="804" spans="1:12">
      <c r="A804" s="114">
        <v>1</v>
      </c>
      <c r="B804" s="114">
        <v>384</v>
      </c>
      <c r="C804" s="139" t="s">
        <v>2232</v>
      </c>
      <c r="D804" s="114" t="s">
        <v>2090</v>
      </c>
      <c r="E804" s="114">
        <v>108</v>
      </c>
      <c r="F804" s="114">
        <v>329</v>
      </c>
      <c r="G804" s="114">
        <v>1</v>
      </c>
      <c r="H804" s="114">
        <v>5500</v>
      </c>
      <c r="I804" s="114">
        <v>5500</v>
      </c>
      <c r="J804" s="114">
        <v>4622</v>
      </c>
      <c r="K804" s="114">
        <v>878</v>
      </c>
      <c r="L804" s="114" t="str">
        <f t="shared" si="12"/>
        <v>INSERT INTO DETALLES_DOCUMENTO(NRO_DOCUMENTO,ID_TIPO,ID_PRODUCTO,CANTIDAD,PRECIO,VALOR_BRUTO,VALOR_NETO,VALOR_IVA) VALUES(384,1,329,1,5500,5500,4622,878);</v>
      </c>
    </row>
    <row r="805" spans="1:12">
      <c r="A805" s="114">
        <v>1</v>
      </c>
      <c r="B805" s="114">
        <v>384</v>
      </c>
      <c r="C805" s="139" t="s">
        <v>2232</v>
      </c>
      <c r="D805" s="114" t="s">
        <v>2090</v>
      </c>
      <c r="E805" s="114">
        <v>108</v>
      </c>
      <c r="F805" s="114">
        <v>191</v>
      </c>
      <c r="G805" s="114">
        <v>1</v>
      </c>
      <c r="H805" s="114">
        <v>2500</v>
      </c>
      <c r="I805" s="114">
        <v>2500</v>
      </c>
      <c r="J805" s="114">
        <v>2101</v>
      </c>
      <c r="K805" s="114">
        <v>399</v>
      </c>
      <c r="L805" s="114" t="str">
        <f t="shared" si="12"/>
        <v>INSERT INTO DETALLES_DOCUMENTO(NRO_DOCUMENTO,ID_TIPO,ID_PRODUCTO,CANTIDAD,PRECIO,VALOR_BRUTO,VALOR_NETO,VALOR_IVA) VALUES(384,1,191,1,2500,2500,2101,399);</v>
      </c>
    </row>
    <row r="806" spans="1:12">
      <c r="A806" s="114">
        <v>1</v>
      </c>
      <c r="B806" s="114">
        <v>384</v>
      </c>
      <c r="C806" s="139" t="s">
        <v>2232</v>
      </c>
      <c r="D806" s="114" t="s">
        <v>2090</v>
      </c>
      <c r="E806" s="114">
        <v>108</v>
      </c>
      <c r="F806" s="114">
        <v>140</v>
      </c>
      <c r="G806" s="114">
        <v>1</v>
      </c>
      <c r="H806" s="114">
        <v>3500</v>
      </c>
      <c r="I806" s="114">
        <v>3500</v>
      </c>
      <c r="J806" s="114">
        <v>2941</v>
      </c>
      <c r="K806" s="114">
        <v>559</v>
      </c>
      <c r="L806" s="114" t="str">
        <f t="shared" si="12"/>
        <v>INSERT INTO DETALLES_DOCUMENTO(NRO_DOCUMENTO,ID_TIPO,ID_PRODUCTO,CANTIDAD,PRECIO,VALOR_BRUTO,VALOR_NETO,VALOR_IVA) VALUES(384,1,140,1,3500,3500,2941,559);</v>
      </c>
    </row>
    <row r="807" spans="1:12">
      <c r="A807" s="114">
        <v>1</v>
      </c>
      <c r="B807" s="114">
        <v>384</v>
      </c>
      <c r="C807" s="139" t="s">
        <v>2232</v>
      </c>
      <c r="D807" s="114" t="s">
        <v>2090</v>
      </c>
      <c r="E807" s="114">
        <v>108</v>
      </c>
      <c r="F807" s="114">
        <v>361</v>
      </c>
      <c r="G807" s="114">
        <v>1</v>
      </c>
      <c r="H807" s="114">
        <v>3500</v>
      </c>
      <c r="I807" s="114">
        <v>3500</v>
      </c>
      <c r="J807" s="114">
        <v>2941</v>
      </c>
      <c r="K807" s="114">
        <v>559</v>
      </c>
      <c r="L807" s="114" t="str">
        <f t="shared" si="12"/>
        <v>INSERT INTO DETALLES_DOCUMENTO(NRO_DOCUMENTO,ID_TIPO,ID_PRODUCTO,CANTIDAD,PRECIO,VALOR_BRUTO,VALOR_NETO,VALOR_IVA) VALUES(384,1,361,1,3500,3500,2941,559);</v>
      </c>
    </row>
    <row r="808" spans="1:12">
      <c r="A808" s="114">
        <v>1</v>
      </c>
      <c r="B808" s="114">
        <v>384</v>
      </c>
      <c r="C808" s="139" t="s">
        <v>2232</v>
      </c>
      <c r="D808" s="114" t="s">
        <v>2090</v>
      </c>
      <c r="E808" s="114">
        <v>108</v>
      </c>
      <c r="F808" s="114">
        <v>56</v>
      </c>
      <c r="G808" s="114">
        <v>1</v>
      </c>
      <c r="H808" s="114">
        <v>1500</v>
      </c>
      <c r="I808" s="114">
        <v>1500</v>
      </c>
      <c r="J808" s="114">
        <v>1261</v>
      </c>
      <c r="K808" s="114">
        <v>239</v>
      </c>
      <c r="L808" s="114" t="str">
        <f t="shared" si="12"/>
        <v>INSERT INTO DETALLES_DOCUMENTO(NRO_DOCUMENTO,ID_TIPO,ID_PRODUCTO,CANTIDAD,PRECIO,VALOR_BRUTO,VALOR_NETO,VALOR_IVA) VALUES(384,1,56,1,1500,1500,1261,239);</v>
      </c>
    </row>
    <row r="809" spans="1:12">
      <c r="A809" s="114">
        <v>1</v>
      </c>
      <c r="B809" s="114">
        <v>385</v>
      </c>
      <c r="C809" s="139" t="s">
        <v>2232</v>
      </c>
      <c r="D809" s="114" t="s">
        <v>2090</v>
      </c>
      <c r="E809" s="114">
        <v>113</v>
      </c>
      <c r="F809" s="114">
        <v>288</v>
      </c>
      <c r="G809" s="114">
        <v>1</v>
      </c>
      <c r="H809" s="114">
        <v>8000</v>
      </c>
      <c r="I809" s="114">
        <v>8000</v>
      </c>
      <c r="J809" s="114">
        <v>6723</v>
      </c>
      <c r="K809" s="114">
        <v>1277</v>
      </c>
      <c r="L809" s="114" t="str">
        <f t="shared" si="12"/>
        <v>INSERT INTO DETALLES_DOCUMENTO(NRO_DOCUMENTO,ID_TIPO,ID_PRODUCTO,CANTIDAD,PRECIO,VALOR_BRUTO,VALOR_NETO,VALOR_IVA) VALUES(385,1,288,1,8000,8000,6723,1277);</v>
      </c>
    </row>
    <row r="810" spans="1:12">
      <c r="A810" s="114">
        <v>1</v>
      </c>
      <c r="B810" s="114">
        <v>385</v>
      </c>
      <c r="C810" s="139" t="s">
        <v>2232</v>
      </c>
      <c r="D810" s="114" t="s">
        <v>2090</v>
      </c>
      <c r="E810" s="114">
        <v>113</v>
      </c>
      <c r="F810" s="114">
        <v>49</v>
      </c>
      <c r="G810" s="114">
        <v>1</v>
      </c>
      <c r="H810" s="114">
        <v>4200</v>
      </c>
      <c r="I810" s="114">
        <v>4200</v>
      </c>
      <c r="J810" s="114">
        <v>3529</v>
      </c>
      <c r="K810" s="114">
        <v>671</v>
      </c>
      <c r="L810" s="114" t="str">
        <f t="shared" si="12"/>
        <v>INSERT INTO DETALLES_DOCUMENTO(NRO_DOCUMENTO,ID_TIPO,ID_PRODUCTO,CANTIDAD,PRECIO,VALOR_BRUTO,VALOR_NETO,VALOR_IVA) VALUES(385,1,49,1,4200,4200,3529,671);</v>
      </c>
    </row>
    <row r="811" spans="1:12">
      <c r="A811" s="114">
        <v>1</v>
      </c>
      <c r="B811" s="114">
        <v>386</v>
      </c>
      <c r="C811" s="139" t="s">
        <v>2232</v>
      </c>
      <c r="D811" s="114" t="s">
        <v>2090</v>
      </c>
      <c r="E811" s="114">
        <v>171</v>
      </c>
      <c r="F811" s="114">
        <v>143</v>
      </c>
      <c r="G811" s="114">
        <v>1</v>
      </c>
      <c r="H811" s="114">
        <v>7600</v>
      </c>
      <c r="I811" s="114">
        <v>7600</v>
      </c>
      <c r="J811" s="114">
        <v>6387</v>
      </c>
      <c r="K811" s="114">
        <v>1213</v>
      </c>
      <c r="L811" s="114" t="str">
        <f t="shared" si="12"/>
        <v>INSERT INTO DETALLES_DOCUMENTO(NRO_DOCUMENTO,ID_TIPO,ID_PRODUCTO,CANTIDAD,PRECIO,VALOR_BRUTO,VALOR_NETO,VALOR_IVA) VALUES(386,1,143,1,7600,7600,6387,1213);</v>
      </c>
    </row>
    <row r="812" spans="1:12">
      <c r="A812" s="114">
        <v>1</v>
      </c>
      <c r="B812" s="114">
        <v>386</v>
      </c>
      <c r="C812" s="139" t="s">
        <v>2232</v>
      </c>
      <c r="D812" s="114" t="s">
        <v>2090</v>
      </c>
      <c r="E812" s="114">
        <v>171</v>
      </c>
      <c r="F812" s="114">
        <v>117</v>
      </c>
      <c r="G812" s="114">
        <v>1</v>
      </c>
      <c r="H812" s="114">
        <v>3500</v>
      </c>
      <c r="I812" s="114">
        <v>3500</v>
      </c>
      <c r="J812" s="114">
        <v>2941</v>
      </c>
      <c r="K812" s="114">
        <v>559</v>
      </c>
      <c r="L812" s="114" t="str">
        <f t="shared" si="12"/>
        <v>INSERT INTO DETALLES_DOCUMENTO(NRO_DOCUMENTO,ID_TIPO,ID_PRODUCTO,CANTIDAD,PRECIO,VALOR_BRUTO,VALOR_NETO,VALOR_IVA) VALUES(386,1,117,1,3500,3500,2941,559);</v>
      </c>
    </row>
    <row r="813" spans="1:12">
      <c r="A813" s="114">
        <v>1</v>
      </c>
      <c r="B813" s="114">
        <v>387</v>
      </c>
      <c r="C813" s="139" t="s">
        <v>2232</v>
      </c>
      <c r="D813" s="114" t="s">
        <v>2090</v>
      </c>
      <c r="E813" s="114">
        <v>442</v>
      </c>
      <c r="F813" s="114">
        <v>118</v>
      </c>
      <c r="G813" s="114">
        <v>1</v>
      </c>
      <c r="H813" s="114">
        <v>3500</v>
      </c>
      <c r="I813" s="114">
        <v>3500</v>
      </c>
      <c r="J813" s="114">
        <v>2941</v>
      </c>
      <c r="K813" s="114">
        <v>559</v>
      </c>
      <c r="L813" s="114" t="str">
        <f t="shared" si="12"/>
        <v>INSERT INTO DETALLES_DOCUMENTO(NRO_DOCUMENTO,ID_TIPO,ID_PRODUCTO,CANTIDAD,PRECIO,VALOR_BRUTO,VALOR_NETO,VALOR_IVA) VALUES(387,1,118,1,3500,3500,2941,559);</v>
      </c>
    </row>
    <row r="814" spans="1:12">
      <c r="A814" s="114">
        <v>1</v>
      </c>
      <c r="B814" s="114">
        <v>387</v>
      </c>
      <c r="C814" s="139" t="s">
        <v>2232</v>
      </c>
      <c r="D814" s="114" t="s">
        <v>2090</v>
      </c>
      <c r="E814" s="114">
        <v>442</v>
      </c>
      <c r="F814" s="114">
        <v>120</v>
      </c>
      <c r="G814" s="114">
        <v>1</v>
      </c>
      <c r="H814" s="114">
        <v>1700</v>
      </c>
      <c r="I814" s="114">
        <v>1700</v>
      </c>
      <c r="J814" s="114">
        <v>1429</v>
      </c>
      <c r="K814" s="114">
        <v>271</v>
      </c>
      <c r="L814" s="114" t="str">
        <f t="shared" si="12"/>
        <v>INSERT INTO DETALLES_DOCUMENTO(NRO_DOCUMENTO,ID_TIPO,ID_PRODUCTO,CANTIDAD,PRECIO,VALOR_BRUTO,VALOR_NETO,VALOR_IVA) VALUES(387,1,120,1,1700,1700,1429,271);</v>
      </c>
    </row>
    <row r="815" spans="1:12">
      <c r="A815" s="114">
        <v>1</v>
      </c>
      <c r="B815" s="114">
        <v>387</v>
      </c>
      <c r="C815" s="139" t="s">
        <v>2232</v>
      </c>
      <c r="D815" s="114" t="s">
        <v>2090</v>
      </c>
      <c r="E815" s="114">
        <v>442</v>
      </c>
      <c r="F815" s="114">
        <v>66</v>
      </c>
      <c r="G815" s="114">
        <v>1</v>
      </c>
      <c r="H815" s="114">
        <v>600</v>
      </c>
      <c r="I815" s="114">
        <v>600</v>
      </c>
      <c r="J815" s="114">
        <v>504</v>
      </c>
      <c r="K815" s="114">
        <v>96</v>
      </c>
      <c r="L815" s="114" t="str">
        <f t="shared" si="12"/>
        <v>INSERT INTO DETALLES_DOCUMENTO(NRO_DOCUMENTO,ID_TIPO,ID_PRODUCTO,CANTIDAD,PRECIO,VALOR_BRUTO,VALOR_NETO,VALOR_IVA) VALUES(387,1,66,1,600,600,504,96);</v>
      </c>
    </row>
    <row r="816" spans="1:12">
      <c r="A816" s="114">
        <v>1</v>
      </c>
      <c r="B816" s="114">
        <v>387</v>
      </c>
      <c r="C816" s="139" t="s">
        <v>2232</v>
      </c>
      <c r="D816" s="114" t="s">
        <v>2090</v>
      </c>
      <c r="E816" s="114">
        <v>442</v>
      </c>
      <c r="F816" s="114">
        <v>67</v>
      </c>
      <c r="G816" s="114">
        <v>1</v>
      </c>
      <c r="H816" s="114">
        <v>650</v>
      </c>
      <c r="I816" s="114">
        <v>650</v>
      </c>
      <c r="J816" s="114">
        <v>546</v>
      </c>
      <c r="K816" s="114">
        <v>104</v>
      </c>
      <c r="L816" s="114" t="str">
        <f t="shared" si="12"/>
        <v>INSERT INTO DETALLES_DOCUMENTO(NRO_DOCUMENTO,ID_TIPO,ID_PRODUCTO,CANTIDAD,PRECIO,VALOR_BRUTO,VALOR_NETO,VALOR_IVA) VALUES(387,1,67,1,650,650,546,104);</v>
      </c>
    </row>
    <row r="817" spans="1:12">
      <c r="A817" s="114">
        <v>1</v>
      </c>
      <c r="B817" s="114">
        <v>387</v>
      </c>
      <c r="C817" s="139" t="s">
        <v>2232</v>
      </c>
      <c r="D817" s="114" t="s">
        <v>2090</v>
      </c>
      <c r="E817" s="114">
        <v>442</v>
      </c>
      <c r="F817" s="114">
        <v>57</v>
      </c>
      <c r="G817" s="114">
        <v>1</v>
      </c>
      <c r="H817" s="114">
        <v>4000</v>
      </c>
      <c r="I817" s="114">
        <v>4000</v>
      </c>
      <c r="J817" s="114">
        <v>3361</v>
      </c>
      <c r="K817" s="114">
        <v>639</v>
      </c>
      <c r="L817" s="114" t="str">
        <f t="shared" si="12"/>
        <v>INSERT INTO DETALLES_DOCUMENTO(NRO_DOCUMENTO,ID_TIPO,ID_PRODUCTO,CANTIDAD,PRECIO,VALOR_BRUTO,VALOR_NETO,VALOR_IVA) VALUES(387,1,57,1,4000,4000,3361,639);</v>
      </c>
    </row>
    <row r="818" spans="1:12">
      <c r="A818" s="114">
        <v>1</v>
      </c>
      <c r="B818" s="114">
        <v>388</v>
      </c>
      <c r="C818" s="139" t="s">
        <v>2233</v>
      </c>
      <c r="D818" s="114" t="s">
        <v>2090</v>
      </c>
      <c r="E818" s="114">
        <v>166</v>
      </c>
      <c r="F818" s="114">
        <v>191</v>
      </c>
      <c r="G818" s="114">
        <v>1</v>
      </c>
      <c r="H818" s="114">
        <v>2500</v>
      </c>
      <c r="I818" s="114">
        <v>2500</v>
      </c>
      <c r="J818" s="114">
        <v>2101</v>
      </c>
      <c r="K818" s="114">
        <v>399</v>
      </c>
      <c r="L818" s="114" t="str">
        <f t="shared" si="12"/>
        <v>INSERT INTO DETALLES_DOCUMENTO(NRO_DOCUMENTO,ID_TIPO,ID_PRODUCTO,CANTIDAD,PRECIO,VALOR_BRUTO,VALOR_NETO,VALOR_IVA) VALUES(388,1,191,1,2500,2500,2101,399);</v>
      </c>
    </row>
    <row r="819" spans="1:12">
      <c r="A819" s="114">
        <v>1</v>
      </c>
      <c r="B819" s="114">
        <v>388</v>
      </c>
      <c r="C819" s="139" t="s">
        <v>2233</v>
      </c>
      <c r="D819" s="114" t="s">
        <v>2090</v>
      </c>
      <c r="E819" s="114">
        <v>166</v>
      </c>
      <c r="F819" s="114">
        <v>275</v>
      </c>
      <c r="G819" s="114">
        <v>1</v>
      </c>
      <c r="H819" s="114">
        <v>6900</v>
      </c>
      <c r="I819" s="114">
        <v>6900</v>
      </c>
      <c r="J819" s="114">
        <v>5798</v>
      </c>
      <c r="K819" s="114">
        <v>1102</v>
      </c>
      <c r="L819" s="114" t="str">
        <f t="shared" si="12"/>
        <v>INSERT INTO DETALLES_DOCUMENTO(NRO_DOCUMENTO,ID_TIPO,ID_PRODUCTO,CANTIDAD,PRECIO,VALOR_BRUTO,VALOR_NETO,VALOR_IVA) VALUES(388,1,275,1,6900,6900,5798,1102);</v>
      </c>
    </row>
    <row r="820" spans="1:12">
      <c r="A820" s="114">
        <v>1</v>
      </c>
      <c r="B820" s="114">
        <v>389</v>
      </c>
      <c r="C820" s="139" t="s">
        <v>2233</v>
      </c>
      <c r="D820" s="114" t="s">
        <v>2090</v>
      </c>
      <c r="E820" s="114">
        <v>278</v>
      </c>
      <c r="F820" s="114">
        <v>143</v>
      </c>
      <c r="G820" s="114">
        <v>1</v>
      </c>
      <c r="H820" s="114">
        <v>8000</v>
      </c>
      <c r="I820" s="114">
        <v>8000</v>
      </c>
      <c r="J820" s="114">
        <v>6723</v>
      </c>
      <c r="K820" s="114">
        <v>1277</v>
      </c>
      <c r="L820" s="114" t="str">
        <f t="shared" si="12"/>
        <v>INSERT INTO DETALLES_DOCUMENTO(NRO_DOCUMENTO,ID_TIPO,ID_PRODUCTO,CANTIDAD,PRECIO,VALOR_BRUTO,VALOR_NETO,VALOR_IVA) VALUES(389,1,143,1,8000,8000,6723,1277);</v>
      </c>
    </row>
    <row r="821" spans="1:12">
      <c r="A821" s="114">
        <v>1</v>
      </c>
      <c r="B821" s="114">
        <v>390</v>
      </c>
      <c r="C821" s="139" t="s">
        <v>2233</v>
      </c>
      <c r="D821" s="114" t="s">
        <v>2090</v>
      </c>
      <c r="E821" s="114">
        <v>306</v>
      </c>
      <c r="F821" s="114">
        <v>324</v>
      </c>
      <c r="G821" s="114">
        <v>2</v>
      </c>
      <c r="H821" s="114">
        <v>21000</v>
      </c>
      <c r="I821" s="114">
        <v>42000</v>
      </c>
      <c r="J821" s="114">
        <v>35294</v>
      </c>
      <c r="K821" s="114">
        <v>6706</v>
      </c>
      <c r="L821" s="114" t="str">
        <f t="shared" si="12"/>
        <v>INSERT INTO DETALLES_DOCUMENTO(NRO_DOCUMENTO,ID_TIPO,ID_PRODUCTO,CANTIDAD,PRECIO,VALOR_BRUTO,VALOR_NETO,VALOR_IVA) VALUES(390,1,324,2,21000,42000,35294,6706);</v>
      </c>
    </row>
    <row r="822" spans="1:12">
      <c r="A822" s="114">
        <v>1</v>
      </c>
      <c r="B822" s="114">
        <v>390</v>
      </c>
      <c r="C822" s="139" t="s">
        <v>2233</v>
      </c>
      <c r="D822" s="114" t="s">
        <v>2090</v>
      </c>
      <c r="E822" s="114">
        <v>306</v>
      </c>
      <c r="F822" s="114">
        <v>7</v>
      </c>
      <c r="G822" s="114">
        <v>1</v>
      </c>
      <c r="H822" s="114">
        <v>7000</v>
      </c>
      <c r="I822" s="114">
        <v>7000</v>
      </c>
      <c r="J822" s="114">
        <v>5882</v>
      </c>
      <c r="K822" s="114">
        <v>1118</v>
      </c>
      <c r="L822" s="114" t="str">
        <f t="shared" si="12"/>
        <v>INSERT INTO DETALLES_DOCUMENTO(NRO_DOCUMENTO,ID_TIPO,ID_PRODUCTO,CANTIDAD,PRECIO,VALOR_BRUTO,VALOR_NETO,VALOR_IVA) VALUES(390,1,7,1,7000,7000,5882,1118);</v>
      </c>
    </row>
    <row r="823" spans="1:12">
      <c r="A823" s="114">
        <v>1</v>
      </c>
      <c r="B823" s="114">
        <v>390</v>
      </c>
      <c r="C823" s="139" t="s">
        <v>2233</v>
      </c>
      <c r="D823" s="114" t="s">
        <v>2090</v>
      </c>
      <c r="E823" s="114">
        <v>306</v>
      </c>
      <c r="F823" s="114">
        <v>263</v>
      </c>
      <c r="G823" s="114">
        <v>1</v>
      </c>
      <c r="H823" s="114">
        <v>8000</v>
      </c>
      <c r="I823" s="114">
        <v>8000</v>
      </c>
      <c r="J823" s="114">
        <v>6723</v>
      </c>
      <c r="K823" s="114">
        <v>1277</v>
      </c>
      <c r="L823" s="114" t="str">
        <f t="shared" si="12"/>
        <v>INSERT INTO DETALLES_DOCUMENTO(NRO_DOCUMENTO,ID_TIPO,ID_PRODUCTO,CANTIDAD,PRECIO,VALOR_BRUTO,VALOR_NETO,VALOR_IVA) VALUES(390,1,263,1,8000,8000,6723,1277);</v>
      </c>
    </row>
    <row r="824" spans="1:12">
      <c r="A824" s="114">
        <v>1</v>
      </c>
      <c r="B824" s="114">
        <v>391</v>
      </c>
      <c r="C824" s="139" t="s">
        <v>2234</v>
      </c>
      <c r="D824" s="114" t="s">
        <v>2090</v>
      </c>
      <c r="E824" s="114">
        <v>63</v>
      </c>
      <c r="F824" s="114">
        <v>143</v>
      </c>
      <c r="G824" s="114">
        <v>1</v>
      </c>
      <c r="H824" s="114">
        <v>8000</v>
      </c>
      <c r="I824" s="114">
        <v>8000</v>
      </c>
      <c r="J824" s="114">
        <v>6723</v>
      </c>
      <c r="K824" s="114">
        <v>1277</v>
      </c>
      <c r="L824" s="114" t="str">
        <f t="shared" si="12"/>
        <v>INSERT INTO DETALLES_DOCUMENTO(NRO_DOCUMENTO,ID_TIPO,ID_PRODUCTO,CANTIDAD,PRECIO,VALOR_BRUTO,VALOR_NETO,VALOR_IVA) VALUES(391,1,143,1,8000,8000,6723,1277);</v>
      </c>
    </row>
    <row r="825" spans="1:12">
      <c r="A825" s="114">
        <v>1</v>
      </c>
      <c r="B825" s="114">
        <v>392</v>
      </c>
      <c r="C825" s="139" t="s">
        <v>2234</v>
      </c>
      <c r="D825" s="114" t="s">
        <v>2090</v>
      </c>
      <c r="E825" s="114">
        <v>86</v>
      </c>
      <c r="F825" s="114">
        <v>143</v>
      </c>
      <c r="G825" s="114">
        <v>1</v>
      </c>
      <c r="H825" s="114">
        <v>8000</v>
      </c>
      <c r="I825" s="114">
        <v>8000</v>
      </c>
      <c r="J825" s="114">
        <v>6723</v>
      </c>
      <c r="K825" s="114">
        <v>1277</v>
      </c>
      <c r="L825" s="114" t="str">
        <f t="shared" si="12"/>
        <v>INSERT INTO DETALLES_DOCUMENTO(NRO_DOCUMENTO,ID_TIPO,ID_PRODUCTO,CANTIDAD,PRECIO,VALOR_BRUTO,VALOR_NETO,VALOR_IVA) VALUES(392,1,143,1,8000,8000,6723,1277);</v>
      </c>
    </row>
    <row r="826" spans="1:12">
      <c r="A826" s="114">
        <v>1</v>
      </c>
      <c r="B826" s="114">
        <v>393</v>
      </c>
      <c r="C826" s="139" t="s">
        <v>2234</v>
      </c>
      <c r="D826" s="114" t="s">
        <v>2090</v>
      </c>
      <c r="E826" s="114">
        <v>107</v>
      </c>
      <c r="F826" s="114">
        <v>143</v>
      </c>
      <c r="G826" s="114">
        <v>1</v>
      </c>
      <c r="H826" s="114">
        <v>8000</v>
      </c>
      <c r="I826" s="114">
        <v>8000</v>
      </c>
      <c r="J826" s="114">
        <v>6723</v>
      </c>
      <c r="K826" s="114">
        <v>1277</v>
      </c>
      <c r="L826" s="114" t="str">
        <f t="shared" si="12"/>
        <v>INSERT INTO DETALLES_DOCUMENTO(NRO_DOCUMENTO,ID_TIPO,ID_PRODUCTO,CANTIDAD,PRECIO,VALOR_BRUTO,VALOR_NETO,VALOR_IVA) VALUES(393,1,143,1,8000,8000,6723,1277);</v>
      </c>
    </row>
    <row r="827" spans="1:12">
      <c r="A827" s="114">
        <v>1</v>
      </c>
      <c r="B827" s="114">
        <v>394</v>
      </c>
      <c r="C827" s="139" t="s">
        <v>2234</v>
      </c>
      <c r="D827" s="114" t="s">
        <v>2090</v>
      </c>
      <c r="E827" s="114">
        <v>124</v>
      </c>
      <c r="F827" s="114">
        <v>125</v>
      </c>
      <c r="G827" s="114">
        <v>1</v>
      </c>
      <c r="H827" s="114">
        <v>1700</v>
      </c>
      <c r="I827" s="114">
        <v>1700</v>
      </c>
      <c r="J827" s="114">
        <v>1429</v>
      </c>
      <c r="K827" s="114">
        <v>271</v>
      </c>
      <c r="L827" s="114" t="str">
        <f t="shared" si="12"/>
        <v>INSERT INTO DETALLES_DOCUMENTO(NRO_DOCUMENTO,ID_TIPO,ID_PRODUCTO,CANTIDAD,PRECIO,VALOR_BRUTO,VALOR_NETO,VALOR_IVA) VALUES(394,1,125,1,1700,1700,1429,271);</v>
      </c>
    </row>
    <row r="828" spans="1:12">
      <c r="A828" s="114">
        <v>1</v>
      </c>
      <c r="B828" s="114">
        <v>394</v>
      </c>
      <c r="C828" s="139" t="s">
        <v>2234</v>
      </c>
      <c r="D828" s="114" t="s">
        <v>2090</v>
      </c>
      <c r="E828" s="114">
        <v>124</v>
      </c>
      <c r="F828" s="114">
        <v>383</v>
      </c>
      <c r="G828" s="114">
        <v>1</v>
      </c>
      <c r="H828" s="114">
        <v>2400</v>
      </c>
      <c r="I828" s="114">
        <v>2400</v>
      </c>
      <c r="J828" s="114">
        <v>2017</v>
      </c>
      <c r="K828" s="114">
        <v>383</v>
      </c>
      <c r="L828" s="114" t="str">
        <f t="shared" si="12"/>
        <v>INSERT INTO DETALLES_DOCUMENTO(NRO_DOCUMENTO,ID_TIPO,ID_PRODUCTO,CANTIDAD,PRECIO,VALOR_BRUTO,VALOR_NETO,VALOR_IVA) VALUES(394,1,383,1,2400,2400,2017,383);</v>
      </c>
    </row>
    <row r="829" spans="1:12">
      <c r="A829" s="114">
        <v>1</v>
      </c>
      <c r="B829" s="114">
        <v>394</v>
      </c>
      <c r="C829" s="139" t="s">
        <v>2234</v>
      </c>
      <c r="D829" s="114" t="s">
        <v>2090</v>
      </c>
      <c r="E829" s="114">
        <v>124</v>
      </c>
      <c r="F829" s="114">
        <v>69</v>
      </c>
      <c r="G829" s="114">
        <v>1</v>
      </c>
      <c r="H829" s="114">
        <v>3000</v>
      </c>
      <c r="I829" s="114">
        <v>3000</v>
      </c>
      <c r="J829" s="114">
        <v>2521</v>
      </c>
      <c r="K829" s="114">
        <v>479</v>
      </c>
      <c r="L829" s="114" t="str">
        <f t="shared" si="12"/>
        <v>INSERT INTO DETALLES_DOCUMENTO(NRO_DOCUMENTO,ID_TIPO,ID_PRODUCTO,CANTIDAD,PRECIO,VALOR_BRUTO,VALOR_NETO,VALOR_IVA) VALUES(394,1,69,1,3000,3000,2521,479);</v>
      </c>
    </row>
    <row r="830" spans="1:12">
      <c r="A830" s="114">
        <v>1</v>
      </c>
      <c r="B830" s="114">
        <v>395</v>
      </c>
      <c r="C830" s="139" t="s">
        <v>2234</v>
      </c>
      <c r="D830" s="114" t="s">
        <v>2090</v>
      </c>
      <c r="E830" s="114">
        <v>148</v>
      </c>
      <c r="F830" s="114">
        <v>143</v>
      </c>
      <c r="G830" s="114">
        <v>1</v>
      </c>
      <c r="H830" s="114">
        <v>8000</v>
      </c>
      <c r="I830" s="114">
        <v>8000</v>
      </c>
      <c r="J830" s="114">
        <v>6723</v>
      </c>
      <c r="K830" s="114">
        <v>1277</v>
      </c>
      <c r="L830" s="114" t="str">
        <f t="shared" si="12"/>
        <v>INSERT INTO DETALLES_DOCUMENTO(NRO_DOCUMENTO,ID_TIPO,ID_PRODUCTO,CANTIDAD,PRECIO,VALOR_BRUTO,VALOR_NETO,VALOR_IVA) VALUES(395,1,143,1,8000,8000,6723,1277);</v>
      </c>
    </row>
    <row r="831" spans="1:12">
      <c r="A831" s="114">
        <v>1</v>
      </c>
      <c r="B831" s="114">
        <v>395</v>
      </c>
      <c r="C831" s="139" t="s">
        <v>2234</v>
      </c>
      <c r="D831" s="114" t="s">
        <v>2090</v>
      </c>
      <c r="E831" s="114">
        <v>148</v>
      </c>
      <c r="F831" s="114">
        <v>329</v>
      </c>
      <c r="G831" s="114">
        <v>1</v>
      </c>
      <c r="H831" s="114">
        <v>5500</v>
      </c>
      <c r="I831" s="114">
        <v>5500</v>
      </c>
      <c r="J831" s="114">
        <v>4622</v>
      </c>
      <c r="K831" s="114">
        <v>878</v>
      </c>
      <c r="L831" s="114" t="str">
        <f t="shared" si="12"/>
        <v>INSERT INTO DETALLES_DOCUMENTO(NRO_DOCUMENTO,ID_TIPO,ID_PRODUCTO,CANTIDAD,PRECIO,VALOR_BRUTO,VALOR_NETO,VALOR_IVA) VALUES(395,1,329,1,5500,5500,4622,878);</v>
      </c>
    </row>
    <row r="832" spans="1:12">
      <c r="A832" s="114">
        <v>1</v>
      </c>
      <c r="B832" s="114">
        <v>396</v>
      </c>
      <c r="C832" s="139" t="s">
        <v>2234</v>
      </c>
      <c r="D832" s="114" t="s">
        <v>2090</v>
      </c>
      <c r="E832" s="114">
        <v>155</v>
      </c>
      <c r="F832" s="114">
        <v>143</v>
      </c>
      <c r="G832" s="114">
        <v>1</v>
      </c>
      <c r="H832" s="114">
        <v>8000</v>
      </c>
      <c r="I832" s="114">
        <v>8000</v>
      </c>
      <c r="J832" s="114">
        <v>6723</v>
      </c>
      <c r="K832" s="114">
        <v>1277</v>
      </c>
      <c r="L832" s="114" t="str">
        <f t="shared" si="12"/>
        <v>INSERT INTO DETALLES_DOCUMENTO(NRO_DOCUMENTO,ID_TIPO,ID_PRODUCTO,CANTIDAD,PRECIO,VALOR_BRUTO,VALOR_NETO,VALOR_IVA) VALUES(396,1,143,1,8000,8000,6723,1277);</v>
      </c>
    </row>
    <row r="833" spans="1:12">
      <c r="A833" s="114">
        <v>1</v>
      </c>
      <c r="B833" s="114">
        <v>397</v>
      </c>
      <c r="C833" s="139" t="s">
        <v>2234</v>
      </c>
      <c r="D833" s="114" t="s">
        <v>2090</v>
      </c>
      <c r="E833" s="114">
        <v>166</v>
      </c>
      <c r="F833" s="114">
        <v>324</v>
      </c>
      <c r="G833" s="114">
        <v>1</v>
      </c>
      <c r="H833" s="114">
        <v>10500</v>
      </c>
      <c r="I833" s="114">
        <v>10500</v>
      </c>
      <c r="J833" s="114">
        <v>8824</v>
      </c>
      <c r="K833" s="114">
        <v>1676</v>
      </c>
      <c r="L833" s="114" t="str">
        <f t="shared" si="12"/>
        <v>INSERT INTO DETALLES_DOCUMENTO(NRO_DOCUMENTO,ID_TIPO,ID_PRODUCTO,CANTIDAD,PRECIO,VALOR_BRUTO,VALOR_NETO,VALOR_IVA) VALUES(397,1,324,1,10500,10500,8824,1676);</v>
      </c>
    </row>
    <row r="834" spans="1:12">
      <c r="A834" s="114">
        <v>1</v>
      </c>
      <c r="B834" s="114">
        <v>397</v>
      </c>
      <c r="C834" s="139" t="s">
        <v>2234</v>
      </c>
      <c r="D834" s="114" t="s">
        <v>2090</v>
      </c>
      <c r="E834" s="114">
        <v>166</v>
      </c>
      <c r="F834" s="114">
        <v>357</v>
      </c>
      <c r="G834" s="114">
        <v>1</v>
      </c>
      <c r="H834" s="114">
        <v>1800</v>
      </c>
      <c r="I834" s="114">
        <v>1800</v>
      </c>
      <c r="J834" s="114">
        <v>1513</v>
      </c>
      <c r="K834" s="114">
        <v>287</v>
      </c>
      <c r="L834" s="114" t="str">
        <f t="shared" si="12"/>
        <v>INSERT INTO DETALLES_DOCUMENTO(NRO_DOCUMENTO,ID_TIPO,ID_PRODUCTO,CANTIDAD,PRECIO,VALOR_BRUTO,VALOR_NETO,VALOR_IVA) VALUES(397,1,357,1,1800,1800,1513,287);</v>
      </c>
    </row>
    <row r="835" spans="1:12">
      <c r="A835" s="114">
        <v>1</v>
      </c>
      <c r="B835" s="114">
        <v>397</v>
      </c>
      <c r="C835" s="139" t="s">
        <v>2234</v>
      </c>
      <c r="D835" s="114" t="s">
        <v>2090</v>
      </c>
      <c r="E835" s="114">
        <v>166</v>
      </c>
      <c r="F835" s="114">
        <v>372</v>
      </c>
      <c r="G835" s="114">
        <v>1</v>
      </c>
      <c r="H835" s="114">
        <v>1300</v>
      </c>
      <c r="I835" s="114">
        <v>1300</v>
      </c>
      <c r="J835" s="114">
        <v>1092</v>
      </c>
      <c r="K835" s="114">
        <v>208</v>
      </c>
      <c r="L835" s="114" t="str">
        <f t="shared" ref="L835:L898" si="13">CONCATENATE("INSERT INTO DETALLES_DOCUMENTO(NRO_DOCUMENTO,ID_TIPO,ID_PRODUCTO,CANTIDAD,PRECIO,VALOR_BRUTO,VALOR_NETO,VALOR_IVA) VALUES(",B835,",",A835,",",F835,",",G835,",",H835,",",I835,",",J835,",",K835,");")</f>
        <v>INSERT INTO DETALLES_DOCUMENTO(NRO_DOCUMENTO,ID_TIPO,ID_PRODUCTO,CANTIDAD,PRECIO,VALOR_BRUTO,VALOR_NETO,VALOR_IVA) VALUES(397,1,372,1,1300,1300,1092,208);</v>
      </c>
    </row>
    <row r="836" spans="1:12">
      <c r="A836" s="114">
        <v>1</v>
      </c>
      <c r="B836" s="114">
        <v>398</v>
      </c>
      <c r="C836" s="139" t="s">
        <v>2234</v>
      </c>
      <c r="D836" s="114" t="s">
        <v>2090</v>
      </c>
      <c r="E836" s="114">
        <v>227</v>
      </c>
      <c r="F836" s="114">
        <v>143</v>
      </c>
      <c r="G836" s="114">
        <v>1</v>
      </c>
      <c r="H836" s="114">
        <v>8000</v>
      </c>
      <c r="I836" s="114">
        <v>8000</v>
      </c>
      <c r="J836" s="114">
        <v>6723</v>
      </c>
      <c r="K836" s="114">
        <v>1277</v>
      </c>
      <c r="L836" s="114" t="str">
        <f t="shared" si="13"/>
        <v>INSERT INTO DETALLES_DOCUMENTO(NRO_DOCUMENTO,ID_TIPO,ID_PRODUCTO,CANTIDAD,PRECIO,VALOR_BRUTO,VALOR_NETO,VALOR_IVA) VALUES(398,1,143,1,8000,8000,6723,1277);</v>
      </c>
    </row>
    <row r="837" spans="1:12">
      <c r="A837" s="114">
        <v>1</v>
      </c>
      <c r="B837" s="114">
        <v>399</v>
      </c>
      <c r="C837" s="139" t="s">
        <v>2234</v>
      </c>
      <c r="D837" s="114" t="s">
        <v>2090</v>
      </c>
      <c r="E837" s="114">
        <v>247</v>
      </c>
      <c r="F837" s="114">
        <v>117</v>
      </c>
      <c r="G837" s="114">
        <v>1</v>
      </c>
      <c r="H837" s="114">
        <v>3500</v>
      </c>
      <c r="I837" s="114">
        <v>3500</v>
      </c>
      <c r="J837" s="114">
        <v>2941</v>
      </c>
      <c r="K837" s="114">
        <v>559</v>
      </c>
      <c r="L837" s="114" t="str">
        <f t="shared" si="13"/>
        <v>INSERT INTO DETALLES_DOCUMENTO(NRO_DOCUMENTO,ID_TIPO,ID_PRODUCTO,CANTIDAD,PRECIO,VALOR_BRUTO,VALOR_NETO,VALOR_IVA) VALUES(399,1,117,1,3500,3500,2941,559);</v>
      </c>
    </row>
    <row r="838" spans="1:12">
      <c r="A838" s="114">
        <v>1</v>
      </c>
      <c r="B838" s="114">
        <v>400</v>
      </c>
      <c r="C838" s="139" t="s">
        <v>2234</v>
      </c>
      <c r="D838" s="114" t="s">
        <v>2090</v>
      </c>
      <c r="E838" s="114">
        <v>319</v>
      </c>
      <c r="F838" s="114">
        <v>143</v>
      </c>
      <c r="G838" s="114">
        <v>1</v>
      </c>
      <c r="H838" s="114">
        <v>8000</v>
      </c>
      <c r="I838" s="114">
        <v>8000</v>
      </c>
      <c r="J838" s="114">
        <v>6723</v>
      </c>
      <c r="K838" s="114">
        <v>1277</v>
      </c>
      <c r="L838" s="114" t="str">
        <f t="shared" si="13"/>
        <v>INSERT INTO DETALLES_DOCUMENTO(NRO_DOCUMENTO,ID_TIPO,ID_PRODUCTO,CANTIDAD,PRECIO,VALOR_BRUTO,VALOR_NETO,VALOR_IVA) VALUES(400,1,143,1,8000,8000,6723,1277);</v>
      </c>
    </row>
    <row r="839" spans="1:12">
      <c r="A839" s="114">
        <v>1</v>
      </c>
      <c r="B839" s="114">
        <v>401</v>
      </c>
      <c r="C839" s="139" t="s">
        <v>2234</v>
      </c>
      <c r="D839" s="114" t="s">
        <v>2090</v>
      </c>
      <c r="E839" s="114">
        <v>367</v>
      </c>
      <c r="F839" s="114">
        <v>143</v>
      </c>
      <c r="G839" s="114">
        <v>2</v>
      </c>
      <c r="H839" s="114">
        <v>16001</v>
      </c>
      <c r="I839" s="114">
        <v>32002</v>
      </c>
      <c r="J839" s="114">
        <v>26892</v>
      </c>
      <c r="K839" s="114">
        <v>5110</v>
      </c>
      <c r="L839" s="114" t="str">
        <f t="shared" si="13"/>
        <v>INSERT INTO DETALLES_DOCUMENTO(NRO_DOCUMENTO,ID_TIPO,ID_PRODUCTO,CANTIDAD,PRECIO,VALOR_BRUTO,VALOR_NETO,VALOR_IVA) VALUES(401,1,143,2,16001,32002,26892,5110);</v>
      </c>
    </row>
    <row r="840" spans="1:12">
      <c r="A840" s="114">
        <v>1</v>
      </c>
      <c r="B840" s="114">
        <v>402</v>
      </c>
      <c r="C840" s="139" t="s">
        <v>2234</v>
      </c>
      <c r="D840" s="114" t="s">
        <v>2090</v>
      </c>
      <c r="E840" s="114">
        <v>382</v>
      </c>
      <c r="F840" s="114">
        <v>143</v>
      </c>
      <c r="G840" s="114">
        <v>1</v>
      </c>
      <c r="H840" s="114">
        <v>8000</v>
      </c>
      <c r="I840" s="114">
        <v>8000</v>
      </c>
      <c r="J840" s="114">
        <v>6723</v>
      </c>
      <c r="K840" s="114">
        <v>1277</v>
      </c>
      <c r="L840" s="114" t="str">
        <f t="shared" si="13"/>
        <v>INSERT INTO DETALLES_DOCUMENTO(NRO_DOCUMENTO,ID_TIPO,ID_PRODUCTO,CANTIDAD,PRECIO,VALOR_BRUTO,VALOR_NETO,VALOR_IVA) VALUES(402,1,143,1,8000,8000,6723,1277);</v>
      </c>
    </row>
    <row r="841" spans="1:12">
      <c r="A841" s="114">
        <v>1</v>
      </c>
      <c r="B841" s="114">
        <v>403</v>
      </c>
      <c r="C841" s="139" t="s">
        <v>2234</v>
      </c>
      <c r="D841" s="114" t="s">
        <v>2090</v>
      </c>
      <c r="E841" s="114">
        <v>386</v>
      </c>
      <c r="F841" s="114">
        <v>143</v>
      </c>
      <c r="G841" s="114">
        <v>1</v>
      </c>
      <c r="H841" s="114">
        <v>8000</v>
      </c>
      <c r="I841" s="114">
        <v>8000</v>
      </c>
      <c r="J841" s="114">
        <v>6723</v>
      </c>
      <c r="K841" s="114">
        <v>1277</v>
      </c>
      <c r="L841" s="114" t="str">
        <f t="shared" si="13"/>
        <v>INSERT INTO DETALLES_DOCUMENTO(NRO_DOCUMENTO,ID_TIPO,ID_PRODUCTO,CANTIDAD,PRECIO,VALOR_BRUTO,VALOR_NETO,VALOR_IVA) VALUES(403,1,143,1,8000,8000,6723,1277);</v>
      </c>
    </row>
    <row r="842" spans="1:12">
      <c r="A842" s="114">
        <v>1</v>
      </c>
      <c r="B842" s="114">
        <v>403</v>
      </c>
      <c r="C842" s="139" t="s">
        <v>2234</v>
      </c>
      <c r="D842" s="114" t="s">
        <v>2090</v>
      </c>
      <c r="E842" s="114">
        <v>386</v>
      </c>
      <c r="F842" s="114">
        <v>231</v>
      </c>
      <c r="G842" s="114">
        <v>1</v>
      </c>
      <c r="H842" s="114">
        <v>19990</v>
      </c>
      <c r="I842" s="114">
        <v>19990</v>
      </c>
      <c r="J842" s="114">
        <v>16798</v>
      </c>
      <c r="K842" s="114">
        <v>3192</v>
      </c>
      <c r="L842" s="114" t="str">
        <f t="shared" si="13"/>
        <v>INSERT INTO DETALLES_DOCUMENTO(NRO_DOCUMENTO,ID_TIPO,ID_PRODUCTO,CANTIDAD,PRECIO,VALOR_BRUTO,VALOR_NETO,VALOR_IVA) VALUES(403,1,231,1,19990,19990,16798,3192);</v>
      </c>
    </row>
    <row r="843" spans="1:12">
      <c r="A843" s="114">
        <v>1</v>
      </c>
      <c r="B843" s="114">
        <v>404</v>
      </c>
      <c r="C843" s="139" t="s">
        <v>2235</v>
      </c>
      <c r="D843" s="114" t="s">
        <v>2090</v>
      </c>
      <c r="E843" s="114">
        <v>22</v>
      </c>
      <c r="F843" s="114">
        <v>300</v>
      </c>
      <c r="G843" s="114">
        <v>1</v>
      </c>
      <c r="H843" s="114">
        <v>9000</v>
      </c>
      <c r="I843" s="114">
        <v>9000</v>
      </c>
      <c r="J843" s="114">
        <v>7563</v>
      </c>
      <c r="K843" s="114">
        <v>1437</v>
      </c>
      <c r="L843" s="114" t="str">
        <f t="shared" si="13"/>
        <v>INSERT INTO DETALLES_DOCUMENTO(NRO_DOCUMENTO,ID_TIPO,ID_PRODUCTO,CANTIDAD,PRECIO,VALOR_BRUTO,VALOR_NETO,VALOR_IVA) VALUES(404,1,300,1,9000,9000,7563,1437);</v>
      </c>
    </row>
    <row r="844" spans="1:12">
      <c r="A844" s="114">
        <v>1</v>
      </c>
      <c r="B844" s="114">
        <v>404</v>
      </c>
      <c r="C844" s="139" t="s">
        <v>2235</v>
      </c>
      <c r="D844" s="114" t="s">
        <v>2090</v>
      </c>
      <c r="E844" s="114">
        <v>22</v>
      </c>
      <c r="F844" s="114">
        <v>98</v>
      </c>
      <c r="G844" s="114">
        <v>1</v>
      </c>
      <c r="H844" s="114">
        <v>3500</v>
      </c>
      <c r="I844" s="114">
        <v>3500</v>
      </c>
      <c r="J844" s="114">
        <v>2941</v>
      </c>
      <c r="K844" s="114">
        <v>559</v>
      </c>
      <c r="L844" s="114" t="str">
        <f t="shared" si="13"/>
        <v>INSERT INTO DETALLES_DOCUMENTO(NRO_DOCUMENTO,ID_TIPO,ID_PRODUCTO,CANTIDAD,PRECIO,VALOR_BRUTO,VALOR_NETO,VALOR_IVA) VALUES(404,1,98,1,3500,3500,2941,559);</v>
      </c>
    </row>
    <row r="845" spans="1:12">
      <c r="A845" s="114">
        <v>1</v>
      </c>
      <c r="B845" s="114">
        <v>404</v>
      </c>
      <c r="C845" s="139" t="s">
        <v>2235</v>
      </c>
      <c r="D845" s="114" t="s">
        <v>2090</v>
      </c>
      <c r="E845" s="114">
        <v>22</v>
      </c>
      <c r="F845" s="114">
        <v>165</v>
      </c>
      <c r="G845" s="114">
        <v>1</v>
      </c>
      <c r="H845" s="114">
        <v>2000</v>
      </c>
      <c r="I845" s="114">
        <v>2000</v>
      </c>
      <c r="J845" s="114">
        <v>1681</v>
      </c>
      <c r="K845" s="114">
        <v>319</v>
      </c>
      <c r="L845" s="114" t="str">
        <f t="shared" si="13"/>
        <v>INSERT INTO DETALLES_DOCUMENTO(NRO_DOCUMENTO,ID_TIPO,ID_PRODUCTO,CANTIDAD,PRECIO,VALOR_BRUTO,VALOR_NETO,VALOR_IVA) VALUES(404,1,165,1,2000,2000,1681,319);</v>
      </c>
    </row>
    <row r="846" spans="1:12">
      <c r="A846" s="114">
        <v>1</v>
      </c>
      <c r="B846" s="114">
        <v>404</v>
      </c>
      <c r="C846" s="139" t="s">
        <v>2235</v>
      </c>
      <c r="D846" s="114" t="s">
        <v>2090</v>
      </c>
      <c r="E846" s="114">
        <v>22</v>
      </c>
      <c r="F846" s="114">
        <v>378</v>
      </c>
      <c r="G846" s="114">
        <v>2</v>
      </c>
      <c r="H846" s="114">
        <v>2400</v>
      </c>
      <c r="I846" s="114">
        <v>4800</v>
      </c>
      <c r="J846" s="114">
        <v>4034</v>
      </c>
      <c r="K846" s="114">
        <v>766</v>
      </c>
      <c r="L846" s="114" t="str">
        <f t="shared" si="13"/>
        <v>INSERT INTO DETALLES_DOCUMENTO(NRO_DOCUMENTO,ID_TIPO,ID_PRODUCTO,CANTIDAD,PRECIO,VALOR_BRUTO,VALOR_NETO,VALOR_IVA) VALUES(404,1,378,2,2400,4800,4034,766);</v>
      </c>
    </row>
    <row r="847" spans="1:12">
      <c r="A847" s="114">
        <v>1</v>
      </c>
      <c r="B847" s="114">
        <v>404</v>
      </c>
      <c r="C847" s="139" t="s">
        <v>2235</v>
      </c>
      <c r="D847" s="114" t="s">
        <v>2090</v>
      </c>
      <c r="E847" s="114">
        <v>22</v>
      </c>
      <c r="F847" s="114">
        <v>31</v>
      </c>
      <c r="G847" s="114">
        <v>1</v>
      </c>
      <c r="H847" s="114">
        <v>3400</v>
      </c>
      <c r="I847" s="114">
        <v>3400</v>
      </c>
      <c r="J847" s="114">
        <v>2857</v>
      </c>
      <c r="K847" s="114">
        <v>543</v>
      </c>
      <c r="L847" s="114" t="str">
        <f t="shared" si="13"/>
        <v>INSERT INTO DETALLES_DOCUMENTO(NRO_DOCUMENTO,ID_TIPO,ID_PRODUCTO,CANTIDAD,PRECIO,VALOR_BRUTO,VALOR_NETO,VALOR_IVA) VALUES(404,1,31,1,3400,3400,2857,543);</v>
      </c>
    </row>
    <row r="848" spans="1:12">
      <c r="A848" s="114">
        <v>1</v>
      </c>
      <c r="B848" s="114">
        <v>404</v>
      </c>
      <c r="C848" s="139" t="s">
        <v>2235</v>
      </c>
      <c r="D848" s="114" t="s">
        <v>2090</v>
      </c>
      <c r="E848" s="114">
        <v>22</v>
      </c>
      <c r="F848" s="114">
        <v>27</v>
      </c>
      <c r="G848" s="114">
        <v>1</v>
      </c>
      <c r="H848" s="114">
        <v>8700</v>
      </c>
      <c r="I848" s="114">
        <v>8700</v>
      </c>
      <c r="J848" s="114">
        <v>7311</v>
      </c>
      <c r="K848" s="114">
        <v>1389</v>
      </c>
      <c r="L848" s="114" t="str">
        <f t="shared" si="13"/>
        <v>INSERT INTO DETALLES_DOCUMENTO(NRO_DOCUMENTO,ID_TIPO,ID_PRODUCTO,CANTIDAD,PRECIO,VALOR_BRUTO,VALOR_NETO,VALOR_IVA) VALUES(404,1,27,1,8700,8700,7311,1389);</v>
      </c>
    </row>
    <row r="849" spans="1:12">
      <c r="A849" s="114">
        <v>1</v>
      </c>
      <c r="B849" s="114">
        <v>405</v>
      </c>
      <c r="C849" s="139" t="s">
        <v>2235</v>
      </c>
      <c r="D849" s="114" t="s">
        <v>2090</v>
      </c>
      <c r="E849" s="114">
        <v>136</v>
      </c>
      <c r="F849" s="114">
        <v>124</v>
      </c>
      <c r="G849" s="114">
        <v>1</v>
      </c>
      <c r="H849" s="114">
        <v>4000</v>
      </c>
      <c r="I849" s="114">
        <v>4000</v>
      </c>
      <c r="J849" s="114">
        <v>3361</v>
      </c>
      <c r="K849" s="114">
        <v>639</v>
      </c>
      <c r="L849" s="114" t="str">
        <f t="shared" si="13"/>
        <v>INSERT INTO DETALLES_DOCUMENTO(NRO_DOCUMENTO,ID_TIPO,ID_PRODUCTO,CANTIDAD,PRECIO,VALOR_BRUTO,VALOR_NETO,VALOR_IVA) VALUES(405,1,124,1,4000,4000,3361,639);</v>
      </c>
    </row>
    <row r="850" spans="1:12">
      <c r="A850" s="114">
        <v>1</v>
      </c>
      <c r="B850" s="114">
        <v>405</v>
      </c>
      <c r="C850" s="139" t="s">
        <v>2235</v>
      </c>
      <c r="D850" s="114" t="s">
        <v>2090</v>
      </c>
      <c r="E850" s="114">
        <v>136</v>
      </c>
      <c r="F850" s="114">
        <v>288</v>
      </c>
      <c r="G850" s="114">
        <v>1</v>
      </c>
      <c r="H850" s="114">
        <v>8000</v>
      </c>
      <c r="I850" s="114">
        <v>8000</v>
      </c>
      <c r="J850" s="114">
        <v>6723</v>
      </c>
      <c r="K850" s="114">
        <v>1277</v>
      </c>
      <c r="L850" s="114" t="str">
        <f t="shared" si="13"/>
        <v>INSERT INTO DETALLES_DOCUMENTO(NRO_DOCUMENTO,ID_TIPO,ID_PRODUCTO,CANTIDAD,PRECIO,VALOR_BRUTO,VALOR_NETO,VALOR_IVA) VALUES(405,1,288,1,8000,8000,6723,1277);</v>
      </c>
    </row>
    <row r="851" spans="1:12">
      <c r="A851" s="114">
        <v>1</v>
      </c>
      <c r="B851" s="114">
        <v>406</v>
      </c>
      <c r="C851" s="139" t="s">
        <v>2236</v>
      </c>
      <c r="D851" s="114" t="s">
        <v>2090</v>
      </c>
      <c r="E851" s="114">
        <v>151</v>
      </c>
      <c r="F851" s="114">
        <v>68</v>
      </c>
      <c r="G851" s="114">
        <v>1</v>
      </c>
      <c r="H851" s="114">
        <v>1100</v>
      </c>
      <c r="I851" s="114">
        <v>1100</v>
      </c>
      <c r="J851" s="114">
        <v>924</v>
      </c>
      <c r="K851" s="114">
        <v>176</v>
      </c>
      <c r="L851" s="114" t="str">
        <f t="shared" si="13"/>
        <v>INSERT INTO DETALLES_DOCUMENTO(NRO_DOCUMENTO,ID_TIPO,ID_PRODUCTO,CANTIDAD,PRECIO,VALOR_BRUTO,VALOR_NETO,VALOR_IVA) VALUES(406,1,68,1,1100,1100,924,176);</v>
      </c>
    </row>
    <row r="852" spans="1:12">
      <c r="A852" s="114">
        <v>1</v>
      </c>
      <c r="B852" s="114">
        <v>406</v>
      </c>
      <c r="C852" s="139" t="s">
        <v>2236</v>
      </c>
      <c r="D852" s="114" t="s">
        <v>2090</v>
      </c>
      <c r="E852" s="114">
        <v>151</v>
      </c>
      <c r="F852" s="114">
        <v>99</v>
      </c>
      <c r="G852" s="114">
        <v>1</v>
      </c>
      <c r="H852" s="114">
        <v>1500</v>
      </c>
      <c r="I852" s="114">
        <v>1500</v>
      </c>
      <c r="J852" s="114">
        <v>1261</v>
      </c>
      <c r="K852" s="114">
        <v>239</v>
      </c>
      <c r="L852" s="114" t="str">
        <f t="shared" si="13"/>
        <v>INSERT INTO DETALLES_DOCUMENTO(NRO_DOCUMENTO,ID_TIPO,ID_PRODUCTO,CANTIDAD,PRECIO,VALOR_BRUTO,VALOR_NETO,VALOR_IVA) VALUES(406,1,99,1,1500,1500,1261,239);</v>
      </c>
    </row>
    <row r="853" spans="1:12">
      <c r="A853" s="114">
        <v>1</v>
      </c>
      <c r="B853" s="114">
        <v>406</v>
      </c>
      <c r="C853" s="139" t="s">
        <v>2236</v>
      </c>
      <c r="D853" s="114" t="s">
        <v>2090</v>
      </c>
      <c r="E853" s="114">
        <v>151</v>
      </c>
      <c r="F853" s="114">
        <v>165</v>
      </c>
      <c r="G853" s="114">
        <v>1</v>
      </c>
      <c r="H853" s="114">
        <v>2000</v>
      </c>
      <c r="I853" s="114">
        <v>2000</v>
      </c>
      <c r="J853" s="114">
        <v>1681</v>
      </c>
      <c r="K853" s="114">
        <v>319</v>
      </c>
      <c r="L853" s="114" t="str">
        <f t="shared" si="13"/>
        <v>INSERT INTO DETALLES_DOCUMENTO(NRO_DOCUMENTO,ID_TIPO,ID_PRODUCTO,CANTIDAD,PRECIO,VALOR_BRUTO,VALOR_NETO,VALOR_IVA) VALUES(406,1,165,1,2000,2000,1681,319);</v>
      </c>
    </row>
    <row r="854" spans="1:12">
      <c r="A854" s="114">
        <v>1</v>
      </c>
      <c r="B854" s="114">
        <v>406</v>
      </c>
      <c r="C854" s="139" t="s">
        <v>2236</v>
      </c>
      <c r="D854" s="114" t="s">
        <v>2090</v>
      </c>
      <c r="E854" s="114">
        <v>151</v>
      </c>
      <c r="F854" s="114">
        <v>151</v>
      </c>
      <c r="G854" s="114">
        <v>1</v>
      </c>
      <c r="H854" s="114">
        <v>4200</v>
      </c>
      <c r="I854" s="114">
        <v>4200</v>
      </c>
      <c r="J854" s="114">
        <v>3529</v>
      </c>
      <c r="K854" s="114">
        <v>671</v>
      </c>
      <c r="L854" s="114" t="str">
        <f t="shared" si="13"/>
        <v>INSERT INTO DETALLES_DOCUMENTO(NRO_DOCUMENTO,ID_TIPO,ID_PRODUCTO,CANTIDAD,PRECIO,VALOR_BRUTO,VALOR_NETO,VALOR_IVA) VALUES(406,1,151,1,4200,4200,3529,671);</v>
      </c>
    </row>
    <row r="855" spans="1:12">
      <c r="A855" s="114">
        <v>1</v>
      </c>
      <c r="B855" s="114">
        <v>407</v>
      </c>
      <c r="C855" s="139" t="s">
        <v>2236</v>
      </c>
      <c r="D855" s="114" t="s">
        <v>2090</v>
      </c>
      <c r="E855" s="114">
        <v>166</v>
      </c>
      <c r="F855" s="114">
        <v>329</v>
      </c>
      <c r="G855" s="114">
        <v>1</v>
      </c>
      <c r="H855" s="114">
        <v>5500</v>
      </c>
      <c r="I855" s="114">
        <v>5500</v>
      </c>
      <c r="J855" s="114">
        <v>4622</v>
      </c>
      <c r="K855" s="114">
        <v>878</v>
      </c>
      <c r="L855" s="114" t="str">
        <f t="shared" si="13"/>
        <v>INSERT INTO DETALLES_DOCUMENTO(NRO_DOCUMENTO,ID_TIPO,ID_PRODUCTO,CANTIDAD,PRECIO,VALOR_BRUTO,VALOR_NETO,VALOR_IVA) VALUES(407,1,329,1,5500,5500,4622,878);</v>
      </c>
    </row>
    <row r="856" spans="1:12">
      <c r="A856" s="114">
        <v>1</v>
      </c>
      <c r="B856" s="114">
        <v>407</v>
      </c>
      <c r="C856" s="139" t="s">
        <v>2236</v>
      </c>
      <c r="D856" s="114" t="s">
        <v>2090</v>
      </c>
      <c r="E856" s="114">
        <v>166</v>
      </c>
      <c r="F856" s="114">
        <v>168</v>
      </c>
      <c r="G856" s="114">
        <v>1</v>
      </c>
      <c r="H856" s="114">
        <v>1500</v>
      </c>
      <c r="I856" s="114">
        <v>1500</v>
      </c>
      <c r="J856" s="114">
        <v>1261</v>
      </c>
      <c r="K856" s="114">
        <v>239</v>
      </c>
      <c r="L856" s="114" t="str">
        <f t="shared" si="13"/>
        <v>INSERT INTO DETALLES_DOCUMENTO(NRO_DOCUMENTO,ID_TIPO,ID_PRODUCTO,CANTIDAD,PRECIO,VALOR_BRUTO,VALOR_NETO,VALOR_IVA) VALUES(407,1,168,1,1500,1500,1261,239);</v>
      </c>
    </row>
    <row r="857" spans="1:12">
      <c r="A857" s="114">
        <v>1</v>
      </c>
      <c r="B857" s="114">
        <v>407</v>
      </c>
      <c r="C857" s="139" t="s">
        <v>2236</v>
      </c>
      <c r="D857" s="114" t="s">
        <v>2090</v>
      </c>
      <c r="E857" s="114">
        <v>166</v>
      </c>
      <c r="F857" s="114">
        <v>143</v>
      </c>
      <c r="G857" s="114">
        <v>1</v>
      </c>
      <c r="H857" s="114">
        <v>8000</v>
      </c>
      <c r="I857" s="114">
        <v>8000</v>
      </c>
      <c r="J857" s="114">
        <v>6723</v>
      </c>
      <c r="K857" s="114">
        <v>1277</v>
      </c>
      <c r="L857" s="114" t="str">
        <f t="shared" si="13"/>
        <v>INSERT INTO DETALLES_DOCUMENTO(NRO_DOCUMENTO,ID_TIPO,ID_PRODUCTO,CANTIDAD,PRECIO,VALOR_BRUTO,VALOR_NETO,VALOR_IVA) VALUES(407,1,143,1,8000,8000,6723,1277);</v>
      </c>
    </row>
    <row r="858" spans="1:12">
      <c r="A858" s="114">
        <v>1</v>
      </c>
      <c r="B858" s="114">
        <v>407</v>
      </c>
      <c r="C858" s="139" t="s">
        <v>2236</v>
      </c>
      <c r="D858" s="114" t="s">
        <v>2090</v>
      </c>
      <c r="E858" s="114">
        <v>166</v>
      </c>
      <c r="F858" s="114">
        <v>165</v>
      </c>
      <c r="G858" s="114">
        <v>1</v>
      </c>
      <c r="H858" s="114">
        <v>2000</v>
      </c>
      <c r="I858" s="114">
        <v>2000</v>
      </c>
      <c r="J858" s="114">
        <v>1681</v>
      </c>
      <c r="K858" s="114">
        <v>319</v>
      </c>
      <c r="L858" s="114" t="str">
        <f t="shared" si="13"/>
        <v>INSERT INTO DETALLES_DOCUMENTO(NRO_DOCUMENTO,ID_TIPO,ID_PRODUCTO,CANTIDAD,PRECIO,VALOR_BRUTO,VALOR_NETO,VALOR_IVA) VALUES(407,1,165,1,2000,2000,1681,319);</v>
      </c>
    </row>
    <row r="859" spans="1:12">
      <c r="A859" s="114">
        <v>1</v>
      </c>
      <c r="B859" s="114">
        <v>408</v>
      </c>
      <c r="C859" s="139" t="s">
        <v>2236</v>
      </c>
      <c r="D859" s="114" t="s">
        <v>2090</v>
      </c>
      <c r="E859" s="114">
        <v>278</v>
      </c>
      <c r="F859" s="114">
        <v>165</v>
      </c>
      <c r="G859" s="114">
        <v>1</v>
      </c>
      <c r="H859" s="114">
        <v>2000</v>
      </c>
      <c r="I859" s="114">
        <v>2000</v>
      </c>
      <c r="J859" s="114">
        <v>1681</v>
      </c>
      <c r="K859" s="114">
        <v>319</v>
      </c>
      <c r="L859" s="114" t="str">
        <f t="shared" si="13"/>
        <v>INSERT INTO DETALLES_DOCUMENTO(NRO_DOCUMENTO,ID_TIPO,ID_PRODUCTO,CANTIDAD,PRECIO,VALOR_BRUTO,VALOR_NETO,VALOR_IVA) VALUES(408,1,165,1,2000,2000,1681,319);</v>
      </c>
    </row>
    <row r="860" spans="1:12">
      <c r="A860" s="114">
        <v>1</v>
      </c>
      <c r="B860" s="114">
        <v>408</v>
      </c>
      <c r="C860" s="139" t="s">
        <v>2236</v>
      </c>
      <c r="D860" s="114" t="s">
        <v>2090</v>
      </c>
      <c r="E860" s="114">
        <v>278</v>
      </c>
      <c r="F860" s="114">
        <v>99</v>
      </c>
      <c r="G860" s="114">
        <v>1</v>
      </c>
      <c r="H860" s="114">
        <v>1500</v>
      </c>
      <c r="I860" s="114">
        <v>1500</v>
      </c>
      <c r="J860" s="114">
        <v>1261</v>
      </c>
      <c r="K860" s="114">
        <v>239</v>
      </c>
      <c r="L860" s="114" t="str">
        <f t="shared" si="13"/>
        <v>INSERT INTO DETALLES_DOCUMENTO(NRO_DOCUMENTO,ID_TIPO,ID_PRODUCTO,CANTIDAD,PRECIO,VALOR_BRUTO,VALOR_NETO,VALOR_IVA) VALUES(408,1,99,1,1500,1500,1261,239);</v>
      </c>
    </row>
    <row r="861" spans="1:12">
      <c r="A861" s="114">
        <v>1</v>
      </c>
      <c r="B861" s="114">
        <v>408</v>
      </c>
      <c r="C861" s="139" t="s">
        <v>2236</v>
      </c>
      <c r="D861" s="114" t="s">
        <v>2090</v>
      </c>
      <c r="E861" s="114">
        <v>278</v>
      </c>
      <c r="F861" s="114">
        <v>117</v>
      </c>
      <c r="G861" s="114">
        <v>1</v>
      </c>
      <c r="H861" s="114">
        <v>3500</v>
      </c>
      <c r="I861" s="114">
        <v>3500</v>
      </c>
      <c r="J861" s="114">
        <v>2941</v>
      </c>
      <c r="K861" s="114">
        <v>559</v>
      </c>
      <c r="L861" s="114" t="str">
        <f t="shared" si="13"/>
        <v>INSERT INTO DETALLES_DOCUMENTO(NRO_DOCUMENTO,ID_TIPO,ID_PRODUCTO,CANTIDAD,PRECIO,VALOR_BRUTO,VALOR_NETO,VALOR_IVA) VALUES(408,1,117,1,3500,3500,2941,559);</v>
      </c>
    </row>
    <row r="862" spans="1:12">
      <c r="A862" s="114">
        <v>1</v>
      </c>
      <c r="B862" s="114">
        <v>408</v>
      </c>
      <c r="C862" s="139" t="s">
        <v>2236</v>
      </c>
      <c r="D862" s="114" t="s">
        <v>2090</v>
      </c>
      <c r="E862" s="114">
        <v>278</v>
      </c>
      <c r="F862" s="114">
        <v>332</v>
      </c>
      <c r="G862" s="114">
        <v>1</v>
      </c>
      <c r="H862" s="114">
        <v>2600</v>
      </c>
      <c r="I862" s="114">
        <v>2600</v>
      </c>
      <c r="J862" s="114">
        <v>2185</v>
      </c>
      <c r="K862" s="114">
        <v>415</v>
      </c>
      <c r="L862" s="114" t="str">
        <f t="shared" si="13"/>
        <v>INSERT INTO DETALLES_DOCUMENTO(NRO_DOCUMENTO,ID_TIPO,ID_PRODUCTO,CANTIDAD,PRECIO,VALOR_BRUTO,VALOR_NETO,VALOR_IVA) VALUES(408,1,332,1,2600,2600,2185,415);</v>
      </c>
    </row>
    <row r="863" spans="1:12">
      <c r="A863" s="114">
        <v>1</v>
      </c>
      <c r="B863" s="114">
        <v>408</v>
      </c>
      <c r="C863" s="139" t="s">
        <v>2236</v>
      </c>
      <c r="D863" s="114" t="s">
        <v>2090</v>
      </c>
      <c r="E863" s="114">
        <v>278</v>
      </c>
      <c r="F863" s="114">
        <v>324</v>
      </c>
      <c r="G863" s="114">
        <v>1</v>
      </c>
      <c r="H863" s="114">
        <v>10500</v>
      </c>
      <c r="I863" s="114">
        <v>10500</v>
      </c>
      <c r="J863" s="114">
        <v>8824</v>
      </c>
      <c r="K863" s="114">
        <v>1676</v>
      </c>
      <c r="L863" s="114" t="str">
        <f t="shared" si="13"/>
        <v>INSERT INTO DETALLES_DOCUMENTO(NRO_DOCUMENTO,ID_TIPO,ID_PRODUCTO,CANTIDAD,PRECIO,VALOR_BRUTO,VALOR_NETO,VALOR_IVA) VALUES(408,1,324,1,10500,10500,8824,1676);</v>
      </c>
    </row>
    <row r="864" spans="1:12">
      <c r="A864" s="114">
        <v>1</v>
      </c>
      <c r="B864" s="114">
        <v>408</v>
      </c>
      <c r="C864" s="139" t="s">
        <v>2236</v>
      </c>
      <c r="D864" s="114" t="s">
        <v>2090</v>
      </c>
      <c r="E864" s="114">
        <v>278</v>
      </c>
      <c r="F864" s="114">
        <v>7</v>
      </c>
      <c r="G864" s="114">
        <v>1</v>
      </c>
      <c r="H864" s="114">
        <v>7000</v>
      </c>
      <c r="I864" s="114">
        <v>7000</v>
      </c>
      <c r="J864" s="114">
        <v>5882</v>
      </c>
      <c r="K864" s="114">
        <v>1118</v>
      </c>
      <c r="L864" s="114" t="str">
        <f t="shared" si="13"/>
        <v>INSERT INTO DETALLES_DOCUMENTO(NRO_DOCUMENTO,ID_TIPO,ID_PRODUCTO,CANTIDAD,PRECIO,VALOR_BRUTO,VALOR_NETO,VALOR_IVA) VALUES(408,1,7,1,7000,7000,5882,1118);</v>
      </c>
    </row>
    <row r="865" spans="1:12">
      <c r="A865" s="114">
        <v>1</v>
      </c>
      <c r="B865" s="114">
        <v>408</v>
      </c>
      <c r="C865" s="139" t="s">
        <v>2236</v>
      </c>
      <c r="D865" s="114" t="s">
        <v>2090</v>
      </c>
      <c r="E865" s="114">
        <v>278</v>
      </c>
      <c r="F865" s="114">
        <v>360</v>
      </c>
      <c r="G865" s="114">
        <v>1</v>
      </c>
      <c r="H865" s="114">
        <v>3000</v>
      </c>
      <c r="I865" s="114">
        <v>3000</v>
      </c>
      <c r="J865" s="114">
        <v>2521</v>
      </c>
      <c r="K865" s="114">
        <v>479</v>
      </c>
      <c r="L865" s="114" t="str">
        <f t="shared" si="13"/>
        <v>INSERT INTO DETALLES_DOCUMENTO(NRO_DOCUMENTO,ID_TIPO,ID_PRODUCTO,CANTIDAD,PRECIO,VALOR_BRUTO,VALOR_NETO,VALOR_IVA) VALUES(408,1,360,1,3000,3000,2521,479);</v>
      </c>
    </row>
    <row r="866" spans="1:12">
      <c r="A866" s="114">
        <v>1</v>
      </c>
      <c r="B866" s="114">
        <v>409</v>
      </c>
      <c r="C866" s="139" t="s">
        <v>2236</v>
      </c>
      <c r="D866" s="114" t="s">
        <v>2090</v>
      </c>
      <c r="E866" s="114">
        <v>343</v>
      </c>
      <c r="F866" s="114">
        <v>143</v>
      </c>
      <c r="G866" s="114">
        <v>2</v>
      </c>
      <c r="H866" s="114">
        <v>16001</v>
      </c>
      <c r="I866" s="114">
        <v>32002</v>
      </c>
      <c r="J866" s="114">
        <v>26892</v>
      </c>
      <c r="K866" s="114">
        <v>5110</v>
      </c>
      <c r="L866" s="114" t="str">
        <f t="shared" si="13"/>
        <v>INSERT INTO DETALLES_DOCUMENTO(NRO_DOCUMENTO,ID_TIPO,ID_PRODUCTO,CANTIDAD,PRECIO,VALOR_BRUTO,VALOR_NETO,VALOR_IVA) VALUES(409,1,143,2,16001,32002,26892,5110);</v>
      </c>
    </row>
    <row r="867" spans="1:12">
      <c r="A867" s="114">
        <v>1</v>
      </c>
      <c r="B867" s="114">
        <v>410</v>
      </c>
      <c r="C867" s="139" t="s">
        <v>2236</v>
      </c>
      <c r="D867" s="114" t="s">
        <v>2090</v>
      </c>
      <c r="E867" s="114">
        <v>430</v>
      </c>
      <c r="F867" s="114">
        <v>124</v>
      </c>
      <c r="G867" s="114">
        <v>1</v>
      </c>
      <c r="H867" s="114">
        <v>4000</v>
      </c>
      <c r="I867" s="114">
        <v>4000</v>
      </c>
      <c r="J867" s="114">
        <v>3361</v>
      </c>
      <c r="K867" s="114">
        <v>639</v>
      </c>
      <c r="L867" s="114" t="str">
        <f t="shared" si="13"/>
        <v>INSERT INTO DETALLES_DOCUMENTO(NRO_DOCUMENTO,ID_TIPO,ID_PRODUCTO,CANTIDAD,PRECIO,VALOR_BRUTO,VALOR_NETO,VALOR_IVA) VALUES(410,1,124,1,4000,4000,3361,639);</v>
      </c>
    </row>
    <row r="868" spans="1:12">
      <c r="A868" s="114">
        <v>1</v>
      </c>
      <c r="B868" s="114">
        <v>410</v>
      </c>
      <c r="C868" s="139" t="s">
        <v>2236</v>
      </c>
      <c r="D868" s="114" t="s">
        <v>2090</v>
      </c>
      <c r="E868" s="114">
        <v>430</v>
      </c>
      <c r="F868" s="114">
        <v>329</v>
      </c>
      <c r="G868" s="114">
        <v>1</v>
      </c>
      <c r="H868" s="114">
        <v>5500</v>
      </c>
      <c r="I868" s="114">
        <v>5500</v>
      </c>
      <c r="J868" s="114">
        <v>4622</v>
      </c>
      <c r="K868" s="114">
        <v>878</v>
      </c>
      <c r="L868" s="114" t="str">
        <f t="shared" si="13"/>
        <v>INSERT INTO DETALLES_DOCUMENTO(NRO_DOCUMENTO,ID_TIPO,ID_PRODUCTO,CANTIDAD,PRECIO,VALOR_BRUTO,VALOR_NETO,VALOR_IVA) VALUES(410,1,329,1,5500,5500,4622,878);</v>
      </c>
    </row>
    <row r="869" spans="1:12">
      <c r="A869" s="114">
        <v>1</v>
      </c>
      <c r="B869" s="114">
        <v>410</v>
      </c>
      <c r="C869" s="139" t="s">
        <v>2236</v>
      </c>
      <c r="D869" s="114" t="s">
        <v>2090</v>
      </c>
      <c r="E869" s="114">
        <v>430</v>
      </c>
      <c r="F869" s="114">
        <v>327</v>
      </c>
      <c r="G869" s="114">
        <v>1</v>
      </c>
      <c r="H869" s="114">
        <v>3000</v>
      </c>
      <c r="I869" s="114">
        <v>3000</v>
      </c>
      <c r="J869" s="114">
        <v>2521</v>
      </c>
      <c r="K869" s="114">
        <v>479</v>
      </c>
      <c r="L869" s="114" t="str">
        <f t="shared" si="13"/>
        <v>INSERT INTO DETALLES_DOCUMENTO(NRO_DOCUMENTO,ID_TIPO,ID_PRODUCTO,CANTIDAD,PRECIO,VALOR_BRUTO,VALOR_NETO,VALOR_IVA) VALUES(410,1,327,1,3000,3000,2521,479);</v>
      </c>
    </row>
    <row r="870" spans="1:12">
      <c r="A870" s="114">
        <v>1</v>
      </c>
      <c r="B870" s="114">
        <v>410</v>
      </c>
      <c r="C870" s="139" t="s">
        <v>2236</v>
      </c>
      <c r="D870" s="114" t="s">
        <v>2090</v>
      </c>
      <c r="E870" s="114">
        <v>430</v>
      </c>
      <c r="F870" s="114">
        <v>112</v>
      </c>
      <c r="G870" s="114">
        <v>1</v>
      </c>
      <c r="H870" s="114">
        <v>-500</v>
      </c>
      <c r="I870" s="114">
        <v>-500</v>
      </c>
      <c r="J870" s="114">
        <v>-420</v>
      </c>
      <c r="K870" s="114">
        <v>-80</v>
      </c>
      <c r="L870" s="114" t="str">
        <f t="shared" si="13"/>
        <v>INSERT INTO DETALLES_DOCUMENTO(NRO_DOCUMENTO,ID_TIPO,ID_PRODUCTO,CANTIDAD,PRECIO,VALOR_BRUTO,VALOR_NETO,VALOR_IVA) VALUES(410,1,112,1,-500,-500,-420,-80);</v>
      </c>
    </row>
    <row r="871" spans="1:12">
      <c r="A871" s="114">
        <v>1</v>
      </c>
      <c r="B871" s="114">
        <v>411</v>
      </c>
      <c r="C871" s="139" t="s">
        <v>2236</v>
      </c>
      <c r="D871" s="114" t="s">
        <v>2090</v>
      </c>
      <c r="E871" s="114">
        <v>443</v>
      </c>
      <c r="F871" s="114">
        <v>324</v>
      </c>
      <c r="G871" s="114">
        <v>1</v>
      </c>
      <c r="H871" s="114">
        <v>10500</v>
      </c>
      <c r="I871" s="114">
        <v>10500</v>
      </c>
      <c r="J871" s="114">
        <v>8824</v>
      </c>
      <c r="K871" s="114">
        <v>1676</v>
      </c>
      <c r="L871" s="114" t="str">
        <f t="shared" si="13"/>
        <v>INSERT INTO DETALLES_DOCUMENTO(NRO_DOCUMENTO,ID_TIPO,ID_PRODUCTO,CANTIDAD,PRECIO,VALOR_BRUTO,VALOR_NETO,VALOR_IVA) VALUES(411,1,324,1,10500,10500,8824,1676);</v>
      </c>
    </row>
    <row r="872" spans="1:12">
      <c r="A872" s="114">
        <v>1</v>
      </c>
      <c r="B872" s="114">
        <v>412</v>
      </c>
      <c r="C872" s="139" t="s">
        <v>2237</v>
      </c>
      <c r="D872" s="114" t="s">
        <v>2090</v>
      </c>
      <c r="E872" s="114">
        <v>166</v>
      </c>
      <c r="F872" s="114">
        <v>143</v>
      </c>
      <c r="G872" s="114">
        <v>1</v>
      </c>
      <c r="H872" s="114">
        <v>8000</v>
      </c>
      <c r="I872" s="114">
        <v>8000</v>
      </c>
      <c r="J872" s="114">
        <v>6723</v>
      </c>
      <c r="K872" s="114">
        <v>1277</v>
      </c>
      <c r="L872" s="114" t="str">
        <f t="shared" si="13"/>
        <v>INSERT INTO DETALLES_DOCUMENTO(NRO_DOCUMENTO,ID_TIPO,ID_PRODUCTO,CANTIDAD,PRECIO,VALOR_BRUTO,VALOR_NETO,VALOR_IVA) VALUES(412,1,143,1,8000,8000,6723,1277);</v>
      </c>
    </row>
    <row r="873" spans="1:12">
      <c r="A873" s="114">
        <v>1</v>
      </c>
      <c r="B873" s="114">
        <v>413</v>
      </c>
      <c r="C873" s="139" t="s">
        <v>2237</v>
      </c>
      <c r="D873" s="114" t="s">
        <v>2090</v>
      </c>
      <c r="E873" s="114">
        <v>374</v>
      </c>
      <c r="F873" s="114">
        <v>324</v>
      </c>
      <c r="G873" s="114">
        <v>1</v>
      </c>
      <c r="H873" s="114">
        <v>10500</v>
      </c>
      <c r="I873" s="114">
        <v>10500</v>
      </c>
      <c r="J873" s="114">
        <v>8824</v>
      </c>
      <c r="K873" s="114">
        <v>1676</v>
      </c>
      <c r="L873" s="114" t="str">
        <f t="shared" si="13"/>
        <v>INSERT INTO DETALLES_DOCUMENTO(NRO_DOCUMENTO,ID_TIPO,ID_PRODUCTO,CANTIDAD,PRECIO,VALOR_BRUTO,VALOR_NETO,VALOR_IVA) VALUES(413,1,324,1,10500,10500,8824,1676);</v>
      </c>
    </row>
    <row r="874" spans="1:12">
      <c r="A874" s="114">
        <v>1</v>
      </c>
      <c r="B874" s="114">
        <v>414</v>
      </c>
      <c r="C874" s="139" t="s">
        <v>2237</v>
      </c>
      <c r="D874" s="114" t="s">
        <v>2090</v>
      </c>
      <c r="E874" s="114">
        <v>451</v>
      </c>
      <c r="F874" s="114">
        <v>118</v>
      </c>
      <c r="G874" s="114">
        <v>1</v>
      </c>
      <c r="H874" s="114">
        <v>3500</v>
      </c>
      <c r="I874" s="114">
        <v>3500</v>
      </c>
      <c r="J874" s="114">
        <v>2941</v>
      </c>
      <c r="K874" s="114">
        <v>559</v>
      </c>
      <c r="L874" s="114" t="str">
        <f t="shared" si="13"/>
        <v>INSERT INTO DETALLES_DOCUMENTO(NRO_DOCUMENTO,ID_TIPO,ID_PRODUCTO,CANTIDAD,PRECIO,VALOR_BRUTO,VALOR_NETO,VALOR_IVA) VALUES(414,1,118,1,3500,3500,2941,559);</v>
      </c>
    </row>
    <row r="875" spans="1:12">
      <c r="A875" s="114">
        <v>1</v>
      </c>
      <c r="B875" s="114">
        <v>414</v>
      </c>
      <c r="C875" s="139" t="s">
        <v>2237</v>
      </c>
      <c r="D875" s="114" t="s">
        <v>2090</v>
      </c>
      <c r="E875" s="114">
        <v>451</v>
      </c>
      <c r="F875" s="114">
        <v>143</v>
      </c>
      <c r="G875" s="114">
        <v>1</v>
      </c>
      <c r="H875" s="114">
        <v>8000</v>
      </c>
      <c r="I875" s="114">
        <v>8000</v>
      </c>
      <c r="J875" s="114">
        <v>6723</v>
      </c>
      <c r="K875" s="114">
        <v>1277</v>
      </c>
      <c r="L875" s="114" t="str">
        <f t="shared" si="13"/>
        <v>INSERT INTO DETALLES_DOCUMENTO(NRO_DOCUMENTO,ID_TIPO,ID_PRODUCTO,CANTIDAD,PRECIO,VALOR_BRUTO,VALOR_NETO,VALOR_IVA) VALUES(414,1,143,1,8000,8000,6723,1277);</v>
      </c>
    </row>
    <row r="876" spans="1:12">
      <c r="A876" s="114">
        <v>1</v>
      </c>
      <c r="B876" s="114">
        <v>414</v>
      </c>
      <c r="C876" s="139" t="s">
        <v>2237</v>
      </c>
      <c r="D876" s="114" t="s">
        <v>2090</v>
      </c>
      <c r="E876" s="114">
        <v>451</v>
      </c>
      <c r="F876" s="114">
        <v>383</v>
      </c>
      <c r="G876" s="114">
        <v>1</v>
      </c>
      <c r="H876" s="114">
        <v>2400</v>
      </c>
      <c r="I876" s="114">
        <v>2400</v>
      </c>
      <c r="J876" s="114">
        <v>2017</v>
      </c>
      <c r="K876" s="114">
        <v>383</v>
      </c>
      <c r="L876" s="114" t="str">
        <f t="shared" si="13"/>
        <v>INSERT INTO DETALLES_DOCUMENTO(NRO_DOCUMENTO,ID_TIPO,ID_PRODUCTO,CANTIDAD,PRECIO,VALOR_BRUTO,VALOR_NETO,VALOR_IVA) VALUES(414,1,383,1,2400,2400,2017,383);</v>
      </c>
    </row>
    <row r="877" spans="1:12">
      <c r="A877" s="114">
        <v>1</v>
      </c>
      <c r="B877" s="114">
        <v>415</v>
      </c>
      <c r="C877" s="139" t="s">
        <v>2238</v>
      </c>
      <c r="D877" s="114" t="s">
        <v>2090</v>
      </c>
      <c r="E877" s="114">
        <v>87</v>
      </c>
      <c r="F877" s="114">
        <v>143</v>
      </c>
      <c r="G877" s="114">
        <v>1</v>
      </c>
      <c r="H877" s="114">
        <v>8000</v>
      </c>
      <c r="I877" s="114">
        <v>8000</v>
      </c>
      <c r="J877" s="114">
        <v>6723</v>
      </c>
      <c r="K877" s="114">
        <v>1277</v>
      </c>
      <c r="L877" s="114" t="str">
        <f t="shared" si="13"/>
        <v>INSERT INTO DETALLES_DOCUMENTO(NRO_DOCUMENTO,ID_TIPO,ID_PRODUCTO,CANTIDAD,PRECIO,VALOR_BRUTO,VALOR_NETO,VALOR_IVA) VALUES(415,1,143,1,8000,8000,6723,1277);</v>
      </c>
    </row>
    <row r="878" spans="1:12">
      <c r="A878" s="114">
        <v>1</v>
      </c>
      <c r="B878" s="114">
        <v>416</v>
      </c>
      <c r="C878" s="139" t="s">
        <v>2238</v>
      </c>
      <c r="D878" s="114" t="s">
        <v>2090</v>
      </c>
      <c r="E878" s="114">
        <v>104</v>
      </c>
      <c r="F878" s="114">
        <v>143</v>
      </c>
      <c r="G878" s="114">
        <v>1</v>
      </c>
      <c r="H878" s="114">
        <v>8000</v>
      </c>
      <c r="I878" s="114">
        <v>8000</v>
      </c>
      <c r="J878" s="114">
        <v>6723</v>
      </c>
      <c r="K878" s="114">
        <v>1277</v>
      </c>
      <c r="L878" s="114" t="str">
        <f t="shared" si="13"/>
        <v>INSERT INTO DETALLES_DOCUMENTO(NRO_DOCUMENTO,ID_TIPO,ID_PRODUCTO,CANTIDAD,PRECIO,VALOR_BRUTO,VALOR_NETO,VALOR_IVA) VALUES(416,1,143,1,8000,8000,6723,1277);</v>
      </c>
    </row>
    <row r="879" spans="1:12">
      <c r="A879" s="114">
        <v>1</v>
      </c>
      <c r="B879" s="114">
        <v>417</v>
      </c>
      <c r="C879" s="139" t="s">
        <v>2238</v>
      </c>
      <c r="D879" s="114" t="s">
        <v>2090</v>
      </c>
      <c r="E879" s="114">
        <v>119</v>
      </c>
      <c r="F879" s="114">
        <v>120</v>
      </c>
      <c r="G879" s="114">
        <v>1</v>
      </c>
      <c r="H879" s="114">
        <v>1700</v>
      </c>
      <c r="I879" s="114">
        <v>1700</v>
      </c>
      <c r="J879" s="114">
        <v>1429</v>
      </c>
      <c r="K879" s="114">
        <v>271</v>
      </c>
      <c r="L879" s="114" t="str">
        <f t="shared" si="13"/>
        <v>INSERT INTO DETALLES_DOCUMENTO(NRO_DOCUMENTO,ID_TIPO,ID_PRODUCTO,CANTIDAD,PRECIO,VALOR_BRUTO,VALOR_NETO,VALOR_IVA) VALUES(417,1,120,1,1700,1700,1429,271);</v>
      </c>
    </row>
    <row r="880" spans="1:12">
      <c r="A880" s="114">
        <v>1</v>
      </c>
      <c r="B880" s="114">
        <v>417</v>
      </c>
      <c r="C880" s="139" t="s">
        <v>2238</v>
      </c>
      <c r="D880" s="114" t="s">
        <v>2090</v>
      </c>
      <c r="E880" s="114">
        <v>119</v>
      </c>
      <c r="F880" s="114">
        <v>143</v>
      </c>
      <c r="G880" s="114">
        <v>1</v>
      </c>
      <c r="H880" s="114">
        <v>8000</v>
      </c>
      <c r="I880" s="114">
        <v>8000</v>
      </c>
      <c r="J880" s="114">
        <v>6723</v>
      </c>
      <c r="K880" s="114">
        <v>1277</v>
      </c>
      <c r="L880" s="114" t="str">
        <f t="shared" si="13"/>
        <v>INSERT INTO DETALLES_DOCUMENTO(NRO_DOCUMENTO,ID_TIPO,ID_PRODUCTO,CANTIDAD,PRECIO,VALOR_BRUTO,VALOR_NETO,VALOR_IVA) VALUES(417,1,143,1,8000,8000,6723,1277);</v>
      </c>
    </row>
    <row r="881" spans="1:12">
      <c r="A881" s="114">
        <v>1</v>
      </c>
      <c r="B881" s="114">
        <v>417</v>
      </c>
      <c r="C881" s="139" t="s">
        <v>2238</v>
      </c>
      <c r="D881" s="114" t="s">
        <v>2090</v>
      </c>
      <c r="E881" s="114">
        <v>119</v>
      </c>
      <c r="F881" s="114">
        <v>117</v>
      </c>
      <c r="G881" s="114">
        <v>2</v>
      </c>
      <c r="H881" s="114">
        <v>7000</v>
      </c>
      <c r="I881" s="114">
        <v>14000</v>
      </c>
      <c r="J881" s="114">
        <v>11765</v>
      </c>
      <c r="K881" s="114">
        <v>2235</v>
      </c>
      <c r="L881" s="114" t="str">
        <f t="shared" si="13"/>
        <v>INSERT INTO DETALLES_DOCUMENTO(NRO_DOCUMENTO,ID_TIPO,ID_PRODUCTO,CANTIDAD,PRECIO,VALOR_BRUTO,VALOR_NETO,VALOR_IVA) VALUES(417,1,117,2,7000,14000,11765,2235);</v>
      </c>
    </row>
    <row r="882" spans="1:12">
      <c r="A882" s="114">
        <v>1</v>
      </c>
      <c r="B882" s="114">
        <v>417</v>
      </c>
      <c r="C882" s="139" t="s">
        <v>2238</v>
      </c>
      <c r="D882" s="114" t="s">
        <v>2090</v>
      </c>
      <c r="E882" s="114">
        <v>119</v>
      </c>
      <c r="F882" s="114">
        <v>361</v>
      </c>
      <c r="G882" s="114">
        <v>2</v>
      </c>
      <c r="H882" s="114">
        <v>7000</v>
      </c>
      <c r="I882" s="114">
        <v>14000</v>
      </c>
      <c r="J882" s="114">
        <v>11765</v>
      </c>
      <c r="K882" s="114">
        <v>2235</v>
      </c>
      <c r="L882" s="114" t="str">
        <f t="shared" si="13"/>
        <v>INSERT INTO DETALLES_DOCUMENTO(NRO_DOCUMENTO,ID_TIPO,ID_PRODUCTO,CANTIDAD,PRECIO,VALOR_BRUTO,VALOR_NETO,VALOR_IVA) VALUES(417,1,361,2,7000,14000,11765,2235);</v>
      </c>
    </row>
    <row r="883" spans="1:12">
      <c r="A883" s="114">
        <v>1</v>
      </c>
      <c r="B883" s="114">
        <v>417</v>
      </c>
      <c r="C883" s="139" t="s">
        <v>2238</v>
      </c>
      <c r="D883" s="114" t="s">
        <v>2090</v>
      </c>
      <c r="E883" s="114">
        <v>119</v>
      </c>
      <c r="F883" s="114">
        <v>66</v>
      </c>
      <c r="G883" s="114">
        <v>1</v>
      </c>
      <c r="H883" s="114">
        <v>600</v>
      </c>
      <c r="I883" s="114">
        <v>600</v>
      </c>
      <c r="J883" s="114">
        <v>504</v>
      </c>
      <c r="K883" s="114">
        <v>96</v>
      </c>
      <c r="L883" s="114" t="str">
        <f t="shared" si="13"/>
        <v>INSERT INTO DETALLES_DOCUMENTO(NRO_DOCUMENTO,ID_TIPO,ID_PRODUCTO,CANTIDAD,PRECIO,VALOR_BRUTO,VALOR_NETO,VALOR_IVA) VALUES(417,1,66,1,600,600,504,96);</v>
      </c>
    </row>
    <row r="884" spans="1:12">
      <c r="A884" s="114">
        <v>1</v>
      </c>
      <c r="B884" s="114">
        <v>417</v>
      </c>
      <c r="C884" s="139" t="s">
        <v>2238</v>
      </c>
      <c r="D884" s="114" t="s">
        <v>2090</v>
      </c>
      <c r="E884" s="114">
        <v>119</v>
      </c>
      <c r="F884" s="114">
        <v>67</v>
      </c>
      <c r="G884" s="114">
        <v>1</v>
      </c>
      <c r="H884" s="114">
        <v>650</v>
      </c>
      <c r="I884" s="114">
        <v>650</v>
      </c>
      <c r="J884" s="114">
        <v>546</v>
      </c>
      <c r="K884" s="114">
        <v>104</v>
      </c>
      <c r="L884" s="114" t="str">
        <f t="shared" si="13"/>
        <v>INSERT INTO DETALLES_DOCUMENTO(NRO_DOCUMENTO,ID_TIPO,ID_PRODUCTO,CANTIDAD,PRECIO,VALOR_BRUTO,VALOR_NETO,VALOR_IVA) VALUES(417,1,67,1,650,650,546,104);</v>
      </c>
    </row>
    <row r="885" spans="1:12">
      <c r="A885" s="114">
        <v>1</v>
      </c>
      <c r="B885" s="114">
        <v>417</v>
      </c>
      <c r="C885" s="139" t="s">
        <v>2238</v>
      </c>
      <c r="D885" s="114" t="s">
        <v>2090</v>
      </c>
      <c r="E885" s="114">
        <v>119</v>
      </c>
      <c r="F885" s="114">
        <v>68</v>
      </c>
      <c r="G885" s="114">
        <v>1</v>
      </c>
      <c r="H885" s="114">
        <v>1100</v>
      </c>
      <c r="I885" s="114">
        <v>1100</v>
      </c>
      <c r="J885" s="114">
        <v>924</v>
      </c>
      <c r="K885" s="114">
        <v>176</v>
      </c>
      <c r="L885" s="114" t="str">
        <f t="shared" si="13"/>
        <v>INSERT INTO DETALLES_DOCUMENTO(NRO_DOCUMENTO,ID_TIPO,ID_PRODUCTO,CANTIDAD,PRECIO,VALOR_BRUTO,VALOR_NETO,VALOR_IVA) VALUES(417,1,68,1,1100,1100,924,176);</v>
      </c>
    </row>
    <row r="886" spans="1:12">
      <c r="A886" s="114">
        <v>1</v>
      </c>
      <c r="B886" s="114">
        <v>417</v>
      </c>
      <c r="C886" s="139" t="s">
        <v>2238</v>
      </c>
      <c r="D886" s="114" t="s">
        <v>2090</v>
      </c>
      <c r="E886" s="114">
        <v>119</v>
      </c>
      <c r="F886" s="114">
        <v>69</v>
      </c>
      <c r="G886" s="114">
        <v>1</v>
      </c>
      <c r="H886" s="114">
        <v>3000</v>
      </c>
      <c r="I886" s="114">
        <v>3000</v>
      </c>
      <c r="J886" s="114">
        <v>2521</v>
      </c>
      <c r="K886" s="114">
        <v>479</v>
      </c>
      <c r="L886" s="114" t="str">
        <f t="shared" si="13"/>
        <v>INSERT INTO DETALLES_DOCUMENTO(NRO_DOCUMENTO,ID_TIPO,ID_PRODUCTO,CANTIDAD,PRECIO,VALOR_BRUTO,VALOR_NETO,VALOR_IVA) VALUES(417,1,69,1,3000,3000,2521,479);</v>
      </c>
    </row>
    <row r="887" spans="1:12">
      <c r="A887" s="114">
        <v>1</v>
      </c>
      <c r="B887" s="114">
        <v>418</v>
      </c>
      <c r="C887" s="139" t="s">
        <v>2238</v>
      </c>
      <c r="D887" s="114" t="s">
        <v>2090</v>
      </c>
      <c r="E887" s="114">
        <v>222</v>
      </c>
      <c r="F887" s="114">
        <v>329</v>
      </c>
      <c r="G887" s="114">
        <v>1</v>
      </c>
      <c r="H887" s="114">
        <v>5500</v>
      </c>
      <c r="I887" s="114">
        <v>5500</v>
      </c>
      <c r="J887" s="114">
        <v>4622</v>
      </c>
      <c r="K887" s="114">
        <v>878</v>
      </c>
      <c r="L887" s="114" t="str">
        <f t="shared" si="13"/>
        <v>INSERT INTO DETALLES_DOCUMENTO(NRO_DOCUMENTO,ID_TIPO,ID_PRODUCTO,CANTIDAD,PRECIO,VALOR_BRUTO,VALOR_NETO,VALOR_IVA) VALUES(418,1,329,1,5500,5500,4622,878);</v>
      </c>
    </row>
    <row r="888" spans="1:12">
      <c r="A888" s="114">
        <v>1</v>
      </c>
      <c r="B888" s="114">
        <v>418</v>
      </c>
      <c r="C888" s="139" t="s">
        <v>2238</v>
      </c>
      <c r="D888" s="114" t="s">
        <v>2090</v>
      </c>
      <c r="E888" s="114">
        <v>222</v>
      </c>
      <c r="F888" s="114">
        <v>98</v>
      </c>
      <c r="G888" s="114">
        <v>1</v>
      </c>
      <c r="H888" s="114">
        <v>3500</v>
      </c>
      <c r="I888" s="114">
        <v>3500</v>
      </c>
      <c r="J888" s="114">
        <v>2941</v>
      </c>
      <c r="K888" s="114">
        <v>559</v>
      </c>
      <c r="L888" s="114" t="str">
        <f t="shared" si="13"/>
        <v>INSERT INTO DETALLES_DOCUMENTO(NRO_DOCUMENTO,ID_TIPO,ID_PRODUCTO,CANTIDAD,PRECIO,VALOR_BRUTO,VALOR_NETO,VALOR_IVA) VALUES(418,1,98,1,3500,3500,2941,559);</v>
      </c>
    </row>
    <row r="889" spans="1:12">
      <c r="A889" s="114">
        <v>1</v>
      </c>
      <c r="B889" s="114">
        <v>419</v>
      </c>
      <c r="C889" s="139" t="s">
        <v>2238</v>
      </c>
      <c r="D889" s="114" t="s">
        <v>2090</v>
      </c>
      <c r="E889" s="114">
        <v>268</v>
      </c>
      <c r="F889" s="114">
        <v>231</v>
      </c>
      <c r="G889" s="114">
        <v>1</v>
      </c>
      <c r="H889" s="114">
        <v>19990</v>
      </c>
      <c r="I889" s="114">
        <v>19990</v>
      </c>
      <c r="J889" s="114">
        <v>16798</v>
      </c>
      <c r="K889" s="114">
        <v>3192</v>
      </c>
      <c r="L889" s="114" t="str">
        <f t="shared" si="13"/>
        <v>INSERT INTO DETALLES_DOCUMENTO(NRO_DOCUMENTO,ID_TIPO,ID_PRODUCTO,CANTIDAD,PRECIO,VALOR_BRUTO,VALOR_NETO,VALOR_IVA) VALUES(419,1,231,1,19990,19990,16798,3192);</v>
      </c>
    </row>
    <row r="890" spans="1:12">
      <c r="A890" s="114">
        <v>1</v>
      </c>
      <c r="B890" s="114">
        <v>419</v>
      </c>
      <c r="C890" s="139" t="s">
        <v>2238</v>
      </c>
      <c r="D890" s="114" t="s">
        <v>2090</v>
      </c>
      <c r="E890" s="114">
        <v>268</v>
      </c>
      <c r="F890" s="114">
        <v>227</v>
      </c>
      <c r="G890" s="114">
        <v>1</v>
      </c>
      <c r="H890" s="114">
        <v>13500</v>
      </c>
      <c r="I890" s="114">
        <v>13500</v>
      </c>
      <c r="J890" s="114">
        <v>11345</v>
      </c>
      <c r="K890" s="114">
        <v>2155</v>
      </c>
      <c r="L890" s="114" t="str">
        <f t="shared" si="13"/>
        <v>INSERT INTO DETALLES_DOCUMENTO(NRO_DOCUMENTO,ID_TIPO,ID_PRODUCTO,CANTIDAD,PRECIO,VALOR_BRUTO,VALOR_NETO,VALOR_IVA) VALUES(419,1,227,1,13500,13500,11345,2155);</v>
      </c>
    </row>
    <row r="891" spans="1:12">
      <c r="A891" s="114">
        <v>1</v>
      </c>
      <c r="B891" s="114">
        <v>419</v>
      </c>
      <c r="C891" s="139" t="s">
        <v>2238</v>
      </c>
      <c r="D891" s="114" t="s">
        <v>2090</v>
      </c>
      <c r="E891" s="114">
        <v>268</v>
      </c>
      <c r="F891" s="114">
        <v>226</v>
      </c>
      <c r="G891" s="114">
        <v>1</v>
      </c>
      <c r="H891" s="114">
        <v>22500</v>
      </c>
      <c r="I891" s="114">
        <v>22500</v>
      </c>
      <c r="J891" s="114">
        <v>18908</v>
      </c>
      <c r="K891" s="114">
        <v>3592</v>
      </c>
      <c r="L891" s="114" t="str">
        <f t="shared" si="13"/>
        <v>INSERT INTO DETALLES_DOCUMENTO(NRO_DOCUMENTO,ID_TIPO,ID_PRODUCTO,CANTIDAD,PRECIO,VALOR_BRUTO,VALOR_NETO,VALOR_IVA) VALUES(419,1,226,1,22500,22500,18908,3592);</v>
      </c>
    </row>
    <row r="892" spans="1:12">
      <c r="A892" s="114">
        <v>1</v>
      </c>
      <c r="B892" s="114">
        <v>419</v>
      </c>
      <c r="C892" s="139" t="s">
        <v>2238</v>
      </c>
      <c r="D892" s="114" t="s">
        <v>2090</v>
      </c>
      <c r="E892" s="114">
        <v>268</v>
      </c>
      <c r="F892" s="114">
        <v>382</v>
      </c>
      <c r="G892" s="114">
        <v>1</v>
      </c>
      <c r="H892" s="114">
        <v>2600</v>
      </c>
      <c r="I892" s="114">
        <v>2600</v>
      </c>
      <c r="J892" s="114">
        <v>2185</v>
      </c>
      <c r="K892" s="114">
        <v>415</v>
      </c>
      <c r="L892" s="114" t="str">
        <f t="shared" si="13"/>
        <v>INSERT INTO DETALLES_DOCUMENTO(NRO_DOCUMENTO,ID_TIPO,ID_PRODUCTO,CANTIDAD,PRECIO,VALOR_BRUTO,VALOR_NETO,VALOR_IVA) VALUES(419,1,382,1,2600,2600,2185,415);</v>
      </c>
    </row>
    <row r="893" spans="1:12">
      <c r="A893" s="114">
        <v>1</v>
      </c>
      <c r="B893" s="114">
        <v>419</v>
      </c>
      <c r="C893" s="139" t="s">
        <v>2238</v>
      </c>
      <c r="D893" s="114" t="s">
        <v>2090</v>
      </c>
      <c r="E893" s="114">
        <v>268</v>
      </c>
      <c r="F893" s="114">
        <v>299</v>
      </c>
      <c r="G893" s="114">
        <v>1</v>
      </c>
      <c r="H893" s="114">
        <v>3200</v>
      </c>
      <c r="I893" s="114">
        <v>3200</v>
      </c>
      <c r="J893" s="114">
        <v>2689</v>
      </c>
      <c r="K893" s="114">
        <v>511</v>
      </c>
      <c r="L893" s="114" t="str">
        <f t="shared" si="13"/>
        <v>INSERT INTO DETALLES_DOCUMENTO(NRO_DOCUMENTO,ID_TIPO,ID_PRODUCTO,CANTIDAD,PRECIO,VALOR_BRUTO,VALOR_NETO,VALOR_IVA) VALUES(419,1,299,1,3200,3200,2689,511);</v>
      </c>
    </row>
    <row r="894" spans="1:12">
      <c r="A894" s="114">
        <v>1</v>
      </c>
      <c r="B894" s="114">
        <v>420</v>
      </c>
      <c r="C894" s="139" t="s">
        <v>2238</v>
      </c>
      <c r="D894" s="114" t="s">
        <v>2090</v>
      </c>
      <c r="E894" s="114">
        <v>407</v>
      </c>
      <c r="F894" s="114">
        <v>143</v>
      </c>
      <c r="G894" s="114">
        <v>1</v>
      </c>
      <c r="H894" s="114">
        <v>8000</v>
      </c>
      <c r="I894" s="114">
        <v>8000</v>
      </c>
      <c r="J894" s="114">
        <v>6723</v>
      </c>
      <c r="K894" s="114">
        <v>1277</v>
      </c>
      <c r="L894" s="114" t="str">
        <f t="shared" si="13"/>
        <v>INSERT INTO DETALLES_DOCUMENTO(NRO_DOCUMENTO,ID_TIPO,ID_PRODUCTO,CANTIDAD,PRECIO,VALOR_BRUTO,VALOR_NETO,VALOR_IVA) VALUES(420,1,143,1,8000,8000,6723,1277);</v>
      </c>
    </row>
    <row r="895" spans="1:12">
      <c r="A895" s="114">
        <v>1</v>
      </c>
      <c r="B895" s="114">
        <v>421</v>
      </c>
      <c r="C895" s="139" t="s">
        <v>2238</v>
      </c>
      <c r="D895" s="114" t="s">
        <v>2090</v>
      </c>
      <c r="E895" s="114">
        <v>470</v>
      </c>
      <c r="F895" s="114">
        <v>143</v>
      </c>
      <c r="G895" s="114">
        <v>1</v>
      </c>
      <c r="H895" s="114">
        <v>8000</v>
      </c>
      <c r="I895" s="114">
        <v>8000</v>
      </c>
      <c r="J895" s="114">
        <v>6723</v>
      </c>
      <c r="K895" s="114">
        <v>1277</v>
      </c>
      <c r="L895" s="114" t="str">
        <f t="shared" si="13"/>
        <v>INSERT INTO DETALLES_DOCUMENTO(NRO_DOCUMENTO,ID_TIPO,ID_PRODUCTO,CANTIDAD,PRECIO,VALOR_BRUTO,VALOR_NETO,VALOR_IVA) VALUES(421,1,143,1,8000,8000,6723,1277);</v>
      </c>
    </row>
    <row r="896" spans="1:12">
      <c r="A896" s="114">
        <v>1</v>
      </c>
      <c r="B896" s="114">
        <v>422</v>
      </c>
      <c r="C896" s="139" t="s">
        <v>2239</v>
      </c>
      <c r="D896" s="114" t="s">
        <v>2090</v>
      </c>
      <c r="E896" s="114">
        <v>416</v>
      </c>
      <c r="F896" s="114">
        <v>278</v>
      </c>
      <c r="G896" s="114">
        <v>1</v>
      </c>
      <c r="H896" s="114">
        <v>11500</v>
      </c>
      <c r="I896" s="114">
        <v>11500</v>
      </c>
      <c r="J896" s="114">
        <v>9664</v>
      </c>
      <c r="K896" s="114">
        <v>1836</v>
      </c>
      <c r="L896" s="114" t="str">
        <f t="shared" si="13"/>
        <v>INSERT INTO DETALLES_DOCUMENTO(NRO_DOCUMENTO,ID_TIPO,ID_PRODUCTO,CANTIDAD,PRECIO,VALOR_BRUTO,VALOR_NETO,VALOR_IVA) VALUES(422,1,278,1,11500,11500,9664,1836);</v>
      </c>
    </row>
    <row r="897" spans="1:12">
      <c r="A897" s="114">
        <v>1</v>
      </c>
      <c r="B897" s="114">
        <v>422</v>
      </c>
      <c r="C897" s="139" t="s">
        <v>2239</v>
      </c>
      <c r="D897" s="114" t="s">
        <v>2090</v>
      </c>
      <c r="E897" s="114">
        <v>416</v>
      </c>
      <c r="F897" s="114">
        <v>143</v>
      </c>
      <c r="G897" s="114">
        <v>1</v>
      </c>
      <c r="H897" s="114">
        <v>8000</v>
      </c>
      <c r="I897" s="114">
        <v>8000</v>
      </c>
      <c r="J897" s="114">
        <v>6723</v>
      </c>
      <c r="K897" s="114">
        <v>1277</v>
      </c>
      <c r="L897" s="114" t="str">
        <f t="shared" si="13"/>
        <v>INSERT INTO DETALLES_DOCUMENTO(NRO_DOCUMENTO,ID_TIPO,ID_PRODUCTO,CANTIDAD,PRECIO,VALOR_BRUTO,VALOR_NETO,VALOR_IVA) VALUES(422,1,143,1,8000,8000,6723,1277);</v>
      </c>
    </row>
    <row r="898" spans="1:12">
      <c r="A898" s="114">
        <v>1</v>
      </c>
      <c r="B898" s="114">
        <v>423</v>
      </c>
      <c r="C898" s="139" t="s">
        <v>2240</v>
      </c>
      <c r="D898" s="114" t="s">
        <v>2090</v>
      </c>
      <c r="E898" s="114">
        <v>86</v>
      </c>
      <c r="F898" s="114">
        <v>143</v>
      </c>
      <c r="G898" s="114">
        <v>2</v>
      </c>
      <c r="H898" s="114">
        <v>16600</v>
      </c>
      <c r="I898" s="114">
        <v>33200</v>
      </c>
      <c r="J898" s="114">
        <v>27899</v>
      </c>
      <c r="K898" s="114">
        <v>5301</v>
      </c>
      <c r="L898" s="114" t="str">
        <f t="shared" si="13"/>
        <v>INSERT INTO DETALLES_DOCUMENTO(NRO_DOCUMENTO,ID_TIPO,ID_PRODUCTO,CANTIDAD,PRECIO,VALOR_BRUTO,VALOR_NETO,VALOR_IVA) VALUES(423,1,143,2,16600,33200,27899,5301);</v>
      </c>
    </row>
    <row r="899" spans="1:12">
      <c r="A899" s="114">
        <v>1</v>
      </c>
      <c r="B899" s="114">
        <v>424</v>
      </c>
      <c r="C899" s="139" t="s">
        <v>2240</v>
      </c>
      <c r="D899" s="114" t="s">
        <v>2090</v>
      </c>
      <c r="E899" s="114">
        <v>128</v>
      </c>
      <c r="F899" s="114">
        <v>143</v>
      </c>
      <c r="G899" s="114">
        <v>1</v>
      </c>
      <c r="H899" s="114">
        <v>8300</v>
      </c>
      <c r="I899" s="114">
        <v>8300</v>
      </c>
      <c r="J899" s="114">
        <v>6975</v>
      </c>
      <c r="K899" s="114">
        <v>1325</v>
      </c>
      <c r="L899" s="114" t="str">
        <f t="shared" ref="L899:L962" si="14">CONCATENATE("INSERT INTO DETALLES_DOCUMENTO(NRO_DOCUMENTO,ID_TIPO,ID_PRODUCTO,CANTIDAD,PRECIO,VALOR_BRUTO,VALOR_NETO,VALOR_IVA) VALUES(",B899,",",A899,",",F899,",",G899,",",H899,",",I899,",",J899,",",K899,");")</f>
        <v>INSERT INTO DETALLES_DOCUMENTO(NRO_DOCUMENTO,ID_TIPO,ID_PRODUCTO,CANTIDAD,PRECIO,VALOR_BRUTO,VALOR_NETO,VALOR_IVA) VALUES(424,1,143,1,8300,8300,6975,1325);</v>
      </c>
    </row>
    <row r="900" spans="1:12">
      <c r="A900" s="114">
        <v>1</v>
      </c>
      <c r="B900" s="114">
        <v>425</v>
      </c>
      <c r="C900" s="139" t="s">
        <v>2240</v>
      </c>
      <c r="D900" s="114" t="s">
        <v>2090</v>
      </c>
      <c r="E900" s="114">
        <v>167</v>
      </c>
      <c r="F900" s="114">
        <v>230</v>
      </c>
      <c r="G900" s="114">
        <v>1</v>
      </c>
      <c r="H900" s="114">
        <v>15500</v>
      </c>
      <c r="I900" s="114">
        <v>15500</v>
      </c>
      <c r="J900" s="114">
        <v>13025</v>
      </c>
      <c r="K900" s="114">
        <v>2475</v>
      </c>
      <c r="L900" s="114" t="str">
        <f t="shared" si="14"/>
        <v>INSERT INTO DETALLES_DOCUMENTO(NRO_DOCUMENTO,ID_TIPO,ID_PRODUCTO,CANTIDAD,PRECIO,VALOR_BRUTO,VALOR_NETO,VALOR_IVA) VALUES(425,1,230,1,15500,15500,13025,2475);</v>
      </c>
    </row>
    <row r="901" spans="1:12">
      <c r="A901" s="114">
        <v>1</v>
      </c>
      <c r="B901" s="114">
        <v>426</v>
      </c>
      <c r="C901" s="139" t="s">
        <v>2240</v>
      </c>
      <c r="D901" s="114" t="s">
        <v>2090</v>
      </c>
      <c r="E901" s="114">
        <v>179</v>
      </c>
      <c r="F901" s="114">
        <v>324</v>
      </c>
      <c r="G901" s="114">
        <v>1</v>
      </c>
      <c r="H901" s="114">
        <v>10500</v>
      </c>
      <c r="I901" s="114">
        <v>10500</v>
      </c>
      <c r="J901" s="114">
        <v>8824</v>
      </c>
      <c r="K901" s="114">
        <v>1676</v>
      </c>
      <c r="L901" s="114" t="str">
        <f t="shared" si="14"/>
        <v>INSERT INTO DETALLES_DOCUMENTO(NRO_DOCUMENTO,ID_TIPO,ID_PRODUCTO,CANTIDAD,PRECIO,VALOR_BRUTO,VALOR_NETO,VALOR_IVA) VALUES(426,1,324,1,10500,10500,8824,1676);</v>
      </c>
    </row>
    <row r="902" spans="1:12">
      <c r="A902" s="114">
        <v>1</v>
      </c>
      <c r="B902" s="114">
        <v>426</v>
      </c>
      <c r="C902" s="139" t="s">
        <v>2240</v>
      </c>
      <c r="D902" s="114" t="s">
        <v>2090</v>
      </c>
      <c r="E902" s="114">
        <v>179</v>
      </c>
      <c r="F902" s="114">
        <v>261</v>
      </c>
      <c r="G902" s="114">
        <v>1</v>
      </c>
      <c r="H902" s="114">
        <v>7000</v>
      </c>
      <c r="I902" s="114">
        <v>7000</v>
      </c>
      <c r="J902" s="114">
        <v>5882</v>
      </c>
      <c r="K902" s="114">
        <v>1118</v>
      </c>
      <c r="L902" s="114" t="str">
        <f t="shared" si="14"/>
        <v>INSERT INTO DETALLES_DOCUMENTO(NRO_DOCUMENTO,ID_TIPO,ID_PRODUCTO,CANTIDAD,PRECIO,VALOR_BRUTO,VALOR_NETO,VALOR_IVA) VALUES(426,1,261,1,7000,7000,5882,1118);</v>
      </c>
    </row>
    <row r="903" spans="1:12">
      <c r="A903" s="114">
        <v>1</v>
      </c>
      <c r="B903" s="114">
        <v>427</v>
      </c>
      <c r="C903" s="139" t="s">
        <v>2240</v>
      </c>
      <c r="D903" s="114" t="s">
        <v>2090</v>
      </c>
      <c r="E903" s="114">
        <v>227</v>
      </c>
      <c r="F903" s="114">
        <v>143</v>
      </c>
      <c r="G903" s="114">
        <v>1</v>
      </c>
      <c r="H903" s="114">
        <v>8300</v>
      </c>
      <c r="I903" s="114">
        <v>8300</v>
      </c>
      <c r="J903" s="114">
        <v>6975</v>
      </c>
      <c r="K903" s="114">
        <v>1325</v>
      </c>
      <c r="L903" s="114" t="str">
        <f t="shared" si="14"/>
        <v>INSERT INTO DETALLES_DOCUMENTO(NRO_DOCUMENTO,ID_TIPO,ID_PRODUCTO,CANTIDAD,PRECIO,VALOR_BRUTO,VALOR_NETO,VALOR_IVA) VALUES(427,1,143,1,8300,8300,6975,1325);</v>
      </c>
    </row>
    <row r="904" spans="1:12">
      <c r="A904" s="114">
        <v>1</v>
      </c>
      <c r="B904" s="114">
        <v>428</v>
      </c>
      <c r="C904" s="139" t="s">
        <v>2240</v>
      </c>
      <c r="D904" s="114" t="s">
        <v>2090</v>
      </c>
      <c r="E904" s="114">
        <v>239</v>
      </c>
      <c r="F904" s="114">
        <v>324</v>
      </c>
      <c r="G904" s="114">
        <v>1</v>
      </c>
      <c r="H904" s="114">
        <v>10500</v>
      </c>
      <c r="I904" s="114">
        <v>10500</v>
      </c>
      <c r="J904" s="114">
        <v>8824</v>
      </c>
      <c r="K904" s="114">
        <v>1676</v>
      </c>
      <c r="L904" s="114" t="str">
        <f t="shared" si="14"/>
        <v>INSERT INTO DETALLES_DOCUMENTO(NRO_DOCUMENTO,ID_TIPO,ID_PRODUCTO,CANTIDAD,PRECIO,VALOR_BRUTO,VALOR_NETO,VALOR_IVA) VALUES(428,1,324,1,10500,10500,8824,1676);</v>
      </c>
    </row>
    <row r="905" spans="1:12">
      <c r="A905" s="114">
        <v>1</v>
      </c>
      <c r="B905" s="114">
        <v>428</v>
      </c>
      <c r="C905" s="139" t="s">
        <v>2240</v>
      </c>
      <c r="D905" s="114" t="s">
        <v>2090</v>
      </c>
      <c r="E905" s="114">
        <v>239</v>
      </c>
      <c r="F905" s="114">
        <v>327</v>
      </c>
      <c r="G905" s="114">
        <v>1</v>
      </c>
      <c r="H905" s="114">
        <v>3000</v>
      </c>
      <c r="I905" s="114">
        <v>3000</v>
      </c>
      <c r="J905" s="114">
        <v>2521</v>
      </c>
      <c r="K905" s="114">
        <v>479</v>
      </c>
      <c r="L905" s="114" t="str">
        <f t="shared" si="14"/>
        <v>INSERT INTO DETALLES_DOCUMENTO(NRO_DOCUMENTO,ID_TIPO,ID_PRODUCTO,CANTIDAD,PRECIO,VALOR_BRUTO,VALOR_NETO,VALOR_IVA) VALUES(428,1,327,1,3000,3000,2521,479);</v>
      </c>
    </row>
    <row r="906" spans="1:12">
      <c r="A906" s="114">
        <v>1</v>
      </c>
      <c r="B906" s="114">
        <v>428</v>
      </c>
      <c r="C906" s="139" t="s">
        <v>2240</v>
      </c>
      <c r="D906" s="114" t="s">
        <v>2090</v>
      </c>
      <c r="E906" s="114">
        <v>239</v>
      </c>
      <c r="F906" s="114">
        <v>191</v>
      </c>
      <c r="G906" s="114">
        <v>4</v>
      </c>
      <c r="H906" s="114">
        <v>10000</v>
      </c>
      <c r="I906" s="114">
        <v>40000</v>
      </c>
      <c r="J906" s="114">
        <v>33613</v>
      </c>
      <c r="K906" s="114">
        <v>6387</v>
      </c>
      <c r="L906" s="114" t="str">
        <f t="shared" si="14"/>
        <v>INSERT INTO DETALLES_DOCUMENTO(NRO_DOCUMENTO,ID_TIPO,ID_PRODUCTO,CANTIDAD,PRECIO,VALOR_BRUTO,VALOR_NETO,VALOR_IVA) VALUES(428,1,191,4,10000,40000,33613,6387);</v>
      </c>
    </row>
    <row r="907" spans="1:12">
      <c r="A907" s="114">
        <v>1</v>
      </c>
      <c r="B907" s="114">
        <v>429</v>
      </c>
      <c r="C907" s="139" t="s">
        <v>2240</v>
      </c>
      <c r="D907" s="114" t="s">
        <v>2090</v>
      </c>
      <c r="E907" s="114">
        <v>274</v>
      </c>
      <c r="F907" s="114">
        <v>231</v>
      </c>
      <c r="G907" s="114">
        <v>1</v>
      </c>
      <c r="H907" s="114">
        <v>19990</v>
      </c>
      <c r="I907" s="114">
        <v>19990</v>
      </c>
      <c r="J907" s="114">
        <v>16798</v>
      </c>
      <c r="K907" s="114">
        <v>3192</v>
      </c>
      <c r="L907" s="114" t="str">
        <f t="shared" si="14"/>
        <v>INSERT INTO DETALLES_DOCUMENTO(NRO_DOCUMENTO,ID_TIPO,ID_PRODUCTO,CANTIDAD,PRECIO,VALOR_BRUTO,VALOR_NETO,VALOR_IVA) VALUES(429,1,231,1,19990,19990,16798,3192);</v>
      </c>
    </row>
    <row r="908" spans="1:12">
      <c r="A908" s="114">
        <v>1</v>
      </c>
      <c r="B908" s="114">
        <v>430</v>
      </c>
      <c r="C908" s="139" t="s">
        <v>2240</v>
      </c>
      <c r="D908" s="114" t="s">
        <v>2090</v>
      </c>
      <c r="E908" s="114">
        <v>386</v>
      </c>
      <c r="F908" s="114">
        <v>143</v>
      </c>
      <c r="G908" s="114">
        <v>1</v>
      </c>
      <c r="H908" s="114">
        <v>8300</v>
      </c>
      <c r="I908" s="114">
        <v>8300</v>
      </c>
      <c r="J908" s="114">
        <v>6975</v>
      </c>
      <c r="K908" s="114">
        <v>1325</v>
      </c>
      <c r="L908" s="114" t="str">
        <f t="shared" si="14"/>
        <v>INSERT INTO DETALLES_DOCUMENTO(NRO_DOCUMENTO,ID_TIPO,ID_PRODUCTO,CANTIDAD,PRECIO,VALOR_BRUTO,VALOR_NETO,VALOR_IVA) VALUES(430,1,143,1,8300,8300,6975,1325);</v>
      </c>
    </row>
    <row r="909" spans="1:12">
      <c r="A909" s="114">
        <v>1</v>
      </c>
      <c r="B909" s="114">
        <v>430</v>
      </c>
      <c r="C909" s="139" t="s">
        <v>2240</v>
      </c>
      <c r="D909" s="114" t="s">
        <v>2090</v>
      </c>
      <c r="E909" s="114">
        <v>386</v>
      </c>
      <c r="F909" s="114">
        <v>244</v>
      </c>
      <c r="G909" s="114">
        <v>1</v>
      </c>
      <c r="H909" s="114">
        <v>14900</v>
      </c>
      <c r="I909" s="114">
        <v>14900</v>
      </c>
      <c r="J909" s="114">
        <v>12521</v>
      </c>
      <c r="K909" s="114">
        <v>2379</v>
      </c>
      <c r="L909" s="114" t="str">
        <f t="shared" si="14"/>
        <v>INSERT INTO DETALLES_DOCUMENTO(NRO_DOCUMENTO,ID_TIPO,ID_PRODUCTO,CANTIDAD,PRECIO,VALOR_BRUTO,VALOR_NETO,VALOR_IVA) VALUES(430,1,244,1,14900,14900,12521,2379);</v>
      </c>
    </row>
    <row r="910" spans="1:12">
      <c r="A910" s="114">
        <v>1</v>
      </c>
      <c r="B910" s="114">
        <v>431</v>
      </c>
      <c r="C910" s="139" t="s">
        <v>2240</v>
      </c>
      <c r="D910" s="114" t="s">
        <v>2090</v>
      </c>
      <c r="E910" s="114">
        <v>411</v>
      </c>
      <c r="F910" s="114">
        <v>368</v>
      </c>
      <c r="G910" s="114">
        <v>2</v>
      </c>
      <c r="H910" s="114">
        <v>6000</v>
      </c>
      <c r="I910" s="114">
        <v>12000</v>
      </c>
      <c r="J910" s="114">
        <v>10084</v>
      </c>
      <c r="K910" s="114">
        <v>1916</v>
      </c>
      <c r="L910" s="114" t="str">
        <f t="shared" si="14"/>
        <v>INSERT INTO DETALLES_DOCUMENTO(NRO_DOCUMENTO,ID_TIPO,ID_PRODUCTO,CANTIDAD,PRECIO,VALOR_BRUTO,VALOR_NETO,VALOR_IVA) VALUES(431,1,368,2,6000,12000,10084,1916);</v>
      </c>
    </row>
    <row r="911" spans="1:12">
      <c r="A911" s="114">
        <v>1</v>
      </c>
      <c r="B911" s="114">
        <v>431</v>
      </c>
      <c r="C911" s="139" t="s">
        <v>2240</v>
      </c>
      <c r="D911" s="114" t="s">
        <v>2090</v>
      </c>
      <c r="E911" s="114">
        <v>411</v>
      </c>
      <c r="F911" s="114">
        <v>383</v>
      </c>
      <c r="G911" s="114">
        <v>1</v>
      </c>
      <c r="H911" s="114">
        <v>2400</v>
      </c>
      <c r="I911" s="114">
        <v>2400</v>
      </c>
      <c r="J911" s="114">
        <v>2017</v>
      </c>
      <c r="K911" s="114">
        <v>383</v>
      </c>
      <c r="L911" s="114" t="str">
        <f t="shared" si="14"/>
        <v>INSERT INTO DETALLES_DOCUMENTO(NRO_DOCUMENTO,ID_TIPO,ID_PRODUCTO,CANTIDAD,PRECIO,VALOR_BRUTO,VALOR_NETO,VALOR_IVA) VALUES(431,1,383,1,2400,2400,2017,383);</v>
      </c>
    </row>
    <row r="912" spans="1:12">
      <c r="A912" s="114">
        <v>1</v>
      </c>
      <c r="B912" s="114">
        <v>431</v>
      </c>
      <c r="C912" s="139" t="s">
        <v>2240</v>
      </c>
      <c r="D912" s="114" t="s">
        <v>2090</v>
      </c>
      <c r="E912" s="114">
        <v>411</v>
      </c>
      <c r="F912" s="114">
        <v>191</v>
      </c>
      <c r="G912" s="114">
        <v>1</v>
      </c>
      <c r="H912" s="114">
        <v>2500</v>
      </c>
      <c r="I912" s="114">
        <v>2500</v>
      </c>
      <c r="J912" s="114">
        <v>2101</v>
      </c>
      <c r="K912" s="114">
        <v>399</v>
      </c>
      <c r="L912" s="114" t="str">
        <f t="shared" si="14"/>
        <v>INSERT INTO DETALLES_DOCUMENTO(NRO_DOCUMENTO,ID_TIPO,ID_PRODUCTO,CANTIDAD,PRECIO,VALOR_BRUTO,VALOR_NETO,VALOR_IVA) VALUES(431,1,191,1,2500,2500,2101,399);</v>
      </c>
    </row>
    <row r="913" spans="1:12">
      <c r="A913" s="114">
        <v>1</v>
      </c>
      <c r="B913" s="114">
        <v>432</v>
      </c>
      <c r="C913" s="139" t="s">
        <v>2240</v>
      </c>
      <c r="D913" s="114" t="s">
        <v>2090</v>
      </c>
      <c r="E913" s="114">
        <v>446</v>
      </c>
      <c r="F913" s="114">
        <v>368</v>
      </c>
      <c r="G913" s="114">
        <v>1</v>
      </c>
      <c r="H913" s="114">
        <v>3000</v>
      </c>
      <c r="I913" s="114">
        <v>3000</v>
      </c>
      <c r="J913" s="114">
        <v>2521</v>
      </c>
      <c r="K913" s="114">
        <v>479</v>
      </c>
      <c r="L913" s="114" t="str">
        <f t="shared" si="14"/>
        <v>INSERT INTO DETALLES_DOCUMENTO(NRO_DOCUMENTO,ID_TIPO,ID_PRODUCTO,CANTIDAD,PRECIO,VALOR_BRUTO,VALOR_NETO,VALOR_IVA) VALUES(432,1,368,1,3000,3000,2521,479);</v>
      </c>
    </row>
    <row r="914" spans="1:12">
      <c r="A914" s="114">
        <v>1</v>
      </c>
      <c r="B914" s="114">
        <v>432</v>
      </c>
      <c r="C914" s="139" t="s">
        <v>2240</v>
      </c>
      <c r="D914" s="114" t="s">
        <v>2090</v>
      </c>
      <c r="E914" s="114">
        <v>446</v>
      </c>
      <c r="F914" s="114">
        <v>170</v>
      </c>
      <c r="G914" s="114">
        <v>1</v>
      </c>
      <c r="H914" s="114">
        <v>3600</v>
      </c>
      <c r="I914" s="114">
        <v>3600</v>
      </c>
      <c r="J914" s="114">
        <v>3025</v>
      </c>
      <c r="K914" s="114">
        <v>575</v>
      </c>
      <c r="L914" s="114" t="str">
        <f t="shared" si="14"/>
        <v>INSERT INTO DETALLES_DOCUMENTO(NRO_DOCUMENTO,ID_TIPO,ID_PRODUCTO,CANTIDAD,PRECIO,VALOR_BRUTO,VALOR_NETO,VALOR_IVA) VALUES(432,1,170,1,3600,3600,3025,575);</v>
      </c>
    </row>
    <row r="915" spans="1:12">
      <c r="A915" s="114">
        <v>1</v>
      </c>
      <c r="B915" s="114">
        <v>433</v>
      </c>
      <c r="C915" s="139" t="s">
        <v>2241</v>
      </c>
      <c r="D915" s="114" t="s">
        <v>2090</v>
      </c>
      <c r="E915" s="114">
        <v>41</v>
      </c>
      <c r="F915" s="114">
        <v>143</v>
      </c>
      <c r="G915" s="114">
        <v>2</v>
      </c>
      <c r="H915" s="114">
        <v>16600</v>
      </c>
      <c r="I915" s="114">
        <v>33200</v>
      </c>
      <c r="J915" s="114">
        <v>27899</v>
      </c>
      <c r="K915" s="114">
        <v>5301</v>
      </c>
      <c r="L915" s="114" t="str">
        <f t="shared" si="14"/>
        <v>INSERT INTO DETALLES_DOCUMENTO(NRO_DOCUMENTO,ID_TIPO,ID_PRODUCTO,CANTIDAD,PRECIO,VALOR_BRUTO,VALOR_NETO,VALOR_IVA) VALUES(433,1,143,2,16600,33200,27899,5301);</v>
      </c>
    </row>
    <row r="916" spans="1:12">
      <c r="A916" s="114">
        <v>1</v>
      </c>
      <c r="B916" s="114">
        <v>434</v>
      </c>
      <c r="C916" s="139" t="s">
        <v>2241</v>
      </c>
      <c r="D916" s="114" t="s">
        <v>2090</v>
      </c>
      <c r="E916" s="114">
        <v>92</v>
      </c>
      <c r="F916" s="114">
        <v>124</v>
      </c>
      <c r="G916" s="114">
        <v>1</v>
      </c>
      <c r="H916" s="114">
        <v>4000</v>
      </c>
      <c r="I916" s="114">
        <v>4000</v>
      </c>
      <c r="J916" s="114">
        <v>3361</v>
      </c>
      <c r="K916" s="114">
        <v>639</v>
      </c>
      <c r="L916" s="114" t="str">
        <f t="shared" si="14"/>
        <v>INSERT INTO DETALLES_DOCUMENTO(NRO_DOCUMENTO,ID_TIPO,ID_PRODUCTO,CANTIDAD,PRECIO,VALOR_BRUTO,VALOR_NETO,VALOR_IVA) VALUES(434,1,124,1,4000,4000,3361,639);</v>
      </c>
    </row>
    <row r="917" spans="1:12">
      <c r="A917" s="114">
        <v>1</v>
      </c>
      <c r="B917" s="114">
        <v>435</v>
      </c>
      <c r="C917" s="139" t="s">
        <v>2241</v>
      </c>
      <c r="D917" s="114" t="s">
        <v>2090</v>
      </c>
      <c r="E917" s="114">
        <v>108</v>
      </c>
      <c r="F917" s="114">
        <v>329</v>
      </c>
      <c r="G917" s="114">
        <v>1</v>
      </c>
      <c r="H917" s="114">
        <v>5500</v>
      </c>
      <c r="I917" s="114">
        <v>5500</v>
      </c>
      <c r="J917" s="114">
        <v>4622</v>
      </c>
      <c r="K917" s="114">
        <v>878</v>
      </c>
      <c r="L917" s="114" t="str">
        <f t="shared" si="14"/>
        <v>INSERT INTO DETALLES_DOCUMENTO(NRO_DOCUMENTO,ID_TIPO,ID_PRODUCTO,CANTIDAD,PRECIO,VALOR_BRUTO,VALOR_NETO,VALOR_IVA) VALUES(435,1,329,1,5500,5500,4622,878);</v>
      </c>
    </row>
    <row r="918" spans="1:12">
      <c r="A918" s="114">
        <v>1</v>
      </c>
      <c r="B918" s="114">
        <v>435</v>
      </c>
      <c r="C918" s="139" t="s">
        <v>2241</v>
      </c>
      <c r="D918" s="114" t="s">
        <v>2090</v>
      </c>
      <c r="E918" s="114">
        <v>108</v>
      </c>
      <c r="F918" s="114">
        <v>143</v>
      </c>
      <c r="G918" s="114">
        <v>1</v>
      </c>
      <c r="H918" s="114">
        <v>8300</v>
      </c>
      <c r="I918" s="114">
        <v>8300</v>
      </c>
      <c r="J918" s="114">
        <v>6975</v>
      </c>
      <c r="K918" s="114">
        <v>1325</v>
      </c>
      <c r="L918" s="114" t="str">
        <f t="shared" si="14"/>
        <v>INSERT INTO DETALLES_DOCUMENTO(NRO_DOCUMENTO,ID_TIPO,ID_PRODUCTO,CANTIDAD,PRECIO,VALOR_BRUTO,VALOR_NETO,VALOR_IVA) VALUES(435,1,143,1,8300,8300,6975,1325);</v>
      </c>
    </row>
    <row r="919" spans="1:12">
      <c r="A919" s="114">
        <v>1</v>
      </c>
      <c r="B919" s="114">
        <v>436</v>
      </c>
      <c r="C919" s="139" t="s">
        <v>2241</v>
      </c>
      <c r="D919" s="114" t="s">
        <v>2090</v>
      </c>
      <c r="E919" s="114">
        <v>166</v>
      </c>
      <c r="F919" s="114">
        <v>330</v>
      </c>
      <c r="G919" s="114">
        <v>1</v>
      </c>
      <c r="H919" s="114">
        <v>4300</v>
      </c>
      <c r="I919" s="114">
        <v>4300</v>
      </c>
      <c r="J919" s="114">
        <v>3613</v>
      </c>
      <c r="K919" s="114">
        <v>687</v>
      </c>
      <c r="L919" s="114" t="str">
        <f t="shared" si="14"/>
        <v>INSERT INTO DETALLES_DOCUMENTO(NRO_DOCUMENTO,ID_TIPO,ID_PRODUCTO,CANTIDAD,PRECIO,VALOR_BRUTO,VALOR_NETO,VALOR_IVA) VALUES(436,1,330,1,4300,4300,3613,687);</v>
      </c>
    </row>
    <row r="920" spans="1:12">
      <c r="A920" s="114">
        <v>1</v>
      </c>
      <c r="B920" s="114">
        <v>436</v>
      </c>
      <c r="C920" s="139" t="s">
        <v>2241</v>
      </c>
      <c r="D920" s="114" t="s">
        <v>2090</v>
      </c>
      <c r="E920" s="114">
        <v>166</v>
      </c>
      <c r="F920" s="114">
        <v>368</v>
      </c>
      <c r="G920" s="114">
        <v>1</v>
      </c>
      <c r="H920" s="114">
        <v>3000</v>
      </c>
      <c r="I920" s="114">
        <v>3000</v>
      </c>
      <c r="J920" s="114">
        <v>2521</v>
      </c>
      <c r="K920" s="114">
        <v>479</v>
      </c>
      <c r="L920" s="114" t="str">
        <f t="shared" si="14"/>
        <v>INSERT INTO DETALLES_DOCUMENTO(NRO_DOCUMENTO,ID_TIPO,ID_PRODUCTO,CANTIDAD,PRECIO,VALOR_BRUTO,VALOR_NETO,VALOR_IVA) VALUES(436,1,368,1,3000,3000,2521,479);</v>
      </c>
    </row>
    <row r="921" spans="1:12">
      <c r="A921" s="114">
        <v>1</v>
      </c>
      <c r="B921" s="114">
        <v>437</v>
      </c>
      <c r="C921" s="139" t="s">
        <v>2241</v>
      </c>
      <c r="D921" s="114" t="s">
        <v>2090</v>
      </c>
      <c r="E921" s="114">
        <v>222</v>
      </c>
      <c r="F921" s="114">
        <v>167</v>
      </c>
      <c r="G921" s="114">
        <v>1</v>
      </c>
      <c r="H921" s="114">
        <v>8200</v>
      </c>
      <c r="I921" s="114">
        <v>8200</v>
      </c>
      <c r="J921" s="114">
        <v>6891</v>
      </c>
      <c r="K921" s="114">
        <v>1309</v>
      </c>
      <c r="L921" s="114" t="str">
        <f t="shared" si="14"/>
        <v>INSERT INTO DETALLES_DOCUMENTO(NRO_DOCUMENTO,ID_TIPO,ID_PRODUCTO,CANTIDAD,PRECIO,VALOR_BRUTO,VALOR_NETO,VALOR_IVA) VALUES(437,1,167,1,8200,8200,6891,1309);</v>
      </c>
    </row>
    <row r="922" spans="1:12">
      <c r="A922" s="114">
        <v>1</v>
      </c>
      <c r="B922" s="114">
        <v>437</v>
      </c>
      <c r="C922" s="139" t="s">
        <v>2241</v>
      </c>
      <c r="D922" s="114" t="s">
        <v>2090</v>
      </c>
      <c r="E922" s="114">
        <v>222</v>
      </c>
      <c r="F922" s="114">
        <v>329</v>
      </c>
      <c r="G922" s="114">
        <v>1</v>
      </c>
      <c r="H922" s="114">
        <v>5500</v>
      </c>
      <c r="I922" s="114">
        <v>5500</v>
      </c>
      <c r="J922" s="114">
        <v>4622</v>
      </c>
      <c r="K922" s="114">
        <v>878</v>
      </c>
      <c r="L922" s="114" t="str">
        <f t="shared" si="14"/>
        <v>INSERT INTO DETALLES_DOCUMENTO(NRO_DOCUMENTO,ID_TIPO,ID_PRODUCTO,CANTIDAD,PRECIO,VALOR_BRUTO,VALOR_NETO,VALOR_IVA) VALUES(437,1,329,1,5500,5500,4622,878);</v>
      </c>
    </row>
    <row r="923" spans="1:12">
      <c r="A923" s="114">
        <v>1</v>
      </c>
      <c r="B923" s="114">
        <v>438</v>
      </c>
      <c r="C923" s="139" t="s">
        <v>2241</v>
      </c>
      <c r="D923" s="114" t="s">
        <v>2090</v>
      </c>
      <c r="E923" s="114">
        <v>342</v>
      </c>
      <c r="F923" s="114">
        <v>233</v>
      </c>
      <c r="G923" s="114">
        <v>2</v>
      </c>
      <c r="H923" s="114">
        <v>31980</v>
      </c>
      <c r="I923" s="114">
        <v>63960</v>
      </c>
      <c r="J923" s="114">
        <v>53748</v>
      </c>
      <c r="K923" s="114">
        <v>10212</v>
      </c>
      <c r="L923" s="114" t="str">
        <f t="shared" si="14"/>
        <v>INSERT INTO DETALLES_DOCUMENTO(NRO_DOCUMENTO,ID_TIPO,ID_PRODUCTO,CANTIDAD,PRECIO,VALOR_BRUTO,VALOR_NETO,VALOR_IVA) VALUES(438,1,233,2,31980,63960,53748,10212);</v>
      </c>
    </row>
    <row r="924" spans="1:12">
      <c r="A924" s="114">
        <v>1</v>
      </c>
      <c r="B924" s="114">
        <v>438</v>
      </c>
      <c r="C924" s="139" t="s">
        <v>2241</v>
      </c>
      <c r="D924" s="114" t="s">
        <v>2090</v>
      </c>
      <c r="E924" s="114">
        <v>342</v>
      </c>
      <c r="F924" s="114">
        <v>97</v>
      </c>
      <c r="G924" s="114">
        <v>2</v>
      </c>
      <c r="H924" s="114">
        <v>4000</v>
      </c>
      <c r="I924" s="114">
        <v>8000</v>
      </c>
      <c r="J924" s="114">
        <v>6723</v>
      </c>
      <c r="K924" s="114">
        <v>1277</v>
      </c>
      <c r="L924" s="114" t="str">
        <f t="shared" si="14"/>
        <v>INSERT INTO DETALLES_DOCUMENTO(NRO_DOCUMENTO,ID_TIPO,ID_PRODUCTO,CANTIDAD,PRECIO,VALOR_BRUTO,VALOR_NETO,VALOR_IVA) VALUES(438,1,97,2,4000,8000,6723,1277);</v>
      </c>
    </row>
    <row r="925" spans="1:12">
      <c r="A925" s="114">
        <v>1</v>
      </c>
      <c r="B925" s="114">
        <v>438</v>
      </c>
      <c r="C925" s="139" t="s">
        <v>2241</v>
      </c>
      <c r="D925" s="114" t="s">
        <v>2090</v>
      </c>
      <c r="E925" s="114">
        <v>342</v>
      </c>
      <c r="F925" s="114">
        <v>7</v>
      </c>
      <c r="G925" s="114">
        <v>1</v>
      </c>
      <c r="H925" s="114">
        <v>7000</v>
      </c>
      <c r="I925" s="114">
        <v>7000</v>
      </c>
      <c r="J925" s="114">
        <v>5882</v>
      </c>
      <c r="K925" s="114">
        <v>1118</v>
      </c>
      <c r="L925" s="114" t="str">
        <f t="shared" si="14"/>
        <v>INSERT INTO DETALLES_DOCUMENTO(NRO_DOCUMENTO,ID_TIPO,ID_PRODUCTO,CANTIDAD,PRECIO,VALOR_BRUTO,VALOR_NETO,VALOR_IVA) VALUES(438,1,7,1,7000,7000,5882,1118);</v>
      </c>
    </row>
    <row r="926" spans="1:12">
      <c r="A926" s="114">
        <v>1</v>
      </c>
      <c r="B926" s="114">
        <v>438</v>
      </c>
      <c r="C926" s="139" t="s">
        <v>2241</v>
      </c>
      <c r="D926" s="114" t="s">
        <v>2090</v>
      </c>
      <c r="E926" s="114">
        <v>342</v>
      </c>
      <c r="F926" s="114">
        <v>49</v>
      </c>
      <c r="G926" s="114">
        <v>1</v>
      </c>
      <c r="H926" s="114">
        <v>4200</v>
      </c>
      <c r="I926" s="114">
        <v>4200</v>
      </c>
      <c r="J926" s="114">
        <v>3529</v>
      </c>
      <c r="K926" s="114">
        <v>671</v>
      </c>
      <c r="L926" s="114" t="str">
        <f t="shared" si="14"/>
        <v>INSERT INTO DETALLES_DOCUMENTO(NRO_DOCUMENTO,ID_TIPO,ID_PRODUCTO,CANTIDAD,PRECIO,VALOR_BRUTO,VALOR_NETO,VALOR_IVA) VALUES(438,1,49,1,4200,4200,3529,671);</v>
      </c>
    </row>
    <row r="927" spans="1:12">
      <c r="A927" s="114">
        <v>1</v>
      </c>
      <c r="B927" s="114">
        <v>439</v>
      </c>
      <c r="C927" s="139" t="s">
        <v>2241</v>
      </c>
      <c r="D927" s="114" t="s">
        <v>2090</v>
      </c>
      <c r="E927" s="114">
        <v>419</v>
      </c>
      <c r="F927" s="114">
        <v>329</v>
      </c>
      <c r="G927" s="114">
        <v>1</v>
      </c>
      <c r="H927" s="114">
        <v>5500</v>
      </c>
      <c r="I927" s="114">
        <v>5500</v>
      </c>
      <c r="J927" s="114">
        <v>4622</v>
      </c>
      <c r="K927" s="114">
        <v>878</v>
      </c>
      <c r="L927" s="114" t="str">
        <f t="shared" si="14"/>
        <v>INSERT INTO DETALLES_DOCUMENTO(NRO_DOCUMENTO,ID_TIPO,ID_PRODUCTO,CANTIDAD,PRECIO,VALOR_BRUTO,VALOR_NETO,VALOR_IVA) VALUES(439,1,329,1,5500,5500,4622,878);</v>
      </c>
    </row>
    <row r="928" spans="1:12">
      <c r="A928" s="114">
        <v>1</v>
      </c>
      <c r="B928" s="114">
        <v>440</v>
      </c>
      <c r="C928" s="139" t="s">
        <v>2242</v>
      </c>
      <c r="D928" s="114" t="s">
        <v>2090</v>
      </c>
      <c r="E928" s="114">
        <v>63</v>
      </c>
      <c r="F928" s="114">
        <v>143</v>
      </c>
      <c r="G928" s="114">
        <v>1</v>
      </c>
      <c r="H928" s="114">
        <v>8300</v>
      </c>
      <c r="I928" s="114">
        <v>8300</v>
      </c>
      <c r="J928" s="114">
        <v>6975</v>
      </c>
      <c r="K928" s="114">
        <v>1325</v>
      </c>
      <c r="L928" s="114" t="str">
        <f t="shared" si="14"/>
        <v>INSERT INTO DETALLES_DOCUMENTO(NRO_DOCUMENTO,ID_TIPO,ID_PRODUCTO,CANTIDAD,PRECIO,VALOR_BRUTO,VALOR_NETO,VALOR_IVA) VALUES(440,1,143,1,8300,8300,6975,1325);</v>
      </c>
    </row>
    <row r="929" spans="1:12">
      <c r="A929" s="114">
        <v>1</v>
      </c>
      <c r="B929" s="114">
        <v>441</v>
      </c>
      <c r="C929" s="139" t="s">
        <v>2242</v>
      </c>
      <c r="D929" s="114" t="s">
        <v>2090</v>
      </c>
      <c r="E929" s="114">
        <v>155</v>
      </c>
      <c r="F929" s="114">
        <v>143</v>
      </c>
      <c r="G929" s="114">
        <v>1</v>
      </c>
      <c r="H929" s="114">
        <v>8300</v>
      </c>
      <c r="I929" s="114">
        <v>8300</v>
      </c>
      <c r="J929" s="114">
        <v>6975</v>
      </c>
      <c r="K929" s="114">
        <v>1325</v>
      </c>
      <c r="L929" s="114" t="str">
        <f t="shared" si="14"/>
        <v>INSERT INTO DETALLES_DOCUMENTO(NRO_DOCUMENTO,ID_TIPO,ID_PRODUCTO,CANTIDAD,PRECIO,VALOR_BRUTO,VALOR_NETO,VALOR_IVA) VALUES(441,1,143,1,8300,8300,6975,1325);</v>
      </c>
    </row>
    <row r="930" spans="1:12">
      <c r="A930" s="114">
        <v>1</v>
      </c>
      <c r="B930" s="114">
        <v>442</v>
      </c>
      <c r="C930" s="139" t="s">
        <v>2242</v>
      </c>
      <c r="D930" s="114" t="s">
        <v>2090</v>
      </c>
      <c r="E930" s="114">
        <v>212</v>
      </c>
      <c r="F930" s="114">
        <v>29</v>
      </c>
      <c r="G930" s="114">
        <v>1</v>
      </c>
      <c r="H930" s="114">
        <v>1000</v>
      </c>
      <c r="I930" s="114">
        <v>1000</v>
      </c>
      <c r="J930" s="114">
        <v>840</v>
      </c>
      <c r="K930" s="114">
        <v>160</v>
      </c>
      <c r="L930" s="114" t="str">
        <f t="shared" si="14"/>
        <v>INSERT INTO DETALLES_DOCUMENTO(NRO_DOCUMENTO,ID_TIPO,ID_PRODUCTO,CANTIDAD,PRECIO,VALOR_BRUTO,VALOR_NETO,VALOR_IVA) VALUES(442,1,29,1,1000,1000,840,160);</v>
      </c>
    </row>
    <row r="931" spans="1:12">
      <c r="A931" s="114">
        <v>1</v>
      </c>
      <c r="B931" s="114">
        <v>442</v>
      </c>
      <c r="C931" s="139" t="s">
        <v>2242</v>
      </c>
      <c r="D931" s="114" t="s">
        <v>2090</v>
      </c>
      <c r="E931" s="114">
        <v>212</v>
      </c>
      <c r="F931" s="114">
        <v>163</v>
      </c>
      <c r="G931" s="114">
        <v>1</v>
      </c>
      <c r="H931" s="114">
        <v>1500</v>
      </c>
      <c r="I931" s="114">
        <v>1500</v>
      </c>
      <c r="J931" s="114">
        <v>1261</v>
      </c>
      <c r="K931" s="114">
        <v>239</v>
      </c>
      <c r="L931" s="114" t="str">
        <f t="shared" si="14"/>
        <v>INSERT INTO DETALLES_DOCUMENTO(NRO_DOCUMENTO,ID_TIPO,ID_PRODUCTO,CANTIDAD,PRECIO,VALOR_BRUTO,VALOR_NETO,VALOR_IVA) VALUES(442,1,163,1,1500,1500,1261,239);</v>
      </c>
    </row>
    <row r="932" spans="1:12">
      <c r="A932" s="114">
        <v>1</v>
      </c>
      <c r="B932" s="114">
        <v>443</v>
      </c>
      <c r="C932" s="139" t="s">
        <v>2242</v>
      </c>
      <c r="D932" s="114" t="s">
        <v>2090</v>
      </c>
      <c r="E932" s="114">
        <v>254</v>
      </c>
      <c r="F932" s="114">
        <v>230</v>
      </c>
      <c r="G932" s="114">
        <v>1</v>
      </c>
      <c r="H932" s="114">
        <v>15500</v>
      </c>
      <c r="I932" s="114">
        <v>15500</v>
      </c>
      <c r="J932" s="114">
        <v>13025</v>
      </c>
      <c r="K932" s="114">
        <v>2475</v>
      </c>
      <c r="L932" s="114" t="str">
        <f t="shared" si="14"/>
        <v>INSERT INTO DETALLES_DOCUMENTO(NRO_DOCUMENTO,ID_TIPO,ID_PRODUCTO,CANTIDAD,PRECIO,VALOR_BRUTO,VALOR_NETO,VALOR_IVA) VALUES(443,1,230,1,15500,15500,13025,2475);</v>
      </c>
    </row>
    <row r="933" spans="1:12">
      <c r="A933" s="114">
        <v>1</v>
      </c>
      <c r="B933" s="114">
        <v>443</v>
      </c>
      <c r="C933" s="139" t="s">
        <v>2242</v>
      </c>
      <c r="D933" s="114" t="s">
        <v>2090</v>
      </c>
      <c r="E933" s="114">
        <v>254</v>
      </c>
      <c r="F933" s="114">
        <v>368</v>
      </c>
      <c r="G933" s="114">
        <v>1</v>
      </c>
      <c r="H933" s="114">
        <v>3000</v>
      </c>
      <c r="I933" s="114">
        <v>3000</v>
      </c>
      <c r="J933" s="114">
        <v>2521</v>
      </c>
      <c r="K933" s="114">
        <v>479</v>
      </c>
      <c r="L933" s="114" t="str">
        <f t="shared" si="14"/>
        <v>INSERT INTO DETALLES_DOCUMENTO(NRO_DOCUMENTO,ID_TIPO,ID_PRODUCTO,CANTIDAD,PRECIO,VALOR_BRUTO,VALOR_NETO,VALOR_IVA) VALUES(443,1,368,1,3000,3000,2521,479);</v>
      </c>
    </row>
    <row r="934" spans="1:12">
      <c r="A934" s="114">
        <v>1</v>
      </c>
      <c r="B934" s="114">
        <v>443</v>
      </c>
      <c r="C934" s="139" t="s">
        <v>2242</v>
      </c>
      <c r="D934" s="114" t="s">
        <v>2090</v>
      </c>
      <c r="E934" s="114">
        <v>254</v>
      </c>
      <c r="F934" s="114">
        <v>165</v>
      </c>
      <c r="G934" s="114">
        <v>2</v>
      </c>
      <c r="H934" s="114">
        <v>4000</v>
      </c>
      <c r="I934" s="114">
        <v>8000</v>
      </c>
      <c r="J934" s="114">
        <v>6723</v>
      </c>
      <c r="K934" s="114">
        <v>1277</v>
      </c>
      <c r="L934" s="114" t="str">
        <f t="shared" si="14"/>
        <v>INSERT INTO DETALLES_DOCUMENTO(NRO_DOCUMENTO,ID_TIPO,ID_PRODUCTO,CANTIDAD,PRECIO,VALOR_BRUTO,VALOR_NETO,VALOR_IVA) VALUES(443,1,165,2,4000,8000,6723,1277);</v>
      </c>
    </row>
    <row r="935" spans="1:12">
      <c r="A935" s="114">
        <v>1</v>
      </c>
      <c r="B935" s="114">
        <v>444</v>
      </c>
      <c r="C935" s="139" t="s">
        <v>2242</v>
      </c>
      <c r="D935" s="114" t="s">
        <v>2090</v>
      </c>
      <c r="E935" s="114">
        <v>402</v>
      </c>
      <c r="F935" s="114">
        <v>143</v>
      </c>
      <c r="G935" s="114">
        <v>1</v>
      </c>
      <c r="H935" s="114">
        <v>8300</v>
      </c>
      <c r="I935" s="114">
        <v>8300</v>
      </c>
      <c r="J935" s="114">
        <v>6975</v>
      </c>
      <c r="K935" s="114">
        <v>1325</v>
      </c>
      <c r="L935" s="114" t="str">
        <f t="shared" si="14"/>
        <v>INSERT INTO DETALLES_DOCUMENTO(NRO_DOCUMENTO,ID_TIPO,ID_PRODUCTO,CANTIDAD,PRECIO,VALOR_BRUTO,VALOR_NETO,VALOR_IVA) VALUES(444,1,143,1,8300,8300,6975,1325);</v>
      </c>
    </row>
    <row r="936" spans="1:12">
      <c r="A936" s="114">
        <v>1</v>
      </c>
      <c r="B936" s="114">
        <v>445</v>
      </c>
      <c r="C936" s="139" t="s">
        <v>2242</v>
      </c>
      <c r="D936" s="114" t="s">
        <v>2090</v>
      </c>
      <c r="E936" s="114">
        <v>451</v>
      </c>
      <c r="F936" s="114">
        <v>231</v>
      </c>
      <c r="G936" s="114">
        <v>1</v>
      </c>
      <c r="H936" s="114">
        <v>19990</v>
      </c>
      <c r="I936" s="114">
        <v>19990</v>
      </c>
      <c r="J936" s="114">
        <v>16798</v>
      </c>
      <c r="K936" s="114">
        <v>3192</v>
      </c>
      <c r="L936" s="114" t="str">
        <f t="shared" si="14"/>
        <v>INSERT INTO DETALLES_DOCUMENTO(NRO_DOCUMENTO,ID_TIPO,ID_PRODUCTO,CANTIDAD,PRECIO,VALOR_BRUTO,VALOR_NETO,VALOR_IVA) VALUES(445,1,231,1,19990,19990,16798,3192);</v>
      </c>
    </row>
    <row r="937" spans="1:12">
      <c r="A937" s="114">
        <v>1</v>
      </c>
      <c r="B937" s="114">
        <v>445</v>
      </c>
      <c r="C937" s="139" t="s">
        <v>2242</v>
      </c>
      <c r="D937" s="114" t="s">
        <v>2090</v>
      </c>
      <c r="E937" s="114">
        <v>451</v>
      </c>
      <c r="F937" s="114">
        <v>368</v>
      </c>
      <c r="G937" s="114">
        <v>1</v>
      </c>
      <c r="H937" s="114">
        <v>3000</v>
      </c>
      <c r="I937" s="114">
        <v>3000</v>
      </c>
      <c r="J937" s="114">
        <v>2521</v>
      </c>
      <c r="K937" s="114">
        <v>479</v>
      </c>
      <c r="L937" s="114" t="str">
        <f t="shared" si="14"/>
        <v>INSERT INTO DETALLES_DOCUMENTO(NRO_DOCUMENTO,ID_TIPO,ID_PRODUCTO,CANTIDAD,PRECIO,VALOR_BRUTO,VALOR_NETO,VALOR_IVA) VALUES(445,1,368,1,3000,3000,2521,479);</v>
      </c>
    </row>
    <row r="938" spans="1:12">
      <c r="A938" s="114">
        <v>1</v>
      </c>
      <c r="B938" s="114">
        <v>446</v>
      </c>
      <c r="C938" s="139" t="s">
        <v>2242</v>
      </c>
      <c r="D938" s="114" t="s">
        <v>2090</v>
      </c>
      <c r="E938" s="114">
        <v>476</v>
      </c>
      <c r="F938" s="114">
        <v>143</v>
      </c>
      <c r="G938" s="114">
        <v>1</v>
      </c>
      <c r="H938" s="114">
        <v>8300</v>
      </c>
      <c r="I938" s="114">
        <v>8300</v>
      </c>
      <c r="J938" s="114">
        <v>6975</v>
      </c>
      <c r="K938" s="114">
        <v>1325</v>
      </c>
      <c r="L938" s="114" t="str">
        <f t="shared" si="14"/>
        <v>INSERT INTO DETALLES_DOCUMENTO(NRO_DOCUMENTO,ID_TIPO,ID_PRODUCTO,CANTIDAD,PRECIO,VALOR_BRUTO,VALOR_NETO,VALOR_IVA) VALUES(446,1,143,1,8300,8300,6975,1325);</v>
      </c>
    </row>
    <row r="939" spans="1:12">
      <c r="A939" s="114">
        <v>1</v>
      </c>
      <c r="B939" s="114">
        <v>447</v>
      </c>
      <c r="C939" s="139" t="s">
        <v>2243</v>
      </c>
      <c r="D939" s="114" t="s">
        <v>2090</v>
      </c>
      <c r="E939" s="114">
        <v>1</v>
      </c>
      <c r="F939" s="114">
        <v>325</v>
      </c>
      <c r="G939" s="114">
        <v>1</v>
      </c>
      <c r="H939" s="114">
        <v>10000</v>
      </c>
      <c r="I939" s="114">
        <v>10000</v>
      </c>
      <c r="J939" s="114">
        <v>8403</v>
      </c>
      <c r="K939" s="114">
        <v>1597</v>
      </c>
      <c r="L939" s="114" t="str">
        <f t="shared" si="14"/>
        <v>INSERT INTO DETALLES_DOCUMENTO(NRO_DOCUMENTO,ID_TIPO,ID_PRODUCTO,CANTIDAD,PRECIO,VALOR_BRUTO,VALOR_NETO,VALOR_IVA) VALUES(447,1,325,1,10000,10000,8403,1597);</v>
      </c>
    </row>
    <row r="940" spans="1:12">
      <c r="A940" s="114">
        <v>1</v>
      </c>
      <c r="B940" s="114">
        <v>447</v>
      </c>
      <c r="C940" s="139" t="s">
        <v>2243</v>
      </c>
      <c r="D940" s="114" t="s">
        <v>2090</v>
      </c>
      <c r="E940" s="114">
        <v>1</v>
      </c>
      <c r="F940" s="114">
        <v>112</v>
      </c>
      <c r="G940" s="114">
        <v>1</v>
      </c>
      <c r="H940" s="114">
        <v>-200</v>
      </c>
      <c r="I940" s="114">
        <v>-200</v>
      </c>
      <c r="J940" s="114">
        <v>-168</v>
      </c>
      <c r="K940" s="114">
        <v>-32</v>
      </c>
      <c r="L940" s="114" t="str">
        <f t="shared" si="14"/>
        <v>INSERT INTO DETALLES_DOCUMENTO(NRO_DOCUMENTO,ID_TIPO,ID_PRODUCTO,CANTIDAD,PRECIO,VALOR_BRUTO,VALOR_NETO,VALOR_IVA) VALUES(447,1,112,1,-200,-200,-168,-32);</v>
      </c>
    </row>
    <row r="941" spans="1:12">
      <c r="A941" s="114">
        <v>1</v>
      </c>
      <c r="B941" s="114">
        <v>448</v>
      </c>
      <c r="C941" s="139" t="s">
        <v>2243</v>
      </c>
      <c r="D941" s="114" t="s">
        <v>2090</v>
      </c>
      <c r="E941" s="114">
        <v>98</v>
      </c>
      <c r="F941" s="114">
        <v>329</v>
      </c>
      <c r="G941" s="114">
        <v>1</v>
      </c>
      <c r="H941" s="114">
        <v>5500</v>
      </c>
      <c r="I941" s="114">
        <v>5500</v>
      </c>
      <c r="J941" s="114">
        <v>4622</v>
      </c>
      <c r="K941" s="114">
        <v>878</v>
      </c>
      <c r="L941" s="114" t="str">
        <f t="shared" si="14"/>
        <v>INSERT INTO DETALLES_DOCUMENTO(NRO_DOCUMENTO,ID_TIPO,ID_PRODUCTO,CANTIDAD,PRECIO,VALOR_BRUTO,VALOR_NETO,VALOR_IVA) VALUES(448,1,329,1,5500,5500,4622,878);</v>
      </c>
    </row>
    <row r="942" spans="1:12">
      <c r="A942" s="114">
        <v>1</v>
      </c>
      <c r="B942" s="114">
        <v>449</v>
      </c>
      <c r="C942" s="139" t="s">
        <v>2243</v>
      </c>
      <c r="D942" s="114" t="s">
        <v>2090</v>
      </c>
      <c r="E942" s="114">
        <v>122</v>
      </c>
      <c r="F942" s="114">
        <v>58</v>
      </c>
      <c r="G942" s="114">
        <v>1</v>
      </c>
      <c r="H942" s="114">
        <v>2200</v>
      </c>
      <c r="I942" s="114">
        <v>2200</v>
      </c>
      <c r="J942" s="114">
        <v>1849</v>
      </c>
      <c r="K942" s="114">
        <v>351</v>
      </c>
      <c r="L942" s="114" t="str">
        <f t="shared" si="14"/>
        <v>INSERT INTO DETALLES_DOCUMENTO(NRO_DOCUMENTO,ID_TIPO,ID_PRODUCTO,CANTIDAD,PRECIO,VALOR_BRUTO,VALOR_NETO,VALOR_IVA) VALUES(449,1,58,1,2200,2200,1849,351);</v>
      </c>
    </row>
    <row r="943" spans="1:12">
      <c r="A943" s="114">
        <v>1</v>
      </c>
      <c r="B943" s="114">
        <v>449</v>
      </c>
      <c r="C943" s="139" t="s">
        <v>2243</v>
      </c>
      <c r="D943" s="114" t="s">
        <v>2090</v>
      </c>
      <c r="E943" s="114">
        <v>122</v>
      </c>
      <c r="F943" s="114">
        <v>112</v>
      </c>
      <c r="G943" s="114">
        <v>1</v>
      </c>
      <c r="H943" s="114">
        <v>-200</v>
      </c>
      <c r="I943" s="114">
        <v>-200</v>
      </c>
      <c r="J943" s="114">
        <v>-168</v>
      </c>
      <c r="K943" s="114">
        <v>-32</v>
      </c>
      <c r="L943" s="114" t="str">
        <f t="shared" si="14"/>
        <v>INSERT INTO DETALLES_DOCUMENTO(NRO_DOCUMENTO,ID_TIPO,ID_PRODUCTO,CANTIDAD,PRECIO,VALOR_BRUTO,VALOR_NETO,VALOR_IVA) VALUES(449,1,112,1,-200,-200,-168,-32);</v>
      </c>
    </row>
    <row r="944" spans="1:12">
      <c r="A944" s="114">
        <v>1</v>
      </c>
      <c r="B944" s="114">
        <v>449</v>
      </c>
      <c r="C944" s="139" t="s">
        <v>2243</v>
      </c>
      <c r="D944" s="114" t="s">
        <v>2090</v>
      </c>
      <c r="E944" s="114">
        <v>122</v>
      </c>
      <c r="F944" s="114">
        <v>233</v>
      </c>
      <c r="G944" s="114">
        <v>1</v>
      </c>
      <c r="H944" s="114">
        <v>15990</v>
      </c>
      <c r="I944" s="114">
        <v>15990</v>
      </c>
      <c r="J944" s="114">
        <v>13437</v>
      </c>
      <c r="K944" s="114">
        <v>2553</v>
      </c>
      <c r="L944" s="114" t="str">
        <f t="shared" si="14"/>
        <v>INSERT INTO DETALLES_DOCUMENTO(NRO_DOCUMENTO,ID_TIPO,ID_PRODUCTO,CANTIDAD,PRECIO,VALOR_BRUTO,VALOR_NETO,VALOR_IVA) VALUES(449,1,233,1,15990,15990,13437,2553);</v>
      </c>
    </row>
    <row r="945" spans="1:12">
      <c r="A945" s="114">
        <v>1</v>
      </c>
      <c r="B945" s="114">
        <v>450</v>
      </c>
      <c r="C945" s="139" t="s">
        <v>2243</v>
      </c>
      <c r="D945" s="114" t="s">
        <v>2090</v>
      </c>
      <c r="E945" s="114">
        <v>230</v>
      </c>
      <c r="F945" s="114">
        <v>143</v>
      </c>
      <c r="G945" s="114">
        <v>2</v>
      </c>
      <c r="H945" s="114">
        <v>16600</v>
      </c>
      <c r="I945" s="114">
        <v>33200</v>
      </c>
      <c r="J945" s="114">
        <v>27899</v>
      </c>
      <c r="K945" s="114">
        <v>5301</v>
      </c>
      <c r="L945" s="114" t="str">
        <f t="shared" si="14"/>
        <v>INSERT INTO DETALLES_DOCUMENTO(NRO_DOCUMENTO,ID_TIPO,ID_PRODUCTO,CANTIDAD,PRECIO,VALOR_BRUTO,VALOR_NETO,VALOR_IVA) VALUES(450,1,143,2,16600,33200,27899,5301);</v>
      </c>
    </row>
    <row r="946" spans="1:12">
      <c r="A946" s="114">
        <v>1</v>
      </c>
      <c r="B946" s="114">
        <v>451</v>
      </c>
      <c r="C946" s="139" t="s">
        <v>2243</v>
      </c>
      <c r="D946" s="114" t="s">
        <v>2090</v>
      </c>
      <c r="E946" s="114">
        <v>241</v>
      </c>
      <c r="F946" s="114">
        <v>263</v>
      </c>
      <c r="G946" s="114">
        <v>1</v>
      </c>
      <c r="H946" s="114">
        <v>8000</v>
      </c>
      <c r="I946" s="114">
        <v>8000</v>
      </c>
      <c r="J946" s="114">
        <v>6723</v>
      </c>
      <c r="K946" s="114">
        <v>1277</v>
      </c>
      <c r="L946" s="114" t="str">
        <f t="shared" si="14"/>
        <v>INSERT INTO DETALLES_DOCUMENTO(NRO_DOCUMENTO,ID_TIPO,ID_PRODUCTO,CANTIDAD,PRECIO,VALOR_BRUTO,VALOR_NETO,VALOR_IVA) VALUES(451,1,263,1,8000,8000,6723,1277);</v>
      </c>
    </row>
    <row r="947" spans="1:12">
      <c r="A947" s="114">
        <v>1</v>
      </c>
      <c r="B947" s="114">
        <v>452</v>
      </c>
      <c r="C947" s="139" t="s">
        <v>2243</v>
      </c>
      <c r="D947" s="114" t="s">
        <v>2090</v>
      </c>
      <c r="E947" s="114">
        <v>300</v>
      </c>
      <c r="F947" s="114">
        <v>143</v>
      </c>
      <c r="G947" s="114">
        <v>1</v>
      </c>
      <c r="H947" s="114">
        <v>8300</v>
      </c>
      <c r="I947" s="114">
        <v>8300</v>
      </c>
      <c r="J947" s="114">
        <v>6975</v>
      </c>
      <c r="K947" s="114">
        <v>1325</v>
      </c>
      <c r="L947" s="114" t="str">
        <f t="shared" si="14"/>
        <v>INSERT INTO DETALLES_DOCUMENTO(NRO_DOCUMENTO,ID_TIPO,ID_PRODUCTO,CANTIDAD,PRECIO,VALOR_BRUTO,VALOR_NETO,VALOR_IVA) VALUES(452,1,143,1,8300,8300,6975,1325);</v>
      </c>
    </row>
    <row r="948" spans="1:12">
      <c r="A948" s="114">
        <v>1</v>
      </c>
      <c r="B948" s="114">
        <v>453</v>
      </c>
      <c r="C948" s="139" t="s">
        <v>2243</v>
      </c>
      <c r="D948" s="114" t="s">
        <v>2090</v>
      </c>
      <c r="E948" s="114">
        <v>315</v>
      </c>
      <c r="F948" s="114">
        <v>143</v>
      </c>
      <c r="G948" s="114">
        <v>1</v>
      </c>
      <c r="H948" s="114">
        <v>8300</v>
      </c>
      <c r="I948" s="114">
        <v>8300</v>
      </c>
      <c r="J948" s="114">
        <v>6975</v>
      </c>
      <c r="K948" s="114">
        <v>1325</v>
      </c>
      <c r="L948" s="114" t="str">
        <f t="shared" si="14"/>
        <v>INSERT INTO DETALLES_DOCUMENTO(NRO_DOCUMENTO,ID_TIPO,ID_PRODUCTO,CANTIDAD,PRECIO,VALOR_BRUTO,VALOR_NETO,VALOR_IVA) VALUES(453,1,143,1,8300,8300,6975,1325);</v>
      </c>
    </row>
    <row r="949" spans="1:12">
      <c r="A949" s="114">
        <v>1</v>
      </c>
      <c r="B949" s="114">
        <v>453</v>
      </c>
      <c r="C949" s="139" t="s">
        <v>2243</v>
      </c>
      <c r="D949" s="114" t="s">
        <v>2090</v>
      </c>
      <c r="E949" s="114">
        <v>315</v>
      </c>
      <c r="F949" s="114">
        <v>368</v>
      </c>
      <c r="G949" s="114">
        <v>1</v>
      </c>
      <c r="H949" s="114">
        <v>3000</v>
      </c>
      <c r="I949" s="114">
        <v>3000</v>
      </c>
      <c r="J949" s="114">
        <v>2521</v>
      </c>
      <c r="K949" s="114">
        <v>479</v>
      </c>
      <c r="L949" s="114" t="str">
        <f t="shared" si="14"/>
        <v>INSERT INTO DETALLES_DOCUMENTO(NRO_DOCUMENTO,ID_TIPO,ID_PRODUCTO,CANTIDAD,PRECIO,VALOR_BRUTO,VALOR_NETO,VALOR_IVA) VALUES(453,1,368,1,3000,3000,2521,479);</v>
      </c>
    </row>
    <row r="950" spans="1:12">
      <c r="A950" s="114">
        <v>1</v>
      </c>
      <c r="B950" s="114">
        <v>453</v>
      </c>
      <c r="C950" s="139" t="s">
        <v>2243</v>
      </c>
      <c r="D950" s="114" t="s">
        <v>2090</v>
      </c>
      <c r="E950" s="114">
        <v>315</v>
      </c>
      <c r="F950" s="114">
        <v>166</v>
      </c>
      <c r="G950" s="114">
        <v>1</v>
      </c>
      <c r="H950" s="114">
        <v>1600</v>
      </c>
      <c r="I950" s="114">
        <v>1600</v>
      </c>
      <c r="J950" s="114">
        <v>1345</v>
      </c>
      <c r="K950" s="114">
        <v>255</v>
      </c>
      <c r="L950" s="114" t="str">
        <f t="shared" si="14"/>
        <v>INSERT INTO DETALLES_DOCUMENTO(NRO_DOCUMENTO,ID_TIPO,ID_PRODUCTO,CANTIDAD,PRECIO,VALOR_BRUTO,VALOR_NETO,VALOR_IVA) VALUES(453,1,166,1,1600,1600,1345,255);</v>
      </c>
    </row>
    <row r="951" spans="1:12">
      <c r="A951" s="114">
        <v>1</v>
      </c>
      <c r="B951" s="114">
        <v>454</v>
      </c>
      <c r="C951" s="139" t="s">
        <v>2243</v>
      </c>
      <c r="D951" s="114" t="s">
        <v>2090</v>
      </c>
      <c r="E951" s="114">
        <v>334</v>
      </c>
      <c r="F951" s="114">
        <v>49</v>
      </c>
      <c r="G951" s="114">
        <v>1</v>
      </c>
      <c r="H951" s="114">
        <v>4200</v>
      </c>
      <c r="I951" s="114">
        <v>4200</v>
      </c>
      <c r="J951" s="114">
        <v>3529</v>
      </c>
      <c r="K951" s="114">
        <v>671</v>
      </c>
      <c r="L951" s="114" t="str">
        <f t="shared" si="14"/>
        <v>INSERT INTO DETALLES_DOCUMENTO(NRO_DOCUMENTO,ID_TIPO,ID_PRODUCTO,CANTIDAD,PRECIO,VALOR_BRUTO,VALOR_NETO,VALOR_IVA) VALUES(454,1,49,1,4200,4200,3529,671);</v>
      </c>
    </row>
    <row r="952" spans="1:12">
      <c r="A952" s="114">
        <v>1</v>
      </c>
      <c r="B952" s="114">
        <v>454</v>
      </c>
      <c r="C952" s="139" t="s">
        <v>2243</v>
      </c>
      <c r="D952" s="114" t="s">
        <v>2090</v>
      </c>
      <c r="E952" s="114">
        <v>334</v>
      </c>
      <c r="F952" s="114">
        <v>126</v>
      </c>
      <c r="G952" s="114">
        <v>1</v>
      </c>
      <c r="H952" s="114">
        <v>9000</v>
      </c>
      <c r="I952" s="114">
        <v>9000</v>
      </c>
      <c r="J952" s="114">
        <v>7563</v>
      </c>
      <c r="K952" s="114">
        <v>1437</v>
      </c>
      <c r="L952" s="114" t="str">
        <f t="shared" si="14"/>
        <v>INSERT INTO DETALLES_DOCUMENTO(NRO_DOCUMENTO,ID_TIPO,ID_PRODUCTO,CANTIDAD,PRECIO,VALOR_BRUTO,VALOR_NETO,VALOR_IVA) VALUES(454,1,126,1,9000,9000,7563,1437);</v>
      </c>
    </row>
    <row r="953" spans="1:12">
      <c r="A953" s="114">
        <v>1</v>
      </c>
      <c r="B953" s="114">
        <v>455</v>
      </c>
      <c r="C953" s="139" t="s">
        <v>2243</v>
      </c>
      <c r="D953" s="114" t="s">
        <v>2090</v>
      </c>
      <c r="E953" s="114">
        <v>397</v>
      </c>
      <c r="F953" s="114">
        <v>329</v>
      </c>
      <c r="G953" s="114">
        <v>1</v>
      </c>
      <c r="H953" s="114">
        <v>5500</v>
      </c>
      <c r="I953" s="114">
        <v>5500</v>
      </c>
      <c r="J953" s="114">
        <v>4622</v>
      </c>
      <c r="K953" s="114">
        <v>878</v>
      </c>
      <c r="L953" s="114" t="str">
        <f t="shared" si="14"/>
        <v>INSERT INTO DETALLES_DOCUMENTO(NRO_DOCUMENTO,ID_TIPO,ID_PRODUCTO,CANTIDAD,PRECIO,VALOR_BRUTO,VALOR_NETO,VALOR_IVA) VALUES(455,1,329,1,5500,5500,4622,878);</v>
      </c>
    </row>
    <row r="954" spans="1:12">
      <c r="A954" s="114">
        <v>1</v>
      </c>
      <c r="B954" s="114">
        <v>455</v>
      </c>
      <c r="C954" s="139" t="s">
        <v>2243</v>
      </c>
      <c r="D954" s="114" t="s">
        <v>2090</v>
      </c>
      <c r="E954" s="114">
        <v>397</v>
      </c>
      <c r="F954" s="114">
        <v>327</v>
      </c>
      <c r="G954" s="114">
        <v>1</v>
      </c>
      <c r="H954" s="114">
        <v>3000</v>
      </c>
      <c r="I954" s="114">
        <v>3000</v>
      </c>
      <c r="J954" s="114">
        <v>2521</v>
      </c>
      <c r="K954" s="114">
        <v>479</v>
      </c>
      <c r="L954" s="114" t="str">
        <f t="shared" si="14"/>
        <v>INSERT INTO DETALLES_DOCUMENTO(NRO_DOCUMENTO,ID_TIPO,ID_PRODUCTO,CANTIDAD,PRECIO,VALOR_BRUTO,VALOR_NETO,VALOR_IVA) VALUES(455,1,327,1,3000,3000,2521,479);</v>
      </c>
    </row>
    <row r="955" spans="1:12">
      <c r="A955" s="114">
        <v>1</v>
      </c>
      <c r="B955" s="114">
        <v>455</v>
      </c>
      <c r="C955" s="139" t="s">
        <v>2243</v>
      </c>
      <c r="D955" s="114" t="s">
        <v>2090</v>
      </c>
      <c r="E955" s="114">
        <v>397</v>
      </c>
      <c r="F955" s="114">
        <v>112</v>
      </c>
      <c r="G955" s="114">
        <v>1</v>
      </c>
      <c r="H955" s="114">
        <v>-500</v>
      </c>
      <c r="I955" s="114">
        <v>-500</v>
      </c>
      <c r="J955" s="114">
        <v>-420</v>
      </c>
      <c r="K955" s="114">
        <v>-80</v>
      </c>
      <c r="L955" s="114" t="str">
        <f t="shared" si="14"/>
        <v>INSERT INTO DETALLES_DOCUMENTO(NRO_DOCUMENTO,ID_TIPO,ID_PRODUCTO,CANTIDAD,PRECIO,VALOR_BRUTO,VALOR_NETO,VALOR_IVA) VALUES(455,1,112,1,-500,-500,-420,-80);</v>
      </c>
    </row>
    <row r="956" spans="1:12">
      <c r="A956" s="114">
        <v>1</v>
      </c>
      <c r="B956" s="114">
        <v>455</v>
      </c>
      <c r="C956" s="139" t="s">
        <v>2243</v>
      </c>
      <c r="D956" s="114" t="s">
        <v>2090</v>
      </c>
      <c r="E956" s="114">
        <v>397</v>
      </c>
      <c r="F956" s="114">
        <v>330</v>
      </c>
      <c r="G956" s="114">
        <v>1</v>
      </c>
      <c r="H956" s="114">
        <v>4300</v>
      </c>
      <c r="I956" s="114">
        <v>4300</v>
      </c>
      <c r="J956" s="114">
        <v>3613</v>
      </c>
      <c r="K956" s="114">
        <v>687</v>
      </c>
      <c r="L956" s="114" t="str">
        <f t="shared" si="14"/>
        <v>INSERT INTO DETALLES_DOCUMENTO(NRO_DOCUMENTO,ID_TIPO,ID_PRODUCTO,CANTIDAD,PRECIO,VALOR_BRUTO,VALOR_NETO,VALOR_IVA) VALUES(455,1,330,1,4300,4300,3613,687);</v>
      </c>
    </row>
    <row r="957" spans="1:12">
      <c r="A957" s="114">
        <v>1</v>
      </c>
      <c r="B957" s="114">
        <v>456</v>
      </c>
      <c r="C957" s="139" t="s">
        <v>2243</v>
      </c>
      <c r="D957" s="114" t="s">
        <v>2090</v>
      </c>
      <c r="E957" s="114">
        <v>430</v>
      </c>
      <c r="F957" s="114">
        <v>329</v>
      </c>
      <c r="G957" s="114">
        <v>1</v>
      </c>
      <c r="H957" s="114">
        <v>5500</v>
      </c>
      <c r="I957" s="114">
        <v>5500</v>
      </c>
      <c r="J957" s="114">
        <v>4622</v>
      </c>
      <c r="K957" s="114">
        <v>878</v>
      </c>
      <c r="L957" s="114" t="str">
        <f t="shared" si="14"/>
        <v>INSERT INTO DETALLES_DOCUMENTO(NRO_DOCUMENTO,ID_TIPO,ID_PRODUCTO,CANTIDAD,PRECIO,VALOR_BRUTO,VALOR_NETO,VALOR_IVA) VALUES(456,1,329,1,5500,5500,4622,878);</v>
      </c>
    </row>
    <row r="958" spans="1:12">
      <c r="A958" s="114">
        <v>1</v>
      </c>
      <c r="B958" s="114">
        <v>457</v>
      </c>
      <c r="C958" s="139" t="s">
        <v>2244</v>
      </c>
      <c r="D958" s="114" t="s">
        <v>2090</v>
      </c>
      <c r="E958" s="114">
        <v>76</v>
      </c>
      <c r="F958" s="114">
        <v>324</v>
      </c>
      <c r="G958" s="114">
        <v>1</v>
      </c>
      <c r="H958" s="114">
        <v>10500</v>
      </c>
      <c r="I958" s="114">
        <v>10500</v>
      </c>
      <c r="J958" s="114">
        <v>8824</v>
      </c>
      <c r="K958" s="114">
        <v>1676</v>
      </c>
      <c r="L958" s="114" t="str">
        <f t="shared" si="14"/>
        <v>INSERT INTO DETALLES_DOCUMENTO(NRO_DOCUMENTO,ID_TIPO,ID_PRODUCTO,CANTIDAD,PRECIO,VALOR_BRUTO,VALOR_NETO,VALOR_IVA) VALUES(457,1,324,1,10500,10500,8824,1676);</v>
      </c>
    </row>
    <row r="959" spans="1:12">
      <c r="A959" s="114">
        <v>1</v>
      </c>
      <c r="B959" s="114">
        <v>458</v>
      </c>
      <c r="C959" s="139" t="s">
        <v>2244</v>
      </c>
      <c r="D959" s="114" t="s">
        <v>2090</v>
      </c>
      <c r="E959" s="114">
        <v>202</v>
      </c>
      <c r="F959" s="114">
        <v>143</v>
      </c>
      <c r="G959" s="114">
        <v>1</v>
      </c>
      <c r="H959" s="114">
        <v>8300</v>
      </c>
      <c r="I959" s="114">
        <v>8300</v>
      </c>
      <c r="J959" s="114">
        <v>6975</v>
      </c>
      <c r="K959" s="114">
        <v>1325</v>
      </c>
      <c r="L959" s="114" t="str">
        <f t="shared" si="14"/>
        <v>INSERT INTO DETALLES_DOCUMENTO(NRO_DOCUMENTO,ID_TIPO,ID_PRODUCTO,CANTIDAD,PRECIO,VALOR_BRUTO,VALOR_NETO,VALOR_IVA) VALUES(458,1,143,1,8300,8300,6975,1325);</v>
      </c>
    </row>
    <row r="960" spans="1:12">
      <c r="A960" s="114">
        <v>1</v>
      </c>
      <c r="B960" s="114">
        <v>458</v>
      </c>
      <c r="C960" s="139" t="s">
        <v>2244</v>
      </c>
      <c r="D960" s="114" t="s">
        <v>2090</v>
      </c>
      <c r="E960" s="114">
        <v>202</v>
      </c>
      <c r="F960" s="114">
        <v>167</v>
      </c>
      <c r="G960" s="114">
        <v>1</v>
      </c>
      <c r="H960" s="114">
        <v>8200</v>
      </c>
      <c r="I960" s="114">
        <v>8200</v>
      </c>
      <c r="J960" s="114">
        <v>6891</v>
      </c>
      <c r="K960" s="114">
        <v>1309</v>
      </c>
      <c r="L960" s="114" t="str">
        <f t="shared" si="14"/>
        <v>INSERT INTO DETALLES_DOCUMENTO(NRO_DOCUMENTO,ID_TIPO,ID_PRODUCTO,CANTIDAD,PRECIO,VALOR_BRUTO,VALOR_NETO,VALOR_IVA) VALUES(458,1,167,1,8200,8200,6891,1309);</v>
      </c>
    </row>
    <row r="961" spans="1:12">
      <c r="A961" s="114">
        <v>1</v>
      </c>
      <c r="B961" s="114">
        <v>459</v>
      </c>
      <c r="C961" s="139" t="s">
        <v>2244</v>
      </c>
      <c r="D961" s="114" t="s">
        <v>2090</v>
      </c>
      <c r="E961" s="114">
        <v>300</v>
      </c>
      <c r="F961" s="114">
        <v>368</v>
      </c>
      <c r="G961" s="114">
        <v>2</v>
      </c>
      <c r="H961" s="114">
        <v>6000</v>
      </c>
      <c r="I961" s="114">
        <v>12000</v>
      </c>
      <c r="J961" s="114">
        <v>10084</v>
      </c>
      <c r="K961" s="114">
        <v>1916</v>
      </c>
      <c r="L961" s="114" t="str">
        <f t="shared" si="14"/>
        <v>INSERT INTO DETALLES_DOCUMENTO(NRO_DOCUMENTO,ID_TIPO,ID_PRODUCTO,CANTIDAD,PRECIO,VALOR_BRUTO,VALOR_NETO,VALOR_IVA) VALUES(459,1,368,2,6000,12000,10084,1916);</v>
      </c>
    </row>
    <row r="962" spans="1:12">
      <c r="A962" s="114">
        <v>1</v>
      </c>
      <c r="B962" s="114">
        <v>459</v>
      </c>
      <c r="C962" s="139" t="s">
        <v>2244</v>
      </c>
      <c r="D962" s="114" t="s">
        <v>2090</v>
      </c>
      <c r="E962" s="114">
        <v>300</v>
      </c>
      <c r="F962" s="114">
        <v>354</v>
      </c>
      <c r="G962" s="114">
        <v>1</v>
      </c>
      <c r="H962" s="114">
        <v>1800</v>
      </c>
      <c r="I962" s="114">
        <v>1800</v>
      </c>
      <c r="J962" s="114">
        <v>1513</v>
      </c>
      <c r="K962" s="114">
        <v>287</v>
      </c>
      <c r="L962" s="114" t="str">
        <f t="shared" si="14"/>
        <v>INSERT INTO DETALLES_DOCUMENTO(NRO_DOCUMENTO,ID_TIPO,ID_PRODUCTO,CANTIDAD,PRECIO,VALOR_BRUTO,VALOR_NETO,VALOR_IVA) VALUES(459,1,354,1,1800,1800,1513,287);</v>
      </c>
    </row>
    <row r="963" spans="1:12">
      <c r="A963" s="114">
        <v>1</v>
      </c>
      <c r="B963" s="114">
        <v>459</v>
      </c>
      <c r="C963" s="139" t="s">
        <v>2244</v>
      </c>
      <c r="D963" s="114" t="s">
        <v>2090</v>
      </c>
      <c r="E963" s="114">
        <v>300</v>
      </c>
      <c r="F963" s="114">
        <v>191</v>
      </c>
      <c r="G963" s="114">
        <v>2</v>
      </c>
      <c r="H963" s="114">
        <v>5000</v>
      </c>
      <c r="I963" s="114">
        <v>10000</v>
      </c>
      <c r="J963" s="114">
        <v>8403</v>
      </c>
      <c r="K963" s="114">
        <v>1597</v>
      </c>
      <c r="L963" s="114" t="str">
        <f t="shared" ref="L963:L1026" si="15">CONCATENATE("INSERT INTO DETALLES_DOCUMENTO(NRO_DOCUMENTO,ID_TIPO,ID_PRODUCTO,CANTIDAD,PRECIO,VALOR_BRUTO,VALOR_NETO,VALOR_IVA) VALUES(",B963,",",A963,",",F963,",",G963,",",H963,",",I963,",",J963,",",K963,");")</f>
        <v>INSERT INTO DETALLES_DOCUMENTO(NRO_DOCUMENTO,ID_TIPO,ID_PRODUCTO,CANTIDAD,PRECIO,VALOR_BRUTO,VALOR_NETO,VALOR_IVA) VALUES(459,1,191,2,5000,10000,8403,1597);</v>
      </c>
    </row>
    <row r="964" spans="1:12">
      <c r="A964" s="114">
        <v>1</v>
      </c>
      <c r="B964" s="114">
        <v>460</v>
      </c>
      <c r="C964" s="139" t="s">
        <v>2245</v>
      </c>
      <c r="D964" s="114" t="s">
        <v>2090</v>
      </c>
      <c r="E964" s="114">
        <v>57</v>
      </c>
      <c r="F964" s="114">
        <v>143</v>
      </c>
      <c r="G964" s="114">
        <v>1</v>
      </c>
      <c r="H964" s="114">
        <v>8300</v>
      </c>
      <c r="I964" s="114">
        <v>8300</v>
      </c>
      <c r="J964" s="114">
        <v>6975</v>
      </c>
      <c r="K964" s="114">
        <v>1325</v>
      </c>
      <c r="L964" s="114" t="str">
        <f t="shared" si="15"/>
        <v>INSERT INTO DETALLES_DOCUMENTO(NRO_DOCUMENTO,ID_TIPO,ID_PRODUCTO,CANTIDAD,PRECIO,VALOR_BRUTO,VALOR_NETO,VALOR_IVA) VALUES(460,1,143,1,8300,8300,6975,1325);</v>
      </c>
    </row>
    <row r="965" spans="1:12">
      <c r="A965" s="114">
        <v>1</v>
      </c>
      <c r="B965" s="114">
        <v>461</v>
      </c>
      <c r="C965" s="139" t="s">
        <v>2245</v>
      </c>
      <c r="D965" s="114" t="s">
        <v>2090</v>
      </c>
      <c r="E965" s="114">
        <v>148</v>
      </c>
      <c r="F965" s="114">
        <v>143</v>
      </c>
      <c r="G965" s="114">
        <v>1</v>
      </c>
      <c r="H965" s="114">
        <v>8300</v>
      </c>
      <c r="I965" s="114">
        <v>8300</v>
      </c>
      <c r="J965" s="114">
        <v>6975</v>
      </c>
      <c r="K965" s="114">
        <v>1325</v>
      </c>
      <c r="L965" s="114" t="str">
        <f t="shared" si="15"/>
        <v>INSERT INTO DETALLES_DOCUMENTO(NRO_DOCUMENTO,ID_TIPO,ID_PRODUCTO,CANTIDAD,PRECIO,VALOR_BRUTO,VALOR_NETO,VALOR_IVA) VALUES(461,1,143,1,8300,8300,6975,1325);</v>
      </c>
    </row>
    <row r="966" spans="1:12">
      <c r="A966" s="114">
        <v>1</v>
      </c>
      <c r="B966" s="114">
        <v>461</v>
      </c>
      <c r="C966" s="139" t="s">
        <v>2245</v>
      </c>
      <c r="D966" s="114" t="s">
        <v>2090</v>
      </c>
      <c r="E966" s="114">
        <v>148</v>
      </c>
      <c r="F966" s="114">
        <v>324</v>
      </c>
      <c r="G966" s="114">
        <v>1</v>
      </c>
      <c r="H966" s="114">
        <v>10500</v>
      </c>
      <c r="I966" s="114">
        <v>10500</v>
      </c>
      <c r="J966" s="114">
        <v>8824</v>
      </c>
      <c r="K966" s="114">
        <v>1676</v>
      </c>
      <c r="L966" s="114" t="str">
        <f t="shared" si="15"/>
        <v>INSERT INTO DETALLES_DOCUMENTO(NRO_DOCUMENTO,ID_TIPO,ID_PRODUCTO,CANTIDAD,PRECIO,VALOR_BRUTO,VALOR_NETO,VALOR_IVA) VALUES(461,1,324,1,10500,10500,8824,1676);</v>
      </c>
    </row>
    <row r="967" spans="1:12">
      <c r="A967" s="114">
        <v>1</v>
      </c>
      <c r="B967" s="114">
        <v>462</v>
      </c>
      <c r="C967" s="139" t="s">
        <v>2245</v>
      </c>
      <c r="D967" s="114" t="s">
        <v>2090</v>
      </c>
      <c r="E967" s="114">
        <v>159</v>
      </c>
      <c r="F967" s="114">
        <v>157</v>
      </c>
      <c r="G967" s="114">
        <v>1</v>
      </c>
      <c r="H967" s="114">
        <v>4300</v>
      </c>
      <c r="I967" s="114">
        <v>4300</v>
      </c>
      <c r="J967" s="114">
        <v>3613</v>
      </c>
      <c r="K967" s="114">
        <v>687</v>
      </c>
      <c r="L967" s="114" t="str">
        <f t="shared" si="15"/>
        <v>INSERT INTO DETALLES_DOCUMENTO(NRO_DOCUMENTO,ID_TIPO,ID_PRODUCTO,CANTIDAD,PRECIO,VALOR_BRUTO,VALOR_NETO,VALOR_IVA) VALUES(462,1,157,1,4300,4300,3613,687);</v>
      </c>
    </row>
    <row r="968" spans="1:12">
      <c r="A968" s="114">
        <v>1</v>
      </c>
      <c r="B968" s="114">
        <v>462</v>
      </c>
      <c r="C968" s="139" t="s">
        <v>2245</v>
      </c>
      <c r="D968" s="114" t="s">
        <v>2090</v>
      </c>
      <c r="E968" s="114">
        <v>159</v>
      </c>
      <c r="F968" s="114">
        <v>296</v>
      </c>
      <c r="G968" s="114">
        <v>1</v>
      </c>
      <c r="H968" s="114">
        <v>3500</v>
      </c>
      <c r="I968" s="114">
        <v>3500</v>
      </c>
      <c r="J968" s="114">
        <v>2941</v>
      </c>
      <c r="K968" s="114">
        <v>559</v>
      </c>
      <c r="L968" s="114" t="str">
        <f t="shared" si="15"/>
        <v>INSERT INTO DETALLES_DOCUMENTO(NRO_DOCUMENTO,ID_TIPO,ID_PRODUCTO,CANTIDAD,PRECIO,VALOR_BRUTO,VALOR_NETO,VALOR_IVA) VALUES(462,1,296,1,3500,3500,2941,559);</v>
      </c>
    </row>
    <row r="969" spans="1:12">
      <c r="A969" s="114">
        <v>1</v>
      </c>
      <c r="B969" s="114">
        <v>463</v>
      </c>
      <c r="C969" s="139" t="s">
        <v>2245</v>
      </c>
      <c r="D969" s="114" t="s">
        <v>2090</v>
      </c>
      <c r="E969" s="114">
        <v>164</v>
      </c>
      <c r="F969" s="114">
        <v>231</v>
      </c>
      <c r="G969" s="114">
        <v>1</v>
      </c>
      <c r="H969" s="114">
        <v>19990</v>
      </c>
      <c r="I969" s="114">
        <v>19990</v>
      </c>
      <c r="J969" s="114">
        <v>16798</v>
      </c>
      <c r="K969" s="114">
        <v>3192</v>
      </c>
      <c r="L969" s="114" t="str">
        <f t="shared" si="15"/>
        <v>INSERT INTO DETALLES_DOCUMENTO(NRO_DOCUMENTO,ID_TIPO,ID_PRODUCTO,CANTIDAD,PRECIO,VALOR_BRUTO,VALOR_NETO,VALOR_IVA) VALUES(463,1,231,1,19990,19990,16798,3192);</v>
      </c>
    </row>
    <row r="970" spans="1:12">
      <c r="A970" s="114">
        <v>1</v>
      </c>
      <c r="B970" s="114">
        <v>464</v>
      </c>
      <c r="C970" s="139" t="s">
        <v>2245</v>
      </c>
      <c r="D970" s="114" t="s">
        <v>2090</v>
      </c>
      <c r="E970" s="114">
        <v>166</v>
      </c>
      <c r="F970" s="114">
        <v>329</v>
      </c>
      <c r="G970" s="114">
        <v>1</v>
      </c>
      <c r="H970" s="114">
        <v>5500</v>
      </c>
      <c r="I970" s="114">
        <v>5500</v>
      </c>
      <c r="J970" s="114">
        <v>4622</v>
      </c>
      <c r="K970" s="114">
        <v>878</v>
      </c>
      <c r="L970" s="114" t="str">
        <f t="shared" si="15"/>
        <v>INSERT INTO DETALLES_DOCUMENTO(NRO_DOCUMENTO,ID_TIPO,ID_PRODUCTO,CANTIDAD,PRECIO,VALOR_BRUTO,VALOR_NETO,VALOR_IVA) VALUES(464,1,329,1,5500,5500,4622,878);</v>
      </c>
    </row>
    <row r="971" spans="1:12">
      <c r="A971" s="114">
        <v>1</v>
      </c>
      <c r="B971" s="114">
        <v>465</v>
      </c>
      <c r="C971" s="139" t="s">
        <v>2245</v>
      </c>
      <c r="D971" s="114" t="s">
        <v>2090</v>
      </c>
      <c r="E971" s="114">
        <v>276</v>
      </c>
      <c r="F971" s="114">
        <v>324</v>
      </c>
      <c r="G971" s="114">
        <v>1</v>
      </c>
      <c r="H971" s="114">
        <v>10500</v>
      </c>
      <c r="I971" s="114">
        <v>10500</v>
      </c>
      <c r="J971" s="114">
        <v>8824</v>
      </c>
      <c r="K971" s="114">
        <v>1676</v>
      </c>
      <c r="L971" s="114" t="str">
        <f t="shared" si="15"/>
        <v>INSERT INTO DETALLES_DOCUMENTO(NRO_DOCUMENTO,ID_TIPO,ID_PRODUCTO,CANTIDAD,PRECIO,VALOR_BRUTO,VALOR_NETO,VALOR_IVA) VALUES(465,1,324,1,10500,10500,8824,1676);</v>
      </c>
    </row>
    <row r="972" spans="1:12">
      <c r="A972" s="114">
        <v>1</v>
      </c>
      <c r="B972" s="114">
        <v>466</v>
      </c>
      <c r="C972" s="139" t="s">
        <v>2245</v>
      </c>
      <c r="D972" s="114" t="s">
        <v>2090</v>
      </c>
      <c r="E972" s="114">
        <v>312</v>
      </c>
      <c r="F972" s="114">
        <v>143</v>
      </c>
      <c r="G972" s="114">
        <v>1</v>
      </c>
      <c r="H972" s="114">
        <v>8300</v>
      </c>
      <c r="I972" s="114">
        <v>8300</v>
      </c>
      <c r="J972" s="114">
        <v>6975</v>
      </c>
      <c r="K972" s="114">
        <v>1325</v>
      </c>
      <c r="L972" s="114" t="str">
        <f t="shared" si="15"/>
        <v>INSERT INTO DETALLES_DOCUMENTO(NRO_DOCUMENTO,ID_TIPO,ID_PRODUCTO,CANTIDAD,PRECIO,VALOR_BRUTO,VALOR_NETO,VALOR_IVA) VALUES(466,1,143,1,8300,8300,6975,1325);</v>
      </c>
    </row>
    <row r="973" spans="1:12">
      <c r="A973" s="114">
        <v>1</v>
      </c>
      <c r="B973" s="114">
        <v>467</v>
      </c>
      <c r="C973" s="139" t="s">
        <v>2245</v>
      </c>
      <c r="D973" s="114" t="s">
        <v>2090</v>
      </c>
      <c r="E973" s="114">
        <v>408</v>
      </c>
      <c r="F973" s="114">
        <v>256</v>
      </c>
      <c r="G973" s="114">
        <v>3</v>
      </c>
      <c r="H973" s="114">
        <v>9000</v>
      </c>
      <c r="I973" s="114">
        <v>27000</v>
      </c>
      <c r="J973" s="114">
        <v>22689</v>
      </c>
      <c r="K973" s="114">
        <v>4311</v>
      </c>
      <c r="L973" s="114" t="str">
        <f t="shared" si="15"/>
        <v>INSERT INTO DETALLES_DOCUMENTO(NRO_DOCUMENTO,ID_TIPO,ID_PRODUCTO,CANTIDAD,PRECIO,VALOR_BRUTO,VALOR_NETO,VALOR_IVA) VALUES(467,1,256,3,9000,27000,22689,4311);</v>
      </c>
    </row>
    <row r="974" spans="1:12">
      <c r="A974" s="114">
        <v>1</v>
      </c>
      <c r="B974" s="114">
        <v>468</v>
      </c>
      <c r="C974" s="139" t="s">
        <v>2245</v>
      </c>
      <c r="D974" s="114" t="s">
        <v>2090</v>
      </c>
      <c r="E974" s="114">
        <v>419</v>
      </c>
      <c r="F974" s="114">
        <v>293</v>
      </c>
      <c r="G974" s="114">
        <v>1</v>
      </c>
      <c r="H974" s="114">
        <v>9500</v>
      </c>
      <c r="I974" s="114">
        <v>9500</v>
      </c>
      <c r="J974" s="114">
        <v>7983</v>
      </c>
      <c r="K974" s="114">
        <v>1517</v>
      </c>
      <c r="L974" s="114" t="str">
        <f t="shared" si="15"/>
        <v>INSERT INTO DETALLES_DOCUMENTO(NRO_DOCUMENTO,ID_TIPO,ID_PRODUCTO,CANTIDAD,PRECIO,VALOR_BRUTO,VALOR_NETO,VALOR_IVA) VALUES(468,1,293,1,9500,9500,7983,1517);</v>
      </c>
    </row>
    <row r="975" spans="1:12">
      <c r="A975" s="114">
        <v>1</v>
      </c>
      <c r="B975" s="114">
        <v>468</v>
      </c>
      <c r="C975" s="139" t="s">
        <v>2245</v>
      </c>
      <c r="D975" s="114" t="s">
        <v>2090</v>
      </c>
      <c r="E975" s="114">
        <v>419</v>
      </c>
      <c r="F975" s="114">
        <v>368</v>
      </c>
      <c r="G975" s="114">
        <v>2</v>
      </c>
      <c r="H975" s="114">
        <v>6000</v>
      </c>
      <c r="I975" s="114">
        <v>12000</v>
      </c>
      <c r="J975" s="114">
        <v>10084</v>
      </c>
      <c r="K975" s="114">
        <v>1916</v>
      </c>
      <c r="L975" s="114" t="str">
        <f t="shared" si="15"/>
        <v>INSERT INTO DETALLES_DOCUMENTO(NRO_DOCUMENTO,ID_TIPO,ID_PRODUCTO,CANTIDAD,PRECIO,VALOR_BRUTO,VALOR_NETO,VALOR_IVA) VALUES(468,1,368,2,6000,12000,10084,1916);</v>
      </c>
    </row>
    <row r="976" spans="1:12">
      <c r="A976" s="114">
        <v>1</v>
      </c>
      <c r="B976" s="114">
        <v>468</v>
      </c>
      <c r="C976" s="139" t="s">
        <v>2245</v>
      </c>
      <c r="D976" s="114" t="s">
        <v>2090</v>
      </c>
      <c r="E976" s="114">
        <v>419</v>
      </c>
      <c r="F976" s="114">
        <v>329</v>
      </c>
      <c r="G976" s="114">
        <v>1</v>
      </c>
      <c r="H976" s="114">
        <v>5500</v>
      </c>
      <c r="I976" s="114">
        <v>5500</v>
      </c>
      <c r="J976" s="114">
        <v>4622</v>
      </c>
      <c r="K976" s="114">
        <v>878</v>
      </c>
      <c r="L976" s="114" t="str">
        <f t="shared" si="15"/>
        <v>INSERT INTO DETALLES_DOCUMENTO(NRO_DOCUMENTO,ID_TIPO,ID_PRODUCTO,CANTIDAD,PRECIO,VALOR_BRUTO,VALOR_NETO,VALOR_IVA) VALUES(468,1,329,1,5500,5500,4622,878);</v>
      </c>
    </row>
    <row r="977" spans="1:12">
      <c r="A977" s="114">
        <v>1</v>
      </c>
      <c r="B977" s="114">
        <v>469</v>
      </c>
      <c r="C977" s="139" t="s">
        <v>2246</v>
      </c>
      <c r="D977" s="114" t="s">
        <v>2090</v>
      </c>
      <c r="E977" s="114">
        <v>62</v>
      </c>
      <c r="F977" s="114">
        <v>117</v>
      </c>
      <c r="G977" s="114">
        <v>5</v>
      </c>
      <c r="H977" s="114">
        <v>17500</v>
      </c>
      <c r="I977" s="114">
        <v>87500</v>
      </c>
      <c r="J977" s="114">
        <v>73529</v>
      </c>
      <c r="K977" s="114">
        <v>13971</v>
      </c>
      <c r="L977" s="114" t="str">
        <f t="shared" si="15"/>
        <v>INSERT INTO DETALLES_DOCUMENTO(NRO_DOCUMENTO,ID_TIPO,ID_PRODUCTO,CANTIDAD,PRECIO,VALOR_BRUTO,VALOR_NETO,VALOR_IVA) VALUES(469,1,117,5,17500,87500,73529,13971);</v>
      </c>
    </row>
    <row r="978" spans="1:12">
      <c r="A978" s="114">
        <v>1</v>
      </c>
      <c r="B978" s="114">
        <v>469</v>
      </c>
      <c r="C978" s="139" t="s">
        <v>2246</v>
      </c>
      <c r="D978" s="114" t="s">
        <v>2090</v>
      </c>
      <c r="E978" s="114">
        <v>62</v>
      </c>
      <c r="F978" s="114">
        <v>231</v>
      </c>
      <c r="G978" s="114">
        <v>1</v>
      </c>
      <c r="H978" s="114">
        <v>19990</v>
      </c>
      <c r="I978" s="114">
        <v>19990</v>
      </c>
      <c r="J978" s="114">
        <v>16798</v>
      </c>
      <c r="K978" s="114">
        <v>3192</v>
      </c>
      <c r="L978" s="114" t="str">
        <f t="shared" si="15"/>
        <v>INSERT INTO DETALLES_DOCUMENTO(NRO_DOCUMENTO,ID_TIPO,ID_PRODUCTO,CANTIDAD,PRECIO,VALOR_BRUTO,VALOR_NETO,VALOR_IVA) VALUES(469,1,231,1,19990,19990,16798,3192);</v>
      </c>
    </row>
    <row r="979" spans="1:12">
      <c r="A979" s="114">
        <v>1</v>
      </c>
      <c r="B979" s="114">
        <v>469</v>
      </c>
      <c r="C979" s="139" t="s">
        <v>2246</v>
      </c>
      <c r="D979" s="114" t="s">
        <v>2090</v>
      </c>
      <c r="E979" s="114">
        <v>62</v>
      </c>
      <c r="F979" s="114">
        <v>67</v>
      </c>
      <c r="G979" s="114">
        <v>2</v>
      </c>
      <c r="H979" s="114">
        <v>1300</v>
      </c>
      <c r="I979" s="114">
        <v>2600</v>
      </c>
      <c r="J979" s="114">
        <v>2185</v>
      </c>
      <c r="K979" s="114">
        <v>415</v>
      </c>
      <c r="L979" s="114" t="str">
        <f t="shared" si="15"/>
        <v>INSERT INTO DETALLES_DOCUMENTO(NRO_DOCUMENTO,ID_TIPO,ID_PRODUCTO,CANTIDAD,PRECIO,VALOR_BRUTO,VALOR_NETO,VALOR_IVA) VALUES(469,1,67,2,1300,2600,2185,415);</v>
      </c>
    </row>
    <row r="980" spans="1:12">
      <c r="A980" s="114">
        <v>1</v>
      </c>
      <c r="B980" s="114">
        <v>469</v>
      </c>
      <c r="C980" s="139" t="s">
        <v>2246</v>
      </c>
      <c r="D980" s="114" t="s">
        <v>2090</v>
      </c>
      <c r="E980" s="114">
        <v>62</v>
      </c>
      <c r="F980" s="114">
        <v>386</v>
      </c>
      <c r="G980" s="114">
        <v>1</v>
      </c>
      <c r="H980" s="114">
        <v>2700</v>
      </c>
      <c r="I980" s="114">
        <v>2700</v>
      </c>
      <c r="J980" s="114">
        <v>2269</v>
      </c>
      <c r="K980" s="114">
        <v>431</v>
      </c>
      <c r="L980" s="114" t="str">
        <f t="shared" si="15"/>
        <v>INSERT INTO DETALLES_DOCUMENTO(NRO_DOCUMENTO,ID_TIPO,ID_PRODUCTO,CANTIDAD,PRECIO,VALOR_BRUTO,VALOR_NETO,VALOR_IVA) VALUES(469,1,386,1,2700,2700,2269,431);</v>
      </c>
    </row>
    <row r="981" spans="1:12">
      <c r="A981" s="114">
        <v>1</v>
      </c>
      <c r="B981" s="114">
        <v>469</v>
      </c>
      <c r="C981" s="139" t="s">
        <v>2246</v>
      </c>
      <c r="D981" s="114" t="s">
        <v>2090</v>
      </c>
      <c r="E981" s="114">
        <v>62</v>
      </c>
      <c r="F981" s="114">
        <v>368</v>
      </c>
      <c r="G981" s="114">
        <v>3</v>
      </c>
      <c r="H981" s="114">
        <v>9000</v>
      </c>
      <c r="I981" s="114">
        <v>27000</v>
      </c>
      <c r="J981" s="114">
        <v>22689</v>
      </c>
      <c r="K981" s="114">
        <v>4311</v>
      </c>
      <c r="L981" s="114" t="str">
        <f t="shared" si="15"/>
        <v>INSERT INTO DETALLES_DOCUMENTO(NRO_DOCUMENTO,ID_TIPO,ID_PRODUCTO,CANTIDAD,PRECIO,VALOR_BRUTO,VALOR_NETO,VALOR_IVA) VALUES(469,1,368,3,9000,27000,22689,4311);</v>
      </c>
    </row>
    <row r="982" spans="1:12">
      <c r="A982" s="114">
        <v>1</v>
      </c>
      <c r="B982" s="114">
        <v>469</v>
      </c>
      <c r="C982" s="139" t="s">
        <v>2246</v>
      </c>
      <c r="D982" s="114" t="s">
        <v>2090</v>
      </c>
      <c r="E982" s="114">
        <v>62</v>
      </c>
      <c r="F982" s="114">
        <v>247</v>
      </c>
      <c r="G982" s="114">
        <v>1</v>
      </c>
      <c r="H982" s="114">
        <v>2800</v>
      </c>
      <c r="I982" s="114">
        <v>2800</v>
      </c>
      <c r="J982" s="114">
        <v>2353</v>
      </c>
      <c r="K982" s="114">
        <v>447</v>
      </c>
      <c r="L982" s="114" t="str">
        <f t="shared" si="15"/>
        <v>INSERT INTO DETALLES_DOCUMENTO(NRO_DOCUMENTO,ID_TIPO,ID_PRODUCTO,CANTIDAD,PRECIO,VALOR_BRUTO,VALOR_NETO,VALOR_IVA) VALUES(469,1,247,1,2800,2800,2353,447);</v>
      </c>
    </row>
    <row r="983" spans="1:12">
      <c r="A983" s="114">
        <v>1</v>
      </c>
      <c r="B983" s="114">
        <v>469</v>
      </c>
      <c r="C983" s="139" t="s">
        <v>2246</v>
      </c>
      <c r="D983" s="114" t="s">
        <v>2090</v>
      </c>
      <c r="E983" s="114">
        <v>62</v>
      </c>
      <c r="F983" s="114">
        <v>356</v>
      </c>
      <c r="G983" s="114">
        <v>1</v>
      </c>
      <c r="H983" s="114">
        <v>3000</v>
      </c>
      <c r="I983" s="114">
        <v>3000</v>
      </c>
      <c r="J983" s="114">
        <v>2521</v>
      </c>
      <c r="K983" s="114">
        <v>479</v>
      </c>
      <c r="L983" s="114" t="str">
        <f t="shared" si="15"/>
        <v>INSERT INTO DETALLES_DOCUMENTO(NRO_DOCUMENTO,ID_TIPO,ID_PRODUCTO,CANTIDAD,PRECIO,VALOR_BRUTO,VALOR_NETO,VALOR_IVA) VALUES(469,1,356,1,3000,3000,2521,479);</v>
      </c>
    </row>
    <row r="984" spans="1:12">
      <c r="A984" s="114">
        <v>1</v>
      </c>
      <c r="B984" s="114">
        <v>470</v>
      </c>
      <c r="C984" s="139" t="s">
        <v>2247</v>
      </c>
      <c r="D984" s="114" t="s">
        <v>2090</v>
      </c>
      <c r="E984" s="114">
        <v>128</v>
      </c>
      <c r="F984" s="114">
        <v>26</v>
      </c>
      <c r="G984" s="114">
        <v>1</v>
      </c>
      <c r="H984" s="114">
        <v>3400</v>
      </c>
      <c r="I984" s="114">
        <v>3400</v>
      </c>
      <c r="J984" s="114">
        <v>2857</v>
      </c>
      <c r="K984" s="114">
        <v>543</v>
      </c>
      <c r="L984" s="114" t="str">
        <f t="shared" si="15"/>
        <v>INSERT INTO DETALLES_DOCUMENTO(NRO_DOCUMENTO,ID_TIPO,ID_PRODUCTO,CANTIDAD,PRECIO,VALOR_BRUTO,VALOR_NETO,VALOR_IVA) VALUES(470,1,26,1,3400,3400,2857,543);</v>
      </c>
    </row>
    <row r="985" spans="1:12">
      <c r="A985" s="114">
        <v>1</v>
      </c>
      <c r="B985" s="114">
        <v>470</v>
      </c>
      <c r="C985" s="139" t="s">
        <v>2247</v>
      </c>
      <c r="D985" s="114" t="s">
        <v>2090</v>
      </c>
      <c r="E985" s="114">
        <v>128</v>
      </c>
      <c r="F985" s="114">
        <v>27</v>
      </c>
      <c r="G985" s="114">
        <v>1</v>
      </c>
      <c r="H985" s="114">
        <v>8700</v>
      </c>
      <c r="I985" s="114">
        <v>8700</v>
      </c>
      <c r="J985" s="114">
        <v>7311</v>
      </c>
      <c r="K985" s="114">
        <v>1389</v>
      </c>
      <c r="L985" s="114" t="str">
        <f t="shared" si="15"/>
        <v>INSERT INTO DETALLES_DOCUMENTO(NRO_DOCUMENTO,ID_TIPO,ID_PRODUCTO,CANTIDAD,PRECIO,VALOR_BRUTO,VALOR_NETO,VALOR_IVA) VALUES(470,1,27,1,8700,8700,7311,1389);</v>
      </c>
    </row>
    <row r="986" spans="1:12">
      <c r="A986" s="114">
        <v>1</v>
      </c>
      <c r="B986" s="114">
        <v>471</v>
      </c>
      <c r="C986" s="139" t="s">
        <v>2248</v>
      </c>
      <c r="D986" s="114" t="s">
        <v>2090</v>
      </c>
      <c r="E986" s="114">
        <v>1</v>
      </c>
      <c r="F986" s="114">
        <v>143</v>
      </c>
      <c r="G986" s="114">
        <v>1</v>
      </c>
      <c r="H986" s="114">
        <v>8300</v>
      </c>
      <c r="I986" s="114">
        <v>8300</v>
      </c>
      <c r="J986" s="114">
        <v>6975</v>
      </c>
      <c r="K986" s="114">
        <v>1325</v>
      </c>
      <c r="L986" s="114" t="str">
        <f t="shared" si="15"/>
        <v>INSERT INTO DETALLES_DOCUMENTO(NRO_DOCUMENTO,ID_TIPO,ID_PRODUCTO,CANTIDAD,PRECIO,VALOR_BRUTO,VALOR_NETO,VALOR_IVA) VALUES(471,1,143,1,8300,8300,6975,1325);</v>
      </c>
    </row>
    <row r="987" spans="1:12">
      <c r="A987" s="114">
        <v>1</v>
      </c>
      <c r="B987" s="114">
        <v>472</v>
      </c>
      <c r="C987" s="139" t="s">
        <v>2248</v>
      </c>
      <c r="D987" s="114" t="s">
        <v>2090</v>
      </c>
      <c r="E987" s="114">
        <v>166</v>
      </c>
      <c r="F987" s="114">
        <v>143</v>
      </c>
      <c r="G987" s="114">
        <v>1</v>
      </c>
      <c r="H987" s="114">
        <v>8300</v>
      </c>
      <c r="I987" s="114">
        <v>8300</v>
      </c>
      <c r="J987" s="114">
        <v>6975</v>
      </c>
      <c r="K987" s="114">
        <v>1325</v>
      </c>
      <c r="L987" s="114" t="str">
        <f t="shared" si="15"/>
        <v>INSERT INTO DETALLES_DOCUMENTO(NRO_DOCUMENTO,ID_TIPO,ID_PRODUCTO,CANTIDAD,PRECIO,VALOR_BRUTO,VALOR_NETO,VALOR_IVA) VALUES(472,1,143,1,8300,8300,6975,1325);</v>
      </c>
    </row>
    <row r="988" spans="1:12">
      <c r="A988" s="114">
        <v>1</v>
      </c>
      <c r="B988" s="114">
        <v>472</v>
      </c>
      <c r="C988" s="139" t="s">
        <v>2248</v>
      </c>
      <c r="D988" s="114" t="s">
        <v>2090</v>
      </c>
      <c r="E988" s="114">
        <v>166</v>
      </c>
      <c r="F988" s="114">
        <v>324</v>
      </c>
      <c r="G988" s="114">
        <v>1</v>
      </c>
      <c r="H988" s="114">
        <v>10500</v>
      </c>
      <c r="I988" s="114">
        <v>10500</v>
      </c>
      <c r="J988" s="114">
        <v>8824</v>
      </c>
      <c r="K988" s="114">
        <v>1676</v>
      </c>
      <c r="L988" s="114" t="str">
        <f t="shared" si="15"/>
        <v>INSERT INTO DETALLES_DOCUMENTO(NRO_DOCUMENTO,ID_TIPO,ID_PRODUCTO,CANTIDAD,PRECIO,VALOR_BRUTO,VALOR_NETO,VALOR_IVA) VALUES(472,1,324,1,10500,10500,8824,1676);</v>
      </c>
    </row>
    <row r="989" spans="1:12">
      <c r="A989" s="114">
        <v>1</v>
      </c>
      <c r="B989" s="114">
        <v>473</v>
      </c>
      <c r="C989" s="139" t="s">
        <v>2248</v>
      </c>
      <c r="D989" s="114" t="s">
        <v>2090</v>
      </c>
      <c r="E989" s="114">
        <v>374</v>
      </c>
      <c r="F989" s="114">
        <v>324</v>
      </c>
      <c r="G989" s="114">
        <v>1</v>
      </c>
      <c r="H989" s="114">
        <v>10500</v>
      </c>
      <c r="I989" s="114">
        <v>10500</v>
      </c>
      <c r="J989" s="114">
        <v>8824</v>
      </c>
      <c r="K989" s="114">
        <v>1676</v>
      </c>
      <c r="L989" s="114" t="str">
        <f t="shared" si="15"/>
        <v>INSERT INTO DETALLES_DOCUMENTO(NRO_DOCUMENTO,ID_TIPO,ID_PRODUCTO,CANTIDAD,PRECIO,VALOR_BRUTO,VALOR_NETO,VALOR_IVA) VALUES(473,1,324,1,10500,10500,8824,1676);</v>
      </c>
    </row>
    <row r="990" spans="1:12">
      <c r="A990" s="114">
        <v>1</v>
      </c>
      <c r="B990" s="114">
        <v>474</v>
      </c>
      <c r="C990" s="139" t="s">
        <v>2248</v>
      </c>
      <c r="D990" s="114" t="s">
        <v>2090</v>
      </c>
      <c r="E990" s="114">
        <v>418</v>
      </c>
      <c r="F990" s="114">
        <v>261</v>
      </c>
      <c r="G990" s="114">
        <v>1</v>
      </c>
      <c r="H990" s="114">
        <v>7000</v>
      </c>
      <c r="I990" s="114">
        <v>7000</v>
      </c>
      <c r="J990" s="114">
        <v>5882</v>
      </c>
      <c r="K990" s="114">
        <v>1118</v>
      </c>
      <c r="L990" s="114" t="str">
        <f t="shared" si="15"/>
        <v>INSERT INTO DETALLES_DOCUMENTO(NRO_DOCUMENTO,ID_TIPO,ID_PRODUCTO,CANTIDAD,PRECIO,VALOR_BRUTO,VALOR_NETO,VALOR_IVA) VALUES(474,1,261,1,7000,7000,5882,1118);</v>
      </c>
    </row>
    <row r="991" spans="1:12">
      <c r="A991" s="114">
        <v>1</v>
      </c>
      <c r="B991" s="114">
        <v>474</v>
      </c>
      <c r="C991" s="139" t="s">
        <v>2248</v>
      </c>
      <c r="D991" s="114" t="s">
        <v>2090</v>
      </c>
      <c r="E991" s="114">
        <v>418</v>
      </c>
      <c r="F991" s="114">
        <v>329</v>
      </c>
      <c r="G991" s="114">
        <v>1</v>
      </c>
      <c r="H991" s="114">
        <v>5500</v>
      </c>
      <c r="I991" s="114">
        <v>5500</v>
      </c>
      <c r="J991" s="114">
        <v>4622</v>
      </c>
      <c r="K991" s="114">
        <v>878</v>
      </c>
      <c r="L991" s="114" t="str">
        <f t="shared" si="15"/>
        <v>INSERT INTO DETALLES_DOCUMENTO(NRO_DOCUMENTO,ID_TIPO,ID_PRODUCTO,CANTIDAD,PRECIO,VALOR_BRUTO,VALOR_NETO,VALOR_IVA) VALUES(474,1,329,1,5500,5500,4622,878);</v>
      </c>
    </row>
    <row r="992" spans="1:12">
      <c r="A992" s="114">
        <v>1</v>
      </c>
      <c r="B992" s="114">
        <v>475</v>
      </c>
      <c r="C992" s="139" t="s">
        <v>2248</v>
      </c>
      <c r="D992" s="114" t="s">
        <v>2090</v>
      </c>
      <c r="E992" s="114">
        <v>469</v>
      </c>
      <c r="F992" s="114">
        <v>143</v>
      </c>
      <c r="G992" s="114">
        <v>1</v>
      </c>
      <c r="H992" s="114">
        <v>8300</v>
      </c>
      <c r="I992" s="114">
        <v>8300</v>
      </c>
      <c r="J992" s="114">
        <v>6975</v>
      </c>
      <c r="K992" s="114">
        <v>1325</v>
      </c>
      <c r="L992" s="114" t="str">
        <f t="shared" si="15"/>
        <v>INSERT INTO DETALLES_DOCUMENTO(NRO_DOCUMENTO,ID_TIPO,ID_PRODUCTO,CANTIDAD,PRECIO,VALOR_BRUTO,VALOR_NETO,VALOR_IVA) VALUES(475,1,143,1,8300,8300,6975,1325);</v>
      </c>
    </row>
    <row r="993" spans="1:12">
      <c r="A993" s="114">
        <v>1</v>
      </c>
      <c r="B993" s="114">
        <v>476</v>
      </c>
      <c r="C993" s="139" t="s">
        <v>2249</v>
      </c>
      <c r="D993" s="114" t="s">
        <v>2090</v>
      </c>
      <c r="E993" s="114">
        <v>86</v>
      </c>
      <c r="F993" s="114">
        <v>143</v>
      </c>
      <c r="G993" s="114">
        <v>1</v>
      </c>
      <c r="H993" s="114">
        <v>8300</v>
      </c>
      <c r="I993" s="114">
        <v>8300</v>
      </c>
      <c r="J993" s="114">
        <v>6975</v>
      </c>
      <c r="K993" s="114">
        <v>1325</v>
      </c>
      <c r="L993" s="114" t="str">
        <f t="shared" si="15"/>
        <v>INSERT INTO DETALLES_DOCUMENTO(NRO_DOCUMENTO,ID_TIPO,ID_PRODUCTO,CANTIDAD,PRECIO,VALOR_BRUTO,VALOR_NETO,VALOR_IVA) VALUES(476,1,143,1,8300,8300,6975,1325);</v>
      </c>
    </row>
    <row r="994" spans="1:12">
      <c r="A994" s="114">
        <v>1</v>
      </c>
      <c r="B994" s="114">
        <v>477</v>
      </c>
      <c r="C994" s="139" t="s">
        <v>2249</v>
      </c>
      <c r="D994" s="114" t="s">
        <v>2090</v>
      </c>
      <c r="E994" s="114">
        <v>166</v>
      </c>
      <c r="F994" s="114">
        <v>329</v>
      </c>
      <c r="G994" s="114">
        <v>1</v>
      </c>
      <c r="H994" s="114">
        <v>5500</v>
      </c>
      <c r="I994" s="114">
        <v>5500</v>
      </c>
      <c r="J994" s="114">
        <v>4622</v>
      </c>
      <c r="K994" s="114">
        <v>878</v>
      </c>
      <c r="L994" s="114" t="str">
        <f t="shared" si="15"/>
        <v>INSERT INTO DETALLES_DOCUMENTO(NRO_DOCUMENTO,ID_TIPO,ID_PRODUCTO,CANTIDAD,PRECIO,VALOR_BRUTO,VALOR_NETO,VALOR_IVA) VALUES(477,1,329,1,5500,5500,4622,878);</v>
      </c>
    </row>
    <row r="995" spans="1:12">
      <c r="A995" s="114">
        <v>1</v>
      </c>
      <c r="B995" s="114">
        <v>477</v>
      </c>
      <c r="C995" s="139" t="s">
        <v>2249</v>
      </c>
      <c r="D995" s="114" t="s">
        <v>2090</v>
      </c>
      <c r="E995" s="114">
        <v>166</v>
      </c>
      <c r="F995" s="114">
        <v>117</v>
      </c>
      <c r="G995" s="114">
        <v>1</v>
      </c>
      <c r="H995" s="114">
        <v>3500</v>
      </c>
      <c r="I995" s="114">
        <v>3500</v>
      </c>
      <c r="J995" s="114">
        <v>2941</v>
      </c>
      <c r="K995" s="114">
        <v>559</v>
      </c>
      <c r="L995" s="114" t="str">
        <f t="shared" si="15"/>
        <v>INSERT INTO DETALLES_DOCUMENTO(NRO_DOCUMENTO,ID_TIPO,ID_PRODUCTO,CANTIDAD,PRECIO,VALOR_BRUTO,VALOR_NETO,VALOR_IVA) VALUES(477,1,117,1,3500,3500,2941,559);</v>
      </c>
    </row>
    <row r="996" spans="1:12">
      <c r="A996" s="114">
        <v>1</v>
      </c>
      <c r="B996" s="114">
        <v>477</v>
      </c>
      <c r="C996" s="139" t="s">
        <v>2249</v>
      </c>
      <c r="D996" s="114" t="s">
        <v>2090</v>
      </c>
      <c r="E996" s="114">
        <v>166</v>
      </c>
      <c r="F996" s="114">
        <v>155</v>
      </c>
      <c r="G996" s="114">
        <v>1</v>
      </c>
      <c r="H996" s="114">
        <v>1650</v>
      </c>
      <c r="I996" s="114">
        <v>1650</v>
      </c>
      <c r="J996" s="114">
        <v>1387</v>
      </c>
      <c r="K996" s="114">
        <v>263</v>
      </c>
      <c r="L996" s="114" t="str">
        <f t="shared" si="15"/>
        <v>INSERT INTO DETALLES_DOCUMENTO(NRO_DOCUMENTO,ID_TIPO,ID_PRODUCTO,CANTIDAD,PRECIO,VALOR_BRUTO,VALOR_NETO,VALOR_IVA) VALUES(477,1,155,1,1650,1650,1387,263);</v>
      </c>
    </row>
    <row r="997" spans="1:12">
      <c r="A997" s="114">
        <v>1</v>
      </c>
      <c r="B997" s="114">
        <v>478</v>
      </c>
      <c r="C997" s="139" t="s">
        <v>2249</v>
      </c>
      <c r="D997" s="114" t="s">
        <v>2090</v>
      </c>
      <c r="E997" s="114">
        <v>302</v>
      </c>
      <c r="F997" s="114">
        <v>324</v>
      </c>
      <c r="G997" s="114">
        <v>1</v>
      </c>
      <c r="H997" s="114">
        <v>10500</v>
      </c>
      <c r="I997" s="114">
        <v>10500</v>
      </c>
      <c r="J997" s="114">
        <v>8824</v>
      </c>
      <c r="K997" s="114">
        <v>1676</v>
      </c>
      <c r="L997" s="114" t="str">
        <f t="shared" si="15"/>
        <v>INSERT INTO DETALLES_DOCUMENTO(NRO_DOCUMENTO,ID_TIPO,ID_PRODUCTO,CANTIDAD,PRECIO,VALOR_BRUTO,VALOR_NETO,VALOR_IVA) VALUES(478,1,324,1,10500,10500,8824,1676);</v>
      </c>
    </row>
    <row r="998" spans="1:12">
      <c r="A998" s="114">
        <v>1</v>
      </c>
      <c r="B998" s="114">
        <v>478</v>
      </c>
      <c r="C998" s="139" t="s">
        <v>2249</v>
      </c>
      <c r="D998" s="114" t="s">
        <v>2090</v>
      </c>
      <c r="E998" s="114">
        <v>302</v>
      </c>
      <c r="F998" s="114">
        <v>143</v>
      </c>
      <c r="G998" s="114">
        <v>1</v>
      </c>
      <c r="H998" s="114">
        <v>8300</v>
      </c>
      <c r="I998" s="114">
        <v>8300</v>
      </c>
      <c r="J998" s="114">
        <v>6975</v>
      </c>
      <c r="K998" s="114">
        <v>1325</v>
      </c>
      <c r="L998" s="114" t="str">
        <f t="shared" si="15"/>
        <v>INSERT INTO DETALLES_DOCUMENTO(NRO_DOCUMENTO,ID_TIPO,ID_PRODUCTO,CANTIDAD,PRECIO,VALOR_BRUTO,VALOR_NETO,VALOR_IVA) VALUES(478,1,143,1,8300,8300,6975,1325);</v>
      </c>
    </row>
    <row r="999" spans="1:12">
      <c r="A999" s="114">
        <v>1</v>
      </c>
      <c r="B999" s="114">
        <v>479</v>
      </c>
      <c r="C999" s="139" t="s">
        <v>2249</v>
      </c>
      <c r="D999" s="114" t="s">
        <v>2090</v>
      </c>
      <c r="E999" s="114">
        <v>306</v>
      </c>
      <c r="F999" s="114">
        <v>324</v>
      </c>
      <c r="G999" s="114">
        <v>1</v>
      </c>
      <c r="H999" s="114">
        <v>10500</v>
      </c>
      <c r="I999" s="114">
        <v>10500</v>
      </c>
      <c r="J999" s="114">
        <v>8824</v>
      </c>
      <c r="K999" s="114">
        <v>1676</v>
      </c>
      <c r="L999" s="114" t="str">
        <f t="shared" si="15"/>
        <v>INSERT INTO DETALLES_DOCUMENTO(NRO_DOCUMENTO,ID_TIPO,ID_PRODUCTO,CANTIDAD,PRECIO,VALOR_BRUTO,VALOR_NETO,VALOR_IVA) VALUES(479,1,324,1,10500,10500,8824,1676);</v>
      </c>
    </row>
    <row r="1000" spans="1:12">
      <c r="A1000" s="114">
        <v>1</v>
      </c>
      <c r="B1000" s="114">
        <v>480</v>
      </c>
      <c r="C1000" s="139" t="s">
        <v>2249</v>
      </c>
      <c r="D1000" s="114" t="s">
        <v>2090</v>
      </c>
      <c r="E1000" s="114">
        <v>386</v>
      </c>
      <c r="F1000" s="114">
        <v>143</v>
      </c>
      <c r="G1000" s="114">
        <v>2</v>
      </c>
      <c r="H1000" s="114">
        <v>16600</v>
      </c>
      <c r="I1000" s="114">
        <v>33200</v>
      </c>
      <c r="J1000" s="114">
        <v>27899</v>
      </c>
      <c r="K1000" s="114">
        <v>5301</v>
      </c>
      <c r="L1000" s="114" t="str">
        <f t="shared" si="15"/>
        <v>INSERT INTO DETALLES_DOCUMENTO(NRO_DOCUMENTO,ID_TIPO,ID_PRODUCTO,CANTIDAD,PRECIO,VALOR_BRUTO,VALOR_NETO,VALOR_IVA) VALUES(480,1,143,2,16600,33200,27899,5301);</v>
      </c>
    </row>
    <row r="1001" spans="1:12">
      <c r="A1001" s="114">
        <v>1</v>
      </c>
      <c r="B1001" s="114">
        <v>481</v>
      </c>
      <c r="C1001" s="139" t="s">
        <v>2249</v>
      </c>
      <c r="D1001" s="114" t="s">
        <v>2090</v>
      </c>
      <c r="E1001" s="114">
        <v>393</v>
      </c>
      <c r="F1001" s="114">
        <v>165</v>
      </c>
      <c r="G1001" s="114">
        <v>1</v>
      </c>
      <c r="H1001" s="114">
        <v>2000</v>
      </c>
      <c r="I1001" s="114">
        <v>2000</v>
      </c>
      <c r="J1001" s="114">
        <v>1681</v>
      </c>
      <c r="K1001" s="114">
        <v>319</v>
      </c>
      <c r="L1001" s="114" t="str">
        <f t="shared" si="15"/>
        <v>INSERT INTO DETALLES_DOCUMENTO(NRO_DOCUMENTO,ID_TIPO,ID_PRODUCTO,CANTIDAD,PRECIO,VALOR_BRUTO,VALOR_NETO,VALOR_IVA) VALUES(481,1,165,1,2000,2000,1681,319);</v>
      </c>
    </row>
    <row r="1002" spans="1:12">
      <c r="A1002" s="114">
        <v>1</v>
      </c>
      <c r="B1002" s="114">
        <v>482</v>
      </c>
      <c r="C1002" s="139" t="s">
        <v>2250</v>
      </c>
      <c r="D1002" s="114" t="s">
        <v>2090</v>
      </c>
      <c r="E1002" s="114">
        <v>63</v>
      </c>
      <c r="F1002" s="114">
        <v>143</v>
      </c>
      <c r="G1002" s="114">
        <v>1</v>
      </c>
      <c r="H1002" s="114">
        <v>8300</v>
      </c>
      <c r="I1002" s="114">
        <v>8300</v>
      </c>
      <c r="J1002" s="114">
        <v>6975</v>
      </c>
      <c r="K1002" s="114">
        <v>1325</v>
      </c>
      <c r="L1002" s="114" t="str">
        <f t="shared" si="15"/>
        <v>INSERT INTO DETALLES_DOCUMENTO(NRO_DOCUMENTO,ID_TIPO,ID_PRODUCTO,CANTIDAD,PRECIO,VALOR_BRUTO,VALOR_NETO,VALOR_IVA) VALUES(482,1,143,1,8300,8300,6975,1325);</v>
      </c>
    </row>
    <row r="1003" spans="1:12">
      <c r="A1003" s="114">
        <v>1</v>
      </c>
      <c r="B1003" s="114">
        <v>483</v>
      </c>
      <c r="C1003" s="139" t="s">
        <v>2250</v>
      </c>
      <c r="D1003" s="114" t="s">
        <v>2090</v>
      </c>
      <c r="E1003" s="114">
        <v>207</v>
      </c>
      <c r="F1003" s="114">
        <v>117</v>
      </c>
      <c r="G1003" s="114">
        <v>2</v>
      </c>
      <c r="H1003" s="114">
        <v>7000</v>
      </c>
      <c r="I1003" s="114">
        <v>14000</v>
      </c>
      <c r="J1003" s="114">
        <v>11765</v>
      </c>
      <c r="K1003" s="114">
        <v>2235</v>
      </c>
      <c r="L1003" s="114" t="str">
        <f t="shared" si="15"/>
        <v>INSERT INTO DETALLES_DOCUMENTO(NRO_DOCUMENTO,ID_TIPO,ID_PRODUCTO,CANTIDAD,PRECIO,VALOR_BRUTO,VALOR_NETO,VALOR_IVA) VALUES(483,1,117,2,7000,14000,11765,2235);</v>
      </c>
    </row>
    <row r="1004" spans="1:12">
      <c r="A1004" s="114">
        <v>1</v>
      </c>
      <c r="B1004" s="114">
        <v>484</v>
      </c>
      <c r="C1004" s="139" t="s">
        <v>2250</v>
      </c>
      <c r="D1004" s="114" t="s">
        <v>2090</v>
      </c>
      <c r="E1004" s="114">
        <v>247</v>
      </c>
      <c r="F1004" s="114">
        <v>117</v>
      </c>
      <c r="G1004" s="114">
        <v>1</v>
      </c>
      <c r="H1004" s="114">
        <v>3500</v>
      </c>
      <c r="I1004" s="114">
        <v>3500</v>
      </c>
      <c r="J1004" s="114">
        <v>2941</v>
      </c>
      <c r="K1004" s="114">
        <v>559</v>
      </c>
      <c r="L1004" s="114" t="str">
        <f t="shared" si="15"/>
        <v>INSERT INTO DETALLES_DOCUMENTO(NRO_DOCUMENTO,ID_TIPO,ID_PRODUCTO,CANTIDAD,PRECIO,VALOR_BRUTO,VALOR_NETO,VALOR_IVA) VALUES(484,1,117,1,3500,3500,2941,559);</v>
      </c>
    </row>
    <row r="1005" spans="1:12">
      <c r="A1005" s="114">
        <v>1</v>
      </c>
      <c r="B1005" s="114">
        <v>484</v>
      </c>
      <c r="C1005" s="139" t="s">
        <v>2250</v>
      </c>
      <c r="D1005" s="114" t="s">
        <v>2090</v>
      </c>
      <c r="E1005" s="114">
        <v>247</v>
      </c>
      <c r="F1005" s="114">
        <v>165</v>
      </c>
      <c r="G1005" s="114">
        <v>1</v>
      </c>
      <c r="H1005" s="114">
        <v>2000</v>
      </c>
      <c r="I1005" s="114">
        <v>2000</v>
      </c>
      <c r="J1005" s="114">
        <v>1681</v>
      </c>
      <c r="K1005" s="114">
        <v>319</v>
      </c>
      <c r="L1005" s="114" t="str">
        <f t="shared" si="15"/>
        <v>INSERT INTO DETALLES_DOCUMENTO(NRO_DOCUMENTO,ID_TIPO,ID_PRODUCTO,CANTIDAD,PRECIO,VALOR_BRUTO,VALOR_NETO,VALOR_IVA) VALUES(484,1,165,1,2000,2000,1681,319);</v>
      </c>
    </row>
    <row r="1006" spans="1:12">
      <c r="A1006" s="114">
        <v>1</v>
      </c>
      <c r="B1006" s="114">
        <v>484</v>
      </c>
      <c r="C1006" s="139" t="s">
        <v>2250</v>
      </c>
      <c r="D1006" s="114" t="s">
        <v>2090</v>
      </c>
      <c r="E1006" s="114">
        <v>247</v>
      </c>
      <c r="F1006" s="114">
        <v>367</v>
      </c>
      <c r="G1006" s="114">
        <v>2</v>
      </c>
      <c r="H1006" s="114">
        <v>3000</v>
      </c>
      <c r="I1006" s="114">
        <v>6000</v>
      </c>
      <c r="J1006" s="114">
        <v>5042</v>
      </c>
      <c r="K1006" s="114">
        <v>958</v>
      </c>
      <c r="L1006" s="114" t="str">
        <f t="shared" si="15"/>
        <v>INSERT INTO DETALLES_DOCUMENTO(NRO_DOCUMENTO,ID_TIPO,ID_PRODUCTO,CANTIDAD,PRECIO,VALOR_BRUTO,VALOR_NETO,VALOR_IVA) VALUES(484,1,367,2,3000,6000,5042,958);</v>
      </c>
    </row>
    <row r="1007" spans="1:12">
      <c r="A1007" s="114">
        <v>1</v>
      </c>
      <c r="B1007" s="114">
        <v>484</v>
      </c>
      <c r="C1007" s="139" t="s">
        <v>2250</v>
      </c>
      <c r="D1007" s="114" t="s">
        <v>2090</v>
      </c>
      <c r="E1007" s="114">
        <v>247</v>
      </c>
      <c r="F1007" s="114">
        <v>274</v>
      </c>
      <c r="G1007" s="114">
        <v>1</v>
      </c>
      <c r="H1007" s="114">
        <v>7500</v>
      </c>
      <c r="I1007" s="114">
        <v>7500</v>
      </c>
      <c r="J1007" s="114">
        <v>6303</v>
      </c>
      <c r="K1007" s="114">
        <v>1197</v>
      </c>
      <c r="L1007" s="114" t="str">
        <f t="shared" si="15"/>
        <v>INSERT INTO DETALLES_DOCUMENTO(NRO_DOCUMENTO,ID_TIPO,ID_PRODUCTO,CANTIDAD,PRECIO,VALOR_BRUTO,VALOR_NETO,VALOR_IVA) VALUES(484,1,274,1,7500,7500,6303,1197);</v>
      </c>
    </row>
    <row r="1008" spans="1:12">
      <c r="A1008" s="114">
        <v>1</v>
      </c>
      <c r="B1008" s="114">
        <v>485</v>
      </c>
      <c r="C1008" s="139" t="s">
        <v>2250</v>
      </c>
      <c r="D1008" s="114" t="s">
        <v>2090</v>
      </c>
      <c r="E1008" s="114">
        <v>306</v>
      </c>
      <c r="F1008" s="114">
        <v>324</v>
      </c>
      <c r="G1008" s="114">
        <v>1</v>
      </c>
      <c r="H1008" s="114">
        <v>10500</v>
      </c>
      <c r="I1008" s="114">
        <v>10500</v>
      </c>
      <c r="J1008" s="114">
        <v>8824</v>
      </c>
      <c r="K1008" s="114">
        <v>1676</v>
      </c>
      <c r="L1008" s="114" t="str">
        <f t="shared" si="15"/>
        <v>INSERT INTO DETALLES_DOCUMENTO(NRO_DOCUMENTO,ID_TIPO,ID_PRODUCTO,CANTIDAD,PRECIO,VALOR_BRUTO,VALOR_NETO,VALOR_IVA) VALUES(485,1,324,1,10500,10500,8824,1676);</v>
      </c>
    </row>
    <row r="1009" spans="1:12">
      <c r="A1009" s="114">
        <v>1</v>
      </c>
      <c r="B1009" s="114">
        <v>486</v>
      </c>
      <c r="C1009" s="139" t="s">
        <v>2250</v>
      </c>
      <c r="D1009" s="114" t="s">
        <v>2090</v>
      </c>
      <c r="E1009" s="114">
        <v>407</v>
      </c>
      <c r="F1009" s="114">
        <v>118</v>
      </c>
      <c r="G1009" s="114">
        <v>1</v>
      </c>
      <c r="H1009" s="114">
        <v>3500</v>
      </c>
      <c r="I1009" s="114">
        <v>3500</v>
      </c>
      <c r="J1009" s="114">
        <v>2941</v>
      </c>
      <c r="K1009" s="114">
        <v>559</v>
      </c>
      <c r="L1009" s="114" t="str">
        <f t="shared" si="15"/>
        <v>INSERT INTO DETALLES_DOCUMENTO(NRO_DOCUMENTO,ID_TIPO,ID_PRODUCTO,CANTIDAD,PRECIO,VALOR_BRUTO,VALOR_NETO,VALOR_IVA) VALUES(486,1,118,1,3500,3500,2941,559);</v>
      </c>
    </row>
    <row r="1010" spans="1:12">
      <c r="A1010" s="114">
        <v>1</v>
      </c>
      <c r="B1010" s="114">
        <v>486</v>
      </c>
      <c r="C1010" s="139" t="s">
        <v>2250</v>
      </c>
      <c r="D1010" s="114" t="s">
        <v>2090</v>
      </c>
      <c r="E1010" s="114">
        <v>407</v>
      </c>
      <c r="F1010" s="114">
        <v>157</v>
      </c>
      <c r="G1010" s="114">
        <v>1</v>
      </c>
      <c r="H1010" s="114">
        <v>4300</v>
      </c>
      <c r="I1010" s="114">
        <v>4300</v>
      </c>
      <c r="J1010" s="114">
        <v>3613</v>
      </c>
      <c r="K1010" s="114">
        <v>687</v>
      </c>
      <c r="L1010" s="114" t="str">
        <f t="shared" si="15"/>
        <v>INSERT INTO DETALLES_DOCUMENTO(NRO_DOCUMENTO,ID_TIPO,ID_PRODUCTO,CANTIDAD,PRECIO,VALOR_BRUTO,VALOR_NETO,VALOR_IVA) VALUES(486,1,157,1,4300,4300,3613,687);</v>
      </c>
    </row>
    <row r="1011" spans="1:12">
      <c r="A1011" s="114">
        <v>1</v>
      </c>
      <c r="B1011" s="114">
        <v>486</v>
      </c>
      <c r="C1011" s="139" t="s">
        <v>2250</v>
      </c>
      <c r="D1011" s="114" t="s">
        <v>2090</v>
      </c>
      <c r="E1011" s="114">
        <v>407</v>
      </c>
      <c r="F1011" s="114">
        <v>143</v>
      </c>
      <c r="G1011" s="114">
        <v>1</v>
      </c>
      <c r="H1011" s="114">
        <v>8300</v>
      </c>
      <c r="I1011" s="114">
        <v>8300</v>
      </c>
      <c r="J1011" s="114">
        <v>6975</v>
      </c>
      <c r="K1011" s="114">
        <v>1325</v>
      </c>
      <c r="L1011" s="114" t="str">
        <f t="shared" si="15"/>
        <v>INSERT INTO DETALLES_DOCUMENTO(NRO_DOCUMENTO,ID_TIPO,ID_PRODUCTO,CANTIDAD,PRECIO,VALOR_BRUTO,VALOR_NETO,VALOR_IVA) VALUES(486,1,143,1,8300,8300,6975,1325);</v>
      </c>
    </row>
    <row r="1012" spans="1:12">
      <c r="A1012" s="114">
        <v>1</v>
      </c>
      <c r="B1012" s="114">
        <v>486</v>
      </c>
      <c r="C1012" s="139" t="s">
        <v>2250</v>
      </c>
      <c r="D1012" s="114" t="s">
        <v>2090</v>
      </c>
      <c r="E1012" s="114">
        <v>407</v>
      </c>
      <c r="F1012" s="114">
        <v>329</v>
      </c>
      <c r="G1012" s="114">
        <v>1</v>
      </c>
      <c r="H1012" s="114">
        <v>5500</v>
      </c>
      <c r="I1012" s="114">
        <v>5500</v>
      </c>
      <c r="J1012" s="114">
        <v>4622</v>
      </c>
      <c r="K1012" s="114">
        <v>878</v>
      </c>
      <c r="L1012" s="114" t="str">
        <f t="shared" si="15"/>
        <v>INSERT INTO DETALLES_DOCUMENTO(NRO_DOCUMENTO,ID_TIPO,ID_PRODUCTO,CANTIDAD,PRECIO,VALOR_BRUTO,VALOR_NETO,VALOR_IVA) VALUES(486,1,329,1,5500,5500,4622,878);</v>
      </c>
    </row>
    <row r="1013" spans="1:12">
      <c r="A1013" s="114">
        <v>1</v>
      </c>
      <c r="B1013" s="114">
        <v>487</v>
      </c>
      <c r="C1013" s="139" t="s">
        <v>2250</v>
      </c>
      <c r="D1013" s="114" t="s">
        <v>2090</v>
      </c>
      <c r="E1013" s="114">
        <v>411</v>
      </c>
      <c r="F1013" s="114">
        <v>329</v>
      </c>
      <c r="G1013" s="114">
        <v>1</v>
      </c>
      <c r="H1013" s="114">
        <v>5500</v>
      </c>
      <c r="I1013" s="114">
        <v>5500</v>
      </c>
      <c r="J1013" s="114">
        <v>4622</v>
      </c>
      <c r="K1013" s="114">
        <v>878</v>
      </c>
      <c r="L1013" s="114" t="str">
        <f t="shared" si="15"/>
        <v>INSERT INTO DETALLES_DOCUMENTO(NRO_DOCUMENTO,ID_TIPO,ID_PRODUCTO,CANTIDAD,PRECIO,VALOR_BRUTO,VALOR_NETO,VALOR_IVA) VALUES(487,1,329,1,5500,5500,4622,878);</v>
      </c>
    </row>
    <row r="1014" spans="1:12">
      <c r="A1014" s="114">
        <v>1</v>
      </c>
      <c r="B1014" s="114">
        <v>488</v>
      </c>
      <c r="C1014" s="139" t="s">
        <v>2251</v>
      </c>
      <c r="D1014" s="114" t="s">
        <v>2090</v>
      </c>
      <c r="E1014" s="114">
        <v>166</v>
      </c>
      <c r="F1014" s="114">
        <v>354</v>
      </c>
      <c r="G1014" s="114">
        <v>1</v>
      </c>
      <c r="H1014" s="114">
        <v>1800</v>
      </c>
      <c r="I1014" s="114">
        <v>1800</v>
      </c>
      <c r="J1014" s="114">
        <v>1513</v>
      </c>
      <c r="K1014" s="114">
        <v>287</v>
      </c>
      <c r="L1014" s="114" t="str">
        <f t="shared" si="15"/>
        <v>INSERT INTO DETALLES_DOCUMENTO(NRO_DOCUMENTO,ID_TIPO,ID_PRODUCTO,CANTIDAD,PRECIO,VALOR_BRUTO,VALOR_NETO,VALOR_IVA) VALUES(488,1,354,1,1800,1800,1513,287);</v>
      </c>
    </row>
    <row r="1015" spans="1:12">
      <c r="A1015" s="114">
        <v>1</v>
      </c>
      <c r="B1015" s="114">
        <v>488</v>
      </c>
      <c r="C1015" s="139" t="s">
        <v>2251</v>
      </c>
      <c r="D1015" s="114" t="s">
        <v>2090</v>
      </c>
      <c r="E1015" s="114">
        <v>166</v>
      </c>
      <c r="F1015" s="114">
        <v>135</v>
      </c>
      <c r="G1015" s="114">
        <v>1</v>
      </c>
      <c r="H1015" s="114">
        <v>1000</v>
      </c>
      <c r="I1015" s="114">
        <v>1000</v>
      </c>
      <c r="J1015" s="114">
        <v>840</v>
      </c>
      <c r="K1015" s="114">
        <v>160</v>
      </c>
      <c r="L1015" s="114" t="str">
        <f t="shared" si="15"/>
        <v>INSERT INTO DETALLES_DOCUMENTO(NRO_DOCUMENTO,ID_TIPO,ID_PRODUCTO,CANTIDAD,PRECIO,VALOR_BRUTO,VALOR_NETO,VALOR_IVA) VALUES(488,1,135,1,1000,1000,840,160);</v>
      </c>
    </row>
    <row r="1016" spans="1:12">
      <c r="A1016" s="114">
        <v>1</v>
      </c>
      <c r="B1016" s="114">
        <v>488</v>
      </c>
      <c r="C1016" s="139" t="s">
        <v>2251</v>
      </c>
      <c r="D1016" s="114" t="s">
        <v>2090</v>
      </c>
      <c r="E1016" s="114">
        <v>166</v>
      </c>
      <c r="F1016" s="114">
        <v>7</v>
      </c>
      <c r="G1016" s="114">
        <v>1</v>
      </c>
      <c r="H1016" s="114">
        <v>7000</v>
      </c>
      <c r="I1016" s="114">
        <v>7000</v>
      </c>
      <c r="J1016" s="114">
        <v>5882</v>
      </c>
      <c r="K1016" s="114">
        <v>1118</v>
      </c>
      <c r="L1016" s="114" t="str">
        <f t="shared" si="15"/>
        <v>INSERT INTO DETALLES_DOCUMENTO(NRO_DOCUMENTO,ID_TIPO,ID_PRODUCTO,CANTIDAD,PRECIO,VALOR_BRUTO,VALOR_NETO,VALOR_IVA) VALUES(488,1,7,1,7000,7000,5882,1118);</v>
      </c>
    </row>
    <row r="1017" spans="1:12">
      <c r="A1017" s="114">
        <v>1</v>
      </c>
      <c r="B1017" s="114">
        <v>488</v>
      </c>
      <c r="C1017" s="139" t="s">
        <v>2251</v>
      </c>
      <c r="D1017" s="114" t="s">
        <v>2090</v>
      </c>
      <c r="E1017" s="114">
        <v>166</v>
      </c>
      <c r="F1017" s="114">
        <v>167</v>
      </c>
      <c r="G1017" s="114">
        <v>2</v>
      </c>
      <c r="H1017" s="114">
        <v>16400</v>
      </c>
      <c r="I1017" s="114">
        <v>32800</v>
      </c>
      <c r="J1017" s="114">
        <v>27563</v>
      </c>
      <c r="K1017" s="114">
        <v>5237</v>
      </c>
      <c r="L1017" s="114" t="str">
        <f t="shared" si="15"/>
        <v>INSERT INTO DETALLES_DOCUMENTO(NRO_DOCUMENTO,ID_TIPO,ID_PRODUCTO,CANTIDAD,PRECIO,VALOR_BRUTO,VALOR_NETO,VALOR_IVA) VALUES(488,1,167,2,16400,32800,27563,5237);</v>
      </c>
    </row>
    <row r="1018" spans="1:12">
      <c r="A1018" s="114">
        <v>1</v>
      </c>
      <c r="B1018" s="114">
        <v>489</v>
      </c>
      <c r="C1018" s="139" t="s">
        <v>2251</v>
      </c>
      <c r="D1018" s="114" t="s">
        <v>2090</v>
      </c>
      <c r="E1018" s="114">
        <v>202</v>
      </c>
      <c r="F1018" s="114">
        <v>143</v>
      </c>
      <c r="G1018" s="114">
        <v>1</v>
      </c>
      <c r="H1018" s="114">
        <v>8300</v>
      </c>
      <c r="I1018" s="114">
        <v>8300</v>
      </c>
      <c r="J1018" s="114">
        <v>6975</v>
      </c>
      <c r="K1018" s="114">
        <v>1325</v>
      </c>
      <c r="L1018" s="114" t="str">
        <f t="shared" si="15"/>
        <v>INSERT INTO DETALLES_DOCUMENTO(NRO_DOCUMENTO,ID_TIPO,ID_PRODUCTO,CANTIDAD,PRECIO,VALOR_BRUTO,VALOR_NETO,VALOR_IVA) VALUES(489,1,143,1,8300,8300,6975,1325);</v>
      </c>
    </row>
    <row r="1019" spans="1:12">
      <c r="A1019" s="114">
        <v>1</v>
      </c>
      <c r="B1019" s="114">
        <v>489</v>
      </c>
      <c r="C1019" s="139" t="s">
        <v>2251</v>
      </c>
      <c r="D1019" s="114" t="s">
        <v>2090</v>
      </c>
      <c r="E1019" s="114">
        <v>202</v>
      </c>
      <c r="F1019" s="114">
        <v>135</v>
      </c>
      <c r="G1019" s="114">
        <v>2</v>
      </c>
      <c r="H1019" s="114">
        <v>2000</v>
      </c>
      <c r="I1019" s="114">
        <v>4000</v>
      </c>
      <c r="J1019" s="114">
        <v>3361</v>
      </c>
      <c r="K1019" s="114">
        <v>639</v>
      </c>
      <c r="L1019" s="114" t="str">
        <f t="shared" si="15"/>
        <v>INSERT INTO DETALLES_DOCUMENTO(NRO_DOCUMENTO,ID_TIPO,ID_PRODUCTO,CANTIDAD,PRECIO,VALOR_BRUTO,VALOR_NETO,VALOR_IVA) VALUES(489,1,135,2,2000,4000,3361,639);</v>
      </c>
    </row>
    <row r="1020" spans="1:12">
      <c r="A1020" s="114">
        <v>1</v>
      </c>
      <c r="B1020" s="114">
        <v>490</v>
      </c>
      <c r="C1020" s="139" t="s">
        <v>2251</v>
      </c>
      <c r="D1020" s="114" t="s">
        <v>2090</v>
      </c>
      <c r="E1020" s="114">
        <v>226</v>
      </c>
      <c r="F1020" s="114">
        <v>331</v>
      </c>
      <c r="G1020" s="114">
        <v>1</v>
      </c>
      <c r="H1020" s="114">
        <v>3700</v>
      </c>
      <c r="I1020" s="114">
        <v>3700</v>
      </c>
      <c r="J1020" s="114">
        <v>3109</v>
      </c>
      <c r="K1020" s="114">
        <v>591</v>
      </c>
      <c r="L1020" s="114" t="str">
        <f t="shared" si="15"/>
        <v>INSERT INTO DETALLES_DOCUMENTO(NRO_DOCUMENTO,ID_TIPO,ID_PRODUCTO,CANTIDAD,PRECIO,VALOR_BRUTO,VALOR_NETO,VALOR_IVA) VALUES(490,1,331,1,3700,3700,3109,591);</v>
      </c>
    </row>
    <row r="1021" spans="1:12">
      <c r="A1021" s="114">
        <v>1</v>
      </c>
      <c r="B1021" s="114">
        <v>491</v>
      </c>
      <c r="C1021" s="139" t="s">
        <v>2251</v>
      </c>
      <c r="D1021" s="114" t="s">
        <v>2090</v>
      </c>
      <c r="E1021" s="114">
        <v>360</v>
      </c>
      <c r="F1021" s="114">
        <v>230</v>
      </c>
      <c r="G1021" s="114">
        <v>1</v>
      </c>
      <c r="H1021" s="114">
        <v>15500</v>
      </c>
      <c r="I1021" s="114">
        <v>15500</v>
      </c>
      <c r="J1021" s="114">
        <v>13025</v>
      </c>
      <c r="K1021" s="114">
        <v>2475</v>
      </c>
      <c r="L1021" s="114" t="str">
        <f t="shared" si="15"/>
        <v>INSERT INTO DETALLES_DOCUMENTO(NRO_DOCUMENTO,ID_TIPO,ID_PRODUCTO,CANTIDAD,PRECIO,VALOR_BRUTO,VALOR_NETO,VALOR_IVA) VALUES(491,1,230,1,15500,15500,13025,2475);</v>
      </c>
    </row>
    <row r="1022" spans="1:12">
      <c r="A1022" s="114">
        <v>1</v>
      </c>
      <c r="B1022" s="114">
        <v>492</v>
      </c>
      <c r="C1022" s="139" t="s">
        <v>2251</v>
      </c>
      <c r="D1022" s="114" t="s">
        <v>2090</v>
      </c>
      <c r="E1022" s="114">
        <v>470</v>
      </c>
      <c r="F1022" s="114">
        <v>125</v>
      </c>
      <c r="G1022" s="114">
        <v>2</v>
      </c>
      <c r="H1022" s="114">
        <v>3400</v>
      </c>
      <c r="I1022" s="114">
        <v>6800</v>
      </c>
      <c r="J1022" s="114">
        <v>5714</v>
      </c>
      <c r="K1022" s="114">
        <v>1086</v>
      </c>
      <c r="L1022" s="114" t="str">
        <f t="shared" si="15"/>
        <v>INSERT INTO DETALLES_DOCUMENTO(NRO_DOCUMENTO,ID_TIPO,ID_PRODUCTO,CANTIDAD,PRECIO,VALOR_BRUTO,VALOR_NETO,VALOR_IVA) VALUES(492,1,125,2,3400,6800,5714,1086);</v>
      </c>
    </row>
    <row r="1023" spans="1:12">
      <c r="A1023" s="114">
        <v>1</v>
      </c>
      <c r="B1023" s="114">
        <v>493</v>
      </c>
      <c r="C1023" s="139" t="s">
        <v>2252</v>
      </c>
      <c r="D1023" s="114" t="s">
        <v>2090</v>
      </c>
      <c r="E1023" s="114">
        <v>41</v>
      </c>
      <c r="F1023" s="114">
        <v>143</v>
      </c>
      <c r="G1023" s="114">
        <v>2</v>
      </c>
      <c r="H1023" s="114">
        <v>16600</v>
      </c>
      <c r="I1023" s="114">
        <v>33200</v>
      </c>
      <c r="J1023" s="114">
        <v>27899</v>
      </c>
      <c r="K1023" s="114">
        <v>5301</v>
      </c>
      <c r="L1023" s="114" t="str">
        <f t="shared" si="15"/>
        <v>INSERT INTO DETALLES_DOCUMENTO(NRO_DOCUMENTO,ID_TIPO,ID_PRODUCTO,CANTIDAD,PRECIO,VALOR_BRUTO,VALOR_NETO,VALOR_IVA) VALUES(493,1,143,2,16600,33200,27899,5301);</v>
      </c>
    </row>
    <row r="1024" spans="1:12">
      <c r="A1024" s="114">
        <v>1</v>
      </c>
      <c r="B1024" s="114">
        <v>494</v>
      </c>
      <c r="C1024" s="139" t="s">
        <v>2252</v>
      </c>
      <c r="D1024" s="114" t="s">
        <v>2090</v>
      </c>
      <c r="E1024" s="114">
        <v>148</v>
      </c>
      <c r="F1024" s="114">
        <v>324</v>
      </c>
      <c r="G1024" s="114">
        <v>1</v>
      </c>
      <c r="H1024" s="114">
        <v>10500</v>
      </c>
      <c r="I1024" s="114">
        <v>10500</v>
      </c>
      <c r="J1024" s="114">
        <v>8824</v>
      </c>
      <c r="K1024" s="114">
        <v>1676</v>
      </c>
      <c r="L1024" s="114" t="str">
        <f t="shared" si="15"/>
        <v>INSERT INTO DETALLES_DOCUMENTO(NRO_DOCUMENTO,ID_TIPO,ID_PRODUCTO,CANTIDAD,PRECIO,VALOR_BRUTO,VALOR_NETO,VALOR_IVA) VALUES(494,1,324,1,10500,10500,8824,1676);</v>
      </c>
    </row>
    <row r="1025" spans="1:12">
      <c r="A1025" s="114">
        <v>1</v>
      </c>
      <c r="B1025" s="114">
        <v>495</v>
      </c>
      <c r="C1025" s="139" t="s">
        <v>2252</v>
      </c>
      <c r="D1025" s="114" t="s">
        <v>2090</v>
      </c>
      <c r="E1025" s="114">
        <v>166</v>
      </c>
      <c r="F1025" s="114">
        <v>118</v>
      </c>
      <c r="G1025" s="114">
        <v>1</v>
      </c>
      <c r="H1025" s="114">
        <v>3500</v>
      </c>
      <c r="I1025" s="114">
        <v>3500</v>
      </c>
      <c r="J1025" s="114">
        <v>2941</v>
      </c>
      <c r="K1025" s="114">
        <v>559</v>
      </c>
      <c r="L1025" s="114" t="str">
        <f t="shared" si="15"/>
        <v>INSERT INTO DETALLES_DOCUMENTO(NRO_DOCUMENTO,ID_TIPO,ID_PRODUCTO,CANTIDAD,PRECIO,VALOR_BRUTO,VALOR_NETO,VALOR_IVA) VALUES(495,1,118,1,3500,3500,2941,559);</v>
      </c>
    </row>
    <row r="1026" spans="1:12">
      <c r="A1026" s="114">
        <v>1</v>
      </c>
      <c r="B1026" s="114">
        <v>495</v>
      </c>
      <c r="C1026" s="139" t="s">
        <v>2252</v>
      </c>
      <c r="D1026" s="114" t="s">
        <v>2090</v>
      </c>
      <c r="E1026" s="114">
        <v>166</v>
      </c>
      <c r="F1026" s="114">
        <v>143</v>
      </c>
      <c r="G1026" s="114">
        <v>1</v>
      </c>
      <c r="H1026" s="114">
        <v>8300</v>
      </c>
      <c r="I1026" s="114">
        <v>8300</v>
      </c>
      <c r="J1026" s="114">
        <v>6975</v>
      </c>
      <c r="K1026" s="114">
        <v>1325</v>
      </c>
      <c r="L1026" s="114" t="str">
        <f t="shared" si="15"/>
        <v>INSERT INTO DETALLES_DOCUMENTO(NRO_DOCUMENTO,ID_TIPO,ID_PRODUCTO,CANTIDAD,PRECIO,VALOR_BRUTO,VALOR_NETO,VALOR_IVA) VALUES(495,1,143,1,8300,8300,6975,1325);</v>
      </c>
    </row>
    <row r="1027" spans="1:12">
      <c r="A1027" s="114">
        <v>1</v>
      </c>
      <c r="B1027" s="114">
        <v>496</v>
      </c>
      <c r="C1027" s="139" t="s">
        <v>2252</v>
      </c>
      <c r="D1027" s="114" t="s">
        <v>2090</v>
      </c>
      <c r="E1027" s="114">
        <v>303</v>
      </c>
      <c r="F1027" s="114">
        <v>230</v>
      </c>
      <c r="G1027" s="114">
        <v>1</v>
      </c>
      <c r="H1027" s="114">
        <v>15500</v>
      </c>
      <c r="I1027" s="114">
        <v>15500</v>
      </c>
      <c r="J1027" s="114">
        <v>13025</v>
      </c>
      <c r="K1027" s="114">
        <v>2475</v>
      </c>
      <c r="L1027" s="114" t="str">
        <f t="shared" ref="L1027:L1090" si="16">CONCATENATE("INSERT INTO DETALLES_DOCUMENTO(NRO_DOCUMENTO,ID_TIPO,ID_PRODUCTO,CANTIDAD,PRECIO,VALOR_BRUTO,VALOR_NETO,VALOR_IVA) VALUES(",B1027,",",A1027,",",F1027,",",G1027,",",H1027,",",I1027,",",J1027,",",K1027,");")</f>
        <v>INSERT INTO DETALLES_DOCUMENTO(NRO_DOCUMENTO,ID_TIPO,ID_PRODUCTO,CANTIDAD,PRECIO,VALOR_BRUTO,VALOR_NETO,VALOR_IVA) VALUES(496,1,230,1,15500,15500,13025,2475);</v>
      </c>
    </row>
    <row r="1028" spans="1:12">
      <c r="A1028" s="114">
        <v>1</v>
      </c>
      <c r="B1028" s="114">
        <v>497</v>
      </c>
      <c r="C1028" s="139" t="s">
        <v>2252</v>
      </c>
      <c r="D1028" s="114" t="s">
        <v>2090</v>
      </c>
      <c r="E1028" s="114">
        <v>408</v>
      </c>
      <c r="F1028" s="114">
        <v>27</v>
      </c>
      <c r="G1028" s="114">
        <v>1</v>
      </c>
      <c r="H1028" s="114">
        <v>8700</v>
      </c>
      <c r="I1028" s="114">
        <v>8700</v>
      </c>
      <c r="J1028" s="114">
        <v>7311</v>
      </c>
      <c r="K1028" s="114">
        <v>1389</v>
      </c>
      <c r="L1028" s="114" t="str">
        <f t="shared" si="16"/>
        <v>INSERT INTO DETALLES_DOCUMENTO(NRO_DOCUMENTO,ID_TIPO,ID_PRODUCTO,CANTIDAD,PRECIO,VALOR_BRUTO,VALOR_NETO,VALOR_IVA) VALUES(497,1,27,1,8700,8700,7311,1389);</v>
      </c>
    </row>
    <row r="1029" spans="1:12">
      <c r="A1029" s="114">
        <v>1</v>
      </c>
      <c r="B1029" s="114">
        <v>497</v>
      </c>
      <c r="C1029" s="139" t="s">
        <v>2252</v>
      </c>
      <c r="D1029" s="114" t="s">
        <v>2090</v>
      </c>
      <c r="E1029" s="114">
        <v>408</v>
      </c>
      <c r="F1029" s="114">
        <v>324</v>
      </c>
      <c r="G1029" s="114">
        <v>1</v>
      </c>
      <c r="H1029" s="114">
        <v>10500</v>
      </c>
      <c r="I1029" s="114">
        <v>10500</v>
      </c>
      <c r="J1029" s="114">
        <v>8824</v>
      </c>
      <c r="K1029" s="114">
        <v>1676</v>
      </c>
      <c r="L1029" s="114" t="str">
        <f t="shared" si="16"/>
        <v>INSERT INTO DETALLES_DOCUMENTO(NRO_DOCUMENTO,ID_TIPO,ID_PRODUCTO,CANTIDAD,PRECIO,VALOR_BRUTO,VALOR_NETO,VALOR_IVA) VALUES(497,1,324,1,10500,10500,8824,1676);</v>
      </c>
    </row>
    <row r="1030" spans="1:12">
      <c r="A1030" s="114">
        <v>1</v>
      </c>
      <c r="B1030" s="114">
        <v>498</v>
      </c>
      <c r="C1030" s="139" t="s">
        <v>2252</v>
      </c>
      <c r="D1030" s="114" t="s">
        <v>2090</v>
      </c>
      <c r="E1030" s="114">
        <v>418</v>
      </c>
      <c r="F1030" s="114">
        <v>329</v>
      </c>
      <c r="G1030" s="114">
        <v>1</v>
      </c>
      <c r="H1030" s="114">
        <v>5500</v>
      </c>
      <c r="I1030" s="114">
        <v>5500</v>
      </c>
      <c r="J1030" s="114">
        <v>4622</v>
      </c>
      <c r="K1030" s="114">
        <v>878</v>
      </c>
      <c r="L1030" s="114" t="str">
        <f t="shared" si="16"/>
        <v>INSERT INTO DETALLES_DOCUMENTO(NRO_DOCUMENTO,ID_TIPO,ID_PRODUCTO,CANTIDAD,PRECIO,VALOR_BRUTO,VALOR_NETO,VALOR_IVA) VALUES(498,1,329,1,5500,5500,4622,878);</v>
      </c>
    </row>
    <row r="1031" spans="1:12">
      <c r="A1031" s="114">
        <v>1</v>
      </c>
      <c r="B1031" s="114">
        <v>499</v>
      </c>
      <c r="C1031" s="139" t="s">
        <v>2252</v>
      </c>
      <c r="D1031" s="114" t="s">
        <v>2090</v>
      </c>
      <c r="E1031" s="114">
        <v>485</v>
      </c>
      <c r="F1031" s="114">
        <v>118</v>
      </c>
      <c r="G1031" s="114">
        <v>1</v>
      </c>
      <c r="H1031" s="114">
        <v>3500</v>
      </c>
      <c r="I1031" s="114">
        <v>3500</v>
      </c>
      <c r="J1031" s="114">
        <v>2941</v>
      </c>
      <c r="K1031" s="114">
        <v>559</v>
      </c>
      <c r="L1031" s="114" t="str">
        <f t="shared" si="16"/>
        <v>INSERT INTO DETALLES_DOCUMENTO(NRO_DOCUMENTO,ID_TIPO,ID_PRODUCTO,CANTIDAD,PRECIO,VALOR_BRUTO,VALOR_NETO,VALOR_IVA) VALUES(499,1,118,1,3500,3500,2941,559);</v>
      </c>
    </row>
    <row r="1032" spans="1:12">
      <c r="A1032" s="114">
        <v>1</v>
      </c>
      <c r="B1032" s="114">
        <v>499</v>
      </c>
      <c r="C1032" s="139" t="s">
        <v>2252</v>
      </c>
      <c r="D1032" s="114" t="s">
        <v>2090</v>
      </c>
      <c r="E1032" s="114">
        <v>485</v>
      </c>
      <c r="F1032" s="114">
        <v>354</v>
      </c>
      <c r="G1032" s="114">
        <v>1</v>
      </c>
      <c r="H1032" s="114">
        <v>1800</v>
      </c>
      <c r="I1032" s="114">
        <v>1800</v>
      </c>
      <c r="J1032" s="114">
        <v>1513</v>
      </c>
      <c r="K1032" s="114">
        <v>287</v>
      </c>
      <c r="L1032" s="114" t="str">
        <f t="shared" si="16"/>
        <v>INSERT INTO DETALLES_DOCUMENTO(NRO_DOCUMENTO,ID_TIPO,ID_PRODUCTO,CANTIDAD,PRECIO,VALOR_BRUTO,VALOR_NETO,VALOR_IVA) VALUES(499,1,354,1,1800,1800,1513,287);</v>
      </c>
    </row>
    <row r="1033" spans="1:12">
      <c r="A1033" s="114">
        <v>1</v>
      </c>
      <c r="B1033" s="114">
        <v>500</v>
      </c>
      <c r="C1033" s="139" t="s">
        <v>2253</v>
      </c>
      <c r="D1033" s="114" t="s">
        <v>2090</v>
      </c>
      <c r="E1033" s="114">
        <v>92</v>
      </c>
      <c r="F1033" s="114">
        <v>143</v>
      </c>
      <c r="G1033" s="114">
        <v>1</v>
      </c>
      <c r="H1033" s="114">
        <v>8300</v>
      </c>
      <c r="I1033" s="114">
        <v>8300</v>
      </c>
      <c r="J1033" s="114">
        <v>6975</v>
      </c>
      <c r="K1033" s="114">
        <v>1325</v>
      </c>
      <c r="L1033" s="114" t="str">
        <f t="shared" si="16"/>
        <v>INSERT INTO DETALLES_DOCUMENTO(NRO_DOCUMENTO,ID_TIPO,ID_PRODUCTO,CANTIDAD,PRECIO,VALOR_BRUTO,VALOR_NETO,VALOR_IVA) VALUES(500,1,143,1,8300,8300,6975,1325);</v>
      </c>
    </row>
    <row r="1034" spans="1:12">
      <c r="A1034" s="114">
        <v>1</v>
      </c>
      <c r="B1034" s="114">
        <v>500</v>
      </c>
      <c r="C1034" s="139" t="s">
        <v>2253</v>
      </c>
      <c r="D1034" s="114" t="s">
        <v>2090</v>
      </c>
      <c r="E1034" s="114">
        <v>92</v>
      </c>
      <c r="F1034" s="114">
        <v>329</v>
      </c>
      <c r="G1034" s="114">
        <v>1</v>
      </c>
      <c r="H1034" s="114">
        <v>5500</v>
      </c>
      <c r="I1034" s="114">
        <v>5500</v>
      </c>
      <c r="J1034" s="114">
        <v>4622</v>
      </c>
      <c r="K1034" s="114">
        <v>878</v>
      </c>
      <c r="L1034" s="114" t="str">
        <f t="shared" si="16"/>
        <v>INSERT INTO DETALLES_DOCUMENTO(NRO_DOCUMENTO,ID_TIPO,ID_PRODUCTO,CANTIDAD,PRECIO,VALOR_BRUTO,VALOR_NETO,VALOR_IVA) VALUES(500,1,329,1,5500,5500,4622,878);</v>
      </c>
    </row>
    <row r="1035" spans="1:12">
      <c r="A1035" s="114">
        <v>1</v>
      </c>
      <c r="B1035" s="114">
        <v>501</v>
      </c>
      <c r="C1035" s="139" t="s">
        <v>2253</v>
      </c>
      <c r="D1035" s="114" t="s">
        <v>2090</v>
      </c>
      <c r="E1035" s="114">
        <v>110</v>
      </c>
      <c r="F1035" s="114">
        <v>233</v>
      </c>
      <c r="G1035" s="114">
        <v>1</v>
      </c>
      <c r="H1035" s="114">
        <v>15990</v>
      </c>
      <c r="I1035" s="114">
        <v>15990</v>
      </c>
      <c r="J1035" s="114">
        <v>13437</v>
      </c>
      <c r="K1035" s="114">
        <v>2553</v>
      </c>
      <c r="L1035" s="114" t="str">
        <f t="shared" si="16"/>
        <v>INSERT INTO DETALLES_DOCUMENTO(NRO_DOCUMENTO,ID_TIPO,ID_PRODUCTO,CANTIDAD,PRECIO,VALOR_BRUTO,VALOR_NETO,VALOR_IVA) VALUES(501,1,233,1,15990,15990,13437,2553);</v>
      </c>
    </row>
    <row r="1036" spans="1:12">
      <c r="A1036" s="114">
        <v>1</v>
      </c>
      <c r="B1036" s="114">
        <v>501</v>
      </c>
      <c r="C1036" s="139" t="s">
        <v>2253</v>
      </c>
      <c r="D1036" s="114" t="s">
        <v>2090</v>
      </c>
      <c r="E1036" s="114">
        <v>110</v>
      </c>
      <c r="F1036" s="114">
        <v>118</v>
      </c>
      <c r="G1036" s="114">
        <v>1</v>
      </c>
      <c r="H1036" s="114">
        <v>3500</v>
      </c>
      <c r="I1036" s="114">
        <v>3500</v>
      </c>
      <c r="J1036" s="114">
        <v>2941</v>
      </c>
      <c r="K1036" s="114">
        <v>559</v>
      </c>
      <c r="L1036" s="114" t="str">
        <f t="shared" si="16"/>
        <v>INSERT INTO DETALLES_DOCUMENTO(NRO_DOCUMENTO,ID_TIPO,ID_PRODUCTO,CANTIDAD,PRECIO,VALOR_BRUTO,VALOR_NETO,VALOR_IVA) VALUES(501,1,118,1,3500,3500,2941,559);</v>
      </c>
    </row>
    <row r="1037" spans="1:12">
      <c r="A1037" s="114">
        <v>1</v>
      </c>
      <c r="B1037" s="114">
        <v>501</v>
      </c>
      <c r="C1037" s="139" t="s">
        <v>2253</v>
      </c>
      <c r="D1037" s="114" t="s">
        <v>2090</v>
      </c>
      <c r="E1037" s="114">
        <v>110</v>
      </c>
      <c r="F1037" s="114">
        <v>99</v>
      </c>
      <c r="G1037" s="114">
        <v>1</v>
      </c>
      <c r="H1037" s="114">
        <v>1500</v>
      </c>
      <c r="I1037" s="114">
        <v>1500</v>
      </c>
      <c r="J1037" s="114">
        <v>1261</v>
      </c>
      <c r="K1037" s="114">
        <v>239</v>
      </c>
      <c r="L1037" s="114" t="str">
        <f t="shared" si="16"/>
        <v>INSERT INTO DETALLES_DOCUMENTO(NRO_DOCUMENTO,ID_TIPO,ID_PRODUCTO,CANTIDAD,PRECIO,VALOR_BRUTO,VALOR_NETO,VALOR_IVA) VALUES(501,1,99,1,1500,1500,1261,239);</v>
      </c>
    </row>
    <row r="1038" spans="1:12">
      <c r="A1038" s="114">
        <v>1</v>
      </c>
      <c r="B1038" s="114">
        <v>501</v>
      </c>
      <c r="C1038" s="139" t="s">
        <v>2253</v>
      </c>
      <c r="D1038" s="114" t="s">
        <v>2090</v>
      </c>
      <c r="E1038" s="114">
        <v>110</v>
      </c>
      <c r="F1038" s="114">
        <v>56</v>
      </c>
      <c r="G1038" s="114">
        <v>1</v>
      </c>
      <c r="H1038" s="114">
        <v>1500</v>
      </c>
      <c r="I1038" s="114">
        <v>1500</v>
      </c>
      <c r="J1038" s="114">
        <v>1261</v>
      </c>
      <c r="K1038" s="114">
        <v>239</v>
      </c>
      <c r="L1038" s="114" t="str">
        <f t="shared" si="16"/>
        <v>INSERT INTO DETALLES_DOCUMENTO(NRO_DOCUMENTO,ID_TIPO,ID_PRODUCTO,CANTIDAD,PRECIO,VALOR_BRUTO,VALOR_NETO,VALOR_IVA) VALUES(501,1,56,1,1500,1500,1261,239);</v>
      </c>
    </row>
    <row r="1039" spans="1:12">
      <c r="A1039" s="114">
        <v>1</v>
      </c>
      <c r="B1039" s="114">
        <v>502</v>
      </c>
      <c r="C1039" s="139" t="s">
        <v>2253</v>
      </c>
      <c r="D1039" s="114" t="s">
        <v>2090</v>
      </c>
      <c r="E1039" s="114">
        <v>133</v>
      </c>
      <c r="F1039" s="114">
        <v>143</v>
      </c>
      <c r="G1039" s="114">
        <v>1</v>
      </c>
      <c r="H1039" s="114">
        <v>8300</v>
      </c>
      <c r="I1039" s="114">
        <v>8300</v>
      </c>
      <c r="J1039" s="114">
        <v>6975</v>
      </c>
      <c r="K1039" s="114">
        <v>1325</v>
      </c>
      <c r="L1039" s="114" t="str">
        <f t="shared" si="16"/>
        <v>INSERT INTO DETALLES_DOCUMENTO(NRO_DOCUMENTO,ID_TIPO,ID_PRODUCTO,CANTIDAD,PRECIO,VALOR_BRUTO,VALOR_NETO,VALOR_IVA) VALUES(502,1,143,1,8300,8300,6975,1325);</v>
      </c>
    </row>
    <row r="1040" spans="1:12">
      <c r="A1040" s="114">
        <v>1</v>
      </c>
      <c r="B1040" s="114">
        <v>503</v>
      </c>
      <c r="C1040" s="139" t="s">
        <v>2253</v>
      </c>
      <c r="D1040" s="114" t="s">
        <v>2090</v>
      </c>
      <c r="E1040" s="114">
        <v>135</v>
      </c>
      <c r="F1040" s="114">
        <v>143</v>
      </c>
      <c r="G1040" s="114">
        <v>2</v>
      </c>
      <c r="H1040" s="114">
        <v>16600</v>
      </c>
      <c r="I1040" s="114">
        <v>33200</v>
      </c>
      <c r="J1040" s="114">
        <v>27899</v>
      </c>
      <c r="K1040" s="114">
        <v>5301</v>
      </c>
      <c r="L1040" s="114" t="str">
        <f t="shared" si="16"/>
        <v>INSERT INTO DETALLES_DOCUMENTO(NRO_DOCUMENTO,ID_TIPO,ID_PRODUCTO,CANTIDAD,PRECIO,VALOR_BRUTO,VALOR_NETO,VALOR_IVA) VALUES(503,1,143,2,16600,33200,27899,5301);</v>
      </c>
    </row>
    <row r="1041" spans="1:12">
      <c r="A1041" s="114">
        <v>1</v>
      </c>
      <c r="B1041" s="114">
        <v>504</v>
      </c>
      <c r="C1041" s="139" t="s">
        <v>2253</v>
      </c>
      <c r="D1041" s="114" t="s">
        <v>2090</v>
      </c>
      <c r="E1041" s="114">
        <v>222</v>
      </c>
      <c r="F1041" s="114">
        <v>117</v>
      </c>
      <c r="G1041" s="114">
        <v>1</v>
      </c>
      <c r="H1041" s="114">
        <v>3500</v>
      </c>
      <c r="I1041" s="114">
        <v>3500</v>
      </c>
      <c r="J1041" s="114">
        <v>2941</v>
      </c>
      <c r="K1041" s="114">
        <v>559</v>
      </c>
      <c r="L1041" s="114" t="str">
        <f t="shared" si="16"/>
        <v>INSERT INTO DETALLES_DOCUMENTO(NRO_DOCUMENTO,ID_TIPO,ID_PRODUCTO,CANTIDAD,PRECIO,VALOR_BRUTO,VALOR_NETO,VALOR_IVA) VALUES(504,1,117,1,3500,3500,2941,559);</v>
      </c>
    </row>
    <row r="1042" spans="1:12">
      <c r="A1042" s="114">
        <v>1</v>
      </c>
      <c r="B1042" s="114">
        <v>504</v>
      </c>
      <c r="C1042" s="139" t="s">
        <v>2253</v>
      </c>
      <c r="D1042" s="114" t="s">
        <v>2090</v>
      </c>
      <c r="E1042" s="114">
        <v>222</v>
      </c>
      <c r="F1042" s="114">
        <v>329</v>
      </c>
      <c r="G1042" s="114">
        <v>1</v>
      </c>
      <c r="H1042" s="114">
        <v>5500</v>
      </c>
      <c r="I1042" s="114">
        <v>5500</v>
      </c>
      <c r="J1042" s="114">
        <v>4622</v>
      </c>
      <c r="K1042" s="114">
        <v>878</v>
      </c>
      <c r="L1042" s="114" t="str">
        <f t="shared" si="16"/>
        <v>INSERT INTO DETALLES_DOCUMENTO(NRO_DOCUMENTO,ID_TIPO,ID_PRODUCTO,CANTIDAD,PRECIO,VALOR_BRUTO,VALOR_NETO,VALOR_IVA) VALUES(504,1,329,1,5500,5500,4622,878);</v>
      </c>
    </row>
    <row r="1043" spans="1:12">
      <c r="A1043" s="114">
        <v>1</v>
      </c>
      <c r="B1043" s="114">
        <v>505</v>
      </c>
      <c r="C1043" s="139" t="s">
        <v>2253</v>
      </c>
      <c r="D1043" s="114" t="s">
        <v>2090</v>
      </c>
      <c r="E1043" s="114">
        <v>254</v>
      </c>
      <c r="F1043" s="114">
        <v>230</v>
      </c>
      <c r="G1043" s="114">
        <v>1</v>
      </c>
      <c r="H1043" s="114">
        <v>15500</v>
      </c>
      <c r="I1043" s="114">
        <v>15500</v>
      </c>
      <c r="J1043" s="114">
        <v>13025</v>
      </c>
      <c r="K1043" s="114">
        <v>2475</v>
      </c>
      <c r="L1043" s="114" t="str">
        <f t="shared" si="16"/>
        <v>INSERT INTO DETALLES_DOCUMENTO(NRO_DOCUMENTO,ID_TIPO,ID_PRODUCTO,CANTIDAD,PRECIO,VALOR_BRUTO,VALOR_NETO,VALOR_IVA) VALUES(505,1,230,1,15500,15500,13025,2475);</v>
      </c>
    </row>
    <row r="1044" spans="1:12">
      <c r="A1044" s="114">
        <v>1</v>
      </c>
      <c r="B1044" s="114">
        <v>506</v>
      </c>
      <c r="C1044" s="139" t="s">
        <v>2253</v>
      </c>
      <c r="D1044" s="114" t="s">
        <v>2090</v>
      </c>
      <c r="E1044" s="114">
        <v>315</v>
      </c>
      <c r="F1044" s="114">
        <v>329</v>
      </c>
      <c r="G1044" s="114">
        <v>1</v>
      </c>
      <c r="H1044" s="114">
        <v>5500</v>
      </c>
      <c r="I1044" s="114">
        <v>5500</v>
      </c>
      <c r="J1044" s="114">
        <v>4622</v>
      </c>
      <c r="K1044" s="114">
        <v>878</v>
      </c>
      <c r="L1044" s="114" t="str">
        <f t="shared" si="16"/>
        <v>INSERT INTO DETALLES_DOCUMENTO(NRO_DOCUMENTO,ID_TIPO,ID_PRODUCTO,CANTIDAD,PRECIO,VALOR_BRUTO,VALOR_NETO,VALOR_IVA) VALUES(506,1,329,1,5500,5500,4622,878);</v>
      </c>
    </row>
    <row r="1045" spans="1:12">
      <c r="A1045" s="114">
        <v>1</v>
      </c>
      <c r="B1045" s="114">
        <v>506</v>
      </c>
      <c r="C1045" s="139" t="s">
        <v>2253</v>
      </c>
      <c r="D1045" s="114" t="s">
        <v>2090</v>
      </c>
      <c r="E1045" s="114">
        <v>315</v>
      </c>
      <c r="F1045" s="114">
        <v>299</v>
      </c>
      <c r="G1045" s="114">
        <v>1</v>
      </c>
      <c r="H1045" s="114">
        <v>3200</v>
      </c>
      <c r="I1045" s="114">
        <v>3200</v>
      </c>
      <c r="J1045" s="114">
        <v>2689</v>
      </c>
      <c r="K1045" s="114">
        <v>511</v>
      </c>
      <c r="L1045" s="114" t="str">
        <f t="shared" si="16"/>
        <v>INSERT INTO DETALLES_DOCUMENTO(NRO_DOCUMENTO,ID_TIPO,ID_PRODUCTO,CANTIDAD,PRECIO,VALOR_BRUTO,VALOR_NETO,VALOR_IVA) VALUES(506,1,299,1,3200,3200,2689,511);</v>
      </c>
    </row>
    <row r="1046" spans="1:12">
      <c r="A1046" s="114">
        <v>1</v>
      </c>
      <c r="B1046" s="114">
        <v>507</v>
      </c>
      <c r="C1046" s="139" t="s">
        <v>2253</v>
      </c>
      <c r="D1046" s="114" t="s">
        <v>2090</v>
      </c>
      <c r="E1046" s="114">
        <v>321</v>
      </c>
      <c r="F1046" s="114">
        <v>51</v>
      </c>
      <c r="G1046" s="114">
        <v>2</v>
      </c>
      <c r="H1046" s="114">
        <v>8400</v>
      </c>
      <c r="I1046" s="114">
        <v>16800</v>
      </c>
      <c r="J1046" s="114">
        <v>14118</v>
      </c>
      <c r="K1046" s="114">
        <v>2682</v>
      </c>
      <c r="L1046" s="114" t="str">
        <f t="shared" si="16"/>
        <v>INSERT INTO DETALLES_DOCUMENTO(NRO_DOCUMENTO,ID_TIPO,ID_PRODUCTO,CANTIDAD,PRECIO,VALOR_BRUTO,VALOR_NETO,VALOR_IVA) VALUES(507,1,51,2,8400,16800,14118,2682);</v>
      </c>
    </row>
    <row r="1047" spans="1:12">
      <c r="A1047" s="114">
        <v>1</v>
      </c>
      <c r="B1047" s="114">
        <v>508</v>
      </c>
      <c r="C1047" s="139" t="s">
        <v>2253</v>
      </c>
      <c r="D1047" s="114" t="s">
        <v>2090</v>
      </c>
      <c r="E1047" s="114">
        <v>346</v>
      </c>
      <c r="F1047" s="114">
        <v>118</v>
      </c>
      <c r="G1047" s="114">
        <v>3</v>
      </c>
      <c r="H1047" s="114">
        <v>10500</v>
      </c>
      <c r="I1047" s="114">
        <v>31500</v>
      </c>
      <c r="J1047" s="114">
        <v>26471</v>
      </c>
      <c r="K1047" s="114">
        <v>5029</v>
      </c>
      <c r="L1047" s="114" t="str">
        <f t="shared" si="16"/>
        <v>INSERT INTO DETALLES_DOCUMENTO(NRO_DOCUMENTO,ID_TIPO,ID_PRODUCTO,CANTIDAD,PRECIO,VALOR_BRUTO,VALOR_NETO,VALOR_IVA) VALUES(508,1,118,3,10500,31500,26471,5029);</v>
      </c>
    </row>
    <row r="1048" spans="1:12">
      <c r="A1048" s="114">
        <v>1</v>
      </c>
      <c r="B1048" s="114">
        <v>508</v>
      </c>
      <c r="C1048" s="139" t="s">
        <v>2253</v>
      </c>
      <c r="D1048" s="114" t="s">
        <v>2090</v>
      </c>
      <c r="E1048" s="114">
        <v>346</v>
      </c>
      <c r="F1048" s="114">
        <v>356</v>
      </c>
      <c r="G1048" s="114">
        <v>1</v>
      </c>
      <c r="H1048" s="114">
        <v>3000</v>
      </c>
      <c r="I1048" s="114">
        <v>3000</v>
      </c>
      <c r="J1048" s="114">
        <v>2521</v>
      </c>
      <c r="K1048" s="114">
        <v>479</v>
      </c>
      <c r="L1048" s="114" t="str">
        <f t="shared" si="16"/>
        <v>INSERT INTO DETALLES_DOCUMENTO(NRO_DOCUMENTO,ID_TIPO,ID_PRODUCTO,CANTIDAD,PRECIO,VALOR_BRUTO,VALOR_NETO,VALOR_IVA) VALUES(508,1,356,1,3000,3000,2521,479);</v>
      </c>
    </row>
    <row r="1049" spans="1:12">
      <c r="A1049" s="114">
        <v>1</v>
      </c>
      <c r="B1049" s="114">
        <v>508</v>
      </c>
      <c r="C1049" s="139" t="s">
        <v>2253</v>
      </c>
      <c r="D1049" s="114" t="s">
        <v>2090</v>
      </c>
      <c r="E1049" s="114">
        <v>346</v>
      </c>
      <c r="F1049" s="114">
        <v>165</v>
      </c>
      <c r="G1049" s="114">
        <v>1</v>
      </c>
      <c r="H1049" s="114">
        <v>2000</v>
      </c>
      <c r="I1049" s="114">
        <v>2000</v>
      </c>
      <c r="J1049" s="114">
        <v>1681</v>
      </c>
      <c r="K1049" s="114">
        <v>319</v>
      </c>
      <c r="L1049" s="114" t="str">
        <f t="shared" si="16"/>
        <v>INSERT INTO DETALLES_DOCUMENTO(NRO_DOCUMENTO,ID_TIPO,ID_PRODUCTO,CANTIDAD,PRECIO,VALOR_BRUTO,VALOR_NETO,VALOR_IVA) VALUES(508,1,165,1,2000,2000,1681,319);</v>
      </c>
    </row>
    <row r="1050" spans="1:12">
      <c r="A1050" s="114">
        <v>1</v>
      </c>
      <c r="B1050" s="114">
        <v>508</v>
      </c>
      <c r="C1050" s="139" t="s">
        <v>2253</v>
      </c>
      <c r="D1050" s="114" t="s">
        <v>2090</v>
      </c>
      <c r="E1050" s="114">
        <v>346</v>
      </c>
      <c r="F1050" s="114">
        <v>29</v>
      </c>
      <c r="G1050" s="114">
        <v>2</v>
      </c>
      <c r="H1050" s="114">
        <v>2000</v>
      </c>
      <c r="I1050" s="114">
        <v>4000</v>
      </c>
      <c r="J1050" s="114">
        <v>3361</v>
      </c>
      <c r="K1050" s="114">
        <v>639</v>
      </c>
      <c r="L1050" s="114" t="str">
        <f t="shared" si="16"/>
        <v>INSERT INTO DETALLES_DOCUMENTO(NRO_DOCUMENTO,ID_TIPO,ID_PRODUCTO,CANTIDAD,PRECIO,VALOR_BRUTO,VALOR_NETO,VALOR_IVA) VALUES(508,1,29,2,2000,4000,3361,639);</v>
      </c>
    </row>
    <row r="1051" spans="1:12">
      <c r="A1051" s="114">
        <v>1</v>
      </c>
      <c r="B1051" s="114">
        <v>509</v>
      </c>
      <c r="C1051" s="139" t="s">
        <v>2253</v>
      </c>
      <c r="D1051" s="114" t="s">
        <v>2090</v>
      </c>
      <c r="E1051" s="114">
        <v>367</v>
      </c>
      <c r="F1051" s="114">
        <v>143</v>
      </c>
      <c r="G1051" s="114">
        <v>2</v>
      </c>
      <c r="H1051" s="114">
        <v>16600</v>
      </c>
      <c r="I1051" s="114">
        <v>33200</v>
      </c>
      <c r="J1051" s="114">
        <v>27899</v>
      </c>
      <c r="K1051" s="114">
        <v>5301</v>
      </c>
      <c r="L1051" s="114" t="str">
        <f t="shared" si="16"/>
        <v>INSERT INTO DETALLES_DOCUMENTO(NRO_DOCUMENTO,ID_TIPO,ID_PRODUCTO,CANTIDAD,PRECIO,VALOR_BRUTO,VALOR_NETO,VALOR_IVA) VALUES(509,1,143,2,16600,33200,27899,5301);</v>
      </c>
    </row>
    <row r="1052" spans="1:12">
      <c r="A1052" s="114">
        <v>1</v>
      </c>
      <c r="B1052" s="114">
        <v>510</v>
      </c>
      <c r="C1052" s="139" t="s">
        <v>2253</v>
      </c>
      <c r="D1052" s="114" t="s">
        <v>2090</v>
      </c>
      <c r="E1052" s="114">
        <v>411</v>
      </c>
      <c r="F1052" s="114">
        <v>329</v>
      </c>
      <c r="G1052" s="114">
        <v>1</v>
      </c>
      <c r="H1052" s="114">
        <v>5500</v>
      </c>
      <c r="I1052" s="114">
        <v>5500</v>
      </c>
      <c r="J1052" s="114">
        <v>4622</v>
      </c>
      <c r="K1052" s="114">
        <v>878</v>
      </c>
      <c r="L1052" s="114" t="str">
        <f t="shared" si="16"/>
        <v>INSERT INTO DETALLES_DOCUMENTO(NRO_DOCUMENTO,ID_TIPO,ID_PRODUCTO,CANTIDAD,PRECIO,VALOR_BRUTO,VALOR_NETO,VALOR_IVA) VALUES(510,1,329,1,5500,5500,4622,878);</v>
      </c>
    </row>
    <row r="1053" spans="1:12">
      <c r="A1053" s="114">
        <v>1</v>
      </c>
      <c r="B1053" s="114">
        <v>511</v>
      </c>
      <c r="C1053" s="139" t="s">
        <v>2253</v>
      </c>
      <c r="D1053" s="114" t="s">
        <v>2090</v>
      </c>
      <c r="E1053" s="114">
        <v>416</v>
      </c>
      <c r="F1053" s="114">
        <v>143</v>
      </c>
      <c r="G1053" s="114">
        <v>1</v>
      </c>
      <c r="H1053" s="114">
        <v>8300</v>
      </c>
      <c r="I1053" s="114">
        <v>8300</v>
      </c>
      <c r="J1053" s="114">
        <v>6975</v>
      </c>
      <c r="K1053" s="114">
        <v>1325</v>
      </c>
      <c r="L1053" s="114" t="str">
        <f t="shared" si="16"/>
        <v>INSERT INTO DETALLES_DOCUMENTO(NRO_DOCUMENTO,ID_TIPO,ID_PRODUCTO,CANTIDAD,PRECIO,VALOR_BRUTO,VALOR_NETO,VALOR_IVA) VALUES(511,1,143,1,8300,8300,6975,1325);</v>
      </c>
    </row>
    <row r="1054" spans="1:12">
      <c r="A1054" s="114">
        <v>1</v>
      </c>
      <c r="B1054" s="114">
        <v>512</v>
      </c>
      <c r="C1054" s="139" t="s">
        <v>2253</v>
      </c>
      <c r="D1054" s="114" t="s">
        <v>2090</v>
      </c>
      <c r="E1054" s="114">
        <v>427</v>
      </c>
      <c r="F1054" s="114">
        <v>329</v>
      </c>
      <c r="G1054" s="114">
        <v>1</v>
      </c>
      <c r="H1054" s="114">
        <v>5500</v>
      </c>
      <c r="I1054" s="114">
        <v>5500</v>
      </c>
      <c r="J1054" s="114">
        <v>4622</v>
      </c>
      <c r="K1054" s="114">
        <v>878</v>
      </c>
      <c r="L1054" s="114" t="str">
        <f t="shared" si="16"/>
        <v>INSERT INTO DETALLES_DOCUMENTO(NRO_DOCUMENTO,ID_TIPO,ID_PRODUCTO,CANTIDAD,PRECIO,VALOR_BRUTO,VALOR_NETO,VALOR_IVA) VALUES(512,1,329,1,5500,5500,4622,878);</v>
      </c>
    </row>
    <row r="1055" spans="1:12">
      <c r="A1055" s="114">
        <v>1</v>
      </c>
      <c r="B1055" s="114">
        <v>512</v>
      </c>
      <c r="C1055" s="139" t="s">
        <v>2253</v>
      </c>
      <c r="D1055" s="114" t="s">
        <v>2090</v>
      </c>
      <c r="E1055" s="114">
        <v>427</v>
      </c>
      <c r="F1055" s="114">
        <v>230</v>
      </c>
      <c r="G1055" s="114">
        <v>1</v>
      </c>
      <c r="H1055" s="114">
        <v>15500</v>
      </c>
      <c r="I1055" s="114">
        <v>15500</v>
      </c>
      <c r="J1055" s="114">
        <v>13025</v>
      </c>
      <c r="K1055" s="114">
        <v>2475</v>
      </c>
      <c r="L1055" s="114" t="str">
        <f t="shared" si="16"/>
        <v>INSERT INTO DETALLES_DOCUMENTO(NRO_DOCUMENTO,ID_TIPO,ID_PRODUCTO,CANTIDAD,PRECIO,VALOR_BRUTO,VALOR_NETO,VALOR_IVA) VALUES(512,1,230,1,15500,15500,13025,2475);</v>
      </c>
    </row>
    <row r="1056" spans="1:12">
      <c r="A1056" s="114">
        <v>1</v>
      </c>
      <c r="B1056" s="114">
        <v>513</v>
      </c>
      <c r="C1056" s="139" t="s">
        <v>2253</v>
      </c>
      <c r="D1056" s="114" t="s">
        <v>2090</v>
      </c>
      <c r="E1056" s="114">
        <v>451</v>
      </c>
      <c r="F1056" s="114">
        <v>118</v>
      </c>
      <c r="G1056" s="114">
        <v>1</v>
      </c>
      <c r="H1056" s="114">
        <v>3500</v>
      </c>
      <c r="I1056" s="114">
        <v>3500</v>
      </c>
      <c r="J1056" s="114">
        <v>2941</v>
      </c>
      <c r="K1056" s="114">
        <v>559</v>
      </c>
      <c r="L1056" s="114" t="str">
        <f t="shared" si="16"/>
        <v>INSERT INTO DETALLES_DOCUMENTO(NRO_DOCUMENTO,ID_TIPO,ID_PRODUCTO,CANTIDAD,PRECIO,VALOR_BRUTO,VALOR_NETO,VALOR_IVA) VALUES(513,1,118,1,3500,3500,2941,559);</v>
      </c>
    </row>
    <row r="1057" spans="1:12">
      <c r="A1057" s="114">
        <v>1</v>
      </c>
      <c r="B1057" s="114">
        <v>514</v>
      </c>
      <c r="C1057" s="139" t="s">
        <v>2253</v>
      </c>
      <c r="D1057" s="114" t="s">
        <v>2090</v>
      </c>
      <c r="E1057" s="114">
        <v>479</v>
      </c>
      <c r="F1057" s="114">
        <v>369</v>
      </c>
      <c r="G1057" s="114">
        <v>2</v>
      </c>
      <c r="H1057" s="114">
        <v>21000</v>
      </c>
      <c r="I1057" s="114">
        <v>42000</v>
      </c>
      <c r="J1057" s="114">
        <v>35294</v>
      </c>
      <c r="K1057" s="114">
        <v>6706</v>
      </c>
      <c r="L1057" s="114" t="str">
        <f t="shared" si="16"/>
        <v>INSERT INTO DETALLES_DOCUMENTO(NRO_DOCUMENTO,ID_TIPO,ID_PRODUCTO,CANTIDAD,PRECIO,VALOR_BRUTO,VALOR_NETO,VALOR_IVA) VALUES(514,1,369,2,21000,42000,35294,6706);</v>
      </c>
    </row>
    <row r="1058" spans="1:12">
      <c r="A1058" s="114">
        <v>1</v>
      </c>
      <c r="B1058" s="114">
        <v>514</v>
      </c>
      <c r="C1058" s="139" t="s">
        <v>2253</v>
      </c>
      <c r="D1058" s="114" t="s">
        <v>2090</v>
      </c>
      <c r="E1058" s="114">
        <v>479</v>
      </c>
      <c r="F1058" s="114">
        <v>298</v>
      </c>
      <c r="G1058" s="114">
        <v>1</v>
      </c>
      <c r="H1058" s="114">
        <v>2500</v>
      </c>
      <c r="I1058" s="114">
        <v>2500</v>
      </c>
      <c r="J1058" s="114">
        <v>2101</v>
      </c>
      <c r="K1058" s="114">
        <v>399</v>
      </c>
      <c r="L1058" s="114" t="str">
        <f t="shared" si="16"/>
        <v>INSERT INTO DETALLES_DOCUMENTO(NRO_DOCUMENTO,ID_TIPO,ID_PRODUCTO,CANTIDAD,PRECIO,VALOR_BRUTO,VALOR_NETO,VALOR_IVA) VALUES(514,1,298,1,2500,2500,2101,399);</v>
      </c>
    </row>
    <row r="1059" spans="1:12">
      <c r="A1059" s="114">
        <v>1</v>
      </c>
      <c r="B1059" s="114">
        <v>515</v>
      </c>
      <c r="C1059" s="139" t="s">
        <v>2254</v>
      </c>
      <c r="D1059" s="114" t="s">
        <v>2090</v>
      </c>
      <c r="E1059" s="114">
        <v>155</v>
      </c>
      <c r="F1059" s="114">
        <v>143</v>
      </c>
      <c r="G1059" s="114">
        <v>1</v>
      </c>
      <c r="H1059" s="114">
        <v>8300</v>
      </c>
      <c r="I1059" s="114">
        <v>8300</v>
      </c>
      <c r="J1059" s="114">
        <v>6975</v>
      </c>
      <c r="K1059" s="114">
        <v>1325</v>
      </c>
      <c r="L1059" s="114" t="str">
        <f t="shared" si="16"/>
        <v>INSERT INTO DETALLES_DOCUMENTO(NRO_DOCUMENTO,ID_TIPO,ID_PRODUCTO,CANTIDAD,PRECIO,VALOR_BRUTO,VALOR_NETO,VALOR_IVA) VALUES(515,1,143,1,8300,8300,6975,1325);</v>
      </c>
    </row>
    <row r="1060" spans="1:12">
      <c r="A1060" s="114">
        <v>1</v>
      </c>
      <c r="B1060" s="114">
        <v>516</v>
      </c>
      <c r="C1060" s="139" t="s">
        <v>2254</v>
      </c>
      <c r="D1060" s="114" t="s">
        <v>2090</v>
      </c>
      <c r="E1060" s="114">
        <v>166</v>
      </c>
      <c r="F1060" s="114">
        <v>191</v>
      </c>
      <c r="G1060" s="114">
        <v>3</v>
      </c>
      <c r="H1060" s="114">
        <v>7500</v>
      </c>
      <c r="I1060" s="114">
        <v>22500</v>
      </c>
      <c r="J1060" s="114">
        <v>18908</v>
      </c>
      <c r="K1060" s="114">
        <v>3592</v>
      </c>
      <c r="L1060" s="114" t="str">
        <f t="shared" si="16"/>
        <v>INSERT INTO DETALLES_DOCUMENTO(NRO_DOCUMENTO,ID_TIPO,ID_PRODUCTO,CANTIDAD,PRECIO,VALOR_BRUTO,VALOR_NETO,VALOR_IVA) VALUES(516,1,191,3,7500,22500,18908,3592);</v>
      </c>
    </row>
    <row r="1061" spans="1:12">
      <c r="A1061" s="114">
        <v>1</v>
      </c>
      <c r="B1061" s="114">
        <v>517</v>
      </c>
      <c r="C1061" s="139" t="s">
        <v>2254</v>
      </c>
      <c r="D1061" s="114" t="s">
        <v>2090</v>
      </c>
      <c r="E1061" s="114">
        <v>214</v>
      </c>
      <c r="F1061" s="114">
        <v>118</v>
      </c>
      <c r="G1061" s="114">
        <v>1</v>
      </c>
      <c r="H1061" s="114">
        <v>3500</v>
      </c>
      <c r="I1061" s="114">
        <v>3500</v>
      </c>
      <c r="J1061" s="114">
        <v>2941</v>
      </c>
      <c r="K1061" s="114">
        <v>559</v>
      </c>
      <c r="L1061" s="114" t="str">
        <f t="shared" si="16"/>
        <v>INSERT INTO DETALLES_DOCUMENTO(NRO_DOCUMENTO,ID_TIPO,ID_PRODUCTO,CANTIDAD,PRECIO,VALOR_BRUTO,VALOR_NETO,VALOR_IVA) VALUES(517,1,118,1,3500,3500,2941,559);</v>
      </c>
    </row>
    <row r="1062" spans="1:12">
      <c r="A1062" s="114">
        <v>1</v>
      </c>
      <c r="B1062" s="114">
        <v>517</v>
      </c>
      <c r="C1062" s="139" t="s">
        <v>2254</v>
      </c>
      <c r="D1062" s="114" t="s">
        <v>2090</v>
      </c>
      <c r="E1062" s="114">
        <v>214</v>
      </c>
      <c r="F1062" s="114">
        <v>143</v>
      </c>
      <c r="G1062" s="114">
        <v>2</v>
      </c>
      <c r="H1062" s="114">
        <v>16600</v>
      </c>
      <c r="I1062" s="114">
        <v>33200</v>
      </c>
      <c r="J1062" s="114">
        <v>27899</v>
      </c>
      <c r="K1062" s="114">
        <v>5301</v>
      </c>
      <c r="L1062" s="114" t="str">
        <f t="shared" si="16"/>
        <v>INSERT INTO DETALLES_DOCUMENTO(NRO_DOCUMENTO,ID_TIPO,ID_PRODUCTO,CANTIDAD,PRECIO,VALOR_BRUTO,VALOR_NETO,VALOR_IVA) VALUES(517,1,143,2,16600,33200,27899,5301);</v>
      </c>
    </row>
    <row r="1063" spans="1:12">
      <c r="A1063" s="114">
        <v>1</v>
      </c>
      <c r="B1063" s="114">
        <v>518</v>
      </c>
      <c r="C1063" s="139" t="s">
        <v>2254</v>
      </c>
      <c r="D1063" s="114" t="s">
        <v>2090</v>
      </c>
      <c r="E1063" s="114">
        <v>267</v>
      </c>
      <c r="F1063" s="114">
        <v>140</v>
      </c>
      <c r="G1063" s="114">
        <v>1</v>
      </c>
      <c r="H1063" s="114">
        <v>3700</v>
      </c>
      <c r="I1063" s="114">
        <v>3700</v>
      </c>
      <c r="J1063" s="114">
        <v>3109</v>
      </c>
      <c r="K1063" s="114">
        <v>591</v>
      </c>
      <c r="L1063" s="114" t="str">
        <f t="shared" si="16"/>
        <v>INSERT INTO DETALLES_DOCUMENTO(NRO_DOCUMENTO,ID_TIPO,ID_PRODUCTO,CANTIDAD,PRECIO,VALOR_BRUTO,VALOR_NETO,VALOR_IVA) VALUES(518,1,140,1,3700,3700,3109,591);</v>
      </c>
    </row>
    <row r="1064" spans="1:12">
      <c r="A1064" s="114">
        <v>1</v>
      </c>
      <c r="B1064" s="114">
        <v>519</v>
      </c>
      <c r="C1064" s="139" t="s">
        <v>2254</v>
      </c>
      <c r="D1064" s="114" t="s">
        <v>2090</v>
      </c>
      <c r="E1064" s="114">
        <v>349</v>
      </c>
      <c r="F1064" s="114">
        <v>51</v>
      </c>
      <c r="G1064" s="114">
        <v>1</v>
      </c>
      <c r="H1064" s="114">
        <v>4200</v>
      </c>
      <c r="I1064" s="114">
        <v>4200</v>
      </c>
      <c r="J1064" s="114">
        <v>3529</v>
      </c>
      <c r="K1064" s="114">
        <v>671</v>
      </c>
      <c r="L1064" s="114" t="str">
        <f t="shared" si="16"/>
        <v>INSERT INTO DETALLES_DOCUMENTO(NRO_DOCUMENTO,ID_TIPO,ID_PRODUCTO,CANTIDAD,PRECIO,VALOR_BRUTO,VALOR_NETO,VALOR_IVA) VALUES(519,1,51,1,4200,4200,3529,671);</v>
      </c>
    </row>
    <row r="1065" spans="1:12">
      <c r="A1065" s="114">
        <v>1</v>
      </c>
      <c r="B1065" s="114">
        <v>520</v>
      </c>
      <c r="C1065" s="139" t="s">
        <v>2254</v>
      </c>
      <c r="D1065" s="114" t="s">
        <v>2090</v>
      </c>
      <c r="E1065" s="114">
        <v>450</v>
      </c>
      <c r="F1065" s="114">
        <v>143</v>
      </c>
      <c r="G1065" s="114">
        <v>2</v>
      </c>
      <c r="H1065" s="114">
        <v>16600</v>
      </c>
      <c r="I1065" s="114">
        <v>33200</v>
      </c>
      <c r="J1065" s="114">
        <v>27899</v>
      </c>
      <c r="K1065" s="114">
        <v>5301</v>
      </c>
      <c r="L1065" s="114" t="str">
        <f t="shared" si="16"/>
        <v>INSERT INTO DETALLES_DOCUMENTO(NRO_DOCUMENTO,ID_TIPO,ID_PRODUCTO,CANTIDAD,PRECIO,VALOR_BRUTO,VALOR_NETO,VALOR_IVA) VALUES(520,1,143,2,16600,33200,27899,5301);</v>
      </c>
    </row>
    <row r="1066" spans="1:12">
      <c r="A1066" s="114">
        <v>1</v>
      </c>
      <c r="B1066" s="114">
        <v>520</v>
      </c>
      <c r="C1066" s="139" t="s">
        <v>2254</v>
      </c>
      <c r="D1066" s="114" t="s">
        <v>2090</v>
      </c>
      <c r="E1066" s="114">
        <v>450</v>
      </c>
      <c r="F1066" s="114">
        <v>247</v>
      </c>
      <c r="G1066" s="114">
        <v>1</v>
      </c>
      <c r="H1066" s="114">
        <v>2800</v>
      </c>
      <c r="I1066" s="114">
        <v>2800</v>
      </c>
      <c r="J1066" s="114">
        <v>2353</v>
      </c>
      <c r="K1066" s="114">
        <v>447</v>
      </c>
      <c r="L1066" s="114" t="str">
        <f t="shared" si="16"/>
        <v>INSERT INTO DETALLES_DOCUMENTO(NRO_DOCUMENTO,ID_TIPO,ID_PRODUCTO,CANTIDAD,PRECIO,VALOR_BRUTO,VALOR_NETO,VALOR_IVA) VALUES(520,1,247,1,2800,2800,2353,447);</v>
      </c>
    </row>
    <row r="1067" spans="1:12">
      <c r="A1067" s="114">
        <v>1</v>
      </c>
      <c r="B1067" s="114">
        <v>520</v>
      </c>
      <c r="C1067" s="139" t="s">
        <v>2254</v>
      </c>
      <c r="D1067" s="114" t="s">
        <v>2090</v>
      </c>
      <c r="E1067" s="114">
        <v>450</v>
      </c>
      <c r="F1067" s="114">
        <v>29</v>
      </c>
      <c r="G1067" s="114">
        <v>1</v>
      </c>
      <c r="H1067" s="114">
        <v>1000</v>
      </c>
      <c r="I1067" s="114">
        <v>1000</v>
      </c>
      <c r="J1067" s="114">
        <v>840</v>
      </c>
      <c r="K1067" s="114">
        <v>160</v>
      </c>
      <c r="L1067" s="114" t="str">
        <f t="shared" si="16"/>
        <v>INSERT INTO DETALLES_DOCUMENTO(NRO_DOCUMENTO,ID_TIPO,ID_PRODUCTO,CANTIDAD,PRECIO,VALOR_BRUTO,VALOR_NETO,VALOR_IVA) VALUES(520,1,29,1,1000,1000,840,160);</v>
      </c>
    </row>
    <row r="1068" spans="1:12">
      <c r="A1068" s="114">
        <v>1</v>
      </c>
      <c r="B1068" s="114">
        <v>520</v>
      </c>
      <c r="C1068" s="139" t="s">
        <v>2254</v>
      </c>
      <c r="D1068" s="114" t="s">
        <v>2090</v>
      </c>
      <c r="E1068" s="114">
        <v>450</v>
      </c>
      <c r="F1068" s="114">
        <v>68</v>
      </c>
      <c r="G1068" s="114">
        <v>1</v>
      </c>
      <c r="H1068" s="114">
        <v>1100</v>
      </c>
      <c r="I1068" s="114">
        <v>1100</v>
      </c>
      <c r="J1068" s="114">
        <v>924</v>
      </c>
      <c r="K1068" s="114">
        <v>176</v>
      </c>
      <c r="L1068" s="114" t="str">
        <f t="shared" si="16"/>
        <v>INSERT INTO DETALLES_DOCUMENTO(NRO_DOCUMENTO,ID_TIPO,ID_PRODUCTO,CANTIDAD,PRECIO,VALOR_BRUTO,VALOR_NETO,VALOR_IVA) VALUES(520,1,68,1,1100,1100,924,176);</v>
      </c>
    </row>
    <row r="1069" spans="1:12">
      <c r="A1069" s="114">
        <v>1</v>
      </c>
      <c r="B1069" s="114">
        <v>520</v>
      </c>
      <c r="C1069" s="139" t="s">
        <v>2254</v>
      </c>
      <c r="D1069" s="114" t="s">
        <v>2090</v>
      </c>
      <c r="E1069" s="114">
        <v>450</v>
      </c>
      <c r="F1069" s="114">
        <v>125</v>
      </c>
      <c r="G1069" s="114">
        <v>1</v>
      </c>
      <c r="H1069" s="114">
        <v>1700</v>
      </c>
      <c r="I1069" s="114">
        <v>1700</v>
      </c>
      <c r="J1069" s="114">
        <v>1429</v>
      </c>
      <c r="K1069" s="114">
        <v>271</v>
      </c>
      <c r="L1069" s="114" t="str">
        <f t="shared" si="16"/>
        <v>INSERT INTO DETALLES_DOCUMENTO(NRO_DOCUMENTO,ID_TIPO,ID_PRODUCTO,CANTIDAD,PRECIO,VALOR_BRUTO,VALOR_NETO,VALOR_IVA) VALUES(520,1,125,1,1700,1700,1429,271);</v>
      </c>
    </row>
    <row r="1070" spans="1:12">
      <c r="A1070" s="114">
        <v>1</v>
      </c>
      <c r="B1070" s="114">
        <v>520</v>
      </c>
      <c r="C1070" s="139" t="s">
        <v>2254</v>
      </c>
      <c r="D1070" s="114" t="s">
        <v>2090</v>
      </c>
      <c r="E1070" s="114">
        <v>450</v>
      </c>
      <c r="F1070" s="114">
        <v>51</v>
      </c>
      <c r="G1070" s="114">
        <v>1</v>
      </c>
      <c r="H1070" s="114">
        <v>4200</v>
      </c>
      <c r="I1070" s="114">
        <v>4200</v>
      </c>
      <c r="J1070" s="114">
        <v>3529</v>
      </c>
      <c r="K1070" s="114">
        <v>671</v>
      </c>
      <c r="L1070" s="114" t="str">
        <f t="shared" si="16"/>
        <v>INSERT INTO DETALLES_DOCUMENTO(NRO_DOCUMENTO,ID_TIPO,ID_PRODUCTO,CANTIDAD,PRECIO,VALOR_BRUTO,VALOR_NETO,VALOR_IVA) VALUES(520,1,51,1,4200,4200,3529,671);</v>
      </c>
    </row>
    <row r="1071" spans="1:12">
      <c r="A1071" s="114">
        <v>1</v>
      </c>
      <c r="B1071" s="114">
        <v>521</v>
      </c>
      <c r="C1071" s="139" t="s">
        <v>2255</v>
      </c>
      <c r="D1071" s="114" t="s">
        <v>2090</v>
      </c>
      <c r="E1071" s="114">
        <v>202</v>
      </c>
      <c r="F1071" s="114">
        <v>324</v>
      </c>
      <c r="G1071" s="114">
        <v>1</v>
      </c>
      <c r="H1071" s="114">
        <v>10500</v>
      </c>
      <c r="I1071" s="114">
        <v>10500</v>
      </c>
      <c r="J1071" s="114">
        <v>8824</v>
      </c>
      <c r="K1071" s="114">
        <v>1676</v>
      </c>
      <c r="L1071" s="114" t="str">
        <f t="shared" si="16"/>
        <v>INSERT INTO DETALLES_DOCUMENTO(NRO_DOCUMENTO,ID_TIPO,ID_PRODUCTO,CANTIDAD,PRECIO,VALOR_BRUTO,VALOR_NETO,VALOR_IVA) VALUES(521,1,324,1,10500,10500,8824,1676);</v>
      </c>
    </row>
    <row r="1072" spans="1:12">
      <c r="A1072" s="114">
        <v>1</v>
      </c>
      <c r="B1072" s="114">
        <v>522</v>
      </c>
      <c r="C1072" s="139" t="s">
        <v>2255</v>
      </c>
      <c r="D1072" s="114" t="s">
        <v>2090</v>
      </c>
      <c r="E1072" s="114">
        <v>312</v>
      </c>
      <c r="F1072" s="114">
        <v>143</v>
      </c>
      <c r="G1072" s="114">
        <v>1</v>
      </c>
      <c r="H1072" s="114">
        <v>8300</v>
      </c>
      <c r="I1072" s="114">
        <v>8300</v>
      </c>
      <c r="J1072" s="114">
        <v>6975</v>
      </c>
      <c r="K1072" s="114">
        <v>1325</v>
      </c>
      <c r="L1072" s="114" t="str">
        <f t="shared" si="16"/>
        <v>INSERT INTO DETALLES_DOCUMENTO(NRO_DOCUMENTO,ID_TIPO,ID_PRODUCTO,CANTIDAD,PRECIO,VALOR_BRUTO,VALOR_NETO,VALOR_IVA) VALUES(522,1,143,1,8300,8300,6975,1325);</v>
      </c>
    </row>
    <row r="1073" spans="1:12">
      <c r="A1073" s="114">
        <v>1</v>
      </c>
      <c r="B1073" s="114">
        <v>523</v>
      </c>
      <c r="C1073" s="139" t="s">
        <v>2255</v>
      </c>
      <c r="D1073" s="114" t="s">
        <v>2090</v>
      </c>
      <c r="E1073" s="114">
        <v>322</v>
      </c>
      <c r="F1073" s="114">
        <v>369</v>
      </c>
      <c r="G1073" s="114">
        <v>1</v>
      </c>
      <c r="H1073" s="114">
        <v>10500</v>
      </c>
      <c r="I1073" s="114">
        <v>10500</v>
      </c>
      <c r="J1073" s="114">
        <v>8824</v>
      </c>
      <c r="K1073" s="114">
        <v>1676</v>
      </c>
      <c r="L1073" s="114" t="str">
        <f t="shared" si="16"/>
        <v>INSERT INTO DETALLES_DOCUMENTO(NRO_DOCUMENTO,ID_TIPO,ID_PRODUCTO,CANTIDAD,PRECIO,VALOR_BRUTO,VALOR_NETO,VALOR_IVA) VALUES(523,1,369,1,10500,10500,8824,1676);</v>
      </c>
    </row>
    <row r="1074" spans="1:12">
      <c r="A1074" s="114">
        <v>1</v>
      </c>
      <c r="B1074" s="114">
        <v>523</v>
      </c>
      <c r="C1074" s="139" t="s">
        <v>2255</v>
      </c>
      <c r="D1074" s="114" t="s">
        <v>2090</v>
      </c>
      <c r="E1074" s="114">
        <v>322</v>
      </c>
      <c r="F1074" s="114">
        <v>231</v>
      </c>
      <c r="G1074" s="114">
        <v>1</v>
      </c>
      <c r="H1074" s="114">
        <v>19990</v>
      </c>
      <c r="I1074" s="114">
        <v>19990</v>
      </c>
      <c r="J1074" s="114">
        <v>16798</v>
      </c>
      <c r="K1074" s="114">
        <v>3192</v>
      </c>
      <c r="L1074" s="114" t="str">
        <f t="shared" si="16"/>
        <v>INSERT INTO DETALLES_DOCUMENTO(NRO_DOCUMENTO,ID_TIPO,ID_PRODUCTO,CANTIDAD,PRECIO,VALOR_BRUTO,VALOR_NETO,VALOR_IVA) VALUES(523,1,231,1,19990,19990,16798,3192);</v>
      </c>
    </row>
    <row r="1075" spans="1:12">
      <c r="A1075" s="114">
        <v>1</v>
      </c>
      <c r="B1075" s="114">
        <v>524</v>
      </c>
      <c r="C1075" s="139" t="s">
        <v>2255</v>
      </c>
      <c r="D1075" s="114" t="s">
        <v>2090</v>
      </c>
      <c r="E1075" s="114">
        <v>353</v>
      </c>
      <c r="F1075" s="114">
        <v>230</v>
      </c>
      <c r="G1075" s="114">
        <v>1</v>
      </c>
      <c r="H1075" s="114">
        <v>15500</v>
      </c>
      <c r="I1075" s="114">
        <v>15500</v>
      </c>
      <c r="J1075" s="114">
        <v>13025</v>
      </c>
      <c r="K1075" s="114">
        <v>2475</v>
      </c>
      <c r="L1075" s="114" t="str">
        <f t="shared" si="16"/>
        <v>INSERT INTO DETALLES_DOCUMENTO(NRO_DOCUMENTO,ID_TIPO,ID_PRODUCTO,CANTIDAD,PRECIO,VALOR_BRUTO,VALOR_NETO,VALOR_IVA) VALUES(524,1,230,1,15500,15500,13025,2475);</v>
      </c>
    </row>
    <row r="1076" spans="1:12">
      <c r="A1076" s="114">
        <v>1</v>
      </c>
      <c r="B1076" s="114">
        <v>525</v>
      </c>
      <c r="C1076" s="139" t="s">
        <v>2256</v>
      </c>
      <c r="D1076" s="115" t="s">
        <v>2093</v>
      </c>
      <c r="E1076" s="114">
        <v>72</v>
      </c>
      <c r="F1076" s="114">
        <v>143</v>
      </c>
      <c r="G1076" s="114">
        <v>1</v>
      </c>
      <c r="H1076" s="114">
        <v>8300</v>
      </c>
      <c r="I1076" s="114">
        <v>8300</v>
      </c>
      <c r="J1076" s="114">
        <v>6975</v>
      </c>
      <c r="K1076" s="114">
        <v>1325</v>
      </c>
      <c r="L1076" s="114" t="str">
        <f t="shared" si="16"/>
        <v>INSERT INTO DETALLES_DOCUMENTO(NRO_DOCUMENTO,ID_TIPO,ID_PRODUCTO,CANTIDAD,PRECIO,VALOR_BRUTO,VALOR_NETO,VALOR_IVA) VALUES(525,1,143,1,8300,8300,6975,1325);</v>
      </c>
    </row>
    <row r="1077" spans="1:12">
      <c r="A1077" s="114">
        <v>1</v>
      </c>
      <c r="B1077" s="114">
        <v>525</v>
      </c>
      <c r="C1077" s="139" t="s">
        <v>2256</v>
      </c>
      <c r="D1077" s="115" t="s">
        <v>2093</v>
      </c>
      <c r="E1077" s="114">
        <v>72</v>
      </c>
      <c r="F1077" s="114">
        <v>329</v>
      </c>
      <c r="G1077" s="114">
        <v>1</v>
      </c>
      <c r="H1077" s="114">
        <v>5500</v>
      </c>
      <c r="I1077" s="114">
        <v>5500</v>
      </c>
      <c r="J1077" s="114">
        <v>4622</v>
      </c>
      <c r="K1077" s="114">
        <v>878</v>
      </c>
      <c r="L1077" s="114" t="str">
        <f t="shared" si="16"/>
        <v>INSERT INTO DETALLES_DOCUMENTO(NRO_DOCUMENTO,ID_TIPO,ID_PRODUCTO,CANTIDAD,PRECIO,VALOR_BRUTO,VALOR_NETO,VALOR_IVA) VALUES(525,1,329,1,5500,5500,4622,878);</v>
      </c>
    </row>
    <row r="1078" spans="1:12">
      <c r="A1078" s="114">
        <v>1</v>
      </c>
      <c r="B1078" s="114">
        <v>526</v>
      </c>
      <c r="C1078" s="139" t="s">
        <v>2256</v>
      </c>
      <c r="D1078" s="114" t="s">
        <v>2090</v>
      </c>
      <c r="E1078" s="114">
        <v>111</v>
      </c>
      <c r="F1078" s="114">
        <v>230</v>
      </c>
      <c r="G1078" s="114">
        <v>1</v>
      </c>
      <c r="H1078" s="114">
        <v>15500</v>
      </c>
      <c r="I1078" s="114">
        <v>15500</v>
      </c>
      <c r="J1078" s="114">
        <v>13025</v>
      </c>
      <c r="K1078" s="114">
        <v>2475</v>
      </c>
      <c r="L1078" s="114" t="str">
        <f t="shared" si="16"/>
        <v>INSERT INTO DETALLES_DOCUMENTO(NRO_DOCUMENTO,ID_TIPO,ID_PRODUCTO,CANTIDAD,PRECIO,VALOR_BRUTO,VALOR_NETO,VALOR_IVA) VALUES(526,1,230,1,15500,15500,13025,2475);</v>
      </c>
    </row>
    <row r="1079" spans="1:12">
      <c r="A1079" s="114">
        <v>1</v>
      </c>
      <c r="B1079" s="114">
        <v>527</v>
      </c>
      <c r="C1079" s="139" t="s">
        <v>2256</v>
      </c>
      <c r="D1079" s="114" t="s">
        <v>2090</v>
      </c>
      <c r="E1079" s="114">
        <v>117</v>
      </c>
      <c r="F1079" s="114">
        <v>164</v>
      </c>
      <c r="G1079" s="114">
        <v>1</v>
      </c>
      <c r="H1079" s="114">
        <v>3200</v>
      </c>
      <c r="I1079" s="114">
        <v>3200</v>
      </c>
      <c r="J1079" s="114">
        <v>2689</v>
      </c>
      <c r="K1079" s="114">
        <v>511</v>
      </c>
      <c r="L1079" s="114" t="str">
        <f t="shared" si="16"/>
        <v>INSERT INTO DETALLES_DOCUMENTO(NRO_DOCUMENTO,ID_TIPO,ID_PRODUCTO,CANTIDAD,PRECIO,VALOR_BRUTO,VALOR_NETO,VALOR_IVA) VALUES(527,1,164,1,3200,3200,2689,511);</v>
      </c>
    </row>
    <row r="1080" spans="1:12">
      <c r="A1080" s="114">
        <v>1</v>
      </c>
      <c r="B1080" s="114">
        <v>527</v>
      </c>
      <c r="C1080" s="139" t="s">
        <v>2256</v>
      </c>
      <c r="D1080" s="114" t="s">
        <v>2090</v>
      </c>
      <c r="E1080" s="114">
        <v>117</v>
      </c>
      <c r="F1080" s="114">
        <v>162</v>
      </c>
      <c r="G1080" s="114">
        <v>1</v>
      </c>
      <c r="H1080" s="114">
        <v>1600</v>
      </c>
      <c r="I1080" s="114">
        <v>1600</v>
      </c>
      <c r="J1080" s="114">
        <v>1345</v>
      </c>
      <c r="K1080" s="114">
        <v>255</v>
      </c>
      <c r="L1080" s="114" t="str">
        <f t="shared" si="16"/>
        <v>INSERT INTO DETALLES_DOCUMENTO(NRO_DOCUMENTO,ID_TIPO,ID_PRODUCTO,CANTIDAD,PRECIO,VALOR_BRUTO,VALOR_NETO,VALOR_IVA) VALUES(527,1,162,1,1600,1600,1345,255);</v>
      </c>
    </row>
    <row r="1081" spans="1:12">
      <c r="A1081" s="114">
        <v>1</v>
      </c>
      <c r="B1081" s="114">
        <v>527</v>
      </c>
      <c r="C1081" s="139" t="s">
        <v>2256</v>
      </c>
      <c r="D1081" s="114" t="s">
        <v>2090</v>
      </c>
      <c r="E1081" s="114">
        <v>117</v>
      </c>
      <c r="F1081" s="114">
        <v>99</v>
      </c>
      <c r="G1081" s="114">
        <v>1</v>
      </c>
      <c r="H1081" s="114">
        <v>1500</v>
      </c>
      <c r="I1081" s="114">
        <v>1500</v>
      </c>
      <c r="J1081" s="114">
        <v>1261</v>
      </c>
      <c r="K1081" s="114">
        <v>239</v>
      </c>
      <c r="L1081" s="114" t="str">
        <f t="shared" si="16"/>
        <v>INSERT INTO DETALLES_DOCUMENTO(NRO_DOCUMENTO,ID_TIPO,ID_PRODUCTO,CANTIDAD,PRECIO,VALOR_BRUTO,VALOR_NETO,VALOR_IVA) VALUES(527,1,99,1,1500,1500,1261,239);</v>
      </c>
    </row>
    <row r="1082" spans="1:12">
      <c r="A1082" s="114">
        <v>1</v>
      </c>
      <c r="B1082" s="114">
        <v>527</v>
      </c>
      <c r="C1082" s="139" t="s">
        <v>2256</v>
      </c>
      <c r="D1082" s="114" t="s">
        <v>2090</v>
      </c>
      <c r="E1082" s="114">
        <v>117</v>
      </c>
      <c r="F1082" s="114">
        <v>252</v>
      </c>
      <c r="G1082" s="114">
        <v>1</v>
      </c>
      <c r="H1082" s="114">
        <v>4800</v>
      </c>
      <c r="I1082" s="114">
        <v>4800</v>
      </c>
      <c r="J1082" s="114">
        <v>4034</v>
      </c>
      <c r="K1082" s="114">
        <v>766</v>
      </c>
      <c r="L1082" s="114" t="str">
        <f t="shared" si="16"/>
        <v>INSERT INTO DETALLES_DOCUMENTO(NRO_DOCUMENTO,ID_TIPO,ID_PRODUCTO,CANTIDAD,PRECIO,VALOR_BRUTO,VALOR_NETO,VALOR_IVA) VALUES(527,1,252,1,4800,4800,4034,766);</v>
      </c>
    </row>
    <row r="1083" spans="1:12">
      <c r="A1083" s="114">
        <v>1</v>
      </c>
      <c r="B1083" s="114">
        <v>527</v>
      </c>
      <c r="C1083" s="139" t="s">
        <v>2256</v>
      </c>
      <c r="D1083" s="114" t="s">
        <v>2090</v>
      </c>
      <c r="E1083" s="114">
        <v>117</v>
      </c>
      <c r="F1083" s="114">
        <v>24</v>
      </c>
      <c r="G1083" s="114">
        <v>1</v>
      </c>
      <c r="H1083" s="114">
        <v>1650</v>
      </c>
      <c r="I1083" s="114">
        <v>1650</v>
      </c>
      <c r="J1083" s="114">
        <v>1387</v>
      </c>
      <c r="K1083" s="114">
        <v>263</v>
      </c>
      <c r="L1083" s="114" t="str">
        <f t="shared" si="16"/>
        <v>INSERT INTO DETALLES_DOCUMENTO(NRO_DOCUMENTO,ID_TIPO,ID_PRODUCTO,CANTIDAD,PRECIO,VALOR_BRUTO,VALOR_NETO,VALOR_IVA) VALUES(527,1,24,1,1650,1650,1387,263);</v>
      </c>
    </row>
    <row r="1084" spans="1:12">
      <c r="A1084" s="114">
        <v>1</v>
      </c>
      <c r="B1084" s="114">
        <v>528</v>
      </c>
      <c r="C1084" s="139" t="s">
        <v>2256</v>
      </c>
      <c r="D1084" s="114" t="s">
        <v>2090</v>
      </c>
      <c r="E1084" s="114">
        <v>122</v>
      </c>
      <c r="F1084" s="114">
        <v>143</v>
      </c>
      <c r="G1084" s="114">
        <v>2</v>
      </c>
      <c r="H1084" s="114">
        <v>16600</v>
      </c>
      <c r="I1084" s="114">
        <v>33200</v>
      </c>
      <c r="J1084" s="114">
        <v>27899</v>
      </c>
      <c r="K1084" s="114">
        <v>5301</v>
      </c>
      <c r="L1084" s="114" t="str">
        <f t="shared" si="16"/>
        <v>INSERT INTO DETALLES_DOCUMENTO(NRO_DOCUMENTO,ID_TIPO,ID_PRODUCTO,CANTIDAD,PRECIO,VALOR_BRUTO,VALOR_NETO,VALOR_IVA) VALUES(528,1,143,2,16600,33200,27899,5301);</v>
      </c>
    </row>
    <row r="1085" spans="1:12">
      <c r="A1085" s="114">
        <v>1</v>
      </c>
      <c r="B1085" s="114">
        <v>528</v>
      </c>
      <c r="C1085" s="139" t="s">
        <v>2256</v>
      </c>
      <c r="D1085" s="114" t="s">
        <v>2090</v>
      </c>
      <c r="E1085" s="114">
        <v>122</v>
      </c>
      <c r="F1085" s="114">
        <v>30</v>
      </c>
      <c r="G1085" s="114">
        <v>1</v>
      </c>
      <c r="H1085" s="114">
        <v>3000</v>
      </c>
      <c r="I1085" s="114">
        <v>3000</v>
      </c>
      <c r="J1085" s="114">
        <v>2521</v>
      </c>
      <c r="K1085" s="114">
        <v>479</v>
      </c>
      <c r="L1085" s="114" t="str">
        <f t="shared" si="16"/>
        <v>INSERT INTO DETALLES_DOCUMENTO(NRO_DOCUMENTO,ID_TIPO,ID_PRODUCTO,CANTIDAD,PRECIO,VALOR_BRUTO,VALOR_NETO,VALOR_IVA) VALUES(528,1,30,1,3000,3000,2521,479);</v>
      </c>
    </row>
    <row r="1086" spans="1:12">
      <c r="A1086" s="114">
        <v>1</v>
      </c>
      <c r="B1086" s="114">
        <v>529</v>
      </c>
      <c r="C1086" s="139" t="s">
        <v>2256</v>
      </c>
      <c r="D1086" s="114" t="s">
        <v>2090</v>
      </c>
      <c r="E1086" s="114">
        <v>166</v>
      </c>
      <c r="F1086" s="114">
        <v>236</v>
      </c>
      <c r="G1086" s="114">
        <v>1</v>
      </c>
      <c r="H1086" s="114">
        <v>18990</v>
      </c>
      <c r="I1086" s="114">
        <v>18990</v>
      </c>
      <c r="J1086" s="114">
        <v>15958</v>
      </c>
      <c r="K1086" s="114">
        <v>3032</v>
      </c>
      <c r="L1086" s="114" t="str">
        <f t="shared" si="16"/>
        <v>INSERT INTO DETALLES_DOCUMENTO(NRO_DOCUMENTO,ID_TIPO,ID_PRODUCTO,CANTIDAD,PRECIO,VALOR_BRUTO,VALOR_NETO,VALOR_IVA) VALUES(529,1,236,1,18990,18990,15958,3032);</v>
      </c>
    </row>
    <row r="1087" spans="1:12">
      <c r="A1087" s="114">
        <v>1</v>
      </c>
      <c r="B1087" s="114">
        <v>529</v>
      </c>
      <c r="C1087" s="139" t="s">
        <v>2256</v>
      </c>
      <c r="D1087" s="114" t="s">
        <v>2090</v>
      </c>
      <c r="E1087" s="114">
        <v>166</v>
      </c>
      <c r="F1087" s="114">
        <v>171</v>
      </c>
      <c r="G1087" s="114">
        <v>1</v>
      </c>
      <c r="H1087" s="114">
        <v>3700</v>
      </c>
      <c r="I1087" s="114">
        <v>3700</v>
      </c>
      <c r="J1087" s="114">
        <v>3109</v>
      </c>
      <c r="K1087" s="114">
        <v>591</v>
      </c>
      <c r="L1087" s="114" t="str">
        <f t="shared" si="16"/>
        <v>INSERT INTO DETALLES_DOCUMENTO(NRO_DOCUMENTO,ID_TIPO,ID_PRODUCTO,CANTIDAD,PRECIO,VALOR_BRUTO,VALOR_NETO,VALOR_IVA) VALUES(529,1,171,1,3700,3700,3109,591);</v>
      </c>
    </row>
    <row r="1088" spans="1:12">
      <c r="A1088" s="114">
        <v>1</v>
      </c>
      <c r="B1088" s="114">
        <v>530</v>
      </c>
      <c r="C1088" s="139" t="s">
        <v>2256</v>
      </c>
      <c r="D1088" s="114" t="s">
        <v>2090</v>
      </c>
      <c r="E1088" s="114">
        <v>202</v>
      </c>
      <c r="F1088" s="114">
        <v>143</v>
      </c>
      <c r="G1088" s="114">
        <v>1</v>
      </c>
      <c r="H1088" s="114">
        <v>8300</v>
      </c>
      <c r="I1088" s="114">
        <v>8300</v>
      </c>
      <c r="J1088" s="114">
        <v>6975</v>
      </c>
      <c r="K1088" s="114">
        <v>1325</v>
      </c>
      <c r="L1088" s="114" t="str">
        <f t="shared" si="16"/>
        <v>INSERT INTO DETALLES_DOCUMENTO(NRO_DOCUMENTO,ID_TIPO,ID_PRODUCTO,CANTIDAD,PRECIO,VALOR_BRUTO,VALOR_NETO,VALOR_IVA) VALUES(530,1,143,1,8300,8300,6975,1325);</v>
      </c>
    </row>
    <row r="1089" spans="1:12">
      <c r="A1089" s="114">
        <v>1</v>
      </c>
      <c r="B1089" s="114">
        <v>530</v>
      </c>
      <c r="C1089" s="139" t="s">
        <v>2256</v>
      </c>
      <c r="D1089" s="114" t="s">
        <v>2090</v>
      </c>
      <c r="E1089" s="114">
        <v>202</v>
      </c>
      <c r="F1089" s="114">
        <v>135</v>
      </c>
      <c r="G1089" s="114">
        <v>2</v>
      </c>
      <c r="H1089" s="114">
        <v>2000</v>
      </c>
      <c r="I1089" s="114">
        <v>4000</v>
      </c>
      <c r="J1089" s="114">
        <v>3361</v>
      </c>
      <c r="K1089" s="114">
        <v>639</v>
      </c>
      <c r="L1089" s="114" t="str">
        <f t="shared" si="16"/>
        <v>INSERT INTO DETALLES_DOCUMENTO(NRO_DOCUMENTO,ID_TIPO,ID_PRODUCTO,CANTIDAD,PRECIO,VALOR_BRUTO,VALOR_NETO,VALOR_IVA) VALUES(530,1,135,2,2000,4000,3361,639);</v>
      </c>
    </row>
    <row r="1090" spans="1:12">
      <c r="A1090" s="114">
        <v>1</v>
      </c>
      <c r="B1090" s="114">
        <v>531</v>
      </c>
      <c r="C1090" s="139" t="s">
        <v>2256</v>
      </c>
      <c r="D1090" s="114" t="s">
        <v>2090</v>
      </c>
      <c r="E1090" s="114">
        <v>226</v>
      </c>
      <c r="F1090" s="114">
        <v>7</v>
      </c>
      <c r="G1090" s="114">
        <v>1</v>
      </c>
      <c r="H1090" s="114">
        <v>7000</v>
      </c>
      <c r="I1090" s="114">
        <v>7000</v>
      </c>
      <c r="J1090" s="114">
        <v>5882</v>
      </c>
      <c r="K1090" s="114">
        <v>1118</v>
      </c>
      <c r="L1090" s="114" t="str">
        <f t="shared" si="16"/>
        <v>INSERT INTO DETALLES_DOCUMENTO(NRO_DOCUMENTO,ID_TIPO,ID_PRODUCTO,CANTIDAD,PRECIO,VALOR_BRUTO,VALOR_NETO,VALOR_IVA) VALUES(531,1,7,1,7000,7000,5882,1118);</v>
      </c>
    </row>
    <row r="1091" spans="1:12">
      <c r="A1091" s="114">
        <v>1</v>
      </c>
      <c r="B1091" s="114">
        <v>532</v>
      </c>
      <c r="C1091" s="139" t="s">
        <v>2256</v>
      </c>
      <c r="D1091" s="114" t="s">
        <v>2090</v>
      </c>
      <c r="E1091" s="114">
        <v>231</v>
      </c>
      <c r="F1091" s="114">
        <v>231</v>
      </c>
      <c r="G1091" s="114">
        <v>1</v>
      </c>
      <c r="H1091" s="114">
        <v>19990</v>
      </c>
      <c r="I1091" s="114">
        <v>19990</v>
      </c>
      <c r="J1091" s="114">
        <v>16798</v>
      </c>
      <c r="K1091" s="114">
        <v>3192</v>
      </c>
      <c r="L1091" s="114" t="str">
        <f t="shared" ref="L1091:L1154" si="17">CONCATENATE("INSERT INTO DETALLES_DOCUMENTO(NRO_DOCUMENTO,ID_TIPO,ID_PRODUCTO,CANTIDAD,PRECIO,VALOR_BRUTO,VALOR_NETO,VALOR_IVA) VALUES(",B1091,",",A1091,",",F1091,",",G1091,",",H1091,",",I1091,",",J1091,",",K1091,");")</f>
        <v>INSERT INTO DETALLES_DOCUMENTO(NRO_DOCUMENTO,ID_TIPO,ID_PRODUCTO,CANTIDAD,PRECIO,VALOR_BRUTO,VALOR_NETO,VALOR_IVA) VALUES(532,1,231,1,19990,19990,16798,3192);</v>
      </c>
    </row>
    <row r="1092" spans="1:12">
      <c r="A1092" s="114">
        <v>1</v>
      </c>
      <c r="B1092" s="114">
        <v>533</v>
      </c>
      <c r="C1092" s="139" t="s">
        <v>2256</v>
      </c>
      <c r="D1092" s="114" t="s">
        <v>2090</v>
      </c>
      <c r="E1092" s="114">
        <v>306</v>
      </c>
      <c r="F1092" s="114">
        <v>263</v>
      </c>
      <c r="G1092" s="114">
        <v>1</v>
      </c>
      <c r="H1092" s="114">
        <v>8000</v>
      </c>
      <c r="I1092" s="114">
        <v>8000</v>
      </c>
      <c r="J1092" s="114">
        <v>6723</v>
      </c>
      <c r="K1092" s="114">
        <v>1277</v>
      </c>
      <c r="L1092" s="114" t="str">
        <f t="shared" si="17"/>
        <v>INSERT INTO DETALLES_DOCUMENTO(NRO_DOCUMENTO,ID_TIPO,ID_PRODUCTO,CANTIDAD,PRECIO,VALOR_BRUTO,VALOR_NETO,VALOR_IVA) VALUES(533,1,263,1,8000,8000,6723,1277);</v>
      </c>
    </row>
    <row r="1093" spans="1:12">
      <c r="A1093" s="114">
        <v>1</v>
      </c>
      <c r="B1093" s="114">
        <v>533</v>
      </c>
      <c r="C1093" s="139" t="s">
        <v>2256</v>
      </c>
      <c r="D1093" s="114" t="s">
        <v>2090</v>
      </c>
      <c r="E1093" s="114">
        <v>306</v>
      </c>
      <c r="F1093" s="114">
        <v>7</v>
      </c>
      <c r="G1093" s="114">
        <v>1</v>
      </c>
      <c r="H1093" s="114">
        <v>7000</v>
      </c>
      <c r="I1093" s="114">
        <v>7000</v>
      </c>
      <c r="J1093" s="114">
        <v>5882</v>
      </c>
      <c r="K1093" s="114">
        <v>1118</v>
      </c>
      <c r="L1093" s="114" t="str">
        <f t="shared" si="17"/>
        <v>INSERT INTO DETALLES_DOCUMENTO(NRO_DOCUMENTO,ID_TIPO,ID_PRODUCTO,CANTIDAD,PRECIO,VALOR_BRUTO,VALOR_NETO,VALOR_IVA) VALUES(533,1,7,1,7000,7000,5882,1118);</v>
      </c>
    </row>
    <row r="1094" spans="1:12">
      <c r="A1094" s="114">
        <v>1</v>
      </c>
      <c r="B1094" s="114">
        <v>533</v>
      </c>
      <c r="C1094" s="139" t="s">
        <v>2256</v>
      </c>
      <c r="D1094" s="114" t="s">
        <v>2090</v>
      </c>
      <c r="E1094" s="114">
        <v>306</v>
      </c>
      <c r="F1094" s="114">
        <v>324</v>
      </c>
      <c r="G1094" s="114">
        <v>1</v>
      </c>
      <c r="H1094" s="114">
        <v>10500</v>
      </c>
      <c r="I1094" s="114">
        <v>10500</v>
      </c>
      <c r="J1094" s="114">
        <v>8824</v>
      </c>
      <c r="K1094" s="114">
        <v>1676</v>
      </c>
      <c r="L1094" s="114" t="str">
        <f t="shared" si="17"/>
        <v>INSERT INTO DETALLES_DOCUMENTO(NRO_DOCUMENTO,ID_TIPO,ID_PRODUCTO,CANTIDAD,PRECIO,VALOR_BRUTO,VALOR_NETO,VALOR_IVA) VALUES(533,1,324,1,10500,10500,8824,1676);</v>
      </c>
    </row>
    <row r="1095" spans="1:12">
      <c r="A1095" s="114">
        <v>1</v>
      </c>
      <c r="B1095" s="114">
        <v>534</v>
      </c>
      <c r="C1095" s="139" t="s">
        <v>2256</v>
      </c>
      <c r="D1095" s="114" t="s">
        <v>2090</v>
      </c>
      <c r="E1095" s="114">
        <v>377</v>
      </c>
      <c r="F1095" s="114">
        <v>231</v>
      </c>
      <c r="G1095" s="114">
        <v>1</v>
      </c>
      <c r="H1095" s="114">
        <v>19990</v>
      </c>
      <c r="I1095" s="114">
        <v>19990</v>
      </c>
      <c r="J1095" s="114">
        <v>16798</v>
      </c>
      <c r="K1095" s="114">
        <v>3192</v>
      </c>
      <c r="L1095" s="114" t="str">
        <f t="shared" si="17"/>
        <v>INSERT INTO DETALLES_DOCUMENTO(NRO_DOCUMENTO,ID_TIPO,ID_PRODUCTO,CANTIDAD,PRECIO,VALOR_BRUTO,VALOR_NETO,VALOR_IVA) VALUES(534,1,231,1,19990,19990,16798,3192);</v>
      </c>
    </row>
    <row r="1096" spans="1:12">
      <c r="A1096" s="114">
        <v>1</v>
      </c>
      <c r="B1096" s="114">
        <v>534</v>
      </c>
      <c r="C1096" s="139" t="s">
        <v>2256</v>
      </c>
      <c r="D1096" s="114" t="s">
        <v>2090</v>
      </c>
      <c r="E1096" s="114">
        <v>377</v>
      </c>
      <c r="F1096" s="114">
        <v>244</v>
      </c>
      <c r="G1096" s="114">
        <v>1</v>
      </c>
      <c r="H1096" s="114">
        <v>14900</v>
      </c>
      <c r="I1096" s="114">
        <v>14900</v>
      </c>
      <c r="J1096" s="114">
        <v>12521</v>
      </c>
      <c r="K1096" s="114">
        <v>2379</v>
      </c>
      <c r="L1096" s="114" t="str">
        <f t="shared" si="17"/>
        <v>INSERT INTO DETALLES_DOCUMENTO(NRO_DOCUMENTO,ID_TIPO,ID_PRODUCTO,CANTIDAD,PRECIO,VALOR_BRUTO,VALOR_NETO,VALOR_IVA) VALUES(534,1,244,1,14900,14900,12521,2379);</v>
      </c>
    </row>
    <row r="1097" spans="1:12">
      <c r="A1097" s="114">
        <v>1</v>
      </c>
      <c r="B1097" s="114">
        <v>535</v>
      </c>
      <c r="C1097" s="139" t="s">
        <v>2256</v>
      </c>
      <c r="D1097" s="114" t="s">
        <v>2090</v>
      </c>
      <c r="E1097" s="114">
        <v>483</v>
      </c>
      <c r="F1097" s="114">
        <v>231</v>
      </c>
      <c r="G1097" s="114">
        <v>1</v>
      </c>
      <c r="H1097" s="114">
        <v>19990</v>
      </c>
      <c r="I1097" s="114">
        <v>19990</v>
      </c>
      <c r="J1097" s="114">
        <v>16798</v>
      </c>
      <c r="K1097" s="114">
        <v>3192</v>
      </c>
      <c r="L1097" s="114" t="str">
        <f t="shared" si="17"/>
        <v>INSERT INTO DETALLES_DOCUMENTO(NRO_DOCUMENTO,ID_TIPO,ID_PRODUCTO,CANTIDAD,PRECIO,VALOR_BRUTO,VALOR_NETO,VALOR_IVA) VALUES(535,1,231,1,19990,19990,16798,3192);</v>
      </c>
    </row>
    <row r="1098" spans="1:12">
      <c r="A1098" s="114">
        <v>1</v>
      </c>
      <c r="B1098" s="114">
        <v>535</v>
      </c>
      <c r="C1098" s="139" t="s">
        <v>2256</v>
      </c>
      <c r="D1098" s="114" t="s">
        <v>2090</v>
      </c>
      <c r="E1098" s="114">
        <v>483</v>
      </c>
      <c r="F1098" s="114">
        <v>228</v>
      </c>
      <c r="G1098" s="114">
        <v>1</v>
      </c>
      <c r="H1098" s="114">
        <v>21500</v>
      </c>
      <c r="I1098" s="114">
        <v>21500</v>
      </c>
      <c r="J1098" s="114">
        <v>18067</v>
      </c>
      <c r="K1098" s="114">
        <v>3433</v>
      </c>
      <c r="L1098" s="114" t="str">
        <f t="shared" si="17"/>
        <v>INSERT INTO DETALLES_DOCUMENTO(NRO_DOCUMENTO,ID_TIPO,ID_PRODUCTO,CANTIDAD,PRECIO,VALOR_BRUTO,VALOR_NETO,VALOR_IVA) VALUES(535,1,228,1,21500,21500,18067,3433);</v>
      </c>
    </row>
    <row r="1099" spans="1:12">
      <c r="A1099" s="114">
        <v>1</v>
      </c>
      <c r="B1099" s="114">
        <v>535</v>
      </c>
      <c r="C1099" s="139" t="s">
        <v>2256</v>
      </c>
      <c r="D1099" s="114" t="s">
        <v>2090</v>
      </c>
      <c r="E1099" s="114">
        <v>483</v>
      </c>
      <c r="F1099" s="114">
        <v>259</v>
      </c>
      <c r="G1099" s="114">
        <v>1</v>
      </c>
      <c r="H1099" s="114">
        <v>4500</v>
      </c>
      <c r="I1099" s="114">
        <v>4500</v>
      </c>
      <c r="J1099" s="114">
        <v>3782</v>
      </c>
      <c r="K1099" s="114">
        <v>718</v>
      </c>
      <c r="L1099" s="114" t="str">
        <f t="shared" si="17"/>
        <v>INSERT INTO DETALLES_DOCUMENTO(NRO_DOCUMENTO,ID_TIPO,ID_PRODUCTO,CANTIDAD,PRECIO,VALOR_BRUTO,VALOR_NETO,VALOR_IVA) VALUES(535,1,259,1,4500,4500,3782,718);</v>
      </c>
    </row>
    <row r="1100" spans="1:12">
      <c r="A1100" s="114">
        <v>1</v>
      </c>
      <c r="B1100" s="114">
        <v>535</v>
      </c>
      <c r="C1100" s="139" t="s">
        <v>2256</v>
      </c>
      <c r="D1100" s="114" t="s">
        <v>2090</v>
      </c>
      <c r="E1100" s="114">
        <v>483</v>
      </c>
      <c r="F1100" s="114">
        <v>32</v>
      </c>
      <c r="G1100" s="114">
        <v>1</v>
      </c>
      <c r="H1100" s="114">
        <v>6500</v>
      </c>
      <c r="I1100" s="114">
        <v>6500</v>
      </c>
      <c r="J1100" s="114">
        <v>5462</v>
      </c>
      <c r="K1100" s="114">
        <v>1038</v>
      </c>
      <c r="L1100" s="114" t="str">
        <f t="shared" si="17"/>
        <v>INSERT INTO DETALLES_DOCUMENTO(NRO_DOCUMENTO,ID_TIPO,ID_PRODUCTO,CANTIDAD,PRECIO,VALOR_BRUTO,VALOR_NETO,VALOR_IVA) VALUES(535,1,32,1,6500,6500,5462,1038);</v>
      </c>
    </row>
    <row r="1101" spans="1:12">
      <c r="A1101" s="114">
        <v>1</v>
      </c>
      <c r="B1101" s="114">
        <v>535</v>
      </c>
      <c r="C1101" s="139" t="s">
        <v>2256</v>
      </c>
      <c r="D1101" s="114" t="s">
        <v>2090</v>
      </c>
      <c r="E1101" s="114">
        <v>483</v>
      </c>
      <c r="F1101" s="114">
        <v>99</v>
      </c>
      <c r="G1101" s="114">
        <v>2</v>
      </c>
      <c r="H1101" s="114">
        <v>3000</v>
      </c>
      <c r="I1101" s="114">
        <v>6000</v>
      </c>
      <c r="J1101" s="114">
        <v>5042</v>
      </c>
      <c r="K1101" s="114">
        <v>958</v>
      </c>
      <c r="L1101" s="114" t="str">
        <f t="shared" si="17"/>
        <v>INSERT INTO DETALLES_DOCUMENTO(NRO_DOCUMENTO,ID_TIPO,ID_PRODUCTO,CANTIDAD,PRECIO,VALOR_BRUTO,VALOR_NETO,VALOR_IVA) VALUES(535,1,99,2,3000,6000,5042,958);</v>
      </c>
    </row>
    <row r="1102" spans="1:12">
      <c r="A1102" s="114">
        <v>1</v>
      </c>
      <c r="B1102" s="114">
        <v>535</v>
      </c>
      <c r="C1102" s="139" t="s">
        <v>2256</v>
      </c>
      <c r="D1102" s="114" t="s">
        <v>2090</v>
      </c>
      <c r="E1102" s="114">
        <v>483</v>
      </c>
      <c r="F1102" s="114">
        <v>170</v>
      </c>
      <c r="G1102" s="114">
        <v>1</v>
      </c>
      <c r="H1102" s="114">
        <v>3600</v>
      </c>
      <c r="I1102" s="114">
        <v>3600</v>
      </c>
      <c r="J1102" s="114">
        <v>3025</v>
      </c>
      <c r="K1102" s="114">
        <v>575</v>
      </c>
      <c r="L1102" s="114" t="str">
        <f t="shared" si="17"/>
        <v>INSERT INTO DETALLES_DOCUMENTO(NRO_DOCUMENTO,ID_TIPO,ID_PRODUCTO,CANTIDAD,PRECIO,VALOR_BRUTO,VALOR_NETO,VALOR_IVA) VALUES(535,1,170,1,3600,3600,3025,575);</v>
      </c>
    </row>
    <row r="1103" spans="1:12">
      <c r="A1103" s="114">
        <v>1</v>
      </c>
      <c r="B1103" s="114">
        <v>535</v>
      </c>
      <c r="C1103" s="139" t="s">
        <v>2256</v>
      </c>
      <c r="D1103" s="114" t="s">
        <v>2090</v>
      </c>
      <c r="E1103" s="114">
        <v>483</v>
      </c>
      <c r="F1103" s="114">
        <v>150</v>
      </c>
      <c r="G1103" s="114">
        <v>1</v>
      </c>
      <c r="H1103" s="114">
        <v>4200</v>
      </c>
      <c r="I1103" s="114">
        <v>4200</v>
      </c>
      <c r="J1103" s="114">
        <v>3529</v>
      </c>
      <c r="K1103" s="114">
        <v>671</v>
      </c>
      <c r="L1103" s="114" t="str">
        <f t="shared" si="17"/>
        <v>INSERT INTO DETALLES_DOCUMENTO(NRO_DOCUMENTO,ID_TIPO,ID_PRODUCTO,CANTIDAD,PRECIO,VALOR_BRUTO,VALOR_NETO,VALOR_IVA) VALUES(535,1,150,1,4200,4200,3529,671);</v>
      </c>
    </row>
    <row r="1104" spans="1:12">
      <c r="A1104" s="114">
        <v>1</v>
      </c>
      <c r="B1104" s="114">
        <v>535</v>
      </c>
      <c r="C1104" s="139" t="s">
        <v>2256</v>
      </c>
      <c r="D1104" s="114" t="s">
        <v>2090</v>
      </c>
      <c r="E1104" s="114">
        <v>483</v>
      </c>
      <c r="F1104" s="114">
        <v>357</v>
      </c>
      <c r="G1104" s="114">
        <v>3</v>
      </c>
      <c r="H1104" s="114">
        <v>5400</v>
      </c>
      <c r="I1104" s="114">
        <v>16200</v>
      </c>
      <c r="J1104" s="114">
        <v>13613</v>
      </c>
      <c r="K1104" s="114">
        <v>2587</v>
      </c>
      <c r="L1104" s="114" t="str">
        <f t="shared" si="17"/>
        <v>INSERT INTO DETALLES_DOCUMENTO(NRO_DOCUMENTO,ID_TIPO,ID_PRODUCTO,CANTIDAD,PRECIO,VALOR_BRUTO,VALOR_NETO,VALOR_IVA) VALUES(535,1,357,3,5400,16200,13613,2587);</v>
      </c>
    </row>
    <row r="1105" spans="1:12">
      <c r="A1105" s="114">
        <v>1</v>
      </c>
      <c r="B1105" s="114">
        <v>536</v>
      </c>
      <c r="C1105" s="139" t="s">
        <v>2257</v>
      </c>
      <c r="D1105" s="114" t="s">
        <v>2090</v>
      </c>
      <c r="E1105" s="114">
        <v>63</v>
      </c>
      <c r="F1105" s="114">
        <v>143</v>
      </c>
      <c r="G1105" s="114">
        <v>1</v>
      </c>
      <c r="H1105" s="114">
        <v>8300</v>
      </c>
      <c r="I1105" s="114">
        <v>8300</v>
      </c>
      <c r="J1105" s="114">
        <v>6975</v>
      </c>
      <c r="K1105" s="114">
        <v>1325</v>
      </c>
      <c r="L1105" s="114" t="str">
        <f t="shared" si="17"/>
        <v>INSERT INTO DETALLES_DOCUMENTO(NRO_DOCUMENTO,ID_TIPO,ID_PRODUCTO,CANTIDAD,PRECIO,VALOR_BRUTO,VALOR_NETO,VALOR_IVA) VALUES(536,1,143,1,8300,8300,6975,1325);</v>
      </c>
    </row>
    <row r="1106" spans="1:12">
      <c r="A1106" s="114">
        <v>1</v>
      </c>
      <c r="B1106" s="114">
        <v>537</v>
      </c>
      <c r="C1106" s="139" t="s">
        <v>2257</v>
      </c>
      <c r="D1106" s="114" t="s">
        <v>2090</v>
      </c>
      <c r="E1106" s="114">
        <v>119</v>
      </c>
      <c r="F1106" s="114">
        <v>143</v>
      </c>
      <c r="G1106" s="114">
        <v>1</v>
      </c>
      <c r="H1106" s="114">
        <v>8300</v>
      </c>
      <c r="I1106" s="114">
        <v>8300</v>
      </c>
      <c r="J1106" s="114">
        <v>6975</v>
      </c>
      <c r="K1106" s="114">
        <v>1325</v>
      </c>
      <c r="L1106" s="114" t="str">
        <f t="shared" si="17"/>
        <v>INSERT INTO DETALLES_DOCUMENTO(NRO_DOCUMENTO,ID_TIPO,ID_PRODUCTO,CANTIDAD,PRECIO,VALOR_BRUTO,VALOR_NETO,VALOR_IVA) VALUES(537,1,143,1,8300,8300,6975,1325);</v>
      </c>
    </row>
    <row r="1107" spans="1:12">
      <c r="A1107" s="114">
        <v>1</v>
      </c>
      <c r="B1107" s="114">
        <v>538</v>
      </c>
      <c r="C1107" s="139" t="s">
        <v>2257</v>
      </c>
      <c r="D1107" s="114" t="s">
        <v>2090</v>
      </c>
      <c r="E1107" s="114">
        <v>166</v>
      </c>
      <c r="F1107" s="114">
        <v>142</v>
      </c>
      <c r="G1107" s="114">
        <v>1</v>
      </c>
      <c r="H1107" s="114">
        <v>6200</v>
      </c>
      <c r="I1107" s="114">
        <v>6200</v>
      </c>
      <c r="J1107" s="114">
        <v>5210</v>
      </c>
      <c r="K1107" s="114">
        <v>990</v>
      </c>
      <c r="L1107" s="114" t="str">
        <f t="shared" si="17"/>
        <v>INSERT INTO DETALLES_DOCUMENTO(NRO_DOCUMENTO,ID_TIPO,ID_PRODUCTO,CANTIDAD,PRECIO,VALOR_BRUTO,VALOR_NETO,VALOR_IVA) VALUES(538,1,142,1,6200,6200,5210,990);</v>
      </c>
    </row>
    <row r="1108" spans="1:12">
      <c r="A1108" s="114">
        <v>1</v>
      </c>
      <c r="B1108" s="114">
        <v>539</v>
      </c>
      <c r="C1108" s="139" t="s">
        <v>2257</v>
      </c>
      <c r="D1108" s="114" t="s">
        <v>2090</v>
      </c>
      <c r="E1108" s="114">
        <v>187</v>
      </c>
      <c r="F1108" s="114">
        <v>167</v>
      </c>
      <c r="G1108" s="114">
        <v>2</v>
      </c>
      <c r="H1108" s="114">
        <v>16400</v>
      </c>
      <c r="I1108" s="114">
        <v>32800</v>
      </c>
      <c r="J1108" s="114">
        <v>27563</v>
      </c>
      <c r="K1108" s="114">
        <v>5237</v>
      </c>
      <c r="L1108" s="114" t="str">
        <f t="shared" si="17"/>
        <v>INSERT INTO DETALLES_DOCUMENTO(NRO_DOCUMENTO,ID_TIPO,ID_PRODUCTO,CANTIDAD,PRECIO,VALOR_BRUTO,VALOR_NETO,VALOR_IVA) VALUES(539,1,167,2,16400,32800,27563,5237);</v>
      </c>
    </row>
    <row r="1109" spans="1:12">
      <c r="A1109" s="114">
        <v>1</v>
      </c>
      <c r="B1109" s="114">
        <v>540</v>
      </c>
      <c r="C1109" s="139" t="s">
        <v>2257</v>
      </c>
      <c r="D1109" s="114" t="s">
        <v>2090</v>
      </c>
      <c r="E1109" s="114">
        <v>253</v>
      </c>
      <c r="F1109" s="114">
        <v>124</v>
      </c>
      <c r="G1109" s="114">
        <v>1</v>
      </c>
      <c r="H1109" s="114">
        <v>4000</v>
      </c>
      <c r="I1109" s="114">
        <v>4000</v>
      </c>
      <c r="J1109" s="114">
        <v>3361</v>
      </c>
      <c r="K1109" s="114">
        <v>639</v>
      </c>
      <c r="L1109" s="114" t="str">
        <f t="shared" si="17"/>
        <v>INSERT INTO DETALLES_DOCUMENTO(NRO_DOCUMENTO,ID_TIPO,ID_PRODUCTO,CANTIDAD,PRECIO,VALOR_BRUTO,VALOR_NETO,VALOR_IVA) VALUES(540,1,124,1,4000,4000,3361,639);</v>
      </c>
    </row>
    <row r="1110" spans="1:12">
      <c r="A1110" s="114">
        <v>1</v>
      </c>
      <c r="B1110" s="114">
        <v>540</v>
      </c>
      <c r="C1110" s="139" t="s">
        <v>2257</v>
      </c>
      <c r="D1110" s="114" t="s">
        <v>2090</v>
      </c>
      <c r="E1110" s="114">
        <v>253</v>
      </c>
      <c r="F1110" s="114">
        <v>288</v>
      </c>
      <c r="G1110" s="114">
        <v>1</v>
      </c>
      <c r="H1110" s="114">
        <v>8000</v>
      </c>
      <c r="I1110" s="114">
        <v>8000</v>
      </c>
      <c r="J1110" s="114">
        <v>6723</v>
      </c>
      <c r="K1110" s="114">
        <v>1277</v>
      </c>
      <c r="L1110" s="114" t="str">
        <f t="shared" si="17"/>
        <v>INSERT INTO DETALLES_DOCUMENTO(NRO_DOCUMENTO,ID_TIPO,ID_PRODUCTO,CANTIDAD,PRECIO,VALOR_BRUTO,VALOR_NETO,VALOR_IVA) VALUES(540,1,288,1,8000,8000,6723,1277);</v>
      </c>
    </row>
    <row r="1111" spans="1:12">
      <c r="A1111" s="114">
        <v>1</v>
      </c>
      <c r="B1111" s="114">
        <v>541</v>
      </c>
      <c r="C1111" s="139" t="s">
        <v>2257</v>
      </c>
      <c r="D1111" s="114" t="s">
        <v>2090</v>
      </c>
      <c r="E1111" s="114">
        <v>278</v>
      </c>
      <c r="F1111" s="114">
        <v>236</v>
      </c>
      <c r="G1111" s="114">
        <v>1</v>
      </c>
      <c r="H1111" s="114">
        <v>18990</v>
      </c>
      <c r="I1111" s="114">
        <v>18990</v>
      </c>
      <c r="J1111" s="114">
        <v>15958</v>
      </c>
      <c r="K1111" s="114">
        <v>3032</v>
      </c>
      <c r="L1111" s="114" t="str">
        <f t="shared" si="17"/>
        <v>INSERT INTO DETALLES_DOCUMENTO(NRO_DOCUMENTO,ID_TIPO,ID_PRODUCTO,CANTIDAD,PRECIO,VALOR_BRUTO,VALOR_NETO,VALOR_IVA) VALUES(541,1,236,1,18990,18990,15958,3032);</v>
      </c>
    </row>
    <row r="1112" spans="1:12">
      <c r="A1112" s="114">
        <v>1</v>
      </c>
      <c r="B1112" s="114">
        <v>541</v>
      </c>
      <c r="C1112" s="139" t="s">
        <v>2257</v>
      </c>
      <c r="D1112" s="114" t="s">
        <v>2090</v>
      </c>
      <c r="E1112" s="114">
        <v>278</v>
      </c>
      <c r="F1112" s="114">
        <v>369</v>
      </c>
      <c r="G1112" s="114">
        <v>1</v>
      </c>
      <c r="H1112" s="114">
        <v>10500</v>
      </c>
      <c r="I1112" s="114">
        <v>10500</v>
      </c>
      <c r="J1112" s="114">
        <v>8824</v>
      </c>
      <c r="K1112" s="114">
        <v>1676</v>
      </c>
      <c r="L1112" s="114" t="str">
        <f t="shared" si="17"/>
        <v>INSERT INTO DETALLES_DOCUMENTO(NRO_DOCUMENTO,ID_TIPO,ID_PRODUCTO,CANTIDAD,PRECIO,VALOR_BRUTO,VALOR_NETO,VALOR_IVA) VALUES(541,1,369,1,10500,10500,8824,1676);</v>
      </c>
    </row>
    <row r="1113" spans="1:12">
      <c r="A1113" s="114">
        <v>1</v>
      </c>
      <c r="B1113" s="114">
        <v>541</v>
      </c>
      <c r="C1113" s="139" t="s">
        <v>2257</v>
      </c>
      <c r="D1113" s="114" t="s">
        <v>2090</v>
      </c>
      <c r="E1113" s="114">
        <v>278</v>
      </c>
      <c r="F1113" s="114">
        <v>354</v>
      </c>
      <c r="G1113" s="114">
        <v>1</v>
      </c>
      <c r="H1113" s="114">
        <v>1800</v>
      </c>
      <c r="I1113" s="114">
        <v>1800</v>
      </c>
      <c r="J1113" s="114">
        <v>1513</v>
      </c>
      <c r="K1113" s="114">
        <v>287</v>
      </c>
      <c r="L1113" s="114" t="str">
        <f t="shared" si="17"/>
        <v>INSERT INTO DETALLES_DOCUMENTO(NRO_DOCUMENTO,ID_TIPO,ID_PRODUCTO,CANTIDAD,PRECIO,VALOR_BRUTO,VALOR_NETO,VALOR_IVA) VALUES(541,1,354,1,1800,1800,1513,287);</v>
      </c>
    </row>
    <row r="1114" spans="1:12">
      <c r="A1114" s="114">
        <v>1</v>
      </c>
      <c r="B1114" s="114">
        <v>541</v>
      </c>
      <c r="C1114" s="139" t="s">
        <v>2257</v>
      </c>
      <c r="D1114" s="114" t="s">
        <v>2090</v>
      </c>
      <c r="E1114" s="114">
        <v>278</v>
      </c>
      <c r="F1114" s="114">
        <v>360</v>
      </c>
      <c r="G1114" s="114">
        <v>1</v>
      </c>
      <c r="H1114" s="114">
        <v>3000</v>
      </c>
      <c r="I1114" s="114">
        <v>3000</v>
      </c>
      <c r="J1114" s="114">
        <v>2521</v>
      </c>
      <c r="K1114" s="114">
        <v>479</v>
      </c>
      <c r="L1114" s="114" t="str">
        <f t="shared" si="17"/>
        <v>INSERT INTO DETALLES_DOCUMENTO(NRO_DOCUMENTO,ID_TIPO,ID_PRODUCTO,CANTIDAD,PRECIO,VALOR_BRUTO,VALOR_NETO,VALOR_IVA) VALUES(541,1,360,1,3000,3000,2521,479);</v>
      </c>
    </row>
    <row r="1115" spans="1:12">
      <c r="A1115" s="114">
        <v>1</v>
      </c>
      <c r="B1115" s="114">
        <v>541</v>
      </c>
      <c r="C1115" s="139" t="s">
        <v>2257</v>
      </c>
      <c r="D1115" s="114" t="s">
        <v>2090</v>
      </c>
      <c r="E1115" s="114">
        <v>278</v>
      </c>
      <c r="F1115" s="114">
        <v>25</v>
      </c>
      <c r="G1115" s="114">
        <v>1</v>
      </c>
      <c r="H1115" s="114">
        <v>1800</v>
      </c>
      <c r="I1115" s="114">
        <v>1800</v>
      </c>
      <c r="J1115" s="114">
        <v>1513</v>
      </c>
      <c r="K1115" s="114">
        <v>287</v>
      </c>
      <c r="L1115" s="114" t="str">
        <f t="shared" si="17"/>
        <v>INSERT INTO DETALLES_DOCUMENTO(NRO_DOCUMENTO,ID_TIPO,ID_PRODUCTO,CANTIDAD,PRECIO,VALOR_BRUTO,VALOR_NETO,VALOR_IVA) VALUES(541,1,25,1,1800,1800,1513,287);</v>
      </c>
    </row>
    <row r="1116" spans="1:12">
      <c r="A1116" s="114">
        <v>1</v>
      </c>
      <c r="B1116" s="114">
        <v>541</v>
      </c>
      <c r="C1116" s="139" t="s">
        <v>2257</v>
      </c>
      <c r="D1116" s="114" t="s">
        <v>2090</v>
      </c>
      <c r="E1116" s="114">
        <v>278</v>
      </c>
      <c r="F1116" s="114">
        <v>259</v>
      </c>
      <c r="G1116" s="114">
        <v>1</v>
      </c>
      <c r="H1116" s="114">
        <v>4500</v>
      </c>
      <c r="I1116" s="114">
        <v>4500</v>
      </c>
      <c r="J1116" s="114">
        <v>3782</v>
      </c>
      <c r="K1116" s="114">
        <v>718</v>
      </c>
      <c r="L1116" s="114" t="str">
        <f t="shared" si="17"/>
        <v>INSERT INTO DETALLES_DOCUMENTO(NRO_DOCUMENTO,ID_TIPO,ID_PRODUCTO,CANTIDAD,PRECIO,VALOR_BRUTO,VALOR_NETO,VALOR_IVA) VALUES(541,1,259,1,4500,4500,3782,718);</v>
      </c>
    </row>
    <row r="1117" spans="1:12">
      <c r="A1117" s="114">
        <v>1</v>
      </c>
      <c r="B1117" s="114">
        <v>541</v>
      </c>
      <c r="C1117" s="139" t="s">
        <v>2257</v>
      </c>
      <c r="D1117" s="114" t="s">
        <v>2090</v>
      </c>
      <c r="E1117" s="114">
        <v>278</v>
      </c>
      <c r="F1117" s="114">
        <v>29</v>
      </c>
      <c r="G1117" s="114">
        <v>1</v>
      </c>
      <c r="H1117" s="114">
        <v>1000</v>
      </c>
      <c r="I1117" s="114">
        <v>1000</v>
      </c>
      <c r="J1117" s="114">
        <v>840</v>
      </c>
      <c r="K1117" s="114">
        <v>160</v>
      </c>
      <c r="L1117" s="114" t="str">
        <f t="shared" si="17"/>
        <v>INSERT INTO DETALLES_DOCUMENTO(NRO_DOCUMENTO,ID_TIPO,ID_PRODUCTO,CANTIDAD,PRECIO,VALOR_BRUTO,VALOR_NETO,VALOR_IVA) VALUES(541,1,29,1,1000,1000,840,160);</v>
      </c>
    </row>
    <row r="1118" spans="1:12">
      <c r="A1118" s="114">
        <v>1</v>
      </c>
      <c r="B1118" s="114">
        <v>541</v>
      </c>
      <c r="C1118" s="139" t="s">
        <v>2257</v>
      </c>
      <c r="D1118" s="114" t="s">
        <v>2090</v>
      </c>
      <c r="E1118" s="114">
        <v>278</v>
      </c>
      <c r="F1118" s="114">
        <v>287</v>
      </c>
      <c r="G1118" s="114">
        <v>1</v>
      </c>
      <c r="H1118" s="114">
        <v>3000</v>
      </c>
      <c r="I1118" s="114">
        <v>3000</v>
      </c>
      <c r="J1118" s="114">
        <v>2521</v>
      </c>
      <c r="K1118" s="114">
        <v>479</v>
      </c>
      <c r="L1118" s="114" t="str">
        <f t="shared" si="17"/>
        <v>INSERT INTO DETALLES_DOCUMENTO(NRO_DOCUMENTO,ID_TIPO,ID_PRODUCTO,CANTIDAD,PRECIO,VALOR_BRUTO,VALOR_NETO,VALOR_IVA) VALUES(541,1,287,1,3000,3000,2521,479);</v>
      </c>
    </row>
    <row r="1119" spans="1:12">
      <c r="A1119" s="114">
        <v>1</v>
      </c>
      <c r="B1119" s="114">
        <v>541</v>
      </c>
      <c r="C1119" s="139" t="s">
        <v>2257</v>
      </c>
      <c r="D1119" s="114" t="s">
        <v>2090</v>
      </c>
      <c r="E1119" s="114">
        <v>278</v>
      </c>
      <c r="F1119" s="114">
        <v>99</v>
      </c>
      <c r="G1119" s="114">
        <v>1</v>
      </c>
      <c r="H1119" s="114">
        <v>1500</v>
      </c>
      <c r="I1119" s="114">
        <v>1500</v>
      </c>
      <c r="J1119" s="114">
        <v>1261</v>
      </c>
      <c r="K1119" s="114">
        <v>239</v>
      </c>
      <c r="L1119" s="114" t="str">
        <f t="shared" si="17"/>
        <v>INSERT INTO DETALLES_DOCUMENTO(NRO_DOCUMENTO,ID_TIPO,ID_PRODUCTO,CANTIDAD,PRECIO,VALOR_BRUTO,VALOR_NETO,VALOR_IVA) VALUES(541,1,99,1,1500,1500,1261,239);</v>
      </c>
    </row>
    <row r="1120" spans="1:12">
      <c r="A1120" s="114">
        <v>1</v>
      </c>
      <c r="B1120" s="114">
        <v>541</v>
      </c>
      <c r="C1120" s="139" t="s">
        <v>2257</v>
      </c>
      <c r="D1120" s="114" t="s">
        <v>2090</v>
      </c>
      <c r="E1120" s="114">
        <v>278</v>
      </c>
      <c r="F1120" s="114">
        <v>165</v>
      </c>
      <c r="G1120" s="114">
        <v>1</v>
      </c>
      <c r="H1120" s="114">
        <v>2000</v>
      </c>
      <c r="I1120" s="114">
        <v>2000</v>
      </c>
      <c r="J1120" s="114">
        <v>1681</v>
      </c>
      <c r="K1120" s="114">
        <v>319</v>
      </c>
      <c r="L1120" s="114" t="str">
        <f t="shared" si="17"/>
        <v>INSERT INTO DETALLES_DOCUMENTO(NRO_DOCUMENTO,ID_TIPO,ID_PRODUCTO,CANTIDAD,PRECIO,VALOR_BRUTO,VALOR_NETO,VALOR_IVA) VALUES(541,1,165,1,2000,2000,1681,319);</v>
      </c>
    </row>
    <row r="1121" spans="1:12">
      <c r="A1121" s="114">
        <v>1</v>
      </c>
      <c r="B1121" s="114">
        <v>541</v>
      </c>
      <c r="C1121" s="139" t="s">
        <v>2257</v>
      </c>
      <c r="D1121" s="114" t="s">
        <v>2090</v>
      </c>
      <c r="E1121" s="114">
        <v>278</v>
      </c>
      <c r="F1121" s="114">
        <v>117</v>
      </c>
      <c r="G1121" s="114">
        <v>1</v>
      </c>
      <c r="H1121" s="114">
        <v>3500</v>
      </c>
      <c r="I1121" s="114">
        <v>3500</v>
      </c>
      <c r="J1121" s="114">
        <v>2941</v>
      </c>
      <c r="K1121" s="114">
        <v>559</v>
      </c>
      <c r="L1121" s="114" t="str">
        <f t="shared" si="17"/>
        <v>INSERT INTO DETALLES_DOCUMENTO(NRO_DOCUMENTO,ID_TIPO,ID_PRODUCTO,CANTIDAD,PRECIO,VALOR_BRUTO,VALOR_NETO,VALOR_IVA) VALUES(541,1,117,1,3500,3500,2941,559);</v>
      </c>
    </row>
    <row r="1122" spans="1:12">
      <c r="A1122" s="114">
        <v>1</v>
      </c>
      <c r="B1122" s="114">
        <v>541</v>
      </c>
      <c r="C1122" s="139" t="s">
        <v>2257</v>
      </c>
      <c r="D1122" s="114" t="s">
        <v>2090</v>
      </c>
      <c r="E1122" s="114">
        <v>278</v>
      </c>
      <c r="F1122" s="114">
        <v>143</v>
      </c>
      <c r="G1122" s="114">
        <v>1</v>
      </c>
      <c r="H1122" s="114">
        <v>8300</v>
      </c>
      <c r="I1122" s="114">
        <v>8300</v>
      </c>
      <c r="J1122" s="114">
        <v>6975</v>
      </c>
      <c r="K1122" s="114">
        <v>1325</v>
      </c>
      <c r="L1122" s="114" t="str">
        <f t="shared" si="17"/>
        <v>INSERT INTO DETALLES_DOCUMENTO(NRO_DOCUMENTO,ID_TIPO,ID_PRODUCTO,CANTIDAD,PRECIO,VALOR_BRUTO,VALOR_NETO,VALOR_IVA) VALUES(541,1,143,1,8300,8300,6975,1325);</v>
      </c>
    </row>
    <row r="1123" spans="1:12">
      <c r="A1123" s="114">
        <v>1</v>
      </c>
      <c r="B1123" s="114">
        <v>541</v>
      </c>
      <c r="C1123" s="139" t="s">
        <v>2257</v>
      </c>
      <c r="D1123" s="114" t="s">
        <v>2090</v>
      </c>
      <c r="E1123" s="114">
        <v>278</v>
      </c>
      <c r="F1123" s="114">
        <v>324</v>
      </c>
      <c r="G1123" s="114">
        <v>1</v>
      </c>
      <c r="H1123" s="114">
        <v>10500</v>
      </c>
      <c r="I1123" s="114">
        <v>10500</v>
      </c>
      <c r="J1123" s="114">
        <v>8824</v>
      </c>
      <c r="K1123" s="114">
        <v>1676</v>
      </c>
      <c r="L1123" s="114" t="str">
        <f t="shared" si="17"/>
        <v>INSERT INTO DETALLES_DOCUMENTO(NRO_DOCUMENTO,ID_TIPO,ID_PRODUCTO,CANTIDAD,PRECIO,VALOR_BRUTO,VALOR_NETO,VALOR_IVA) VALUES(541,1,324,1,10500,10500,8824,1676);</v>
      </c>
    </row>
    <row r="1124" spans="1:12">
      <c r="A1124" s="114">
        <v>1</v>
      </c>
      <c r="B1124" s="114">
        <v>542</v>
      </c>
      <c r="C1124" s="139" t="s">
        <v>2257</v>
      </c>
      <c r="D1124" s="114" t="s">
        <v>2090</v>
      </c>
      <c r="E1124" s="114">
        <v>353</v>
      </c>
      <c r="F1124" s="114">
        <v>361</v>
      </c>
      <c r="G1124" s="114">
        <v>1</v>
      </c>
      <c r="H1124" s="114">
        <v>3500</v>
      </c>
      <c r="I1124" s="114">
        <v>3500</v>
      </c>
      <c r="J1124" s="114">
        <v>2941</v>
      </c>
      <c r="K1124" s="114">
        <v>559</v>
      </c>
      <c r="L1124" s="114" t="str">
        <f t="shared" si="17"/>
        <v>INSERT INTO DETALLES_DOCUMENTO(NRO_DOCUMENTO,ID_TIPO,ID_PRODUCTO,CANTIDAD,PRECIO,VALOR_BRUTO,VALOR_NETO,VALOR_IVA) VALUES(542,1,361,1,3500,3500,2941,559);</v>
      </c>
    </row>
    <row r="1125" spans="1:12">
      <c r="A1125" s="114">
        <v>1</v>
      </c>
      <c r="B1125" s="114">
        <v>542</v>
      </c>
      <c r="C1125" s="139" t="s">
        <v>2257</v>
      </c>
      <c r="D1125" s="114" t="s">
        <v>2090</v>
      </c>
      <c r="E1125" s="114">
        <v>353</v>
      </c>
      <c r="F1125" s="114">
        <v>155</v>
      </c>
      <c r="G1125" s="114">
        <v>1</v>
      </c>
      <c r="H1125" s="114">
        <v>1650</v>
      </c>
      <c r="I1125" s="114">
        <v>1650</v>
      </c>
      <c r="J1125" s="114">
        <v>1387</v>
      </c>
      <c r="K1125" s="114">
        <v>263</v>
      </c>
      <c r="L1125" s="114" t="str">
        <f t="shared" si="17"/>
        <v>INSERT INTO DETALLES_DOCUMENTO(NRO_DOCUMENTO,ID_TIPO,ID_PRODUCTO,CANTIDAD,PRECIO,VALOR_BRUTO,VALOR_NETO,VALOR_IVA) VALUES(542,1,155,1,1650,1650,1387,263);</v>
      </c>
    </row>
    <row r="1126" spans="1:12">
      <c r="A1126" s="114">
        <v>1</v>
      </c>
      <c r="B1126" s="114">
        <v>542</v>
      </c>
      <c r="C1126" s="139" t="s">
        <v>2257</v>
      </c>
      <c r="D1126" s="114" t="s">
        <v>2090</v>
      </c>
      <c r="E1126" s="114">
        <v>353</v>
      </c>
      <c r="F1126" s="114">
        <v>95</v>
      </c>
      <c r="G1126" s="114">
        <v>1</v>
      </c>
      <c r="H1126" s="114">
        <v>2400</v>
      </c>
      <c r="I1126" s="114">
        <v>2400</v>
      </c>
      <c r="J1126" s="114">
        <v>2017</v>
      </c>
      <c r="K1126" s="114">
        <v>383</v>
      </c>
      <c r="L1126" s="114" t="str">
        <f t="shared" si="17"/>
        <v>INSERT INTO DETALLES_DOCUMENTO(NRO_DOCUMENTO,ID_TIPO,ID_PRODUCTO,CANTIDAD,PRECIO,VALOR_BRUTO,VALOR_NETO,VALOR_IVA) VALUES(542,1,95,1,2400,2400,2017,383);</v>
      </c>
    </row>
    <row r="1127" spans="1:12">
      <c r="A1127" s="114">
        <v>1</v>
      </c>
      <c r="B1127" s="114">
        <v>542</v>
      </c>
      <c r="C1127" s="139" t="s">
        <v>2257</v>
      </c>
      <c r="D1127" s="114" t="s">
        <v>2090</v>
      </c>
      <c r="E1127" s="114">
        <v>353</v>
      </c>
      <c r="F1127" s="114">
        <v>98</v>
      </c>
      <c r="G1127" s="114">
        <v>1</v>
      </c>
      <c r="H1127" s="114">
        <v>3500</v>
      </c>
      <c r="I1127" s="114">
        <v>3500</v>
      </c>
      <c r="J1127" s="114">
        <v>2941</v>
      </c>
      <c r="K1127" s="114">
        <v>559</v>
      </c>
      <c r="L1127" s="114" t="str">
        <f t="shared" si="17"/>
        <v>INSERT INTO DETALLES_DOCUMENTO(NRO_DOCUMENTO,ID_TIPO,ID_PRODUCTO,CANTIDAD,PRECIO,VALOR_BRUTO,VALOR_NETO,VALOR_IVA) VALUES(542,1,98,1,3500,3500,2941,559);</v>
      </c>
    </row>
    <row r="1128" spans="1:12">
      <c r="A1128" s="114">
        <v>1</v>
      </c>
      <c r="B1128" s="114">
        <v>542</v>
      </c>
      <c r="C1128" s="139" t="s">
        <v>2257</v>
      </c>
      <c r="D1128" s="114" t="s">
        <v>2090</v>
      </c>
      <c r="E1128" s="114">
        <v>353</v>
      </c>
      <c r="F1128" s="114">
        <v>165</v>
      </c>
      <c r="G1128" s="114">
        <v>1</v>
      </c>
      <c r="H1128" s="114">
        <v>2000</v>
      </c>
      <c r="I1128" s="114">
        <v>2000</v>
      </c>
      <c r="J1128" s="114">
        <v>1681</v>
      </c>
      <c r="K1128" s="114">
        <v>319</v>
      </c>
      <c r="L1128" s="114" t="str">
        <f t="shared" si="17"/>
        <v>INSERT INTO DETALLES_DOCUMENTO(NRO_DOCUMENTO,ID_TIPO,ID_PRODUCTO,CANTIDAD,PRECIO,VALOR_BRUTO,VALOR_NETO,VALOR_IVA) VALUES(542,1,165,1,2000,2000,1681,319);</v>
      </c>
    </row>
    <row r="1129" spans="1:12">
      <c r="A1129" s="114">
        <v>1</v>
      </c>
      <c r="B1129" s="114">
        <v>543</v>
      </c>
      <c r="C1129" s="139" t="s">
        <v>2257</v>
      </c>
      <c r="D1129" s="114" t="s">
        <v>2090</v>
      </c>
      <c r="E1129" s="114">
        <v>366</v>
      </c>
      <c r="F1129" s="114">
        <v>230</v>
      </c>
      <c r="G1129" s="114">
        <v>1</v>
      </c>
      <c r="H1129" s="114">
        <v>15500</v>
      </c>
      <c r="I1129" s="114">
        <v>15500</v>
      </c>
      <c r="J1129" s="114">
        <v>13025</v>
      </c>
      <c r="K1129" s="114">
        <v>2475</v>
      </c>
      <c r="L1129" s="114" t="str">
        <f t="shared" si="17"/>
        <v>INSERT INTO DETALLES_DOCUMENTO(NRO_DOCUMENTO,ID_TIPO,ID_PRODUCTO,CANTIDAD,PRECIO,VALOR_BRUTO,VALOR_NETO,VALOR_IVA) VALUES(543,1,230,1,15500,15500,13025,2475);</v>
      </c>
    </row>
    <row r="1130" spans="1:12">
      <c r="A1130" s="114">
        <v>1</v>
      </c>
      <c r="B1130" s="114">
        <v>543</v>
      </c>
      <c r="C1130" s="139" t="s">
        <v>2257</v>
      </c>
      <c r="D1130" s="114" t="s">
        <v>2090</v>
      </c>
      <c r="E1130" s="114">
        <v>366</v>
      </c>
      <c r="F1130" s="114">
        <v>369</v>
      </c>
      <c r="G1130" s="114">
        <v>1</v>
      </c>
      <c r="H1130" s="114">
        <v>10500</v>
      </c>
      <c r="I1130" s="114">
        <v>10500</v>
      </c>
      <c r="J1130" s="114">
        <v>8824</v>
      </c>
      <c r="K1130" s="114">
        <v>1676</v>
      </c>
      <c r="L1130" s="114" t="str">
        <f t="shared" si="17"/>
        <v>INSERT INTO DETALLES_DOCUMENTO(NRO_DOCUMENTO,ID_TIPO,ID_PRODUCTO,CANTIDAD,PRECIO,VALOR_BRUTO,VALOR_NETO,VALOR_IVA) VALUES(543,1,369,1,10500,10500,8824,1676);</v>
      </c>
    </row>
    <row r="1131" spans="1:12">
      <c r="A1131" s="114">
        <v>1</v>
      </c>
      <c r="B1131" s="114">
        <v>543</v>
      </c>
      <c r="C1131" s="139" t="s">
        <v>2257</v>
      </c>
      <c r="D1131" s="114" t="s">
        <v>2090</v>
      </c>
      <c r="E1131" s="114">
        <v>366</v>
      </c>
      <c r="F1131" s="114">
        <v>288</v>
      </c>
      <c r="G1131" s="114">
        <v>1</v>
      </c>
      <c r="H1131" s="114">
        <v>8000</v>
      </c>
      <c r="I1131" s="114">
        <v>8000</v>
      </c>
      <c r="J1131" s="114">
        <v>6723</v>
      </c>
      <c r="K1131" s="114">
        <v>1277</v>
      </c>
      <c r="L1131" s="114" t="str">
        <f t="shared" si="17"/>
        <v>INSERT INTO DETALLES_DOCUMENTO(NRO_DOCUMENTO,ID_TIPO,ID_PRODUCTO,CANTIDAD,PRECIO,VALOR_BRUTO,VALOR_NETO,VALOR_IVA) VALUES(543,1,288,1,8000,8000,6723,1277);</v>
      </c>
    </row>
    <row r="1132" spans="1:12">
      <c r="A1132" s="114">
        <v>1</v>
      </c>
      <c r="B1132" s="114">
        <v>543</v>
      </c>
      <c r="C1132" s="139" t="s">
        <v>2257</v>
      </c>
      <c r="D1132" s="114" t="s">
        <v>2090</v>
      </c>
      <c r="E1132" s="114">
        <v>366</v>
      </c>
      <c r="F1132" s="114">
        <v>125</v>
      </c>
      <c r="G1132" s="114">
        <v>1</v>
      </c>
      <c r="H1132" s="114">
        <v>1700</v>
      </c>
      <c r="I1132" s="114">
        <v>1700</v>
      </c>
      <c r="J1132" s="114">
        <v>1429</v>
      </c>
      <c r="K1132" s="114">
        <v>271</v>
      </c>
      <c r="L1132" s="114" t="str">
        <f t="shared" si="17"/>
        <v>INSERT INTO DETALLES_DOCUMENTO(NRO_DOCUMENTO,ID_TIPO,ID_PRODUCTO,CANTIDAD,PRECIO,VALOR_BRUTO,VALOR_NETO,VALOR_IVA) VALUES(543,1,125,1,1700,1700,1429,271);</v>
      </c>
    </row>
    <row r="1133" spans="1:12">
      <c r="A1133" s="114">
        <v>1</v>
      </c>
      <c r="B1133" s="114">
        <v>543</v>
      </c>
      <c r="C1133" s="139" t="s">
        <v>2257</v>
      </c>
      <c r="D1133" s="114" t="s">
        <v>2090</v>
      </c>
      <c r="E1133" s="114">
        <v>366</v>
      </c>
      <c r="F1133" s="114">
        <v>162</v>
      </c>
      <c r="G1133" s="114">
        <v>3</v>
      </c>
      <c r="H1133" s="114">
        <v>4800</v>
      </c>
      <c r="I1133" s="114">
        <v>14400</v>
      </c>
      <c r="J1133" s="114">
        <v>12101</v>
      </c>
      <c r="K1133" s="114">
        <v>2299</v>
      </c>
      <c r="L1133" s="114" t="str">
        <f t="shared" si="17"/>
        <v>INSERT INTO DETALLES_DOCUMENTO(NRO_DOCUMENTO,ID_TIPO,ID_PRODUCTO,CANTIDAD,PRECIO,VALOR_BRUTO,VALOR_NETO,VALOR_IVA) VALUES(543,1,162,3,4800,14400,12101,2299);</v>
      </c>
    </row>
    <row r="1134" spans="1:12">
      <c r="A1134" s="114">
        <v>1</v>
      </c>
      <c r="B1134" s="114">
        <v>543</v>
      </c>
      <c r="C1134" s="139" t="s">
        <v>2257</v>
      </c>
      <c r="D1134" s="114" t="s">
        <v>2090</v>
      </c>
      <c r="E1134" s="114">
        <v>366</v>
      </c>
      <c r="F1134" s="114">
        <v>165</v>
      </c>
      <c r="G1134" s="114">
        <v>2</v>
      </c>
      <c r="H1134" s="114">
        <v>4000</v>
      </c>
      <c r="I1134" s="114">
        <v>8000</v>
      </c>
      <c r="J1134" s="114">
        <v>6723</v>
      </c>
      <c r="K1134" s="114">
        <v>1277</v>
      </c>
      <c r="L1134" s="114" t="str">
        <f t="shared" si="17"/>
        <v>INSERT INTO DETALLES_DOCUMENTO(NRO_DOCUMENTO,ID_TIPO,ID_PRODUCTO,CANTIDAD,PRECIO,VALOR_BRUTO,VALOR_NETO,VALOR_IVA) VALUES(543,1,165,2,4000,8000,6723,1277);</v>
      </c>
    </row>
    <row r="1135" spans="1:12">
      <c r="A1135" s="114">
        <v>1</v>
      </c>
      <c r="B1135" s="114">
        <v>543</v>
      </c>
      <c r="C1135" s="139" t="s">
        <v>2257</v>
      </c>
      <c r="D1135" s="114" t="s">
        <v>2090</v>
      </c>
      <c r="E1135" s="114">
        <v>366</v>
      </c>
      <c r="F1135" s="114">
        <v>118</v>
      </c>
      <c r="G1135" s="114">
        <v>1</v>
      </c>
      <c r="H1135" s="114">
        <v>3500</v>
      </c>
      <c r="I1135" s="114">
        <v>3500</v>
      </c>
      <c r="J1135" s="114">
        <v>2941</v>
      </c>
      <c r="K1135" s="114">
        <v>559</v>
      </c>
      <c r="L1135" s="114" t="str">
        <f t="shared" si="17"/>
        <v>INSERT INTO DETALLES_DOCUMENTO(NRO_DOCUMENTO,ID_TIPO,ID_PRODUCTO,CANTIDAD,PRECIO,VALOR_BRUTO,VALOR_NETO,VALOR_IVA) VALUES(543,1,118,1,3500,3500,2941,559);</v>
      </c>
    </row>
    <row r="1136" spans="1:12">
      <c r="A1136" s="114">
        <v>1</v>
      </c>
      <c r="B1136" s="114">
        <v>543</v>
      </c>
      <c r="C1136" s="139" t="s">
        <v>2257</v>
      </c>
      <c r="D1136" s="114" t="s">
        <v>2090</v>
      </c>
      <c r="E1136" s="114">
        <v>366</v>
      </c>
      <c r="F1136" s="114">
        <v>7</v>
      </c>
      <c r="G1136" s="114">
        <v>1</v>
      </c>
      <c r="H1136" s="114">
        <v>7000</v>
      </c>
      <c r="I1136" s="114">
        <v>7000</v>
      </c>
      <c r="J1136" s="114">
        <v>5882</v>
      </c>
      <c r="K1136" s="114">
        <v>1118</v>
      </c>
      <c r="L1136" s="114" t="str">
        <f t="shared" si="17"/>
        <v>INSERT INTO DETALLES_DOCUMENTO(NRO_DOCUMENTO,ID_TIPO,ID_PRODUCTO,CANTIDAD,PRECIO,VALOR_BRUTO,VALOR_NETO,VALOR_IVA) VALUES(543,1,7,1,7000,7000,5882,1118);</v>
      </c>
    </row>
    <row r="1137" spans="1:12">
      <c r="A1137" s="114">
        <v>1</v>
      </c>
      <c r="B1137" s="114">
        <v>543</v>
      </c>
      <c r="C1137" s="139" t="s">
        <v>2257</v>
      </c>
      <c r="D1137" s="114" t="s">
        <v>2090</v>
      </c>
      <c r="E1137" s="114">
        <v>366</v>
      </c>
      <c r="F1137" s="114">
        <v>167</v>
      </c>
      <c r="G1137" s="114">
        <v>1</v>
      </c>
      <c r="H1137" s="114">
        <v>8200</v>
      </c>
      <c r="I1137" s="114">
        <v>8200</v>
      </c>
      <c r="J1137" s="114">
        <v>6891</v>
      </c>
      <c r="K1137" s="114">
        <v>1309</v>
      </c>
      <c r="L1137" s="114" t="str">
        <f t="shared" si="17"/>
        <v>INSERT INTO DETALLES_DOCUMENTO(NRO_DOCUMENTO,ID_TIPO,ID_PRODUCTO,CANTIDAD,PRECIO,VALOR_BRUTO,VALOR_NETO,VALOR_IVA) VALUES(543,1,167,1,8200,8200,6891,1309);</v>
      </c>
    </row>
    <row r="1138" spans="1:12">
      <c r="A1138" s="114">
        <v>1</v>
      </c>
      <c r="B1138" s="114">
        <v>544</v>
      </c>
      <c r="C1138" s="139" t="s">
        <v>2257</v>
      </c>
      <c r="D1138" s="114" t="s">
        <v>2090</v>
      </c>
      <c r="E1138" s="114">
        <v>382</v>
      </c>
      <c r="F1138" s="114">
        <v>263</v>
      </c>
      <c r="G1138" s="114">
        <v>1</v>
      </c>
      <c r="H1138" s="114">
        <v>8000</v>
      </c>
      <c r="I1138" s="114">
        <v>8000</v>
      </c>
      <c r="J1138" s="114">
        <v>6723</v>
      </c>
      <c r="K1138" s="114">
        <v>1277</v>
      </c>
      <c r="L1138" s="114" t="str">
        <f t="shared" si="17"/>
        <v>INSERT INTO DETALLES_DOCUMENTO(NRO_DOCUMENTO,ID_TIPO,ID_PRODUCTO,CANTIDAD,PRECIO,VALOR_BRUTO,VALOR_NETO,VALOR_IVA) VALUES(544,1,263,1,8000,8000,6723,1277);</v>
      </c>
    </row>
    <row r="1139" spans="1:12">
      <c r="A1139" s="114">
        <v>1</v>
      </c>
      <c r="B1139" s="114">
        <v>545</v>
      </c>
      <c r="C1139" s="139" t="s">
        <v>2257</v>
      </c>
      <c r="D1139" s="114" t="s">
        <v>2090</v>
      </c>
      <c r="E1139" s="114">
        <v>443</v>
      </c>
      <c r="F1139" s="114">
        <v>6</v>
      </c>
      <c r="G1139" s="114">
        <v>1</v>
      </c>
      <c r="H1139" s="114">
        <v>9400</v>
      </c>
      <c r="I1139" s="114">
        <v>9400</v>
      </c>
      <c r="J1139" s="114">
        <v>7899</v>
      </c>
      <c r="K1139" s="114">
        <v>1501</v>
      </c>
      <c r="L1139" s="114" t="str">
        <f t="shared" si="17"/>
        <v>INSERT INTO DETALLES_DOCUMENTO(NRO_DOCUMENTO,ID_TIPO,ID_PRODUCTO,CANTIDAD,PRECIO,VALOR_BRUTO,VALOR_NETO,VALOR_IVA) VALUES(545,1,6,1,9400,9400,7899,1501);</v>
      </c>
    </row>
    <row r="1140" spans="1:12">
      <c r="A1140" s="114">
        <v>1</v>
      </c>
      <c r="B1140" s="114">
        <v>546</v>
      </c>
      <c r="C1140" s="139" t="s">
        <v>2258</v>
      </c>
      <c r="D1140" s="114" t="s">
        <v>2090</v>
      </c>
      <c r="E1140" s="114">
        <v>76</v>
      </c>
      <c r="F1140" s="114">
        <v>324</v>
      </c>
      <c r="G1140" s="114">
        <v>1</v>
      </c>
      <c r="H1140" s="114">
        <v>10500</v>
      </c>
      <c r="I1140" s="114">
        <v>10500</v>
      </c>
      <c r="J1140" s="114">
        <v>8824</v>
      </c>
      <c r="K1140" s="114">
        <v>1676</v>
      </c>
      <c r="L1140" s="114" t="str">
        <f t="shared" si="17"/>
        <v>INSERT INTO DETALLES_DOCUMENTO(NRO_DOCUMENTO,ID_TIPO,ID_PRODUCTO,CANTIDAD,PRECIO,VALOR_BRUTO,VALOR_NETO,VALOR_IVA) VALUES(546,1,324,1,10500,10500,8824,1676);</v>
      </c>
    </row>
    <row r="1141" spans="1:12">
      <c r="A1141" s="114">
        <v>1</v>
      </c>
      <c r="B1141" s="114">
        <v>547</v>
      </c>
      <c r="C1141" s="139" t="s">
        <v>2258</v>
      </c>
      <c r="D1141" s="114" t="s">
        <v>2090</v>
      </c>
      <c r="E1141" s="114">
        <v>108</v>
      </c>
      <c r="F1141" s="114">
        <v>167</v>
      </c>
      <c r="G1141" s="114">
        <v>1</v>
      </c>
      <c r="H1141" s="114">
        <v>8200</v>
      </c>
      <c r="I1141" s="114">
        <v>8200</v>
      </c>
      <c r="J1141" s="114">
        <v>6891</v>
      </c>
      <c r="K1141" s="114">
        <v>1309</v>
      </c>
      <c r="L1141" s="114" t="str">
        <f t="shared" si="17"/>
        <v>INSERT INTO DETALLES_DOCUMENTO(NRO_DOCUMENTO,ID_TIPO,ID_PRODUCTO,CANTIDAD,PRECIO,VALOR_BRUTO,VALOR_NETO,VALOR_IVA) VALUES(547,1,167,1,8200,8200,6891,1309);</v>
      </c>
    </row>
    <row r="1142" spans="1:12">
      <c r="A1142" s="114">
        <v>1</v>
      </c>
      <c r="B1142" s="114">
        <v>548</v>
      </c>
      <c r="C1142" s="139" t="s">
        <v>2258</v>
      </c>
      <c r="D1142" s="114" t="s">
        <v>2090</v>
      </c>
      <c r="E1142" s="114">
        <v>300</v>
      </c>
      <c r="F1142" s="114">
        <v>143</v>
      </c>
      <c r="G1142" s="114">
        <v>1</v>
      </c>
      <c r="H1142" s="114">
        <v>8300</v>
      </c>
      <c r="I1142" s="114">
        <v>8300</v>
      </c>
      <c r="J1142" s="114">
        <v>6975</v>
      </c>
      <c r="K1142" s="114">
        <v>1325</v>
      </c>
      <c r="L1142" s="114" t="str">
        <f t="shared" si="17"/>
        <v>INSERT INTO DETALLES_DOCUMENTO(NRO_DOCUMENTO,ID_TIPO,ID_PRODUCTO,CANTIDAD,PRECIO,VALOR_BRUTO,VALOR_NETO,VALOR_IVA) VALUES(548,1,143,1,8300,8300,6975,1325);</v>
      </c>
    </row>
    <row r="1143" spans="1:12">
      <c r="A1143" s="114">
        <v>1</v>
      </c>
      <c r="B1143" s="114">
        <v>548</v>
      </c>
      <c r="C1143" s="139" t="s">
        <v>2258</v>
      </c>
      <c r="D1143" s="114" t="s">
        <v>2090</v>
      </c>
      <c r="E1143" s="114">
        <v>300</v>
      </c>
      <c r="F1143" s="114">
        <v>329</v>
      </c>
      <c r="G1143" s="114">
        <v>1</v>
      </c>
      <c r="H1143" s="114">
        <v>5500</v>
      </c>
      <c r="I1143" s="114">
        <v>5500</v>
      </c>
      <c r="J1143" s="114">
        <v>4622</v>
      </c>
      <c r="K1143" s="114">
        <v>878</v>
      </c>
      <c r="L1143" s="114" t="str">
        <f t="shared" si="17"/>
        <v>INSERT INTO DETALLES_DOCUMENTO(NRO_DOCUMENTO,ID_TIPO,ID_PRODUCTO,CANTIDAD,PRECIO,VALOR_BRUTO,VALOR_NETO,VALOR_IVA) VALUES(548,1,329,1,5500,5500,4622,878);</v>
      </c>
    </row>
    <row r="1144" spans="1:12">
      <c r="A1144" s="114">
        <v>1</v>
      </c>
      <c r="B1144" s="114">
        <v>549</v>
      </c>
      <c r="C1144" s="139" t="s">
        <v>2258</v>
      </c>
      <c r="D1144" s="114" t="s">
        <v>2090</v>
      </c>
      <c r="E1144" s="114">
        <v>402</v>
      </c>
      <c r="F1144" s="114">
        <v>143</v>
      </c>
      <c r="G1144" s="114">
        <v>2</v>
      </c>
      <c r="H1144" s="114">
        <v>16600</v>
      </c>
      <c r="I1144" s="114">
        <v>33200</v>
      </c>
      <c r="J1144" s="114">
        <v>27899</v>
      </c>
      <c r="K1144" s="114">
        <v>5301</v>
      </c>
      <c r="L1144" s="114" t="str">
        <f t="shared" si="17"/>
        <v>INSERT INTO DETALLES_DOCUMENTO(NRO_DOCUMENTO,ID_TIPO,ID_PRODUCTO,CANTIDAD,PRECIO,VALOR_BRUTO,VALOR_NETO,VALOR_IVA) VALUES(549,1,143,2,16600,33200,27899,5301);</v>
      </c>
    </row>
    <row r="1145" spans="1:12">
      <c r="A1145" s="114">
        <v>1</v>
      </c>
      <c r="B1145" s="114">
        <v>550</v>
      </c>
      <c r="C1145" s="139" t="s">
        <v>2259</v>
      </c>
      <c r="D1145" s="114" t="s">
        <v>2090</v>
      </c>
      <c r="E1145" s="114">
        <v>48</v>
      </c>
      <c r="F1145" s="114">
        <v>324</v>
      </c>
      <c r="G1145" s="114">
        <v>1</v>
      </c>
      <c r="H1145" s="114">
        <v>10500</v>
      </c>
      <c r="I1145" s="114">
        <v>10500</v>
      </c>
      <c r="J1145" s="114">
        <v>8824</v>
      </c>
      <c r="K1145" s="114">
        <v>1676</v>
      </c>
      <c r="L1145" s="114" t="str">
        <f t="shared" si="17"/>
        <v>INSERT INTO DETALLES_DOCUMENTO(NRO_DOCUMENTO,ID_TIPO,ID_PRODUCTO,CANTIDAD,PRECIO,VALOR_BRUTO,VALOR_NETO,VALOR_IVA) VALUES(550,1,324,1,10500,10500,8824,1676);</v>
      </c>
    </row>
    <row r="1146" spans="1:12">
      <c r="A1146" s="114">
        <v>1</v>
      </c>
      <c r="B1146" s="114">
        <v>550</v>
      </c>
      <c r="C1146" s="139" t="s">
        <v>2259</v>
      </c>
      <c r="D1146" s="114" t="s">
        <v>2090</v>
      </c>
      <c r="E1146" s="114">
        <v>48</v>
      </c>
      <c r="F1146" s="114">
        <v>167</v>
      </c>
      <c r="G1146" s="114">
        <v>1</v>
      </c>
      <c r="H1146" s="114">
        <v>8200</v>
      </c>
      <c r="I1146" s="114">
        <v>8200</v>
      </c>
      <c r="J1146" s="114">
        <v>6891</v>
      </c>
      <c r="K1146" s="114">
        <v>1309</v>
      </c>
      <c r="L1146" s="114" t="str">
        <f t="shared" si="17"/>
        <v>INSERT INTO DETALLES_DOCUMENTO(NRO_DOCUMENTO,ID_TIPO,ID_PRODUCTO,CANTIDAD,PRECIO,VALOR_BRUTO,VALOR_NETO,VALOR_IVA) VALUES(550,1,167,1,8200,8200,6891,1309);</v>
      </c>
    </row>
    <row r="1147" spans="1:12">
      <c r="A1147" s="114">
        <v>1</v>
      </c>
      <c r="B1147" s="114">
        <v>550</v>
      </c>
      <c r="C1147" s="139" t="s">
        <v>2259</v>
      </c>
      <c r="D1147" s="114" t="s">
        <v>2090</v>
      </c>
      <c r="E1147" s="114">
        <v>48</v>
      </c>
      <c r="F1147" s="114">
        <v>191</v>
      </c>
      <c r="G1147" s="114">
        <v>1</v>
      </c>
      <c r="H1147" s="114">
        <v>2500</v>
      </c>
      <c r="I1147" s="114">
        <v>2500</v>
      </c>
      <c r="J1147" s="114">
        <v>2101</v>
      </c>
      <c r="K1147" s="114">
        <v>399</v>
      </c>
      <c r="L1147" s="114" t="str">
        <f t="shared" si="17"/>
        <v>INSERT INTO DETALLES_DOCUMENTO(NRO_DOCUMENTO,ID_TIPO,ID_PRODUCTO,CANTIDAD,PRECIO,VALOR_BRUTO,VALOR_NETO,VALOR_IVA) VALUES(550,1,191,1,2500,2500,2101,399);</v>
      </c>
    </row>
    <row r="1148" spans="1:12">
      <c r="A1148" s="114">
        <v>1</v>
      </c>
      <c r="B1148" s="114">
        <v>551</v>
      </c>
      <c r="C1148" s="139" t="s">
        <v>2259</v>
      </c>
      <c r="D1148" s="114" t="s">
        <v>2090</v>
      </c>
      <c r="E1148" s="114">
        <v>351</v>
      </c>
      <c r="F1148" s="114">
        <v>164</v>
      </c>
      <c r="G1148" s="114">
        <v>2</v>
      </c>
      <c r="H1148" s="114">
        <v>6400</v>
      </c>
      <c r="I1148" s="114">
        <v>12800</v>
      </c>
      <c r="J1148" s="114">
        <v>10756</v>
      </c>
      <c r="K1148" s="114">
        <v>2044</v>
      </c>
      <c r="L1148" s="114" t="str">
        <f t="shared" si="17"/>
        <v>INSERT INTO DETALLES_DOCUMENTO(NRO_DOCUMENTO,ID_TIPO,ID_PRODUCTO,CANTIDAD,PRECIO,VALOR_BRUTO,VALOR_NETO,VALOR_IVA) VALUES(551,1,164,2,6400,12800,10756,2044);</v>
      </c>
    </row>
    <row r="1149" spans="1:12">
      <c r="A1149" s="114">
        <v>1</v>
      </c>
      <c r="B1149" s="114">
        <v>552</v>
      </c>
      <c r="C1149" s="139" t="s">
        <v>2259</v>
      </c>
      <c r="D1149" s="114" t="s">
        <v>2090</v>
      </c>
      <c r="E1149" s="114">
        <v>389</v>
      </c>
      <c r="F1149" s="114">
        <v>143</v>
      </c>
      <c r="G1149" s="114">
        <v>1</v>
      </c>
      <c r="H1149" s="114">
        <v>8300</v>
      </c>
      <c r="I1149" s="114">
        <v>8300</v>
      </c>
      <c r="J1149" s="114">
        <v>6975</v>
      </c>
      <c r="K1149" s="114">
        <v>1325</v>
      </c>
      <c r="L1149" s="114" t="str">
        <f t="shared" si="17"/>
        <v>INSERT INTO DETALLES_DOCUMENTO(NRO_DOCUMENTO,ID_TIPO,ID_PRODUCTO,CANTIDAD,PRECIO,VALOR_BRUTO,VALOR_NETO,VALOR_IVA) VALUES(552,1,143,1,8300,8300,6975,1325);</v>
      </c>
    </row>
    <row r="1150" spans="1:12">
      <c r="A1150" s="114">
        <v>1</v>
      </c>
      <c r="B1150" s="114">
        <v>552</v>
      </c>
      <c r="C1150" s="139" t="s">
        <v>2259</v>
      </c>
      <c r="D1150" s="114" t="s">
        <v>2090</v>
      </c>
      <c r="E1150" s="114">
        <v>389</v>
      </c>
      <c r="F1150" s="114">
        <v>369</v>
      </c>
      <c r="G1150" s="114">
        <v>1</v>
      </c>
      <c r="H1150" s="114">
        <v>10500</v>
      </c>
      <c r="I1150" s="114">
        <v>10500</v>
      </c>
      <c r="J1150" s="114">
        <v>8824</v>
      </c>
      <c r="K1150" s="114">
        <v>1676</v>
      </c>
      <c r="L1150" s="114" t="str">
        <f t="shared" si="17"/>
        <v>INSERT INTO DETALLES_DOCUMENTO(NRO_DOCUMENTO,ID_TIPO,ID_PRODUCTO,CANTIDAD,PRECIO,VALOR_BRUTO,VALOR_NETO,VALOR_IVA) VALUES(552,1,369,1,10500,10500,8824,1676);</v>
      </c>
    </row>
    <row r="1151" spans="1:12">
      <c r="A1151" s="114">
        <v>1</v>
      </c>
      <c r="B1151" s="114">
        <v>553</v>
      </c>
      <c r="C1151" s="139" t="s">
        <v>2260</v>
      </c>
      <c r="D1151" s="114" t="s">
        <v>2090</v>
      </c>
      <c r="E1151" s="114">
        <v>123</v>
      </c>
      <c r="F1151" s="114">
        <v>122</v>
      </c>
      <c r="G1151" s="114">
        <v>1</v>
      </c>
      <c r="H1151" s="114">
        <v>6000</v>
      </c>
      <c r="I1151" s="114">
        <v>6000</v>
      </c>
      <c r="J1151" s="114">
        <v>5042</v>
      </c>
      <c r="K1151" s="114">
        <v>958</v>
      </c>
      <c r="L1151" s="114" t="str">
        <f t="shared" si="17"/>
        <v>INSERT INTO DETALLES_DOCUMENTO(NRO_DOCUMENTO,ID_TIPO,ID_PRODUCTO,CANTIDAD,PRECIO,VALOR_BRUTO,VALOR_NETO,VALOR_IVA) VALUES(553,1,122,1,6000,6000,5042,958);</v>
      </c>
    </row>
    <row r="1152" spans="1:12">
      <c r="A1152" s="114">
        <v>1</v>
      </c>
      <c r="B1152" s="114">
        <v>554</v>
      </c>
      <c r="C1152" s="139" t="s">
        <v>2260</v>
      </c>
      <c r="D1152" s="114" t="s">
        <v>2090</v>
      </c>
      <c r="E1152" s="114">
        <v>159</v>
      </c>
      <c r="F1152" s="114">
        <v>231</v>
      </c>
      <c r="G1152" s="114">
        <v>1</v>
      </c>
      <c r="H1152" s="114">
        <v>20900</v>
      </c>
      <c r="I1152" s="114">
        <v>20900</v>
      </c>
      <c r="J1152" s="114">
        <v>17563</v>
      </c>
      <c r="K1152" s="114">
        <v>3337</v>
      </c>
      <c r="L1152" s="114" t="str">
        <f t="shared" si="17"/>
        <v>INSERT INTO DETALLES_DOCUMENTO(NRO_DOCUMENTO,ID_TIPO,ID_PRODUCTO,CANTIDAD,PRECIO,VALOR_BRUTO,VALOR_NETO,VALOR_IVA) VALUES(554,1,231,1,20900,20900,17563,3337);</v>
      </c>
    </row>
    <row r="1153" spans="1:12">
      <c r="A1153" s="114">
        <v>1</v>
      </c>
      <c r="B1153" s="114">
        <v>555</v>
      </c>
      <c r="C1153" s="139" t="s">
        <v>2261</v>
      </c>
      <c r="D1153" s="114" t="s">
        <v>2090</v>
      </c>
      <c r="E1153" s="114">
        <v>114</v>
      </c>
      <c r="F1153" s="114">
        <v>49</v>
      </c>
      <c r="G1153" s="114">
        <v>2</v>
      </c>
      <c r="H1153" s="114">
        <v>8400</v>
      </c>
      <c r="I1153" s="114">
        <v>16800</v>
      </c>
      <c r="J1153" s="114">
        <v>14118</v>
      </c>
      <c r="K1153" s="114">
        <v>2682</v>
      </c>
      <c r="L1153" s="114" t="str">
        <f t="shared" si="17"/>
        <v>INSERT INTO DETALLES_DOCUMENTO(NRO_DOCUMENTO,ID_TIPO,ID_PRODUCTO,CANTIDAD,PRECIO,VALOR_BRUTO,VALOR_NETO,VALOR_IVA) VALUES(555,1,49,2,8400,16800,14118,2682);</v>
      </c>
    </row>
    <row r="1154" spans="1:12">
      <c r="A1154" s="114">
        <v>1</v>
      </c>
      <c r="B1154" s="114">
        <v>556</v>
      </c>
      <c r="C1154" s="139" t="s">
        <v>2261</v>
      </c>
      <c r="D1154" s="114" t="s">
        <v>2090</v>
      </c>
      <c r="E1154" s="114">
        <v>142</v>
      </c>
      <c r="F1154" s="114">
        <v>235</v>
      </c>
      <c r="G1154" s="114">
        <v>1</v>
      </c>
      <c r="H1154" s="114">
        <v>14500</v>
      </c>
      <c r="I1154" s="114">
        <v>14500</v>
      </c>
      <c r="J1154" s="114">
        <v>12185</v>
      </c>
      <c r="K1154" s="114">
        <v>2315</v>
      </c>
      <c r="L1154" s="114" t="str">
        <f t="shared" si="17"/>
        <v>INSERT INTO DETALLES_DOCUMENTO(NRO_DOCUMENTO,ID_TIPO,ID_PRODUCTO,CANTIDAD,PRECIO,VALOR_BRUTO,VALOR_NETO,VALOR_IVA) VALUES(556,1,235,1,14500,14500,12185,2315);</v>
      </c>
    </row>
    <row r="1155" spans="1:12">
      <c r="A1155" s="114">
        <v>1</v>
      </c>
      <c r="B1155" s="114">
        <v>557</v>
      </c>
      <c r="C1155" s="139" t="s">
        <v>2261</v>
      </c>
      <c r="D1155" s="114" t="s">
        <v>2090</v>
      </c>
      <c r="E1155" s="114">
        <v>166</v>
      </c>
      <c r="F1155" s="114">
        <v>324</v>
      </c>
      <c r="G1155" s="114">
        <v>1</v>
      </c>
      <c r="H1155" s="114">
        <v>10500</v>
      </c>
      <c r="I1155" s="114">
        <v>10500</v>
      </c>
      <c r="J1155" s="114">
        <v>8824</v>
      </c>
      <c r="K1155" s="114">
        <v>1676</v>
      </c>
      <c r="L1155" s="114" t="str">
        <f t="shared" ref="L1155:L1218" si="18">CONCATENATE("INSERT INTO DETALLES_DOCUMENTO(NRO_DOCUMENTO,ID_TIPO,ID_PRODUCTO,CANTIDAD,PRECIO,VALOR_BRUTO,VALOR_NETO,VALOR_IVA) VALUES(",B1155,",",A1155,",",F1155,",",G1155,",",H1155,",",I1155,",",J1155,",",K1155,");")</f>
        <v>INSERT INTO DETALLES_DOCUMENTO(NRO_DOCUMENTO,ID_TIPO,ID_PRODUCTO,CANTIDAD,PRECIO,VALOR_BRUTO,VALOR_NETO,VALOR_IVA) VALUES(557,1,324,1,10500,10500,8824,1676);</v>
      </c>
    </row>
    <row r="1156" spans="1:12">
      <c r="A1156" s="114">
        <v>1</v>
      </c>
      <c r="B1156" s="114">
        <v>557</v>
      </c>
      <c r="C1156" s="139" t="s">
        <v>2261</v>
      </c>
      <c r="D1156" s="114" t="s">
        <v>2090</v>
      </c>
      <c r="E1156" s="114">
        <v>166</v>
      </c>
      <c r="F1156" s="114">
        <v>143</v>
      </c>
      <c r="G1156" s="114">
        <v>1</v>
      </c>
      <c r="H1156" s="114">
        <v>8300</v>
      </c>
      <c r="I1156" s="114">
        <v>8300</v>
      </c>
      <c r="J1156" s="114">
        <v>6975</v>
      </c>
      <c r="K1156" s="114">
        <v>1325</v>
      </c>
      <c r="L1156" s="114" t="str">
        <f t="shared" si="18"/>
        <v>INSERT INTO DETALLES_DOCUMENTO(NRO_DOCUMENTO,ID_TIPO,ID_PRODUCTO,CANTIDAD,PRECIO,VALOR_BRUTO,VALOR_NETO,VALOR_IVA) VALUES(557,1,143,1,8300,8300,6975,1325);</v>
      </c>
    </row>
    <row r="1157" spans="1:12">
      <c r="A1157" s="114">
        <v>1</v>
      </c>
      <c r="B1157" s="114">
        <v>557</v>
      </c>
      <c r="C1157" s="139" t="s">
        <v>2261</v>
      </c>
      <c r="D1157" s="114" t="s">
        <v>2090</v>
      </c>
      <c r="E1157" s="114">
        <v>166</v>
      </c>
      <c r="F1157" s="114">
        <v>287</v>
      </c>
      <c r="G1157" s="114">
        <v>1</v>
      </c>
      <c r="H1157" s="114">
        <v>3000</v>
      </c>
      <c r="I1157" s="114">
        <v>3000</v>
      </c>
      <c r="J1157" s="114">
        <v>2521</v>
      </c>
      <c r="K1157" s="114">
        <v>479</v>
      </c>
      <c r="L1157" s="114" t="str">
        <f t="shared" si="18"/>
        <v>INSERT INTO DETALLES_DOCUMENTO(NRO_DOCUMENTO,ID_TIPO,ID_PRODUCTO,CANTIDAD,PRECIO,VALOR_BRUTO,VALOR_NETO,VALOR_IVA) VALUES(557,1,287,1,3000,3000,2521,479);</v>
      </c>
    </row>
    <row r="1158" spans="1:12">
      <c r="A1158" s="114">
        <v>1</v>
      </c>
      <c r="B1158" s="114">
        <v>558</v>
      </c>
      <c r="C1158" s="139" t="s">
        <v>2261</v>
      </c>
      <c r="D1158" s="114" t="s">
        <v>2090</v>
      </c>
      <c r="E1158" s="114">
        <v>179</v>
      </c>
      <c r="F1158" s="114">
        <v>324</v>
      </c>
      <c r="G1158" s="114">
        <v>1</v>
      </c>
      <c r="H1158" s="114">
        <v>10500</v>
      </c>
      <c r="I1158" s="114">
        <v>10500</v>
      </c>
      <c r="J1158" s="114">
        <v>8824</v>
      </c>
      <c r="K1158" s="114">
        <v>1676</v>
      </c>
      <c r="L1158" s="114" t="str">
        <f t="shared" si="18"/>
        <v>INSERT INTO DETALLES_DOCUMENTO(NRO_DOCUMENTO,ID_TIPO,ID_PRODUCTO,CANTIDAD,PRECIO,VALOR_BRUTO,VALOR_NETO,VALOR_IVA) VALUES(558,1,324,1,10500,10500,8824,1676);</v>
      </c>
    </row>
    <row r="1159" spans="1:12">
      <c r="A1159" s="114">
        <v>1</v>
      </c>
      <c r="B1159" s="114">
        <v>558</v>
      </c>
      <c r="C1159" s="139" t="s">
        <v>2261</v>
      </c>
      <c r="D1159" s="114" t="s">
        <v>2090</v>
      </c>
      <c r="E1159" s="114">
        <v>179</v>
      </c>
      <c r="F1159" s="114">
        <v>261</v>
      </c>
      <c r="G1159" s="114">
        <v>1</v>
      </c>
      <c r="H1159" s="114">
        <v>7000</v>
      </c>
      <c r="I1159" s="114">
        <v>7000</v>
      </c>
      <c r="J1159" s="114">
        <v>5882</v>
      </c>
      <c r="K1159" s="114">
        <v>1118</v>
      </c>
      <c r="L1159" s="114" t="str">
        <f t="shared" si="18"/>
        <v>INSERT INTO DETALLES_DOCUMENTO(NRO_DOCUMENTO,ID_TIPO,ID_PRODUCTO,CANTIDAD,PRECIO,VALOR_BRUTO,VALOR_NETO,VALOR_IVA) VALUES(558,1,261,1,7000,7000,5882,1118);</v>
      </c>
    </row>
    <row r="1160" spans="1:12">
      <c r="A1160" s="114">
        <v>1</v>
      </c>
      <c r="B1160" s="114">
        <v>558</v>
      </c>
      <c r="C1160" s="139" t="s">
        <v>2261</v>
      </c>
      <c r="D1160" s="114" t="s">
        <v>2090</v>
      </c>
      <c r="E1160" s="114">
        <v>179</v>
      </c>
      <c r="F1160" s="114">
        <v>167</v>
      </c>
      <c r="G1160" s="114">
        <v>1</v>
      </c>
      <c r="H1160" s="114">
        <v>8200</v>
      </c>
      <c r="I1160" s="114">
        <v>8200</v>
      </c>
      <c r="J1160" s="114">
        <v>6891</v>
      </c>
      <c r="K1160" s="114">
        <v>1309</v>
      </c>
      <c r="L1160" s="114" t="str">
        <f t="shared" si="18"/>
        <v>INSERT INTO DETALLES_DOCUMENTO(NRO_DOCUMENTO,ID_TIPO,ID_PRODUCTO,CANTIDAD,PRECIO,VALOR_BRUTO,VALOR_NETO,VALOR_IVA) VALUES(558,1,167,1,8200,8200,6891,1309);</v>
      </c>
    </row>
    <row r="1161" spans="1:12">
      <c r="A1161" s="114">
        <v>1</v>
      </c>
      <c r="B1161" s="114">
        <v>559</v>
      </c>
      <c r="C1161" s="139" t="s">
        <v>2261</v>
      </c>
      <c r="D1161" s="114" t="s">
        <v>2090</v>
      </c>
      <c r="E1161" s="114">
        <v>234</v>
      </c>
      <c r="F1161" s="114">
        <v>167</v>
      </c>
      <c r="G1161" s="114">
        <v>1</v>
      </c>
      <c r="H1161" s="114">
        <v>8200</v>
      </c>
      <c r="I1161" s="114">
        <v>8200</v>
      </c>
      <c r="J1161" s="114">
        <v>6891</v>
      </c>
      <c r="K1161" s="114">
        <v>1309</v>
      </c>
      <c r="L1161" s="114" t="str">
        <f t="shared" si="18"/>
        <v>INSERT INTO DETALLES_DOCUMENTO(NRO_DOCUMENTO,ID_TIPO,ID_PRODUCTO,CANTIDAD,PRECIO,VALOR_BRUTO,VALOR_NETO,VALOR_IVA) VALUES(559,1,167,1,8200,8200,6891,1309);</v>
      </c>
    </row>
    <row r="1162" spans="1:12">
      <c r="A1162" s="114">
        <v>1</v>
      </c>
      <c r="B1162" s="114">
        <v>560</v>
      </c>
      <c r="C1162" s="139" t="s">
        <v>2261</v>
      </c>
      <c r="D1162" s="114" t="s">
        <v>2090</v>
      </c>
      <c r="E1162" s="114">
        <v>239</v>
      </c>
      <c r="F1162" s="114">
        <v>143</v>
      </c>
      <c r="G1162" s="114">
        <v>1</v>
      </c>
      <c r="H1162" s="114">
        <v>8300</v>
      </c>
      <c r="I1162" s="114">
        <v>8300</v>
      </c>
      <c r="J1162" s="114">
        <v>6975</v>
      </c>
      <c r="K1162" s="114">
        <v>1325</v>
      </c>
      <c r="L1162" s="114" t="str">
        <f t="shared" si="18"/>
        <v>INSERT INTO DETALLES_DOCUMENTO(NRO_DOCUMENTO,ID_TIPO,ID_PRODUCTO,CANTIDAD,PRECIO,VALOR_BRUTO,VALOR_NETO,VALOR_IVA) VALUES(560,1,143,1,8300,8300,6975,1325);</v>
      </c>
    </row>
    <row r="1163" spans="1:12">
      <c r="A1163" s="114">
        <v>1</v>
      </c>
      <c r="B1163" s="114">
        <v>560</v>
      </c>
      <c r="C1163" s="139" t="s">
        <v>2261</v>
      </c>
      <c r="D1163" s="114" t="s">
        <v>2090</v>
      </c>
      <c r="E1163" s="114">
        <v>239</v>
      </c>
      <c r="F1163" s="114">
        <v>324</v>
      </c>
      <c r="G1163" s="114">
        <v>1</v>
      </c>
      <c r="H1163" s="114">
        <v>10500</v>
      </c>
      <c r="I1163" s="114">
        <v>10500</v>
      </c>
      <c r="J1163" s="114">
        <v>8824</v>
      </c>
      <c r="K1163" s="114">
        <v>1676</v>
      </c>
      <c r="L1163" s="114" t="str">
        <f t="shared" si="18"/>
        <v>INSERT INTO DETALLES_DOCUMENTO(NRO_DOCUMENTO,ID_TIPO,ID_PRODUCTO,CANTIDAD,PRECIO,VALOR_BRUTO,VALOR_NETO,VALOR_IVA) VALUES(560,1,324,1,10500,10500,8824,1676);</v>
      </c>
    </row>
    <row r="1164" spans="1:12">
      <c r="A1164" s="114">
        <v>1</v>
      </c>
      <c r="B1164" s="114">
        <v>560</v>
      </c>
      <c r="C1164" s="139" t="s">
        <v>2261</v>
      </c>
      <c r="D1164" s="114" t="s">
        <v>2090</v>
      </c>
      <c r="E1164" s="114">
        <v>239</v>
      </c>
      <c r="F1164" s="114">
        <v>325</v>
      </c>
      <c r="G1164" s="114">
        <v>1</v>
      </c>
      <c r="H1164" s="114">
        <v>10000</v>
      </c>
      <c r="I1164" s="114">
        <v>10000</v>
      </c>
      <c r="J1164" s="114">
        <v>8403</v>
      </c>
      <c r="K1164" s="114">
        <v>1597</v>
      </c>
      <c r="L1164" s="114" t="str">
        <f t="shared" si="18"/>
        <v>INSERT INTO DETALLES_DOCUMENTO(NRO_DOCUMENTO,ID_TIPO,ID_PRODUCTO,CANTIDAD,PRECIO,VALOR_BRUTO,VALOR_NETO,VALOR_IVA) VALUES(560,1,325,1,10000,10000,8403,1597);</v>
      </c>
    </row>
    <row r="1165" spans="1:12">
      <c r="A1165" s="114">
        <v>1</v>
      </c>
      <c r="B1165" s="114">
        <v>560</v>
      </c>
      <c r="C1165" s="139" t="s">
        <v>2261</v>
      </c>
      <c r="D1165" s="114" t="s">
        <v>2090</v>
      </c>
      <c r="E1165" s="114">
        <v>239</v>
      </c>
      <c r="F1165" s="114">
        <v>167</v>
      </c>
      <c r="G1165" s="114">
        <v>2</v>
      </c>
      <c r="H1165" s="114">
        <v>16400</v>
      </c>
      <c r="I1165" s="114">
        <v>32800</v>
      </c>
      <c r="J1165" s="114">
        <v>27563</v>
      </c>
      <c r="K1165" s="114">
        <v>5237</v>
      </c>
      <c r="L1165" s="114" t="str">
        <f t="shared" si="18"/>
        <v>INSERT INTO DETALLES_DOCUMENTO(NRO_DOCUMENTO,ID_TIPO,ID_PRODUCTO,CANTIDAD,PRECIO,VALOR_BRUTO,VALOR_NETO,VALOR_IVA) VALUES(560,1,167,2,16400,32800,27563,5237);</v>
      </c>
    </row>
    <row r="1166" spans="1:12">
      <c r="A1166" s="114">
        <v>1</v>
      </c>
      <c r="B1166" s="114">
        <v>560</v>
      </c>
      <c r="C1166" s="139" t="s">
        <v>2261</v>
      </c>
      <c r="D1166" s="114" t="s">
        <v>2090</v>
      </c>
      <c r="E1166" s="114">
        <v>239</v>
      </c>
      <c r="F1166" s="114">
        <v>191</v>
      </c>
      <c r="G1166" s="114">
        <v>1</v>
      </c>
      <c r="H1166" s="114">
        <v>2500</v>
      </c>
      <c r="I1166" s="114">
        <v>2500</v>
      </c>
      <c r="J1166" s="114">
        <v>2101</v>
      </c>
      <c r="K1166" s="114">
        <v>399</v>
      </c>
      <c r="L1166" s="114" t="str">
        <f t="shared" si="18"/>
        <v>INSERT INTO DETALLES_DOCUMENTO(NRO_DOCUMENTO,ID_TIPO,ID_PRODUCTO,CANTIDAD,PRECIO,VALOR_BRUTO,VALOR_NETO,VALOR_IVA) VALUES(560,1,191,1,2500,2500,2101,399);</v>
      </c>
    </row>
    <row r="1167" spans="1:12">
      <c r="A1167" s="114">
        <v>1</v>
      </c>
      <c r="B1167" s="114">
        <v>560</v>
      </c>
      <c r="C1167" s="139" t="s">
        <v>2261</v>
      </c>
      <c r="D1167" s="114" t="s">
        <v>2090</v>
      </c>
      <c r="E1167" s="114">
        <v>239</v>
      </c>
      <c r="F1167" s="114">
        <v>261</v>
      </c>
      <c r="G1167" s="114">
        <v>1</v>
      </c>
      <c r="H1167" s="114">
        <v>7000</v>
      </c>
      <c r="I1167" s="114">
        <v>7000</v>
      </c>
      <c r="J1167" s="114">
        <v>5882</v>
      </c>
      <c r="K1167" s="114">
        <v>1118</v>
      </c>
      <c r="L1167" s="114" t="str">
        <f t="shared" si="18"/>
        <v>INSERT INTO DETALLES_DOCUMENTO(NRO_DOCUMENTO,ID_TIPO,ID_PRODUCTO,CANTIDAD,PRECIO,VALOR_BRUTO,VALOR_NETO,VALOR_IVA) VALUES(560,1,261,1,7000,7000,5882,1118);</v>
      </c>
    </row>
    <row r="1168" spans="1:12">
      <c r="A1168" s="114">
        <v>1</v>
      </c>
      <c r="B1168" s="114">
        <v>561</v>
      </c>
      <c r="C1168" s="139" t="s">
        <v>2261</v>
      </c>
      <c r="D1168" s="114" t="s">
        <v>2090</v>
      </c>
      <c r="E1168" s="114">
        <v>242</v>
      </c>
      <c r="F1168" s="114">
        <v>143</v>
      </c>
      <c r="G1168" s="114">
        <v>1</v>
      </c>
      <c r="H1168" s="114">
        <v>8300</v>
      </c>
      <c r="I1168" s="114">
        <v>8300</v>
      </c>
      <c r="J1168" s="114">
        <v>6975</v>
      </c>
      <c r="K1168" s="114">
        <v>1325</v>
      </c>
      <c r="L1168" s="114" t="str">
        <f t="shared" si="18"/>
        <v>INSERT INTO DETALLES_DOCUMENTO(NRO_DOCUMENTO,ID_TIPO,ID_PRODUCTO,CANTIDAD,PRECIO,VALOR_BRUTO,VALOR_NETO,VALOR_IVA) VALUES(561,1,143,1,8300,8300,6975,1325);</v>
      </c>
    </row>
    <row r="1169" spans="1:12">
      <c r="A1169" s="114">
        <v>1</v>
      </c>
      <c r="B1169" s="114">
        <v>562</v>
      </c>
      <c r="C1169" s="139" t="s">
        <v>2261</v>
      </c>
      <c r="D1169" s="114" t="s">
        <v>2090</v>
      </c>
      <c r="E1169" s="114">
        <v>444</v>
      </c>
      <c r="F1169" s="114">
        <v>143</v>
      </c>
      <c r="G1169" s="114">
        <v>1</v>
      </c>
      <c r="H1169" s="114">
        <v>8300</v>
      </c>
      <c r="I1169" s="114">
        <v>8300</v>
      </c>
      <c r="J1169" s="114">
        <v>6975</v>
      </c>
      <c r="K1169" s="114">
        <v>1325</v>
      </c>
      <c r="L1169" s="114" t="str">
        <f t="shared" si="18"/>
        <v>INSERT INTO DETALLES_DOCUMENTO(NRO_DOCUMENTO,ID_TIPO,ID_PRODUCTO,CANTIDAD,PRECIO,VALOR_BRUTO,VALOR_NETO,VALOR_IVA) VALUES(562,1,143,1,8300,8300,6975,1325);</v>
      </c>
    </row>
    <row r="1170" spans="1:12">
      <c r="A1170" s="114">
        <v>1</v>
      </c>
      <c r="B1170" s="114">
        <v>563</v>
      </c>
      <c r="C1170" s="139" t="s">
        <v>2262</v>
      </c>
      <c r="D1170" s="114" t="s">
        <v>2090</v>
      </c>
      <c r="E1170" s="114">
        <v>104</v>
      </c>
      <c r="F1170" s="114">
        <v>143</v>
      </c>
      <c r="G1170" s="114">
        <v>2</v>
      </c>
      <c r="H1170" s="114">
        <v>16600</v>
      </c>
      <c r="I1170" s="114">
        <v>33200</v>
      </c>
      <c r="J1170" s="114">
        <v>27899</v>
      </c>
      <c r="K1170" s="114">
        <v>5301</v>
      </c>
      <c r="L1170" s="114" t="str">
        <f t="shared" si="18"/>
        <v>INSERT INTO DETALLES_DOCUMENTO(NRO_DOCUMENTO,ID_TIPO,ID_PRODUCTO,CANTIDAD,PRECIO,VALOR_BRUTO,VALOR_NETO,VALOR_IVA) VALUES(563,1,143,2,16600,33200,27899,5301);</v>
      </c>
    </row>
    <row r="1171" spans="1:12">
      <c r="A1171" s="114">
        <v>1</v>
      </c>
      <c r="B1171" s="114">
        <v>564</v>
      </c>
      <c r="C1171" s="139" t="s">
        <v>2262</v>
      </c>
      <c r="D1171" s="114" t="s">
        <v>2090</v>
      </c>
      <c r="E1171" s="114">
        <v>142</v>
      </c>
      <c r="F1171" s="114">
        <v>277</v>
      </c>
      <c r="G1171" s="114">
        <v>1</v>
      </c>
      <c r="H1171" s="114">
        <v>10000</v>
      </c>
      <c r="I1171" s="114">
        <v>10000</v>
      </c>
      <c r="J1171" s="114">
        <v>8403</v>
      </c>
      <c r="K1171" s="114">
        <v>1597</v>
      </c>
      <c r="L1171" s="114" t="str">
        <f t="shared" si="18"/>
        <v>INSERT INTO DETALLES_DOCUMENTO(NRO_DOCUMENTO,ID_TIPO,ID_PRODUCTO,CANTIDAD,PRECIO,VALOR_BRUTO,VALOR_NETO,VALOR_IVA) VALUES(564,1,277,1,10000,10000,8403,1597);</v>
      </c>
    </row>
    <row r="1172" spans="1:12">
      <c r="A1172" s="114">
        <v>1</v>
      </c>
      <c r="B1172" s="114">
        <v>565</v>
      </c>
      <c r="C1172" s="139" t="s">
        <v>2262</v>
      </c>
      <c r="D1172" s="114" t="s">
        <v>2090</v>
      </c>
      <c r="E1172" s="114">
        <v>166</v>
      </c>
      <c r="F1172" s="114">
        <v>256</v>
      </c>
      <c r="G1172" s="114">
        <v>1</v>
      </c>
      <c r="H1172" s="114">
        <v>3000</v>
      </c>
      <c r="I1172" s="114">
        <v>3000</v>
      </c>
      <c r="J1172" s="114">
        <v>2521</v>
      </c>
      <c r="K1172" s="114">
        <v>479</v>
      </c>
      <c r="L1172" s="114" t="str">
        <f t="shared" si="18"/>
        <v>INSERT INTO DETALLES_DOCUMENTO(NRO_DOCUMENTO,ID_TIPO,ID_PRODUCTO,CANTIDAD,PRECIO,VALOR_BRUTO,VALOR_NETO,VALOR_IVA) VALUES(565,1,256,1,3000,3000,2521,479);</v>
      </c>
    </row>
    <row r="1173" spans="1:12">
      <c r="A1173" s="114">
        <v>1</v>
      </c>
      <c r="B1173" s="114">
        <v>565</v>
      </c>
      <c r="C1173" s="139" t="s">
        <v>2262</v>
      </c>
      <c r="D1173" s="114" t="s">
        <v>2090</v>
      </c>
      <c r="E1173" s="114">
        <v>166</v>
      </c>
      <c r="F1173" s="114">
        <v>360</v>
      </c>
      <c r="G1173" s="114">
        <v>1</v>
      </c>
      <c r="H1173" s="114">
        <v>3000</v>
      </c>
      <c r="I1173" s="114">
        <v>3000</v>
      </c>
      <c r="J1173" s="114">
        <v>2521</v>
      </c>
      <c r="K1173" s="114">
        <v>479</v>
      </c>
      <c r="L1173" s="114" t="str">
        <f t="shared" si="18"/>
        <v>INSERT INTO DETALLES_DOCUMENTO(NRO_DOCUMENTO,ID_TIPO,ID_PRODUCTO,CANTIDAD,PRECIO,VALOR_BRUTO,VALOR_NETO,VALOR_IVA) VALUES(565,1,360,1,3000,3000,2521,479);</v>
      </c>
    </row>
    <row r="1174" spans="1:12">
      <c r="A1174" s="114">
        <v>1</v>
      </c>
      <c r="B1174" s="114">
        <v>565</v>
      </c>
      <c r="C1174" s="139" t="s">
        <v>2262</v>
      </c>
      <c r="D1174" s="114" t="s">
        <v>2090</v>
      </c>
      <c r="E1174" s="114">
        <v>166</v>
      </c>
      <c r="F1174" s="114">
        <v>117</v>
      </c>
      <c r="G1174" s="114">
        <v>1</v>
      </c>
      <c r="H1174" s="114">
        <v>3500</v>
      </c>
      <c r="I1174" s="114">
        <v>3500</v>
      </c>
      <c r="J1174" s="114">
        <v>2941</v>
      </c>
      <c r="K1174" s="114">
        <v>559</v>
      </c>
      <c r="L1174" s="114" t="str">
        <f t="shared" si="18"/>
        <v>INSERT INTO DETALLES_DOCUMENTO(NRO_DOCUMENTO,ID_TIPO,ID_PRODUCTO,CANTIDAD,PRECIO,VALOR_BRUTO,VALOR_NETO,VALOR_IVA) VALUES(565,1,117,1,3500,3500,2941,559);</v>
      </c>
    </row>
    <row r="1175" spans="1:12">
      <c r="A1175" s="114">
        <v>1</v>
      </c>
      <c r="B1175" s="114">
        <v>566</v>
      </c>
      <c r="C1175" s="139" t="s">
        <v>2262</v>
      </c>
      <c r="D1175" s="114" t="s">
        <v>2090</v>
      </c>
      <c r="E1175" s="114">
        <v>300</v>
      </c>
      <c r="F1175" s="114">
        <v>97</v>
      </c>
      <c r="G1175" s="114">
        <v>1</v>
      </c>
      <c r="H1175" s="114">
        <v>2000</v>
      </c>
      <c r="I1175" s="114">
        <v>2000</v>
      </c>
      <c r="J1175" s="114">
        <v>1681</v>
      </c>
      <c r="K1175" s="114">
        <v>319</v>
      </c>
      <c r="L1175" s="114" t="str">
        <f t="shared" si="18"/>
        <v>INSERT INTO DETALLES_DOCUMENTO(NRO_DOCUMENTO,ID_TIPO,ID_PRODUCTO,CANTIDAD,PRECIO,VALOR_BRUTO,VALOR_NETO,VALOR_IVA) VALUES(566,1,97,1,2000,2000,1681,319);</v>
      </c>
    </row>
    <row r="1176" spans="1:12">
      <c r="A1176" s="114">
        <v>1</v>
      </c>
      <c r="B1176" s="114">
        <v>566</v>
      </c>
      <c r="C1176" s="139" t="s">
        <v>2262</v>
      </c>
      <c r="D1176" s="114" t="s">
        <v>2090</v>
      </c>
      <c r="E1176" s="114">
        <v>300</v>
      </c>
      <c r="F1176" s="114">
        <v>165</v>
      </c>
      <c r="G1176" s="114">
        <v>1</v>
      </c>
      <c r="H1176" s="114">
        <v>2000</v>
      </c>
      <c r="I1176" s="114">
        <v>2000</v>
      </c>
      <c r="J1176" s="114">
        <v>1681</v>
      </c>
      <c r="K1176" s="114">
        <v>319</v>
      </c>
      <c r="L1176" s="114" t="str">
        <f t="shared" si="18"/>
        <v>INSERT INTO DETALLES_DOCUMENTO(NRO_DOCUMENTO,ID_TIPO,ID_PRODUCTO,CANTIDAD,PRECIO,VALOR_BRUTO,VALOR_NETO,VALOR_IVA) VALUES(566,1,165,1,2000,2000,1681,319);</v>
      </c>
    </row>
    <row r="1177" spans="1:12">
      <c r="A1177" s="114">
        <v>1</v>
      </c>
      <c r="B1177" s="114">
        <v>566</v>
      </c>
      <c r="C1177" s="139" t="s">
        <v>2262</v>
      </c>
      <c r="D1177" s="114" t="s">
        <v>2090</v>
      </c>
      <c r="E1177" s="114">
        <v>300</v>
      </c>
      <c r="F1177" s="114">
        <v>164</v>
      </c>
      <c r="G1177" s="114">
        <v>1</v>
      </c>
      <c r="H1177" s="114">
        <v>3200</v>
      </c>
      <c r="I1177" s="114">
        <v>3200</v>
      </c>
      <c r="J1177" s="114">
        <v>2689</v>
      </c>
      <c r="K1177" s="114">
        <v>511</v>
      </c>
      <c r="L1177" s="114" t="str">
        <f t="shared" si="18"/>
        <v>INSERT INTO DETALLES_DOCUMENTO(NRO_DOCUMENTO,ID_TIPO,ID_PRODUCTO,CANTIDAD,PRECIO,VALOR_BRUTO,VALOR_NETO,VALOR_IVA) VALUES(566,1,164,1,3200,3200,2689,511);</v>
      </c>
    </row>
    <row r="1178" spans="1:12">
      <c r="A1178" s="114">
        <v>1</v>
      </c>
      <c r="B1178" s="114">
        <v>566</v>
      </c>
      <c r="C1178" s="139" t="s">
        <v>2262</v>
      </c>
      <c r="D1178" s="114" t="s">
        <v>2090</v>
      </c>
      <c r="E1178" s="114">
        <v>300</v>
      </c>
      <c r="F1178" s="114">
        <v>368</v>
      </c>
      <c r="G1178" s="114">
        <v>1</v>
      </c>
      <c r="H1178" s="114">
        <v>3000</v>
      </c>
      <c r="I1178" s="114">
        <v>3000</v>
      </c>
      <c r="J1178" s="114">
        <v>2521</v>
      </c>
      <c r="K1178" s="114">
        <v>479</v>
      </c>
      <c r="L1178" s="114" t="str">
        <f t="shared" si="18"/>
        <v>INSERT INTO DETALLES_DOCUMENTO(NRO_DOCUMENTO,ID_TIPO,ID_PRODUCTO,CANTIDAD,PRECIO,VALOR_BRUTO,VALOR_NETO,VALOR_IVA) VALUES(566,1,368,1,3000,3000,2521,479);</v>
      </c>
    </row>
    <row r="1179" spans="1:12">
      <c r="A1179" s="114">
        <v>1</v>
      </c>
      <c r="B1179" s="114">
        <v>566</v>
      </c>
      <c r="C1179" s="139" t="s">
        <v>2262</v>
      </c>
      <c r="D1179" s="114" t="s">
        <v>2090</v>
      </c>
      <c r="E1179" s="114">
        <v>300</v>
      </c>
      <c r="F1179" s="114">
        <v>354</v>
      </c>
      <c r="G1179" s="114">
        <v>1</v>
      </c>
      <c r="H1179" s="114">
        <v>1800</v>
      </c>
      <c r="I1179" s="114">
        <v>1800</v>
      </c>
      <c r="J1179" s="114">
        <v>1513</v>
      </c>
      <c r="K1179" s="114">
        <v>287</v>
      </c>
      <c r="L1179" s="114" t="str">
        <f t="shared" si="18"/>
        <v>INSERT INTO DETALLES_DOCUMENTO(NRO_DOCUMENTO,ID_TIPO,ID_PRODUCTO,CANTIDAD,PRECIO,VALOR_BRUTO,VALOR_NETO,VALOR_IVA) VALUES(566,1,354,1,1800,1800,1513,287);</v>
      </c>
    </row>
    <row r="1180" spans="1:12">
      <c r="A1180" s="114">
        <v>1</v>
      </c>
      <c r="B1180" s="114">
        <v>567</v>
      </c>
      <c r="C1180" s="139" t="s">
        <v>2262</v>
      </c>
      <c r="D1180" s="114" t="s">
        <v>2090</v>
      </c>
      <c r="E1180" s="114">
        <v>312</v>
      </c>
      <c r="F1180" s="114">
        <v>143</v>
      </c>
      <c r="G1180" s="114">
        <v>1</v>
      </c>
      <c r="H1180" s="114">
        <v>8300</v>
      </c>
      <c r="I1180" s="114">
        <v>8300</v>
      </c>
      <c r="J1180" s="114">
        <v>6975</v>
      </c>
      <c r="K1180" s="114">
        <v>1325</v>
      </c>
      <c r="L1180" s="114" t="str">
        <f t="shared" si="18"/>
        <v>INSERT INTO DETALLES_DOCUMENTO(NRO_DOCUMENTO,ID_TIPO,ID_PRODUCTO,CANTIDAD,PRECIO,VALOR_BRUTO,VALOR_NETO,VALOR_IVA) VALUES(567,1,143,1,8300,8300,6975,1325);</v>
      </c>
    </row>
    <row r="1181" spans="1:12">
      <c r="A1181" s="114">
        <v>1</v>
      </c>
      <c r="B1181" s="114">
        <v>568</v>
      </c>
      <c r="C1181" s="139" t="s">
        <v>2263</v>
      </c>
      <c r="D1181" s="114" t="s">
        <v>2090</v>
      </c>
      <c r="E1181" s="114">
        <v>22</v>
      </c>
      <c r="F1181" s="114">
        <v>300</v>
      </c>
      <c r="G1181" s="114">
        <v>1</v>
      </c>
      <c r="H1181" s="114">
        <v>9000</v>
      </c>
      <c r="I1181" s="114">
        <v>9000</v>
      </c>
      <c r="J1181" s="114">
        <v>7563</v>
      </c>
      <c r="K1181" s="114">
        <v>1437</v>
      </c>
      <c r="L1181" s="114" t="str">
        <f t="shared" si="18"/>
        <v>INSERT INTO DETALLES_DOCUMENTO(NRO_DOCUMENTO,ID_TIPO,ID_PRODUCTO,CANTIDAD,PRECIO,VALOR_BRUTO,VALOR_NETO,VALOR_IVA) VALUES(568,1,300,1,9000,9000,7563,1437);</v>
      </c>
    </row>
    <row r="1182" spans="1:12">
      <c r="A1182" s="114">
        <v>1</v>
      </c>
      <c r="B1182" s="114">
        <v>568</v>
      </c>
      <c r="C1182" s="139" t="s">
        <v>2263</v>
      </c>
      <c r="D1182" s="114" t="s">
        <v>2090</v>
      </c>
      <c r="E1182" s="114">
        <v>22</v>
      </c>
      <c r="F1182" s="114">
        <v>97</v>
      </c>
      <c r="G1182" s="114">
        <v>1</v>
      </c>
      <c r="H1182" s="114">
        <v>2000</v>
      </c>
      <c r="I1182" s="114">
        <v>2000</v>
      </c>
      <c r="J1182" s="114">
        <v>1681</v>
      </c>
      <c r="K1182" s="114">
        <v>319</v>
      </c>
      <c r="L1182" s="114" t="str">
        <f t="shared" si="18"/>
        <v>INSERT INTO DETALLES_DOCUMENTO(NRO_DOCUMENTO,ID_TIPO,ID_PRODUCTO,CANTIDAD,PRECIO,VALOR_BRUTO,VALOR_NETO,VALOR_IVA) VALUES(568,1,97,1,2000,2000,1681,319);</v>
      </c>
    </row>
    <row r="1183" spans="1:12">
      <c r="A1183" s="114">
        <v>1</v>
      </c>
      <c r="B1183" s="114">
        <v>568</v>
      </c>
      <c r="C1183" s="139" t="s">
        <v>2263</v>
      </c>
      <c r="D1183" s="114" t="s">
        <v>2090</v>
      </c>
      <c r="E1183" s="114">
        <v>22</v>
      </c>
      <c r="F1183" s="114">
        <v>368</v>
      </c>
      <c r="G1183" s="114">
        <v>1</v>
      </c>
      <c r="H1183" s="114">
        <v>3000</v>
      </c>
      <c r="I1183" s="114">
        <v>3000</v>
      </c>
      <c r="J1183" s="114">
        <v>2521</v>
      </c>
      <c r="K1183" s="114">
        <v>479</v>
      </c>
      <c r="L1183" s="114" t="str">
        <f t="shared" si="18"/>
        <v>INSERT INTO DETALLES_DOCUMENTO(NRO_DOCUMENTO,ID_TIPO,ID_PRODUCTO,CANTIDAD,PRECIO,VALOR_BRUTO,VALOR_NETO,VALOR_IVA) VALUES(568,1,368,1,3000,3000,2521,479);</v>
      </c>
    </row>
    <row r="1184" spans="1:12">
      <c r="A1184" s="114">
        <v>1</v>
      </c>
      <c r="B1184" s="114">
        <v>568</v>
      </c>
      <c r="C1184" s="139" t="s">
        <v>2263</v>
      </c>
      <c r="D1184" s="114" t="s">
        <v>2090</v>
      </c>
      <c r="E1184" s="114">
        <v>22</v>
      </c>
      <c r="F1184" s="114">
        <v>165</v>
      </c>
      <c r="G1184" s="114">
        <v>1</v>
      </c>
      <c r="H1184" s="114">
        <v>2000</v>
      </c>
      <c r="I1184" s="114">
        <v>2000</v>
      </c>
      <c r="J1184" s="114">
        <v>1681</v>
      </c>
      <c r="K1184" s="114">
        <v>319</v>
      </c>
      <c r="L1184" s="114" t="str">
        <f t="shared" si="18"/>
        <v>INSERT INTO DETALLES_DOCUMENTO(NRO_DOCUMENTO,ID_TIPO,ID_PRODUCTO,CANTIDAD,PRECIO,VALOR_BRUTO,VALOR_NETO,VALOR_IVA) VALUES(568,1,165,1,2000,2000,1681,319);</v>
      </c>
    </row>
    <row r="1185" spans="1:12">
      <c r="A1185" s="114">
        <v>1</v>
      </c>
      <c r="B1185" s="114">
        <v>568</v>
      </c>
      <c r="C1185" s="139" t="s">
        <v>2263</v>
      </c>
      <c r="D1185" s="114" t="s">
        <v>2090</v>
      </c>
      <c r="E1185" s="114">
        <v>22</v>
      </c>
      <c r="F1185" s="114">
        <v>25</v>
      </c>
      <c r="G1185" s="114">
        <v>1</v>
      </c>
      <c r="H1185" s="114">
        <v>1800</v>
      </c>
      <c r="I1185" s="114">
        <v>1800</v>
      </c>
      <c r="J1185" s="114">
        <v>1513</v>
      </c>
      <c r="K1185" s="114">
        <v>287</v>
      </c>
      <c r="L1185" s="114" t="str">
        <f t="shared" si="18"/>
        <v>INSERT INTO DETALLES_DOCUMENTO(NRO_DOCUMENTO,ID_TIPO,ID_PRODUCTO,CANTIDAD,PRECIO,VALOR_BRUTO,VALOR_NETO,VALOR_IVA) VALUES(568,1,25,1,1800,1800,1513,287);</v>
      </c>
    </row>
    <row r="1186" spans="1:12">
      <c r="A1186" s="114">
        <v>1</v>
      </c>
      <c r="B1186" s="114">
        <v>569</v>
      </c>
      <c r="C1186" s="139" t="s">
        <v>2263</v>
      </c>
      <c r="D1186" s="114" t="s">
        <v>2090</v>
      </c>
      <c r="E1186" s="114">
        <v>86</v>
      </c>
      <c r="F1186" s="114">
        <v>143</v>
      </c>
      <c r="G1186" s="114">
        <v>1</v>
      </c>
      <c r="H1186" s="114">
        <v>8300</v>
      </c>
      <c r="I1186" s="114">
        <v>8300</v>
      </c>
      <c r="J1186" s="114">
        <v>6975</v>
      </c>
      <c r="K1186" s="114">
        <v>1325</v>
      </c>
      <c r="L1186" s="114" t="str">
        <f t="shared" si="18"/>
        <v>INSERT INTO DETALLES_DOCUMENTO(NRO_DOCUMENTO,ID_TIPO,ID_PRODUCTO,CANTIDAD,PRECIO,VALOR_BRUTO,VALOR_NETO,VALOR_IVA) VALUES(569,1,143,1,8300,8300,6975,1325);</v>
      </c>
    </row>
    <row r="1187" spans="1:12">
      <c r="A1187" s="114">
        <v>1</v>
      </c>
      <c r="B1187" s="114">
        <v>570</v>
      </c>
      <c r="C1187" s="139" t="s">
        <v>2263</v>
      </c>
      <c r="D1187" s="114" t="s">
        <v>2090</v>
      </c>
      <c r="E1187" s="114">
        <v>122</v>
      </c>
      <c r="F1187" s="114">
        <v>114</v>
      </c>
      <c r="G1187" s="114">
        <v>2</v>
      </c>
      <c r="H1187" s="114">
        <v>3200</v>
      </c>
      <c r="I1187" s="114">
        <v>6400</v>
      </c>
      <c r="J1187" s="114">
        <v>5378</v>
      </c>
      <c r="K1187" s="114">
        <v>1022</v>
      </c>
      <c r="L1187" s="114" t="str">
        <f t="shared" si="18"/>
        <v>INSERT INTO DETALLES_DOCUMENTO(NRO_DOCUMENTO,ID_TIPO,ID_PRODUCTO,CANTIDAD,PRECIO,VALOR_BRUTO,VALOR_NETO,VALOR_IVA) VALUES(570,1,114,2,3200,6400,5378,1022);</v>
      </c>
    </row>
    <row r="1188" spans="1:12">
      <c r="A1188" s="114">
        <v>1</v>
      </c>
      <c r="B1188" s="114">
        <v>570</v>
      </c>
      <c r="C1188" s="139" t="s">
        <v>2263</v>
      </c>
      <c r="D1188" s="114" t="s">
        <v>2090</v>
      </c>
      <c r="E1188" s="114">
        <v>122</v>
      </c>
      <c r="F1188" s="114">
        <v>256</v>
      </c>
      <c r="G1188" s="114">
        <v>1</v>
      </c>
      <c r="H1188" s="114">
        <v>3000</v>
      </c>
      <c r="I1188" s="114">
        <v>3000</v>
      </c>
      <c r="J1188" s="114">
        <v>2521</v>
      </c>
      <c r="K1188" s="114">
        <v>479</v>
      </c>
      <c r="L1188" s="114" t="str">
        <f t="shared" si="18"/>
        <v>INSERT INTO DETALLES_DOCUMENTO(NRO_DOCUMENTO,ID_TIPO,ID_PRODUCTO,CANTIDAD,PRECIO,VALOR_BRUTO,VALOR_NETO,VALOR_IVA) VALUES(570,1,256,1,3000,3000,2521,479);</v>
      </c>
    </row>
    <row r="1189" spans="1:12">
      <c r="A1189" s="114">
        <v>1</v>
      </c>
      <c r="B1189" s="114">
        <v>570</v>
      </c>
      <c r="C1189" s="139" t="s">
        <v>2263</v>
      </c>
      <c r="D1189" s="114" t="s">
        <v>2090</v>
      </c>
      <c r="E1189" s="114">
        <v>122</v>
      </c>
      <c r="F1189" s="114">
        <v>26</v>
      </c>
      <c r="G1189" s="114">
        <v>1</v>
      </c>
      <c r="H1189" s="114">
        <v>3400</v>
      </c>
      <c r="I1189" s="114">
        <v>3400</v>
      </c>
      <c r="J1189" s="114">
        <v>2857</v>
      </c>
      <c r="K1189" s="114">
        <v>543</v>
      </c>
      <c r="L1189" s="114" t="str">
        <f t="shared" si="18"/>
        <v>INSERT INTO DETALLES_DOCUMENTO(NRO_DOCUMENTO,ID_TIPO,ID_PRODUCTO,CANTIDAD,PRECIO,VALOR_BRUTO,VALOR_NETO,VALOR_IVA) VALUES(570,1,26,1,3400,3400,2857,543);</v>
      </c>
    </row>
    <row r="1190" spans="1:12">
      <c r="A1190" s="114">
        <v>1</v>
      </c>
      <c r="B1190" s="114">
        <v>570</v>
      </c>
      <c r="C1190" s="139" t="s">
        <v>2263</v>
      </c>
      <c r="D1190" s="114" t="s">
        <v>2090</v>
      </c>
      <c r="E1190" s="114">
        <v>122</v>
      </c>
      <c r="F1190" s="114">
        <v>248</v>
      </c>
      <c r="G1190" s="114">
        <v>1</v>
      </c>
      <c r="H1190" s="114">
        <v>4500</v>
      </c>
      <c r="I1190" s="114">
        <v>4500</v>
      </c>
      <c r="J1190" s="114">
        <v>3782</v>
      </c>
      <c r="K1190" s="114">
        <v>718</v>
      </c>
      <c r="L1190" s="114" t="str">
        <f t="shared" si="18"/>
        <v>INSERT INTO DETALLES_DOCUMENTO(NRO_DOCUMENTO,ID_TIPO,ID_PRODUCTO,CANTIDAD,PRECIO,VALOR_BRUTO,VALOR_NETO,VALOR_IVA) VALUES(570,1,248,1,4500,4500,3782,718);</v>
      </c>
    </row>
    <row r="1191" spans="1:12">
      <c r="A1191" s="114">
        <v>1</v>
      </c>
      <c r="B1191" s="114">
        <v>571</v>
      </c>
      <c r="C1191" s="139" t="s">
        <v>2263</v>
      </c>
      <c r="D1191" s="114" t="s">
        <v>2090</v>
      </c>
      <c r="E1191" s="114">
        <v>166</v>
      </c>
      <c r="F1191" s="114">
        <v>325</v>
      </c>
      <c r="G1191" s="114">
        <v>1</v>
      </c>
      <c r="H1191" s="114">
        <v>10000</v>
      </c>
      <c r="I1191" s="114">
        <v>10000</v>
      </c>
      <c r="J1191" s="114">
        <v>8403</v>
      </c>
      <c r="K1191" s="114">
        <v>1597</v>
      </c>
      <c r="L1191" s="114" t="str">
        <f t="shared" si="18"/>
        <v>INSERT INTO DETALLES_DOCUMENTO(NRO_DOCUMENTO,ID_TIPO,ID_PRODUCTO,CANTIDAD,PRECIO,VALOR_BRUTO,VALOR_NETO,VALOR_IVA) VALUES(571,1,325,1,10000,10000,8403,1597);</v>
      </c>
    </row>
    <row r="1192" spans="1:12">
      <c r="A1192" s="114">
        <v>1</v>
      </c>
      <c r="B1192" s="114">
        <v>572</v>
      </c>
      <c r="C1192" s="139" t="s">
        <v>2263</v>
      </c>
      <c r="D1192" s="114" t="s">
        <v>2090</v>
      </c>
      <c r="E1192" s="114">
        <v>181</v>
      </c>
      <c r="F1192" s="114">
        <v>53</v>
      </c>
      <c r="G1192" s="114">
        <v>1</v>
      </c>
      <c r="H1192" s="114">
        <v>4200</v>
      </c>
      <c r="I1192" s="114">
        <v>4200</v>
      </c>
      <c r="J1192" s="114">
        <v>3529</v>
      </c>
      <c r="K1192" s="114">
        <v>671</v>
      </c>
      <c r="L1192" s="114" t="str">
        <f t="shared" si="18"/>
        <v>INSERT INTO DETALLES_DOCUMENTO(NRO_DOCUMENTO,ID_TIPO,ID_PRODUCTO,CANTIDAD,PRECIO,VALOR_BRUTO,VALOR_NETO,VALOR_IVA) VALUES(572,1,53,1,4200,4200,3529,671);</v>
      </c>
    </row>
    <row r="1193" spans="1:12">
      <c r="A1193" s="114">
        <v>1</v>
      </c>
      <c r="B1193" s="114">
        <v>573</v>
      </c>
      <c r="C1193" s="139" t="s">
        <v>2263</v>
      </c>
      <c r="D1193" s="114" t="s">
        <v>2090</v>
      </c>
      <c r="E1193" s="114">
        <v>346</v>
      </c>
      <c r="F1193" s="114">
        <v>143</v>
      </c>
      <c r="G1193" s="114">
        <v>1</v>
      </c>
      <c r="H1193" s="114">
        <v>8300</v>
      </c>
      <c r="I1193" s="114">
        <v>8300</v>
      </c>
      <c r="J1193" s="114">
        <v>6975</v>
      </c>
      <c r="K1193" s="114">
        <v>1325</v>
      </c>
      <c r="L1193" s="114" t="str">
        <f t="shared" si="18"/>
        <v>INSERT INTO DETALLES_DOCUMENTO(NRO_DOCUMENTO,ID_TIPO,ID_PRODUCTO,CANTIDAD,PRECIO,VALOR_BRUTO,VALOR_NETO,VALOR_IVA) VALUES(573,1,143,1,8300,8300,6975,1325);</v>
      </c>
    </row>
    <row r="1194" spans="1:12">
      <c r="A1194" s="114">
        <v>1</v>
      </c>
      <c r="B1194" s="114">
        <v>574</v>
      </c>
      <c r="C1194" s="139" t="s">
        <v>2263</v>
      </c>
      <c r="D1194" s="114" t="s">
        <v>2090</v>
      </c>
      <c r="E1194" s="114">
        <v>484</v>
      </c>
      <c r="F1194" s="114">
        <v>231</v>
      </c>
      <c r="G1194" s="114">
        <v>1</v>
      </c>
      <c r="H1194" s="114">
        <v>20900</v>
      </c>
      <c r="I1194" s="114">
        <v>20900</v>
      </c>
      <c r="J1194" s="114">
        <v>17563</v>
      </c>
      <c r="K1194" s="114">
        <v>3337</v>
      </c>
      <c r="L1194" s="114" t="str">
        <f t="shared" si="18"/>
        <v>INSERT INTO DETALLES_DOCUMENTO(NRO_DOCUMENTO,ID_TIPO,ID_PRODUCTO,CANTIDAD,PRECIO,VALOR_BRUTO,VALOR_NETO,VALOR_IVA) VALUES(574,1,231,1,20900,20900,17563,3337);</v>
      </c>
    </row>
    <row r="1195" spans="1:12">
      <c r="A1195" s="114">
        <v>1</v>
      </c>
      <c r="B1195" s="114">
        <v>575</v>
      </c>
      <c r="C1195" s="139" t="s">
        <v>2264</v>
      </c>
      <c r="D1195" s="114" t="s">
        <v>2090</v>
      </c>
      <c r="E1195" s="114">
        <v>72</v>
      </c>
      <c r="F1195" s="114">
        <v>329</v>
      </c>
      <c r="G1195" s="114">
        <v>1</v>
      </c>
      <c r="H1195" s="114">
        <v>5500</v>
      </c>
      <c r="I1195" s="114">
        <v>5500</v>
      </c>
      <c r="J1195" s="114">
        <v>4622</v>
      </c>
      <c r="K1195" s="114">
        <v>878</v>
      </c>
      <c r="L1195" s="114" t="str">
        <f t="shared" si="18"/>
        <v>INSERT INTO DETALLES_DOCUMENTO(NRO_DOCUMENTO,ID_TIPO,ID_PRODUCTO,CANTIDAD,PRECIO,VALOR_BRUTO,VALOR_NETO,VALOR_IVA) VALUES(575,1,329,1,5500,5500,4622,878);</v>
      </c>
    </row>
    <row r="1196" spans="1:12">
      <c r="A1196" s="114">
        <v>1</v>
      </c>
      <c r="B1196" s="114">
        <v>575</v>
      </c>
      <c r="C1196" s="139" t="s">
        <v>2264</v>
      </c>
      <c r="D1196" s="114" t="s">
        <v>2090</v>
      </c>
      <c r="E1196" s="114">
        <v>72</v>
      </c>
      <c r="F1196" s="114">
        <v>143</v>
      </c>
      <c r="G1196" s="114">
        <v>1</v>
      </c>
      <c r="H1196" s="114">
        <v>8300</v>
      </c>
      <c r="I1196" s="114">
        <v>8300</v>
      </c>
      <c r="J1196" s="114">
        <v>6975</v>
      </c>
      <c r="K1196" s="114">
        <v>1325</v>
      </c>
      <c r="L1196" s="114" t="str">
        <f t="shared" si="18"/>
        <v>INSERT INTO DETALLES_DOCUMENTO(NRO_DOCUMENTO,ID_TIPO,ID_PRODUCTO,CANTIDAD,PRECIO,VALOR_BRUTO,VALOR_NETO,VALOR_IVA) VALUES(575,1,143,1,8300,8300,6975,1325);</v>
      </c>
    </row>
    <row r="1197" spans="1:12">
      <c r="A1197" s="114">
        <v>1</v>
      </c>
      <c r="B1197" s="114">
        <v>576</v>
      </c>
      <c r="C1197" s="139" t="s">
        <v>2264</v>
      </c>
      <c r="D1197" s="114" t="s">
        <v>2090</v>
      </c>
      <c r="E1197" s="114">
        <v>155</v>
      </c>
      <c r="F1197" s="114">
        <v>143</v>
      </c>
      <c r="G1197" s="114">
        <v>1</v>
      </c>
      <c r="H1197" s="114">
        <v>8300</v>
      </c>
      <c r="I1197" s="114">
        <v>8300</v>
      </c>
      <c r="J1197" s="114">
        <v>6975</v>
      </c>
      <c r="K1197" s="114">
        <v>1325</v>
      </c>
      <c r="L1197" s="114" t="str">
        <f t="shared" si="18"/>
        <v>INSERT INTO DETALLES_DOCUMENTO(NRO_DOCUMENTO,ID_TIPO,ID_PRODUCTO,CANTIDAD,PRECIO,VALOR_BRUTO,VALOR_NETO,VALOR_IVA) VALUES(576,1,143,1,8300,8300,6975,1325);</v>
      </c>
    </row>
    <row r="1198" spans="1:12">
      <c r="A1198" s="114">
        <v>1</v>
      </c>
      <c r="B1198" s="114">
        <v>577</v>
      </c>
      <c r="C1198" s="139" t="s">
        <v>2264</v>
      </c>
      <c r="D1198" s="114" t="s">
        <v>2090</v>
      </c>
      <c r="E1198" s="114">
        <v>300</v>
      </c>
      <c r="F1198" s="114">
        <v>191</v>
      </c>
      <c r="G1198" s="114">
        <v>2</v>
      </c>
      <c r="H1198" s="114">
        <v>5000</v>
      </c>
      <c r="I1198" s="114">
        <v>10000</v>
      </c>
      <c r="J1198" s="114">
        <v>8403</v>
      </c>
      <c r="K1198" s="114">
        <v>1597</v>
      </c>
      <c r="L1198" s="114" t="str">
        <f t="shared" si="18"/>
        <v>INSERT INTO DETALLES_DOCUMENTO(NRO_DOCUMENTO,ID_TIPO,ID_PRODUCTO,CANTIDAD,PRECIO,VALOR_BRUTO,VALOR_NETO,VALOR_IVA) VALUES(577,1,191,2,5000,10000,8403,1597);</v>
      </c>
    </row>
    <row r="1199" spans="1:12">
      <c r="A1199" s="114">
        <v>1</v>
      </c>
      <c r="B1199" s="114">
        <v>578</v>
      </c>
      <c r="C1199" s="139" t="s">
        <v>2264</v>
      </c>
      <c r="D1199" s="114" t="s">
        <v>2090</v>
      </c>
      <c r="E1199" s="114">
        <v>374</v>
      </c>
      <c r="F1199" s="114">
        <v>324</v>
      </c>
      <c r="G1199" s="114">
        <v>1</v>
      </c>
      <c r="H1199" s="114">
        <v>10500</v>
      </c>
      <c r="I1199" s="114">
        <v>10500</v>
      </c>
      <c r="J1199" s="114">
        <v>8824</v>
      </c>
      <c r="K1199" s="114">
        <v>1676</v>
      </c>
      <c r="L1199" s="114" t="str">
        <f t="shared" si="18"/>
        <v>INSERT INTO DETALLES_DOCUMENTO(NRO_DOCUMENTO,ID_TIPO,ID_PRODUCTO,CANTIDAD,PRECIO,VALOR_BRUTO,VALOR_NETO,VALOR_IVA) VALUES(578,1,324,1,10500,10500,8824,1676);</v>
      </c>
    </row>
    <row r="1200" spans="1:12">
      <c r="A1200" s="114">
        <v>1</v>
      </c>
      <c r="B1200" s="114">
        <v>578</v>
      </c>
      <c r="C1200" s="139" t="s">
        <v>2264</v>
      </c>
      <c r="D1200" s="114" t="s">
        <v>2090</v>
      </c>
      <c r="E1200" s="114">
        <v>374</v>
      </c>
      <c r="F1200" s="114">
        <v>230</v>
      </c>
      <c r="G1200" s="114">
        <v>1</v>
      </c>
      <c r="H1200" s="114">
        <v>16500</v>
      </c>
      <c r="I1200" s="114">
        <v>16500</v>
      </c>
      <c r="J1200" s="114">
        <v>13866</v>
      </c>
      <c r="K1200" s="114">
        <v>2634</v>
      </c>
      <c r="L1200" s="114" t="str">
        <f t="shared" si="18"/>
        <v>INSERT INTO DETALLES_DOCUMENTO(NRO_DOCUMENTO,ID_TIPO,ID_PRODUCTO,CANTIDAD,PRECIO,VALOR_BRUTO,VALOR_NETO,VALOR_IVA) VALUES(578,1,230,1,16500,16500,13866,2634);</v>
      </c>
    </row>
    <row r="1201" spans="1:12">
      <c r="A1201" s="114">
        <v>1</v>
      </c>
      <c r="B1201" s="114">
        <v>578</v>
      </c>
      <c r="C1201" s="139" t="s">
        <v>2264</v>
      </c>
      <c r="D1201" s="114" t="s">
        <v>2090</v>
      </c>
      <c r="E1201" s="114">
        <v>374</v>
      </c>
      <c r="F1201" s="114">
        <v>229</v>
      </c>
      <c r="G1201" s="114">
        <v>1</v>
      </c>
      <c r="H1201" s="114">
        <v>18500</v>
      </c>
      <c r="I1201" s="114">
        <v>18500</v>
      </c>
      <c r="J1201" s="114">
        <v>15546</v>
      </c>
      <c r="K1201" s="114">
        <v>2954</v>
      </c>
      <c r="L1201" s="114" t="str">
        <f t="shared" si="18"/>
        <v>INSERT INTO DETALLES_DOCUMENTO(NRO_DOCUMENTO,ID_TIPO,ID_PRODUCTO,CANTIDAD,PRECIO,VALOR_BRUTO,VALOR_NETO,VALOR_IVA) VALUES(578,1,229,1,18500,18500,15546,2954);</v>
      </c>
    </row>
    <row r="1202" spans="1:12">
      <c r="A1202" s="114">
        <v>1</v>
      </c>
      <c r="B1202" s="114">
        <v>579</v>
      </c>
      <c r="C1202" s="139" t="s">
        <v>2264</v>
      </c>
      <c r="D1202" s="114" t="s">
        <v>2090</v>
      </c>
      <c r="E1202" s="114">
        <v>408</v>
      </c>
      <c r="F1202" s="114">
        <v>324</v>
      </c>
      <c r="G1202" s="114">
        <v>1</v>
      </c>
      <c r="H1202" s="114">
        <v>10500</v>
      </c>
      <c r="I1202" s="114">
        <v>10500</v>
      </c>
      <c r="J1202" s="114">
        <v>8824</v>
      </c>
      <c r="K1202" s="114">
        <v>1676</v>
      </c>
      <c r="L1202" s="114" t="str">
        <f t="shared" si="18"/>
        <v>INSERT INTO DETALLES_DOCUMENTO(NRO_DOCUMENTO,ID_TIPO,ID_PRODUCTO,CANTIDAD,PRECIO,VALOR_BRUTO,VALOR_NETO,VALOR_IVA) VALUES(579,1,324,1,10500,10500,8824,1676);</v>
      </c>
    </row>
    <row r="1203" spans="1:12">
      <c r="A1203" s="114">
        <v>1</v>
      </c>
      <c r="B1203" s="114">
        <v>579</v>
      </c>
      <c r="C1203" s="139" t="s">
        <v>2264</v>
      </c>
      <c r="D1203" s="114" t="s">
        <v>2090</v>
      </c>
      <c r="E1203" s="114">
        <v>408</v>
      </c>
      <c r="F1203" s="114">
        <v>29</v>
      </c>
      <c r="G1203" s="114">
        <v>1</v>
      </c>
      <c r="H1203" s="114">
        <v>1000</v>
      </c>
      <c r="I1203" s="114">
        <v>1000</v>
      </c>
      <c r="J1203" s="114">
        <v>840</v>
      </c>
      <c r="K1203" s="114">
        <v>160</v>
      </c>
      <c r="L1203" s="114" t="str">
        <f t="shared" si="18"/>
        <v>INSERT INTO DETALLES_DOCUMENTO(NRO_DOCUMENTO,ID_TIPO,ID_PRODUCTO,CANTIDAD,PRECIO,VALOR_BRUTO,VALOR_NETO,VALOR_IVA) VALUES(579,1,29,1,1000,1000,840,160);</v>
      </c>
    </row>
    <row r="1204" spans="1:12">
      <c r="A1204" s="114">
        <v>1</v>
      </c>
      <c r="B1204" s="114">
        <v>579</v>
      </c>
      <c r="C1204" s="139" t="s">
        <v>2264</v>
      </c>
      <c r="D1204" s="114" t="s">
        <v>2090</v>
      </c>
      <c r="E1204" s="114">
        <v>408</v>
      </c>
      <c r="F1204" s="114">
        <v>165</v>
      </c>
      <c r="G1204" s="114">
        <v>1</v>
      </c>
      <c r="H1204" s="114">
        <v>2000</v>
      </c>
      <c r="I1204" s="114">
        <v>2000</v>
      </c>
      <c r="J1204" s="114">
        <v>1681</v>
      </c>
      <c r="K1204" s="114">
        <v>319</v>
      </c>
      <c r="L1204" s="114" t="str">
        <f t="shared" si="18"/>
        <v>INSERT INTO DETALLES_DOCUMENTO(NRO_DOCUMENTO,ID_TIPO,ID_PRODUCTO,CANTIDAD,PRECIO,VALOR_BRUTO,VALOR_NETO,VALOR_IVA) VALUES(579,1,165,1,2000,2000,1681,319);</v>
      </c>
    </row>
    <row r="1205" spans="1:12">
      <c r="A1205" s="114">
        <v>1</v>
      </c>
      <c r="B1205" s="114">
        <v>579</v>
      </c>
      <c r="C1205" s="139" t="s">
        <v>2264</v>
      </c>
      <c r="D1205" s="114" t="s">
        <v>2090</v>
      </c>
      <c r="E1205" s="114">
        <v>408</v>
      </c>
      <c r="F1205" s="114">
        <v>261</v>
      </c>
      <c r="G1205" s="114">
        <v>1</v>
      </c>
      <c r="H1205" s="114">
        <v>7000</v>
      </c>
      <c r="I1205" s="114">
        <v>7000</v>
      </c>
      <c r="J1205" s="114">
        <v>5882</v>
      </c>
      <c r="K1205" s="114">
        <v>1118</v>
      </c>
      <c r="L1205" s="114" t="str">
        <f t="shared" si="18"/>
        <v>INSERT INTO DETALLES_DOCUMENTO(NRO_DOCUMENTO,ID_TIPO,ID_PRODUCTO,CANTIDAD,PRECIO,VALOR_BRUTO,VALOR_NETO,VALOR_IVA) VALUES(579,1,261,1,7000,7000,5882,1118);</v>
      </c>
    </row>
    <row r="1206" spans="1:12">
      <c r="A1206" s="114">
        <v>1</v>
      </c>
      <c r="B1206" s="114">
        <v>580</v>
      </c>
      <c r="C1206" s="139" t="s">
        <v>2264</v>
      </c>
      <c r="D1206" s="114" t="s">
        <v>2090</v>
      </c>
      <c r="E1206" s="114">
        <v>438</v>
      </c>
      <c r="F1206" s="114">
        <v>122</v>
      </c>
      <c r="G1206" s="114">
        <v>1</v>
      </c>
      <c r="H1206" s="114">
        <v>6000</v>
      </c>
      <c r="I1206" s="114">
        <v>6000</v>
      </c>
      <c r="J1206" s="114">
        <v>5042</v>
      </c>
      <c r="K1206" s="114">
        <v>958</v>
      </c>
      <c r="L1206" s="114" t="str">
        <f t="shared" si="18"/>
        <v>INSERT INTO DETALLES_DOCUMENTO(NRO_DOCUMENTO,ID_TIPO,ID_PRODUCTO,CANTIDAD,PRECIO,VALOR_BRUTO,VALOR_NETO,VALOR_IVA) VALUES(580,1,122,1,6000,6000,5042,958);</v>
      </c>
    </row>
    <row r="1207" spans="1:12">
      <c r="A1207" s="114">
        <v>1</v>
      </c>
      <c r="B1207" s="114">
        <v>581</v>
      </c>
      <c r="C1207" s="139" t="s">
        <v>2264</v>
      </c>
      <c r="D1207" s="114" t="s">
        <v>2090</v>
      </c>
      <c r="E1207" s="114">
        <v>457</v>
      </c>
      <c r="F1207" s="114">
        <v>233</v>
      </c>
      <c r="G1207" s="114">
        <v>1</v>
      </c>
      <c r="H1207" s="114">
        <v>15990</v>
      </c>
      <c r="I1207" s="114">
        <v>15990</v>
      </c>
      <c r="J1207" s="114">
        <v>13437</v>
      </c>
      <c r="K1207" s="114">
        <v>2553</v>
      </c>
      <c r="L1207" s="114" t="str">
        <f t="shared" si="18"/>
        <v>INSERT INTO DETALLES_DOCUMENTO(NRO_DOCUMENTO,ID_TIPO,ID_PRODUCTO,CANTIDAD,PRECIO,VALOR_BRUTO,VALOR_NETO,VALOR_IVA) VALUES(581,1,233,1,15990,15990,13437,2553);</v>
      </c>
    </row>
    <row r="1208" spans="1:12">
      <c r="A1208" s="114">
        <v>1</v>
      </c>
      <c r="B1208" s="114">
        <v>582</v>
      </c>
      <c r="C1208" s="139" t="s">
        <v>2264</v>
      </c>
      <c r="D1208" s="114" t="s">
        <v>2090</v>
      </c>
      <c r="E1208" s="114">
        <v>470</v>
      </c>
      <c r="F1208" s="114">
        <v>143</v>
      </c>
      <c r="G1208" s="114">
        <v>1</v>
      </c>
      <c r="H1208" s="114">
        <v>8300</v>
      </c>
      <c r="I1208" s="114">
        <v>8300</v>
      </c>
      <c r="J1208" s="114">
        <v>6975</v>
      </c>
      <c r="K1208" s="114">
        <v>1325</v>
      </c>
      <c r="L1208" s="114" t="str">
        <f t="shared" si="18"/>
        <v>INSERT INTO DETALLES_DOCUMENTO(NRO_DOCUMENTO,ID_TIPO,ID_PRODUCTO,CANTIDAD,PRECIO,VALOR_BRUTO,VALOR_NETO,VALOR_IVA) VALUES(582,1,143,1,8300,8300,6975,1325);</v>
      </c>
    </row>
    <row r="1209" spans="1:12">
      <c r="A1209" s="114">
        <v>1</v>
      </c>
      <c r="B1209" s="114">
        <v>583</v>
      </c>
      <c r="C1209" s="139" t="s">
        <v>2265</v>
      </c>
      <c r="D1209" s="114" t="s">
        <v>2090</v>
      </c>
      <c r="E1209" s="114">
        <v>84</v>
      </c>
      <c r="F1209" s="114">
        <v>136</v>
      </c>
      <c r="G1209" s="114">
        <v>1</v>
      </c>
      <c r="H1209" s="114">
        <v>4500</v>
      </c>
      <c r="I1209" s="114">
        <v>4500</v>
      </c>
      <c r="J1209" s="114">
        <v>3782</v>
      </c>
      <c r="K1209" s="114">
        <v>718</v>
      </c>
      <c r="L1209" s="114" t="str">
        <f t="shared" si="18"/>
        <v>INSERT INTO DETALLES_DOCUMENTO(NRO_DOCUMENTO,ID_TIPO,ID_PRODUCTO,CANTIDAD,PRECIO,VALOR_BRUTO,VALOR_NETO,VALOR_IVA) VALUES(583,1,136,1,4500,4500,3782,718);</v>
      </c>
    </row>
    <row r="1210" spans="1:12">
      <c r="A1210" s="114">
        <v>1</v>
      </c>
      <c r="B1210" s="114">
        <v>584</v>
      </c>
      <c r="C1210" s="139" t="s">
        <v>2266</v>
      </c>
      <c r="D1210" s="114" t="s">
        <v>2090</v>
      </c>
      <c r="E1210" s="114">
        <v>98</v>
      </c>
      <c r="F1210" s="114">
        <v>329</v>
      </c>
      <c r="G1210" s="114">
        <v>1</v>
      </c>
      <c r="H1210" s="114">
        <v>5500</v>
      </c>
      <c r="I1210" s="114">
        <v>5500</v>
      </c>
      <c r="J1210" s="114">
        <v>4622</v>
      </c>
      <c r="K1210" s="114">
        <v>878</v>
      </c>
      <c r="L1210" s="114" t="str">
        <f t="shared" si="18"/>
        <v>INSERT INTO DETALLES_DOCUMENTO(NRO_DOCUMENTO,ID_TIPO,ID_PRODUCTO,CANTIDAD,PRECIO,VALOR_BRUTO,VALOR_NETO,VALOR_IVA) VALUES(584,1,329,1,5500,5500,4622,878);</v>
      </c>
    </row>
    <row r="1211" spans="1:12">
      <c r="A1211" s="114">
        <v>1</v>
      </c>
      <c r="B1211" s="114">
        <v>585</v>
      </c>
      <c r="C1211" s="139" t="s">
        <v>2266</v>
      </c>
      <c r="D1211" s="114" t="s">
        <v>2090</v>
      </c>
      <c r="E1211" s="114">
        <v>411</v>
      </c>
      <c r="F1211" s="114">
        <v>261</v>
      </c>
      <c r="G1211" s="114">
        <v>1</v>
      </c>
      <c r="H1211" s="114">
        <v>7000</v>
      </c>
      <c r="I1211" s="114">
        <v>7000</v>
      </c>
      <c r="J1211" s="114">
        <v>5882</v>
      </c>
      <c r="K1211" s="114">
        <v>1118</v>
      </c>
      <c r="L1211" s="114" t="str">
        <f t="shared" si="18"/>
        <v>INSERT INTO DETALLES_DOCUMENTO(NRO_DOCUMENTO,ID_TIPO,ID_PRODUCTO,CANTIDAD,PRECIO,VALOR_BRUTO,VALOR_NETO,VALOR_IVA) VALUES(585,1,261,1,7000,7000,5882,1118);</v>
      </c>
    </row>
    <row r="1212" spans="1:12">
      <c r="A1212" s="114">
        <v>1</v>
      </c>
      <c r="B1212" s="114">
        <v>586</v>
      </c>
      <c r="C1212" s="139" t="s">
        <v>2266</v>
      </c>
      <c r="D1212" s="114" t="s">
        <v>2090</v>
      </c>
      <c r="E1212" s="114">
        <v>419</v>
      </c>
      <c r="F1212" s="114">
        <v>329</v>
      </c>
      <c r="G1212" s="114">
        <v>1</v>
      </c>
      <c r="H1212" s="114">
        <v>5500</v>
      </c>
      <c r="I1212" s="114">
        <v>5500</v>
      </c>
      <c r="J1212" s="114">
        <v>4622</v>
      </c>
      <c r="K1212" s="114">
        <v>878</v>
      </c>
      <c r="L1212" s="114" t="str">
        <f t="shared" si="18"/>
        <v>INSERT INTO DETALLES_DOCUMENTO(NRO_DOCUMENTO,ID_TIPO,ID_PRODUCTO,CANTIDAD,PRECIO,VALOR_BRUTO,VALOR_NETO,VALOR_IVA) VALUES(586,1,329,1,5500,5500,4622,878);</v>
      </c>
    </row>
    <row r="1213" spans="1:12">
      <c r="A1213" s="114">
        <v>1</v>
      </c>
      <c r="B1213" s="114">
        <v>587</v>
      </c>
      <c r="C1213" s="139" t="s">
        <v>2266</v>
      </c>
      <c r="D1213" s="114" t="s">
        <v>2090</v>
      </c>
      <c r="E1213" s="114">
        <v>446</v>
      </c>
      <c r="F1213" s="114">
        <v>117</v>
      </c>
      <c r="G1213" s="114">
        <v>1</v>
      </c>
      <c r="H1213" s="114">
        <v>3500</v>
      </c>
      <c r="I1213" s="114">
        <v>3500</v>
      </c>
      <c r="J1213" s="114">
        <v>2941</v>
      </c>
      <c r="K1213" s="114">
        <v>559</v>
      </c>
      <c r="L1213" s="114" t="str">
        <f t="shared" si="18"/>
        <v>INSERT INTO DETALLES_DOCUMENTO(NRO_DOCUMENTO,ID_TIPO,ID_PRODUCTO,CANTIDAD,PRECIO,VALOR_BRUTO,VALOR_NETO,VALOR_IVA) VALUES(587,1,117,1,3500,3500,2941,559);</v>
      </c>
    </row>
    <row r="1214" spans="1:12">
      <c r="A1214" s="114">
        <v>1</v>
      </c>
      <c r="B1214" s="114">
        <v>587</v>
      </c>
      <c r="C1214" s="139" t="s">
        <v>2266</v>
      </c>
      <c r="D1214" s="114" t="s">
        <v>2090</v>
      </c>
      <c r="E1214" s="114">
        <v>446</v>
      </c>
      <c r="F1214" s="114">
        <v>329</v>
      </c>
      <c r="G1214" s="114">
        <v>1</v>
      </c>
      <c r="H1214" s="114">
        <v>5500</v>
      </c>
      <c r="I1214" s="114">
        <v>5500</v>
      </c>
      <c r="J1214" s="114">
        <v>4622</v>
      </c>
      <c r="K1214" s="114">
        <v>878</v>
      </c>
      <c r="L1214" s="114" t="str">
        <f t="shared" si="18"/>
        <v>INSERT INTO DETALLES_DOCUMENTO(NRO_DOCUMENTO,ID_TIPO,ID_PRODUCTO,CANTIDAD,PRECIO,VALOR_BRUTO,VALOR_NETO,VALOR_IVA) VALUES(587,1,329,1,5500,5500,4622,878);</v>
      </c>
    </row>
    <row r="1215" spans="1:12">
      <c r="A1215" s="114">
        <v>1</v>
      </c>
      <c r="B1215" s="114">
        <v>587</v>
      </c>
      <c r="C1215" s="139" t="s">
        <v>2266</v>
      </c>
      <c r="D1215" s="114" t="s">
        <v>2090</v>
      </c>
      <c r="E1215" s="114">
        <v>446</v>
      </c>
      <c r="F1215" s="114">
        <v>368</v>
      </c>
      <c r="G1215" s="114">
        <v>1</v>
      </c>
      <c r="H1215" s="114">
        <v>3000</v>
      </c>
      <c r="I1215" s="114">
        <v>3000</v>
      </c>
      <c r="J1215" s="114">
        <v>2521</v>
      </c>
      <c r="K1215" s="114">
        <v>479</v>
      </c>
      <c r="L1215" s="114" t="str">
        <f t="shared" si="18"/>
        <v>INSERT INTO DETALLES_DOCUMENTO(NRO_DOCUMENTO,ID_TIPO,ID_PRODUCTO,CANTIDAD,PRECIO,VALOR_BRUTO,VALOR_NETO,VALOR_IVA) VALUES(587,1,368,1,3000,3000,2521,479);</v>
      </c>
    </row>
    <row r="1216" spans="1:12">
      <c r="A1216" s="114">
        <v>1</v>
      </c>
      <c r="B1216" s="114">
        <v>588</v>
      </c>
      <c r="C1216" s="139" t="s">
        <v>2266</v>
      </c>
      <c r="D1216" s="114" t="s">
        <v>2090</v>
      </c>
      <c r="E1216" s="114">
        <v>451</v>
      </c>
      <c r="F1216" s="114">
        <v>329</v>
      </c>
      <c r="G1216" s="114">
        <v>1</v>
      </c>
      <c r="H1216" s="114">
        <v>5500</v>
      </c>
      <c r="I1216" s="114">
        <v>5500</v>
      </c>
      <c r="J1216" s="114">
        <v>4622</v>
      </c>
      <c r="K1216" s="114">
        <v>878</v>
      </c>
      <c r="L1216" s="114" t="str">
        <f t="shared" si="18"/>
        <v>INSERT INTO DETALLES_DOCUMENTO(NRO_DOCUMENTO,ID_TIPO,ID_PRODUCTO,CANTIDAD,PRECIO,VALOR_BRUTO,VALOR_NETO,VALOR_IVA) VALUES(588,1,329,1,5500,5500,4622,878);</v>
      </c>
    </row>
    <row r="1217" spans="1:12">
      <c r="A1217" s="114">
        <v>1</v>
      </c>
      <c r="B1217" s="114">
        <v>588</v>
      </c>
      <c r="C1217" s="139" t="s">
        <v>2266</v>
      </c>
      <c r="D1217" s="114" t="s">
        <v>2090</v>
      </c>
      <c r="E1217" s="114">
        <v>451</v>
      </c>
      <c r="F1217" s="114">
        <v>261</v>
      </c>
      <c r="G1217" s="114">
        <v>1</v>
      </c>
      <c r="H1217" s="114">
        <v>7000</v>
      </c>
      <c r="I1217" s="114">
        <v>7000</v>
      </c>
      <c r="J1217" s="114">
        <v>5882</v>
      </c>
      <c r="K1217" s="114">
        <v>1118</v>
      </c>
      <c r="L1217" s="114" t="str">
        <f t="shared" si="18"/>
        <v>INSERT INTO DETALLES_DOCUMENTO(NRO_DOCUMENTO,ID_TIPO,ID_PRODUCTO,CANTIDAD,PRECIO,VALOR_BRUTO,VALOR_NETO,VALOR_IVA) VALUES(588,1,261,1,7000,7000,5882,1118);</v>
      </c>
    </row>
    <row r="1218" spans="1:12">
      <c r="A1218" s="114">
        <v>1</v>
      </c>
      <c r="B1218" s="114">
        <v>588</v>
      </c>
      <c r="C1218" s="139" t="s">
        <v>2266</v>
      </c>
      <c r="D1218" s="114" t="s">
        <v>2090</v>
      </c>
      <c r="E1218" s="114">
        <v>451</v>
      </c>
      <c r="F1218" s="114">
        <v>118</v>
      </c>
      <c r="G1218" s="114">
        <v>1</v>
      </c>
      <c r="H1218" s="114">
        <v>3500</v>
      </c>
      <c r="I1218" s="114">
        <v>3500</v>
      </c>
      <c r="J1218" s="114">
        <v>2941</v>
      </c>
      <c r="K1218" s="114">
        <v>559</v>
      </c>
      <c r="L1218" s="114" t="str">
        <f t="shared" si="18"/>
        <v>INSERT INTO DETALLES_DOCUMENTO(NRO_DOCUMENTO,ID_TIPO,ID_PRODUCTO,CANTIDAD,PRECIO,VALOR_BRUTO,VALOR_NETO,VALOR_IVA) VALUES(588,1,118,1,3500,3500,2941,559);</v>
      </c>
    </row>
    <row r="1219" spans="1:12">
      <c r="A1219" s="114">
        <v>1</v>
      </c>
      <c r="B1219" s="114">
        <v>589</v>
      </c>
      <c r="C1219" s="139" t="s">
        <v>2266</v>
      </c>
      <c r="D1219" s="114" t="s">
        <v>2090</v>
      </c>
      <c r="E1219" s="114">
        <v>477</v>
      </c>
      <c r="F1219" s="114">
        <v>231</v>
      </c>
      <c r="G1219" s="114">
        <v>1</v>
      </c>
      <c r="H1219" s="114">
        <v>20900</v>
      </c>
      <c r="I1219" s="114">
        <v>20900</v>
      </c>
      <c r="J1219" s="114">
        <v>17563</v>
      </c>
      <c r="K1219" s="114">
        <v>3337</v>
      </c>
      <c r="L1219" s="114" t="str">
        <f t="shared" ref="L1219:L1282" si="19">CONCATENATE("INSERT INTO DETALLES_DOCUMENTO(NRO_DOCUMENTO,ID_TIPO,ID_PRODUCTO,CANTIDAD,PRECIO,VALOR_BRUTO,VALOR_NETO,VALOR_IVA) VALUES(",B1219,",",A1219,",",F1219,",",G1219,",",H1219,",",I1219,",",J1219,",",K1219,");")</f>
        <v>INSERT INTO DETALLES_DOCUMENTO(NRO_DOCUMENTO,ID_TIPO,ID_PRODUCTO,CANTIDAD,PRECIO,VALOR_BRUTO,VALOR_NETO,VALOR_IVA) VALUES(589,1,231,1,20900,20900,17563,3337);</v>
      </c>
    </row>
    <row r="1220" spans="1:12">
      <c r="A1220" s="114">
        <v>1</v>
      </c>
      <c r="B1220" s="114">
        <v>590</v>
      </c>
      <c r="C1220" s="139" t="s">
        <v>2267</v>
      </c>
      <c r="D1220" s="114" t="s">
        <v>2090</v>
      </c>
      <c r="E1220" s="114">
        <v>48</v>
      </c>
      <c r="F1220" s="114">
        <v>324</v>
      </c>
      <c r="G1220" s="114">
        <v>1</v>
      </c>
      <c r="H1220" s="114">
        <v>10500</v>
      </c>
      <c r="I1220" s="114">
        <v>10500</v>
      </c>
      <c r="J1220" s="114">
        <v>8824</v>
      </c>
      <c r="K1220" s="114">
        <v>1676</v>
      </c>
      <c r="L1220" s="114" t="str">
        <f t="shared" si="19"/>
        <v>INSERT INTO DETALLES_DOCUMENTO(NRO_DOCUMENTO,ID_TIPO,ID_PRODUCTO,CANTIDAD,PRECIO,VALOR_BRUTO,VALOR_NETO,VALOR_IVA) VALUES(590,1,324,1,10500,10500,8824,1676);</v>
      </c>
    </row>
    <row r="1221" spans="1:12">
      <c r="A1221" s="114">
        <v>1</v>
      </c>
      <c r="B1221" s="114">
        <v>591</v>
      </c>
      <c r="C1221" s="139" t="s">
        <v>2267</v>
      </c>
      <c r="D1221" s="114" t="s">
        <v>2090</v>
      </c>
      <c r="E1221" s="114">
        <v>62</v>
      </c>
      <c r="F1221" s="114">
        <v>168</v>
      </c>
      <c r="G1221" s="114">
        <v>1</v>
      </c>
      <c r="H1221" s="114">
        <v>1500</v>
      </c>
      <c r="I1221" s="114">
        <v>1500</v>
      </c>
      <c r="J1221" s="114">
        <v>1261</v>
      </c>
      <c r="K1221" s="114">
        <v>239</v>
      </c>
      <c r="L1221" s="114" t="str">
        <f t="shared" si="19"/>
        <v>INSERT INTO DETALLES_DOCUMENTO(NRO_DOCUMENTO,ID_TIPO,ID_PRODUCTO,CANTIDAD,PRECIO,VALOR_BRUTO,VALOR_NETO,VALOR_IVA) VALUES(591,1,168,1,1500,1500,1261,239);</v>
      </c>
    </row>
    <row r="1222" spans="1:12">
      <c r="A1222" s="114">
        <v>1</v>
      </c>
      <c r="B1222" s="114">
        <v>591</v>
      </c>
      <c r="C1222" s="139" t="s">
        <v>2267</v>
      </c>
      <c r="D1222" s="114" t="s">
        <v>2090</v>
      </c>
      <c r="E1222" s="114">
        <v>62</v>
      </c>
      <c r="F1222" s="114">
        <v>81</v>
      </c>
      <c r="G1222" s="114">
        <v>1</v>
      </c>
      <c r="H1222" s="114">
        <v>1600</v>
      </c>
      <c r="I1222" s="114">
        <v>1600</v>
      </c>
      <c r="J1222" s="114">
        <v>1345</v>
      </c>
      <c r="K1222" s="114">
        <v>255</v>
      </c>
      <c r="L1222" s="114" t="str">
        <f t="shared" si="19"/>
        <v>INSERT INTO DETALLES_DOCUMENTO(NRO_DOCUMENTO,ID_TIPO,ID_PRODUCTO,CANTIDAD,PRECIO,VALOR_BRUTO,VALOR_NETO,VALOR_IVA) VALUES(591,1,81,1,1600,1600,1345,255);</v>
      </c>
    </row>
    <row r="1223" spans="1:12">
      <c r="A1223" s="114">
        <v>1</v>
      </c>
      <c r="B1223" s="114">
        <v>591</v>
      </c>
      <c r="C1223" s="139" t="s">
        <v>2267</v>
      </c>
      <c r="D1223" s="114" t="s">
        <v>2090</v>
      </c>
      <c r="E1223" s="114">
        <v>62</v>
      </c>
      <c r="F1223" s="114">
        <v>117</v>
      </c>
      <c r="G1223" s="114">
        <v>4</v>
      </c>
      <c r="H1223" s="114">
        <v>14000</v>
      </c>
      <c r="I1223" s="114">
        <v>56000</v>
      </c>
      <c r="J1223" s="114">
        <v>47059</v>
      </c>
      <c r="K1223" s="114">
        <v>8941</v>
      </c>
      <c r="L1223" s="114" t="str">
        <f t="shared" si="19"/>
        <v>INSERT INTO DETALLES_DOCUMENTO(NRO_DOCUMENTO,ID_TIPO,ID_PRODUCTO,CANTIDAD,PRECIO,VALOR_BRUTO,VALOR_NETO,VALOR_IVA) VALUES(591,1,117,4,14000,56000,47059,8941);</v>
      </c>
    </row>
    <row r="1224" spans="1:12">
      <c r="A1224" s="114">
        <v>1</v>
      </c>
      <c r="B1224" s="114">
        <v>591</v>
      </c>
      <c r="C1224" s="139" t="s">
        <v>2267</v>
      </c>
      <c r="D1224" s="114" t="s">
        <v>2090</v>
      </c>
      <c r="E1224" s="114">
        <v>62</v>
      </c>
      <c r="F1224" s="114">
        <v>356</v>
      </c>
      <c r="G1224" s="114">
        <v>1</v>
      </c>
      <c r="H1224" s="114">
        <v>3000</v>
      </c>
      <c r="I1224" s="114">
        <v>3000</v>
      </c>
      <c r="J1224" s="114">
        <v>2521</v>
      </c>
      <c r="K1224" s="114">
        <v>479</v>
      </c>
      <c r="L1224" s="114" t="str">
        <f t="shared" si="19"/>
        <v>INSERT INTO DETALLES_DOCUMENTO(NRO_DOCUMENTO,ID_TIPO,ID_PRODUCTO,CANTIDAD,PRECIO,VALOR_BRUTO,VALOR_NETO,VALOR_IVA) VALUES(591,1,356,1,3000,3000,2521,479);</v>
      </c>
    </row>
    <row r="1225" spans="1:12">
      <c r="A1225" s="114">
        <v>1</v>
      </c>
      <c r="B1225" s="114">
        <v>591</v>
      </c>
      <c r="C1225" s="139" t="s">
        <v>2267</v>
      </c>
      <c r="D1225" s="114" t="s">
        <v>2090</v>
      </c>
      <c r="E1225" s="114">
        <v>62</v>
      </c>
      <c r="F1225" s="114">
        <v>97</v>
      </c>
      <c r="G1225" s="114">
        <v>1</v>
      </c>
      <c r="H1225" s="114">
        <v>2000</v>
      </c>
      <c r="I1225" s="114">
        <v>2000</v>
      </c>
      <c r="J1225" s="114">
        <v>1681</v>
      </c>
      <c r="K1225" s="114">
        <v>319</v>
      </c>
      <c r="L1225" s="114" t="str">
        <f t="shared" si="19"/>
        <v>INSERT INTO DETALLES_DOCUMENTO(NRO_DOCUMENTO,ID_TIPO,ID_PRODUCTO,CANTIDAD,PRECIO,VALOR_BRUTO,VALOR_NETO,VALOR_IVA) VALUES(591,1,97,1,2000,2000,1681,319);</v>
      </c>
    </row>
    <row r="1226" spans="1:12">
      <c r="A1226" s="114">
        <v>1</v>
      </c>
      <c r="B1226" s="114">
        <v>591</v>
      </c>
      <c r="C1226" s="139" t="s">
        <v>2267</v>
      </c>
      <c r="D1226" s="114" t="s">
        <v>2090</v>
      </c>
      <c r="E1226" s="114">
        <v>62</v>
      </c>
      <c r="F1226" s="114">
        <v>386</v>
      </c>
      <c r="G1226" s="114">
        <v>1</v>
      </c>
      <c r="H1226" s="114">
        <v>2700</v>
      </c>
      <c r="I1226" s="114">
        <v>2700</v>
      </c>
      <c r="J1226" s="114">
        <v>2269</v>
      </c>
      <c r="K1226" s="114">
        <v>431</v>
      </c>
      <c r="L1226" s="114" t="str">
        <f t="shared" si="19"/>
        <v>INSERT INTO DETALLES_DOCUMENTO(NRO_DOCUMENTO,ID_TIPO,ID_PRODUCTO,CANTIDAD,PRECIO,VALOR_BRUTO,VALOR_NETO,VALOR_IVA) VALUES(591,1,386,1,2700,2700,2269,431);</v>
      </c>
    </row>
    <row r="1227" spans="1:12">
      <c r="A1227" s="114">
        <v>1</v>
      </c>
      <c r="B1227" s="114">
        <v>591</v>
      </c>
      <c r="C1227" s="139" t="s">
        <v>2267</v>
      </c>
      <c r="D1227" s="114" t="s">
        <v>2090</v>
      </c>
      <c r="E1227" s="114">
        <v>62</v>
      </c>
      <c r="F1227" s="114">
        <v>368</v>
      </c>
      <c r="G1227" s="114">
        <v>2</v>
      </c>
      <c r="H1227" s="114">
        <v>6000</v>
      </c>
      <c r="I1227" s="114">
        <v>12000</v>
      </c>
      <c r="J1227" s="114">
        <v>10084</v>
      </c>
      <c r="K1227" s="114">
        <v>1916</v>
      </c>
      <c r="L1227" s="114" t="str">
        <f t="shared" si="19"/>
        <v>INSERT INTO DETALLES_DOCUMENTO(NRO_DOCUMENTO,ID_TIPO,ID_PRODUCTO,CANTIDAD,PRECIO,VALOR_BRUTO,VALOR_NETO,VALOR_IVA) VALUES(591,1,368,2,6000,12000,10084,1916);</v>
      </c>
    </row>
    <row r="1228" spans="1:12">
      <c r="A1228" s="114">
        <v>1</v>
      </c>
      <c r="B1228" s="114">
        <v>591</v>
      </c>
      <c r="C1228" s="139" t="s">
        <v>2267</v>
      </c>
      <c r="D1228" s="114" t="s">
        <v>2090</v>
      </c>
      <c r="E1228" s="114">
        <v>62</v>
      </c>
      <c r="F1228" s="114">
        <v>67</v>
      </c>
      <c r="G1228" s="114">
        <v>2</v>
      </c>
      <c r="H1228" s="114">
        <v>1300</v>
      </c>
      <c r="I1228" s="114">
        <v>2600</v>
      </c>
      <c r="J1228" s="114">
        <v>2185</v>
      </c>
      <c r="K1228" s="114">
        <v>415</v>
      </c>
      <c r="L1228" s="114" t="str">
        <f t="shared" si="19"/>
        <v>INSERT INTO DETALLES_DOCUMENTO(NRO_DOCUMENTO,ID_TIPO,ID_PRODUCTO,CANTIDAD,PRECIO,VALOR_BRUTO,VALOR_NETO,VALOR_IVA) VALUES(591,1,67,2,1300,2600,2185,415);</v>
      </c>
    </row>
    <row r="1229" spans="1:12">
      <c r="A1229" s="114">
        <v>1</v>
      </c>
      <c r="B1229" s="114">
        <v>591</v>
      </c>
      <c r="C1229" s="139" t="s">
        <v>2267</v>
      </c>
      <c r="D1229" s="114" t="s">
        <v>2090</v>
      </c>
      <c r="E1229" s="114">
        <v>62</v>
      </c>
      <c r="F1229" s="114">
        <v>124</v>
      </c>
      <c r="G1229" s="114">
        <v>1</v>
      </c>
      <c r="H1229" s="114">
        <v>4000</v>
      </c>
      <c r="I1229" s="114">
        <v>4000</v>
      </c>
      <c r="J1229" s="114">
        <v>3361</v>
      </c>
      <c r="K1229" s="114">
        <v>639</v>
      </c>
      <c r="L1229" s="114" t="str">
        <f t="shared" si="19"/>
        <v>INSERT INTO DETALLES_DOCUMENTO(NRO_DOCUMENTO,ID_TIPO,ID_PRODUCTO,CANTIDAD,PRECIO,VALOR_BRUTO,VALOR_NETO,VALOR_IVA) VALUES(591,1,124,1,4000,4000,3361,639);</v>
      </c>
    </row>
    <row r="1230" spans="1:12">
      <c r="A1230" s="114">
        <v>1</v>
      </c>
      <c r="B1230" s="114">
        <v>591</v>
      </c>
      <c r="C1230" s="139" t="s">
        <v>2267</v>
      </c>
      <c r="D1230" s="114" t="s">
        <v>2090</v>
      </c>
      <c r="E1230" s="114">
        <v>62</v>
      </c>
      <c r="F1230" s="114">
        <v>143</v>
      </c>
      <c r="G1230" s="114">
        <v>1</v>
      </c>
      <c r="H1230" s="114">
        <v>8300</v>
      </c>
      <c r="I1230" s="114">
        <v>8300</v>
      </c>
      <c r="J1230" s="114">
        <v>6975</v>
      </c>
      <c r="K1230" s="114">
        <v>1325</v>
      </c>
      <c r="L1230" s="114" t="str">
        <f t="shared" si="19"/>
        <v>INSERT INTO DETALLES_DOCUMENTO(NRO_DOCUMENTO,ID_TIPO,ID_PRODUCTO,CANTIDAD,PRECIO,VALOR_BRUTO,VALOR_NETO,VALOR_IVA) VALUES(591,1,143,1,8300,8300,6975,1325);</v>
      </c>
    </row>
    <row r="1231" spans="1:12">
      <c r="A1231" s="114">
        <v>1</v>
      </c>
      <c r="B1231" s="114">
        <v>591</v>
      </c>
      <c r="C1231" s="139" t="s">
        <v>2267</v>
      </c>
      <c r="D1231" s="114" t="s">
        <v>2090</v>
      </c>
      <c r="E1231" s="114">
        <v>62</v>
      </c>
      <c r="F1231" s="114">
        <v>293</v>
      </c>
      <c r="G1231" s="114">
        <v>1</v>
      </c>
      <c r="H1231" s="114">
        <v>10000</v>
      </c>
      <c r="I1231" s="114">
        <v>10000</v>
      </c>
      <c r="J1231" s="114">
        <v>8403</v>
      </c>
      <c r="K1231" s="114">
        <v>1597</v>
      </c>
      <c r="L1231" s="114" t="str">
        <f t="shared" si="19"/>
        <v>INSERT INTO DETALLES_DOCUMENTO(NRO_DOCUMENTO,ID_TIPO,ID_PRODUCTO,CANTIDAD,PRECIO,VALOR_BRUTO,VALOR_NETO,VALOR_IVA) VALUES(591,1,293,1,10000,10000,8403,1597);</v>
      </c>
    </row>
    <row r="1232" spans="1:12">
      <c r="A1232" s="114">
        <v>1</v>
      </c>
      <c r="B1232" s="114">
        <v>592</v>
      </c>
      <c r="C1232" s="139" t="s">
        <v>2267</v>
      </c>
      <c r="D1232" s="114" t="s">
        <v>2090</v>
      </c>
      <c r="E1232" s="114">
        <v>63</v>
      </c>
      <c r="F1232" s="114">
        <v>143</v>
      </c>
      <c r="G1232" s="114">
        <v>1</v>
      </c>
      <c r="H1232" s="114">
        <v>8300</v>
      </c>
      <c r="I1232" s="114">
        <v>8300</v>
      </c>
      <c r="J1232" s="114">
        <v>6975</v>
      </c>
      <c r="K1232" s="114">
        <v>1325</v>
      </c>
      <c r="L1232" s="114" t="str">
        <f t="shared" si="19"/>
        <v>INSERT INTO DETALLES_DOCUMENTO(NRO_DOCUMENTO,ID_TIPO,ID_PRODUCTO,CANTIDAD,PRECIO,VALOR_BRUTO,VALOR_NETO,VALOR_IVA) VALUES(592,1,143,1,8300,8300,6975,1325);</v>
      </c>
    </row>
    <row r="1233" spans="1:12">
      <c r="A1233" s="114">
        <v>1</v>
      </c>
      <c r="B1233" s="114">
        <v>593</v>
      </c>
      <c r="C1233" s="139" t="s">
        <v>2267</v>
      </c>
      <c r="D1233" s="114" t="s">
        <v>2090</v>
      </c>
      <c r="E1233" s="114">
        <v>108</v>
      </c>
      <c r="F1233" s="114">
        <v>191</v>
      </c>
      <c r="G1233" s="114">
        <v>1</v>
      </c>
      <c r="H1233" s="114">
        <v>2500</v>
      </c>
      <c r="I1233" s="114">
        <v>2500</v>
      </c>
      <c r="J1233" s="114">
        <v>2101</v>
      </c>
      <c r="K1233" s="114">
        <v>399</v>
      </c>
      <c r="L1233" s="114" t="str">
        <f t="shared" si="19"/>
        <v>INSERT INTO DETALLES_DOCUMENTO(NRO_DOCUMENTO,ID_TIPO,ID_PRODUCTO,CANTIDAD,PRECIO,VALOR_BRUTO,VALOR_NETO,VALOR_IVA) VALUES(593,1,191,1,2500,2500,2101,399);</v>
      </c>
    </row>
    <row r="1234" spans="1:12">
      <c r="A1234" s="114">
        <v>1</v>
      </c>
      <c r="B1234" s="114">
        <v>593</v>
      </c>
      <c r="C1234" s="139" t="s">
        <v>2267</v>
      </c>
      <c r="D1234" s="114" t="s">
        <v>2090</v>
      </c>
      <c r="E1234" s="114">
        <v>108</v>
      </c>
      <c r="F1234" s="114">
        <v>95</v>
      </c>
      <c r="G1234" s="114">
        <v>1</v>
      </c>
      <c r="H1234" s="114">
        <v>2400</v>
      </c>
      <c r="I1234" s="114">
        <v>2400</v>
      </c>
      <c r="J1234" s="114">
        <v>2017</v>
      </c>
      <c r="K1234" s="114">
        <v>383</v>
      </c>
      <c r="L1234" s="114" t="str">
        <f t="shared" si="19"/>
        <v>INSERT INTO DETALLES_DOCUMENTO(NRO_DOCUMENTO,ID_TIPO,ID_PRODUCTO,CANTIDAD,PRECIO,VALOR_BRUTO,VALOR_NETO,VALOR_IVA) VALUES(593,1,95,1,2400,2400,2017,383);</v>
      </c>
    </row>
    <row r="1235" spans="1:12">
      <c r="A1235" s="114">
        <v>1</v>
      </c>
      <c r="B1235" s="114">
        <v>594</v>
      </c>
      <c r="C1235" s="139" t="s">
        <v>2267</v>
      </c>
      <c r="D1235" s="114" t="s">
        <v>2090</v>
      </c>
      <c r="E1235" s="114">
        <v>135</v>
      </c>
      <c r="F1235" s="114">
        <v>329</v>
      </c>
      <c r="G1235" s="114">
        <v>1</v>
      </c>
      <c r="H1235" s="114">
        <v>5500</v>
      </c>
      <c r="I1235" s="114">
        <v>5500</v>
      </c>
      <c r="J1235" s="114">
        <v>4622</v>
      </c>
      <c r="K1235" s="114">
        <v>878</v>
      </c>
      <c r="L1235" s="114" t="str">
        <f t="shared" si="19"/>
        <v>INSERT INTO DETALLES_DOCUMENTO(NRO_DOCUMENTO,ID_TIPO,ID_PRODUCTO,CANTIDAD,PRECIO,VALOR_BRUTO,VALOR_NETO,VALOR_IVA) VALUES(594,1,329,1,5500,5500,4622,878);</v>
      </c>
    </row>
    <row r="1236" spans="1:12">
      <c r="A1236" s="114">
        <v>1</v>
      </c>
      <c r="B1236" s="114">
        <v>594</v>
      </c>
      <c r="C1236" s="139" t="s">
        <v>2267</v>
      </c>
      <c r="D1236" s="114" t="s">
        <v>2090</v>
      </c>
      <c r="E1236" s="114">
        <v>135</v>
      </c>
      <c r="F1236" s="114">
        <v>143</v>
      </c>
      <c r="G1236" s="114">
        <v>2</v>
      </c>
      <c r="H1236" s="114">
        <v>16600</v>
      </c>
      <c r="I1236" s="114">
        <v>33200</v>
      </c>
      <c r="J1236" s="114">
        <v>27899</v>
      </c>
      <c r="K1236" s="114">
        <v>5301</v>
      </c>
      <c r="L1236" s="114" t="str">
        <f t="shared" si="19"/>
        <v>INSERT INTO DETALLES_DOCUMENTO(NRO_DOCUMENTO,ID_TIPO,ID_PRODUCTO,CANTIDAD,PRECIO,VALOR_BRUTO,VALOR_NETO,VALOR_IVA) VALUES(594,1,143,2,16600,33200,27899,5301);</v>
      </c>
    </row>
    <row r="1237" spans="1:12">
      <c r="A1237" s="114">
        <v>1</v>
      </c>
      <c r="B1237" s="114">
        <v>595</v>
      </c>
      <c r="C1237" s="139" t="s">
        <v>2267</v>
      </c>
      <c r="D1237" s="114" t="s">
        <v>2090</v>
      </c>
      <c r="E1237" s="114">
        <v>158</v>
      </c>
      <c r="F1237" s="114">
        <v>324</v>
      </c>
      <c r="G1237" s="114">
        <v>1</v>
      </c>
      <c r="H1237" s="114">
        <v>10500</v>
      </c>
      <c r="I1237" s="114">
        <v>10500</v>
      </c>
      <c r="J1237" s="114">
        <v>8824</v>
      </c>
      <c r="K1237" s="114">
        <v>1676</v>
      </c>
      <c r="L1237" s="114" t="str">
        <f t="shared" si="19"/>
        <v>INSERT INTO DETALLES_DOCUMENTO(NRO_DOCUMENTO,ID_TIPO,ID_PRODUCTO,CANTIDAD,PRECIO,VALOR_BRUTO,VALOR_NETO,VALOR_IVA) VALUES(595,1,324,1,10500,10500,8824,1676);</v>
      </c>
    </row>
    <row r="1238" spans="1:12">
      <c r="A1238" s="114">
        <v>1</v>
      </c>
      <c r="B1238" s="114">
        <v>595</v>
      </c>
      <c r="C1238" s="139" t="s">
        <v>2267</v>
      </c>
      <c r="D1238" s="114" t="s">
        <v>2090</v>
      </c>
      <c r="E1238" s="114">
        <v>158</v>
      </c>
      <c r="F1238" s="114">
        <v>29</v>
      </c>
      <c r="G1238" s="114">
        <v>1</v>
      </c>
      <c r="H1238" s="114">
        <v>1000</v>
      </c>
      <c r="I1238" s="114">
        <v>1000</v>
      </c>
      <c r="J1238" s="114">
        <v>840</v>
      </c>
      <c r="K1238" s="114">
        <v>160</v>
      </c>
      <c r="L1238" s="114" t="str">
        <f t="shared" si="19"/>
        <v>INSERT INTO DETALLES_DOCUMENTO(NRO_DOCUMENTO,ID_TIPO,ID_PRODUCTO,CANTIDAD,PRECIO,VALOR_BRUTO,VALOR_NETO,VALOR_IVA) VALUES(595,1,29,1,1000,1000,840,160);</v>
      </c>
    </row>
    <row r="1239" spans="1:12">
      <c r="A1239" s="114">
        <v>1</v>
      </c>
      <c r="B1239" s="114">
        <v>596</v>
      </c>
      <c r="C1239" s="139" t="s">
        <v>2267</v>
      </c>
      <c r="D1239" s="114" t="s">
        <v>2090</v>
      </c>
      <c r="E1239" s="114">
        <v>166</v>
      </c>
      <c r="F1239" s="114">
        <v>324</v>
      </c>
      <c r="G1239" s="114">
        <v>1</v>
      </c>
      <c r="H1239" s="114">
        <v>10500</v>
      </c>
      <c r="I1239" s="114">
        <v>10500</v>
      </c>
      <c r="J1239" s="114">
        <v>8824</v>
      </c>
      <c r="K1239" s="114">
        <v>1676</v>
      </c>
      <c r="L1239" s="114" t="str">
        <f t="shared" si="19"/>
        <v>INSERT INTO DETALLES_DOCUMENTO(NRO_DOCUMENTO,ID_TIPO,ID_PRODUCTO,CANTIDAD,PRECIO,VALOR_BRUTO,VALOR_NETO,VALOR_IVA) VALUES(596,1,324,1,10500,10500,8824,1676);</v>
      </c>
    </row>
    <row r="1240" spans="1:12">
      <c r="A1240" s="114">
        <v>1</v>
      </c>
      <c r="B1240" s="114">
        <v>597</v>
      </c>
      <c r="C1240" s="139" t="s">
        <v>2267</v>
      </c>
      <c r="D1240" s="114" t="s">
        <v>2090</v>
      </c>
      <c r="E1240" s="114">
        <v>306</v>
      </c>
      <c r="F1240" s="114">
        <v>324</v>
      </c>
      <c r="G1240" s="114">
        <v>5</v>
      </c>
      <c r="H1240" s="114">
        <v>52500</v>
      </c>
      <c r="I1240" s="114">
        <v>262500</v>
      </c>
      <c r="J1240" s="114">
        <v>220588</v>
      </c>
      <c r="K1240" s="114">
        <v>41912</v>
      </c>
      <c r="L1240" s="114" t="str">
        <f t="shared" si="19"/>
        <v>INSERT INTO DETALLES_DOCUMENTO(NRO_DOCUMENTO,ID_TIPO,ID_PRODUCTO,CANTIDAD,PRECIO,VALOR_BRUTO,VALOR_NETO,VALOR_IVA) VALUES(597,1,324,5,52500,262500,220588,41912);</v>
      </c>
    </row>
    <row r="1241" spans="1:12">
      <c r="A1241" s="114">
        <v>1</v>
      </c>
      <c r="B1241" s="114">
        <v>598</v>
      </c>
      <c r="C1241" s="139" t="s">
        <v>2267</v>
      </c>
      <c r="D1241" s="114" t="s">
        <v>2090</v>
      </c>
      <c r="E1241" s="114">
        <v>321</v>
      </c>
      <c r="F1241" s="114">
        <v>51</v>
      </c>
      <c r="G1241" s="114">
        <v>2</v>
      </c>
      <c r="H1241" s="114">
        <v>8400</v>
      </c>
      <c r="I1241" s="114">
        <v>16800</v>
      </c>
      <c r="J1241" s="114">
        <v>14118</v>
      </c>
      <c r="K1241" s="114">
        <v>2682</v>
      </c>
      <c r="L1241" s="114" t="str">
        <f t="shared" si="19"/>
        <v>INSERT INTO DETALLES_DOCUMENTO(NRO_DOCUMENTO,ID_TIPO,ID_PRODUCTO,CANTIDAD,PRECIO,VALOR_BRUTO,VALOR_NETO,VALOR_IVA) VALUES(598,1,51,2,8400,16800,14118,2682);</v>
      </c>
    </row>
    <row r="1242" spans="1:12">
      <c r="A1242" s="114">
        <v>1</v>
      </c>
      <c r="B1242" s="114">
        <v>599</v>
      </c>
      <c r="C1242" s="139" t="s">
        <v>2268</v>
      </c>
      <c r="D1242" s="114" t="s">
        <v>2090</v>
      </c>
      <c r="E1242" s="114">
        <v>62</v>
      </c>
      <c r="F1242" s="114">
        <v>324</v>
      </c>
      <c r="G1242" s="114">
        <v>1</v>
      </c>
      <c r="H1242" s="114">
        <v>10500</v>
      </c>
      <c r="I1242" s="114">
        <v>10500</v>
      </c>
      <c r="J1242" s="114">
        <v>8824</v>
      </c>
      <c r="K1242" s="114">
        <v>1676</v>
      </c>
      <c r="L1242" s="114" t="str">
        <f t="shared" si="19"/>
        <v>INSERT INTO DETALLES_DOCUMENTO(NRO_DOCUMENTO,ID_TIPO,ID_PRODUCTO,CANTIDAD,PRECIO,VALOR_BRUTO,VALOR_NETO,VALOR_IVA) VALUES(599,1,324,1,10500,10500,8824,1676);</v>
      </c>
    </row>
    <row r="1243" spans="1:12">
      <c r="A1243" s="114">
        <v>1</v>
      </c>
      <c r="B1243" s="114">
        <v>600</v>
      </c>
      <c r="C1243" s="139" t="s">
        <v>2268</v>
      </c>
      <c r="D1243" s="114" t="s">
        <v>2090</v>
      </c>
      <c r="E1243" s="114">
        <v>82</v>
      </c>
      <c r="F1243" s="114">
        <v>324</v>
      </c>
      <c r="G1243" s="114">
        <v>4</v>
      </c>
      <c r="H1243" s="114">
        <v>42000</v>
      </c>
      <c r="I1243" s="114">
        <v>168000</v>
      </c>
      <c r="J1243" s="114">
        <v>141176</v>
      </c>
      <c r="K1243" s="114">
        <v>26824</v>
      </c>
      <c r="L1243" s="114" t="str">
        <f t="shared" si="19"/>
        <v>INSERT INTO DETALLES_DOCUMENTO(NRO_DOCUMENTO,ID_TIPO,ID_PRODUCTO,CANTIDAD,PRECIO,VALOR_BRUTO,VALOR_NETO,VALOR_IVA) VALUES(600,1,324,4,42000,168000,141176,26824);</v>
      </c>
    </row>
    <row r="1244" spans="1:12">
      <c r="A1244" s="114">
        <v>1</v>
      </c>
      <c r="B1244" s="114">
        <v>601</v>
      </c>
      <c r="C1244" s="139" t="s">
        <v>2268</v>
      </c>
      <c r="D1244" s="114" t="s">
        <v>2090</v>
      </c>
      <c r="E1244" s="114">
        <v>86</v>
      </c>
      <c r="F1244" s="114">
        <v>143</v>
      </c>
      <c r="G1244" s="114">
        <v>1</v>
      </c>
      <c r="H1244" s="114">
        <v>8300</v>
      </c>
      <c r="I1244" s="114">
        <v>8300</v>
      </c>
      <c r="J1244" s="114">
        <v>6975</v>
      </c>
      <c r="K1244" s="114">
        <v>1325</v>
      </c>
      <c r="L1244" s="114" t="str">
        <f t="shared" si="19"/>
        <v>INSERT INTO DETALLES_DOCUMENTO(NRO_DOCUMENTO,ID_TIPO,ID_PRODUCTO,CANTIDAD,PRECIO,VALOR_BRUTO,VALOR_NETO,VALOR_IVA) VALUES(601,1,143,1,8300,8300,6975,1325);</v>
      </c>
    </row>
    <row r="1245" spans="1:12">
      <c r="A1245" s="114">
        <v>1</v>
      </c>
      <c r="B1245" s="114">
        <v>602</v>
      </c>
      <c r="C1245" s="139" t="s">
        <v>2268</v>
      </c>
      <c r="D1245" s="114" t="s">
        <v>2090</v>
      </c>
      <c r="E1245" s="114">
        <v>119</v>
      </c>
      <c r="F1245" s="114">
        <v>143</v>
      </c>
      <c r="G1245" s="114">
        <v>1</v>
      </c>
      <c r="H1245" s="114">
        <v>8300</v>
      </c>
      <c r="I1245" s="114">
        <v>8300</v>
      </c>
      <c r="J1245" s="114">
        <v>6975</v>
      </c>
      <c r="K1245" s="114">
        <v>1325</v>
      </c>
      <c r="L1245" s="114" t="str">
        <f t="shared" si="19"/>
        <v>INSERT INTO DETALLES_DOCUMENTO(NRO_DOCUMENTO,ID_TIPO,ID_PRODUCTO,CANTIDAD,PRECIO,VALOR_BRUTO,VALOR_NETO,VALOR_IVA) VALUES(602,1,143,1,8300,8300,6975,1325);</v>
      </c>
    </row>
    <row r="1246" spans="1:12">
      <c r="A1246" s="114">
        <v>1</v>
      </c>
      <c r="B1246" s="114">
        <v>602</v>
      </c>
      <c r="C1246" s="139" t="s">
        <v>2268</v>
      </c>
      <c r="D1246" s="114" t="s">
        <v>2090</v>
      </c>
      <c r="E1246" s="114">
        <v>119</v>
      </c>
      <c r="F1246" s="114">
        <v>265</v>
      </c>
      <c r="G1246" s="114">
        <v>1</v>
      </c>
      <c r="H1246" s="114">
        <v>10000</v>
      </c>
      <c r="I1246" s="114">
        <v>10000</v>
      </c>
      <c r="J1246" s="114">
        <v>8403</v>
      </c>
      <c r="K1246" s="114">
        <v>1597</v>
      </c>
      <c r="L1246" s="114" t="str">
        <f t="shared" si="19"/>
        <v>INSERT INTO DETALLES_DOCUMENTO(NRO_DOCUMENTO,ID_TIPO,ID_PRODUCTO,CANTIDAD,PRECIO,VALOR_BRUTO,VALOR_NETO,VALOR_IVA) VALUES(602,1,265,1,10000,10000,8403,1597);</v>
      </c>
    </row>
    <row r="1247" spans="1:12">
      <c r="A1247" s="114">
        <v>1</v>
      </c>
      <c r="B1247" s="114">
        <v>602</v>
      </c>
      <c r="C1247" s="139" t="s">
        <v>2268</v>
      </c>
      <c r="D1247" s="114" t="s">
        <v>2090</v>
      </c>
      <c r="E1247" s="114">
        <v>119</v>
      </c>
      <c r="F1247" s="114">
        <v>293</v>
      </c>
      <c r="G1247" s="114">
        <v>1</v>
      </c>
      <c r="H1247" s="114">
        <v>10000</v>
      </c>
      <c r="I1247" s="114">
        <v>10000</v>
      </c>
      <c r="J1247" s="114">
        <v>8403</v>
      </c>
      <c r="K1247" s="114">
        <v>1597</v>
      </c>
      <c r="L1247" s="114" t="str">
        <f t="shared" si="19"/>
        <v>INSERT INTO DETALLES_DOCUMENTO(NRO_DOCUMENTO,ID_TIPO,ID_PRODUCTO,CANTIDAD,PRECIO,VALOR_BRUTO,VALOR_NETO,VALOR_IVA) VALUES(602,1,293,1,10000,10000,8403,1597);</v>
      </c>
    </row>
    <row r="1248" spans="1:12">
      <c r="A1248" s="114">
        <v>1</v>
      </c>
      <c r="B1248" s="114">
        <v>602</v>
      </c>
      <c r="C1248" s="139" t="s">
        <v>2268</v>
      </c>
      <c r="D1248" s="114" t="s">
        <v>2090</v>
      </c>
      <c r="E1248" s="114">
        <v>119</v>
      </c>
      <c r="F1248" s="114">
        <v>117</v>
      </c>
      <c r="G1248" s="114">
        <v>2</v>
      </c>
      <c r="H1248" s="114">
        <v>7000</v>
      </c>
      <c r="I1248" s="114">
        <v>14000</v>
      </c>
      <c r="J1248" s="114">
        <v>11765</v>
      </c>
      <c r="K1248" s="114">
        <v>2235</v>
      </c>
      <c r="L1248" s="114" t="str">
        <f t="shared" si="19"/>
        <v>INSERT INTO DETALLES_DOCUMENTO(NRO_DOCUMENTO,ID_TIPO,ID_PRODUCTO,CANTIDAD,PRECIO,VALOR_BRUTO,VALOR_NETO,VALOR_IVA) VALUES(602,1,117,2,7000,14000,11765,2235);</v>
      </c>
    </row>
    <row r="1249" spans="1:12">
      <c r="A1249" s="114">
        <v>1</v>
      </c>
      <c r="B1249" s="114">
        <v>602</v>
      </c>
      <c r="C1249" s="139" t="s">
        <v>2268</v>
      </c>
      <c r="D1249" s="114" t="s">
        <v>2090</v>
      </c>
      <c r="E1249" s="114">
        <v>119</v>
      </c>
      <c r="F1249" s="114">
        <v>26</v>
      </c>
      <c r="G1249" s="114">
        <v>1</v>
      </c>
      <c r="H1249" s="114">
        <v>3400</v>
      </c>
      <c r="I1249" s="114">
        <v>3400</v>
      </c>
      <c r="J1249" s="114">
        <v>2857</v>
      </c>
      <c r="K1249" s="114">
        <v>543</v>
      </c>
      <c r="L1249" s="114" t="str">
        <f t="shared" si="19"/>
        <v>INSERT INTO DETALLES_DOCUMENTO(NRO_DOCUMENTO,ID_TIPO,ID_PRODUCTO,CANTIDAD,PRECIO,VALOR_BRUTO,VALOR_NETO,VALOR_IVA) VALUES(602,1,26,1,3400,3400,2857,543);</v>
      </c>
    </row>
    <row r="1250" spans="1:12">
      <c r="A1250" s="114">
        <v>1</v>
      </c>
      <c r="B1250" s="114">
        <v>602</v>
      </c>
      <c r="C1250" s="139" t="s">
        <v>2268</v>
      </c>
      <c r="D1250" s="114" t="s">
        <v>2090</v>
      </c>
      <c r="E1250" s="114">
        <v>119</v>
      </c>
      <c r="F1250" s="114">
        <v>27</v>
      </c>
      <c r="G1250" s="114">
        <v>1</v>
      </c>
      <c r="H1250" s="114">
        <v>8700</v>
      </c>
      <c r="I1250" s="114">
        <v>8700</v>
      </c>
      <c r="J1250" s="114">
        <v>7311</v>
      </c>
      <c r="K1250" s="114">
        <v>1389</v>
      </c>
      <c r="L1250" s="114" t="str">
        <f t="shared" si="19"/>
        <v>INSERT INTO DETALLES_DOCUMENTO(NRO_DOCUMENTO,ID_TIPO,ID_PRODUCTO,CANTIDAD,PRECIO,VALOR_BRUTO,VALOR_NETO,VALOR_IVA) VALUES(602,1,27,1,8700,8700,7311,1389);</v>
      </c>
    </row>
    <row r="1251" spans="1:12">
      <c r="A1251" s="114">
        <v>1</v>
      </c>
      <c r="B1251" s="114">
        <v>602</v>
      </c>
      <c r="C1251" s="139" t="s">
        <v>2268</v>
      </c>
      <c r="D1251" s="114" t="s">
        <v>2090</v>
      </c>
      <c r="E1251" s="114">
        <v>119</v>
      </c>
      <c r="F1251" s="114">
        <v>354</v>
      </c>
      <c r="G1251" s="114">
        <v>1</v>
      </c>
      <c r="H1251" s="114">
        <v>1800</v>
      </c>
      <c r="I1251" s="114">
        <v>1800</v>
      </c>
      <c r="J1251" s="114">
        <v>1513</v>
      </c>
      <c r="K1251" s="114">
        <v>287</v>
      </c>
      <c r="L1251" s="114" t="str">
        <f t="shared" si="19"/>
        <v>INSERT INTO DETALLES_DOCUMENTO(NRO_DOCUMENTO,ID_TIPO,ID_PRODUCTO,CANTIDAD,PRECIO,VALOR_BRUTO,VALOR_NETO,VALOR_IVA) VALUES(602,1,354,1,1800,1800,1513,287);</v>
      </c>
    </row>
    <row r="1252" spans="1:12">
      <c r="A1252" s="114">
        <v>1</v>
      </c>
      <c r="B1252" s="114">
        <v>602</v>
      </c>
      <c r="C1252" s="139" t="s">
        <v>2268</v>
      </c>
      <c r="D1252" s="114" t="s">
        <v>2090</v>
      </c>
      <c r="E1252" s="114">
        <v>119</v>
      </c>
      <c r="F1252" s="114">
        <v>274</v>
      </c>
      <c r="G1252" s="114">
        <v>1</v>
      </c>
      <c r="H1252" s="114">
        <v>7500</v>
      </c>
      <c r="I1252" s="114">
        <v>7500</v>
      </c>
      <c r="J1252" s="114">
        <v>6303</v>
      </c>
      <c r="K1252" s="114">
        <v>1197</v>
      </c>
      <c r="L1252" s="114" t="str">
        <f t="shared" si="19"/>
        <v>INSERT INTO DETALLES_DOCUMENTO(NRO_DOCUMENTO,ID_TIPO,ID_PRODUCTO,CANTIDAD,PRECIO,VALOR_BRUTO,VALOR_NETO,VALOR_IVA) VALUES(602,1,274,1,7500,7500,6303,1197);</v>
      </c>
    </row>
    <row r="1253" spans="1:12">
      <c r="A1253" s="114">
        <v>1</v>
      </c>
      <c r="B1253" s="114">
        <v>603</v>
      </c>
      <c r="C1253" s="139" t="s">
        <v>2268</v>
      </c>
      <c r="D1253" s="114" t="s">
        <v>2090</v>
      </c>
      <c r="E1253" s="114">
        <v>343</v>
      </c>
      <c r="F1253" s="114">
        <v>143</v>
      </c>
      <c r="G1253" s="114">
        <v>2</v>
      </c>
      <c r="H1253" s="114">
        <v>16600</v>
      </c>
      <c r="I1253" s="114">
        <v>33200</v>
      </c>
      <c r="J1253" s="114">
        <v>27899</v>
      </c>
      <c r="K1253" s="114">
        <v>5301</v>
      </c>
      <c r="L1253" s="114" t="str">
        <f t="shared" si="19"/>
        <v>INSERT INTO DETALLES_DOCUMENTO(NRO_DOCUMENTO,ID_TIPO,ID_PRODUCTO,CANTIDAD,PRECIO,VALOR_BRUTO,VALOR_NETO,VALOR_IVA) VALUES(603,1,143,2,16600,33200,27899,5301);</v>
      </c>
    </row>
    <row r="1254" spans="1:12">
      <c r="A1254" s="114">
        <v>1</v>
      </c>
      <c r="B1254" s="114">
        <v>603</v>
      </c>
      <c r="C1254" s="139" t="s">
        <v>2268</v>
      </c>
      <c r="D1254" s="114" t="s">
        <v>2090</v>
      </c>
      <c r="E1254" s="114">
        <v>343</v>
      </c>
      <c r="F1254" s="114">
        <v>329</v>
      </c>
      <c r="G1254" s="114">
        <v>1</v>
      </c>
      <c r="H1254" s="114">
        <v>5500</v>
      </c>
      <c r="I1254" s="114">
        <v>5500</v>
      </c>
      <c r="J1254" s="114">
        <v>4622</v>
      </c>
      <c r="K1254" s="114">
        <v>878</v>
      </c>
      <c r="L1254" s="114" t="str">
        <f t="shared" si="19"/>
        <v>INSERT INTO DETALLES_DOCUMENTO(NRO_DOCUMENTO,ID_TIPO,ID_PRODUCTO,CANTIDAD,PRECIO,VALOR_BRUTO,VALOR_NETO,VALOR_IVA) VALUES(603,1,329,1,5500,5500,4622,878);</v>
      </c>
    </row>
    <row r="1255" spans="1:12">
      <c r="A1255" s="114">
        <v>1</v>
      </c>
      <c r="B1255" s="114">
        <v>604</v>
      </c>
      <c r="C1255" s="139" t="s">
        <v>2268</v>
      </c>
      <c r="D1255" s="114" t="s">
        <v>2090</v>
      </c>
      <c r="E1255" s="114">
        <v>397</v>
      </c>
      <c r="F1255" s="114">
        <v>324</v>
      </c>
      <c r="G1255" s="114">
        <v>2</v>
      </c>
      <c r="H1255" s="114">
        <v>21000</v>
      </c>
      <c r="I1255" s="114">
        <v>42000</v>
      </c>
      <c r="J1255" s="114">
        <v>35294</v>
      </c>
      <c r="K1255" s="114">
        <v>6706</v>
      </c>
      <c r="L1255" s="114" t="str">
        <f t="shared" si="19"/>
        <v>INSERT INTO DETALLES_DOCUMENTO(NRO_DOCUMENTO,ID_TIPO,ID_PRODUCTO,CANTIDAD,PRECIO,VALOR_BRUTO,VALOR_NETO,VALOR_IVA) VALUES(604,1,324,2,21000,42000,35294,6706);</v>
      </c>
    </row>
    <row r="1256" spans="1:12">
      <c r="A1256" s="114">
        <v>1</v>
      </c>
      <c r="B1256" s="114">
        <v>605</v>
      </c>
      <c r="C1256" s="139" t="s">
        <v>2269</v>
      </c>
      <c r="D1256" s="114" t="s">
        <v>2090</v>
      </c>
      <c r="E1256" s="114">
        <v>73</v>
      </c>
      <c r="F1256" s="114">
        <v>324</v>
      </c>
      <c r="G1256" s="114">
        <v>2</v>
      </c>
      <c r="H1256" s="114">
        <v>21000</v>
      </c>
      <c r="I1256" s="114">
        <v>42000</v>
      </c>
      <c r="J1256" s="114">
        <v>35294</v>
      </c>
      <c r="K1256" s="114">
        <v>6706</v>
      </c>
      <c r="L1256" s="114" t="str">
        <f t="shared" si="19"/>
        <v>INSERT INTO DETALLES_DOCUMENTO(NRO_DOCUMENTO,ID_TIPO,ID_PRODUCTO,CANTIDAD,PRECIO,VALOR_BRUTO,VALOR_NETO,VALOR_IVA) VALUES(605,1,324,2,21000,42000,35294,6706);</v>
      </c>
    </row>
    <row r="1257" spans="1:12">
      <c r="A1257" s="114">
        <v>1</v>
      </c>
      <c r="B1257" s="114">
        <v>606</v>
      </c>
      <c r="C1257" s="139" t="s">
        <v>2269</v>
      </c>
      <c r="D1257" s="114" t="s">
        <v>2090</v>
      </c>
      <c r="E1257" s="114">
        <v>98</v>
      </c>
      <c r="F1257" s="114">
        <v>329</v>
      </c>
      <c r="G1257" s="114">
        <v>1</v>
      </c>
      <c r="H1257" s="114">
        <v>5500</v>
      </c>
      <c r="I1257" s="114">
        <v>5500</v>
      </c>
      <c r="J1257" s="114">
        <v>4622</v>
      </c>
      <c r="K1257" s="114">
        <v>878</v>
      </c>
      <c r="L1257" s="114" t="str">
        <f t="shared" si="19"/>
        <v>INSERT INTO DETALLES_DOCUMENTO(NRO_DOCUMENTO,ID_TIPO,ID_PRODUCTO,CANTIDAD,PRECIO,VALOR_BRUTO,VALOR_NETO,VALOR_IVA) VALUES(606,1,329,1,5500,5500,4622,878);</v>
      </c>
    </row>
    <row r="1258" spans="1:12">
      <c r="A1258" s="114">
        <v>1</v>
      </c>
      <c r="B1258" s="114">
        <v>607</v>
      </c>
      <c r="C1258" s="139" t="s">
        <v>2269</v>
      </c>
      <c r="D1258" s="114" t="s">
        <v>2090</v>
      </c>
      <c r="E1258" s="114">
        <v>137</v>
      </c>
      <c r="F1258" s="114">
        <v>324</v>
      </c>
      <c r="G1258" s="114">
        <v>1</v>
      </c>
      <c r="H1258" s="114">
        <v>10500</v>
      </c>
      <c r="I1258" s="114">
        <v>10500</v>
      </c>
      <c r="J1258" s="114">
        <v>8824</v>
      </c>
      <c r="K1258" s="114">
        <v>1676</v>
      </c>
      <c r="L1258" s="114" t="str">
        <f t="shared" si="19"/>
        <v>INSERT INTO DETALLES_DOCUMENTO(NRO_DOCUMENTO,ID_TIPO,ID_PRODUCTO,CANTIDAD,PRECIO,VALOR_BRUTO,VALOR_NETO,VALOR_IVA) VALUES(607,1,324,1,10500,10500,8824,1676);</v>
      </c>
    </row>
    <row r="1259" spans="1:12">
      <c r="A1259" s="114">
        <v>1</v>
      </c>
      <c r="B1259" s="114">
        <v>608</v>
      </c>
      <c r="C1259" s="139" t="s">
        <v>2269</v>
      </c>
      <c r="D1259" s="114" t="s">
        <v>2090</v>
      </c>
      <c r="E1259" s="114">
        <v>227</v>
      </c>
      <c r="F1259" s="114">
        <v>143</v>
      </c>
      <c r="G1259" s="114">
        <v>1</v>
      </c>
      <c r="H1259" s="114">
        <v>8300</v>
      </c>
      <c r="I1259" s="114">
        <v>8300</v>
      </c>
      <c r="J1259" s="114">
        <v>6975</v>
      </c>
      <c r="K1259" s="114">
        <v>1325</v>
      </c>
      <c r="L1259" s="114" t="str">
        <f t="shared" si="19"/>
        <v>INSERT INTO DETALLES_DOCUMENTO(NRO_DOCUMENTO,ID_TIPO,ID_PRODUCTO,CANTIDAD,PRECIO,VALOR_BRUTO,VALOR_NETO,VALOR_IVA) VALUES(608,1,143,1,8300,8300,6975,1325);</v>
      </c>
    </row>
    <row r="1260" spans="1:12">
      <c r="A1260" s="114">
        <v>1</v>
      </c>
      <c r="B1260" s="114">
        <v>609</v>
      </c>
      <c r="C1260" s="139" t="s">
        <v>2269</v>
      </c>
      <c r="D1260" s="114" t="s">
        <v>2090</v>
      </c>
      <c r="E1260" s="114">
        <v>242</v>
      </c>
      <c r="F1260" s="114">
        <v>324</v>
      </c>
      <c r="G1260" s="114">
        <v>1</v>
      </c>
      <c r="H1260" s="114">
        <v>10500</v>
      </c>
      <c r="I1260" s="114">
        <v>10500</v>
      </c>
      <c r="J1260" s="114">
        <v>8824</v>
      </c>
      <c r="K1260" s="114">
        <v>1676</v>
      </c>
      <c r="L1260" s="114" t="str">
        <f t="shared" si="19"/>
        <v>INSERT INTO DETALLES_DOCUMENTO(NRO_DOCUMENTO,ID_TIPO,ID_PRODUCTO,CANTIDAD,PRECIO,VALOR_BRUTO,VALOR_NETO,VALOR_IVA) VALUES(609,1,324,1,10500,10500,8824,1676);</v>
      </c>
    </row>
    <row r="1261" spans="1:12">
      <c r="A1261" s="114">
        <v>1</v>
      </c>
      <c r="B1261" s="114">
        <v>610</v>
      </c>
      <c r="C1261" s="139" t="s">
        <v>2269</v>
      </c>
      <c r="D1261" s="114" t="s">
        <v>2090</v>
      </c>
      <c r="E1261" s="114">
        <v>254</v>
      </c>
      <c r="F1261" s="114">
        <v>324</v>
      </c>
      <c r="G1261" s="114">
        <v>1</v>
      </c>
      <c r="H1261" s="114">
        <v>10500</v>
      </c>
      <c r="I1261" s="114">
        <v>10500</v>
      </c>
      <c r="J1261" s="114">
        <v>8824</v>
      </c>
      <c r="K1261" s="114">
        <v>1676</v>
      </c>
      <c r="L1261" s="114" t="str">
        <f t="shared" si="19"/>
        <v>INSERT INTO DETALLES_DOCUMENTO(NRO_DOCUMENTO,ID_TIPO,ID_PRODUCTO,CANTIDAD,PRECIO,VALOR_BRUTO,VALOR_NETO,VALOR_IVA) VALUES(610,1,324,1,10500,10500,8824,1676);</v>
      </c>
    </row>
    <row r="1262" spans="1:12">
      <c r="A1262" s="114">
        <v>1</v>
      </c>
      <c r="B1262" s="114">
        <v>611</v>
      </c>
      <c r="C1262" s="139" t="s">
        <v>2269</v>
      </c>
      <c r="D1262" s="114" t="s">
        <v>2090</v>
      </c>
      <c r="E1262" s="114">
        <v>276</v>
      </c>
      <c r="F1262" s="114">
        <v>324</v>
      </c>
      <c r="G1262" s="114">
        <v>1</v>
      </c>
      <c r="H1262" s="114">
        <v>10500</v>
      </c>
      <c r="I1262" s="114">
        <v>10500</v>
      </c>
      <c r="J1262" s="114">
        <v>8824</v>
      </c>
      <c r="K1262" s="114">
        <v>1676</v>
      </c>
      <c r="L1262" s="114" t="str">
        <f t="shared" si="19"/>
        <v>INSERT INTO DETALLES_DOCUMENTO(NRO_DOCUMENTO,ID_TIPO,ID_PRODUCTO,CANTIDAD,PRECIO,VALOR_BRUTO,VALOR_NETO,VALOR_IVA) VALUES(611,1,324,1,10500,10500,8824,1676);</v>
      </c>
    </row>
    <row r="1263" spans="1:12">
      <c r="A1263" s="114">
        <v>1</v>
      </c>
      <c r="B1263" s="114">
        <v>612</v>
      </c>
      <c r="C1263" s="139" t="s">
        <v>2269</v>
      </c>
      <c r="D1263" s="114" t="s">
        <v>2090</v>
      </c>
      <c r="E1263" s="114">
        <v>278</v>
      </c>
      <c r="F1263" s="114">
        <v>143</v>
      </c>
      <c r="G1263" s="114">
        <v>1</v>
      </c>
      <c r="H1263" s="114">
        <v>8300</v>
      </c>
      <c r="I1263" s="114">
        <v>8300</v>
      </c>
      <c r="J1263" s="114">
        <v>6975</v>
      </c>
      <c r="K1263" s="114">
        <v>1325</v>
      </c>
      <c r="L1263" s="114" t="str">
        <f t="shared" si="19"/>
        <v>INSERT INTO DETALLES_DOCUMENTO(NRO_DOCUMENTO,ID_TIPO,ID_PRODUCTO,CANTIDAD,PRECIO,VALOR_BRUTO,VALOR_NETO,VALOR_IVA) VALUES(612,1,143,1,8300,8300,6975,1325);</v>
      </c>
    </row>
    <row r="1264" spans="1:12">
      <c r="A1264" s="114">
        <v>1</v>
      </c>
      <c r="B1264" s="114">
        <v>612</v>
      </c>
      <c r="C1264" s="139" t="s">
        <v>2269</v>
      </c>
      <c r="D1264" s="114" t="s">
        <v>2090</v>
      </c>
      <c r="E1264" s="114">
        <v>278</v>
      </c>
      <c r="F1264" s="114">
        <v>324</v>
      </c>
      <c r="G1264" s="114">
        <v>2</v>
      </c>
      <c r="H1264" s="114">
        <v>21000</v>
      </c>
      <c r="I1264" s="114">
        <v>42000</v>
      </c>
      <c r="J1264" s="114">
        <v>35294</v>
      </c>
      <c r="K1264" s="114">
        <v>6706</v>
      </c>
      <c r="L1264" s="114" t="str">
        <f t="shared" si="19"/>
        <v>INSERT INTO DETALLES_DOCUMENTO(NRO_DOCUMENTO,ID_TIPO,ID_PRODUCTO,CANTIDAD,PRECIO,VALOR_BRUTO,VALOR_NETO,VALOR_IVA) VALUES(612,1,324,2,21000,42000,35294,6706);</v>
      </c>
    </row>
    <row r="1265" spans="1:12">
      <c r="A1265" s="114">
        <v>1</v>
      </c>
      <c r="B1265" s="114">
        <v>613</v>
      </c>
      <c r="C1265" s="139" t="s">
        <v>2269</v>
      </c>
      <c r="D1265" s="114" t="s">
        <v>2090</v>
      </c>
      <c r="E1265" s="114">
        <v>302</v>
      </c>
      <c r="F1265" s="114">
        <v>324</v>
      </c>
      <c r="G1265" s="114">
        <v>1</v>
      </c>
      <c r="H1265" s="114">
        <v>10500</v>
      </c>
      <c r="I1265" s="114">
        <v>10500</v>
      </c>
      <c r="J1265" s="114">
        <v>8824</v>
      </c>
      <c r="K1265" s="114">
        <v>1676</v>
      </c>
      <c r="L1265" s="114" t="str">
        <f t="shared" si="19"/>
        <v>INSERT INTO DETALLES_DOCUMENTO(NRO_DOCUMENTO,ID_TIPO,ID_PRODUCTO,CANTIDAD,PRECIO,VALOR_BRUTO,VALOR_NETO,VALOR_IVA) VALUES(613,1,324,1,10500,10500,8824,1676);</v>
      </c>
    </row>
    <row r="1266" spans="1:12">
      <c r="A1266" s="114">
        <v>1</v>
      </c>
      <c r="B1266" s="114">
        <v>614</v>
      </c>
      <c r="C1266" s="139" t="s">
        <v>2269</v>
      </c>
      <c r="D1266" s="114" t="s">
        <v>2090</v>
      </c>
      <c r="E1266" s="114">
        <v>303</v>
      </c>
      <c r="F1266" s="114">
        <v>329</v>
      </c>
      <c r="G1266" s="114">
        <v>1</v>
      </c>
      <c r="H1266" s="114">
        <v>5500</v>
      </c>
      <c r="I1266" s="114">
        <v>5500</v>
      </c>
      <c r="J1266" s="114">
        <v>4622</v>
      </c>
      <c r="K1266" s="114">
        <v>878</v>
      </c>
      <c r="L1266" s="114" t="str">
        <f t="shared" si="19"/>
        <v>INSERT INTO DETALLES_DOCUMENTO(NRO_DOCUMENTO,ID_TIPO,ID_PRODUCTO,CANTIDAD,PRECIO,VALOR_BRUTO,VALOR_NETO,VALOR_IVA) VALUES(614,1,329,1,5500,5500,4622,878);</v>
      </c>
    </row>
    <row r="1267" spans="1:12">
      <c r="A1267" s="114">
        <v>1</v>
      </c>
      <c r="B1267" s="114">
        <v>615</v>
      </c>
      <c r="C1267" s="139" t="s">
        <v>2269</v>
      </c>
      <c r="D1267" s="114" t="s">
        <v>2090</v>
      </c>
      <c r="E1267" s="114">
        <v>333</v>
      </c>
      <c r="F1267" s="114">
        <v>324</v>
      </c>
      <c r="G1267" s="114">
        <v>1</v>
      </c>
      <c r="H1267" s="114">
        <v>10500</v>
      </c>
      <c r="I1267" s="114">
        <v>10500</v>
      </c>
      <c r="J1267" s="114">
        <v>8824</v>
      </c>
      <c r="K1267" s="114">
        <v>1676</v>
      </c>
      <c r="L1267" s="114" t="str">
        <f t="shared" si="19"/>
        <v>INSERT INTO DETALLES_DOCUMENTO(NRO_DOCUMENTO,ID_TIPO,ID_PRODUCTO,CANTIDAD,PRECIO,VALOR_BRUTO,VALOR_NETO,VALOR_IVA) VALUES(615,1,324,1,10500,10500,8824,1676);</v>
      </c>
    </row>
    <row r="1268" spans="1:12">
      <c r="A1268" s="114">
        <v>1</v>
      </c>
      <c r="B1268" s="114">
        <v>616</v>
      </c>
      <c r="C1268" s="139" t="s">
        <v>2269</v>
      </c>
      <c r="D1268" s="114" t="s">
        <v>2090</v>
      </c>
      <c r="E1268" s="114">
        <v>374</v>
      </c>
      <c r="F1268" s="114">
        <v>324</v>
      </c>
      <c r="G1268" s="114">
        <v>1</v>
      </c>
      <c r="H1268" s="114">
        <v>10500</v>
      </c>
      <c r="I1268" s="114">
        <v>10500</v>
      </c>
      <c r="J1268" s="114">
        <v>8824</v>
      </c>
      <c r="K1268" s="114">
        <v>1676</v>
      </c>
      <c r="L1268" s="114" t="str">
        <f t="shared" si="19"/>
        <v>INSERT INTO DETALLES_DOCUMENTO(NRO_DOCUMENTO,ID_TIPO,ID_PRODUCTO,CANTIDAD,PRECIO,VALOR_BRUTO,VALOR_NETO,VALOR_IVA) VALUES(616,1,324,1,10500,10500,8824,1676);</v>
      </c>
    </row>
    <row r="1269" spans="1:12">
      <c r="A1269" s="114">
        <v>1</v>
      </c>
      <c r="B1269" s="114">
        <v>617</v>
      </c>
      <c r="C1269" s="139" t="s">
        <v>2269</v>
      </c>
      <c r="D1269" s="114" t="s">
        <v>2090</v>
      </c>
      <c r="E1269" s="114">
        <v>382</v>
      </c>
      <c r="F1269" s="114">
        <v>324</v>
      </c>
      <c r="G1269" s="114">
        <v>1</v>
      </c>
      <c r="H1269" s="114">
        <v>10500</v>
      </c>
      <c r="I1269" s="114">
        <v>10500</v>
      </c>
      <c r="J1269" s="114">
        <v>8824</v>
      </c>
      <c r="K1269" s="114">
        <v>1676</v>
      </c>
      <c r="L1269" s="114" t="str">
        <f t="shared" si="19"/>
        <v>INSERT INTO DETALLES_DOCUMENTO(NRO_DOCUMENTO,ID_TIPO,ID_PRODUCTO,CANTIDAD,PRECIO,VALOR_BRUTO,VALOR_NETO,VALOR_IVA) VALUES(617,1,324,1,10500,10500,8824,1676);</v>
      </c>
    </row>
    <row r="1270" spans="1:12">
      <c r="A1270" s="114">
        <v>1</v>
      </c>
      <c r="B1270" s="114">
        <v>617</v>
      </c>
      <c r="C1270" s="139" t="s">
        <v>2269</v>
      </c>
      <c r="D1270" s="114" t="s">
        <v>2090</v>
      </c>
      <c r="E1270" s="114">
        <v>382</v>
      </c>
      <c r="F1270" s="114">
        <v>143</v>
      </c>
      <c r="G1270" s="114">
        <v>1</v>
      </c>
      <c r="H1270" s="114">
        <v>8300</v>
      </c>
      <c r="I1270" s="114">
        <v>8300</v>
      </c>
      <c r="J1270" s="114">
        <v>6975</v>
      </c>
      <c r="K1270" s="114">
        <v>1325</v>
      </c>
      <c r="L1270" s="114" t="str">
        <f t="shared" si="19"/>
        <v>INSERT INTO DETALLES_DOCUMENTO(NRO_DOCUMENTO,ID_TIPO,ID_PRODUCTO,CANTIDAD,PRECIO,VALOR_BRUTO,VALOR_NETO,VALOR_IVA) VALUES(617,1,143,1,8300,8300,6975,1325);</v>
      </c>
    </row>
    <row r="1271" spans="1:12">
      <c r="A1271" s="114">
        <v>1</v>
      </c>
      <c r="B1271" s="114">
        <v>618</v>
      </c>
      <c r="C1271" s="139" t="s">
        <v>2269</v>
      </c>
      <c r="D1271" s="114" t="s">
        <v>2090</v>
      </c>
      <c r="E1271" s="114">
        <v>405</v>
      </c>
      <c r="F1271" s="114">
        <v>324</v>
      </c>
      <c r="G1271" s="114">
        <v>1</v>
      </c>
      <c r="H1271" s="114">
        <v>10500</v>
      </c>
      <c r="I1271" s="114">
        <v>10500</v>
      </c>
      <c r="J1271" s="114">
        <v>8824</v>
      </c>
      <c r="K1271" s="114">
        <v>1676</v>
      </c>
      <c r="L1271" s="114" t="str">
        <f t="shared" si="19"/>
        <v>INSERT INTO DETALLES_DOCUMENTO(NRO_DOCUMENTO,ID_TIPO,ID_PRODUCTO,CANTIDAD,PRECIO,VALOR_BRUTO,VALOR_NETO,VALOR_IVA) VALUES(618,1,324,1,10500,10500,8824,1676);</v>
      </c>
    </row>
    <row r="1272" spans="1:12">
      <c r="A1272" s="114">
        <v>1</v>
      </c>
      <c r="B1272" s="114">
        <v>619</v>
      </c>
      <c r="C1272" s="139" t="s">
        <v>2270</v>
      </c>
      <c r="D1272" s="114" t="s">
        <v>2090</v>
      </c>
      <c r="E1272" s="114">
        <v>38</v>
      </c>
      <c r="F1272" s="114">
        <v>324</v>
      </c>
      <c r="G1272" s="114">
        <v>1</v>
      </c>
      <c r="H1272" s="114">
        <v>10500</v>
      </c>
      <c r="I1272" s="114">
        <v>10500</v>
      </c>
      <c r="J1272" s="114">
        <v>8824</v>
      </c>
      <c r="K1272" s="114">
        <v>1676</v>
      </c>
      <c r="L1272" s="114" t="str">
        <f t="shared" si="19"/>
        <v>INSERT INTO DETALLES_DOCUMENTO(NRO_DOCUMENTO,ID_TIPO,ID_PRODUCTO,CANTIDAD,PRECIO,VALOR_BRUTO,VALOR_NETO,VALOR_IVA) VALUES(619,1,324,1,10500,10500,8824,1676);</v>
      </c>
    </row>
    <row r="1273" spans="1:12">
      <c r="A1273" s="114">
        <v>1</v>
      </c>
      <c r="B1273" s="114">
        <v>619</v>
      </c>
      <c r="C1273" s="139" t="s">
        <v>2270</v>
      </c>
      <c r="D1273" s="114" t="s">
        <v>2090</v>
      </c>
      <c r="E1273" s="114">
        <v>38</v>
      </c>
      <c r="F1273" s="114">
        <v>231</v>
      </c>
      <c r="G1273" s="114">
        <v>1</v>
      </c>
      <c r="H1273" s="114">
        <v>20900</v>
      </c>
      <c r="I1273" s="114">
        <v>20900</v>
      </c>
      <c r="J1273" s="114">
        <v>17563</v>
      </c>
      <c r="K1273" s="114">
        <v>3337</v>
      </c>
      <c r="L1273" s="114" t="str">
        <f t="shared" si="19"/>
        <v>INSERT INTO DETALLES_DOCUMENTO(NRO_DOCUMENTO,ID_TIPO,ID_PRODUCTO,CANTIDAD,PRECIO,VALOR_BRUTO,VALOR_NETO,VALOR_IVA) VALUES(619,1,231,1,20900,20900,17563,3337);</v>
      </c>
    </row>
    <row r="1274" spans="1:12">
      <c r="A1274" s="114">
        <v>1</v>
      </c>
      <c r="B1274" s="114">
        <v>620</v>
      </c>
      <c r="C1274" s="139" t="s">
        <v>2270</v>
      </c>
      <c r="D1274" s="114" t="s">
        <v>2090</v>
      </c>
      <c r="E1274" s="114">
        <v>65</v>
      </c>
      <c r="F1274" s="114">
        <v>324</v>
      </c>
      <c r="G1274" s="114">
        <v>1</v>
      </c>
      <c r="H1274" s="114">
        <v>10500</v>
      </c>
      <c r="I1274" s="114">
        <v>10500</v>
      </c>
      <c r="J1274" s="114">
        <v>8824</v>
      </c>
      <c r="K1274" s="114">
        <v>1676</v>
      </c>
      <c r="L1274" s="114" t="str">
        <f t="shared" si="19"/>
        <v>INSERT INTO DETALLES_DOCUMENTO(NRO_DOCUMENTO,ID_TIPO,ID_PRODUCTO,CANTIDAD,PRECIO,VALOR_BRUTO,VALOR_NETO,VALOR_IVA) VALUES(620,1,324,1,10500,10500,8824,1676);</v>
      </c>
    </row>
    <row r="1275" spans="1:12">
      <c r="A1275" s="114">
        <v>1</v>
      </c>
      <c r="B1275" s="114">
        <v>621</v>
      </c>
      <c r="C1275" s="139" t="s">
        <v>2270</v>
      </c>
      <c r="D1275" s="114" t="s">
        <v>2090</v>
      </c>
      <c r="E1275" s="114">
        <v>72</v>
      </c>
      <c r="F1275" s="114">
        <v>329</v>
      </c>
      <c r="G1275" s="114">
        <v>1</v>
      </c>
      <c r="H1275" s="114">
        <v>5500</v>
      </c>
      <c r="I1275" s="114">
        <v>5500</v>
      </c>
      <c r="J1275" s="114">
        <v>4622</v>
      </c>
      <c r="K1275" s="114">
        <v>878</v>
      </c>
      <c r="L1275" s="114" t="str">
        <f t="shared" si="19"/>
        <v>INSERT INTO DETALLES_DOCUMENTO(NRO_DOCUMENTO,ID_TIPO,ID_PRODUCTO,CANTIDAD,PRECIO,VALOR_BRUTO,VALOR_NETO,VALOR_IVA) VALUES(621,1,329,1,5500,5500,4622,878);</v>
      </c>
    </row>
    <row r="1276" spans="1:12">
      <c r="A1276" s="114">
        <v>1</v>
      </c>
      <c r="B1276" s="114">
        <v>622</v>
      </c>
      <c r="C1276" s="139" t="s">
        <v>2270</v>
      </c>
      <c r="D1276" s="114" t="s">
        <v>2090</v>
      </c>
      <c r="E1276" s="114">
        <v>84</v>
      </c>
      <c r="F1276" s="114">
        <v>329</v>
      </c>
      <c r="G1276" s="114">
        <v>1</v>
      </c>
      <c r="H1276" s="114">
        <v>5500</v>
      </c>
      <c r="I1276" s="114">
        <v>5500</v>
      </c>
      <c r="J1276" s="114">
        <v>4622</v>
      </c>
      <c r="K1276" s="114">
        <v>878</v>
      </c>
      <c r="L1276" s="114" t="str">
        <f t="shared" si="19"/>
        <v>INSERT INTO DETALLES_DOCUMENTO(NRO_DOCUMENTO,ID_TIPO,ID_PRODUCTO,CANTIDAD,PRECIO,VALOR_BRUTO,VALOR_NETO,VALOR_IVA) VALUES(622,1,329,1,5500,5500,4622,878);</v>
      </c>
    </row>
    <row r="1277" spans="1:12">
      <c r="A1277" s="114">
        <v>1</v>
      </c>
      <c r="B1277" s="114">
        <v>622</v>
      </c>
      <c r="C1277" s="139" t="s">
        <v>2270</v>
      </c>
      <c r="D1277" s="114" t="s">
        <v>2090</v>
      </c>
      <c r="E1277" s="114">
        <v>84</v>
      </c>
      <c r="F1277" s="114">
        <v>143</v>
      </c>
      <c r="G1277" s="114">
        <v>1</v>
      </c>
      <c r="H1277" s="114">
        <v>8300</v>
      </c>
      <c r="I1277" s="114">
        <v>8300</v>
      </c>
      <c r="J1277" s="114">
        <v>6975</v>
      </c>
      <c r="K1277" s="114">
        <v>1325</v>
      </c>
      <c r="L1277" s="114" t="str">
        <f t="shared" si="19"/>
        <v>INSERT INTO DETALLES_DOCUMENTO(NRO_DOCUMENTO,ID_TIPO,ID_PRODUCTO,CANTIDAD,PRECIO,VALOR_BRUTO,VALOR_NETO,VALOR_IVA) VALUES(622,1,143,1,8300,8300,6975,1325);</v>
      </c>
    </row>
    <row r="1278" spans="1:12">
      <c r="A1278" s="114">
        <v>1</v>
      </c>
      <c r="B1278" s="114">
        <v>623</v>
      </c>
      <c r="C1278" s="139" t="s">
        <v>2270</v>
      </c>
      <c r="D1278" s="114" t="s">
        <v>2090</v>
      </c>
      <c r="E1278" s="114">
        <v>85</v>
      </c>
      <c r="F1278" s="114">
        <v>324</v>
      </c>
      <c r="G1278" s="114">
        <v>1</v>
      </c>
      <c r="H1278" s="114">
        <v>10500</v>
      </c>
      <c r="I1278" s="114">
        <v>10500</v>
      </c>
      <c r="J1278" s="114">
        <v>8824</v>
      </c>
      <c r="K1278" s="114">
        <v>1676</v>
      </c>
      <c r="L1278" s="114" t="str">
        <f t="shared" si="19"/>
        <v>INSERT INTO DETALLES_DOCUMENTO(NRO_DOCUMENTO,ID_TIPO,ID_PRODUCTO,CANTIDAD,PRECIO,VALOR_BRUTO,VALOR_NETO,VALOR_IVA) VALUES(623,1,324,1,10500,10500,8824,1676);</v>
      </c>
    </row>
    <row r="1279" spans="1:12">
      <c r="A1279" s="114">
        <v>1</v>
      </c>
      <c r="B1279" s="114">
        <v>624</v>
      </c>
      <c r="C1279" s="139" t="s">
        <v>2270</v>
      </c>
      <c r="D1279" s="114" t="s">
        <v>2090</v>
      </c>
      <c r="E1279" s="114">
        <v>86</v>
      </c>
      <c r="F1279" s="114">
        <v>324</v>
      </c>
      <c r="G1279" s="114">
        <v>1</v>
      </c>
      <c r="H1279" s="114">
        <v>10500</v>
      </c>
      <c r="I1279" s="114">
        <v>10500</v>
      </c>
      <c r="J1279" s="114">
        <v>8824</v>
      </c>
      <c r="K1279" s="114">
        <v>1676</v>
      </c>
      <c r="L1279" s="114" t="str">
        <f t="shared" si="19"/>
        <v>INSERT INTO DETALLES_DOCUMENTO(NRO_DOCUMENTO,ID_TIPO,ID_PRODUCTO,CANTIDAD,PRECIO,VALOR_BRUTO,VALOR_NETO,VALOR_IVA) VALUES(624,1,324,1,10500,10500,8824,1676);</v>
      </c>
    </row>
    <row r="1280" spans="1:12">
      <c r="A1280" s="114">
        <v>1</v>
      </c>
      <c r="B1280" s="114">
        <v>625</v>
      </c>
      <c r="C1280" s="139" t="s">
        <v>2270</v>
      </c>
      <c r="D1280" s="114" t="s">
        <v>2090</v>
      </c>
      <c r="E1280" s="114">
        <v>104</v>
      </c>
      <c r="F1280" s="114">
        <v>324</v>
      </c>
      <c r="G1280" s="114">
        <v>1</v>
      </c>
      <c r="H1280" s="114">
        <v>10500</v>
      </c>
      <c r="I1280" s="114">
        <v>10500</v>
      </c>
      <c r="J1280" s="114">
        <v>8824</v>
      </c>
      <c r="K1280" s="114">
        <v>1676</v>
      </c>
      <c r="L1280" s="114" t="str">
        <f t="shared" si="19"/>
        <v>INSERT INTO DETALLES_DOCUMENTO(NRO_DOCUMENTO,ID_TIPO,ID_PRODUCTO,CANTIDAD,PRECIO,VALOR_BRUTO,VALOR_NETO,VALOR_IVA) VALUES(625,1,324,1,10500,10500,8824,1676);</v>
      </c>
    </row>
    <row r="1281" spans="1:12">
      <c r="A1281" s="114">
        <v>1</v>
      </c>
      <c r="B1281" s="114">
        <v>626</v>
      </c>
      <c r="C1281" s="139" t="s">
        <v>2270</v>
      </c>
      <c r="D1281" s="114" t="s">
        <v>2090</v>
      </c>
      <c r="E1281" s="114">
        <v>108</v>
      </c>
      <c r="F1281" s="114">
        <v>324</v>
      </c>
      <c r="G1281" s="114">
        <v>1</v>
      </c>
      <c r="H1281" s="114">
        <v>10500</v>
      </c>
      <c r="I1281" s="114">
        <v>10500</v>
      </c>
      <c r="J1281" s="114">
        <v>8824</v>
      </c>
      <c r="K1281" s="114">
        <v>1676</v>
      </c>
      <c r="L1281" s="114" t="str">
        <f t="shared" si="19"/>
        <v>INSERT INTO DETALLES_DOCUMENTO(NRO_DOCUMENTO,ID_TIPO,ID_PRODUCTO,CANTIDAD,PRECIO,VALOR_BRUTO,VALOR_NETO,VALOR_IVA) VALUES(626,1,324,1,10500,10500,8824,1676);</v>
      </c>
    </row>
    <row r="1282" spans="1:12">
      <c r="A1282" s="114">
        <v>1</v>
      </c>
      <c r="B1282" s="114">
        <v>627</v>
      </c>
      <c r="C1282" s="139" t="s">
        <v>2270</v>
      </c>
      <c r="D1282" s="114" t="s">
        <v>2090</v>
      </c>
      <c r="E1282" s="114">
        <v>124</v>
      </c>
      <c r="F1282" s="114">
        <v>142</v>
      </c>
      <c r="G1282" s="114">
        <v>1</v>
      </c>
      <c r="H1282" s="114">
        <v>6300</v>
      </c>
      <c r="I1282" s="114">
        <v>6300</v>
      </c>
      <c r="J1282" s="114">
        <v>5294</v>
      </c>
      <c r="K1282" s="114">
        <v>1006</v>
      </c>
      <c r="L1282" s="114" t="str">
        <f t="shared" si="19"/>
        <v>INSERT INTO DETALLES_DOCUMENTO(NRO_DOCUMENTO,ID_TIPO,ID_PRODUCTO,CANTIDAD,PRECIO,VALOR_BRUTO,VALOR_NETO,VALOR_IVA) VALUES(627,1,142,1,6300,6300,5294,1006);</v>
      </c>
    </row>
    <row r="1283" spans="1:12">
      <c r="A1283" s="114">
        <v>1</v>
      </c>
      <c r="B1283" s="114">
        <v>628</v>
      </c>
      <c r="C1283" s="139" t="s">
        <v>2270</v>
      </c>
      <c r="D1283" s="114" t="s">
        <v>2090</v>
      </c>
      <c r="E1283" s="114">
        <v>142</v>
      </c>
      <c r="F1283" s="114">
        <v>329</v>
      </c>
      <c r="G1283" s="114">
        <v>1</v>
      </c>
      <c r="H1283" s="114">
        <v>5500</v>
      </c>
      <c r="I1283" s="114">
        <v>5500</v>
      </c>
      <c r="J1283" s="114">
        <v>4622</v>
      </c>
      <c r="K1283" s="114">
        <v>878</v>
      </c>
      <c r="L1283" s="114" t="str">
        <f t="shared" ref="L1283:L1346" si="20">CONCATENATE("INSERT INTO DETALLES_DOCUMENTO(NRO_DOCUMENTO,ID_TIPO,ID_PRODUCTO,CANTIDAD,PRECIO,VALOR_BRUTO,VALOR_NETO,VALOR_IVA) VALUES(",B1283,",",A1283,",",F1283,",",G1283,",",H1283,",",I1283,",",J1283,",",K1283,");")</f>
        <v>INSERT INTO DETALLES_DOCUMENTO(NRO_DOCUMENTO,ID_TIPO,ID_PRODUCTO,CANTIDAD,PRECIO,VALOR_BRUTO,VALOR_NETO,VALOR_IVA) VALUES(628,1,329,1,5500,5500,4622,878);</v>
      </c>
    </row>
    <row r="1284" spans="1:12">
      <c r="A1284" s="114">
        <v>1</v>
      </c>
      <c r="B1284" s="114">
        <v>629</v>
      </c>
      <c r="C1284" s="139" t="s">
        <v>2270</v>
      </c>
      <c r="D1284" s="114" t="s">
        <v>2090</v>
      </c>
      <c r="E1284" s="114">
        <v>164</v>
      </c>
      <c r="F1284" s="114">
        <v>324</v>
      </c>
      <c r="G1284" s="114">
        <v>1</v>
      </c>
      <c r="H1284" s="114">
        <v>10500</v>
      </c>
      <c r="I1284" s="114">
        <v>10500</v>
      </c>
      <c r="J1284" s="114">
        <v>8824</v>
      </c>
      <c r="K1284" s="114">
        <v>1676</v>
      </c>
      <c r="L1284" s="114" t="str">
        <f t="shared" si="20"/>
        <v>INSERT INTO DETALLES_DOCUMENTO(NRO_DOCUMENTO,ID_TIPO,ID_PRODUCTO,CANTIDAD,PRECIO,VALOR_BRUTO,VALOR_NETO,VALOR_IVA) VALUES(629,1,324,1,10500,10500,8824,1676);</v>
      </c>
    </row>
    <row r="1285" spans="1:12">
      <c r="A1285" s="114">
        <v>1</v>
      </c>
      <c r="B1285" s="114">
        <v>630</v>
      </c>
      <c r="C1285" s="139" t="s">
        <v>2270</v>
      </c>
      <c r="D1285" s="114" t="s">
        <v>2090</v>
      </c>
      <c r="E1285" s="114">
        <v>166</v>
      </c>
      <c r="F1285" s="114">
        <v>371</v>
      </c>
      <c r="G1285" s="114">
        <v>1</v>
      </c>
      <c r="H1285" s="114">
        <v>9500</v>
      </c>
      <c r="I1285" s="114">
        <v>9500</v>
      </c>
      <c r="J1285" s="114">
        <v>7983</v>
      </c>
      <c r="K1285" s="114">
        <v>1517</v>
      </c>
      <c r="L1285" s="114" t="str">
        <f t="shared" si="20"/>
        <v>INSERT INTO DETALLES_DOCUMENTO(NRO_DOCUMENTO,ID_TIPO,ID_PRODUCTO,CANTIDAD,PRECIO,VALOR_BRUTO,VALOR_NETO,VALOR_IVA) VALUES(630,1,371,1,9500,9500,7983,1517);</v>
      </c>
    </row>
    <row r="1286" spans="1:12">
      <c r="A1286" s="114">
        <v>1</v>
      </c>
      <c r="B1286" s="114">
        <v>631</v>
      </c>
      <c r="C1286" s="139" t="s">
        <v>2270</v>
      </c>
      <c r="D1286" s="114" t="s">
        <v>2090</v>
      </c>
      <c r="E1286" s="114">
        <v>179</v>
      </c>
      <c r="F1286" s="114">
        <v>324</v>
      </c>
      <c r="G1286" s="114">
        <v>1</v>
      </c>
      <c r="H1286" s="114">
        <v>10500</v>
      </c>
      <c r="I1286" s="114">
        <v>10500</v>
      </c>
      <c r="J1286" s="114">
        <v>8824</v>
      </c>
      <c r="K1286" s="114">
        <v>1676</v>
      </c>
      <c r="L1286" s="114" t="str">
        <f t="shared" si="20"/>
        <v>INSERT INTO DETALLES_DOCUMENTO(NRO_DOCUMENTO,ID_TIPO,ID_PRODUCTO,CANTIDAD,PRECIO,VALOR_BRUTO,VALOR_NETO,VALOR_IVA) VALUES(631,1,324,1,10500,10500,8824,1676);</v>
      </c>
    </row>
    <row r="1287" spans="1:12">
      <c r="A1287" s="114">
        <v>1</v>
      </c>
      <c r="B1287" s="114">
        <v>631</v>
      </c>
      <c r="C1287" s="139" t="s">
        <v>2270</v>
      </c>
      <c r="D1287" s="114" t="s">
        <v>2090</v>
      </c>
      <c r="E1287" s="114">
        <v>179</v>
      </c>
      <c r="F1287" s="114">
        <v>356</v>
      </c>
      <c r="G1287" s="114">
        <v>1</v>
      </c>
      <c r="H1287" s="114">
        <v>3000</v>
      </c>
      <c r="I1287" s="114">
        <v>3000</v>
      </c>
      <c r="J1287" s="114">
        <v>2521</v>
      </c>
      <c r="K1287" s="114">
        <v>479</v>
      </c>
      <c r="L1287" s="114" t="str">
        <f t="shared" si="20"/>
        <v>INSERT INTO DETALLES_DOCUMENTO(NRO_DOCUMENTO,ID_TIPO,ID_PRODUCTO,CANTIDAD,PRECIO,VALOR_BRUTO,VALOR_NETO,VALOR_IVA) VALUES(631,1,356,1,3000,3000,2521,479);</v>
      </c>
    </row>
    <row r="1288" spans="1:12">
      <c r="A1288" s="114">
        <v>1</v>
      </c>
      <c r="B1288" s="114">
        <v>632</v>
      </c>
      <c r="C1288" s="139" t="s">
        <v>2270</v>
      </c>
      <c r="D1288" s="114" t="s">
        <v>2090</v>
      </c>
      <c r="E1288" s="114">
        <v>184</v>
      </c>
      <c r="F1288" s="114">
        <v>324</v>
      </c>
      <c r="G1288" s="114">
        <v>1</v>
      </c>
      <c r="H1288" s="114">
        <v>10500</v>
      </c>
      <c r="I1288" s="114">
        <v>10500</v>
      </c>
      <c r="J1288" s="114">
        <v>8824</v>
      </c>
      <c r="K1288" s="114">
        <v>1676</v>
      </c>
      <c r="L1288" s="114" t="str">
        <f t="shared" si="20"/>
        <v>INSERT INTO DETALLES_DOCUMENTO(NRO_DOCUMENTO,ID_TIPO,ID_PRODUCTO,CANTIDAD,PRECIO,VALOR_BRUTO,VALOR_NETO,VALOR_IVA) VALUES(632,1,324,1,10500,10500,8824,1676);</v>
      </c>
    </row>
    <row r="1289" spans="1:12">
      <c r="A1289" s="114">
        <v>1</v>
      </c>
      <c r="B1289" s="114">
        <v>633</v>
      </c>
      <c r="C1289" s="139" t="s">
        <v>2270</v>
      </c>
      <c r="D1289" s="114" t="s">
        <v>2090</v>
      </c>
      <c r="E1289" s="114">
        <v>200</v>
      </c>
      <c r="F1289" s="114">
        <v>288</v>
      </c>
      <c r="G1289" s="114">
        <v>1</v>
      </c>
      <c r="H1289" s="114">
        <v>8500</v>
      </c>
      <c r="I1289" s="114">
        <v>8500</v>
      </c>
      <c r="J1289" s="114">
        <v>7143</v>
      </c>
      <c r="K1289" s="114">
        <v>1357</v>
      </c>
      <c r="L1289" s="114" t="str">
        <f t="shared" si="20"/>
        <v>INSERT INTO DETALLES_DOCUMENTO(NRO_DOCUMENTO,ID_TIPO,ID_PRODUCTO,CANTIDAD,PRECIO,VALOR_BRUTO,VALOR_NETO,VALOR_IVA) VALUES(633,1,288,1,8500,8500,7143,1357);</v>
      </c>
    </row>
    <row r="1290" spans="1:12">
      <c r="A1290" s="114">
        <v>1</v>
      </c>
      <c r="B1290" s="114">
        <v>633</v>
      </c>
      <c r="C1290" s="139" t="s">
        <v>2270</v>
      </c>
      <c r="D1290" s="114" t="s">
        <v>2090</v>
      </c>
      <c r="E1290" s="114">
        <v>200</v>
      </c>
      <c r="F1290" s="114">
        <v>49</v>
      </c>
      <c r="G1290" s="114">
        <v>1</v>
      </c>
      <c r="H1290" s="114">
        <v>4200</v>
      </c>
      <c r="I1290" s="114">
        <v>4200</v>
      </c>
      <c r="J1290" s="114">
        <v>3529</v>
      </c>
      <c r="K1290" s="114">
        <v>671</v>
      </c>
      <c r="L1290" s="114" t="str">
        <f t="shared" si="20"/>
        <v>INSERT INTO DETALLES_DOCUMENTO(NRO_DOCUMENTO,ID_TIPO,ID_PRODUCTO,CANTIDAD,PRECIO,VALOR_BRUTO,VALOR_NETO,VALOR_IVA) VALUES(633,1,49,1,4200,4200,3529,671);</v>
      </c>
    </row>
    <row r="1291" spans="1:12">
      <c r="A1291" s="114">
        <v>1</v>
      </c>
      <c r="B1291" s="114">
        <v>633</v>
      </c>
      <c r="C1291" s="139" t="s">
        <v>2270</v>
      </c>
      <c r="D1291" s="114" t="s">
        <v>2090</v>
      </c>
      <c r="E1291" s="114">
        <v>200</v>
      </c>
      <c r="F1291" s="114">
        <v>47</v>
      </c>
      <c r="G1291" s="114">
        <v>1</v>
      </c>
      <c r="H1291" s="114">
        <v>4200</v>
      </c>
      <c r="I1291" s="114">
        <v>4200</v>
      </c>
      <c r="J1291" s="114">
        <v>3529</v>
      </c>
      <c r="K1291" s="114">
        <v>671</v>
      </c>
      <c r="L1291" s="114" t="str">
        <f t="shared" si="20"/>
        <v>INSERT INTO DETALLES_DOCUMENTO(NRO_DOCUMENTO,ID_TIPO,ID_PRODUCTO,CANTIDAD,PRECIO,VALOR_BRUTO,VALOR_NETO,VALOR_IVA) VALUES(633,1,47,1,4200,4200,3529,671);</v>
      </c>
    </row>
    <row r="1292" spans="1:12">
      <c r="A1292" s="114">
        <v>1</v>
      </c>
      <c r="B1292" s="114">
        <v>633</v>
      </c>
      <c r="C1292" s="139" t="s">
        <v>2270</v>
      </c>
      <c r="D1292" s="114" t="s">
        <v>2090</v>
      </c>
      <c r="E1292" s="114">
        <v>200</v>
      </c>
      <c r="F1292" s="114">
        <v>324</v>
      </c>
      <c r="G1292" s="114">
        <v>1</v>
      </c>
      <c r="H1292" s="114">
        <v>10500</v>
      </c>
      <c r="I1292" s="114">
        <v>10500</v>
      </c>
      <c r="J1292" s="114">
        <v>8824</v>
      </c>
      <c r="K1292" s="114">
        <v>1676</v>
      </c>
      <c r="L1292" s="114" t="str">
        <f t="shared" si="20"/>
        <v>INSERT INTO DETALLES_DOCUMENTO(NRO_DOCUMENTO,ID_TIPO,ID_PRODUCTO,CANTIDAD,PRECIO,VALOR_BRUTO,VALOR_NETO,VALOR_IVA) VALUES(633,1,324,1,10500,10500,8824,1676);</v>
      </c>
    </row>
    <row r="1293" spans="1:12">
      <c r="A1293" s="114">
        <v>1</v>
      </c>
      <c r="B1293" s="114">
        <v>634</v>
      </c>
      <c r="C1293" s="139" t="s">
        <v>2270</v>
      </c>
      <c r="D1293" s="114" t="s">
        <v>2090</v>
      </c>
      <c r="E1293" s="114">
        <v>208</v>
      </c>
      <c r="F1293" s="114">
        <v>49</v>
      </c>
      <c r="G1293" s="114">
        <v>1</v>
      </c>
      <c r="H1293" s="114">
        <v>4200</v>
      </c>
      <c r="I1293" s="114">
        <v>4200</v>
      </c>
      <c r="J1293" s="114">
        <v>3529</v>
      </c>
      <c r="K1293" s="114">
        <v>671</v>
      </c>
      <c r="L1293" s="114" t="str">
        <f t="shared" si="20"/>
        <v>INSERT INTO DETALLES_DOCUMENTO(NRO_DOCUMENTO,ID_TIPO,ID_PRODUCTO,CANTIDAD,PRECIO,VALOR_BRUTO,VALOR_NETO,VALOR_IVA) VALUES(634,1,49,1,4200,4200,3529,671);</v>
      </c>
    </row>
    <row r="1294" spans="1:12">
      <c r="A1294" s="114">
        <v>1</v>
      </c>
      <c r="B1294" s="114">
        <v>635</v>
      </c>
      <c r="C1294" s="139" t="s">
        <v>2270</v>
      </c>
      <c r="D1294" s="114" t="s">
        <v>2090</v>
      </c>
      <c r="E1294" s="114">
        <v>219</v>
      </c>
      <c r="F1294" s="114">
        <v>324</v>
      </c>
      <c r="G1294" s="114">
        <v>1</v>
      </c>
      <c r="H1294" s="114">
        <v>10500</v>
      </c>
      <c r="I1294" s="114">
        <v>10500</v>
      </c>
      <c r="J1294" s="114">
        <v>8824</v>
      </c>
      <c r="K1294" s="114">
        <v>1676</v>
      </c>
      <c r="L1294" s="114" t="str">
        <f t="shared" si="20"/>
        <v>INSERT INTO DETALLES_DOCUMENTO(NRO_DOCUMENTO,ID_TIPO,ID_PRODUCTO,CANTIDAD,PRECIO,VALOR_BRUTO,VALOR_NETO,VALOR_IVA) VALUES(635,1,324,1,10500,10500,8824,1676);</v>
      </c>
    </row>
    <row r="1295" spans="1:12">
      <c r="A1295" s="114">
        <v>1</v>
      </c>
      <c r="B1295" s="114">
        <v>636</v>
      </c>
      <c r="C1295" s="139" t="s">
        <v>2270</v>
      </c>
      <c r="D1295" s="114" t="s">
        <v>2090</v>
      </c>
      <c r="E1295" s="114">
        <v>223</v>
      </c>
      <c r="F1295" s="114">
        <v>324</v>
      </c>
      <c r="G1295" s="114">
        <v>1</v>
      </c>
      <c r="H1295" s="114">
        <v>10500</v>
      </c>
      <c r="I1295" s="114">
        <v>10500</v>
      </c>
      <c r="J1295" s="114">
        <v>8824</v>
      </c>
      <c r="K1295" s="114">
        <v>1676</v>
      </c>
      <c r="L1295" s="114" t="str">
        <f t="shared" si="20"/>
        <v>INSERT INTO DETALLES_DOCUMENTO(NRO_DOCUMENTO,ID_TIPO,ID_PRODUCTO,CANTIDAD,PRECIO,VALOR_BRUTO,VALOR_NETO,VALOR_IVA) VALUES(636,1,324,1,10500,10500,8824,1676);</v>
      </c>
    </row>
    <row r="1296" spans="1:12">
      <c r="A1296" s="114">
        <v>1</v>
      </c>
      <c r="B1296" s="114">
        <v>636</v>
      </c>
      <c r="C1296" s="139" t="s">
        <v>2270</v>
      </c>
      <c r="D1296" s="114" t="s">
        <v>2090</v>
      </c>
      <c r="E1296" s="114">
        <v>223</v>
      </c>
      <c r="F1296" s="114">
        <v>162</v>
      </c>
      <c r="G1296" s="114">
        <v>1</v>
      </c>
      <c r="H1296" s="114">
        <v>1600</v>
      </c>
      <c r="I1296" s="114">
        <v>1600</v>
      </c>
      <c r="J1296" s="114">
        <v>1345</v>
      </c>
      <c r="K1296" s="114">
        <v>255</v>
      </c>
      <c r="L1296" s="114" t="str">
        <f t="shared" si="20"/>
        <v>INSERT INTO DETALLES_DOCUMENTO(NRO_DOCUMENTO,ID_TIPO,ID_PRODUCTO,CANTIDAD,PRECIO,VALOR_BRUTO,VALOR_NETO,VALOR_IVA) VALUES(636,1,162,1,1600,1600,1345,255);</v>
      </c>
    </row>
    <row r="1297" spans="1:12">
      <c r="A1297" s="114">
        <v>1</v>
      </c>
      <c r="B1297" s="114">
        <v>636</v>
      </c>
      <c r="C1297" s="139" t="s">
        <v>2270</v>
      </c>
      <c r="D1297" s="114" t="s">
        <v>2090</v>
      </c>
      <c r="E1297" s="114">
        <v>223</v>
      </c>
      <c r="F1297" s="114">
        <v>99</v>
      </c>
      <c r="G1297" s="114">
        <v>1</v>
      </c>
      <c r="H1297" s="114">
        <v>1500</v>
      </c>
      <c r="I1297" s="114">
        <v>1500</v>
      </c>
      <c r="J1297" s="114">
        <v>1261</v>
      </c>
      <c r="K1297" s="114">
        <v>239</v>
      </c>
      <c r="L1297" s="114" t="str">
        <f t="shared" si="20"/>
        <v>INSERT INTO DETALLES_DOCUMENTO(NRO_DOCUMENTO,ID_TIPO,ID_PRODUCTO,CANTIDAD,PRECIO,VALOR_BRUTO,VALOR_NETO,VALOR_IVA) VALUES(636,1,99,1,1500,1500,1261,239);</v>
      </c>
    </row>
    <row r="1298" spans="1:12">
      <c r="A1298" s="114">
        <v>1</v>
      </c>
      <c r="B1298" s="114">
        <v>637</v>
      </c>
      <c r="C1298" s="139" t="s">
        <v>2270</v>
      </c>
      <c r="D1298" s="114" t="s">
        <v>2090</v>
      </c>
      <c r="E1298" s="114">
        <v>226</v>
      </c>
      <c r="F1298" s="114">
        <v>329</v>
      </c>
      <c r="G1298" s="114">
        <v>1</v>
      </c>
      <c r="H1298" s="114">
        <v>5500</v>
      </c>
      <c r="I1298" s="114">
        <v>5500</v>
      </c>
      <c r="J1298" s="114">
        <v>4622</v>
      </c>
      <c r="K1298" s="114">
        <v>878</v>
      </c>
      <c r="L1298" s="114" t="str">
        <f t="shared" si="20"/>
        <v>INSERT INTO DETALLES_DOCUMENTO(NRO_DOCUMENTO,ID_TIPO,ID_PRODUCTO,CANTIDAD,PRECIO,VALOR_BRUTO,VALOR_NETO,VALOR_IVA) VALUES(637,1,329,1,5500,5500,4622,878);</v>
      </c>
    </row>
    <row r="1299" spans="1:12">
      <c r="A1299" s="114">
        <v>1</v>
      </c>
      <c r="B1299" s="114">
        <v>638</v>
      </c>
      <c r="C1299" s="139" t="s">
        <v>2270</v>
      </c>
      <c r="D1299" s="114" t="s">
        <v>2090</v>
      </c>
      <c r="E1299" s="114">
        <v>236</v>
      </c>
      <c r="F1299" s="114">
        <v>324</v>
      </c>
      <c r="G1299" s="114">
        <v>1</v>
      </c>
      <c r="H1299" s="114">
        <v>10500</v>
      </c>
      <c r="I1299" s="114">
        <v>10500</v>
      </c>
      <c r="J1299" s="114">
        <v>8824</v>
      </c>
      <c r="K1299" s="114">
        <v>1676</v>
      </c>
      <c r="L1299" s="114" t="str">
        <f t="shared" si="20"/>
        <v>INSERT INTO DETALLES_DOCUMENTO(NRO_DOCUMENTO,ID_TIPO,ID_PRODUCTO,CANTIDAD,PRECIO,VALOR_BRUTO,VALOR_NETO,VALOR_IVA) VALUES(638,1,324,1,10500,10500,8824,1676);</v>
      </c>
    </row>
    <row r="1300" spans="1:12">
      <c r="A1300" s="114">
        <v>1</v>
      </c>
      <c r="B1300" s="114">
        <v>639</v>
      </c>
      <c r="C1300" s="139" t="s">
        <v>2270</v>
      </c>
      <c r="D1300" s="114" t="s">
        <v>2090</v>
      </c>
      <c r="E1300" s="114">
        <v>237</v>
      </c>
      <c r="F1300" s="114">
        <v>324</v>
      </c>
      <c r="G1300" s="114">
        <v>1</v>
      </c>
      <c r="H1300" s="114">
        <v>10500</v>
      </c>
      <c r="I1300" s="114">
        <v>10500</v>
      </c>
      <c r="J1300" s="114">
        <v>8824</v>
      </c>
      <c r="K1300" s="114">
        <v>1676</v>
      </c>
      <c r="L1300" s="114" t="str">
        <f t="shared" si="20"/>
        <v>INSERT INTO DETALLES_DOCUMENTO(NRO_DOCUMENTO,ID_TIPO,ID_PRODUCTO,CANTIDAD,PRECIO,VALOR_BRUTO,VALOR_NETO,VALOR_IVA) VALUES(639,1,324,1,10500,10500,8824,1676);</v>
      </c>
    </row>
    <row r="1301" spans="1:12">
      <c r="A1301" s="114">
        <v>1</v>
      </c>
      <c r="B1301" s="114">
        <v>640</v>
      </c>
      <c r="C1301" s="139" t="s">
        <v>2270</v>
      </c>
      <c r="D1301" s="114" t="s">
        <v>2090</v>
      </c>
      <c r="E1301" s="114">
        <v>265</v>
      </c>
      <c r="F1301" s="114">
        <v>53</v>
      </c>
      <c r="G1301" s="114">
        <v>1</v>
      </c>
      <c r="H1301" s="114">
        <v>4200</v>
      </c>
      <c r="I1301" s="114">
        <v>4200</v>
      </c>
      <c r="J1301" s="114">
        <v>3529</v>
      </c>
      <c r="K1301" s="114">
        <v>671</v>
      </c>
      <c r="L1301" s="114" t="str">
        <f t="shared" si="20"/>
        <v>INSERT INTO DETALLES_DOCUMENTO(NRO_DOCUMENTO,ID_TIPO,ID_PRODUCTO,CANTIDAD,PRECIO,VALOR_BRUTO,VALOR_NETO,VALOR_IVA) VALUES(640,1,53,1,4200,4200,3529,671);</v>
      </c>
    </row>
    <row r="1302" spans="1:12">
      <c r="A1302" s="114">
        <v>1</v>
      </c>
      <c r="B1302" s="114">
        <v>640</v>
      </c>
      <c r="C1302" s="139" t="s">
        <v>2270</v>
      </c>
      <c r="D1302" s="114" t="s">
        <v>2090</v>
      </c>
      <c r="E1302" s="114">
        <v>265</v>
      </c>
      <c r="F1302" s="114">
        <v>120</v>
      </c>
      <c r="G1302" s="114">
        <v>2</v>
      </c>
      <c r="H1302" s="114">
        <v>3400</v>
      </c>
      <c r="I1302" s="114">
        <v>6800</v>
      </c>
      <c r="J1302" s="114">
        <v>5714</v>
      </c>
      <c r="K1302" s="114">
        <v>1086</v>
      </c>
      <c r="L1302" s="114" t="str">
        <f t="shared" si="20"/>
        <v>INSERT INTO DETALLES_DOCUMENTO(NRO_DOCUMENTO,ID_TIPO,ID_PRODUCTO,CANTIDAD,PRECIO,VALOR_BRUTO,VALOR_NETO,VALOR_IVA) VALUES(640,1,120,2,3400,6800,5714,1086);</v>
      </c>
    </row>
    <row r="1303" spans="1:12">
      <c r="A1303" s="114">
        <v>1</v>
      </c>
      <c r="B1303" s="114">
        <v>640</v>
      </c>
      <c r="C1303" s="139" t="s">
        <v>2270</v>
      </c>
      <c r="D1303" s="114" t="s">
        <v>2090</v>
      </c>
      <c r="E1303" s="114">
        <v>265</v>
      </c>
      <c r="F1303" s="114">
        <v>170</v>
      </c>
      <c r="G1303" s="114">
        <v>1</v>
      </c>
      <c r="H1303" s="114">
        <v>3600</v>
      </c>
      <c r="I1303" s="114">
        <v>3600</v>
      </c>
      <c r="J1303" s="114">
        <v>3025</v>
      </c>
      <c r="K1303" s="114">
        <v>575</v>
      </c>
      <c r="L1303" s="114" t="str">
        <f t="shared" si="20"/>
        <v>INSERT INTO DETALLES_DOCUMENTO(NRO_DOCUMENTO,ID_TIPO,ID_PRODUCTO,CANTIDAD,PRECIO,VALOR_BRUTO,VALOR_NETO,VALOR_IVA) VALUES(640,1,170,1,3600,3600,3025,575);</v>
      </c>
    </row>
    <row r="1304" spans="1:12">
      <c r="A1304" s="114">
        <v>1</v>
      </c>
      <c r="B1304" s="114">
        <v>640</v>
      </c>
      <c r="C1304" s="139" t="s">
        <v>2270</v>
      </c>
      <c r="D1304" s="114" t="s">
        <v>2090</v>
      </c>
      <c r="E1304" s="114">
        <v>265</v>
      </c>
      <c r="F1304" s="114">
        <v>379</v>
      </c>
      <c r="G1304" s="114">
        <v>1</v>
      </c>
      <c r="H1304" s="114">
        <v>2000</v>
      </c>
      <c r="I1304" s="114">
        <v>2000</v>
      </c>
      <c r="J1304" s="114">
        <v>1681</v>
      </c>
      <c r="K1304" s="114">
        <v>319</v>
      </c>
      <c r="L1304" s="114" t="str">
        <f t="shared" si="20"/>
        <v>INSERT INTO DETALLES_DOCUMENTO(NRO_DOCUMENTO,ID_TIPO,ID_PRODUCTO,CANTIDAD,PRECIO,VALOR_BRUTO,VALOR_NETO,VALOR_IVA) VALUES(640,1,379,1,2000,2000,1681,319);</v>
      </c>
    </row>
    <row r="1305" spans="1:12">
      <c r="A1305" s="114">
        <v>1</v>
      </c>
      <c r="B1305" s="114">
        <v>640</v>
      </c>
      <c r="C1305" s="139" t="s">
        <v>2270</v>
      </c>
      <c r="D1305" s="114" t="s">
        <v>2090</v>
      </c>
      <c r="E1305" s="114">
        <v>265</v>
      </c>
      <c r="F1305" s="114">
        <v>378</v>
      </c>
      <c r="G1305" s="114">
        <v>1</v>
      </c>
      <c r="H1305" s="114">
        <v>1200</v>
      </c>
      <c r="I1305" s="114">
        <v>1200</v>
      </c>
      <c r="J1305" s="114">
        <v>1008</v>
      </c>
      <c r="K1305" s="114">
        <v>192</v>
      </c>
      <c r="L1305" s="114" t="str">
        <f t="shared" si="20"/>
        <v>INSERT INTO DETALLES_DOCUMENTO(NRO_DOCUMENTO,ID_TIPO,ID_PRODUCTO,CANTIDAD,PRECIO,VALOR_BRUTO,VALOR_NETO,VALOR_IVA) VALUES(640,1,378,1,1200,1200,1008,192);</v>
      </c>
    </row>
    <row r="1306" spans="1:12">
      <c r="A1306" s="114">
        <v>1</v>
      </c>
      <c r="B1306" s="114">
        <v>640</v>
      </c>
      <c r="C1306" s="139" t="s">
        <v>2270</v>
      </c>
      <c r="D1306" s="114" t="s">
        <v>2090</v>
      </c>
      <c r="E1306" s="114">
        <v>265</v>
      </c>
      <c r="F1306" s="114">
        <v>166</v>
      </c>
      <c r="G1306" s="114">
        <v>1</v>
      </c>
      <c r="H1306" s="114">
        <v>1600</v>
      </c>
      <c r="I1306" s="114">
        <v>1600</v>
      </c>
      <c r="J1306" s="114">
        <v>1345</v>
      </c>
      <c r="K1306" s="114">
        <v>255</v>
      </c>
      <c r="L1306" s="114" t="str">
        <f t="shared" si="20"/>
        <v>INSERT INTO DETALLES_DOCUMENTO(NRO_DOCUMENTO,ID_TIPO,ID_PRODUCTO,CANTIDAD,PRECIO,VALOR_BRUTO,VALOR_NETO,VALOR_IVA) VALUES(640,1,166,1,1600,1600,1345,255);</v>
      </c>
    </row>
    <row r="1307" spans="1:12">
      <c r="A1307" s="114">
        <v>1</v>
      </c>
      <c r="B1307" s="114">
        <v>641</v>
      </c>
      <c r="C1307" s="139" t="s">
        <v>2270</v>
      </c>
      <c r="D1307" s="114" t="s">
        <v>2090</v>
      </c>
      <c r="E1307" s="114">
        <v>274</v>
      </c>
      <c r="F1307" s="114">
        <v>231</v>
      </c>
      <c r="G1307" s="114">
        <v>1</v>
      </c>
      <c r="H1307" s="114">
        <v>20900</v>
      </c>
      <c r="I1307" s="114">
        <v>20900</v>
      </c>
      <c r="J1307" s="114">
        <v>17563</v>
      </c>
      <c r="K1307" s="114">
        <v>3337</v>
      </c>
      <c r="L1307" s="114" t="str">
        <f t="shared" si="20"/>
        <v>INSERT INTO DETALLES_DOCUMENTO(NRO_DOCUMENTO,ID_TIPO,ID_PRODUCTO,CANTIDAD,PRECIO,VALOR_BRUTO,VALOR_NETO,VALOR_IVA) VALUES(641,1,231,1,20900,20900,17563,3337);</v>
      </c>
    </row>
    <row r="1308" spans="1:12">
      <c r="A1308" s="114">
        <v>1</v>
      </c>
      <c r="B1308" s="114">
        <v>641</v>
      </c>
      <c r="C1308" s="139" t="s">
        <v>2270</v>
      </c>
      <c r="D1308" s="114" t="s">
        <v>2090</v>
      </c>
      <c r="E1308" s="114">
        <v>274</v>
      </c>
      <c r="F1308" s="114">
        <v>264</v>
      </c>
      <c r="G1308" s="114">
        <v>1</v>
      </c>
      <c r="H1308" s="114">
        <v>5000</v>
      </c>
      <c r="I1308" s="114">
        <v>5000</v>
      </c>
      <c r="J1308" s="114">
        <v>4202</v>
      </c>
      <c r="K1308" s="114">
        <v>798</v>
      </c>
      <c r="L1308" s="114" t="str">
        <f t="shared" si="20"/>
        <v>INSERT INTO DETALLES_DOCUMENTO(NRO_DOCUMENTO,ID_TIPO,ID_PRODUCTO,CANTIDAD,PRECIO,VALOR_BRUTO,VALOR_NETO,VALOR_IVA) VALUES(641,1,264,1,5000,5000,4202,798);</v>
      </c>
    </row>
    <row r="1309" spans="1:12">
      <c r="A1309" s="114">
        <v>1</v>
      </c>
      <c r="B1309" s="114">
        <v>642</v>
      </c>
      <c r="C1309" s="139" t="s">
        <v>2270</v>
      </c>
      <c r="D1309" s="114" t="s">
        <v>2090</v>
      </c>
      <c r="E1309" s="114">
        <v>282</v>
      </c>
      <c r="F1309" s="114">
        <v>324</v>
      </c>
      <c r="G1309" s="114">
        <v>1</v>
      </c>
      <c r="H1309" s="114">
        <v>10500</v>
      </c>
      <c r="I1309" s="114">
        <v>10500</v>
      </c>
      <c r="J1309" s="114">
        <v>8824</v>
      </c>
      <c r="K1309" s="114">
        <v>1676</v>
      </c>
      <c r="L1309" s="114" t="str">
        <f t="shared" si="20"/>
        <v>INSERT INTO DETALLES_DOCUMENTO(NRO_DOCUMENTO,ID_TIPO,ID_PRODUCTO,CANTIDAD,PRECIO,VALOR_BRUTO,VALOR_NETO,VALOR_IVA) VALUES(642,1,324,1,10500,10500,8824,1676);</v>
      </c>
    </row>
    <row r="1310" spans="1:12">
      <c r="A1310" s="114">
        <v>1</v>
      </c>
      <c r="B1310" s="114">
        <v>643</v>
      </c>
      <c r="C1310" s="139" t="s">
        <v>2270</v>
      </c>
      <c r="D1310" s="114" t="s">
        <v>2090</v>
      </c>
      <c r="E1310" s="114">
        <v>287</v>
      </c>
      <c r="F1310" s="114">
        <v>324</v>
      </c>
      <c r="G1310" s="114">
        <v>1</v>
      </c>
      <c r="H1310" s="114">
        <v>10500</v>
      </c>
      <c r="I1310" s="114">
        <v>10500</v>
      </c>
      <c r="J1310" s="114">
        <v>8824</v>
      </c>
      <c r="K1310" s="114">
        <v>1676</v>
      </c>
      <c r="L1310" s="114" t="str">
        <f t="shared" si="20"/>
        <v>INSERT INTO DETALLES_DOCUMENTO(NRO_DOCUMENTO,ID_TIPO,ID_PRODUCTO,CANTIDAD,PRECIO,VALOR_BRUTO,VALOR_NETO,VALOR_IVA) VALUES(643,1,324,1,10500,10500,8824,1676);</v>
      </c>
    </row>
    <row r="1311" spans="1:12">
      <c r="A1311" s="114">
        <v>1</v>
      </c>
      <c r="B1311" s="114">
        <v>644</v>
      </c>
      <c r="C1311" s="139" t="s">
        <v>2270</v>
      </c>
      <c r="D1311" s="114" t="s">
        <v>2090</v>
      </c>
      <c r="E1311" s="114">
        <v>313</v>
      </c>
      <c r="F1311" s="114">
        <v>324</v>
      </c>
      <c r="G1311" s="114">
        <v>1</v>
      </c>
      <c r="H1311" s="114">
        <v>10500</v>
      </c>
      <c r="I1311" s="114">
        <v>10500</v>
      </c>
      <c r="J1311" s="114">
        <v>8824</v>
      </c>
      <c r="K1311" s="114">
        <v>1676</v>
      </c>
      <c r="L1311" s="114" t="str">
        <f t="shared" si="20"/>
        <v>INSERT INTO DETALLES_DOCUMENTO(NRO_DOCUMENTO,ID_TIPO,ID_PRODUCTO,CANTIDAD,PRECIO,VALOR_BRUTO,VALOR_NETO,VALOR_IVA) VALUES(644,1,324,1,10500,10500,8824,1676);</v>
      </c>
    </row>
    <row r="1312" spans="1:12">
      <c r="A1312" s="114">
        <v>1</v>
      </c>
      <c r="B1312" s="114">
        <v>645</v>
      </c>
      <c r="C1312" s="139" t="s">
        <v>2270</v>
      </c>
      <c r="D1312" s="114" t="s">
        <v>2090</v>
      </c>
      <c r="E1312" s="114">
        <v>315</v>
      </c>
      <c r="F1312" s="114">
        <v>329</v>
      </c>
      <c r="G1312" s="114">
        <v>1</v>
      </c>
      <c r="H1312" s="114">
        <v>5500</v>
      </c>
      <c r="I1312" s="114">
        <v>5500</v>
      </c>
      <c r="J1312" s="114">
        <v>4622</v>
      </c>
      <c r="K1312" s="114">
        <v>878</v>
      </c>
      <c r="L1312" s="114" t="str">
        <f t="shared" si="20"/>
        <v>INSERT INTO DETALLES_DOCUMENTO(NRO_DOCUMENTO,ID_TIPO,ID_PRODUCTO,CANTIDAD,PRECIO,VALOR_BRUTO,VALOR_NETO,VALOR_IVA) VALUES(645,1,329,1,5500,5500,4622,878);</v>
      </c>
    </row>
    <row r="1313" spans="1:12">
      <c r="A1313" s="114">
        <v>1</v>
      </c>
      <c r="B1313" s="114">
        <v>646</v>
      </c>
      <c r="C1313" s="139" t="s">
        <v>2270</v>
      </c>
      <c r="D1313" s="114" t="s">
        <v>2090</v>
      </c>
      <c r="E1313" s="114">
        <v>320</v>
      </c>
      <c r="F1313" s="114">
        <v>324</v>
      </c>
      <c r="G1313" s="114">
        <v>1</v>
      </c>
      <c r="H1313" s="114">
        <v>10500</v>
      </c>
      <c r="I1313" s="114">
        <v>10500</v>
      </c>
      <c r="J1313" s="114">
        <v>8824</v>
      </c>
      <c r="K1313" s="114">
        <v>1676</v>
      </c>
      <c r="L1313" s="114" t="str">
        <f t="shared" si="20"/>
        <v>INSERT INTO DETALLES_DOCUMENTO(NRO_DOCUMENTO,ID_TIPO,ID_PRODUCTO,CANTIDAD,PRECIO,VALOR_BRUTO,VALOR_NETO,VALOR_IVA) VALUES(646,1,324,1,10500,10500,8824,1676);</v>
      </c>
    </row>
    <row r="1314" spans="1:12">
      <c r="A1314" s="114">
        <v>1</v>
      </c>
      <c r="B1314" s="114">
        <v>646</v>
      </c>
      <c r="C1314" s="139" t="s">
        <v>2270</v>
      </c>
      <c r="D1314" s="114" t="s">
        <v>2090</v>
      </c>
      <c r="E1314" s="114">
        <v>320</v>
      </c>
      <c r="F1314" s="114">
        <v>143</v>
      </c>
      <c r="G1314" s="114">
        <v>1</v>
      </c>
      <c r="H1314" s="114">
        <v>8300</v>
      </c>
      <c r="I1314" s="114">
        <v>8300</v>
      </c>
      <c r="J1314" s="114">
        <v>6975</v>
      </c>
      <c r="K1314" s="114">
        <v>1325</v>
      </c>
      <c r="L1314" s="114" t="str">
        <f t="shared" si="20"/>
        <v>INSERT INTO DETALLES_DOCUMENTO(NRO_DOCUMENTO,ID_TIPO,ID_PRODUCTO,CANTIDAD,PRECIO,VALOR_BRUTO,VALOR_NETO,VALOR_IVA) VALUES(646,1,143,1,8300,8300,6975,1325);</v>
      </c>
    </row>
    <row r="1315" spans="1:12">
      <c r="A1315" s="114">
        <v>1</v>
      </c>
      <c r="B1315" s="114">
        <v>647</v>
      </c>
      <c r="C1315" s="139" t="s">
        <v>2270</v>
      </c>
      <c r="D1315" s="114" t="s">
        <v>2090</v>
      </c>
      <c r="E1315" s="114">
        <v>323</v>
      </c>
      <c r="F1315" s="114">
        <v>324</v>
      </c>
      <c r="G1315" s="114">
        <v>1</v>
      </c>
      <c r="H1315" s="114">
        <v>10500</v>
      </c>
      <c r="I1315" s="114">
        <v>10500</v>
      </c>
      <c r="J1315" s="114">
        <v>8824</v>
      </c>
      <c r="K1315" s="114">
        <v>1676</v>
      </c>
      <c r="L1315" s="114" t="str">
        <f t="shared" si="20"/>
        <v>INSERT INTO DETALLES_DOCUMENTO(NRO_DOCUMENTO,ID_TIPO,ID_PRODUCTO,CANTIDAD,PRECIO,VALOR_BRUTO,VALOR_NETO,VALOR_IVA) VALUES(647,1,324,1,10500,10500,8824,1676);</v>
      </c>
    </row>
    <row r="1316" spans="1:12">
      <c r="A1316" s="114">
        <v>1</v>
      </c>
      <c r="B1316" s="114">
        <v>648</v>
      </c>
      <c r="C1316" s="139" t="s">
        <v>2270</v>
      </c>
      <c r="D1316" s="114" t="s">
        <v>2090</v>
      </c>
      <c r="E1316" s="114">
        <v>360</v>
      </c>
      <c r="F1316" s="114">
        <v>329</v>
      </c>
      <c r="G1316" s="114">
        <v>1</v>
      </c>
      <c r="H1316" s="114">
        <v>5500</v>
      </c>
      <c r="I1316" s="114">
        <v>5500</v>
      </c>
      <c r="J1316" s="114">
        <v>4622</v>
      </c>
      <c r="K1316" s="114">
        <v>878</v>
      </c>
      <c r="L1316" s="114" t="str">
        <f t="shared" si="20"/>
        <v>INSERT INTO DETALLES_DOCUMENTO(NRO_DOCUMENTO,ID_TIPO,ID_PRODUCTO,CANTIDAD,PRECIO,VALOR_BRUTO,VALOR_NETO,VALOR_IVA) VALUES(648,1,329,1,5500,5500,4622,878);</v>
      </c>
    </row>
    <row r="1317" spans="1:12">
      <c r="A1317" s="114">
        <v>1</v>
      </c>
      <c r="B1317" s="114">
        <v>649</v>
      </c>
      <c r="C1317" s="139" t="s">
        <v>2270</v>
      </c>
      <c r="D1317" s="114" t="s">
        <v>2090</v>
      </c>
      <c r="E1317" s="114">
        <v>393</v>
      </c>
      <c r="F1317" s="114">
        <v>329</v>
      </c>
      <c r="G1317" s="114">
        <v>1</v>
      </c>
      <c r="H1317" s="114">
        <v>5500</v>
      </c>
      <c r="I1317" s="114">
        <v>5500</v>
      </c>
      <c r="J1317" s="114">
        <v>4622</v>
      </c>
      <c r="K1317" s="114">
        <v>878</v>
      </c>
      <c r="L1317" s="114" t="str">
        <f t="shared" si="20"/>
        <v>INSERT INTO DETALLES_DOCUMENTO(NRO_DOCUMENTO,ID_TIPO,ID_PRODUCTO,CANTIDAD,PRECIO,VALOR_BRUTO,VALOR_NETO,VALOR_IVA) VALUES(649,1,329,1,5500,5500,4622,878);</v>
      </c>
    </row>
    <row r="1318" spans="1:12">
      <c r="A1318" s="114">
        <v>1</v>
      </c>
      <c r="B1318" s="114">
        <v>649</v>
      </c>
      <c r="C1318" s="139" t="s">
        <v>2270</v>
      </c>
      <c r="D1318" s="114" t="s">
        <v>2090</v>
      </c>
      <c r="E1318" s="114">
        <v>393</v>
      </c>
      <c r="F1318" s="114">
        <v>382</v>
      </c>
      <c r="G1318" s="114">
        <v>1</v>
      </c>
      <c r="H1318" s="114">
        <v>2600</v>
      </c>
      <c r="I1318" s="114">
        <v>2600</v>
      </c>
      <c r="J1318" s="114">
        <v>2185</v>
      </c>
      <c r="K1318" s="114">
        <v>415</v>
      </c>
      <c r="L1318" s="114" t="str">
        <f t="shared" si="20"/>
        <v>INSERT INTO DETALLES_DOCUMENTO(NRO_DOCUMENTO,ID_TIPO,ID_PRODUCTO,CANTIDAD,PRECIO,VALOR_BRUTO,VALOR_NETO,VALOR_IVA) VALUES(649,1,382,1,2600,2600,2185,415);</v>
      </c>
    </row>
    <row r="1319" spans="1:12">
      <c r="A1319" s="114">
        <v>1</v>
      </c>
      <c r="B1319" s="114">
        <v>650</v>
      </c>
      <c r="C1319" s="139" t="s">
        <v>2270</v>
      </c>
      <c r="D1319" s="114" t="s">
        <v>2090</v>
      </c>
      <c r="E1319" s="114">
        <v>402</v>
      </c>
      <c r="F1319" s="114">
        <v>324</v>
      </c>
      <c r="G1319" s="114">
        <v>1</v>
      </c>
      <c r="H1319" s="114">
        <v>10500</v>
      </c>
      <c r="I1319" s="114">
        <v>10500</v>
      </c>
      <c r="J1319" s="114">
        <v>8824</v>
      </c>
      <c r="K1319" s="114">
        <v>1676</v>
      </c>
      <c r="L1319" s="114" t="str">
        <f t="shared" si="20"/>
        <v>INSERT INTO DETALLES_DOCUMENTO(NRO_DOCUMENTO,ID_TIPO,ID_PRODUCTO,CANTIDAD,PRECIO,VALOR_BRUTO,VALOR_NETO,VALOR_IVA) VALUES(650,1,324,1,10500,10500,8824,1676);</v>
      </c>
    </row>
    <row r="1320" spans="1:12">
      <c r="A1320" s="114">
        <v>1</v>
      </c>
      <c r="B1320" s="114">
        <v>651</v>
      </c>
      <c r="C1320" s="139" t="s">
        <v>2270</v>
      </c>
      <c r="D1320" s="114" t="s">
        <v>2090</v>
      </c>
      <c r="E1320" s="114">
        <v>407</v>
      </c>
      <c r="F1320" s="114">
        <v>118</v>
      </c>
      <c r="G1320" s="114">
        <v>1</v>
      </c>
      <c r="H1320" s="114">
        <v>3500</v>
      </c>
      <c r="I1320" s="114">
        <v>3500</v>
      </c>
      <c r="J1320" s="114">
        <v>2941</v>
      </c>
      <c r="K1320" s="114">
        <v>559</v>
      </c>
      <c r="L1320" s="114" t="str">
        <f t="shared" si="20"/>
        <v>INSERT INTO DETALLES_DOCUMENTO(NRO_DOCUMENTO,ID_TIPO,ID_PRODUCTO,CANTIDAD,PRECIO,VALOR_BRUTO,VALOR_NETO,VALOR_IVA) VALUES(651,1,118,1,3500,3500,2941,559);</v>
      </c>
    </row>
    <row r="1321" spans="1:12">
      <c r="A1321" s="114">
        <v>1</v>
      </c>
      <c r="B1321" s="114">
        <v>651</v>
      </c>
      <c r="C1321" s="139" t="s">
        <v>2270</v>
      </c>
      <c r="D1321" s="114" t="s">
        <v>2090</v>
      </c>
      <c r="E1321" s="114">
        <v>407</v>
      </c>
      <c r="F1321" s="114">
        <v>329</v>
      </c>
      <c r="G1321" s="114">
        <v>1</v>
      </c>
      <c r="H1321" s="114">
        <v>5500</v>
      </c>
      <c r="I1321" s="114">
        <v>5500</v>
      </c>
      <c r="J1321" s="114">
        <v>4622</v>
      </c>
      <c r="K1321" s="114">
        <v>878</v>
      </c>
      <c r="L1321" s="114" t="str">
        <f t="shared" si="20"/>
        <v>INSERT INTO DETALLES_DOCUMENTO(NRO_DOCUMENTO,ID_TIPO,ID_PRODUCTO,CANTIDAD,PRECIO,VALOR_BRUTO,VALOR_NETO,VALOR_IVA) VALUES(651,1,329,1,5500,5500,4622,878);</v>
      </c>
    </row>
    <row r="1322" spans="1:12">
      <c r="A1322" s="114">
        <v>1</v>
      </c>
      <c r="B1322" s="114">
        <v>652</v>
      </c>
      <c r="C1322" s="139" t="s">
        <v>2270</v>
      </c>
      <c r="D1322" s="114" t="s">
        <v>2090</v>
      </c>
      <c r="E1322" s="114">
        <v>411</v>
      </c>
      <c r="F1322" s="114">
        <v>324</v>
      </c>
      <c r="G1322" s="114">
        <v>1</v>
      </c>
      <c r="H1322" s="114">
        <v>10500</v>
      </c>
      <c r="I1322" s="114">
        <v>10500</v>
      </c>
      <c r="J1322" s="114">
        <v>8824</v>
      </c>
      <c r="K1322" s="114">
        <v>1676</v>
      </c>
      <c r="L1322" s="114" t="str">
        <f t="shared" si="20"/>
        <v>INSERT INTO DETALLES_DOCUMENTO(NRO_DOCUMENTO,ID_TIPO,ID_PRODUCTO,CANTIDAD,PRECIO,VALOR_BRUTO,VALOR_NETO,VALOR_IVA) VALUES(652,1,324,1,10500,10500,8824,1676);</v>
      </c>
    </row>
    <row r="1323" spans="1:12">
      <c r="A1323" s="114">
        <v>1</v>
      </c>
      <c r="B1323" s="114">
        <v>653</v>
      </c>
      <c r="C1323" s="139" t="s">
        <v>2270</v>
      </c>
      <c r="D1323" s="114" t="s">
        <v>2090</v>
      </c>
      <c r="E1323" s="114">
        <v>418</v>
      </c>
      <c r="F1323" s="114">
        <v>324</v>
      </c>
      <c r="G1323" s="114">
        <v>1</v>
      </c>
      <c r="H1323" s="114">
        <v>10500</v>
      </c>
      <c r="I1323" s="114">
        <v>10500</v>
      </c>
      <c r="J1323" s="114">
        <v>8824</v>
      </c>
      <c r="K1323" s="114">
        <v>1676</v>
      </c>
      <c r="L1323" s="114" t="str">
        <f t="shared" si="20"/>
        <v>INSERT INTO DETALLES_DOCUMENTO(NRO_DOCUMENTO,ID_TIPO,ID_PRODUCTO,CANTIDAD,PRECIO,VALOR_BRUTO,VALOR_NETO,VALOR_IVA) VALUES(653,1,324,1,10500,10500,8824,1676);</v>
      </c>
    </row>
    <row r="1324" spans="1:12">
      <c r="A1324" s="114">
        <v>1</v>
      </c>
      <c r="B1324" s="114">
        <v>654</v>
      </c>
      <c r="C1324" s="139" t="s">
        <v>2270</v>
      </c>
      <c r="D1324" s="114" t="s">
        <v>2090</v>
      </c>
      <c r="E1324" s="114">
        <v>427</v>
      </c>
      <c r="F1324" s="114">
        <v>329</v>
      </c>
      <c r="G1324" s="114">
        <v>1</v>
      </c>
      <c r="H1324" s="114">
        <v>5500</v>
      </c>
      <c r="I1324" s="114">
        <v>5500</v>
      </c>
      <c r="J1324" s="114">
        <v>4622</v>
      </c>
      <c r="K1324" s="114">
        <v>878</v>
      </c>
      <c r="L1324" s="114" t="str">
        <f t="shared" si="20"/>
        <v>INSERT INTO DETALLES_DOCUMENTO(NRO_DOCUMENTO,ID_TIPO,ID_PRODUCTO,CANTIDAD,PRECIO,VALOR_BRUTO,VALOR_NETO,VALOR_IVA) VALUES(654,1,329,1,5500,5500,4622,878);</v>
      </c>
    </row>
    <row r="1325" spans="1:12">
      <c r="A1325" s="114">
        <v>1</v>
      </c>
      <c r="B1325" s="114">
        <v>655</v>
      </c>
      <c r="C1325" s="139" t="s">
        <v>2270</v>
      </c>
      <c r="D1325" s="114" t="s">
        <v>2090</v>
      </c>
      <c r="E1325" s="114">
        <v>430</v>
      </c>
      <c r="F1325" s="114">
        <v>324</v>
      </c>
      <c r="G1325" s="114">
        <v>1</v>
      </c>
      <c r="H1325" s="114">
        <v>10500</v>
      </c>
      <c r="I1325" s="114">
        <v>10500</v>
      </c>
      <c r="J1325" s="114">
        <v>8824</v>
      </c>
      <c r="K1325" s="114">
        <v>1676</v>
      </c>
      <c r="L1325" s="114" t="str">
        <f t="shared" si="20"/>
        <v>INSERT INTO DETALLES_DOCUMENTO(NRO_DOCUMENTO,ID_TIPO,ID_PRODUCTO,CANTIDAD,PRECIO,VALOR_BRUTO,VALOR_NETO,VALOR_IVA) VALUES(655,1,324,1,10500,10500,8824,1676);</v>
      </c>
    </row>
    <row r="1326" spans="1:12">
      <c r="A1326" s="114">
        <v>1</v>
      </c>
      <c r="B1326" s="114">
        <v>655</v>
      </c>
      <c r="C1326" s="139" t="s">
        <v>2270</v>
      </c>
      <c r="D1326" s="114" t="s">
        <v>2090</v>
      </c>
      <c r="E1326" s="114">
        <v>430</v>
      </c>
      <c r="F1326" s="114">
        <v>329</v>
      </c>
      <c r="G1326" s="114">
        <v>1</v>
      </c>
      <c r="H1326" s="114">
        <v>5500</v>
      </c>
      <c r="I1326" s="114">
        <v>5500</v>
      </c>
      <c r="J1326" s="114">
        <v>4622</v>
      </c>
      <c r="K1326" s="114">
        <v>878</v>
      </c>
      <c r="L1326" s="114" t="str">
        <f t="shared" si="20"/>
        <v>INSERT INTO DETALLES_DOCUMENTO(NRO_DOCUMENTO,ID_TIPO,ID_PRODUCTO,CANTIDAD,PRECIO,VALOR_BRUTO,VALOR_NETO,VALOR_IVA) VALUES(655,1,329,1,5500,5500,4622,878);</v>
      </c>
    </row>
    <row r="1327" spans="1:12">
      <c r="A1327" s="114">
        <v>1</v>
      </c>
      <c r="B1327" s="114">
        <v>656</v>
      </c>
      <c r="C1327" s="139" t="s">
        <v>2270</v>
      </c>
      <c r="D1327" s="114" t="s">
        <v>2090</v>
      </c>
      <c r="E1327" s="114">
        <v>450</v>
      </c>
      <c r="F1327" s="114">
        <v>324</v>
      </c>
      <c r="G1327" s="114">
        <v>1</v>
      </c>
      <c r="H1327" s="114">
        <v>10500</v>
      </c>
      <c r="I1327" s="114">
        <v>10500</v>
      </c>
      <c r="J1327" s="114">
        <v>8824</v>
      </c>
      <c r="K1327" s="114">
        <v>1676</v>
      </c>
      <c r="L1327" s="114" t="str">
        <f t="shared" si="20"/>
        <v>INSERT INTO DETALLES_DOCUMENTO(NRO_DOCUMENTO,ID_TIPO,ID_PRODUCTO,CANTIDAD,PRECIO,VALOR_BRUTO,VALOR_NETO,VALOR_IVA) VALUES(656,1,324,1,10500,10500,8824,1676);</v>
      </c>
    </row>
    <row r="1328" spans="1:12">
      <c r="A1328" s="114">
        <v>1</v>
      </c>
      <c r="B1328" s="114">
        <v>656</v>
      </c>
      <c r="C1328" s="139" t="s">
        <v>2270</v>
      </c>
      <c r="D1328" s="114" t="s">
        <v>2090</v>
      </c>
      <c r="E1328" s="114">
        <v>450</v>
      </c>
      <c r="F1328" s="114">
        <v>125</v>
      </c>
      <c r="G1328" s="114">
        <v>1</v>
      </c>
      <c r="H1328" s="114">
        <v>1700</v>
      </c>
      <c r="I1328" s="114">
        <v>1700</v>
      </c>
      <c r="J1328" s="114">
        <v>1429</v>
      </c>
      <c r="K1328" s="114">
        <v>271</v>
      </c>
      <c r="L1328" s="114" t="str">
        <f t="shared" si="20"/>
        <v>INSERT INTO DETALLES_DOCUMENTO(NRO_DOCUMENTO,ID_TIPO,ID_PRODUCTO,CANTIDAD,PRECIO,VALOR_BRUTO,VALOR_NETO,VALOR_IVA) VALUES(656,1,125,1,1700,1700,1429,271);</v>
      </c>
    </row>
    <row r="1329" spans="1:12">
      <c r="A1329" s="114">
        <v>1</v>
      </c>
      <c r="B1329" s="114">
        <v>657</v>
      </c>
      <c r="C1329" s="139" t="s">
        <v>2270</v>
      </c>
      <c r="D1329" s="114" t="s">
        <v>2090</v>
      </c>
      <c r="E1329" s="114">
        <v>457</v>
      </c>
      <c r="F1329" s="114">
        <v>324</v>
      </c>
      <c r="G1329" s="114">
        <v>1</v>
      </c>
      <c r="H1329" s="114">
        <v>10500</v>
      </c>
      <c r="I1329" s="114">
        <v>10500</v>
      </c>
      <c r="J1329" s="114">
        <v>8824</v>
      </c>
      <c r="K1329" s="114">
        <v>1676</v>
      </c>
      <c r="L1329" s="114" t="str">
        <f t="shared" si="20"/>
        <v>INSERT INTO DETALLES_DOCUMENTO(NRO_DOCUMENTO,ID_TIPO,ID_PRODUCTO,CANTIDAD,PRECIO,VALOR_BRUTO,VALOR_NETO,VALOR_IVA) VALUES(657,1,324,1,10500,10500,8824,1676);</v>
      </c>
    </row>
    <row r="1330" spans="1:12">
      <c r="A1330" s="114">
        <v>1</v>
      </c>
      <c r="B1330" s="114">
        <v>658</v>
      </c>
      <c r="C1330" s="139" t="s">
        <v>2270</v>
      </c>
      <c r="D1330" s="114" t="s">
        <v>2090</v>
      </c>
      <c r="E1330" s="114">
        <v>466</v>
      </c>
      <c r="F1330" s="114">
        <v>324</v>
      </c>
      <c r="G1330" s="114">
        <v>1</v>
      </c>
      <c r="H1330" s="114">
        <v>10500</v>
      </c>
      <c r="I1330" s="114">
        <v>10500</v>
      </c>
      <c r="J1330" s="114">
        <v>8824</v>
      </c>
      <c r="K1330" s="114">
        <v>1676</v>
      </c>
      <c r="L1330" s="114" t="str">
        <f t="shared" si="20"/>
        <v>INSERT INTO DETALLES_DOCUMENTO(NRO_DOCUMENTO,ID_TIPO,ID_PRODUCTO,CANTIDAD,PRECIO,VALOR_BRUTO,VALOR_NETO,VALOR_IVA) VALUES(658,1,324,1,10500,10500,8824,1676);</v>
      </c>
    </row>
    <row r="1331" spans="1:12">
      <c r="A1331" s="114">
        <v>1</v>
      </c>
      <c r="B1331" s="114">
        <v>659</v>
      </c>
      <c r="C1331" s="139" t="s">
        <v>2270</v>
      </c>
      <c r="D1331" s="114" t="s">
        <v>2090</v>
      </c>
      <c r="E1331" s="114">
        <v>477</v>
      </c>
      <c r="F1331" s="114">
        <v>324</v>
      </c>
      <c r="G1331" s="114">
        <v>1</v>
      </c>
      <c r="H1331" s="114">
        <v>10500</v>
      </c>
      <c r="I1331" s="114">
        <v>10500</v>
      </c>
      <c r="J1331" s="114">
        <v>8824</v>
      </c>
      <c r="K1331" s="114">
        <v>1676</v>
      </c>
      <c r="L1331" s="114" t="str">
        <f t="shared" si="20"/>
        <v>INSERT INTO DETALLES_DOCUMENTO(NRO_DOCUMENTO,ID_TIPO,ID_PRODUCTO,CANTIDAD,PRECIO,VALOR_BRUTO,VALOR_NETO,VALOR_IVA) VALUES(659,1,324,1,10500,10500,8824,1676);</v>
      </c>
    </row>
    <row r="1332" spans="1:12">
      <c r="A1332" s="114">
        <v>1</v>
      </c>
      <c r="B1332" s="114">
        <v>660</v>
      </c>
      <c r="C1332" s="139" t="s">
        <v>2271</v>
      </c>
      <c r="D1332" s="114" t="s">
        <v>2090</v>
      </c>
      <c r="E1332" s="114">
        <v>425</v>
      </c>
      <c r="F1332" s="114">
        <v>7</v>
      </c>
      <c r="G1332" s="114">
        <v>1</v>
      </c>
      <c r="H1332" s="114">
        <v>7000</v>
      </c>
      <c r="I1332" s="114">
        <v>7000</v>
      </c>
      <c r="J1332" s="114">
        <v>5882</v>
      </c>
      <c r="K1332" s="114">
        <v>1118</v>
      </c>
      <c r="L1332" s="114" t="str">
        <f t="shared" si="20"/>
        <v>INSERT INTO DETALLES_DOCUMENTO(NRO_DOCUMENTO,ID_TIPO,ID_PRODUCTO,CANTIDAD,PRECIO,VALOR_BRUTO,VALOR_NETO,VALOR_IVA) VALUES(660,1,7,1,7000,7000,5882,1118);</v>
      </c>
    </row>
    <row r="1333" spans="1:12">
      <c r="A1333" s="114">
        <v>1</v>
      </c>
      <c r="B1333" s="114">
        <v>661</v>
      </c>
      <c r="C1333" s="139" t="s">
        <v>2271</v>
      </c>
      <c r="D1333" s="114" t="s">
        <v>2090</v>
      </c>
      <c r="E1333" s="114">
        <v>443</v>
      </c>
      <c r="F1333" s="114">
        <v>135</v>
      </c>
      <c r="G1333" s="114">
        <v>3</v>
      </c>
      <c r="H1333" s="114">
        <v>3000</v>
      </c>
      <c r="I1333" s="114">
        <v>9000</v>
      </c>
      <c r="J1333" s="114">
        <v>7563</v>
      </c>
      <c r="K1333" s="114">
        <v>1437</v>
      </c>
      <c r="L1333" s="114" t="str">
        <f t="shared" si="20"/>
        <v>INSERT INTO DETALLES_DOCUMENTO(NRO_DOCUMENTO,ID_TIPO,ID_PRODUCTO,CANTIDAD,PRECIO,VALOR_BRUTO,VALOR_NETO,VALOR_IVA) VALUES(661,1,135,3,3000,9000,7563,1437);</v>
      </c>
    </row>
    <row r="1334" spans="1:12">
      <c r="A1334" s="114">
        <v>1</v>
      </c>
      <c r="B1334" s="114">
        <v>661</v>
      </c>
      <c r="C1334" s="139" t="s">
        <v>2271</v>
      </c>
      <c r="D1334" s="114" t="s">
        <v>2090</v>
      </c>
      <c r="E1334" s="114">
        <v>443</v>
      </c>
      <c r="F1334" s="114">
        <v>324</v>
      </c>
      <c r="G1334" s="114">
        <v>1</v>
      </c>
      <c r="H1334" s="114">
        <v>10500</v>
      </c>
      <c r="I1334" s="114">
        <v>10500</v>
      </c>
      <c r="J1334" s="114">
        <v>8824</v>
      </c>
      <c r="K1334" s="114">
        <v>1676</v>
      </c>
      <c r="L1334" s="114" t="str">
        <f t="shared" si="20"/>
        <v>INSERT INTO DETALLES_DOCUMENTO(NRO_DOCUMENTO,ID_TIPO,ID_PRODUCTO,CANTIDAD,PRECIO,VALOR_BRUTO,VALOR_NETO,VALOR_IVA) VALUES(661,1,324,1,10500,10500,8824,1676);</v>
      </c>
    </row>
    <row r="1335" spans="1:12">
      <c r="A1335" s="114">
        <v>1</v>
      </c>
      <c r="B1335" s="114">
        <v>661</v>
      </c>
      <c r="C1335" s="139" t="s">
        <v>2271</v>
      </c>
      <c r="D1335" s="114" t="s">
        <v>2090</v>
      </c>
      <c r="E1335" s="114">
        <v>443</v>
      </c>
      <c r="F1335" s="114">
        <v>143</v>
      </c>
      <c r="G1335" s="114">
        <v>1</v>
      </c>
      <c r="H1335" s="114">
        <v>8300</v>
      </c>
      <c r="I1335" s="114">
        <v>8300</v>
      </c>
      <c r="J1335" s="114">
        <v>6975</v>
      </c>
      <c r="K1335" s="114">
        <v>1325</v>
      </c>
      <c r="L1335" s="114" t="str">
        <f t="shared" si="20"/>
        <v>INSERT INTO DETALLES_DOCUMENTO(NRO_DOCUMENTO,ID_TIPO,ID_PRODUCTO,CANTIDAD,PRECIO,VALOR_BRUTO,VALOR_NETO,VALOR_IVA) VALUES(661,1,143,1,8300,8300,6975,1325);</v>
      </c>
    </row>
    <row r="1336" spans="1:12">
      <c r="A1336" s="114">
        <v>1</v>
      </c>
      <c r="B1336" s="114">
        <v>662</v>
      </c>
      <c r="C1336" s="139" t="s">
        <v>2272</v>
      </c>
      <c r="D1336" s="114" t="s">
        <v>2090</v>
      </c>
      <c r="E1336" s="114">
        <v>41</v>
      </c>
      <c r="F1336" s="114">
        <v>143</v>
      </c>
      <c r="G1336" s="114">
        <v>2</v>
      </c>
      <c r="H1336" s="114">
        <v>16600</v>
      </c>
      <c r="I1336" s="114">
        <v>33200</v>
      </c>
      <c r="J1336" s="114">
        <v>27899</v>
      </c>
      <c r="K1336" s="114">
        <v>5301</v>
      </c>
      <c r="L1336" s="114" t="str">
        <f t="shared" si="20"/>
        <v>INSERT INTO DETALLES_DOCUMENTO(NRO_DOCUMENTO,ID_TIPO,ID_PRODUCTO,CANTIDAD,PRECIO,VALOR_BRUTO,VALOR_NETO,VALOR_IVA) VALUES(662,1,143,2,16600,33200,27899,5301);</v>
      </c>
    </row>
    <row r="1337" spans="1:12">
      <c r="A1337" s="114">
        <v>1</v>
      </c>
      <c r="B1337" s="114">
        <v>663</v>
      </c>
      <c r="C1337" s="139" t="s">
        <v>2272</v>
      </c>
      <c r="D1337" s="114" t="s">
        <v>2090</v>
      </c>
      <c r="E1337" s="114">
        <v>151</v>
      </c>
      <c r="F1337" s="114">
        <v>165</v>
      </c>
      <c r="G1337" s="114">
        <v>1</v>
      </c>
      <c r="H1337" s="114">
        <v>2000</v>
      </c>
      <c r="I1337" s="114">
        <v>2000</v>
      </c>
      <c r="J1337" s="114">
        <v>1681</v>
      </c>
      <c r="K1337" s="114">
        <v>319</v>
      </c>
      <c r="L1337" s="114" t="str">
        <f t="shared" si="20"/>
        <v>INSERT INTO DETALLES_DOCUMENTO(NRO_DOCUMENTO,ID_TIPO,ID_PRODUCTO,CANTIDAD,PRECIO,VALOR_BRUTO,VALOR_NETO,VALOR_IVA) VALUES(663,1,165,1,2000,2000,1681,319);</v>
      </c>
    </row>
    <row r="1338" spans="1:12">
      <c r="A1338" s="114">
        <v>1</v>
      </c>
      <c r="B1338" s="114">
        <v>664</v>
      </c>
      <c r="C1338" s="139" t="s">
        <v>2272</v>
      </c>
      <c r="D1338" s="114" t="s">
        <v>2090</v>
      </c>
      <c r="E1338" s="114">
        <v>167</v>
      </c>
      <c r="F1338" s="114">
        <v>231</v>
      </c>
      <c r="G1338" s="114">
        <v>1</v>
      </c>
      <c r="H1338" s="114">
        <v>20900</v>
      </c>
      <c r="I1338" s="114">
        <v>20900</v>
      </c>
      <c r="J1338" s="114">
        <v>17563</v>
      </c>
      <c r="K1338" s="114">
        <v>3337</v>
      </c>
      <c r="L1338" s="114" t="str">
        <f t="shared" si="20"/>
        <v>INSERT INTO DETALLES_DOCUMENTO(NRO_DOCUMENTO,ID_TIPO,ID_PRODUCTO,CANTIDAD,PRECIO,VALOR_BRUTO,VALOR_NETO,VALOR_IVA) VALUES(664,1,231,1,20900,20900,17563,3337);</v>
      </c>
    </row>
    <row r="1339" spans="1:12">
      <c r="A1339" s="114">
        <v>1</v>
      </c>
      <c r="B1339" s="114">
        <v>664</v>
      </c>
      <c r="C1339" s="139" t="s">
        <v>2272</v>
      </c>
      <c r="D1339" s="114" t="s">
        <v>2090</v>
      </c>
      <c r="E1339" s="114">
        <v>167</v>
      </c>
      <c r="F1339" s="114">
        <v>124</v>
      </c>
      <c r="G1339" s="114">
        <v>1</v>
      </c>
      <c r="H1339" s="114">
        <v>4000</v>
      </c>
      <c r="I1339" s="114">
        <v>4000</v>
      </c>
      <c r="J1339" s="114">
        <v>3361</v>
      </c>
      <c r="K1339" s="114">
        <v>639</v>
      </c>
      <c r="L1339" s="114" t="str">
        <f t="shared" si="20"/>
        <v>INSERT INTO DETALLES_DOCUMENTO(NRO_DOCUMENTO,ID_TIPO,ID_PRODUCTO,CANTIDAD,PRECIO,VALOR_BRUTO,VALOR_NETO,VALOR_IVA) VALUES(664,1,124,1,4000,4000,3361,639);</v>
      </c>
    </row>
    <row r="1340" spans="1:12">
      <c r="A1340" s="114">
        <v>1</v>
      </c>
      <c r="B1340" s="114">
        <v>665</v>
      </c>
      <c r="C1340" s="139" t="s">
        <v>2272</v>
      </c>
      <c r="D1340" s="114" t="s">
        <v>2090</v>
      </c>
      <c r="E1340" s="114">
        <v>184</v>
      </c>
      <c r="F1340" s="114">
        <v>324</v>
      </c>
      <c r="G1340" s="114">
        <v>2</v>
      </c>
      <c r="H1340" s="114">
        <v>21000</v>
      </c>
      <c r="I1340" s="114">
        <v>42000</v>
      </c>
      <c r="J1340" s="114">
        <v>35294</v>
      </c>
      <c r="K1340" s="114">
        <v>6706</v>
      </c>
      <c r="L1340" s="114" t="str">
        <f t="shared" si="20"/>
        <v>INSERT INTO DETALLES_DOCUMENTO(NRO_DOCUMENTO,ID_TIPO,ID_PRODUCTO,CANTIDAD,PRECIO,VALOR_BRUTO,VALOR_NETO,VALOR_IVA) VALUES(665,1,324,2,21000,42000,35294,6706);</v>
      </c>
    </row>
    <row r="1341" spans="1:12">
      <c r="A1341" s="114">
        <v>1</v>
      </c>
      <c r="B1341" s="114">
        <v>666</v>
      </c>
      <c r="C1341" s="139" t="s">
        <v>2272</v>
      </c>
      <c r="D1341" s="114" t="s">
        <v>2090</v>
      </c>
      <c r="E1341" s="114">
        <v>187</v>
      </c>
      <c r="F1341" s="114">
        <v>324</v>
      </c>
      <c r="G1341" s="114">
        <v>1</v>
      </c>
      <c r="H1341" s="114">
        <v>10500</v>
      </c>
      <c r="I1341" s="114">
        <v>10500</v>
      </c>
      <c r="J1341" s="114">
        <v>8824</v>
      </c>
      <c r="K1341" s="114">
        <v>1676</v>
      </c>
      <c r="L1341" s="114" t="str">
        <f t="shared" si="20"/>
        <v>INSERT INTO DETALLES_DOCUMENTO(NRO_DOCUMENTO,ID_TIPO,ID_PRODUCTO,CANTIDAD,PRECIO,VALOR_BRUTO,VALOR_NETO,VALOR_IVA) VALUES(666,1,324,1,10500,10500,8824,1676);</v>
      </c>
    </row>
    <row r="1342" spans="1:12">
      <c r="A1342" s="114">
        <v>1</v>
      </c>
      <c r="B1342" s="114">
        <v>666</v>
      </c>
      <c r="C1342" s="139" t="s">
        <v>2272</v>
      </c>
      <c r="D1342" s="114" t="s">
        <v>2090</v>
      </c>
      <c r="E1342" s="114">
        <v>187</v>
      </c>
      <c r="F1342" s="114">
        <v>143</v>
      </c>
      <c r="G1342" s="114">
        <v>1</v>
      </c>
      <c r="H1342" s="114">
        <v>8300</v>
      </c>
      <c r="I1342" s="114">
        <v>8300</v>
      </c>
      <c r="J1342" s="114">
        <v>6975</v>
      </c>
      <c r="K1342" s="114">
        <v>1325</v>
      </c>
      <c r="L1342" s="114" t="str">
        <f t="shared" si="20"/>
        <v>INSERT INTO DETALLES_DOCUMENTO(NRO_DOCUMENTO,ID_TIPO,ID_PRODUCTO,CANTIDAD,PRECIO,VALOR_BRUTO,VALOR_NETO,VALOR_IVA) VALUES(666,1,143,1,8300,8300,6975,1325);</v>
      </c>
    </row>
    <row r="1343" spans="1:12">
      <c r="A1343" s="114">
        <v>1</v>
      </c>
      <c r="B1343" s="114">
        <v>667</v>
      </c>
      <c r="C1343" s="139" t="s">
        <v>2272</v>
      </c>
      <c r="D1343" s="114" t="s">
        <v>2090</v>
      </c>
      <c r="E1343" s="114">
        <v>242</v>
      </c>
      <c r="F1343" s="114">
        <v>143</v>
      </c>
      <c r="G1343" s="114">
        <v>1</v>
      </c>
      <c r="H1343" s="114">
        <v>8300</v>
      </c>
      <c r="I1343" s="114">
        <v>8300</v>
      </c>
      <c r="J1343" s="114">
        <v>6975</v>
      </c>
      <c r="K1343" s="114">
        <v>1325</v>
      </c>
      <c r="L1343" s="114" t="str">
        <f t="shared" si="20"/>
        <v>INSERT INTO DETALLES_DOCUMENTO(NRO_DOCUMENTO,ID_TIPO,ID_PRODUCTO,CANTIDAD,PRECIO,VALOR_BRUTO,VALOR_NETO,VALOR_IVA) VALUES(667,1,143,1,8300,8300,6975,1325);</v>
      </c>
    </row>
    <row r="1344" spans="1:12">
      <c r="A1344" s="114">
        <v>1</v>
      </c>
      <c r="B1344" s="114">
        <v>668</v>
      </c>
      <c r="C1344" s="139" t="s">
        <v>2272</v>
      </c>
      <c r="D1344" s="114" t="s">
        <v>2090</v>
      </c>
      <c r="E1344" s="114">
        <v>300</v>
      </c>
      <c r="F1344" s="114">
        <v>143</v>
      </c>
      <c r="G1344" s="114">
        <v>1</v>
      </c>
      <c r="H1344" s="114">
        <v>8300</v>
      </c>
      <c r="I1344" s="114">
        <v>8300</v>
      </c>
      <c r="J1344" s="114">
        <v>6975</v>
      </c>
      <c r="K1344" s="114">
        <v>1325</v>
      </c>
      <c r="L1344" s="114" t="str">
        <f t="shared" si="20"/>
        <v>INSERT INTO DETALLES_DOCUMENTO(NRO_DOCUMENTO,ID_TIPO,ID_PRODUCTO,CANTIDAD,PRECIO,VALOR_BRUTO,VALOR_NETO,VALOR_IVA) VALUES(668,1,143,1,8300,8300,6975,1325);</v>
      </c>
    </row>
    <row r="1345" spans="1:12">
      <c r="A1345" s="114">
        <v>1</v>
      </c>
      <c r="B1345" s="114">
        <v>669</v>
      </c>
      <c r="C1345" s="139" t="s">
        <v>2273</v>
      </c>
      <c r="D1345" s="114" t="s">
        <v>2090</v>
      </c>
      <c r="E1345" s="114">
        <v>166</v>
      </c>
      <c r="F1345" s="114">
        <v>327</v>
      </c>
      <c r="G1345" s="114">
        <v>1</v>
      </c>
      <c r="H1345" s="114">
        <v>3000</v>
      </c>
      <c r="I1345" s="114">
        <v>3000</v>
      </c>
      <c r="J1345" s="114">
        <v>2521</v>
      </c>
      <c r="K1345" s="114">
        <v>479</v>
      </c>
      <c r="L1345" s="114" t="str">
        <f t="shared" si="20"/>
        <v>INSERT INTO DETALLES_DOCUMENTO(NRO_DOCUMENTO,ID_TIPO,ID_PRODUCTO,CANTIDAD,PRECIO,VALOR_BRUTO,VALOR_NETO,VALOR_IVA) VALUES(669,1,327,1,3000,3000,2521,479);</v>
      </c>
    </row>
    <row r="1346" spans="1:12">
      <c r="A1346" s="114">
        <v>1</v>
      </c>
      <c r="B1346" s="114">
        <v>670</v>
      </c>
      <c r="C1346" s="139" t="s">
        <v>2273</v>
      </c>
      <c r="D1346" s="114" t="s">
        <v>2090</v>
      </c>
      <c r="E1346" s="114">
        <v>345</v>
      </c>
      <c r="F1346" s="114">
        <v>324</v>
      </c>
      <c r="G1346" s="114">
        <v>1</v>
      </c>
      <c r="H1346" s="114">
        <v>10500</v>
      </c>
      <c r="I1346" s="114">
        <v>10500</v>
      </c>
      <c r="J1346" s="114">
        <v>8824</v>
      </c>
      <c r="K1346" s="114">
        <v>1676</v>
      </c>
      <c r="L1346" s="114" t="str">
        <f t="shared" si="20"/>
        <v>INSERT INTO DETALLES_DOCUMENTO(NRO_DOCUMENTO,ID_TIPO,ID_PRODUCTO,CANTIDAD,PRECIO,VALOR_BRUTO,VALOR_NETO,VALOR_IVA) VALUES(670,1,324,1,10500,10500,8824,1676);</v>
      </c>
    </row>
    <row r="1347" spans="1:12">
      <c r="A1347" s="114">
        <v>1</v>
      </c>
      <c r="B1347" s="114">
        <v>671</v>
      </c>
      <c r="C1347" s="139" t="s">
        <v>2273</v>
      </c>
      <c r="D1347" s="114" t="s">
        <v>2090</v>
      </c>
      <c r="E1347" s="114">
        <v>402</v>
      </c>
      <c r="F1347" s="114">
        <v>324</v>
      </c>
      <c r="G1347" s="114">
        <v>1</v>
      </c>
      <c r="H1347" s="114">
        <v>10500</v>
      </c>
      <c r="I1347" s="114">
        <v>10500</v>
      </c>
      <c r="J1347" s="114">
        <v>8824</v>
      </c>
      <c r="K1347" s="114">
        <v>1676</v>
      </c>
      <c r="L1347" s="114" t="str">
        <f t="shared" ref="L1347:L1410" si="21">CONCATENATE("INSERT INTO DETALLES_DOCUMENTO(NRO_DOCUMENTO,ID_TIPO,ID_PRODUCTO,CANTIDAD,PRECIO,VALOR_BRUTO,VALOR_NETO,VALOR_IVA) VALUES(",B1347,",",A1347,",",F1347,",",G1347,",",H1347,",",I1347,",",J1347,",",K1347,");")</f>
        <v>INSERT INTO DETALLES_DOCUMENTO(NRO_DOCUMENTO,ID_TIPO,ID_PRODUCTO,CANTIDAD,PRECIO,VALOR_BRUTO,VALOR_NETO,VALOR_IVA) VALUES(671,1,324,1,10500,10500,8824,1676);</v>
      </c>
    </row>
    <row r="1348" spans="1:12">
      <c r="A1348" s="114">
        <v>1</v>
      </c>
      <c r="B1348" s="114">
        <v>672</v>
      </c>
      <c r="C1348" s="139" t="s">
        <v>2273</v>
      </c>
      <c r="D1348" s="114" t="s">
        <v>2090</v>
      </c>
      <c r="E1348" s="114">
        <v>466</v>
      </c>
      <c r="F1348" s="114">
        <v>324</v>
      </c>
      <c r="G1348" s="114">
        <v>1</v>
      </c>
      <c r="H1348" s="114">
        <v>10500</v>
      </c>
      <c r="I1348" s="114">
        <v>10500</v>
      </c>
      <c r="J1348" s="114">
        <v>8824</v>
      </c>
      <c r="K1348" s="114">
        <v>1676</v>
      </c>
      <c r="L1348" s="114" t="str">
        <f t="shared" si="21"/>
        <v>INSERT INTO DETALLES_DOCUMENTO(NRO_DOCUMENTO,ID_TIPO,ID_PRODUCTO,CANTIDAD,PRECIO,VALOR_BRUTO,VALOR_NETO,VALOR_IVA) VALUES(672,1,324,1,10500,10500,8824,1676);</v>
      </c>
    </row>
    <row r="1349" spans="1:12">
      <c r="A1349" s="114">
        <v>1</v>
      </c>
      <c r="B1349" s="114">
        <v>673</v>
      </c>
      <c r="C1349" s="139" t="s">
        <v>2274</v>
      </c>
      <c r="D1349" s="114" t="s">
        <v>2090</v>
      </c>
      <c r="E1349" s="114">
        <v>56</v>
      </c>
      <c r="F1349" s="114">
        <v>143</v>
      </c>
      <c r="G1349" s="114">
        <v>1</v>
      </c>
      <c r="H1349" s="114">
        <v>8300</v>
      </c>
      <c r="I1349" s="114">
        <v>8300</v>
      </c>
      <c r="J1349" s="114">
        <v>6975</v>
      </c>
      <c r="K1349" s="114">
        <v>1325</v>
      </c>
      <c r="L1349" s="114" t="str">
        <f t="shared" si="21"/>
        <v>INSERT INTO DETALLES_DOCUMENTO(NRO_DOCUMENTO,ID_TIPO,ID_PRODUCTO,CANTIDAD,PRECIO,VALOR_BRUTO,VALOR_NETO,VALOR_IVA) VALUES(673,1,143,1,8300,8300,6975,1325);</v>
      </c>
    </row>
    <row r="1350" spans="1:12">
      <c r="A1350" s="114">
        <v>1</v>
      </c>
      <c r="B1350" s="114">
        <v>674</v>
      </c>
      <c r="C1350" s="139" t="s">
        <v>2274</v>
      </c>
      <c r="D1350" s="114" t="s">
        <v>2090</v>
      </c>
      <c r="E1350" s="114">
        <v>173</v>
      </c>
      <c r="F1350" s="114">
        <v>330</v>
      </c>
      <c r="G1350" s="114">
        <v>1</v>
      </c>
      <c r="H1350" s="114">
        <v>4800</v>
      </c>
      <c r="I1350" s="114">
        <v>4800</v>
      </c>
      <c r="J1350" s="114">
        <v>4034</v>
      </c>
      <c r="K1350" s="114">
        <v>766</v>
      </c>
      <c r="L1350" s="114" t="str">
        <f t="shared" si="21"/>
        <v>INSERT INTO DETALLES_DOCUMENTO(NRO_DOCUMENTO,ID_TIPO,ID_PRODUCTO,CANTIDAD,PRECIO,VALOR_BRUTO,VALOR_NETO,VALOR_IVA) VALUES(674,1,330,1,4800,4800,4034,766);</v>
      </c>
    </row>
    <row r="1351" spans="1:12">
      <c r="A1351" s="114">
        <v>1</v>
      </c>
      <c r="B1351" s="114">
        <v>675</v>
      </c>
      <c r="C1351" s="139" t="s">
        <v>2274</v>
      </c>
      <c r="D1351" s="114" t="s">
        <v>2090</v>
      </c>
      <c r="E1351" s="114">
        <v>423</v>
      </c>
      <c r="F1351" s="114">
        <v>236</v>
      </c>
      <c r="G1351" s="114">
        <v>1</v>
      </c>
      <c r="H1351" s="114">
        <v>18990</v>
      </c>
      <c r="I1351" s="114">
        <v>18990</v>
      </c>
      <c r="J1351" s="114">
        <v>15958</v>
      </c>
      <c r="K1351" s="114">
        <v>3032</v>
      </c>
      <c r="L1351" s="114" t="str">
        <f t="shared" si="21"/>
        <v>INSERT INTO DETALLES_DOCUMENTO(NRO_DOCUMENTO,ID_TIPO,ID_PRODUCTO,CANTIDAD,PRECIO,VALOR_BRUTO,VALOR_NETO,VALOR_IVA) VALUES(675,1,236,1,18990,18990,15958,3032);</v>
      </c>
    </row>
    <row r="1352" spans="1:12">
      <c r="A1352" s="114">
        <v>1</v>
      </c>
      <c r="B1352" s="114">
        <v>676</v>
      </c>
      <c r="C1352" s="139" t="s">
        <v>2275</v>
      </c>
      <c r="D1352" s="114" t="s">
        <v>2090</v>
      </c>
      <c r="E1352" s="114">
        <v>50</v>
      </c>
      <c r="F1352" s="114">
        <v>51</v>
      </c>
      <c r="G1352" s="114">
        <v>1</v>
      </c>
      <c r="H1352" s="114">
        <v>4200</v>
      </c>
      <c r="I1352" s="114">
        <v>4200</v>
      </c>
      <c r="J1352" s="114">
        <v>3529</v>
      </c>
      <c r="K1352" s="114">
        <v>671</v>
      </c>
      <c r="L1352" s="114" t="str">
        <f t="shared" si="21"/>
        <v>INSERT INTO DETALLES_DOCUMENTO(NRO_DOCUMENTO,ID_TIPO,ID_PRODUCTO,CANTIDAD,PRECIO,VALOR_BRUTO,VALOR_NETO,VALOR_IVA) VALUES(676,1,51,1,4200,4200,3529,671);</v>
      </c>
    </row>
    <row r="1353" spans="1:12">
      <c r="A1353" s="114">
        <v>1</v>
      </c>
      <c r="B1353" s="114">
        <v>676</v>
      </c>
      <c r="C1353" s="139" t="s">
        <v>2275</v>
      </c>
      <c r="D1353" s="114" t="s">
        <v>2090</v>
      </c>
      <c r="E1353" s="114">
        <v>50</v>
      </c>
      <c r="F1353" s="114">
        <v>45</v>
      </c>
      <c r="G1353" s="114">
        <v>1</v>
      </c>
      <c r="H1353" s="114">
        <v>1600</v>
      </c>
      <c r="I1353" s="114">
        <v>1600</v>
      </c>
      <c r="J1353" s="114">
        <v>1345</v>
      </c>
      <c r="K1353" s="114">
        <v>255</v>
      </c>
      <c r="L1353" s="114" t="str">
        <f t="shared" si="21"/>
        <v>INSERT INTO DETALLES_DOCUMENTO(NRO_DOCUMENTO,ID_TIPO,ID_PRODUCTO,CANTIDAD,PRECIO,VALOR_BRUTO,VALOR_NETO,VALOR_IVA) VALUES(676,1,45,1,1600,1600,1345,255);</v>
      </c>
    </row>
    <row r="1354" spans="1:12">
      <c r="A1354" s="114">
        <v>1</v>
      </c>
      <c r="B1354" s="114">
        <v>677</v>
      </c>
      <c r="C1354" s="139" t="s">
        <v>2275</v>
      </c>
      <c r="D1354" s="114" t="s">
        <v>2090</v>
      </c>
      <c r="E1354" s="114">
        <v>116</v>
      </c>
      <c r="F1354" s="114">
        <v>230</v>
      </c>
      <c r="G1354" s="114">
        <v>1</v>
      </c>
      <c r="H1354" s="114">
        <v>16500</v>
      </c>
      <c r="I1354" s="114">
        <v>16500</v>
      </c>
      <c r="J1354" s="114">
        <v>13866</v>
      </c>
      <c r="K1354" s="114">
        <v>2634</v>
      </c>
      <c r="L1354" s="114" t="str">
        <f t="shared" si="21"/>
        <v>INSERT INTO DETALLES_DOCUMENTO(NRO_DOCUMENTO,ID_TIPO,ID_PRODUCTO,CANTIDAD,PRECIO,VALOR_BRUTO,VALOR_NETO,VALOR_IVA) VALUES(677,1,230,1,16500,16500,13866,2634);</v>
      </c>
    </row>
    <row r="1355" spans="1:12">
      <c r="A1355" s="114">
        <v>1</v>
      </c>
      <c r="B1355" s="114">
        <v>677</v>
      </c>
      <c r="C1355" s="139" t="s">
        <v>2275</v>
      </c>
      <c r="D1355" s="114" t="s">
        <v>2090</v>
      </c>
      <c r="E1355" s="114">
        <v>116</v>
      </c>
      <c r="F1355" s="114">
        <v>275</v>
      </c>
      <c r="G1355" s="114">
        <v>1</v>
      </c>
      <c r="H1355" s="114">
        <v>6900</v>
      </c>
      <c r="I1355" s="114">
        <v>6900</v>
      </c>
      <c r="J1355" s="114">
        <v>5798</v>
      </c>
      <c r="K1355" s="114">
        <v>1102</v>
      </c>
      <c r="L1355" s="114" t="str">
        <f t="shared" si="21"/>
        <v>INSERT INTO DETALLES_DOCUMENTO(NRO_DOCUMENTO,ID_TIPO,ID_PRODUCTO,CANTIDAD,PRECIO,VALOR_BRUTO,VALOR_NETO,VALOR_IVA) VALUES(677,1,275,1,6900,6900,5798,1102);</v>
      </c>
    </row>
    <row r="1356" spans="1:12">
      <c r="A1356" s="114">
        <v>1</v>
      </c>
      <c r="B1356" s="114">
        <v>677</v>
      </c>
      <c r="C1356" s="139" t="s">
        <v>2275</v>
      </c>
      <c r="D1356" s="114" t="s">
        <v>2090</v>
      </c>
      <c r="E1356" s="114">
        <v>116</v>
      </c>
      <c r="F1356" s="114">
        <v>241</v>
      </c>
      <c r="G1356" s="114">
        <v>1</v>
      </c>
      <c r="H1356" s="114">
        <v>4000</v>
      </c>
      <c r="I1356" s="114">
        <v>4000</v>
      </c>
      <c r="J1356" s="114">
        <v>3361</v>
      </c>
      <c r="K1356" s="114">
        <v>639</v>
      </c>
      <c r="L1356" s="114" t="str">
        <f t="shared" si="21"/>
        <v>INSERT INTO DETALLES_DOCUMENTO(NRO_DOCUMENTO,ID_TIPO,ID_PRODUCTO,CANTIDAD,PRECIO,VALOR_BRUTO,VALOR_NETO,VALOR_IVA) VALUES(677,1,241,1,4000,4000,3361,639);</v>
      </c>
    </row>
    <row r="1357" spans="1:12">
      <c r="A1357" s="114">
        <v>1</v>
      </c>
      <c r="B1357" s="114">
        <v>677</v>
      </c>
      <c r="C1357" s="139" t="s">
        <v>2275</v>
      </c>
      <c r="D1357" s="114" t="s">
        <v>2090</v>
      </c>
      <c r="E1357" s="114">
        <v>116</v>
      </c>
      <c r="F1357" s="114">
        <v>369</v>
      </c>
      <c r="G1357" s="114">
        <v>1</v>
      </c>
      <c r="H1357" s="114">
        <v>10500</v>
      </c>
      <c r="I1357" s="114">
        <v>10500</v>
      </c>
      <c r="J1357" s="114">
        <v>8824</v>
      </c>
      <c r="K1357" s="114">
        <v>1676</v>
      </c>
      <c r="L1357" s="114" t="str">
        <f t="shared" si="21"/>
        <v>INSERT INTO DETALLES_DOCUMENTO(NRO_DOCUMENTO,ID_TIPO,ID_PRODUCTO,CANTIDAD,PRECIO,VALOR_BRUTO,VALOR_NETO,VALOR_IVA) VALUES(677,1,369,1,10500,10500,8824,1676);</v>
      </c>
    </row>
    <row r="1358" spans="1:12">
      <c r="A1358" s="114">
        <v>1</v>
      </c>
      <c r="B1358" s="114">
        <v>677</v>
      </c>
      <c r="C1358" s="139" t="s">
        <v>2275</v>
      </c>
      <c r="D1358" s="114" t="s">
        <v>2090</v>
      </c>
      <c r="E1358" s="114">
        <v>116</v>
      </c>
      <c r="F1358" s="114">
        <v>53</v>
      </c>
      <c r="G1358" s="114">
        <v>1</v>
      </c>
      <c r="H1358" s="114">
        <v>4200</v>
      </c>
      <c r="I1358" s="114">
        <v>4200</v>
      </c>
      <c r="J1358" s="114">
        <v>3529</v>
      </c>
      <c r="K1358" s="114">
        <v>671</v>
      </c>
      <c r="L1358" s="114" t="str">
        <f t="shared" si="21"/>
        <v>INSERT INTO DETALLES_DOCUMENTO(NRO_DOCUMENTO,ID_TIPO,ID_PRODUCTO,CANTIDAD,PRECIO,VALOR_BRUTO,VALOR_NETO,VALOR_IVA) VALUES(677,1,53,1,4200,4200,3529,671);</v>
      </c>
    </row>
    <row r="1359" spans="1:12">
      <c r="A1359" s="114">
        <v>1</v>
      </c>
      <c r="B1359" s="114">
        <v>677</v>
      </c>
      <c r="C1359" s="139" t="s">
        <v>2275</v>
      </c>
      <c r="D1359" s="114" t="s">
        <v>2090</v>
      </c>
      <c r="E1359" s="114">
        <v>116</v>
      </c>
      <c r="F1359" s="114">
        <v>46</v>
      </c>
      <c r="G1359" s="114">
        <v>1</v>
      </c>
      <c r="H1359" s="114">
        <v>2500</v>
      </c>
      <c r="I1359" s="114">
        <v>2500</v>
      </c>
      <c r="J1359" s="114">
        <v>2101</v>
      </c>
      <c r="K1359" s="114">
        <v>399</v>
      </c>
      <c r="L1359" s="114" t="str">
        <f t="shared" si="21"/>
        <v>INSERT INTO DETALLES_DOCUMENTO(NRO_DOCUMENTO,ID_TIPO,ID_PRODUCTO,CANTIDAD,PRECIO,VALOR_BRUTO,VALOR_NETO,VALOR_IVA) VALUES(677,1,46,1,2500,2500,2101,399);</v>
      </c>
    </row>
    <row r="1360" spans="1:12">
      <c r="A1360" s="114">
        <v>1</v>
      </c>
      <c r="B1360" s="114">
        <v>678</v>
      </c>
      <c r="C1360" s="139" t="s">
        <v>2275</v>
      </c>
      <c r="D1360" s="114" t="s">
        <v>2090</v>
      </c>
      <c r="E1360" s="114">
        <v>119</v>
      </c>
      <c r="F1360" s="114">
        <v>143</v>
      </c>
      <c r="G1360" s="114">
        <v>1</v>
      </c>
      <c r="H1360" s="114">
        <v>8300</v>
      </c>
      <c r="I1360" s="114">
        <v>8300</v>
      </c>
      <c r="J1360" s="114">
        <v>6975</v>
      </c>
      <c r="K1360" s="114">
        <v>1325</v>
      </c>
      <c r="L1360" s="114" t="str">
        <f t="shared" si="21"/>
        <v>INSERT INTO DETALLES_DOCUMENTO(NRO_DOCUMENTO,ID_TIPO,ID_PRODUCTO,CANTIDAD,PRECIO,VALOR_BRUTO,VALOR_NETO,VALOR_IVA) VALUES(678,1,143,1,8300,8300,6975,1325);</v>
      </c>
    </row>
    <row r="1361" spans="1:12">
      <c r="A1361" s="114">
        <v>1</v>
      </c>
      <c r="B1361" s="114">
        <v>678</v>
      </c>
      <c r="C1361" s="139" t="s">
        <v>2275</v>
      </c>
      <c r="D1361" s="114" t="s">
        <v>2090</v>
      </c>
      <c r="E1361" s="114">
        <v>119</v>
      </c>
      <c r="F1361" s="114">
        <v>329</v>
      </c>
      <c r="G1361" s="114">
        <v>1</v>
      </c>
      <c r="H1361" s="114">
        <v>5500</v>
      </c>
      <c r="I1361" s="114">
        <v>5500</v>
      </c>
      <c r="J1361" s="114">
        <v>4622</v>
      </c>
      <c r="K1361" s="114">
        <v>878</v>
      </c>
      <c r="L1361" s="114" t="str">
        <f t="shared" si="21"/>
        <v>INSERT INTO DETALLES_DOCUMENTO(NRO_DOCUMENTO,ID_TIPO,ID_PRODUCTO,CANTIDAD,PRECIO,VALOR_BRUTO,VALOR_NETO,VALOR_IVA) VALUES(678,1,329,1,5500,5500,4622,878);</v>
      </c>
    </row>
    <row r="1362" spans="1:12">
      <c r="A1362" s="114">
        <v>1</v>
      </c>
      <c r="B1362" s="114">
        <v>679</v>
      </c>
      <c r="C1362" s="139" t="s">
        <v>2275</v>
      </c>
      <c r="D1362" s="114" t="s">
        <v>2090</v>
      </c>
      <c r="E1362" s="114">
        <v>149</v>
      </c>
      <c r="F1362" s="114">
        <v>49</v>
      </c>
      <c r="G1362" s="114">
        <v>2</v>
      </c>
      <c r="H1362" s="114">
        <v>8400</v>
      </c>
      <c r="I1362" s="114">
        <v>16800</v>
      </c>
      <c r="J1362" s="114">
        <v>14118</v>
      </c>
      <c r="K1362" s="114">
        <v>2682</v>
      </c>
      <c r="L1362" s="114" t="str">
        <f t="shared" si="21"/>
        <v>INSERT INTO DETALLES_DOCUMENTO(NRO_DOCUMENTO,ID_TIPO,ID_PRODUCTO,CANTIDAD,PRECIO,VALOR_BRUTO,VALOR_NETO,VALOR_IVA) VALUES(679,1,49,2,8400,16800,14118,2682);</v>
      </c>
    </row>
    <row r="1363" spans="1:12">
      <c r="A1363" s="114">
        <v>1</v>
      </c>
      <c r="B1363" s="114">
        <v>679</v>
      </c>
      <c r="C1363" s="139" t="s">
        <v>2275</v>
      </c>
      <c r="D1363" s="114" t="s">
        <v>2090</v>
      </c>
      <c r="E1363" s="114">
        <v>149</v>
      </c>
      <c r="F1363" s="114">
        <v>46</v>
      </c>
      <c r="G1363" s="114">
        <v>1</v>
      </c>
      <c r="H1363" s="114">
        <v>2500</v>
      </c>
      <c r="I1363" s="114">
        <v>2500</v>
      </c>
      <c r="J1363" s="114">
        <v>2101</v>
      </c>
      <c r="K1363" s="114">
        <v>399</v>
      </c>
      <c r="L1363" s="114" t="str">
        <f t="shared" si="21"/>
        <v>INSERT INTO DETALLES_DOCUMENTO(NRO_DOCUMENTO,ID_TIPO,ID_PRODUCTO,CANTIDAD,PRECIO,VALOR_BRUTO,VALOR_NETO,VALOR_IVA) VALUES(679,1,46,1,2500,2500,2101,399);</v>
      </c>
    </row>
    <row r="1364" spans="1:12">
      <c r="A1364" s="114">
        <v>1</v>
      </c>
      <c r="B1364" s="114">
        <v>680</v>
      </c>
      <c r="C1364" s="139" t="s">
        <v>2275</v>
      </c>
      <c r="D1364" s="114" t="s">
        <v>2090</v>
      </c>
      <c r="E1364" s="114">
        <v>166</v>
      </c>
      <c r="F1364" s="114">
        <v>140</v>
      </c>
      <c r="G1364" s="114">
        <v>1</v>
      </c>
      <c r="H1364" s="114">
        <v>3700</v>
      </c>
      <c r="I1364" s="114">
        <v>3700</v>
      </c>
      <c r="J1364" s="114">
        <v>3109</v>
      </c>
      <c r="K1364" s="114">
        <v>591</v>
      </c>
      <c r="L1364" s="114" t="str">
        <f t="shared" si="21"/>
        <v>INSERT INTO DETALLES_DOCUMENTO(NRO_DOCUMENTO,ID_TIPO,ID_PRODUCTO,CANTIDAD,PRECIO,VALOR_BRUTO,VALOR_NETO,VALOR_IVA) VALUES(680,1,140,1,3700,3700,3109,591);</v>
      </c>
    </row>
    <row r="1365" spans="1:12">
      <c r="A1365" s="114">
        <v>1</v>
      </c>
      <c r="B1365" s="114">
        <v>681</v>
      </c>
      <c r="C1365" s="139" t="s">
        <v>2275</v>
      </c>
      <c r="D1365" s="114" t="s">
        <v>2090</v>
      </c>
      <c r="E1365" s="114">
        <v>196</v>
      </c>
      <c r="F1365" s="114">
        <v>232</v>
      </c>
      <c r="G1365" s="114">
        <v>1</v>
      </c>
      <c r="H1365" s="114">
        <v>12500</v>
      </c>
      <c r="I1365" s="114">
        <v>12500</v>
      </c>
      <c r="J1365" s="114">
        <v>10504</v>
      </c>
      <c r="K1365" s="114">
        <v>1996</v>
      </c>
      <c r="L1365" s="114" t="str">
        <f t="shared" si="21"/>
        <v>INSERT INTO DETALLES_DOCUMENTO(NRO_DOCUMENTO,ID_TIPO,ID_PRODUCTO,CANTIDAD,PRECIO,VALOR_BRUTO,VALOR_NETO,VALOR_IVA) VALUES(681,1,232,1,12500,12500,10504,1996);</v>
      </c>
    </row>
    <row r="1366" spans="1:12">
      <c r="A1366" s="114">
        <v>1</v>
      </c>
      <c r="B1366" s="114">
        <v>681</v>
      </c>
      <c r="C1366" s="139" t="s">
        <v>2275</v>
      </c>
      <c r="D1366" s="114" t="s">
        <v>2090</v>
      </c>
      <c r="E1366" s="114">
        <v>196</v>
      </c>
      <c r="F1366" s="114">
        <v>227</v>
      </c>
      <c r="G1366" s="114">
        <v>1</v>
      </c>
      <c r="H1366" s="114">
        <v>13500</v>
      </c>
      <c r="I1366" s="114">
        <v>13500</v>
      </c>
      <c r="J1366" s="114">
        <v>11345</v>
      </c>
      <c r="K1366" s="114">
        <v>2155</v>
      </c>
      <c r="L1366" s="114" t="str">
        <f t="shared" si="21"/>
        <v>INSERT INTO DETALLES_DOCUMENTO(NRO_DOCUMENTO,ID_TIPO,ID_PRODUCTO,CANTIDAD,PRECIO,VALOR_BRUTO,VALOR_NETO,VALOR_IVA) VALUES(681,1,227,1,13500,13500,11345,2155);</v>
      </c>
    </row>
    <row r="1367" spans="1:12">
      <c r="A1367" s="114">
        <v>1</v>
      </c>
      <c r="B1367" s="114">
        <v>682</v>
      </c>
      <c r="C1367" s="139" t="s">
        <v>2275</v>
      </c>
      <c r="D1367" s="114" t="s">
        <v>2090</v>
      </c>
      <c r="E1367" s="114">
        <v>254</v>
      </c>
      <c r="F1367" s="114">
        <v>230</v>
      </c>
      <c r="G1367" s="114">
        <v>1</v>
      </c>
      <c r="H1367" s="114">
        <v>16500</v>
      </c>
      <c r="I1367" s="114">
        <v>16500</v>
      </c>
      <c r="J1367" s="114">
        <v>13866</v>
      </c>
      <c r="K1367" s="114">
        <v>2634</v>
      </c>
      <c r="L1367" s="114" t="str">
        <f t="shared" si="21"/>
        <v>INSERT INTO DETALLES_DOCUMENTO(NRO_DOCUMENTO,ID_TIPO,ID_PRODUCTO,CANTIDAD,PRECIO,VALOR_BRUTO,VALOR_NETO,VALOR_IVA) VALUES(682,1,230,1,16500,16500,13866,2634);</v>
      </c>
    </row>
    <row r="1368" spans="1:12">
      <c r="A1368" s="114">
        <v>1</v>
      </c>
      <c r="B1368" s="114">
        <v>682</v>
      </c>
      <c r="C1368" s="139" t="s">
        <v>2275</v>
      </c>
      <c r="D1368" s="114" t="s">
        <v>2090</v>
      </c>
      <c r="E1368" s="114">
        <v>254</v>
      </c>
      <c r="F1368" s="114">
        <v>117</v>
      </c>
      <c r="G1368" s="114">
        <v>1</v>
      </c>
      <c r="H1368" s="114">
        <v>3500</v>
      </c>
      <c r="I1368" s="114">
        <v>3500</v>
      </c>
      <c r="J1368" s="114">
        <v>2941</v>
      </c>
      <c r="K1368" s="114">
        <v>559</v>
      </c>
      <c r="L1368" s="114" t="str">
        <f t="shared" si="21"/>
        <v>INSERT INTO DETALLES_DOCUMENTO(NRO_DOCUMENTO,ID_TIPO,ID_PRODUCTO,CANTIDAD,PRECIO,VALOR_BRUTO,VALOR_NETO,VALOR_IVA) VALUES(682,1,117,1,3500,3500,2941,559);</v>
      </c>
    </row>
    <row r="1369" spans="1:12">
      <c r="A1369" s="114">
        <v>1</v>
      </c>
      <c r="B1369" s="114">
        <v>682</v>
      </c>
      <c r="C1369" s="139" t="s">
        <v>2275</v>
      </c>
      <c r="D1369" s="114" t="s">
        <v>2090</v>
      </c>
      <c r="E1369" s="114">
        <v>254</v>
      </c>
      <c r="F1369" s="114">
        <v>165</v>
      </c>
      <c r="G1369" s="114">
        <v>1</v>
      </c>
      <c r="H1369" s="114">
        <v>2000</v>
      </c>
      <c r="I1369" s="114">
        <v>2000</v>
      </c>
      <c r="J1369" s="114">
        <v>1681</v>
      </c>
      <c r="K1369" s="114">
        <v>319</v>
      </c>
      <c r="L1369" s="114" t="str">
        <f t="shared" si="21"/>
        <v>INSERT INTO DETALLES_DOCUMENTO(NRO_DOCUMENTO,ID_TIPO,ID_PRODUCTO,CANTIDAD,PRECIO,VALOR_BRUTO,VALOR_NETO,VALOR_IVA) VALUES(682,1,165,1,2000,2000,1681,319);</v>
      </c>
    </row>
    <row r="1370" spans="1:12">
      <c r="A1370" s="114">
        <v>1</v>
      </c>
      <c r="B1370" s="114">
        <v>683</v>
      </c>
      <c r="C1370" s="139" t="s">
        <v>2275</v>
      </c>
      <c r="D1370" s="114" t="s">
        <v>2090</v>
      </c>
      <c r="E1370" s="114">
        <v>312</v>
      </c>
      <c r="F1370" s="114">
        <v>143</v>
      </c>
      <c r="G1370" s="114">
        <v>1</v>
      </c>
      <c r="H1370" s="114">
        <v>8300</v>
      </c>
      <c r="I1370" s="114">
        <v>8300</v>
      </c>
      <c r="J1370" s="114">
        <v>6975</v>
      </c>
      <c r="K1370" s="114">
        <v>1325</v>
      </c>
      <c r="L1370" s="114" t="str">
        <f t="shared" si="21"/>
        <v>INSERT INTO DETALLES_DOCUMENTO(NRO_DOCUMENTO,ID_TIPO,ID_PRODUCTO,CANTIDAD,PRECIO,VALOR_BRUTO,VALOR_NETO,VALOR_IVA) VALUES(683,1,143,1,8300,8300,6975,1325);</v>
      </c>
    </row>
    <row r="1371" spans="1:12">
      <c r="A1371" s="114">
        <v>1</v>
      </c>
      <c r="B1371" s="114">
        <v>684</v>
      </c>
      <c r="C1371" s="139" t="s">
        <v>2275</v>
      </c>
      <c r="D1371" s="114" t="s">
        <v>2090</v>
      </c>
      <c r="E1371" s="114">
        <v>437</v>
      </c>
      <c r="F1371" s="114">
        <v>49</v>
      </c>
      <c r="G1371" s="114">
        <v>3</v>
      </c>
      <c r="H1371" s="114">
        <v>12600</v>
      </c>
      <c r="I1371" s="114">
        <v>37800</v>
      </c>
      <c r="J1371" s="114">
        <v>31765</v>
      </c>
      <c r="K1371" s="114">
        <v>6035</v>
      </c>
      <c r="L1371" s="114" t="str">
        <f t="shared" si="21"/>
        <v>INSERT INTO DETALLES_DOCUMENTO(NRO_DOCUMENTO,ID_TIPO,ID_PRODUCTO,CANTIDAD,PRECIO,VALOR_BRUTO,VALOR_NETO,VALOR_IVA) VALUES(684,1,49,3,12600,37800,31765,6035);</v>
      </c>
    </row>
    <row r="1372" spans="1:12">
      <c r="A1372" s="114">
        <v>1</v>
      </c>
      <c r="B1372" s="114">
        <v>685</v>
      </c>
      <c r="C1372" s="139" t="s">
        <v>2276</v>
      </c>
      <c r="D1372" s="114" t="s">
        <v>2090</v>
      </c>
      <c r="E1372" s="114">
        <v>86</v>
      </c>
      <c r="F1372" s="114">
        <v>143</v>
      </c>
      <c r="G1372" s="114">
        <v>1</v>
      </c>
      <c r="H1372" s="114">
        <v>8300</v>
      </c>
      <c r="I1372" s="114">
        <v>8300</v>
      </c>
      <c r="J1372" s="114">
        <v>6975</v>
      </c>
      <c r="K1372" s="114">
        <v>1325</v>
      </c>
      <c r="L1372" s="114" t="str">
        <f t="shared" si="21"/>
        <v>INSERT INTO DETALLES_DOCUMENTO(NRO_DOCUMENTO,ID_TIPO,ID_PRODUCTO,CANTIDAD,PRECIO,VALOR_BRUTO,VALOR_NETO,VALOR_IVA) VALUES(685,1,143,1,8300,8300,6975,1325);</v>
      </c>
    </row>
    <row r="1373" spans="1:12">
      <c r="A1373" s="114">
        <v>1</v>
      </c>
      <c r="B1373" s="114">
        <v>686</v>
      </c>
      <c r="C1373" s="139" t="s">
        <v>2276</v>
      </c>
      <c r="D1373" s="114" t="s">
        <v>2090</v>
      </c>
      <c r="E1373" s="114">
        <v>139</v>
      </c>
      <c r="F1373" s="114">
        <v>231</v>
      </c>
      <c r="G1373" s="114">
        <v>1</v>
      </c>
      <c r="H1373" s="114">
        <v>20900</v>
      </c>
      <c r="I1373" s="114">
        <v>20900</v>
      </c>
      <c r="J1373" s="114">
        <v>17563</v>
      </c>
      <c r="K1373" s="114">
        <v>3337</v>
      </c>
      <c r="L1373" s="114" t="str">
        <f t="shared" si="21"/>
        <v>INSERT INTO DETALLES_DOCUMENTO(NRO_DOCUMENTO,ID_TIPO,ID_PRODUCTO,CANTIDAD,PRECIO,VALOR_BRUTO,VALOR_NETO,VALOR_IVA) VALUES(686,1,231,1,20900,20900,17563,3337);</v>
      </c>
    </row>
    <row r="1374" spans="1:12">
      <c r="A1374" s="114">
        <v>1</v>
      </c>
      <c r="B1374" s="114">
        <v>687</v>
      </c>
      <c r="C1374" s="139" t="s">
        <v>2276</v>
      </c>
      <c r="D1374" s="114" t="s">
        <v>2090</v>
      </c>
      <c r="E1374" s="114">
        <v>166</v>
      </c>
      <c r="F1374" s="114">
        <v>118</v>
      </c>
      <c r="G1374" s="114">
        <v>1</v>
      </c>
      <c r="H1374" s="114">
        <v>3500</v>
      </c>
      <c r="I1374" s="114">
        <v>3500</v>
      </c>
      <c r="J1374" s="114">
        <v>2941</v>
      </c>
      <c r="K1374" s="114">
        <v>559</v>
      </c>
      <c r="L1374" s="114" t="str">
        <f t="shared" si="21"/>
        <v>INSERT INTO DETALLES_DOCUMENTO(NRO_DOCUMENTO,ID_TIPO,ID_PRODUCTO,CANTIDAD,PRECIO,VALOR_BRUTO,VALOR_NETO,VALOR_IVA) VALUES(687,1,118,1,3500,3500,2941,559);</v>
      </c>
    </row>
    <row r="1375" spans="1:12">
      <c r="A1375" s="114">
        <v>1</v>
      </c>
      <c r="B1375" s="114">
        <v>687</v>
      </c>
      <c r="C1375" s="139" t="s">
        <v>2276</v>
      </c>
      <c r="D1375" s="114" t="s">
        <v>2090</v>
      </c>
      <c r="E1375" s="114">
        <v>166</v>
      </c>
      <c r="F1375" s="114">
        <v>117</v>
      </c>
      <c r="G1375" s="114">
        <v>1</v>
      </c>
      <c r="H1375" s="114">
        <v>3500</v>
      </c>
      <c r="I1375" s="114">
        <v>3500</v>
      </c>
      <c r="J1375" s="114">
        <v>2941</v>
      </c>
      <c r="K1375" s="114">
        <v>559</v>
      </c>
      <c r="L1375" s="114" t="str">
        <f t="shared" si="21"/>
        <v>INSERT INTO DETALLES_DOCUMENTO(NRO_DOCUMENTO,ID_TIPO,ID_PRODUCTO,CANTIDAD,PRECIO,VALOR_BRUTO,VALOR_NETO,VALOR_IVA) VALUES(687,1,117,1,3500,3500,2941,559);</v>
      </c>
    </row>
    <row r="1376" spans="1:12">
      <c r="A1376" s="114">
        <v>1</v>
      </c>
      <c r="B1376" s="114">
        <v>687</v>
      </c>
      <c r="C1376" s="139" t="s">
        <v>2276</v>
      </c>
      <c r="D1376" s="114" t="s">
        <v>2090</v>
      </c>
      <c r="E1376" s="114">
        <v>166</v>
      </c>
      <c r="F1376" s="114">
        <v>143</v>
      </c>
      <c r="G1376" s="114">
        <v>1</v>
      </c>
      <c r="H1376" s="114">
        <v>8300</v>
      </c>
      <c r="I1376" s="114">
        <v>8300</v>
      </c>
      <c r="J1376" s="114">
        <v>6975</v>
      </c>
      <c r="K1376" s="114">
        <v>1325</v>
      </c>
      <c r="L1376" s="114" t="str">
        <f t="shared" si="21"/>
        <v>INSERT INTO DETALLES_DOCUMENTO(NRO_DOCUMENTO,ID_TIPO,ID_PRODUCTO,CANTIDAD,PRECIO,VALOR_BRUTO,VALOR_NETO,VALOR_IVA) VALUES(687,1,143,1,8300,8300,6975,1325);</v>
      </c>
    </row>
    <row r="1377" spans="1:12">
      <c r="A1377" s="114">
        <v>1</v>
      </c>
      <c r="B1377" s="114">
        <v>688</v>
      </c>
      <c r="C1377" s="139" t="s">
        <v>2276</v>
      </c>
      <c r="D1377" s="114" t="s">
        <v>2090</v>
      </c>
      <c r="E1377" s="114">
        <v>240</v>
      </c>
      <c r="F1377" s="114">
        <v>53</v>
      </c>
      <c r="G1377" s="114">
        <v>2</v>
      </c>
      <c r="H1377" s="114">
        <v>8400</v>
      </c>
      <c r="I1377" s="114">
        <v>16800</v>
      </c>
      <c r="J1377" s="114">
        <v>14118</v>
      </c>
      <c r="K1377" s="114">
        <v>2682</v>
      </c>
      <c r="L1377" s="114" t="str">
        <f t="shared" si="21"/>
        <v>INSERT INTO DETALLES_DOCUMENTO(NRO_DOCUMENTO,ID_TIPO,ID_PRODUCTO,CANTIDAD,PRECIO,VALOR_BRUTO,VALOR_NETO,VALOR_IVA) VALUES(688,1,53,2,8400,16800,14118,2682);</v>
      </c>
    </row>
    <row r="1378" spans="1:12">
      <c r="A1378" s="114">
        <v>1</v>
      </c>
      <c r="B1378" s="114">
        <v>689</v>
      </c>
      <c r="C1378" s="139" t="s">
        <v>2277</v>
      </c>
      <c r="D1378" s="114" t="s">
        <v>2090</v>
      </c>
      <c r="E1378" s="114">
        <v>82</v>
      </c>
      <c r="F1378" s="114">
        <v>324</v>
      </c>
      <c r="G1378" s="114">
        <v>4</v>
      </c>
      <c r="H1378" s="114">
        <v>42000</v>
      </c>
      <c r="I1378" s="114">
        <v>168000</v>
      </c>
      <c r="J1378" s="114">
        <v>141176</v>
      </c>
      <c r="K1378" s="114">
        <v>26824</v>
      </c>
      <c r="L1378" s="114" t="str">
        <f t="shared" si="21"/>
        <v>INSERT INTO DETALLES_DOCUMENTO(NRO_DOCUMENTO,ID_TIPO,ID_PRODUCTO,CANTIDAD,PRECIO,VALOR_BRUTO,VALOR_NETO,VALOR_IVA) VALUES(689,1,324,4,42000,168000,141176,26824);</v>
      </c>
    </row>
    <row r="1379" spans="1:12">
      <c r="A1379" s="114">
        <v>1</v>
      </c>
      <c r="B1379" s="114">
        <v>689</v>
      </c>
      <c r="C1379" s="139" t="s">
        <v>2277</v>
      </c>
      <c r="D1379" s="114" t="s">
        <v>2090</v>
      </c>
      <c r="E1379" s="114">
        <v>82</v>
      </c>
      <c r="F1379" s="114">
        <v>329</v>
      </c>
      <c r="G1379" s="114">
        <v>1</v>
      </c>
      <c r="H1379" s="114">
        <v>5500</v>
      </c>
      <c r="I1379" s="114">
        <v>5500</v>
      </c>
      <c r="J1379" s="114">
        <v>4622</v>
      </c>
      <c r="K1379" s="114">
        <v>878</v>
      </c>
      <c r="L1379" s="114" t="str">
        <f t="shared" si="21"/>
        <v>INSERT INTO DETALLES_DOCUMENTO(NRO_DOCUMENTO,ID_TIPO,ID_PRODUCTO,CANTIDAD,PRECIO,VALOR_BRUTO,VALOR_NETO,VALOR_IVA) VALUES(689,1,329,1,5500,5500,4622,878);</v>
      </c>
    </row>
    <row r="1380" spans="1:12">
      <c r="A1380" s="114">
        <v>1</v>
      </c>
      <c r="B1380" s="114">
        <v>690</v>
      </c>
      <c r="C1380" s="139" t="s">
        <v>2277</v>
      </c>
      <c r="D1380" s="114" t="s">
        <v>2090</v>
      </c>
      <c r="E1380" s="114">
        <v>268</v>
      </c>
      <c r="F1380" s="114">
        <v>236</v>
      </c>
      <c r="G1380" s="114">
        <v>1</v>
      </c>
      <c r="H1380" s="114">
        <v>18990</v>
      </c>
      <c r="I1380" s="114">
        <v>18990</v>
      </c>
      <c r="J1380" s="114">
        <v>15958</v>
      </c>
      <c r="K1380" s="114">
        <v>3032</v>
      </c>
      <c r="L1380" s="114" t="str">
        <f t="shared" si="21"/>
        <v>INSERT INTO DETALLES_DOCUMENTO(NRO_DOCUMENTO,ID_TIPO,ID_PRODUCTO,CANTIDAD,PRECIO,VALOR_BRUTO,VALOR_NETO,VALOR_IVA) VALUES(690,1,236,1,18990,18990,15958,3032);</v>
      </c>
    </row>
    <row r="1381" spans="1:12">
      <c r="A1381" s="114">
        <v>1</v>
      </c>
      <c r="B1381" s="114">
        <v>690</v>
      </c>
      <c r="C1381" s="139" t="s">
        <v>2277</v>
      </c>
      <c r="D1381" s="114" t="s">
        <v>2090</v>
      </c>
      <c r="E1381" s="114">
        <v>268</v>
      </c>
      <c r="F1381" s="114">
        <v>264</v>
      </c>
      <c r="G1381" s="114">
        <v>1</v>
      </c>
      <c r="H1381" s="114">
        <v>5000</v>
      </c>
      <c r="I1381" s="114">
        <v>5000</v>
      </c>
      <c r="J1381" s="114">
        <v>4202</v>
      </c>
      <c r="K1381" s="114">
        <v>798</v>
      </c>
      <c r="L1381" s="114" t="str">
        <f t="shared" si="21"/>
        <v>INSERT INTO DETALLES_DOCUMENTO(NRO_DOCUMENTO,ID_TIPO,ID_PRODUCTO,CANTIDAD,PRECIO,VALOR_BRUTO,VALOR_NETO,VALOR_IVA) VALUES(690,1,264,1,5000,5000,4202,798);</v>
      </c>
    </row>
    <row r="1382" spans="1:12">
      <c r="A1382" s="114">
        <v>1</v>
      </c>
      <c r="B1382" s="114">
        <v>690</v>
      </c>
      <c r="C1382" s="139" t="s">
        <v>2277</v>
      </c>
      <c r="D1382" s="114" t="s">
        <v>2090</v>
      </c>
      <c r="E1382" s="114">
        <v>268</v>
      </c>
      <c r="F1382" s="114">
        <v>368</v>
      </c>
      <c r="G1382" s="114">
        <v>1</v>
      </c>
      <c r="H1382" s="114">
        <v>3000</v>
      </c>
      <c r="I1382" s="114">
        <v>3000</v>
      </c>
      <c r="J1382" s="114">
        <v>2521</v>
      </c>
      <c r="K1382" s="114">
        <v>479</v>
      </c>
      <c r="L1382" s="114" t="str">
        <f t="shared" si="21"/>
        <v>INSERT INTO DETALLES_DOCUMENTO(NRO_DOCUMENTO,ID_TIPO,ID_PRODUCTO,CANTIDAD,PRECIO,VALOR_BRUTO,VALOR_NETO,VALOR_IVA) VALUES(690,1,368,1,3000,3000,2521,479);</v>
      </c>
    </row>
    <row r="1383" spans="1:12">
      <c r="A1383" s="114">
        <v>1</v>
      </c>
      <c r="B1383" s="114">
        <v>690</v>
      </c>
      <c r="C1383" s="139" t="s">
        <v>2277</v>
      </c>
      <c r="D1383" s="114" t="s">
        <v>2090</v>
      </c>
      <c r="E1383" s="114">
        <v>268</v>
      </c>
      <c r="F1383" s="114">
        <v>324</v>
      </c>
      <c r="G1383" s="114">
        <v>1</v>
      </c>
      <c r="H1383" s="114">
        <v>10500</v>
      </c>
      <c r="I1383" s="114">
        <v>10500</v>
      </c>
      <c r="J1383" s="114">
        <v>8824</v>
      </c>
      <c r="K1383" s="114">
        <v>1676</v>
      </c>
      <c r="L1383" s="114" t="str">
        <f t="shared" si="21"/>
        <v>INSERT INTO DETALLES_DOCUMENTO(NRO_DOCUMENTO,ID_TIPO,ID_PRODUCTO,CANTIDAD,PRECIO,VALOR_BRUTO,VALOR_NETO,VALOR_IVA) VALUES(690,1,324,1,10500,10500,8824,1676);</v>
      </c>
    </row>
    <row r="1384" spans="1:12">
      <c r="A1384" s="114">
        <v>1</v>
      </c>
      <c r="B1384" s="114">
        <v>691</v>
      </c>
      <c r="C1384" s="139" t="s">
        <v>2277</v>
      </c>
      <c r="D1384" s="114" t="s">
        <v>2090</v>
      </c>
      <c r="E1384" s="114">
        <v>276</v>
      </c>
      <c r="F1384" s="114">
        <v>167</v>
      </c>
      <c r="G1384" s="114">
        <v>1</v>
      </c>
      <c r="H1384" s="114">
        <v>8200</v>
      </c>
      <c r="I1384" s="114">
        <v>8200</v>
      </c>
      <c r="J1384" s="114">
        <v>6891</v>
      </c>
      <c r="K1384" s="114">
        <v>1309</v>
      </c>
      <c r="L1384" s="114" t="str">
        <f t="shared" si="21"/>
        <v>INSERT INTO DETALLES_DOCUMENTO(NRO_DOCUMENTO,ID_TIPO,ID_PRODUCTO,CANTIDAD,PRECIO,VALOR_BRUTO,VALOR_NETO,VALOR_IVA) VALUES(691,1,167,1,8200,8200,6891,1309);</v>
      </c>
    </row>
    <row r="1385" spans="1:12">
      <c r="A1385" s="114">
        <v>1</v>
      </c>
      <c r="B1385" s="114">
        <v>692</v>
      </c>
      <c r="C1385" s="139" t="s">
        <v>2277</v>
      </c>
      <c r="D1385" s="114" t="s">
        <v>2090</v>
      </c>
      <c r="E1385" s="114">
        <v>363</v>
      </c>
      <c r="F1385" s="114">
        <v>143</v>
      </c>
      <c r="G1385" s="114">
        <v>1</v>
      </c>
      <c r="H1385" s="114">
        <v>8300</v>
      </c>
      <c r="I1385" s="114">
        <v>8300</v>
      </c>
      <c r="J1385" s="114">
        <v>6975</v>
      </c>
      <c r="K1385" s="114">
        <v>1325</v>
      </c>
      <c r="L1385" s="114" t="str">
        <f t="shared" si="21"/>
        <v>INSERT INTO DETALLES_DOCUMENTO(NRO_DOCUMENTO,ID_TIPO,ID_PRODUCTO,CANTIDAD,PRECIO,VALOR_BRUTO,VALOR_NETO,VALOR_IVA) VALUES(692,1,143,1,8300,8300,6975,1325);</v>
      </c>
    </row>
    <row r="1386" spans="1:12">
      <c r="A1386" s="114">
        <v>1</v>
      </c>
      <c r="B1386" s="114">
        <v>693</v>
      </c>
      <c r="C1386" s="139" t="s">
        <v>2277</v>
      </c>
      <c r="D1386" s="114" t="s">
        <v>2090</v>
      </c>
      <c r="E1386" s="114">
        <v>451</v>
      </c>
      <c r="F1386" s="114">
        <v>118</v>
      </c>
      <c r="G1386" s="114">
        <v>1</v>
      </c>
      <c r="H1386" s="114">
        <v>3500</v>
      </c>
      <c r="I1386" s="114">
        <v>3500</v>
      </c>
      <c r="J1386" s="114">
        <v>2941</v>
      </c>
      <c r="K1386" s="114">
        <v>559</v>
      </c>
      <c r="L1386" s="114" t="str">
        <f t="shared" si="21"/>
        <v>INSERT INTO DETALLES_DOCUMENTO(NRO_DOCUMENTO,ID_TIPO,ID_PRODUCTO,CANTIDAD,PRECIO,VALOR_BRUTO,VALOR_NETO,VALOR_IVA) VALUES(693,1,118,1,3500,3500,2941,559);</v>
      </c>
    </row>
    <row r="1387" spans="1:12">
      <c r="A1387" s="114">
        <v>1</v>
      </c>
      <c r="B1387" s="114">
        <v>694</v>
      </c>
      <c r="C1387" s="139" t="s">
        <v>2278</v>
      </c>
      <c r="D1387" s="114" t="s">
        <v>2090</v>
      </c>
      <c r="E1387" s="114">
        <v>155</v>
      </c>
      <c r="F1387" s="114">
        <v>143</v>
      </c>
      <c r="G1387" s="114">
        <v>1</v>
      </c>
      <c r="H1387" s="114">
        <v>8300</v>
      </c>
      <c r="I1387" s="114">
        <v>8300</v>
      </c>
      <c r="J1387" s="114">
        <v>6975</v>
      </c>
      <c r="K1387" s="114">
        <v>1325</v>
      </c>
      <c r="L1387" s="114" t="str">
        <f t="shared" si="21"/>
        <v>INSERT INTO DETALLES_DOCUMENTO(NRO_DOCUMENTO,ID_TIPO,ID_PRODUCTO,CANTIDAD,PRECIO,VALOR_BRUTO,VALOR_NETO,VALOR_IVA) VALUES(694,1,143,1,8300,8300,6975,1325);</v>
      </c>
    </row>
    <row r="1388" spans="1:12">
      <c r="A1388" s="114">
        <v>1</v>
      </c>
      <c r="B1388" s="114">
        <v>694</v>
      </c>
      <c r="C1388" s="139" t="s">
        <v>2278</v>
      </c>
      <c r="D1388" s="114" t="s">
        <v>2090</v>
      </c>
      <c r="E1388" s="114">
        <v>155</v>
      </c>
      <c r="F1388" s="114">
        <v>324</v>
      </c>
      <c r="G1388" s="114">
        <v>1</v>
      </c>
      <c r="H1388" s="114">
        <v>10500</v>
      </c>
      <c r="I1388" s="114">
        <v>10500</v>
      </c>
      <c r="J1388" s="114">
        <v>8824</v>
      </c>
      <c r="K1388" s="114">
        <v>1676</v>
      </c>
      <c r="L1388" s="114" t="str">
        <f t="shared" si="21"/>
        <v>INSERT INTO DETALLES_DOCUMENTO(NRO_DOCUMENTO,ID_TIPO,ID_PRODUCTO,CANTIDAD,PRECIO,VALOR_BRUTO,VALOR_NETO,VALOR_IVA) VALUES(694,1,324,1,10500,10500,8824,1676);</v>
      </c>
    </row>
    <row r="1389" spans="1:12">
      <c r="A1389" s="114">
        <v>1</v>
      </c>
      <c r="B1389" s="114">
        <v>695</v>
      </c>
      <c r="C1389" s="139" t="s">
        <v>2278</v>
      </c>
      <c r="D1389" s="114" t="s">
        <v>2090</v>
      </c>
      <c r="E1389" s="114">
        <v>199</v>
      </c>
      <c r="F1389" s="114">
        <v>51</v>
      </c>
      <c r="G1389" s="114">
        <v>4</v>
      </c>
      <c r="H1389" s="114">
        <v>16800</v>
      </c>
      <c r="I1389" s="114">
        <v>67200</v>
      </c>
      <c r="J1389" s="114">
        <v>56471</v>
      </c>
      <c r="K1389" s="114">
        <v>10729</v>
      </c>
      <c r="L1389" s="114" t="str">
        <f t="shared" si="21"/>
        <v>INSERT INTO DETALLES_DOCUMENTO(NRO_DOCUMENTO,ID_TIPO,ID_PRODUCTO,CANTIDAD,PRECIO,VALOR_BRUTO,VALOR_NETO,VALOR_IVA) VALUES(695,1,51,4,16800,67200,56471,10729);</v>
      </c>
    </row>
    <row r="1390" spans="1:12">
      <c r="A1390" s="114">
        <v>1</v>
      </c>
      <c r="B1390" s="114">
        <v>696</v>
      </c>
      <c r="C1390" s="139" t="s">
        <v>2278</v>
      </c>
      <c r="D1390" s="114" t="s">
        <v>2090</v>
      </c>
      <c r="E1390" s="114">
        <v>219</v>
      </c>
      <c r="F1390" s="114">
        <v>231</v>
      </c>
      <c r="G1390" s="114">
        <v>1</v>
      </c>
      <c r="H1390" s="114">
        <v>20900</v>
      </c>
      <c r="I1390" s="114">
        <v>20900</v>
      </c>
      <c r="J1390" s="114">
        <v>17563</v>
      </c>
      <c r="K1390" s="114">
        <v>3337</v>
      </c>
      <c r="L1390" s="114" t="str">
        <f t="shared" si="21"/>
        <v>INSERT INTO DETALLES_DOCUMENTO(NRO_DOCUMENTO,ID_TIPO,ID_PRODUCTO,CANTIDAD,PRECIO,VALOR_BRUTO,VALOR_NETO,VALOR_IVA) VALUES(696,1,231,1,20900,20900,17563,3337);</v>
      </c>
    </row>
    <row r="1391" spans="1:12">
      <c r="A1391" s="114">
        <v>1</v>
      </c>
      <c r="B1391" s="114">
        <v>697</v>
      </c>
      <c r="C1391" s="139" t="s">
        <v>2278</v>
      </c>
      <c r="D1391" s="114" t="s">
        <v>2090</v>
      </c>
      <c r="E1391" s="114">
        <v>227</v>
      </c>
      <c r="F1391" s="114">
        <v>329</v>
      </c>
      <c r="G1391" s="114">
        <v>1</v>
      </c>
      <c r="H1391" s="114">
        <v>5500</v>
      </c>
      <c r="I1391" s="114">
        <v>5500</v>
      </c>
      <c r="J1391" s="114">
        <v>4622</v>
      </c>
      <c r="K1391" s="114">
        <v>878</v>
      </c>
      <c r="L1391" s="114" t="str">
        <f t="shared" si="21"/>
        <v>INSERT INTO DETALLES_DOCUMENTO(NRO_DOCUMENTO,ID_TIPO,ID_PRODUCTO,CANTIDAD,PRECIO,VALOR_BRUTO,VALOR_NETO,VALOR_IVA) VALUES(697,1,329,1,5500,5500,4622,878);</v>
      </c>
    </row>
    <row r="1392" spans="1:12">
      <c r="A1392" s="114">
        <v>1</v>
      </c>
      <c r="B1392" s="114">
        <v>698</v>
      </c>
      <c r="C1392" s="139" t="s">
        <v>2278</v>
      </c>
      <c r="D1392" s="114" t="s">
        <v>2090</v>
      </c>
      <c r="E1392" s="114">
        <v>453</v>
      </c>
      <c r="F1392" s="114">
        <v>46</v>
      </c>
      <c r="G1392" s="114">
        <v>1</v>
      </c>
      <c r="H1392" s="114">
        <v>2500</v>
      </c>
      <c r="I1392" s="114">
        <v>2500</v>
      </c>
      <c r="J1392" s="114">
        <v>2101</v>
      </c>
      <c r="K1392" s="114">
        <v>399</v>
      </c>
      <c r="L1392" s="114" t="str">
        <f t="shared" si="21"/>
        <v>INSERT INTO DETALLES_DOCUMENTO(NRO_DOCUMENTO,ID_TIPO,ID_PRODUCTO,CANTIDAD,PRECIO,VALOR_BRUTO,VALOR_NETO,VALOR_IVA) VALUES(698,1,46,1,2500,2500,2101,399);</v>
      </c>
    </row>
    <row r="1393" spans="1:12">
      <c r="A1393" s="114">
        <v>1</v>
      </c>
      <c r="B1393" s="114">
        <v>699</v>
      </c>
      <c r="C1393" s="139" t="s">
        <v>2279</v>
      </c>
      <c r="D1393" s="114" t="s">
        <v>2090</v>
      </c>
      <c r="E1393" s="114">
        <v>76</v>
      </c>
      <c r="F1393" s="114">
        <v>324</v>
      </c>
      <c r="G1393" s="114">
        <v>1</v>
      </c>
      <c r="H1393" s="114">
        <v>10500</v>
      </c>
      <c r="I1393" s="114">
        <v>10500</v>
      </c>
      <c r="J1393" s="114">
        <v>8824</v>
      </c>
      <c r="K1393" s="114">
        <v>1676</v>
      </c>
      <c r="L1393" s="114" t="str">
        <f t="shared" si="21"/>
        <v>INSERT INTO DETALLES_DOCUMENTO(NRO_DOCUMENTO,ID_TIPO,ID_PRODUCTO,CANTIDAD,PRECIO,VALOR_BRUTO,VALOR_NETO,VALOR_IVA) VALUES(699,1,324,1,10500,10500,8824,1676);</v>
      </c>
    </row>
    <row r="1394" spans="1:12">
      <c r="A1394" s="114">
        <v>1</v>
      </c>
      <c r="B1394" s="114">
        <v>700</v>
      </c>
      <c r="C1394" s="139" t="s">
        <v>2279</v>
      </c>
      <c r="D1394" s="114" t="s">
        <v>2090</v>
      </c>
      <c r="E1394" s="114">
        <v>128</v>
      </c>
      <c r="F1394" s="114">
        <v>293</v>
      </c>
      <c r="G1394" s="114">
        <v>1</v>
      </c>
      <c r="H1394" s="114">
        <v>10000</v>
      </c>
      <c r="I1394" s="114">
        <v>10000</v>
      </c>
      <c r="J1394" s="114">
        <v>8403</v>
      </c>
      <c r="K1394" s="114">
        <v>1597</v>
      </c>
      <c r="L1394" s="114" t="str">
        <f t="shared" si="21"/>
        <v>INSERT INTO DETALLES_DOCUMENTO(NRO_DOCUMENTO,ID_TIPO,ID_PRODUCTO,CANTIDAD,PRECIO,VALOR_BRUTO,VALOR_NETO,VALOR_IVA) VALUES(700,1,293,1,10000,10000,8403,1597);</v>
      </c>
    </row>
    <row r="1395" spans="1:12">
      <c r="A1395" s="114">
        <v>1</v>
      </c>
      <c r="B1395" s="114">
        <v>700</v>
      </c>
      <c r="C1395" s="139" t="s">
        <v>2279</v>
      </c>
      <c r="D1395" s="114" t="s">
        <v>2090</v>
      </c>
      <c r="E1395" s="114">
        <v>128</v>
      </c>
      <c r="F1395" s="114">
        <v>370</v>
      </c>
      <c r="G1395" s="114">
        <v>1</v>
      </c>
      <c r="H1395" s="114">
        <v>4000</v>
      </c>
      <c r="I1395" s="114">
        <v>4000</v>
      </c>
      <c r="J1395" s="114">
        <v>3361</v>
      </c>
      <c r="K1395" s="114">
        <v>639</v>
      </c>
      <c r="L1395" s="114" t="str">
        <f t="shared" si="21"/>
        <v>INSERT INTO DETALLES_DOCUMENTO(NRO_DOCUMENTO,ID_TIPO,ID_PRODUCTO,CANTIDAD,PRECIO,VALOR_BRUTO,VALOR_NETO,VALOR_IVA) VALUES(700,1,370,1,4000,4000,3361,639);</v>
      </c>
    </row>
    <row r="1396" spans="1:12">
      <c r="A1396" s="114">
        <v>1</v>
      </c>
      <c r="B1396" s="114">
        <v>700</v>
      </c>
      <c r="C1396" s="139" t="s">
        <v>2279</v>
      </c>
      <c r="D1396" s="114" t="s">
        <v>2090</v>
      </c>
      <c r="E1396" s="114">
        <v>128</v>
      </c>
      <c r="F1396" s="114">
        <v>264</v>
      </c>
      <c r="G1396" s="114">
        <v>1</v>
      </c>
      <c r="H1396" s="114">
        <v>5000</v>
      </c>
      <c r="I1396" s="114">
        <v>5000</v>
      </c>
      <c r="J1396" s="114">
        <v>4202</v>
      </c>
      <c r="K1396" s="114">
        <v>798</v>
      </c>
      <c r="L1396" s="114" t="str">
        <f t="shared" si="21"/>
        <v>INSERT INTO DETALLES_DOCUMENTO(NRO_DOCUMENTO,ID_TIPO,ID_PRODUCTO,CANTIDAD,PRECIO,VALOR_BRUTO,VALOR_NETO,VALOR_IVA) VALUES(700,1,264,1,5000,5000,4202,798);</v>
      </c>
    </row>
    <row r="1397" spans="1:12">
      <c r="A1397" s="114">
        <v>1</v>
      </c>
      <c r="B1397" s="114">
        <v>701</v>
      </c>
      <c r="C1397" s="139" t="s">
        <v>2279</v>
      </c>
      <c r="D1397" s="114" t="s">
        <v>2090</v>
      </c>
      <c r="E1397" s="114">
        <v>140</v>
      </c>
      <c r="F1397" s="114">
        <v>235</v>
      </c>
      <c r="G1397" s="114">
        <v>1</v>
      </c>
      <c r="H1397" s="114">
        <v>14500</v>
      </c>
      <c r="I1397" s="114">
        <v>14500</v>
      </c>
      <c r="J1397" s="114">
        <v>12185</v>
      </c>
      <c r="K1397" s="114">
        <v>2315</v>
      </c>
      <c r="L1397" s="114" t="str">
        <f t="shared" si="21"/>
        <v>INSERT INTO DETALLES_DOCUMENTO(NRO_DOCUMENTO,ID_TIPO,ID_PRODUCTO,CANTIDAD,PRECIO,VALOR_BRUTO,VALOR_NETO,VALOR_IVA) VALUES(701,1,235,1,14500,14500,12185,2315);</v>
      </c>
    </row>
    <row r="1398" spans="1:12">
      <c r="A1398" s="114">
        <v>1</v>
      </c>
      <c r="B1398" s="114">
        <v>702</v>
      </c>
      <c r="C1398" s="139" t="s">
        <v>2279</v>
      </c>
      <c r="D1398" s="114" t="s">
        <v>2090</v>
      </c>
      <c r="E1398" s="114">
        <v>207</v>
      </c>
      <c r="F1398" s="114">
        <v>117</v>
      </c>
      <c r="G1398" s="114">
        <v>2</v>
      </c>
      <c r="H1398" s="114">
        <v>7000</v>
      </c>
      <c r="I1398" s="114">
        <v>14000</v>
      </c>
      <c r="J1398" s="114">
        <v>11765</v>
      </c>
      <c r="K1398" s="114">
        <v>2235</v>
      </c>
      <c r="L1398" s="114" t="str">
        <f t="shared" si="21"/>
        <v>INSERT INTO DETALLES_DOCUMENTO(NRO_DOCUMENTO,ID_TIPO,ID_PRODUCTO,CANTIDAD,PRECIO,VALOR_BRUTO,VALOR_NETO,VALOR_IVA) VALUES(702,1,117,2,7000,14000,11765,2235);</v>
      </c>
    </row>
    <row r="1399" spans="1:12">
      <c r="A1399" s="114">
        <v>1</v>
      </c>
      <c r="B1399" s="114">
        <v>702</v>
      </c>
      <c r="C1399" s="139" t="s">
        <v>2279</v>
      </c>
      <c r="D1399" s="114" t="s">
        <v>2090</v>
      </c>
      <c r="E1399" s="114">
        <v>207</v>
      </c>
      <c r="F1399" s="114">
        <v>99</v>
      </c>
      <c r="G1399" s="114">
        <v>2</v>
      </c>
      <c r="H1399" s="114">
        <v>3000</v>
      </c>
      <c r="I1399" s="114">
        <v>6000</v>
      </c>
      <c r="J1399" s="114">
        <v>5042</v>
      </c>
      <c r="K1399" s="114">
        <v>958</v>
      </c>
      <c r="L1399" s="114" t="str">
        <f t="shared" si="21"/>
        <v>INSERT INTO DETALLES_DOCUMENTO(NRO_DOCUMENTO,ID_TIPO,ID_PRODUCTO,CANTIDAD,PRECIO,VALOR_BRUTO,VALOR_NETO,VALOR_IVA) VALUES(702,1,99,2,3000,6000,5042,958);</v>
      </c>
    </row>
    <row r="1400" spans="1:12">
      <c r="A1400" s="114">
        <v>1</v>
      </c>
      <c r="B1400" s="114">
        <v>703</v>
      </c>
      <c r="C1400" s="139" t="s">
        <v>2279</v>
      </c>
      <c r="D1400" s="114" t="s">
        <v>2090</v>
      </c>
      <c r="E1400" s="114">
        <v>251</v>
      </c>
      <c r="F1400" s="114">
        <v>329</v>
      </c>
      <c r="G1400" s="114">
        <v>1</v>
      </c>
      <c r="H1400" s="114">
        <v>5500</v>
      </c>
      <c r="I1400" s="114">
        <v>5500</v>
      </c>
      <c r="J1400" s="114">
        <v>4622</v>
      </c>
      <c r="K1400" s="114">
        <v>878</v>
      </c>
      <c r="L1400" s="114" t="str">
        <f t="shared" si="21"/>
        <v>INSERT INTO DETALLES_DOCUMENTO(NRO_DOCUMENTO,ID_TIPO,ID_PRODUCTO,CANTIDAD,PRECIO,VALOR_BRUTO,VALOR_NETO,VALOR_IVA) VALUES(703,1,329,1,5500,5500,4622,878);</v>
      </c>
    </row>
    <row r="1401" spans="1:12">
      <c r="A1401" s="114">
        <v>1</v>
      </c>
      <c r="B1401" s="114">
        <v>703</v>
      </c>
      <c r="C1401" s="139" t="s">
        <v>2279</v>
      </c>
      <c r="D1401" s="114" t="s">
        <v>2090</v>
      </c>
      <c r="E1401" s="114">
        <v>251</v>
      </c>
      <c r="F1401" s="114">
        <v>143</v>
      </c>
      <c r="G1401" s="114">
        <v>1</v>
      </c>
      <c r="H1401" s="114">
        <v>8300</v>
      </c>
      <c r="I1401" s="114">
        <v>8300</v>
      </c>
      <c r="J1401" s="114">
        <v>6975</v>
      </c>
      <c r="K1401" s="114">
        <v>1325</v>
      </c>
      <c r="L1401" s="114" t="str">
        <f t="shared" si="21"/>
        <v>INSERT INTO DETALLES_DOCUMENTO(NRO_DOCUMENTO,ID_TIPO,ID_PRODUCTO,CANTIDAD,PRECIO,VALOR_BRUTO,VALOR_NETO,VALOR_IVA) VALUES(703,1,143,1,8300,8300,6975,1325);</v>
      </c>
    </row>
    <row r="1402" spans="1:12">
      <c r="A1402" s="114">
        <v>1</v>
      </c>
      <c r="B1402" s="114">
        <v>704</v>
      </c>
      <c r="C1402" s="139" t="s">
        <v>2279</v>
      </c>
      <c r="D1402" s="114" t="s">
        <v>2090</v>
      </c>
      <c r="E1402" s="114">
        <v>300</v>
      </c>
      <c r="F1402" s="114">
        <v>368</v>
      </c>
      <c r="G1402" s="114">
        <v>1</v>
      </c>
      <c r="H1402" s="114">
        <v>3000</v>
      </c>
      <c r="I1402" s="114">
        <v>3000</v>
      </c>
      <c r="J1402" s="114">
        <v>2521</v>
      </c>
      <c r="K1402" s="114">
        <v>479</v>
      </c>
      <c r="L1402" s="114" t="str">
        <f t="shared" si="21"/>
        <v>INSERT INTO DETALLES_DOCUMENTO(NRO_DOCUMENTO,ID_TIPO,ID_PRODUCTO,CANTIDAD,PRECIO,VALOR_BRUTO,VALOR_NETO,VALOR_IVA) VALUES(704,1,368,1,3000,3000,2521,479);</v>
      </c>
    </row>
    <row r="1403" spans="1:12">
      <c r="A1403" s="114">
        <v>1</v>
      </c>
      <c r="B1403" s="114">
        <v>704</v>
      </c>
      <c r="C1403" s="139" t="s">
        <v>2279</v>
      </c>
      <c r="D1403" s="114" t="s">
        <v>2090</v>
      </c>
      <c r="E1403" s="114">
        <v>300</v>
      </c>
      <c r="F1403" s="114">
        <v>354</v>
      </c>
      <c r="G1403" s="114">
        <v>1</v>
      </c>
      <c r="H1403" s="114">
        <v>1800</v>
      </c>
      <c r="I1403" s="114">
        <v>1800</v>
      </c>
      <c r="J1403" s="114">
        <v>1513</v>
      </c>
      <c r="K1403" s="114">
        <v>287</v>
      </c>
      <c r="L1403" s="114" t="str">
        <f t="shared" si="21"/>
        <v>INSERT INTO DETALLES_DOCUMENTO(NRO_DOCUMENTO,ID_TIPO,ID_PRODUCTO,CANTIDAD,PRECIO,VALOR_BRUTO,VALOR_NETO,VALOR_IVA) VALUES(704,1,354,1,1800,1800,1513,287);</v>
      </c>
    </row>
    <row r="1404" spans="1:12">
      <c r="A1404" s="114">
        <v>1</v>
      </c>
      <c r="B1404" s="114">
        <v>704</v>
      </c>
      <c r="C1404" s="139" t="s">
        <v>2279</v>
      </c>
      <c r="D1404" s="114" t="s">
        <v>2090</v>
      </c>
      <c r="E1404" s="114">
        <v>300</v>
      </c>
      <c r="F1404" s="114">
        <v>384</v>
      </c>
      <c r="G1404" s="114">
        <v>1</v>
      </c>
      <c r="H1404" s="114">
        <v>2750</v>
      </c>
      <c r="I1404" s="114">
        <v>2750</v>
      </c>
      <c r="J1404" s="114">
        <v>2311</v>
      </c>
      <c r="K1404" s="114">
        <v>439</v>
      </c>
      <c r="L1404" s="114" t="str">
        <f t="shared" si="21"/>
        <v>INSERT INTO DETALLES_DOCUMENTO(NRO_DOCUMENTO,ID_TIPO,ID_PRODUCTO,CANTIDAD,PRECIO,VALOR_BRUTO,VALOR_NETO,VALOR_IVA) VALUES(704,1,384,1,2750,2750,2311,439);</v>
      </c>
    </row>
    <row r="1405" spans="1:12">
      <c r="A1405" s="114">
        <v>1</v>
      </c>
      <c r="B1405" s="114">
        <v>704</v>
      </c>
      <c r="C1405" s="139" t="s">
        <v>2279</v>
      </c>
      <c r="D1405" s="114" t="s">
        <v>2090</v>
      </c>
      <c r="E1405" s="114">
        <v>300</v>
      </c>
      <c r="F1405" s="114">
        <v>329</v>
      </c>
      <c r="G1405" s="114">
        <v>1</v>
      </c>
      <c r="H1405" s="114">
        <v>5500</v>
      </c>
      <c r="I1405" s="114">
        <v>5500</v>
      </c>
      <c r="J1405" s="114">
        <v>4622</v>
      </c>
      <c r="K1405" s="114">
        <v>878</v>
      </c>
      <c r="L1405" s="114" t="str">
        <f t="shared" si="21"/>
        <v>INSERT INTO DETALLES_DOCUMENTO(NRO_DOCUMENTO,ID_TIPO,ID_PRODUCTO,CANTIDAD,PRECIO,VALOR_BRUTO,VALOR_NETO,VALOR_IVA) VALUES(704,1,329,1,5500,5500,4622,878);</v>
      </c>
    </row>
    <row r="1406" spans="1:12">
      <c r="A1406" s="114">
        <v>1</v>
      </c>
      <c r="B1406" s="114">
        <v>704</v>
      </c>
      <c r="C1406" s="139" t="s">
        <v>2279</v>
      </c>
      <c r="D1406" s="114" t="s">
        <v>2090</v>
      </c>
      <c r="E1406" s="114">
        <v>300</v>
      </c>
      <c r="F1406" s="114">
        <v>143</v>
      </c>
      <c r="G1406" s="114">
        <v>1</v>
      </c>
      <c r="H1406" s="114">
        <v>8300</v>
      </c>
      <c r="I1406" s="114">
        <v>8300</v>
      </c>
      <c r="J1406" s="114">
        <v>6975</v>
      </c>
      <c r="K1406" s="114">
        <v>1325</v>
      </c>
      <c r="L1406" s="114" t="str">
        <f t="shared" si="21"/>
        <v>INSERT INTO DETALLES_DOCUMENTO(NRO_DOCUMENTO,ID_TIPO,ID_PRODUCTO,CANTIDAD,PRECIO,VALOR_BRUTO,VALOR_NETO,VALOR_IVA) VALUES(704,1,143,1,8300,8300,6975,1325);</v>
      </c>
    </row>
    <row r="1407" spans="1:12">
      <c r="A1407" s="114">
        <v>1</v>
      </c>
      <c r="B1407" s="114">
        <v>705</v>
      </c>
      <c r="C1407" s="139" t="s">
        <v>2279</v>
      </c>
      <c r="D1407" s="114" t="s">
        <v>2090</v>
      </c>
      <c r="E1407" s="114">
        <v>408</v>
      </c>
      <c r="F1407" s="114">
        <v>261</v>
      </c>
      <c r="G1407" s="114">
        <v>1</v>
      </c>
      <c r="H1407" s="114">
        <v>7000</v>
      </c>
      <c r="I1407" s="114">
        <v>7000</v>
      </c>
      <c r="J1407" s="114">
        <v>5882</v>
      </c>
      <c r="K1407" s="114">
        <v>1118</v>
      </c>
      <c r="L1407" s="114" t="str">
        <f t="shared" si="21"/>
        <v>INSERT INTO DETALLES_DOCUMENTO(NRO_DOCUMENTO,ID_TIPO,ID_PRODUCTO,CANTIDAD,PRECIO,VALOR_BRUTO,VALOR_NETO,VALOR_IVA) VALUES(705,1,261,1,7000,7000,5882,1118);</v>
      </c>
    </row>
    <row r="1408" spans="1:12">
      <c r="A1408" s="114">
        <v>1</v>
      </c>
      <c r="B1408" s="114">
        <v>706</v>
      </c>
      <c r="C1408" s="139" t="s">
        <v>2279</v>
      </c>
      <c r="D1408" s="114" t="s">
        <v>2090</v>
      </c>
      <c r="E1408" s="114">
        <v>411</v>
      </c>
      <c r="F1408" s="114">
        <v>191</v>
      </c>
      <c r="G1408" s="114">
        <v>1</v>
      </c>
      <c r="H1408" s="114">
        <v>2500</v>
      </c>
      <c r="I1408" s="114">
        <v>2500</v>
      </c>
      <c r="J1408" s="114">
        <v>2101</v>
      </c>
      <c r="K1408" s="114">
        <v>399</v>
      </c>
      <c r="L1408" s="114" t="str">
        <f t="shared" si="21"/>
        <v>INSERT INTO DETALLES_DOCUMENTO(NRO_DOCUMENTO,ID_TIPO,ID_PRODUCTO,CANTIDAD,PRECIO,VALOR_BRUTO,VALOR_NETO,VALOR_IVA) VALUES(706,1,191,1,2500,2500,2101,399);</v>
      </c>
    </row>
    <row r="1409" spans="1:12">
      <c r="A1409" s="114">
        <v>1</v>
      </c>
      <c r="B1409" s="114">
        <v>706</v>
      </c>
      <c r="C1409" s="139" t="s">
        <v>2279</v>
      </c>
      <c r="D1409" s="114" t="s">
        <v>2090</v>
      </c>
      <c r="E1409" s="114">
        <v>411</v>
      </c>
      <c r="F1409" s="114">
        <v>329</v>
      </c>
      <c r="G1409" s="114">
        <v>1</v>
      </c>
      <c r="H1409" s="114">
        <v>5500</v>
      </c>
      <c r="I1409" s="114">
        <v>5500</v>
      </c>
      <c r="J1409" s="114">
        <v>4622</v>
      </c>
      <c r="K1409" s="114">
        <v>878</v>
      </c>
      <c r="L1409" s="114" t="str">
        <f t="shared" si="21"/>
        <v>INSERT INTO DETALLES_DOCUMENTO(NRO_DOCUMENTO,ID_TIPO,ID_PRODUCTO,CANTIDAD,PRECIO,VALOR_BRUTO,VALOR_NETO,VALOR_IVA) VALUES(706,1,329,1,5500,5500,4622,878);</v>
      </c>
    </row>
    <row r="1410" spans="1:12">
      <c r="A1410" s="114">
        <v>1</v>
      </c>
      <c r="B1410" s="114">
        <v>706</v>
      </c>
      <c r="C1410" s="139" t="s">
        <v>2279</v>
      </c>
      <c r="D1410" s="114" t="s">
        <v>2090</v>
      </c>
      <c r="E1410" s="114">
        <v>411</v>
      </c>
      <c r="F1410" s="114">
        <v>368</v>
      </c>
      <c r="G1410" s="114">
        <v>1</v>
      </c>
      <c r="H1410" s="114">
        <v>3000</v>
      </c>
      <c r="I1410" s="114">
        <v>3000</v>
      </c>
      <c r="J1410" s="114">
        <v>2521</v>
      </c>
      <c r="K1410" s="114">
        <v>479</v>
      </c>
      <c r="L1410" s="114" t="str">
        <f t="shared" si="21"/>
        <v>INSERT INTO DETALLES_DOCUMENTO(NRO_DOCUMENTO,ID_TIPO,ID_PRODUCTO,CANTIDAD,PRECIO,VALOR_BRUTO,VALOR_NETO,VALOR_IVA) VALUES(706,1,368,1,3000,3000,2521,479);</v>
      </c>
    </row>
    <row r="1411" spans="1:12">
      <c r="A1411" s="114">
        <v>1</v>
      </c>
      <c r="B1411" s="114">
        <v>706</v>
      </c>
      <c r="C1411" s="139" t="s">
        <v>2279</v>
      </c>
      <c r="D1411" s="114" t="s">
        <v>2090</v>
      </c>
      <c r="E1411" s="114">
        <v>411</v>
      </c>
      <c r="F1411" s="114">
        <v>296</v>
      </c>
      <c r="G1411" s="114">
        <v>1</v>
      </c>
      <c r="H1411" s="114">
        <v>3500</v>
      </c>
      <c r="I1411" s="114">
        <v>3500</v>
      </c>
      <c r="J1411" s="114">
        <v>2941</v>
      </c>
      <c r="K1411" s="114">
        <v>559</v>
      </c>
      <c r="L1411" s="114" t="str">
        <f t="shared" ref="L1411:L1474" si="22">CONCATENATE("INSERT INTO DETALLES_DOCUMENTO(NRO_DOCUMENTO,ID_TIPO,ID_PRODUCTO,CANTIDAD,PRECIO,VALOR_BRUTO,VALOR_NETO,VALOR_IVA) VALUES(",B1411,",",A1411,",",F1411,",",G1411,",",H1411,",",I1411,",",J1411,",",K1411,");")</f>
        <v>INSERT INTO DETALLES_DOCUMENTO(NRO_DOCUMENTO,ID_TIPO,ID_PRODUCTO,CANTIDAD,PRECIO,VALOR_BRUTO,VALOR_NETO,VALOR_IVA) VALUES(706,1,296,1,3500,3500,2941,559);</v>
      </c>
    </row>
    <row r="1412" spans="1:12">
      <c r="A1412" s="114">
        <v>1</v>
      </c>
      <c r="B1412" s="114">
        <v>707</v>
      </c>
      <c r="C1412" s="139" t="s">
        <v>2279</v>
      </c>
      <c r="D1412" s="114" t="s">
        <v>2090</v>
      </c>
      <c r="E1412" s="114">
        <v>418</v>
      </c>
      <c r="F1412" s="114">
        <v>329</v>
      </c>
      <c r="G1412" s="114">
        <v>1</v>
      </c>
      <c r="H1412" s="114">
        <v>5500</v>
      </c>
      <c r="I1412" s="114">
        <v>5500</v>
      </c>
      <c r="J1412" s="114">
        <v>4622</v>
      </c>
      <c r="K1412" s="114">
        <v>878</v>
      </c>
      <c r="L1412" s="114" t="str">
        <f t="shared" si="22"/>
        <v>INSERT INTO DETALLES_DOCUMENTO(NRO_DOCUMENTO,ID_TIPO,ID_PRODUCTO,CANTIDAD,PRECIO,VALOR_BRUTO,VALOR_NETO,VALOR_IVA) VALUES(707,1,329,1,5500,5500,4622,878);</v>
      </c>
    </row>
    <row r="1413" spans="1:12">
      <c r="A1413" s="114">
        <v>1</v>
      </c>
      <c r="B1413" s="114">
        <v>708</v>
      </c>
      <c r="C1413" s="139" t="s">
        <v>2279</v>
      </c>
      <c r="D1413" s="114" t="s">
        <v>2090</v>
      </c>
      <c r="E1413" s="114">
        <v>486</v>
      </c>
      <c r="F1413" s="114">
        <v>143</v>
      </c>
      <c r="G1413" s="114">
        <v>1</v>
      </c>
      <c r="H1413" s="114">
        <v>8300</v>
      </c>
      <c r="I1413" s="114">
        <v>8300</v>
      </c>
      <c r="J1413" s="114">
        <v>6975</v>
      </c>
      <c r="K1413" s="114">
        <v>1325</v>
      </c>
      <c r="L1413" s="114" t="str">
        <f t="shared" si="22"/>
        <v>INSERT INTO DETALLES_DOCUMENTO(NRO_DOCUMENTO,ID_TIPO,ID_PRODUCTO,CANTIDAD,PRECIO,VALOR_BRUTO,VALOR_NETO,VALOR_IVA) VALUES(708,1,143,1,8300,8300,6975,1325);</v>
      </c>
    </row>
    <row r="1414" spans="1:12">
      <c r="A1414" s="114">
        <v>1</v>
      </c>
      <c r="B1414" s="114">
        <v>709</v>
      </c>
      <c r="C1414" s="139" t="s">
        <v>2280</v>
      </c>
      <c r="D1414" s="114" t="s">
        <v>2090</v>
      </c>
      <c r="E1414" s="114">
        <v>63</v>
      </c>
      <c r="F1414" s="114">
        <v>143</v>
      </c>
      <c r="G1414" s="114">
        <v>1</v>
      </c>
      <c r="H1414" s="114">
        <v>8300</v>
      </c>
      <c r="I1414" s="114">
        <v>8300</v>
      </c>
      <c r="J1414" s="114">
        <v>6975</v>
      </c>
      <c r="K1414" s="114">
        <v>1325</v>
      </c>
      <c r="L1414" s="114" t="str">
        <f t="shared" si="22"/>
        <v>INSERT INTO DETALLES_DOCUMENTO(NRO_DOCUMENTO,ID_TIPO,ID_PRODUCTO,CANTIDAD,PRECIO,VALOR_BRUTO,VALOR_NETO,VALOR_IVA) VALUES(709,1,143,1,8300,8300,6975,1325);</v>
      </c>
    </row>
    <row r="1415" spans="1:12">
      <c r="A1415" s="114">
        <v>1</v>
      </c>
      <c r="B1415" s="114">
        <v>710</v>
      </c>
      <c r="C1415" s="139" t="s">
        <v>2280</v>
      </c>
      <c r="D1415" s="114" t="s">
        <v>2090</v>
      </c>
      <c r="E1415" s="114">
        <v>72</v>
      </c>
      <c r="F1415" s="114">
        <v>143</v>
      </c>
      <c r="G1415" s="114">
        <v>1</v>
      </c>
      <c r="H1415" s="114">
        <v>8300</v>
      </c>
      <c r="I1415" s="114">
        <v>8300</v>
      </c>
      <c r="J1415" s="114">
        <v>6975</v>
      </c>
      <c r="K1415" s="114">
        <v>1325</v>
      </c>
      <c r="L1415" s="114" t="str">
        <f t="shared" si="22"/>
        <v>INSERT INTO DETALLES_DOCUMENTO(NRO_DOCUMENTO,ID_TIPO,ID_PRODUCTO,CANTIDAD,PRECIO,VALOR_BRUTO,VALOR_NETO,VALOR_IVA) VALUES(710,1,143,1,8300,8300,6975,1325);</v>
      </c>
    </row>
    <row r="1416" spans="1:12">
      <c r="A1416" s="114">
        <v>1</v>
      </c>
      <c r="B1416" s="114">
        <v>711</v>
      </c>
      <c r="C1416" s="139" t="s">
        <v>2280</v>
      </c>
      <c r="D1416" s="114" t="s">
        <v>2090</v>
      </c>
      <c r="E1416" s="114">
        <v>130</v>
      </c>
      <c r="F1416" s="114">
        <v>126</v>
      </c>
      <c r="G1416" s="114">
        <v>1</v>
      </c>
      <c r="H1416" s="114">
        <v>9000</v>
      </c>
      <c r="I1416" s="114">
        <v>9000</v>
      </c>
      <c r="J1416" s="114">
        <v>7563</v>
      </c>
      <c r="K1416" s="114">
        <v>1437</v>
      </c>
      <c r="L1416" s="114" t="str">
        <f t="shared" si="22"/>
        <v>INSERT INTO DETALLES_DOCUMENTO(NRO_DOCUMENTO,ID_TIPO,ID_PRODUCTO,CANTIDAD,PRECIO,VALOR_BRUTO,VALOR_NETO,VALOR_IVA) VALUES(711,1,126,1,9000,9000,7563,1437);</v>
      </c>
    </row>
    <row r="1417" spans="1:12">
      <c r="A1417" s="114">
        <v>1</v>
      </c>
      <c r="B1417" s="114">
        <v>711</v>
      </c>
      <c r="C1417" s="139" t="s">
        <v>2280</v>
      </c>
      <c r="D1417" s="114" t="s">
        <v>2090</v>
      </c>
      <c r="E1417" s="114">
        <v>130</v>
      </c>
      <c r="F1417" s="114">
        <v>288</v>
      </c>
      <c r="G1417" s="114">
        <v>1</v>
      </c>
      <c r="H1417" s="114">
        <v>8500</v>
      </c>
      <c r="I1417" s="114">
        <v>8500</v>
      </c>
      <c r="J1417" s="114">
        <v>7143</v>
      </c>
      <c r="K1417" s="114">
        <v>1357</v>
      </c>
      <c r="L1417" s="114" t="str">
        <f t="shared" si="22"/>
        <v>INSERT INTO DETALLES_DOCUMENTO(NRO_DOCUMENTO,ID_TIPO,ID_PRODUCTO,CANTIDAD,PRECIO,VALOR_BRUTO,VALOR_NETO,VALOR_IVA) VALUES(711,1,288,1,8500,8500,7143,1357);</v>
      </c>
    </row>
    <row r="1418" spans="1:12">
      <c r="A1418" s="114">
        <v>1</v>
      </c>
      <c r="B1418" s="114">
        <v>712</v>
      </c>
      <c r="C1418" s="139" t="s">
        <v>2280</v>
      </c>
      <c r="D1418" s="114" t="s">
        <v>2090</v>
      </c>
      <c r="E1418" s="114">
        <v>166</v>
      </c>
      <c r="F1418" s="114">
        <v>324</v>
      </c>
      <c r="G1418" s="114">
        <v>1</v>
      </c>
      <c r="H1418" s="114">
        <v>10500</v>
      </c>
      <c r="I1418" s="114">
        <v>10500</v>
      </c>
      <c r="J1418" s="114">
        <v>8824</v>
      </c>
      <c r="K1418" s="114">
        <v>1676</v>
      </c>
      <c r="L1418" s="114" t="str">
        <f t="shared" si="22"/>
        <v>INSERT INTO DETALLES_DOCUMENTO(NRO_DOCUMENTO,ID_TIPO,ID_PRODUCTO,CANTIDAD,PRECIO,VALOR_BRUTO,VALOR_NETO,VALOR_IVA) VALUES(712,1,324,1,10500,10500,8824,1676);</v>
      </c>
    </row>
    <row r="1419" spans="1:12">
      <c r="A1419" s="114">
        <v>1</v>
      </c>
      <c r="B1419" s="114">
        <v>713</v>
      </c>
      <c r="C1419" s="139" t="s">
        <v>2280</v>
      </c>
      <c r="D1419" s="114" t="s">
        <v>2090</v>
      </c>
      <c r="E1419" s="114">
        <v>184</v>
      </c>
      <c r="F1419" s="114">
        <v>324</v>
      </c>
      <c r="G1419" s="114">
        <v>1</v>
      </c>
      <c r="H1419" s="114">
        <v>10500</v>
      </c>
      <c r="I1419" s="114">
        <v>10500</v>
      </c>
      <c r="J1419" s="114">
        <v>8824</v>
      </c>
      <c r="K1419" s="114">
        <v>1676</v>
      </c>
      <c r="L1419" s="114" t="str">
        <f t="shared" si="22"/>
        <v>INSERT INTO DETALLES_DOCUMENTO(NRO_DOCUMENTO,ID_TIPO,ID_PRODUCTO,CANTIDAD,PRECIO,VALOR_BRUTO,VALOR_NETO,VALOR_IVA) VALUES(713,1,324,1,10500,10500,8824,1676);</v>
      </c>
    </row>
    <row r="1420" spans="1:12">
      <c r="A1420" s="114">
        <v>1</v>
      </c>
      <c r="B1420" s="114">
        <v>714</v>
      </c>
      <c r="C1420" s="139" t="s">
        <v>2280</v>
      </c>
      <c r="D1420" s="114" t="s">
        <v>2090</v>
      </c>
      <c r="E1420" s="114">
        <v>333</v>
      </c>
      <c r="F1420" s="114">
        <v>98</v>
      </c>
      <c r="G1420" s="114">
        <v>1</v>
      </c>
      <c r="H1420" s="114">
        <v>3500</v>
      </c>
      <c r="I1420" s="114">
        <v>3500</v>
      </c>
      <c r="J1420" s="114">
        <v>2941</v>
      </c>
      <c r="K1420" s="114">
        <v>559</v>
      </c>
      <c r="L1420" s="114" t="str">
        <f t="shared" si="22"/>
        <v>INSERT INTO DETALLES_DOCUMENTO(NRO_DOCUMENTO,ID_TIPO,ID_PRODUCTO,CANTIDAD,PRECIO,VALOR_BRUTO,VALOR_NETO,VALOR_IVA) VALUES(714,1,98,1,3500,3500,2941,559);</v>
      </c>
    </row>
    <row r="1421" spans="1:12">
      <c r="A1421" s="114">
        <v>1</v>
      </c>
      <c r="B1421" s="114">
        <v>714</v>
      </c>
      <c r="C1421" s="139" t="s">
        <v>2280</v>
      </c>
      <c r="D1421" s="114" t="s">
        <v>2090</v>
      </c>
      <c r="E1421" s="114">
        <v>333</v>
      </c>
      <c r="F1421" s="114">
        <v>324</v>
      </c>
      <c r="G1421" s="114">
        <v>1</v>
      </c>
      <c r="H1421" s="114">
        <v>10500</v>
      </c>
      <c r="I1421" s="114">
        <v>10500</v>
      </c>
      <c r="J1421" s="114">
        <v>8824</v>
      </c>
      <c r="K1421" s="114">
        <v>1676</v>
      </c>
      <c r="L1421" s="114" t="str">
        <f t="shared" si="22"/>
        <v>INSERT INTO DETALLES_DOCUMENTO(NRO_DOCUMENTO,ID_TIPO,ID_PRODUCTO,CANTIDAD,PRECIO,VALOR_BRUTO,VALOR_NETO,VALOR_IVA) VALUES(714,1,324,1,10500,10500,8824,1676);</v>
      </c>
    </row>
    <row r="1422" spans="1:12">
      <c r="A1422" s="114">
        <v>1</v>
      </c>
      <c r="B1422" s="114">
        <v>715</v>
      </c>
      <c r="C1422" s="139" t="s">
        <v>2280</v>
      </c>
      <c r="D1422" s="114" t="s">
        <v>2090</v>
      </c>
      <c r="E1422" s="114">
        <v>393</v>
      </c>
      <c r="F1422" s="114">
        <v>98</v>
      </c>
      <c r="G1422" s="114">
        <v>1</v>
      </c>
      <c r="H1422" s="114">
        <v>3500</v>
      </c>
      <c r="I1422" s="114">
        <v>3500</v>
      </c>
      <c r="J1422" s="114">
        <v>2941</v>
      </c>
      <c r="K1422" s="114">
        <v>559</v>
      </c>
      <c r="L1422" s="114" t="str">
        <f t="shared" si="22"/>
        <v>INSERT INTO DETALLES_DOCUMENTO(NRO_DOCUMENTO,ID_TIPO,ID_PRODUCTO,CANTIDAD,PRECIO,VALOR_BRUTO,VALOR_NETO,VALOR_IVA) VALUES(715,1,98,1,3500,3500,2941,559);</v>
      </c>
    </row>
    <row r="1423" spans="1:12">
      <c r="A1423" s="114">
        <v>1</v>
      </c>
      <c r="B1423" s="114">
        <v>715</v>
      </c>
      <c r="C1423" s="139" t="s">
        <v>2280</v>
      </c>
      <c r="D1423" s="114" t="s">
        <v>2090</v>
      </c>
      <c r="E1423" s="114">
        <v>393</v>
      </c>
      <c r="F1423" s="114">
        <v>165</v>
      </c>
      <c r="G1423" s="114">
        <v>1</v>
      </c>
      <c r="H1423" s="114">
        <v>2000</v>
      </c>
      <c r="I1423" s="114">
        <v>2000</v>
      </c>
      <c r="J1423" s="114">
        <v>1681</v>
      </c>
      <c r="K1423" s="114">
        <v>319</v>
      </c>
      <c r="L1423" s="114" t="str">
        <f t="shared" si="22"/>
        <v>INSERT INTO DETALLES_DOCUMENTO(NRO_DOCUMENTO,ID_TIPO,ID_PRODUCTO,CANTIDAD,PRECIO,VALOR_BRUTO,VALOR_NETO,VALOR_IVA) VALUES(715,1,165,1,2000,2000,1681,319);</v>
      </c>
    </row>
    <row r="1424" spans="1:12">
      <c r="A1424" s="114">
        <v>1</v>
      </c>
      <c r="B1424" s="114">
        <v>716</v>
      </c>
      <c r="C1424" s="139" t="s">
        <v>2281</v>
      </c>
      <c r="D1424" s="114" t="s">
        <v>2090</v>
      </c>
      <c r="E1424" s="114">
        <v>111</v>
      </c>
      <c r="F1424" s="114">
        <v>230</v>
      </c>
      <c r="G1424" s="114">
        <v>1</v>
      </c>
      <c r="H1424" s="114">
        <v>16500</v>
      </c>
      <c r="I1424" s="114">
        <v>16500</v>
      </c>
      <c r="J1424" s="114">
        <v>13866</v>
      </c>
      <c r="K1424" s="114">
        <v>2634</v>
      </c>
      <c r="L1424" s="114" t="str">
        <f t="shared" si="22"/>
        <v>INSERT INTO DETALLES_DOCUMENTO(NRO_DOCUMENTO,ID_TIPO,ID_PRODUCTO,CANTIDAD,PRECIO,VALOR_BRUTO,VALOR_NETO,VALOR_IVA) VALUES(716,1,230,1,16500,16500,13866,2634);</v>
      </c>
    </row>
    <row r="1425" spans="1:12">
      <c r="A1425" s="114">
        <v>1</v>
      </c>
      <c r="B1425" s="114">
        <v>716</v>
      </c>
      <c r="C1425" s="139" t="s">
        <v>2281</v>
      </c>
      <c r="D1425" s="114" t="s">
        <v>2090</v>
      </c>
      <c r="E1425" s="114">
        <v>111</v>
      </c>
      <c r="F1425" s="114">
        <v>329</v>
      </c>
      <c r="G1425" s="114">
        <v>1</v>
      </c>
      <c r="H1425" s="114">
        <v>5500</v>
      </c>
      <c r="I1425" s="114">
        <v>5500</v>
      </c>
      <c r="J1425" s="114">
        <v>4622</v>
      </c>
      <c r="K1425" s="114">
        <v>878</v>
      </c>
      <c r="L1425" s="114" t="str">
        <f t="shared" si="22"/>
        <v>INSERT INTO DETALLES_DOCUMENTO(NRO_DOCUMENTO,ID_TIPO,ID_PRODUCTO,CANTIDAD,PRECIO,VALOR_BRUTO,VALOR_NETO,VALOR_IVA) VALUES(716,1,329,1,5500,5500,4622,878);</v>
      </c>
    </row>
    <row r="1426" spans="1:12">
      <c r="A1426" s="114">
        <v>1</v>
      </c>
      <c r="B1426" s="114">
        <v>717</v>
      </c>
      <c r="C1426" s="139" t="s">
        <v>2281</v>
      </c>
      <c r="D1426" s="114" t="s">
        <v>2090</v>
      </c>
      <c r="E1426" s="114">
        <v>231</v>
      </c>
      <c r="F1426" s="114">
        <v>244</v>
      </c>
      <c r="G1426" s="114">
        <v>1</v>
      </c>
      <c r="H1426" s="114">
        <v>14900</v>
      </c>
      <c r="I1426" s="114">
        <v>14900</v>
      </c>
      <c r="J1426" s="114">
        <v>12521</v>
      </c>
      <c r="K1426" s="114">
        <v>2379</v>
      </c>
      <c r="L1426" s="114" t="str">
        <f t="shared" si="22"/>
        <v>INSERT INTO DETALLES_DOCUMENTO(NRO_DOCUMENTO,ID_TIPO,ID_PRODUCTO,CANTIDAD,PRECIO,VALOR_BRUTO,VALOR_NETO,VALOR_IVA) VALUES(717,1,244,1,14900,14900,12521,2379);</v>
      </c>
    </row>
    <row r="1427" spans="1:12">
      <c r="A1427" s="114">
        <v>1</v>
      </c>
      <c r="B1427" s="114">
        <v>718</v>
      </c>
      <c r="C1427" s="139" t="s">
        <v>2281</v>
      </c>
      <c r="D1427" s="114" t="s">
        <v>2090</v>
      </c>
      <c r="E1427" s="114">
        <v>345</v>
      </c>
      <c r="F1427" s="114">
        <v>324</v>
      </c>
      <c r="G1427" s="114">
        <v>1</v>
      </c>
      <c r="H1427" s="114">
        <v>10500</v>
      </c>
      <c r="I1427" s="114">
        <v>10500</v>
      </c>
      <c r="J1427" s="114">
        <v>8824</v>
      </c>
      <c r="K1427" s="114">
        <v>1676</v>
      </c>
      <c r="L1427" s="114" t="str">
        <f t="shared" si="22"/>
        <v>INSERT INTO DETALLES_DOCUMENTO(NRO_DOCUMENTO,ID_TIPO,ID_PRODUCTO,CANTIDAD,PRECIO,VALOR_BRUTO,VALOR_NETO,VALOR_IVA) VALUES(718,1,324,1,10500,10500,8824,1676);</v>
      </c>
    </row>
    <row r="1428" spans="1:12">
      <c r="A1428" s="114">
        <v>1</v>
      </c>
      <c r="B1428" s="114">
        <v>718</v>
      </c>
      <c r="C1428" s="139" t="s">
        <v>2281</v>
      </c>
      <c r="D1428" s="114" t="s">
        <v>2090</v>
      </c>
      <c r="E1428" s="114">
        <v>345</v>
      </c>
      <c r="F1428" s="114">
        <v>329</v>
      </c>
      <c r="G1428" s="114">
        <v>1</v>
      </c>
      <c r="H1428" s="114">
        <v>5500</v>
      </c>
      <c r="I1428" s="114">
        <v>5500</v>
      </c>
      <c r="J1428" s="114">
        <v>4622</v>
      </c>
      <c r="K1428" s="114">
        <v>878</v>
      </c>
      <c r="L1428" s="114" t="str">
        <f t="shared" si="22"/>
        <v>INSERT INTO DETALLES_DOCUMENTO(NRO_DOCUMENTO,ID_TIPO,ID_PRODUCTO,CANTIDAD,PRECIO,VALOR_BRUTO,VALOR_NETO,VALOR_IVA) VALUES(718,1,329,1,5500,5500,4622,878);</v>
      </c>
    </row>
    <row r="1429" spans="1:12">
      <c r="A1429" s="114">
        <v>1</v>
      </c>
      <c r="B1429" s="114">
        <v>718</v>
      </c>
      <c r="C1429" s="139" t="s">
        <v>2281</v>
      </c>
      <c r="D1429" s="114" t="s">
        <v>2090</v>
      </c>
      <c r="E1429" s="114">
        <v>345</v>
      </c>
      <c r="F1429" s="114">
        <v>231</v>
      </c>
      <c r="G1429" s="114">
        <v>1</v>
      </c>
      <c r="H1429" s="114">
        <v>20900</v>
      </c>
      <c r="I1429" s="114">
        <v>20900</v>
      </c>
      <c r="J1429" s="114">
        <v>17563</v>
      </c>
      <c r="K1429" s="114">
        <v>3337</v>
      </c>
      <c r="L1429" s="114" t="str">
        <f t="shared" si="22"/>
        <v>INSERT INTO DETALLES_DOCUMENTO(NRO_DOCUMENTO,ID_TIPO,ID_PRODUCTO,CANTIDAD,PRECIO,VALOR_BRUTO,VALOR_NETO,VALOR_IVA) VALUES(718,1,231,1,20900,20900,17563,3337);</v>
      </c>
    </row>
    <row r="1430" spans="1:12">
      <c r="A1430" s="114">
        <v>1</v>
      </c>
      <c r="B1430" s="114">
        <v>719</v>
      </c>
      <c r="C1430" s="139" t="s">
        <v>2281</v>
      </c>
      <c r="D1430" s="114" t="s">
        <v>2090</v>
      </c>
      <c r="E1430" s="114">
        <v>353</v>
      </c>
      <c r="F1430" s="114">
        <v>230</v>
      </c>
      <c r="G1430" s="114">
        <v>1</v>
      </c>
      <c r="H1430" s="114">
        <v>16500</v>
      </c>
      <c r="I1430" s="114">
        <v>16500</v>
      </c>
      <c r="J1430" s="114">
        <v>13866</v>
      </c>
      <c r="K1430" s="114">
        <v>2634</v>
      </c>
      <c r="L1430" s="114" t="str">
        <f t="shared" si="22"/>
        <v>INSERT INTO DETALLES_DOCUMENTO(NRO_DOCUMENTO,ID_TIPO,ID_PRODUCTO,CANTIDAD,PRECIO,VALOR_BRUTO,VALOR_NETO,VALOR_IVA) VALUES(719,1,230,1,16500,16500,13866,2634);</v>
      </c>
    </row>
    <row r="1431" spans="1:12">
      <c r="A1431" s="114">
        <v>1</v>
      </c>
      <c r="B1431" s="114">
        <v>719</v>
      </c>
      <c r="C1431" s="139" t="s">
        <v>2281</v>
      </c>
      <c r="D1431" s="114" t="s">
        <v>2090</v>
      </c>
      <c r="E1431" s="114">
        <v>353</v>
      </c>
      <c r="F1431" s="114">
        <v>354</v>
      </c>
      <c r="G1431" s="114">
        <v>1</v>
      </c>
      <c r="H1431" s="114">
        <v>1800</v>
      </c>
      <c r="I1431" s="114">
        <v>1800</v>
      </c>
      <c r="J1431" s="114">
        <v>1513</v>
      </c>
      <c r="K1431" s="114">
        <v>287</v>
      </c>
      <c r="L1431" s="114" t="str">
        <f t="shared" si="22"/>
        <v>INSERT INTO DETALLES_DOCUMENTO(NRO_DOCUMENTO,ID_TIPO,ID_PRODUCTO,CANTIDAD,PRECIO,VALOR_BRUTO,VALOR_NETO,VALOR_IVA) VALUES(719,1,354,1,1800,1800,1513,287);</v>
      </c>
    </row>
    <row r="1432" spans="1:12">
      <c r="A1432" s="114">
        <v>1</v>
      </c>
      <c r="B1432" s="114">
        <v>719</v>
      </c>
      <c r="C1432" s="139" t="s">
        <v>2281</v>
      </c>
      <c r="D1432" s="114" t="s">
        <v>2090</v>
      </c>
      <c r="E1432" s="114">
        <v>353</v>
      </c>
      <c r="F1432" s="114">
        <v>143</v>
      </c>
      <c r="G1432" s="114">
        <v>1</v>
      </c>
      <c r="H1432" s="114">
        <v>8300</v>
      </c>
      <c r="I1432" s="114">
        <v>8300</v>
      </c>
      <c r="J1432" s="114">
        <v>6975</v>
      </c>
      <c r="K1432" s="114">
        <v>1325</v>
      </c>
      <c r="L1432" s="114" t="str">
        <f t="shared" si="22"/>
        <v>INSERT INTO DETALLES_DOCUMENTO(NRO_DOCUMENTO,ID_TIPO,ID_PRODUCTO,CANTIDAD,PRECIO,VALOR_BRUTO,VALOR_NETO,VALOR_IVA) VALUES(719,1,143,1,8300,8300,6975,1325);</v>
      </c>
    </row>
    <row r="1433" spans="1:12">
      <c r="A1433" s="114">
        <v>1</v>
      </c>
      <c r="B1433" s="114">
        <v>720</v>
      </c>
      <c r="C1433" s="139" t="s">
        <v>2281</v>
      </c>
      <c r="D1433" s="114" t="s">
        <v>2090</v>
      </c>
      <c r="E1433" s="114">
        <v>476</v>
      </c>
      <c r="F1433" s="114">
        <v>143</v>
      </c>
      <c r="G1433" s="114">
        <v>1</v>
      </c>
      <c r="H1433" s="114">
        <v>8300</v>
      </c>
      <c r="I1433" s="114">
        <v>8300</v>
      </c>
      <c r="J1433" s="114">
        <v>6975</v>
      </c>
      <c r="K1433" s="114">
        <v>1325</v>
      </c>
      <c r="L1433" s="114" t="str">
        <f t="shared" si="22"/>
        <v>INSERT INTO DETALLES_DOCUMENTO(NRO_DOCUMENTO,ID_TIPO,ID_PRODUCTO,CANTIDAD,PRECIO,VALOR_BRUTO,VALOR_NETO,VALOR_IVA) VALUES(720,1,143,1,8300,8300,6975,1325);</v>
      </c>
    </row>
    <row r="1434" spans="1:12">
      <c r="A1434" s="114">
        <v>1</v>
      </c>
      <c r="B1434" s="114">
        <v>720</v>
      </c>
      <c r="C1434" s="139" t="s">
        <v>2281</v>
      </c>
      <c r="D1434" s="114" t="s">
        <v>2090</v>
      </c>
      <c r="E1434" s="114">
        <v>476</v>
      </c>
      <c r="F1434" s="114">
        <v>329</v>
      </c>
      <c r="G1434" s="114">
        <v>1</v>
      </c>
      <c r="H1434" s="114">
        <v>5500</v>
      </c>
      <c r="I1434" s="114">
        <v>5500</v>
      </c>
      <c r="J1434" s="114">
        <v>4622</v>
      </c>
      <c r="K1434" s="114">
        <v>878</v>
      </c>
      <c r="L1434" s="114" t="str">
        <f t="shared" si="22"/>
        <v>INSERT INTO DETALLES_DOCUMENTO(NRO_DOCUMENTO,ID_TIPO,ID_PRODUCTO,CANTIDAD,PRECIO,VALOR_BRUTO,VALOR_NETO,VALOR_IVA) VALUES(720,1,329,1,5500,5500,4622,878);</v>
      </c>
    </row>
    <row r="1435" spans="1:12">
      <c r="A1435" s="114">
        <v>1</v>
      </c>
      <c r="B1435" s="114">
        <v>721</v>
      </c>
      <c r="C1435" s="139" t="s">
        <v>2281</v>
      </c>
      <c r="D1435" s="114" t="s">
        <v>2090</v>
      </c>
      <c r="E1435" s="114">
        <v>477</v>
      </c>
      <c r="F1435" s="114">
        <v>324</v>
      </c>
      <c r="G1435" s="114">
        <v>1</v>
      </c>
      <c r="H1435" s="114">
        <v>10500</v>
      </c>
      <c r="I1435" s="114">
        <v>10500</v>
      </c>
      <c r="J1435" s="114">
        <v>8824</v>
      </c>
      <c r="K1435" s="114">
        <v>1676</v>
      </c>
      <c r="L1435" s="114" t="str">
        <f t="shared" si="22"/>
        <v>INSERT INTO DETALLES_DOCUMENTO(NRO_DOCUMENTO,ID_TIPO,ID_PRODUCTO,CANTIDAD,PRECIO,VALOR_BRUTO,VALOR_NETO,VALOR_IVA) VALUES(721,1,324,1,10500,10500,8824,1676);</v>
      </c>
    </row>
    <row r="1436" spans="1:12">
      <c r="A1436" s="114">
        <v>1</v>
      </c>
      <c r="B1436" s="114">
        <v>721</v>
      </c>
      <c r="C1436" s="139" t="s">
        <v>2281</v>
      </c>
      <c r="D1436" s="114" t="s">
        <v>2090</v>
      </c>
      <c r="E1436" s="114">
        <v>477</v>
      </c>
      <c r="F1436" s="114">
        <v>329</v>
      </c>
      <c r="G1436" s="114">
        <v>1</v>
      </c>
      <c r="H1436" s="114">
        <v>5500</v>
      </c>
      <c r="I1436" s="114">
        <v>5500</v>
      </c>
      <c r="J1436" s="114">
        <v>4622</v>
      </c>
      <c r="K1436" s="114">
        <v>878</v>
      </c>
      <c r="L1436" s="114" t="str">
        <f t="shared" si="22"/>
        <v>INSERT INTO DETALLES_DOCUMENTO(NRO_DOCUMENTO,ID_TIPO,ID_PRODUCTO,CANTIDAD,PRECIO,VALOR_BRUTO,VALOR_NETO,VALOR_IVA) VALUES(721,1,329,1,5500,5500,4622,878);</v>
      </c>
    </row>
    <row r="1437" spans="1:12">
      <c r="A1437" s="114">
        <v>1</v>
      </c>
      <c r="B1437" s="114">
        <v>722</v>
      </c>
      <c r="C1437" s="139" t="s">
        <v>2282</v>
      </c>
      <c r="D1437" s="114" t="s">
        <v>2090</v>
      </c>
      <c r="E1437" s="114">
        <v>34</v>
      </c>
      <c r="F1437" s="114">
        <v>231</v>
      </c>
      <c r="G1437" s="114">
        <v>1</v>
      </c>
      <c r="H1437" s="114">
        <v>20900</v>
      </c>
      <c r="I1437" s="114">
        <v>20900</v>
      </c>
      <c r="J1437" s="114">
        <v>17563</v>
      </c>
      <c r="K1437" s="114">
        <v>3337</v>
      </c>
      <c r="L1437" s="114" t="str">
        <f t="shared" si="22"/>
        <v>INSERT INTO DETALLES_DOCUMENTO(NRO_DOCUMENTO,ID_TIPO,ID_PRODUCTO,CANTIDAD,PRECIO,VALOR_BRUTO,VALOR_NETO,VALOR_IVA) VALUES(722,1,231,1,20900,20900,17563,3337);</v>
      </c>
    </row>
    <row r="1438" spans="1:12">
      <c r="A1438" s="114">
        <v>1</v>
      </c>
      <c r="B1438" s="114">
        <v>722</v>
      </c>
      <c r="C1438" s="139" t="s">
        <v>2282</v>
      </c>
      <c r="D1438" s="114" t="s">
        <v>2090</v>
      </c>
      <c r="E1438" s="114">
        <v>34</v>
      </c>
      <c r="F1438" s="114">
        <v>244</v>
      </c>
      <c r="G1438" s="114">
        <v>1</v>
      </c>
      <c r="H1438" s="114">
        <v>14900</v>
      </c>
      <c r="I1438" s="114">
        <v>14900</v>
      </c>
      <c r="J1438" s="114">
        <v>12521</v>
      </c>
      <c r="K1438" s="114">
        <v>2379</v>
      </c>
      <c r="L1438" s="114" t="str">
        <f t="shared" si="22"/>
        <v>INSERT INTO DETALLES_DOCUMENTO(NRO_DOCUMENTO,ID_TIPO,ID_PRODUCTO,CANTIDAD,PRECIO,VALOR_BRUTO,VALOR_NETO,VALOR_IVA) VALUES(722,1,244,1,14900,14900,12521,2379);</v>
      </c>
    </row>
    <row r="1439" spans="1:12">
      <c r="A1439" s="114">
        <v>1</v>
      </c>
      <c r="B1439" s="114">
        <v>723</v>
      </c>
      <c r="C1439" s="139" t="s">
        <v>2282</v>
      </c>
      <c r="D1439" s="114" t="s">
        <v>2090</v>
      </c>
      <c r="E1439" s="114">
        <v>37</v>
      </c>
      <c r="F1439" s="114">
        <v>324</v>
      </c>
      <c r="G1439" s="114">
        <v>4</v>
      </c>
      <c r="H1439" s="114">
        <v>42000</v>
      </c>
      <c r="I1439" s="114">
        <v>168000</v>
      </c>
      <c r="J1439" s="114">
        <v>141176</v>
      </c>
      <c r="K1439" s="114">
        <v>26824</v>
      </c>
      <c r="L1439" s="114" t="str">
        <f t="shared" si="22"/>
        <v>INSERT INTO DETALLES_DOCUMENTO(NRO_DOCUMENTO,ID_TIPO,ID_PRODUCTO,CANTIDAD,PRECIO,VALOR_BRUTO,VALOR_NETO,VALOR_IVA) VALUES(723,1,324,4,42000,168000,141176,26824);</v>
      </c>
    </row>
    <row r="1440" spans="1:12">
      <c r="A1440" s="114">
        <v>1</v>
      </c>
      <c r="B1440" s="114">
        <v>723</v>
      </c>
      <c r="C1440" s="139" t="s">
        <v>2282</v>
      </c>
      <c r="D1440" s="114" t="s">
        <v>2090</v>
      </c>
      <c r="E1440" s="114">
        <v>37</v>
      </c>
      <c r="F1440" s="114">
        <v>7</v>
      </c>
      <c r="G1440" s="114">
        <v>5</v>
      </c>
      <c r="H1440" s="114">
        <v>35000</v>
      </c>
      <c r="I1440" s="114">
        <v>175000</v>
      </c>
      <c r="J1440" s="114">
        <v>147059</v>
      </c>
      <c r="K1440" s="114">
        <v>27941</v>
      </c>
      <c r="L1440" s="114" t="str">
        <f t="shared" si="22"/>
        <v>INSERT INTO DETALLES_DOCUMENTO(NRO_DOCUMENTO,ID_TIPO,ID_PRODUCTO,CANTIDAD,PRECIO,VALOR_BRUTO,VALOR_NETO,VALOR_IVA) VALUES(723,1,7,5,35000,175000,147059,27941);</v>
      </c>
    </row>
    <row r="1441" spans="1:12">
      <c r="A1441" s="114">
        <v>1</v>
      </c>
      <c r="B1441" s="114">
        <v>724</v>
      </c>
      <c r="C1441" s="139" t="s">
        <v>2282</v>
      </c>
      <c r="D1441" s="114" t="s">
        <v>2090</v>
      </c>
      <c r="E1441" s="114">
        <v>56</v>
      </c>
      <c r="F1441" s="114">
        <v>329</v>
      </c>
      <c r="G1441" s="114">
        <v>1</v>
      </c>
      <c r="H1441" s="114">
        <v>5500</v>
      </c>
      <c r="I1441" s="114">
        <v>5500</v>
      </c>
      <c r="J1441" s="114">
        <v>4622</v>
      </c>
      <c r="K1441" s="114">
        <v>878</v>
      </c>
      <c r="L1441" s="114" t="str">
        <f t="shared" si="22"/>
        <v>INSERT INTO DETALLES_DOCUMENTO(NRO_DOCUMENTO,ID_TIPO,ID_PRODUCTO,CANTIDAD,PRECIO,VALOR_BRUTO,VALOR_NETO,VALOR_IVA) VALUES(724,1,329,1,5500,5500,4622,878);</v>
      </c>
    </row>
    <row r="1442" spans="1:12">
      <c r="A1442" s="114">
        <v>1</v>
      </c>
      <c r="B1442" s="114">
        <v>724</v>
      </c>
      <c r="C1442" s="139" t="s">
        <v>2282</v>
      </c>
      <c r="D1442" s="114" t="s">
        <v>2090</v>
      </c>
      <c r="E1442" s="114">
        <v>56</v>
      </c>
      <c r="F1442" s="114">
        <v>143</v>
      </c>
      <c r="G1442" s="114">
        <v>1</v>
      </c>
      <c r="H1442" s="114">
        <v>8300</v>
      </c>
      <c r="I1442" s="114">
        <v>8300</v>
      </c>
      <c r="J1442" s="114">
        <v>6975</v>
      </c>
      <c r="K1442" s="114">
        <v>1325</v>
      </c>
      <c r="L1442" s="114" t="str">
        <f t="shared" si="22"/>
        <v>INSERT INTO DETALLES_DOCUMENTO(NRO_DOCUMENTO,ID_TIPO,ID_PRODUCTO,CANTIDAD,PRECIO,VALOR_BRUTO,VALOR_NETO,VALOR_IVA) VALUES(724,1,143,1,8300,8300,6975,1325);</v>
      </c>
    </row>
    <row r="1443" spans="1:12">
      <c r="A1443" s="114">
        <v>1</v>
      </c>
      <c r="B1443" s="114">
        <v>725</v>
      </c>
      <c r="C1443" s="139" t="s">
        <v>2282</v>
      </c>
      <c r="D1443" s="114" t="s">
        <v>2090</v>
      </c>
      <c r="E1443" s="114">
        <v>63</v>
      </c>
      <c r="F1443" s="114">
        <v>231</v>
      </c>
      <c r="G1443" s="114">
        <v>1</v>
      </c>
      <c r="H1443" s="114">
        <v>20900</v>
      </c>
      <c r="I1443" s="114">
        <v>20900</v>
      </c>
      <c r="J1443" s="114">
        <v>17563</v>
      </c>
      <c r="K1443" s="114">
        <v>3337</v>
      </c>
      <c r="L1443" s="114" t="str">
        <f t="shared" si="22"/>
        <v>INSERT INTO DETALLES_DOCUMENTO(NRO_DOCUMENTO,ID_TIPO,ID_PRODUCTO,CANTIDAD,PRECIO,VALOR_BRUTO,VALOR_NETO,VALOR_IVA) VALUES(725,1,231,1,20900,20900,17563,3337);</v>
      </c>
    </row>
    <row r="1444" spans="1:12">
      <c r="A1444" s="114">
        <v>1</v>
      </c>
      <c r="B1444" s="114">
        <v>726</v>
      </c>
      <c r="C1444" s="139" t="s">
        <v>2282</v>
      </c>
      <c r="D1444" s="114" t="s">
        <v>2090</v>
      </c>
      <c r="E1444" s="114">
        <v>73</v>
      </c>
      <c r="F1444" s="114">
        <v>324</v>
      </c>
      <c r="G1444" s="114">
        <v>1</v>
      </c>
      <c r="H1444" s="114">
        <v>10500</v>
      </c>
      <c r="I1444" s="114">
        <v>10500</v>
      </c>
      <c r="J1444" s="114">
        <v>8824</v>
      </c>
      <c r="K1444" s="114">
        <v>1676</v>
      </c>
      <c r="L1444" s="114" t="str">
        <f t="shared" si="22"/>
        <v>INSERT INTO DETALLES_DOCUMENTO(NRO_DOCUMENTO,ID_TIPO,ID_PRODUCTO,CANTIDAD,PRECIO,VALOR_BRUTO,VALOR_NETO,VALOR_IVA) VALUES(726,1,324,1,10500,10500,8824,1676);</v>
      </c>
    </row>
    <row r="1445" spans="1:12">
      <c r="A1445" s="114">
        <v>1</v>
      </c>
      <c r="B1445" s="114">
        <v>727</v>
      </c>
      <c r="C1445" s="139" t="s">
        <v>2282</v>
      </c>
      <c r="D1445" s="114" t="s">
        <v>2090</v>
      </c>
      <c r="E1445" s="114">
        <v>85</v>
      </c>
      <c r="F1445" s="114">
        <v>251</v>
      </c>
      <c r="G1445" s="114">
        <v>1</v>
      </c>
      <c r="H1445" s="114">
        <v>7000</v>
      </c>
      <c r="I1445" s="114">
        <v>7000</v>
      </c>
      <c r="J1445" s="114">
        <v>5882</v>
      </c>
      <c r="K1445" s="114">
        <v>1118</v>
      </c>
      <c r="L1445" s="114" t="str">
        <f t="shared" si="22"/>
        <v>INSERT INTO DETALLES_DOCUMENTO(NRO_DOCUMENTO,ID_TIPO,ID_PRODUCTO,CANTIDAD,PRECIO,VALOR_BRUTO,VALOR_NETO,VALOR_IVA) VALUES(727,1,251,1,7000,7000,5882,1118);</v>
      </c>
    </row>
    <row r="1446" spans="1:12">
      <c r="A1446" s="114">
        <v>1</v>
      </c>
      <c r="B1446" s="114">
        <v>727</v>
      </c>
      <c r="C1446" s="139" t="s">
        <v>2282</v>
      </c>
      <c r="D1446" s="114" t="s">
        <v>2090</v>
      </c>
      <c r="E1446" s="114">
        <v>85</v>
      </c>
      <c r="F1446" s="114">
        <v>356</v>
      </c>
      <c r="G1446" s="114">
        <v>1</v>
      </c>
      <c r="H1446" s="114">
        <v>3000</v>
      </c>
      <c r="I1446" s="114">
        <v>3000</v>
      </c>
      <c r="J1446" s="114">
        <v>2521</v>
      </c>
      <c r="K1446" s="114">
        <v>479</v>
      </c>
      <c r="L1446" s="114" t="str">
        <f t="shared" si="22"/>
        <v>INSERT INTO DETALLES_DOCUMENTO(NRO_DOCUMENTO,ID_TIPO,ID_PRODUCTO,CANTIDAD,PRECIO,VALOR_BRUTO,VALOR_NETO,VALOR_IVA) VALUES(727,1,356,1,3000,3000,2521,479);</v>
      </c>
    </row>
    <row r="1447" spans="1:12">
      <c r="A1447" s="114">
        <v>1</v>
      </c>
      <c r="B1447" s="114">
        <v>727</v>
      </c>
      <c r="C1447" s="139" t="s">
        <v>2282</v>
      </c>
      <c r="D1447" s="114" t="s">
        <v>2090</v>
      </c>
      <c r="E1447" s="114">
        <v>85</v>
      </c>
      <c r="F1447" s="114">
        <v>125</v>
      </c>
      <c r="G1447" s="114">
        <v>1</v>
      </c>
      <c r="H1447" s="114">
        <v>1700</v>
      </c>
      <c r="I1447" s="114">
        <v>1700</v>
      </c>
      <c r="J1447" s="114">
        <v>1429</v>
      </c>
      <c r="K1447" s="114">
        <v>271</v>
      </c>
      <c r="L1447" s="114" t="str">
        <f t="shared" si="22"/>
        <v>INSERT INTO DETALLES_DOCUMENTO(NRO_DOCUMENTO,ID_TIPO,ID_PRODUCTO,CANTIDAD,PRECIO,VALOR_BRUTO,VALOR_NETO,VALOR_IVA) VALUES(727,1,125,1,1700,1700,1429,271);</v>
      </c>
    </row>
    <row r="1448" spans="1:12">
      <c r="A1448" s="114">
        <v>1</v>
      </c>
      <c r="B1448" s="114">
        <v>727</v>
      </c>
      <c r="C1448" s="139" t="s">
        <v>2282</v>
      </c>
      <c r="D1448" s="114" t="s">
        <v>2090</v>
      </c>
      <c r="E1448" s="114">
        <v>85</v>
      </c>
      <c r="F1448" s="114">
        <v>290</v>
      </c>
      <c r="G1448" s="114">
        <v>1</v>
      </c>
      <c r="H1448" s="114">
        <v>1200</v>
      </c>
      <c r="I1448" s="114">
        <v>1200</v>
      </c>
      <c r="J1448" s="114">
        <v>1008</v>
      </c>
      <c r="K1448" s="114">
        <v>192</v>
      </c>
      <c r="L1448" s="114" t="str">
        <f t="shared" si="22"/>
        <v>INSERT INTO DETALLES_DOCUMENTO(NRO_DOCUMENTO,ID_TIPO,ID_PRODUCTO,CANTIDAD,PRECIO,VALOR_BRUTO,VALOR_NETO,VALOR_IVA) VALUES(727,1,290,1,1200,1200,1008,192);</v>
      </c>
    </row>
    <row r="1449" spans="1:12">
      <c r="A1449" s="114">
        <v>1</v>
      </c>
      <c r="B1449" s="114">
        <v>728</v>
      </c>
      <c r="C1449" s="139" t="s">
        <v>2282</v>
      </c>
      <c r="D1449" s="114" t="s">
        <v>2090</v>
      </c>
      <c r="E1449" s="114">
        <v>86</v>
      </c>
      <c r="F1449" s="114">
        <v>143</v>
      </c>
      <c r="G1449" s="114">
        <v>1</v>
      </c>
      <c r="H1449" s="114">
        <v>8300</v>
      </c>
      <c r="I1449" s="114">
        <v>8300</v>
      </c>
      <c r="J1449" s="114">
        <v>6975</v>
      </c>
      <c r="K1449" s="114">
        <v>1325</v>
      </c>
      <c r="L1449" s="114" t="str">
        <f t="shared" si="22"/>
        <v>INSERT INTO DETALLES_DOCUMENTO(NRO_DOCUMENTO,ID_TIPO,ID_PRODUCTO,CANTIDAD,PRECIO,VALOR_BRUTO,VALOR_NETO,VALOR_IVA) VALUES(728,1,143,1,8300,8300,6975,1325);</v>
      </c>
    </row>
    <row r="1450" spans="1:12">
      <c r="A1450" s="114">
        <v>1</v>
      </c>
      <c r="B1450" s="114">
        <v>729</v>
      </c>
      <c r="C1450" s="139" t="s">
        <v>2282</v>
      </c>
      <c r="D1450" s="114" t="s">
        <v>2090</v>
      </c>
      <c r="E1450" s="114">
        <v>323</v>
      </c>
      <c r="F1450" s="114">
        <v>324</v>
      </c>
      <c r="G1450" s="114">
        <v>1</v>
      </c>
      <c r="H1450" s="114">
        <v>10500</v>
      </c>
      <c r="I1450" s="114">
        <v>10500</v>
      </c>
      <c r="J1450" s="114">
        <v>8824</v>
      </c>
      <c r="K1450" s="114">
        <v>1676</v>
      </c>
      <c r="L1450" s="114" t="str">
        <f t="shared" si="22"/>
        <v>INSERT INTO DETALLES_DOCUMENTO(NRO_DOCUMENTO,ID_TIPO,ID_PRODUCTO,CANTIDAD,PRECIO,VALOR_BRUTO,VALOR_NETO,VALOR_IVA) VALUES(729,1,324,1,10500,10500,8824,1676);</v>
      </c>
    </row>
    <row r="1451" spans="1:12">
      <c r="A1451" s="114">
        <v>1</v>
      </c>
      <c r="B1451" s="114">
        <v>730</v>
      </c>
      <c r="C1451" s="139" t="s">
        <v>2282</v>
      </c>
      <c r="D1451" s="114" t="s">
        <v>2090</v>
      </c>
      <c r="E1451" s="114">
        <v>474</v>
      </c>
      <c r="F1451" s="114">
        <v>126</v>
      </c>
      <c r="G1451" s="114">
        <v>1</v>
      </c>
      <c r="H1451" s="114">
        <v>9000</v>
      </c>
      <c r="I1451" s="114">
        <v>9000</v>
      </c>
      <c r="J1451" s="114">
        <v>7563</v>
      </c>
      <c r="K1451" s="114">
        <v>1437</v>
      </c>
      <c r="L1451" s="114" t="str">
        <f t="shared" si="22"/>
        <v>INSERT INTO DETALLES_DOCUMENTO(NRO_DOCUMENTO,ID_TIPO,ID_PRODUCTO,CANTIDAD,PRECIO,VALOR_BRUTO,VALOR_NETO,VALOR_IVA) VALUES(730,1,126,1,9000,9000,7563,1437);</v>
      </c>
    </row>
    <row r="1452" spans="1:12">
      <c r="A1452" s="114">
        <v>1</v>
      </c>
      <c r="B1452" s="114">
        <v>730</v>
      </c>
      <c r="C1452" s="139" t="s">
        <v>2282</v>
      </c>
      <c r="D1452" s="114" t="s">
        <v>2090</v>
      </c>
      <c r="E1452" s="114">
        <v>474</v>
      </c>
      <c r="F1452" s="114">
        <v>265</v>
      </c>
      <c r="G1452" s="114">
        <v>1</v>
      </c>
      <c r="H1452" s="114">
        <v>10000</v>
      </c>
      <c r="I1452" s="114">
        <v>10000</v>
      </c>
      <c r="J1452" s="114">
        <v>8403</v>
      </c>
      <c r="K1452" s="114">
        <v>1597</v>
      </c>
      <c r="L1452" s="114" t="str">
        <f t="shared" si="22"/>
        <v>INSERT INTO DETALLES_DOCUMENTO(NRO_DOCUMENTO,ID_TIPO,ID_PRODUCTO,CANTIDAD,PRECIO,VALOR_BRUTO,VALOR_NETO,VALOR_IVA) VALUES(730,1,265,1,10000,10000,8403,1597);</v>
      </c>
    </row>
    <row r="1453" spans="1:12">
      <c r="A1453" s="114">
        <v>1</v>
      </c>
      <c r="B1453" s="114">
        <v>731</v>
      </c>
      <c r="C1453" s="139" t="s">
        <v>2283</v>
      </c>
      <c r="D1453" s="114" t="s">
        <v>2090</v>
      </c>
      <c r="E1453" s="114">
        <v>65</v>
      </c>
      <c r="F1453" s="114">
        <v>324</v>
      </c>
      <c r="G1453" s="114">
        <v>3</v>
      </c>
      <c r="H1453" s="114">
        <v>31500</v>
      </c>
      <c r="I1453" s="114">
        <v>94500</v>
      </c>
      <c r="J1453" s="114">
        <v>79412</v>
      </c>
      <c r="K1453" s="114">
        <v>15088</v>
      </c>
      <c r="L1453" s="114" t="str">
        <f t="shared" si="22"/>
        <v>INSERT INTO DETALLES_DOCUMENTO(NRO_DOCUMENTO,ID_TIPO,ID_PRODUCTO,CANTIDAD,PRECIO,VALOR_BRUTO,VALOR_NETO,VALOR_IVA) VALUES(731,1,324,3,31500,94500,79412,15088);</v>
      </c>
    </row>
    <row r="1454" spans="1:12">
      <c r="A1454" s="114">
        <v>1</v>
      </c>
      <c r="B1454" s="114">
        <v>732</v>
      </c>
      <c r="C1454" s="139" t="s">
        <v>2283</v>
      </c>
      <c r="D1454" s="114" t="s">
        <v>2090</v>
      </c>
      <c r="E1454" s="114">
        <v>72</v>
      </c>
      <c r="F1454" s="114">
        <v>329</v>
      </c>
      <c r="G1454" s="114">
        <v>1</v>
      </c>
      <c r="H1454" s="114">
        <v>5500</v>
      </c>
      <c r="I1454" s="114">
        <v>5500</v>
      </c>
      <c r="J1454" s="114">
        <v>4622</v>
      </c>
      <c r="K1454" s="114">
        <v>878</v>
      </c>
      <c r="L1454" s="114" t="str">
        <f t="shared" si="22"/>
        <v>INSERT INTO DETALLES_DOCUMENTO(NRO_DOCUMENTO,ID_TIPO,ID_PRODUCTO,CANTIDAD,PRECIO,VALOR_BRUTO,VALOR_NETO,VALOR_IVA) VALUES(732,1,329,1,5500,5500,4622,878);</v>
      </c>
    </row>
    <row r="1455" spans="1:12">
      <c r="A1455" s="114">
        <v>1</v>
      </c>
      <c r="B1455" s="114">
        <v>733</v>
      </c>
      <c r="C1455" s="139" t="s">
        <v>2283</v>
      </c>
      <c r="D1455" s="114" t="s">
        <v>2090</v>
      </c>
      <c r="E1455" s="114">
        <v>179</v>
      </c>
      <c r="F1455" s="114">
        <v>236</v>
      </c>
      <c r="G1455" s="114">
        <v>1</v>
      </c>
      <c r="H1455" s="114">
        <v>18990</v>
      </c>
      <c r="I1455" s="114">
        <v>18990</v>
      </c>
      <c r="J1455" s="114">
        <v>15958</v>
      </c>
      <c r="K1455" s="114">
        <v>3032</v>
      </c>
      <c r="L1455" s="114" t="str">
        <f t="shared" si="22"/>
        <v>INSERT INTO DETALLES_DOCUMENTO(NRO_DOCUMENTO,ID_TIPO,ID_PRODUCTO,CANTIDAD,PRECIO,VALOR_BRUTO,VALOR_NETO,VALOR_IVA) VALUES(733,1,236,1,18990,18990,15958,3032);</v>
      </c>
    </row>
    <row r="1456" spans="1:12">
      <c r="A1456" s="114">
        <v>1</v>
      </c>
      <c r="B1456" s="114">
        <v>733</v>
      </c>
      <c r="C1456" s="139" t="s">
        <v>2283</v>
      </c>
      <c r="D1456" s="114" t="s">
        <v>2090</v>
      </c>
      <c r="E1456" s="114">
        <v>179</v>
      </c>
      <c r="F1456" s="114">
        <v>324</v>
      </c>
      <c r="G1456" s="114">
        <v>1</v>
      </c>
      <c r="H1456" s="114">
        <v>10500</v>
      </c>
      <c r="I1456" s="114">
        <v>10500</v>
      </c>
      <c r="J1456" s="114">
        <v>8824</v>
      </c>
      <c r="K1456" s="114">
        <v>1676</v>
      </c>
      <c r="L1456" s="114" t="str">
        <f t="shared" si="22"/>
        <v>INSERT INTO DETALLES_DOCUMENTO(NRO_DOCUMENTO,ID_TIPO,ID_PRODUCTO,CANTIDAD,PRECIO,VALOR_BRUTO,VALOR_NETO,VALOR_IVA) VALUES(733,1,324,1,10500,10500,8824,1676);</v>
      </c>
    </row>
    <row r="1457" spans="1:12">
      <c r="A1457" s="114">
        <v>1</v>
      </c>
      <c r="B1457" s="114">
        <v>734</v>
      </c>
      <c r="C1457" s="139" t="s">
        <v>2283</v>
      </c>
      <c r="D1457" s="114" t="s">
        <v>2094</v>
      </c>
      <c r="E1457" s="114">
        <v>278</v>
      </c>
      <c r="F1457" s="114">
        <v>143</v>
      </c>
      <c r="G1457" s="114">
        <v>1</v>
      </c>
      <c r="H1457" s="114">
        <v>8300</v>
      </c>
      <c r="I1457" s="114">
        <v>8300</v>
      </c>
      <c r="J1457" s="114">
        <v>6975</v>
      </c>
      <c r="K1457" s="114">
        <v>1325</v>
      </c>
      <c r="L1457" s="114" t="str">
        <f t="shared" si="22"/>
        <v>INSERT INTO DETALLES_DOCUMENTO(NRO_DOCUMENTO,ID_TIPO,ID_PRODUCTO,CANTIDAD,PRECIO,VALOR_BRUTO,VALOR_NETO,VALOR_IVA) VALUES(734,1,143,1,8300,8300,6975,1325);</v>
      </c>
    </row>
    <row r="1458" spans="1:12">
      <c r="A1458" s="114">
        <v>1</v>
      </c>
      <c r="B1458" s="114">
        <v>734</v>
      </c>
      <c r="C1458" s="139" t="s">
        <v>2283</v>
      </c>
      <c r="D1458" s="114" t="s">
        <v>2094</v>
      </c>
      <c r="E1458" s="114">
        <v>278</v>
      </c>
      <c r="F1458" s="114">
        <v>165</v>
      </c>
      <c r="G1458" s="114">
        <v>1</v>
      </c>
      <c r="H1458" s="114">
        <v>2000</v>
      </c>
      <c r="I1458" s="114">
        <v>2000</v>
      </c>
      <c r="J1458" s="114">
        <v>1681</v>
      </c>
      <c r="K1458" s="114">
        <v>319</v>
      </c>
      <c r="L1458" s="114" t="str">
        <f t="shared" si="22"/>
        <v>INSERT INTO DETALLES_DOCUMENTO(NRO_DOCUMENTO,ID_TIPO,ID_PRODUCTO,CANTIDAD,PRECIO,VALOR_BRUTO,VALOR_NETO,VALOR_IVA) VALUES(734,1,165,1,2000,2000,1681,319);</v>
      </c>
    </row>
    <row r="1459" spans="1:12">
      <c r="A1459" s="114">
        <v>1</v>
      </c>
      <c r="B1459" s="114">
        <v>734</v>
      </c>
      <c r="C1459" s="139" t="s">
        <v>2283</v>
      </c>
      <c r="D1459" s="114" t="s">
        <v>2094</v>
      </c>
      <c r="E1459" s="114">
        <v>278</v>
      </c>
      <c r="F1459" s="114">
        <v>354</v>
      </c>
      <c r="G1459" s="114">
        <v>1</v>
      </c>
      <c r="H1459" s="114">
        <v>1800</v>
      </c>
      <c r="I1459" s="114">
        <v>1800</v>
      </c>
      <c r="J1459" s="114">
        <v>1513</v>
      </c>
      <c r="K1459" s="114">
        <v>287</v>
      </c>
      <c r="L1459" s="114" t="str">
        <f t="shared" si="22"/>
        <v>INSERT INTO DETALLES_DOCUMENTO(NRO_DOCUMENTO,ID_TIPO,ID_PRODUCTO,CANTIDAD,PRECIO,VALOR_BRUTO,VALOR_NETO,VALOR_IVA) VALUES(734,1,354,1,1800,1800,1513,287);</v>
      </c>
    </row>
    <row r="1460" spans="1:12">
      <c r="A1460" s="114">
        <v>1</v>
      </c>
      <c r="B1460" s="114">
        <v>734</v>
      </c>
      <c r="C1460" s="139" t="s">
        <v>2283</v>
      </c>
      <c r="D1460" s="114" t="s">
        <v>2094</v>
      </c>
      <c r="E1460" s="114">
        <v>278</v>
      </c>
      <c r="F1460" s="114">
        <v>117</v>
      </c>
      <c r="G1460" s="114">
        <v>1</v>
      </c>
      <c r="H1460" s="114">
        <v>3500</v>
      </c>
      <c r="I1460" s="114">
        <v>3500</v>
      </c>
      <c r="J1460" s="114">
        <v>2941</v>
      </c>
      <c r="K1460" s="114">
        <v>559</v>
      </c>
      <c r="L1460" s="114" t="str">
        <f t="shared" si="22"/>
        <v>INSERT INTO DETALLES_DOCUMENTO(NRO_DOCUMENTO,ID_TIPO,ID_PRODUCTO,CANTIDAD,PRECIO,VALOR_BRUTO,VALOR_NETO,VALOR_IVA) VALUES(734,1,117,1,3500,3500,2941,559);</v>
      </c>
    </row>
    <row r="1461" spans="1:12">
      <c r="A1461" s="114">
        <v>1</v>
      </c>
      <c r="B1461" s="114">
        <v>735</v>
      </c>
      <c r="C1461" s="139" t="s">
        <v>2283</v>
      </c>
      <c r="D1461" s="114" t="s">
        <v>2090</v>
      </c>
      <c r="E1461" s="114">
        <v>374</v>
      </c>
      <c r="F1461" s="114">
        <v>324</v>
      </c>
      <c r="G1461" s="114">
        <v>1</v>
      </c>
      <c r="H1461" s="114">
        <v>10500</v>
      </c>
      <c r="I1461" s="114">
        <v>10500</v>
      </c>
      <c r="J1461" s="114">
        <v>8824</v>
      </c>
      <c r="K1461" s="114">
        <v>1676</v>
      </c>
      <c r="L1461" s="114" t="str">
        <f t="shared" si="22"/>
        <v>INSERT INTO DETALLES_DOCUMENTO(NRO_DOCUMENTO,ID_TIPO,ID_PRODUCTO,CANTIDAD,PRECIO,VALOR_BRUTO,VALOR_NETO,VALOR_IVA) VALUES(735,1,324,1,10500,10500,8824,1676);</v>
      </c>
    </row>
    <row r="1462" spans="1:12">
      <c r="A1462" s="114">
        <v>1</v>
      </c>
      <c r="B1462" s="114">
        <v>736</v>
      </c>
      <c r="C1462" s="139" t="s">
        <v>2283</v>
      </c>
      <c r="D1462" s="114" t="s">
        <v>2090</v>
      </c>
      <c r="E1462" s="114">
        <v>416</v>
      </c>
      <c r="F1462" s="114">
        <v>329</v>
      </c>
      <c r="G1462" s="114">
        <v>1</v>
      </c>
      <c r="H1462" s="114">
        <v>5500</v>
      </c>
      <c r="I1462" s="114">
        <v>5500</v>
      </c>
      <c r="J1462" s="114">
        <v>4622</v>
      </c>
      <c r="K1462" s="114">
        <v>878</v>
      </c>
      <c r="L1462" s="114" t="str">
        <f t="shared" si="22"/>
        <v>INSERT INTO DETALLES_DOCUMENTO(NRO_DOCUMENTO,ID_TIPO,ID_PRODUCTO,CANTIDAD,PRECIO,VALOR_BRUTO,VALOR_NETO,VALOR_IVA) VALUES(736,1,329,1,5500,5500,4622,878);</v>
      </c>
    </row>
    <row r="1463" spans="1:12">
      <c r="A1463" s="114">
        <v>1</v>
      </c>
      <c r="B1463" s="114">
        <v>736</v>
      </c>
      <c r="C1463" s="139" t="s">
        <v>2283</v>
      </c>
      <c r="D1463" s="114" t="s">
        <v>2090</v>
      </c>
      <c r="E1463" s="114">
        <v>416</v>
      </c>
      <c r="F1463" s="114">
        <v>143</v>
      </c>
      <c r="G1463" s="114">
        <v>1</v>
      </c>
      <c r="H1463" s="114">
        <v>8300</v>
      </c>
      <c r="I1463" s="114">
        <v>8300</v>
      </c>
      <c r="J1463" s="114">
        <v>6975</v>
      </c>
      <c r="K1463" s="114">
        <v>1325</v>
      </c>
      <c r="L1463" s="114" t="str">
        <f t="shared" si="22"/>
        <v>INSERT INTO DETALLES_DOCUMENTO(NRO_DOCUMENTO,ID_TIPO,ID_PRODUCTO,CANTIDAD,PRECIO,VALOR_BRUTO,VALOR_NETO,VALOR_IVA) VALUES(736,1,143,1,8300,8300,6975,1325);</v>
      </c>
    </row>
    <row r="1464" spans="1:12">
      <c r="A1464" s="114">
        <v>1</v>
      </c>
      <c r="B1464" s="114">
        <v>737</v>
      </c>
      <c r="C1464" s="139" t="s">
        <v>2283</v>
      </c>
      <c r="D1464" s="114" t="s">
        <v>2090</v>
      </c>
      <c r="E1464" s="114">
        <v>449</v>
      </c>
      <c r="F1464" s="114">
        <v>231</v>
      </c>
      <c r="G1464" s="114">
        <v>1</v>
      </c>
      <c r="H1464" s="114">
        <v>20900</v>
      </c>
      <c r="I1464" s="114">
        <v>20900</v>
      </c>
      <c r="J1464" s="114">
        <v>17563</v>
      </c>
      <c r="K1464" s="114">
        <v>3337</v>
      </c>
      <c r="L1464" s="114" t="str">
        <f t="shared" si="22"/>
        <v>INSERT INTO DETALLES_DOCUMENTO(NRO_DOCUMENTO,ID_TIPO,ID_PRODUCTO,CANTIDAD,PRECIO,VALOR_BRUTO,VALOR_NETO,VALOR_IVA) VALUES(737,1,231,1,20900,20900,17563,3337);</v>
      </c>
    </row>
    <row r="1465" spans="1:12">
      <c r="A1465" s="114">
        <v>1</v>
      </c>
      <c r="B1465" s="114">
        <v>737</v>
      </c>
      <c r="C1465" s="139" t="s">
        <v>2283</v>
      </c>
      <c r="D1465" s="114" t="s">
        <v>2090</v>
      </c>
      <c r="E1465" s="114">
        <v>449</v>
      </c>
      <c r="F1465" s="114">
        <v>226</v>
      </c>
      <c r="G1465" s="114">
        <v>1</v>
      </c>
      <c r="H1465" s="114">
        <v>22500</v>
      </c>
      <c r="I1465" s="114">
        <v>22500</v>
      </c>
      <c r="J1465" s="114">
        <v>18908</v>
      </c>
      <c r="K1465" s="114">
        <v>3592</v>
      </c>
      <c r="L1465" s="114" t="str">
        <f t="shared" si="22"/>
        <v>INSERT INTO DETALLES_DOCUMENTO(NRO_DOCUMENTO,ID_TIPO,ID_PRODUCTO,CANTIDAD,PRECIO,VALOR_BRUTO,VALOR_NETO,VALOR_IVA) VALUES(737,1,226,1,22500,22500,18908,3592);</v>
      </c>
    </row>
    <row r="1466" spans="1:12">
      <c r="A1466" s="114">
        <v>1</v>
      </c>
      <c r="B1466" s="114">
        <v>737</v>
      </c>
      <c r="C1466" s="139" t="s">
        <v>2283</v>
      </c>
      <c r="D1466" s="114" t="s">
        <v>2090</v>
      </c>
      <c r="E1466" s="114">
        <v>449</v>
      </c>
      <c r="F1466" s="114">
        <v>164</v>
      </c>
      <c r="G1466" s="114">
        <v>1</v>
      </c>
      <c r="H1466" s="114">
        <v>3200</v>
      </c>
      <c r="I1466" s="114">
        <v>3200</v>
      </c>
      <c r="J1466" s="114">
        <v>2689</v>
      </c>
      <c r="K1466" s="114">
        <v>511</v>
      </c>
      <c r="L1466" s="114" t="str">
        <f t="shared" si="22"/>
        <v>INSERT INTO DETALLES_DOCUMENTO(NRO_DOCUMENTO,ID_TIPO,ID_PRODUCTO,CANTIDAD,PRECIO,VALOR_BRUTO,VALOR_NETO,VALOR_IVA) VALUES(737,1,164,1,3200,3200,2689,511);</v>
      </c>
    </row>
    <row r="1467" spans="1:12">
      <c r="A1467" s="114">
        <v>1</v>
      </c>
      <c r="B1467" s="114">
        <v>737</v>
      </c>
      <c r="C1467" s="139" t="s">
        <v>2283</v>
      </c>
      <c r="D1467" s="114" t="s">
        <v>2090</v>
      </c>
      <c r="E1467" s="114">
        <v>449</v>
      </c>
      <c r="F1467" s="114">
        <v>98</v>
      </c>
      <c r="G1467" s="114">
        <v>1</v>
      </c>
      <c r="H1467" s="114">
        <v>3500</v>
      </c>
      <c r="I1467" s="114">
        <v>3500</v>
      </c>
      <c r="J1467" s="114">
        <v>2941</v>
      </c>
      <c r="K1467" s="114">
        <v>559</v>
      </c>
      <c r="L1467" s="114" t="str">
        <f t="shared" si="22"/>
        <v>INSERT INTO DETALLES_DOCUMENTO(NRO_DOCUMENTO,ID_TIPO,ID_PRODUCTO,CANTIDAD,PRECIO,VALOR_BRUTO,VALOR_NETO,VALOR_IVA) VALUES(737,1,98,1,3500,3500,2941,559);</v>
      </c>
    </row>
    <row r="1468" spans="1:12">
      <c r="A1468" s="114">
        <v>1</v>
      </c>
      <c r="B1468" s="114">
        <v>738</v>
      </c>
      <c r="C1468" s="139" t="s">
        <v>2283</v>
      </c>
      <c r="D1468" s="114" t="s">
        <v>2090</v>
      </c>
      <c r="E1468" s="114">
        <v>477</v>
      </c>
      <c r="F1468" s="114">
        <v>117</v>
      </c>
      <c r="G1468" s="114">
        <v>1</v>
      </c>
      <c r="H1468" s="114">
        <v>3500</v>
      </c>
      <c r="I1468" s="114">
        <v>3500</v>
      </c>
      <c r="J1468" s="114">
        <v>2941</v>
      </c>
      <c r="K1468" s="114">
        <v>559</v>
      </c>
      <c r="L1468" s="114" t="str">
        <f t="shared" si="22"/>
        <v>INSERT INTO DETALLES_DOCUMENTO(NRO_DOCUMENTO,ID_TIPO,ID_PRODUCTO,CANTIDAD,PRECIO,VALOR_BRUTO,VALOR_NETO,VALOR_IVA) VALUES(738,1,117,1,3500,3500,2941,559);</v>
      </c>
    </row>
    <row r="1469" spans="1:12">
      <c r="A1469" s="114">
        <v>1</v>
      </c>
      <c r="B1469" s="114">
        <v>738</v>
      </c>
      <c r="C1469" s="139" t="s">
        <v>2283</v>
      </c>
      <c r="D1469" s="114" t="s">
        <v>2090</v>
      </c>
      <c r="E1469" s="114">
        <v>477</v>
      </c>
      <c r="F1469" s="114">
        <v>29</v>
      </c>
      <c r="G1469" s="114">
        <v>1</v>
      </c>
      <c r="H1469" s="114">
        <v>1000</v>
      </c>
      <c r="I1469" s="114">
        <v>1000</v>
      </c>
      <c r="J1469" s="114">
        <v>840</v>
      </c>
      <c r="K1469" s="114">
        <v>160</v>
      </c>
      <c r="L1469" s="114" t="str">
        <f t="shared" si="22"/>
        <v>INSERT INTO DETALLES_DOCUMENTO(NRO_DOCUMENTO,ID_TIPO,ID_PRODUCTO,CANTIDAD,PRECIO,VALOR_BRUTO,VALOR_NETO,VALOR_IVA) VALUES(738,1,29,1,1000,1000,840,160);</v>
      </c>
    </row>
    <row r="1470" spans="1:12">
      <c r="A1470" s="114">
        <v>1</v>
      </c>
      <c r="B1470" s="114">
        <v>738</v>
      </c>
      <c r="C1470" s="139" t="s">
        <v>2283</v>
      </c>
      <c r="D1470" s="114" t="s">
        <v>2090</v>
      </c>
      <c r="E1470" s="114">
        <v>477</v>
      </c>
      <c r="F1470" s="114">
        <v>263</v>
      </c>
      <c r="G1470" s="114">
        <v>1</v>
      </c>
      <c r="H1470" s="114">
        <v>8000</v>
      </c>
      <c r="I1470" s="114">
        <v>8000</v>
      </c>
      <c r="J1470" s="114">
        <v>6723</v>
      </c>
      <c r="K1470" s="114">
        <v>1277</v>
      </c>
      <c r="L1470" s="114" t="str">
        <f t="shared" si="22"/>
        <v>INSERT INTO DETALLES_DOCUMENTO(NRO_DOCUMENTO,ID_TIPO,ID_PRODUCTO,CANTIDAD,PRECIO,VALOR_BRUTO,VALOR_NETO,VALOR_IVA) VALUES(738,1,263,1,8000,8000,6723,1277);</v>
      </c>
    </row>
    <row r="1471" spans="1:12">
      <c r="A1471" s="114">
        <v>1</v>
      </c>
      <c r="B1471" s="114">
        <v>738</v>
      </c>
      <c r="C1471" s="139" t="s">
        <v>2283</v>
      </c>
      <c r="D1471" s="114" t="s">
        <v>2090</v>
      </c>
      <c r="E1471" s="114">
        <v>477</v>
      </c>
      <c r="F1471" s="114">
        <v>7</v>
      </c>
      <c r="G1471" s="114">
        <v>1</v>
      </c>
      <c r="H1471" s="114">
        <v>7000</v>
      </c>
      <c r="I1471" s="114">
        <v>7000</v>
      </c>
      <c r="J1471" s="114">
        <v>5882</v>
      </c>
      <c r="K1471" s="114">
        <v>1118</v>
      </c>
      <c r="L1471" s="114" t="str">
        <f t="shared" si="22"/>
        <v>INSERT INTO DETALLES_DOCUMENTO(NRO_DOCUMENTO,ID_TIPO,ID_PRODUCTO,CANTIDAD,PRECIO,VALOR_BRUTO,VALOR_NETO,VALOR_IVA) VALUES(738,1,7,1,7000,7000,5882,1118);</v>
      </c>
    </row>
    <row r="1472" spans="1:12">
      <c r="A1472" s="114">
        <v>1</v>
      </c>
      <c r="B1472" s="114">
        <v>739</v>
      </c>
      <c r="C1472" s="139" t="s">
        <v>2284</v>
      </c>
      <c r="D1472" s="114" t="s">
        <v>2090</v>
      </c>
      <c r="E1472" s="114">
        <v>98</v>
      </c>
      <c r="F1472" s="114">
        <v>329</v>
      </c>
      <c r="G1472" s="114">
        <v>1</v>
      </c>
      <c r="H1472" s="114">
        <v>5500</v>
      </c>
      <c r="I1472" s="114">
        <v>5500</v>
      </c>
      <c r="J1472" s="114">
        <v>4622</v>
      </c>
      <c r="K1472" s="114">
        <v>878</v>
      </c>
      <c r="L1472" s="114" t="str">
        <f t="shared" si="22"/>
        <v>INSERT INTO DETALLES_DOCUMENTO(NRO_DOCUMENTO,ID_TIPO,ID_PRODUCTO,CANTIDAD,PRECIO,VALOR_BRUTO,VALOR_NETO,VALOR_IVA) VALUES(739,1,329,1,5500,5500,4622,878);</v>
      </c>
    </row>
    <row r="1473" spans="1:12">
      <c r="A1473" s="114">
        <v>1</v>
      </c>
      <c r="B1473" s="114">
        <v>740</v>
      </c>
      <c r="C1473" s="139" t="s">
        <v>2284</v>
      </c>
      <c r="D1473" s="114" t="s">
        <v>2090</v>
      </c>
      <c r="E1473" s="114">
        <v>102</v>
      </c>
      <c r="F1473" s="114">
        <v>167</v>
      </c>
      <c r="G1473" s="114">
        <v>1</v>
      </c>
      <c r="H1473" s="114">
        <v>8200</v>
      </c>
      <c r="I1473" s="114">
        <v>8200</v>
      </c>
      <c r="J1473" s="114">
        <v>6891</v>
      </c>
      <c r="K1473" s="114">
        <v>1309</v>
      </c>
      <c r="L1473" s="114" t="str">
        <f t="shared" si="22"/>
        <v>INSERT INTO DETALLES_DOCUMENTO(NRO_DOCUMENTO,ID_TIPO,ID_PRODUCTO,CANTIDAD,PRECIO,VALOR_BRUTO,VALOR_NETO,VALOR_IVA) VALUES(740,1,167,1,8200,8200,6891,1309);</v>
      </c>
    </row>
    <row r="1474" spans="1:12">
      <c r="A1474" s="114">
        <v>1</v>
      </c>
      <c r="B1474" s="114">
        <v>741</v>
      </c>
      <c r="C1474" s="139" t="s">
        <v>2284</v>
      </c>
      <c r="D1474" s="114" t="s">
        <v>2090</v>
      </c>
      <c r="E1474" s="114">
        <v>334</v>
      </c>
      <c r="F1474" s="114">
        <v>165</v>
      </c>
      <c r="G1474" s="114">
        <v>1</v>
      </c>
      <c r="H1474" s="114">
        <v>2000</v>
      </c>
      <c r="I1474" s="114">
        <v>2000</v>
      </c>
      <c r="J1474" s="114">
        <v>1681</v>
      </c>
      <c r="K1474" s="114">
        <v>319</v>
      </c>
      <c r="L1474" s="114" t="str">
        <f t="shared" si="22"/>
        <v>INSERT INTO DETALLES_DOCUMENTO(NRO_DOCUMENTO,ID_TIPO,ID_PRODUCTO,CANTIDAD,PRECIO,VALOR_BRUTO,VALOR_NETO,VALOR_IVA) VALUES(741,1,165,1,2000,2000,1681,319);</v>
      </c>
    </row>
    <row r="1475" spans="1:12">
      <c r="A1475" s="114">
        <v>1</v>
      </c>
      <c r="B1475" s="114">
        <v>742</v>
      </c>
      <c r="C1475" s="139" t="s">
        <v>2284</v>
      </c>
      <c r="D1475" s="114" t="s">
        <v>2090</v>
      </c>
      <c r="E1475" s="114">
        <v>448</v>
      </c>
      <c r="F1475" s="114">
        <v>5</v>
      </c>
      <c r="G1475" s="114">
        <v>1</v>
      </c>
      <c r="H1475" s="114">
        <v>11000</v>
      </c>
      <c r="I1475" s="114">
        <v>11000</v>
      </c>
      <c r="J1475" s="114">
        <v>9244</v>
      </c>
      <c r="K1475" s="114">
        <v>1756</v>
      </c>
      <c r="L1475" s="114" t="str">
        <f t="shared" ref="L1475:L1538" si="23">CONCATENATE("INSERT INTO DETALLES_DOCUMENTO(NRO_DOCUMENTO,ID_TIPO,ID_PRODUCTO,CANTIDAD,PRECIO,VALOR_BRUTO,VALOR_NETO,VALOR_IVA) VALUES(",B1475,",",A1475,",",F1475,",",G1475,",",H1475,",",I1475,",",J1475,",",K1475,");")</f>
        <v>INSERT INTO DETALLES_DOCUMENTO(NRO_DOCUMENTO,ID_TIPO,ID_PRODUCTO,CANTIDAD,PRECIO,VALOR_BRUTO,VALOR_NETO,VALOR_IVA) VALUES(742,1,5,1,11000,11000,9244,1756);</v>
      </c>
    </row>
    <row r="1476" spans="1:12">
      <c r="A1476" s="114">
        <v>1</v>
      </c>
      <c r="B1476" s="114">
        <v>743</v>
      </c>
      <c r="C1476" s="139" t="s">
        <v>2285</v>
      </c>
      <c r="D1476" s="114" t="s">
        <v>2090</v>
      </c>
      <c r="E1476" s="114">
        <v>1</v>
      </c>
      <c r="F1476" s="114">
        <v>324</v>
      </c>
      <c r="G1476" s="114">
        <v>1</v>
      </c>
      <c r="H1476" s="114">
        <v>10500</v>
      </c>
      <c r="I1476" s="114">
        <v>10500</v>
      </c>
      <c r="J1476" s="114">
        <v>8824</v>
      </c>
      <c r="K1476" s="114">
        <v>1676</v>
      </c>
      <c r="L1476" s="114" t="str">
        <f t="shared" si="23"/>
        <v>INSERT INTO DETALLES_DOCUMENTO(NRO_DOCUMENTO,ID_TIPO,ID_PRODUCTO,CANTIDAD,PRECIO,VALOR_BRUTO,VALOR_NETO,VALOR_IVA) VALUES(743,1,324,1,10500,10500,8824,1676);</v>
      </c>
    </row>
    <row r="1477" spans="1:12">
      <c r="A1477" s="114">
        <v>1</v>
      </c>
      <c r="B1477" s="114">
        <v>743</v>
      </c>
      <c r="C1477" s="139" t="s">
        <v>2285</v>
      </c>
      <c r="D1477" s="114" t="s">
        <v>2090</v>
      </c>
      <c r="E1477" s="114">
        <v>1</v>
      </c>
      <c r="F1477" s="114">
        <v>143</v>
      </c>
      <c r="G1477" s="114">
        <v>1</v>
      </c>
      <c r="H1477" s="114">
        <v>8300</v>
      </c>
      <c r="I1477" s="114">
        <v>8300</v>
      </c>
      <c r="J1477" s="114">
        <v>6975</v>
      </c>
      <c r="K1477" s="114">
        <v>1325</v>
      </c>
      <c r="L1477" s="114" t="str">
        <f t="shared" si="23"/>
        <v>INSERT INTO DETALLES_DOCUMENTO(NRO_DOCUMENTO,ID_TIPO,ID_PRODUCTO,CANTIDAD,PRECIO,VALOR_BRUTO,VALOR_NETO,VALOR_IVA) VALUES(743,1,143,1,8300,8300,6975,1325);</v>
      </c>
    </row>
    <row r="1478" spans="1:12">
      <c r="A1478" s="114">
        <v>1</v>
      </c>
      <c r="B1478" s="114">
        <v>744</v>
      </c>
      <c r="C1478" s="139" t="s">
        <v>2285</v>
      </c>
      <c r="D1478" s="114" t="s">
        <v>2090</v>
      </c>
      <c r="E1478" s="114">
        <v>48</v>
      </c>
      <c r="F1478" s="114">
        <v>324</v>
      </c>
      <c r="G1478" s="114">
        <v>1</v>
      </c>
      <c r="H1478" s="114">
        <v>10500</v>
      </c>
      <c r="I1478" s="114">
        <v>10500</v>
      </c>
      <c r="J1478" s="114">
        <v>8824</v>
      </c>
      <c r="K1478" s="114">
        <v>1676</v>
      </c>
      <c r="L1478" s="114" t="str">
        <f t="shared" si="23"/>
        <v>INSERT INTO DETALLES_DOCUMENTO(NRO_DOCUMENTO,ID_TIPO,ID_PRODUCTO,CANTIDAD,PRECIO,VALOR_BRUTO,VALOR_NETO,VALOR_IVA) VALUES(744,1,324,1,10500,10500,8824,1676);</v>
      </c>
    </row>
    <row r="1479" spans="1:12">
      <c r="A1479" s="114">
        <v>1</v>
      </c>
      <c r="B1479" s="114">
        <v>745</v>
      </c>
      <c r="C1479" s="139" t="s">
        <v>2285</v>
      </c>
      <c r="D1479" s="114" t="s">
        <v>2090</v>
      </c>
      <c r="E1479" s="114">
        <v>78</v>
      </c>
      <c r="F1479" s="114">
        <v>230</v>
      </c>
      <c r="G1479" s="114">
        <v>1</v>
      </c>
      <c r="H1479" s="114">
        <v>16500</v>
      </c>
      <c r="I1479" s="114">
        <v>16500</v>
      </c>
      <c r="J1479" s="114">
        <v>13866</v>
      </c>
      <c r="K1479" s="114">
        <v>2634</v>
      </c>
      <c r="L1479" s="114" t="str">
        <f t="shared" si="23"/>
        <v>INSERT INTO DETALLES_DOCUMENTO(NRO_DOCUMENTO,ID_TIPO,ID_PRODUCTO,CANTIDAD,PRECIO,VALOR_BRUTO,VALOR_NETO,VALOR_IVA) VALUES(745,1,230,1,16500,16500,13866,2634);</v>
      </c>
    </row>
    <row r="1480" spans="1:12">
      <c r="A1480" s="114">
        <v>1</v>
      </c>
      <c r="B1480" s="114">
        <v>745</v>
      </c>
      <c r="C1480" s="139" t="s">
        <v>2285</v>
      </c>
      <c r="D1480" s="114" t="s">
        <v>2090</v>
      </c>
      <c r="E1480" s="114">
        <v>78</v>
      </c>
      <c r="F1480" s="114">
        <v>369</v>
      </c>
      <c r="G1480" s="114">
        <v>1</v>
      </c>
      <c r="H1480" s="114">
        <v>10500</v>
      </c>
      <c r="I1480" s="114">
        <v>10500</v>
      </c>
      <c r="J1480" s="114">
        <v>8824</v>
      </c>
      <c r="K1480" s="114">
        <v>1676</v>
      </c>
      <c r="L1480" s="114" t="str">
        <f t="shared" si="23"/>
        <v>INSERT INTO DETALLES_DOCUMENTO(NRO_DOCUMENTO,ID_TIPO,ID_PRODUCTO,CANTIDAD,PRECIO,VALOR_BRUTO,VALOR_NETO,VALOR_IVA) VALUES(745,1,369,1,10500,10500,8824,1676);</v>
      </c>
    </row>
    <row r="1481" spans="1:12">
      <c r="A1481" s="114">
        <v>1</v>
      </c>
      <c r="B1481" s="114">
        <v>745</v>
      </c>
      <c r="C1481" s="139" t="s">
        <v>2285</v>
      </c>
      <c r="D1481" s="114" t="s">
        <v>2090</v>
      </c>
      <c r="E1481" s="114">
        <v>78</v>
      </c>
      <c r="F1481" s="114">
        <v>118</v>
      </c>
      <c r="G1481" s="114">
        <v>1</v>
      </c>
      <c r="H1481" s="114">
        <v>3500</v>
      </c>
      <c r="I1481" s="114">
        <v>3500</v>
      </c>
      <c r="J1481" s="114">
        <v>2941</v>
      </c>
      <c r="K1481" s="114">
        <v>559</v>
      </c>
      <c r="L1481" s="114" t="str">
        <f t="shared" si="23"/>
        <v>INSERT INTO DETALLES_DOCUMENTO(NRO_DOCUMENTO,ID_TIPO,ID_PRODUCTO,CANTIDAD,PRECIO,VALOR_BRUTO,VALOR_NETO,VALOR_IVA) VALUES(745,1,118,1,3500,3500,2941,559);</v>
      </c>
    </row>
    <row r="1482" spans="1:12">
      <c r="A1482" s="114">
        <v>1</v>
      </c>
      <c r="B1482" s="114">
        <v>745</v>
      </c>
      <c r="C1482" s="139" t="s">
        <v>2285</v>
      </c>
      <c r="D1482" s="114" t="s">
        <v>2090</v>
      </c>
      <c r="E1482" s="114">
        <v>78</v>
      </c>
      <c r="F1482" s="114">
        <v>31</v>
      </c>
      <c r="G1482" s="114">
        <v>1</v>
      </c>
      <c r="H1482" s="114">
        <v>3400</v>
      </c>
      <c r="I1482" s="114">
        <v>3400</v>
      </c>
      <c r="J1482" s="114">
        <v>2857</v>
      </c>
      <c r="K1482" s="114">
        <v>543</v>
      </c>
      <c r="L1482" s="114" t="str">
        <f t="shared" si="23"/>
        <v>INSERT INTO DETALLES_DOCUMENTO(NRO_DOCUMENTO,ID_TIPO,ID_PRODUCTO,CANTIDAD,PRECIO,VALOR_BRUTO,VALOR_NETO,VALOR_IVA) VALUES(745,1,31,1,3400,3400,2857,543);</v>
      </c>
    </row>
    <row r="1483" spans="1:12">
      <c r="A1483" s="114">
        <v>1</v>
      </c>
      <c r="B1483" s="114">
        <v>745</v>
      </c>
      <c r="C1483" s="139" t="s">
        <v>2285</v>
      </c>
      <c r="D1483" s="114" t="s">
        <v>2090</v>
      </c>
      <c r="E1483" s="114">
        <v>78</v>
      </c>
      <c r="F1483" s="114">
        <v>95</v>
      </c>
      <c r="G1483" s="114">
        <v>1</v>
      </c>
      <c r="H1483" s="114">
        <v>2400</v>
      </c>
      <c r="I1483" s="114">
        <v>2400</v>
      </c>
      <c r="J1483" s="114">
        <v>2017</v>
      </c>
      <c r="K1483" s="114">
        <v>383</v>
      </c>
      <c r="L1483" s="114" t="str">
        <f t="shared" si="23"/>
        <v>INSERT INTO DETALLES_DOCUMENTO(NRO_DOCUMENTO,ID_TIPO,ID_PRODUCTO,CANTIDAD,PRECIO,VALOR_BRUTO,VALOR_NETO,VALOR_IVA) VALUES(745,1,95,1,2400,2400,2017,383);</v>
      </c>
    </row>
    <row r="1484" spans="1:12">
      <c r="A1484" s="114">
        <v>1</v>
      </c>
      <c r="B1484" s="114">
        <v>745</v>
      </c>
      <c r="C1484" s="139" t="s">
        <v>2285</v>
      </c>
      <c r="D1484" s="114" t="s">
        <v>2090</v>
      </c>
      <c r="E1484" s="114">
        <v>78</v>
      </c>
      <c r="F1484" s="114">
        <v>30</v>
      </c>
      <c r="G1484" s="114">
        <v>1</v>
      </c>
      <c r="H1484" s="114">
        <v>3000</v>
      </c>
      <c r="I1484" s="114">
        <v>3000</v>
      </c>
      <c r="J1484" s="114">
        <v>2521</v>
      </c>
      <c r="K1484" s="114">
        <v>479</v>
      </c>
      <c r="L1484" s="114" t="str">
        <f t="shared" si="23"/>
        <v>INSERT INTO DETALLES_DOCUMENTO(NRO_DOCUMENTO,ID_TIPO,ID_PRODUCTO,CANTIDAD,PRECIO,VALOR_BRUTO,VALOR_NETO,VALOR_IVA) VALUES(745,1,30,1,3000,3000,2521,479);</v>
      </c>
    </row>
    <row r="1485" spans="1:12">
      <c r="A1485" s="114">
        <v>1</v>
      </c>
      <c r="B1485" s="114">
        <v>745</v>
      </c>
      <c r="C1485" s="139" t="s">
        <v>2285</v>
      </c>
      <c r="D1485" s="114" t="s">
        <v>2090</v>
      </c>
      <c r="E1485" s="114">
        <v>78</v>
      </c>
      <c r="F1485" s="114">
        <v>156</v>
      </c>
      <c r="G1485" s="114">
        <v>1</v>
      </c>
      <c r="H1485" s="114">
        <v>1400</v>
      </c>
      <c r="I1485" s="114">
        <v>1400</v>
      </c>
      <c r="J1485" s="114">
        <v>1176</v>
      </c>
      <c r="K1485" s="114">
        <v>224</v>
      </c>
      <c r="L1485" s="114" t="str">
        <f t="shared" si="23"/>
        <v>INSERT INTO DETALLES_DOCUMENTO(NRO_DOCUMENTO,ID_TIPO,ID_PRODUCTO,CANTIDAD,PRECIO,VALOR_BRUTO,VALOR_NETO,VALOR_IVA) VALUES(745,1,156,1,1400,1400,1176,224);</v>
      </c>
    </row>
    <row r="1486" spans="1:12">
      <c r="A1486" s="114">
        <v>1</v>
      </c>
      <c r="B1486" s="114">
        <v>745</v>
      </c>
      <c r="C1486" s="139" t="s">
        <v>2285</v>
      </c>
      <c r="D1486" s="114" t="s">
        <v>2090</v>
      </c>
      <c r="E1486" s="114">
        <v>78</v>
      </c>
      <c r="F1486" s="114">
        <v>274</v>
      </c>
      <c r="G1486" s="114">
        <v>1</v>
      </c>
      <c r="H1486" s="114">
        <v>7500</v>
      </c>
      <c r="I1486" s="114">
        <v>7500</v>
      </c>
      <c r="J1486" s="114">
        <v>6303</v>
      </c>
      <c r="K1486" s="114">
        <v>1197</v>
      </c>
      <c r="L1486" s="114" t="str">
        <f t="shared" si="23"/>
        <v>INSERT INTO DETALLES_DOCUMENTO(NRO_DOCUMENTO,ID_TIPO,ID_PRODUCTO,CANTIDAD,PRECIO,VALOR_BRUTO,VALOR_NETO,VALOR_IVA) VALUES(745,1,274,1,7500,7500,6303,1197);</v>
      </c>
    </row>
    <row r="1487" spans="1:12">
      <c r="A1487" s="114">
        <v>1</v>
      </c>
      <c r="B1487" s="114">
        <v>745</v>
      </c>
      <c r="C1487" s="139" t="s">
        <v>2285</v>
      </c>
      <c r="D1487" s="114" t="s">
        <v>2090</v>
      </c>
      <c r="E1487" s="114">
        <v>78</v>
      </c>
      <c r="F1487" s="114">
        <v>360</v>
      </c>
      <c r="G1487" s="114">
        <v>1</v>
      </c>
      <c r="H1487" s="114">
        <v>3000</v>
      </c>
      <c r="I1487" s="114">
        <v>3000</v>
      </c>
      <c r="J1487" s="114">
        <v>2521</v>
      </c>
      <c r="K1487" s="114">
        <v>479</v>
      </c>
      <c r="L1487" s="114" t="str">
        <f t="shared" si="23"/>
        <v>INSERT INTO DETALLES_DOCUMENTO(NRO_DOCUMENTO,ID_TIPO,ID_PRODUCTO,CANTIDAD,PRECIO,VALOR_BRUTO,VALOR_NETO,VALOR_IVA) VALUES(745,1,360,1,3000,3000,2521,479);</v>
      </c>
    </row>
    <row r="1488" spans="1:12">
      <c r="A1488" s="114">
        <v>1</v>
      </c>
      <c r="B1488" s="114">
        <v>746</v>
      </c>
      <c r="C1488" s="139" t="s">
        <v>2285</v>
      </c>
      <c r="D1488" s="114" t="s">
        <v>2090</v>
      </c>
      <c r="E1488" s="114">
        <v>110</v>
      </c>
      <c r="F1488" s="114">
        <v>118</v>
      </c>
      <c r="G1488" s="114">
        <v>1</v>
      </c>
      <c r="H1488" s="114">
        <v>3500</v>
      </c>
      <c r="I1488" s="114">
        <v>3500</v>
      </c>
      <c r="J1488" s="114">
        <v>2941</v>
      </c>
      <c r="K1488" s="114">
        <v>559</v>
      </c>
      <c r="L1488" s="114" t="str">
        <f t="shared" si="23"/>
        <v>INSERT INTO DETALLES_DOCUMENTO(NRO_DOCUMENTO,ID_TIPO,ID_PRODUCTO,CANTIDAD,PRECIO,VALOR_BRUTO,VALOR_NETO,VALOR_IVA) VALUES(746,1,118,1,3500,3500,2941,559);</v>
      </c>
    </row>
    <row r="1489" spans="1:12">
      <c r="A1489" s="114">
        <v>1</v>
      </c>
      <c r="B1489" s="114">
        <v>747</v>
      </c>
      <c r="C1489" s="139" t="s">
        <v>2285</v>
      </c>
      <c r="D1489" s="114" t="s">
        <v>2090</v>
      </c>
      <c r="E1489" s="114">
        <v>119</v>
      </c>
      <c r="F1489" s="114">
        <v>143</v>
      </c>
      <c r="G1489" s="114">
        <v>1</v>
      </c>
      <c r="H1489" s="114">
        <v>8300</v>
      </c>
      <c r="I1489" s="114">
        <v>8300</v>
      </c>
      <c r="J1489" s="114">
        <v>6975</v>
      </c>
      <c r="K1489" s="114">
        <v>1325</v>
      </c>
      <c r="L1489" s="114" t="str">
        <f t="shared" si="23"/>
        <v>INSERT INTO DETALLES_DOCUMENTO(NRO_DOCUMENTO,ID_TIPO,ID_PRODUCTO,CANTIDAD,PRECIO,VALOR_BRUTO,VALOR_NETO,VALOR_IVA) VALUES(747,1,143,1,8300,8300,6975,1325);</v>
      </c>
    </row>
    <row r="1490" spans="1:12">
      <c r="A1490" s="114">
        <v>1</v>
      </c>
      <c r="B1490" s="114">
        <v>748</v>
      </c>
      <c r="C1490" s="139" t="s">
        <v>2285</v>
      </c>
      <c r="D1490" s="114" t="s">
        <v>2090</v>
      </c>
      <c r="E1490" s="114">
        <v>155</v>
      </c>
      <c r="F1490" s="114">
        <v>143</v>
      </c>
      <c r="G1490" s="114">
        <v>1</v>
      </c>
      <c r="H1490" s="114">
        <v>8300</v>
      </c>
      <c r="I1490" s="114">
        <v>8300</v>
      </c>
      <c r="J1490" s="114">
        <v>6975</v>
      </c>
      <c r="K1490" s="114">
        <v>1325</v>
      </c>
      <c r="L1490" s="114" t="str">
        <f t="shared" si="23"/>
        <v>INSERT INTO DETALLES_DOCUMENTO(NRO_DOCUMENTO,ID_TIPO,ID_PRODUCTO,CANTIDAD,PRECIO,VALOR_BRUTO,VALOR_NETO,VALOR_IVA) VALUES(748,1,143,1,8300,8300,6975,1325);</v>
      </c>
    </row>
    <row r="1491" spans="1:12">
      <c r="A1491" s="114">
        <v>1</v>
      </c>
      <c r="B1491" s="114">
        <v>749</v>
      </c>
      <c r="C1491" s="139" t="s">
        <v>2285</v>
      </c>
      <c r="D1491" s="114" t="s">
        <v>2090</v>
      </c>
      <c r="E1491" s="114">
        <v>166</v>
      </c>
      <c r="F1491" s="114">
        <v>191</v>
      </c>
      <c r="G1491" s="114">
        <v>1</v>
      </c>
      <c r="H1491" s="114">
        <v>2500</v>
      </c>
      <c r="I1491" s="114">
        <v>2500</v>
      </c>
      <c r="J1491" s="114">
        <v>2101</v>
      </c>
      <c r="K1491" s="114">
        <v>399</v>
      </c>
      <c r="L1491" s="114" t="str">
        <f t="shared" si="23"/>
        <v>INSERT INTO DETALLES_DOCUMENTO(NRO_DOCUMENTO,ID_TIPO,ID_PRODUCTO,CANTIDAD,PRECIO,VALOR_BRUTO,VALOR_NETO,VALOR_IVA) VALUES(749,1,191,1,2500,2500,2101,399);</v>
      </c>
    </row>
    <row r="1492" spans="1:12">
      <c r="A1492" s="114">
        <v>1</v>
      </c>
      <c r="B1492" s="114">
        <v>750</v>
      </c>
      <c r="C1492" s="139" t="s">
        <v>2285</v>
      </c>
      <c r="D1492" s="114" t="s">
        <v>2090</v>
      </c>
      <c r="E1492" s="114">
        <v>202</v>
      </c>
      <c r="F1492" s="114">
        <v>324</v>
      </c>
      <c r="G1492" s="114">
        <v>1</v>
      </c>
      <c r="H1492" s="114">
        <v>10500</v>
      </c>
      <c r="I1492" s="114">
        <v>10500</v>
      </c>
      <c r="J1492" s="114">
        <v>8824</v>
      </c>
      <c r="K1492" s="114">
        <v>1676</v>
      </c>
      <c r="L1492" s="114" t="str">
        <f t="shared" si="23"/>
        <v>INSERT INTO DETALLES_DOCUMENTO(NRO_DOCUMENTO,ID_TIPO,ID_PRODUCTO,CANTIDAD,PRECIO,VALOR_BRUTO,VALOR_NETO,VALOR_IVA) VALUES(750,1,324,1,10500,10500,8824,1676);</v>
      </c>
    </row>
    <row r="1493" spans="1:12">
      <c r="A1493" s="114">
        <v>1</v>
      </c>
      <c r="B1493" s="114">
        <v>750</v>
      </c>
      <c r="C1493" s="139" t="s">
        <v>2285</v>
      </c>
      <c r="D1493" s="114" t="s">
        <v>2090</v>
      </c>
      <c r="E1493" s="114">
        <v>202</v>
      </c>
      <c r="F1493" s="114">
        <v>135</v>
      </c>
      <c r="G1493" s="114">
        <v>2</v>
      </c>
      <c r="H1493" s="114">
        <v>2000</v>
      </c>
      <c r="I1493" s="114">
        <v>4000</v>
      </c>
      <c r="J1493" s="114">
        <v>3361</v>
      </c>
      <c r="K1493" s="114">
        <v>639</v>
      </c>
      <c r="L1493" s="114" t="str">
        <f t="shared" si="23"/>
        <v>INSERT INTO DETALLES_DOCUMENTO(NRO_DOCUMENTO,ID_TIPO,ID_PRODUCTO,CANTIDAD,PRECIO,VALOR_BRUTO,VALOR_NETO,VALOR_IVA) VALUES(750,1,135,2,2000,4000,3361,639);</v>
      </c>
    </row>
    <row r="1494" spans="1:12">
      <c r="A1494" s="114">
        <v>1</v>
      </c>
      <c r="B1494" s="114">
        <v>751</v>
      </c>
      <c r="C1494" s="139" t="s">
        <v>2285</v>
      </c>
      <c r="D1494" s="114" t="s">
        <v>2090</v>
      </c>
      <c r="E1494" s="114">
        <v>240</v>
      </c>
      <c r="F1494" s="114">
        <v>45</v>
      </c>
      <c r="G1494" s="114">
        <v>3</v>
      </c>
      <c r="H1494" s="114">
        <v>4800</v>
      </c>
      <c r="I1494" s="114">
        <v>14400</v>
      </c>
      <c r="J1494" s="114">
        <v>12101</v>
      </c>
      <c r="K1494" s="114">
        <v>2299</v>
      </c>
      <c r="L1494" s="114" t="str">
        <f t="shared" si="23"/>
        <v>INSERT INTO DETALLES_DOCUMENTO(NRO_DOCUMENTO,ID_TIPO,ID_PRODUCTO,CANTIDAD,PRECIO,VALOR_BRUTO,VALOR_NETO,VALOR_IVA) VALUES(751,1,45,3,4800,14400,12101,2299);</v>
      </c>
    </row>
    <row r="1495" spans="1:12">
      <c r="A1495" s="114">
        <v>1</v>
      </c>
      <c r="B1495" s="114">
        <v>752</v>
      </c>
      <c r="C1495" s="139" t="s">
        <v>2285</v>
      </c>
      <c r="D1495" s="114" t="s">
        <v>2090</v>
      </c>
      <c r="E1495" s="114">
        <v>377</v>
      </c>
      <c r="F1495" s="114">
        <v>231</v>
      </c>
      <c r="G1495" s="114">
        <v>1</v>
      </c>
      <c r="H1495" s="114">
        <v>20900</v>
      </c>
      <c r="I1495" s="114">
        <v>20900</v>
      </c>
      <c r="J1495" s="114">
        <v>17563</v>
      </c>
      <c r="K1495" s="114">
        <v>3337</v>
      </c>
      <c r="L1495" s="114" t="str">
        <f t="shared" si="23"/>
        <v>INSERT INTO DETALLES_DOCUMENTO(NRO_DOCUMENTO,ID_TIPO,ID_PRODUCTO,CANTIDAD,PRECIO,VALOR_BRUTO,VALOR_NETO,VALOR_IVA) VALUES(752,1,231,1,20900,20900,17563,3337);</v>
      </c>
    </row>
    <row r="1496" spans="1:12">
      <c r="A1496" s="114">
        <v>1</v>
      </c>
      <c r="B1496" s="114">
        <v>752</v>
      </c>
      <c r="C1496" s="139" t="s">
        <v>2285</v>
      </c>
      <c r="D1496" s="114" t="s">
        <v>2090</v>
      </c>
      <c r="E1496" s="114">
        <v>377</v>
      </c>
      <c r="F1496" s="114">
        <v>244</v>
      </c>
      <c r="G1496" s="114">
        <v>1</v>
      </c>
      <c r="H1496" s="114">
        <v>14900</v>
      </c>
      <c r="I1496" s="114">
        <v>14900</v>
      </c>
      <c r="J1496" s="114">
        <v>12521</v>
      </c>
      <c r="K1496" s="114">
        <v>2379</v>
      </c>
      <c r="L1496" s="114" t="str">
        <f t="shared" si="23"/>
        <v>INSERT INTO DETALLES_DOCUMENTO(NRO_DOCUMENTO,ID_TIPO,ID_PRODUCTO,CANTIDAD,PRECIO,VALOR_BRUTO,VALOR_NETO,VALOR_IVA) VALUES(752,1,244,1,14900,14900,12521,2379);</v>
      </c>
    </row>
    <row r="1497" spans="1:12">
      <c r="A1497" s="114">
        <v>1</v>
      </c>
      <c r="B1497" s="114">
        <v>753</v>
      </c>
      <c r="C1497" s="139" t="s">
        <v>2285</v>
      </c>
      <c r="D1497" s="114" t="s">
        <v>2090</v>
      </c>
      <c r="E1497" s="114">
        <v>397</v>
      </c>
      <c r="F1497" s="114">
        <v>324</v>
      </c>
      <c r="G1497" s="114">
        <v>1</v>
      </c>
      <c r="H1497" s="114">
        <v>10500</v>
      </c>
      <c r="I1497" s="114">
        <v>10500</v>
      </c>
      <c r="J1497" s="114">
        <v>8824</v>
      </c>
      <c r="K1497" s="114">
        <v>1676</v>
      </c>
      <c r="L1497" s="114" t="str">
        <f t="shared" si="23"/>
        <v>INSERT INTO DETALLES_DOCUMENTO(NRO_DOCUMENTO,ID_TIPO,ID_PRODUCTO,CANTIDAD,PRECIO,VALOR_BRUTO,VALOR_NETO,VALOR_IVA) VALUES(753,1,324,1,10500,10500,8824,1676);</v>
      </c>
    </row>
    <row r="1498" spans="1:12">
      <c r="A1498" s="114">
        <v>1</v>
      </c>
      <c r="B1498" s="114">
        <v>753</v>
      </c>
      <c r="C1498" s="139" t="s">
        <v>2285</v>
      </c>
      <c r="D1498" s="114" t="s">
        <v>2090</v>
      </c>
      <c r="E1498" s="114">
        <v>397</v>
      </c>
      <c r="F1498" s="114">
        <v>143</v>
      </c>
      <c r="G1498" s="114">
        <v>2</v>
      </c>
      <c r="H1498" s="114">
        <v>16600</v>
      </c>
      <c r="I1498" s="114">
        <v>33200</v>
      </c>
      <c r="J1498" s="114">
        <v>27899</v>
      </c>
      <c r="K1498" s="114">
        <v>5301</v>
      </c>
      <c r="L1498" s="114" t="str">
        <f t="shared" si="23"/>
        <v>INSERT INTO DETALLES_DOCUMENTO(NRO_DOCUMENTO,ID_TIPO,ID_PRODUCTO,CANTIDAD,PRECIO,VALOR_BRUTO,VALOR_NETO,VALOR_IVA) VALUES(753,1,143,2,16600,33200,27899,5301);</v>
      </c>
    </row>
    <row r="1499" spans="1:12">
      <c r="A1499" s="114">
        <v>1</v>
      </c>
      <c r="B1499" s="114">
        <v>754</v>
      </c>
      <c r="C1499" s="139" t="s">
        <v>2285</v>
      </c>
      <c r="D1499" s="114" t="s">
        <v>2090</v>
      </c>
      <c r="E1499" s="114">
        <v>398</v>
      </c>
      <c r="F1499" s="114">
        <v>167</v>
      </c>
      <c r="G1499" s="114">
        <v>1</v>
      </c>
      <c r="H1499" s="114">
        <v>8200</v>
      </c>
      <c r="I1499" s="114">
        <v>8200</v>
      </c>
      <c r="J1499" s="114">
        <v>6891</v>
      </c>
      <c r="K1499" s="114">
        <v>1309</v>
      </c>
      <c r="L1499" s="114" t="str">
        <f t="shared" si="23"/>
        <v>INSERT INTO DETALLES_DOCUMENTO(NRO_DOCUMENTO,ID_TIPO,ID_PRODUCTO,CANTIDAD,PRECIO,VALOR_BRUTO,VALOR_NETO,VALOR_IVA) VALUES(754,1,167,1,8200,8200,6891,1309);</v>
      </c>
    </row>
    <row r="1500" spans="1:12">
      <c r="A1500" s="114">
        <v>1</v>
      </c>
      <c r="B1500" s="114">
        <v>754</v>
      </c>
      <c r="C1500" s="139" t="s">
        <v>2285</v>
      </c>
      <c r="D1500" s="114" t="s">
        <v>2090</v>
      </c>
      <c r="E1500" s="114">
        <v>398</v>
      </c>
      <c r="F1500" s="114">
        <v>329</v>
      </c>
      <c r="G1500" s="114">
        <v>1</v>
      </c>
      <c r="H1500" s="114">
        <v>5500</v>
      </c>
      <c r="I1500" s="114">
        <v>5500</v>
      </c>
      <c r="J1500" s="114">
        <v>4622</v>
      </c>
      <c r="K1500" s="114">
        <v>878</v>
      </c>
      <c r="L1500" s="114" t="str">
        <f t="shared" si="23"/>
        <v>INSERT INTO DETALLES_DOCUMENTO(NRO_DOCUMENTO,ID_TIPO,ID_PRODUCTO,CANTIDAD,PRECIO,VALOR_BRUTO,VALOR_NETO,VALOR_IVA) VALUES(754,1,329,1,5500,5500,4622,878);</v>
      </c>
    </row>
    <row r="1501" spans="1:12">
      <c r="A1501" s="114">
        <v>1</v>
      </c>
      <c r="B1501" s="114">
        <v>755</v>
      </c>
      <c r="C1501" s="139" t="s">
        <v>2285</v>
      </c>
      <c r="D1501" s="114" t="s">
        <v>2090</v>
      </c>
      <c r="E1501" s="114">
        <v>407</v>
      </c>
      <c r="F1501" s="114">
        <v>274</v>
      </c>
      <c r="G1501" s="114">
        <v>1</v>
      </c>
      <c r="H1501" s="114">
        <v>7500</v>
      </c>
      <c r="I1501" s="114">
        <v>7500</v>
      </c>
      <c r="J1501" s="114">
        <v>6303</v>
      </c>
      <c r="K1501" s="114">
        <v>1197</v>
      </c>
      <c r="L1501" s="114" t="str">
        <f t="shared" si="23"/>
        <v>INSERT INTO DETALLES_DOCUMENTO(NRO_DOCUMENTO,ID_TIPO,ID_PRODUCTO,CANTIDAD,PRECIO,VALOR_BRUTO,VALOR_NETO,VALOR_IVA) VALUES(755,1,274,1,7500,7500,6303,1197);</v>
      </c>
    </row>
    <row r="1502" spans="1:12">
      <c r="A1502" s="114">
        <v>1</v>
      </c>
      <c r="B1502" s="114">
        <v>755</v>
      </c>
      <c r="C1502" s="139" t="s">
        <v>2285</v>
      </c>
      <c r="D1502" s="114" t="s">
        <v>2090</v>
      </c>
      <c r="E1502" s="114">
        <v>407</v>
      </c>
      <c r="F1502" s="114">
        <v>165</v>
      </c>
      <c r="G1502" s="114">
        <v>1</v>
      </c>
      <c r="H1502" s="114">
        <v>2000</v>
      </c>
      <c r="I1502" s="114">
        <v>2000</v>
      </c>
      <c r="J1502" s="114">
        <v>1681</v>
      </c>
      <c r="K1502" s="114">
        <v>319</v>
      </c>
      <c r="L1502" s="114" t="str">
        <f t="shared" si="23"/>
        <v>INSERT INTO DETALLES_DOCUMENTO(NRO_DOCUMENTO,ID_TIPO,ID_PRODUCTO,CANTIDAD,PRECIO,VALOR_BRUTO,VALOR_NETO,VALOR_IVA) VALUES(755,1,165,1,2000,2000,1681,319);</v>
      </c>
    </row>
    <row r="1503" spans="1:12">
      <c r="A1503" s="114">
        <v>1</v>
      </c>
      <c r="B1503" s="114">
        <v>755</v>
      </c>
      <c r="C1503" s="139" t="s">
        <v>2285</v>
      </c>
      <c r="D1503" s="114" t="s">
        <v>2090</v>
      </c>
      <c r="E1503" s="114">
        <v>407</v>
      </c>
      <c r="F1503" s="114">
        <v>118</v>
      </c>
      <c r="G1503" s="114">
        <v>1</v>
      </c>
      <c r="H1503" s="114">
        <v>3500</v>
      </c>
      <c r="I1503" s="114">
        <v>3500</v>
      </c>
      <c r="J1503" s="114">
        <v>2941</v>
      </c>
      <c r="K1503" s="114">
        <v>559</v>
      </c>
      <c r="L1503" s="114" t="str">
        <f t="shared" si="23"/>
        <v>INSERT INTO DETALLES_DOCUMENTO(NRO_DOCUMENTO,ID_TIPO,ID_PRODUCTO,CANTIDAD,PRECIO,VALOR_BRUTO,VALOR_NETO,VALOR_IVA) VALUES(755,1,118,1,3500,3500,2941,559);</v>
      </c>
    </row>
    <row r="1504" spans="1:12">
      <c r="A1504" s="114">
        <v>1</v>
      </c>
      <c r="B1504" s="114">
        <v>755</v>
      </c>
      <c r="C1504" s="139" t="s">
        <v>2285</v>
      </c>
      <c r="D1504" s="114" t="s">
        <v>2090</v>
      </c>
      <c r="E1504" s="114">
        <v>407</v>
      </c>
      <c r="F1504" s="114">
        <v>329</v>
      </c>
      <c r="G1504" s="114">
        <v>1</v>
      </c>
      <c r="H1504" s="114">
        <v>5500</v>
      </c>
      <c r="I1504" s="114">
        <v>5500</v>
      </c>
      <c r="J1504" s="114">
        <v>4622</v>
      </c>
      <c r="K1504" s="114">
        <v>878</v>
      </c>
      <c r="L1504" s="114" t="str">
        <f t="shared" si="23"/>
        <v>INSERT INTO DETALLES_DOCUMENTO(NRO_DOCUMENTO,ID_TIPO,ID_PRODUCTO,CANTIDAD,PRECIO,VALOR_BRUTO,VALOR_NETO,VALOR_IVA) VALUES(755,1,329,1,5500,5500,4622,878);</v>
      </c>
    </row>
    <row r="1505" spans="1:12">
      <c r="A1505" s="114">
        <v>1</v>
      </c>
      <c r="B1505" s="114">
        <v>755</v>
      </c>
      <c r="C1505" s="139" t="s">
        <v>2285</v>
      </c>
      <c r="D1505" s="114" t="s">
        <v>2090</v>
      </c>
      <c r="E1505" s="114">
        <v>407</v>
      </c>
      <c r="F1505" s="114">
        <v>29</v>
      </c>
      <c r="G1505" s="114">
        <v>1</v>
      </c>
      <c r="H1505" s="114">
        <v>1000</v>
      </c>
      <c r="I1505" s="114">
        <v>1000</v>
      </c>
      <c r="J1505" s="114">
        <v>840</v>
      </c>
      <c r="K1505" s="114">
        <v>160</v>
      </c>
      <c r="L1505" s="114" t="str">
        <f t="shared" si="23"/>
        <v>INSERT INTO DETALLES_DOCUMENTO(NRO_DOCUMENTO,ID_TIPO,ID_PRODUCTO,CANTIDAD,PRECIO,VALOR_BRUTO,VALOR_NETO,VALOR_IVA) VALUES(755,1,29,1,1000,1000,840,160);</v>
      </c>
    </row>
    <row r="1506" spans="1:12">
      <c r="A1506" s="114">
        <v>1</v>
      </c>
      <c r="B1506" s="114">
        <v>755</v>
      </c>
      <c r="C1506" s="139" t="s">
        <v>2285</v>
      </c>
      <c r="D1506" s="114" t="s">
        <v>2090</v>
      </c>
      <c r="E1506" s="114">
        <v>407</v>
      </c>
      <c r="F1506" s="114">
        <v>143</v>
      </c>
      <c r="G1506" s="114">
        <v>1</v>
      </c>
      <c r="H1506" s="114">
        <v>8300</v>
      </c>
      <c r="I1506" s="114">
        <v>8300</v>
      </c>
      <c r="J1506" s="114">
        <v>6975</v>
      </c>
      <c r="K1506" s="114">
        <v>1325</v>
      </c>
      <c r="L1506" s="114" t="str">
        <f t="shared" si="23"/>
        <v>INSERT INTO DETALLES_DOCUMENTO(NRO_DOCUMENTO,ID_TIPO,ID_PRODUCTO,CANTIDAD,PRECIO,VALOR_BRUTO,VALOR_NETO,VALOR_IVA) VALUES(755,1,143,1,8300,8300,6975,1325);</v>
      </c>
    </row>
    <row r="1507" spans="1:12">
      <c r="A1507" s="114">
        <v>1</v>
      </c>
      <c r="B1507" s="114">
        <v>756</v>
      </c>
      <c r="C1507" s="139" t="s">
        <v>2285</v>
      </c>
      <c r="D1507" s="114" t="s">
        <v>2090</v>
      </c>
      <c r="E1507" s="114">
        <v>419</v>
      </c>
      <c r="F1507" s="114">
        <v>329</v>
      </c>
      <c r="G1507" s="114">
        <v>1</v>
      </c>
      <c r="H1507" s="114">
        <v>5500</v>
      </c>
      <c r="I1507" s="114">
        <v>5500</v>
      </c>
      <c r="J1507" s="114">
        <v>4622</v>
      </c>
      <c r="K1507" s="114">
        <v>878</v>
      </c>
      <c r="L1507" s="114" t="str">
        <f t="shared" si="23"/>
        <v>INSERT INTO DETALLES_DOCUMENTO(NRO_DOCUMENTO,ID_TIPO,ID_PRODUCTO,CANTIDAD,PRECIO,VALOR_BRUTO,VALOR_NETO,VALOR_IVA) VALUES(756,1,329,1,5500,5500,4622,878);</v>
      </c>
    </row>
    <row r="1508" spans="1:12">
      <c r="A1508" s="114">
        <v>1</v>
      </c>
      <c r="B1508" s="114">
        <v>757</v>
      </c>
      <c r="C1508" s="139" t="s">
        <v>2285</v>
      </c>
      <c r="D1508" s="114" t="s">
        <v>2090</v>
      </c>
      <c r="E1508" s="114">
        <v>427</v>
      </c>
      <c r="F1508" s="114">
        <v>231</v>
      </c>
      <c r="G1508" s="114">
        <v>1</v>
      </c>
      <c r="H1508" s="114">
        <v>20900</v>
      </c>
      <c r="I1508" s="114">
        <v>20900</v>
      </c>
      <c r="J1508" s="114">
        <v>17563</v>
      </c>
      <c r="K1508" s="114">
        <v>3337</v>
      </c>
      <c r="L1508" s="114" t="str">
        <f t="shared" si="23"/>
        <v>INSERT INTO DETALLES_DOCUMENTO(NRO_DOCUMENTO,ID_TIPO,ID_PRODUCTO,CANTIDAD,PRECIO,VALOR_BRUTO,VALOR_NETO,VALOR_IVA) VALUES(757,1,231,1,20900,20900,17563,3337);</v>
      </c>
    </row>
    <row r="1509" spans="1:12">
      <c r="A1509" s="114">
        <v>1</v>
      </c>
      <c r="B1509" s="114">
        <v>757</v>
      </c>
      <c r="C1509" s="139" t="s">
        <v>2285</v>
      </c>
      <c r="D1509" s="114" t="s">
        <v>2090</v>
      </c>
      <c r="E1509" s="114">
        <v>427</v>
      </c>
      <c r="F1509" s="114">
        <v>329</v>
      </c>
      <c r="G1509" s="114">
        <v>1</v>
      </c>
      <c r="H1509" s="114">
        <v>5500</v>
      </c>
      <c r="I1509" s="114">
        <v>5500</v>
      </c>
      <c r="J1509" s="114">
        <v>4622</v>
      </c>
      <c r="K1509" s="114">
        <v>878</v>
      </c>
      <c r="L1509" s="114" t="str">
        <f t="shared" si="23"/>
        <v>INSERT INTO DETALLES_DOCUMENTO(NRO_DOCUMENTO,ID_TIPO,ID_PRODUCTO,CANTIDAD,PRECIO,VALOR_BRUTO,VALOR_NETO,VALOR_IVA) VALUES(757,1,329,1,5500,5500,4622,878);</v>
      </c>
    </row>
    <row r="1510" spans="1:12">
      <c r="A1510" s="114">
        <v>1</v>
      </c>
      <c r="B1510" s="114">
        <v>758</v>
      </c>
      <c r="C1510" s="139" t="s">
        <v>2285</v>
      </c>
      <c r="D1510" s="114" t="s">
        <v>2090</v>
      </c>
      <c r="E1510" s="114">
        <v>451</v>
      </c>
      <c r="F1510" s="114">
        <v>231</v>
      </c>
      <c r="G1510" s="114">
        <v>1</v>
      </c>
      <c r="H1510" s="114">
        <v>20900</v>
      </c>
      <c r="I1510" s="114">
        <v>20900</v>
      </c>
      <c r="J1510" s="114">
        <v>17563</v>
      </c>
      <c r="K1510" s="114">
        <v>3337</v>
      </c>
      <c r="L1510" s="114" t="str">
        <f t="shared" si="23"/>
        <v>INSERT INTO DETALLES_DOCUMENTO(NRO_DOCUMENTO,ID_TIPO,ID_PRODUCTO,CANTIDAD,PRECIO,VALOR_BRUTO,VALOR_NETO,VALOR_IVA) VALUES(758,1,231,1,20900,20900,17563,3337);</v>
      </c>
    </row>
    <row r="1511" spans="1:12">
      <c r="A1511" s="114">
        <v>1</v>
      </c>
      <c r="B1511" s="114">
        <v>759</v>
      </c>
      <c r="C1511" s="139" t="s">
        <v>2285</v>
      </c>
      <c r="D1511" s="114" t="s">
        <v>2090</v>
      </c>
      <c r="E1511" s="114">
        <v>457</v>
      </c>
      <c r="F1511" s="114">
        <v>143</v>
      </c>
      <c r="G1511" s="114">
        <v>2</v>
      </c>
      <c r="H1511" s="114">
        <v>16600</v>
      </c>
      <c r="I1511" s="114">
        <v>33200</v>
      </c>
      <c r="J1511" s="114">
        <v>27899</v>
      </c>
      <c r="K1511" s="114">
        <v>5301</v>
      </c>
      <c r="L1511" s="114" t="str">
        <f t="shared" si="23"/>
        <v>INSERT INTO DETALLES_DOCUMENTO(NRO_DOCUMENTO,ID_TIPO,ID_PRODUCTO,CANTIDAD,PRECIO,VALOR_BRUTO,VALOR_NETO,VALOR_IVA) VALUES(759,1,143,2,16600,33200,27899,5301);</v>
      </c>
    </row>
    <row r="1512" spans="1:12">
      <c r="A1512" s="114">
        <v>1</v>
      </c>
      <c r="B1512" s="114">
        <v>760</v>
      </c>
      <c r="C1512" s="139" t="s">
        <v>2286</v>
      </c>
      <c r="D1512" s="114" t="s">
        <v>2090</v>
      </c>
      <c r="E1512" s="114">
        <v>166</v>
      </c>
      <c r="F1512" s="114">
        <v>324</v>
      </c>
      <c r="G1512" s="114">
        <v>1</v>
      </c>
      <c r="H1512" s="114">
        <v>10500</v>
      </c>
      <c r="I1512" s="114">
        <v>10500</v>
      </c>
      <c r="J1512" s="114">
        <v>8824</v>
      </c>
      <c r="K1512" s="114">
        <v>1676</v>
      </c>
      <c r="L1512" s="114" t="str">
        <f t="shared" si="23"/>
        <v>INSERT INTO DETALLES_DOCUMENTO(NRO_DOCUMENTO,ID_TIPO,ID_PRODUCTO,CANTIDAD,PRECIO,VALOR_BRUTO,VALOR_NETO,VALOR_IVA) VALUES(760,1,324,1,10500,10500,8824,1676);</v>
      </c>
    </row>
    <row r="1513" spans="1:12">
      <c r="A1513" s="114">
        <v>1</v>
      </c>
      <c r="B1513" s="114">
        <v>760</v>
      </c>
      <c r="C1513" s="139" t="s">
        <v>2286</v>
      </c>
      <c r="D1513" s="114" t="s">
        <v>2090</v>
      </c>
      <c r="E1513" s="114">
        <v>166</v>
      </c>
      <c r="F1513" s="114">
        <v>167</v>
      </c>
      <c r="G1513" s="114">
        <v>1</v>
      </c>
      <c r="H1513" s="114">
        <v>8200</v>
      </c>
      <c r="I1513" s="114">
        <v>8200</v>
      </c>
      <c r="J1513" s="114">
        <v>6891</v>
      </c>
      <c r="K1513" s="114">
        <v>1309</v>
      </c>
      <c r="L1513" s="114" t="str">
        <f t="shared" si="23"/>
        <v>INSERT INTO DETALLES_DOCUMENTO(NRO_DOCUMENTO,ID_TIPO,ID_PRODUCTO,CANTIDAD,PRECIO,VALOR_BRUTO,VALOR_NETO,VALOR_IVA) VALUES(760,1,167,1,8200,8200,6891,1309);</v>
      </c>
    </row>
    <row r="1514" spans="1:12">
      <c r="A1514" s="114">
        <v>1</v>
      </c>
      <c r="B1514" s="114">
        <v>761</v>
      </c>
      <c r="C1514" s="139" t="s">
        <v>2286</v>
      </c>
      <c r="D1514" s="114" t="s">
        <v>2090</v>
      </c>
      <c r="E1514" s="114">
        <v>226</v>
      </c>
      <c r="F1514" s="114">
        <v>319</v>
      </c>
      <c r="G1514" s="114">
        <v>1</v>
      </c>
      <c r="H1514" s="114">
        <v>3000</v>
      </c>
      <c r="I1514" s="114">
        <v>3000</v>
      </c>
      <c r="J1514" s="114">
        <v>2521</v>
      </c>
      <c r="K1514" s="114">
        <v>479</v>
      </c>
      <c r="L1514" s="114" t="str">
        <f t="shared" si="23"/>
        <v>INSERT INTO DETALLES_DOCUMENTO(NRO_DOCUMENTO,ID_TIPO,ID_PRODUCTO,CANTIDAD,PRECIO,VALOR_BRUTO,VALOR_NETO,VALOR_IVA) VALUES(761,1,319,1,3000,3000,2521,479);</v>
      </c>
    </row>
    <row r="1515" spans="1:12">
      <c r="A1515" s="114">
        <v>1</v>
      </c>
      <c r="B1515" s="114">
        <v>761</v>
      </c>
      <c r="C1515" s="139" t="s">
        <v>2286</v>
      </c>
      <c r="D1515" s="114" t="s">
        <v>2090</v>
      </c>
      <c r="E1515" s="114">
        <v>226</v>
      </c>
      <c r="F1515" s="114">
        <v>330</v>
      </c>
      <c r="G1515" s="114">
        <v>1</v>
      </c>
      <c r="H1515" s="114">
        <v>4800</v>
      </c>
      <c r="I1515" s="114">
        <v>4800</v>
      </c>
      <c r="J1515" s="114">
        <v>4034</v>
      </c>
      <c r="K1515" s="114">
        <v>766</v>
      </c>
      <c r="L1515" s="114" t="str">
        <f t="shared" si="23"/>
        <v>INSERT INTO DETALLES_DOCUMENTO(NRO_DOCUMENTO,ID_TIPO,ID_PRODUCTO,CANTIDAD,PRECIO,VALOR_BRUTO,VALOR_NETO,VALOR_IVA) VALUES(761,1,330,1,4800,4800,4034,766);</v>
      </c>
    </row>
    <row r="1516" spans="1:12">
      <c r="A1516" s="114">
        <v>1</v>
      </c>
      <c r="B1516" s="114">
        <v>762</v>
      </c>
      <c r="C1516" s="139" t="s">
        <v>2286</v>
      </c>
      <c r="D1516" s="114" t="s">
        <v>2090</v>
      </c>
      <c r="E1516" s="114">
        <v>276</v>
      </c>
      <c r="F1516" s="114">
        <v>324</v>
      </c>
      <c r="G1516" s="114">
        <v>1</v>
      </c>
      <c r="H1516" s="114">
        <v>10500</v>
      </c>
      <c r="I1516" s="114">
        <v>10500</v>
      </c>
      <c r="J1516" s="114">
        <v>8824</v>
      </c>
      <c r="K1516" s="114">
        <v>1676</v>
      </c>
      <c r="L1516" s="114" t="str">
        <f t="shared" si="23"/>
        <v>INSERT INTO DETALLES_DOCUMENTO(NRO_DOCUMENTO,ID_TIPO,ID_PRODUCTO,CANTIDAD,PRECIO,VALOR_BRUTO,VALOR_NETO,VALOR_IVA) VALUES(762,1,324,1,10500,10500,8824,1676);</v>
      </c>
    </row>
    <row r="1517" spans="1:12">
      <c r="A1517" s="114">
        <v>1</v>
      </c>
      <c r="B1517" s="114">
        <v>763</v>
      </c>
      <c r="C1517" s="139" t="s">
        <v>2286</v>
      </c>
      <c r="D1517" s="114" t="s">
        <v>2090</v>
      </c>
      <c r="E1517" s="114">
        <v>369</v>
      </c>
      <c r="F1517" s="114">
        <v>236</v>
      </c>
      <c r="G1517" s="114">
        <v>3</v>
      </c>
      <c r="H1517" s="114">
        <v>56970</v>
      </c>
      <c r="I1517" s="114">
        <v>170910</v>
      </c>
      <c r="J1517" s="114">
        <v>143622</v>
      </c>
      <c r="K1517" s="114">
        <v>27288</v>
      </c>
      <c r="L1517" s="114" t="str">
        <f t="shared" si="23"/>
        <v>INSERT INTO DETALLES_DOCUMENTO(NRO_DOCUMENTO,ID_TIPO,ID_PRODUCTO,CANTIDAD,PRECIO,VALOR_BRUTO,VALOR_NETO,VALOR_IVA) VALUES(763,1,236,3,56970,170910,143622,27288);</v>
      </c>
    </row>
    <row r="1518" spans="1:12">
      <c r="A1518" s="114">
        <v>1</v>
      </c>
      <c r="B1518" s="114">
        <v>763</v>
      </c>
      <c r="C1518" s="139" t="s">
        <v>2286</v>
      </c>
      <c r="D1518" s="114" t="s">
        <v>2090</v>
      </c>
      <c r="E1518" s="114">
        <v>369</v>
      </c>
      <c r="F1518" s="114">
        <v>277</v>
      </c>
      <c r="G1518" s="114">
        <v>2</v>
      </c>
      <c r="H1518" s="114">
        <v>20000</v>
      </c>
      <c r="I1518" s="114">
        <v>40000</v>
      </c>
      <c r="J1518" s="114">
        <v>33613</v>
      </c>
      <c r="K1518" s="114">
        <v>6387</v>
      </c>
      <c r="L1518" s="114" t="str">
        <f t="shared" si="23"/>
        <v>INSERT INTO DETALLES_DOCUMENTO(NRO_DOCUMENTO,ID_TIPO,ID_PRODUCTO,CANTIDAD,PRECIO,VALOR_BRUTO,VALOR_NETO,VALOR_IVA) VALUES(763,1,277,2,20000,40000,33613,6387);</v>
      </c>
    </row>
    <row r="1519" spans="1:12">
      <c r="A1519" s="114">
        <v>1</v>
      </c>
      <c r="B1519" s="114">
        <v>764</v>
      </c>
      <c r="C1519" s="139" t="s">
        <v>2286</v>
      </c>
      <c r="D1519" s="114" t="s">
        <v>2090</v>
      </c>
      <c r="E1519" s="114">
        <v>430</v>
      </c>
      <c r="F1519" s="114">
        <v>329</v>
      </c>
      <c r="G1519" s="114">
        <v>1</v>
      </c>
      <c r="H1519" s="114">
        <v>5500</v>
      </c>
      <c r="I1519" s="114">
        <v>5500</v>
      </c>
      <c r="J1519" s="114">
        <v>4622</v>
      </c>
      <c r="K1519" s="114">
        <v>878</v>
      </c>
      <c r="L1519" s="114" t="str">
        <f t="shared" si="23"/>
        <v>INSERT INTO DETALLES_DOCUMENTO(NRO_DOCUMENTO,ID_TIPO,ID_PRODUCTO,CANTIDAD,PRECIO,VALOR_BRUTO,VALOR_NETO,VALOR_IVA) VALUES(764,1,329,1,5500,5500,4622,878);</v>
      </c>
    </row>
    <row r="1520" spans="1:12">
      <c r="A1520" s="114">
        <v>1</v>
      </c>
      <c r="B1520" s="114">
        <v>765</v>
      </c>
      <c r="C1520" s="139" t="s">
        <v>2286</v>
      </c>
      <c r="D1520" s="114" t="s">
        <v>2090</v>
      </c>
      <c r="E1520" s="114">
        <v>451</v>
      </c>
      <c r="F1520" s="114">
        <v>329</v>
      </c>
      <c r="G1520" s="114">
        <v>1</v>
      </c>
      <c r="H1520" s="114">
        <v>5500</v>
      </c>
      <c r="I1520" s="114">
        <v>5500</v>
      </c>
      <c r="J1520" s="114">
        <v>4622</v>
      </c>
      <c r="K1520" s="114">
        <v>878</v>
      </c>
      <c r="L1520" s="114" t="str">
        <f t="shared" si="23"/>
        <v>INSERT INTO DETALLES_DOCUMENTO(NRO_DOCUMENTO,ID_TIPO,ID_PRODUCTO,CANTIDAD,PRECIO,VALOR_BRUTO,VALOR_NETO,VALOR_IVA) VALUES(765,1,329,1,5500,5500,4622,878);</v>
      </c>
    </row>
    <row r="1521" spans="1:12">
      <c r="A1521" s="114">
        <v>1</v>
      </c>
      <c r="B1521" s="114">
        <v>766</v>
      </c>
      <c r="C1521" s="139" t="s">
        <v>2287</v>
      </c>
      <c r="D1521" s="114" t="s">
        <v>2090</v>
      </c>
      <c r="E1521" s="114">
        <v>230</v>
      </c>
      <c r="F1521" s="114">
        <v>143</v>
      </c>
      <c r="G1521" s="114">
        <v>1</v>
      </c>
      <c r="H1521" s="114">
        <v>8300</v>
      </c>
      <c r="I1521" s="114">
        <v>8300</v>
      </c>
      <c r="J1521" s="114">
        <v>6975</v>
      </c>
      <c r="K1521" s="114">
        <v>1325</v>
      </c>
      <c r="L1521" s="114" t="str">
        <f t="shared" si="23"/>
        <v>INSERT INTO DETALLES_DOCUMENTO(NRO_DOCUMENTO,ID_TIPO,ID_PRODUCTO,CANTIDAD,PRECIO,VALOR_BRUTO,VALOR_NETO,VALOR_IVA) VALUES(766,1,143,1,8300,8300,6975,1325);</v>
      </c>
    </row>
    <row r="1522" spans="1:12">
      <c r="A1522" s="114">
        <v>1</v>
      </c>
      <c r="B1522" s="114">
        <v>766</v>
      </c>
      <c r="C1522" s="139" t="s">
        <v>2287</v>
      </c>
      <c r="D1522" s="114" t="s">
        <v>2090</v>
      </c>
      <c r="E1522" s="114">
        <v>230</v>
      </c>
      <c r="F1522" s="114">
        <v>293</v>
      </c>
      <c r="G1522" s="114">
        <v>1</v>
      </c>
      <c r="H1522" s="114">
        <v>10000</v>
      </c>
      <c r="I1522" s="114">
        <v>10000</v>
      </c>
      <c r="J1522" s="114">
        <v>8403</v>
      </c>
      <c r="K1522" s="114">
        <v>1597</v>
      </c>
      <c r="L1522" s="114" t="str">
        <f t="shared" si="23"/>
        <v>INSERT INTO DETALLES_DOCUMENTO(NRO_DOCUMENTO,ID_TIPO,ID_PRODUCTO,CANTIDAD,PRECIO,VALOR_BRUTO,VALOR_NETO,VALOR_IVA) VALUES(766,1,293,1,10000,10000,8403,1597);</v>
      </c>
    </row>
    <row r="1523" spans="1:12">
      <c r="A1523" s="114">
        <v>1</v>
      </c>
      <c r="B1523" s="114">
        <v>766</v>
      </c>
      <c r="C1523" s="139" t="s">
        <v>2287</v>
      </c>
      <c r="D1523" s="114" t="s">
        <v>2090</v>
      </c>
      <c r="E1523" s="114">
        <v>230</v>
      </c>
      <c r="F1523" s="114">
        <v>370</v>
      </c>
      <c r="G1523" s="114">
        <v>1</v>
      </c>
      <c r="H1523" s="114">
        <v>4000</v>
      </c>
      <c r="I1523" s="114">
        <v>4000</v>
      </c>
      <c r="J1523" s="114">
        <v>3361</v>
      </c>
      <c r="K1523" s="114">
        <v>639</v>
      </c>
      <c r="L1523" s="114" t="str">
        <f t="shared" si="23"/>
        <v>INSERT INTO DETALLES_DOCUMENTO(NRO_DOCUMENTO,ID_TIPO,ID_PRODUCTO,CANTIDAD,PRECIO,VALOR_BRUTO,VALOR_NETO,VALOR_IVA) VALUES(766,1,370,1,4000,4000,3361,639);</v>
      </c>
    </row>
    <row r="1524" spans="1:12">
      <c r="A1524" s="114">
        <v>1</v>
      </c>
      <c r="B1524" s="114">
        <v>766</v>
      </c>
      <c r="C1524" s="139" t="s">
        <v>2287</v>
      </c>
      <c r="D1524" s="114" t="s">
        <v>2090</v>
      </c>
      <c r="E1524" s="114">
        <v>230</v>
      </c>
      <c r="F1524" s="114">
        <v>165</v>
      </c>
      <c r="G1524" s="114">
        <v>1</v>
      </c>
      <c r="H1524" s="114">
        <v>2000</v>
      </c>
      <c r="I1524" s="114">
        <v>2000</v>
      </c>
      <c r="J1524" s="114">
        <v>1681</v>
      </c>
      <c r="K1524" s="114">
        <v>319</v>
      </c>
      <c r="L1524" s="114" t="str">
        <f t="shared" si="23"/>
        <v>INSERT INTO DETALLES_DOCUMENTO(NRO_DOCUMENTO,ID_TIPO,ID_PRODUCTO,CANTIDAD,PRECIO,VALOR_BRUTO,VALOR_NETO,VALOR_IVA) VALUES(766,1,165,1,2000,2000,1681,319);</v>
      </c>
    </row>
    <row r="1525" spans="1:12">
      <c r="A1525" s="114">
        <v>1</v>
      </c>
      <c r="B1525" s="114">
        <v>766</v>
      </c>
      <c r="C1525" s="139" t="s">
        <v>2287</v>
      </c>
      <c r="D1525" s="114" t="s">
        <v>2090</v>
      </c>
      <c r="E1525" s="114">
        <v>230</v>
      </c>
      <c r="F1525" s="114">
        <v>324</v>
      </c>
      <c r="G1525" s="114">
        <v>1</v>
      </c>
      <c r="H1525" s="114">
        <v>10500</v>
      </c>
      <c r="I1525" s="114">
        <v>10500</v>
      </c>
      <c r="J1525" s="114">
        <v>8824</v>
      </c>
      <c r="K1525" s="114">
        <v>1676</v>
      </c>
      <c r="L1525" s="114" t="str">
        <f t="shared" si="23"/>
        <v>INSERT INTO DETALLES_DOCUMENTO(NRO_DOCUMENTO,ID_TIPO,ID_PRODUCTO,CANTIDAD,PRECIO,VALOR_BRUTO,VALOR_NETO,VALOR_IVA) VALUES(766,1,324,1,10500,10500,8824,1676);</v>
      </c>
    </row>
    <row r="1526" spans="1:12">
      <c r="A1526" s="114">
        <v>1</v>
      </c>
      <c r="B1526" s="114">
        <v>767</v>
      </c>
      <c r="C1526" s="139" t="s">
        <v>2287</v>
      </c>
      <c r="D1526" s="114" t="s">
        <v>2090</v>
      </c>
      <c r="E1526" s="114">
        <v>300</v>
      </c>
      <c r="F1526" s="114">
        <v>329</v>
      </c>
      <c r="G1526" s="114">
        <v>1</v>
      </c>
      <c r="H1526" s="114">
        <v>5500</v>
      </c>
      <c r="I1526" s="114">
        <v>5500</v>
      </c>
      <c r="J1526" s="114">
        <v>4622</v>
      </c>
      <c r="K1526" s="114">
        <v>878</v>
      </c>
      <c r="L1526" s="114" t="str">
        <f t="shared" si="23"/>
        <v>INSERT INTO DETALLES_DOCUMENTO(NRO_DOCUMENTO,ID_TIPO,ID_PRODUCTO,CANTIDAD,PRECIO,VALOR_BRUTO,VALOR_NETO,VALOR_IVA) VALUES(767,1,329,1,5500,5500,4622,878);</v>
      </c>
    </row>
    <row r="1527" spans="1:12">
      <c r="A1527" s="114">
        <v>1</v>
      </c>
      <c r="B1527" s="114">
        <v>768</v>
      </c>
      <c r="C1527" s="139" t="s">
        <v>2287</v>
      </c>
      <c r="D1527" s="114" t="s">
        <v>2090</v>
      </c>
      <c r="E1527" s="114">
        <v>387</v>
      </c>
      <c r="F1527" s="114">
        <v>230</v>
      </c>
      <c r="G1527" s="114">
        <v>1</v>
      </c>
      <c r="H1527" s="114">
        <v>16500</v>
      </c>
      <c r="I1527" s="114">
        <v>16500</v>
      </c>
      <c r="J1527" s="114">
        <v>13866</v>
      </c>
      <c r="K1527" s="114">
        <v>2634</v>
      </c>
      <c r="L1527" s="114" t="str">
        <f t="shared" si="23"/>
        <v>INSERT INTO DETALLES_DOCUMENTO(NRO_DOCUMENTO,ID_TIPO,ID_PRODUCTO,CANTIDAD,PRECIO,VALOR_BRUTO,VALOR_NETO,VALOR_IVA) VALUES(768,1,230,1,16500,16500,13866,2634);</v>
      </c>
    </row>
    <row r="1528" spans="1:12">
      <c r="A1528" s="114">
        <v>1</v>
      </c>
      <c r="B1528" s="114">
        <v>769</v>
      </c>
      <c r="C1528" s="139" t="s">
        <v>2287</v>
      </c>
      <c r="D1528" s="114" t="s">
        <v>2090</v>
      </c>
      <c r="E1528" s="114">
        <v>389</v>
      </c>
      <c r="F1528" s="114">
        <v>324</v>
      </c>
      <c r="G1528" s="114">
        <v>1</v>
      </c>
      <c r="H1528" s="114">
        <v>10500</v>
      </c>
      <c r="I1528" s="114">
        <v>10500</v>
      </c>
      <c r="J1528" s="114">
        <v>8824</v>
      </c>
      <c r="K1528" s="114">
        <v>1676</v>
      </c>
      <c r="L1528" s="114" t="str">
        <f t="shared" si="23"/>
        <v>INSERT INTO DETALLES_DOCUMENTO(NRO_DOCUMENTO,ID_TIPO,ID_PRODUCTO,CANTIDAD,PRECIO,VALOR_BRUTO,VALOR_NETO,VALOR_IVA) VALUES(769,1,324,1,10500,10500,8824,1676);</v>
      </c>
    </row>
    <row r="1529" spans="1:12">
      <c r="A1529" s="114">
        <v>1</v>
      </c>
      <c r="B1529" s="114">
        <v>769</v>
      </c>
      <c r="C1529" s="139" t="s">
        <v>2287</v>
      </c>
      <c r="D1529" s="114" t="s">
        <v>2090</v>
      </c>
      <c r="E1529" s="114">
        <v>389</v>
      </c>
      <c r="F1529" s="114">
        <v>143</v>
      </c>
      <c r="G1529" s="114">
        <v>1</v>
      </c>
      <c r="H1529" s="114">
        <v>8300</v>
      </c>
      <c r="I1529" s="114">
        <v>8300</v>
      </c>
      <c r="J1529" s="114">
        <v>6975</v>
      </c>
      <c r="K1529" s="114">
        <v>1325</v>
      </c>
      <c r="L1529" s="114" t="str">
        <f t="shared" si="23"/>
        <v>INSERT INTO DETALLES_DOCUMENTO(NRO_DOCUMENTO,ID_TIPO,ID_PRODUCTO,CANTIDAD,PRECIO,VALOR_BRUTO,VALOR_NETO,VALOR_IVA) VALUES(769,1,143,1,8300,8300,6975,1325);</v>
      </c>
    </row>
    <row r="1530" spans="1:12">
      <c r="A1530" s="114">
        <v>1</v>
      </c>
      <c r="B1530" s="114">
        <v>769</v>
      </c>
      <c r="C1530" s="139" t="s">
        <v>2287</v>
      </c>
      <c r="D1530" s="114" t="s">
        <v>2090</v>
      </c>
      <c r="E1530" s="114">
        <v>389</v>
      </c>
      <c r="F1530" s="114">
        <v>230</v>
      </c>
      <c r="G1530" s="114">
        <v>1</v>
      </c>
      <c r="H1530" s="114">
        <v>16500</v>
      </c>
      <c r="I1530" s="114">
        <v>16500</v>
      </c>
      <c r="J1530" s="114">
        <v>13866</v>
      </c>
      <c r="K1530" s="114">
        <v>2634</v>
      </c>
      <c r="L1530" s="114" t="str">
        <f t="shared" si="23"/>
        <v>INSERT INTO DETALLES_DOCUMENTO(NRO_DOCUMENTO,ID_TIPO,ID_PRODUCTO,CANTIDAD,PRECIO,VALOR_BRUTO,VALOR_NETO,VALOR_IVA) VALUES(769,1,230,1,16500,16500,13866,2634);</v>
      </c>
    </row>
    <row r="1531" spans="1:12">
      <c r="A1531" s="114">
        <v>1</v>
      </c>
      <c r="B1531" s="114">
        <v>770</v>
      </c>
      <c r="C1531" s="139" t="s">
        <v>2287</v>
      </c>
      <c r="D1531" s="114" t="s">
        <v>2090</v>
      </c>
      <c r="E1531" s="114">
        <v>402</v>
      </c>
      <c r="F1531" s="114">
        <v>324</v>
      </c>
      <c r="G1531" s="114">
        <v>1</v>
      </c>
      <c r="H1531" s="114">
        <v>10500</v>
      </c>
      <c r="I1531" s="114">
        <v>10500</v>
      </c>
      <c r="J1531" s="114">
        <v>8824</v>
      </c>
      <c r="K1531" s="114">
        <v>1676</v>
      </c>
      <c r="L1531" s="114" t="str">
        <f t="shared" si="23"/>
        <v>INSERT INTO DETALLES_DOCUMENTO(NRO_DOCUMENTO,ID_TIPO,ID_PRODUCTO,CANTIDAD,PRECIO,VALOR_BRUTO,VALOR_NETO,VALOR_IVA) VALUES(770,1,324,1,10500,10500,8824,1676);</v>
      </c>
    </row>
    <row r="1532" spans="1:12">
      <c r="A1532" s="114">
        <v>1</v>
      </c>
      <c r="B1532" s="114">
        <v>770</v>
      </c>
      <c r="C1532" s="139" t="s">
        <v>2287</v>
      </c>
      <c r="D1532" s="114" t="s">
        <v>2090</v>
      </c>
      <c r="E1532" s="114">
        <v>402</v>
      </c>
      <c r="F1532" s="114">
        <v>143</v>
      </c>
      <c r="G1532" s="114">
        <v>1</v>
      </c>
      <c r="H1532" s="114">
        <v>8300</v>
      </c>
      <c r="I1532" s="114">
        <v>8300</v>
      </c>
      <c r="J1532" s="114">
        <v>6975</v>
      </c>
      <c r="K1532" s="114">
        <v>1325</v>
      </c>
      <c r="L1532" s="114" t="str">
        <f t="shared" si="23"/>
        <v>INSERT INTO DETALLES_DOCUMENTO(NRO_DOCUMENTO,ID_TIPO,ID_PRODUCTO,CANTIDAD,PRECIO,VALOR_BRUTO,VALOR_NETO,VALOR_IVA) VALUES(770,1,143,1,8300,8300,6975,1325);</v>
      </c>
    </row>
    <row r="1533" spans="1:12">
      <c r="A1533" s="114">
        <v>1</v>
      </c>
      <c r="B1533" s="114">
        <v>771</v>
      </c>
      <c r="C1533" s="139" t="s">
        <v>2287</v>
      </c>
      <c r="D1533" s="114" t="s">
        <v>2090</v>
      </c>
      <c r="E1533" s="114">
        <v>408</v>
      </c>
      <c r="F1533" s="114">
        <v>261</v>
      </c>
      <c r="G1533" s="114">
        <v>1</v>
      </c>
      <c r="H1533" s="114">
        <v>7000</v>
      </c>
      <c r="I1533" s="114">
        <v>7000</v>
      </c>
      <c r="J1533" s="114">
        <v>5882</v>
      </c>
      <c r="K1533" s="114">
        <v>1118</v>
      </c>
      <c r="L1533" s="114" t="str">
        <f t="shared" si="23"/>
        <v>INSERT INTO DETALLES_DOCUMENTO(NRO_DOCUMENTO,ID_TIPO,ID_PRODUCTO,CANTIDAD,PRECIO,VALOR_BRUTO,VALOR_NETO,VALOR_IVA) VALUES(771,1,261,1,7000,7000,5882,1118);</v>
      </c>
    </row>
    <row r="1534" spans="1:12">
      <c r="A1534" s="114">
        <v>1</v>
      </c>
      <c r="B1534" s="114">
        <v>772</v>
      </c>
      <c r="C1534" s="139" t="s">
        <v>2287</v>
      </c>
      <c r="D1534" s="114" t="s">
        <v>2090</v>
      </c>
      <c r="E1534" s="114">
        <v>463</v>
      </c>
      <c r="F1534" s="114">
        <v>143</v>
      </c>
      <c r="G1534" s="114">
        <v>1</v>
      </c>
      <c r="H1534" s="114">
        <v>8300</v>
      </c>
      <c r="I1534" s="114">
        <v>8300</v>
      </c>
      <c r="J1534" s="114">
        <v>6975</v>
      </c>
      <c r="K1534" s="114">
        <v>1325</v>
      </c>
      <c r="L1534" s="114" t="str">
        <f t="shared" si="23"/>
        <v>INSERT INTO DETALLES_DOCUMENTO(NRO_DOCUMENTO,ID_TIPO,ID_PRODUCTO,CANTIDAD,PRECIO,VALOR_BRUTO,VALOR_NETO,VALOR_IVA) VALUES(772,1,143,1,8300,8300,6975,1325);</v>
      </c>
    </row>
    <row r="1535" spans="1:12">
      <c r="A1535" s="114">
        <v>1</v>
      </c>
      <c r="B1535" s="114">
        <v>772</v>
      </c>
      <c r="C1535" s="139" t="s">
        <v>2287</v>
      </c>
      <c r="D1535" s="114" t="s">
        <v>2090</v>
      </c>
      <c r="E1535" s="114">
        <v>463</v>
      </c>
      <c r="F1535" s="114">
        <v>167</v>
      </c>
      <c r="G1535" s="114">
        <v>2</v>
      </c>
      <c r="H1535" s="114">
        <v>16400</v>
      </c>
      <c r="I1535" s="114">
        <v>32800</v>
      </c>
      <c r="J1535" s="114">
        <v>27563</v>
      </c>
      <c r="K1535" s="114">
        <v>5237</v>
      </c>
      <c r="L1535" s="114" t="str">
        <f t="shared" si="23"/>
        <v>INSERT INTO DETALLES_DOCUMENTO(NRO_DOCUMENTO,ID_TIPO,ID_PRODUCTO,CANTIDAD,PRECIO,VALOR_BRUTO,VALOR_NETO,VALOR_IVA) VALUES(772,1,167,2,16400,32800,27563,5237);</v>
      </c>
    </row>
    <row r="1536" spans="1:12">
      <c r="A1536" s="114">
        <v>1</v>
      </c>
      <c r="B1536" s="114">
        <v>773</v>
      </c>
      <c r="C1536" s="139" t="s">
        <v>2288</v>
      </c>
      <c r="D1536" s="114" t="s">
        <v>2090</v>
      </c>
      <c r="E1536" s="114">
        <v>76</v>
      </c>
      <c r="F1536" s="114">
        <v>117</v>
      </c>
      <c r="G1536" s="114">
        <v>1</v>
      </c>
      <c r="H1536" s="114">
        <v>3500</v>
      </c>
      <c r="I1536" s="114">
        <v>3500</v>
      </c>
      <c r="J1536" s="114">
        <v>2941</v>
      </c>
      <c r="K1536" s="114">
        <v>559</v>
      </c>
      <c r="L1536" s="114" t="str">
        <f t="shared" si="23"/>
        <v>INSERT INTO DETALLES_DOCUMENTO(NRO_DOCUMENTO,ID_TIPO,ID_PRODUCTO,CANTIDAD,PRECIO,VALOR_BRUTO,VALOR_NETO,VALOR_IVA) VALUES(773,1,117,1,3500,3500,2941,559);</v>
      </c>
    </row>
    <row r="1537" spans="1:12">
      <c r="A1537" s="114">
        <v>1</v>
      </c>
      <c r="B1537" s="114">
        <v>773</v>
      </c>
      <c r="C1537" s="139" t="s">
        <v>2288</v>
      </c>
      <c r="D1537" s="114" t="s">
        <v>2090</v>
      </c>
      <c r="E1537" s="114">
        <v>76</v>
      </c>
      <c r="F1537" s="114">
        <v>99</v>
      </c>
      <c r="G1537" s="114">
        <v>1</v>
      </c>
      <c r="H1537" s="114">
        <v>1500</v>
      </c>
      <c r="I1537" s="114">
        <v>1500</v>
      </c>
      <c r="J1537" s="114">
        <v>1261</v>
      </c>
      <c r="K1537" s="114">
        <v>239</v>
      </c>
      <c r="L1537" s="114" t="str">
        <f t="shared" si="23"/>
        <v>INSERT INTO DETALLES_DOCUMENTO(NRO_DOCUMENTO,ID_TIPO,ID_PRODUCTO,CANTIDAD,PRECIO,VALOR_BRUTO,VALOR_NETO,VALOR_IVA) VALUES(773,1,99,1,1500,1500,1261,239);</v>
      </c>
    </row>
    <row r="1538" spans="1:12">
      <c r="A1538" s="114">
        <v>1</v>
      </c>
      <c r="B1538" s="114">
        <v>773</v>
      </c>
      <c r="C1538" s="139" t="s">
        <v>2288</v>
      </c>
      <c r="D1538" s="114" t="s">
        <v>2090</v>
      </c>
      <c r="E1538" s="114">
        <v>76</v>
      </c>
      <c r="F1538" s="114">
        <v>286</v>
      </c>
      <c r="G1538" s="114">
        <v>1</v>
      </c>
      <c r="H1538" s="114">
        <v>1100</v>
      </c>
      <c r="I1538" s="114">
        <v>1100</v>
      </c>
      <c r="J1538" s="114">
        <v>924</v>
      </c>
      <c r="K1538" s="114">
        <v>176</v>
      </c>
      <c r="L1538" s="114" t="str">
        <f t="shared" si="23"/>
        <v>INSERT INTO DETALLES_DOCUMENTO(NRO_DOCUMENTO,ID_TIPO,ID_PRODUCTO,CANTIDAD,PRECIO,VALOR_BRUTO,VALOR_NETO,VALOR_IVA) VALUES(773,1,286,1,1100,1100,924,176);</v>
      </c>
    </row>
    <row r="1539" spans="1:12">
      <c r="A1539" s="114">
        <v>1</v>
      </c>
      <c r="B1539" s="114">
        <v>774</v>
      </c>
      <c r="C1539" s="139" t="s">
        <v>2288</v>
      </c>
      <c r="D1539" s="114" t="s">
        <v>2090</v>
      </c>
      <c r="E1539" s="114">
        <v>119</v>
      </c>
      <c r="F1539" s="114">
        <v>143</v>
      </c>
      <c r="G1539" s="114">
        <v>1</v>
      </c>
      <c r="H1539" s="114">
        <v>8000</v>
      </c>
      <c r="I1539" s="114">
        <v>8000</v>
      </c>
      <c r="J1539" s="114">
        <v>6723</v>
      </c>
      <c r="K1539" s="114">
        <v>1277</v>
      </c>
      <c r="L1539" s="114" t="str">
        <f t="shared" ref="L1539:L1602" si="24">CONCATENATE("INSERT INTO DETALLES_DOCUMENTO(NRO_DOCUMENTO,ID_TIPO,ID_PRODUCTO,CANTIDAD,PRECIO,VALOR_BRUTO,VALOR_NETO,VALOR_IVA) VALUES(",B1539,",",A1539,",",F1539,",",G1539,",",H1539,",",I1539,",",J1539,",",K1539,");")</f>
        <v>INSERT INTO DETALLES_DOCUMENTO(NRO_DOCUMENTO,ID_TIPO,ID_PRODUCTO,CANTIDAD,PRECIO,VALOR_BRUTO,VALOR_NETO,VALOR_IVA) VALUES(774,1,143,1,8000,8000,6723,1277);</v>
      </c>
    </row>
    <row r="1540" spans="1:12">
      <c r="A1540" s="114">
        <v>1</v>
      </c>
      <c r="B1540" s="114">
        <v>774</v>
      </c>
      <c r="C1540" s="139" t="s">
        <v>2288</v>
      </c>
      <c r="D1540" s="114" t="s">
        <v>2090</v>
      </c>
      <c r="E1540" s="114">
        <v>119</v>
      </c>
      <c r="F1540" s="114">
        <v>354</v>
      </c>
      <c r="G1540" s="114">
        <v>1</v>
      </c>
      <c r="H1540" s="114">
        <v>1800</v>
      </c>
      <c r="I1540" s="114">
        <v>1800</v>
      </c>
      <c r="J1540" s="114">
        <v>1513</v>
      </c>
      <c r="K1540" s="114">
        <v>287</v>
      </c>
      <c r="L1540" s="114" t="str">
        <f t="shared" si="24"/>
        <v>INSERT INTO DETALLES_DOCUMENTO(NRO_DOCUMENTO,ID_TIPO,ID_PRODUCTO,CANTIDAD,PRECIO,VALOR_BRUTO,VALOR_NETO,VALOR_IVA) VALUES(774,1,354,1,1800,1800,1513,287);</v>
      </c>
    </row>
    <row r="1541" spans="1:12">
      <c r="A1541" s="114">
        <v>1</v>
      </c>
      <c r="B1541" s="114">
        <v>775</v>
      </c>
      <c r="C1541" s="139" t="s">
        <v>2288</v>
      </c>
      <c r="D1541" s="114" t="s">
        <v>2090</v>
      </c>
      <c r="E1541" s="114">
        <v>256</v>
      </c>
      <c r="F1541" s="114">
        <v>45</v>
      </c>
      <c r="G1541" s="114">
        <v>10</v>
      </c>
      <c r="H1541" s="114">
        <v>16000</v>
      </c>
      <c r="I1541" s="114">
        <v>160000</v>
      </c>
      <c r="J1541" s="114">
        <v>134454</v>
      </c>
      <c r="K1541" s="114">
        <v>25546</v>
      </c>
      <c r="L1541" s="114" t="str">
        <f t="shared" si="24"/>
        <v>INSERT INTO DETALLES_DOCUMENTO(NRO_DOCUMENTO,ID_TIPO,ID_PRODUCTO,CANTIDAD,PRECIO,VALOR_BRUTO,VALOR_NETO,VALOR_IVA) VALUES(775,1,45,10,16000,160000,134454,25546);</v>
      </c>
    </row>
    <row r="1542" spans="1:12">
      <c r="A1542" s="114">
        <v>1</v>
      </c>
      <c r="B1542" s="114">
        <v>776</v>
      </c>
      <c r="C1542" s="139" t="s">
        <v>2288</v>
      </c>
      <c r="D1542" s="114" t="s">
        <v>2090</v>
      </c>
      <c r="E1542" s="114">
        <v>312</v>
      </c>
      <c r="F1542" s="114">
        <v>143</v>
      </c>
      <c r="G1542" s="114">
        <v>1</v>
      </c>
      <c r="H1542" s="114">
        <v>8000</v>
      </c>
      <c r="I1542" s="114">
        <v>8000</v>
      </c>
      <c r="J1542" s="114">
        <v>6723</v>
      </c>
      <c r="K1542" s="114">
        <v>1277</v>
      </c>
      <c r="L1542" s="114" t="str">
        <f t="shared" si="24"/>
        <v>INSERT INTO DETALLES_DOCUMENTO(NRO_DOCUMENTO,ID_TIPO,ID_PRODUCTO,CANTIDAD,PRECIO,VALOR_BRUTO,VALOR_NETO,VALOR_IVA) VALUES(776,1,143,1,8000,8000,6723,1277);</v>
      </c>
    </row>
    <row r="1543" spans="1:12">
      <c r="A1543" s="114">
        <v>1</v>
      </c>
      <c r="B1543" s="114">
        <v>777</v>
      </c>
      <c r="C1543" s="139" t="s">
        <v>2288</v>
      </c>
      <c r="D1543" s="114" t="s">
        <v>2090</v>
      </c>
      <c r="E1543" s="114">
        <v>411</v>
      </c>
      <c r="F1543" s="114">
        <v>261</v>
      </c>
      <c r="G1543" s="114">
        <v>1</v>
      </c>
      <c r="H1543" s="114">
        <v>7000</v>
      </c>
      <c r="I1543" s="114">
        <v>7000</v>
      </c>
      <c r="J1543" s="114">
        <v>5882</v>
      </c>
      <c r="K1543" s="114">
        <v>1118</v>
      </c>
      <c r="L1543" s="114" t="str">
        <f t="shared" si="24"/>
        <v>INSERT INTO DETALLES_DOCUMENTO(NRO_DOCUMENTO,ID_TIPO,ID_PRODUCTO,CANTIDAD,PRECIO,VALOR_BRUTO,VALOR_NETO,VALOR_IVA) VALUES(777,1,261,1,7000,7000,5882,1118);</v>
      </c>
    </row>
    <row r="1544" spans="1:12">
      <c r="A1544" s="114">
        <v>1</v>
      </c>
      <c r="B1544" s="114">
        <v>778</v>
      </c>
      <c r="C1544" s="139" t="s">
        <v>2288</v>
      </c>
      <c r="D1544" s="114" t="s">
        <v>2090</v>
      </c>
      <c r="E1544" s="114">
        <v>446</v>
      </c>
      <c r="F1544" s="114">
        <v>368</v>
      </c>
      <c r="G1544" s="114">
        <v>1</v>
      </c>
      <c r="H1544" s="114">
        <v>3000</v>
      </c>
      <c r="I1544" s="114">
        <v>3000</v>
      </c>
      <c r="J1544" s="114">
        <v>2521</v>
      </c>
      <c r="K1544" s="114">
        <v>479</v>
      </c>
      <c r="L1544" s="114" t="str">
        <f t="shared" si="24"/>
        <v>INSERT INTO DETALLES_DOCUMENTO(NRO_DOCUMENTO,ID_TIPO,ID_PRODUCTO,CANTIDAD,PRECIO,VALOR_BRUTO,VALOR_NETO,VALOR_IVA) VALUES(778,1,368,1,3000,3000,2521,479);</v>
      </c>
    </row>
    <row r="1545" spans="1:12">
      <c r="A1545" s="114">
        <v>1</v>
      </c>
      <c r="B1545" s="114">
        <v>778</v>
      </c>
      <c r="C1545" s="139" t="s">
        <v>2288</v>
      </c>
      <c r="D1545" s="114" t="s">
        <v>2090</v>
      </c>
      <c r="E1545" s="114">
        <v>446</v>
      </c>
      <c r="F1545" s="114">
        <v>97</v>
      </c>
      <c r="G1545" s="114">
        <v>1</v>
      </c>
      <c r="H1545" s="114">
        <v>2000</v>
      </c>
      <c r="I1545" s="114">
        <v>2000</v>
      </c>
      <c r="J1545" s="114">
        <v>1681</v>
      </c>
      <c r="K1545" s="114">
        <v>319</v>
      </c>
      <c r="L1545" s="114" t="str">
        <f t="shared" si="24"/>
        <v>INSERT INTO DETALLES_DOCUMENTO(NRO_DOCUMENTO,ID_TIPO,ID_PRODUCTO,CANTIDAD,PRECIO,VALOR_BRUTO,VALOR_NETO,VALOR_IVA) VALUES(778,1,97,1,2000,2000,1681,319);</v>
      </c>
    </row>
    <row r="1546" spans="1:12">
      <c r="A1546" s="114">
        <v>1</v>
      </c>
      <c r="B1546" s="114">
        <v>778</v>
      </c>
      <c r="C1546" s="139" t="s">
        <v>2288</v>
      </c>
      <c r="D1546" s="114" t="s">
        <v>2090</v>
      </c>
      <c r="E1546" s="114">
        <v>446</v>
      </c>
      <c r="F1546" s="114">
        <v>69</v>
      </c>
      <c r="G1546" s="114">
        <v>1</v>
      </c>
      <c r="H1546" s="114">
        <v>3000</v>
      </c>
      <c r="I1546" s="114">
        <v>3000</v>
      </c>
      <c r="J1546" s="114">
        <v>2521</v>
      </c>
      <c r="K1546" s="114">
        <v>479</v>
      </c>
      <c r="L1546" s="114" t="str">
        <f t="shared" si="24"/>
        <v>INSERT INTO DETALLES_DOCUMENTO(NRO_DOCUMENTO,ID_TIPO,ID_PRODUCTO,CANTIDAD,PRECIO,VALOR_BRUTO,VALOR_NETO,VALOR_IVA) VALUES(778,1,69,1,3000,3000,2521,479);</v>
      </c>
    </row>
    <row r="1547" spans="1:12">
      <c r="A1547" s="114">
        <v>1</v>
      </c>
      <c r="B1547" s="114">
        <v>779</v>
      </c>
      <c r="C1547" s="139" t="s">
        <v>2288</v>
      </c>
      <c r="D1547" s="114" t="s">
        <v>2090</v>
      </c>
      <c r="E1547" s="114">
        <v>470</v>
      </c>
      <c r="F1547" s="114">
        <v>143</v>
      </c>
      <c r="G1547" s="114">
        <v>2</v>
      </c>
      <c r="H1547" s="114">
        <v>16000</v>
      </c>
      <c r="I1547" s="114">
        <v>32000</v>
      </c>
      <c r="J1547" s="114">
        <v>26891</v>
      </c>
      <c r="K1547" s="114">
        <v>5109</v>
      </c>
      <c r="L1547" s="114" t="str">
        <f t="shared" si="24"/>
        <v>INSERT INTO DETALLES_DOCUMENTO(NRO_DOCUMENTO,ID_TIPO,ID_PRODUCTO,CANTIDAD,PRECIO,VALOR_BRUTO,VALOR_NETO,VALOR_IVA) VALUES(779,1,143,2,16000,32000,26891,5109);</v>
      </c>
    </row>
    <row r="1548" spans="1:12">
      <c r="A1548" s="114">
        <v>1</v>
      </c>
      <c r="B1548" s="114">
        <v>780</v>
      </c>
      <c r="C1548" s="139" t="s">
        <v>2289</v>
      </c>
      <c r="D1548" s="114" t="s">
        <v>2090</v>
      </c>
      <c r="E1548" s="114">
        <v>48</v>
      </c>
      <c r="F1548" s="114">
        <v>143</v>
      </c>
      <c r="G1548" s="114">
        <v>1</v>
      </c>
      <c r="H1548" s="114">
        <v>8000</v>
      </c>
      <c r="I1548" s="114">
        <v>8000</v>
      </c>
      <c r="J1548" s="114">
        <v>6723</v>
      </c>
      <c r="K1548" s="114">
        <v>1277</v>
      </c>
      <c r="L1548" s="114" t="str">
        <f t="shared" si="24"/>
        <v>INSERT INTO DETALLES_DOCUMENTO(NRO_DOCUMENTO,ID_TIPO,ID_PRODUCTO,CANTIDAD,PRECIO,VALOR_BRUTO,VALOR_NETO,VALOR_IVA) VALUES(780,1,143,1,8000,8000,6723,1277);</v>
      </c>
    </row>
    <row r="1549" spans="1:12">
      <c r="A1549" s="114">
        <v>1</v>
      </c>
      <c r="B1549" s="114">
        <v>781</v>
      </c>
      <c r="C1549" s="139" t="s">
        <v>2289</v>
      </c>
      <c r="D1549" s="114" t="s">
        <v>2090</v>
      </c>
      <c r="E1549" s="114">
        <v>62</v>
      </c>
      <c r="F1549" s="114">
        <v>356</v>
      </c>
      <c r="G1549" s="114">
        <v>1</v>
      </c>
      <c r="H1549" s="114">
        <v>3000</v>
      </c>
      <c r="I1549" s="114">
        <v>3000</v>
      </c>
      <c r="J1549" s="114">
        <v>2521</v>
      </c>
      <c r="K1549" s="114">
        <v>479</v>
      </c>
      <c r="L1549" s="114" t="str">
        <f t="shared" si="24"/>
        <v>INSERT INTO DETALLES_DOCUMENTO(NRO_DOCUMENTO,ID_TIPO,ID_PRODUCTO,CANTIDAD,PRECIO,VALOR_BRUTO,VALOR_NETO,VALOR_IVA) VALUES(781,1,356,1,3000,3000,2521,479);</v>
      </c>
    </row>
    <row r="1550" spans="1:12">
      <c r="A1550" s="114">
        <v>1</v>
      </c>
      <c r="B1550" s="114">
        <v>781</v>
      </c>
      <c r="C1550" s="139" t="s">
        <v>2289</v>
      </c>
      <c r="D1550" s="114" t="s">
        <v>2090</v>
      </c>
      <c r="E1550" s="114">
        <v>62</v>
      </c>
      <c r="F1550" s="114">
        <v>117</v>
      </c>
      <c r="G1550" s="114">
        <v>4</v>
      </c>
      <c r="H1550" s="114">
        <v>14000</v>
      </c>
      <c r="I1550" s="114">
        <v>56000</v>
      </c>
      <c r="J1550" s="114">
        <v>47059</v>
      </c>
      <c r="K1550" s="114">
        <v>8941</v>
      </c>
      <c r="L1550" s="114" t="str">
        <f t="shared" si="24"/>
        <v>INSERT INTO DETALLES_DOCUMENTO(NRO_DOCUMENTO,ID_TIPO,ID_PRODUCTO,CANTIDAD,PRECIO,VALOR_BRUTO,VALOR_NETO,VALOR_IVA) VALUES(781,1,117,4,14000,56000,47059,8941);</v>
      </c>
    </row>
    <row r="1551" spans="1:12">
      <c r="A1551" s="114">
        <v>1</v>
      </c>
      <c r="B1551" s="114">
        <v>781</v>
      </c>
      <c r="C1551" s="139" t="s">
        <v>2289</v>
      </c>
      <c r="D1551" s="114" t="s">
        <v>2090</v>
      </c>
      <c r="E1551" s="114">
        <v>62</v>
      </c>
      <c r="F1551" s="114">
        <v>81</v>
      </c>
      <c r="G1551" s="114">
        <v>2</v>
      </c>
      <c r="H1551" s="114">
        <v>3200</v>
      </c>
      <c r="I1551" s="114">
        <v>6400</v>
      </c>
      <c r="J1551" s="114">
        <v>5378</v>
      </c>
      <c r="K1551" s="114">
        <v>1022</v>
      </c>
      <c r="L1551" s="114" t="str">
        <f t="shared" si="24"/>
        <v>INSERT INTO DETALLES_DOCUMENTO(NRO_DOCUMENTO,ID_TIPO,ID_PRODUCTO,CANTIDAD,PRECIO,VALOR_BRUTO,VALOR_NETO,VALOR_IVA) VALUES(781,1,81,2,3200,6400,5378,1022);</v>
      </c>
    </row>
    <row r="1552" spans="1:12">
      <c r="A1552" s="114">
        <v>1</v>
      </c>
      <c r="B1552" s="114">
        <v>781</v>
      </c>
      <c r="C1552" s="139" t="s">
        <v>2289</v>
      </c>
      <c r="D1552" s="114" t="s">
        <v>2090</v>
      </c>
      <c r="E1552" s="114">
        <v>62</v>
      </c>
      <c r="F1552" s="114">
        <v>69</v>
      </c>
      <c r="G1552" s="114">
        <v>1</v>
      </c>
      <c r="H1552" s="114">
        <v>3000</v>
      </c>
      <c r="I1552" s="114">
        <v>3000</v>
      </c>
      <c r="J1552" s="114">
        <v>2521</v>
      </c>
      <c r="K1552" s="114">
        <v>479</v>
      </c>
      <c r="L1552" s="114" t="str">
        <f t="shared" si="24"/>
        <v>INSERT INTO DETALLES_DOCUMENTO(NRO_DOCUMENTO,ID_TIPO,ID_PRODUCTO,CANTIDAD,PRECIO,VALOR_BRUTO,VALOR_NETO,VALOR_IVA) VALUES(781,1,69,1,3000,3000,2521,479);</v>
      </c>
    </row>
    <row r="1553" spans="1:12">
      <c r="A1553" s="114">
        <v>1</v>
      </c>
      <c r="B1553" s="114">
        <v>781</v>
      </c>
      <c r="C1553" s="139" t="s">
        <v>2289</v>
      </c>
      <c r="D1553" s="114" t="s">
        <v>2090</v>
      </c>
      <c r="E1553" s="114">
        <v>62</v>
      </c>
      <c r="F1553" s="114">
        <v>324</v>
      </c>
      <c r="G1553" s="114">
        <v>1</v>
      </c>
      <c r="H1553" s="114">
        <v>10500</v>
      </c>
      <c r="I1553" s="114">
        <v>10500</v>
      </c>
      <c r="J1553" s="114">
        <v>8824</v>
      </c>
      <c r="K1553" s="114">
        <v>1676</v>
      </c>
      <c r="L1553" s="114" t="str">
        <f t="shared" si="24"/>
        <v>INSERT INTO DETALLES_DOCUMENTO(NRO_DOCUMENTO,ID_TIPO,ID_PRODUCTO,CANTIDAD,PRECIO,VALOR_BRUTO,VALOR_NETO,VALOR_IVA) VALUES(781,1,324,1,10500,10500,8824,1676);</v>
      </c>
    </row>
    <row r="1554" spans="1:12">
      <c r="A1554" s="114">
        <v>1</v>
      </c>
      <c r="B1554" s="114">
        <v>782</v>
      </c>
      <c r="C1554" s="139" t="s">
        <v>2289</v>
      </c>
      <c r="D1554" s="114" t="s">
        <v>2090</v>
      </c>
      <c r="E1554" s="114">
        <v>86</v>
      </c>
      <c r="F1554" s="114">
        <v>143</v>
      </c>
      <c r="G1554" s="114">
        <v>1</v>
      </c>
      <c r="H1554" s="114">
        <v>8000</v>
      </c>
      <c r="I1554" s="114">
        <v>8000</v>
      </c>
      <c r="J1554" s="114">
        <v>6723</v>
      </c>
      <c r="K1554" s="114">
        <v>1277</v>
      </c>
      <c r="L1554" s="114" t="str">
        <f t="shared" si="24"/>
        <v>INSERT INTO DETALLES_DOCUMENTO(NRO_DOCUMENTO,ID_TIPO,ID_PRODUCTO,CANTIDAD,PRECIO,VALOR_BRUTO,VALOR_NETO,VALOR_IVA) VALUES(782,1,143,1,8000,8000,6723,1277);</v>
      </c>
    </row>
    <row r="1555" spans="1:12">
      <c r="A1555" s="114">
        <v>1</v>
      </c>
      <c r="B1555" s="114">
        <v>783</v>
      </c>
      <c r="C1555" s="139" t="s">
        <v>2289</v>
      </c>
      <c r="D1555" s="114" t="s">
        <v>2090</v>
      </c>
      <c r="E1555" s="114">
        <v>108</v>
      </c>
      <c r="F1555" s="114">
        <v>143</v>
      </c>
      <c r="G1555" s="114">
        <v>1</v>
      </c>
      <c r="H1555" s="114">
        <v>8000</v>
      </c>
      <c r="I1555" s="114">
        <v>8000</v>
      </c>
      <c r="J1555" s="114">
        <v>6723</v>
      </c>
      <c r="K1555" s="114">
        <v>1277</v>
      </c>
      <c r="L1555" s="114" t="str">
        <f t="shared" si="24"/>
        <v>INSERT INTO DETALLES_DOCUMENTO(NRO_DOCUMENTO,ID_TIPO,ID_PRODUCTO,CANTIDAD,PRECIO,VALOR_BRUTO,VALOR_NETO,VALOR_IVA) VALUES(783,1,143,1,8000,8000,6723,1277);</v>
      </c>
    </row>
    <row r="1556" spans="1:12">
      <c r="A1556" s="114">
        <v>1</v>
      </c>
      <c r="B1556" s="114">
        <v>783</v>
      </c>
      <c r="C1556" s="139" t="s">
        <v>2289</v>
      </c>
      <c r="D1556" s="114" t="s">
        <v>2090</v>
      </c>
      <c r="E1556" s="114">
        <v>108</v>
      </c>
      <c r="F1556" s="114">
        <v>191</v>
      </c>
      <c r="G1556" s="114">
        <v>1</v>
      </c>
      <c r="H1556" s="114">
        <v>2500</v>
      </c>
      <c r="I1556" s="114">
        <v>2500</v>
      </c>
      <c r="J1556" s="114">
        <v>2101</v>
      </c>
      <c r="K1556" s="114">
        <v>399</v>
      </c>
      <c r="L1556" s="114" t="str">
        <f t="shared" si="24"/>
        <v>INSERT INTO DETALLES_DOCUMENTO(NRO_DOCUMENTO,ID_TIPO,ID_PRODUCTO,CANTIDAD,PRECIO,VALOR_BRUTO,VALOR_NETO,VALOR_IVA) VALUES(783,1,191,1,2500,2500,2101,399);</v>
      </c>
    </row>
    <row r="1557" spans="1:12">
      <c r="A1557" s="114">
        <v>1</v>
      </c>
      <c r="B1557" s="114">
        <v>783</v>
      </c>
      <c r="C1557" s="139" t="s">
        <v>2289</v>
      </c>
      <c r="D1557" s="114" t="s">
        <v>2090</v>
      </c>
      <c r="E1557" s="114">
        <v>108</v>
      </c>
      <c r="F1557" s="114">
        <v>324</v>
      </c>
      <c r="G1557" s="114">
        <v>1</v>
      </c>
      <c r="H1557" s="114">
        <v>10500</v>
      </c>
      <c r="I1557" s="114">
        <v>10500</v>
      </c>
      <c r="J1557" s="114">
        <v>8824</v>
      </c>
      <c r="K1557" s="114">
        <v>1676</v>
      </c>
      <c r="L1557" s="114" t="str">
        <f t="shared" si="24"/>
        <v>INSERT INTO DETALLES_DOCUMENTO(NRO_DOCUMENTO,ID_TIPO,ID_PRODUCTO,CANTIDAD,PRECIO,VALOR_BRUTO,VALOR_NETO,VALOR_IVA) VALUES(783,1,324,1,10500,10500,8824,1676);</v>
      </c>
    </row>
    <row r="1558" spans="1:12">
      <c r="A1558" s="114">
        <v>1</v>
      </c>
      <c r="B1558" s="114">
        <v>784</v>
      </c>
      <c r="C1558" s="139" t="s">
        <v>2289</v>
      </c>
      <c r="D1558" s="114" t="s">
        <v>2090</v>
      </c>
      <c r="E1558" s="114">
        <v>166</v>
      </c>
      <c r="F1558" s="114">
        <v>325</v>
      </c>
      <c r="G1558" s="114">
        <v>1</v>
      </c>
      <c r="H1558" s="114">
        <v>10000</v>
      </c>
      <c r="I1558" s="114">
        <v>10000</v>
      </c>
      <c r="J1558" s="114">
        <v>8403</v>
      </c>
      <c r="K1558" s="114">
        <v>1597</v>
      </c>
      <c r="L1558" s="114" t="str">
        <f t="shared" si="24"/>
        <v>INSERT INTO DETALLES_DOCUMENTO(NRO_DOCUMENTO,ID_TIPO,ID_PRODUCTO,CANTIDAD,PRECIO,VALOR_BRUTO,VALOR_NETO,VALOR_IVA) VALUES(784,1,325,1,10000,10000,8403,1597);</v>
      </c>
    </row>
    <row r="1559" spans="1:12">
      <c r="A1559" s="114">
        <v>1</v>
      </c>
      <c r="B1559" s="114">
        <v>784</v>
      </c>
      <c r="C1559" s="139" t="s">
        <v>2289</v>
      </c>
      <c r="D1559" s="114" t="s">
        <v>2090</v>
      </c>
      <c r="E1559" s="114">
        <v>166</v>
      </c>
      <c r="F1559" s="114">
        <v>143</v>
      </c>
      <c r="G1559" s="114">
        <v>1</v>
      </c>
      <c r="H1559" s="114">
        <v>8000</v>
      </c>
      <c r="I1559" s="114">
        <v>8000</v>
      </c>
      <c r="J1559" s="114">
        <v>6723</v>
      </c>
      <c r="K1559" s="114">
        <v>1277</v>
      </c>
      <c r="L1559" s="114" t="str">
        <f t="shared" si="24"/>
        <v>INSERT INTO DETALLES_DOCUMENTO(NRO_DOCUMENTO,ID_TIPO,ID_PRODUCTO,CANTIDAD,PRECIO,VALOR_BRUTO,VALOR_NETO,VALOR_IVA) VALUES(784,1,143,1,8000,8000,6723,1277);</v>
      </c>
    </row>
    <row r="1560" spans="1:12">
      <c r="A1560" s="114">
        <v>1</v>
      </c>
      <c r="B1560" s="114">
        <v>785</v>
      </c>
      <c r="C1560" s="139" t="s">
        <v>2289</v>
      </c>
      <c r="D1560" s="114" t="s">
        <v>2090</v>
      </c>
      <c r="E1560" s="114">
        <v>219</v>
      </c>
      <c r="F1560" s="114">
        <v>143</v>
      </c>
      <c r="G1560" s="114">
        <v>1</v>
      </c>
      <c r="H1560" s="114">
        <v>8000</v>
      </c>
      <c r="I1560" s="114">
        <v>8000</v>
      </c>
      <c r="J1560" s="114">
        <v>6723</v>
      </c>
      <c r="K1560" s="114">
        <v>1277</v>
      </c>
      <c r="L1560" s="114" t="str">
        <f t="shared" si="24"/>
        <v>INSERT INTO DETALLES_DOCUMENTO(NRO_DOCUMENTO,ID_TIPO,ID_PRODUCTO,CANTIDAD,PRECIO,VALOR_BRUTO,VALOR_NETO,VALOR_IVA) VALUES(785,1,143,1,8000,8000,6723,1277);</v>
      </c>
    </row>
    <row r="1561" spans="1:12">
      <c r="A1561" s="114">
        <v>1</v>
      </c>
      <c r="B1561" s="114">
        <v>785</v>
      </c>
      <c r="C1561" s="139" t="s">
        <v>2289</v>
      </c>
      <c r="D1561" s="114" t="s">
        <v>2090</v>
      </c>
      <c r="E1561" s="114">
        <v>219</v>
      </c>
      <c r="F1561" s="114">
        <v>329</v>
      </c>
      <c r="G1561" s="114">
        <v>1</v>
      </c>
      <c r="H1561" s="114">
        <v>5500</v>
      </c>
      <c r="I1561" s="114">
        <v>5500</v>
      </c>
      <c r="J1561" s="114">
        <v>4622</v>
      </c>
      <c r="K1561" s="114">
        <v>878</v>
      </c>
      <c r="L1561" s="114" t="str">
        <f t="shared" si="24"/>
        <v>INSERT INTO DETALLES_DOCUMENTO(NRO_DOCUMENTO,ID_TIPO,ID_PRODUCTO,CANTIDAD,PRECIO,VALOR_BRUTO,VALOR_NETO,VALOR_IVA) VALUES(785,1,329,1,5500,5500,4622,878);</v>
      </c>
    </row>
    <row r="1562" spans="1:12">
      <c r="A1562" s="114">
        <v>1</v>
      </c>
      <c r="B1562" s="114">
        <v>786</v>
      </c>
      <c r="C1562" s="139" t="s">
        <v>2289</v>
      </c>
      <c r="D1562" s="114" t="s">
        <v>2090</v>
      </c>
      <c r="E1562" s="114">
        <v>234</v>
      </c>
      <c r="F1562" s="114">
        <v>97</v>
      </c>
      <c r="G1562" s="114">
        <v>1</v>
      </c>
      <c r="H1562" s="114">
        <v>2000</v>
      </c>
      <c r="I1562" s="114">
        <v>2000</v>
      </c>
      <c r="J1562" s="114">
        <v>1681</v>
      </c>
      <c r="K1562" s="114">
        <v>319</v>
      </c>
      <c r="L1562" s="114" t="str">
        <f t="shared" si="24"/>
        <v>INSERT INTO DETALLES_DOCUMENTO(NRO_DOCUMENTO,ID_TIPO,ID_PRODUCTO,CANTIDAD,PRECIO,VALOR_BRUTO,VALOR_NETO,VALOR_IVA) VALUES(786,1,97,1,2000,2000,1681,319);</v>
      </c>
    </row>
    <row r="1563" spans="1:12">
      <c r="A1563" s="114">
        <v>1</v>
      </c>
      <c r="B1563" s="114">
        <v>787</v>
      </c>
      <c r="C1563" s="139" t="s">
        <v>2289</v>
      </c>
      <c r="D1563" s="114" t="s">
        <v>2090</v>
      </c>
      <c r="E1563" s="114">
        <v>254</v>
      </c>
      <c r="F1563" s="114">
        <v>368</v>
      </c>
      <c r="G1563" s="114">
        <v>2</v>
      </c>
      <c r="H1563" s="114">
        <v>6000</v>
      </c>
      <c r="I1563" s="114">
        <v>12000</v>
      </c>
      <c r="J1563" s="114">
        <v>10084</v>
      </c>
      <c r="K1563" s="114">
        <v>1916</v>
      </c>
      <c r="L1563" s="114" t="str">
        <f t="shared" si="24"/>
        <v>INSERT INTO DETALLES_DOCUMENTO(NRO_DOCUMENTO,ID_TIPO,ID_PRODUCTO,CANTIDAD,PRECIO,VALOR_BRUTO,VALOR_NETO,VALOR_IVA) VALUES(787,1,368,2,6000,12000,10084,1916);</v>
      </c>
    </row>
    <row r="1564" spans="1:12">
      <c r="A1564" s="114">
        <v>1</v>
      </c>
      <c r="B1564" s="114">
        <v>787</v>
      </c>
      <c r="C1564" s="139" t="s">
        <v>2289</v>
      </c>
      <c r="D1564" s="114" t="s">
        <v>2090</v>
      </c>
      <c r="E1564" s="114">
        <v>254</v>
      </c>
      <c r="F1564" s="114">
        <v>230</v>
      </c>
      <c r="G1564" s="114">
        <v>1</v>
      </c>
      <c r="H1564" s="114">
        <v>16500</v>
      </c>
      <c r="I1564" s="114">
        <v>16500</v>
      </c>
      <c r="J1564" s="114">
        <v>13866</v>
      </c>
      <c r="K1564" s="114">
        <v>2634</v>
      </c>
      <c r="L1564" s="114" t="str">
        <f t="shared" si="24"/>
        <v>INSERT INTO DETALLES_DOCUMENTO(NRO_DOCUMENTO,ID_TIPO,ID_PRODUCTO,CANTIDAD,PRECIO,VALOR_BRUTO,VALOR_NETO,VALOR_IVA) VALUES(787,1,230,1,16500,16500,13866,2634);</v>
      </c>
    </row>
    <row r="1565" spans="1:12">
      <c r="A1565" s="114">
        <v>1</v>
      </c>
      <c r="B1565" s="114">
        <v>787</v>
      </c>
      <c r="C1565" s="139" t="s">
        <v>2289</v>
      </c>
      <c r="D1565" s="114" t="s">
        <v>2090</v>
      </c>
      <c r="E1565" s="114">
        <v>254</v>
      </c>
      <c r="F1565" s="114">
        <v>354</v>
      </c>
      <c r="G1565" s="114">
        <v>1</v>
      </c>
      <c r="H1565" s="114">
        <v>1800</v>
      </c>
      <c r="I1565" s="114">
        <v>1800</v>
      </c>
      <c r="J1565" s="114">
        <v>1513</v>
      </c>
      <c r="K1565" s="114">
        <v>287</v>
      </c>
      <c r="L1565" s="114" t="str">
        <f t="shared" si="24"/>
        <v>INSERT INTO DETALLES_DOCUMENTO(NRO_DOCUMENTO,ID_TIPO,ID_PRODUCTO,CANTIDAD,PRECIO,VALOR_BRUTO,VALOR_NETO,VALOR_IVA) VALUES(787,1,354,1,1800,1800,1513,287);</v>
      </c>
    </row>
    <row r="1566" spans="1:12">
      <c r="A1566" s="114">
        <v>1</v>
      </c>
      <c r="B1566" s="114">
        <v>787</v>
      </c>
      <c r="C1566" s="139" t="s">
        <v>2289</v>
      </c>
      <c r="D1566" s="114" t="s">
        <v>2090</v>
      </c>
      <c r="E1566" s="114">
        <v>254</v>
      </c>
      <c r="F1566" s="114">
        <v>97</v>
      </c>
      <c r="G1566" s="114">
        <v>1</v>
      </c>
      <c r="H1566" s="114">
        <v>2000</v>
      </c>
      <c r="I1566" s="114">
        <v>2000</v>
      </c>
      <c r="J1566" s="114">
        <v>1681</v>
      </c>
      <c r="K1566" s="114">
        <v>319</v>
      </c>
      <c r="L1566" s="114" t="str">
        <f t="shared" si="24"/>
        <v>INSERT INTO DETALLES_DOCUMENTO(NRO_DOCUMENTO,ID_TIPO,ID_PRODUCTO,CANTIDAD,PRECIO,VALOR_BRUTO,VALOR_NETO,VALOR_IVA) VALUES(787,1,97,1,2000,2000,1681,319);</v>
      </c>
    </row>
    <row r="1567" spans="1:12">
      <c r="A1567" s="114">
        <v>1</v>
      </c>
      <c r="B1567" s="114">
        <v>787</v>
      </c>
      <c r="C1567" s="139" t="s">
        <v>2289</v>
      </c>
      <c r="D1567" s="114" t="s">
        <v>2090</v>
      </c>
      <c r="E1567" s="114">
        <v>254</v>
      </c>
      <c r="F1567" s="114">
        <v>117</v>
      </c>
      <c r="G1567" s="114">
        <v>1</v>
      </c>
      <c r="H1567" s="114">
        <v>3500</v>
      </c>
      <c r="I1567" s="114">
        <v>3500</v>
      </c>
      <c r="J1567" s="114">
        <v>2941</v>
      </c>
      <c r="K1567" s="114">
        <v>559</v>
      </c>
      <c r="L1567" s="114" t="str">
        <f t="shared" si="24"/>
        <v>INSERT INTO DETALLES_DOCUMENTO(NRO_DOCUMENTO,ID_TIPO,ID_PRODUCTO,CANTIDAD,PRECIO,VALOR_BRUTO,VALOR_NETO,VALOR_IVA) VALUES(787,1,117,1,3500,3500,2941,559);</v>
      </c>
    </row>
    <row r="1568" spans="1:12">
      <c r="A1568" s="114">
        <v>1</v>
      </c>
      <c r="B1568" s="114">
        <v>787</v>
      </c>
      <c r="C1568" s="139" t="s">
        <v>2289</v>
      </c>
      <c r="D1568" s="114" t="s">
        <v>2090</v>
      </c>
      <c r="E1568" s="114">
        <v>254</v>
      </c>
      <c r="F1568" s="114">
        <v>57</v>
      </c>
      <c r="G1568" s="114">
        <v>1</v>
      </c>
      <c r="H1568" s="114">
        <v>4000</v>
      </c>
      <c r="I1568" s="114">
        <v>4000</v>
      </c>
      <c r="J1568" s="114">
        <v>3361</v>
      </c>
      <c r="K1568" s="114">
        <v>639</v>
      </c>
      <c r="L1568" s="114" t="str">
        <f t="shared" si="24"/>
        <v>INSERT INTO DETALLES_DOCUMENTO(NRO_DOCUMENTO,ID_TIPO,ID_PRODUCTO,CANTIDAD,PRECIO,VALOR_BRUTO,VALOR_NETO,VALOR_IVA) VALUES(787,1,57,1,4000,4000,3361,639);</v>
      </c>
    </row>
    <row r="1569" spans="1:12">
      <c r="A1569" s="114">
        <v>1</v>
      </c>
      <c r="B1569" s="114">
        <v>787</v>
      </c>
      <c r="C1569" s="139" t="s">
        <v>2289</v>
      </c>
      <c r="D1569" s="114" t="s">
        <v>2090</v>
      </c>
      <c r="E1569" s="114">
        <v>254</v>
      </c>
      <c r="F1569" s="114">
        <v>356</v>
      </c>
      <c r="G1569" s="114">
        <v>1</v>
      </c>
      <c r="H1569" s="114">
        <v>3000</v>
      </c>
      <c r="I1569" s="114">
        <v>3000</v>
      </c>
      <c r="J1569" s="114">
        <v>2521</v>
      </c>
      <c r="K1569" s="114">
        <v>479</v>
      </c>
      <c r="L1569" s="114" t="str">
        <f t="shared" si="24"/>
        <v>INSERT INTO DETALLES_DOCUMENTO(NRO_DOCUMENTO,ID_TIPO,ID_PRODUCTO,CANTIDAD,PRECIO,VALOR_BRUTO,VALOR_NETO,VALOR_IVA) VALUES(787,1,356,1,3000,3000,2521,479);</v>
      </c>
    </row>
    <row r="1570" spans="1:12">
      <c r="A1570" s="114">
        <v>1</v>
      </c>
      <c r="B1570" s="114">
        <v>787</v>
      </c>
      <c r="C1570" s="139" t="s">
        <v>2289</v>
      </c>
      <c r="D1570" s="114" t="s">
        <v>2090</v>
      </c>
      <c r="E1570" s="114">
        <v>254</v>
      </c>
      <c r="F1570" s="114">
        <v>286</v>
      </c>
      <c r="G1570" s="114">
        <v>1</v>
      </c>
      <c r="H1570" s="114">
        <v>1100</v>
      </c>
      <c r="I1570" s="114">
        <v>1100</v>
      </c>
      <c r="J1570" s="114">
        <v>924</v>
      </c>
      <c r="K1570" s="114">
        <v>176</v>
      </c>
      <c r="L1570" s="114" t="str">
        <f t="shared" si="24"/>
        <v>INSERT INTO DETALLES_DOCUMENTO(NRO_DOCUMENTO,ID_TIPO,ID_PRODUCTO,CANTIDAD,PRECIO,VALOR_BRUTO,VALOR_NETO,VALOR_IVA) VALUES(787,1,286,1,1100,1100,924,176);</v>
      </c>
    </row>
    <row r="1571" spans="1:12">
      <c r="A1571" s="114">
        <v>1</v>
      </c>
      <c r="B1571" s="114">
        <v>787</v>
      </c>
      <c r="C1571" s="139" t="s">
        <v>2289</v>
      </c>
      <c r="D1571" s="114" t="s">
        <v>2090</v>
      </c>
      <c r="E1571" s="114">
        <v>254</v>
      </c>
      <c r="F1571" s="114">
        <v>29</v>
      </c>
      <c r="G1571" s="114">
        <v>1</v>
      </c>
      <c r="H1571" s="114">
        <v>1000</v>
      </c>
      <c r="I1571" s="114">
        <v>1000</v>
      </c>
      <c r="J1571" s="114">
        <v>840</v>
      </c>
      <c r="K1571" s="114">
        <v>160</v>
      </c>
      <c r="L1571" s="114" t="str">
        <f t="shared" si="24"/>
        <v>INSERT INTO DETALLES_DOCUMENTO(NRO_DOCUMENTO,ID_TIPO,ID_PRODUCTO,CANTIDAD,PRECIO,VALOR_BRUTO,VALOR_NETO,VALOR_IVA) VALUES(787,1,29,1,1000,1000,840,160);</v>
      </c>
    </row>
    <row r="1572" spans="1:12">
      <c r="A1572" s="114">
        <v>1</v>
      </c>
      <c r="B1572" s="114">
        <v>788</v>
      </c>
      <c r="C1572" s="139" t="s">
        <v>2289</v>
      </c>
      <c r="D1572" s="114" t="s">
        <v>2090</v>
      </c>
      <c r="E1572" s="114">
        <v>343</v>
      </c>
      <c r="F1572" s="114">
        <v>143</v>
      </c>
      <c r="G1572" s="114">
        <v>2</v>
      </c>
      <c r="H1572" s="114">
        <v>16000</v>
      </c>
      <c r="I1572" s="114">
        <v>32000</v>
      </c>
      <c r="J1572" s="114">
        <v>26891</v>
      </c>
      <c r="K1572" s="114">
        <v>5109</v>
      </c>
      <c r="L1572" s="114" t="str">
        <f t="shared" si="24"/>
        <v>INSERT INTO DETALLES_DOCUMENTO(NRO_DOCUMENTO,ID_TIPO,ID_PRODUCTO,CANTIDAD,PRECIO,VALOR_BRUTO,VALOR_NETO,VALOR_IVA) VALUES(788,1,143,2,16000,32000,26891,5109);</v>
      </c>
    </row>
    <row r="1573" spans="1:12">
      <c r="A1573" s="114">
        <v>1</v>
      </c>
      <c r="B1573" s="114">
        <v>788</v>
      </c>
      <c r="C1573" s="139" t="s">
        <v>2289</v>
      </c>
      <c r="D1573" s="114" t="s">
        <v>2090</v>
      </c>
      <c r="E1573" s="114">
        <v>343</v>
      </c>
      <c r="F1573" s="114">
        <v>167</v>
      </c>
      <c r="G1573" s="114">
        <v>1</v>
      </c>
      <c r="H1573" s="114">
        <v>8200</v>
      </c>
      <c r="I1573" s="114">
        <v>8200</v>
      </c>
      <c r="J1573" s="114">
        <v>6891</v>
      </c>
      <c r="K1573" s="114">
        <v>1309</v>
      </c>
      <c r="L1573" s="114" t="str">
        <f t="shared" si="24"/>
        <v>INSERT INTO DETALLES_DOCUMENTO(NRO_DOCUMENTO,ID_TIPO,ID_PRODUCTO,CANTIDAD,PRECIO,VALOR_BRUTO,VALOR_NETO,VALOR_IVA) VALUES(788,1,167,1,8200,8200,6891,1309);</v>
      </c>
    </row>
    <row r="1574" spans="1:12">
      <c r="A1574" s="114">
        <v>1</v>
      </c>
      <c r="B1574" s="114">
        <v>789</v>
      </c>
      <c r="C1574" s="139" t="s">
        <v>2289</v>
      </c>
      <c r="D1574" s="114" t="s">
        <v>2090</v>
      </c>
      <c r="E1574" s="114">
        <v>446</v>
      </c>
      <c r="F1574" s="114">
        <v>293</v>
      </c>
      <c r="G1574" s="114">
        <v>1</v>
      </c>
      <c r="H1574" s="114">
        <v>10000</v>
      </c>
      <c r="I1574" s="114">
        <v>10000</v>
      </c>
      <c r="J1574" s="114">
        <v>8403</v>
      </c>
      <c r="K1574" s="114">
        <v>1597</v>
      </c>
      <c r="L1574" s="114" t="str">
        <f t="shared" si="24"/>
        <v>INSERT INTO DETALLES_DOCUMENTO(NRO_DOCUMENTO,ID_TIPO,ID_PRODUCTO,CANTIDAD,PRECIO,VALOR_BRUTO,VALOR_NETO,VALOR_IVA) VALUES(789,1,293,1,10000,10000,8403,1597);</v>
      </c>
    </row>
    <row r="1575" spans="1:12">
      <c r="A1575" s="114">
        <v>1</v>
      </c>
      <c r="B1575" s="114">
        <v>790</v>
      </c>
      <c r="C1575" s="139" t="s">
        <v>2290</v>
      </c>
      <c r="D1575" s="114" t="s">
        <v>2090</v>
      </c>
      <c r="E1575" s="114">
        <v>56</v>
      </c>
      <c r="F1575" s="114">
        <v>143</v>
      </c>
      <c r="G1575" s="114">
        <v>1</v>
      </c>
      <c r="H1575" s="114">
        <v>8000</v>
      </c>
      <c r="I1575" s="114">
        <v>8000</v>
      </c>
      <c r="J1575" s="114">
        <v>6723</v>
      </c>
      <c r="K1575" s="114">
        <v>1277</v>
      </c>
      <c r="L1575" s="114" t="str">
        <f t="shared" si="24"/>
        <v>INSERT INTO DETALLES_DOCUMENTO(NRO_DOCUMENTO,ID_TIPO,ID_PRODUCTO,CANTIDAD,PRECIO,VALOR_BRUTO,VALOR_NETO,VALOR_IVA) VALUES(790,1,143,1,8000,8000,6723,1277);</v>
      </c>
    </row>
    <row r="1576" spans="1:12">
      <c r="A1576" s="114">
        <v>1</v>
      </c>
      <c r="B1576" s="114">
        <v>790</v>
      </c>
      <c r="C1576" s="139" t="s">
        <v>2290</v>
      </c>
      <c r="D1576" s="114" t="s">
        <v>2090</v>
      </c>
      <c r="E1576" s="114">
        <v>56</v>
      </c>
      <c r="F1576" s="114">
        <v>126</v>
      </c>
      <c r="G1576" s="114">
        <v>1</v>
      </c>
      <c r="H1576" s="114">
        <v>9000</v>
      </c>
      <c r="I1576" s="114">
        <v>9000</v>
      </c>
      <c r="J1576" s="114">
        <v>7563</v>
      </c>
      <c r="K1576" s="114">
        <v>1437</v>
      </c>
      <c r="L1576" s="114" t="str">
        <f t="shared" si="24"/>
        <v>INSERT INTO DETALLES_DOCUMENTO(NRO_DOCUMENTO,ID_TIPO,ID_PRODUCTO,CANTIDAD,PRECIO,VALOR_BRUTO,VALOR_NETO,VALOR_IVA) VALUES(790,1,126,1,9000,9000,7563,1437);</v>
      </c>
    </row>
    <row r="1577" spans="1:12">
      <c r="A1577" s="114">
        <v>1</v>
      </c>
      <c r="B1577" s="114">
        <v>791</v>
      </c>
      <c r="C1577" s="139" t="s">
        <v>2290</v>
      </c>
      <c r="D1577" s="114" t="s">
        <v>2090</v>
      </c>
      <c r="E1577" s="114">
        <v>161</v>
      </c>
      <c r="F1577" s="114">
        <v>324</v>
      </c>
      <c r="G1577" s="114">
        <v>1</v>
      </c>
      <c r="H1577" s="114">
        <v>10500</v>
      </c>
      <c r="I1577" s="114">
        <v>10500</v>
      </c>
      <c r="J1577" s="114">
        <v>8824</v>
      </c>
      <c r="K1577" s="114">
        <v>1676</v>
      </c>
      <c r="L1577" s="114" t="str">
        <f t="shared" si="24"/>
        <v>INSERT INTO DETALLES_DOCUMENTO(NRO_DOCUMENTO,ID_TIPO,ID_PRODUCTO,CANTIDAD,PRECIO,VALOR_BRUTO,VALOR_NETO,VALOR_IVA) VALUES(791,1,324,1,10500,10500,8824,1676);</v>
      </c>
    </row>
    <row r="1578" spans="1:12">
      <c r="A1578" s="114">
        <v>1</v>
      </c>
      <c r="B1578" s="114">
        <v>791</v>
      </c>
      <c r="C1578" s="139" t="s">
        <v>2290</v>
      </c>
      <c r="D1578" s="114" t="s">
        <v>2090</v>
      </c>
      <c r="E1578" s="114">
        <v>161</v>
      </c>
      <c r="F1578" s="114">
        <v>143</v>
      </c>
      <c r="G1578" s="114">
        <v>1</v>
      </c>
      <c r="H1578" s="114">
        <v>8000</v>
      </c>
      <c r="I1578" s="114">
        <v>8000</v>
      </c>
      <c r="J1578" s="114">
        <v>6723</v>
      </c>
      <c r="K1578" s="114">
        <v>1277</v>
      </c>
      <c r="L1578" s="114" t="str">
        <f t="shared" si="24"/>
        <v>INSERT INTO DETALLES_DOCUMENTO(NRO_DOCUMENTO,ID_TIPO,ID_PRODUCTO,CANTIDAD,PRECIO,VALOR_BRUTO,VALOR_NETO,VALOR_IVA) VALUES(791,1,143,1,8000,8000,6723,1277);</v>
      </c>
    </row>
    <row r="1579" spans="1:12">
      <c r="A1579" s="114">
        <v>1</v>
      </c>
      <c r="B1579" s="114">
        <v>792</v>
      </c>
      <c r="C1579" s="139" t="s">
        <v>2291</v>
      </c>
      <c r="D1579" s="114" t="s">
        <v>2090</v>
      </c>
      <c r="E1579" s="114">
        <v>154</v>
      </c>
      <c r="F1579" s="114">
        <v>231</v>
      </c>
      <c r="G1579" s="114">
        <v>1</v>
      </c>
      <c r="H1579" s="114">
        <v>20900</v>
      </c>
      <c r="I1579" s="114">
        <v>20900</v>
      </c>
      <c r="J1579" s="114">
        <v>17563</v>
      </c>
      <c r="K1579" s="114">
        <v>3337</v>
      </c>
      <c r="L1579" s="114" t="str">
        <f t="shared" si="24"/>
        <v>INSERT INTO DETALLES_DOCUMENTO(NRO_DOCUMENTO,ID_TIPO,ID_PRODUCTO,CANTIDAD,PRECIO,VALOR_BRUTO,VALOR_NETO,VALOR_IVA) VALUES(792,1,231,1,20900,20900,17563,3337);</v>
      </c>
    </row>
    <row r="1580" spans="1:12">
      <c r="A1580" s="114">
        <v>1</v>
      </c>
      <c r="B1580" s="114">
        <v>793</v>
      </c>
      <c r="C1580" s="139" t="s">
        <v>2291</v>
      </c>
      <c r="D1580" s="114" t="s">
        <v>2090</v>
      </c>
      <c r="E1580" s="114">
        <v>184</v>
      </c>
      <c r="F1580" s="114">
        <v>324</v>
      </c>
      <c r="G1580" s="114">
        <v>1</v>
      </c>
      <c r="H1580" s="114">
        <v>10500</v>
      </c>
      <c r="I1580" s="114">
        <v>10500</v>
      </c>
      <c r="J1580" s="114">
        <v>8824</v>
      </c>
      <c r="K1580" s="114">
        <v>1676</v>
      </c>
      <c r="L1580" s="114" t="str">
        <f t="shared" si="24"/>
        <v>INSERT INTO DETALLES_DOCUMENTO(NRO_DOCUMENTO,ID_TIPO,ID_PRODUCTO,CANTIDAD,PRECIO,VALOR_BRUTO,VALOR_NETO,VALOR_IVA) VALUES(793,1,324,1,10500,10500,8824,1676);</v>
      </c>
    </row>
    <row r="1581" spans="1:12">
      <c r="A1581" s="114">
        <v>1</v>
      </c>
      <c r="B1581" s="114">
        <v>793</v>
      </c>
      <c r="C1581" s="139" t="s">
        <v>2291</v>
      </c>
      <c r="D1581" s="114" t="s">
        <v>2090</v>
      </c>
      <c r="E1581" s="114">
        <v>184</v>
      </c>
      <c r="F1581" s="114">
        <v>143</v>
      </c>
      <c r="G1581" s="114">
        <v>1</v>
      </c>
      <c r="H1581" s="114">
        <v>8000</v>
      </c>
      <c r="I1581" s="114">
        <v>8000</v>
      </c>
      <c r="J1581" s="114">
        <v>6723</v>
      </c>
      <c r="K1581" s="114">
        <v>1277</v>
      </c>
      <c r="L1581" s="114" t="str">
        <f t="shared" si="24"/>
        <v>INSERT INTO DETALLES_DOCUMENTO(NRO_DOCUMENTO,ID_TIPO,ID_PRODUCTO,CANTIDAD,PRECIO,VALOR_BRUTO,VALOR_NETO,VALOR_IVA) VALUES(793,1,143,1,8000,8000,6723,1277);</v>
      </c>
    </row>
    <row r="1582" spans="1:12">
      <c r="A1582" s="114">
        <v>1</v>
      </c>
      <c r="B1582" s="114">
        <v>794</v>
      </c>
      <c r="C1582" s="139" t="s">
        <v>2291</v>
      </c>
      <c r="D1582" s="114" t="s">
        <v>2090</v>
      </c>
      <c r="E1582" s="114">
        <v>200</v>
      </c>
      <c r="F1582" s="114">
        <v>324</v>
      </c>
      <c r="G1582" s="114">
        <v>1</v>
      </c>
      <c r="H1582" s="114">
        <v>10500</v>
      </c>
      <c r="I1582" s="114">
        <v>10500</v>
      </c>
      <c r="J1582" s="114">
        <v>8824</v>
      </c>
      <c r="K1582" s="114">
        <v>1676</v>
      </c>
      <c r="L1582" s="114" t="str">
        <f t="shared" si="24"/>
        <v>INSERT INTO DETALLES_DOCUMENTO(NRO_DOCUMENTO,ID_TIPO,ID_PRODUCTO,CANTIDAD,PRECIO,VALOR_BRUTO,VALOR_NETO,VALOR_IVA) VALUES(794,1,324,1,10500,10500,8824,1676);</v>
      </c>
    </row>
    <row r="1583" spans="1:12">
      <c r="A1583" s="114">
        <v>1</v>
      </c>
      <c r="B1583" s="114">
        <v>795</v>
      </c>
      <c r="C1583" s="139" t="s">
        <v>2292</v>
      </c>
      <c r="D1583" s="114" t="s">
        <v>2090</v>
      </c>
      <c r="E1583" s="114">
        <v>72</v>
      </c>
      <c r="F1583" s="114">
        <v>143</v>
      </c>
      <c r="G1583" s="114">
        <v>1</v>
      </c>
      <c r="H1583" s="114">
        <v>8000</v>
      </c>
      <c r="I1583" s="114">
        <v>8000</v>
      </c>
      <c r="J1583" s="114">
        <v>6723</v>
      </c>
      <c r="K1583" s="114">
        <v>1277</v>
      </c>
      <c r="L1583" s="114" t="str">
        <f t="shared" si="24"/>
        <v>INSERT INTO DETALLES_DOCUMENTO(NRO_DOCUMENTO,ID_TIPO,ID_PRODUCTO,CANTIDAD,PRECIO,VALOR_BRUTO,VALOR_NETO,VALOR_IVA) VALUES(795,1,143,1,8000,8000,6723,1277);</v>
      </c>
    </row>
    <row r="1584" spans="1:12">
      <c r="A1584" s="114">
        <v>1</v>
      </c>
      <c r="B1584" s="114">
        <v>796</v>
      </c>
      <c r="C1584" s="139" t="s">
        <v>2292</v>
      </c>
      <c r="D1584" s="114" t="s">
        <v>2090</v>
      </c>
      <c r="E1584" s="114">
        <v>73</v>
      </c>
      <c r="F1584" s="114">
        <v>324</v>
      </c>
      <c r="G1584" s="114">
        <v>1</v>
      </c>
      <c r="H1584" s="114">
        <v>10500</v>
      </c>
      <c r="I1584" s="114">
        <v>10500</v>
      </c>
      <c r="J1584" s="114">
        <v>8824</v>
      </c>
      <c r="K1584" s="114">
        <v>1676</v>
      </c>
      <c r="L1584" s="114" t="str">
        <f t="shared" si="24"/>
        <v>INSERT INTO DETALLES_DOCUMENTO(NRO_DOCUMENTO,ID_TIPO,ID_PRODUCTO,CANTIDAD,PRECIO,VALOR_BRUTO,VALOR_NETO,VALOR_IVA) VALUES(796,1,324,1,10500,10500,8824,1676);</v>
      </c>
    </row>
    <row r="1585" spans="1:12">
      <c r="A1585" s="114">
        <v>1</v>
      </c>
      <c r="B1585" s="114">
        <v>797</v>
      </c>
      <c r="C1585" s="139" t="s">
        <v>2292</v>
      </c>
      <c r="D1585" s="114" t="s">
        <v>2090</v>
      </c>
      <c r="E1585" s="114">
        <v>155</v>
      </c>
      <c r="F1585" s="114">
        <v>143</v>
      </c>
      <c r="G1585" s="114">
        <v>1</v>
      </c>
      <c r="H1585" s="114">
        <v>8000</v>
      </c>
      <c r="I1585" s="114">
        <v>8000</v>
      </c>
      <c r="J1585" s="114">
        <v>6723</v>
      </c>
      <c r="K1585" s="114">
        <v>1277</v>
      </c>
      <c r="L1585" s="114" t="str">
        <f t="shared" si="24"/>
        <v>INSERT INTO DETALLES_DOCUMENTO(NRO_DOCUMENTO,ID_TIPO,ID_PRODUCTO,CANTIDAD,PRECIO,VALOR_BRUTO,VALOR_NETO,VALOR_IVA) VALUES(797,1,143,1,8000,8000,6723,1277);</v>
      </c>
    </row>
    <row r="1586" spans="1:12">
      <c r="A1586" s="114">
        <v>1</v>
      </c>
      <c r="B1586" s="114">
        <v>798</v>
      </c>
      <c r="C1586" s="139" t="s">
        <v>2292</v>
      </c>
      <c r="D1586" s="114" t="s">
        <v>2090</v>
      </c>
      <c r="E1586" s="114">
        <v>202</v>
      </c>
      <c r="F1586" s="114">
        <v>324</v>
      </c>
      <c r="G1586" s="114">
        <v>1</v>
      </c>
      <c r="H1586" s="114">
        <v>10500</v>
      </c>
      <c r="I1586" s="114">
        <v>10500</v>
      </c>
      <c r="J1586" s="114">
        <v>8824</v>
      </c>
      <c r="K1586" s="114">
        <v>1676</v>
      </c>
      <c r="L1586" s="114" t="str">
        <f t="shared" si="24"/>
        <v>INSERT INTO DETALLES_DOCUMENTO(NRO_DOCUMENTO,ID_TIPO,ID_PRODUCTO,CANTIDAD,PRECIO,VALOR_BRUTO,VALOR_NETO,VALOR_IVA) VALUES(798,1,324,1,10500,10500,8824,1676);</v>
      </c>
    </row>
    <row r="1587" spans="1:12">
      <c r="A1587" s="114">
        <v>1</v>
      </c>
      <c r="B1587" s="114">
        <v>798</v>
      </c>
      <c r="C1587" s="139" t="s">
        <v>2292</v>
      </c>
      <c r="D1587" s="114" t="s">
        <v>2090</v>
      </c>
      <c r="E1587" s="114">
        <v>202</v>
      </c>
      <c r="F1587" s="114">
        <v>231</v>
      </c>
      <c r="G1587" s="114">
        <v>1</v>
      </c>
      <c r="H1587" s="114">
        <v>20900</v>
      </c>
      <c r="I1587" s="114">
        <v>20900</v>
      </c>
      <c r="J1587" s="114">
        <v>17563</v>
      </c>
      <c r="K1587" s="114">
        <v>3337</v>
      </c>
      <c r="L1587" s="114" t="str">
        <f t="shared" si="24"/>
        <v>INSERT INTO DETALLES_DOCUMENTO(NRO_DOCUMENTO,ID_TIPO,ID_PRODUCTO,CANTIDAD,PRECIO,VALOR_BRUTO,VALOR_NETO,VALOR_IVA) VALUES(798,1,231,1,20900,20900,17563,3337);</v>
      </c>
    </row>
    <row r="1588" spans="1:12">
      <c r="A1588" s="114">
        <v>1</v>
      </c>
      <c r="B1588" s="114">
        <v>799</v>
      </c>
      <c r="C1588" s="139" t="s">
        <v>2292</v>
      </c>
      <c r="D1588" s="114" t="s">
        <v>2090</v>
      </c>
      <c r="E1588" s="114">
        <v>276</v>
      </c>
      <c r="F1588" s="114">
        <v>324</v>
      </c>
      <c r="G1588" s="114">
        <v>1</v>
      </c>
      <c r="H1588" s="114">
        <v>10500</v>
      </c>
      <c r="I1588" s="114">
        <v>10500</v>
      </c>
      <c r="J1588" s="114">
        <v>8824</v>
      </c>
      <c r="K1588" s="114">
        <v>1676</v>
      </c>
      <c r="L1588" s="114" t="str">
        <f t="shared" si="24"/>
        <v>INSERT INTO DETALLES_DOCUMENTO(NRO_DOCUMENTO,ID_TIPO,ID_PRODUCTO,CANTIDAD,PRECIO,VALOR_BRUTO,VALOR_NETO,VALOR_IVA) VALUES(799,1,324,1,10500,10500,8824,1676);</v>
      </c>
    </row>
    <row r="1589" spans="1:12">
      <c r="A1589" s="114">
        <v>1</v>
      </c>
      <c r="B1589" s="114">
        <v>800</v>
      </c>
      <c r="C1589" s="139" t="s">
        <v>2292</v>
      </c>
      <c r="D1589" s="114" t="s">
        <v>2090</v>
      </c>
      <c r="E1589" s="114">
        <v>352</v>
      </c>
      <c r="F1589" s="114">
        <v>231</v>
      </c>
      <c r="G1589" s="114">
        <v>1</v>
      </c>
      <c r="H1589" s="114">
        <v>20900</v>
      </c>
      <c r="I1589" s="114">
        <v>20900</v>
      </c>
      <c r="J1589" s="114">
        <v>17563</v>
      </c>
      <c r="K1589" s="114">
        <v>3337</v>
      </c>
      <c r="L1589" s="114" t="str">
        <f t="shared" si="24"/>
        <v>INSERT INTO DETALLES_DOCUMENTO(NRO_DOCUMENTO,ID_TIPO,ID_PRODUCTO,CANTIDAD,PRECIO,VALOR_BRUTO,VALOR_NETO,VALOR_IVA) VALUES(800,1,231,1,20900,20900,17563,3337);</v>
      </c>
    </row>
    <row r="1590" spans="1:12">
      <c r="A1590" s="114">
        <v>1</v>
      </c>
      <c r="B1590" s="114">
        <v>800</v>
      </c>
      <c r="C1590" s="139" t="s">
        <v>2292</v>
      </c>
      <c r="D1590" s="114" t="s">
        <v>2090</v>
      </c>
      <c r="E1590" s="114">
        <v>352</v>
      </c>
      <c r="F1590" s="114">
        <v>386</v>
      </c>
      <c r="G1590" s="114">
        <v>1</v>
      </c>
      <c r="H1590" s="114">
        <v>2700</v>
      </c>
      <c r="I1590" s="114">
        <v>2700</v>
      </c>
      <c r="J1590" s="114">
        <v>2269</v>
      </c>
      <c r="K1590" s="114">
        <v>431</v>
      </c>
      <c r="L1590" s="114" t="str">
        <f t="shared" si="24"/>
        <v>INSERT INTO DETALLES_DOCUMENTO(NRO_DOCUMENTO,ID_TIPO,ID_PRODUCTO,CANTIDAD,PRECIO,VALOR_BRUTO,VALOR_NETO,VALOR_IVA) VALUES(800,1,386,1,2700,2700,2269,431);</v>
      </c>
    </row>
    <row r="1591" spans="1:12">
      <c r="A1591" s="114">
        <v>1</v>
      </c>
      <c r="B1591" s="114">
        <v>800</v>
      </c>
      <c r="C1591" s="139" t="s">
        <v>2292</v>
      </c>
      <c r="D1591" s="114" t="s">
        <v>2090</v>
      </c>
      <c r="E1591" s="114">
        <v>352</v>
      </c>
      <c r="F1591" s="114">
        <v>97</v>
      </c>
      <c r="G1591" s="114">
        <v>1</v>
      </c>
      <c r="H1591" s="114">
        <v>2000</v>
      </c>
      <c r="I1591" s="114">
        <v>2000</v>
      </c>
      <c r="J1591" s="114">
        <v>1681</v>
      </c>
      <c r="K1591" s="114">
        <v>319</v>
      </c>
      <c r="L1591" s="114" t="str">
        <f t="shared" si="24"/>
        <v>INSERT INTO DETALLES_DOCUMENTO(NRO_DOCUMENTO,ID_TIPO,ID_PRODUCTO,CANTIDAD,PRECIO,VALOR_BRUTO,VALOR_NETO,VALOR_IVA) VALUES(800,1,97,1,2000,2000,1681,319);</v>
      </c>
    </row>
    <row r="1592" spans="1:12">
      <c r="A1592" s="114">
        <v>1</v>
      </c>
      <c r="B1592" s="114">
        <v>801</v>
      </c>
      <c r="C1592" s="139" t="s">
        <v>2292</v>
      </c>
      <c r="D1592" s="114" t="s">
        <v>2090</v>
      </c>
      <c r="E1592" s="114">
        <v>353</v>
      </c>
      <c r="F1592" s="114">
        <v>368</v>
      </c>
      <c r="G1592" s="114">
        <v>1</v>
      </c>
      <c r="H1592" s="114">
        <v>3000</v>
      </c>
      <c r="I1592" s="114">
        <v>3000</v>
      </c>
      <c r="J1592" s="114">
        <v>2521</v>
      </c>
      <c r="K1592" s="114">
        <v>479</v>
      </c>
      <c r="L1592" s="114" t="str">
        <f t="shared" si="24"/>
        <v>INSERT INTO DETALLES_DOCUMENTO(NRO_DOCUMENTO,ID_TIPO,ID_PRODUCTO,CANTIDAD,PRECIO,VALOR_BRUTO,VALOR_NETO,VALOR_IVA) VALUES(801,1,368,1,3000,3000,2521,479);</v>
      </c>
    </row>
    <row r="1593" spans="1:12">
      <c r="A1593" s="114">
        <v>1</v>
      </c>
      <c r="B1593" s="114">
        <v>801</v>
      </c>
      <c r="C1593" s="139" t="s">
        <v>2292</v>
      </c>
      <c r="D1593" s="114" t="s">
        <v>2090</v>
      </c>
      <c r="E1593" s="114">
        <v>353</v>
      </c>
      <c r="F1593" s="114">
        <v>97</v>
      </c>
      <c r="G1593" s="114">
        <v>1</v>
      </c>
      <c r="H1593" s="114">
        <v>2000</v>
      </c>
      <c r="I1593" s="114">
        <v>2000</v>
      </c>
      <c r="J1593" s="114">
        <v>1681</v>
      </c>
      <c r="K1593" s="114">
        <v>319</v>
      </c>
      <c r="L1593" s="114" t="str">
        <f t="shared" si="24"/>
        <v>INSERT INTO DETALLES_DOCUMENTO(NRO_DOCUMENTO,ID_TIPO,ID_PRODUCTO,CANTIDAD,PRECIO,VALOR_BRUTO,VALOR_NETO,VALOR_IVA) VALUES(801,1,97,1,2000,2000,1681,319);</v>
      </c>
    </row>
    <row r="1594" spans="1:12">
      <c r="A1594" s="114">
        <v>1</v>
      </c>
      <c r="B1594" s="114">
        <v>801</v>
      </c>
      <c r="C1594" s="139" t="s">
        <v>2292</v>
      </c>
      <c r="D1594" s="114" t="s">
        <v>2090</v>
      </c>
      <c r="E1594" s="114">
        <v>353</v>
      </c>
      <c r="F1594" s="114">
        <v>118</v>
      </c>
      <c r="G1594" s="114">
        <v>1</v>
      </c>
      <c r="H1594" s="114">
        <v>3500</v>
      </c>
      <c r="I1594" s="114">
        <v>3500</v>
      </c>
      <c r="J1594" s="114">
        <v>2941</v>
      </c>
      <c r="K1594" s="114">
        <v>559</v>
      </c>
      <c r="L1594" s="114" t="str">
        <f t="shared" si="24"/>
        <v>INSERT INTO DETALLES_DOCUMENTO(NRO_DOCUMENTO,ID_TIPO,ID_PRODUCTO,CANTIDAD,PRECIO,VALOR_BRUTO,VALOR_NETO,VALOR_IVA) VALUES(801,1,118,1,3500,3500,2941,559);</v>
      </c>
    </row>
    <row r="1595" spans="1:12">
      <c r="A1595" s="114">
        <v>1</v>
      </c>
      <c r="B1595" s="114">
        <v>801</v>
      </c>
      <c r="C1595" s="139" t="s">
        <v>2292</v>
      </c>
      <c r="D1595" s="114" t="s">
        <v>2090</v>
      </c>
      <c r="E1595" s="114">
        <v>353</v>
      </c>
      <c r="F1595" s="114">
        <v>143</v>
      </c>
      <c r="G1595" s="114">
        <v>1</v>
      </c>
      <c r="H1595" s="114">
        <v>8000</v>
      </c>
      <c r="I1595" s="114">
        <v>8000</v>
      </c>
      <c r="J1595" s="114">
        <v>6723</v>
      </c>
      <c r="K1595" s="114">
        <v>1277</v>
      </c>
      <c r="L1595" s="114" t="str">
        <f t="shared" si="24"/>
        <v>INSERT INTO DETALLES_DOCUMENTO(NRO_DOCUMENTO,ID_TIPO,ID_PRODUCTO,CANTIDAD,PRECIO,VALOR_BRUTO,VALOR_NETO,VALOR_IVA) VALUES(801,1,143,1,8000,8000,6723,1277);</v>
      </c>
    </row>
    <row r="1596" spans="1:12">
      <c r="A1596" s="114">
        <v>1</v>
      </c>
      <c r="B1596" s="114">
        <v>802</v>
      </c>
      <c r="C1596" s="139" t="s">
        <v>2292</v>
      </c>
      <c r="D1596" s="114" t="s">
        <v>2090</v>
      </c>
      <c r="E1596" s="114">
        <v>376</v>
      </c>
      <c r="F1596" s="114">
        <v>143</v>
      </c>
      <c r="G1596" s="114">
        <v>1</v>
      </c>
      <c r="H1596" s="114">
        <v>8000</v>
      </c>
      <c r="I1596" s="114">
        <v>8000</v>
      </c>
      <c r="J1596" s="114">
        <v>6723</v>
      </c>
      <c r="K1596" s="114">
        <v>1277</v>
      </c>
      <c r="L1596" s="114" t="str">
        <f t="shared" si="24"/>
        <v>INSERT INTO DETALLES_DOCUMENTO(NRO_DOCUMENTO,ID_TIPO,ID_PRODUCTO,CANTIDAD,PRECIO,VALOR_BRUTO,VALOR_NETO,VALOR_IVA) VALUES(802,1,143,1,8000,8000,6723,1277);</v>
      </c>
    </row>
    <row r="1597" spans="1:12">
      <c r="A1597" s="114">
        <v>1</v>
      </c>
      <c r="B1597" s="114">
        <v>803</v>
      </c>
      <c r="C1597" s="139" t="s">
        <v>2292</v>
      </c>
      <c r="D1597" s="114" t="s">
        <v>2090</v>
      </c>
      <c r="E1597" s="114">
        <v>416</v>
      </c>
      <c r="F1597" s="114">
        <v>117</v>
      </c>
      <c r="G1597" s="114">
        <v>1</v>
      </c>
      <c r="H1597" s="114">
        <v>3500</v>
      </c>
      <c r="I1597" s="114">
        <v>3500</v>
      </c>
      <c r="J1597" s="114">
        <v>2941</v>
      </c>
      <c r="K1597" s="114">
        <v>559</v>
      </c>
      <c r="L1597" s="114" t="str">
        <f t="shared" si="24"/>
        <v>INSERT INTO DETALLES_DOCUMENTO(NRO_DOCUMENTO,ID_TIPO,ID_PRODUCTO,CANTIDAD,PRECIO,VALOR_BRUTO,VALOR_NETO,VALOR_IVA) VALUES(803,1,117,1,3500,3500,2941,559);</v>
      </c>
    </row>
    <row r="1598" spans="1:12">
      <c r="A1598" s="114">
        <v>1</v>
      </c>
      <c r="B1598" s="114">
        <v>804</v>
      </c>
      <c r="C1598" s="139" t="s">
        <v>2292</v>
      </c>
      <c r="D1598" s="114" t="s">
        <v>2090</v>
      </c>
      <c r="E1598" s="114">
        <v>427</v>
      </c>
      <c r="F1598" s="114">
        <v>329</v>
      </c>
      <c r="G1598" s="114">
        <v>1</v>
      </c>
      <c r="H1598" s="114">
        <v>5500</v>
      </c>
      <c r="I1598" s="114">
        <v>5500</v>
      </c>
      <c r="J1598" s="114">
        <v>4622</v>
      </c>
      <c r="K1598" s="114">
        <v>878</v>
      </c>
      <c r="L1598" s="114" t="str">
        <f t="shared" si="24"/>
        <v>INSERT INTO DETALLES_DOCUMENTO(NRO_DOCUMENTO,ID_TIPO,ID_PRODUCTO,CANTIDAD,PRECIO,VALOR_BRUTO,VALOR_NETO,VALOR_IVA) VALUES(804,1,329,1,5500,5500,4622,878);</v>
      </c>
    </row>
    <row r="1599" spans="1:12">
      <c r="A1599" s="114">
        <v>1</v>
      </c>
      <c r="B1599" s="114">
        <v>805</v>
      </c>
      <c r="C1599" s="139" t="s">
        <v>2293</v>
      </c>
      <c r="D1599" s="114" t="s">
        <v>2090</v>
      </c>
      <c r="E1599" s="114">
        <v>345</v>
      </c>
      <c r="F1599" s="114">
        <v>324</v>
      </c>
      <c r="G1599" s="114">
        <v>1</v>
      </c>
      <c r="H1599" s="114">
        <v>10500</v>
      </c>
      <c r="I1599" s="114">
        <v>10500</v>
      </c>
      <c r="J1599" s="114">
        <v>8824</v>
      </c>
      <c r="K1599" s="114">
        <v>1676</v>
      </c>
      <c r="L1599" s="114" t="str">
        <f t="shared" si="24"/>
        <v>INSERT INTO DETALLES_DOCUMENTO(NRO_DOCUMENTO,ID_TIPO,ID_PRODUCTO,CANTIDAD,PRECIO,VALOR_BRUTO,VALOR_NETO,VALOR_IVA) VALUES(805,1,324,1,10500,10500,8824,1676);</v>
      </c>
    </row>
    <row r="1600" spans="1:12">
      <c r="A1600" s="114">
        <v>1</v>
      </c>
      <c r="B1600" s="114">
        <v>806</v>
      </c>
      <c r="C1600" s="139" t="s">
        <v>2294</v>
      </c>
      <c r="D1600" s="114" t="s">
        <v>2090</v>
      </c>
      <c r="E1600" s="114">
        <v>48</v>
      </c>
      <c r="F1600" s="114">
        <v>324</v>
      </c>
      <c r="G1600" s="114">
        <v>1</v>
      </c>
      <c r="H1600" s="114">
        <v>10500</v>
      </c>
      <c r="I1600" s="114">
        <v>10500</v>
      </c>
      <c r="J1600" s="114">
        <v>8824</v>
      </c>
      <c r="K1600" s="114">
        <v>1676</v>
      </c>
      <c r="L1600" s="114" t="str">
        <f t="shared" si="24"/>
        <v>INSERT INTO DETALLES_DOCUMENTO(NRO_DOCUMENTO,ID_TIPO,ID_PRODUCTO,CANTIDAD,PRECIO,VALOR_BRUTO,VALOR_NETO,VALOR_IVA) VALUES(806,1,324,1,10500,10500,8824,1676);</v>
      </c>
    </row>
    <row r="1601" spans="1:12">
      <c r="A1601" s="114">
        <v>1</v>
      </c>
      <c r="B1601" s="114">
        <v>807</v>
      </c>
      <c r="C1601" s="139" t="s">
        <v>2294</v>
      </c>
      <c r="D1601" s="114" t="s">
        <v>2090</v>
      </c>
      <c r="E1601" s="114">
        <v>222</v>
      </c>
      <c r="F1601" s="114">
        <v>157</v>
      </c>
      <c r="G1601" s="114">
        <v>1</v>
      </c>
      <c r="H1601" s="114">
        <v>4300</v>
      </c>
      <c r="I1601" s="114">
        <v>4300</v>
      </c>
      <c r="J1601" s="114">
        <v>3613</v>
      </c>
      <c r="K1601" s="114">
        <v>687</v>
      </c>
      <c r="L1601" s="114" t="str">
        <f t="shared" si="24"/>
        <v>INSERT INTO DETALLES_DOCUMENTO(NRO_DOCUMENTO,ID_TIPO,ID_PRODUCTO,CANTIDAD,PRECIO,VALOR_BRUTO,VALOR_NETO,VALOR_IVA) VALUES(807,1,157,1,4300,4300,3613,687);</v>
      </c>
    </row>
    <row r="1602" spans="1:12">
      <c r="A1602" s="114">
        <v>1</v>
      </c>
      <c r="B1602" s="114">
        <v>807</v>
      </c>
      <c r="C1602" s="139" t="s">
        <v>2294</v>
      </c>
      <c r="D1602" s="114" t="s">
        <v>2090</v>
      </c>
      <c r="E1602" s="114">
        <v>222</v>
      </c>
      <c r="F1602" s="114">
        <v>98</v>
      </c>
      <c r="G1602" s="114">
        <v>1</v>
      </c>
      <c r="H1602" s="114">
        <v>3500</v>
      </c>
      <c r="I1602" s="114">
        <v>3500</v>
      </c>
      <c r="J1602" s="114">
        <v>2941</v>
      </c>
      <c r="K1602" s="114">
        <v>559</v>
      </c>
      <c r="L1602" s="114" t="str">
        <f t="shared" si="24"/>
        <v>INSERT INTO DETALLES_DOCUMENTO(NRO_DOCUMENTO,ID_TIPO,ID_PRODUCTO,CANTIDAD,PRECIO,VALOR_BRUTO,VALOR_NETO,VALOR_IVA) VALUES(807,1,98,1,3500,3500,2941,559);</v>
      </c>
    </row>
    <row r="1603" spans="1:12">
      <c r="A1603" s="114">
        <v>1</v>
      </c>
      <c r="B1603" s="114">
        <v>807</v>
      </c>
      <c r="C1603" s="139" t="s">
        <v>2294</v>
      </c>
      <c r="D1603" s="114" t="s">
        <v>2090</v>
      </c>
      <c r="E1603" s="114">
        <v>222</v>
      </c>
      <c r="F1603" s="114">
        <v>165</v>
      </c>
      <c r="G1603" s="114">
        <v>1</v>
      </c>
      <c r="H1603" s="114">
        <v>2000</v>
      </c>
      <c r="I1603" s="114">
        <v>2000</v>
      </c>
      <c r="J1603" s="114">
        <v>1681</v>
      </c>
      <c r="K1603" s="114">
        <v>319</v>
      </c>
      <c r="L1603" s="114" t="str">
        <f t="shared" ref="L1603:L1666" si="25">CONCATENATE("INSERT INTO DETALLES_DOCUMENTO(NRO_DOCUMENTO,ID_TIPO,ID_PRODUCTO,CANTIDAD,PRECIO,VALOR_BRUTO,VALOR_NETO,VALOR_IVA) VALUES(",B1603,",",A1603,",",F1603,",",G1603,",",H1603,",",I1603,",",J1603,",",K1603,");")</f>
        <v>INSERT INTO DETALLES_DOCUMENTO(NRO_DOCUMENTO,ID_TIPO,ID_PRODUCTO,CANTIDAD,PRECIO,VALOR_BRUTO,VALOR_NETO,VALOR_IVA) VALUES(807,1,165,1,2000,2000,1681,319);</v>
      </c>
    </row>
    <row r="1604" spans="1:12">
      <c r="A1604" s="114">
        <v>1</v>
      </c>
      <c r="B1604" s="114">
        <v>807</v>
      </c>
      <c r="C1604" s="139" t="s">
        <v>2294</v>
      </c>
      <c r="D1604" s="114" t="s">
        <v>2090</v>
      </c>
      <c r="E1604" s="114">
        <v>222</v>
      </c>
      <c r="F1604" s="114">
        <v>117</v>
      </c>
      <c r="G1604" s="114">
        <v>1</v>
      </c>
      <c r="H1604" s="114">
        <v>3500</v>
      </c>
      <c r="I1604" s="114">
        <v>3500</v>
      </c>
      <c r="J1604" s="114">
        <v>2941</v>
      </c>
      <c r="K1604" s="114">
        <v>559</v>
      </c>
      <c r="L1604" s="114" t="str">
        <f t="shared" si="25"/>
        <v>INSERT INTO DETALLES_DOCUMENTO(NRO_DOCUMENTO,ID_TIPO,ID_PRODUCTO,CANTIDAD,PRECIO,VALOR_BRUTO,VALOR_NETO,VALOR_IVA) VALUES(807,1,117,1,3500,3500,2941,559);</v>
      </c>
    </row>
    <row r="1605" spans="1:12">
      <c r="A1605" s="114">
        <v>1</v>
      </c>
      <c r="B1605" s="114">
        <v>808</v>
      </c>
      <c r="C1605" s="139" t="s">
        <v>2294</v>
      </c>
      <c r="D1605" s="114" t="s">
        <v>2090</v>
      </c>
      <c r="E1605" s="114">
        <v>300</v>
      </c>
      <c r="F1605" s="114">
        <v>230</v>
      </c>
      <c r="G1605" s="114">
        <v>1</v>
      </c>
      <c r="H1605" s="114">
        <v>16500</v>
      </c>
      <c r="I1605" s="114">
        <v>16500</v>
      </c>
      <c r="J1605" s="114">
        <v>13866</v>
      </c>
      <c r="K1605" s="114">
        <v>2634</v>
      </c>
      <c r="L1605" s="114" t="str">
        <f t="shared" si="25"/>
        <v>INSERT INTO DETALLES_DOCUMENTO(NRO_DOCUMENTO,ID_TIPO,ID_PRODUCTO,CANTIDAD,PRECIO,VALOR_BRUTO,VALOR_NETO,VALOR_IVA) VALUES(808,1,230,1,16500,16500,13866,2634);</v>
      </c>
    </row>
    <row r="1606" spans="1:12">
      <c r="A1606" s="114">
        <v>1</v>
      </c>
      <c r="B1606" s="114">
        <v>808</v>
      </c>
      <c r="C1606" s="139" t="s">
        <v>2294</v>
      </c>
      <c r="D1606" s="114" t="s">
        <v>2090</v>
      </c>
      <c r="E1606" s="114">
        <v>300</v>
      </c>
      <c r="F1606" s="114">
        <v>368</v>
      </c>
      <c r="G1606" s="114">
        <v>1</v>
      </c>
      <c r="H1606" s="114">
        <v>3000</v>
      </c>
      <c r="I1606" s="114">
        <v>3000</v>
      </c>
      <c r="J1606" s="114">
        <v>2521</v>
      </c>
      <c r="K1606" s="114">
        <v>479</v>
      </c>
      <c r="L1606" s="114" t="str">
        <f t="shared" si="25"/>
        <v>INSERT INTO DETALLES_DOCUMENTO(NRO_DOCUMENTO,ID_TIPO,ID_PRODUCTO,CANTIDAD,PRECIO,VALOR_BRUTO,VALOR_NETO,VALOR_IVA) VALUES(808,1,368,1,3000,3000,2521,479);</v>
      </c>
    </row>
    <row r="1607" spans="1:12">
      <c r="A1607" s="114">
        <v>1</v>
      </c>
      <c r="B1607" s="114">
        <v>808</v>
      </c>
      <c r="C1607" s="139" t="s">
        <v>2294</v>
      </c>
      <c r="D1607" s="114" t="s">
        <v>2090</v>
      </c>
      <c r="E1607" s="114">
        <v>300</v>
      </c>
      <c r="F1607" s="114">
        <v>329</v>
      </c>
      <c r="G1607" s="114">
        <v>1</v>
      </c>
      <c r="H1607" s="114">
        <v>5500</v>
      </c>
      <c r="I1607" s="114">
        <v>5500</v>
      </c>
      <c r="J1607" s="114">
        <v>4622</v>
      </c>
      <c r="K1607" s="114">
        <v>878</v>
      </c>
      <c r="L1607" s="114" t="str">
        <f t="shared" si="25"/>
        <v>INSERT INTO DETALLES_DOCUMENTO(NRO_DOCUMENTO,ID_TIPO,ID_PRODUCTO,CANTIDAD,PRECIO,VALOR_BRUTO,VALOR_NETO,VALOR_IVA) VALUES(808,1,329,1,5500,5500,4622,878);</v>
      </c>
    </row>
    <row r="1608" spans="1:12">
      <c r="A1608" s="114">
        <v>1</v>
      </c>
      <c r="B1608" s="114">
        <v>809</v>
      </c>
      <c r="C1608" s="139" t="s">
        <v>2294</v>
      </c>
      <c r="D1608" s="114" t="s">
        <v>2090</v>
      </c>
      <c r="E1608" s="114">
        <v>334</v>
      </c>
      <c r="F1608" s="114">
        <v>266</v>
      </c>
      <c r="G1608" s="114">
        <v>1</v>
      </c>
      <c r="H1608" s="114">
        <v>9500</v>
      </c>
      <c r="I1608" s="114">
        <v>9500</v>
      </c>
      <c r="J1608" s="114">
        <v>7983</v>
      </c>
      <c r="K1608" s="114">
        <v>1517</v>
      </c>
      <c r="L1608" s="114" t="str">
        <f t="shared" si="25"/>
        <v>INSERT INTO DETALLES_DOCUMENTO(NRO_DOCUMENTO,ID_TIPO,ID_PRODUCTO,CANTIDAD,PRECIO,VALOR_BRUTO,VALOR_NETO,VALOR_IVA) VALUES(809,1,266,1,9500,9500,7983,1517);</v>
      </c>
    </row>
    <row r="1609" spans="1:12">
      <c r="A1609" s="114">
        <v>1</v>
      </c>
      <c r="B1609" s="114">
        <v>809</v>
      </c>
      <c r="C1609" s="139" t="s">
        <v>2294</v>
      </c>
      <c r="D1609" s="114" t="s">
        <v>2090</v>
      </c>
      <c r="E1609" s="114">
        <v>334</v>
      </c>
      <c r="F1609" s="114">
        <v>45</v>
      </c>
      <c r="G1609" s="114">
        <v>1</v>
      </c>
      <c r="H1609" s="114">
        <v>1600</v>
      </c>
      <c r="I1609" s="114">
        <v>1600</v>
      </c>
      <c r="J1609" s="114">
        <v>1345</v>
      </c>
      <c r="K1609" s="114">
        <v>255</v>
      </c>
      <c r="L1609" s="114" t="str">
        <f t="shared" si="25"/>
        <v>INSERT INTO DETALLES_DOCUMENTO(NRO_DOCUMENTO,ID_TIPO,ID_PRODUCTO,CANTIDAD,PRECIO,VALOR_BRUTO,VALOR_NETO,VALOR_IVA) VALUES(809,1,45,1,1600,1600,1345,255);</v>
      </c>
    </row>
    <row r="1610" spans="1:12">
      <c r="A1610" s="114">
        <v>1</v>
      </c>
      <c r="B1610" s="114">
        <v>810</v>
      </c>
      <c r="C1610" s="139" t="s">
        <v>2294</v>
      </c>
      <c r="D1610" s="114" t="s">
        <v>2090</v>
      </c>
      <c r="E1610" s="114">
        <v>389</v>
      </c>
      <c r="F1610" s="114">
        <v>324</v>
      </c>
      <c r="G1610" s="114">
        <v>1</v>
      </c>
      <c r="H1610" s="114">
        <v>10500</v>
      </c>
      <c r="I1610" s="114">
        <v>10500</v>
      </c>
      <c r="J1610" s="114">
        <v>8824</v>
      </c>
      <c r="K1610" s="114">
        <v>1676</v>
      </c>
      <c r="L1610" s="114" t="str">
        <f t="shared" si="25"/>
        <v>INSERT INTO DETALLES_DOCUMENTO(NRO_DOCUMENTO,ID_TIPO,ID_PRODUCTO,CANTIDAD,PRECIO,VALOR_BRUTO,VALOR_NETO,VALOR_IVA) VALUES(810,1,324,1,10500,10500,8824,1676);</v>
      </c>
    </row>
    <row r="1611" spans="1:12">
      <c r="A1611" s="114">
        <v>1</v>
      </c>
      <c r="B1611" s="114">
        <v>811</v>
      </c>
      <c r="C1611" s="139" t="s">
        <v>2294</v>
      </c>
      <c r="D1611" s="114" t="s">
        <v>2090</v>
      </c>
      <c r="E1611" s="114">
        <v>452</v>
      </c>
      <c r="F1611" s="114">
        <v>135</v>
      </c>
      <c r="G1611" s="114">
        <v>3</v>
      </c>
      <c r="H1611" s="114">
        <v>3000</v>
      </c>
      <c r="I1611" s="114">
        <v>9000</v>
      </c>
      <c r="J1611" s="114">
        <v>7563</v>
      </c>
      <c r="K1611" s="114">
        <v>1437</v>
      </c>
      <c r="L1611" s="114" t="str">
        <f t="shared" si="25"/>
        <v>INSERT INTO DETALLES_DOCUMENTO(NRO_DOCUMENTO,ID_TIPO,ID_PRODUCTO,CANTIDAD,PRECIO,VALOR_BRUTO,VALOR_NETO,VALOR_IVA) VALUES(811,1,135,3,3000,9000,7563,1437);</v>
      </c>
    </row>
    <row r="1612" spans="1:12">
      <c r="A1612" s="114">
        <v>1</v>
      </c>
      <c r="B1612" s="114">
        <v>812</v>
      </c>
      <c r="C1612" s="139" t="s">
        <v>2295</v>
      </c>
      <c r="D1612" s="114" t="s">
        <v>2090</v>
      </c>
      <c r="E1612" s="114">
        <v>63</v>
      </c>
      <c r="F1612" s="114">
        <v>143</v>
      </c>
      <c r="G1612" s="114">
        <v>1</v>
      </c>
      <c r="H1612" s="114">
        <v>8000</v>
      </c>
      <c r="I1612" s="114">
        <v>8000</v>
      </c>
      <c r="J1612" s="114">
        <v>6723</v>
      </c>
      <c r="K1612" s="114">
        <v>1277</v>
      </c>
      <c r="L1612" s="114" t="str">
        <f t="shared" si="25"/>
        <v>INSERT INTO DETALLES_DOCUMENTO(NRO_DOCUMENTO,ID_TIPO,ID_PRODUCTO,CANTIDAD,PRECIO,VALOR_BRUTO,VALOR_NETO,VALOR_IVA) VALUES(812,1,143,1,8000,8000,6723,1277);</v>
      </c>
    </row>
    <row r="1613" spans="1:12">
      <c r="A1613" s="114">
        <v>1</v>
      </c>
      <c r="B1613" s="114">
        <v>813</v>
      </c>
      <c r="C1613" s="139" t="s">
        <v>2295</v>
      </c>
      <c r="D1613" s="114" t="s">
        <v>2090</v>
      </c>
      <c r="E1613" s="114">
        <v>134</v>
      </c>
      <c r="F1613" s="114">
        <v>143</v>
      </c>
      <c r="G1613" s="114">
        <v>1</v>
      </c>
      <c r="H1613" s="114">
        <v>8000</v>
      </c>
      <c r="I1613" s="114">
        <v>8000</v>
      </c>
      <c r="J1613" s="114">
        <v>6723</v>
      </c>
      <c r="K1613" s="114">
        <v>1277</v>
      </c>
      <c r="L1613" s="114" t="str">
        <f t="shared" si="25"/>
        <v>INSERT INTO DETALLES_DOCUMENTO(NRO_DOCUMENTO,ID_TIPO,ID_PRODUCTO,CANTIDAD,PRECIO,VALOR_BRUTO,VALOR_NETO,VALOR_IVA) VALUES(813,1,143,1,8000,8000,6723,1277);</v>
      </c>
    </row>
    <row r="1614" spans="1:12">
      <c r="A1614" s="114">
        <v>1</v>
      </c>
      <c r="B1614" s="114">
        <v>814</v>
      </c>
      <c r="C1614" s="139" t="s">
        <v>2295</v>
      </c>
      <c r="D1614" s="114" t="s">
        <v>2090</v>
      </c>
      <c r="E1614" s="114">
        <v>166</v>
      </c>
      <c r="F1614" s="114">
        <v>325</v>
      </c>
      <c r="G1614" s="114">
        <v>1</v>
      </c>
      <c r="H1614" s="114">
        <v>10000</v>
      </c>
      <c r="I1614" s="114">
        <v>10000</v>
      </c>
      <c r="J1614" s="114">
        <v>8403</v>
      </c>
      <c r="K1614" s="114">
        <v>1597</v>
      </c>
      <c r="L1614" s="114" t="str">
        <f t="shared" si="25"/>
        <v>INSERT INTO DETALLES_DOCUMENTO(NRO_DOCUMENTO,ID_TIPO,ID_PRODUCTO,CANTIDAD,PRECIO,VALOR_BRUTO,VALOR_NETO,VALOR_IVA) VALUES(814,1,325,1,10000,10000,8403,1597);</v>
      </c>
    </row>
    <row r="1615" spans="1:12">
      <c r="A1615" s="114">
        <v>1</v>
      </c>
      <c r="B1615" s="114">
        <v>815</v>
      </c>
      <c r="C1615" s="139" t="s">
        <v>2295</v>
      </c>
      <c r="D1615" s="114" t="s">
        <v>2090</v>
      </c>
      <c r="E1615" s="114">
        <v>216</v>
      </c>
      <c r="F1615" s="114">
        <v>226</v>
      </c>
      <c r="G1615" s="114">
        <v>1</v>
      </c>
      <c r="H1615" s="114">
        <v>22500</v>
      </c>
      <c r="I1615" s="114">
        <v>22500</v>
      </c>
      <c r="J1615" s="114">
        <v>18908</v>
      </c>
      <c r="K1615" s="114">
        <v>3592</v>
      </c>
      <c r="L1615" s="114" t="str">
        <f t="shared" si="25"/>
        <v>INSERT INTO DETALLES_DOCUMENTO(NRO_DOCUMENTO,ID_TIPO,ID_PRODUCTO,CANTIDAD,PRECIO,VALOR_BRUTO,VALOR_NETO,VALOR_IVA) VALUES(815,1,226,1,22500,22500,18908,3592);</v>
      </c>
    </row>
    <row r="1616" spans="1:12">
      <c r="A1616" s="114">
        <v>1</v>
      </c>
      <c r="B1616" s="114">
        <v>815</v>
      </c>
      <c r="C1616" s="139" t="s">
        <v>2295</v>
      </c>
      <c r="D1616" s="114" t="s">
        <v>2090</v>
      </c>
      <c r="E1616" s="114">
        <v>216</v>
      </c>
      <c r="F1616" s="114">
        <v>231</v>
      </c>
      <c r="G1616" s="114">
        <v>2</v>
      </c>
      <c r="H1616" s="114">
        <v>41799</v>
      </c>
      <c r="I1616" s="114">
        <v>83598</v>
      </c>
      <c r="J1616" s="114">
        <v>70250</v>
      </c>
      <c r="K1616" s="114">
        <v>13348</v>
      </c>
      <c r="L1616" s="114" t="str">
        <f t="shared" si="25"/>
        <v>INSERT INTO DETALLES_DOCUMENTO(NRO_DOCUMENTO,ID_TIPO,ID_PRODUCTO,CANTIDAD,PRECIO,VALOR_BRUTO,VALOR_NETO,VALOR_IVA) VALUES(815,1,231,2,41799,83598,70250,13348);</v>
      </c>
    </row>
    <row r="1617" spans="1:12">
      <c r="A1617" s="114">
        <v>1</v>
      </c>
      <c r="B1617" s="114">
        <v>816</v>
      </c>
      <c r="C1617" s="139" t="s">
        <v>2295</v>
      </c>
      <c r="D1617" s="114" t="s">
        <v>2090</v>
      </c>
      <c r="E1617" s="114">
        <v>219</v>
      </c>
      <c r="F1617" s="114">
        <v>143</v>
      </c>
      <c r="G1617" s="114">
        <v>2</v>
      </c>
      <c r="H1617" s="114">
        <v>16000</v>
      </c>
      <c r="I1617" s="114">
        <v>32000</v>
      </c>
      <c r="J1617" s="114">
        <v>26891</v>
      </c>
      <c r="K1617" s="114">
        <v>5109</v>
      </c>
      <c r="L1617" s="114" t="str">
        <f t="shared" si="25"/>
        <v>INSERT INTO DETALLES_DOCUMENTO(NRO_DOCUMENTO,ID_TIPO,ID_PRODUCTO,CANTIDAD,PRECIO,VALOR_BRUTO,VALOR_NETO,VALOR_IVA) VALUES(816,1,143,2,16000,32000,26891,5109);</v>
      </c>
    </row>
    <row r="1618" spans="1:12">
      <c r="A1618" s="114">
        <v>1</v>
      </c>
      <c r="B1618" s="114">
        <v>817</v>
      </c>
      <c r="C1618" s="139" t="s">
        <v>2295</v>
      </c>
      <c r="D1618" s="114" t="s">
        <v>2090</v>
      </c>
      <c r="E1618" s="114">
        <v>231</v>
      </c>
      <c r="F1618" s="114">
        <v>231</v>
      </c>
      <c r="G1618" s="114">
        <v>1</v>
      </c>
      <c r="H1618" s="114">
        <v>20900</v>
      </c>
      <c r="I1618" s="114">
        <v>20900</v>
      </c>
      <c r="J1618" s="114">
        <v>17563</v>
      </c>
      <c r="K1618" s="114">
        <v>3337</v>
      </c>
      <c r="L1618" s="114" t="str">
        <f t="shared" si="25"/>
        <v>INSERT INTO DETALLES_DOCUMENTO(NRO_DOCUMENTO,ID_TIPO,ID_PRODUCTO,CANTIDAD,PRECIO,VALOR_BRUTO,VALOR_NETO,VALOR_IVA) VALUES(817,1,231,1,20900,20900,17563,3337);</v>
      </c>
    </row>
    <row r="1619" spans="1:12">
      <c r="A1619" s="114">
        <v>1</v>
      </c>
      <c r="B1619" s="114">
        <v>818</v>
      </c>
      <c r="C1619" s="139" t="s">
        <v>2296</v>
      </c>
      <c r="D1619" s="115" t="s">
        <v>2093</v>
      </c>
      <c r="E1619" s="114">
        <v>56</v>
      </c>
      <c r="F1619" s="114">
        <v>143</v>
      </c>
      <c r="G1619" s="114">
        <v>1</v>
      </c>
      <c r="H1619" s="114">
        <v>8000</v>
      </c>
      <c r="I1619" s="114">
        <v>8000</v>
      </c>
      <c r="J1619" s="114">
        <v>6723</v>
      </c>
      <c r="K1619" s="114">
        <v>1277</v>
      </c>
      <c r="L1619" s="114" t="str">
        <f t="shared" si="25"/>
        <v>INSERT INTO DETALLES_DOCUMENTO(NRO_DOCUMENTO,ID_TIPO,ID_PRODUCTO,CANTIDAD,PRECIO,VALOR_BRUTO,VALOR_NETO,VALOR_IVA) VALUES(818,1,143,1,8000,8000,6723,1277);</v>
      </c>
    </row>
    <row r="1620" spans="1:12">
      <c r="A1620" s="114">
        <v>1</v>
      </c>
      <c r="B1620" s="114">
        <v>818</v>
      </c>
      <c r="C1620" s="139" t="s">
        <v>2296</v>
      </c>
      <c r="D1620" s="115" t="s">
        <v>2093</v>
      </c>
      <c r="E1620" s="114">
        <v>56</v>
      </c>
      <c r="F1620" s="114">
        <v>324</v>
      </c>
      <c r="G1620" s="114">
        <v>1</v>
      </c>
      <c r="H1620" s="114">
        <v>10500</v>
      </c>
      <c r="I1620" s="114">
        <v>10500</v>
      </c>
      <c r="J1620" s="114">
        <v>8824</v>
      </c>
      <c r="K1620" s="114">
        <v>1676</v>
      </c>
      <c r="L1620" s="114" t="str">
        <f t="shared" si="25"/>
        <v>INSERT INTO DETALLES_DOCUMENTO(NRO_DOCUMENTO,ID_TIPO,ID_PRODUCTO,CANTIDAD,PRECIO,VALOR_BRUTO,VALOR_NETO,VALOR_IVA) VALUES(818,1,324,1,10500,10500,8824,1676);</v>
      </c>
    </row>
    <row r="1621" spans="1:12">
      <c r="A1621" s="114">
        <v>1</v>
      </c>
      <c r="B1621" s="114">
        <v>819</v>
      </c>
      <c r="C1621" s="139" t="s">
        <v>2296</v>
      </c>
      <c r="D1621" s="114" t="s">
        <v>2090</v>
      </c>
      <c r="E1621" s="114">
        <v>164</v>
      </c>
      <c r="F1621" s="114">
        <v>231</v>
      </c>
      <c r="G1621" s="114">
        <v>1</v>
      </c>
      <c r="H1621" s="114">
        <v>20900</v>
      </c>
      <c r="I1621" s="114">
        <v>20900</v>
      </c>
      <c r="J1621" s="114">
        <v>17563</v>
      </c>
      <c r="K1621" s="114">
        <v>3337</v>
      </c>
      <c r="L1621" s="114" t="str">
        <f t="shared" si="25"/>
        <v>INSERT INTO DETALLES_DOCUMENTO(NRO_DOCUMENTO,ID_TIPO,ID_PRODUCTO,CANTIDAD,PRECIO,VALOR_BRUTO,VALOR_NETO,VALOR_IVA) VALUES(819,1,231,1,20900,20900,17563,3337);</v>
      </c>
    </row>
    <row r="1622" spans="1:12">
      <c r="A1622" s="114">
        <v>1</v>
      </c>
      <c r="B1622" s="114">
        <v>820</v>
      </c>
      <c r="C1622" s="139" t="s">
        <v>2296</v>
      </c>
      <c r="D1622" s="114" t="s">
        <v>2090</v>
      </c>
      <c r="E1622" s="114">
        <v>166</v>
      </c>
      <c r="F1622" s="114">
        <v>299</v>
      </c>
      <c r="G1622" s="114">
        <v>1</v>
      </c>
      <c r="H1622" s="114">
        <v>3200</v>
      </c>
      <c r="I1622" s="114">
        <v>3200</v>
      </c>
      <c r="J1622" s="114">
        <v>2689</v>
      </c>
      <c r="K1622" s="114">
        <v>511</v>
      </c>
      <c r="L1622" s="114" t="str">
        <f t="shared" si="25"/>
        <v>INSERT INTO DETALLES_DOCUMENTO(NRO_DOCUMENTO,ID_TIPO,ID_PRODUCTO,CANTIDAD,PRECIO,VALOR_BRUTO,VALOR_NETO,VALOR_IVA) VALUES(820,1,299,1,3200,3200,2689,511);</v>
      </c>
    </row>
    <row r="1623" spans="1:12">
      <c r="A1623" s="114">
        <v>1</v>
      </c>
      <c r="B1623" s="114">
        <v>821</v>
      </c>
      <c r="C1623" s="139" t="s">
        <v>2296</v>
      </c>
      <c r="D1623" s="114" t="s">
        <v>2090</v>
      </c>
      <c r="E1623" s="114">
        <v>230</v>
      </c>
      <c r="F1623" s="114">
        <v>118</v>
      </c>
      <c r="G1623" s="114">
        <v>1</v>
      </c>
      <c r="H1623" s="114">
        <v>3500</v>
      </c>
      <c r="I1623" s="114">
        <v>3500</v>
      </c>
      <c r="J1623" s="114">
        <v>2941</v>
      </c>
      <c r="K1623" s="114">
        <v>559</v>
      </c>
      <c r="L1623" s="114" t="str">
        <f t="shared" si="25"/>
        <v>INSERT INTO DETALLES_DOCUMENTO(NRO_DOCUMENTO,ID_TIPO,ID_PRODUCTO,CANTIDAD,PRECIO,VALOR_BRUTO,VALOR_NETO,VALOR_IVA) VALUES(821,1,118,1,3500,3500,2941,559);</v>
      </c>
    </row>
    <row r="1624" spans="1:12">
      <c r="A1624" s="114">
        <v>1</v>
      </c>
      <c r="B1624" s="114">
        <v>822</v>
      </c>
      <c r="C1624" s="139" t="s">
        <v>2296</v>
      </c>
      <c r="D1624" s="114" t="s">
        <v>2090</v>
      </c>
      <c r="E1624" s="114">
        <v>254</v>
      </c>
      <c r="F1624" s="114">
        <v>230</v>
      </c>
      <c r="G1624" s="114">
        <v>3</v>
      </c>
      <c r="H1624" s="114">
        <v>49500</v>
      </c>
      <c r="I1624" s="114">
        <v>148500</v>
      </c>
      <c r="J1624" s="114">
        <v>124790</v>
      </c>
      <c r="K1624" s="114">
        <v>23710</v>
      </c>
      <c r="L1624" s="114" t="str">
        <f t="shared" si="25"/>
        <v>INSERT INTO DETALLES_DOCUMENTO(NRO_DOCUMENTO,ID_TIPO,ID_PRODUCTO,CANTIDAD,PRECIO,VALOR_BRUTO,VALOR_NETO,VALOR_IVA) VALUES(822,1,230,3,49500,148500,124790,23710);</v>
      </c>
    </row>
    <row r="1625" spans="1:12">
      <c r="A1625" s="114">
        <v>1</v>
      </c>
      <c r="B1625" s="114">
        <v>823</v>
      </c>
      <c r="C1625" s="139" t="s">
        <v>2296</v>
      </c>
      <c r="D1625" s="114" t="s">
        <v>2090</v>
      </c>
      <c r="E1625" s="114">
        <v>278</v>
      </c>
      <c r="F1625" s="114">
        <v>231</v>
      </c>
      <c r="G1625" s="114">
        <v>1</v>
      </c>
      <c r="H1625" s="114">
        <v>20900</v>
      </c>
      <c r="I1625" s="114">
        <v>20900</v>
      </c>
      <c r="J1625" s="114">
        <v>17563</v>
      </c>
      <c r="K1625" s="114">
        <v>3337</v>
      </c>
      <c r="L1625" s="114" t="str">
        <f t="shared" si="25"/>
        <v>INSERT INTO DETALLES_DOCUMENTO(NRO_DOCUMENTO,ID_TIPO,ID_PRODUCTO,CANTIDAD,PRECIO,VALOR_BRUTO,VALOR_NETO,VALOR_IVA) VALUES(823,1,231,1,20900,20900,17563,3337);</v>
      </c>
    </row>
    <row r="1626" spans="1:12">
      <c r="A1626" s="114">
        <v>1</v>
      </c>
      <c r="B1626" s="114">
        <v>823</v>
      </c>
      <c r="C1626" s="139" t="s">
        <v>2296</v>
      </c>
      <c r="D1626" s="114" t="s">
        <v>2090</v>
      </c>
      <c r="E1626" s="114">
        <v>278</v>
      </c>
      <c r="F1626" s="114">
        <v>226</v>
      </c>
      <c r="G1626" s="114">
        <v>1</v>
      </c>
      <c r="H1626" s="114">
        <v>22500</v>
      </c>
      <c r="I1626" s="114">
        <v>22500</v>
      </c>
      <c r="J1626" s="114">
        <v>18908</v>
      </c>
      <c r="K1626" s="114">
        <v>3592</v>
      </c>
      <c r="L1626" s="114" t="str">
        <f t="shared" si="25"/>
        <v>INSERT INTO DETALLES_DOCUMENTO(NRO_DOCUMENTO,ID_TIPO,ID_PRODUCTO,CANTIDAD,PRECIO,VALOR_BRUTO,VALOR_NETO,VALOR_IVA) VALUES(823,1,226,1,22500,22500,18908,3592);</v>
      </c>
    </row>
    <row r="1627" spans="1:12">
      <c r="A1627" s="114">
        <v>1</v>
      </c>
      <c r="B1627" s="114">
        <v>823</v>
      </c>
      <c r="C1627" s="139" t="s">
        <v>2296</v>
      </c>
      <c r="D1627" s="114" t="s">
        <v>2090</v>
      </c>
      <c r="E1627" s="114">
        <v>278</v>
      </c>
      <c r="F1627" s="114">
        <v>264</v>
      </c>
      <c r="G1627" s="114">
        <v>1</v>
      </c>
      <c r="H1627" s="114">
        <v>5000</v>
      </c>
      <c r="I1627" s="114">
        <v>5000</v>
      </c>
      <c r="J1627" s="114">
        <v>4202</v>
      </c>
      <c r="K1627" s="114">
        <v>798</v>
      </c>
      <c r="L1627" s="114" t="str">
        <f t="shared" si="25"/>
        <v>INSERT INTO DETALLES_DOCUMENTO(NRO_DOCUMENTO,ID_TIPO,ID_PRODUCTO,CANTIDAD,PRECIO,VALOR_BRUTO,VALOR_NETO,VALOR_IVA) VALUES(823,1,264,1,5000,5000,4202,798);</v>
      </c>
    </row>
    <row r="1628" spans="1:12">
      <c r="A1628" s="114">
        <v>1</v>
      </c>
      <c r="B1628" s="114">
        <v>823</v>
      </c>
      <c r="C1628" s="139" t="s">
        <v>2296</v>
      </c>
      <c r="D1628" s="114" t="s">
        <v>2090</v>
      </c>
      <c r="E1628" s="114">
        <v>278</v>
      </c>
      <c r="F1628" s="114">
        <v>31</v>
      </c>
      <c r="G1628" s="114">
        <v>1</v>
      </c>
      <c r="H1628" s="114">
        <v>3400</v>
      </c>
      <c r="I1628" s="114">
        <v>3400</v>
      </c>
      <c r="J1628" s="114">
        <v>2857</v>
      </c>
      <c r="K1628" s="114">
        <v>543</v>
      </c>
      <c r="L1628" s="114" t="str">
        <f t="shared" si="25"/>
        <v>INSERT INTO DETALLES_DOCUMENTO(NRO_DOCUMENTO,ID_TIPO,ID_PRODUCTO,CANTIDAD,PRECIO,VALOR_BRUTO,VALOR_NETO,VALOR_IVA) VALUES(823,1,31,1,3400,3400,2857,543);</v>
      </c>
    </row>
    <row r="1629" spans="1:12">
      <c r="A1629" s="114">
        <v>1</v>
      </c>
      <c r="B1629" s="114">
        <v>823</v>
      </c>
      <c r="C1629" s="139" t="s">
        <v>2296</v>
      </c>
      <c r="D1629" s="114" t="s">
        <v>2090</v>
      </c>
      <c r="E1629" s="114">
        <v>278</v>
      </c>
      <c r="F1629" s="114">
        <v>259</v>
      </c>
      <c r="G1629" s="114">
        <v>1</v>
      </c>
      <c r="H1629" s="114">
        <v>4500</v>
      </c>
      <c r="I1629" s="114">
        <v>4500</v>
      </c>
      <c r="J1629" s="114">
        <v>3782</v>
      </c>
      <c r="K1629" s="114">
        <v>718</v>
      </c>
      <c r="L1629" s="114" t="str">
        <f t="shared" si="25"/>
        <v>INSERT INTO DETALLES_DOCUMENTO(NRO_DOCUMENTO,ID_TIPO,ID_PRODUCTO,CANTIDAD,PRECIO,VALOR_BRUTO,VALOR_NETO,VALOR_IVA) VALUES(823,1,259,1,4500,4500,3782,718);</v>
      </c>
    </row>
    <row r="1630" spans="1:12">
      <c r="A1630" s="114">
        <v>1</v>
      </c>
      <c r="B1630" s="114">
        <v>823</v>
      </c>
      <c r="C1630" s="139" t="s">
        <v>2296</v>
      </c>
      <c r="D1630" s="114" t="s">
        <v>2090</v>
      </c>
      <c r="E1630" s="114">
        <v>278</v>
      </c>
      <c r="F1630" s="114">
        <v>332</v>
      </c>
      <c r="G1630" s="114">
        <v>1</v>
      </c>
      <c r="H1630" s="114">
        <v>2600</v>
      </c>
      <c r="I1630" s="114">
        <v>2600</v>
      </c>
      <c r="J1630" s="114">
        <v>2185</v>
      </c>
      <c r="K1630" s="114">
        <v>415</v>
      </c>
      <c r="L1630" s="114" t="str">
        <f t="shared" si="25"/>
        <v>INSERT INTO DETALLES_DOCUMENTO(NRO_DOCUMENTO,ID_TIPO,ID_PRODUCTO,CANTIDAD,PRECIO,VALOR_BRUTO,VALOR_NETO,VALOR_IVA) VALUES(823,1,332,1,2600,2600,2185,415);</v>
      </c>
    </row>
    <row r="1631" spans="1:12">
      <c r="A1631" s="114">
        <v>1</v>
      </c>
      <c r="B1631" s="114">
        <v>823</v>
      </c>
      <c r="C1631" s="139" t="s">
        <v>2296</v>
      </c>
      <c r="D1631" s="114" t="s">
        <v>2090</v>
      </c>
      <c r="E1631" s="114">
        <v>278</v>
      </c>
      <c r="F1631" s="114">
        <v>99</v>
      </c>
      <c r="G1631" s="114">
        <v>1</v>
      </c>
      <c r="H1631" s="114">
        <v>1500</v>
      </c>
      <c r="I1631" s="114">
        <v>1500</v>
      </c>
      <c r="J1631" s="114">
        <v>1261</v>
      </c>
      <c r="K1631" s="114">
        <v>239</v>
      </c>
      <c r="L1631" s="114" t="str">
        <f t="shared" si="25"/>
        <v>INSERT INTO DETALLES_DOCUMENTO(NRO_DOCUMENTO,ID_TIPO,ID_PRODUCTO,CANTIDAD,PRECIO,VALOR_BRUTO,VALOR_NETO,VALOR_IVA) VALUES(823,1,99,1,1500,1500,1261,239);</v>
      </c>
    </row>
    <row r="1632" spans="1:12">
      <c r="A1632" s="114">
        <v>1</v>
      </c>
      <c r="B1632" s="114">
        <v>823</v>
      </c>
      <c r="C1632" s="139" t="s">
        <v>2296</v>
      </c>
      <c r="D1632" s="114" t="s">
        <v>2090</v>
      </c>
      <c r="E1632" s="114">
        <v>278</v>
      </c>
      <c r="F1632" s="114">
        <v>165</v>
      </c>
      <c r="G1632" s="114">
        <v>1</v>
      </c>
      <c r="H1632" s="114">
        <v>2000</v>
      </c>
      <c r="I1632" s="114">
        <v>2000</v>
      </c>
      <c r="J1632" s="114">
        <v>1681</v>
      </c>
      <c r="K1632" s="114">
        <v>319</v>
      </c>
      <c r="L1632" s="114" t="str">
        <f t="shared" si="25"/>
        <v>INSERT INTO DETALLES_DOCUMENTO(NRO_DOCUMENTO,ID_TIPO,ID_PRODUCTO,CANTIDAD,PRECIO,VALOR_BRUTO,VALOR_NETO,VALOR_IVA) VALUES(823,1,165,1,2000,2000,1681,319);</v>
      </c>
    </row>
    <row r="1633" spans="1:12">
      <c r="A1633" s="114">
        <v>1</v>
      </c>
      <c r="B1633" s="114">
        <v>823</v>
      </c>
      <c r="C1633" s="139" t="s">
        <v>2296</v>
      </c>
      <c r="D1633" s="114" t="s">
        <v>2090</v>
      </c>
      <c r="E1633" s="114">
        <v>278</v>
      </c>
      <c r="F1633" s="114">
        <v>143</v>
      </c>
      <c r="G1633" s="114">
        <v>1</v>
      </c>
      <c r="H1633" s="114">
        <v>8000</v>
      </c>
      <c r="I1633" s="114">
        <v>8000</v>
      </c>
      <c r="J1633" s="114">
        <v>6723</v>
      </c>
      <c r="K1633" s="114">
        <v>1277</v>
      </c>
      <c r="L1633" s="114" t="str">
        <f t="shared" si="25"/>
        <v>INSERT INTO DETALLES_DOCUMENTO(NRO_DOCUMENTO,ID_TIPO,ID_PRODUCTO,CANTIDAD,PRECIO,VALOR_BRUTO,VALOR_NETO,VALOR_IVA) VALUES(823,1,143,1,8000,8000,6723,1277);</v>
      </c>
    </row>
    <row r="1634" spans="1:12">
      <c r="A1634" s="114">
        <v>1</v>
      </c>
      <c r="B1634" s="114">
        <v>824</v>
      </c>
      <c r="C1634" s="139" t="s">
        <v>2296</v>
      </c>
      <c r="D1634" s="114" t="s">
        <v>2090</v>
      </c>
      <c r="E1634" s="114">
        <v>318</v>
      </c>
      <c r="F1634" s="114">
        <v>143</v>
      </c>
      <c r="G1634" s="114">
        <v>1</v>
      </c>
      <c r="H1634" s="114">
        <v>8000</v>
      </c>
      <c r="I1634" s="114">
        <v>8000</v>
      </c>
      <c r="J1634" s="114">
        <v>6723</v>
      </c>
      <c r="K1634" s="114">
        <v>1277</v>
      </c>
      <c r="L1634" s="114" t="str">
        <f t="shared" si="25"/>
        <v>INSERT INTO DETALLES_DOCUMENTO(NRO_DOCUMENTO,ID_TIPO,ID_PRODUCTO,CANTIDAD,PRECIO,VALOR_BRUTO,VALOR_NETO,VALOR_IVA) VALUES(824,1,143,1,8000,8000,6723,1277);</v>
      </c>
    </row>
    <row r="1635" spans="1:12">
      <c r="A1635" s="114">
        <v>1</v>
      </c>
      <c r="B1635" s="114">
        <v>825</v>
      </c>
      <c r="C1635" s="139" t="s">
        <v>2296</v>
      </c>
      <c r="D1635" s="115" t="s">
        <v>2093</v>
      </c>
      <c r="E1635" s="114">
        <v>451</v>
      </c>
      <c r="F1635" s="114">
        <v>143</v>
      </c>
      <c r="G1635" s="114">
        <v>1</v>
      </c>
      <c r="H1635" s="114">
        <v>8000</v>
      </c>
      <c r="I1635" s="114">
        <v>8000</v>
      </c>
      <c r="J1635" s="114">
        <v>6723</v>
      </c>
      <c r="K1635" s="114">
        <v>1277</v>
      </c>
      <c r="L1635" s="114" t="str">
        <f t="shared" si="25"/>
        <v>INSERT INTO DETALLES_DOCUMENTO(NRO_DOCUMENTO,ID_TIPO,ID_PRODUCTO,CANTIDAD,PRECIO,VALOR_BRUTO,VALOR_NETO,VALOR_IVA) VALUES(825,1,143,1,8000,8000,6723,1277);</v>
      </c>
    </row>
    <row r="1636" spans="1:12">
      <c r="A1636" s="114">
        <v>1</v>
      </c>
      <c r="B1636" s="114">
        <v>825</v>
      </c>
      <c r="C1636" s="139" t="s">
        <v>2296</v>
      </c>
      <c r="D1636" s="115" t="s">
        <v>2093</v>
      </c>
      <c r="E1636" s="114">
        <v>451</v>
      </c>
      <c r="F1636" s="114">
        <v>329</v>
      </c>
      <c r="G1636" s="114">
        <v>1</v>
      </c>
      <c r="H1636" s="114">
        <v>5500</v>
      </c>
      <c r="I1636" s="114">
        <v>5500</v>
      </c>
      <c r="J1636" s="114">
        <v>4622</v>
      </c>
      <c r="K1636" s="114">
        <v>878</v>
      </c>
      <c r="L1636" s="114" t="str">
        <f t="shared" si="25"/>
        <v>INSERT INTO DETALLES_DOCUMENTO(NRO_DOCUMENTO,ID_TIPO,ID_PRODUCTO,CANTIDAD,PRECIO,VALOR_BRUTO,VALOR_NETO,VALOR_IVA) VALUES(825,1,329,1,5500,5500,4622,878);</v>
      </c>
    </row>
    <row r="1637" spans="1:12">
      <c r="A1637" s="114">
        <v>1</v>
      </c>
      <c r="B1637" s="114">
        <v>826</v>
      </c>
      <c r="C1637" s="139" t="s">
        <v>2297</v>
      </c>
      <c r="D1637" s="114" t="s">
        <v>2090</v>
      </c>
      <c r="E1637" s="114">
        <v>147</v>
      </c>
      <c r="F1637" s="114">
        <v>143</v>
      </c>
      <c r="G1637" s="114">
        <v>1</v>
      </c>
      <c r="H1637" s="114">
        <v>8000</v>
      </c>
      <c r="I1637" s="114">
        <v>8000</v>
      </c>
      <c r="J1637" s="114">
        <v>6723</v>
      </c>
      <c r="K1637" s="114">
        <v>1277</v>
      </c>
      <c r="L1637" s="114" t="str">
        <f t="shared" si="25"/>
        <v>INSERT INTO DETALLES_DOCUMENTO(NRO_DOCUMENTO,ID_TIPO,ID_PRODUCTO,CANTIDAD,PRECIO,VALOR_BRUTO,VALOR_NETO,VALOR_IVA) VALUES(826,1,143,1,8000,8000,6723,1277);</v>
      </c>
    </row>
    <row r="1638" spans="1:12">
      <c r="A1638" s="114">
        <v>1</v>
      </c>
      <c r="B1638" s="114">
        <v>827</v>
      </c>
      <c r="C1638" s="139" t="s">
        <v>2297</v>
      </c>
      <c r="D1638" s="114" t="s">
        <v>2090</v>
      </c>
      <c r="E1638" s="114">
        <v>166</v>
      </c>
      <c r="F1638" s="114">
        <v>233</v>
      </c>
      <c r="G1638" s="114">
        <v>1</v>
      </c>
      <c r="H1638" s="114">
        <v>15990</v>
      </c>
      <c r="I1638" s="114">
        <v>15990</v>
      </c>
      <c r="J1638" s="114">
        <v>13437</v>
      </c>
      <c r="K1638" s="114">
        <v>2553</v>
      </c>
      <c r="L1638" s="114" t="str">
        <f t="shared" si="25"/>
        <v>INSERT INTO DETALLES_DOCUMENTO(NRO_DOCUMENTO,ID_TIPO,ID_PRODUCTO,CANTIDAD,PRECIO,VALOR_BRUTO,VALOR_NETO,VALOR_IVA) VALUES(827,1,233,1,15990,15990,13437,2553);</v>
      </c>
    </row>
    <row r="1639" spans="1:12">
      <c r="A1639" s="114">
        <v>1</v>
      </c>
      <c r="B1639" s="114">
        <v>827</v>
      </c>
      <c r="C1639" s="139" t="s">
        <v>2297</v>
      </c>
      <c r="D1639" s="114" t="s">
        <v>2090</v>
      </c>
      <c r="E1639" s="114">
        <v>166</v>
      </c>
      <c r="F1639" s="114">
        <v>29</v>
      </c>
      <c r="G1639" s="114">
        <v>1</v>
      </c>
      <c r="H1639" s="114">
        <v>1000</v>
      </c>
      <c r="I1639" s="114">
        <v>1000</v>
      </c>
      <c r="J1639" s="114">
        <v>840</v>
      </c>
      <c r="K1639" s="114">
        <v>160</v>
      </c>
      <c r="L1639" s="114" t="str">
        <f t="shared" si="25"/>
        <v>INSERT INTO DETALLES_DOCUMENTO(NRO_DOCUMENTO,ID_TIPO,ID_PRODUCTO,CANTIDAD,PRECIO,VALOR_BRUTO,VALOR_NETO,VALOR_IVA) VALUES(827,1,29,1,1000,1000,840,160);</v>
      </c>
    </row>
    <row r="1640" spans="1:12">
      <c r="A1640" s="114">
        <v>1</v>
      </c>
      <c r="B1640" s="114">
        <v>827</v>
      </c>
      <c r="C1640" s="139" t="s">
        <v>2297</v>
      </c>
      <c r="D1640" s="114" t="s">
        <v>2090</v>
      </c>
      <c r="E1640" s="114">
        <v>166</v>
      </c>
      <c r="F1640" s="114">
        <v>32</v>
      </c>
      <c r="G1640" s="114">
        <v>1</v>
      </c>
      <c r="H1640" s="114">
        <v>6500</v>
      </c>
      <c r="I1640" s="114">
        <v>6500</v>
      </c>
      <c r="J1640" s="114">
        <v>5462</v>
      </c>
      <c r="K1640" s="114">
        <v>1038</v>
      </c>
      <c r="L1640" s="114" t="str">
        <f t="shared" si="25"/>
        <v>INSERT INTO DETALLES_DOCUMENTO(NRO_DOCUMENTO,ID_TIPO,ID_PRODUCTO,CANTIDAD,PRECIO,VALOR_BRUTO,VALOR_NETO,VALOR_IVA) VALUES(827,1,32,1,6500,6500,5462,1038);</v>
      </c>
    </row>
    <row r="1641" spans="1:12">
      <c r="A1641" s="114">
        <v>1</v>
      </c>
      <c r="B1641" s="114">
        <v>828</v>
      </c>
      <c r="C1641" s="139" t="s">
        <v>2297</v>
      </c>
      <c r="D1641" s="114" t="s">
        <v>2090</v>
      </c>
      <c r="E1641" s="114">
        <v>322</v>
      </c>
      <c r="F1641" s="114">
        <v>124</v>
      </c>
      <c r="G1641" s="114">
        <v>1</v>
      </c>
      <c r="H1641" s="114">
        <v>4000</v>
      </c>
      <c r="I1641" s="114">
        <v>4000</v>
      </c>
      <c r="J1641" s="114">
        <v>3361</v>
      </c>
      <c r="K1641" s="114">
        <v>639</v>
      </c>
      <c r="L1641" s="114" t="str">
        <f t="shared" si="25"/>
        <v>INSERT INTO DETALLES_DOCUMENTO(NRO_DOCUMENTO,ID_TIPO,ID_PRODUCTO,CANTIDAD,PRECIO,VALOR_BRUTO,VALOR_NETO,VALOR_IVA) VALUES(828,1,124,1,4000,4000,3361,639);</v>
      </c>
    </row>
    <row r="1642" spans="1:12">
      <c r="A1642" s="114">
        <v>1</v>
      </c>
      <c r="B1642" s="114">
        <v>828</v>
      </c>
      <c r="C1642" s="139" t="s">
        <v>2297</v>
      </c>
      <c r="D1642" s="114" t="s">
        <v>2090</v>
      </c>
      <c r="E1642" s="114">
        <v>322</v>
      </c>
      <c r="F1642" s="114">
        <v>288</v>
      </c>
      <c r="G1642" s="114">
        <v>1</v>
      </c>
      <c r="H1642" s="114">
        <v>8500</v>
      </c>
      <c r="I1642" s="114">
        <v>8500</v>
      </c>
      <c r="J1642" s="114">
        <v>7143</v>
      </c>
      <c r="K1642" s="114">
        <v>1357</v>
      </c>
      <c r="L1642" s="114" t="str">
        <f t="shared" si="25"/>
        <v>INSERT INTO DETALLES_DOCUMENTO(NRO_DOCUMENTO,ID_TIPO,ID_PRODUCTO,CANTIDAD,PRECIO,VALOR_BRUTO,VALOR_NETO,VALOR_IVA) VALUES(828,1,288,1,8500,8500,7143,1357);</v>
      </c>
    </row>
    <row r="1643" spans="1:12">
      <c r="A1643" s="114">
        <v>1</v>
      </c>
      <c r="B1643" s="114">
        <v>829</v>
      </c>
      <c r="C1643" s="139" t="s">
        <v>2297</v>
      </c>
      <c r="D1643" s="114" t="s">
        <v>2090</v>
      </c>
      <c r="E1643" s="114">
        <v>328</v>
      </c>
      <c r="F1643" s="114">
        <v>230</v>
      </c>
      <c r="G1643" s="114">
        <v>1</v>
      </c>
      <c r="H1643" s="114">
        <v>16500</v>
      </c>
      <c r="I1643" s="114">
        <v>16500</v>
      </c>
      <c r="J1643" s="114">
        <v>13866</v>
      </c>
      <c r="K1643" s="114">
        <v>2634</v>
      </c>
      <c r="L1643" s="114" t="str">
        <f t="shared" si="25"/>
        <v>INSERT INTO DETALLES_DOCUMENTO(NRO_DOCUMENTO,ID_TIPO,ID_PRODUCTO,CANTIDAD,PRECIO,VALOR_BRUTO,VALOR_NETO,VALOR_IVA) VALUES(829,1,230,1,16500,16500,13866,2634);</v>
      </c>
    </row>
    <row r="1644" spans="1:12">
      <c r="A1644" s="114">
        <v>1</v>
      </c>
      <c r="B1644" s="114">
        <v>829</v>
      </c>
      <c r="C1644" s="139" t="s">
        <v>2297</v>
      </c>
      <c r="D1644" s="114" t="s">
        <v>2090</v>
      </c>
      <c r="E1644" s="114">
        <v>328</v>
      </c>
      <c r="F1644" s="114">
        <v>126</v>
      </c>
      <c r="G1644" s="114">
        <v>1</v>
      </c>
      <c r="H1644" s="114">
        <v>9000</v>
      </c>
      <c r="I1644" s="114">
        <v>9000</v>
      </c>
      <c r="J1644" s="114">
        <v>7563</v>
      </c>
      <c r="K1644" s="114">
        <v>1437</v>
      </c>
      <c r="L1644" s="114" t="str">
        <f t="shared" si="25"/>
        <v>INSERT INTO DETALLES_DOCUMENTO(NRO_DOCUMENTO,ID_TIPO,ID_PRODUCTO,CANTIDAD,PRECIO,VALOR_BRUTO,VALOR_NETO,VALOR_IVA) VALUES(829,1,126,1,9000,9000,7563,1437);</v>
      </c>
    </row>
    <row r="1645" spans="1:12">
      <c r="A1645" s="114">
        <v>1</v>
      </c>
      <c r="B1645" s="114">
        <v>830</v>
      </c>
      <c r="C1645" s="139" t="s">
        <v>2297</v>
      </c>
      <c r="D1645" s="114" t="s">
        <v>2090</v>
      </c>
      <c r="E1645" s="114">
        <v>334</v>
      </c>
      <c r="F1645" s="114">
        <v>167</v>
      </c>
      <c r="G1645" s="114">
        <v>1</v>
      </c>
      <c r="H1645" s="114">
        <v>8200</v>
      </c>
      <c r="I1645" s="114">
        <v>8200</v>
      </c>
      <c r="J1645" s="114">
        <v>6891</v>
      </c>
      <c r="K1645" s="114">
        <v>1309</v>
      </c>
      <c r="L1645" s="114" t="str">
        <f t="shared" si="25"/>
        <v>INSERT INTO DETALLES_DOCUMENTO(NRO_DOCUMENTO,ID_TIPO,ID_PRODUCTO,CANTIDAD,PRECIO,VALOR_BRUTO,VALOR_NETO,VALOR_IVA) VALUES(830,1,167,1,8200,8200,6891,1309);</v>
      </c>
    </row>
    <row r="1646" spans="1:12">
      <c r="A1646" s="114">
        <v>1</v>
      </c>
      <c r="B1646" s="114">
        <v>831</v>
      </c>
      <c r="C1646" s="139" t="s">
        <v>2297</v>
      </c>
      <c r="D1646" s="114" t="s">
        <v>2090</v>
      </c>
      <c r="E1646" s="114">
        <v>363</v>
      </c>
      <c r="F1646" s="114">
        <v>143</v>
      </c>
      <c r="G1646" s="114">
        <v>1</v>
      </c>
      <c r="H1646" s="114">
        <v>8000</v>
      </c>
      <c r="I1646" s="114">
        <v>8000</v>
      </c>
      <c r="J1646" s="114">
        <v>6723</v>
      </c>
      <c r="K1646" s="114">
        <v>1277</v>
      </c>
      <c r="L1646" s="114" t="str">
        <f t="shared" si="25"/>
        <v>INSERT INTO DETALLES_DOCUMENTO(NRO_DOCUMENTO,ID_TIPO,ID_PRODUCTO,CANTIDAD,PRECIO,VALOR_BRUTO,VALOR_NETO,VALOR_IVA) VALUES(831,1,143,1,8000,8000,6723,1277);</v>
      </c>
    </row>
    <row r="1647" spans="1:12">
      <c r="A1647" s="114">
        <v>1</v>
      </c>
      <c r="B1647" s="114">
        <v>832</v>
      </c>
      <c r="C1647" s="139" t="s">
        <v>2297</v>
      </c>
      <c r="D1647" s="114" t="s">
        <v>2090</v>
      </c>
      <c r="E1647" s="114">
        <v>402</v>
      </c>
      <c r="F1647" s="114">
        <v>143</v>
      </c>
      <c r="G1647" s="114">
        <v>1</v>
      </c>
      <c r="H1647" s="114">
        <v>8000</v>
      </c>
      <c r="I1647" s="114">
        <v>8000</v>
      </c>
      <c r="J1647" s="114">
        <v>6723</v>
      </c>
      <c r="K1647" s="114">
        <v>1277</v>
      </c>
      <c r="L1647" s="114" t="str">
        <f t="shared" si="25"/>
        <v>INSERT INTO DETALLES_DOCUMENTO(NRO_DOCUMENTO,ID_TIPO,ID_PRODUCTO,CANTIDAD,PRECIO,VALOR_BRUTO,VALOR_NETO,VALOR_IVA) VALUES(832,1,143,1,8000,8000,6723,1277);</v>
      </c>
    </row>
    <row r="1648" spans="1:12">
      <c r="A1648" s="114">
        <v>1</v>
      </c>
      <c r="B1648" s="114">
        <v>833</v>
      </c>
      <c r="C1648" s="139" t="s">
        <v>2297</v>
      </c>
      <c r="D1648" s="114" t="s">
        <v>2090</v>
      </c>
      <c r="E1648" s="114">
        <v>405</v>
      </c>
      <c r="F1648" s="114">
        <v>233</v>
      </c>
      <c r="G1648" s="114">
        <v>1</v>
      </c>
      <c r="H1648" s="114">
        <v>15990</v>
      </c>
      <c r="I1648" s="114">
        <v>15990</v>
      </c>
      <c r="J1648" s="114">
        <v>13437</v>
      </c>
      <c r="K1648" s="114">
        <v>2553</v>
      </c>
      <c r="L1648" s="114" t="str">
        <f t="shared" si="25"/>
        <v>INSERT INTO DETALLES_DOCUMENTO(NRO_DOCUMENTO,ID_TIPO,ID_PRODUCTO,CANTIDAD,PRECIO,VALOR_BRUTO,VALOR_NETO,VALOR_IVA) VALUES(833,1,233,1,15990,15990,13437,2553);</v>
      </c>
    </row>
    <row r="1649" spans="1:12">
      <c r="A1649" s="114">
        <v>1</v>
      </c>
      <c r="B1649" s="114">
        <v>834</v>
      </c>
      <c r="C1649" s="139" t="s">
        <v>2298</v>
      </c>
      <c r="D1649" s="114" t="s">
        <v>2090</v>
      </c>
      <c r="E1649" s="114">
        <v>158</v>
      </c>
      <c r="F1649" s="114">
        <v>231</v>
      </c>
      <c r="G1649" s="114">
        <v>1</v>
      </c>
      <c r="H1649" s="114">
        <v>20900</v>
      </c>
      <c r="I1649" s="114">
        <v>20900</v>
      </c>
      <c r="J1649" s="114">
        <v>17563</v>
      </c>
      <c r="K1649" s="114">
        <v>3337</v>
      </c>
      <c r="L1649" s="114" t="str">
        <f t="shared" si="25"/>
        <v>INSERT INTO DETALLES_DOCUMENTO(NRO_DOCUMENTO,ID_TIPO,ID_PRODUCTO,CANTIDAD,PRECIO,VALOR_BRUTO,VALOR_NETO,VALOR_IVA) VALUES(834,1,231,1,20900,20900,17563,3337);</v>
      </c>
    </row>
    <row r="1650" spans="1:12">
      <c r="A1650" s="114">
        <v>1</v>
      </c>
      <c r="B1650" s="114">
        <v>834</v>
      </c>
      <c r="C1650" s="139" t="s">
        <v>2298</v>
      </c>
      <c r="D1650" s="114" t="s">
        <v>2090</v>
      </c>
      <c r="E1650" s="114">
        <v>158</v>
      </c>
      <c r="F1650" s="114">
        <v>324</v>
      </c>
      <c r="G1650" s="114">
        <v>1</v>
      </c>
      <c r="H1650" s="114">
        <v>10500</v>
      </c>
      <c r="I1650" s="114">
        <v>10500</v>
      </c>
      <c r="J1650" s="114">
        <v>8824</v>
      </c>
      <c r="K1650" s="114">
        <v>1676</v>
      </c>
      <c r="L1650" s="114" t="str">
        <f t="shared" si="25"/>
        <v>INSERT INTO DETALLES_DOCUMENTO(NRO_DOCUMENTO,ID_TIPO,ID_PRODUCTO,CANTIDAD,PRECIO,VALOR_BRUTO,VALOR_NETO,VALOR_IVA) VALUES(834,1,324,1,10500,10500,8824,1676);</v>
      </c>
    </row>
    <row r="1651" spans="1:12">
      <c r="A1651" s="114">
        <v>1</v>
      </c>
      <c r="B1651" s="114">
        <v>835</v>
      </c>
      <c r="C1651" s="139" t="s">
        <v>2298</v>
      </c>
      <c r="D1651" s="114" t="s">
        <v>2090</v>
      </c>
      <c r="E1651" s="114">
        <v>159</v>
      </c>
      <c r="F1651" s="114">
        <v>231</v>
      </c>
      <c r="G1651" s="114">
        <v>1</v>
      </c>
      <c r="H1651" s="114">
        <v>20900</v>
      </c>
      <c r="I1651" s="114">
        <v>20900</v>
      </c>
      <c r="J1651" s="114">
        <v>17563</v>
      </c>
      <c r="K1651" s="114">
        <v>3337</v>
      </c>
      <c r="L1651" s="114" t="str">
        <f t="shared" si="25"/>
        <v>INSERT INTO DETALLES_DOCUMENTO(NRO_DOCUMENTO,ID_TIPO,ID_PRODUCTO,CANTIDAD,PRECIO,VALOR_BRUTO,VALOR_NETO,VALOR_IVA) VALUES(835,1,231,1,20900,20900,17563,3337);</v>
      </c>
    </row>
    <row r="1652" spans="1:12">
      <c r="A1652" s="114">
        <v>1</v>
      </c>
      <c r="B1652" s="114">
        <v>835</v>
      </c>
      <c r="C1652" s="139" t="s">
        <v>2298</v>
      </c>
      <c r="D1652" s="114" t="s">
        <v>2090</v>
      </c>
      <c r="E1652" s="114">
        <v>159</v>
      </c>
      <c r="F1652" s="114">
        <v>157</v>
      </c>
      <c r="G1652" s="114">
        <v>1</v>
      </c>
      <c r="H1652" s="114">
        <v>4300</v>
      </c>
      <c r="I1652" s="114">
        <v>4300</v>
      </c>
      <c r="J1652" s="114">
        <v>3613</v>
      </c>
      <c r="K1652" s="114">
        <v>687</v>
      </c>
      <c r="L1652" s="114" t="str">
        <f t="shared" si="25"/>
        <v>INSERT INTO DETALLES_DOCUMENTO(NRO_DOCUMENTO,ID_TIPO,ID_PRODUCTO,CANTIDAD,PRECIO,VALOR_BRUTO,VALOR_NETO,VALOR_IVA) VALUES(835,1,157,1,4300,4300,3613,687);</v>
      </c>
    </row>
    <row r="1653" spans="1:12">
      <c r="A1653" s="114">
        <v>1</v>
      </c>
      <c r="B1653" s="114">
        <v>836</v>
      </c>
      <c r="C1653" s="139" t="s">
        <v>2298</v>
      </c>
      <c r="D1653" s="114" t="s">
        <v>2094</v>
      </c>
      <c r="E1653" s="114">
        <v>184</v>
      </c>
      <c r="F1653" s="114">
        <v>143</v>
      </c>
      <c r="G1653" s="114">
        <v>1</v>
      </c>
      <c r="H1653" s="114">
        <v>8000</v>
      </c>
      <c r="I1653" s="114">
        <v>8000</v>
      </c>
      <c r="J1653" s="114">
        <v>6723</v>
      </c>
      <c r="K1653" s="114">
        <v>1277</v>
      </c>
      <c r="L1653" s="114" t="str">
        <f t="shared" si="25"/>
        <v>INSERT INTO DETALLES_DOCUMENTO(NRO_DOCUMENTO,ID_TIPO,ID_PRODUCTO,CANTIDAD,PRECIO,VALOR_BRUTO,VALOR_NETO,VALOR_IVA) VALUES(836,1,143,1,8000,8000,6723,1277);</v>
      </c>
    </row>
    <row r="1654" spans="1:12">
      <c r="A1654" s="114">
        <v>1</v>
      </c>
      <c r="B1654" s="114">
        <v>837</v>
      </c>
      <c r="C1654" s="139" t="s">
        <v>2298</v>
      </c>
      <c r="D1654" s="114" t="s">
        <v>2090</v>
      </c>
      <c r="E1654" s="114">
        <v>284</v>
      </c>
      <c r="F1654" s="114">
        <v>51</v>
      </c>
      <c r="G1654" s="114">
        <v>2</v>
      </c>
      <c r="H1654" s="114">
        <v>8400</v>
      </c>
      <c r="I1654" s="114">
        <v>16800</v>
      </c>
      <c r="J1654" s="114">
        <v>14118</v>
      </c>
      <c r="K1654" s="114">
        <v>2682</v>
      </c>
      <c r="L1654" s="114" t="str">
        <f t="shared" si="25"/>
        <v>INSERT INTO DETALLES_DOCUMENTO(NRO_DOCUMENTO,ID_TIPO,ID_PRODUCTO,CANTIDAD,PRECIO,VALOR_BRUTO,VALOR_NETO,VALOR_IVA) VALUES(837,1,51,2,8400,16800,14118,2682);</v>
      </c>
    </row>
    <row r="1655" spans="1:12">
      <c r="A1655" s="114">
        <v>1</v>
      </c>
      <c r="B1655" s="114">
        <v>838</v>
      </c>
      <c r="C1655" s="139" t="s">
        <v>2298</v>
      </c>
      <c r="D1655" s="114" t="s">
        <v>2090</v>
      </c>
      <c r="E1655" s="114">
        <v>302</v>
      </c>
      <c r="F1655" s="114">
        <v>324</v>
      </c>
      <c r="G1655" s="114">
        <v>1</v>
      </c>
      <c r="H1655" s="114">
        <v>10500</v>
      </c>
      <c r="I1655" s="114">
        <v>10500</v>
      </c>
      <c r="J1655" s="114">
        <v>8824</v>
      </c>
      <c r="K1655" s="114">
        <v>1676</v>
      </c>
      <c r="L1655" s="114" t="str">
        <f t="shared" si="25"/>
        <v>INSERT INTO DETALLES_DOCUMENTO(NRO_DOCUMENTO,ID_TIPO,ID_PRODUCTO,CANTIDAD,PRECIO,VALOR_BRUTO,VALOR_NETO,VALOR_IVA) VALUES(838,1,324,1,10500,10500,8824,1676);</v>
      </c>
    </row>
    <row r="1656" spans="1:12">
      <c r="A1656" s="114">
        <v>1</v>
      </c>
      <c r="B1656" s="114">
        <v>839</v>
      </c>
      <c r="C1656" s="139" t="s">
        <v>2298</v>
      </c>
      <c r="D1656" s="114" t="s">
        <v>2090</v>
      </c>
      <c r="E1656" s="114">
        <v>386</v>
      </c>
      <c r="F1656" s="114">
        <v>231</v>
      </c>
      <c r="G1656" s="114">
        <v>1</v>
      </c>
      <c r="H1656" s="114">
        <v>20900</v>
      </c>
      <c r="I1656" s="114">
        <v>20900</v>
      </c>
      <c r="J1656" s="114">
        <v>17563</v>
      </c>
      <c r="K1656" s="114">
        <v>3337</v>
      </c>
      <c r="L1656" s="114" t="str">
        <f t="shared" si="25"/>
        <v>INSERT INTO DETALLES_DOCUMENTO(NRO_DOCUMENTO,ID_TIPO,ID_PRODUCTO,CANTIDAD,PRECIO,VALOR_BRUTO,VALOR_NETO,VALOR_IVA) VALUES(839,1,231,1,20900,20900,17563,3337);</v>
      </c>
    </row>
    <row r="1657" spans="1:12">
      <c r="A1657" s="114">
        <v>1</v>
      </c>
      <c r="B1657" s="114">
        <v>839</v>
      </c>
      <c r="C1657" s="139" t="s">
        <v>2298</v>
      </c>
      <c r="D1657" s="114" t="s">
        <v>2090</v>
      </c>
      <c r="E1657" s="114">
        <v>386</v>
      </c>
      <c r="F1657" s="114">
        <v>244</v>
      </c>
      <c r="G1657" s="114">
        <v>1</v>
      </c>
      <c r="H1657" s="114">
        <v>14900</v>
      </c>
      <c r="I1657" s="114">
        <v>14900</v>
      </c>
      <c r="J1657" s="114">
        <v>12521</v>
      </c>
      <c r="K1657" s="114">
        <v>2379</v>
      </c>
      <c r="L1657" s="114" t="str">
        <f t="shared" si="25"/>
        <v>INSERT INTO DETALLES_DOCUMENTO(NRO_DOCUMENTO,ID_TIPO,ID_PRODUCTO,CANTIDAD,PRECIO,VALOR_BRUTO,VALOR_NETO,VALOR_IVA) VALUES(839,1,244,1,14900,14900,12521,2379);</v>
      </c>
    </row>
    <row r="1658" spans="1:12">
      <c r="A1658" s="114">
        <v>1</v>
      </c>
      <c r="B1658" s="114">
        <v>839</v>
      </c>
      <c r="C1658" s="139" t="s">
        <v>2298</v>
      </c>
      <c r="D1658" s="114" t="s">
        <v>2090</v>
      </c>
      <c r="E1658" s="114">
        <v>386</v>
      </c>
      <c r="F1658" s="114">
        <v>126</v>
      </c>
      <c r="G1658" s="114">
        <v>1</v>
      </c>
      <c r="H1658" s="114">
        <v>9000</v>
      </c>
      <c r="I1658" s="114">
        <v>9000</v>
      </c>
      <c r="J1658" s="114">
        <v>7563</v>
      </c>
      <c r="K1658" s="114">
        <v>1437</v>
      </c>
      <c r="L1658" s="114" t="str">
        <f t="shared" si="25"/>
        <v>INSERT INTO DETALLES_DOCUMENTO(NRO_DOCUMENTO,ID_TIPO,ID_PRODUCTO,CANTIDAD,PRECIO,VALOR_BRUTO,VALOR_NETO,VALOR_IVA) VALUES(839,1,126,1,9000,9000,7563,1437);</v>
      </c>
    </row>
    <row r="1659" spans="1:12">
      <c r="A1659" s="114">
        <v>1</v>
      </c>
      <c r="B1659" s="114">
        <v>840</v>
      </c>
      <c r="C1659" s="139" t="s">
        <v>2299</v>
      </c>
      <c r="D1659" s="114" t="s">
        <v>2090</v>
      </c>
      <c r="E1659" s="114">
        <v>41</v>
      </c>
      <c r="F1659" s="114">
        <v>143</v>
      </c>
      <c r="G1659" s="114">
        <v>2</v>
      </c>
      <c r="H1659" s="114">
        <v>16000</v>
      </c>
      <c r="I1659" s="114">
        <v>32000</v>
      </c>
      <c r="J1659" s="114">
        <v>26891</v>
      </c>
      <c r="K1659" s="114">
        <v>5109</v>
      </c>
      <c r="L1659" s="114" t="str">
        <f t="shared" si="25"/>
        <v>INSERT INTO DETALLES_DOCUMENTO(NRO_DOCUMENTO,ID_TIPO,ID_PRODUCTO,CANTIDAD,PRECIO,VALOR_BRUTO,VALOR_NETO,VALOR_IVA) VALUES(840,1,143,2,16000,32000,26891,5109);</v>
      </c>
    </row>
    <row r="1660" spans="1:12">
      <c r="A1660" s="114">
        <v>1</v>
      </c>
      <c r="B1660" s="114">
        <v>841</v>
      </c>
      <c r="C1660" s="139" t="s">
        <v>2299</v>
      </c>
      <c r="D1660" s="114" t="s">
        <v>2090</v>
      </c>
      <c r="E1660" s="114">
        <v>82</v>
      </c>
      <c r="F1660" s="114">
        <v>324</v>
      </c>
      <c r="G1660" s="114">
        <v>1</v>
      </c>
      <c r="H1660" s="114">
        <v>10500</v>
      </c>
      <c r="I1660" s="114">
        <v>10500</v>
      </c>
      <c r="J1660" s="114">
        <v>8824</v>
      </c>
      <c r="K1660" s="114">
        <v>1676</v>
      </c>
      <c r="L1660" s="114" t="str">
        <f t="shared" si="25"/>
        <v>INSERT INTO DETALLES_DOCUMENTO(NRO_DOCUMENTO,ID_TIPO,ID_PRODUCTO,CANTIDAD,PRECIO,VALOR_BRUTO,VALOR_NETO,VALOR_IVA) VALUES(841,1,324,1,10500,10500,8824,1676);</v>
      </c>
    </row>
    <row r="1661" spans="1:12">
      <c r="A1661" s="114">
        <v>1</v>
      </c>
      <c r="B1661" s="114">
        <v>841</v>
      </c>
      <c r="C1661" s="139" t="s">
        <v>2299</v>
      </c>
      <c r="D1661" s="114" t="s">
        <v>2090</v>
      </c>
      <c r="E1661" s="114">
        <v>82</v>
      </c>
      <c r="F1661" s="114">
        <v>329</v>
      </c>
      <c r="G1661" s="114">
        <v>1</v>
      </c>
      <c r="H1661" s="114">
        <v>5500</v>
      </c>
      <c r="I1661" s="114">
        <v>5500</v>
      </c>
      <c r="J1661" s="114">
        <v>4622</v>
      </c>
      <c r="K1661" s="114">
        <v>878</v>
      </c>
      <c r="L1661" s="114" t="str">
        <f t="shared" si="25"/>
        <v>INSERT INTO DETALLES_DOCUMENTO(NRO_DOCUMENTO,ID_TIPO,ID_PRODUCTO,CANTIDAD,PRECIO,VALOR_BRUTO,VALOR_NETO,VALOR_IVA) VALUES(841,1,329,1,5500,5500,4622,878);</v>
      </c>
    </row>
    <row r="1662" spans="1:12">
      <c r="A1662" s="114">
        <v>1</v>
      </c>
      <c r="B1662" s="114">
        <v>842</v>
      </c>
      <c r="C1662" s="139" t="s">
        <v>2299</v>
      </c>
      <c r="D1662" s="114" t="s">
        <v>2090</v>
      </c>
      <c r="E1662" s="114">
        <v>166</v>
      </c>
      <c r="F1662" s="114">
        <v>324</v>
      </c>
      <c r="G1662" s="114">
        <v>1</v>
      </c>
      <c r="H1662" s="114">
        <v>10500</v>
      </c>
      <c r="I1662" s="114">
        <v>10500</v>
      </c>
      <c r="J1662" s="114">
        <v>8824</v>
      </c>
      <c r="K1662" s="114">
        <v>1676</v>
      </c>
      <c r="L1662" s="114" t="str">
        <f t="shared" si="25"/>
        <v>INSERT INTO DETALLES_DOCUMENTO(NRO_DOCUMENTO,ID_TIPO,ID_PRODUCTO,CANTIDAD,PRECIO,VALOR_BRUTO,VALOR_NETO,VALOR_IVA) VALUES(842,1,324,1,10500,10500,8824,1676);</v>
      </c>
    </row>
    <row r="1663" spans="1:12">
      <c r="A1663" s="114">
        <v>1</v>
      </c>
      <c r="B1663" s="114">
        <v>842</v>
      </c>
      <c r="C1663" s="139" t="s">
        <v>2299</v>
      </c>
      <c r="D1663" s="114" t="s">
        <v>2090</v>
      </c>
      <c r="E1663" s="114">
        <v>166</v>
      </c>
      <c r="F1663" s="114">
        <v>331</v>
      </c>
      <c r="G1663" s="114">
        <v>1</v>
      </c>
      <c r="H1663" s="114">
        <v>3700</v>
      </c>
      <c r="I1663" s="114">
        <v>3700</v>
      </c>
      <c r="J1663" s="114">
        <v>3109</v>
      </c>
      <c r="K1663" s="114">
        <v>591</v>
      </c>
      <c r="L1663" s="114" t="str">
        <f t="shared" si="25"/>
        <v>INSERT INTO DETALLES_DOCUMENTO(NRO_DOCUMENTO,ID_TIPO,ID_PRODUCTO,CANTIDAD,PRECIO,VALOR_BRUTO,VALOR_NETO,VALOR_IVA) VALUES(842,1,331,1,3700,3700,3109,591);</v>
      </c>
    </row>
    <row r="1664" spans="1:12">
      <c r="A1664" s="114">
        <v>1</v>
      </c>
      <c r="B1664" s="114">
        <v>842</v>
      </c>
      <c r="C1664" s="139" t="s">
        <v>2299</v>
      </c>
      <c r="D1664" s="114" t="s">
        <v>2090</v>
      </c>
      <c r="E1664" s="114">
        <v>166</v>
      </c>
      <c r="F1664" s="114">
        <v>254</v>
      </c>
      <c r="G1664" s="114">
        <v>1</v>
      </c>
      <c r="H1664" s="114">
        <v>2000</v>
      </c>
      <c r="I1664" s="114">
        <v>2000</v>
      </c>
      <c r="J1664" s="114">
        <v>1681</v>
      </c>
      <c r="K1664" s="114">
        <v>319</v>
      </c>
      <c r="L1664" s="114" t="str">
        <f t="shared" si="25"/>
        <v>INSERT INTO DETALLES_DOCUMENTO(NRO_DOCUMENTO,ID_TIPO,ID_PRODUCTO,CANTIDAD,PRECIO,VALOR_BRUTO,VALOR_NETO,VALOR_IVA) VALUES(842,1,254,1,2000,2000,1681,319);</v>
      </c>
    </row>
    <row r="1665" spans="1:12">
      <c r="A1665" s="114">
        <v>1</v>
      </c>
      <c r="B1665" s="114">
        <v>843</v>
      </c>
      <c r="C1665" s="139" t="s">
        <v>2299</v>
      </c>
      <c r="D1665" s="114" t="s">
        <v>2090</v>
      </c>
      <c r="E1665" s="114">
        <v>247</v>
      </c>
      <c r="F1665" s="114">
        <v>117</v>
      </c>
      <c r="G1665" s="114">
        <v>2</v>
      </c>
      <c r="H1665" s="114">
        <v>7000</v>
      </c>
      <c r="I1665" s="114">
        <v>14000</v>
      </c>
      <c r="J1665" s="114">
        <v>11765</v>
      </c>
      <c r="K1665" s="114">
        <v>2235</v>
      </c>
      <c r="L1665" s="114" t="str">
        <f t="shared" si="25"/>
        <v>INSERT INTO DETALLES_DOCUMENTO(NRO_DOCUMENTO,ID_TIPO,ID_PRODUCTO,CANTIDAD,PRECIO,VALOR_BRUTO,VALOR_NETO,VALOR_IVA) VALUES(843,1,117,2,7000,14000,11765,2235);</v>
      </c>
    </row>
    <row r="1666" spans="1:12">
      <c r="A1666" s="114">
        <v>1</v>
      </c>
      <c r="B1666" s="114">
        <v>844</v>
      </c>
      <c r="C1666" s="139" t="s">
        <v>2299</v>
      </c>
      <c r="D1666" s="114" t="s">
        <v>2090</v>
      </c>
      <c r="E1666" s="114">
        <v>302</v>
      </c>
      <c r="F1666" s="114">
        <v>143</v>
      </c>
      <c r="G1666" s="114">
        <v>1</v>
      </c>
      <c r="H1666" s="114">
        <v>8000</v>
      </c>
      <c r="I1666" s="114">
        <v>8000</v>
      </c>
      <c r="J1666" s="114">
        <v>6723</v>
      </c>
      <c r="K1666" s="114">
        <v>1277</v>
      </c>
      <c r="L1666" s="114" t="str">
        <f t="shared" si="25"/>
        <v>INSERT INTO DETALLES_DOCUMENTO(NRO_DOCUMENTO,ID_TIPO,ID_PRODUCTO,CANTIDAD,PRECIO,VALOR_BRUTO,VALOR_NETO,VALOR_IVA) VALUES(844,1,143,1,8000,8000,6723,1277);</v>
      </c>
    </row>
    <row r="1667" spans="1:12">
      <c r="A1667" s="114">
        <v>1</v>
      </c>
      <c r="B1667" s="114">
        <v>845</v>
      </c>
      <c r="C1667" s="139" t="s">
        <v>2299</v>
      </c>
      <c r="D1667" s="114" t="s">
        <v>2090</v>
      </c>
      <c r="E1667" s="114">
        <v>374</v>
      </c>
      <c r="F1667" s="114">
        <v>324</v>
      </c>
      <c r="G1667" s="114">
        <v>1</v>
      </c>
      <c r="H1667" s="114">
        <v>10500</v>
      </c>
      <c r="I1667" s="114">
        <v>10500</v>
      </c>
      <c r="J1667" s="114">
        <v>8824</v>
      </c>
      <c r="K1667" s="114">
        <v>1676</v>
      </c>
      <c r="L1667" s="114" t="str">
        <f t="shared" ref="L1667:L1730" si="26">CONCATENATE("INSERT INTO DETALLES_DOCUMENTO(NRO_DOCUMENTO,ID_TIPO,ID_PRODUCTO,CANTIDAD,PRECIO,VALOR_BRUTO,VALOR_NETO,VALOR_IVA) VALUES(",B1667,",",A1667,",",F1667,",",G1667,",",H1667,",",I1667,",",J1667,",",K1667,");")</f>
        <v>INSERT INTO DETALLES_DOCUMENTO(NRO_DOCUMENTO,ID_TIPO,ID_PRODUCTO,CANTIDAD,PRECIO,VALOR_BRUTO,VALOR_NETO,VALOR_IVA) VALUES(845,1,324,1,10500,10500,8824,1676);</v>
      </c>
    </row>
    <row r="1668" spans="1:12">
      <c r="A1668" s="114">
        <v>1</v>
      </c>
      <c r="B1668" s="114">
        <v>846</v>
      </c>
      <c r="C1668" s="139" t="s">
        <v>2299</v>
      </c>
      <c r="D1668" s="114" t="s">
        <v>2090</v>
      </c>
      <c r="E1668" s="114">
        <v>402</v>
      </c>
      <c r="F1668" s="114">
        <v>143</v>
      </c>
      <c r="G1668" s="114">
        <v>1</v>
      </c>
      <c r="H1668" s="114">
        <v>8000</v>
      </c>
      <c r="I1668" s="114">
        <v>8000</v>
      </c>
      <c r="J1668" s="114">
        <v>6723</v>
      </c>
      <c r="K1668" s="114">
        <v>1277</v>
      </c>
      <c r="L1668" s="114" t="str">
        <f t="shared" si="26"/>
        <v>INSERT INTO DETALLES_DOCUMENTO(NRO_DOCUMENTO,ID_TIPO,ID_PRODUCTO,CANTIDAD,PRECIO,VALOR_BRUTO,VALOR_NETO,VALOR_IVA) VALUES(846,1,143,1,8000,8000,6723,1277);</v>
      </c>
    </row>
    <row r="1669" spans="1:12">
      <c r="A1669" s="114">
        <v>1</v>
      </c>
      <c r="B1669" s="114">
        <v>846</v>
      </c>
      <c r="C1669" s="139" t="s">
        <v>2299</v>
      </c>
      <c r="D1669" s="114" t="s">
        <v>2090</v>
      </c>
      <c r="E1669" s="114">
        <v>402</v>
      </c>
      <c r="F1669" s="114">
        <v>324</v>
      </c>
      <c r="G1669" s="114">
        <v>1</v>
      </c>
      <c r="H1669" s="114">
        <v>10500</v>
      </c>
      <c r="I1669" s="114">
        <v>10500</v>
      </c>
      <c r="J1669" s="114">
        <v>8824</v>
      </c>
      <c r="K1669" s="114">
        <v>1676</v>
      </c>
      <c r="L1669" s="114" t="str">
        <f t="shared" si="26"/>
        <v>INSERT INTO DETALLES_DOCUMENTO(NRO_DOCUMENTO,ID_TIPO,ID_PRODUCTO,CANTIDAD,PRECIO,VALOR_BRUTO,VALOR_NETO,VALOR_IVA) VALUES(846,1,324,1,10500,10500,8824,1676);</v>
      </c>
    </row>
    <row r="1670" spans="1:12">
      <c r="A1670" s="114">
        <v>1</v>
      </c>
      <c r="B1670" s="114">
        <v>847</v>
      </c>
      <c r="C1670" s="139" t="s">
        <v>2299</v>
      </c>
      <c r="D1670" s="114" t="s">
        <v>2090</v>
      </c>
      <c r="E1670" s="114">
        <v>416</v>
      </c>
      <c r="F1670" s="114">
        <v>329</v>
      </c>
      <c r="G1670" s="114">
        <v>1</v>
      </c>
      <c r="H1670" s="114">
        <v>5500</v>
      </c>
      <c r="I1670" s="114">
        <v>5500</v>
      </c>
      <c r="J1670" s="114">
        <v>4622</v>
      </c>
      <c r="K1670" s="114">
        <v>878</v>
      </c>
      <c r="L1670" s="114" t="str">
        <f t="shared" si="26"/>
        <v>INSERT INTO DETALLES_DOCUMENTO(NRO_DOCUMENTO,ID_TIPO,ID_PRODUCTO,CANTIDAD,PRECIO,VALOR_BRUTO,VALOR_NETO,VALOR_IVA) VALUES(847,1,329,1,5500,5500,4622,878);</v>
      </c>
    </row>
    <row r="1671" spans="1:12">
      <c r="A1671" s="114">
        <v>1</v>
      </c>
      <c r="B1671" s="114">
        <v>847</v>
      </c>
      <c r="C1671" s="139" t="s">
        <v>2299</v>
      </c>
      <c r="D1671" s="114" t="s">
        <v>2090</v>
      </c>
      <c r="E1671" s="114">
        <v>416</v>
      </c>
      <c r="F1671" s="114">
        <v>331</v>
      </c>
      <c r="G1671" s="114">
        <v>1</v>
      </c>
      <c r="H1671" s="114">
        <v>3700</v>
      </c>
      <c r="I1671" s="114">
        <v>3700</v>
      </c>
      <c r="J1671" s="114">
        <v>3109</v>
      </c>
      <c r="K1671" s="114">
        <v>591</v>
      </c>
      <c r="L1671" s="114" t="str">
        <f t="shared" si="26"/>
        <v>INSERT INTO DETALLES_DOCUMENTO(NRO_DOCUMENTO,ID_TIPO,ID_PRODUCTO,CANTIDAD,PRECIO,VALOR_BRUTO,VALOR_NETO,VALOR_IVA) VALUES(847,1,331,1,3700,3700,3109,591);</v>
      </c>
    </row>
    <row r="1672" spans="1:12">
      <c r="A1672" s="114">
        <v>1</v>
      </c>
      <c r="B1672" s="114">
        <v>847</v>
      </c>
      <c r="C1672" s="139" t="s">
        <v>2299</v>
      </c>
      <c r="D1672" s="114" t="s">
        <v>2090</v>
      </c>
      <c r="E1672" s="114">
        <v>416</v>
      </c>
      <c r="F1672" s="114">
        <v>143</v>
      </c>
      <c r="G1672" s="114">
        <v>1</v>
      </c>
      <c r="H1672" s="114">
        <v>8000</v>
      </c>
      <c r="I1672" s="114">
        <v>8000</v>
      </c>
      <c r="J1672" s="114">
        <v>6723</v>
      </c>
      <c r="K1672" s="114">
        <v>1277</v>
      </c>
      <c r="L1672" s="114" t="str">
        <f t="shared" si="26"/>
        <v>INSERT INTO DETALLES_DOCUMENTO(NRO_DOCUMENTO,ID_TIPO,ID_PRODUCTO,CANTIDAD,PRECIO,VALOR_BRUTO,VALOR_NETO,VALOR_IVA) VALUES(847,1,143,1,8000,8000,6723,1277);</v>
      </c>
    </row>
    <row r="1673" spans="1:12">
      <c r="A1673" s="114">
        <v>1</v>
      </c>
      <c r="B1673" s="114">
        <v>847</v>
      </c>
      <c r="C1673" s="139" t="s">
        <v>2299</v>
      </c>
      <c r="D1673" s="114" t="s">
        <v>2090</v>
      </c>
      <c r="E1673" s="114">
        <v>416</v>
      </c>
      <c r="F1673" s="114">
        <v>231</v>
      </c>
      <c r="G1673" s="114">
        <v>1</v>
      </c>
      <c r="H1673" s="114">
        <v>20900</v>
      </c>
      <c r="I1673" s="114">
        <v>20900</v>
      </c>
      <c r="J1673" s="114">
        <v>17563</v>
      </c>
      <c r="K1673" s="114">
        <v>3337</v>
      </c>
      <c r="L1673" s="114" t="str">
        <f t="shared" si="26"/>
        <v>INSERT INTO DETALLES_DOCUMENTO(NRO_DOCUMENTO,ID_TIPO,ID_PRODUCTO,CANTIDAD,PRECIO,VALOR_BRUTO,VALOR_NETO,VALOR_IVA) VALUES(847,1,231,1,20900,20900,17563,3337);</v>
      </c>
    </row>
    <row r="1674" spans="1:12">
      <c r="A1674" s="114">
        <v>1</v>
      </c>
      <c r="B1674" s="114">
        <v>848</v>
      </c>
      <c r="C1674" s="139" t="s">
        <v>2300</v>
      </c>
      <c r="D1674" s="114" t="s">
        <v>2090</v>
      </c>
      <c r="E1674" s="114">
        <v>76</v>
      </c>
      <c r="F1674" s="114">
        <v>324</v>
      </c>
      <c r="G1674" s="114">
        <v>1</v>
      </c>
      <c r="H1674" s="114">
        <v>10500</v>
      </c>
      <c r="I1674" s="114">
        <v>10500</v>
      </c>
      <c r="J1674" s="114">
        <v>8824</v>
      </c>
      <c r="K1674" s="114">
        <v>1676</v>
      </c>
      <c r="L1674" s="114" t="str">
        <f t="shared" si="26"/>
        <v>INSERT INTO DETALLES_DOCUMENTO(NRO_DOCUMENTO,ID_TIPO,ID_PRODUCTO,CANTIDAD,PRECIO,VALOR_BRUTO,VALOR_NETO,VALOR_IVA) VALUES(848,1,324,1,10500,10500,8824,1676);</v>
      </c>
    </row>
    <row r="1675" spans="1:12">
      <c r="A1675" s="114">
        <v>1</v>
      </c>
      <c r="B1675" s="114">
        <v>849</v>
      </c>
      <c r="C1675" s="139" t="s">
        <v>2300</v>
      </c>
      <c r="D1675" s="114" t="s">
        <v>2090</v>
      </c>
      <c r="E1675" s="114">
        <v>119</v>
      </c>
      <c r="F1675" s="114">
        <v>143</v>
      </c>
      <c r="G1675" s="114">
        <v>1</v>
      </c>
      <c r="H1675" s="114">
        <v>8000</v>
      </c>
      <c r="I1675" s="114">
        <v>8000</v>
      </c>
      <c r="J1675" s="114">
        <v>6723</v>
      </c>
      <c r="K1675" s="114">
        <v>1277</v>
      </c>
      <c r="L1675" s="114" t="str">
        <f t="shared" si="26"/>
        <v>INSERT INTO DETALLES_DOCUMENTO(NRO_DOCUMENTO,ID_TIPO,ID_PRODUCTO,CANTIDAD,PRECIO,VALOR_BRUTO,VALOR_NETO,VALOR_IVA) VALUES(849,1,143,1,8000,8000,6723,1277);</v>
      </c>
    </row>
    <row r="1676" spans="1:12">
      <c r="A1676" s="114">
        <v>1</v>
      </c>
      <c r="B1676" s="114">
        <v>849</v>
      </c>
      <c r="C1676" s="139" t="s">
        <v>2300</v>
      </c>
      <c r="D1676" s="114" t="s">
        <v>2090</v>
      </c>
      <c r="E1676" s="114">
        <v>119</v>
      </c>
      <c r="F1676" s="114">
        <v>354</v>
      </c>
      <c r="G1676" s="114">
        <v>1</v>
      </c>
      <c r="H1676" s="114">
        <v>1800</v>
      </c>
      <c r="I1676" s="114">
        <v>1800</v>
      </c>
      <c r="J1676" s="114">
        <v>1513</v>
      </c>
      <c r="K1676" s="114">
        <v>287</v>
      </c>
      <c r="L1676" s="114" t="str">
        <f t="shared" si="26"/>
        <v>INSERT INTO DETALLES_DOCUMENTO(NRO_DOCUMENTO,ID_TIPO,ID_PRODUCTO,CANTIDAD,PRECIO,VALOR_BRUTO,VALOR_NETO,VALOR_IVA) VALUES(849,1,354,1,1800,1800,1513,287);</v>
      </c>
    </row>
    <row r="1677" spans="1:12">
      <c r="A1677" s="114">
        <v>1</v>
      </c>
      <c r="B1677" s="114">
        <v>849</v>
      </c>
      <c r="C1677" s="139" t="s">
        <v>2300</v>
      </c>
      <c r="D1677" s="114" t="s">
        <v>2090</v>
      </c>
      <c r="E1677" s="114">
        <v>119</v>
      </c>
      <c r="F1677" s="114">
        <v>368</v>
      </c>
      <c r="G1677" s="114">
        <v>1</v>
      </c>
      <c r="H1677" s="114">
        <v>3000</v>
      </c>
      <c r="I1677" s="114">
        <v>3000</v>
      </c>
      <c r="J1677" s="114">
        <v>2521</v>
      </c>
      <c r="K1677" s="114">
        <v>479</v>
      </c>
      <c r="L1677" s="114" t="str">
        <f t="shared" si="26"/>
        <v>INSERT INTO DETALLES_DOCUMENTO(NRO_DOCUMENTO,ID_TIPO,ID_PRODUCTO,CANTIDAD,PRECIO,VALOR_BRUTO,VALOR_NETO,VALOR_IVA) VALUES(849,1,368,1,3000,3000,2521,479);</v>
      </c>
    </row>
    <row r="1678" spans="1:12">
      <c r="A1678" s="114">
        <v>1</v>
      </c>
      <c r="B1678" s="114">
        <v>850</v>
      </c>
      <c r="C1678" s="139" t="s">
        <v>2300</v>
      </c>
      <c r="D1678" s="114" t="s">
        <v>2090</v>
      </c>
      <c r="E1678" s="114">
        <v>300</v>
      </c>
      <c r="F1678" s="114">
        <v>143</v>
      </c>
      <c r="G1678" s="114">
        <v>1</v>
      </c>
      <c r="H1678" s="114">
        <v>8000</v>
      </c>
      <c r="I1678" s="114">
        <v>8000</v>
      </c>
      <c r="J1678" s="114">
        <v>6723</v>
      </c>
      <c r="K1678" s="114">
        <v>1277</v>
      </c>
      <c r="L1678" s="114" t="str">
        <f t="shared" si="26"/>
        <v>INSERT INTO DETALLES_DOCUMENTO(NRO_DOCUMENTO,ID_TIPO,ID_PRODUCTO,CANTIDAD,PRECIO,VALOR_BRUTO,VALOR_NETO,VALOR_IVA) VALUES(850,1,143,1,8000,8000,6723,1277);</v>
      </c>
    </row>
    <row r="1679" spans="1:12">
      <c r="A1679" s="114">
        <v>1</v>
      </c>
      <c r="B1679" s="114">
        <v>850</v>
      </c>
      <c r="C1679" s="139" t="s">
        <v>2300</v>
      </c>
      <c r="D1679" s="114" t="s">
        <v>2090</v>
      </c>
      <c r="E1679" s="114">
        <v>300</v>
      </c>
      <c r="F1679" s="114">
        <v>354</v>
      </c>
      <c r="G1679" s="114">
        <v>1</v>
      </c>
      <c r="H1679" s="114">
        <v>1800</v>
      </c>
      <c r="I1679" s="114">
        <v>1800</v>
      </c>
      <c r="J1679" s="114">
        <v>1513</v>
      </c>
      <c r="K1679" s="114">
        <v>287</v>
      </c>
      <c r="L1679" s="114" t="str">
        <f t="shared" si="26"/>
        <v>INSERT INTO DETALLES_DOCUMENTO(NRO_DOCUMENTO,ID_TIPO,ID_PRODUCTO,CANTIDAD,PRECIO,VALOR_BRUTO,VALOR_NETO,VALOR_IVA) VALUES(850,1,354,1,1800,1800,1513,287);</v>
      </c>
    </row>
    <row r="1680" spans="1:12">
      <c r="A1680" s="114">
        <v>1</v>
      </c>
      <c r="B1680" s="114">
        <v>851</v>
      </c>
      <c r="C1680" s="139" t="s">
        <v>2300</v>
      </c>
      <c r="D1680" s="114" t="s">
        <v>2090</v>
      </c>
      <c r="E1680" s="114">
        <v>312</v>
      </c>
      <c r="F1680" s="114">
        <v>143</v>
      </c>
      <c r="G1680" s="114">
        <v>1</v>
      </c>
      <c r="H1680" s="114">
        <v>8000</v>
      </c>
      <c r="I1680" s="114">
        <v>8000</v>
      </c>
      <c r="J1680" s="114">
        <v>6723</v>
      </c>
      <c r="K1680" s="114">
        <v>1277</v>
      </c>
      <c r="L1680" s="114" t="str">
        <f t="shared" si="26"/>
        <v>INSERT INTO DETALLES_DOCUMENTO(NRO_DOCUMENTO,ID_TIPO,ID_PRODUCTO,CANTIDAD,PRECIO,VALOR_BRUTO,VALOR_NETO,VALOR_IVA) VALUES(851,1,143,1,8000,8000,6723,1277);</v>
      </c>
    </row>
    <row r="1681" spans="1:12">
      <c r="A1681" s="114">
        <v>1</v>
      </c>
      <c r="B1681" s="114">
        <v>852</v>
      </c>
      <c r="C1681" s="139" t="s">
        <v>2301</v>
      </c>
      <c r="D1681" s="114" t="s">
        <v>2090</v>
      </c>
      <c r="E1681" s="114">
        <v>57</v>
      </c>
      <c r="F1681" s="114">
        <v>143</v>
      </c>
      <c r="G1681" s="114">
        <v>1</v>
      </c>
      <c r="H1681" s="114">
        <v>8000</v>
      </c>
      <c r="I1681" s="114">
        <v>8000</v>
      </c>
      <c r="J1681" s="114">
        <v>6723</v>
      </c>
      <c r="K1681" s="114">
        <v>1277</v>
      </c>
      <c r="L1681" s="114" t="str">
        <f t="shared" si="26"/>
        <v>INSERT INTO DETALLES_DOCUMENTO(NRO_DOCUMENTO,ID_TIPO,ID_PRODUCTO,CANTIDAD,PRECIO,VALOR_BRUTO,VALOR_NETO,VALOR_IVA) VALUES(852,1,143,1,8000,8000,6723,1277);</v>
      </c>
    </row>
    <row r="1682" spans="1:12">
      <c r="A1682" s="114">
        <v>1</v>
      </c>
      <c r="B1682" s="114">
        <v>853</v>
      </c>
      <c r="C1682" s="139" t="s">
        <v>2301</v>
      </c>
      <c r="D1682" s="114" t="s">
        <v>2090</v>
      </c>
      <c r="E1682" s="114">
        <v>155</v>
      </c>
      <c r="F1682" s="114">
        <v>143</v>
      </c>
      <c r="G1682" s="114">
        <v>1</v>
      </c>
      <c r="H1682" s="114">
        <v>8000</v>
      </c>
      <c r="I1682" s="114">
        <v>8000</v>
      </c>
      <c r="J1682" s="114">
        <v>6723</v>
      </c>
      <c r="K1682" s="114">
        <v>1277</v>
      </c>
      <c r="L1682" s="114" t="str">
        <f t="shared" si="26"/>
        <v>INSERT INTO DETALLES_DOCUMENTO(NRO_DOCUMENTO,ID_TIPO,ID_PRODUCTO,CANTIDAD,PRECIO,VALOR_BRUTO,VALOR_NETO,VALOR_IVA) VALUES(853,1,143,1,8000,8000,6723,1277);</v>
      </c>
    </row>
    <row r="1683" spans="1:12">
      <c r="A1683" s="114">
        <v>1</v>
      </c>
      <c r="B1683" s="114">
        <v>854</v>
      </c>
      <c r="C1683" s="139" t="s">
        <v>2302</v>
      </c>
      <c r="D1683" s="114" t="s">
        <v>2090</v>
      </c>
      <c r="E1683" s="114">
        <v>84</v>
      </c>
      <c r="F1683" s="114">
        <v>329</v>
      </c>
      <c r="G1683" s="114">
        <v>1</v>
      </c>
      <c r="H1683" s="114">
        <v>6000</v>
      </c>
      <c r="I1683" s="114">
        <v>6000</v>
      </c>
      <c r="J1683" s="114">
        <v>5042</v>
      </c>
      <c r="K1683" s="114">
        <v>958</v>
      </c>
      <c r="L1683" s="114" t="str">
        <f t="shared" si="26"/>
        <v>INSERT INTO DETALLES_DOCUMENTO(NRO_DOCUMENTO,ID_TIPO,ID_PRODUCTO,CANTIDAD,PRECIO,VALOR_BRUTO,VALOR_NETO,VALOR_IVA) VALUES(854,1,329,1,6000,6000,5042,958);</v>
      </c>
    </row>
    <row r="1684" spans="1:12">
      <c r="A1684" s="114">
        <v>1</v>
      </c>
      <c r="B1684" s="114">
        <v>854</v>
      </c>
      <c r="C1684" s="139" t="s">
        <v>2302</v>
      </c>
      <c r="D1684" s="114" t="s">
        <v>2090</v>
      </c>
      <c r="E1684" s="114">
        <v>84</v>
      </c>
      <c r="F1684" s="114">
        <v>143</v>
      </c>
      <c r="G1684" s="114">
        <v>1</v>
      </c>
      <c r="H1684" s="114">
        <v>8000</v>
      </c>
      <c r="I1684" s="114">
        <v>8000</v>
      </c>
      <c r="J1684" s="114">
        <v>6723</v>
      </c>
      <c r="K1684" s="114">
        <v>1277</v>
      </c>
      <c r="L1684" s="114" t="str">
        <f t="shared" si="26"/>
        <v>INSERT INTO DETALLES_DOCUMENTO(NRO_DOCUMENTO,ID_TIPO,ID_PRODUCTO,CANTIDAD,PRECIO,VALOR_BRUTO,VALOR_NETO,VALOR_IVA) VALUES(854,1,143,1,8000,8000,6723,1277);</v>
      </c>
    </row>
    <row r="1685" spans="1:12">
      <c r="A1685" s="114">
        <v>1</v>
      </c>
      <c r="B1685" s="114">
        <v>854</v>
      </c>
      <c r="C1685" s="139" t="s">
        <v>2302</v>
      </c>
      <c r="D1685" s="114" t="s">
        <v>2090</v>
      </c>
      <c r="E1685" s="114">
        <v>84</v>
      </c>
      <c r="F1685" s="114">
        <v>191</v>
      </c>
      <c r="G1685" s="114">
        <v>1</v>
      </c>
      <c r="H1685" s="114">
        <v>2500</v>
      </c>
      <c r="I1685" s="114">
        <v>2500</v>
      </c>
      <c r="J1685" s="114">
        <v>2101</v>
      </c>
      <c r="K1685" s="114">
        <v>399</v>
      </c>
      <c r="L1685" s="114" t="str">
        <f t="shared" si="26"/>
        <v>INSERT INTO DETALLES_DOCUMENTO(NRO_DOCUMENTO,ID_TIPO,ID_PRODUCTO,CANTIDAD,PRECIO,VALOR_BRUTO,VALOR_NETO,VALOR_IVA) VALUES(854,1,191,1,2500,2500,2101,399);</v>
      </c>
    </row>
    <row r="1686" spans="1:12">
      <c r="A1686" s="114">
        <v>1</v>
      </c>
      <c r="B1686" s="114">
        <v>855</v>
      </c>
      <c r="C1686" s="139" t="s">
        <v>2302</v>
      </c>
      <c r="D1686" s="114" t="s">
        <v>2090</v>
      </c>
      <c r="E1686" s="114">
        <v>166</v>
      </c>
      <c r="F1686" s="114">
        <v>155</v>
      </c>
      <c r="G1686" s="114">
        <v>1</v>
      </c>
      <c r="H1686" s="114">
        <v>1650</v>
      </c>
      <c r="I1686" s="114">
        <v>1650</v>
      </c>
      <c r="J1686" s="114">
        <v>1387</v>
      </c>
      <c r="K1686" s="114">
        <v>263</v>
      </c>
      <c r="L1686" s="114" t="str">
        <f t="shared" si="26"/>
        <v>INSERT INTO DETALLES_DOCUMENTO(NRO_DOCUMENTO,ID_TIPO,ID_PRODUCTO,CANTIDAD,PRECIO,VALOR_BRUTO,VALOR_NETO,VALOR_IVA) VALUES(855,1,155,1,1650,1650,1387,263);</v>
      </c>
    </row>
    <row r="1687" spans="1:12">
      <c r="A1687" s="114">
        <v>1</v>
      </c>
      <c r="B1687" s="114">
        <v>856</v>
      </c>
      <c r="C1687" s="139" t="s">
        <v>2302</v>
      </c>
      <c r="D1687" s="114" t="s">
        <v>2090</v>
      </c>
      <c r="E1687" s="114">
        <v>230</v>
      </c>
      <c r="F1687" s="114">
        <v>143</v>
      </c>
      <c r="G1687" s="114">
        <v>1</v>
      </c>
      <c r="H1687" s="114">
        <v>8000</v>
      </c>
      <c r="I1687" s="114">
        <v>8000</v>
      </c>
      <c r="J1687" s="114">
        <v>6723</v>
      </c>
      <c r="K1687" s="114">
        <v>1277</v>
      </c>
      <c r="L1687" s="114" t="str">
        <f t="shared" si="26"/>
        <v>INSERT INTO DETALLES_DOCUMENTO(NRO_DOCUMENTO,ID_TIPO,ID_PRODUCTO,CANTIDAD,PRECIO,VALOR_BRUTO,VALOR_NETO,VALOR_IVA) VALUES(856,1,143,1,8000,8000,6723,1277);</v>
      </c>
    </row>
    <row r="1688" spans="1:12">
      <c r="A1688" s="114">
        <v>1</v>
      </c>
      <c r="B1688" s="114">
        <v>857</v>
      </c>
      <c r="C1688" s="139" t="s">
        <v>2302</v>
      </c>
      <c r="D1688" s="114" t="s">
        <v>2090</v>
      </c>
      <c r="E1688" s="114">
        <v>254</v>
      </c>
      <c r="F1688" s="114">
        <v>165</v>
      </c>
      <c r="G1688" s="114">
        <v>2</v>
      </c>
      <c r="H1688" s="114">
        <v>4000</v>
      </c>
      <c r="I1688" s="114">
        <v>8000</v>
      </c>
      <c r="J1688" s="114">
        <v>6723</v>
      </c>
      <c r="K1688" s="114">
        <v>1277</v>
      </c>
      <c r="L1688" s="114" t="str">
        <f t="shared" si="26"/>
        <v>INSERT INTO DETALLES_DOCUMENTO(NRO_DOCUMENTO,ID_TIPO,ID_PRODUCTO,CANTIDAD,PRECIO,VALOR_BRUTO,VALOR_NETO,VALOR_IVA) VALUES(857,1,165,2,4000,8000,6723,1277);</v>
      </c>
    </row>
    <row r="1689" spans="1:12">
      <c r="A1689" s="114">
        <v>1</v>
      </c>
      <c r="B1689" s="114">
        <v>858</v>
      </c>
      <c r="C1689" s="139" t="s">
        <v>2302</v>
      </c>
      <c r="D1689" s="114" t="s">
        <v>2090</v>
      </c>
      <c r="E1689" s="114">
        <v>298</v>
      </c>
      <c r="F1689" s="114">
        <v>231</v>
      </c>
      <c r="G1689" s="114">
        <v>1</v>
      </c>
      <c r="H1689" s="114">
        <v>20900</v>
      </c>
      <c r="I1689" s="114">
        <v>20900</v>
      </c>
      <c r="J1689" s="114">
        <v>17563</v>
      </c>
      <c r="K1689" s="114">
        <v>3337</v>
      </c>
      <c r="L1689" s="114" t="str">
        <f t="shared" si="26"/>
        <v>INSERT INTO DETALLES_DOCUMENTO(NRO_DOCUMENTO,ID_TIPO,ID_PRODUCTO,CANTIDAD,PRECIO,VALOR_BRUTO,VALOR_NETO,VALOR_IVA) VALUES(858,1,231,1,20900,20900,17563,3337);</v>
      </c>
    </row>
    <row r="1690" spans="1:12">
      <c r="A1690" s="114">
        <v>1</v>
      </c>
      <c r="B1690" s="114">
        <v>858</v>
      </c>
      <c r="C1690" s="139" t="s">
        <v>2302</v>
      </c>
      <c r="D1690" s="114" t="s">
        <v>2090</v>
      </c>
      <c r="E1690" s="114">
        <v>298</v>
      </c>
      <c r="F1690" s="114">
        <v>369</v>
      </c>
      <c r="G1690" s="114">
        <v>1</v>
      </c>
      <c r="H1690" s="114">
        <v>10500</v>
      </c>
      <c r="I1690" s="114">
        <v>10500</v>
      </c>
      <c r="J1690" s="114">
        <v>8824</v>
      </c>
      <c r="K1690" s="114">
        <v>1676</v>
      </c>
      <c r="L1690" s="114" t="str">
        <f t="shared" si="26"/>
        <v>INSERT INTO DETALLES_DOCUMENTO(NRO_DOCUMENTO,ID_TIPO,ID_PRODUCTO,CANTIDAD,PRECIO,VALOR_BRUTO,VALOR_NETO,VALOR_IVA) VALUES(858,1,369,1,10500,10500,8824,1676);</v>
      </c>
    </row>
    <row r="1691" spans="1:12">
      <c r="A1691" s="114">
        <v>1</v>
      </c>
      <c r="B1691" s="114">
        <v>858</v>
      </c>
      <c r="C1691" s="139" t="s">
        <v>2302</v>
      </c>
      <c r="D1691" s="114" t="s">
        <v>2090</v>
      </c>
      <c r="E1691" s="114">
        <v>298</v>
      </c>
      <c r="F1691" s="114">
        <v>264</v>
      </c>
      <c r="G1691" s="114">
        <v>1</v>
      </c>
      <c r="H1691" s="114">
        <v>5000</v>
      </c>
      <c r="I1691" s="114">
        <v>5000</v>
      </c>
      <c r="J1691" s="114">
        <v>4202</v>
      </c>
      <c r="K1691" s="114">
        <v>798</v>
      </c>
      <c r="L1691" s="114" t="str">
        <f t="shared" si="26"/>
        <v>INSERT INTO DETALLES_DOCUMENTO(NRO_DOCUMENTO,ID_TIPO,ID_PRODUCTO,CANTIDAD,PRECIO,VALOR_BRUTO,VALOR_NETO,VALOR_IVA) VALUES(858,1,264,1,5000,5000,4202,798);</v>
      </c>
    </row>
    <row r="1692" spans="1:12">
      <c r="A1692" s="114">
        <v>1</v>
      </c>
      <c r="B1692" s="114">
        <v>858</v>
      </c>
      <c r="C1692" s="139" t="s">
        <v>2302</v>
      </c>
      <c r="D1692" s="114" t="s">
        <v>2090</v>
      </c>
      <c r="E1692" s="114">
        <v>298</v>
      </c>
      <c r="F1692" s="114">
        <v>30</v>
      </c>
      <c r="G1692" s="114">
        <v>1</v>
      </c>
      <c r="H1692" s="114">
        <v>3000</v>
      </c>
      <c r="I1692" s="114">
        <v>3000</v>
      </c>
      <c r="J1692" s="114">
        <v>2521</v>
      </c>
      <c r="K1692" s="114">
        <v>479</v>
      </c>
      <c r="L1692" s="114" t="str">
        <f t="shared" si="26"/>
        <v>INSERT INTO DETALLES_DOCUMENTO(NRO_DOCUMENTO,ID_TIPO,ID_PRODUCTO,CANTIDAD,PRECIO,VALOR_BRUTO,VALOR_NETO,VALOR_IVA) VALUES(858,1,30,1,3000,3000,2521,479);</v>
      </c>
    </row>
    <row r="1693" spans="1:12">
      <c r="A1693" s="114">
        <v>1</v>
      </c>
      <c r="B1693" s="114">
        <v>858</v>
      </c>
      <c r="C1693" s="139" t="s">
        <v>2302</v>
      </c>
      <c r="D1693" s="114" t="s">
        <v>2090</v>
      </c>
      <c r="E1693" s="114">
        <v>298</v>
      </c>
      <c r="F1693" s="114">
        <v>156</v>
      </c>
      <c r="G1693" s="114">
        <v>1</v>
      </c>
      <c r="H1693" s="114">
        <v>1400</v>
      </c>
      <c r="I1693" s="114">
        <v>1400</v>
      </c>
      <c r="J1693" s="114">
        <v>1176</v>
      </c>
      <c r="K1693" s="114">
        <v>224</v>
      </c>
      <c r="L1693" s="114" t="str">
        <f t="shared" si="26"/>
        <v>INSERT INTO DETALLES_DOCUMENTO(NRO_DOCUMENTO,ID_TIPO,ID_PRODUCTO,CANTIDAD,PRECIO,VALOR_BRUTO,VALOR_NETO,VALOR_IVA) VALUES(858,1,156,1,1400,1400,1176,224);</v>
      </c>
    </row>
    <row r="1694" spans="1:12">
      <c r="A1694" s="114">
        <v>1</v>
      </c>
      <c r="B1694" s="114">
        <v>858</v>
      </c>
      <c r="C1694" s="139" t="s">
        <v>2302</v>
      </c>
      <c r="D1694" s="114" t="s">
        <v>2090</v>
      </c>
      <c r="E1694" s="114">
        <v>298</v>
      </c>
      <c r="F1694" s="114">
        <v>250</v>
      </c>
      <c r="G1694" s="114">
        <v>1</v>
      </c>
      <c r="H1694" s="114">
        <v>6800</v>
      </c>
      <c r="I1694" s="114">
        <v>6800</v>
      </c>
      <c r="J1694" s="114">
        <v>5714</v>
      </c>
      <c r="K1694" s="114">
        <v>1086</v>
      </c>
      <c r="L1694" s="114" t="str">
        <f t="shared" si="26"/>
        <v>INSERT INTO DETALLES_DOCUMENTO(NRO_DOCUMENTO,ID_TIPO,ID_PRODUCTO,CANTIDAD,PRECIO,VALOR_BRUTO,VALOR_NETO,VALOR_IVA) VALUES(858,1,250,1,6800,6800,5714,1086);</v>
      </c>
    </row>
    <row r="1695" spans="1:12">
      <c r="A1695" s="114">
        <v>1</v>
      </c>
      <c r="B1695" s="114">
        <v>859</v>
      </c>
      <c r="C1695" s="139" t="s">
        <v>2302</v>
      </c>
      <c r="D1695" s="114" t="s">
        <v>2090</v>
      </c>
      <c r="E1695" s="114">
        <v>306</v>
      </c>
      <c r="F1695" s="114">
        <v>324</v>
      </c>
      <c r="G1695" s="114">
        <v>4</v>
      </c>
      <c r="H1695" s="114">
        <v>44000</v>
      </c>
      <c r="I1695" s="114">
        <v>176000</v>
      </c>
      <c r="J1695" s="114">
        <v>147899</v>
      </c>
      <c r="K1695" s="114">
        <v>28101</v>
      </c>
      <c r="L1695" s="114" t="str">
        <f t="shared" si="26"/>
        <v>INSERT INTO DETALLES_DOCUMENTO(NRO_DOCUMENTO,ID_TIPO,ID_PRODUCTO,CANTIDAD,PRECIO,VALOR_BRUTO,VALOR_NETO,VALOR_IVA) VALUES(859,1,324,4,44000,176000,147899,28101);</v>
      </c>
    </row>
    <row r="1696" spans="1:12">
      <c r="A1696" s="114">
        <v>1</v>
      </c>
      <c r="B1696" s="114">
        <v>859</v>
      </c>
      <c r="C1696" s="139" t="s">
        <v>2302</v>
      </c>
      <c r="D1696" s="114" t="s">
        <v>2090</v>
      </c>
      <c r="E1696" s="114">
        <v>306</v>
      </c>
      <c r="F1696" s="114">
        <v>329</v>
      </c>
      <c r="G1696" s="114">
        <v>1</v>
      </c>
      <c r="H1696" s="114">
        <v>6000</v>
      </c>
      <c r="I1696" s="114">
        <v>6000</v>
      </c>
      <c r="J1696" s="114">
        <v>5042</v>
      </c>
      <c r="K1696" s="114">
        <v>958</v>
      </c>
      <c r="L1696" s="114" t="str">
        <f t="shared" si="26"/>
        <v>INSERT INTO DETALLES_DOCUMENTO(NRO_DOCUMENTO,ID_TIPO,ID_PRODUCTO,CANTIDAD,PRECIO,VALOR_BRUTO,VALOR_NETO,VALOR_IVA) VALUES(859,1,329,1,6000,6000,5042,958);</v>
      </c>
    </row>
    <row r="1697" spans="1:12">
      <c r="A1697" s="114">
        <v>1</v>
      </c>
      <c r="B1697" s="114">
        <v>859</v>
      </c>
      <c r="C1697" s="139" t="s">
        <v>2302</v>
      </c>
      <c r="D1697" s="114" t="s">
        <v>2090</v>
      </c>
      <c r="E1697" s="114">
        <v>306</v>
      </c>
      <c r="F1697" s="114">
        <v>263</v>
      </c>
      <c r="G1697" s="114">
        <v>1</v>
      </c>
      <c r="H1697" s="114">
        <v>8000</v>
      </c>
      <c r="I1697" s="114">
        <v>8000</v>
      </c>
      <c r="J1697" s="114">
        <v>6723</v>
      </c>
      <c r="K1697" s="114">
        <v>1277</v>
      </c>
      <c r="L1697" s="114" t="str">
        <f t="shared" si="26"/>
        <v>INSERT INTO DETALLES_DOCUMENTO(NRO_DOCUMENTO,ID_TIPO,ID_PRODUCTO,CANTIDAD,PRECIO,VALOR_BRUTO,VALOR_NETO,VALOR_IVA) VALUES(859,1,263,1,8000,8000,6723,1277);</v>
      </c>
    </row>
    <row r="1698" spans="1:12">
      <c r="A1698" s="114">
        <v>1</v>
      </c>
      <c r="B1698" s="114">
        <v>859</v>
      </c>
      <c r="C1698" s="139" t="s">
        <v>2302</v>
      </c>
      <c r="D1698" s="114" t="s">
        <v>2090</v>
      </c>
      <c r="E1698" s="114">
        <v>306</v>
      </c>
      <c r="F1698" s="114">
        <v>7</v>
      </c>
      <c r="G1698" s="114">
        <v>1</v>
      </c>
      <c r="H1698" s="114">
        <v>7000</v>
      </c>
      <c r="I1698" s="114">
        <v>7000</v>
      </c>
      <c r="J1698" s="114">
        <v>5882</v>
      </c>
      <c r="K1698" s="114">
        <v>1118</v>
      </c>
      <c r="L1698" s="114" t="str">
        <f t="shared" si="26"/>
        <v>INSERT INTO DETALLES_DOCUMENTO(NRO_DOCUMENTO,ID_TIPO,ID_PRODUCTO,CANTIDAD,PRECIO,VALOR_BRUTO,VALOR_NETO,VALOR_IVA) VALUES(859,1,7,1,7000,7000,5882,1118);</v>
      </c>
    </row>
    <row r="1699" spans="1:12">
      <c r="A1699" s="114">
        <v>1</v>
      </c>
      <c r="B1699" s="114">
        <v>859</v>
      </c>
      <c r="C1699" s="139" t="s">
        <v>2302</v>
      </c>
      <c r="D1699" s="114" t="s">
        <v>2090</v>
      </c>
      <c r="E1699" s="114">
        <v>306</v>
      </c>
      <c r="F1699" s="114">
        <v>330</v>
      </c>
      <c r="G1699" s="114">
        <v>1</v>
      </c>
      <c r="H1699" s="114">
        <v>4800</v>
      </c>
      <c r="I1699" s="114">
        <v>4800</v>
      </c>
      <c r="J1699" s="114">
        <v>4034</v>
      </c>
      <c r="K1699" s="114">
        <v>766</v>
      </c>
      <c r="L1699" s="114" t="str">
        <f t="shared" si="26"/>
        <v>INSERT INTO DETALLES_DOCUMENTO(NRO_DOCUMENTO,ID_TIPO,ID_PRODUCTO,CANTIDAD,PRECIO,VALOR_BRUTO,VALOR_NETO,VALOR_IVA) VALUES(859,1,330,1,4800,4800,4034,766);</v>
      </c>
    </row>
    <row r="1700" spans="1:12">
      <c r="A1700" s="114">
        <v>1</v>
      </c>
      <c r="B1700" s="114">
        <v>859</v>
      </c>
      <c r="C1700" s="139" t="s">
        <v>2302</v>
      </c>
      <c r="D1700" s="114" t="s">
        <v>2090</v>
      </c>
      <c r="E1700" s="114">
        <v>306</v>
      </c>
      <c r="F1700" s="114">
        <v>191</v>
      </c>
      <c r="G1700" s="114">
        <v>1</v>
      </c>
      <c r="H1700" s="114">
        <v>2500</v>
      </c>
      <c r="I1700" s="114">
        <v>2500</v>
      </c>
      <c r="J1700" s="114">
        <v>2101</v>
      </c>
      <c r="K1700" s="114">
        <v>399</v>
      </c>
      <c r="L1700" s="114" t="str">
        <f t="shared" si="26"/>
        <v>INSERT INTO DETALLES_DOCUMENTO(NRO_DOCUMENTO,ID_TIPO,ID_PRODUCTO,CANTIDAD,PRECIO,VALOR_BRUTO,VALOR_NETO,VALOR_IVA) VALUES(859,1,191,1,2500,2500,2101,399);</v>
      </c>
    </row>
    <row r="1701" spans="1:12">
      <c r="A1701" s="114">
        <v>1</v>
      </c>
      <c r="B1701" s="114">
        <v>860</v>
      </c>
      <c r="C1701" s="139" t="s">
        <v>2302</v>
      </c>
      <c r="D1701" s="114" t="s">
        <v>2090</v>
      </c>
      <c r="E1701" s="114">
        <v>360</v>
      </c>
      <c r="F1701" s="114">
        <v>230</v>
      </c>
      <c r="G1701" s="114">
        <v>1</v>
      </c>
      <c r="H1701" s="114">
        <v>16500</v>
      </c>
      <c r="I1701" s="114">
        <v>16500</v>
      </c>
      <c r="J1701" s="114">
        <v>13866</v>
      </c>
      <c r="K1701" s="114">
        <v>2634</v>
      </c>
      <c r="L1701" s="114" t="str">
        <f t="shared" si="26"/>
        <v>INSERT INTO DETALLES_DOCUMENTO(NRO_DOCUMENTO,ID_TIPO,ID_PRODUCTO,CANTIDAD,PRECIO,VALOR_BRUTO,VALOR_NETO,VALOR_IVA) VALUES(860,1,230,1,16500,16500,13866,2634);</v>
      </c>
    </row>
    <row r="1702" spans="1:12">
      <c r="A1702" s="114">
        <v>1</v>
      </c>
      <c r="B1702" s="114">
        <v>861</v>
      </c>
      <c r="C1702" s="139" t="s">
        <v>2303</v>
      </c>
      <c r="D1702" s="114" t="s">
        <v>2090</v>
      </c>
      <c r="E1702" s="114">
        <v>193</v>
      </c>
      <c r="F1702" s="114">
        <v>231</v>
      </c>
      <c r="G1702" s="114">
        <v>1</v>
      </c>
      <c r="H1702" s="114">
        <v>20900</v>
      </c>
      <c r="I1702" s="114">
        <v>20900</v>
      </c>
      <c r="J1702" s="114">
        <v>17563</v>
      </c>
      <c r="K1702" s="114">
        <v>3337</v>
      </c>
      <c r="L1702" s="114" t="str">
        <f t="shared" si="26"/>
        <v>INSERT INTO DETALLES_DOCUMENTO(NRO_DOCUMENTO,ID_TIPO,ID_PRODUCTO,CANTIDAD,PRECIO,VALOR_BRUTO,VALOR_NETO,VALOR_IVA) VALUES(861,1,231,1,20900,20900,17563,3337);</v>
      </c>
    </row>
    <row r="1703" spans="1:12">
      <c r="A1703" s="114">
        <v>1</v>
      </c>
      <c r="B1703" s="114">
        <v>861</v>
      </c>
      <c r="C1703" s="139" t="s">
        <v>2303</v>
      </c>
      <c r="D1703" s="114" t="s">
        <v>2090</v>
      </c>
      <c r="E1703" s="114">
        <v>193</v>
      </c>
      <c r="F1703" s="114">
        <v>368</v>
      </c>
      <c r="G1703" s="114">
        <v>1</v>
      </c>
      <c r="H1703" s="114">
        <v>3000</v>
      </c>
      <c r="I1703" s="114">
        <v>3000</v>
      </c>
      <c r="J1703" s="114">
        <v>2521</v>
      </c>
      <c r="K1703" s="114">
        <v>479</v>
      </c>
      <c r="L1703" s="114" t="str">
        <f t="shared" si="26"/>
        <v>INSERT INTO DETALLES_DOCUMENTO(NRO_DOCUMENTO,ID_TIPO,ID_PRODUCTO,CANTIDAD,PRECIO,VALOR_BRUTO,VALOR_NETO,VALOR_IVA) VALUES(861,1,368,1,3000,3000,2521,479);</v>
      </c>
    </row>
    <row r="1704" spans="1:12">
      <c r="A1704" s="114">
        <v>1</v>
      </c>
      <c r="B1704" s="114">
        <v>861</v>
      </c>
      <c r="C1704" s="139" t="s">
        <v>2303</v>
      </c>
      <c r="D1704" s="114" t="s">
        <v>2090</v>
      </c>
      <c r="E1704" s="114">
        <v>193</v>
      </c>
      <c r="F1704" s="114">
        <v>156</v>
      </c>
      <c r="G1704" s="114">
        <v>1</v>
      </c>
      <c r="H1704" s="114">
        <v>1400</v>
      </c>
      <c r="I1704" s="114">
        <v>1400</v>
      </c>
      <c r="J1704" s="114">
        <v>1176</v>
      </c>
      <c r="K1704" s="114">
        <v>224</v>
      </c>
      <c r="L1704" s="114" t="str">
        <f t="shared" si="26"/>
        <v>INSERT INTO DETALLES_DOCUMENTO(NRO_DOCUMENTO,ID_TIPO,ID_PRODUCTO,CANTIDAD,PRECIO,VALOR_BRUTO,VALOR_NETO,VALOR_IVA) VALUES(861,1,156,1,1400,1400,1176,224);</v>
      </c>
    </row>
    <row r="1705" spans="1:12">
      <c r="A1705" s="114">
        <v>1</v>
      </c>
      <c r="B1705" s="114">
        <v>862</v>
      </c>
      <c r="C1705" s="139" t="s">
        <v>2303</v>
      </c>
      <c r="D1705" s="114" t="s">
        <v>2090</v>
      </c>
      <c r="E1705" s="114">
        <v>323</v>
      </c>
      <c r="F1705" s="114">
        <v>231</v>
      </c>
      <c r="G1705" s="114">
        <v>1</v>
      </c>
      <c r="H1705" s="114">
        <v>20900</v>
      </c>
      <c r="I1705" s="114">
        <v>20900</v>
      </c>
      <c r="J1705" s="114">
        <v>17563</v>
      </c>
      <c r="K1705" s="114">
        <v>3337</v>
      </c>
      <c r="L1705" s="114" t="str">
        <f t="shared" si="26"/>
        <v>INSERT INTO DETALLES_DOCUMENTO(NRO_DOCUMENTO,ID_TIPO,ID_PRODUCTO,CANTIDAD,PRECIO,VALOR_BRUTO,VALOR_NETO,VALOR_IVA) VALUES(862,1,231,1,20900,20900,17563,3337);</v>
      </c>
    </row>
    <row r="1706" spans="1:12">
      <c r="A1706" s="114">
        <v>1</v>
      </c>
      <c r="B1706" s="114">
        <v>862</v>
      </c>
      <c r="C1706" s="139" t="s">
        <v>2303</v>
      </c>
      <c r="D1706" s="114" t="s">
        <v>2090</v>
      </c>
      <c r="E1706" s="114">
        <v>323</v>
      </c>
      <c r="F1706" s="114">
        <v>98</v>
      </c>
      <c r="G1706" s="114">
        <v>1</v>
      </c>
      <c r="H1706" s="114">
        <v>3500</v>
      </c>
      <c r="I1706" s="114">
        <v>3500</v>
      </c>
      <c r="J1706" s="114">
        <v>2941</v>
      </c>
      <c r="K1706" s="114">
        <v>559</v>
      </c>
      <c r="L1706" s="114" t="str">
        <f t="shared" si="26"/>
        <v>INSERT INTO DETALLES_DOCUMENTO(NRO_DOCUMENTO,ID_TIPO,ID_PRODUCTO,CANTIDAD,PRECIO,VALOR_BRUTO,VALOR_NETO,VALOR_IVA) VALUES(862,1,98,1,3500,3500,2941,559);</v>
      </c>
    </row>
    <row r="1707" spans="1:12">
      <c r="A1707" s="114">
        <v>1</v>
      </c>
      <c r="B1707" s="114">
        <v>862</v>
      </c>
      <c r="C1707" s="139" t="s">
        <v>2303</v>
      </c>
      <c r="D1707" s="114" t="s">
        <v>2090</v>
      </c>
      <c r="E1707" s="114">
        <v>323</v>
      </c>
      <c r="F1707" s="114">
        <v>191</v>
      </c>
      <c r="G1707" s="114">
        <v>1</v>
      </c>
      <c r="H1707" s="114">
        <v>2500</v>
      </c>
      <c r="I1707" s="114">
        <v>2500</v>
      </c>
      <c r="J1707" s="114">
        <v>2101</v>
      </c>
      <c r="K1707" s="114">
        <v>399</v>
      </c>
      <c r="L1707" s="114" t="str">
        <f t="shared" si="26"/>
        <v>INSERT INTO DETALLES_DOCUMENTO(NRO_DOCUMENTO,ID_TIPO,ID_PRODUCTO,CANTIDAD,PRECIO,VALOR_BRUTO,VALOR_NETO,VALOR_IVA) VALUES(862,1,191,1,2500,2500,2101,399);</v>
      </c>
    </row>
    <row r="1708" spans="1:12">
      <c r="A1708" s="114">
        <v>1</v>
      </c>
      <c r="B1708" s="114">
        <v>862</v>
      </c>
      <c r="C1708" s="139" t="s">
        <v>2303</v>
      </c>
      <c r="D1708" s="114" t="s">
        <v>2090</v>
      </c>
      <c r="E1708" s="114">
        <v>323</v>
      </c>
      <c r="F1708" s="114">
        <v>25</v>
      </c>
      <c r="G1708" s="114">
        <v>1</v>
      </c>
      <c r="H1708" s="114">
        <v>1800</v>
      </c>
      <c r="I1708" s="114">
        <v>1800</v>
      </c>
      <c r="J1708" s="114">
        <v>1513</v>
      </c>
      <c r="K1708" s="114">
        <v>287</v>
      </c>
      <c r="L1708" s="114" t="str">
        <f t="shared" si="26"/>
        <v>INSERT INTO DETALLES_DOCUMENTO(NRO_DOCUMENTO,ID_TIPO,ID_PRODUCTO,CANTIDAD,PRECIO,VALOR_BRUTO,VALOR_NETO,VALOR_IVA) VALUES(862,1,25,1,1800,1800,1513,287);</v>
      </c>
    </row>
    <row r="1709" spans="1:12">
      <c r="A1709" s="114">
        <v>1</v>
      </c>
      <c r="B1709" s="114">
        <v>862</v>
      </c>
      <c r="C1709" s="139" t="s">
        <v>2303</v>
      </c>
      <c r="D1709" s="114" t="s">
        <v>2090</v>
      </c>
      <c r="E1709" s="114">
        <v>323</v>
      </c>
      <c r="F1709" s="114">
        <v>274</v>
      </c>
      <c r="G1709" s="114">
        <v>1</v>
      </c>
      <c r="H1709" s="114">
        <v>7500</v>
      </c>
      <c r="I1709" s="114">
        <v>7500</v>
      </c>
      <c r="J1709" s="114">
        <v>6303</v>
      </c>
      <c r="K1709" s="114">
        <v>1197</v>
      </c>
      <c r="L1709" s="114" t="str">
        <f t="shared" si="26"/>
        <v>INSERT INTO DETALLES_DOCUMENTO(NRO_DOCUMENTO,ID_TIPO,ID_PRODUCTO,CANTIDAD,PRECIO,VALOR_BRUTO,VALOR_NETO,VALOR_IVA) VALUES(862,1,274,1,7500,7500,6303,1197);</v>
      </c>
    </row>
    <row r="1710" spans="1:12">
      <c r="A1710" s="114">
        <v>1</v>
      </c>
      <c r="B1710" s="114">
        <v>862</v>
      </c>
      <c r="C1710" s="139" t="s">
        <v>2303</v>
      </c>
      <c r="D1710" s="114" t="s">
        <v>2090</v>
      </c>
      <c r="E1710" s="114">
        <v>323</v>
      </c>
      <c r="F1710" s="114">
        <v>97</v>
      </c>
      <c r="G1710" s="114">
        <v>1</v>
      </c>
      <c r="H1710" s="114">
        <v>2000</v>
      </c>
      <c r="I1710" s="114">
        <v>2000</v>
      </c>
      <c r="J1710" s="114">
        <v>1681</v>
      </c>
      <c r="K1710" s="114">
        <v>319</v>
      </c>
      <c r="L1710" s="114" t="str">
        <f t="shared" si="26"/>
        <v>INSERT INTO DETALLES_DOCUMENTO(NRO_DOCUMENTO,ID_TIPO,ID_PRODUCTO,CANTIDAD,PRECIO,VALOR_BRUTO,VALOR_NETO,VALOR_IVA) VALUES(862,1,97,1,2000,2000,1681,319);</v>
      </c>
    </row>
    <row r="1711" spans="1:12">
      <c r="A1711" s="114">
        <v>1</v>
      </c>
      <c r="B1711" s="114">
        <v>862</v>
      </c>
      <c r="C1711" s="139" t="s">
        <v>2303</v>
      </c>
      <c r="D1711" s="114" t="s">
        <v>2090</v>
      </c>
      <c r="E1711" s="114">
        <v>323</v>
      </c>
      <c r="F1711" s="114">
        <v>254</v>
      </c>
      <c r="G1711" s="114">
        <v>1</v>
      </c>
      <c r="H1711" s="114">
        <v>2000</v>
      </c>
      <c r="I1711" s="114">
        <v>2000</v>
      </c>
      <c r="J1711" s="114">
        <v>1681</v>
      </c>
      <c r="K1711" s="114">
        <v>319</v>
      </c>
      <c r="L1711" s="114" t="str">
        <f t="shared" si="26"/>
        <v>INSERT INTO DETALLES_DOCUMENTO(NRO_DOCUMENTO,ID_TIPO,ID_PRODUCTO,CANTIDAD,PRECIO,VALOR_BRUTO,VALOR_NETO,VALOR_IVA) VALUES(862,1,254,1,2000,2000,1681,319);</v>
      </c>
    </row>
    <row r="1712" spans="1:12">
      <c r="A1712" s="114">
        <v>1</v>
      </c>
      <c r="B1712" s="114">
        <v>863</v>
      </c>
      <c r="C1712" s="139" t="s">
        <v>2303</v>
      </c>
      <c r="D1712" s="114" t="s">
        <v>2090</v>
      </c>
      <c r="E1712" s="114">
        <v>436</v>
      </c>
      <c r="F1712" s="114">
        <v>230</v>
      </c>
      <c r="G1712" s="114">
        <v>1</v>
      </c>
      <c r="H1712" s="114">
        <v>16500</v>
      </c>
      <c r="I1712" s="114">
        <v>16500</v>
      </c>
      <c r="J1712" s="114">
        <v>13866</v>
      </c>
      <c r="K1712" s="114">
        <v>2634</v>
      </c>
      <c r="L1712" s="114" t="str">
        <f t="shared" si="26"/>
        <v>INSERT INTO DETALLES_DOCUMENTO(NRO_DOCUMENTO,ID_TIPO,ID_PRODUCTO,CANTIDAD,PRECIO,VALOR_BRUTO,VALOR_NETO,VALOR_IVA) VALUES(863,1,230,1,16500,16500,13866,2634);</v>
      </c>
    </row>
    <row r="1713" spans="1:12">
      <c r="A1713" s="114">
        <v>1</v>
      </c>
      <c r="B1713" s="114">
        <v>863</v>
      </c>
      <c r="C1713" s="139" t="s">
        <v>2303</v>
      </c>
      <c r="D1713" s="114" t="s">
        <v>2090</v>
      </c>
      <c r="E1713" s="114">
        <v>436</v>
      </c>
      <c r="F1713" s="114">
        <v>261</v>
      </c>
      <c r="G1713" s="114">
        <v>1</v>
      </c>
      <c r="H1713" s="114">
        <v>7000</v>
      </c>
      <c r="I1713" s="114">
        <v>7000</v>
      </c>
      <c r="J1713" s="114">
        <v>5882</v>
      </c>
      <c r="K1713" s="114">
        <v>1118</v>
      </c>
      <c r="L1713" s="114" t="str">
        <f t="shared" si="26"/>
        <v>INSERT INTO DETALLES_DOCUMENTO(NRO_DOCUMENTO,ID_TIPO,ID_PRODUCTO,CANTIDAD,PRECIO,VALOR_BRUTO,VALOR_NETO,VALOR_IVA) VALUES(863,1,261,1,7000,7000,5882,1118);</v>
      </c>
    </row>
    <row r="1714" spans="1:12">
      <c r="A1714" s="114">
        <v>1</v>
      </c>
      <c r="B1714" s="114">
        <v>863</v>
      </c>
      <c r="C1714" s="139" t="s">
        <v>2303</v>
      </c>
      <c r="D1714" s="114" t="s">
        <v>2090</v>
      </c>
      <c r="E1714" s="114">
        <v>436</v>
      </c>
      <c r="F1714" s="114">
        <v>359</v>
      </c>
      <c r="G1714" s="114">
        <v>1</v>
      </c>
      <c r="H1714" s="114">
        <v>2500</v>
      </c>
      <c r="I1714" s="114">
        <v>2500</v>
      </c>
      <c r="J1714" s="114">
        <v>2101</v>
      </c>
      <c r="K1714" s="114">
        <v>399</v>
      </c>
      <c r="L1714" s="114" t="str">
        <f t="shared" si="26"/>
        <v>INSERT INTO DETALLES_DOCUMENTO(NRO_DOCUMENTO,ID_TIPO,ID_PRODUCTO,CANTIDAD,PRECIO,VALOR_BRUTO,VALOR_NETO,VALOR_IVA) VALUES(863,1,359,1,2500,2500,2101,399);</v>
      </c>
    </row>
    <row r="1715" spans="1:12">
      <c r="A1715" s="114">
        <v>1</v>
      </c>
      <c r="B1715" s="114">
        <v>864</v>
      </c>
      <c r="C1715" s="139" t="s">
        <v>2303</v>
      </c>
      <c r="D1715" s="114" t="s">
        <v>2090</v>
      </c>
      <c r="E1715" s="114">
        <v>440</v>
      </c>
      <c r="F1715" s="114">
        <v>143</v>
      </c>
      <c r="G1715" s="114">
        <v>1</v>
      </c>
      <c r="H1715" s="114">
        <v>8000</v>
      </c>
      <c r="I1715" s="114">
        <v>8000</v>
      </c>
      <c r="J1715" s="114">
        <v>6723</v>
      </c>
      <c r="K1715" s="114">
        <v>1277</v>
      </c>
      <c r="L1715" s="114" t="str">
        <f t="shared" si="26"/>
        <v>INSERT INTO DETALLES_DOCUMENTO(NRO_DOCUMENTO,ID_TIPO,ID_PRODUCTO,CANTIDAD,PRECIO,VALOR_BRUTO,VALOR_NETO,VALOR_IVA) VALUES(864,1,143,1,8000,8000,6723,1277);</v>
      </c>
    </row>
    <row r="1716" spans="1:12">
      <c r="A1716" s="114">
        <v>1</v>
      </c>
      <c r="B1716" s="114">
        <v>865</v>
      </c>
      <c r="C1716" s="139" t="s">
        <v>2303</v>
      </c>
      <c r="D1716" s="114" t="s">
        <v>2090</v>
      </c>
      <c r="E1716" s="114">
        <v>486</v>
      </c>
      <c r="F1716" s="114">
        <v>143</v>
      </c>
      <c r="G1716" s="114">
        <v>1</v>
      </c>
      <c r="H1716" s="114">
        <v>8000</v>
      </c>
      <c r="I1716" s="114">
        <v>8000</v>
      </c>
      <c r="J1716" s="114">
        <v>6723</v>
      </c>
      <c r="K1716" s="114">
        <v>1277</v>
      </c>
      <c r="L1716" s="114" t="str">
        <f t="shared" si="26"/>
        <v>INSERT INTO DETALLES_DOCUMENTO(NRO_DOCUMENTO,ID_TIPO,ID_PRODUCTO,CANTIDAD,PRECIO,VALOR_BRUTO,VALOR_NETO,VALOR_IVA) VALUES(865,1,143,1,8000,8000,6723,1277);</v>
      </c>
    </row>
    <row r="1717" spans="1:12">
      <c r="A1717" s="114">
        <v>1</v>
      </c>
      <c r="B1717" s="114">
        <v>866</v>
      </c>
      <c r="C1717" s="139" t="s">
        <v>2304</v>
      </c>
      <c r="D1717" s="114" t="s">
        <v>2090</v>
      </c>
      <c r="E1717" s="114">
        <v>56</v>
      </c>
      <c r="F1717" s="114">
        <v>324</v>
      </c>
      <c r="G1717" s="114">
        <v>1</v>
      </c>
      <c r="H1717" s="114">
        <v>11000</v>
      </c>
      <c r="I1717" s="114">
        <v>11000</v>
      </c>
      <c r="J1717" s="114">
        <v>9244</v>
      </c>
      <c r="K1717" s="114">
        <v>1756</v>
      </c>
      <c r="L1717" s="114" t="str">
        <f t="shared" si="26"/>
        <v>INSERT INTO DETALLES_DOCUMENTO(NRO_DOCUMENTO,ID_TIPO,ID_PRODUCTO,CANTIDAD,PRECIO,VALOR_BRUTO,VALOR_NETO,VALOR_IVA) VALUES(866,1,324,1,11000,11000,9244,1756);</v>
      </c>
    </row>
    <row r="1718" spans="1:12">
      <c r="A1718" s="114">
        <v>1</v>
      </c>
      <c r="B1718" s="114">
        <v>866</v>
      </c>
      <c r="C1718" s="139" t="s">
        <v>2304</v>
      </c>
      <c r="D1718" s="114" t="s">
        <v>2090</v>
      </c>
      <c r="E1718" s="114">
        <v>56</v>
      </c>
      <c r="F1718" s="114">
        <v>143</v>
      </c>
      <c r="G1718" s="114">
        <v>1</v>
      </c>
      <c r="H1718" s="114">
        <v>8000</v>
      </c>
      <c r="I1718" s="114">
        <v>8000</v>
      </c>
      <c r="J1718" s="114">
        <v>6723</v>
      </c>
      <c r="K1718" s="114">
        <v>1277</v>
      </c>
      <c r="L1718" s="114" t="str">
        <f t="shared" si="26"/>
        <v>INSERT INTO DETALLES_DOCUMENTO(NRO_DOCUMENTO,ID_TIPO,ID_PRODUCTO,CANTIDAD,PRECIO,VALOR_BRUTO,VALOR_NETO,VALOR_IVA) VALUES(866,1,143,1,8000,8000,6723,1277);</v>
      </c>
    </row>
    <row r="1719" spans="1:12">
      <c r="A1719" s="114">
        <v>1</v>
      </c>
      <c r="B1719" s="114">
        <v>867</v>
      </c>
      <c r="C1719" s="139" t="s">
        <v>2304</v>
      </c>
      <c r="D1719" s="114" t="s">
        <v>2090</v>
      </c>
      <c r="E1719" s="114">
        <v>110</v>
      </c>
      <c r="F1719" s="114">
        <v>118</v>
      </c>
      <c r="G1719" s="114">
        <v>1</v>
      </c>
      <c r="H1719" s="114">
        <v>3500</v>
      </c>
      <c r="I1719" s="114">
        <v>3500</v>
      </c>
      <c r="J1719" s="114">
        <v>2941</v>
      </c>
      <c r="K1719" s="114">
        <v>559</v>
      </c>
      <c r="L1719" s="114" t="str">
        <f t="shared" si="26"/>
        <v>INSERT INTO DETALLES_DOCUMENTO(NRO_DOCUMENTO,ID_TIPO,ID_PRODUCTO,CANTIDAD,PRECIO,VALOR_BRUTO,VALOR_NETO,VALOR_IVA) VALUES(867,1,118,1,3500,3500,2941,559);</v>
      </c>
    </row>
    <row r="1720" spans="1:12">
      <c r="A1720" s="114">
        <v>1</v>
      </c>
      <c r="B1720" s="114">
        <v>867</v>
      </c>
      <c r="C1720" s="139" t="s">
        <v>2304</v>
      </c>
      <c r="D1720" s="114" t="s">
        <v>2090</v>
      </c>
      <c r="E1720" s="114">
        <v>110</v>
      </c>
      <c r="F1720" s="114">
        <v>329</v>
      </c>
      <c r="G1720" s="114">
        <v>1</v>
      </c>
      <c r="H1720" s="114">
        <v>6000</v>
      </c>
      <c r="I1720" s="114">
        <v>6000</v>
      </c>
      <c r="J1720" s="114">
        <v>5042</v>
      </c>
      <c r="K1720" s="114">
        <v>958</v>
      </c>
      <c r="L1720" s="114" t="str">
        <f t="shared" si="26"/>
        <v>INSERT INTO DETALLES_DOCUMENTO(NRO_DOCUMENTO,ID_TIPO,ID_PRODUCTO,CANTIDAD,PRECIO,VALOR_BRUTO,VALOR_NETO,VALOR_IVA) VALUES(867,1,329,1,6000,6000,5042,958);</v>
      </c>
    </row>
    <row r="1721" spans="1:12">
      <c r="A1721" s="114">
        <v>1</v>
      </c>
      <c r="B1721" s="114">
        <v>868</v>
      </c>
      <c r="C1721" s="139" t="s">
        <v>2304</v>
      </c>
      <c r="D1721" s="114" t="s">
        <v>2090</v>
      </c>
      <c r="E1721" s="114">
        <v>158</v>
      </c>
      <c r="F1721" s="114">
        <v>57</v>
      </c>
      <c r="G1721" s="114">
        <v>1</v>
      </c>
      <c r="H1721" s="114">
        <v>4000</v>
      </c>
      <c r="I1721" s="114">
        <v>4000</v>
      </c>
      <c r="J1721" s="114">
        <v>3361</v>
      </c>
      <c r="K1721" s="114">
        <v>639</v>
      </c>
      <c r="L1721" s="114" t="str">
        <f t="shared" si="26"/>
        <v>INSERT INTO DETALLES_DOCUMENTO(NRO_DOCUMENTO,ID_TIPO,ID_PRODUCTO,CANTIDAD,PRECIO,VALOR_BRUTO,VALOR_NETO,VALOR_IVA) VALUES(868,1,57,1,4000,4000,3361,639);</v>
      </c>
    </row>
    <row r="1722" spans="1:12">
      <c r="A1722" s="114">
        <v>1</v>
      </c>
      <c r="B1722" s="114">
        <v>869</v>
      </c>
      <c r="C1722" s="139" t="s">
        <v>2304</v>
      </c>
      <c r="D1722" s="114" t="s">
        <v>2090</v>
      </c>
      <c r="E1722" s="114">
        <v>166</v>
      </c>
      <c r="F1722" s="114">
        <v>324</v>
      </c>
      <c r="G1722" s="114">
        <v>1</v>
      </c>
      <c r="H1722" s="114">
        <v>11000</v>
      </c>
      <c r="I1722" s="114">
        <v>11000</v>
      </c>
      <c r="J1722" s="114">
        <v>9244</v>
      </c>
      <c r="K1722" s="114">
        <v>1756</v>
      </c>
      <c r="L1722" s="114" t="str">
        <f t="shared" si="26"/>
        <v>INSERT INTO DETALLES_DOCUMENTO(NRO_DOCUMENTO,ID_TIPO,ID_PRODUCTO,CANTIDAD,PRECIO,VALOR_BRUTO,VALOR_NETO,VALOR_IVA) VALUES(869,1,324,1,11000,11000,9244,1756);</v>
      </c>
    </row>
    <row r="1723" spans="1:12">
      <c r="A1723" s="114">
        <v>1</v>
      </c>
      <c r="B1723" s="114">
        <v>870</v>
      </c>
      <c r="C1723" s="139" t="s">
        <v>2304</v>
      </c>
      <c r="D1723" s="114" t="s">
        <v>2090</v>
      </c>
      <c r="E1723" s="114">
        <v>177</v>
      </c>
      <c r="F1723" s="114">
        <v>324</v>
      </c>
      <c r="G1723" s="114">
        <v>1</v>
      </c>
      <c r="H1723" s="114">
        <v>11000</v>
      </c>
      <c r="I1723" s="114">
        <v>11000</v>
      </c>
      <c r="J1723" s="114">
        <v>9244</v>
      </c>
      <c r="K1723" s="114">
        <v>1756</v>
      </c>
      <c r="L1723" s="114" t="str">
        <f t="shared" si="26"/>
        <v>INSERT INTO DETALLES_DOCUMENTO(NRO_DOCUMENTO,ID_TIPO,ID_PRODUCTO,CANTIDAD,PRECIO,VALOR_BRUTO,VALOR_NETO,VALOR_IVA) VALUES(870,1,324,1,11000,11000,9244,1756);</v>
      </c>
    </row>
    <row r="1724" spans="1:12">
      <c r="A1724" s="114">
        <v>1</v>
      </c>
      <c r="B1724" s="114">
        <v>871</v>
      </c>
      <c r="C1724" s="139" t="s">
        <v>2304</v>
      </c>
      <c r="D1724" s="114" t="s">
        <v>2090</v>
      </c>
      <c r="E1724" s="114">
        <v>229</v>
      </c>
      <c r="F1724" s="114">
        <v>143</v>
      </c>
      <c r="G1724" s="114">
        <v>2</v>
      </c>
      <c r="H1724" s="114">
        <v>16000</v>
      </c>
      <c r="I1724" s="114">
        <v>32000</v>
      </c>
      <c r="J1724" s="114">
        <v>26891</v>
      </c>
      <c r="K1724" s="114">
        <v>5109</v>
      </c>
      <c r="L1724" s="114" t="str">
        <f t="shared" si="26"/>
        <v>INSERT INTO DETALLES_DOCUMENTO(NRO_DOCUMENTO,ID_TIPO,ID_PRODUCTO,CANTIDAD,PRECIO,VALOR_BRUTO,VALOR_NETO,VALOR_IVA) VALUES(871,1,143,2,16000,32000,26891,5109);</v>
      </c>
    </row>
    <row r="1725" spans="1:12">
      <c r="A1725" s="114">
        <v>1</v>
      </c>
      <c r="B1725" s="114">
        <v>872</v>
      </c>
      <c r="C1725" s="139" t="s">
        <v>2304</v>
      </c>
      <c r="D1725" s="114" t="s">
        <v>2090</v>
      </c>
      <c r="E1725" s="114">
        <v>243</v>
      </c>
      <c r="F1725" s="114">
        <v>324</v>
      </c>
      <c r="G1725" s="114">
        <v>1</v>
      </c>
      <c r="H1725" s="114">
        <v>11000</v>
      </c>
      <c r="I1725" s="114">
        <v>11000</v>
      </c>
      <c r="J1725" s="114">
        <v>9244</v>
      </c>
      <c r="K1725" s="114">
        <v>1756</v>
      </c>
      <c r="L1725" s="114" t="str">
        <f t="shared" si="26"/>
        <v>INSERT INTO DETALLES_DOCUMENTO(NRO_DOCUMENTO,ID_TIPO,ID_PRODUCTO,CANTIDAD,PRECIO,VALOR_BRUTO,VALOR_NETO,VALOR_IVA) VALUES(872,1,324,1,11000,11000,9244,1756);</v>
      </c>
    </row>
    <row r="1726" spans="1:12">
      <c r="A1726" s="114">
        <v>1</v>
      </c>
      <c r="B1726" s="114">
        <v>873</v>
      </c>
      <c r="C1726" s="139" t="s">
        <v>2304</v>
      </c>
      <c r="D1726" s="114" t="s">
        <v>2090</v>
      </c>
      <c r="E1726" s="114">
        <v>276</v>
      </c>
      <c r="F1726" s="114">
        <v>324</v>
      </c>
      <c r="G1726" s="114">
        <v>1</v>
      </c>
      <c r="H1726" s="114">
        <v>11000</v>
      </c>
      <c r="I1726" s="114">
        <v>11000</v>
      </c>
      <c r="J1726" s="114">
        <v>9244</v>
      </c>
      <c r="K1726" s="114">
        <v>1756</v>
      </c>
      <c r="L1726" s="114" t="str">
        <f t="shared" si="26"/>
        <v>INSERT INTO DETALLES_DOCUMENTO(NRO_DOCUMENTO,ID_TIPO,ID_PRODUCTO,CANTIDAD,PRECIO,VALOR_BRUTO,VALOR_NETO,VALOR_IVA) VALUES(873,1,324,1,11000,11000,9244,1756);</v>
      </c>
    </row>
    <row r="1727" spans="1:12">
      <c r="A1727" s="114">
        <v>1</v>
      </c>
      <c r="B1727" s="114">
        <v>874</v>
      </c>
      <c r="C1727" s="139" t="s">
        <v>2304</v>
      </c>
      <c r="D1727" s="114" t="s">
        <v>2090</v>
      </c>
      <c r="E1727" s="114">
        <v>355</v>
      </c>
      <c r="F1727" s="114">
        <v>165</v>
      </c>
      <c r="G1727" s="114">
        <v>1</v>
      </c>
      <c r="H1727" s="114">
        <v>2000</v>
      </c>
      <c r="I1727" s="114">
        <v>2000</v>
      </c>
      <c r="J1727" s="114">
        <v>1681</v>
      </c>
      <c r="K1727" s="114">
        <v>319</v>
      </c>
      <c r="L1727" s="114" t="str">
        <f t="shared" si="26"/>
        <v>INSERT INTO DETALLES_DOCUMENTO(NRO_DOCUMENTO,ID_TIPO,ID_PRODUCTO,CANTIDAD,PRECIO,VALOR_BRUTO,VALOR_NETO,VALOR_IVA) VALUES(874,1,165,1,2000,2000,1681,319);</v>
      </c>
    </row>
    <row r="1728" spans="1:12">
      <c r="A1728" s="114">
        <v>1</v>
      </c>
      <c r="B1728" s="114">
        <v>874</v>
      </c>
      <c r="C1728" s="139" t="s">
        <v>2304</v>
      </c>
      <c r="D1728" s="114" t="s">
        <v>2090</v>
      </c>
      <c r="E1728" s="114">
        <v>355</v>
      </c>
      <c r="F1728" s="114">
        <v>143</v>
      </c>
      <c r="G1728" s="114">
        <v>2</v>
      </c>
      <c r="H1728" s="114">
        <v>16000</v>
      </c>
      <c r="I1728" s="114">
        <v>32000</v>
      </c>
      <c r="J1728" s="114">
        <v>26891</v>
      </c>
      <c r="K1728" s="114">
        <v>5109</v>
      </c>
      <c r="L1728" s="114" t="str">
        <f t="shared" si="26"/>
        <v>INSERT INTO DETALLES_DOCUMENTO(NRO_DOCUMENTO,ID_TIPO,ID_PRODUCTO,CANTIDAD,PRECIO,VALOR_BRUTO,VALOR_NETO,VALOR_IVA) VALUES(874,1,143,2,16000,32000,26891,5109);</v>
      </c>
    </row>
    <row r="1729" spans="1:12">
      <c r="A1729" s="114">
        <v>1</v>
      </c>
      <c r="B1729" s="114">
        <v>875</v>
      </c>
      <c r="C1729" s="139" t="s">
        <v>2304</v>
      </c>
      <c r="D1729" s="114" t="s">
        <v>2090</v>
      </c>
      <c r="E1729" s="114">
        <v>369</v>
      </c>
      <c r="F1729" s="114">
        <v>143</v>
      </c>
      <c r="G1729" s="114">
        <v>2</v>
      </c>
      <c r="H1729" s="114">
        <v>16000</v>
      </c>
      <c r="I1729" s="114">
        <v>32000</v>
      </c>
      <c r="J1729" s="114">
        <v>26891</v>
      </c>
      <c r="K1729" s="114">
        <v>5109</v>
      </c>
      <c r="L1729" s="114" t="str">
        <f t="shared" si="26"/>
        <v>INSERT INTO DETALLES_DOCUMENTO(NRO_DOCUMENTO,ID_TIPO,ID_PRODUCTO,CANTIDAD,PRECIO,VALOR_BRUTO,VALOR_NETO,VALOR_IVA) VALUES(875,1,143,2,16000,32000,26891,5109);</v>
      </c>
    </row>
    <row r="1730" spans="1:12">
      <c r="A1730" s="114">
        <v>1</v>
      </c>
      <c r="B1730" s="114">
        <v>876</v>
      </c>
      <c r="C1730" s="139" t="s">
        <v>2304</v>
      </c>
      <c r="D1730" s="114" t="s">
        <v>2090</v>
      </c>
      <c r="E1730" s="114">
        <v>450</v>
      </c>
      <c r="F1730" s="114">
        <v>143</v>
      </c>
      <c r="G1730" s="114">
        <v>1</v>
      </c>
      <c r="H1730" s="114">
        <v>8000</v>
      </c>
      <c r="I1730" s="114">
        <v>8000</v>
      </c>
      <c r="J1730" s="114">
        <v>6723</v>
      </c>
      <c r="K1730" s="114">
        <v>1277</v>
      </c>
      <c r="L1730" s="114" t="str">
        <f t="shared" si="26"/>
        <v>INSERT INTO DETALLES_DOCUMENTO(NRO_DOCUMENTO,ID_TIPO,ID_PRODUCTO,CANTIDAD,PRECIO,VALOR_BRUTO,VALOR_NETO,VALOR_IVA) VALUES(876,1,143,1,8000,8000,6723,1277);</v>
      </c>
    </row>
    <row r="1731" spans="1:12">
      <c r="A1731" s="114">
        <v>1</v>
      </c>
      <c r="B1731" s="114">
        <v>876</v>
      </c>
      <c r="C1731" s="139" t="s">
        <v>2304</v>
      </c>
      <c r="D1731" s="114" t="s">
        <v>2090</v>
      </c>
      <c r="E1731" s="114">
        <v>450</v>
      </c>
      <c r="F1731" s="114">
        <v>293</v>
      </c>
      <c r="G1731" s="114">
        <v>1</v>
      </c>
      <c r="H1731" s="114">
        <v>10000</v>
      </c>
      <c r="I1731" s="114">
        <v>10000</v>
      </c>
      <c r="J1731" s="114">
        <v>8403</v>
      </c>
      <c r="K1731" s="114">
        <v>1597</v>
      </c>
      <c r="L1731" s="114" t="str">
        <f t="shared" ref="L1731:L1794" si="27">CONCATENATE("INSERT INTO DETALLES_DOCUMENTO(NRO_DOCUMENTO,ID_TIPO,ID_PRODUCTO,CANTIDAD,PRECIO,VALOR_BRUTO,VALOR_NETO,VALOR_IVA) VALUES(",B1731,",",A1731,",",F1731,",",G1731,",",H1731,",",I1731,",",J1731,",",K1731,");")</f>
        <v>INSERT INTO DETALLES_DOCUMENTO(NRO_DOCUMENTO,ID_TIPO,ID_PRODUCTO,CANTIDAD,PRECIO,VALOR_BRUTO,VALOR_NETO,VALOR_IVA) VALUES(876,1,293,1,10000,10000,8403,1597);</v>
      </c>
    </row>
    <row r="1732" spans="1:12">
      <c r="A1732" s="114">
        <v>1</v>
      </c>
      <c r="B1732" s="114">
        <v>876</v>
      </c>
      <c r="C1732" s="139" t="s">
        <v>2304</v>
      </c>
      <c r="D1732" s="114" t="s">
        <v>2090</v>
      </c>
      <c r="E1732" s="114">
        <v>450</v>
      </c>
      <c r="F1732" s="114">
        <v>254</v>
      </c>
      <c r="G1732" s="114">
        <v>1</v>
      </c>
      <c r="H1732" s="114">
        <v>2000</v>
      </c>
      <c r="I1732" s="114">
        <v>2000</v>
      </c>
      <c r="J1732" s="114">
        <v>1681</v>
      </c>
      <c r="K1732" s="114">
        <v>319</v>
      </c>
      <c r="L1732" s="114" t="str">
        <f t="shared" si="27"/>
        <v>INSERT INTO DETALLES_DOCUMENTO(NRO_DOCUMENTO,ID_TIPO,ID_PRODUCTO,CANTIDAD,PRECIO,VALOR_BRUTO,VALOR_NETO,VALOR_IVA) VALUES(876,1,254,1,2000,2000,1681,319);</v>
      </c>
    </row>
    <row r="1733" spans="1:12">
      <c r="A1733" s="114">
        <v>1</v>
      </c>
      <c r="B1733" s="114">
        <v>876</v>
      </c>
      <c r="C1733" s="139" t="s">
        <v>2304</v>
      </c>
      <c r="D1733" s="114" t="s">
        <v>2090</v>
      </c>
      <c r="E1733" s="114">
        <v>450</v>
      </c>
      <c r="F1733" s="114">
        <v>99</v>
      </c>
      <c r="G1733" s="114">
        <v>1</v>
      </c>
      <c r="H1733" s="114">
        <v>1500</v>
      </c>
      <c r="I1733" s="114">
        <v>1500</v>
      </c>
      <c r="J1733" s="114">
        <v>1261</v>
      </c>
      <c r="K1733" s="114">
        <v>239</v>
      </c>
      <c r="L1733" s="114" t="str">
        <f t="shared" si="27"/>
        <v>INSERT INTO DETALLES_DOCUMENTO(NRO_DOCUMENTO,ID_TIPO,ID_PRODUCTO,CANTIDAD,PRECIO,VALOR_BRUTO,VALOR_NETO,VALOR_IVA) VALUES(876,1,99,1,1500,1500,1261,239);</v>
      </c>
    </row>
    <row r="1734" spans="1:12">
      <c r="A1734" s="114">
        <v>1</v>
      </c>
      <c r="B1734" s="114">
        <v>877</v>
      </c>
      <c r="C1734" s="139" t="s">
        <v>2304</v>
      </c>
      <c r="D1734" s="114" t="s">
        <v>2090</v>
      </c>
      <c r="E1734" s="114">
        <v>476</v>
      </c>
      <c r="F1734" s="114">
        <v>324</v>
      </c>
      <c r="G1734" s="114">
        <v>1</v>
      </c>
      <c r="H1734" s="114">
        <v>11000</v>
      </c>
      <c r="I1734" s="114">
        <v>11000</v>
      </c>
      <c r="J1734" s="114">
        <v>9244</v>
      </c>
      <c r="K1734" s="114">
        <v>1756</v>
      </c>
      <c r="L1734" s="114" t="str">
        <f t="shared" si="27"/>
        <v>INSERT INTO DETALLES_DOCUMENTO(NRO_DOCUMENTO,ID_TIPO,ID_PRODUCTO,CANTIDAD,PRECIO,VALOR_BRUTO,VALOR_NETO,VALOR_IVA) VALUES(877,1,324,1,11000,11000,9244,1756);</v>
      </c>
    </row>
    <row r="1735" spans="1:12">
      <c r="A1735" s="114">
        <v>1</v>
      </c>
      <c r="B1735" s="114">
        <v>877</v>
      </c>
      <c r="C1735" s="139" t="s">
        <v>2304</v>
      </c>
      <c r="D1735" s="114" t="s">
        <v>2090</v>
      </c>
      <c r="E1735" s="114">
        <v>476</v>
      </c>
      <c r="F1735" s="114">
        <v>143</v>
      </c>
      <c r="G1735" s="114">
        <v>1</v>
      </c>
      <c r="H1735" s="114">
        <v>8000</v>
      </c>
      <c r="I1735" s="114">
        <v>8000</v>
      </c>
      <c r="J1735" s="114">
        <v>6723</v>
      </c>
      <c r="K1735" s="114">
        <v>1277</v>
      </c>
      <c r="L1735" s="114" t="str">
        <f t="shared" si="27"/>
        <v>INSERT INTO DETALLES_DOCUMENTO(NRO_DOCUMENTO,ID_TIPO,ID_PRODUCTO,CANTIDAD,PRECIO,VALOR_BRUTO,VALOR_NETO,VALOR_IVA) VALUES(877,1,143,1,8000,8000,6723,1277);</v>
      </c>
    </row>
    <row r="1736" spans="1:12">
      <c r="A1736" s="114">
        <v>1</v>
      </c>
      <c r="B1736" s="114">
        <v>878</v>
      </c>
      <c r="C1736" s="139" t="s">
        <v>2305</v>
      </c>
      <c r="D1736" s="114" t="s">
        <v>2090</v>
      </c>
      <c r="E1736" s="114">
        <v>65</v>
      </c>
      <c r="F1736" s="114">
        <v>324</v>
      </c>
      <c r="G1736" s="114">
        <v>1</v>
      </c>
      <c r="H1736" s="114">
        <v>11000</v>
      </c>
      <c r="I1736" s="114">
        <v>11000</v>
      </c>
      <c r="J1736" s="114">
        <v>9244</v>
      </c>
      <c r="K1736" s="114">
        <v>1756</v>
      </c>
      <c r="L1736" s="114" t="str">
        <f t="shared" si="27"/>
        <v>INSERT INTO DETALLES_DOCUMENTO(NRO_DOCUMENTO,ID_TIPO,ID_PRODUCTO,CANTIDAD,PRECIO,VALOR_BRUTO,VALOR_NETO,VALOR_IVA) VALUES(878,1,324,1,11000,11000,9244,1756);</v>
      </c>
    </row>
    <row r="1737" spans="1:12">
      <c r="A1737" s="114">
        <v>1</v>
      </c>
      <c r="B1737" s="114">
        <v>879</v>
      </c>
      <c r="C1737" s="139" t="s">
        <v>2305</v>
      </c>
      <c r="D1737" s="114" t="s">
        <v>2090</v>
      </c>
      <c r="E1737" s="114">
        <v>142</v>
      </c>
      <c r="F1737" s="114">
        <v>329</v>
      </c>
      <c r="G1737" s="114">
        <v>1</v>
      </c>
      <c r="H1737" s="114">
        <v>6000</v>
      </c>
      <c r="I1737" s="114">
        <v>6000</v>
      </c>
      <c r="J1737" s="114">
        <v>5042</v>
      </c>
      <c r="K1737" s="114">
        <v>958</v>
      </c>
      <c r="L1737" s="114" t="str">
        <f t="shared" si="27"/>
        <v>INSERT INTO DETALLES_DOCUMENTO(NRO_DOCUMENTO,ID_TIPO,ID_PRODUCTO,CANTIDAD,PRECIO,VALOR_BRUTO,VALOR_NETO,VALOR_IVA) VALUES(879,1,329,1,6000,6000,5042,958);</v>
      </c>
    </row>
    <row r="1738" spans="1:12">
      <c r="A1738" s="114">
        <v>1</v>
      </c>
      <c r="B1738" s="114">
        <v>880</v>
      </c>
      <c r="C1738" s="139" t="s">
        <v>2305</v>
      </c>
      <c r="D1738" s="114" t="s">
        <v>2090</v>
      </c>
      <c r="E1738" s="114">
        <v>155</v>
      </c>
      <c r="F1738" s="114">
        <v>143</v>
      </c>
      <c r="G1738" s="114">
        <v>1</v>
      </c>
      <c r="H1738" s="114">
        <v>8000</v>
      </c>
      <c r="I1738" s="114">
        <v>8000</v>
      </c>
      <c r="J1738" s="114">
        <v>6723</v>
      </c>
      <c r="K1738" s="114">
        <v>1277</v>
      </c>
      <c r="L1738" s="114" t="str">
        <f t="shared" si="27"/>
        <v>INSERT INTO DETALLES_DOCUMENTO(NRO_DOCUMENTO,ID_TIPO,ID_PRODUCTO,CANTIDAD,PRECIO,VALOR_BRUTO,VALOR_NETO,VALOR_IVA) VALUES(880,1,143,1,8000,8000,6723,1277);</v>
      </c>
    </row>
    <row r="1739" spans="1:12">
      <c r="A1739" s="114">
        <v>1</v>
      </c>
      <c r="B1739" s="114">
        <v>881</v>
      </c>
      <c r="C1739" s="139" t="s">
        <v>2305</v>
      </c>
      <c r="D1739" s="114" t="s">
        <v>2090</v>
      </c>
      <c r="E1739" s="114">
        <v>166</v>
      </c>
      <c r="F1739" s="114">
        <v>288</v>
      </c>
      <c r="G1739" s="114">
        <v>1</v>
      </c>
      <c r="H1739" s="114">
        <v>8500</v>
      </c>
      <c r="I1739" s="114">
        <v>8500</v>
      </c>
      <c r="J1739" s="114">
        <v>7143</v>
      </c>
      <c r="K1739" s="114">
        <v>1357</v>
      </c>
      <c r="L1739" s="114" t="str">
        <f t="shared" si="27"/>
        <v>INSERT INTO DETALLES_DOCUMENTO(NRO_DOCUMENTO,ID_TIPO,ID_PRODUCTO,CANTIDAD,PRECIO,VALOR_BRUTO,VALOR_NETO,VALOR_IVA) VALUES(881,1,288,1,8500,8500,7143,1357);</v>
      </c>
    </row>
    <row r="1740" spans="1:12">
      <c r="A1740" s="114">
        <v>1</v>
      </c>
      <c r="B1740" s="114">
        <v>881</v>
      </c>
      <c r="C1740" s="139" t="s">
        <v>2305</v>
      </c>
      <c r="D1740" s="114" t="s">
        <v>2090</v>
      </c>
      <c r="E1740" s="114">
        <v>166</v>
      </c>
      <c r="F1740" s="114">
        <v>251</v>
      </c>
      <c r="G1740" s="114">
        <v>1</v>
      </c>
      <c r="H1740" s="114">
        <v>7000</v>
      </c>
      <c r="I1740" s="114">
        <v>7000</v>
      </c>
      <c r="J1740" s="114">
        <v>5882</v>
      </c>
      <c r="K1740" s="114">
        <v>1118</v>
      </c>
      <c r="L1740" s="114" t="str">
        <f t="shared" si="27"/>
        <v>INSERT INTO DETALLES_DOCUMENTO(NRO_DOCUMENTO,ID_TIPO,ID_PRODUCTO,CANTIDAD,PRECIO,VALOR_BRUTO,VALOR_NETO,VALOR_IVA) VALUES(881,1,251,1,7000,7000,5882,1118);</v>
      </c>
    </row>
    <row r="1741" spans="1:12">
      <c r="A1741" s="114">
        <v>1</v>
      </c>
      <c r="B1741" s="114">
        <v>882</v>
      </c>
      <c r="C1741" s="139" t="s">
        <v>2305</v>
      </c>
      <c r="D1741" s="114" t="s">
        <v>2090</v>
      </c>
      <c r="E1741" s="114">
        <v>184</v>
      </c>
      <c r="F1741" s="114">
        <v>143</v>
      </c>
      <c r="G1741" s="114">
        <v>1</v>
      </c>
      <c r="H1741" s="114">
        <v>8000</v>
      </c>
      <c r="I1741" s="114">
        <v>8000</v>
      </c>
      <c r="J1741" s="114">
        <v>6723</v>
      </c>
      <c r="K1741" s="114">
        <v>1277</v>
      </c>
      <c r="L1741" s="114" t="str">
        <f t="shared" si="27"/>
        <v>INSERT INTO DETALLES_DOCUMENTO(NRO_DOCUMENTO,ID_TIPO,ID_PRODUCTO,CANTIDAD,PRECIO,VALOR_BRUTO,VALOR_NETO,VALOR_IVA) VALUES(882,1,143,1,8000,8000,6723,1277);</v>
      </c>
    </row>
    <row r="1742" spans="1:12">
      <c r="A1742" s="114">
        <v>1</v>
      </c>
      <c r="B1742" s="114">
        <v>882</v>
      </c>
      <c r="C1742" s="139" t="s">
        <v>2305</v>
      </c>
      <c r="D1742" s="114" t="s">
        <v>2090</v>
      </c>
      <c r="E1742" s="114">
        <v>184</v>
      </c>
      <c r="F1742" s="114">
        <v>324</v>
      </c>
      <c r="G1742" s="114">
        <v>1</v>
      </c>
      <c r="H1742" s="114">
        <v>11000</v>
      </c>
      <c r="I1742" s="114">
        <v>11000</v>
      </c>
      <c r="J1742" s="114">
        <v>9244</v>
      </c>
      <c r="K1742" s="114">
        <v>1756</v>
      </c>
      <c r="L1742" s="114" t="str">
        <f t="shared" si="27"/>
        <v>INSERT INTO DETALLES_DOCUMENTO(NRO_DOCUMENTO,ID_TIPO,ID_PRODUCTO,CANTIDAD,PRECIO,VALOR_BRUTO,VALOR_NETO,VALOR_IVA) VALUES(882,1,324,1,11000,11000,9244,1756);</v>
      </c>
    </row>
    <row r="1743" spans="1:12">
      <c r="A1743" s="114">
        <v>1</v>
      </c>
      <c r="B1743" s="114">
        <v>883</v>
      </c>
      <c r="C1743" s="139" t="s">
        <v>2305</v>
      </c>
      <c r="D1743" s="114" t="s">
        <v>2090</v>
      </c>
      <c r="E1743" s="114">
        <v>207</v>
      </c>
      <c r="F1743" s="114">
        <v>117</v>
      </c>
      <c r="G1743" s="114">
        <v>2</v>
      </c>
      <c r="H1743" s="114">
        <v>7000</v>
      </c>
      <c r="I1743" s="114">
        <v>14000</v>
      </c>
      <c r="J1743" s="114">
        <v>11765</v>
      </c>
      <c r="K1743" s="114">
        <v>2235</v>
      </c>
      <c r="L1743" s="114" t="str">
        <f t="shared" si="27"/>
        <v>INSERT INTO DETALLES_DOCUMENTO(NRO_DOCUMENTO,ID_TIPO,ID_PRODUCTO,CANTIDAD,PRECIO,VALOR_BRUTO,VALOR_NETO,VALOR_IVA) VALUES(883,1,117,2,7000,14000,11765,2235);</v>
      </c>
    </row>
    <row r="1744" spans="1:12">
      <c r="A1744" s="114">
        <v>1</v>
      </c>
      <c r="B1744" s="114">
        <v>884</v>
      </c>
      <c r="C1744" s="139" t="s">
        <v>2305</v>
      </c>
      <c r="D1744" s="114" t="s">
        <v>2090</v>
      </c>
      <c r="E1744" s="114">
        <v>263</v>
      </c>
      <c r="F1744" s="114">
        <v>143</v>
      </c>
      <c r="G1744" s="114">
        <v>1</v>
      </c>
      <c r="H1744" s="114">
        <v>8000</v>
      </c>
      <c r="I1744" s="114">
        <v>8000</v>
      </c>
      <c r="J1744" s="114">
        <v>6723</v>
      </c>
      <c r="K1744" s="114">
        <v>1277</v>
      </c>
      <c r="L1744" s="114" t="str">
        <f t="shared" si="27"/>
        <v>INSERT INTO DETALLES_DOCUMENTO(NRO_DOCUMENTO,ID_TIPO,ID_PRODUCTO,CANTIDAD,PRECIO,VALOR_BRUTO,VALOR_NETO,VALOR_IVA) VALUES(884,1,143,1,8000,8000,6723,1277);</v>
      </c>
    </row>
    <row r="1745" spans="1:12">
      <c r="A1745" s="114">
        <v>1</v>
      </c>
      <c r="B1745" s="114">
        <v>885</v>
      </c>
      <c r="C1745" s="139" t="s">
        <v>2305</v>
      </c>
      <c r="D1745" s="114" t="s">
        <v>2090</v>
      </c>
      <c r="E1745" s="114">
        <v>430</v>
      </c>
      <c r="F1745" s="114">
        <v>329</v>
      </c>
      <c r="G1745" s="114">
        <v>1</v>
      </c>
      <c r="H1745" s="114">
        <v>6000</v>
      </c>
      <c r="I1745" s="114">
        <v>6000</v>
      </c>
      <c r="J1745" s="114">
        <v>5042</v>
      </c>
      <c r="K1745" s="114">
        <v>958</v>
      </c>
      <c r="L1745" s="114" t="str">
        <f t="shared" si="27"/>
        <v>INSERT INTO DETALLES_DOCUMENTO(NRO_DOCUMENTO,ID_TIPO,ID_PRODUCTO,CANTIDAD,PRECIO,VALOR_BRUTO,VALOR_NETO,VALOR_IVA) VALUES(885,1,329,1,6000,6000,5042,958);</v>
      </c>
    </row>
    <row r="1746" spans="1:12">
      <c r="A1746" s="114">
        <v>1</v>
      </c>
      <c r="B1746" s="114">
        <v>886</v>
      </c>
      <c r="C1746" s="139" t="s">
        <v>2305</v>
      </c>
      <c r="D1746" s="114" t="s">
        <v>2090</v>
      </c>
      <c r="E1746" s="114">
        <v>473</v>
      </c>
      <c r="F1746" s="114">
        <v>290</v>
      </c>
      <c r="G1746" s="114">
        <v>2</v>
      </c>
      <c r="H1746" s="114">
        <v>2400</v>
      </c>
      <c r="I1746" s="114">
        <v>4800</v>
      </c>
      <c r="J1746" s="114">
        <v>4034</v>
      </c>
      <c r="K1746" s="114">
        <v>766</v>
      </c>
      <c r="L1746" s="114" t="str">
        <f t="shared" si="27"/>
        <v>INSERT INTO DETALLES_DOCUMENTO(NRO_DOCUMENTO,ID_TIPO,ID_PRODUCTO,CANTIDAD,PRECIO,VALOR_BRUTO,VALOR_NETO,VALOR_IVA) VALUES(886,1,290,2,2400,4800,4034,766);</v>
      </c>
    </row>
    <row r="1747" spans="1:12">
      <c r="A1747" s="114">
        <v>1</v>
      </c>
      <c r="B1747" s="114">
        <v>886</v>
      </c>
      <c r="C1747" s="139" t="s">
        <v>2305</v>
      </c>
      <c r="D1747" s="114" t="s">
        <v>2090</v>
      </c>
      <c r="E1747" s="114">
        <v>473</v>
      </c>
      <c r="F1747" s="114">
        <v>125</v>
      </c>
      <c r="G1747" s="114">
        <v>1</v>
      </c>
      <c r="H1747" s="114">
        <v>1700</v>
      </c>
      <c r="I1747" s="114">
        <v>1700</v>
      </c>
      <c r="J1747" s="114">
        <v>1429</v>
      </c>
      <c r="K1747" s="114">
        <v>271</v>
      </c>
      <c r="L1747" s="114" t="str">
        <f t="shared" si="27"/>
        <v>INSERT INTO DETALLES_DOCUMENTO(NRO_DOCUMENTO,ID_TIPO,ID_PRODUCTO,CANTIDAD,PRECIO,VALOR_BRUTO,VALOR_NETO,VALOR_IVA) VALUES(886,1,125,1,1700,1700,1429,271);</v>
      </c>
    </row>
    <row r="1748" spans="1:12">
      <c r="A1748" s="114">
        <v>1</v>
      </c>
      <c r="B1748" s="114">
        <v>887</v>
      </c>
      <c r="C1748" s="139" t="s">
        <v>2306</v>
      </c>
      <c r="D1748" s="114" t="s">
        <v>2090</v>
      </c>
      <c r="E1748" s="114">
        <v>135</v>
      </c>
      <c r="F1748" s="114">
        <v>143</v>
      </c>
      <c r="G1748" s="114">
        <v>2</v>
      </c>
      <c r="H1748" s="114">
        <v>16000</v>
      </c>
      <c r="I1748" s="114">
        <v>32000</v>
      </c>
      <c r="J1748" s="114">
        <v>26891</v>
      </c>
      <c r="K1748" s="114">
        <v>5109</v>
      </c>
      <c r="L1748" s="114" t="str">
        <f t="shared" si="27"/>
        <v>INSERT INTO DETALLES_DOCUMENTO(NRO_DOCUMENTO,ID_TIPO,ID_PRODUCTO,CANTIDAD,PRECIO,VALOR_BRUTO,VALOR_NETO,VALOR_IVA) VALUES(887,1,143,2,16000,32000,26891,5109);</v>
      </c>
    </row>
    <row r="1749" spans="1:12">
      <c r="A1749" s="114">
        <v>1</v>
      </c>
      <c r="B1749" s="114">
        <v>888</v>
      </c>
      <c r="C1749" s="139" t="s">
        <v>2306</v>
      </c>
      <c r="D1749" s="114" t="s">
        <v>2090</v>
      </c>
      <c r="E1749" s="114">
        <v>219</v>
      </c>
      <c r="F1749" s="114">
        <v>143</v>
      </c>
      <c r="G1749" s="114">
        <v>2</v>
      </c>
      <c r="H1749" s="114">
        <v>16000</v>
      </c>
      <c r="I1749" s="114">
        <v>32000</v>
      </c>
      <c r="J1749" s="114">
        <v>26891</v>
      </c>
      <c r="K1749" s="114">
        <v>5109</v>
      </c>
      <c r="L1749" s="114" t="str">
        <f t="shared" si="27"/>
        <v>INSERT INTO DETALLES_DOCUMENTO(NRO_DOCUMENTO,ID_TIPO,ID_PRODUCTO,CANTIDAD,PRECIO,VALOR_BRUTO,VALOR_NETO,VALOR_IVA) VALUES(888,1,143,2,16000,32000,26891,5109);</v>
      </c>
    </row>
    <row r="1750" spans="1:12">
      <c r="A1750" s="114">
        <v>1</v>
      </c>
      <c r="B1750" s="114">
        <v>889</v>
      </c>
      <c r="C1750" s="139" t="s">
        <v>2306</v>
      </c>
      <c r="D1750" s="114" t="s">
        <v>2090</v>
      </c>
      <c r="E1750" s="114">
        <v>223</v>
      </c>
      <c r="F1750" s="114">
        <v>324</v>
      </c>
      <c r="G1750" s="114">
        <v>1</v>
      </c>
      <c r="H1750" s="114">
        <v>11000</v>
      </c>
      <c r="I1750" s="114">
        <v>11000</v>
      </c>
      <c r="J1750" s="114">
        <v>9244</v>
      </c>
      <c r="K1750" s="114">
        <v>1756</v>
      </c>
      <c r="L1750" s="114" t="str">
        <f t="shared" si="27"/>
        <v>INSERT INTO DETALLES_DOCUMENTO(NRO_DOCUMENTO,ID_TIPO,ID_PRODUCTO,CANTIDAD,PRECIO,VALOR_BRUTO,VALOR_NETO,VALOR_IVA) VALUES(889,1,324,1,11000,11000,9244,1756);</v>
      </c>
    </row>
    <row r="1751" spans="1:12">
      <c r="A1751" s="114">
        <v>1</v>
      </c>
      <c r="B1751" s="114">
        <v>889</v>
      </c>
      <c r="C1751" s="139" t="s">
        <v>2306</v>
      </c>
      <c r="D1751" s="114" t="s">
        <v>2090</v>
      </c>
      <c r="E1751" s="114">
        <v>223</v>
      </c>
      <c r="F1751" s="114">
        <v>99</v>
      </c>
      <c r="G1751" s="114">
        <v>1</v>
      </c>
      <c r="H1751" s="114">
        <v>1500</v>
      </c>
      <c r="I1751" s="114">
        <v>1500</v>
      </c>
      <c r="J1751" s="114">
        <v>1261</v>
      </c>
      <c r="K1751" s="114">
        <v>239</v>
      </c>
      <c r="L1751" s="114" t="str">
        <f t="shared" si="27"/>
        <v>INSERT INTO DETALLES_DOCUMENTO(NRO_DOCUMENTO,ID_TIPO,ID_PRODUCTO,CANTIDAD,PRECIO,VALOR_BRUTO,VALOR_NETO,VALOR_IVA) VALUES(889,1,99,1,1500,1500,1261,239);</v>
      </c>
    </row>
    <row r="1752" spans="1:12">
      <c r="A1752" s="114">
        <v>1</v>
      </c>
      <c r="B1752" s="114">
        <v>889</v>
      </c>
      <c r="C1752" s="139" t="s">
        <v>2306</v>
      </c>
      <c r="D1752" s="114" t="s">
        <v>2090</v>
      </c>
      <c r="E1752" s="114">
        <v>223</v>
      </c>
      <c r="F1752" s="114">
        <v>164</v>
      </c>
      <c r="G1752" s="114">
        <v>1</v>
      </c>
      <c r="H1752" s="114">
        <v>3200</v>
      </c>
      <c r="I1752" s="114">
        <v>3200</v>
      </c>
      <c r="J1752" s="114">
        <v>2689</v>
      </c>
      <c r="K1752" s="114">
        <v>511</v>
      </c>
      <c r="L1752" s="114" t="str">
        <f t="shared" si="27"/>
        <v>INSERT INTO DETALLES_DOCUMENTO(NRO_DOCUMENTO,ID_TIPO,ID_PRODUCTO,CANTIDAD,PRECIO,VALOR_BRUTO,VALOR_NETO,VALOR_IVA) VALUES(889,1,164,1,3200,3200,2689,511);</v>
      </c>
    </row>
    <row r="1753" spans="1:12">
      <c r="A1753" s="114">
        <v>1</v>
      </c>
      <c r="B1753" s="114">
        <v>890</v>
      </c>
      <c r="C1753" s="139" t="s">
        <v>2306</v>
      </c>
      <c r="D1753" s="114" t="s">
        <v>2090</v>
      </c>
      <c r="E1753" s="114">
        <v>345</v>
      </c>
      <c r="F1753" s="114">
        <v>324</v>
      </c>
      <c r="G1753" s="114">
        <v>1</v>
      </c>
      <c r="H1753" s="114">
        <v>11000</v>
      </c>
      <c r="I1753" s="114">
        <v>11000</v>
      </c>
      <c r="J1753" s="114">
        <v>9244</v>
      </c>
      <c r="K1753" s="114">
        <v>1756</v>
      </c>
      <c r="L1753" s="114" t="str">
        <f t="shared" si="27"/>
        <v>INSERT INTO DETALLES_DOCUMENTO(NRO_DOCUMENTO,ID_TIPO,ID_PRODUCTO,CANTIDAD,PRECIO,VALOR_BRUTO,VALOR_NETO,VALOR_IVA) VALUES(890,1,324,1,11000,11000,9244,1756);</v>
      </c>
    </row>
    <row r="1754" spans="1:12">
      <c r="A1754" s="114">
        <v>1</v>
      </c>
      <c r="B1754" s="114">
        <v>891</v>
      </c>
      <c r="C1754" s="139" t="s">
        <v>2306</v>
      </c>
      <c r="D1754" s="114" t="s">
        <v>2090</v>
      </c>
      <c r="E1754" s="114">
        <v>376</v>
      </c>
      <c r="F1754" s="114">
        <v>143</v>
      </c>
      <c r="G1754" s="114">
        <v>1</v>
      </c>
      <c r="H1754" s="114">
        <v>8000</v>
      </c>
      <c r="I1754" s="114">
        <v>8000</v>
      </c>
      <c r="J1754" s="114">
        <v>6723</v>
      </c>
      <c r="K1754" s="114">
        <v>1277</v>
      </c>
      <c r="L1754" s="114" t="str">
        <f t="shared" si="27"/>
        <v>INSERT INTO DETALLES_DOCUMENTO(NRO_DOCUMENTO,ID_TIPO,ID_PRODUCTO,CANTIDAD,PRECIO,VALOR_BRUTO,VALOR_NETO,VALOR_IVA) VALUES(891,1,143,1,8000,8000,6723,1277);</v>
      </c>
    </row>
    <row r="1755" spans="1:12">
      <c r="A1755" s="114">
        <v>1</v>
      </c>
      <c r="B1755" s="114">
        <v>892</v>
      </c>
      <c r="C1755" s="139" t="s">
        <v>2306</v>
      </c>
      <c r="D1755" s="114" t="s">
        <v>2090</v>
      </c>
      <c r="E1755" s="114">
        <v>407</v>
      </c>
      <c r="F1755" s="114">
        <v>231</v>
      </c>
      <c r="G1755" s="114">
        <v>1</v>
      </c>
      <c r="H1755" s="114">
        <v>20900</v>
      </c>
      <c r="I1755" s="114">
        <v>20900</v>
      </c>
      <c r="J1755" s="114">
        <v>17563</v>
      </c>
      <c r="K1755" s="114">
        <v>3337</v>
      </c>
      <c r="L1755" s="114" t="str">
        <f t="shared" si="27"/>
        <v>INSERT INTO DETALLES_DOCUMENTO(NRO_DOCUMENTO,ID_TIPO,ID_PRODUCTO,CANTIDAD,PRECIO,VALOR_BRUTO,VALOR_NETO,VALOR_IVA) VALUES(892,1,231,1,20900,20900,17563,3337);</v>
      </c>
    </row>
    <row r="1756" spans="1:12">
      <c r="A1756" s="114">
        <v>1</v>
      </c>
      <c r="B1756" s="114">
        <v>892</v>
      </c>
      <c r="C1756" s="139" t="s">
        <v>2306</v>
      </c>
      <c r="D1756" s="114" t="s">
        <v>2090</v>
      </c>
      <c r="E1756" s="114">
        <v>407</v>
      </c>
      <c r="F1756" s="114">
        <v>277</v>
      </c>
      <c r="G1756" s="114">
        <v>1</v>
      </c>
      <c r="H1756" s="114">
        <v>10000</v>
      </c>
      <c r="I1756" s="114">
        <v>10000</v>
      </c>
      <c r="J1756" s="114">
        <v>8403</v>
      </c>
      <c r="K1756" s="114">
        <v>1597</v>
      </c>
      <c r="L1756" s="114" t="str">
        <f t="shared" si="27"/>
        <v>INSERT INTO DETALLES_DOCUMENTO(NRO_DOCUMENTO,ID_TIPO,ID_PRODUCTO,CANTIDAD,PRECIO,VALOR_BRUTO,VALOR_NETO,VALOR_IVA) VALUES(892,1,277,1,10000,10000,8403,1597);</v>
      </c>
    </row>
    <row r="1757" spans="1:12">
      <c r="A1757" s="114">
        <v>1</v>
      </c>
      <c r="B1757" s="114">
        <v>892</v>
      </c>
      <c r="C1757" s="139" t="s">
        <v>2306</v>
      </c>
      <c r="D1757" s="114" t="s">
        <v>2090</v>
      </c>
      <c r="E1757" s="114">
        <v>407</v>
      </c>
      <c r="F1757" s="114">
        <v>354</v>
      </c>
      <c r="G1757" s="114">
        <v>2</v>
      </c>
      <c r="H1757" s="114">
        <v>3600</v>
      </c>
      <c r="I1757" s="114">
        <v>7200</v>
      </c>
      <c r="J1757" s="114">
        <v>6050</v>
      </c>
      <c r="K1757" s="114">
        <v>1150</v>
      </c>
      <c r="L1757" s="114" t="str">
        <f t="shared" si="27"/>
        <v>INSERT INTO DETALLES_DOCUMENTO(NRO_DOCUMENTO,ID_TIPO,ID_PRODUCTO,CANTIDAD,PRECIO,VALOR_BRUTO,VALOR_NETO,VALOR_IVA) VALUES(892,1,354,2,3600,7200,6050,1150);</v>
      </c>
    </row>
    <row r="1758" spans="1:12">
      <c r="A1758" s="114">
        <v>1</v>
      </c>
      <c r="B1758" s="114">
        <v>892</v>
      </c>
      <c r="C1758" s="139" t="s">
        <v>2306</v>
      </c>
      <c r="D1758" s="114" t="s">
        <v>2090</v>
      </c>
      <c r="E1758" s="114">
        <v>407</v>
      </c>
      <c r="F1758" s="114">
        <v>143</v>
      </c>
      <c r="G1758" s="114">
        <v>1</v>
      </c>
      <c r="H1758" s="114">
        <v>8000</v>
      </c>
      <c r="I1758" s="114">
        <v>8000</v>
      </c>
      <c r="J1758" s="114">
        <v>6723</v>
      </c>
      <c r="K1758" s="114">
        <v>1277</v>
      </c>
      <c r="L1758" s="114" t="str">
        <f t="shared" si="27"/>
        <v>INSERT INTO DETALLES_DOCUMENTO(NRO_DOCUMENTO,ID_TIPO,ID_PRODUCTO,CANTIDAD,PRECIO,VALOR_BRUTO,VALOR_NETO,VALOR_IVA) VALUES(892,1,143,1,8000,8000,6723,1277);</v>
      </c>
    </row>
    <row r="1759" spans="1:12">
      <c r="A1759" s="114">
        <v>1</v>
      </c>
      <c r="B1759" s="114">
        <v>893</v>
      </c>
      <c r="C1759" s="139" t="s">
        <v>2306</v>
      </c>
      <c r="D1759" s="114" t="s">
        <v>2090</v>
      </c>
      <c r="E1759" s="114">
        <v>418</v>
      </c>
      <c r="F1759" s="114">
        <v>329</v>
      </c>
      <c r="G1759" s="114">
        <v>1</v>
      </c>
      <c r="H1759" s="114">
        <v>6000</v>
      </c>
      <c r="I1759" s="114">
        <v>6000</v>
      </c>
      <c r="J1759" s="114">
        <v>5042</v>
      </c>
      <c r="K1759" s="114">
        <v>958</v>
      </c>
      <c r="L1759" s="114" t="str">
        <f t="shared" si="27"/>
        <v>INSERT INTO DETALLES_DOCUMENTO(NRO_DOCUMENTO,ID_TIPO,ID_PRODUCTO,CANTIDAD,PRECIO,VALOR_BRUTO,VALOR_NETO,VALOR_IVA) VALUES(893,1,329,1,6000,6000,5042,958);</v>
      </c>
    </row>
    <row r="1760" spans="1:12">
      <c r="A1760" s="114">
        <v>1</v>
      </c>
      <c r="B1760" s="114">
        <v>894</v>
      </c>
      <c r="C1760" s="139" t="s">
        <v>2306</v>
      </c>
      <c r="D1760" s="114" t="s">
        <v>2090</v>
      </c>
      <c r="E1760" s="114">
        <v>446</v>
      </c>
      <c r="F1760" s="114">
        <v>368</v>
      </c>
      <c r="G1760" s="114">
        <v>1</v>
      </c>
      <c r="H1760" s="114">
        <v>3000</v>
      </c>
      <c r="I1760" s="114">
        <v>3000</v>
      </c>
      <c r="J1760" s="114">
        <v>2521</v>
      </c>
      <c r="K1760" s="114">
        <v>479</v>
      </c>
      <c r="L1760" s="114" t="str">
        <f t="shared" si="27"/>
        <v>INSERT INTO DETALLES_DOCUMENTO(NRO_DOCUMENTO,ID_TIPO,ID_PRODUCTO,CANTIDAD,PRECIO,VALOR_BRUTO,VALOR_NETO,VALOR_IVA) VALUES(894,1,368,1,3000,3000,2521,479);</v>
      </c>
    </row>
    <row r="1761" spans="1:12">
      <c r="A1761" s="114">
        <v>1</v>
      </c>
      <c r="B1761" s="114">
        <v>894</v>
      </c>
      <c r="C1761" s="139" t="s">
        <v>2306</v>
      </c>
      <c r="D1761" s="114" t="s">
        <v>2090</v>
      </c>
      <c r="E1761" s="114">
        <v>446</v>
      </c>
      <c r="F1761" s="114">
        <v>233</v>
      </c>
      <c r="G1761" s="114">
        <v>1</v>
      </c>
      <c r="H1761" s="114">
        <v>15990</v>
      </c>
      <c r="I1761" s="114">
        <v>15990</v>
      </c>
      <c r="J1761" s="114">
        <v>13437</v>
      </c>
      <c r="K1761" s="114">
        <v>2553</v>
      </c>
      <c r="L1761" s="114" t="str">
        <f t="shared" si="27"/>
        <v>INSERT INTO DETALLES_DOCUMENTO(NRO_DOCUMENTO,ID_TIPO,ID_PRODUCTO,CANTIDAD,PRECIO,VALOR_BRUTO,VALOR_NETO,VALOR_IVA) VALUES(894,1,233,1,15990,15990,13437,2553);</v>
      </c>
    </row>
    <row r="1762" spans="1:12">
      <c r="A1762" s="114">
        <v>1</v>
      </c>
      <c r="B1762" s="114">
        <v>895</v>
      </c>
      <c r="C1762" s="139" t="s">
        <v>2306</v>
      </c>
      <c r="D1762" s="114" t="s">
        <v>2090</v>
      </c>
      <c r="E1762" s="114">
        <v>457</v>
      </c>
      <c r="F1762" s="114">
        <v>233</v>
      </c>
      <c r="G1762" s="114">
        <v>1</v>
      </c>
      <c r="H1762" s="114">
        <v>15990</v>
      </c>
      <c r="I1762" s="114">
        <v>15990</v>
      </c>
      <c r="J1762" s="114">
        <v>13437</v>
      </c>
      <c r="K1762" s="114">
        <v>2553</v>
      </c>
      <c r="L1762" s="114" t="str">
        <f t="shared" si="27"/>
        <v>INSERT INTO DETALLES_DOCUMENTO(NRO_DOCUMENTO,ID_TIPO,ID_PRODUCTO,CANTIDAD,PRECIO,VALOR_BRUTO,VALOR_NETO,VALOR_IVA) VALUES(895,1,233,1,15990,15990,13437,2553);</v>
      </c>
    </row>
    <row r="1763" spans="1:12">
      <c r="A1763" s="114">
        <v>1</v>
      </c>
      <c r="B1763" s="114">
        <v>896</v>
      </c>
      <c r="C1763" s="139" t="s">
        <v>2307</v>
      </c>
      <c r="D1763" s="114" t="s">
        <v>2090</v>
      </c>
      <c r="E1763" s="114">
        <v>108</v>
      </c>
      <c r="F1763" s="114">
        <v>324</v>
      </c>
      <c r="G1763" s="114">
        <v>1</v>
      </c>
      <c r="H1763" s="114">
        <v>11000</v>
      </c>
      <c r="I1763" s="114">
        <v>11000</v>
      </c>
      <c r="J1763" s="114">
        <v>9244</v>
      </c>
      <c r="K1763" s="114">
        <v>1756</v>
      </c>
      <c r="L1763" s="114" t="str">
        <f t="shared" si="27"/>
        <v>INSERT INTO DETALLES_DOCUMENTO(NRO_DOCUMENTO,ID_TIPO,ID_PRODUCTO,CANTIDAD,PRECIO,VALOR_BRUTO,VALOR_NETO,VALOR_IVA) VALUES(896,1,324,1,11000,11000,9244,1756);</v>
      </c>
    </row>
    <row r="1764" spans="1:12">
      <c r="A1764" s="114">
        <v>1</v>
      </c>
      <c r="B1764" s="114">
        <v>896</v>
      </c>
      <c r="C1764" s="139" t="s">
        <v>2307</v>
      </c>
      <c r="D1764" s="114" t="s">
        <v>2090</v>
      </c>
      <c r="E1764" s="114">
        <v>108</v>
      </c>
      <c r="F1764" s="114">
        <v>27</v>
      </c>
      <c r="G1764" s="114">
        <v>1</v>
      </c>
      <c r="H1764" s="114">
        <v>8700</v>
      </c>
      <c r="I1764" s="114">
        <v>8700</v>
      </c>
      <c r="J1764" s="114">
        <v>7311</v>
      </c>
      <c r="K1764" s="114">
        <v>1389</v>
      </c>
      <c r="L1764" s="114" t="str">
        <f t="shared" si="27"/>
        <v>INSERT INTO DETALLES_DOCUMENTO(NRO_DOCUMENTO,ID_TIPO,ID_PRODUCTO,CANTIDAD,PRECIO,VALOR_BRUTO,VALOR_NETO,VALOR_IVA) VALUES(896,1,27,1,8700,8700,7311,1389);</v>
      </c>
    </row>
    <row r="1765" spans="1:12">
      <c r="A1765" s="114">
        <v>1</v>
      </c>
      <c r="B1765" s="114">
        <v>896</v>
      </c>
      <c r="C1765" s="139" t="s">
        <v>2307</v>
      </c>
      <c r="D1765" s="114" t="s">
        <v>2090</v>
      </c>
      <c r="E1765" s="114">
        <v>108</v>
      </c>
      <c r="F1765" s="114">
        <v>24</v>
      </c>
      <c r="G1765" s="114">
        <v>1</v>
      </c>
      <c r="H1765" s="114">
        <v>1650</v>
      </c>
      <c r="I1765" s="114">
        <v>1650</v>
      </c>
      <c r="J1765" s="114">
        <v>1387</v>
      </c>
      <c r="K1765" s="114">
        <v>263</v>
      </c>
      <c r="L1765" s="114" t="str">
        <f t="shared" si="27"/>
        <v>INSERT INTO DETALLES_DOCUMENTO(NRO_DOCUMENTO,ID_TIPO,ID_PRODUCTO,CANTIDAD,PRECIO,VALOR_BRUTO,VALOR_NETO,VALOR_IVA) VALUES(896,1,24,1,1650,1650,1387,263);</v>
      </c>
    </row>
    <row r="1766" spans="1:12">
      <c r="A1766" s="114">
        <v>1</v>
      </c>
      <c r="B1766" s="114">
        <v>896</v>
      </c>
      <c r="C1766" s="139" t="s">
        <v>2307</v>
      </c>
      <c r="D1766" s="114" t="s">
        <v>2090</v>
      </c>
      <c r="E1766" s="114">
        <v>108</v>
      </c>
      <c r="F1766" s="114">
        <v>56</v>
      </c>
      <c r="G1766" s="114">
        <v>1</v>
      </c>
      <c r="H1766" s="114">
        <v>1500</v>
      </c>
      <c r="I1766" s="114">
        <v>1500</v>
      </c>
      <c r="J1766" s="114">
        <v>1261</v>
      </c>
      <c r="K1766" s="114">
        <v>239</v>
      </c>
      <c r="L1766" s="114" t="str">
        <f t="shared" si="27"/>
        <v>INSERT INTO DETALLES_DOCUMENTO(NRO_DOCUMENTO,ID_TIPO,ID_PRODUCTO,CANTIDAD,PRECIO,VALOR_BRUTO,VALOR_NETO,VALOR_IVA) VALUES(896,1,56,1,1500,1500,1261,239);</v>
      </c>
    </row>
    <row r="1767" spans="1:12">
      <c r="A1767" s="114">
        <v>1</v>
      </c>
      <c r="B1767" s="114">
        <v>896</v>
      </c>
      <c r="C1767" s="139" t="s">
        <v>2307</v>
      </c>
      <c r="D1767" s="114" t="s">
        <v>2090</v>
      </c>
      <c r="E1767" s="114">
        <v>108</v>
      </c>
      <c r="F1767" s="114">
        <v>167</v>
      </c>
      <c r="G1767" s="114">
        <v>1</v>
      </c>
      <c r="H1767" s="114">
        <v>8200</v>
      </c>
      <c r="I1767" s="114">
        <v>8200</v>
      </c>
      <c r="J1767" s="114">
        <v>6891</v>
      </c>
      <c r="K1767" s="114">
        <v>1309</v>
      </c>
      <c r="L1767" s="114" t="str">
        <f t="shared" si="27"/>
        <v>INSERT INTO DETALLES_DOCUMENTO(NRO_DOCUMENTO,ID_TIPO,ID_PRODUCTO,CANTIDAD,PRECIO,VALOR_BRUTO,VALOR_NETO,VALOR_IVA) VALUES(896,1,167,1,8200,8200,6891,1309);</v>
      </c>
    </row>
    <row r="1768" spans="1:12">
      <c r="A1768" s="114">
        <v>1</v>
      </c>
      <c r="B1768" s="114">
        <v>896</v>
      </c>
      <c r="C1768" s="139" t="s">
        <v>2307</v>
      </c>
      <c r="D1768" s="114" t="s">
        <v>2090</v>
      </c>
      <c r="E1768" s="114">
        <v>108</v>
      </c>
      <c r="F1768" s="114">
        <v>26</v>
      </c>
      <c r="G1768" s="114">
        <v>1</v>
      </c>
      <c r="H1768" s="114">
        <v>3400</v>
      </c>
      <c r="I1768" s="114">
        <v>3400</v>
      </c>
      <c r="J1768" s="114">
        <v>2857</v>
      </c>
      <c r="K1768" s="114">
        <v>543</v>
      </c>
      <c r="L1768" s="114" t="str">
        <f t="shared" si="27"/>
        <v>INSERT INTO DETALLES_DOCUMENTO(NRO_DOCUMENTO,ID_TIPO,ID_PRODUCTO,CANTIDAD,PRECIO,VALOR_BRUTO,VALOR_NETO,VALOR_IVA) VALUES(896,1,26,1,3400,3400,2857,543);</v>
      </c>
    </row>
    <row r="1769" spans="1:12">
      <c r="A1769" s="114">
        <v>1</v>
      </c>
      <c r="B1769" s="114">
        <v>897</v>
      </c>
      <c r="C1769" s="139" t="s">
        <v>2307</v>
      </c>
      <c r="D1769" s="114" t="s">
        <v>2090</v>
      </c>
      <c r="E1769" s="114">
        <v>110</v>
      </c>
      <c r="F1769" s="114">
        <v>233</v>
      </c>
      <c r="G1769" s="114">
        <v>1</v>
      </c>
      <c r="H1769" s="114">
        <v>15990</v>
      </c>
      <c r="I1769" s="114">
        <v>15990</v>
      </c>
      <c r="J1769" s="114">
        <v>13437</v>
      </c>
      <c r="K1769" s="114">
        <v>2553</v>
      </c>
      <c r="L1769" s="114" t="str">
        <f t="shared" si="27"/>
        <v>INSERT INTO DETALLES_DOCUMENTO(NRO_DOCUMENTO,ID_TIPO,ID_PRODUCTO,CANTIDAD,PRECIO,VALOR_BRUTO,VALOR_NETO,VALOR_IVA) VALUES(897,1,233,1,15990,15990,13437,2553);</v>
      </c>
    </row>
    <row r="1770" spans="1:12">
      <c r="A1770" s="114">
        <v>1</v>
      </c>
      <c r="B1770" s="114">
        <v>897</v>
      </c>
      <c r="C1770" s="139" t="s">
        <v>2307</v>
      </c>
      <c r="D1770" s="114" t="s">
        <v>2090</v>
      </c>
      <c r="E1770" s="114">
        <v>110</v>
      </c>
      <c r="F1770" s="114">
        <v>265</v>
      </c>
      <c r="G1770" s="114">
        <v>1</v>
      </c>
      <c r="H1770" s="114">
        <v>10000</v>
      </c>
      <c r="I1770" s="114">
        <v>10000</v>
      </c>
      <c r="J1770" s="114">
        <v>8403</v>
      </c>
      <c r="K1770" s="114">
        <v>1597</v>
      </c>
      <c r="L1770" s="114" t="str">
        <f t="shared" si="27"/>
        <v>INSERT INTO DETALLES_DOCUMENTO(NRO_DOCUMENTO,ID_TIPO,ID_PRODUCTO,CANTIDAD,PRECIO,VALOR_BRUTO,VALOR_NETO,VALOR_IVA) VALUES(897,1,265,1,10000,10000,8403,1597);</v>
      </c>
    </row>
    <row r="1771" spans="1:12">
      <c r="A1771" s="114">
        <v>1</v>
      </c>
      <c r="B1771" s="114">
        <v>897</v>
      </c>
      <c r="C1771" s="139" t="s">
        <v>2307</v>
      </c>
      <c r="D1771" s="114" t="s">
        <v>2090</v>
      </c>
      <c r="E1771" s="114">
        <v>110</v>
      </c>
      <c r="F1771" s="114">
        <v>152</v>
      </c>
      <c r="G1771" s="114">
        <v>1</v>
      </c>
      <c r="H1771" s="114">
        <v>4200</v>
      </c>
      <c r="I1771" s="114">
        <v>4200</v>
      </c>
      <c r="J1771" s="114">
        <v>3529</v>
      </c>
      <c r="K1771" s="114">
        <v>671</v>
      </c>
      <c r="L1771" s="114" t="str">
        <f t="shared" si="27"/>
        <v>INSERT INTO DETALLES_DOCUMENTO(NRO_DOCUMENTO,ID_TIPO,ID_PRODUCTO,CANTIDAD,PRECIO,VALOR_BRUTO,VALOR_NETO,VALOR_IVA) VALUES(897,1,152,1,4200,4200,3529,671);</v>
      </c>
    </row>
    <row r="1772" spans="1:12">
      <c r="A1772" s="114">
        <v>1</v>
      </c>
      <c r="B1772" s="114">
        <v>898</v>
      </c>
      <c r="C1772" s="139" t="s">
        <v>2307</v>
      </c>
      <c r="D1772" s="114" t="s">
        <v>2090</v>
      </c>
      <c r="E1772" s="114">
        <v>119</v>
      </c>
      <c r="F1772" s="114">
        <v>117</v>
      </c>
      <c r="G1772" s="114">
        <v>2</v>
      </c>
      <c r="H1772" s="114">
        <v>7000</v>
      </c>
      <c r="I1772" s="114">
        <v>14000</v>
      </c>
      <c r="J1772" s="114">
        <v>11765</v>
      </c>
      <c r="K1772" s="114">
        <v>2235</v>
      </c>
      <c r="L1772" s="114" t="str">
        <f t="shared" si="27"/>
        <v>INSERT INTO DETALLES_DOCUMENTO(NRO_DOCUMENTO,ID_TIPO,ID_PRODUCTO,CANTIDAD,PRECIO,VALOR_BRUTO,VALOR_NETO,VALOR_IVA) VALUES(898,1,117,2,7000,14000,11765,2235);</v>
      </c>
    </row>
    <row r="1773" spans="1:12">
      <c r="A1773" s="114">
        <v>1</v>
      </c>
      <c r="B1773" s="114">
        <v>898</v>
      </c>
      <c r="C1773" s="139" t="s">
        <v>2307</v>
      </c>
      <c r="D1773" s="114" t="s">
        <v>2090</v>
      </c>
      <c r="E1773" s="114">
        <v>119</v>
      </c>
      <c r="F1773" s="114">
        <v>230</v>
      </c>
      <c r="G1773" s="114">
        <v>1</v>
      </c>
      <c r="H1773" s="114">
        <v>16500</v>
      </c>
      <c r="I1773" s="114">
        <v>16500</v>
      </c>
      <c r="J1773" s="114">
        <v>13866</v>
      </c>
      <c r="K1773" s="114">
        <v>2634</v>
      </c>
      <c r="L1773" s="114" t="str">
        <f t="shared" si="27"/>
        <v>INSERT INTO DETALLES_DOCUMENTO(NRO_DOCUMENTO,ID_TIPO,ID_PRODUCTO,CANTIDAD,PRECIO,VALOR_BRUTO,VALOR_NETO,VALOR_IVA) VALUES(898,1,230,1,16500,16500,13866,2634);</v>
      </c>
    </row>
    <row r="1774" spans="1:12">
      <c r="A1774" s="114">
        <v>1</v>
      </c>
      <c r="B1774" s="114">
        <v>898</v>
      </c>
      <c r="C1774" s="139" t="s">
        <v>2307</v>
      </c>
      <c r="D1774" s="114" t="s">
        <v>2090</v>
      </c>
      <c r="E1774" s="114">
        <v>119</v>
      </c>
      <c r="F1774" s="114">
        <v>225</v>
      </c>
      <c r="G1774" s="114">
        <v>1</v>
      </c>
      <c r="H1774" s="114">
        <v>19500</v>
      </c>
      <c r="I1774" s="114">
        <v>19500</v>
      </c>
      <c r="J1774" s="114">
        <v>16387</v>
      </c>
      <c r="K1774" s="114">
        <v>3113</v>
      </c>
      <c r="L1774" s="114" t="str">
        <f t="shared" si="27"/>
        <v>INSERT INTO DETALLES_DOCUMENTO(NRO_DOCUMENTO,ID_TIPO,ID_PRODUCTO,CANTIDAD,PRECIO,VALOR_BRUTO,VALOR_NETO,VALOR_IVA) VALUES(898,1,225,1,19500,19500,16387,3113);</v>
      </c>
    </row>
    <row r="1775" spans="1:12">
      <c r="A1775" s="114">
        <v>1</v>
      </c>
      <c r="B1775" s="114">
        <v>898</v>
      </c>
      <c r="C1775" s="139" t="s">
        <v>2307</v>
      </c>
      <c r="D1775" s="114" t="s">
        <v>2090</v>
      </c>
      <c r="E1775" s="114">
        <v>119</v>
      </c>
      <c r="F1775" s="114">
        <v>55</v>
      </c>
      <c r="G1775" s="114">
        <v>1</v>
      </c>
      <c r="H1775" s="114">
        <v>1600</v>
      </c>
      <c r="I1775" s="114">
        <v>1600</v>
      </c>
      <c r="J1775" s="114">
        <v>1345</v>
      </c>
      <c r="K1775" s="114">
        <v>255</v>
      </c>
      <c r="L1775" s="114" t="str">
        <f t="shared" si="27"/>
        <v>INSERT INTO DETALLES_DOCUMENTO(NRO_DOCUMENTO,ID_TIPO,ID_PRODUCTO,CANTIDAD,PRECIO,VALOR_BRUTO,VALOR_NETO,VALOR_IVA) VALUES(898,1,55,1,1600,1600,1345,255);</v>
      </c>
    </row>
    <row r="1776" spans="1:12">
      <c r="A1776" s="114">
        <v>1</v>
      </c>
      <c r="B1776" s="114">
        <v>898</v>
      </c>
      <c r="C1776" s="139" t="s">
        <v>2307</v>
      </c>
      <c r="D1776" s="114" t="s">
        <v>2090</v>
      </c>
      <c r="E1776" s="114">
        <v>119</v>
      </c>
      <c r="F1776" s="114">
        <v>29</v>
      </c>
      <c r="G1776" s="114">
        <v>1</v>
      </c>
      <c r="H1776" s="114">
        <v>1000</v>
      </c>
      <c r="I1776" s="114">
        <v>1000</v>
      </c>
      <c r="J1776" s="114">
        <v>840</v>
      </c>
      <c r="K1776" s="114">
        <v>160</v>
      </c>
      <c r="L1776" s="114" t="str">
        <f t="shared" si="27"/>
        <v>INSERT INTO DETALLES_DOCUMENTO(NRO_DOCUMENTO,ID_TIPO,ID_PRODUCTO,CANTIDAD,PRECIO,VALOR_BRUTO,VALOR_NETO,VALOR_IVA) VALUES(898,1,29,1,1000,1000,840,160);</v>
      </c>
    </row>
    <row r="1777" spans="1:12">
      <c r="A1777" s="114">
        <v>1</v>
      </c>
      <c r="B1777" s="114">
        <v>898</v>
      </c>
      <c r="C1777" s="139" t="s">
        <v>2307</v>
      </c>
      <c r="D1777" s="114" t="s">
        <v>2090</v>
      </c>
      <c r="E1777" s="114">
        <v>119</v>
      </c>
      <c r="F1777" s="114">
        <v>26</v>
      </c>
      <c r="G1777" s="114">
        <v>1</v>
      </c>
      <c r="H1777" s="114">
        <v>3400</v>
      </c>
      <c r="I1777" s="114">
        <v>3400</v>
      </c>
      <c r="J1777" s="114">
        <v>2857</v>
      </c>
      <c r="K1777" s="114">
        <v>543</v>
      </c>
      <c r="L1777" s="114" t="str">
        <f t="shared" si="27"/>
        <v>INSERT INTO DETALLES_DOCUMENTO(NRO_DOCUMENTO,ID_TIPO,ID_PRODUCTO,CANTIDAD,PRECIO,VALOR_BRUTO,VALOR_NETO,VALOR_IVA) VALUES(898,1,26,1,3400,3400,2857,543);</v>
      </c>
    </row>
    <row r="1778" spans="1:12">
      <c r="A1778" s="114">
        <v>1</v>
      </c>
      <c r="B1778" s="114">
        <v>898</v>
      </c>
      <c r="C1778" s="139" t="s">
        <v>2307</v>
      </c>
      <c r="D1778" s="114" t="s">
        <v>2090</v>
      </c>
      <c r="E1778" s="114">
        <v>119</v>
      </c>
      <c r="F1778" s="114">
        <v>162</v>
      </c>
      <c r="G1778" s="114">
        <v>1</v>
      </c>
      <c r="H1778" s="114">
        <v>1600</v>
      </c>
      <c r="I1778" s="114">
        <v>1600</v>
      </c>
      <c r="J1778" s="114">
        <v>1345</v>
      </c>
      <c r="K1778" s="114">
        <v>255</v>
      </c>
      <c r="L1778" s="114" t="str">
        <f t="shared" si="27"/>
        <v>INSERT INTO DETALLES_DOCUMENTO(NRO_DOCUMENTO,ID_TIPO,ID_PRODUCTO,CANTIDAD,PRECIO,VALOR_BRUTO,VALOR_NETO,VALOR_IVA) VALUES(898,1,162,1,1600,1600,1345,255);</v>
      </c>
    </row>
    <row r="1779" spans="1:12">
      <c r="A1779" s="114">
        <v>1</v>
      </c>
      <c r="B1779" s="114">
        <v>899</v>
      </c>
      <c r="C1779" s="139" t="s">
        <v>2307</v>
      </c>
      <c r="D1779" s="114" t="s">
        <v>2090</v>
      </c>
      <c r="E1779" s="114">
        <v>300</v>
      </c>
      <c r="F1779" s="114">
        <v>143</v>
      </c>
      <c r="G1779" s="114">
        <v>1</v>
      </c>
      <c r="H1779" s="114">
        <v>8000</v>
      </c>
      <c r="I1779" s="114">
        <v>8000</v>
      </c>
      <c r="J1779" s="114">
        <v>6723</v>
      </c>
      <c r="K1779" s="114">
        <v>1277</v>
      </c>
      <c r="L1779" s="114" t="str">
        <f t="shared" si="27"/>
        <v>INSERT INTO DETALLES_DOCUMENTO(NRO_DOCUMENTO,ID_TIPO,ID_PRODUCTO,CANTIDAD,PRECIO,VALOR_BRUTO,VALOR_NETO,VALOR_IVA) VALUES(899,1,143,1,8000,8000,6723,1277);</v>
      </c>
    </row>
    <row r="1780" spans="1:12">
      <c r="A1780" s="114">
        <v>1</v>
      </c>
      <c r="B1780" s="114">
        <v>899</v>
      </c>
      <c r="C1780" s="139" t="s">
        <v>2307</v>
      </c>
      <c r="D1780" s="114" t="s">
        <v>2090</v>
      </c>
      <c r="E1780" s="114">
        <v>300</v>
      </c>
      <c r="F1780" s="114">
        <v>329</v>
      </c>
      <c r="G1780" s="114">
        <v>1</v>
      </c>
      <c r="H1780" s="114">
        <v>6000</v>
      </c>
      <c r="I1780" s="114">
        <v>6000</v>
      </c>
      <c r="J1780" s="114">
        <v>5042</v>
      </c>
      <c r="K1780" s="114">
        <v>958</v>
      </c>
      <c r="L1780" s="114" t="str">
        <f t="shared" si="27"/>
        <v>INSERT INTO DETALLES_DOCUMENTO(NRO_DOCUMENTO,ID_TIPO,ID_PRODUCTO,CANTIDAD,PRECIO,VALOR_BRUTO,VALOR_NETO,VALOR_IVA) VALUES(899,1,329,1,6000,6000,5042,958);</v>
      </c>
    </row>
    <row r="1781" spans="1:12">
      <c r="A1781" s="114">
        <v>1</v>
      </c>
      <c r="B1781" s="114">
        <v>900</v>
      </c>
      <c r="C1781" s="139" t="s">
        <v>2307</v>
      </c>
      <c r="D1781" s="114" t="s">
        <v>2090</v>
      </c>
      <c r="E1781" s="114">
        <v>312</v>
      </c>
      <c r="F1781" s="114">
        <v>143</v>
      </c>
      <c r="G1781" s="114">
        <v>1</v>
      </c>
      <c r="H1781" s="114">
        <v>8000</v>
      </c>
      <c r="I1781" s="114">
        <v>8000</v>
      </c>
      <c r="J1781" s="114">
        <v>6723</v>
      </c>
      <c r="K1781" s="114">
        <v>1277</v>
      </c>
      <c r="L1781" s="114" t="str">
        <f t="shared" si="27"/>
        <v>INSERT INTO DETALLES_DOCUMENTO(NRO_DOCUMENTO,ID_TIPO,ID_PRODUCTO,CANTIDAD,PRECIO,VALOR_BRUTO,VALOR_NETO,VALOR_IVA) VALUES(900,1,143,1,8000,8000,6723,1277);</v>
      </c>
    </row>
    <row r="1782" spans="1:12">
      <c r="A1782" s="114">
        <v>1</v>
      </c>
      <c r="B1782" s="114">
        <v>901</v>
      </c>
      <c r="C1782" s="139" t="s">
        <v>2307</v>
      </c>
      <c r="D1782" s="114" t="s">
        <v>2090</v>
      </c>
      <c r="E1782" s="114">
        <v>397</v>
      </c>
      <c r="F1782" s="114">
        <v>324</v>
      </c>
      <c r="G1782" s="114">
        <v>1</v>
      </c>
      <c r="H1782" s="114">
        <v>11000</v>
      </c>
      <c r="I1782" s="114">
        <v>11000</v>
      </c>
      <c r="J1782" s="114">
        <v>9244</v>
      </c>
      <c r="K1782" s="114">
        <v>1756</v>
      </c>
      <c r="L1782" s="114" t="str">
        <f t="shared" si="27"/>
        <v>INSERT INTO DETALLES_DOCUMENTO(NRO_DOCUMENTO,ID_TIPO,ID_PRODUCTO,CANTIDAD,PRECIO,VALOR_BRUTO,VALOR_NETO,VALOR_IVA) VALUES(901,1,324,1,11000,11000,9244,1756);</v>
      </c>
    </row>
    <row r="1783" spans="1:12">
      <c r="A1783" s="114">
        <v>1</v>
      </c>
      <c r="B1783" s="114">
        <v>901</v>
      </c>
      <c r="C1783" s="139" t="s">
        <v>2307</v>
      </c>
      <c r="D1783" s="114" t="s">
        <v>2090</v>
      </c>
      <c r="E1783" s="114">
        <v>397</v>
      </c>
      <c r="F1783" s="114">
        <v>7</v>
      </c>
      <c r="G1783" s="114">
        <v>1</v>
      </c>
      <c r="H1783" s="114">
        <v>7000</v>
      </c>
      <c r="I1783" s="114">
        <v>7000</v>
      </c>
      <c r="J1783" s="114">
        <v>5882</v>
      </c>
      <c r="K1783" s="114">
        <v>1118</v>
      </c>
      <c r="L1783" s="114" t="str">
        <f t="shared" si="27"/>
        <v>INSERT INTO DETALLES_DOCUMENTO(NRO_DOCUMENTO,ID_TIPO,ID_PRODUCTO,CANTIDAD,PRECIO,VALOR_BRUTO,VALOR_NETO,VALOR_IVA) VALUES(901,1,7,1,7000,7000,5882,1118);</v>
      </c>
    </row>
    <row r="1784" spans="1:12">
      <c r="A1784" s="114">
        <v>1</v>
      </c>
      <c r="B1784" s="114">
        <v>902</v>
      </c>
      <c r="C1784" s="139" t="s">
        <v>2308</v>
      </c>
      <c r="D1784" s="114" t="s">
        <v>2090</v>
      </c>
      <c r="E1784" s="114">
        <v>62</v>
      </c>
      <c r="F1784" s="114">
        <v>117</v>
      </c>
      <c r="G1784" s="114">
        <v>4</v>
      </c>
      <c r="H1784" s="114">
        <v>14000</v>
      </c>
      <c r="I1784" s="114">
        <v>56000</v>
      </c>
      <c r="J1784" s="114">
        <v>47059</v>
      </c>
      <c r="K1784" s="114">
        <v>8941</v>
      </c>
      <c r="L1784" s="114" t="str">
        <f t="shared" si="27"/>
        <v>INSERT INTO DETALLES_DOCUMENTO(NRO_DOCUMENTO,ID_TIPO,ID_PRODUCTO,CANTIDAD,PRECIO,VALOR_BRUTO,VALOR_NETO,VALOR_IVA) VALUES(902,1,117,4,14000,56000,47059,8941);</v>
      </c>
    </row>
    <row r="1785" spans="1:12">
      <c r="A1785" s="114">
        <v>1</v>
      </c>
      <c r="B1785" s="114">
        <v>902</v>
      </c>
      <c r="C1785" s="139" t="s">
        <v>2308</v>
      </c>
      <c r="D1785" s="114" t="s">
        <v>2090</v>
      </c>
      <c r="E1785" s="114">
        <v>62</v>
      </c>
      <c r="F1785" s="114">
        <v>356</v>
      </c>
      <c r="G1785" s="114">
        <v>1</v>
      </c>
      <c r="H1785" s="114">
        <v>3000</v>
      </c>
      <c r="I1785" s="114">
        <v>3000</v>
      </c>
      <c r="J1785" s="114">
        <v>2521</v>
      </c>
      <c r="K1785" s="114">
        <v>479</v>
      </c>
      <c r="L1785" s="114" t="str">
        <f t="shared" si="27"/>
        <v>INSERT INTO DETALLES_DOCUMENTO(NRO_DOCUMENTO,ID_TIPO,ID_PRODUCTO,CANTIDAD,PRECIO,VALOR_BRUTO,VALOR_NETO,VALOR_IVA) VALUES(902,1,356,1,3000,3000,2521,479);</v>
      </c>
    </row>
    <row r="1786" spans="1:12">
      <c r="A1786" s="114">
        <v>1</v>
      </c>
      <c r="B1786" s="114">
        <v>902</v>
      </c>
      <c r="C1786" s="139" t="s">
        <v>2308</v>
      </c>
      <c r="D1786" s="114" t="s">
        <v>2090</v>
      </c>
      <c r="E1786" s="114">
        <v>62</v>
      </c>
      <c r="F1786" s="114">
        <v>95</v>
      </c>
      <c r="G1786" s="114">
        <v>1</v>
      </c>
      <c r="H1786" s="114">
        <v>2400</v>
      </c>
      <c r="I1786" s="114">
        <v>2400</v>
      </c>
      <c r="J1786" s="114">
        <v>2017</v>
      </c>
      <c r="K1786" s="114">
        <v>383</v>
      </c>
      <c r="L1786" s="114" t="str">
        <f t="shared" si="27"/>
        <v>INSERT INTO DETALLES_DOCUMENTO(NRO_DOCUMENTO,ID_TIPO,ID_PRODUCTO,CANTIDAD,PRECIO,VALOR_BRUTO,VALOR_NETO,VALOR_IVA) VALUES(902,1,95,1,2400,2400,2017,383);</v>
      </c>
    </row>
    <row r="1787" spans="1:12">
      <c r="A1787" s="114">
        <v>1</v>
      </c>
      <c r="B1787" s="114">
        <v>902</v>
      </c>
      <c r="C1787" s="139" t="s">
        <v>2308</v>
      </c>
      <c r="D1787" s="114" t="s">
        <v>2090</v>
      </c>
      <c r="E1787" s="114">
        <v>62</v>
      </c>
      <c r="F1787" s="114">
        <v>386</v>
      </c>
      <c r="G1787" s="114">
        <v>1</v>
      </c>
      <c r="H1787" s="114">
        <v>2700</v>
      </c>
      <c r="I1787" s="114">
        <v>2700</v>
      </c>
      <c r="J1787" s="114">
        <v>2269</v>
      </c>
      <c r="K1787" s="114">
        <v>431</v>
      </c>
      <c r="L1787" s="114" t="str">
        <f t="shared" si="27"/>
        <v>INSERT INTO DETALLES_DOCUMENTO(NRO_DOCUMENTO,ID_TIPO,ID_PRODUCTO,CANTIDAD,PRECIO,VALOR_BRUTO,VALOR_NETO,VALOR_IVA) VALUES(902,1,386,1,2700,2700,2269,431);</v>
      </c>
    </row>
    <row r="1788" spans="1:12">
      <c r="A1788" s="114">
        <v>1</v>
      </c>
      <c r="B1788" s="114">
        <v>902</v>
      </c>
      <c r="C1788" s="139" t="s">
        <v>2308</v>
      </c>
      <c r="D1788" s="114" t="s">
        <v>2090</v>
      </c>
      <c r="E1788" s="114">
        <v>62</v>
      </c>
      <c r="F1788" s="114">
        <v>69</v>
      </c>
      <c r="G1788" s="114">
        <v>1</v>
      </c>
      <c r="H1788" s="114">
        <v>3000</v>
      </c>
      <c r="I1788" s="114">
        <v>3000</v>
      </c>
      <c r="J1788" s="114">
        <v>2521</v>
      </c>
      <c r="K1788" s="114">
        <v>479</v>
      </c>
      <c r="L1788" s="114" t="str">
        <f t="shared" si="27"/>
        <v>INSERT INTO DETALLES_DOCUMENTO(NRO_DOCUMENTO,ID_TIPO,ID_PRODUCTO,CANTIDAD,PRECIO,VALOR_BRUTO,VALOR_NETO,VALOR_IVA) VALUES(902,1,69,1,3000,3000,2521,479);</v>
      </c>
    </row>
    <row r="1789" spans="1:12">
      <c r="A1789" s="114">
        <v>1</v>
      </c>
      <c r="B1789" s="114">
        <v>902</v>
      </c>
      <c r="C1789" s="139" t="s">
        <v>2308</v>
      </c>
      <c r="D1789" s="114" t="s">
        <v>2090</v>
      </c>
      <c r="E1789" s="114">
        <v>62</v>
      </c>
      <c r="F1789" s="114">
        <v>67</v>
      </c>
      <c r="G1789" s="114">
        <v>1</v>
      </c>
      <c r="H1789" s="114">
        <v>650</v>
      </c>
      <c r="I1789" s="114">
        <v>650</v>
      </c>
      <c r="J1789" s="114">
        <v>546</v>
      </c>
      <c r="K1789" s="114">
        <v>104</v>
      </c>
      <c r="L1789" s="114" t="str">
        <f t="shared" si="27"/>
        <v>INSERT INTO DETALLES_DOCUMENTO(NRO_DOCUMENTO,ID_TIPO,ID_PRODUCTO,CANTIDAD,PRECIO,VALOR_BRUTO,VALOR_NETO,VALOR_IVA) VALUES(902,1,67,1,650,650,546,104);</v>
      </c>
    </row>
    <row r="1790" spans="1:12">
      <c r="A1790" s="114">
        <v>1</v>
      </c>
      <c r="B1790" s="114">
        <v>902</v>
      </c>
      <c r="C1790" s="139" t="s">
        <v>2308</v>
      </c>
      <c r="D1790" s="114" t="s">
        <v>2090</v>
      </c>
      <c r="E1790" s="114">
        <v>62</v>
      </c>
      <c r="F1790" s="114">
        <v>293</v>
      </c>
      <c r="G1790" s="114">
        <v>1</v>
      </c>
      <c r="H1790" s="114">
        <v>10000</v>
      </c>
      <c r="I1790" s="114">
        <v>10000</v>
      </c>
      <c r="J1790" s="114">
        <v>8403</v>
      </c>
      <c r="K1790" s="114">
        <v>1597</v>
      </c>
      <c r="L1790" s="114" t="str">
        <f t="shared" si="27"/>
        <v>INSERT INTO DETALLES_DOCUMENTO(NRO_DOCUMENTO,ID_TIPO,ID_PRODUCTO,CANTIDAD,PRECIO,VALOR_BRUTO,VALOR_NETO,VALOR_IVA) VALUES(902,1,293,1,10000,10000,8403,1597);</v>
      </c>
    </row>
    <row r="1791" spans="1:12">
      <c r="A1791" s="114">
        <v>1</v>
      </c>
      <c r="B1791" s="114">
        <v>902</v>
      </c>
      <c r="C1791" s="139" t="s">
        <v>2308</v>
      </c>
      <c r="D1791" s="114" t="s">
        <v>2090</v>
      </c>
      <c r="E1791" s="114">
        <v>62</v>
      </c>
      <c r="F1791" s="114">
        <v>368</v>
      </c>
      <c r="G1791" s="114">
        <v>2</v>
      </c>
      <c r="H1791" s="114">
        <v>6000</v>
      </c>
      <c r="I1791" s="114">
        <v>12000</v>
      </c>
      <c r="J1791" s="114">
        <v>10084</v>
      </c>
      <c r="K1791" s="114">
        <v>1916</v>
      </c>
      <c r="L1791" s="114" t="str">
        <f t="shared" si="27"/>
        <v>INSERT INTO DETALLES_DOCUMENTO(NRO_DOCUMENTO,ID_TIPO,ID_PRODUCTO,CANTIDAD,PRECIO,VALOR_BRUTO,VALOR_NETO,VALOR_IVA) VALUES(902,1,368,2,6000,12000,10084,1916);</v>
      </c>
    </row>
    <row r="1792" spans="1:12">
      <c r="A1792" s="114">
        <v>1</v>
      </c>
      <c r="B1792" s="114">
        <v>903</v>
      </c>
      <c r="C1792" s="139" t="s">
        <v>2308</v>
      </c>
      <c r="D1792" s="114" t="s">
        <v>2090</v>
      </c>
      <c r="E1792" s="114">
        <v>119</v>
      </c>
      <c r="F1792" s="114">
        <v>143</v>
      </c>
      <c r="G1792" s="114">
        <v>1</v>
      </c>
      <c r="H1792" s="114">
        <v>8000</v>
      </c>
      <c r="I1792" s="114">
        <v>8000</v>
      </c>
      <c r="J1792" s="114">
        <v>6723</v>
      </c>
      <c r="K1792" s="114">
        <v>1277</v>
      </c>
      <c r="L1792" s="114" t="str">
        <f t="shared" si="27"/>
        <v>INSERT INTO DETALLES_DOCUMENTO(NRO_DOCUMENTO,ID_TIPO,ID_PRODUCTO,CANTIDAD,PRECIO,VALOR_BRUTO,VALOR_NETO,VALOR_IVA) VALUES(903,1,143,1,8000,8000,6723,1277);</v>
      </c>
    </row>
    <row r="1793" spans="1:12">
      <c r="A1793" s="114">
        <v>1</v>
      </c>
      <c r="B1793" s="114">
        <v>904</v>
      </c>
      <c r="C1793" s="139" t="s">
        <v>2308</v>
      </c>
      <c r="D1793" s="114" t="s">
        <v>2090</v>
      </c>
      <c r="E1793" s="114">
        <v>166</v>
      </c>
      <c r="F1793" s="114">
        <v>331</v>
      </c>
      <c r="G1793" s="114">
        <v>1</v>
      </c>
      <c r="H1793" s="114">
        <v>3700</v>
      </c>
      <c r="I1793" s="114">
        <v>3700</v>
      </c>
      <c r="J1793" s="114">
        <v>3109</v>
      </c>
      <c r="K1793" s="114">
        <v>591</v>
      </c>
      <c r="L1793" s="114" t="str">
        <f t="shared" si="27"/>
        <v>INSERT INTO DETALLES_DOCUMENTO(NRO_DOCUMENTO,ID_TIPO,ID_PRODUCTO,CANTIDAD,PRECIO,VALOR_BRUTO,VALOR_NETO,VALOR_IVA) VALUES(904,1,331,1,3700,3700,3109,591);</v>
      </c>
    </row>
    <row r="1794" spans="1:12">
      <c r="A1794" s="114">
        <v>1</v>
      </c>
      <c r="B1794" s="114">
        <v>904</v>
      </c>
      <c r="C1794" s="139" t="s">
        <v>2308</v>
      </c>
      <c r="D1794" s="114" t="s">
        <v>2090</v>
      </c>
      <c r="E1794" s="114">
        <v>166</v>
      </c>
      <c r="F1794" s="114">
        <v>261</v>
      </c>
      <c r="G1794" s="114">
        <v>1</v>
      </c>
      <c r="H1794" s="114">
        <v>7000</v>
      </c>
      <c r="I1794" s="114">
        <v>7000</v>
      </c>
      <c r="J1794" s="114">
        <v>5882</v>
      </c>
      <c r="K1794" s="114">
        <v>1118</v>
      </c>
      <c r="L1794" s="114" t="str">
        <f t="shared" si="27"/>
        <v>INSERT INTO DETALLES_DOCUMENTO(NRO_DOCUMENTO,ID_TIPO,ID_PRODUCTO,CANTIDAD,PRECIO,VALOR_BRUTO,VALOR_NETO,VALOR_IVA) VALUES(904,1,261,1,7000,7000,5882,1118);</v>
      </c>
    </row>
    <row r="1795" spans="1:12">
      <c r="A1795" s="114">
        <v>1</v>
      </c>
      <c r="B1795" s="114">
        <v>905</v>
      </c>
      <c r="C1795" s="139" t="s">
        <v>2308</v>
      </c>
      <c r="D1795" s="114" t="s">
        <v>2090</v>
      </c>
      <c r="E1795" s="114">
        <v>268</v>
      </c>
      <c r="F1795" s="114">
        <v>231</v>
      </c>
      <c r="G1795" s="114">
        <v>2</v>
      </c>
      <c r="H1795" s="114">
        <v>41800</v>
      </c>
      <c r="I1795" s="114">
        <v>83600</v>
      </c>
      <c r="J1795" s="114">
        <v>70252</v>
      </c>
      <c r="K1795" s="114">
        <v>13348</v>
      </c>
      <c r="L1795" s="114" t="str">
        <f t="shared" ref="L1795:L1858" si="28">CONCATENATE("INSERT INTO DETALLES_DOCUMENTO(NRO_DOCUMENTO,ID_TIPO,ID_PRODUCTO,CANTIDAD,PRECIO,VALOR_BRUTO,VALOR_NETO,VALOR_IVA) VALUES(",B1795,",",A1795,",",F1795,",",G1795,",",H1795,",",I1795,",",J1795,",",K1795,");")</f>
        <v>INSERT INTO DETALLES_DOCUMENTO(NRO_DOCUMENTO,ID_TIPO,ID_PRODUCTO,CANTIDAD,PRECIO,VALOR_BRUTO,VALOR_NETO,VALOR_IVA) VALUES(905,1,231,2,41800,83600,70252,13348);</v>
      </c>
    </row>
    <row r="1796" spans="1:12">
      <c r="A1796" s="114">
        <v>1</v>
      </c>
      <c r="B1796" s="114">
        <v>905</v>
      </c>
      <c r="C1796" s="139" t="s">
        <v>2308</v>
      </c>
      <c r="D1796" s="114" t="s">
        <v>2090</v>
      </c>
      <c r="E1796" s="114">
        <v>268</v>
      </c>
      <c r="F1796" s="114">
        <v>227</v>
      </c>
      <c r="G1796" s="114">
        <v>1</v>
      </c>
      <c r="H1796" s="114">
        <v>13500</v>
      </c>
      <c r="I1796" s="114">
        <v>13500</v>
      </c>
      <c r="J1796" s="114">
        <v>11345</v>
      </c>
      <c r="K1796" s="114">
        <v>2155</v>
      </c>
      <c r="L1796" s="114" t="str">
        <f t="shared" si="28"/>
        <v>INSERT INTO DETALLES_DOCUMENTO(NRO_DOCUMENTO,ID_TIPO,ID_PRODUCTO,CANTIDAD,PRECIO,VALOR_BRUTO,VALOR_NETO,VALOR_IVA) VALUES(905,1,227,1,13500,13500,11345,2155);</v>
      </c>
    </row>
    <row r="1797" spans="1:12">
      <c r="A1797" s="114">
        <v>1</v>
      </c>
      <c r="B1797" s="114">
        <v>905</v>
      </c>
      <c r="C1797" s="139" t="s">
        <v>2308</v>
      </c>
      <c r="D1797" s="114" t="s">
        <v>2090</v>
      </c>
      <c r="E1797" s="114">
        <v>268</v>
      </c>
      <c r="F1797" s="114">
        <v>226</v>
      </c>
      <c r="G1797" s="114">
        <v>1</v>
      </c>
      <c r="H1797" s="114">
        <v>22500</v>
      </c>
      <c r="I1797" s="114">
        <v>22500</v>
      </c>
      <c r="J1797" s="114">
        <v>18908</v>
      </c>
      <c r="K1797" s="114">
        <v>3592</v>
      </c>
      <c r="L1797" s="114" t="str">
        <f t="shared" si="28"/>
        <v>INSERT INTO DETALLES_DOCUMENTO(NRO_DOCUMENTO,ID_TIPO,ID_PRODUCTO,CANTIDAD,PRECIO,VALOR_BRUTO,VALOR_NETO,VALOR_IVA) VALUES(905,1,226,1,22500,22500,18908,3592);</v>
      </c>
    </row>
    <row r="1798" spans="1:12">
      <c r="A1798" s="114">
        <v>1</v>
      </c>
      <c r="B1798" s="114">
        <v>905</v>
      </c>
      <c r="C1798" s="139" t="s">
        <v>2308</v>
      </c>
      <c r="D1798" s="114" t="s">
        <v>2090</v>
      </c>
      <c r="E1798" s="114">
        <v>268</v>
      </c>
      <c r="F1798" s="114">
        <v>99</v>
      </c>
      <c r="G1798" s="114">
        <v>1</v>
      </c>
      <c r="H1798" s="114">
        <v>1500</v>
      </c>
      <c r="I1798" s="114">
        <v>1500</v>
      </c>
      <c r="J1798" s="114">
        <v>1261</v>
      </c>
      <c r="K1798" s="114">
        <v>239</v>
      </c>
      <c r="L1798" s="114" t="str">
        <f t="shared" si="28"/>
        <v>INSERT INTO DETALLES_DOCUMENTO(NRO_DOCUMENTO,ID_TIPO,ID_PRODUCTO,CANTIDAD,PRECIO,VALOR_BRUTO,VALOR_NETO,VALOR_IVA) VALUES(905,1,99,1,1500,1500,1261,239);</v>
      </c>
    </row>
    <row r="1799" spans="1:12">
      <c r="A1799" s="114">
        <v>1</v>
      </c>
      <c r="B1799" s="114">
        <v>906</v>
      </c>
      <c r="C1799" s="139" t="s">
        <v>2308</v>
      </c>
      <c r="D1799" s="114" t="s">
        <v>2090</v>
      </c>
      <c r="E1799" s="114">
        <v>303</v>
      </c>
      <c r="F1799" s="114">
        <v>230</v>
      </c>
      <c r="G1799" s="114">
        <v>1</v>
      </c>
      <c r="H1799" s="114">
        <v>16500</v>
      </c>
      <c r="I1799" s="114">
        <v>16500</v>
      </c>
      <c r="J1799" s="114">
        <v>13866</v>
      </c>
      <c r="K1799" s="114">
        <v>2634</v>
      </c>
      <c r="L1799" s="114" t="str">
        <f t="shared" si="28"/>
        <v>INSERT INTO DETALLES_DOCUMENTO(NRO_DOCUMENTO,ID_TIPO,ID_PRODUCTO,CANTIDAD,PRECIO,VALOR_BRUTO,VALOR_NETO,VALOR_IVA) VALUES(906,1,230,1,16500,16500,13866,2634);</v>
      </c>
    </row>
    <row r="1800" spans="1:12">
      <c r="A1800" s="114">
        <v>1</v>
      </c>
      <c r="B1800" s="114">
        <v>907</v>
      </c>
      <c r="C1800" s="139" t="s">
        <v>2308</v>
      </c>
      <c r="D1800" s="114" t="s">
        <v>2090</v>
      </c>
      <c r="E1800" s="114">
        <v>474</v>
      </c>
      <c r="F1800" s="114">
        <v>288</v>
      </c>
      <c r="G1800" s="114">
        <v>1</v>
      </c>
      <c r="H1800" s="114">
        <v>8500</v>
      </c>
      <c r="I1800" s="114">
        <v>8500</v>
      </c>
      <c r="J1800" s="114">
        <v>7143</v>
      </c>
      <c r="K1800" s="114">
        <v>1357</v>
      </c>
      <c r="L1800" s="114" t="str">
        <f t="shared" si="28"/>
        <v>INSERT INTO DETALLES_DOCUMENTO(NRO_DOCUMENTO,ID_TIPO,ID_PRODUCTO,CANTIDAD,PRECIO,VALOR_BRUTO,VALOR_NETO,VALOR_IVA) VALUES(907,1,288,1,8500,8500,7143,1357);</v>
      </c>
    </row>
    <row r="1801" spans="1:12">
      <c r="A1801" s="114">
        <v>1</v>
      </c>
      <c r="B1801" s="114">
        <v>907</v>
      </c>
      <c r="C1801" s="139" t="s">
        <v>2308</v>
      </c>
      <c r="D1801" s="114" t="s">
        <v>2090</v>
      </c>
      <c r="E1801" s="114">
        <v>474</v>
      </c>
      <c r="F1801" s="114">
        <v>265</v>
      </c>
      <c r="G1801" s="114">
        <v>1</v>
      </c>
      <c r="H1801" s="114">
        <v>10000</v>
      </c>
      <c r="I1801" s="114">
        <v>10000</v>
      </c>
      <c r="J1801" s="114">
        <v>8403</v>
      </c>
      <c r="K1801" s="114">
        <v>1597</v>
      </c>
      <c r="L1801" s="114" t="str">
        <f t="shared" si="28"/>
        <v>INSERT INTO DETALLES_DOCUMENTO(NRO_DOCUMENTO,ID_TIPO,ID_PRODUCTO,CANTIDAD,PRECIO,VALOR_BRUTO,VALOR_NETO,VALOR_IVA) VALUES(907,1,265,1,10000,10000,8403,1597);</v>
      </c>
    </row>
    <row r="1802" spans="1:12">
      <c r="A1802" s="114">
        <v>1</v>
      </c>
      <c r="B1802" s="114">
        <v>907</v>
      </c>
      <c r="C1802" s="139" t="s">
        <v>2308</v>
      </c>
      <c r="D1802" s="114" t="s">
        <v>2090</v>
      </c>
      <c r="E1802" s="114">
        <v>474</v>
      </c>
      <c r="F1802" s="114">
        <v>245</v>
      </c>
      <c r="G1802" s="114">
        <v>2</v>
      </c>
      <c r="H1802" s="114">
        <v>3600</v>
      </c>
      <c r="I1802" s="114">
        <v>7200</v>
      </c>
      <c r="J1802" s="114">
        <v>6050</v>
      </c>
      <c r="K1802" s="114">
        <v>1150</v>
      </c>
      <c r="L1802" s="114" t="str">
        <f t="shared" si="28"/>
        <v>INSERT INTO DETALLES_DOCUMENTO(NRO_DOCUMENTO,ID_TIPO,ID_PRODUCTO,CANTIDAD,PRECIO,VALOR_BRUTO,VALOR_NETO,VALOR_IVA) VALUES(907,1,245,2,3600,7200,6050,1150);</v>
      </c>
    </row>
    <row r="1803" spans="1:12">
      <c r="A1803" s="114">
        <v>1</v>
      </c>
      <c r="B1803" s="114">
        <v>908</v>
      </c>
      <c r="C1803" s="139" t="s">
        <v>2309</v>
      </c>
      <c r="D1803" s="114" t="s">
        <v>2090</v>
      </c>
      <c r="E1803" s="114">
        <v>48</v>
      </c>
      <c r="F1803" s="114">
        <v>324</v>
      </c>
      <c r="G1803" s="114">
        <v>1</v>
      </c>
      <c r="H1803" s="114">
        <v>11000</v>
      </c>
      <c r="I1803" s="114">
        <v>11000</v>
      </c>
      <c r="J1803" s="114">
        <v>9244</v>
      </c>
      <c r="K1803" s="114">
        <v>1756</v>
      </c>
      <c r="L1803" s="114" t="str">
        <f t="shared" si="28"/>
        <v>INSERT INTO DETALLES_DOCUMENTO(NRO_DOCUMENTO,ID_TIPO,ID_PRODUCTO,CANTIDAD,PRECIO,VALOR_BRUTO,VALOR_NETO,VALOR_IVA) VALUES(908,1,324,1,11000,11000,9244,1756);</v>
      </c>
    </row>
    <row r="1804" spans="1:12">
      <c r="A1804" s="114">
        <v>1</v>
      </c>
      <c r="B1804" s="114">
        <v>908</v>
      </c>
      <c r="C1804" s="139" t="s">
        <v>2309</v>
      </c>
      <c r="D1804" s="114" t="s">
        <v>2090</v>
      </c>
      <c r="E1804" s="114">
        <v>48</v>
      </c>
      <c r="F1804" s="114">
        <v>124</v>
      </c>
      <c r="G1804" s="114">
        <v>1</v>
      </c>
      <c r="H1804" s="114">
        <v>4000</v>
      </c>
      <c r="I1804" s="114">
        <v>4000</v>
      </c>
      <c r="J1804" s="114">
        <v>3361</v>
      </c>
      <c r="K1804" s="114">
        <v>639</v>
      </c>
      <c r="L1804" s="114" t="str">
        <f t="shared" si="28"/>
        <v>INSERT INTO DETALLES_DOCUMENTO(NRO_DOCUMENTO,ID_TIPO,ID_PRODUCTO,CANTIDAD,PRECIO,VALOR_BRUTO,VALOR_NETO,VALOR_IVA) VALUES(908,1,124,1,4000,4000,3361,639);</v>
      </c>
    </row>
    <row r="1805" spans="1:12">
      <c r="A1805" s="114">
        <v>1</v>
      </c>
      <c r="B1805" s="114">
        <v>908</v>
      </c>
      <c r="C1805" s="139" t="s">
        <v>2309</v>
      </c>
      <c r="D1805" s="114" t="s">
        <v>2090</v>
      </c>
      <c r="E1805" s="114">
        <v>48</v>
      </c>
      <c r="F1805" s="114">
        <v>290</v>
      </c>
      <c r="G1805" s="114">
        <v>1</v>
      </c>
      <c r="H1805" s="114">
        <v>1200</v>
      </c>
      <c r="I1805" s="114">
        <v>1200</v>
      </c>
      <c r="J1805" s="114">
        <v>1008</v>
      </c>
      <c r="K1805" s="114">
        <v>192</v>
      </c>
      <c r="L1805" s="114" t="str">
        <f t="shared" si="28"/>
        <v>INSERT INTO DETALLES_DOCUMENTO(NRO_DOCUMENTO,ID_TIPO,ID_PRODUCTO,CANTIDAD,PRECIO,VALOR_BRUTO,VALOR_NETO,VALOR_IVA) VALUES(908,1,290,1,1200,1200,1008,192);</v>
      </c>
    </row>
    <row r="1806" spans="1:12">
      <c r="A1806" s="114">
        <v>1</v>
      </c>
      <c r="B1806" s="114">
        <v>908</v>
      </c>
      <c r="C1806" s="139" t="s">
        <v>2309</v>
      </c>
      <c r="D1806" s="114" t="s">
        <v>2090</v>
      </c>
      <c r="E1806" s="114">
        <v>48</v>
      </c>
      <c r="F1806" s="114">
        <v>274</v>
      </c>
      <c r="G1806" s="114">
        <v>1</v>
      </c>
      <c r="H1806" s="114">
        <v>7500</v>
      </c>
      <c r="I1806" s="114">
        <v>7500</v>
      </c>
      <c r="J1806" s="114">
        <v>6303</v>
      </c>
      <c r="K1806" s="114">
        <v>1197</v>
      </c>
      <c r="L1806" s="114" t="str">
        <f t="shared" si="28"/>
        <v>INSERT INTO DETALLES_DOCUMENTO(NRO_DOCUMENTO,ID_TIPO,ID_PRODUCTO,CANTIDAD,PRECIO,VALOR_BRUTO,VALOR_NETO,VALOR_IVA) VALUES(908,1,274,1,7500,7500,6303,1197);</v>
      </c>
    </row>
    <row r="1807" spans="1:12">
      <c r="A1807" s="114">
        <v>1</v>
      </c>
      <c r="B1807" s="114">
        <v>908</v>
      </c>
      <c r="C1807" s="139" t="s">
        <v>2309</v>
      </c>
      <c r="D1807" s="114" t="s">
        <v>2090</v>
      </c>
      <c r="E1807" s="114">
        <v>48</v>
      </c>
      <c r="F1807" s="114">
        <v>332</v>
      </c>
      <c r="G1807" s="114">
        <v>1</v>
      </c>
      <c r="H1807" s="114">
        <v>2600</v>
      </c>
      <c r="I1807" s="114">
        <v>2600</v>
      </c>
      <c r="J1807" s="114">
        <v>2185</v>
      </c>
      <c r="K1807" s="114">
        <v>415</v>
      </c>
      <c r="L1807" s="114" t="str">
        <f t="shared" si="28"/>
        <v>INSERT INTO DETALLES_DOCUMENTO(NRO_DOCUMENTO,ID_TIPO,ID_PRODUCTO,CANTIDAD,PRECIO,VALOR_BRUTO,VALOR_NETO,VALOR_IVA) VALUES(908,1,332,1,2600,2600,2185,415);</v>
      </c>
    </row>
    <row r="1808" spans="1:12">
      <c r="A1808" s="114">
        <v>1</v>
      </c>
      <c r="B1808" s="114">
        <v>908</v>
      </c>
      <c r="C1808" s="139" t="s">
        <v>2309</v>
      </c>
      <c r="D1808" s="114" t="s">
        <v>2090</v>
      </c>
      <c r="E1808" s="114">
        <v>48</v>
      </c>
      <c r="F1808" s="114">
        <v>114</v>
      </c>
      <c r="G1808" s="114">
        <v>1</v>
      </c>
      <c r="H1808" s="114">
        <v>1600</v>
      </c>
      <c r="I1808" s="114">
        <v>1600</v>
      </c>
      <c r="J1808" s="114">
        <v>1345</v>
      </c>
      <c r="K1808" s="114">
        <v>255</v>
      </c>
      <c r="L1808" s="114" t="str">
        <f t="shared" si="28"/>
        <v>INSERT INTO DETALLES_DOCUMENTO(NRO_DOCUMENTO,ID_TIPO,ID_PRODUCTO,CANTIDAD,PRECIO,VALOR_BRUTO,VALOR_NETO,VALOR_IVA) VALUES(908,1,114,1,1600,1600,1345,255);</v>
      </c>
    </row>
    <row r="1809" spans="1:12">
      <c r="A1809" s="114">
        <v>1</v>
      </c>
      <c r="B1809" s="114">
        <v>908</v>
      </c>
      <c r="C1809" s="139" t="s">
        <v>2309</v>
      </c>
      <c r="D1809" s="114" t="s">
        <v>2090</v>
      </c>
      <c r="E1809" s="114">
        <v>48</v>
      </c>
      <c r="F1809" s="114">
        <v>116</v>
      </c>
      <c r="G1809" s="114">
        <v>1</v>
      </c>
      <c r="H1809" s="114">
        <v>1600</v>
      </c>
      <c r="I1809" s="114">
        <v>1600</v>
      </c>
      <c r="J1809" s="114">
        <v>1345</v>
      </c>
      <c r="K1809" s="114">
        <v>255</v>
      </c>
      <c r="L1809" s="114" t="str">
        <f t="shared" si="28"/>
        <v>INSERT INTO DETALLES_DOCUMENTO(NRO_DOCUMENTO,ID_TIPO,ID_PRODUCTO,CANTIDAD,PRECIO,VALOR_BRUTO,VALOR_NETO,VALOR_IVA) VALUES(908,1,116,1,1600,1600,1345,255);</v>
      </c>
    </row>
    <row r="1810" spans="1:12">
      <c r="A1810" s="114">
        <v>1</v>
      </c>
      <c r="B1810" s="114">
        <v>908</v>
      </c>
      <c r="C1810" s="139" t="s">
        <v>2309</v>
      </c>
      <c r="D1810" s="114" t="s">
        <v>2090</v>
      </c>
      <c r="E1810" s="114">
        <v>48</v>
      </c>
      <c r="F1810" s="114">
        <v>368</v>
      </c>
      <c r="G1810" s="114">
        <v>1</v>
      </c>
      <c r="H1810" s="114">
        <v>3000</v>
      </c>
      <c r="I1810" s="114">
        <v>3000</v>
      </c>
      <c r="J1810" s="114">
        <v>2521</v>
      </c>
      <c r="K1810" s="114">
        <v>479</v>
      </c>
      <c r="L1810" s="114" t="str">
        <f t="shared" si="28"/>
        <v>INSERT INTO DETALLES_DOCUMENTO(NRO_DOCUMENTO,ID_TIPO,ID_PRODUCTO,CANTIDAD,PRECIO,VALOR_BRUTO,VALOR_NETO,VALOR_IVA) VALUES(908,1,368,1,3000,3000,2521,479);</v>
      </c>
    </row>
    <row r="1811" spans="1:12">
      <c r="A1811" s="114">
        <v>1</v>
      </c>
      <c r="B1811" s="114">
        <v>908</v>
      </c>
      <c r="C1811" s="139" t="s">
        <v>2309</v>
      </c>
      <c r="D1811" s="114" t="s">
        <v>2090</v>
      </c>
      <c r="E1811" s="114">
        <v>48</v>
      </c>
      <c r="F1811" s="114">
        <v>293</v>
      </c>
      <c r="G1811" s="114">
        <v>1</v>
      </c>
      <c r="H1811" s="114">
        <v>10000</v>
      </c>
      <c r="I1811" s="114">
        <v>10000</v>
      </c>
      <c r="J1811" s="114">
        <v>8403</v>
      </c>
      <c r="K1811" s="114">
        <v>1597</v>
      </c>
      <c r="L1811" s="114" t="str">
        <f t="shared" si="28"/>
        <v>INSERT INTO DETALLES_DOCUMENTO(NRO_DOCUMENTO,ID_TIPO,ID_PRODUCTO,CANTIDAD,PRECIO,VALOR_BRUTO,VALOR_NETO,VALOR_IVA) VALUES(908,1,293,1,10000,10000,8403,1597);</v>
      </c>
    </row>
    <row r="1812" spans="1:12">
      <c r="A1812" s="114">
        <v>1</v>
      </c>
      <c r="B1812" s="114">
        <v>909</v>
      </c>
      <c r="C1812" s="139" t="s">
        <v>2309</v>
      </c>
      <c r="D1812" s="114" t="s">
        <v>2090</v>
      </c>
      <c r="E1812" s="114">
        <v>108</v>
      </c>
      <c r="F1812" s="114">
        <v>293</v>
      </c>
      <c r="G1812" s="114">
        <v>1</v>
      </c>
      <c r="H1812" s="114">
        <v>1500</v>
      </c>
      <c r="I1812" s="114">
        <v>1500</v>
      </c>
      <c r="J1812" s="114">
        <v>1261</v>
      </c>
      <c r="K1812" s="114">
        <v>239</v>
      </c>
      <c r="L1812" s="114" t="str">
        <f t="shared" si="28"/>
        <v>INSERT INTO DETALLES_DOCUMENTO(NRO_DOCUMENTO,ID_TIPO,ID_PRODUCTO,CANTIDAD,PRECIO,VALOR_BRUTO,VALOR_NETO,VALOR_IVA) VALUES(909,1,293,1,1500,1500,1261,239);</v>
      </c>
    </row>
    <row r="1813" spans="1:12">
      <c r="A1813" s="114">
        <v>1</v>
      </c>
      <c r="B1813" s="114">
        <v>909</v>
      </c>
      <c r="C1813" s="139" t="s">
        <v>2309</v>
      </c>
      <c r="D1813" s="114" t="s">
        <v>2090</v>
      </c>
      <c r="E1813" s="114">
        <v>108</v>
      </c>
      <c r="F1813" s="114">
        <v>367</v>
      </c>
      <c r="G1813" s="114">
        <v>1</v>
      </c>
      <c r="H1813" s="114">
        <v>1500</v>
      </c>
      <c r="I1813" s="114">
        <v>1500</v>
      </c>
      <c r="J1813" s="114">
        <v>1261</v>
      </c>
      <c r="K1813" s="114">
        <v>239</v>
      </c>
      <c r="L1813" s="114" t="str">
        <f t="shared" si="28"/>
        <v>INSERT INTO DETALLES_DOCUMENTO(NRO_DOCUMENTO,ID_TIPO,ID_PRODUCTO,CANTIDAD,PRECIO,VALOR_BRUTO,VALOR_NETO,VALOR_IVA) VALUES(909,1,367,1,1500,1500,1261,239);</v>
      </c>
    </row>
    <row r="1814" spans="1:12">
      <c r="A1814" s="114">
        <v>1</v>
      </c>
      <c r="B1814" s="114">
        <v>909</v>
      </c>
      <c r="C1814" s="139" t="s">
        <v>2309</v>
      </c>
      <c r="D1814" s="114" t="s">
        <v>2090</v>
      </c>
      <c r="E1814" s="114">
        <v>108</v>
      </c>
      <c r="F1814" s="114">
        <v>368</v>
      </c>
      <c r="G1814" s="114">
        <v>1</v>
      </c>
      <c r="H1814" s="114">
        <v>3000</v>
      </c>
      <c r="I1814" s="114">
        <v>3000</v>
      </c>
      <c r="J1814" s="114">
        <v>2521</v>
      </c>
      <c r="K1814" s="114">
        <v>479</v>
      </c>
      <c r="L1814" s="114" t="str">
        <f t="shared" si="28"/>
        <v>INSERT INTO DETALLES_DOCUMENTO(NRO_DOCUMENTO,ID_TIPO,ID_PRODUCTO,CANTIDAD,PRECIO,VALOR_BRUTO,VALOR_NETO,VALOR_IVA) VALUES(909,1,368,1,3000,3000,2521,479);</v>
      </c>
    </row>
    <row r="1815" spans="1:12">
      <c r="A1815" s="114">
        <v>1</v>
      </c>
      <c r="B1815" s="114">
        <v>909</v>
      </c>
      <c r="C1815" s="139" t="s">
        <v>2309</v>
      </c>
      <c r="D1815" s="114" t="s">
        <v>2090</v>
      </c>
      <c r="E1815" s="114">
        <v>108</v>
      </c>
      <c r="F1815" s="114">
        <v>191</v>
      </c>
      <c r="G1815" s="114">
        <v>2</v>
      </c>
      <c r="H1815" s="114">
        <v>2500</v>
      </c>
      <c r="I1815" s="114">
        <v>5000</v>
      </c>
      <c r="J1815" s="114">
        <v>4202</v>
      </c>
      <c r="K1815" s="114">
        <v>798</v>
      </c>
      <c r="L1815" s="114" t="str">
        <f t="shared" si="28"/>
        <v>INSERT INTO DETALLES_DOCUMENTO(NRO_DOCUMENTO,ID_TIPO,ID_PRODUCTO,CANTIDAD,PRECIO,VALOR_BRUTO,VALOR_NETO,VALOR_IVA) VALUES(909,1,191,2,2500,5000,4202,798);</v>
      </c>
    </row>
    <row r="1816" spans="1:12">
      <c r="A1816" s="114">
        <v>1</v>
      </c>
      <c r="B1816" s="114">
        <v>909</v>
      </c>
      <c r="C1816" s="139" t="s">
        <v>2309</v>
      </c>
      <c r="D1816" s="114" t="s">
        <v>2090</v>
      </c>
      <c r="E1816" s="114">
        <v>108</v>
      </c>
      <c r="F1816" s="114">
        <v>97</v>
      </c>
      <c r="G1816" s="114">
        <v>1</v>
      </c>
      <c r="H1816" s="114">
        <v>2000</v>
      </c>
      <c r="I1816" s="114">
        <v>2000</v>
      </c>
      <c r="J1816" s="114">
        <v>1681</v>
      </c>
      <c r="K1816" s="114">
        <v>319</v>
      </c>
      <c r="L1816" s="114" t="str">
        <f t="shared" si="28"/>
        <v>INSERT INTO DETALLES_DOCUMENTO(NRO_DOCUMENTO,ID_TIPO,ID_PRODUCTO,CANTIDAD,PRECIO,VALOR_BRUTO,VALOR_NETO,VALOR_IVA) VALUES(909,1,97,1,2000,2000,1681,319);</v>
      </c>
    </row>
    <row r="1817" spans="1:12">
      <c r="A1817" s="114">
        <v>1</v>
      </c>
      <c r="B1817" s="114">
        <v>910</v>
      </c>
      <c r="C1817" s="139" t="s">
        <v>2309</v>
      </c>
      <c r="D1817" s="114" t="s">
        <v>2090</v>
      </c>
      <c r="E1817" s="114">
        <v>161</v>
      </c>
      <c r="F1817" s="114">
        <v>329</v>
      </c>
      <c r="G1817" s="114">
        <v>1</v>
      </c>
      <c r="H1817" s="114">
        <v>6000</v>
      </c>
      <c r="I1817" s="114">
        <v>6000</v>
      </c>
      <c r="J1817" s="114">
        <v>5042</v>
      </c>
      <c r="K1817" s="114">
        <v>958</v>
      </c>
      <c r="L1817" s="114" t="str">
        <f t="shared" si="28"/>
        <v>INSERT INTO DETALLES_DOCUMENTO(NRO_DOCUMENTO,ID_TIPO,ID_PRODUCTO,CANTIDAD,PRECIO,VALOR_BRUTO,VALOR_NETO,VALOR_IVA) VALUES(910,1,329,1,6000,6000,5042,958);</v>
      </c>
    </row>
    <row r="1818" spans="1:12">
      <c r="A1818" s="114">
        <v>1</v>
      </c>
      <c r="B1818" s="114">
        <v>911</v>
      </c>
      <c r="C1818" s="139" t="s">
        <v>2309</v>
      </c>
      <c r="D1818" s="114" t="s">
        <v>2090</v>
      </c>
      <c r="E1818" s="114">
        <v>166</v>
      </c>
      <c r="F1818" s="114">
        <v>329</v>
      </c>
      <c r="G1818" s="114">
        <v>1</v>
      </c>
      <c r="H1818" s="114">
        <v>6000</v>
      </c>
      <c r="I1818" s="114">
        <v>6000</v>
      </c>
      <c r="J1818" s="114">
        <v>5042</v>
      </c>
      <c r="K1818" s="114">
        <v>958</v>
      </c>
      <c r="L1818" s="114" t="str">
        <f t="shared" si="28"/>
        <v>INSERT INTO DETALLES_DOCUMENTO(NRO_DOCUMENTO,ID_TIPO,ID_PRODUCTO,CANTIDAD,PRECIO,VALOR_BRUTO,VALOR_NETO,VALOR_IVA) VALUES(911,1,329,1,6000,6000,5042,958);</v>
      </c>
    </row>
    <row r="1819" spans="1:12">
      <c r="A1819" s="114">
        <v>1</v>
      </c>
      <c r="B1819" s="114">
        <v>912</v>
      </c>
      <c r="C1819" s="139" t="s">
        <v>2309</v>
      </c>
      <c r="D1819" s="114" t="s">
        <v>2090</v>
      </c>
      <c r="E1819" s="114">
        <v>200</v>
      </c>
      <c r="F1819" s="114">
        <v>324</v>
      </c>
      <c r="G1819" s="114">
        <v>2</v>
      </c>
      <c r="H1819" s="114">
        <v>22000</v>
      </c>
      <c r="I1819" s="114">
        <v>44000</v>
      </c>
      <c r="J1819" s="114">
        <v>36975</v>
      </c>
      <c r="K1819" s="114">
        <v>7025</v>
      </c>
      <c r="L1819" s="114" t="str">
        <f t="shared" si="28"/>
        <v>INSERT INTO DETALLES_DOCUMENTO(NRO_DOCUMENTO,ID_TIPO,ID_PRODUCTO,CANTIDAD,PRECIO,VALOR_BRUTO,VALOR_NETO,VALOR_IVA) VALUES(912,1,324,2,22000,44000,36975,7025);</v>
      </c>
    </row>
    <row r="1820" spans="1:12">
      <c r="A1820" s="114">
        <v>1</v>
      </c>
      <c r="B1820" s="114">
        <v>913</v>
      </c>
      <c r="C1820" s="139" t="s">
        <v>2309</v>
      </c>
      <c r="D1820" s="114" t="s">
        <v>2090</v>
      </c>
      <c r="E1820" s="114">
        <v>411</v>
      </c>
      <c r="F1820" s="114">
        <v>261</v>
      </c>
      <c r="G1820" s="114">
        <v>1</v>
      </c>
      <c r="H1820" s="114">
        <v>7000</v>
      </c>
      <c r="I1820" s="114">
        <v>7000</v>
      </c>
      <c r="J1820" s="114">
        <v>5882</v>
      </c>
      <c r="K1820" s="114">
        <v>1118</v>
      </c>
      <c r="L1820" s="114" t="str">
        <f t="shared" si="28"/>
        <v>INSERT INTO DETALLES_DOCUMENTO(NRO_DOCUMENTO,ID_TIPO,ID_PRODUCTO,CANTIDAD,PRECIO,VALOR_BRUTO,VALOR_NETO,VALOR_IVA) VALUES(913,1,261,1,7000,7000,5882,1118);</v>
      </c>
    </row>
    <row r="1821" spans="1:12">
      <c r="A1821" s="114">
        <v>1</v>
      </c>
      <c r="B1821" s="114">
        <v>913</v>
      </c>
      <c r="C1821" s="139" t="s">
        <v>2309</v>
      </c>
      <c r="D1821" s="114" t="s">
        <v>2090</v>
      </c>
      <c r="E1821" s="114">
        <v>411</v>
      </c>
      <c r="F1821" s="114">
        <v>329</v>
      </c>
      <c r="G1821" s="114">
        <v>1</v>
      </c>
      <c r="H1821" s="114">
        <v>6000</v>
      </c>
      <c r="I1821" s="114">
        <v>6000</v>
      </c>
      <c r="J1821" s="114">
        <v>5042</v>
      </c>
      <c r="K1821" s="114">
        <v>958</v>
      </c>
      <c r="L1821" s="114" t="str">
        <f t="shared" si="28"/>
        <v>INSERT INTO DETALLES_DOCUMENTO(NRO_DOCUMENTO,ID_TIPO,ID_PRODUCTO,CANTIDAD,PRECIO,VALOR_BRUTO,VALOR_NETO,VALOR_IVA) VALUES(913,1,329,1,6000,6000,5042,958);</v>
      </c>
    </row>
    <row r="1822" spans="1:12">
      <c r="A1822" s="114">
        <v>1</v>
      </c>
      <c r="B1822" s="114">
        <v>914</v>
      </c>
      <c r="C1822" s="139" t="s">
        <v>2310</v>
      </c>
      <c r="D1822" s="114" t="s">
        <v>2090</v>
      </c>
      <c r="E1822" s="114">
        <v>48</v>
      </c>
      <c r="F1822" s="114">
        <v>143</v>
      </c>
      <c r="G1822" s="114">
        <v>1</v>
      </c>
      <c r="H1822" s="114">
        <v>8200</v>
      </c>
      <c r="I1822" s="114">
        <v>8200</v>
      </c>
      <c r="J1822" s="114">
        <v>6891</v>
      </c>
      <c r="K1822" s="114">
        <v>1309</v>
      </c>
      <c r="L1822" s="114" t="str">
        <f t="shared" si="28"/>
        <v>INSERT INTO DETALLES_DOCUMENTO(NRO_DOCUMENTO,ID_TIPO,ID_PRODUCTO,CANTIDAD,PRECIO,VALOR_BRUTO,VALOR_NETO,VALOR_IVA) VALUES(914,1,143,1,8200,8200,6891,1309);</v>
      </c>
    </row>
    <row r="1823" spans="1:12">
      <c r="A1823" s="114">
        <v>1</v>
      </c>
      <c r="B1823" s="114">
        <v>915</v>
      </c>
      <c r="C1823" s="139" t="s">
        <v>2310</v>
      </c>
      <c r="D1823" s="114" t="s">
        <v>2090</v>
      </c>
      <c r="E1823" s="114">
        <v>63</v>
      </c>
      <c r="F1823" s="114">
        <v>143</v>
      </c>
      <c r="G1823" s="114">
        <v>1</v>
      </c>
      <c r="H1823" s="114">
        <v>8200</v>
      </c>
      <c r="I1823" s="114">
        <v>8200</v>
      </c>
      <c r="J1823" s="114">
        <v>6891</v>
      </c>
      <c r="K1823" s="114">
        <v>1309</v>
      </c>
      <c r="L1823" s="114" t="str">
        <f t="shared" si="28"/>
        <v>INSERT INTO DETALLES_DOCUMENTO(NRO_DOCUMENTO,ID_TIPO,ID_PRODUCTO,CANTIDAD,PRECIO,VALOR_BRUTO,VALOR_NETO,VALOR_IVA) VALUES(915,1,143,1,8200,8200,6891,1309);</v>
      </c>
    </row>
    <row r="1824" spans="1:12">
      <c r="A1824" s="114">
        <v>1</v>
      </c>
      <c r="B1824" s="114">
        <v>916</v>
      </c>
      <c r="C1824" s="139" t="s">
        <v>2310</v>
      </c>
      <c r="D1824" s="114" t="s">
        <v>2090</v>
      </c>
      <c r="E1824" s="114">
        <v>161</v>
      </c>
      <c r="F1824" s="114">
        <v>143</v>
      </c>
      <c r="G1824" s="114">
        <v>1</v>
      </c>
      <c r="H1824" s="114">
        <v>8200</v>
      </c>
      <c r="I1824" s="114">
        <v>8200</v>
      </c>
      <c r="J1824" s="114">
        <v>6891</v>
      </c>
      <c r="K1824" s="114">
        <v>1309</v>
      </c>
      <c r="L1824" s="114" t="str">
        <f t="shared" si="28"/>
        <v>INSERT INTO DETALLES_DOCUMENTO(NRO_DOCUMENTO,ID_TIPO,ID_PRODUCTO,CANTIDAD,PRECIO,VALOR_BRUTO,VALOR_NETO,VALOR_IVA) VALUES(916,1,143,1,8200,8200,6891,1309);</v>
      </c>
    </row>
    <row r="1825" spans="1:12">
      <c r="A1825" s="114">
        <v>1</v>
      </c>
      <c r="B1825" s="114">
        <v>917</v>
      </c>
      <c r="C1825" s="139" t="s">
        <v>2310</v>
      </c>
      <c r="D1825" s="114" t="s">
        <v>2090</v>
      </c>
      <c r="E1825" s="114">
        <v>164</v>
      </c>
      <c r="F1825" s="114">
        <v>143</v>
      </c>
      <c r="G1825" s="114">
        <v>1</v>
      </c>
      <c r="H1825" s="114">
        <v>8200</v>
      </c>
      <c r="I1825" s="114">
        <v>8200</v>
      </c>
      <c r="J1825" s="114">
        <v>6891</v>
      </c>
      <c r="K1825" s="114">
        <v>1309</v>
      </c>
      <c r="L1825" s="114" t="str">
        <f t="shared" si="28"/>
        <v>INSERT INTO DETALLES_DOCUMENTO(NRO_DOCUMENTO,ID_TIPO,ID_PRODUCTO,CANTIDAD,PRECIO,VALOR_BRUTO,VALOR_NETO,VALOR_IVA) VALUES(917,1,143,1,8200,8200,6891,1309);</v>
      </c>
    </row>
    <row r="1826" spans="1:12">
      <c r="A1826" s="114">
        <v>1</v>
      </c>
      <c r="B1826" s="114">
        <v>918</v>
      </c>
      <c r="C1826" s="139" t="s">
        <v>2310</v>
      </c>
      <c r="D1826" s="114" t="s">
        <v>2090</v>
      </c>
      <c r="E1826" s="114">
        <v>166</v>
      </c>
      <c r="F1826" s="114">
        <v>330</v>
      </c>
      <c r="G1826" s="114">
        <v>1</v>
      </c>
      <c r="H1826" s="114">
        <v>4800</v>
      </c>
      <c r="I1826" s="114">
        <v>4800</v>
      </c>
      <c r="J1826" s="114">
        <v>4034</v>
      </c>
      <c r="K1826" s="114">
        <v>766</v>
      </c>
      <c r="L1826" s="114" t="str">
        <f t="shared" si="28"/>
        <v>INSERT INTO DETALLES_DOCUMENTO(NRO_DOCUMENTO,ID_TIPO,ID_PRODUCTO,CANTIDAD,PRECIO,VALOR_BRUTO,VALOR_NETO,VALOR_IVA) VALUES(918,1,330,1,4800,4800,4034,766);</v>
      </c>
    </row>
    <row r="1827" spans="1:12">
      <c r="A1827" s="114">
        <v>1</v>
      </c>
      <c r="B1827" s="114">
        <v>918</v>
      </c>
      <c r="C1827" s="139" t="s">
        <v>2310</v>
      </c>
      <c r="D1827" s="114" t="s">
        <v>2090</v>
      </c>
      <c r="E1827" s="114">
        <v>166</v>
      </c>
      <c r="F1827" s="114">
        <v>117</v>
      </c>
      <c r="G1827" s="114">
        <v>1</v>
      </c>
      <c r="H1827" s="114">
        <v>3500</v>
      </c>
      <c r="I1827" s="114">
        <v>3500</v>
      </c>
      <c r="J1827" s="114">
        <v>2941</v>
      </c>
      <c r="K1827" s="114">
        <v>559</v>
      </c>
      <c r="L1827" s="114" t="str">
        <f t="shared" si="28"/>
        <v>INSERT INTO DETALLES_DOCUMENTO(NRO_DOCUMENTO,ID_TIPO,ID_PRODUCTO,CANTIDAD,PRECIO,VALOR_BRUTO,VALOR_NETO,VALOR_IVA) VALUES(918,1,117,1,3500,3500,2941,559);</v>
      </c>
    </row>
    <row r="1828" spans="1:12">
      <c r="A1828" s="114">
        <v>1</v>
      </c>
      <c r="B1828" s="114">
        <v>919</v>
      </c>
      <c r="C1828" s="139" t="s">
        <v>2310</v>
      </c>
      <c r="D1828" s="114" t="s">
        <v>2090</v>
      </c>
      <c r="E1828" s="114">
        <v>179</v>
      </c>
      <c r="F1828" s="114">
        <v>324</v>
      </c>
      <c r="G1828" s="114">
        <v>1</v>
      </c>
      <c r="H1828" s="114">
        <v>11000</v>
      </c>
      <c r="I1828" s="114">
        <v>11000</v>
      </c>
      <c r="J1828" s="114">
        <v>9244</v>
      </c>
      <c r="K1828" s="114">
        <v>1756</v>
      </c>
      <c r="L1828" s="114" t="str">
        <f t="shared" si="28"/>
        <v>INSERT INTO DETALLES_DOCUMENTO(NRO_DOCUMENTO,ID_TIPO,ID_PRODUCTO,CANTIDAD,PRECIO,VALOR_BRUTO,VALOR_NETO,VALOR_IVA) VALUES(919,1,324,1,11000,11000,9244,1756);</v>
      </c>
    </row>
    <row r="1829" spans="1:12">
      <c r="A1829" s="114">
        <v>1</v>
      </c>
      <c r="B1829" s="114">
        <v>919</v>
      </c>
      <c r="C1829" s="139" t="s">
        <v>2310</v>
      </c>
      <c r="D1829" s="114" t="s">
        <v>2090</v>
      </c>
      <c r="E1829" s="114">
        <v>179</v>
      </c>
      <c r="F1829" s="114">
        <v>261</v>
      </c>
      <c r="G1829" s="114">
        <v>1</v>
      </c>
      <c r="H1829" s="114">
        <v>7000</v>
      </c>
      <c r="I1829" s="114">
        <v>7000</v>
      </c>
      <c r="J1829" s="114">
        <v>5882</v>
      </c>
      <c r="K1829" s="114">
        <v>1118</v>
      </c>
      <c r="L1829" s="114" t="str">
        <f t="shared" si="28"/>
        <v>INSERT INTO DETALLES_DOCUMENTO(NRO_DOCUMENTO,ID_TIPO,ID_PRODUCTO,CANTIDAD,PRECIO,VALOR_BRUTO,VALOR_NETO,VALOR_IVA) VALUES(919,1,261,1,7000,7000,5882,1118);</v>
      </c>
    </row>
    <row r="1830" spans="1:12">
      <c r="A1830" s="114">
        <v>1</v>
      </c>
      <c r="B1830" s="114">
        <v>919</v>
      </c>
      <c r="C1830" s="139" t="s">
        <v>2310</v>
      </c>
      <c r="D1830" s="114" t="s">
        <v>2090</v>
      </c>
      <c r="E1830" s="114">
        <v>179</v>
      </c>
      <c r="F1830" s="114">
        <v>6</v>
      </c>
      <c r="G1830" s="114">
        <v>1</v>
      </c>
      <c r="H1830" s="114">
        <v>9400</v>
      </c>
      <c r="I1830" s="114">
        <v>9400</v>
      </c>
      <c r="J1830" s="114">
        <v>7899</v>
      </c>
      <c r="K1830" s="114">
        <v>1501</v>
      </c>
      <c r="L1830" s="114" t="str">
        <f t="shared" si="28"/>
        <v>INSERT INTO DETALLES_DOCUMENTO(NRO_DOCUMENTO,ID_TIPO,ID_PRODUCTO,CANTIDAD,PRECIO,VALOR_BRUTO,VALOR_NETO,VALOR_IVA) VALUES(919,1,6,1,9400,9400,7899,1501);</v>
      </c>
    </row>
    <row r="1831" spans="1:12">
      <c r="A1831" s="114">
        <v>1</v>
      </c>
      <c r="B1831" s="114">
        <v>920</v>
      </c>
      <c r="C1831" s="139" t="s">
        <v>2310</v>
      </c>
      <c r="D1831" s="114" t="s">
        <v>2090</v>
      </c>
      <c r="E1831" s="114">
        <v>204</v>
      </c>
      <c r="F1831" s="114">
        <v>329</v>
      </c>
      <c r="G1831" s="114">
        <v>1</v>
      </c>
      <c r="H1831" s="114">
        <v>6000</v>
      </c>
      <c r="I1831" s="114">
        <v>6000</v>
      </c>
      <c r="J1831" s="114">
        <v>5042</v>
      </c>
      <c r="K1831" s="114">
        <v>958</v>
      </c>
      <c r="L1831" s="114" t="str">
        <f t="shared" si="28"/>
        <v>INSERT INTO DETALLES_DOCUMENTO(NRO_DOCUMENTO,ID_TIPO,ID_PRODUCTO,CANTIDAD,PRECIO,VALOR_BRUTO,VALOR_NETO,VALOR_IVA) VALUES(920,1,329,1,6000,6000,5042,958);</v>
      </c>
    </row>
    <row r="1832" spans="1:12">
      <c r="A1832" s="114">
        <v>1</v>
      </c>
      <c r="B1832" s="114">
        <v>920</v>
      </c>
      <c r="C1832" s="139" t="s">
        <v>2310</v>
      </c>
      <c r="D1832" s="114" t="s">
        <v>2090</v>
      </c>
      <c r="E1832" s="114">
        <v>204</v>
      </c>
      <c r="F1832" s="114">
        <v>120</v>
      </c>
      <c r="G1832" s="114">
        <v>1</v>
      </c>
      <c r="H1832" s="114">
        <v>1700</v>
      </c>
      <c r="I1832" s="114">
        <v>1700</v>
      </c>
      <c r="J1832" s="114">
        <v>1429</v>
      </c>
      <c r="K1832" s="114">
        <v>271</v>
      </c>
      <c r="L1832" s="114" t="str">
        <f t="shared" si="28"/>
        <v>INSERT INTO DETALLES_DOCUMENTO(NRO_DOCUMENTO,ID_TIPO,ID_PRODUCTO,CANTIDAD,PRECIO,VALOR_BRUTO,VALOR_NETO,VALOR_IVA) VALUES(920,1,120,1,1700,1700,1429,271);</v>
      </c>
    </row>
    <row r="1833" spans="1:12">
      <c r="A1833" s="114">
        <v>1</v>
      </c>
      <c r="B1833" s="114">
        <v>920</v>
      </c>
      <c r="C1833" s="139" t="s">
        <v>2310</v>
      </c>
      <c r="D1833" s="114" t="s">
        <v>2090</v>
      </c>
      <c r="E1833" s="114">
        <v>204</v>
      </c>
      <c r="F1833" s="114">
        <v>99</v>
      </c>
      <c r="G1833" s="114">
        <v>1</v>
      </c>
      <c r="H1833" s="114">
        <v>1700</v>
      </c>
      <c r="I1833" s="114">
        <v>1700</v>
      </c>
      <c r="J1833" s="114">
        <v>1429</v>
      </c>
      <c r="K1833" s="114">
        <v>271</v>
      </c>
      <c r="L1833" s="114" t="str">
        <f t="shared" si="28"/>
        <v>INSERT INTO DETALLES_DOCUMENTO(NRO_DOCUMENTO,ID_TIPO,ID_PRODUCTO,CANTIDAD,PRECIO,VALOR_BRUTO,VALOR_NETO,VALOR_IVA) VALUES(920,1,99,1,1700,1700,1429,271);</v>
      </c>
    </row>
    <row r="1834" spans="1:12">
      <c r="A1834" s="114">
        <v>1</v>
      </c>
      <c r="B1834" s="114">
        <v>920</v>
      </c>
      <c r="C1834" s="139" t="s">
        <v>2310</v>
      </c>
      <c r="D1834" s="114" t="s">
        <v>2090</v>
      </c>
      <c r="E1834" s="114">
        <v>204</v>
      </c>
      <c r="F1834" s="114">
        <v>171</v>
      </c>
      <c r="G1834" s="114">
        <v>1</v>
      </c>
      <c r="H1834" s="114">
        <v>3700</v>
      </c>
      <c r="I1834" s="114">
        <v>3700</v>
      </c>
      <c r="J1834" s="114">
        <v>3109</v>
      </c>
      <c r="K1834" s="114">
        <v>591</v>
      </c>
      <c r="L1834" s="114" t="str">
        <f t="shared" si="28"/>
        <v>INSERT INTO DETALLES_DOCUMENTO(NRO_DOCUMENTO,ID_TIPO,ID_PRODUCTO,CANTIDAD,PRECIO,VALOR_BRUTO,VALOR_NETO,VALOR_IVA) VALUES(920,1,171,1,3700,3700,3109,591);</v>
      </c>
    </row>
    <row r="1835" spans="1:12">
      <c r="A1835" s="114">
        <v>1</v>
      </c>
      <c r="B1835" s="114">
        <v>920</v>
      </c>
      <c r="C1835" s="139" t="s">
        <v>2310</v>
      </c>
      <c r="D1835" s="114" t="s">
        <v>2090</v>
      </c>
      <c r="E1835" s="114">
        <v>204</v>
      </c>
      <c r="F1835" s="114">
        <v>297</v>
      </c>
      <c r="G1835" s="114">
        <v>1</v>
      </c>
      <c r="H1835" s="114">
        <v>7000</v>
      </c>
      <c r="I1835" s="114">
        <v>7000</v>
      </c>
      <c r="J1835" s="114">
        <v>5882</v>
      </c>
      <c r="K1835" s="114">
        <v>1118</v>
      </c>
      <c r="L1835" s="114" t="str">
        <f t="shared" si="28"/>
        <v>INSERT INTO DETALLES_DOCUMENTO(NRO_DOCUMENTO,ID_TIPO,ID_PRODUCTO,CANTIDAD,PRECIO,VALOR_BRUTO,VALOR_NETO,VALOR_IVA) VALUES(920,1,297,1,7000,7000,5882,1118);</v>
      </c>
    </row>
    <row r="1836" spans="1:12">
      <c r="A1836" s="114">
        <v>1</v>
      </c>
      <c r="B1836" s="114">
        <v>921</v>
      </c>
      <c r="C1836" s="139" t="s">
        <v>2310</v>
      </c>
      <c r="D1836" s="114" t="s">
        <v>2090</v>
      </c>
      <c r="E1836" s="114">
        <v>239</v>
      </c>
      <c r="F1836" s="114">
        <v>261</v>
      </c>
      <c r="G1836" s="114">
        <v>1</v>
      </c>
      <c r="H1836" s="114">
        <v>7000</v>
      </c>
      <c r="I1836" s="114">
        <v>7000</v>
      </c>
      <c r="J1836" s="114">
        <v>5882</v>
      </c>
      <c r="K1836" s="114">
        <v>1118</v>
      </c>
      <c r="L1836" s="114" t="str">
        <f t="shared" si="28"/>
        <v>INSERT INTO DETALLES_DOCUMENTO(NRO_DOCUMENTO,ID_TIPO,ID_PRODUCTO,CANTIDAD,PRECIO,VALOR_BRUTO,VALOR_NETO,VALOR_IVA) VALUES(921,1,261,1,7000,7000,5882,1118);</v>
      </c>
    </row>
    <row r="1837" spans="1:12">
      <c r="A1837" s="114">
        <v>1</v>
      </c>
      <c r="B1837" s="114">
        <v>921</v>
      </c>
      <c r="C1837" s="139" t="s">
        <v>2310</v>
      </c>
      <c r="D1837" s="114" t="s">
        <v>2090</v>
      </c>
      <c r="E1837" s="114">
        <v>239</v>
      </c>
      <c r="F1837" s="114">
        <v>191</v>
      </c>
      <c r="G1837" s="114">
        <v>1</v>
      </c>
      <c r="H1837" s="114">
        <v>2500</v>
      </c>
      <c r="I1837" s="114">
        <v>2500</v>
      </c>
      <c r="J1837" s="114">
        <v>2101</v>
      </c>
      <c r="K1837" s="114">
        <v>399</v>
      </c>
      <c r="L1837" s="114" t="str">
        <f t="shared" si="28"/>
        <v>INSERT INTO DETALLES_DOCUMENTO(NRO_DOCUMENTO,ID_TIPO,ID_PRODUCTO,CANTIDAD,PRECIO,VALOR_BRUTO,VALOR_NETO,VALOR_IVA) VALUES(921,1,191,1,2500,2500,2101,399);</v>
      </c>
    </row>
    <row r="1838" spans="1:12">
      <c r="A1838" s="114">
        <v>1</v>
      </c>
      <c r="B1838" s="114">
        <v>922</v>
      </c>
      <c r="C1838" s="139" t="s">
        <v>2310</v>
      </c>
      <c r="D1838" s="114" t="s">
        <v>2090</v>
      </c>
      <c r="E1838" s="114">
        <v>278</v>
      </c>
      <c r="F1838" s="114">
        <v>143</v>
      </c>
      <c r="G1838" s="114">
        <v>1</v>
      </c>
      <c r="H1838" s="114">
        <v>8200</v>
      </c>
      <c r="I1838" s="114">
        <v>8200</v>
      </c>
      <c r="J1838" s="114">
        <v>6891</v>
      </c>
      <c r="K1838" s="114">
        <v>1309</v>
      </c>
      <c r="L1838" s="114" t="str">
        <f t="shared" si="28"/>
        <v>INSERT INTO DETALLES_DOCUMENTO(NRO_DOCUMENTO,ID_TIPO,ID_PRODUCTO,CANTIDAD,PRECIO,VALOR_BRUTO,VALOR_NETO,VALOR_IVA) VALUES(922,1,143,1,8200,8200,6891,1309);</v>
      </c>
    </row>
    <row r="1839" spans="1:12">
      <c r="A1839" s="114">
        <v>1</v>
      </c>
      <c r="B1839" s="114">
        <v>922</v>
      </c>
      <c r="C1839" s="139" t="s">
        <v>2310</v>
      </c>
      <c r="D1839" s="114" t="s">
        <v>2090</v>
      </c>
      <c r="E1839" s="114">
        <v>278</v>
      </c>
      <c r="F1839" s="114">
        <v>117</v>
      </c>
      <c r="G1839" s="114">
        <v>1</v>
      </c>
      <c r="H1839" s="114">
        <v>3500</v>
      </c>
      <c r="I1839" s="114">
        <v>3500</v>
      </c>
      <c r="J1839" s="114">
        <v>2941</v>
      </c>
      <c r="K1839" s="114">
        <v>559</v>
      </c>
      <c r="L1839" s="114" t="str">
        <f t="shared" si="28"/>
        <v>INSERT INTO DETALLES_DOCUMENTO(NRO_DOCUMENTO,ID_TIPO,ID_PRODUCTO,CANTIDAD,PRECIO,VALOR_BRUTO,VALOR_NETO,VALOR_IVA) VALUES(922,1,117,1,3500,3500,2941,559);</v>
      </c>
    </row>
    <row r="1840" spans="1:12">
      <c r="A1840" s="114">
        <v>1</v>
      </c>
      <c r="B1840" s="114">
        <v>922</v>
      </c>
      <c r="C1840" s="139" t="s">
        <v>2310</v>
      </c>
      <c r="D1840" s="114" t="s">
        <v>2090</v>
      </c>
      <c r="E1840" s="114">
        <v>278</v>
      </c>
      <c r="F1840" s="114">
        <v>324</v>
      </c>
      <c r="G1840" s="114">
        <v>2</v>
      </c>
      <c r="H1840" s="114">
        <v>22000</v>
      </c>
      <c r="I1840" s="114">
        <v>44000</v>
      </c>
      <c r="J1840" s="114">
        <v>36975</v>
      </c>
      <c r="K1840" s="114">
        <v>7025</v>
      </c>
      <c r="L1840" s="114" t="str">
        <f t="shared" si="28"/>
        <v>INSERT INTO DETALLES_DOCUMENTO(NRO_DOCUMENTO,ID_TIPO,ID_PRODUCTO,CANTIDAD,PRECIO,VALOR_BRUTO,VALOR_NETO,VALOR_IVA) VALUES(922,1,324,2,22000,44000,36975,7025);</v>
      </c>
    </row>
    <row r="1841" spans="1:12">
      <c r="A1841" s="114">
        <v>1</v>
      </c>
      <c r="B1841" s="114">
        <v>922</v>
      </c>
      <c r="C1841" s="139" t="s">
        <v>2310</v>
      </c>
      <c r="D1841" s="114" t="s">
        <v>2090</v>
      </c>
      <c r="E1841" s="114">
        <v>278</v>
      </c>
      <c r="F1841" s="114">
        <v>120</v>
      </c>
      <c r="G1841" s="114">
        <v>1</v>
      </c>
      <c r="H1841" s="114">
        <v>1700</v>
      </c>
      <c r="I1841" s="114">
        <v>1700</v>
      </c>
      <c r="J1841" s="114">
        <v>1429</v>
      </c>
      <c r="K1841" s="114">
        <v>271</v>
      </c>
      <c r="L1841" s="114" t="str">
        <f t="shared" si="28"/>
        <v>INSERT INTO DETALLES_DOCUMENTO(NRO_DOCUMENTO,ID_TIPO,ID_PRODUCTO,CANTIDAD,PRECIO,VALOR_BRUTO,VALOR_NETO,VALOR_IVA) VALUES(922,1,120,1,1700,1700,1429,271);</v>
      </c>
    </row>
    <row r="1842" spans="1:12">
      <c r="A1842" s="114">
        <v>1</v>
      </c>
      <c r="B1842" s="114">
        <v>922</v>
      </c>
      <c r="C1842" s="139" t="s">
        <v>2310</v>
      </c>
      <c r="D1842" s="114" t="s">
        <v>2090</v>
      </c>
      <c r="E1842" s="114">
        <v>278</v>
      </c>
      <c r="F1842" s="114">
        <v>125</v>
      </c>
      <c r="G1842" s="114">
        <v>1</v>
      </c>
      <c r="H1842" s="114">
        <v>1700</v>
      </c>
      <c r="I1842" s="114">
        <v>1700</v>
      </c>
      <c r="J1842" s="114">
        <v>1429</v>
      </c>
      <c r="K1842" s="114">
        <v>271</v>
      </c>
      <c r="L1842" s="114" t="str">
        <f t="shared" si="28"/>
        <v>INSERT INTO DETALLES_DOCUMENTO(NRO_DOCUMENTO,ID_TIPO,ID_PRODUCTO,CANTIDAD,PRECIO,VALOR_BRUTO,VALOR_NETO,VALOR_IVA) VALUES(922,1,125,1,1700,1700,1429,271);</v>
      </c>
    </row>
    <row r="1843" spans="1:12">
      <c r="A1843" s="114">
        <v>1</v>
      </c>
      <c r="B1843" s="114">
        <v>922</v>
      </c>
      <c r="C1843" s="139" t="s">
        <v>2310</v>
      </c>
      <c r="D1843" s="114" t="s">
        <v>2090</v>
      </c>
      <c r="E1843" s="114">
        <v>278</v>
      </c>
      <c r="F1843" s="114">
        <v>191</v>
      </c>
      <c r="G1843" s="114">
        <v>1</v>
      </c>
      <c r="H1843" s="114">
        <v>2500</v>
      </c>
      <c r="I1843" s="114">
        <v>2500</v>
      </c>
      <c r="J1843" s="114">
        <v>2101</v>
      </c>
      <c r="K1843" s="114">
        <v>399</v>
      </c>
      <c r="L1843" s="114" t="str">
        <f t="shared" si="28"/>
        <v>INSERT INTO DETALLES_DOCUMENTO(NRO_DOCUMENTO,ID_TIPO,ID_PRODUCTO,CANTIDAD,PRECIO,VALOR_BRUTO,VALOR_NETO,VALOR_IVA) VALUES(922,1,191,1,2500,2500,2101,399);</v>
      </c>
    </row>
    <row r="1844" spans="1:12">
      <c r="A1844" s="114">
        <v>1</v>
      </c>
      <c r="B1844" s="114">
        <v>923</v>
      </c>
      <c r="C1844" s="139" t="s">
        <v>2310</v>
      </c>
      <c r="D1844" s="114" t="s">
        <v>2090</v>
      </c>
      <c r="E1844" s="114">
        <v>347</v>
      </c>
      <c r="F1844" s="114">
        <v>143</v>
      </c>
      <c r="G1844" s="114">
        <v>1</v>
      </c>
      <c r="H1844" s="114">
        <v>8200</v>
      </c>
      <c r="I1844" s="114">
        <v>8200</v>
      </c>
      <c r="J1844" s="114">
        <v>6891</v>
      </c>
      <c r="K1844" s="114">
        <v>1309</v>
      </c>
      <c r="L1844" s="114" t="str">
        <f t="shared" si="28"/>
        <v>INSERT INTO DETALLES_DOCUMENTO(NRO_DOCUMENTO,ID_TIPO,ID_PRODUCTO,CANTIDAD,PRECIO,VALOR_BRUTO,VALOR_NETO,VALOR_IVA) VALUES(923,1,143,1,8200,8200,6891,1309);</v>
      </c>
    </row>
    <row r="1845" spans="1:12">
      <c r="A1845" s="114">
        <v>1</v>
      </c>
      <c r="B1845" s="114">
        <v>923</v>
      </c>
      <c r="C1845" s="139" t="s">
        <v>2310</v>
      </c>
      <c r="D1845" s="114" t="s">
        <v>2090</v>
      </c>
      <c r="E1845" s="114">
        <v>347</v>
      </c>
      <c r="F1845" s="114">
        <v>324</v>
      </c>
      <c r="G1845" s="114">
        <v>1</v>
      </c>
      <c r="H1845" s="114">
        <v>11000</v>
      </c>
      <c r="I1845" s="114">
        <v>11000</v>
      </c>
      <c r="J1845" s="114">
        <v>9244</v>
      </c>
      <c r="K1845" s="114">
        <v>1756</v>
      </c>
      <c r="L1845" s="114" t="str">
        <f t="shared" si="28"/>
        <v>INSERT INTO DETALLES_DOCUMENTO(NRO_DOCUMENTO,ID_TIPO,ID_PRODUCTO,CANTIDAD,PRECIO,VALOR_BRUTO,VALOR_NETO,VALOR_IVA) VALUES(923,1,324,1,11000,11000,9244,1756);</v>
      </c>
    </row>
    <row r="1846" spans="1:12">
      <c r="A1846" s="114">
        <v>1</v>
      </c>
      <c r="B1846" s="114">
        <v>923</v>
      </c>
      <c r="C1846" s="139" t="s">
        <v>2310</v>
      </c>
      <c r="D1846" s="114" t="s">
        <v>2090</v>
      </c>
      <c r="E1846" s="114">
        <v>347</v>
      </c>
      <c r="F1846" s="114">
        <v>261</v>
      </c>
      <c r="G1846" s="114">
        <v>1</v>
      </c>
      <c r="H1846" s="114">
        <v>7000</v>
      </c>
      <c r="I1846" s="114">
        <v>7000</v>
      </c>
      <c r="J1846" s="114">
        <v>5882</v>
      </c>
      <c r="K1846" s="114">
        <v>1118</v>
      </c>
      <c r="L1846" s="114" t="str">
        <f t="shared" si="28"/>
        <v>INSERT INTO DETALLES_DOCUMENTO(NRO_DOCUMENTO,ID_TIPO,ID_PRODUCTO,CANTIDAD,PRECIO,VALOR_BRUTO,VALOR_NETO,VALOR_IVA) VALUES(923,1,261,1,7000,7000,5882,1118);</v>
      </c>
    </row>
    <row r="1847" spans="1:12">
      <c r="A1847" s="114">
        <v>1</v>
      </c>
      <c r="B1847" s="114">
        <v>924</v>
      </c>
      <c r="C1847" s="139" t="s">
        <v>2311</v>
      </c>
      <c r="D1847" s="114" t="s">
        <v>2090</v>
      </c>
      <c r="E1847" s="114">
        <v>22</v>
      </c>
      <c r="F1847" s="114">
        <v>297</v>
      </c>
      <c r="G1847" s="114">
        <v>1</v>
      </c>
      <c r="H1847" s="114">
        <v>7000</v>
      </c>
      <c r="I1847" s="114">
        <v>7000</v>
      </c>
      <c r="J1847" s="114">
        <v>5882</v>
      </c>
      <c r="K1847" s="114">
        <v>1118</v>
      </c>
      <c r="L1847" s="114" t="str">
        <f t="shared" si="28"/>
        <v>INSERT INTO DETALLES_DOCUMENTO(NRO_DOCUMENTO,ID_TIPO,ID_PRODUCTO,CANTIDAD,PRECIO,VALOR_BRUTO,VALOR_NETO,VALOR_IVA) VALUES(924,1,297,1,7000,7000,5882,1118);</v>
      </c>
    </row>
    <row r="1848" spans="1:12">
      <c r="A1848" s="114">
        <v>1</v>
      </c>
      <c r="B1848" s="114">
        <v>924</v>
      </c>
      <c r="C1848" s="139" t="s">
        <v>2311</v>
      </c>
      <c r="D1848" s="114" t="s">
        <v>2090</v>
      </c>
      <c r="E1848" s="114">
        <v>22</v>
      </c>
      <c r="F1848" s="114">
        <v>165</v>
      </c>
      <c r="G1848" s="114">
        <v>1</v>
      </c>
      <c r="H1848" s="114">
        <v>2000</v>
      </c>
      <c r="I1848" s="114">
        <v>2000</v>
      </c>
      <c r="J1848" s="114">
        <v>1681</v>
      </c>
      <c r="K1848" s="114">
        <v>319</v>
      </c>
      <c r="L1848" s="114" t="str">
        <f t="shared" si="28"/>
        <v>INSERT INTO DETALLES_DOCUMENTO(NRO_DOCUMENTO,ID_TIPO,ID_PRODUCTO,CANTIDAD,PRECIO,VALOR_BRUTO,VALOR_NETO,VALOR_IVA) VALUES(924,1,165,1,2000,2000,1681,319);</v>
      </c>
    </row>
    <row r="1849" spans="1:12">
      <c r="A1849" s="114">
        <v>1</v>
      </c>
      <c r="B1849" s="114">
        <v>924</v>
      </c>
      <c r="C1849" s="139" t="s">
        <v>2311</v>
      </c>
      <c r="D1849" s="114" t="s">
        <v>2090</v>
      </c>
      <c r="E1849" s="114">
        <v>22</v>
      </c>
      <c r="F1849" s="114">
        <v>98</v>
      </c>
      <c r="G1849" s="114">
        <v>1</v>
      </c>
      <c r="H1849" s="114">
        <v>3500</v>
      </c>
      <c r="I1849" s="114">
        <v>3500</v>
      </c>
      <c r="J1849" s="114">
        <v>2941</v>
      </c>
      <c r="K1849" s="114">
        <v>559</v>
      </c>
      <c r="L1849" s="114" t="str">
        <f t="shared" si="28"/>
        <v>INSERT INTO DETALLES_DOCUMENTO(NRO_DOCUMENTO,ID_TIPO,ID_PRODUCTO,CANTIDAD,PRECIO,VALOR_BRUTO,VALOR_NETO,VALOR_IVA) VALUES(924,1,98,1,3500,3500,2941,559);</v>
      </c>
    </row>
    <row r="1850" spans="1:12">
      <c r="A1850" s="114">
        <v>1</v>
      </c>
      <c r="B1850" s="114">
        <v>924</v>
      </c>
      <c r="C1850" s="139" t="s">
        <v>2311</v>
      </c>
      <c r="D1850" s="114" t="s">
        <v>2090</v>
      </c>
      <c r="E1850" s="114">
        <v>22</v>
      </c>
      <c r="F1850" s="114">
        <v>31</v>
      </c>
      <c r="G1850" s="114">
        <v>1</v>
      </c>
      <c r="H1850" s="114">
        <v>3400</v>
      </c>
      <c r="I1850" s="114">
        <v>3400</v>
      </c>
      <c r="J1850" s="114">
        <v>2857</v>
      </c>
      <c r="K1850" s="114">
        <v>543</v>
      </c>
      <c r="L1850" s="114" t="str">
        <f t="shared" si="28"/>
        <v>INSERT INTO DETALLES_DOCUMENTO(NRO_DOCUMENTO,ID_TIPO,ID_PRODUCTO,CANTIDAD,PRECIO,VALOR_BRUTO,VALOR_NETO,VALOR_IVA) VALUES(924,1,31,1,3400,3400,2857,543);</v>
      </c>
    </row>
    <row r="1851" spans="1:12">
      <c r="A1851" s="114">
        <v>1</v>
      </c>
      <c r="B1851" s="114">
        <v>924</v>
      </c>
      <c r="C1851" s="139" t="s">
        <v>2311</v>
      </c>
      <c r="D1851" s="114" t="s">
        <v>2090</v>
      </c>
      <c r="E1851" s="114">
        <v>22</v>
      </c>
      <c r="F1851" s="114">
        <v>69</v>
      </c>
      <c r="G1851" s="114">
        <v>1</v>
      </c>
      <c r="H1851" s="114">
        <v>3000</v>
      </c>
      <c r="I1851" s="114">
        <v>3000</v>
      </c>
      <c r="J1851" s="114">
        <v>2521</v>
      </c>
      <c r="K1851" s="114">
        <v>479</v>
      </c>
      <c r="L1851" s="114" t="str">
        <f t="shared" si="28"/>
        <v>INSERT INTO DETALLES_DOCUMENTO(NRO_DOCUMENTO,ID_TIPO,ID_PRODUCTO,CANTIDAD,PRECIO,VALOR_BRUTO,VALOR_NETO,VALOR_IVA) VALUES(924,1,69,1,3000,3000,2521,479);</v>
      </c>
    </row>
    <row r="1852" spans="1:12">
      <c r="A1852" s="114">
        <v>1</v>
      </c>
      <c r="B1852" s="114">
        <v>924</v>
      </c>
      <c r="C1852" s="139" t="s">
        <v>2311</v>
      </c>
      <c r="D1852" s="114" t="s">
        <v>2090</v>
      </c>
      <c r="E1852" s="114">
        <v>22</v>
      </c>
      <c r="F1852" s="114">
        <v>378</v>
      </c>
      <c r="G1852" s="114">
        <v>1</v>
      </c>
      <c r="H1852" s="114">
        <v>1200</v>
      </c>
      <c r="I1852" s="114">
        <v>1200</v>
      </c>
      <c r="J1852" s="114">
        <v>1008</v>
      </c>
      <c r="K1852" s="114">
        <v>192</v>
      </c>
      <c r="L1852" s="114" t="str">
        <f t="shared" si="28"/>
        <v>INSERT INTO DETALLES_DOCUMENTO(NRO_DOCUMENTO,ID_TIPO,ID_PRODUCTO,CANTIDAD,PRECIO,VALOR_BRUTO,VALOR_NETO,VALOR_IVA) VALUES(924,1,378,1,1200,1200,1008,192);</v>
      </c>
    </row>
    <row r="1853" spans="1:12">
      <c r="A1853" s="114">
        <v>1</v>
      </c>
      <c r="B1853" s="114">
        <v>924</v>
      </c>
      <c r="C1853" s="139" t="s">
        <v>2311</v>
      </c>
      <c r="D1853" s="114" t="s">
        <v>2090</v>
      </c>
      <c r="E1853" s="114">
        <v>22</v>
      </c>
      <c r="F1853" s="114">
        <v>361</v>
      </c>
      <c r="G1853" s="114">
        <v>1</v>
      </c>
      <c r="H1853" s="114">
        <v>3500</v>
      </c>
      <c r="I1853" s="114">
        <v>3500</v>
      </c>
      <c r="J1853" s="114">
        <v>2941</v>
      </c>
      <c r="K1853" s="114">
        <v>559</v>
      </c>
      <c r="L1853" s="114" t="str">
        <f t="shared" si="28"/>
        <v>INSERT INTO DETALLES_DOCUMENTO(NRO_DOCUMENTO,ID_TIPO,ID_PRODUCTO,CANTIDAD,PRECIO,VALOR_BRUTO,VALOR_NETO,VALOR_IVA) VALUES(924,1,361,1,3500,3500,2941,559);</v>
      </c>
    </row>
    <row r="1854" spans="1:12">
      <c r="A1854" s="114">
        <v>1</v>
      </c>
      <c r="B1854" s="114">
        <v>924</v>
      </c>
      <c r="C1854" s="139" t="s">
        <v>2311</v>
      </c>
      <c r="D1854" s="114" t="s">
        <v>2090</v>
      </c>
      <c r="E1854" s="114">
        <v>22</v>
      </c>
      <c r="F1854" s="114">
        <v>169</v>
      </c>
      <c r="G1854" s="114">
        <v>1</v>
      </c>
      <c r="H1854" s="114">
        <v>2700</v>
      </c>
      <c r="I1854" s="114">
        <v>2700</v>
      </c>
      <c r="J1854" s="114">
        <v>2269</v>
      </c>
      <c r="K1854" s="114">
        <v>431</v>
      </c>
      <c r="L1854" s="114" t="str">
        <f t="shared" si="28"/>
        <v>INSERT INTO DETALLES_DOCUMENTO(NRO_DOCUMENTO,ID_TIPO,ID_PRODUCTO,CANTIDAD,PRECIO,VALOR_BRUTO,VALOR_NETO,VALOR_IVA) VALUES(924,1,169,1,2700,2700,2269,431);</v>
      </c>
    </row>
    <row r="1855" spans="1:12">
      <c r="A1855" s="114">
        <v>1</v>
      </c>
      <c r="B1855" s="114">
        <v>925</v>
      </c>
      <c r="C1855" s="139" t="s">
        <v>2311</v>
      </c>
      <c r="D1855" s="114" t="s">
        <v>2090</v>
      </c>
      <c r="E1855" s="114">
        <v>72</v>
      </c>
      <c r="F1855" s="114">
        <v>143</v>
      </c>
      <c r="G1855" s="114">
        <v>1</v>
      </c>
      <c r="H1855" s="114">
        <v>8200</v>
      </c>
      <c r="I1855" s="114">
        <v>8200</v>
      </c>
      <c r="J1855" s="114">
        <v>6891</v>
      </c>
      <c r="K1855" s="114">
        <v>1309</v>
      </c>
      <c r="L1855" s="114" t="str">
        <f t="shared" si="28"/>
        <v>INSERT INTO DETALLES_DOCUMENTO(NRO_DOCUMENTO,ID_TIPO,ID_PRODUCTO,CANTIDAD,PRECIO,VALOR_BRUTO,VALOR_NETO,VALOR_IVA) VALUES(925,1,143,1,8200,8200,6891,1309);</v>
      </c>
    </row>
    <row r="1856" spans="1:12">
      <c r="A1856" s="114">
        <v>1</v>
      </c>
      <c r="B1856" s="114">
        <v>925</v>
      </c>
      <c r="C1856" s="139" t="s">
        <v>2311</v>
      </c>
      <c r="D1856" s="114" t="s">
        <v>2090</v>
      </c>
      <c r="E1856" s="114">
        <v>72</v>
      </c>
      <c r="F1856" s="114">
        <v>329</v>
      </c>
      <c r="G1856" s="114">
        <v>1</v>
      </c>
      <c r="H1856" s="114">
        <v>6000</v>
      </c>
      <c r="I1856" s="114">
        <v>6000</v>
      </c>
      <c r="J1856" s="114">
        <v>5042</v>
      </c>
      <c r="K1856" s="114">
        <v>958</v>
      </c>
      <c r="L1856" s="114" t="str">
        <f t="shared" si="28"/>
        <v>INSERT INTO DETALLES_DOCUMENTO(NRO_DOCUMENTO,ID_TIPO,ID_PRODUCTO,CANTIDAD,PRECIO,VALOR_BRUTO,VALOR_NETO,VALOR_IVA) VALUES(925,1,329,1,6000,6000,5042,958);</v>
      </c>
    </row>
    <row r="1857" spans="1:12">
      <c r="A1857" s="114">
        <v>1</v>
      </c>
      <c r="B1857" s="114">
        <v>926</v>
      </c>
      <c r="C1857" s="139" t="s">
        <v>2311</v>
      </c>
      <c r="D1857" s="114" t="s">
        <v>2090</v>
      </c>
      <c r="E1857" s="114">
        <v>122</v>
      </c>
      <c r="F1857" s="114">
        <v>81</v>
      </c>
      <c r="G1857" s="114">
        <v>1</v>
      </c>
      <c r="H1857" s="114">
        <v>1600</v>
      </c>
      <c r="I1857" s="114">
        <v>1600</v>
      </c>
      <c r="J1857" s="114">
        <v>1345</v>
      </c>
      <c r="K1857" s="114">
        <v>255</v>
      </c>
      <c r="L1857" s="114" t="str">
        <f t="shared" si="28"/>
        <v>INSERT INTO DETALLES_DOCUMENTO(NRO_DOCUMENTO,ID_TIPO,ID_PRODUCTO,CANTIDAD,PRECIO,VALOR_BRUTO,VALOR_NETO,VALOR_IVA) VALUES(926,1,81,1,1600,1600,1345,255);</v>
      </c>
    </row>
    <row r="1858" spans="1:12">
      <c r="A1858" s="114">
        <v>1</v>
      </c>
      <c r="B1858" s="114">
        <v>926</v>
      </c>
      <c r="C1858" s="139" t="s">
        <v>2311</v>
      </c>
      <c r="D1858" s="114" t="s">
        <v>2090</v>
      </c>
      <c r="E1858" s="114">
        <v>122</v>
      </c>
      <c r="F1858" s="114">
        <v>82</v>
      </c>
      <c r="G1858" s="114">
        <v>1</v>
      </c>
      <c r="H1858" s="114">
        <v>1600</v>
      </c>
      <c r="I1858" s="114">
        <v>1600</v>
      </c>
      <c r="J1858" s="114">
        <v>1345</v>
      </c>
      <c r="K1858" s="114">
        <v>255</v>
      </c>
      <c r="L1858" s="114" t="str">
        <f t="shared" si="28"/>
        <v>INSERT INTO DETALLES_DOCUMENTO(NRO_DOCUMENTO,ID_TIPO,ID_PRODUCTO,CANTIDAD,PRECIO,VALOR_BRUTO,VALOR_NETO,VALOR_IVA) VALUES(926,1,82,1,1600,1600,1345,255);</v>
      </c>
    </row>
    <row r="1859" spans="1:12">
      <c r="A1859" s="114">
        <v>1</v>
      </c>
      <c r="B1859" s="114">
        <v>926</v>
      </c>
      <c r="C1859" s="139" t="s">
        <v>2311</v>
      </c>
      <c r="D1859" s="114" t="s">
        <v>2090</v>
      </c>
      <c r="E1859" s="114">
        <v>122</v>
      </c>
      <c r="F1859" s="114">
        <v>259</v>
      </c>
      <c r="G1859" s="114">
        <v>1</v>
      </c>
      <c r="H1859" s="114">
        <v>4500</v>
      </c>
      <c r="I1859" s="114">
        <v>4500</v>
      </c>
      <c r="J1859" s="114">
        <v>3782</v>
      </c>
      <c r="K1859" s="114">
        <v>718</v>
      </c>
      <c r="L1859" s="114" t="str">
        <f t="shared" ref="L1859:L1922" si="29">CONCATENATE("INSERT INTO DETALLES_DOCUMENTO(NRO_DOCUMENTO,ID_TIPO,ID_PRODUCTO,CANTIDAD,PRECIO,VALOR_BRUTO,VALOR_NETO,VALOR_IVA) VALUES(",B1859,",",A1859,",",F1859,",",G1859,",",H1859,",",I1859,",",J1859,",",K1859,");")</f>
        <v>INSERT INTO DETALLES_DOCUMENTO(NRO_DOCUMENTO,ID_TIPO,ID_PRODUCTO,CANTIDAD,PRECIO,VALOR_BRUTO,VALOR_NETO,VALOR_IVA) VALUES(926,1,259,1,4500,4500,3782,718);</v>
      </c>
    </row>
    <row r="1860" spans="1:12">
      <c r="A1860" s="114">
        <v>1</v>
      </c>
      <c r="B1860" s="114">
        <v>926</v>
      </c>
      <c r="C1860" s="139" t="s">
        <v>2311</v>
      </c>
      <c r="D1860" s="114" t="s">
        <v>2090</v>
      </c>
      <c r="E1860" s="114">
        <v>122</v>
      </c>
      <c r="F1860" s="114">
        <v>370</v>
      </c>
      <c r="G1860" s="114">
        <v>1</v>
      </c>
      <c r="H1860" s="114">
        <v>4000</v>
      </c>
      <c r="I1860" s="114">
        <v>4000</v>
      </c>
      <c r="J1860" s="114">
        <v>3361</v>
      </c>
      <c r="K1860" s="114">
        <v>639</v>
      </c>
      <c r="L1860" s="114" t="str">
        <f t="shared" si="29"/>
        <v>INSERT INTO DETALLES_DOCUMENTO(NRO_DOCUMENTO,ID_TIPO,ID_PRODUCTO,CANTIDAD,PRECIO,VALOR_BRUTO,VALOR_NETO,VALOR_IVA) VALUES(926,1,370,1,4000,4000,3361,639);</v>
      </c>
    </row>
    <row r="1861" spans="1:12">
      <c r="A1861" s="114">
        <v>1</v>
      </c>
      <c r="B1861" s="114">
        <v>926</v>
      </c>
      <c r="C1861" s="139" t="s">
        <v>2311</v>
      </c>
      <c r="D1861" s="114" t="s">
        <v>2090</v>
      </c>
      <c r="E1861" s="114">
        <v>122</v>
      </c>
      <c r="F1861" s="114">
        <v>99</v>
      </c>
      <c r="G1861" s="114">
        <v>1</v>
      </c>
      <c r="H1861" s="114">
        <v>1700</v>
      </c>
      <c r="I1861" s="114">
        <v>1700</v>
      </c>
      <c r="J1861" s="114">
        <v>1429</v>
      </c>
      <c r="K1861" s="114">
        <v>271</v>
      </c>
      <c r="L1861" s="114" t="str">
        <f t="shared" si="29"/>
        <v>INSERT INTO DETALLES_DOCUMENTO(NRO_DOCUMENTO,ID_TIPO,ID_PRODUCTO,CANTIDAD,PRECIO,VALOR_BRUTO,VALOR_NETO,VALOR_IVA) VALUES(926,1,99,1,1700,1700,1429,271);</v>
      </c>
    </row>
    <row r="1862" spans="1:12">
      <c r="A1862" s="114">
        <v>1</v>
      </c>
      <c r="B1862" s="114">
        <v>926</v>
      </c>
      <c r="C1862" s="139" t="s">
        <v>2311</v>
      </c>
      <c r="D1862" s="114" t="s">
        <v>2090</v>
      </c>
      <c r="E1862" s="114">
        <v>122</v>
      </c>
      <c r="F1862" s="114">
        <v>26</v>
      </c>
      <c r="G1862" s="114">
        <v>1</v>
      </c>
      <c r="H1862" s="114">
        <v>3400</v>
      </c>
      <c r="I1862" s="114">
        <v>3400</v>
      </c>
      <c r="J1862" s="114">
        <v>2857</v>
      </c>
      <c r="K1862" s="114">
        <v>543</v>
      </c>
      <c r="L1862" s="114" t="str">
        <f t="shared" si="29"/>
        <v>INSERT INTO DETALLES_DOCUMENTO(NRO_DOCUMENTO,ID_TIPO,ID_PRODUCTO,CANTIDAD,PRECIO,VALOR_BRUTO,VALOR_NETO,VALOR_IVA) VALUES(926,1,26,1,3400,3400,2857,543);</v>
      </c>
    </row>
    <row r="1863" spans="1:12">
      <c r="A1863" s="114">
        <v>1</v>
      </c>
      <c r="B1863" s="114">
        <v>926</v>
      </c>
      <c r="C1863" s="139" t="s">
        <v>2311</v>
      </c>
      <c r="D1863" s="114" t="s">
        <v>2090</v>
      </c>
      <c r="E1863" s="114">
        <v>122</v>
      </c>
      <c r="F1863" s="114">
        <v>276</v>
      </c>
      <c r="G1863" s="114">
        <v>1</v>
      </c>
      <c r="H1863" s="114">
        <v>8000</v>
      </c>
      <c r="I1863" s="114">
        <v>8000</v>
      </c>
      <c r="J1863" s="114">
        <v>6723</v>
      </c>
      <c r="K1863" s="114">
        <v>1277</v>
      </c>
      <c r="L1863" s="114" t="str">
        <f t="shared" si="29"/>
        <v>INSERT INTO DETALLES_DOCUMENTO(NRO_DOCUMENTO,ID_TIPO,ID_PRODUCTO,CANTIDAD,PRECIO,VALOR_BRUTO,VALOR_NETO,VALOR_IVA) VALUES(926,1,276,1,8000,8000,6723,1277);</v>
      </c>
    </row>
    <row r="1864" spans="1:12">
      <c r="A1864" s="114">
        <v>1</v>
      </c>
      <c r="B1864" s="114">
        <v>926</v>
      </c>
      <c r="C1864" s="139" t="s">
        <v>2311</v>
      </c>
      <c r="D1864" s="114" t="s">
        <v>2090</v>
      </c>
      <c r="E1864" s="114">
        <v>122</v>
      </c>
      <c r="F1864" s="114">
        <v>120</v>
      </c>
      <c r="G1864" s="114">
        <v>2</v>
      </c>
      <c r="H1864" s="114">
        <v>3400</v>
      </c>
      <c r="I1864" s="114">
        <v>6800</v>
      </c>
      <c r="J1864" s="114">
        <v>5714</v>
      </c>
      <c r="K1864" s="114">
        <v>1086</v>
      </c>
      <c r="L1864" s="114" t="str">
        <f t="shared" si="29"/>
        <v>INSERT INTO DETALLES_DOCUMENTO(NRO_DOCUMENTO,ID_TIPO,ID_PRODUCTO,CANTIDAD,PRECIO,VALOR_BRUTO,VALOR_NETO,VALOR_IVA) VALUES(926,1,120,2,3400,6800,5714,1086);</v>
      </c>
    </row>
    <row r="1865" spans="1:12">
      <c r="A1865" s="114">
        <v>1</v>
      </c>
      <c r="B1865" s="114">
        <v>927</v>
      </c>
      <c r="C1865" s="139" t="s">
        <v>2311</v>
      </c>
      <c r="D1865" s="114" t="s">
        <v>2090</v>
      </c>
      <c r="E1865" s="114">
        <v>229</v>
      </c>
      <c r="F1865" s="114">
        <v>53</v>
      </c>
      <c r="G1865" s="114">
        <v>1</v>
      </c>
      <c r="H1865" s="114">
        <v>4200</v>
      </c>
      <c r="I1865" s="114">
        <v>4200</v>
      </c>
      <c r="J1865" s="114">
        <v>3529</v>
      </c>
      <c r="K1865" s="114">
        <v>671</v>
      </c>
      <c r="L1865" s="114" t="str">
        <f t="shared" si="29"/>
        <v>INSERT INTO DETALLES_DOCUMENTO(NRO_DOCUMENTO,ID_TIPO,ID_PRODUCTO,CANTIDAD,PRECIO,VALOR_BRUTO,VALOR_NETO,VALOR_IVA) VALUES(927,1,53,1,4200,4200,3529,671);</v>
      </c>
    </row>
    <row r="1866" spans="1:12">
      <c r="A1866" s="114">
        <v>1</v>
      </c>
      <c r="B1866" s="114">
        <v>927</v>
      </c>
      <c r="C1866" s="139" t="s">
        <v>2311</v>
      </c>
      <c r="D1866" s="114" t="s">
        <v>2090</v>
      </c>
      <c r="E1866" s="114">
        <v>229</v>
      </c>
      <c r="F1866" s="114">
        <v>45</v>
      </c>
      <c r="G1866" s="114">
        <v>1</v>
      </c>
      <c r="H1866" s="114">
        <v>1600</v>
      </c>
      <c r="I1866" s="114">
        <v>1600</v>
      </c>
      <c r="J1866" s="114">
        <v>1345</v>
      </c>
      <c r="K1866" s="114">
        <v>255</v>
      </c>
      <c r="L1866" s="114" t="str">
        <f t="shared" si="29"/>
        <v>INSERT INTO DETALLES_DOCUMENTO(NRO_DOCUMENTO,ID_TIPO,ID_PRODUCTO,CANTIDAD,PRECIO,VALOR_BRUTO,VALOR_NETO,VALOR_IVA) VALUES(927,1,45,1,1600,1600,1345,255);</v>
      </c>
    </row>
    <row r="1867" spans="1:12">
      <c r="A1867" s="114">
        <v>1</v>
      </c>
      <c r="B1867" s="114">
        <v>928</v>
      </c>
      <c r="C1867" s="139" t="s">
        <v>2311</v>
      </c>
      <c r="D1867" s="114" t="s">
        <v>2090</v>
      </c>
      <c r="E1867" s="114">
        <v>263</v>
      </c>
      <c r="F1867" s="114">
        <v>143</v>
      </c>
      <c r="G1867" s="114">
        <v>1</v>
      </c>
      <c r="H1867" s="114">
        <v>8200</v>
      </c>
      <c r="I1867" s="114">
        <v>8200</v>
      </c>
      <c r="J1867" s="114">
        <v>6891</v>
      </c>
      <c r="K1867" s="114">
        <v>1309</v>
      </c>
      <c r="L1867" s="114" t="str">
        <f t="shared" si="29"/>
        <v>INSERT INTO DETALLES_DOCUMENTO(NRO_DOCUMENTO,ID_TIPO,ID_PRODUCTO,CANTIDAD,PRECIO,VALOR_BRUTO,VALOR_NETO,VALOR_IVA) VALUES(928,1,143,1,8200,8200,6891,1309);</v>
      </c>
    </row>
    <row r="1868" spans="1:12">
      <c r="A1868" s="114">
        <v>1</v>
      </c>
      <c r="B1868" s="114">
        <v>929</v>
      </c>
      <c r="C1868" s="139" t="s">
        <v>2311</v>
      </c>
      <c r="D1868" s="114" t="s">
        <v>2090</v>
      </c>
      <c r="E1868" s="114">
        <v>365</v>
      </c>
      <c r="F1868" s="114">
        <v>230</v>
      </c>
      <c r="G1868" s="114">
        <v>1</v>
      </c>
      <c r="H1868" s="114">
        <v>16500</v>
      </c>
      <c r="I1868" s="114">
        <v>16500</v>
      </c>
      <c r="J1868" s="114">
        <v>13866</v>
      </c>
      <c r="K1868" s="114">
        <v>2634</v>
      </c>
      <c r="L1868" s="114" t="str">
        <f t="shared" si="29"/>
        <v>INSERT INTO DETALLES_DOCUMENTO(NRO_DOCUMENTO,ID_TIPO,ID_PRODUCTO,CANTIDAD,PRECIO,VALOR_BRUTO,VALOR_NETO,VALOR_IVA) VALUES(929,1,230,1,16500,16500,13866,2634);</v>
      </c>
    </row>
    <row r="1869" spans="1:12">
      <c r="A1869" s="114">
        <v>1</v>
      </c>
      <c r="B1869" s="114">
        <v>929</v>
      </c>
      <c r="C1869" s="139" t="s">
        <v>2311</v>
      </c>
      <c r="D1869" s="114" t="s">
        <v>2090</v>
      </c>
      <c r="E1869" s="114">
        <v>365</v>
      </c>
      <c r="F1869" s="114">
        <v>97</v>
      </c>
      <c r="G1869" s="114">
        <v>1</v>
      </c>
      <c r="H1869" s="114">
        <v>2000</v>
      </c>
      <c r="I1869" s="114">
        <v>2000</v>
      </c>
      <c r="J1869" s="114">
        <v>1681</v>
      </c>
      <c r="K1869" s="114">
        <v>319</v>
      </c>
      <c r="L1869" s="114" t="str">
        <f t="shared" si="29"/>
        <v>INSERT INTO DETALLES_DOCUMENTO(NRO_DOCUMENTO,ID_TIPO,ID_PRODUCTO,CANTIDAD,PRECIO,VALOR_BRUTO,VALOR_NETO,VALOR_IVA) VALUES(929,1,97,1,2000,2000,1681,319);</v>
      </c>
    </row>
    <row r="1870" spans="1:12">
      <c r="A1870" s="114">
        <v>1</v>
      </c>
      <c r="B1870" s="114">
        <v>929</v>
      </c>
      <c r="C1870" s="139" t="s">
        <v>2311</v>
      </c>
      <c r="D1870" s="114" t="s">
        <v>2090</v>
      </c>
      <c r="E1870" s="114">
        <v>365</v>
      </c>
      <c r="F1870" s="114">
        <v>154</v>
      </c>
      <c r="G1870" s="114">
        <v>1</v>
      </c>
      <c r="H1870" s="114">
        <v>3200</v>
      </c>
      <c r="I1870" s="114">
        <v>3200</v>
      </c>
      <c r="J1870" s="114">
        <v>2689</v>
      </c>
      <c r="K1870" s="114">
        <v>511</v>
      </c>
      <c r="L1870" s="114" t="str">
        <f t="shared" si="29"/>
        <v>INSERT INTO DETALLES_DOCUMENTO(NRO_DOCUMENTO,ID_TIPO,ID_PRODUCTO,CANTIDAD,PRECIO,VALOR_BRUTO,VALOR_NETO,VALOR_IVA) VALUES(929,1,154,1,3200,3200,2689,511);</v>
      </c>
    </row>
    <row r="1871" spans="1:12">
      <c r="A1871" s="114">
        <v>1</v>
      </c>
      <c r="B1871" s="114">
        <v>929</v>
      </c>
      <c r="C1871" s="139" t="s">
        <v>2311</v>
      </c>
      <c r="D1871" s="114" t="s">
        <v>2090</v>
      </c>
      <c r="E1871" s="114">
        <v>365</v>
      </c>
      <c r="F1871" s="114">
        <v>31</v>
      </c>
      <c r="G1871" s="114">
        <v>1</v>
      </c>
      <c r="H1871" s="114">
        <v>3400</v>
      </c>
      <c r="I1871" s="114">
        <v>3400</v>
      </c>
      <c r="J1871" s="114">
        <v>2857</v>
      </c>
      <c r="K1871" s="114">
        <v>543</v>
      </c>
      <c r="L1871" s="114" t="str">
        <f t="shared" si="29"/>
        <v>INSERT INTO DETALLES_DOCUMENTO(NRO_DOCUMENTO,ID_TIPO,ID_PRODUCTO,CANTIDAD,PRECIO,VALOR_BRUTO,VALOR_NETO,VALOR_IVA) VALUES(929,1,31,1,3400,3400,2857,543);</v>
      </c>
    </row>
    <row r="1872" spans="1:12">
      <c r="A1872" s="114">
        <v>1</v>
      </c>
      <c r="B1872" s="114">
        <v>929</v>
      </c>
      <c r="C1872" s="139" t="s">
        <v>2311</v>
      </c>
      <c r="D1872" s="114" t="s">
        <v>2090</v>
      </c>
      <c r="E1872" s="114">
        <v>365</v>
      </c>
      <c r="F1872" s="114">
        <v>384</v>
      </c>
      <c r="G1872" s="114">
        <v>1</v>
      </c>
      <c r="H1872" s="114">
        <v>2750</v>
      </c>
      <c r="I1872" s="114">
        <v>2750</v>
      </c>
      <c r="J1872" s="114">
        <v>2311</v>
      </c>
      <c r="K1872" s="114">
        <v>439</v>
      </c>
      <c r="L1872" s="114" t="str">
        <f t="shared" si="29"/>
        <v>INSERT INTO DETALLES_DOCUMENTO(NRO_DOCUMENTO,ID_TIPO,ID_PRODUCTO,CANTIDAD,PRECIO,VALOR_BRUTO,VALOR_NETO,VALOR_IVA) VALUES(929,1,384,1,2750,2750,2311,439);</v>
      </c>
    </row>
    <row r="1873" spans="1:12">
      <c r="A1873" s="114">
        <v>1</v>
      </c>
      <c r="B1873" s="114">
        <v>929</v>
      </c>
      <c r="C1873" s="139" t="s">
        <v>2311</v>
      </c>
      <c r="D1873" s="114" t="s">
        <v>2090</v>
      </c>
      <c r="E1873" s="114">
        <v>365</v>
      </c>
      <c r="F1873" s="114">
        <v>360</v>
      </c>
      <c r="G1873" s="114">
        <v>1</v>
      </c>
      <c r="H1873" s="114">
        <v>3000</v>
      </c>
      <c r="I1873" s="114">
        <v>3000</v>
      </c>
      <c r="J1873" s="114">
        <v>2521</v>
      </c>
      <c r="K1873" s="114">
        <v>479</v>
      </c>
      <c r="L1873" s="114" t="str">
        <f t="shared" si="29"/>
        <v>INSERT INTO DETALLES_DOCUMENTO(NRO_DOCUMENTO,ID_TIPO,ID_PRODUCTO,CANTIDAD,PRECIO,VALOR_BRUTO,VALOR_NETO,VALOR_IVA) VALUES(929,1,360,1,3000,3000,2521,479);</v>
      </c>
    </row>
    <row r="1874" spans="1:12">
      <c r="A1874" s="114">
        <v>1</v>
      </c>
      <c r="B1874" s="114">
        <v>929</v>
      </c>
      <c r="C1874" s="139" t="s">
        <v>2311</v>
      </c>
      <c r="D1874" s="114" t="s">
        <v>2090</v>
      </c>
      <c r="E1874" s="114">
        <v>365</v>
      </c>
      <c r="F1874" s="114">
        <v>29</v>
      </c>
      <c r="G1874" s="114">
        <v>1</v>
      </c>
      <c r="H1874" s="114">
        <v>1000</v>
      </c>
      <c r="I1874" s="114">
        <v>1000</v>
      </c>
      <c r="J1874" s="114">
        <v>840</v>
      </c>
      <c r="K1874" s="114">
        <v>160</v>
      </c>
      <c r="L1874" s="114" t="str">
        <f t="shared" si="29"/>
        <v>INSERT INTO DETALLES_DOCUMENTO(NRO_DOCUMENTO,ID_TIPO,ID_PRODUCTO,CANTIDAD,PRECIO,VALOR_BRUTO,VALOR_NETO,VALOR_IVA) VALUES(929,1,29,1,1000,1000,840,160);</v>
      </c>
    </row>
    <row r="1875" spans="1:12">
      <c r="A1875" s="114">
        <v>1</v>
      </c>
      <c r="B1875" s="114">
        <v>929</v>
      </c>
      <c r="C1875" s="139" t="s">
        <v>2311</v>
      </c>
      <c r="D1875" s="114" t="s">
        <v>2090</v>
      </c>
      <c r="E1875" s="114">
        <v>365</v>
      </c>
      <c r="F1875" s="114">
        <v>287</v>
      </c>
      <c r="G1875" s="114">
        <v>1</v>
      </c>
      <c r="H1875" s="114">
        <v>3000</v>
      </c>
      <c r="I1875" s="114">
        <v>3000</v>
      </c>
      <c r="J1875" s="114">
        <v>2521</v>
      </c>
      <c r="K1875" s="114">
        <v>479</v>
      </c>
      <c r="L1875" s="114" t="str">
        <f t="shared" si="29"/>
        <v>INSERT INTO DETALLES_DOCUMENTO(NRO_DOCUMENTO,ID_TIPO,ID_PRODUCTO,CANTIDAD,PRECIO,VALOR_BRUTO,VALOR_NETO,VALOR_IVA) VALUES(929,1,287,1,3000,3000,2521,479);</v>
      </c>
    </row>
    <row r="1876" spans="1:12">
      <c r="A1876" s="114">
        <v>1</v>
      </c>
      <c r="B1876" s="114">
        <v>929</v>
      </c>
      <c r="C1876" s="139" t="s">
        <v>2311</v>
      </c>
      <c r="D1876" s="114" t="s">
        <v>2090</v>
      </c>
      <c r="E1876" s="114">
        <v>365</v>
      </c>
      <c r="F1876" s="114">
        <v>120</v>
      </c>
      <c r="G1876" s="114">
        <v>1</v>
      </c>
      <c r="H1876" s="114">
        <v>1700</v>
      </c>
      <c r="I1876" s="114">
        <v>1700</v>
      </c>
      <c r="J1876" s="114">
        <v>1429</v>
      </c>
      <c r="K1876" s="114">
        <v>271</v>
      </c>
      <c r="L1876" s="114" t="str">
        <f t="shared" si="29"/>
        <v>INSERT INTO DETALLES_DOCUMENTO(NRO_DOCUMENTO,ID_TIPO,ID_PRODUCTO,CANTIDAD,PRECIO,VALOR_BRUTO,VALOR_NETO,VALOR_IVA) VALUES(929,1,120,1,1700,1700,1429,271);</v>
      </c>
    </row>
    <row r="1877" spans="1:12">
      <c r="A1877" s="114">
        <v>1</v>
      </c>
      <c r="B1877" s="114">
        <v>930</v>
      </c>
      <c r="C1877" s="139" t="s">
        <v>2311</v>
      </c>
      <c r="D1877" s="114" t="s">
        <v>2090</v>
      </c>
      <c r="E1877" s="114">
        <v>408</v>
      </c>
      <c r="F1877" s="114">
        <v>143</v>
      </c>
      <c r="G1877" s="114">
        <v>1</v>
      </c>
      <c r="H1877" s="114">
        <v>8200</v>
      </c>
      <c r="I1877" s="114">
        <v>8200</v>
      </c>
      <c r="J1877" s="114">
        <v>6891</v>
      </c>
      <c r="K1877" s="114">
        <v>1309</v>
      </c>
      <c r="L1877" s="114" t="str">
        <f t="shared" si="29"/>
        <v>INSERT INTO DETALLES_DOCUMENTO(NRO_DOCUMENTO,ID_TIPO,ID_PRODUCTO,CANTIDAD,PRECIO,VALOR_BRUTO,VALOR_NETO,VALOR_IVA) VALUES(930,1,143,1,8200,8200,6891,1309);</v>
      </c>
    </row>
    <row r="1878" spans="1:12">
      <c r="A1878" s="114">
        <v>1</v>
      </c>
      <c r="B1878" s="114">
        <v>930</v>
      </c>
      <c r="C1878" s="139" t="s">
        <v>2311</v>
      </c>
      <c r="D1878" s="114" t="s">
        <v>2090</v>
      </c>
      <c r="E1878" s="114">
        <v>408</v>
      </c>
      <c r="F1878" s="114">
        <v>256</v>
      </c>
      <c r="G1878" s="114">
        <v>3</v>
      </c>
      <c r="H1878" s="114">
        <v>9000</v>
      </c>
      <c r="I1878" s="114">
        <v>27000</v>
      </c>
      <c r="J1878" s="114">
        <v>22689</v>
      </c>
      <c r="K1878" s="114">
        <v>4311</v>
      </c>
      <c r="L1878" s="114" t="str">
        <f t="shared" si="29"/>
        <v>INSERT INTO DETALLES_DOCUMENTO(NRO_DOCUMENTO,ID_TIPO,ID_PRODUCTO,CANTIDAD,PRECIO,VALOR_BRUTO,VALOR_NETO,VALOR_IVA) VALUES(930,1,256,3,9000,27000,22689,4311);</v>
      </c>
    </row>
    <row r="1879" spans="1:12">
      <c r="A1879" s="114">
        <v>1</v>
      </c>
      <c r="B1879" s="114">
        <v>930</v>
      </c>
      <c r="C1879" s="139" t="s">
        <v>2311</v>
      </c>
      <c r="D1879" s="114" t="s">
        <v>2090</v>
      </c>
      <c r="E1879" s="114">
        <v>408</v>
      </c>
      <c r="F1879" s="114">
        <v>252</v>
      </c>
      <c r="G1879" s="114">
        <v>1</v>
      </c>
      <c r="H1879" s="114">
        <v>4800</v>
      </c>
      <c r="I1879" s="114">
        <v>4800</v>
      </c>
      <c r="J1879" s="114">
        <v>4034</v>
      </c>
      <c r="K1879" s="114">
        <v>766</v>
      </c>
      <c r="L1879" s="114" t="str">
        <f t="shared" si="29"/>
        <v>INSERT INTO DETALLES_DOCUMENTO(NRO_DOCUMENTO,ID_TIPO,ID_PRODUCTO,CANTIDAD,PRECIO,VALOR_BRUTO,VALOR_NETO,VALOR_IVA) VALUES(930,1,252,1,4800,4800,4034,766);</v>
      </c>
    </row>
    <row r="1880" spans="1:12">
      <c r="A1880" s="114">
        <v>1</v>
      </c>
      <c r="B1880" s="114">
        <v>930</v>
      </c>
      <c r="C1880" s="139" t="s">
        <v>2311</v>
      </c>
      <c r="D1880" s="114" t="s">
        <v>2090</v>
      </c>
      <c r="E1880" s="114">
        <v>408</v>
      </c>
      <c r="F1880" s="114">
        <v>378</v>
      </c>
      <c r="G1880" s="114">
        <v>4</v>
      </c>
      <c r="H1880" s="114">
        <v>4800</v>
      </c>
      <c r="I1880" s="114">
        <v>19200</v>
      </c>
      <c r="J1880" s="114">
        <v>16134</v>
      </c>
      <c r="K1880" s="114">
        <v>3066</v>
      </c>
      <c r="L1880" s="114" t="str">
        <f t="shared" si="29"/>
        <v>INSERT INTO DETALLES_DOCUMENTO(NRO_DOCUMENTO,ID_TIPO,ID_PRODUCTO,CANTIDAD,PRECIO,VALOR_BRUTO,VALOR_NETO,VALOR_IVA) VALUES(930,1,378,4,4800,19200,16134,3066);</v>
      </c>
    </row>
    <row r="1881" spans="1:12">
      <c r="A1881" s="114">
        <v>1</v>
      </c>
      <c r="B1881" s="114">
        <v>931</v>
      </c>
      <c r="C1881" s="139" t="s">
        <v>2311</v>
      </c>
      <c r="D1881" s="114" t="s">
        <v>2090</v>
      </c>
      <c r="E1881" s="114">
        <v>479</v>
      </c>
      <c r="F1881" s="114">
        <v>369</v>
      </c>
      <c r="G1881" s="114">
        <v>1</v>
      </c>
      <c r="H1881" s="114">
        <v>10500</v>
      </c>
      <c r="I1881" s="114">
        <v>10500</v>
      </c>
      <c r="J1881" s="114">
        <v>8824</v>
      </c>
      <c r="K1881" s="114">
        <v>1676</v>
      </c>
      <c r="L1881" s="114" t="str">
        <f t="shared" si="29"/>
        <v>INSERT INTO DETALLES_DOCUMENTO(NRO_DOCUMENTO,ID_TIPO,ID_PRODUCTO,CANTIDAD,PRECIO,VALOR_BRUTO,VALOR_NETO,VALOR_IVA) VALUES(931,1,369,1,10500,10500,8824,1676);</v>
      </c>
    </row>
    <row r="1882" spans="1:12">
      <c r="A1882" s="114">
        <v>1</v>
      </c>
      <c r="B1882" s="114">
        <v>932</v>
      </c>
      <c r="C1882" s="139" t="s">
        <v>2312</v>
      </c>
      <c r="D1882" s="114" t="s">
        <v>2090</v>
      </c>
      <c r="E1882" s="114">
        <v>108</v>
      </c>
      <c r="F1882" s="114">
        <v>284</v>
      </c>
      <c r="G1882" s="114">
        <v>1</v>
      </c>
      <c r="H1882" s="114">
        <v>1100</v>
      </c>
      <c r="I1882" s="114">
        <v>1100</v>
      </c>
      <c r="J1882" s="114">
        <v>924</v>
      </c>
      <c r="K1882" s="114">
        <v>176</v>
      </c>
      <c r="L1882" s="114" t="str">
        <f t="shared" si="29"/>
        <v>INSERT INTO DETALLES_DOCUMENTO(NRO_DOCUMENTO,ID_TIPO,ID_PRODUCTO,CANTIDAD,PRECIO,VALOR_BRUTO,VALOR_NETO,VALOR_IVA) VALUES(932,1,284,1,1100,1100,924,176);</v>
      </c>
    </row>
    <row r="1883" spans="1:12">
      <c r="A1883" s="114">
        <v>1</v>
      </c>
      <c r="B1883" s="114">
        <v>933</v>
      </c>
      <c r="C1883" s="139" t="s">
        <v>2312</v>
      </c>
      <c r="D1883" s="114" t="s">
        <v>2090</v>
      </c>
      <c r="E1883" s="114">
        <v>111</v>
      </c>
      <c r="F1883" s="114">
        <v>230</v>
      </c>
      <c r="G1883" s="114">
        <v>1</v>
      </c>
      <c r="H1883" s="114">
        <v>16500</v>
      </c>
      <c r="I1883" s="114">
        <v>16500</v>
      </c>
      <c r="J1883" s="114">
        <v>13866</v>
      </c>
      <c r="K1883" s="114">
        <v>2634</v>
      </c>
      <c r="L1883" s="114" t="str">
        <f t="shared" si="29"/>
        <v>INSERT INTO DETALLES_DOCUMENTO(NRO_DOCUMENTO,ID_TIPO,ID_PRODUCTO,CANTIDAD,PRECIO,VALOR_BRUTO,VALOR_NETO,VALOR_IVA) VALUES(933,1,230,1,16500,16500,13866,2634);</v>
      </c>
    </row>
    <row r="1884" spans="1:12">
      <c r="A1884" s="114">
        <v>1</v>
      </c>
      <c r="B1884" s="114">
        <v>934</v>
      </c>
      <c r="C1884" s="139" t="s">
        <v>2312</v>
      </c>
      <c r="D1884" s="114" t="s">
        <v>2090</v>
      </c>
      <c r="E1884" s="114">
        <v>122</v>
      </c>
      <c r="F1884" s="114">
        <v>143</v>
      </c>
      <c r="G1884" s="114">
        <v>2</v>
      </c>
      <c r="H1884" s="114">
        <v>16400</v>
      </c>
      <c r="I1884" s="114">
        <v>32800</v>
      </c>
      <c r="J1884" s="114">
        <v>27563</v>
      </c>
      <c r="K1884" s="114">
        <v>5237</v>
      </c>
      <c r="L1884" s="114" t="str">
        <f t="shared" si="29"/>
        <v>INSERT INTO DETALLES_DOCUMENTO(NRO_DOCUMENTO,ID_TIPO,ID_PRODUCTO,CANTIDAD,PRECIO,VALOR_BRUTO,VALOR_NETO,VALOR_IVA) VALUES(934,1,143,2,16400,32800,27563,5237);</v>
      </c>
    </row>
    <row r="1885" spans="1:12">
      <c r="A1885" s="114">
        <v>1</v>
      </c>
      <c r="B1885" s="114">
        <v>934</v>
      </c>
      <c r="C1885" s="139" t="s">
        <v>2312</v>
      </c>
      <c r="D1885" s="114" t="s">
        <v>2090</v>
      </c>
      <c r="E1885" s="114">
        <v>122</v>
      </c>
      <c r="F1885" s="114">
        <v>167</v>
      </c>
      <c r="G1885" s="114">
        <v>1</v>
      </c>
      <c r="H1885" s="114">
        <v>8200</v>
      </c>
      <c r="I1885" s="114">
        <v>8200</v>
      </c>
      <c r="J1885" s="114">
        <v>6891</v>
      </c>
      <c r="K1885" s="114">
        <v>1309</v>
      </c>
      <c r="L1885" s="114" t="str">
        <f t="shared" si="29"/>
        <v>INSERT INTO DETALLES_DOCUMENTO(NRO_DOCUMENTO,ID_TIPO,ID_PRODUCTO,CANTIDAD,PRECIO,VALOR_BRUTO,VALOR_NETO,VALOR_IVA) VALUES(934,1,167,1,8200,8200,6891,1309);</v>
      </c>
    </row>
    <row r="1886" spans="1:12">
      <c r="A1886" s="114">
        <v>1</v>
      </c>
      <c r="B1886" s="114">
        <v>934</v>
      </c>
      <c r="C1886" s="139" t="s">
        <v>2312</v>
      </c>
      <c r="D1886" s="114" t="s">
        <v>2090</v>
      </c>
      <c r="E1886" s="114">
        <v>122</v>
      </c>
      <c r="F1886" s="114">
        <v>191</v>
      </c>
      <c r="G1886" s="114">
        <v>2</v>
      </c>
      <c r="H1886" s="114">
        <v>5000</v>
      </c>
      <c r="I1886" s="114">
        <v>10000</v>
      </c>
      <c r="J1886" s="114">
        <v>8403</v>
      </c>
      <c r="K1886" s="114">
        <v>1597</v>
      </c>
      <c r="L1886" s="114" t="str">
        <f t="shared" si="29"/>
        <v>INSERT INTO DETALLES_DOCUMENTO(NRO_DOCUMENTO,ID_TIPO,ID_PRODUCTO,CANTIDAD,PRECIO,VALOR_BRUTO,VALOR_NETO,VALOR_IVA) VALUES(934,1,191,2,5000,10000,8403,1597);</v>
      </c>
    </row>
    <row r="1887" spans="1:12">
      <c r="A1887" s="114">
        <v>1</v>
      </c>
      <c r="B1887" s="114">
        <v>934</v>
      </c>
      <c r="C1887" s="139" t="s">
        <v>2312</v>
      </c>
      <c r="D1887" s="114" t="s">
        <v>2090</v>
      </c>
      <c r="E1887" s="114">
        <v>122</v>
      </c>
      <c r="F1887" s="114">
        <v>233</v>
      </c>
      <c r="G1887" s="114">
        <v>1</v>
      </c>
      <c r="H1887" s="114">
        <v>15990</v>
      </c>
      <c r="I1887" s="114">
        <v>15990</v>
      </c>
      <c r="J1887" s="114">
        <v>13437</v>
      </c>
      <c r="K1887" s="114">
        <v>2553</v>
      </c>
      <c r="L1887" s="114" t="str">
        <f t="shared" si="29"/>
        <v>INSERT INTO DETALLES_DOCUMENTO(NRO_DOCUMENTO,ID_TIPO,ID_PRODUCTO,CANTIDAD,PRECIO,VALOR_BRUTO,VALOR_NETO,VALOR_IVA) VALUES(934,1,233,1,15990,15990,13437,2553);</v>
      </c>
    </row>
    <row r="1888" spans="1:12">
      <c r="A1888" s="114">
        <v>1</v>
      </c>
      <c r="B1888" s="114">
        <v>935</v>
      </c>
      <c r="C1888" s="139" t="s">
        <v>2312</v>
      </c>
      <c r="D1888" s="114" t="s">
        <v>2090</v>
      </c>
      <c r="E1888" s="114">
        <v>179</v>
      </c>
      <c r="F1888" s="114">
        <v>378</v>
      </c>
      <c r="G1888" s="114">
        <v>4</v>
      </c>
      <c r="H1888" s="114">
        <v>4800</v>
      </c>
      <c r="I1888" s="114">
        <v>19200</v>
      </c>
      <c r="J1888" s="114">
        <v>16134</v>
      </c>
      <c r="K1888" s="114">
        <v>3066</v>
      </c>
      <c r="L1888" s="114" t="str">
        <f t="shared" si="29"/>
        <v>INSERT INTO DETALLES_DOCUMENTO(NRO_DOCUMENTO,ID_TIPO,ID_PRODUCTO,CANTIDAD,PRECIO,VALOR_BRUTO,VALOR_NETO,VALOR_IVA) VALUES(935,1,378,4,4800,19200,16134,3066);</v>
      </c>
    </row>
    <row r="1889" spans="1:12">
      <c r="A1889" s="114">
        <v>1</v>
      </c>
      <c r="B1889" s="114">
        <v>935</v>
      </c>
      <c r="C1889" s="139" t="s">
        <v>2312</v>
      </c>
      <c r="D1889" s="114" t="s">
        <v>2090</v>
      </c>
      <c r="E1889" s="114">
        <v>179</v>
      </c>
      <c r="F1889" s="114">
        <v>120</v>
      </c>
      <c r="G1889" s="114">
        <v>2</v>
      </c>
      <c r="H1889" s="114">
        <v>3400</v>
      </c>
      <c r="I1889" s="114">
        <v>6800</v>
      </c>
      <c r="J1889" s="114">
        <v>5714</v>
      </c>
      <c r="K1889" s="114">
        <v>1086</v>
      </c>
      <c r="L1889" s="114" t="str">
        <f t="shared" si="29"/>
        <v>INSERT INTO DETALLES_DOCUMENTO(NRO_DOCUMENTO,ID_TIPO,ID_PRODUCTO,CANTIDAD,PRECIO,VALOR_BRUTO,VALOR_NETO,VALOR_IVA) VALUES(935,1,120,2,3400,6800,5714,1086);</v>
      </c>
    </row>
    <row r="1890" spans="1:12">
      <c r="A1890" s="114">
        <v>1</v>
      </c>
      <c r="B1890" s="114">
        <v>935</v>
      </c>
      <c r="C1890" s="139" t="s">
        <v>2312</v>
      </c>
      <c r="D1890" s="114" t="s">
        <v>2090</v>
      </c>
      <c r="E1890" s="114">
        <v>179</v>
      </c>
      <c r="F1890" s="114">
        <v>251</v>
      </c>
      <c r="G1890" s="114">
        <v>1</v>
      </c>
      <c r="H1890" s="114">
        <v>7000</v>
      </c>
      <c r="I1890" s="114">
        <v>7000</v>
      </c>
      <c r="J1890" s="114">
        <v>5882</v>
      </c>
      <c r="K1890" s="114">
        <v>1118</v>
      </c>
      <c r="L1890" s="114" t="str">
        <f t="shared" si="29"/>
        <v>INSERT INTO DETALLES_DOCUMENTO(NRO_DOCUMENTO,ID_TIPO,ID_PRODUCTO,CANTIDAD,PRECIO,VALOR_BRUTO,VALOR_NETO,VALOR_IVA) VALUES(935,1,251,1,7000,7000,5882,1118);</v>
      </c>
    </row>
    <row r="1891" spans="1:12">
      <c r="A1891" s="114">
        <v>1</v>
      </c>
      <c r="B1891" s="114">
        <v>936</v>
      </c>
      <c r="C1891" s="139" t="s">
        <v>2312</v>
      </c>
      <c r="D1891" s="114" t="s">
        <v>2090</v>
      </c>
      <c r="E1891" s="114">
        <v>346</v>
      </c>
      <c r="F1891" s="114">
        <v>143</v>
      </c>
      <c r="G1891" s="114">
        <v>1</v>
      </c>
      <c r="H1891" s="114">
        <v>8200</v>
      </c>
      <c r="I1891" s="114">
        <v>8200</v>
      </c>
      <c r="J1891" s="114">
        <v>6891</v>
      </c>
      <c r="K1891" s="114">
        <v>1309</v>
      </c>
      <c r="L1891" s="114" t="str">
        <f t="shared" si="29"/>
        <v>INSERT INTO DETALLES_DOCUMENTO(NRO_DOCUMENTO,ID_TIPO,ID_PRODUCTO,CANTIDAD,PRECIO,VALOR_BRUTO,VALOR_NETO,VALOR_IVA) VALUES(936,1,143,1,8200,8200,6891,1309);</v>
      </c>
    </row>
    <row r="1892" spans="1:12">
      <c r="A1892" s="114">
        <v>1</v>
      </c>
      <c r="B1892" s="114">
        <v>937</v>
      </c>
      <c r="C1892" s="139" t="s">
        <v>2312</v>
      </c>
      <c r="D1892" s="114" t="s">
        <v>2090</v>
      </c>
      <c r="E1892" s="114">
        <v>353</v>
      </c>
      <c r="F1892" s="114">
        <v>143</v>
      </c>
      <c r="G1892" s="114">
        <v>1</v>
      </c>
      <c r="H1892" s="114">
        <v>8200</v>
      </c>
      <c r="I1892" s="114">
        <v>8200</v>
      </c>
      <c r="J1892" s="114">
        <v>6891</v>
      </c>
      <c r="K1892" s="114">
        <v>1309</v>
      </c>
      <c r="L1892" s="114" t="str">
        <f t="shared" si="29"/>
        <v>INSERT INTO DETALLES_DOCUMENTO(NRO_DOCUMENTO,ID_TIPO,ID_PRODUCTO,CANTIDAD,PRECIO,VALOR_BRUTO,VALOR_NETO,VALOR_IVA) VALUES(937,1,143,1,8200,8200,6891,1309);</v>
      </c>
    </row>
    <row r="1893" spans="1:12">
      <c r="A1893" s="114">
        <v>1</v>
      </c>
      <c r="B1893" s="114">
        <v>937</v>
      </c>
      <c r="C1893" s="139" t="s">
        <v>2312</v>
      </c>
      <c r="D1893" s="114" t="s">
        <v>2090</v>
      </c>
      <c r="E1893" s="114">
        <v>353</v>
      </c>
      <c r="F1893" s="114">
        <v>230</v>
      </c>
      <c r="G1893" s="114">
        <v>1</v>
      </c>
      <c r="H1893" s="114">
        <v>16500</v>
      </c>
      <c r="I1893" s="114">
        <v>16500</v>
      </c>
      <c r="J1893" s="114">
        <v>13866</v>
      </c>
      <c r="K1893" s="114">
        <v>2634</v>
      </c>
      <c r="L1893" s="114" t="str">
        <f t="shared" si="29"/>
        <v>INSERT INTO DETALLES_DOCUMENTO(NRO_DOCUMENTO,ID_TIPO,ID_PRODUCTO,CANTIDAD,PRECIO,VALOR_BRUTO,VALOR_NETO,VALOR_IVA) VALUES(937,1,230,1,16500,16500,13866,2634);</v>
      </c>
    </row>
    <row r="1894" spans="1:12">
      <c r="A1894" s="114">
        <v>1</v>
      </c>
      <c r="B1894" s="114">
        <v>938</v>
      </c>
      <c r="C1894" s="139" t="s">
        <v>2312</v>
      </c>
      <c r="D1894" s="114" t="s">
        <v>2090</v>
      </c>
      <c r="E1894" s="114">
        <v>365</v>
      </c>
      <c r="F1894" s="114">
        <v>120</v>
      </c>
      <c r="G1894" s="114">
        <v>1</v>
      </c>
      <c r="H1894" s="114">
        <v>1700</v>
      </c>
      <c r="I1894" s="114">
        <v>1700</v>
      </c>
      <c r="J1894" s="114">
        <v>1429</v>
      </c>
      <c r="K1894" s="114">
        <v>271</v>
      </c>
      <c r="L1894" s="114" t="str">
        <f t="shared" si="29"/>
        <v>INSERT INTO DETALLES_DOCUMENTO(NRO_DOCUMENTO,ID_TIPO,ID_PRODUCTO,CANTIDAD,PRECIO,VALOR_BRUTO,VALOR_NETO,VALOR_IVA) VALUES(938,1,120,1,1700,1700,1429,271);</v>
      </c>
    </row>
    <row r="1895" spans="1:12">
      <c r="A1895" s="114">
        <v>1</v>
      </c>
      <c r="B1895" s="114">
        <v>939</v>
      </c>
      <c r="C1895" s="139" t="s">
        <v>2312</v>
      </c>
      <c r="D1895" s="114" t="s">
        <v>2090</v>
      </c>
      <c r="E1895" s="114">
        <v>377</v>
      </c>
      <c r="F1895" s="114">
        <v>231</v>
      </c>
      <c r="G1895" s="114">
        <v>1</v>
      </c>
      <c r="H1895" s="114">
        <v>20900</v>
      </c>
      <c r="I1895" s="114">
        <v>20900</v>
      </c>
      <c r="J1895" s="114">
        <v>17563</v>
      </c>
      <c r="K1895" s="114">
        <v>3337</v>
      </c>
      <c r="L1895" s="114" t="str">
        <f t="shared" si="29"/>
        <v>INSERT INTO DETALLES_DOCUMENTO(NRO_DOCUMENTO,ID_TIPO,ID_PRODUCTO,CANTIDAD,PRECIO,VALOR_BRUTO,VALOR_NETO,VALOR_IVA) VALUES(939,1,231,1,20900,20900,17563,3337);</v>
      </c>
    </row>
    <row r="1896" spans="1:12">
      <c r="A1896" s="114">
        <v>1</v>
      </c>
      <c r="B1896" s="114">
        <v>940</v>
      </c>
      <c r="C1896" s="139" t="s">
        <v>2312</v>
      </c>
      <c r="D1896" s="114" t="s">
        <v>2090</v>
      </c>
      <c r="E1896" s="114">
        <v>430</v>
      </c>
      <c r="F1896" s="114">
        <v>329</v>
      </c>
      <c r="G1896" s="114">
        <v>1</v>
      </c>
      <c r="H1896" s="114">
        <v>6000</v>
      </c>
      <c r="I1896" s="114">
        <v>6000</v>
      </c>
      <c r="J1896" s="114">
        <v>5042</v>
      </c>
      <c r="K1896" s="114">
        <v>958</v>
      </c>
      <c r="L1896" s="114" t="str">
        <f t="shared" si="29"/>
        <v>INSERT INTO DETALLES_DOCUMENTO(NRO_DOCUMENTO,ID_TIPO,ID_PRODUCTO,CANTIDAD,PRECIO,VALOR_BRUTO,VALOR_NETO,VALOR_IVA) VALUES(940,1,329,1,6000,6000,5042,958);</v>
      </c>
    </row>
    <row r="1897" spans="1:12">
      <c r="A1897" s="114">
        <v>1</v>
      </c>
      <c r="B1897" s="114">
        <v>941</v>
      </c>
      <c r="C1897" s="139" t="s">
        <v>2312</v>
      </c>
      <c r="D1897" s="114" t="s">
        <v>2090</v>
      </c>
      <c r="E1897" s="114">
        <v>470</v>
      </c>
      <c r="F1897" s="114">
        <v>143</v>
      </c>
      <c r="G1897" s="114">
        <v>1</v>
      </c>
      <c r="H1897" s="114">
        <v>8200</v>
      </c>
      <c r="I1897" s="114">
        <v>8200</v>
      </c>
      <c r="J1897" s="114">
        <v>6891</v>
      </c>
      <c r="K1897" s="114">
        <v>1309</v>
      </c>
      <c r="L1897" s="114" t="str">
        <f t="shared" si="29"/>
        <v>INSERT INTO DETALLES_DOCUMENTO(NRO_DOCUMENTO,ID_TIPO,ID_PRODUCTO,CANTIDAD,PRECIO,VALOR_BRUTO,VALOR_NETO,VALOR_IVA) VALUES(941,1,143,1,8200,8200,6891,1309);</v>
      </c>
    </row>
    <row r="1898" spans="1:12">
      <c r="A1898" s="114">
        <v>1</v>
      </c>
      <c r="B1898" s="114">
        <v>942</v>
      </c>
      <c r="C1898" s="139" t="s">
        <v>2313</v>
      </c>
      <c r="D1898" s="114" t="s">
        <v>2090</v>
      </c>
      <c r="E1898" s="114">
        <v>108</v>
      </c>
      <c r="F1898" s="114">
        <v>67</v>
      </c>
      <c r="G1898" s="114">
        <v>2</v>
      </c>
      <c r="H1898" s="114">
        <v>1300</v>
      </c>
      <c r="I1898" s="114">
        <v>2600</v>
      </c>
      <c r="J1898" s="114">
        <v>2185</v>
      </c>
      <c r="K1898" s="114">
        <v>415</v>
      </c>
      <c r="L1898" s="114" t="str">
        <f t="shared" si="29"/>
        <v>INSERT INTO DETALLES_DOCUMENTO(NRO_DOCUMENTO,ID_TIPO,ID_PRODUCTO,CANTIDAD,PRECIO,VALOR_BRUTO,VALOR_NETO,VALOR_IVA) VALUES(942,1,67,2,1300,2600,2185,415);</v>
      </c>
    </row>
    <row r="1899" spans="1:12">
      <c r="A1899" s="114">
        <v>1</v>
      </c>
      <c r="B1899" s="114">
        <v>942</v>
      </c>
      <c r="C1899" s="139" t="s">
        <v>2313</v>
      </c>
      <c r="D1899" s="114" t="s">
        <v>2090</v>
      </c>
      <c r="E1899" s="114">
        <v>108</v>
      </c>
      <c r="F1899" s="114">
        <v>68</v>
      </c>
      <c r="G1899" s="114">
        <v>1</v>
      </c>
      <c r="H1899" s="114">
        <v>1200</v>
      </c>
      <c r="I1899" s="114">
        <v>1200</v>
      </c>
      <c r="J1899" s="114">
        <v>1008</v>
      </c>
      <c r="K1899" s="114">
        <v>192</v>
      </c>
      <c r="L1899" s="114" t="str">
        <f t="shared" si="29"/>
        <v>INSERT INTO DETALLES_DOCUMENTO(NRO_DOCUMENTO,ID_TIPO,ID_PRODUCTO,CANTIDAD,PRECIO,VALOR_BRUTO,VALOR_NETO,VALOR_IVA) VALUES(942,1,68,1,1200,1200,1008,192);</v>
      </c>
    </row>
    <row r="1900" spans="1:12">
      <c r="A1900" s="114">
        <v>1</v>
      </c>
      <c r="B1900" s="114">
        <v>942</v>
      </c>
      <c r="C1900" s="139" t="s">
        <v>2313</v>
      </c>
      <c r="D1900" s="114" t="s">
        <v>2090</v>
      </c>
      <c r="E1900" s="114">
        <v>108</v>
      </c>
      <c r="F1900" s="114">
        <v>26</v>
      </c>
      <c r="G1900" s="114">
        <v>-1</v>
      </c>
      <c r="H1900" s="114">
        <v>-3400</v>
      </c>
      <c r="I1900" s="114">
        <v>3400</v>
      </c>
      <c r="J1900" s="114">
        <v>2857</v>
      </c>
      <c r="K1900" s="114">
        <v>543</v>
      </c>
      <c r="L1900" s="114" t="str">
        <f t="shared" si="29"/>
        <v>INSERT INTO DETALLES_DOCUMENTO(NRO_DOCUMENTO,ID_TIPO,ID_PRODUCTO,CANTIDAD,PRECIO,VALOR_BRUTO,VALOR_NETO,VALOR_IVA) VALUES(942,1,26,-1,-3400,3400,2857,543);</v>
      </c>
    </row>
    <row r="1901" spans="1:12">
      <c r="A1901" s="114">
        <v>1</v>
      </c>
      <c r="B1901" s="114">
        <v>943</v>
      </c>
      <c r="C1901" s="139" t="s">
        <v>2313</v>
      </c>
      <c r="D1901" s="114" t="s">
        <v>2090</v>
      </c>
      <c r="E1901" s="114">
        <v>163</v>
      </c>
      <c r="F1901" s="114">
        <v>231</v>
      </c>
      <c r="G1901" s="114">
        <v>1</v>
      </c>
      <c r="H1901" s="114">
        <v>20900</v>
      </c>
      <c r="I1901" s="114">
        <v>20900</v>
      </c>
      <c r="J1901" s="114">
        <v>17563</v>
      </c>
      <c r="K1901" s="114">
        <v>3337</v>
      </c>
      <c r="L1901" s="114" t="str">
        <f t="shared" si="29"/>
        <v>INSERT INTO DETALLES_DOCUMENTO(NRO_DOCUMENTO,ID_TIPO,ID_PRODUCTO,CANTIDAD,PRECIO,VALOR_BRUTO,VALOR_NETO,VALOR_IVA) VALUES(943,1,231,1,20900,20900,17563,3337);</v>
      </c>
    </row>
    <row r="1902" spans="1:12">
      <c r="A1902" s="114">
        <v>1</v>
      </c>
      <c r="B1902" s="114">
        <v>944</v>
      </c>
      <c r="C1902" s="139" t="s">
        <v>2313</v>
      </c>
      <c r="D1902" s="114" t="s">
        <v>2090</v>
      </c>
      <c r="E1902" s="114">
        <v>300</v>
      </c>
      <c r="F1902" s="114">
        <v>261</v>
      </c>
      <c r="G1902" s="114">
        <v>1</v>
      </c>
      <c r="H1902" s="114">
        <v>7000</v>
      </c>
      <c r="I1902" s="114">
        <v>7000</v>
      </c>
      <c r="J1902" s="114">
        <v>5882</v>
      </c>
      <c r="K1902" s="114">
        <v>1118</v>
      </c>
      <c r="L1902" s="114" t="str">
        <f t="shared" si="29"/>
        <v>INSERT INTO DETALLES_DOCUMENTO(NRO_DOCUMENTO,ID_TIPO,ID_PRODUCTO,CANTIDAD,PRECIO,VALOR_BRUTO,VALOR_NETO,VALOR_IVA) VALUES(944,1,261,1,7000,7000,5882,1118);</v>
      </c>
    </row>
    <row r="1903" spans="1:12">
      <c r="A1903" s="114">
        <v>1</v>
      </c>
      <c r="B1903" s="114">
        <v>944</v>
      </c>
      <c r="C1903" s="139" t="s">
        <v>2313</v>
      </c>
      <c r="D1903" s="114" t="s">
        <v>2090</v>
      </c>
      <c r="E1903" s="114">
        <v>300</v>
      </c>
      <c r="F1903" s="114">
        <v>368</v>
      </c>
      <c r="G1903" s="114">
        <v>2</v>
      </c>
      <c r="H1903" s="114">
        <v>6000</v>
      </c>
      <c r="I1903" s="114">
        <v>12000</v>
      </c>
      <c r="J1903" s="114">
        <v>10084</v>
      </c>
      <c r="K1903" s="114">
        <v>1916</v>
      </c>
      <c r="L1903" s="114" t="str">
        <f t="shared" si="29"/>
        <v>INSERT INTO DETALLES_DOCUMENTO(NRO_DOCUMENTO,ID_TIPO,ID_PRODUCTO,CANTIDAD,PRECIO,VALOR_BRUTO,VALOR_NETO,VALOR_IVA) VALUES(944,1,368,2,6000,12000,10084,1916);</v>
      </c>
    </row>
    <row r="1904" spans="1:12">
      <c r="A1904" s="114">
        <v>1</v>
      </c>
      <c r="B1904" s="114">
        <v>944</v>
      </c>
      <c r="C1904" s="139" t="s">
        <v>2313</v>
      </c>
      <c r="D1904" s="114" t="s">
        <v>2090</v>
      </c>
      <c r="E1904" s="114">
        <v>300</v>
      </c>
      <c r="F1904" s="114">
        <v>354</v>
      </c>
      <c r="G1904" s="114">
        <v>2</v>
      </c>
      <c r="H1904" s="114">
        <v>3600</v>
      </c>
      <c r="I1904" s="114">
        <v>7200</v>
      </c>
      <c r="J1904" s="114">
        <v>6050</v>
      </c>
      <c r="K1904" s="114">
        <v>1150</v>
      </c>
      <c r="L1904" s="114" t="str">
        <f t="shared" si="29"/>
        <v>INSERT INTO DETALLES_DOCUMENTO(NRO_DOCUMENTO,ID_TIPO,ID_PRODUCTO,CANTIDAD,PRECIO,VALOR_BRUTO,VALOR_NETO,VALOR_IVA) VALUES(944,1,354,2,3600,7200,6050,1150);</v>
      </c>
    </row>
    <row r="1905" spans="1:12">
      <c r="A1905" s="114">
        <v>1</v>
      </c>
      <c r="B1905" s="114">
        <v>944</v>
      </c>
      <c r="C1905" s="139" t="s">
        <v>2313</v>
      </c>
      <c r="D1905" s="114" t="s">
        <v>2090</v>
      </c>
      <c r="E1905" s="114">
        <v>300</v>
      </c>
      <c r="F1905" s="114">
        <v>118</v>
      </c>
      <c r="G1905" s="114">
        <v>1</v>
      </c>
      <c r="H1905" s="114">
        <v>3500</v>
      </c>
      <c r="I1905" s="114">
        <v>3500</v>
      </c>
      <c r="J1905" s="114">
        <v>2941</v>
      </c>
      <c r="K1905" s="114">
        <v>559</v>
      </c>
      <c r="L1905" s="114" t="str">
        <f t="shared" si="29"/>
        <v>INSERT INTO DETALLES_DOCUMENTO(NRO_DOCUMENTO,ID_TIPO,ID_PRODUCTO,CANTIDAD,PRECIO,VALOR_BRUTO,VALOR_NETO,VALOR_IVA) VALUES(944,1,118,1,3500,3500,2941,559);</v>
      </c>
    </row>
    <row r="1906" spans="1:12">
      <c r="A1906" s="114">
        <v>1</v>
      </c>
      <c r="B1906" s="114">
        <v>944</v>
      </c>
      <c r="C1906" s="139" t="s">
        <v>2313</v>
      </c>
      <c r="D1906" s="114" t="s">
        <v>2090</v>
      </c>
      <c r="E1906" s="114">
        <v>300</v>
      </c>
      <c r="F1906" s="114">
        <v>117</v>
      </c>
      <c r="G1906" s="114">
        <v>1</v>
      </c>
      <c r="H1906" s="114">
        <v>3500</v>
      </c>
      <c r="I1906" s="114">
        <v>3500</v>
      </c>
      <c r="J1906" s="114">
        <v>2941</v>
      </c>
      <c r="K1906" s="114">
        <v>559</v>
      </c>
      <c r="L1906" s="114" t="str">
        <f t="shared" si="29"/>
        <v>INSERT INTO DETALLES_DOCUMENTO(NRO_DOCUMENTO,ID_TIPO,ID_PRODUCTO,CANTIDAD,PRECIO,VALOR_BRUTO,VALOR_NETO,VALOR_IVA) VALUES(944,1,117,1,3500,3500,2941,559);</v>
      </c>
    </row>
    <row r="1907" spans="1:12">
      <c r="A1907" s="114">
        <v>1</v>
      </c>
      <c r="B1907" s="114">
        <v>945</v>
      </c>
      <c r="C1907" s="139" t="s">
        <v>2313</v>
      </c>
      <c r="D1907" s="114" t="s">
        <v>2090</v>
      </c>
      <c r="E1907" s="114">
        <v>334</v>
      </c>
      <c r="F1907" s="114">
        <v>143</v>
      </c>
      <c r="G1907" s="114">
        <v>1</v>
      </c>
      <c r="H1907" s="114">
        <v>8200</v>
      </c>
      <c r="I1907" s="114">
        <v>8200</v>
      </c>
      <c r="J1907" s="114">
        <v>6891</v>
      </c>
      <c r="K1907" s="114">
        <v>1309</v>
      </c>
      <c r="L1907" s="114" t="str">
        <f t="shared" si="29"/>
        <v>INSERT INTO DETALLES_DOCUMENTO(NRO_DOCUMENTO,ID_TIPO,ID_PRODUCTO,CANTIDAD,PRECIO,VALOR_BRUTO,VALOR_NETO,VALOR_IVA) VALUES(945,1,143,1,8200,8200,6891,1309);</v>
      </c>
    </row>
    <row r="1908" spans="1:12">
      <c r="A1908" s="114">
        <v>1</v>
      </c>
      <c r="B1908" s="114">
        <v>946</v>
      </c>
      <c r="C1908" s="139" t="s">
        <v>2313</v>
      </c>
      <c r="D1908" s="114" t="s">
        <v>2090</v>
      </c>
      <c r="E1908" s="114">
        <v>394</v>
      </c>
      <c r="F1908" s="114">
        <v>230</v>
      </c>
      <c r="G1908" s="114">
        <v>1</v>
      </c>
      <c r="H1908" s="114">
        <v>16500</v>
      </c>
      <c r="I1908" s="114">
        <v>16500</v>
      </c>
      <c r="J1908" s="114">
        <v>13866</v>
      </c>
      <c r="K1908" s="114">
        <v>2634</v>
      </c>
      <c r="L1908" s="114" t="str">
        <f t="shared" si="29"/>
        <v>INSERT INTO DETALLES_DOCUMENTO(NRO_DOCUMENTO,ID_TIPO,ID_PRODUCTO,CANTIDAD,PRECIO,VALOR_BRUTO,VALOR_NETO,VALOR_IVA) VALUES(946,1,230,1,16500,16500,13866,2634);</v>
      </c>
    </row>
    <row r="1909" spans="1:12">
      <c r="A1909" s="114">
        <v>1</v>
      </c>
      <c r="B1909" s="114">
        <v>946</v>
      </c>
      <c r="C1909" s="139" t="s">
        <v>2313</v>
      </c>
      <c r="D1909" s="114" t="s">
        <v>2090</v>
      </c>
      <c r="E1909" s="114">
        <v>394</v>
      </c>
      <c r="F1909" s="114">
        <v>265</v>
      </c>
      <c r="G1909" s="114">
        <v>1</v>
      </c>
      <c r="H1909" s="114">
        <v>10000</v>
      </c>
      <c r="I1909" s="114">
        <v>10000</v>
      </c>
      <c r="J1909" s="114">
        <v>8403</v>
      </c>
      <c r="K1909" s="114">
        <v>1597</v>
      </c>
      <c r="L1909" s="114" t="str">
        <f t="shared" si="29"/>
        <v>INSERT INTO DETALLES_DOCUMENTO(NRO_DOCUMENTO,ID_TIPO,ID_PRODUCTO,CANTIDAD,PRECIO,VALOR_BRUTO,VALOR_NETO,VALOR_IVA) VALUES(946,1,265,1,10000,10000,8403,1597);</v>
      </c>
    </row>
    <row r="1910" spans="1:12">
      <c r="A1910" s="114">
        <v>1</v>
      </c>
      <c r="B1910" s="114">
        <v>946</v>
      </c>
      <c r="C1910" s="139" t="s">
        <v>2313</v>
      </c>
      <c r="D1910" s="114" t="s">
        <v>2090</v>
      </c>
      <c r="E1910" s="114">
        <v>394</v>
      </c>
      <c r="F1910" s="114">
        <v>360</v>
      </c>
      <c r="G1910" s="114">
        <v>1</v>
      </c>
      <c r="H1910" s="114">
        <v>3000</v>
      </c>
      <c r="I1910" s="114">
        <v>3000</v>
      </c>
      <c r="J1910" s="114">
        <v>2521</v>
      </c>
      <c r="K1910" s="114">
        <v>479</v>
      </c>
      <c r="L1910" s="114" t="str">
        <f t="shared" si="29"/>
        <v>INSERT INTO DETALLES_DOCUMENTO(NRO_DOCUMENTO,ID_TIPO,ID_PRODUCTO,CANTIDAD,PRECIO,VALOR_BRUTO,VALOR_NETO,VALOR_IVA) VALUES(946,1,360,1,3000,3000,2521,479);</v>
      </c>
    </row>
    <row r="1911" spans="1:12">
      <c r="A1911" s="114">
        <v>1</v>
      </c>
      <c r="B1911" s="114">
        <v>946</v>
      </c>
      <c r="C1911" s="139" t="s">
        <v>2313</v>
      </c>
      <c r="D1911" s="114" t="s">
        <v>2090</v>
      </c>
      <c r="E1911" s="114">
        <v>394</v>
      </c>
      <c r="F1911" s="114">
        <v>120</v>
      </c>
      <c r="G1911" s="114">
        <v>1</v>
      </c>
      <c r="H1911" s="114">
        <v>1700</v>
      </c>
      <c r="I1911" s="114">
        <v>1700</v>
      </c>
      <c r="J1911" s="114">
        <v>1429</v>
      </c>
      <c r="K1911" s="114">
        <v>271</v>
      </c>
      <c r="L1911" s="114" t="str">
        <f t="shared" si="29"/>
        <v>INSERT INTO DETALLES_DOCUMENTO(NRO_DOCUMENTO,ID_TIPO,ID_PRODUCTO,CANTIDAD,PRECIO,VALOR_BRUTO,VALOR_NETO,VALOR_IVA) VALUES(946,1,120,1,1700,1700,1429,271);</v>
      </c>
    </row>
    <row r="1912" spans="1:12">
      <c r="A1912" s="114">
        <v>1</v>
      </c>
      <c r="B1912" s="114">
        <v>947</v>
      </c>
      <c r="C1912" s="139" t="s">
        <v>2313</v>
      </c>
      <c r="D1912" s="114" t="s">
        <v>2090</v>
      </c>
      <c r="E1912" s="114">
        <v>418</v>
      </c>
      <c r="F1912" s="114">
        <v>329</v>
      </c>
      <c r="G1912" s="114">
        <v>1</v>
      </c>
      <c r="H1912" s="114">
        <v>6000</v>
      </c>
      <c r="I1912" s="114">
        <v>6000</v>
      </c>
      <c r="J1912" s="114">
        <v>5042</v>
      </c>
      <c r="K1912" s="114">
        <v>958</v>
      </c>
      <c r="L1912" s="114" t="str">
        <f t="shared" si="29"/>
        <v>INSERT INTO DETALLES_DOCUMENTO(NRO_DOCUMENTO,ID_TIPO,ID_PRODUCTO,CANTIDAD,PRECIO,VALOR_BRUTO,VALOR_NETO,VALOR_IVA) VALUES(947,1,329,1,6000,6000,5042,958);</v>
      </c>
    </row>
    <row r="1913" spans="1:12">
      <c r="A1913" s="114">
        <v>1</v>
      </c>
      <c r="B1913" s="114">
        <v>948</v>
      </c>
      <c r="C1913" s="139" t="s">
        <v>2313</v>
      </c>
      <c r="D1913" s="114" t="s">
        <v>2090</v>
      </c>
      <c r="E1913" s="114">
        <v>451</v>
      </c>
      <c r="F1913" s="114">
        <v>329</v>
      </c>
      <c r="G1913" s="114">
        <v>1</v>
      </c>
      <c r="H1913" s="114">
        <v>6000</v>
      </c>
      <c r="I1913" s="114">
        <v>6000</v>
      </c>
      <c r="J1913" s="114">
        <v>5042</v>
      </c>
      <c r="K1913" s="114">
        <v>958</v>
      </c>
      <c r="L1913" s="114" t="str">
        <f t="shared" si="29"/>
        <v>INSERT INTO DETALLES_DOCUMENTO(NRO_DOCUMENTO,ID_TIPO,ID_PRODUCTO,CANTIDAD,PRECIO,VALOR_BRUTO,VALOR_NETO,VALOR_IVA) VALUES(948,1,329,1,6000,6000,5042,958);</v>
      </c>
    </row>
    <row r="1914" spans="1:12">
      <c r="A1914" s="114">
        <v>1</v>
      </c>
      <c r="B1914" s="114">
        <v>948</v>
      </c>
      <c r="C1914" s="139" t="s">
        <v>2313</v>
      </c>
      <c r="D1914" s="114" t="s">
        <v>2090</v>
      </c>
      <c r="E1914" s="114">
        <v>451</v>
      </c>
      <c r="F1914" s="114">
        <v>191</v>
      </c>
      <c r="G1914" s="114">
        <v>1</v>
      </c>
      <c r="H1914" s="114">
        <v>2500</v>
      </c>
      <c r="I1914" s="114">
        <v>2500</v>
      </c>
      <c r="J1914" s="114">
        <v>2101</v>
      </c>
      <c r="K1914" s="114">
        <v>399</v>
      </c>
      <c r="L1914" s="114" t="str">
        <f t="shared" si="29"/>
        <v>INSERT INTO DETALLES_DOCUMENTO(NRO_DOCUMENTO,ID_TIPO,ID_PRODUCTO,CANTIDAD,PRECIO,VALOR_BRUTO,VALOR_NETO,VALOR_IVA) VALUES(948,1,191,1,2500,2500,2101,399);</v>
      </c>
    </row>
    <row r="1915" spans="1:12">
      <c r="A1915" s="114">
        <v>1</v>
      </c>
      <c r="B1915" s="114">
        <v>948</v>
      </c>
      <c r="C1915" s="139" t="s">
        <v>2313</v>
      </c>
      <c r="D1915" s="114" t="s">
        <v>2090</v>
      </c>
      <c r="E1915" s="114">
        <v>451</v>
      </c>
      <c r="F1915" s="114">
        <v>377</v>
      </c>
      <c r="G1915" s="114">
        <v>1</v>
      </c>
      <c r="H1915" s="114">
        <v>1600</v>
      </c>
      <c r="I1915" s="114">
        <v>1600</v>
      </c>
      <c r="J1915" s="114">
        <v>1345</v>
      </c>
      <c r="K1915" s="114">
        <v>255</v>
      </c>
      <c r="L1915" s="114" t="str">
        <f t="shared" si="29"/>
        <v>INSERT INTO DETALLES_DOCUMENTO(NRO_DOCUMENTO,ID_TIPO,ID_PRODUCTO,CANTIDAD,PRECIO,VALOR_BRUTO,VALOR_NETO,VALOR_IVA) VALUES(948,1,377,1,1600,1600,1345,255);</v>
      </c>
    </row>
    <row r="1916" spans="1:12">
      <c r="A1916" s="114">
        <v>1</v>
      </c>
      <c r="B1916" s="114">
        <v>949</v>
      </c>
      <c r="C1916" s="139" t="s">
        <v>2314</v>
      </c>
      <c r="D1916" s="114" t="s">
        <v>2090</v>
      </c>
      <c r="E1916" s="114">
        <v>76</v>
      </c>
      <c r="F1916" s="114">
        <v>324</v>
      </c>
      <c r="G1916" s="114">
        <v>1</v>
      </c>
      <c r="H1916" s="114">
        <v>11000</v>
      </c>
      <c r="I1916" s="114">
        <v>11000</v>
      </c>
      <c r="J1916" s="114">
        <v>9244</v>
      </c>
      <c r="K1916" s="114">
        <v>1756</v>
      </c>
      <c r="L1916" s="114" t="str">
        <f t="shared" si="29"/>
        <v>INSERT INTO DETALLES_DOCUMENTO(NRO_DOCUMENTO,ID_TIPO,ID_PRODUCTO,CANTIDAD,PRECIO,VALOR_BRUTO,VALOR_NETO,VALOR_IVA) VALUES(949,1,324,1,11000,11000,9244,1756);</v>
      </c>
    </row>
    <row r="1917" spans="1:12">
      <c r="A1917" s="114">
        <v>1</v>
      </c>
      <c r="B1917" s="114">
        <v>949</v>
      </c>
      <c r="C1917" s="139" t="s">
        <v>2314</v>
      </c>
      <c r="D1917" s="114" t="s">
        <v>2090</v>
      </c>
      <c r="E1917" s="114">
        <v>76</v>
      </c>
      <c r="F1917" s="114">
        <v>53</v>
      </c>
      <c r="G1917" s="114">
        <v>1</v>
      </c>
      <c r="H1917" s="114">
        <v>4200</v>
      </c>
      <c r="I1917" s="114">
        <v>4200</v>
      </c>
      <c r="J1917" s="114">
        <v>3529</v>
      </c>
      <c r="K1917" s="114">
        <v>671</v>
      </c>
      <c r="L1917" s="114" t="str">
        <f t="shared" si="29"/>
        <v>INSERT INTO DETALLES_DOCUMENTO(NRO_DOCUMENTO,ID_TIPO,ID_PRODUCTO,CANTIDAD,PRECIO,VALOR_BRUTO,VALOR_NETO,VALOR_IVA) VALUES(949,1,53,1,4200,4200,3529,671);</v>
      </c>
    </row>
    <row r="1918" spans="1:12">
      <c r="A1918" s="114">
        <v>1</v>
      </c>
      <c r="B1918" s="114">
        <v>950</v>
      </c>
      <c r="C1918" s="139" t="s">
        <v>2314</v>
      </c>
      <c r="D1918" s="114" t="s">
        <v>2090</v>
      </c>
      <c r="E1918" s="114">
        <v>226</v>
      </c>
      <c r="F1918" s="114">
        <v>263</v>
      </c>
      <c r="G1918" s="114">
        <v>1</v>
      </c>
      <c r="H1918" s="114">
        <v>8000</v>
      </c>
      <c r="I1918" s="114">
        <v>8000</v>
      </c>
      <c r="J1918" s="114">
        <v>6723</v>
      </c>
      <c r="K1918" s="114">
        <v>1277</v>
      </c>
      <c r="L1918" s="114" t="str">
        <f t="shared" si="29"/>
        <v>INSERT INTO DETALLES_DOCUMENTO(NRO_DOCUMENTO,ID_TIPO,ID_PRODUCTO,CANTIDAD,PRECIO,VALOR_BRUTO,VALOR_NETO,VALOR_IVA) VALUES(950,1,263,1,8000,8000,6723,1277);</v>
      </c>
    </row>
    <row r="1919" spans="1:12">
      <c r="A1919" s="114">
        <v>1</v>
      </c>
      <c r="B1919" s="114">
        <v>951</v>
      </c>
      <c r="C1919" s="139" t="s">
        <v>2314</v>
      </c>
      <c r="D1919" s="114" t="s">
        <v>2090</v>
      </c>
      <c r="E1919" s="114">
        <v>397</v>
      </c>
      <c r="F1919" s="114">
        <v>276</v>
      </c>
      <c r="G1919" s="114">
        <v>1</v>
      </c>
      <c r="H1919" s="114">
        <v>8000</v>
      </c>
      <c r="I1919" s="114">
        <v>8000</v>
      </c>
      <c r="J1919" s="114">
        <v>6723</v>
      </c>
      <c r="K1919" s="114">
        <v>1277</v>
      </c>
      <c r="L1919" s="114" t="str">
        <f t="shared" si="29"/>
        <v>INSERT INTO DETALLES_DOCUMENTO(NRO_DOCUMENTO,ID_TIPO,ID_PRODUCTO,CANTIDAD,PRECIO,VALOR_BRUTO,VALOR_NETO,VALOR_IVA) VALUES(951,1,276,1,8000,8000,6723,1277);</v>
      </c>
    </row>
    <row r="1920" spans="1:12">
      <c r="A1920" s="114">
        <v>1</v>
      </c>
      <c r="B1920" s="114">
        <v>952</v>
      </c>
      <c r="C1920" s="139" t="s">
        <v>2314</v>
      </c>
      <c r="D1920" s="114" t="s">
        <v>2090</v>
      </c>
      <c r="E1920" s="114">
        <v>446</v>
      </c>
      <c r="F1920" s="114">
        <v>126</v>
      </c>
      <c r="G1920" s="114">
        <v>1</v>
      </c>
      <c r="H1920" s="114">
        <v>9000</v>
      </c>
      <c r="I1920" s="114">
        <v>9000</v>
      </c>
      <c r="J1920" s="114">
        <v>7563</v>
      </c>
      <c r="K1920" s="114">
        <v>1437</v>
      </c>
      <c r="L1920" s="114" t="str">
        <f t="shared" si="29"/>
        <v>INSERT INTO DETALLES_DOCUMENTO(NRO_DOCUMENTO,ID_TIPO,ID_PRODUCTO,CANTIDAD,PRECIO,VALOR_BRUTO,VALOR_NETO,VALOR_IVA) VALUES(952,1,126,1,9000,9000,7563,1437);</v>
      </c>
    </row>
    <row r="1921" spans="1:12">
      <c r="A1921" s="114">
        <v>1</v>
      </c>
      <c r="B1921" s="114">
        <v>953</v>
      </c>
      <c r="C1921" s="139" t="s">
        <v>2314</v>
      </c>
      <c r="D1921" s="114" t="s">
        <v>2090</v>
      </c>
      <c r="E1921" s="114">
        <v>477</v>
      </c>
      <c r="F1921" s="114">
        <v>324</v>
      </c>
      <c r="G1921" s="114">
        <v>1</v>
      </c>
      <c r="H1921" s="114">
        <v>11000</v>
      </c>
      <c r="I1921" s="114">
        <v>11000</v>
      </c>
      <c r="J1921" s="114">
        <v>9244</v>
      </c>
      <c r="K1921" s="114">
        <v>1756</v>
      </c>
      <c r="L1921" s="114" t="str">
        <f t="shared" si="29"/>
        <v>INSERT INTO DETALLES_DOCUMENTO(NRO_DOCUMENTO,ID_TIPO,ID_PRODUCTO,CANTIDAD,PRECIO,VALOR_BRUTO,VALOR_NETO,VALOR_IVA) VALUES(953,1,324,1,11000,11000,9244,1756);</v>
      </c>
    </row>
    <row r="1922" spans="1:12">
      <c r="A1922" s="114">
        <v>1</v>
      </c>
      <c r="B1922" s="114">
        <v>953</v>
      </c>
      <c r="C1922" s="139" t="s">
        <v>2314</v>
      </c>
      <c r="D1922" s="114" t="s">
        <v>2090</v>
      </c>
      <c r="E1922" s="114">
        <v>477</v>
      </c>
      <c r="F1922" s="114">
        <v>164</v>
      </c>
      <c r="G1922" s="114">
        <v>1</v>
      </c>
      <c r="H1922" s="114">
        <v>3200</v>
      </c>
      <c r="I1922" s="114">
        <v>3200</v>
      </c>
      <c r="J1922" s="114">
        <v>2689</v>
      </c>
      <c r="K1922" s="114">
        <v>511</v>
      </c>
      <c r="L1922" s="114" t="str">
        <f t="shared" si="29"/>
        <v>INSERT INTO DETALLES_DOCUMENTO(NRO_DOCUMENTO,ID_TIPO,ID_PRODUCTO,CANTIDAD,PRECIO,VALOR_BRUTO,VALOR_NETO,VALOR_IVA) VALUES(953,1,164,1,3200,3200,2689,511);</v>
      </c>
    </row>
    <row r="1923" spans="1:12">
      <c r="A1923" s="114">
        <v>1</v>
      </c>
      <c r="B1923" s="114">
        <v>953</v>
      </c>
      <c r="C1923" s="139" t="s">
        <v>2314</v>
      </c>
      <c r="D1923" s="114" t="s">
        <v>2090</v>
      </c>
      <c r="E1923" s="114">
        <v>477</v>
      </c>
      <c r="F1923" s="114">
        <v>165</v>
      </c>
      <c r="G1923" s="114">
        <v>1</v>
      </c>
      <c r="H1923" s="114">
        <v>2000</v>
      </c>
      <c r="I1923" s="114">
        <v>2000</v>
      </c>
      <c r="J1923" s="114">
        <v>1681</v>
      </c>
      <c r="K1923" s="114">
        <v>319</v>
      </c>
      <c r="L1923" s="114" t="str">
        <f t="shared" ref="L1923:L1986" si="30">CONCATENATE("INSERT INTO DETALLES_DOCUMENTO(NRO_DOCUMENTO,ID_TIPO,ID_PRODUCTO,CANTIDAD,PRECIO,VALOR_BRUTO,VALOR_NETO,VALOR_IVA) VALUES(",B1923,",",A1923,",",F1923,",",G1923,",",H1923,",",I1923,",",J1923,",",K1923,");")</f>
        <v>INSERT INTO DETALLES_DOCUMENTO(NRO_DOCUMENTO,ID_TIPO,ID_PRODUCTO,CANTIDAD,PRECIO,VALOR_BRUTO,VALOR_NETO,VALOR_IVA) VALUES(953,1,165,1,2000,2000,1681,319);</v>
      </c>
    </row>
    <row r="1924" spans="1:12">
      <c r="A1924" s="114">
        <v>1</v>
      </c>
      <c r="B1924" s="114">
        <v>953</v>
      </c>
      <c r="C1924" s="139" t="s">
        <v>2314</v>
      </c>
      <c r="D1924" s="114" t="s">
        <v>2090</v>
      </c>
      <c r="E1924" s="114">
        <v>477</v>
      </c>
      <c r="F1924" s="114">
        <v>98</v>
      </c>
      <c r="G1924" s="114">
        <v>1</v>
      </c>
      <c r="H1924" s="114">
        <v>3500</v>
      </c>
      <c r="I1924" s="114">
        <v>3500</v>
      </c>
      <c r="J1924" s="114">
        <v>2941</v>
      </c>
      <c r="K1924" s="114">
        <v>559</v>
      </c>
      <c r="L1924" s="114" t="str">
        <f t="shared" si="30"/>
        <v>INSERT INTO DETALLES_DOCUMENTO(NRO_DOCUMENTO,ID_TIPO,ID_PRODUCTO,CANTIDAD,PRECIO,VALOR_BRUTO,VALOR_NETO,VALOR_IVA) VALUES(953,1,98,1,3500,3500,2941,559);</v>
      </c>
    </row>
    <row r="1925" spans="1:12">
      <c r="A1925" s="114">
        <v>1</v>
      </c>
      <c r="B1925" s="114">
        <v>953</v>
      </c>
      <c r="C1925" s="139" t="s">
        <v>2314</v>
      </c>
      <c r="D1925" s="114" t="s">
        <v>2090</v>
      </c>
      <c r="E1925" s="114">
        <v>477</v>
      </c>
      <c r="F1925" s="114">
        <v>231</v>
      </c>
      <c r="G1925" s="114">
        <v>1</v>
      </c>
      <c r="H1925" s="114">
        <v>20900</v>
      </c>
      <c r="I1925" s="114">
        <v>20900</v>
      </c>
      <c r="J1925" s="114">
        <v>17563</v>
      </c>
      <c r="K1925" s="114">
        <v>3337</v>
      </c>
      <c r="L1925" s="114" t="str">
        <f t="shared" si="30"/>
        <v>INSERT INTO DETALLES_DOCUMENTO(NRO_DOCUMENTO,ID_TIPO,ID_PRODUCTO,CANTIDAD,PRECIO,VALOR_BRUTO,VALOR_NETO,VALOR_IVA) VALUES(953,1,231,1,20900,20900,17563,3337);</v>
      </c>
    </row>
    <row r="1926" spans="1:12">
      <c r="A1926" s="114">
        <v>1</v>
      </c>
      <c r="B1926" s="114">
        <v>953</v>
      </c>
      <c r="C1926" s="139" t="s">
        <v>2314</v>
      </c>
      <c r="D1926" s="114" t="s">
        <v>2090</v>
      </c>
      <c r="E1926" s="114">
        <v>477</v>
      </c>
      <c r="F1926" s="114">
        <v>117</v>
      </c>
      <c r="G1926" s="114">
        <v>1</v>
      </c>
      <c r="H1926" s="114">
        <v>3500</v>
      </c>
      <c r="I1926" s="114">
        <v>3500</v>
      </c>
      <c r="J1926" s="114">
        <v>2941</v>
      </c>
      <c r="K1926" s="114">
        <v>559</v>
      </c>
      <c r="L1926" s="114" t="str">
        <f t="shared" si="30"/>
        <v>INSERT INTO DETALLES_DOCUMENTO(NRO_DOCUMENTO,ID_TIPO,ID_PRODUCTO,CANTIDAD,PRECIO,VALOR_BRUTO,VALOR_NETO,VALOR_IVA) VALUES(953,1,117,1,3500,3500,2941,559);</v>
      </c>
    </row>
    <row r="1927" spans="1:12">
      <c r="A1927" s="114">
        <v>1</v>
      </c>
      <c r="B1927" s="114">
        <v>954</v>
      </c>
      <c r="C1927" s="139" t="s">
        <v>2315</v>
      </c>
      <c r="D1927" s="114" t="s">
        <v>2090</v>
      </c>
      <c r="E1927" s="114">
        <v>56</v>
      </c>
      <c r="F1927" s="114">
        <v>143</v>
      </c>
      <c r="G1927" s="114">
        <v>1</v>
      </c>
      <c r="H1927" s="114">
        <v>8200</v>
      </c>
      <c r="I1927" s="114">
        <v>8200</v>
      </c>
      <c r="J1927" s="114">
        <v>6891</v>
      </c>
      <c r="K1927" s="114">
        <v>1309</v>
      </c>
      <c r="L1927" s="114" t="str">
        <f t="shared" si="30"/>
        <v>INSERT INTO DETALLES_DOCUMENTO(NRO_DOCUMENTO,ID_TIPO,ID_PRODUCTO,CANTIDAD,PRECIO,VALOR_BRUTO,VALOR_NETO,VALOR_IVA) VALUES(954,1,143,1,8200,8200,6891,1309);</v>
      </c>
    </row>
    <row r="1928" spans="1:12">
      <c r="A1928" s="114">
        <v>1</v>
      </c>
      <c r="B1928" s="114">
        <v>954</v>
      </c>
      <c r="C1928" s="139" t="s">
        <v>2315</v>
      </c>
      <c r="D1928" s="114" t="s">
        <v>2090</v>
      </c>
      <c r="E1928" s="114">
        <v>56</v>
      </c>
      <c r="F1928" s="114">
        <v>324</v>
      </c>
      <c r="G1928" s="114">
        <v>1</v>
      </c>
      <c r="H1928" s="114">
        <v>11000</v>
      </c>
      <c r="I1928" s="114">
        <v>11000</v>
      </c>
      <c r="J1928" s="114">
        <v>9244</v>
      </c>
      <c r="K1928" s="114">
        <v>1756</v>
      </c>
      <c r="L1928" s="114" t="str">
        <f t="shared" si="30"/>
        <v>INSERT INTO DETALLES_DOCUMENTO(NRO_DOCUMENTO,ID_TIPO,ID_PRODUCTO,CANTIDAD,PRECIO,VALOR_BRUTO,VALOR_NETO,VALOR_IVA) VALUES(954,1,324,1,11000,11000,9244,1756);</v>
      </c>
    </row>
    <row r="1929" spans="1:12">
      <c r="A1929" s="114">
        <v>1</v>
      </c>
      <c r="B1929" s="114">
        <v>955</v>
      </c>
      <c r="C1929" s="139" t="s">
        <v>2315</v>
      </c>
      <c r="D1929" s="114" t="s">
        <v>2090</v>
      </c>
      <c r="E1929" s="114">
        <v>72</v>
      </c>
      <c r="F1929" s="114">
        <v>329</v>
      </c>
      <c r="G1929" s="114">
        <v>1</v>
      </c>
      <c r="H1929" s="114">
        <v>6000</v>
      </c>
      <c r="I1929" s="114">
        <v>6000</v>
      </c>
      <c r="J1929" s="114">
        <v>5042</v>
      </c>
      <c r="K1929" s="114">
        <v>958</v>
      </c>
      <c r="L1929" s="114" t="str">
        <f t="shared" si="30"/>
        <v>INSERT INTO DETALLES_DOCUMENTO(NRO_DOCUMENTO,ID_TIPO,ID_PRODUCTO,CANTIDAD,PRECIO,VALOR_BRUTO,VALOR_NETO,VALOR_IVA) VALUES(955,1,329,1,6000,6000,5042,958);</v>
      </c>
    </row>
    <row r="1930" spans="1:12">
      <c r="A1930" s="114">
        <v>1</v>
      </c>
      <c r="B1930" s="114">
        <v>956</v>
      </c>
      <c r="C1930" s="139" t="s">
        <v>2315</v>
      </c>
      <c r="D1930" s="114" t="s">
        <v>2090</v>
      </c>
      <c r="E1930" s="114">
        <v>166</v>
      </c>
      <c r="F1930" s="114">
        <v>329</v>
      </c>
      <c r="G1930" s="114">
        <v>1</v>
      </c>
      <c r="H1930" s="114">
        <v>6000</v>
      </c>
      <c r="I1930" s="114">
        <v>6000</v>
      </c>
      <c r="J1930" s="114">
        <v>5042</v>
      </c>
      <c r="K1930" s="114">
        <v>958</v>
      </c>
      <c r="L1930" s="114" t="str">
        <f t="shared" si="30"/>
        <v>INSERT INTO DETALLES_DOCUMENTO(NRO_DOCUMENTO,ID_TIPO,ID_PRODUCTO,CANTIDAD,PRECIO,VALOR_BRUTO,VALOR_NETO,VALOR_IVA) VALUES(956,1,329,1,6000,6000,5042,958);</v>
      </c>
    </row>
    <row r="1931" spans="1:12">
      <c r="A1931" s="114">
        <v>1</v>
      </c>
      <c r="B1931" s="114">
        <v>957</v>
      </c>
      <c r="C1931" s="139" t="s">
        <v>2315</v>
      </c>
      <c r="D1931" s="114" t="s">
        <v>2090</v>
      </c>
      <c r="E1931" s="114">
        <v>353</v>
      </c>
      <c r="F1931" s="114">
        <v>368</v>
      </c>
      <c r="G1931" s="114">
        <v>1</v>
      </c>
      <c r="H1931" s="114">
        <v>3000</v>
      </c>
      <c r="I1931" s="114">
        <v>3000</v>
      </c>
      <c r="J1931" s="114">
        <v>2521</v>
      </c>
      <c r="K1931" s="114">
        <v>479</v>
      </c>
      <c r="L1931" s="114" t="str">
        <f t="shared" si="30"/>
        <v>INSERT INTO DETALLES_DOCUMENTO(NRO_DOCUMENTO,ID_TIPO,ID_PRODUCTO,CANTIDAD,PRECIO,VALOR_BRUTO,VALOR_NETO,VALOR_IVA) VALUES(957,1,368,1,3000,3000,2521,479);</v>
      </c>
    </row>
    <row r="1932" spans="1:12">
      <c r="A1932" s="114">
        <v>1</v>
      </c>
      <c r="B1932" s="114">
        <v>958</v>
      </c>
      <c r="C1932" s="139" t="s">
        <v>2315</v>
      </c>
      <c r="D1932" s="114" t="s">
        <v>2090</v>
      </c>
      <c r="E1932" s="114">
        <v>397</v>
      </c>
      <c r="F1932" s="114">
        <v>154</v>
      </c>
      <c r="G1932" s="114">
        <v>1</v>
      </c>
      <c r="H1932" s="114">
        <v>3200</v>
      </c>
      <c r="I1932" s="114">
        <v>3200</v>
      </c>
      <c r="J1932" s="114">
        <v>2689</v>
      </c>
      <c r="K1932" s="114">
        <v>511</v>
      </c>
      <c r="L1932" s="114" t="str">
        <f t="shared" si="30"/>
        <v>INSERT INTO DETALLES_DOCUMENTO(NRO_DOCUMENTO,ID_TIPO,ID_PRODUCTO,CANTIDAD,PRECIO,VALOR_BRUTO,VALOR_NETO,VALOR_IVA) VALUES(958,1,154,1,3200,3200,2689,511);</v>
      </c>
    </row>
    <row r="1933" spans="1:12">
      <c r="A1933" s="114">
        <v>1</v>
      </c>
      <c r="B1933" s="114">
        <v>958</v>
      </c>
      <c r="C1933" s="139" t="s">
        <v>2315</v>
      </c>
      <c r="D1933" s="114" t="s">
        <v>2090</v>
      </c>
      <c r="E1933" s="114">
        <v>397</v>
      </c>
      <c r="F1933" s="114">
        <v>377</v>
      </c>
      <c r="G1933" s="114">
        <v>1</v>
      </c>
      <c r="H1933" s="114">
        <v>1600</v>
      </c>
      <c r="I1933" s="114">
        <v>1600</v>
      </c>
      <c r="J1933" s="114">
        <v>1345</v>
      </c>
      <c r="K1933" s="114">
        <v>255</v>
      </c>
      <c r="L1933" s="114" t="str">
        <f t="shared" si="30"/>
        <v>INSERT INTO DETALLES_DOCUMENTO(NRO_DOCUMENTO,ID_TIPO,ID_PRODUCTO,CANTIDAD,PRECIO,VALOR_BRUTO,VALOR_NETO,VALOR_IVA) VALUES(958,1,377,1,1600,1600,1345,255);</v>
      </c>
    </row>
    <row r="1934" spans="1:12">
      <c r="A1934" s="114">
        <v>1</v>
      </c>
      <c r="B1934" s="114">
        <v>958</v>
      </c>
      <c r="C1934" s="139" t="s">
        <v>2315</v>
      </c>
      <c r="D1934" s="114" t="s">
        <v>2090</v>
      </c>
      <c r="E1934" s="114">
        <v>397</v>
      </c>
      <c r="F1934" s="114">
        <v>284</v>
      </c>
      <c r="G1934" s="114">
        <v>1</v>
      </c>
      <c r="H1934" s="114">
        <v>1100</v>
      </c>
      <c r="I1934" s="114">
        <v>1100</v>
      </c>
      <c r="J1934" s="114">
        <v>924</v>
      </c>
      <c r="K1934" s="114">
        <v>176</v>
      </c>
      <c r="L1934" s="114" t="str">
        <f t="shared" si="30"/>
        <v>INSERT INTO DETALLES_DOCUMENTO(NRO_DOCUMENTO,ID_TIPO,ID_PRODUCTO,CANTIDAD,PRECIO,VALOR_BRUTO,VALOR_NETO,VALOR_IVA) VALUES(958,1,284,1,1100,1100,924,176);</v>
      </c>
    </row>
    <row r="1935" spans="1:12">
      <c r="A1935" s="114">
        <v>1</v>
      </c>
      <c r="B1935" s="114">
        <v>959</v>
      </c>
      <c r="C1935" s="139" t="s">
        <v>2315</v>
      </c>
      <c r="D1935" s="114" t="s">
        <v>2090</v>
      </c>
      <c r="E1935" s="114">
        <v>427</v>
      </c>
      <c r="F1935" s="114">
        <v>329</v>
      </c>
      <c r="G1935" s="114">
        <v>1</v>
      </c>
      <c r="H1935" s="114">
        <v>6000</v>
      </c>
      <c r="I1935" s="114">
        <v>6000</v>
      </c>
      <c r="J1935" s="114">
        <v>5042</v>
      </c>
      <c r="K1935" s="114">
        <v>958</v>
      </c>
      <c r="L1935" s="114" t="str">
        <f t="shared" si="30"/>
        <v>INSERT INTO DETALLES_DOCUMENTO(NRO_DOCUMENTO,ID_TIPO,ID_PRODUCTO,CANTIDAD,PRECIO,VALOR_BRUTO,VALOR_NETO,VALOR_IVA) VALUES(959,1,329,1,6000,6000,5042,958);</v>
      </c>
    </row>
    <row r="1936" spans="1:12">
      <c r="A1936" s="114">
        <v>1</v>
      </c>
      <c r="B1936" s="114">
        <v>959</v>
      </c>
      <c r="C1936" s="139" t="s">
        <v>2315</v>
      </c>
      <c r="D1936" s="114" t="s">
        <v>2090</v>
      </c>
      <c r="E1936" s="114">
        <v>427</v>
      </c>
      <c r="F1936" s="114">
        <v>120</v>
      </c>
      <c r="G1936" s="114">
        <v>1</v>
      </c>
      <c r="H1936" s="114">
        <v>1700</v>
      </c>
      <c r="I1936" s="114">
        <v>1700</v>
      </c>
      <c r="J1936" s="114">
        <v>1429</v>
      </c>
      <c r="K1936" s="114">
        <v>271</v>
      </c>
      <c r="L1936" s="114" t="str">
        <f t="shared" si="30"/>
        <v>INSERT INTO DETALLES_DOCUMENTO(NRO_DOCUMENTO,ID_TIPO,ID_PRODUCTO,CANTIDAD,PRECIO,VALOR_BRUTO,VALOR_NETO,VALOR_IVA) VALUES(959,1,120,1,1700,1700,1429,271);</v>
      </c>
    </row>
    <row r="1937" spans="1:12">
      <c r="A1937" s="114">
        <v>1</v>
      </c>
      <c r="B1937" s="114">
        <v>959</v>
      </c>
      <c r="C1937" s="139" t="s">
        <v>2315</v>
      </c>
      <c r="D1937" s="114" t="s">
        <v>2090</v>
      </c>
      <c r="E1937" s="114">
        <v>427</v>
      </c>
      <c r="F1937" s="114">
        <v>368</v>
      </c>
      <c r="G1937" s="114">
        <v>1</v>
      </c>
      <c r="H1937" s="114">
        <v>3000</v>
      </c>
      <c r="I1937" s="114">
        <v>3000</v>
      </c>
      <c r="J1937" s="114">
        <v>2521</v>
      </c>
      <c r="K1937" s="114">
        <v>479</v>
      </c>
      <c r="L1937" s="114" t="str">
        <f t="shared" si="30"/>
        <v>INSERT INTO DETALLES_DOCUMENTO(NRO_DOCUMENTO,ID_TIPO,ID_PRODUCTO,CANTIDAD,PRECIO,VALOR_BRUTO,VALOR_NETO,VALOR_IVA) VALUES(959,1,368,1,3000,3000,2521,479);</v>
      </c>
    </row>
    <row r="1938" spans="1:12">
      <c r="A1938" s="114">
        <v>1</v>
      </c>
      <c r="B1938" s="114">
        <v>959</v>
      </c>
      <c r="C1938" s="139" t="s">
        <v>2315</v>
      </c>
      <c r="D1938" s="114" t="s">
        <v>2090</v>
      </c>
      <c r="E1938" s="114">
        <v>427</v>
      </c>
      <c r="F1938" s="114">
        <v>387</v>
      </c>
      <c r="G1938" s="114">
        <v>1</v>
      </c>
      <c r="H1938" s="114">
        <v>1500</v>
      </c>
      <c r="I1938" s="114">
        <v>1500</v>
      </c>
      <c r="J1938" s="114">
        <v>1261</v>
      </c>
      <c r="K1938" s="114">
        <v>239</v>
      </c>
      <c r="L1938" s="114" t="str">
        <f t="shared" si="30"/>
        <v>INSERT INTO DETALLES_DOCUMENTO(NRO_DOCUMENTO,ID_TIPO,ID_PRODUCTO,CANTIDAD,PRECIO,VALOR_BRUTO,VALOR_NETO,VALOR_IVA) VALUES(959,1,387,1,1500,1500,1261,239);</v>
      </c>
    </row>
    <row r="1939" spans="1:12">
      <c r="A1939" s="114">
        <v>1</v>
      </c>
      <c r="B1939" s="114">
        <v>960</v>
      </c>
      <c r="C1939" s="139" t="s">
        <v>2316</v>
      </c>
      <c r="D1939" s="114" t="s">
        <v>2090</v>
      </c>
      <c r="E1939" s="114">
        <v>48</v>
      </c>
      <c r="F1939" s="114">
        <v>324</v>
      </c>
      <c r="G1939" s="114">
        <v>1</v>
      </c>
      <c r="H1939" s="114">
        <v>11000</v>
      </c>
      <c r="I1939" s="114">
        <v>11000</v>
      </c>
      <c r="J1939" s="114">
        <v>9244</v>
      </c>
      <c r="K1939" s="114">
        <v>1756</v>
      </c>
      <c r="L1939" s="114" t="str">
        <f t="shared" si="30"/>
        <v>INSERT INTO DETALLES_DOCUMENTO(NRO_DOCUMENTO,ID_TIPO,ID_PRODUCTO,CANTIDAD,PRECIO,VALOR_BRUTO,VALOR_NETO,VALOR_IVA) VALUES(960,1,324,1,11000,11000,9244,1756);</v>
      </c>
    </row>
    <row r="1940" spans="1:12">
      <c r="A1940" s="114">
        <v>1</v>
      </c>
      <c r="B1940" s="114">
        <v>960</v>
      </c>
      <c r="C1940" s="139" t="s">
        <v>2316</v>
      </c>
      <c r="D1940" s="114" t="s">
        <v>2090</v>
      </c>
      <c r="E1940" s="114">
        <v>48</v>
      </c>
      <c r="F1940" s="114">
        <v>293</v>
      </c>
      <c r="G1940" s="114">
        <v>1</v>
      </c>
      <c r="H1940" s="114">
        <v>10000</v>
      </c>
      <c r="I1940" s="114">
        <v>10000</v>
      </c>
      <c r="J1940" s="114">
        <v>8403</v>
      </c>
      <c r="K1940" s="114">
        <v>1597</v>
      </c>
      <c r="L1940" s="114" t="str">
        <f t="shared" si="30"/>
        <v>INSERT INTO DETALLES_DOCUMENTO(NRO_DOCUMENTO,ID_TIPO,ID_PRODUCTO,CANTIDAD,PRECIO,VALOR_BRUTO,VALOR_NETO,VALOR_IVA) VALUES(960,1,293,1,10000,10000,8403,1597);</v>
      </c>
    </row>
    <row r="1941" spans="1:12">
      <c r="A1941" s="114">
        <v>1</v>
      </c>
      <c r="B1941" s="114">
        <v>961</v>
      </c>
      <c r="C1941" s="139" t="s">
        <v>2316</v>
      </c>
      <c r="D1941" s="114" t="s">
        <v>2090</v>
      </c>
      <c r="E1941" s="114">
        <v>159</v>
      </c>
      <c r="F1941" s="114">
        <v>143</v>
      </c>
      <c r="G1941" s="114">
        <v>2</v>
      </c>
      <c r="H1941" s="114">
        <v>16400</v>
      </c>
      <c r="I1941" s="114">
        <v>32800</v>
      </c>
      <c r="J1941" s="114">
        <v>27563</v>
      </c>
      <c r="K1941" s="114">
        <v>5237</v>
      </c>
      <c r="L1941" s="114" t="str">
        <f t="shared" si="30"/>
        <v>INSERT INTO DETALLES_DOCUMENTO(NRO_DOCUMENTO,ID_TIPO,ID_PRODUCTO,CANTIDAD,PRECIO,VALOR_BRUTO,VALOR_NETO,VALOR_IVA) VALUES(961,1,143,2,16400,32800,27563,5237);</v>
      </c>
    </row>
    <row r="1942" spans="1:12">
      <c r="A1942" s="114">
        <v>1</v>
      </c>
      <c r="B1942" s="114">
        <v>962</v>
      </c>
      <c r="C1942" s="139" t="s">
        <v>2316</v>
      </c>
      <c r="D1942" s="114" t="s">
        <v>2090</v>
      </c>
      <c r="E1942" s="114">
        <v>254</v>
      </c>
      <c r="F1942" s="114">
        <v>230</v>
      </c>
      <c r="G1942" s="114">
        <v>1</v>
      </c>
      <c r="H1942" s="114">
        <v>16500</v>
      </c>
      <c r="I1942" s="114">
        <v>16500</v>
      </c>
      <c r="J1942" s="114">
        <v>13866</v>
      </c>
      <c r="K1942" s="114">
        <v>2634</v>
      </c>
      <c r="L1942" s="114" t="str">
        <f t="shared" si="30"/>
        <v>INSERT INTO DETALLES_DOCUMENTO(NRO_DOCUMENTO,ID_TIPO,ID_PRODUCTO,CANTIDAD,PRECIO,VALOR_BRUTO,VALOR_NETO,VALOR_IVA) VALUES(962,1,230,1,16500,16500,13866,2634);</v>
      </c>
    </row>
    <row r="1943" spans="1:12">
      <c r="A1943" s="114">
        <v>1</v>
      </c>
      <c r="B1943" s="114">
        <v>962</v>
      </c>
      <c r="C1943" s="139" t="s">
        <v>2316</v>
      </c>
      <c r="D1943" s="114" t="s">
        <v>2090</v>
      </c>
      <c r="E1943" s="114">
        <v>254</v>
      </c>
      <c r="F1943" s="114">
        <v>117</v>
      </c>
      <c r="G1943" s="114">
        <v>2</v>
      </c>
      <c r="H1943" s="114">
        <v>7000</v>
      </c>
      <c r="I1943" s="114">
        <v>14000</v>
      </c>
      <c r="J1943" s="114">
        <v>11765</v>
      </c>
      <c r="K1943" s="114">
        <v>2235</v>
      </c>
      <c r="L1943" s="114" t="str">
        <f t="shared" si="30"/>
        <v>INSERT INTO DETALLES_DOCUMENTO(NRO_DOCUMENTO,ID_TIPO,ID_PRODUCTO,CANTIDAD,PRECIO,VALOR_BRUTO,VALOR_NETO,VALOR_IVA) VALUES(962,1,117,2,7000,14000,11765,2235);</v>
      </c>
    </row>
    <row r="1944" spans="1:12">
      <c r="A1944" s="114">
        <v>1</v>
      </c>
      <c r="B1944" s="114">
        <v>963</v>
      </c>
      <c r="C1944" s="139" t="s">
        <v>2316</v>
      </c>
      <c r="D1944" s="114" t="s">
        <v>2090</v>
      </c>
      <c r="E1944" s="114">
        <v>414</v>
      </c>
      <c r="F1944" s="114">
        <v>324</v>
      </c>
      <c r="G1944" s="114">
        <v>1</v>
      </c>
      <c r="H1944" s="114">
        <v>11000</v>
      </c>
      <c r="I1944" s="114">
        <v>11000</v>
      </c>
      <c r="J1944" s="114">
        <v>9244</v>
      </c>
      <c r="K1944" s="114">
        <v>1756</v>
      </c>
      <c r="L1944" s="114" t="str">
        <f t="shared" si="30"/>
        <v>INSERT INTO DETALLES_DOCUMENTO(NRO_DOCUMENTO,ID_TIPO,ID_PRODUCTO,CANTIDAD,PRECIO,VALOR_BRUTO,VALOR_NETO,VALOR_IVA) VALUES(963,1,324,1,11000,11000,9244,1756);</v>
      </c>
    </row>
    <row r="1945" spans="1:12">
      <c r="A1945" s="114">
        <v>1</v>
      </c>
      <c r="B1945" s="114">
        <v>963</v>
      </c>
      <c r="C1945" s="139" t="s">
        <v>2316</v>
      </c>
      <c r="D1945" s="114" t="s">
        <v>2090</v>
      </c>
      <c r="E1945" s="114">
        <v>414</v>
      </c>
      <c r="F1945" s="114">
        <v>143</v>
      </c>
      <c r="G1945" s="114">
        <v>1</v>
      </c>
      <c r="H1945" s="114">
        <v>8200</v>
      </c>
      <c r="I1945" s="114">
        <v>8200</v>
      </c>
      <c r="J1945" s="114">
        <v>6891</v>
      </c>
      <c r="K1945" s="114">
        <v>1309</v>
      </c>
      <c r="L1945" s="114" t="str">
        <f t="shared" si="30"/>
        <v>INSERT INTO DETALLES_DOCUMENTO(NRO_DOCUMENTO,ID_TIPO,ID_PRODUCTO,CANTIDAD,PRECIO,VALOR_BRUTO,VALOR_NETO,VALOR_IVA) VALUES(963,1,143,1,8200,8200,6891,1309);</v>
      </c>
    </row>
    <row r="1946" spans="1:12">
      <c r="A1946" s="114">
        <v>1</v>
      </c>
      <c r="B1946" s="114">
        <v>964</v>
      </c>
      <c r="C1946" s="139" t="s">
        <v>2316</v>
      </c>
      <c r="D1946" s="114" t="s">
        <v>2090</v>
      </c>
      <c r="E1946" s="114">
        <v>459</v>
      </c>
      <c r="F1946" s="114">
        <v>97</v>
      </c>
      <c r="G1946" s="114">
        <v>1</v>
      </c>
      <c r="H1946" s="114">
        <v>2000</v>
      </c>
      <c r="I1946" s="114">
        <v>2000</v>
      </c>
      <c r="J1946" s="114">
        <v>1681</v>
      </c>
      <c r="K1946" s="114">
        <v>319</v>
      </c>
      <c r="L1946" s="114" t="str">
        <f t="shared" si="30"/>
        <v>INSERT INTO DETALLES_DOCUMENTO(NRO_DOCUMENTO,ID_TIPO,ID_PRODUCTO,CANTIDAD,PRECIO,VALOR_BRUTO,VALOR_NETO,VALOR_IVA) VALUES(964,1,97,1,2000,2000,1681,319);</v>
      </c>
    </row>
    <row r="1947" spans="1:12">
      <c r="A1947" s="114">
        <v>1</v>
      </c>
      <c r="B1947" s="114">
        <v>964</v>
      </c>
      <c r="C1947" s="139" t="s">
        <v>2316</v>
      </c>
      <c r="D1947" s="114" t="s">
        <v>2090</v>
      </c>
      <c r="E1947" s="114">
        <v>459</v>
      </c>
      <c r="F1947" s="114">
        <v>230</v>
      </c>
      <c r="G1947" s="114">
        <v>1</v>
      </c>
      <c r="H1947" s="114">
        <v>16500</v>
      </c>
      <c r="I1947" s="114">
        <v>16500</v>
      </c>
      <c r="J1947" s="114">
        <v>13866</v>
      </c>
      <c r="K1947" s="114">
        <v>2634</v>
      </c>
      <c r="L1947" s="114" t="str">
        <f t="shared" si="30"/>
        <v>INSERT INTO DETALLES_DOCUMENTO(NRO_DOCUMENTO,ID_TIPO,ID_PRODUCTO,CANTIDAD,PRECIO,VALOR_BRUTO,VALOR_NETO,VALOR_IVA) VALUES(964,1,230,1,16500,16500,13866,2634);</v>
      </c>
    </row>
    <row r="1948" spans="1:12">
      <c r="A1948" s="114">
        <v>1</v>
      </c>
      <c r="B1948" s="114">
        <v>964</v>
      </c>
      <c r="C1948" s="139" t="s">
        <v>2316</v>
      </c>
      <c r="D1948" s="114" t="s">
        <v>2090</v>
      </c>
      <c r="E1948" s="114">
        <v>459</v>
      </c>
      <c r="F1948" s="114">
        <v>264</v>
      </c>
      <c r="G1948" s="114">
        <v>1</v>
      </c>
      <c r="H1948" s="114">
        <v>5000</v>
      </c>
      <c r="I1948" s="114">
        <v>5000</v>
      </c>
      <c r="J1948" s="114">
        <v>4202</v>
      </c>
      <c r="K1948" s="114">
        <v>798</v>
      </c>
      <c r="L1948" s="114" t="str">
        <f t="shared" si="30"/>
        <v>INSERT INTO DETALLES_DOCUMENTO(NRO_DOCUMENTO,ID_TIPO,ID_PRODUCTO,CANTIDAD,PRECIO,VALOR_BRUTO,VALOR_NETO,VALOR_IVA) VALUES(964,1,264,1,5000,5000,4202,798);</v>
      </c>
    </row>
    <row r="1949" spans="1:12">
      <c r="A1949" s="114">
        <v>1</v>
      </c>
      <c r="B1949" s="114">
        <v>964</v>
      </c>
      <c r="C1949" s="139" t="s">
        <v>2316</v>
      </c>
      <c r="D1949" s="114" t="s">
        <v>2090</v>
      </c>
      <c r="E1949" s="114">
        <v>459</v>
      </c>
      <c r="F1949" s="114">
        <v>368</v>
      </c>
      <c r="G1949" s="114">
        <v>2</v>
      </c>
      <c r="H1949" s="114">
        <v>6000</v>
      </c>
      <c r="I1949" s="114">
        <v>12000</v>
      </c>
      <c r="J1949" s="114">
        <v>10084</v>
      </c>
      <c r="K1949" s="114">
        <v>1916</v>
      </c>
      <c r="L1949" s="114" t="str">
        <f t="shared" si="30"/>
        <v>INSERT INTO DETALLES_DOCUMENTO(NRO_DOCUMENTO,ID_TIPO,ID_PRODUCTO,CANTIDAD,PRECIO,VALOR_BRUTO,VALOR_NETO,VALOR_IVA) VALUES(964,1,368,2,6000,12000,10084,1916);</v>
      </c>
    </row>
    <row r="1950" spans="1:12">
      <c r="A1950" s="114">
        <v>1</v>
      </c>
      <c r="B1950" s="114">
        <v>964</v>
      </c>
      <c r="C1950" s="139" t="s">
        <v>2316</v>
      </c>
      <c r="D1950" s="114" t="s">
        <v>2090</v>
      </c>
      <c r="E1950" s="114">
        <v>459</v>
      </c>
      <c r="F1950" s="114">
        <v>117</v>
      </c>
      <c r="G1950" s="114">
        <v>1</v>
      </c>
      <c r="H1950" s="114">
        <v>3500</v>
      </c>
      <c r="I1950" s="114">
        <v>3500</v>
      </c>
      <c r="J1950" s="114">
        <v>2941</v>
      </c>
      <c r="K1950" s="114">
        <v>559</v>
      </c>
      <c r="L1950" s="114" t="str">
        <f t="shared" si="30"/>
        <v>INSERT INTO DETALLES_DOCUMENTO(NRO_DOCUMENTO,ID_TIPO,ID_PRODUCTO,CANTIDAD,PRECIO,VALOR_BRUTO,VALOR_NETO,VALOR_IVA) VALUES(964,1,117,1,3500,3500,2941,559);</v>
      </c>
    </row>
    <row r="1951" spans="1:12">
      <c r="A1951" s="114">
        <v>1</v>
      </c>
      <c r="B1951" s="114">
        <v>965</v>
      </c>
      <c r="C1951" s="139" t="s">
        <v>2317</v>
      </c>
      <c r="D1951" s="114" t="s">
        <v>2090</v>
      </c>
      <c r="E1951" s="114">
        <v>77</v>
      </c>
      <c r="F1951" s="114">
        <v>329</v>
      </c>
      <c r="G1951" s="114">
        <v>1</v>
      </c>
      <c r="H1951" s="114">
        <v>6000</v>
      </c>
      <c r="I1951" s="114">
        <v>6000</v>
      </c>
      <c r="J1951" s="114">
        <v>5042</v>
      </c>
      <c r="K1951" s="114">
        <v>958</v>
      </c>
      <c r="L1951" s="114" t="str">
        <f t="shared" si="30"/>
        <v>INSERT INTO DETALLES_DOCUMENTO(NRO_DOCUMENTO,ID_TIPO,ID_PRODUCTO,CANTIDAD,PRECIO,VALOR_BRUTO,VALOR_NETO,VALOR_IVA) VALUES(965,1,329,1,6000,6000,5042,958);</v>
      </c>
    </row>
    <row r="1952" spans="1:12">
      <c r="A1952" s="114">
        <v>1</v>
      </c>
      <c r="B1952" s="114">
        <v>965</v>
      </c>
      <c r="C1952" s="139" t="s">
        <v>2317</v>
      </c>
      <c r="D1952" s="114" t="s">
        <v>2090</v>
      </c>
      <c r="E1952" s="114">
        <v>77</v>
      </c>
      <c r="F1952" s="114">
        <v>191</v>
      </c>
      <c r="G1952" s="114">
        <v>1</v>
      </c>
      <c r="H1952" s="114">
        <v>2500</v>
      </c>
      <c r="I1952" s="114">
        <v>2500</v>
      </c>
      <c r="J1952" s="114">
        <v>2101</v>
      </c>
      <c r="K1952" s="114">
        <v>399</v>
      </c>
      <c r="L1952" s="114" t="str">
        <f t="shared" si="30"/>
        <v>INSERT INTO DETALLES_DOCUMENTO(NRO_DOCUMENTO,ID_TIPO,ID_PRODUCTO,CANTIDAD,PRECIO,VALOR_BRUTO,VALOR_NETO,VALOR_IVA) VALUES(965,1,191,1,2500,2500,2101,399);</v>
      </c>
    </row>
    <row r="1953" spans="1:12">
      <c r="A1953" s="114">
        <v>1</v>
      </c>
      <c r="B1953" s="114">
        <v>965</v>
      </c>
      <c r="C1953" s="139" t="s">
        <v>2317</v>
      </c>
      <c r="D1953" s="114" t="s">
        <v>2090</v>
      </c>
      <c r="E1953" s="114">
        <v>77</v>
      </c>
      <c r="F1953" s="114">
        <v>379</v>
      </c>
      <c r="G1953" s="114">
        <v>2</v>
      </c>
      <c r="H1953" s="114">
        <v>4000</v>
      </c>
      <c r="I1953" s="114">
        <v>8000</v>
      </c>
      <c r="J1953" s="114">
        <v>6723</v>
      </c>
      <c r="K1953" s="114">
        <v>1277</v>
      </c>
      <c r="L1953" s="114" t="str">
        <f t="shared" si="30"/>
        <v>INSERT INTO DETALLES_DOCUMENTO(NRO_DOCUMENTO,ID_TIPO,ID_PRODUCTO,CANTIDAD,PRECIO,VALOR_BRUTO,VALOR_NETO,VALOR_IVA) VALUES(965,1,379,2,4000,8000,6723,1277);</v>
      </c>
    </row>
    <row r="1954" spans="1:12">
      <c r="A1954" s="114">
        <v>1</v>
      </c>
      <c r="B1954" s="114">
        <v>965</v>
      </c>
      <c r="C1954" s="139" t="s">
        <v>2317</v>
      </c>
      <c r="D1954" s="114" t="s">
        <v>2090</v>
      </c>
      <c r="E1954" s="114">
        <v>77</v>
      </c>
      <c r="F1954" s="114">
        <v>169</v>
      </c>
      <c r="G1954" s="114">
        <v>1</v>
      </c>
      <c r="H1954" s="114">
        <v>2700</v>
      </c>
      <c r="I1954" s="114">
        <v>2700</v>
      </c>
      <c r="J1954" s="114">
        <v>2269</v>
      </c>
      <c r="K1954" s="114">
        <v>431</v>
      </c>
      <c r="L1954" s="114" t="str">
        <f t="shared" si="30"/>
        <v>INSERT INTO DETALLES_DOCUMENTO(NRO_DOCUMENTO,ID_TIPO,ID_PRODUCTO,CANTIDAD,PRECIO,VALOR_BRUTO,VALOR_NETO,VALOR_IVA) VALUES(965,1,169,1,2700,2700,2269,431);</v>
      </c>
    </row>
    <row r="1955" spans="1:12">
      <c r="A1955" s="114">
        <v>1</v>
      </c>
      <c r="B1955" s="114">
        <v>965</v>
      </c>
      <c r="C1955" s="139" t="s">
        <v>2317</v>
      </c>
      <c r="D1955" s="114" t="s">
        <v>2090</v>
      </c>
      <c r="E1955" s="114">
        <v>77</v>
      </c>
      <c r="F1955" s="114">
        <v>166</v>
      </c>
      <c r="G1955" s="114">
        <v>1</v>
      </c>
      <c r="H1955" s="114">
        <v>1600</v>
      </c>
      <c r="I1955" s="114">
        <v>1600</v>
      </c>
      <c r="J1955" s="114">
        <v>1345</v>
      </c>
      <c r="K1955" s="114">
        <v>255</v>
      </c>
      <c r="L1955" s="114" t="str">
        <f t="shared" si="30"/>
        <v>INSERT INTO DETALLES_DOCUMENTO(NRO_DOCUMENTO,ID_TIPO,ID_PRODUCTO,CANTIDAD,PRECIO,VALOR_BRUTO,VALOR_NETO,VALOR_IVA) VALUES(965,1,166,1,1600,1600,1345,255);</v>
      </c>
    </row>
    <row r="1956" spans="1:12">
      <c r="A1956" s="114">
        <v>1</v>
      </c>
      <c r="B1956" s="114">
        <v>965</v>
      </c>
      <c r="C1956" s="139" t="s">
        <v>2317</v>
      </c>
      <c r="D1956" s="114" t="s">
        <v>2090</v>
      </c>
      <c r="E1956" s="114">
        <v>77</v>
      </c>
      <c r="F1956" s="114">
        <v>231</v>
      </c>
      <c r="G1956" s="114">
        <v>1</v>
      </c>
      <c r="H1956" s="114">
        <v>20900</v>
      </c>
      <c r="I1956" s="114">
        <v>20900</v>
      </c>
      <c r="J1956" s="114">
        <v>17563</v>
      </c>
      <c r="K1956" s="114">
        <v>3337</v>
      </c>
      <c r="L1956" s="114" t="str">
        <f t="shared" si="30"/>
        <v>INSERT INTO DETALLES_DOCUMENTO(NRO_DOCUMENTO,ID_TIPO,ID_PRODUCTO,CANTIDAD,PRECIO,VALOR_BRUTO,VALOR_NETO,VALOR_IVA) VALUES(965,1,231,1,20900,20900,17563,3337);</v>
      </c>
    </row>
    <row r="1957" spans="1:12">
      <c r="A1957" s="114">
        <v>1</v>
      </c>
      <c r="B1957" s="114">
        <v>966</v>
      </c>
      <c r="C1957" s="139" t="s">
        <v>2317</v>
      </c>
      <c r="D1957" s="114" t="s">
        <v>2090</v>
      </c>
      <c r="E1957" s="114">
        <v>84</v>
      </c>
      <c r="F1957" s="114">
        <v>329</v>
      </c>
      <c r="G1957" s="114">
        <v>1</v>
      </c>
      <c r="H1957" s="114">
        <v>6000</v>
      </c>
      <c r="I1957" s="114">
        <v>6000</v>
      </c>
      <c r="J1957" s="114">
        <v>5042</v>
      </c>
      <c r="K1957" s="114">
        <v>958</v>
      </c>
      <c r="L1957" s="114" t="str">
        <f t="shared" si="30"/>
        <v>INSERT INTO DETALLES_DOCUMENTO(NRO_DOCUMENTO,ID_TIPO,ID_PRODUCTO,CANTIDAD,PRECIO,VALOR_BRUTO,VALOR_NETO,VALOR_IVA) VALUES(966,1,329,1,6000,6000,5042,958);</v>
      </c>
    </row>
    <row r="1958" spans="1:12">
      <c r="A1958" s="114">
        <v>1</v>
      </c>
      <c r="B1958" s="114">
        <v>967</v>
      </c>
      <c r="C1958" s="139" t="s">
        <v>2317</v>
      </c>
      <c r="D1958" s="114" t="s">
        <v>2090</v>
      </c>
      <c r="E1958" s="114">
        <v>119</v>
      </c>
      <c r="F1958" s="114">
        <v>143</v>
      </c>
      <c r="G1958" s="114">
        <v>1</v>
      </c>
      <c r="H1958" s="114">
        <v>8200</v>
      </c>
      <c r="I1958" s="114">
        <v>8200</v>
      </c>
      <c r="J1958" s="114">
        <v>6891</v>
      </c>
      <c r="K1958" s="114">
        <v>1309</v>
      </c>
      <c r="L1958" s="114" t="str">
        <f t="shared" si="30"/>
        <v>INSERT INTO DETALLES_DOCUMENTO(NRO_DOCUMENTO,ID_TIPO,ID_PRODUCTO,CANTIDAD,PRECIO,VALOR_BRUTO,VALOR_NETO,VALOR_IVA) VALUES(967,1,143,1,8200,8200,6891,1309);</v>
      </c>
    </row>
    <row r="1959" spans="1:12">
      <c r="A1959" s="114">
        <v>1</v>
      </c>
      <c r="B1959" s="114">
        <v>968</v>
      </c>
      <c r="C1959" s="139" t="s">
        <v>2317</v>
      </c>
      <c r="D1959" s="114" t="s">
        <v>2090</v>
      </c>
      <c r="E1959" s="114">
        <v>122</v>
      </c>
      <c r="F1959" s="114">
        <v>29</v>
      </c>
      <c r="G1959" s="114">
        <v>2</v>
      </c>
      <c r="H1959" s="114">
        <v>2000</v>
      </c>
      <c r="I1959" s="114">
        <v>4000</v>
      </c>
      <c r="J1959" s="114">
        <v>3361</v>
      </c>
      <c r="K1959" s="114">
        <v>639</v>
      </c>
      <c r="L1959" s="114" t="str">
        <f t="shared" si="30"/>
        <v>INSERT INTO DETALLES_DOCUMENTO(NRO_DOCUMENTO,ID_TIPO,ID_PRODUCTO,CANTIDAD,PRECIO,VALOR_BRUTO,VALOR_NETO,VALOR_IVA) VALUES(968,1,29,2,2000,4000,3361,639);</v>
      </c>
    </row>
    <row r="1960" spans="1:12">
      <c r="A1960" s="114">
        <v>1</v>
      </c>
      <c r="B1960" s="114">
        <v>969</v>
      </c>
      <c r="C1960" s="139" t="s">
        <v>2317</v>
      </c>
      <c r="D1960" s="114" t="s">
        <v>2090</v>
      </c>
      <c r="E1960" s="114">
        <v>166</v>
      </c>
      <c r="F1960" s="114">
        <v>329</v>
      </c>
      <c r="G1960" s="114">
        <v>1</v>
      </c>
      <c r="H1960" s="114">
        <v>6000</v>
      </c>
      <c r="I1960" s="114">
        <v>6000</v>
      </c>
      <c r="J1960" s="114">
        <v>5042</v>
      </c>
      <c r="K1960" s="114">
        <v>958</v>
      </c>
      <c r="L1960" s="114" t="str">
        <f t="shared" si="30"/>
        <v>INSERT INTO DETALLES_DOCUMENTO(NRO_DOCUMENTO,ID_TIPO,ID_PRODUCTO,CANTIDAD,PRECIO,VALOR_BRUTO,VALOR_NETO,VALOR_IVA) VALUES(969,1,329,1,6000,6000,5042,958);</v>
      </c>
    </row>
    <row r="1961" spans="1:12">
      <c r="A1961" s="114">
        <v>1</v>
      </c>
      <c r="B1961" s="114">
        <v>970</v>
      </c>
      <c r="C1961" s="139" t="s">
        <v>2317</v>
      </c>
      <c r="D1961" s="114" t="s">
        <v>2090</v>
      </c>
      <c r="E1961" s="114">
        <v>451</v>
      </c>
      <c r="F1961" s="114">
        <v>231</v>
      </c>
      <c r="G1961" s="114">
        <v>1</v>
      </c>
      <c r="H1961" s="114">
        <v>20900</v>
      </c>
      <c r="I1961" s="114">
        <v>20900</v>
      </c>
      <c r="J1961" s="114">
        <v>17563</v>
      </c>
      <c r="K1961" s="114">
        <v>3337</v>
      </c>
      <c r="L1961" s="114" t="str">
        <f t="shared" si="30"/>
        <v>INSERT INTO DETALLES_DOCUMENTO(NRO_DOCUMENTO,ID_TIPO,ID_PRODUCTO,CANTIDAD,PRECIO,VALOR_BRUTO,VALOR_NETO,VALOR_IVA) VALUES(970,1,231,1,20900,20900,17563,3337);</v>
      </c>
    </row>
    <row r="1962" spans="1:12">
      <c r="A1962" s="114">
        <v>1</v>
      </c>
      <c r="B1962" s="114">
        <v>971</v>
      </c>
      <c r="C1962" s="139" t="s">
        <v>2317</v>
      </c>
      <c r="D1962" s="114" t="s">
        <v>2090</v>
      </c>
      <c r="E1962" s="114">
        <v>483</v>
      </c>
      <c r="F1962" s="114">
        <v>45</v>
      </c>
      <c r="G1962" s="114">
        <v>2</v>
      </c>
      <c r="H1962" s="114">
        <v>3200</v>
      </c>
      <c r="I1962" s="114">
        <v>6400</v>
      </c>
      <c r="J1962" s="114">
        <v>5378</v>
      </c>
      <c r="K1962" s="114">
        <v>1022</v>
      </c>
      <c r="L1962" s="114" t="str">
        <f t="shared" si="30"/>
        <v>INSERT INTO DETALLES_DOCUMENTO(NRO_DOCUMENTO,ID_TIPO,ID_PRODUCTO,CANTIDAD,PRECIO,VALOR_BRUTO,VALOR_NETO,VALOR_IVA) VALUES(971,1,45,2,3200,6400,5378,1022);</v>
      </c>
    </row>
    <row r="1963" spans="1:12">
      <c r="A1963" s="114">
        <v>1</v>
      </c>
      <c r="B1963" s="114">
        <v>971</v>
      </c>
      <c r="C1963" s="139" t="s">
        <v>2317</v>
      </c>
      <c r="D1963" s="114" t="s">
        <v>2090</v>
      </c>
      <c r="E1963" s="114">
        <v>483</v>
      </c>
      <c r="F1963" s="114">
        <v>124</v>
      </c>
      <c r="G1963" s="114">
        <v>1</v>
      </c>
      <c r="H1963" s="114">
        <v>4000</v>
      </c>
      <c r="I1963" s="114">
        <v>4000</v>
      </c>
      <c r="J1963" s="114">
        <v>3361</v>
      </c>
      <c r="K1963" s="114">
        <v>639</v>
      </c>
      <c r="L1963" s="114" t="str">
        <f t="shared" si="30"/>
        <v>INSERT INTO DETALLES_DOCUMENTO(NRO_DOCUMENTO,ID_TIPO,ID_PRODUCTO,CANTIDAD,PRECIO,VALOR_BRUTO,VALOR_NETO,VALOR_IVA) VALUES(971,1,124,1,4000,4000,3361,639);</v>
      </c>
    </row>
    <row r="1964" spans="1:12">
      <c r="A1964" s="114">
        <v>1</v>
      </c>
      <c r="B1964" s="114">
        <v>971</v>
      </c>
      <c r="C1964" s="139" t="s">
        <v>2317</v>
      </c>
      <c r="D1964" s="114" t="s">
        <v>2090</v>
      </c>
      <c r="E1964" s="114">
        <v>483</v>
      </c>
      <c r="F1964" s="114">
        <v>290</v>
      </c>
      <c r="G1964" s="114">
        <v>1</v>
      </c>
      <c r="H1964" s="114">
        <v>1200</v>
      </c>
      <c r="I1964" s="114">
        <v>1200</v>
      </c>
      <c r="J1964" s="114">
        <v>1008</v>
      </c>
      <c r="K1964" s="114">
        <v>192</v>
      </c>
      <c r="L1964" s="114" t="str">
        <f t="shared" si="30"/>
        <v>INSERT INTO DETALLES_DOCUMENTO(NRO_DOCUMENTO,ID_TIPO,ID_PRODUCTO,CANTIDAD,PRECIO,VALOR_BRUTO,VALOR_NETO,VALOR_IVA) VALUES(971,1,290,1,1200,1200,1008,192);</v>
      </c>
    </row>
    <row r="1965" spans="1:12">
      <c r="A1965" s="114">
        <v>1</v>
      </c>
      <c r="B1965" s="114">
        <v>971</v>
      </c>
      <c r="C1965" s="139" t="s">
        <v>2317</v>
      </c>
      <c r="D1965" s="114" t="s">
        <v>2090</v>
      </c>
      <c r="E1965" s="114">
        <v>483</v>
      </c>
      <c r="F1965" s="114">
        <v>288</v>
      </c>
      <c r="G1965" s="114">
        <v>1</v>
      </c>
      <c r="H1965" s="114">
        <v>8500</v>
      </c>
      <c r="I1965" s="114">
        <v>8500</v>
      </c>
      <c r="J1965" s="114">
        <v>7143</v>
      </c>
      <c r="K1965" s="114">
        <v>1357</v>
      </c>
      <c r="L1965" s="114" t="str">
        <f t="shared" si="30"/>
        <v>INSERT INTO DETALLES_DOCUMENTO(NRO_DOCUMENTO,ID_TIPO,ID_PRODUCTO,CANTIDAD,PRECIO,VALOR_BRUTO,VALOR_NETO,VALOR_IVA) VALUES(971,1,288,1,8500,8500,7143,1357);</v>
      </c>
    </row>
    <row r="1966" spans="1:12">
      <c r="A1966" s="114">
        <v>1</v>
      </c>
      <c r="B1966" s="114">
        <v>971</v>
      </c>
      <c r="C1966" s="139" t="s">
        <v>2317</v>
      </c>
      <c r="D1966" s="114" t="s">
        <v>2090</v>
      </c>
      <c r="E1966" s="114">
        <v>483</v>
      </c>
      <c r="F1966" s="114">
        <v>32</v>
      </c>
      <c r="G1966" s="114">
        <v>1</v>
      </c>
      <c r="H1966" s="114">
        <v>6500</v>
      </c>
      <c r="I1966" s="114">
        <v>6500</v>
      </c>
      <c r="J1966" s="114">
        <v>5462</v>
      </c>
      <c r="K1966" s="114">
        <v>1038</v>
      </c>
      <c r="L1966" s="114" t="str">
        <f t="shared" si="30"/>
        <v>INSERT INTO DETALLES_DOCUMENTO(NRO_DOCUMENTO,ID_TIPO,ID_PRODUCTO,CANTIDAD,PRECIO,VALOR_BRUTO,VALOR_NETO,VALOR_IVA) VALUES(971,1,32,1,6500,6500,5462,1038);</v>
      </c>
    </row>
    <row r="1967" spans="1:12">
      <c r="A1967" s="114">
        <v>1</v>
      </c>
      <c r="B1967" s="114">
        <v>971</v>
      </c>
      <c r="C1967" s="139" t="s">
        <v>2317</v>
      </c>
      <c r="D1967" s="114" t="s">
        <v>2090</v>
      </c>
      <c r="E1967" s="114">
        <v>483</v>
      </c>
      <c r="F1967" s="114">
        <v>24</v>
      </c>
      <c r="G1967" s="114">
        <v>1</v>
      </c>
      <c r="H1967" s="114">
        <v>1650</v>
      </c>
      <c r="I1967" s="114">
        <v>1650</v>
      </c>
      <c r="J1967" s="114">
        <v>1387</v>
      </c>
      <c r="K1967" s="114">
        <v>263</v>
      </c>
      <c r="L1967" s="114" t="str">
        <f t="shared" si="30"/>
        <v>INSERT INTO DETALLES_DOCUMENTO(NRO_DOCUMENTO,ID_TIPO,ID_PRODUCTO,CANTIDAD,PRECIO,VALOR_BRUTO,VALOR_NETO,VALOR_IVA) VALUES(971,1,24,1,1650,1650,1387,263);</v>
      </c>
    </row>
    <row r="1968" spans="1:12">
      <c r="A1968" s="114">
        <v>1</v>
      </c>
      <c r="B1968" s="114">
        <v>971</v>
      </c>
      <c r="C1968" s="139" t="s">
        <v>2317</v>
      </c>
      <c r="D1968" s="114" t="s">
        <v>2090</v>
      </c>
      <c r="E1968" s="114">
        <v>483</v>
      </c>
      <c r="F1968" s="114">
        <v>259</v>
      </c>
      <c r="G1968" s="114">
        <v>1</v>
      </c>
      <c r="H1968" s="114">
        <v>4500</v>
      </c>
      <c r="I1968" s="114">
        <v>4500</v>
      </c>
      <c r="J1968" s="114">
        <v>3782</v>
      </c>
      <c r="K1968" s="114">
        <v>718</v>
      </c>
      <c r="L1968" s="114" t="str">
        <f t="shared" si="30"/>
        <v>INSERT INTO DETALLES_DOCUMENTO(NRO_DOCUMENTO,ID_TIPO,ID_PRODUCTO,CANTIDAD,PRECIO,VALOR_BRUTO,VALOR_NETO,VALOR_IVA) VALUES(971,1,259,1,4500,4500,3782,718);</v>
      </c>
    </row>
    <row r="1969" spans="1:12">
      <c r="A1969" s="114">
        <v>1</v>
      </c>
      <c r="B1969" s="114">
        <v>971</v>
      </c>
      <c r="C1969" s="139" t="s">
        <v>2317</v>
      </c>
      <c r="D1969" s="114" t="s">
        <v>2090</v>
      </c>
      <c r="E1969" s="114">
        <v>483</v>
      </c>
      <c r="F1969" s="114">
        <v>357</v>
      </c>
      <c r="G1969" s="114">
        <v>4</v>
      </c>
      <c r="H1969" s="114">
        <v>7200</v>
      </c>
      <c r="I1969" s="114">
        <v>28800</v>
      </c>
      <c r="J1969" s="114">
        <v>24202</v>
      </c>
      <c r="K1969" s="114">
        <v>4598</v>
      </c>
      <c r="L1969" s="114" t="str">
        <f t="shared" si="30"/>
        <v>INSERT INTO DETALLES_DOCUMENTO(NRO_DOCUMENTO,ID_TIPO,ID_PRODUCTO,CANTIDAD,PRECIO,VALOR_BRUTO,VALOR_NETO,VALOR_IVA) VALUES(971,1,357,4,7200,28800,24202,4598);</v>
      </c>
    </row>
    <row r="1970" spans="1:12">
      <c r="A1970" s="114">
        <v>1</v>
      </c>
      <c r="B1970" s="114">
        <v>971</v>
      </c>
      <c r="C1970" s="139" t="s">
        <v>2317</v>
      </c>
      <c r="D1970" s="114" t="s">
        <v>2090</v>
      </c>
      <c r="E1970" s="114">
        <v>483</v>
      </c>
      <c r="F1970" s="114">
        <v>166</v>
      </c>
      <c r="G1970" s="114">
        <v>2</v>
      </c>
      <c r="H1970" s="114">
        <v>3200</v>
      </c>
      <c r="I1970" s="114">
        <v>6400</v>
      </c>
      <c r="J1970" s="114">
        <v>5378</v>
      </c>
      <c r="K1970" s="114">
        <v>1022</v>
      </c>
      <c r="L1970" s="114" t="str">
        <f t="shared" si="30"/>
        <v>INSERT INTO DETALLES_DOCUMENTO(NRO_DOCUMENTO,ID_TIPO,ID_PRODUCTO,CANTIDAD,PRECIO,VALOR_BRUTO,VALOR_NETO,VALOR_IVA) VALUES(971,1,166,2,3200,6400,5378,1022);</v>
      </c>
    </row>
    <row r="1971" spans="1:12">
      <c r="A1971" s="114">
        <v>1</v>
      </c>
      <c r="B1971" s="114">
        <v>971</v>
      </c>
      <c r="C1971" s="139" t="s">
        <v>2317</v>
      </c>
      <c r="D1971" s="114" t="s">
        <v>2090</v>
      </c>
      <c r="E1971" s="114">
        <v>483</v>
      </c>
      <c r="F1971" s="114">
        <v>231</v>
      </c>
      <c r="G1971" s="114">
        <v>1</v>
      </c>
      <c r="H1971" s="114">
        <v>20900</v>
      </c>
      <c r="I1971" s="114">
        <v>20900</v>
      </c>
      <c r="J1971" s="114">
        <v>17563</v>
      </c>
      <c r="K1971" s="114">
        <v>3337</v>
      </c>
      <c r="L1971" s="114" t="str">
        <f t="shared" si="30"/>
        <v>INSERT INTO DETALLES_DOCUMENTO(NRO_DOCUMENTO,ID_TIPO,ID_PRODUCTO,CANTIDAD,PRECIO,VALOR_BRUTO,VALOR_NETO,VALOR_IVA) VALUES(971,1,231,1,20900,20900,17563,3337);</v>
      </c>
    </row>
    <row r="1972" spans="1:12">
      <c r="A1972" s="114">
        <v>1</v>
      </c>
      <c r="B1972" s="114">
        <v>971</v>
      </c>
      <c r="C1972" s="139" t="s">
        <v>2317</v>
      </c>
      <c r="D1972" s="114" t="s">
        <v>2090</v>
      </c>
      <c r="E1972" s="114">
        <v>483</v>
      </c>
      <c r="F1972" s="114">
        <v>225</v>
      </c>
      <c r="G1972" s="114">
        <v>1</v>
      </c>
      <c r="H1972" s="114">
        <v>19500</v>
      </c>
      <c r="I1972" s="114">
        <v>19500</v>
      </c>
      <c r="J1972" s="114">
        <v>16387</v>
      </c>
      <c r="K1972" s="114">
        <v>3113</v>
      </c>
      <c r="L1972" s="114" t="str">
        <f t="shared" si="30"/>
        <v>INSERT INTO DETALLES_DOCUMENTO(NRO_DOCUMENTO,ID_TIPO,ID_PRODUCTO,CANTIDAD,PRECIO,VALOR_BRUTO,VALOR_NETO,VALOR_IVA) VALUES(971,1,225,1,19500,19500,16387,3113);</v>
      </c>
    </row>
    <row r="1973" spans="1:12">
      <c r="A1973" s="114">
        <v>1</v>
      </c>
      <c r="B1973" s="114">
        <v>971</v>
      </c>
      <c r="C1973" s="139" t="s">
        <v>2317</v>
      </c>
      <c r="D1973" s="114" t="s">
        <v>2090</v>
      </c>
      <c r="E1973" s="114">
        <v>483</v>
      </c>
      <c r="F1973" s="114">
        <v>227</v>
      </c>
      <c r="G1973" s="114">
        <v>1</v>
      </c>
      <c r="H1973" s="114">
        <v>13500</v>
      </c>
      <c r="I1973" s="114">
        <v>13500</v>
      </c>
      <c r="J1973" s="114">
        <v>11345</v>
      </c>
      <c r="K1973" s="114">
        <v>2155</v>
      </c>
      <c r="L1973" s="114" t="str">
        <f t="shared" si="30"/>
        <v>INSERT INTO DETALLES_DOCUMENTO(NRO_DOCUMENTO,ID_TIPO,ID_PRODUCTO,CANTIDAD,PRECIO,VALOR_BRUTO,VALOR_NETO,VALOR_IVA) VALUES(971,1,227,1,13500,13500,11345,2155);</v>
      </c>
    </row>
    <row r="1974" spans="1:12">
      <c r="A1974" s="114">
        <v>1</v>
      </c>
      <c r="B1974" s="114">
        <v>972</v>
      </c>
      <c r="C1974" s="139" t="s">
        <v>2318</v>
      </c>
      <c r="D1974" s="114" t="s">
        <v>2090</v>
      </c>
      <c r="E1974" s="114">
        <v>56</v>
      </c>
      <c r="F1974" s="114">
        <v>143</v>
      </c>
      <c r="G1974" s="114">
        <v>1</v>
      </c>
      <c r="H1974" s="114">
        <v>8200</v>
      </c>
      <c r="I1974" s="114">
        <v>8200</v>
      </c>
      <c r="J1974" s="114">
        <v>6891</v>
      </c>
      <c r="K1974" s="114">
        <v>1309</v>
      </c>
      <c r="L1974" s="114" t="str">
        <f t="shared" si="30"/>
        <v>INSERT INTO DETALLES_DOCUMENTO(NRO_DOCUMENTO,ID_TIPO,ID_PRODUCTO,CANTIDAD,PRECIO,VALOR_BRUTO,VALOR_NETO,VALOR_IVA) VALUES(972,1,143,1,8200,8200,6891,1309);</v>
      </c>
    </row>
    <row r="1975" spans="1:12">
      <c r="A1975" s="114">
        <v>1</v>
      </c>
      <c r="B1975" s="114">
        <v>972</v>
      </c>
      <c r="C1975" s="139" t="s">
        <v>2318</v>
      </c>
      <c r="D1975" s="114" t="s">
        <v>2090</v>
      </c>
      <c r="E1975" s="114">
        <v>56</v>
      </c>
      <c r="F1975" s="114">
        <v>324</v>
      </c>
      <c r="G1975" s="114">
        <v>1</v>
      </c>
      <c r="H1975" s="114">
        <v>11000</v>
      </c>
      <c r="I1975" s="114">
        <v>11000</v>
      </c>
      <c r="J1975" s="114">
        <v>9244</v>
      </c>
      <c r="K1975" s="114">
        <v>1756</v>
      </c>
      <c r="L1975" s="114" t="str">
        <f t="shared" si="30"/>
        <v>INSERT INTO DETALLES_DOCUMENTO(NRO_DOCUMENTO,ID_TIPO,ID_PRODUCTO,CANTIDAD,PRECIO,VALOR_BRUTO,VALOR_NETO,VALOR_IVA) VALUES(972,1,324,1,11000,11000,9244,1756);</v>
      </c>
    </row>
    <row r="1976" spans="1:12">
      <c r="A1976" s="114">
        <v>1</v>
      </c>
      <c r="B1976" s="114">
        <v>973</v>
      </c>
      <c r="C1976" s="139" t="s">
        <v>2318</v>
      </c>
      <c r="D1976" s="114" t="s">
        <v>2090</v>
      </c>
      <c r="E1976" s="114">
        <v>267</v>
      </c>
      <c r="F1976" s="114">
        <v>231</v>
      </c>
      <c r="G1976" s="114">
        <v>1</v>
      </c>
      <c r="H1976" s="114">
        <v>20900</v>
      </c>
      <c r="I1976" s="114">
        <v>20900</v>
      </c>
      <c r="J1976" s="114">
        <v>17563</v>
      </c>
      <c r="K1976" s="114">
        <v>3337</v>
      </c>
      <c r="L1976" s="114" t="str">
        <f t="shared" si="30"/>
        <v>INSERT INTO DETALLES_DOCUMENTO(NRO_DOCUMENTO,ID_TIPO,ID_PRODUCTO,CANTIDAD,PRECIO,VALOR_BRUTO,VALOR_NETO,VALOR_IVA) VALUES(973,1,231,1,20900,20900,17563,3337);</v>
      </c>
    </row>
    <row r="1977" spans="1:12">
      <c r="A1977" s="114">
        <v>1</v>
      </c>
      <c r="B1977" s="114">
        <v>973</v>
      </c>
      <c r="C1977" s="139" t="s">
        <v>2318</v>
      </c>
      <c r="D1977" s="114" t="s">
        <v>2090</v>
      </c>
      <c r="E1977" s="114">
        <v>267</v>
      </c>
      <c r="F1977" s="114">
        <v>118</v>
      </c>
      <c r="G1977" s="114">
        <v>1</v>
      </c>
      <c r="H1977" s="114">
        <v>3500</v>
      </c>
      <c r="I1977" s="114">
        <v>3500</v>
      </c>
      <c r="J1977" s="114">
        <v>2941</v>
      </c>
      <c r="K1977" s="114">
        <v>559</v>
      </c>
      <c r="L1977" s="114" t="str">
        <f t="shared" si="30"/>
        <v>INSERT INTO DETALLES_DOCUMENTO(NRO_DOCUMENTO,ID_TIPO,ID_PRODUCTO,CANTIDAD,PRECIO,VALOR_BRUTO,VALOR_NETO,VALOR_IVA) VALUES(973,1,118,1,3500,3500,2941,559);</v>
      </c>
    </row>
    <row r="1978" spans="1:12">
      <c r="A1978" s="114">
        <v>1</v>
      </c>
      <c r="B1978" s="114">
        <v>974</v>
      </c>
      <c r="C1978" s="139" t="s">
        <v>2319</v>
      </c>
      <c r="D1978" s="114" t="s">
        <v>2095</v>
      </c>
      <c r="E1978" s="114">
        <v>63</v>
      </c>
      <c r="F1978" s="114">
        <v>143</v>
      </c>
      <c r="G1978" s="114">
        <v>1</v>
      </c>
      <c r="H1978" s="114">
        <v>8200</v>
      </c>
      <c r="I1978" s="114">
        <v>8200</v>
      </c>
      <c r="J1978" s="114">
        <v>6891</v>
      </c>
      <c r="K1978" s="114">
        <v>1309</v>
      </c>
      <c r="L1978" s="114" t="str">
        <f t="shared" si="30"/>
        <v>INSERT INTO DETALLES_DOCUMENTO(NRO_DOCUMENTO,ID_TIPO,ID_PRODUCTO,CANTIDAD,PRECIO,VALOR_BRUTO,VALOR_NETO,VALOR_IVA) VALUES(974,1,143,1,8200,8200,6891,1309);</v>
      </c>
    </row>
    <row r="1979" spans="1:12">
      <c r="A1979" s="114">
        <v>1</v>
      </c>
      <c r="B1979" s="114">
        <v>975</v>
      </c>
      <c r="C1979" s="139" t="s">
        <v>2319</v>
      </c>
      <c r="D1979" s="114" t="s">
        <v>2095</v>
      </c>
      <c r="E1979" s="114">
        <v>98</v>
      </c>
      <c r="F1979" s="114">
        <v>329</v>
      </c>
      <c r="G1979" s="114">
        <v>1</v>
      </c>
      <c r="H1979" s="114">
        <v>6000</v>
      </c>
      <c r="I1979" s="114">
        <v>6000</v>
      </c>
      <c r="J1979" s="114">
        <v>5042</v>
      </c>
      <c r="K1979" s="114">
        <v>958</v>
      </c>
      <c r="L1979" s="114" t="str">
        <f t="shared" si="30"/>
        <v>INSERT INTO DETALLES_DOCUMENTO(NRO_DOCUMENTO,ID_TIPO,ID_PRODUCTO,CANTIDAD,PRECIO,VALOR_BRUTO,VALOR_NETO,VALOR_IVA) VALUES(975,1,329,1,6000,6000,5042,958);</v>
      </c>
    </row>
    <row r="1980" spans="1:12">
      <c r="A1980" s="114">
        <v>1</v>
      </c>
      <c r="B1980" s="114">
        <v>976</v>
      </c>
      <c r="C1980" s="139" t="s">
        <v>2319</v>
      </c>
      <c r="D1980" s="114" t="s">
        <v>2095</v>
      </c>
      <c r="E1980" s="114">
        <v>411</v>
      </c>
      <c r="F1980" s="114">
        <v>329</v>
      </c>
      <c r="G1980" s="114">
        <v>1</v>
      </c>
      <c r="H1980" s="114">
        <v>6000</v>
      </c>
      <c r="I1980" s="114">
        <v>6000</v>
      </c>
      <c r="J1980" s="114">
        <v>5042</v>
      </c>
      <c r="K1980" s="114">
        <v>958</v>
      </c>
      <c r="L1980" s="114" t="str">
        <f t="shared" si="30"/>
        <v>INSERT INTO DETALLES_DOCUMENTO(NRO_DOCUMENTO,ID_TIPO,ID_PRODUCTO,CANTIDAD,PRECIO,VALOR_BRUTO,VALOR_NETO,VALOR_IVA) VALUES(976,1,329,1,6000,6000,5042,958);</v>
      </c>
    </row>
    <row r="1981" spans="1:12">
      <c r="A1981" s="114">
        <v>1</v>
      </c>
      <c r="B1981" s="114">
        <v>977</v>
      </c>
      <c r="C1981" s="139" t="s">
        <v>2319</v>
      </c>
      <c r="D1981" s="114" t="s">
        <v>2095</v>
      </c>
      <c r="E1981" s="114">
        <v>486</v>
      </c>
      <c r="F1981" s="114">
        <v>143</v>
      </c>
      <c r="G1981" s="114">
        <v>1</v>
      </c>
      <c r="H1981" s="114">
        <v>8200</v>
      </c>
      <c r="I1981" s="114">
        <v>8200</v>
      </c>
      <c r="J1981" s="114">
        <v>6891</v>
      </c>
      <c r="K1981" s="114">
        <v>1309</v>
      </c>
      <c r="L1981" s="114" t="str">
        <f t="shared" si="30"/>
        <v>INSERT INTO DETALLES_DOCUMENTO(NRO_DOCUMENTO,ID_TIPO,ID_PRODUCTO,CANTIDAD,PRECIO,VALOR_BRUTO,VALOR_NETO,VALOR_IVA) VALUES(977,1,143,1,8200,8200,6891,1309);</v>
      </c>
    </row>
    <row r="1982" spans="1:12">
      <c r="A1982" s="114">
        <v>1</v>
      </c>
      <c r="B1982" s="114">
        <v>978</v>
      </c>
      <c r="C1982" s="139" t="s">
        <v>2320</v>
      </c>
      <c r="D1982" s="114" t="s">
        <v>2090</v>
      </c>
      <c r="E1982" s="114">
        <v>166</v>
      </c>
      <c r="F1982" s="114">
        <v>143</v>
      </c>
      <c r="G1982" s="114">
        <v>1</v>
      </c>
      <c r="H1982" s="114">
        <v>8200</v>
      </c>
      <c r="I1982" s="114">
        <v>8200</v>
      </c>
      <c r="J1982" s="114">
        <v>6891</v>
      </c>
      <c r="K1982" s="114">
        <v>1309</v>
      </c>
      <c r="L1982" s="114" t="str">
        <f t="shared" si="30"/>
        <v>INSERT INTO DETALLES_DOCUMENTO(NRO_DOCUMENTO,ID_TIPO,ID_PRODUCTO,CANTIDAD,PRECIO,VALOR_BRUTO,VALOR_NETO,VALOR_IVA) VALUES(978,1,143,1,8200,8200,6891,1309);</v>
      </c>
    </row>
    <row r="1983" spans="1:12">
      <c r="A1983" s="114">
        <v>1</v>
      </c>
      <c r="B1983" s="114">
        <v>978</v>
      </c>
      <c r="C1983" s="139" t="s">
        <v>2320</v>
      </c>
      <c r="D1983" s="114" t="s">
        <v>2090</v>
      </c>
      <c r="E1983" s="114">
        <v>166</v>
      </c>
      <c r="F1983" s="114">
        <v>329</v>
      </c>
      <c r="G1983" s="114">
        <v>1</v>
      </c>
      <c r="H1983" s="114">
        <v>6000</v>
      </c>
      <c r="I1983" s="114">
        <v>6000</v>
      </c>
      <c r="J1983" s="114">
        <v>5042</v>
      </c>
      <c r="K1983" s="114">
        <v>958</v>
      </c>
      <c r="L1983" s="114" t="str">
        <f t="shared" si="30"/>
        <v>INSERT INTO DETALLES_DOCUMENTO(NRO_DOCUMENTO,ID_TIPO,ID_PRODUCTO,CANTIDAD,PRECIO,VALOR_BRUTO,VALOR_NETO,VALOR_IVA) VALUES(978,1,329,1,6000,6000,5042,958);</v>
      </c>
    </row>
    <row r="1984" spans="1:12">
      <c r="A1984" s="114">
        <v>1</v>
      </c>
      <c r="B1984" s="114">
        <v>979</v>
      </c>
      <c r="C1984" s="139" t="s">
        <v>2320</v>
      </c>
      <c r="D1984" s="114" t="s">
        <v>2090</v>
      </c>
      <c r="E1984" s="114">
        <v>219</v>
      </c>
      <c r="F1984" s="114">
        <v>231</v>
      </c>
      <c r="G1984" s="114">
        <v>1</v>
      </c>
      <c r="H1984" s="114">
        <v>20900</v>
      </c>
      <c r="I1984" s="114">
        <v>20900</v>
      </c>
      <c r="J1984" s="114">
        <v>17563</v>
      </c>
      <c r="K1984" s="114">
        <v>3337</v>
      </c>
      <c r="L1984" s="114" t="str">
        <f t="shared" si="30"/>
        <v>INSERT INTO DETALLES_DOCUMENTO(NRO_DOCUMENTO,ID_TIPO,ID_PRODUCTO,CANTIDAD,PRECIO,VALOR_BRUTO,VALOR_NETO,VALOR_IVA) VALUES(979,1,231,1,20900,20900,17563,3337);</v>
      </c>
    </row>
    <row r="1985" spans="1:12">
      <c r="A1985" s="114">
        <v>1</v>
      </c>
      <c r="B1985" s="114">
        <v>980</v>
      </c>
      <c r="C1985" s="139" t="s">
        <v>2320</v>
      </c>
      <c r="D1985" s="114" t="s">
        <v>2090</v>
      </c>
      <c r="E1985" s="114">
        <v>267</v>
      </c>
      <c r="F1985" s="114">
        <v>143</v>
      </c>
      <c r="G1985" s="114">
        <v>1</v>
      </c>
      <c r="H1985" s="114">
        <v>8200</v>
      </c>
      <c r="I1985" s="114">
        <v>8200</v>
      </c>
      <c r="J1985" s="114">
        <v>6891</v>
      </c>
      <c r="K1985" s="114">
        <v>1309</v>
      </c>
      <c r="L1985" s="114" t="str">
        <f t="shared" si="30"/>
        <v>INSERT INTO DETALLES_DOCUMENTO(NRO_DOCUMENTO,ID_TIPO,ID_PRODUCTO,CANTIDAD,PRECIO,VALOR_BRUTO,VALOR_NETO,VALOR_IVA) VALUES(980,1,143,1,8200,8200,6891,1309);</v>
      </c>
    </row>
    <row r="1986" spans="1:12">
      <c r="A1986" s="114">
        <v>1</v>
      </c>
      <c r="B1986" s="114">
        <v>981</v>
      </c>
      <c r="C1986" s="139" t="s">
        <v>2320</v>
      </c>
      <c r="D1986" s="114" t="s">
        <v>2090</v>
      </c>
      <c r="E1986" s="114">
        <v>274</v>
      </c>
      <c r="F1986" s="114">
        <v>277</v>
      </c>
      <c r="G1986" s="114">
        <v>1</v>
      </c>
      <c r="H1986" s="114">
        <v>10000</v>
      </c>
      <c r="I1986" s="114">
        <v>10000</v>
      </c>
      <c r="J1986" s="114">
        <v>8403</v>
      </c>
      <c r="K1986" s="114">
        <v>1597</v>
      </c>
      <c r="L1986" s="114" t="str">
        <f t="shared" si="30"/>
        <v>INSERT INTO DETALLES_DOCUMENTO(NRO_DOCUMENTO,ID_TIPO,ID_PRODUCTO,CANTIDAD,PRECIO,VALOR_BRUTO,VALOR_NETO,VALOR_IVA) VALUES(981,1,277,1,10000,10000,8403,1597);</v>
      </c>
    </row>
    <row r="1987" spans="1:12">
      <c r="A1987" s="114">
        <v>1</v>
      </c>
      <c r="B1987" s="114">
        <v>981</v>
      </c>
      <c r="C1987" s="139" t="s">
        <v>2320</v>
      </c>
      <c r="D1987" s="114" t="s">
        <v>2090</v>
      </c>
      <c r="E1987" s="114">
        <v>274</v>
      </c>
      <c r="F1987" s="114">
        <v>143</v>
      </c>
      <c r="G1987" s="114">
        <v>1</v>
      </c>
      <c r="H1987" s="114">
        <v>8200</v>
      </c>
      <c r="I1987" s="114">
        <v>8200</v>
      </c>
      <c r="J1987" s="114">
        <v>6891</v>
      </c>
      <c r="K1987" s="114">
        <v>1309</v>
      </c>
      <c r="L1987" s="114" t="str">
        <f t="shared" ref="L1987:L2050" si="31">CONCATENATE("INSERT INTO DETALLES_DOCUMENTO(NRO_DOCUMENTO,ID_TIPO,ID_PRODUCTO,CANTIDAD,PRECIO,VALOR_BRUTO,VALOR_NETO,VALOR_IVA) VALUES(",B1987,",",A1987,",",F1987,",",G1987,",",H1987,",",I1987,",",J1987,",",K1987,");")</f>
        <v>INSERT INTO DETALLES_DOCUMENTO(NRO_DOCUMENTO,ID_TIPO,ID_PRODUCTO,CANTIDAD,PRECIO,VALOR_BRUTO,VALOR_NETO,VALOR_IVA) VALUES(981,1,143,1,8200,8200,6891,1309);</v>
      </c>
    </row>
    <row r="1988" spans="1:12">
      <c r="A1988" s="114">
        <v>1</v>
      </c>
      <c r="B1988" s="114">
        <v>982</v>
      </c>
      <c r="C1988" s="139" t="s">
        <v>2320</v>
      </c>
      <c r="D1988" s="114" t="s">
        <v>2090</v>
      </c>
      <c r="E1988" s="114">
        <v>345</v>
      </c>
      <c r="F1988" s="114">
        <v>45</v>
      </c>
      <c r="G1988" s="114">
        <v>1</v>
      </c>
      <c r="H1988" s="114">
        <v>1600</v>
      </c>
      <c r="I1988" s="114">
        <v>1600</v>
      </c>
      <c r="J1988" s="114">
        <v>1345</v>
      </c>
      <c r="K1988" s="114">
        <v>255</v>
      </c>
      <c r="L1988" s="114" t="str">
        <f t="shared" si="31"/>
        <v>INSERT INTO DETALLES_DOCUMENTO(NRO_DOCUMENTO,ID_TIPO,ID_PRODUCTO,CANTIDAD,PRECIO,VALOR_BRUTO,VALOR_NETO,VALOR_IVA) VALUES(982,1,45,1,1600,1600,1345,255);</v>
      </c>
    </row>
    <row r="1989" spans="1:12">
      <c r="A1989" s="114">
        <v>1</v>
      </c>
      <c r="B1989" s="114">
        <v>982</v>
      </c>
      <c r="C1989" s="139" t="s">
        <v>2320</v>
      </c>
      <c r="D1989" s="114" t="s">
        <v>2090</v>
      </c>
      <c r="E1989" s="114">
        <v>345</v>
      </c>
      <c r="F1989" s="114">
        <v>165</v>
      </c>
      <c r="G1989" s="114">
        <v>1</v>
      </c>
      <c r="H1989" s="114">
        <v>2000</v>
      </c>
      <c r="I1989" s="114">
        <v>2000</v>
      </c>
      <c r="J1989" s="114">
        <v>1681</v>
      </c>
      <c r="K1989" s="114">
        <v>319</v>
      </c>
      <c r="L1989" s="114" t="str">
        <f t="shared" si="31"/>
        <v>INSERT INTO DETALLES_DOCUMENTO(NRO_DOCUMENTO,ID_TIPO,ID_PRODUCTO,CANTIDAD,PRECIO,VALOR_BRUTO,VALOR_NETO,VALOR_IVA) VALUES(982,1,165,1,2000,2000,1681,319);</v>
      </c>
    </row>
    <row r="1990" spans="1:12">
      <c r="A1990" s="114">
        <v>1</v>
      </c>
      <c r="B1990" s="114">
        <v>982</v>
      </c>
      <c r="C1990" s="139" t="s">
        <v>2320</v>
      </c>
      <c r="D1990" s="114" t="s">
        <v>2090</v>
      </c>
      <c r="E1990" s="114">
        <v>345</v>
      </c>
      <c r="F1990" s="114">
        <v>256</v>
      </c>
      <c r="G1990" s="114">
        <v>1</v>
      </c>
      <c r="H1990" s="114">
        <v>3000</v>
      </c>
      <c r="I1990" s="114">
        <v>3000</v>
      </c>
      <c r="J1990" s="114">
        <v>2521</v>
      </c>
      <c r="K1990" s="114">
        <v>479</v>
      </c>
      <c r="L1990" s="114" t="str">
        <f t="shared" si="31"/>
        <v>INSERT INTO DETALLES_DOCUMENTO(NRO_DOCUMENTO,ID_TIPO,ID_PRODUCTO,CANTIDAD,PRECIO,VALOR_BRUTO,VALOR_NETO,VALOR_IVA) VALUES(982,1,256,1,3000,3000,2521,479);</v>
      </c>
    </row>
    <row r="1991" spans="1:12">
      <c r="A1991" s="114">
        <v>1</v>
      </c>
      <c r="B1991" s="114">
        <v>982</v>
      </c>
      <c r="C1991" s="139" t="s">
        <v>2320</v>
      </c>
      <c r="D1991" s="114" t="s">
        <v>2090</v>
      </c>
      <c r="E1991" s="114">
        <v>345</v>
      </c>
      <c r="F1991" s="114">
        <v>360</v>
      </c>
      <c r="G1991" s="114">
        <v>1</v>
      </c>
      <c r="H1991" s="114">
        <v>3000</v>
      </c>
      <c r="I1991" s="114">
        <v>3000</v>
      </c>
      <c r="J1991" s="114">
        <v>2521</v>
      </c>
      <c r="K1991" s="114">
        <v>479</v>
      </c>
      <c r="L1991" s="114" t="str">
        <f t="shared" si="31"/>
        <v>INSERT INTO DETALLES_DOCUMENTO(NRO_DOCUMENTO,ID_TIPO,ID_PRODUCTO,CANTIDAD,PRECIO,VALOR_BRUTO,VALOR_NETO,VALOR_IVA) VALUES(982,1,360,1,3000,3000,2521,479);</v>
      </c>
    </row>
    <row r="1992" spans="1:12">
      <c r="A1992" s="114">
        <v>1</v>
      </c>
      <c r="B1992" s="114">
        <v>982</v>
      </c>
      <c r="C1992" s="139" t="s">
        <v>2320</v>
      </c>
      <c r="D1992" s="114" t="s">
        <v>2090</v>
      </c>
      <c r="E1992" s="114">
        <v>345</v>
      </c>
      <c r="F1992" s="114">
        <v>163</v>
      </c>
      <c r="G1992" s="114">
        <v>1</v>
      </c>
      <c r="H1992" s="114">
        <v>1500</v>
      </c>
      <c r="I1992" s="114">
        <v>1500</v>
      </c>
      <c r="J1992" s="114">
        <v>1261</v>
      </c>
      <c r="K1992" s="114">
        <v>239</v>
      </c>
      <c r="L1992" s="114" t="str">
        <f t="shared" si="31"/>
        <v>INSERT INTO DETALLES_DOCUMENTO(NRO_DOCUMENTO,ID_TIPO,ID_PRODUCTO,CANTIDAD,PRECIO,VALOR_BRUTO,VALOR_NETO,VALOR_IVA) VALUES(982,1,163,1,1500,1500,1261,239);</v>
      </c>
    </row>
    <row r="1993" spans="1:12">
      <c r="A1993" s="114">
        <v>1</v>
      </c>
      <c r="B1993" s="114">
        <v>982</v>
      </c>
      <c r="C1993" s="139" t="s">
        <v>2320</v>
      </c>
      <c r="D1993" s="114" t="s">
        <v>2090</v>
      </c>
      <c r="E1993" s="114">
        <v>345</v>
      </c>
      <c r="F1993" s="114">
        <v>162</v>
      </c>
      <c r="G1993" s="114">
        <v>1</v>
      </c>
      <c r="H1993" s="114">
        <v>1600</v>
      </c>
      <c r="I1993" s="114">
        <v>1600</v>
      </c>
      <c r="J1993" s="114">
        <v>1345</v>
      </c>
      <c r="K1993" s="114">
        <v>255</v>
      </c>
      <c r="L1993" s="114" t="str">
        <f t="shared" si="31"/>
        <v>INSERT INTO DETALLES_DOCUMENTO(NRO_DOCUMENTO,ID_TIPO,ID_PRODUCTO,CANTIDAD,PRECIO,VALOR_BRUTO,VALOR_NETO,VALOR_IVA) VALUES(982,1,162,1,1600,1600,1345,255);</v>
      </c>
    </row>
    <row r="1994" spans="1:12">
      <c r="A1994" s="114">
        <v>1</v>
      </c>
      <c r="B1994" s="114">
        <v>982</v>
      </c>
      <c r="C1994" s="139" t="s">
        <v>2320</v>
      </c>
      <c r="D1994" s="114" t="s">
        <v>2090</v>
      </c>
      <c r="E1994" s="114">
        <v>345</v>
      </c>
      <c r="F1994" s="114">
        <v>274</v>
      </c>
      <c r="G1994" s="114">
        <v>1</v>
      </c>
      <c r="H1994" s="114">
        <v>7500</v>
      </c>
      <c r="I1994" s="114">
        <v>7500</v>
      </c>
      <c r="J1994" s="114">
        <v>6303</v>
      </c>
      <c r="K1994" s="114">
        <v>1197</v>
      </c>
      <c r="L1994" s="114" t="str">
        <f t="shared" si="31"/>
        <v>INSERT INTO DETALLES_DOCUMENTO(NRO_DOCUMENTO,ID_TIPO,ID_PRODUCTO,CANTIDAD,PRECIO,VALOR_BRUTO,VALOR_NETO,VALOR_IVA) VALUES(982,1,274,1,7500,7500,6303,1197);</v>
      </c>
    </row>
    <row r="1995" spans="1:12">
      <c r="A1995" s="114">
        <v>1</v>
      </c>
      <c r="B1995" s="114">
        <v>983</v>
      </c>
      <c r="C1995" s="139" t="s">
        <v>2320</v>
      </c>
      <c r="D1995" s="114" t="s">
        <v>2090</v>
      </c>
      <c r="E1995" s="114">
        <v>465</v>
      </c>
      <c r="F1995" s="114">
        <v>324</v>
      </c>
      <c r="G1995" s="114">
        <v>1</v>
      </c>
      <c r="H1995" s="114">
        <v>11000</v>
      </c>
      <c r="I1995" s="114">
        <v>11000</v>
      </c>
      <c r="J1995" s="114">
        <v>9244</v>
      </c>
      <c r="K1995" s="114">
        <v>1756</v>
      </c>
      <c r="L1995" s="114" t="str">
        <f t="shared" si="31"/>
        <v>INSERT INTO DETALLES_DOCUMENTO(NRO_DOCUMENTO,ID_TIPO,ID_PRODUCTO,CANTIDAD,PRECIO,VALOR_BRUTO,VALOR_NETO,VALOR_IVA) VALUES(983,1,324,1,11000,11000,9244,1756);</v>
      </c>
    </row>
    <row r="1996" spans="1:12">
      <c r="A1996" s="114">
        <v>1</v>
      </c>
      <c r="B1996" s="114">
        <v>984</v>
      </c>
      <c r="C1996" s="139" t="s">
        <v>2321</v>
      </c>
      <c r="D1996" s="114" t="s">
        <v>2095</v>
      </c>
      <c r="E1996" s="114">
        <v>166</v>
      </c>
      <c r="F1996" s="114">
        <v>330</v>
      </c>
      <c r="G1996" s="114">
        <v>1</v>
      </c>
      <c r="H1996" s="114">
        <v>4800</v>
      </c>
      <c r="I1996" s="114">
        <v>4800</v>
      </c>
      <c r="J1996" s="114">
        <v>4034</v>
      </c>
      <c r="K1996" s="114">
        <v>766</v>
      </c>
      <c r="L1996" s="114" t="str">
        <f t="shared" si="31"/>
        <v>INSERT INTO DETALLES_DOCUMENTO(NRO_DOCUMENTO,ID_TIPO,ID_PRODUCTO,CANTIDAD,PRECIO,VALOR_BRUTO,VALOR_NETO,VALOR_IVA) VALUES(984,1,330,1,4800,4800,4034,766);</v>
      </c>
    </row>
    <row r="1997" spans="1:12">
      <c r="A1997" s="114">
        <v>1</v>
      </c>
      <c r="B1997" s="114">
        <v>984</v>
      </c>
      <c r="C1997" s="139" t="s">
        <v>2321</v>
      </c>
      <c r="D1997" s="114" t="s">
        <v>2095</v>
      </c>
      <c r="E1997" s="114">
        <v>166</v>
      </c>
      <c r="F1997" s="114">
        <v>7</v>
      </c>
      <c r="G1997" s="114">
        <v>1</v>
      </c>
      <c r="H1997" s="114">
        <v>7000</v>
      </c>
      <c r="I1997" s="114">
        <v>7000</v>
      </c>
      <c r="J1997" s="114">
        <v>5882</v>
      </c>
      <c r="K1997" s="114">
        <v>1118</v>
      </c>
      <c r="L1997" s="114" t="str">
        <f t="shared" si="31"/>
        <v>INSERT INTO DETALLES_DOCUMENTO(NRO_DOCUMENTO,ID_TIPO,ID_PRODUCTO,CANTIDAD,PRECIO,VALOR_BRUTO,VALOR_NETO,VALOR_IVA) VALUES(984,1,7,1,7000,7000,5882,1118);</v>
      </c>
    </row>
    <row r="1998" spans="1:12">
      <c r="A1998" s="114">
        <v>1</v>
      </c>
      <c r="B1998" s="114">
        <v>984</v>
      </c>
      <c r="C1998" s="139" t="s">
        <v>2321</v>
      </c>
      <c r="D1998" s="114" t="s">
        <v>2095</v>
      </c>
      <c r="E1998" s="114">
        <v>166</v>
      </c>
      <c r="F1998" s="114">
        <v>329</v>
      </c>
      <c r="G1998" s="114">
        <v>1</v>
      </c>
      <c r="H1998" s="114">
        <v>6000</v>
      </c>
      <c r="I1998" s="114">
        <v>6000</v>
      </c>
      <c r="J1998" s="114">
        <v>5042</v>
      </c>
      <c r="K1998" s="114">
        <v>958</v>
      </c>
      <c r="L1998" s="114" t="str">
        <f t="shared" si="31"/>
        <v>INSERT INTO DETALLES_DOCUMENTO(NRO_DOCUMENTO,ID_TIPO,ID_PRODUCTO,CANTIDAD,PRECIO,VALOR_BRUTO,VALOR_NETO,VALOR_IVA) VALUES(984,1,329,1,6000,6000,5042,958);</v>
      </c>
    </row>
    <row r="1999" spans="1:12">
      <c r="A1999" s="114">
        <v>1</v>
      </c>
      <c r="B1999" s="114">
        <v>985</v>
      </c>
      <c r="C1999" s="139" t="s">
        <v>2321</v>
      </c>
      <c r="D1999" s="114" t="s">
        <v>2095</v>
      </c>
      <c r="E1999" s="114">
        <v>251</v>
      </c>
      <c r="F1999" s="114">
        <v>329</v>
      </c>
      <c r="G1999" s="114">
        <v>1</v>
      </c>
      <c r="H1999" s="114">
        <v>6000</v>
      </c>
      <c r="I1999" s="114">
        <v>6000</v>
      </c>
      <c r="J1999" s="114">
        <v>5042</v>
      </c>
      <c r="K1999" s="114">
        <v>958</v>
      </c>
      <c r="L1999" s="114" t="str">
        <f t="shared" si="31"/>
        <v>INSERT INTO DETALLES_DOCUMENTO(NRO_DOCUMENTO,ID_TIPO,ID_PRODUCTO,CANTIDAD,PRECIO,VALOR_BRUTO,VALOR_NETO,VALOR_IVA) VALUES(985,1,329,1,6000,6000,5042,958);</v>
      </c>
    </row>
    <row r="2000" spans="1:12">
      <c r="A2000" s="114">
        <v>1</v>
      </c>
      <c r="B2000" s="114">
        <v>985</v>
      </c>
      <c r="C2000" s="139" t="s">
        <v>2321</v>
      </c>
      <c r="D2000" s="114" t="s">
        <v>2095</v>
      </c>
      <c r="E2000" s="114">
        <v>251</v>
      </c>
      <c r="F2000" s="114">
        <v>143</v>
      </c>
      <c r="G2000" s="114">
        <v>1</v>
      </c>
      <c r="H2000" s="114">
        <v>8200</v>
      </c>
      <c r="I2000" s="114">
        <v>8200</v>
      </c>
      <c r="J2000" s="114">
        <v>6891</v>
      </c>
      <c r="K2000" s="114">
        <v>1309</v>
      </c>
      <c r="L2000" s="114" t="str">
        <f t="shared" si="31"/>
        <v>INSERT INTO DETALLES_DOCUMENTO(NRO_DOCUMENTO,ID_TIPO,ID_PRODUCTO,CANTIDAD,PRECIO,VALOR_BRUTO,VALOR_NETO,VALOR_IVA) VALUES(985,1,143,1,8200,8200,6891,1309);</v>
      </c>
    </row>
    <row r="2001" spans="1:12">
      <c r="A2001" s="114">
        <v>1</v>
      </c>
      <c r="B2001" s="114">
        <v>986</v>
      </c>
      <c r="C2001" s="139" t="s">
        <v>2321</v>
      </c>
      <c r="D2001" s="114" t="s">
        <v>2095</v>
      </c>
      <c r="E2001" s="114">
        <v>279</v>
      </c>
      <c r="F2001" s="114">
        <v>354</v>
      </c>
      <c r="G2001" s="114">
        <v>1</v>
      </c>
      <c r="H2001" s="114">
        <v>1800</v>
      </c>
      <c r="I2001" s="114">
        <v>1800</v>
      </c>
      <c r="J2001" s="114">
        <v>1513</v>
      </c>
      <c r="K2001" s="114">
        <v>287</v>
      </c>
      <c r="L2001" s="114" t="str">
        <f t="shared" si="31"/>
        <v>INSERT INTO DETALLES_DOCUMENTO(NRO_DOCUMENTO,ID_TIPO,ID_PRODUCTO,CANTIDAD,PRECIO,VALOR_BRUTO,VALOR_NETO,VALOR_IVA) VALUES(986,1,354,1,1800,1800,1513,287);</v>
      </c>
    </row>
    <row r="2002" spans="1:12">
      <c r="A2002" s="114">
        <v>1</v>
      </c>
      <c r="B2002" s="114">
        <v>986</v>
      </c>
      <c r="C2002" s="139" t="s">
        <v>2321</v>
      </c>
      <c r="D2002" s="114" t="s">
        <v>2095</v>
      </c>
      <c r="E2002" s="114">
        <v>279</v>
      </c>
      <c r="F2002" s="114">
        <v>295</v>
      </c>
      <c r="G2002" s="114">
        <v>2</v>
      </c>
      <c r="H2002" s="114">
        <v>41799</v>
      </c>
      <c r="I2002" s="114">
        <v>83598</v>
      </c>
      <c r="J2002" s="114">
        <v>70250</v>
      </c>
      <c r="K2002" s="114">
        <v>13348</v>
      </c>
      <c r="L2002" s="114" t="str">
        <f t="shared" si="31"/>
        <v>INSERT INTO DETALLES_DOCUMENTO(NRO_DOCUMENTO,ID_TIPO,ID_PRODUCTO,CANTIDAD,PRECIO,VALOR_BRUTO,VALOR_NETO,VALOR_IVA) VALUES(986,1,295,2,41799,83598,70250,13348);</v>
      </c>
    </row>
    <row r="2003" spans="1:12">
      <c r="A2003" s="114">
        <v>1</v>
      </c>
      <c r="B2003" s="114">
        <v>986</v>
      </c>
      <c r="C2003" s="139" t="s">
        <v>2321</v>
      </c>
      <c r="D2003" s="114" t="s">
        <v>2095</v>
      </c>
      <c r="E2003" s="114">
        <v>279</v>
      </c>
      <c r="F2003" s="114">
        <v>112</v>
      </c>
      <c r="G2003" s="114">
        <v>2</v>
      </c>
      <c r="H2003" s="114">
        <v>-800</v>
      </c>
      <c r="I2003" s="114">
        <v>-1600</v>
      </c>
      <c r="J2003" s="114">
        <v>-1345</v>
      </c>
      <c r="K2003" s="114">
        <v>-255</v>
      </c>
      <c r="L2003" s="114" t="str">
        <f t="shared" si="31"/>
        <v>INSERT INTO DETALLES_DOCUMENTO(NRO_DOCUMENTO,ID_TIPO,ID_PRODUCTO,CANTIDAD,PRECIO,VALOR_BRUTO,VALOR_NETO,VALOR_IVA) VALUES(986,1,112,2,-800,-1600,-1345,-255);</v>
      </c>
    </row>
    <row r="2004" spans="1:12">
      <c r="A2004" s="114">
        <v>1</v>
      </c>
      <c r="B2004" s="114">
        <v>986</v>
      </c>
      <c r="C2004" s="139" t="s">
        <v>2321</v>
      </c>
      <c r="D2004" s="114" t="s">
        <v>2095</v>
      </c>
      <c r="E2004" s="114">
        <v>279</v>
      </c>
      <c r="F2004" s="114">
        <v>283</v>
      </c>
      <c r="G2004" s="114">
        <v>1</v>
      </c>
      <c r="H2004" s="114">
        <v>7600</v>
      </c>
      <c r="I2004" s="114">
        <v>7600</v>
      </c>
      <c r="J2004" s="114">
        <v>6387</v>
      </c>
      <c r="K2004" s="114">
        <v>1213</v>
      </c>
      <c r="L2004" s="114" t="str">
        <f t="shared" si="31"/>
        <v>INSERT INTO DETALLES_DOCUMENTO(NRO_DOCUMENTO,ID_TIPO,ID_PRODUCTO,CANTIDAD,PRECIO,VALOR_BRUTO,VALOR_NETO,VALOR_IVA) VALUES(986,1,283,1,7600,7600,6387,1213);</v>
      </c>
    </row>
    <row r="2005" spans="1:12">
      <c r="A2005" s="114">
        <v>1</v>
      </c>
      <c r="B2005" s="114">
        <v>987</v>
      </c>
      <c r="C2005" s="139" t="s">
        <v>2321</v>
      </c>
      <c r="D2005" s="114" t="s">
        <v>2095</v>
      </c>
      <c r="E2005" s="114">
        <v>302</v>
      </c>
      <c r="F2005" s="114">
        <v>329</v>
      </c>
      <c r="G2005" s="114">
        <v>1</v>
      </c>
      <c r="H2005" s="114">
        <v>6000</v>
      </c>
      <c r="I2005" s="114">
        <v>6000</v>
      </c>
      <c r="J2005" s="114">
        <v>5042</v>
      </c>
      <c r="K2005" s="114">
        <v>958</v>
      </c>
      <c r="L2005" s="114" t="str">
        <f t="shared" si="31"/>
        <v>INSERT INTO DETALLES_DOCUMENTO(NRO_DOCUMENTO,ID_TIPO,ID_PRODUCTO,CANTIDAD,PRECIO,VALOR_BRUTO,VALOR_NETO,VALOR_IVA) VALUES(987,1,329,1,6000,6000,5042,958);</v>
      </c>
    </row>
    <row r="2006" spans="1:12">
      <c r="A2006" s="114">
        <v>1</v>
      </c>
      <c r="B2006" s="114">
        <v>988</v>
      </c>
      <c r="C2006" s="139" t="s">
        <v>2321</v>
      </c>
      <c r="D2006" s="114" t="s">
        <v>2095</v>
      </c>
      <c r="E2006" s="114">
        <v>402</v>
      </c>
      <c r="F2006" s="114">
        <v>143</v>
      </c>
      <c r="G2006" s="114">
        <v>2</v>
      </c>
      <c r="H2006" s="114">
        <v>16400</v>
      </c>
      <c r="I2006" s="114">
        <v>32800</v>
      </c>
      <c r="J2006" s="114">
        <v>27563</v>
      </c>
      <c r="K2006" s="114">
        <v>5237</v>
      </c>
      <c r="L2006" s="114" t="str">
        <f t="shared" si="31"/>
        <v>INSERT INTO DETALLES_DOCUMENTO(NRO_DOCUMENTO,ID_TIPO,ID_PRODUCTO,CANTIDAD,PRECIO,VALOR_BRUTO,VALOR_NETO,VALOR_IVA) VALUES(988,1,143,2,16400,32800,27563,5237);</v>
      </c>
    </row>
    <row r="2007" spans="1:12">
      <c r="A2007" s="114">
        <v>1</v>
      </c>
      <c r="B2007" s="114">
        <v>988</v>
      </c>
      <c r="C2007" s="139" t="s">
        <v>2321</v>
      </c>
      <c r="D2007" s="114" t="s">
        <v>2095</v>
      </c>
      <c r="E2007" s="114">
        <v>402</v>
      </c>
      <c r="F2007" s="114">
        <v>324</v>
      </c>
      <c r="G2007" s="114">
        <v>1</v>
      </c>
      <c r="H2007" s="114">
        <v>11000</v>
      </c>
      <c r="I2007" s="114">
        <v>11000</v>
      </c>
      <c r="J2007" s="114">
        <v>9244</v>
      </c>
      <c r="K2007" s="114">
        <v>1756</v>
      </c>
      <c r="L2007" s="114" t="str">
        <f t="shared" si="31"/>
        <v>INSERT INTO DETALLES_DOCUMENTO(NRO_DOCUMENTO,ID_TIPO,ID_PRODUCTO,CANTIDAD,PRECIO,VALOR_BRUTO,VALOR_NETO,VALOR_IVA) VALUES(988,1,324,1,11000,11000,9244,1756);</v>
      </c>
    </row>
    <row r="2008" spans="1:12">
      <c r="A2008" s="114">
        <v>1</v>
      </c>
      <c r="B2008" s="114">
        <v>989</v>
      </c>
      <c r="C2008" s="139" t="s">
        <v>2321</v>
      </c>
      <c r="D2008" s="114" t="s">
        <v>2095</v>
      </c>
      <c r="E2008" s="114">
        <v>476</v>
      </c>
      <c r="F2008" s="114">
        <v>329</v>
      </c>
      <c r="G2008" s="114">
        <v>1</v>
      </c>
      <c r="H2008" s="114">
        <v>6000</v>
      </c>
      <c r="I2008" s="114">
        <v>6000</v>
      </c>
      <c r="J2008" s="114">
        <v>5042</v>
      </c>
      <c r="K2008" s="114">
        <v>958</v>
      </c>
      <c r="L2008" s="114" t="str">
        <f t="shared" si="31"/>
        <v>INSERT INTO DETALLES_DOCUMENTO(NRO_DOCUMENTO,ID_TIPO,ID_PRODUCTO,CANTIDAD,PRECIO,VALOR_BRUTO,VALOR_NETO,VALOR_IVA) VALUES(989,1,329,1,6000,6000,5042,958);</v>
      </c>
    </row>
    <row r="2009" spans="1:12">
      <c r="A2009" s="114">
        <v>1</v>
      </c>
      <c r="B2009" s="114">
        <v>989</v>
      </c>
      <c r="C2009" s="139" t="s">
        <v>2321</v>
      </c>
      <c r="D2009" s="114" t="s">
        <v>2095</v>
      </c>
      <c r="E2009" s="114">
        <v>476</v>
      </c>
      <c r="F2009" s="114">
        <v>143</v>
      </c>
      <c r="G2009" s="114">
        <v>1</v>
      </c>
      <c r="H2009" s="114">
        <v>8200</v>
      </c>
      <c r="I2009" s="114">
        <v>8200</v>
      </c>
      <c r="J2009" s="114">
        <v>6891</v>
      </c>
      <c r="K2009" s="114">
        <v>1309</v>
      </c>
      <c r="L2009" s="114" t="str">
        <f t="shared" si="31"/>
        <v>INSERT INTO DETALLES_DOCUMENTO(NRO_DOCUMENTO,ID_TIPO,ID_PRODUCTO,CANTIDAD,PRECIO,VALOR_BRUTO,VALOR_NETO,VALOR_IVA) VALUES(989,1,143,1,8200,8200,6891,1309);</v>
      </c>
    </row>
    <row r="2010" spans="1:12">
      <c r="A2010" s="114">
        <v>1</v>
      </c>
      <c r="B2010" s="114">
        <v>990</v>
      </c>
      <c r="C2010" s="139" t="s">
        <v>2322</v>
      </c>
      <c r="D2010" s="114" t="s">
        <v>2090</v>
      </c>
      <c r="E2010" s="114">
        <v>29</v>
      </c>
      <c r="F2010" s="114">
        <v>122</v>
      </c>
      <c r="G2010" s="114">
        <v>1</v>
      </c>
      <c r="H2010" s="114">
        <v>6000</v>
      </c>
      <c r="I2010" s="114">
        <v>6000</v>
      </c>
      <c r="J2010" s="114">
        <v>5042</v>
      </c>
      <c r="K2010" s="114">
        <v>958</v>
      </c>
      <c r="L2010" s="114" t="str">
        <f t="shared" si="31"/>
        <v>INSERT INTO DETALLES_DOCUMENTO(NRO_DOCUMENTO,ID_TIPO,ID_PRODUCTO,CANTIDAD,PRECIO,VALOR_BRUTO,VALOR_NETO,VALOR_IVA) VALUES(990,1,122,1,6000,6000,5042,958);</v>
      </c>
    </row>
    <row r="2011" spans="1:12">
      <c r="A2011" s="114">
        <v>1</v>
      </c>
      <c r="B2011" s="114">
        <v>990</v>
      </c>
      <c r="C2011" s="139" t="s">
        <v>2322</v>
      </c>
      <c r="D2011" s="114" t="s">
        <v>2090</v>
      </c>
      <c r="E2011" s="114">
        <v>29</v>
      </c>
      <c r="F2011" s="114">
        <v>387</v>
      </c>
      <c r="G2011" s="114">
        <v>1</v>
      </c>
      <c r="H2011" s="114">
        <v>1500</v>
      </c>
      <c r="I2011" s="114">
        <v>1500</v>
      </c>
      <c r="J2011" s="114">
        <v>1261</v>
      </c>
      <c r="K2011" s="114">
        <v>239</v>
      </c>
      <c r="L2011" s="114" t="str">
        <f t="shared" si="31"/>
        <v>INSERT INTO DETALLES_DOCUMENTO(NRO_DOCUMENTO,ID_TIPO,ID_PRODUCTO,CANTIDAD,PRECIO,VALOR_BRUTO,VALOR_NETO,VALOR_IVA) VALUES(990,1,387,1,1500,1500,1261,239);</v>
      </c>
    </row>
    <row r="2012" spans="1:12">
      <c r="A2012" s="114">
        <v>1</v>
      </c>
      <c r="B2012" s="114">
        <v>990</v>
      </c>
      <c r="C2012" s="139" t="s">
        <v>2322</v>
      </c>
      <c r="D2012" s="114" t="s">
        <v>2090</v>
      </c>
      <c r="E2012" s="114">
        <v>29</v>
      </c>
      <c r="F2012" s="114">
        <v>298</v>
      </c>
      <c r="G2012" s="114">
        <v>1</v>
      </c>
      <c r="H2012" s="114">
        <v>2500</v>
      </c>
      <c r="I2012" s="114">
        <v>2500</v>
      </c>
      <c r="J2012" s="114">
        <v>2101</v>
      </c>
      <c r="K2012" s="114">
        <v>399</v>
      </c>
      <c r="L2012" s="114" t="str">
        <f t="shared" si="31"/>
        <v>INSERT INTO DETALLES_DOCUMENTO(NRO_DOCUMENTO,ID_TIPO,ID_PRODUCTO,CANTIDAD,PRECIO,VALOR_BRUTO,VALOR_NETO,VALOR_IVA) VALUES(990,1,298,1,2500,2500,2101,399);</v>
      </c>
    </row>
    <row r="2013" spans="1:12">
      <c r="A2013" s="114">
        <v>1</v>
      </c>
      <c r="B2013" s="114">
        <v>991</v>
      </c>
      <c r="C2013" s="139" t="s">
        <v>2322</v>
      </c>
      <c r="D2013" s="114" t="s">
        <v>2090</v>
      </c>
      <c r="E2013" s="114">
        <v>36</v>
      </c>
      <c r="F2013" s="114">
        <v>231</v>
      </c>
      <c r="G2013" s="114">
        <v>1</v>
      </c>
      <c r="H2013" s="114">
        <v>20900</v>
      </c>
      <c r="I2013" s="114">
        <v>20900</v>
      </c>
      <c r="J2013" s="114">
        <v>17563</v>
      </c>
      <c r="K2013" s="114">
        <v>3337</v>
      </c>
      <c r="L2013" s="114" t="str">
        <f t="shared" si="31"/>
        <v>INSERT INTO DETALLES_DOCUMENTO(NRO_DOCUMENTO,ID_TIPO,ID_PRODUCTO,CANTIDAD,PRECIO,VALOR_BRUTO,VALOR_NETO,VALOR_IVA) VALUES(991,1,231,1,20900,20900,17563,3337);</v>
      </c>
    </row>
    <row r="2014" spans="1:12">
      <c r="A2014" s="114">
        <v>1</v>
      </c>
      <c r="B2014" s="114">
        <v>992</v>
      </c>
      <c r="C2014" s="139" t="s">
        <v>2322</v>
      </c>
      <c r="D2014" s="114" t="s">
        <v>2090</v>
      </c>
      <c r="E2014" s="114">
        <v>230</v>
      </c>
      <c r="F2014" s="114">
        <v>293</v>
      </c>
      <c r="G2014" s="114">
        <v>1</v>
      </c>
      <c r="H2014" s="114">
        <v>10000</v>
      </c>
      <c r="I2014" s="114">
        <v>10000</v>
      </c>
      <c r="J2014" s="114">
        <v>8403</v>
      </c>
      <c r="K2014" s="114">
        <v>1597</v>
      </c>
      <c r="L2014" s="114" t="str">
        <f t="shared" si="31"/>
        <v>INSERT INTO DETALLES_DOCUMENTO(NRO_DOCUMENTO,ID_TIPO,ID_PRODUCTO,CANTIDAD,PRECIO,VALOR_BRUTO,VALOR_NETO,VALOR_IVA) VALUES(992,1,293,1,10000,10000,8403,1597);</v>
      </c>
    </row>
    <row r="2015" spans="1:12">
      <c r="A2015" s="114">
        <v>1</v>
      </c>
      <c r="B2015" s="114">
        <v>992</v>
      </c>
      <c r="C2015" s="139" t="s">
        <v>2322</v>
      </c>
      <c r="D2015" s="114" t="s">
        <v>2090</v>
      </c>
      <c r="E2015" s="114">
        <v>230</v>
      </c>
      <c r="F2015" s="114">
        <v>370</v>
      </c>
      <c r="G2015" s="114">
        <v>1</v>
      </c>
      <c r="H2015" s="114">
        <v>4000</v>
      </c>
      <c r="I2015" s="114">
        <v>4000</v>
      </c>
      <c r="J2015" s="114">
        <v>3361</v>
      </c>
      <c r="K2015" s="114">
        <v>639</v>
      </c>
      <c r="L2015" s="114" t="str">
        <f t="shared" si="31"/>
        <v>INSERT INTO DETALLES_DOCUMENTO(NRO_DOCUMENTO,ID_TIPO,ID_PRODUCTO,CANTIDAD,PRECIO,VALOR_BRUTO,VALOR_NETO,VALOR_IVA) VALUES(992,1,370,1,4000,4000,3361,639);</v>
      </c>
    </row>
    <row r="2016" spans="1:12">
      <c r="A2016" s="114">
        <v>1</v>
      </c>
      <c r="B2016" s="114">
        <v>992</v>
      </c>
      <c r="C2016" s="139" t="s">
        <v>2322</v>
      </c>
      <c r="D2016" s="114" t="s">
        <v>2090</v>
      </c>
      <c r="E2016" s="114">
        <v>230</v>
      </c>
      <c r="F2016" s="114">
        <v>118</v>
      </c>
      <c r="G2016" s="114">
        <v>1</v>
      </c>
      <c r="H2016" s="114">
        <v>3500</v>
      </c>
      <c r="I2016" s="114">
        <v>3500</v>
      </c>
      <c r="J2016" s="114">
        <v>2941</v>
      </c>
      <c r="K2016" s="114">
        <v>559</v>
      </c>
      <c r="L2016" s="114" t="str">
        <f t="shared" si="31"/>
        <v>INSERT INTO DETALLES_DOCUMENTO(NRO_DOCUMENTO,ID_TIPO,ID_PRODUCTO,CANTIDAD,PRECIO,VALOR_BRUTO,VALOR_NETO,VALOR_IVA) VALUES(992,1,118,1,3500,3500,2941,559);</v>
      </c>
    </row>
    <row r="2017" spans="1:12">
      <c r="A2017" s="114">
        <v>1</v>
      </c>
      <c r="B2017" s="114">
        <v>992</v>
      </c>
      <c r="C2017" s="139" t="s">
        <v>2322</v>
      </c>
      <c r="D2017" s="114" t="s">
        <v>2090</v>
      </c>
      <c r="E2017" s="114">
        <v>230</v>
      </c>
      <c r="F2017" s="114">
        <v>32</v>
      </c>
      <c r="G2017" s="114">
        <v>1</v>
      </c>
      <c r="H2017" s="114">
        <v>6500</v>
      </c>
      <c r="I2017" s="114">
        <v>6500</v>
      </c>
      <c r="J2017" s="114">
        <v>5462</v>
      </c>
      <c r="K2017" s="114">
        <v>1038</v>
      </c>
      <c r="L2017" s="114" t="str">
        <f t="shared" si="31"/>
        <v>INSERT INTO DETALLES_DOCUMENTO(NRO_DOCUMENTO,ID_TIPO,ID_PRODUCTO,CANTIDAD,PRECIO,VALOR_BRUTO,VALOR_NETO,VALOR_IVA) VALUES(992,1,32,1,6500,6500,5462,1038);</v>
      </c>
    </row>
    <row r="2018" spans="1:12">
      <c r="A2018" s="114">
        <v>1</v>
      </c>
      <c r="B2018" s="114">
        <v>992</v>
      </c>
      <c r="C2018" s="139" t="s">
        <v>2322</v>
      </c>
      <c r="D2018" s="114" t="s">
        <v>2090</v>
      </c>
      <c r="E2018" s="114">
        <v>230</v>
      </c>
      <c r="F2018" s="114">
        <v>157</v>
      </c>
      <c r="G2018" s="114">
        <v>1</v>
      </c>
      <c r="H2018" s="114">
        <v>4300</v>
      </c>
      <c r="I2018" s="114">
        <v>4300</v>
      </c>
      <c r="J2018" s="114">
        <v>3613</v>
      </c>
      <c r="K2018" s="114">
        <v>687</v>
      </c>
      <c r="L2018" s="114" t="str">
        <f t="shared" si="31"/>
        <v>INSERT INTO DETALLES_DOCUMENTO(NRO_DOCUMENTO,ID_TIPO,ID_PRODUCTO,CANTIDAD,PRECIO,VALOR_BRUTO,VALOR_NETO,VALOR_IVA) VALUES(992,1,157,1,4300,4300,3613,687);</v>
      </c>
    </row>
    <row r="2019" spans="1:12">
      <c r="A2019" s="114">
        <v>1</v>
      </c>
      <c r="B2019" s="114">
        <v>992</v>
      </c>
      <c r="C2019" s="139" t="s">
        <v>2322</v>
      </c>
      <c r="D2019" s="114" t="s">
        <v>2090</v>
      </c>
      <c r="E2019" s="114">
        <v>230</v>
      </c>
      <c r="F2019" s="114">
        <v>143</v>
      </c>
      <c r="G2019" s="114">
        <v>1</v>
      </c>
      <c r="H2019" s="114">
        <v>8200</v>
      </c>
      <c r="I2019" s="114">
        <v>8200</v>
      </c>
      <c r="J2019" s="114">
        <v>6891</v>
      </c>
      <c r="K2019" s="114">
        <v>1309</v>
      </c>
      <c r="L2019" s="114" t="str">
        <f t="shared" si="31"/>
        <v>INSERT INTO DETALLES_DOCUMENTO(NRO_DOCUMENTO,ID_TIPO,ID_PRODUCTO,CANTIDAD,PRECIO,VALOR_BRUTO,VALOR_NETO,VALOR_IVA) VALUES(992,1,143,1,8200,8200,6891,1309);</v>
      </c>
    </row>
    <row r="2020" spans="1:12">
      <c r="A2020" s="114">
        <v>1</v>
      </c>
      <c r="B2020" s="114">
        <v>992</v>
      </c>
      <c r="C2020" s="139" t="s">
        <v>2322</v>
      </c>
      <c r="D2020" s="114" t="s">
        <v>2090</v>
      </c>
      <c r="E2020" s="114">
        <v>230</v>
      </c>
      <c r="F2020" s="114">
        <v>324</v>
      </c>
      <c r="G2020" s="114">
        <v>1</v>
      </c>
      <c r="H2020" s="114">
        <v>11000</v>
      </c>
      <c r="I2020" s="114">
        <v>11000</v>
      </c>
      <c r="J2020" s="114">
        <v>9244</v>
      </c>
      <c r="K2020" s="114">
        <v>1756</v>
      </c>
      <c r="L2020" s="114" t="str">
        <f t="shared" si="31"/>
        <v>INSERT INTO DETALLES_DOCUMENTO(NRO_DOCUMENTO,ID_TIPO,ID_PRODUCTO,CANTIDAD,PRECIO,VALOR_BRUTO,VALOR_NETO,VALOR_IVA) VALUES(992,1,324,1,11000,11000,9244,1756);</v>
      </c>
    </row>
    <row r="2021" spans="1:12">
      <c r="A2021" s="114">
        <v>1</v>
      </c>
      <c r="B2021" s="114">
        <v>992</v>
      </c>
      <c r="C2021" s="139" t="s">
        <v>2322</v>
      </c>
      <c r="D2021" s="114" t="s">
        <v>2090</v>
      </c>
      <c r="E2021" s="114">
        <v>230</v>
      </c>
      <c r="F2021" s="114">
        <v>29</v>
      </c>
      <c r="G2021" s="114">
        <v>2</v>
      </c>
      <c r="H2021" s="114">
        <v>2000</v>
      </c>
      <c r="I2021" s="114">
        <v>4000</v>
      </c>
      <c r="J2021" s="114">
        <v>3361</v>
      </c>
      <c r="K2021" s="114">
        <v>639</v>
      </c>
      <c r="L2021" s="114" t="str">
        <f t="shared" si="31"/>
        <v>INSERT INTO DETALLES_DOCUMENTO(NRO_DOCUMENTO,ID_TIPO,ID_PRODUCTO,CANTIDAD,PRECIO,VALOR_BRUTO,VALOR_NETO,VALOR_IVA) VALUES(992,1,29,2,2000,4000,3361,639);</v>
      </c>
    </row>
    <row r="2022" spans="1:12">
      <c r="A2022" s="114">
        <v>1</v>
      </c>
      <c r="B2022" s="114">
        <v>993</v>
      </c>
      <c r="C2022" s="139" t="s">
        <v>2322</v>
      </c>
      <c r="D2022" s="114" t="s">
        <v>2090</v>
      </c>
      <c r="E2022" s="114">
        <v>306</v>
      </c>
      <c r="F2022" s="114">
        <v>324</v>
      </c>
      <c r="G2022" s="114">
        <v>4</v>
      </c>
      <c r="H2022" s="114">
        <v>44000</v>
      </c>
      <c r="I2022" s="114">
        <v>176000</v>
      </c>
      <c r="J2022" s="114">
        <v>147899</v>
      </c>
      <c r="K2022" s="114">
        <v>28101</v>
      </c>
      <c r="L2022" s="114" t="str">
        <f t="shared" si="31"/>
        <v>INSERT INTO DETALLES_DOCUMENTO(NRO_DOCUMENTO,ID_TIPO,ID_PRODUCTO,CANTIDAD,PRECIO,VALOR_BRUTO,VALOR_NETO,VALOR_IVA) VALUES(993,1,324,4,44000,176000,147899,28101);</v>
      </c>
    </row>
    <row r="2023" spans="1:12">
      <c r="A2023" s="114">
        <v>1</v>
      </c>
      <c r="B2023" s="114">
        <v>993</v>
      </c>
      <c r="C2023" s="139" t="s">
        <v>2322</v>
      </c>
      <c r="D2023" s="114" t="s">
        <v>2090</v>
      </c>
      <c r="E2023" s="114">
        <v>306</v>
      </c>
      <c r="F2023" s="114">
        <v>7</v>
      </c>
      <c r="G2023" s="114">
        <v>3</v>
      </c>
      <c r="H2023" s="114">
        <v>21000</v>
      </c>
      <c r="I2023" s="114">
        <v>63000</v>
      </c>
      <c r="J2023" s="114">
        <v>52941</v>
      </c>
      <c r="K2023" s="114">
        <v>10059</v>
      </c>
      <c r="L2023" s="114" t="str">
        <f t="shared" si="31"/>
        <v>INSERT INTO DETALLES_DOCUMENTO(NRO_DOCUMENTO,ID_TIPO,ID_PRODUCTO,CANTIDAD,PRECIO,VALOR_BRUTO,VALOR_NETO,VALOR_IVA) VALUES(993,1,7,3,21000,63000,52941,10059);</v>
      </c>
    </row>
    <row r="2024" spans="1:12">
      <c r="A2024" s="114">
        <v>1</v>
      </c>
      <c r="B2024" s="114">
        <v>993</v>
      </c>
      <c r="C2024" s="139" t="s">
        <v>2322</v>
      </c>
      <c r="D2024" s="114" t="s">
        <v>2090</v>
      </c>
      <c r="E2024" s="114">
        <v>306</v>
      </c>
      <c r="F2024" s="114">
        <v>319</v>
      </c>
      <c r="G2024" s="114">
        <v>1</v>
      </c>
      <c r="H2024" s="114">
        <v>3000</v>
      </c>
      <c r="I2024" s="114">
        <v>3000</v>
      </c>
      <c r="J2024" s="114">
        <v>2521</v>
      </c>
      <c r="K2024" s="114">
        <v>479</v>
      </c>
      <c r="L2024" s="114" t="str">
        <f t="shared" si="31"/>
        <v>INSERT INTO DETALLES_DOCUMENTO(NRO_DOCUMENTO,ID_TIPO,ID_PRODUCTO,CANTIDAD,PRECIO,VALOR_BRUTO,VALOR_NETO,VALOR_IVA) VALUES(993,1,319,1,3000,3000,2521,479);</v>
      </c>
    </row>
    <row r="2025" spans="1:12">
      <c r="A2025" s="114">
        <v>1</v>
      </c>
      <c r="B2025" s="114">
        <v>993</v>
      </c>
      <c r="C2025" s="139" t="s">
        <v>2322</v>
      </c>
      <c r="D2025" s="114" t="s">
        <v>2090</v>
      </c>
      <c r="E2025" s="114">
        <v>306</v>
      </c>
      <c r="F2025" s="114">
        <v>261</v>
      </c>
      <c r="G2025" s="114">
        <v>3</v>
      </c>
      <c r="H2025" s="114">
        <v>21000</v>
      </c>
      <c r="I2025" s="114">
        <v>63000</v>
      </c>
      <c r="J2025" s="114">
        <v>52941</v>
      </c>
      <c r="K2025" s="114">
        <v>10059</v>
      </c>
      <c r="L2025" s="114" t="str">
        <f t="shared" si="31"/>
        <v>INSERT INTO DETALLES_DOCUMENTO(NRO_DOCUMENTO,ID_TIPO,ID_PRODUCTO,CANTIDAD,PRECIO,VALOR_BRUTO,VALOR_NETO,VALOR_IVA) VALUES(993,1,261,3,21000,63000,52941,10059);</v>
      </c>
    </row>
    <row r="2026" spans="1:12">
      <c r="A2026" s="114">
        <v>1</v>
      </c>
      <c r="B2026" s="114">
        <v>993</v>
      </c>
      <c r="C2026" s="139" t="s">
        <v>2322</v>
      </c>
      <c r="D2026" s="114" t="s">
        <v>2090</v>
      </c>
      <c r="E2026" s="114">
        <v>306</v>
      </c>
      <c r="F2026" s="114">
        <v>143</v>
      </c>
      <c r="G2026" s="114">
        <v>1</v>
      </c>
      <c r="H2026" s="114">
        <v>8200</v>
      </c>
      <c r="I2026" s="114">
        <v>8200</v>
      </c>
      <c r="J2026" s="114">
        <v>6891</v>
      </c>
      <c r="K2026" s="114">
        <v>1309</v>
      </c>
      <c r="L2026" s="114" t="str">
        <f t="shared" si="31"/>
        <v>INSERT INTO DETALLES_DOCUMENTO(NRO_DOCUMENTO,ID_TIPO,ID_PRODUCTO,CANTIDAD,PRECIO,VALOR_BRUTO,VALOR_NETO,VALOR_IVA) VALUES(993,1,143,1,8200,8200,6891,1309);</v>
      </c>
    </row>
    <row r="2027" spans="1:12">
      <c r="A2027" s="114">
        <v>1</v>
      </c>
      <c r="B2027" s="114">
        <v>994</v>
      </c>
      <c r="C2027" s="139" t="s">
        <v>2323</v>
      </c>
      <c r="D2027" s="114" t="s">
        <v>2090</v>
      </c>
      <c r="E2027" s="114">
        <v>28</v>
      </c>
      <c r="F2027" s="114">
        <v>28</v>
      </c>
      <c r="G2027" s="114">
        <v>1</v>
      </c>
      <c r="H2027" s="114">
        <v>16000</v>
      </c>
      <c r="I2027" s="114">
        <v>16000</v>
      </c>
      <c r="J2027" s="114">
        <v>13445</v>
      </c>
      <c r="K2027" s="114">
        <v>2555</v>
      </c>
      <c r="L2027" s="114" t="str">
        <f t="shared" si="31"/>
        <v>INSERT INTO DETALLES_DOCUMENTO(NRO_DOCUMENTO,ID_TIPO,ID_PRODUCTO,CANTIDAD,PRECIO,VALOR_BRUTO,VALOR_NETO,VALOR_IVA) VALUES(994,1,28,1,16000,16000,13445,2555);</v>
      </c>
    </row>
    <row r="2028" spans="1:12">
      <c r="A2028" s="114">
        <v>1</v>
      </c>
      <c r="B2028" s="114">
        <v>995</v>
      </c>
      <c r="C2028" s="139" t="s">
        <v>2323</v>
      </c>
      <c r="D2028" s="114" t="s">
        <v>2090</v>
      </c>
      <c r="E2028" s="114">
        <v>73</v>
      </c>
      <c r="F2028" s="114">
        <v>324</v>
      </c>
      <c r="G2028" s="114">
        <v>1</v>
      </c>
      <c r="H2028" s="114">
        <v>11000</v>
      </c>
      <c r="I2028" s="114">
        <v>11000</v>
      </c>
      <c r="J2028" s="114">
        <v>9244</v>
      </c>
      <c r="K2028" s="114">
        <v>1756</v>
      </c>
      <c r="L2028" s="114" t="str">
        <f t="shared" si="31"/>
        <v>INSERT INTO DETALLES_DOCUMENTO(NRO_DOCUMENTO,ID_TIPO,ID_PRODUCTO,CANTIDAD,PRECIO,VALOR_BRUTO,VALOR_NETO,VALOR_IVA) VALUES(995,1,324,1,11000,11000,9244,1756);</v>
      </c>
    </row>
    <row r="2029" spans="1:12">
      <c r="A2029" s="114">
        <v>1</v>
      </c>
      <c r="B2029" s="114">
        <v>995</v>
      </c>
      <c r="C2029" s="139" t="s">
        <v>2323</v>
      </c>
      <c r="D2029" s="114" t="s">
        <v>2090</v>
      </c>
      <c r="E2029" s="114">
        <v>73</v>
      </c>
      <c r="F2029" s="114">
        <v>329</v>
      </c>
      <c r="G2029" s="114">
        <v>1</v>
      </c>
      <c r="H2029" s="114">
        <v>6000</v>
      </c>
      <c r="I2029" s="114">
        <v>6000</v>
      </c>
      <c r="J2029" s="114">
        <v>5042</v>
      </c>
      <c r="K2029" s="114">
        <v>958</v>
      </c>
      <c r="L2029" s="114" t="str">
        <f t="shared" si="31"/>
        <v>INSERT INTO DETALLES_DOCUMENTO(NRO_DOCUMENTO,ID_TIPO,ID_PRODUCTO,CANTIDAD,PRECIO,VALOR_BRUTO,VALOR_NETO,VALOR_IVA) VALUES(995,1,329,1,6000,6000,5042,958);</v>
      </c>
    </row>
    <row r="2030" spans="1:12">
      <c r="A2030" s="114">
        <v>1</v>
      </c>
      <c r="B2030" s="114">
        <v>996</v>
      </c>
      <c r="C2030" s="139" t="s">
        <v>2323</v>
      </c>
      <c r="D2030" s="114" t="s">
        <v>2090</v>
      </c>
      <c r="E2030" s="114">
        <v>98</v>
      </c>
      <c r="F2030" s="114">
        <v>329</v>
      </c>
      <c r="G2030" s="114">
        <v>1</v>
      </c>
      <c r="H2030" s="114">
        <v>6000</v>
      </c>
      <c r="I2030" s="114">
        <v>6000</v>
      </c>
      <c r="J2030" s="114">
        <v>5042</v>
      </c>
      <c r="K2030" s="114">
        <v>958</v>
      </c>
      <c r="L2030" s="114" t="str">
        <f t="shared" si="31"/>
        <v>INSERT INTO DETALLES_DOCUMENTO(NRO_DOCUMENTO,ID_TIPO,ID_PRODUCTO,CANTIDAD,PRECIO,VALOR_BRUTO,VALOR_NETO,VALOR_IVA) VALUES(996,1,329,1,6000,6000,5042,958);</v>
      </c>
    </row>
    <row r="2031" spans="1:12">
      <c r="A2031" s="114">
        <v>1</v>
      </c>
      <c r="B2031" s="114">
        <v>997</v>
      </c>
      <c r="C2031" s="139" t="s">
        <v>2323</v>
      </c>
      <c r="D2031" s="114" t="s">
        <v>2090</v>
      </c>
      <c r="E2031" s="114">
        <v>140</v>
      </c>
      <c r="F2031" s="114">
        <v>232</v>
      </c>
      <c r="G2031" s="114">
        <v>1</v>
      </c>
      <c r="H2031" s="114">
        <v>12500</v>
      </c>
      <c r="I2031" s="114">
        <v>12500</v>
      </c>
      <c r="J2031" s="114">
        <v>10504</v>
      </c>
      <c r="K2031" s="114">
        <v>1996</v>
      </c>
      <c r="L2031" s="114" t="str">
        <f t="shared" si="31"/>
        <v>INSERT INTO DETALLES_DOCUMENTO(NRO_DOCUMENTO,ID_TIPO,ID_PRODUCTO,CANTIDAD,PRECIO,VALOR_BRUTO,VALOR_NETO,VALOR_IVA) VALUES(997,1,232,1,12500,12500,10504,1996);</v>
      </c>
    </row>
    <row r="2032" spans="1:12">
      <c r="A2032" s="114">
        <v>1</v>
      </c>
      <c r="B2032" s="114">
        <v>997</v>
      </c>
      <c r="C2032" s="139" t="s">
        <v>2323</v>
      </c>
      <c r="D2032" s="114" t="s">
        <v>2090</v>
      </c>
      <c r="E2032" s="114">
        <v>140</v>
      </c>
      <c r="F2032" s="114">
        <v>368</v>
      </c>
      <c r="G2032" s="114">
        <v>1</v>
      </c>
      <c r="H2032" s="114">
        <v>3000</v>
      </c>
      <c r="I2032" s="114">
        <v>3000</v>
      </c>
      <c r="J2032" s="114">
        <v>2521</v>
      </c>
      <c r="K2032" s="114">
        <v>479</v>
      </c>
      <c r="L2032" s="114" t="str">
        <f t="shared" si="31"/>
        <v>INSERT INTO DETALLES_DOCUMENTO(NRO_DOCUMENTO,ID_TIPO,ID_PRODUCTO,CANTIDAD,PRECIO,VALOR_BRUTO,VALOR_NETO,VALOR_IVA) VALUES(997,1,368,1,3000,3000,2521,479);</v>
      </c>
    </row>
    <row r="2033" spans="1:12">
      <c r="A2033" s="114">
        <v>1</v>
      </c>
      <c r="B2033" s="114">
        <v>997</v>
      </c>
      <c r="C2033" s="139" t="s">
        <v>2323</v>
      </c>
      <c r="D2033" s="114" t="s">
        <v>2090</v>
      </c>
      <c r="E2033" s="114">
        <v>140</v>
      </c>
      <c r="F2033" s="114">
        <v>354</v>
      </c>
      <c r="G2033" s="114">
        <v>1</v>
      </c>
      <c r="H2033" s="114">
        <v>1800</v>
      </c>
      <c r="I2033" s="114">
        <v>1800</v>
      </c>
      <c r="J2033" s="114">
        <v>1513</v>
      </c>
      <c r="K2033" s="114">
        <v>287</v>
      </c>
      <c r="L2033" s="114" t="str">
        <f t="shared" si="31"/>
        <v>INSERT INTO DETALLES_DOCUMENTO(NRO_DOCUMENTO,ID_TIPO,ID_PRODUCTO,CANTIDAD,PRECIO,VALOR_BRUTO,VALOR_NETO,VALOR_IVA) VALUES(997,1,354,1,1800,1800,1513,287);</v>
      </c>
    </row>
    <row r="2034" spans="1:12">
      <c r="A2034" s="114">
        <v>1</v>
      </c>
      <c r="B2034" s="114">
        <v>998</v>
      </c>
      <c r="C2034" s="139" t="s">
        <v>2323</v>
      </c>
      <c r="D2034" s="114" t="s">
        <v>2090</v>
      </c>
      <c r="E2034" s="114">
        <v>166</v>
      </c>
      <c r="F2034" s="114">
        <v>117</v>
      </c>
      <c r="G2034" s="114">
        <v>1</v>
      </c>
      <c r="H2034" s="114">
        <v>3500</v>
      </c>
      <c r="I2034" s="114">
        <v>3500</v>
      </c>
      <c r="J2034" s="114">
        <v>2941</v>
      </c>
      <c r="K2034" s="114">
        <v>559</v>
      </c>
      <c r="L2034" s="114" t="str">
        <f t="shared" si="31"/>
        <v>INSERT INTO DETALLES_DOCUMENTO(NRO_DOCUMENTO,ID_TIPO,ID_PRODUCTO,CANTIDAD,PRECIO,VALOR_BRUTO,VALOR_NETO,VALOR_IVA) VALUES(998,1,117,1,3500,3500,2941,559);</v>
      </c>
    </row>
    <row r="2035" spans="1:12">
      <c r="A2035" s="114">
        <v>1</v>
      </c>
      <c r="B2035" s="114">
        <v>999</v>
      </c>
      <c r="C2035" s="139" t="s">
        <v>2323</v>
      </c>
      <c r="D2035" s="114" t="s">
        <v>2090</v>
      </c>
      <c r="E2035" s="114">
        <v>349</v>
      </c>
      <c r="F2035" s="114">
        <v>51</v>
      </c>
      <c r="G2035" s="114">
        <v>1</v>
      </c>
      <c r="H2035" s="114">
        <v>4200</v>
      </c>
      <c r="I2035" s="114">
        <v>4200</v>
      </c>
      <c r="J2035" s="114">
        <v>3529</v>
      </c>
      <c r="K2035" s="114">
        <v>671</v>
      </c>
      <c r="L2035" s="114" t="str">
        <f t="shared" si="31"/>
        <v>INSERT INTO DETALLES_DOCUMENTO(NRO_DOCUMENTO,ID_TIPO,ID_PRODUCTO,CANTIDAD,PRECIO,VALOR_BRUTO,VALOR_NETO,VALOR_IVA) VALUES(999,1,51,1,4200,4200,3529,671);</v>
      </c>
    </row>
    <row r="2036" spans="1:12">
      <c r="A2036" s="114">
        <v>1</v>
      </c>
      <c r="B2036" s="114">
        <v>1000</v>
      </c>
      <c r="C2036" s="139" t="s">
        <v>2323</v>
      </c>
      <c r="D2036" s="114" t="s">
        <v>2090</v>
      </c>
      <c r="E2036" s="114">
        <v>407</v>
      </c>
      <c r="F2036" s="114">
        <v>118</v>
      </c>
      <c r="G2036" s="114">
        <v>1</v>
      </c>
      <c r="H2036" s="114">
        <v>3500</v>
      </c>
      <c r="I2036" s="114">
        <v>3500</v>
      </c>
      <c r="J2036" s="114">
        <v>2941</v>
      </c>
      <c r="K2036" s="114">
        <v>559</v>
      </c>
      <c r="L2036" s="114" t="str">
        <f t="shared" si="31"/>
        <v>INSERT INTO DETALLES_DOCUMENTO(NRO_DOCUMENTO,ID_TIPO,ID_PRODUCTO,CANTIDAD,PRECIO,VALOR_BRUTO,VALOR_NETO,VALOR_IVA) VALUES(1000,1,118,1,3500,3500,2941,559);</v>
      </c>
    </row>
    <row r="2037" spans="1:12">
      <c r="A2037" s="114">
        <v>1</v>
      </c>
      <c r="B2037" s="114">
        <v>1000</v>
      </c>
      <c r="C2037" s="139" t="s">
        <v>2323</v>
      </c>
      <c r="D2037" s="114" t="s">
        <v>2090</v>
      </c>
      <c r="E2037" s="114">
        <v>407</v>
      </c>
      <c r="F2037" s="114">
        <v>157</v>
      </c>
      <c r="G2037" s="114">
        <v>1</v>
      </c>
      <c r="H2037" s="114">
        <v>4300</v>
      </c>
      <c r="I2037" s="114">
        <v>4300</v>
      </c>
      <c r="J2037" s="114">
        <v>3613</v>
      </c>
      <c r="K2037" s="114">
        <v>687</v>
      </c>
      <c r="L2037" s="114" t="str">
        <f t="shared" si="31"/>
        <v>INSERT INTO DETALLES_DOCUMENTO(NRO_DOCUMENTO,ID_TIPO,ID_PRODUCTO,CANTIDAD,PRECIO,VALOR_BRUTO,VALOR_NETO,VALOR_IVA) VALUES(1000,1,157,1,4300,4300,3613,687);</v>
      </c>
    </row>
    <row r="2038" spans="1:12">
      <c r="A2038" s="114">
        <v>1</v>
      </c>
      <c r="B2038" s="114">
        <v>1000</v>
      </c>
      <c r="C2038" s="139" t="s">
        <v>2323</v>
      </c>
      <c r="D2038" s="114" t="s">
        <v>2090</v>
      </c>
      <c r="E2038" s="114">
        <v>407</v>
      </c>
      <c r="F2038" s="114">
        <v>31</v>
      </c>
      <c r="G2038" s="114">
        <v>2</v>
      </c>
      <c r="H2038" s="114">
        <v>6800</v>
      </c>
      <c r="I2038" s="114">
        <v>13600</v>
      </c>
      <c r="J2038" s="114">
        <v>11429</v>
      </c>
      <c r="K2038" s="114">
        <v>2171</v>
      </c>
      <c r="L2038" s="114" t="str">
        <f t="shared" si="31"/>
        <v>INSERT INTO DETALLES_DOCUMENTO(NRO_DOCUMENTO,ID_TIPO,ID_PRODUCTO,CANTIDAD,PRECIO,VALOR_BRUTO,VALOR_NETO,VALOR_IVA) VALUES(1000,1,31,2,6800,13600,11429,2171);</v>
      </c>
    </row>
    <row r="2039" spans="1:12">
      <c r="A2039" s="114">
        <v>1</v>
      </c>
      <c r="B2039" s="114">
        <v>1000</v>
      </c>
      <c r="C2039" s="139" t="s">
        <v>2323</v>
      </c>
      <c r="D2039" s="114" t="s">
        <v>2090</v>
      </c>
      <c r="E2039" s="114">
        <v>407</v>
      </c>
      <c r="F2039" s="114">
        <v>143</v>
      </c>
      <c r="G2039" s="114">
        <v>1</v>
      </c>
      <c r="H2039" s="114">
        <v>8200</v>
      </c>
      <c r="I2039" s="114">
        <v>8200</v>
      </c>
      <c r="J2039" s="114">
        <v>6891</v>
      </c>
      <c r="K2039" s="114">
        <v>1309</v>
      </c>
      <c r="L2039" s="114" t="str">
        <f t="shared" si="31"/>
        <v>INSERT INTO DETALLES_DOCUMENTO(NRO_DOCUMENTO,ID_TIPO,ID_PRODUCTO,CANTIDAD,PRECIO,VALOR_BRUTO,VALOR_NETO,VALOR_IVA) VALUES(1000,1,143,1,8200,8200,6891,1309);</v>
      </c>
    </row>
    <row r="2040" spans="1:12">
      <c r="A2040" s="114">
        <v>1</v>
      </c>
      <c r="B2040" s="114">
        <v>1001</v>
      </c>
      <c r="C2040" s="139" t="s">
        <v>2323</v>
      </c>
      <c r="D2040" s="114" t="s">
        <v>2090</v>
      </c>
      <c r="E2040" s="114">
        <v>411</v>
      </c>
      <c r="F2040" s="114">
        <v>261</v>
      </c>
      <c r="G2040" s="114">
        <v>1</v>
      </c>
      <c r="H2040" s="114">
        <v>7000</v>
      </c>
      <c r="I2040" s="114">
        <v>7000</v>
      </c>
      <c r="J2040" s="114">
        <v>5882</v>
      </c>
      <c r="K2040" s="114">
        <v>1118</v>
      </c>
      <c r="L2040" s="114" t="str">
        <f t="shared" si="31"/>
        <v>INSERT INTO DETALLES_DOCUMENTO(NRO_DOCUMENTO,ID_TIPO,ID_PRODUCTO,CANTIDAD,PRECIO,VALOR_BRUTO,VALOR_NETO,VALOR_IVA) VALUES(1001,1,261,1,7000,7000,5882,1118);</v>
      </c>
    </row>
    <row r="2041" spans="1:12">
      <c r="A2041" s="114">
        <v>1</v>
      </c>
      <c r="B2041" s="114">
        <v>1002</v>
      </c>
      <c r="C2041" s="139" t="s">
        <v>2324</v>
      </c>
      <c r="D2041" s="114" t="s">
        <v>2090</v>
      </c>
      <c r="E2041" s="114">
        <v>214</v>
      </c>
      <c r="F2041" s="114">
        <v>320</v>
      </c>
      <c r="G2041" s="114">
        <v>2</v>
      </c>
      <c r="H2041" s="114">
        <v>24000</v>
      </c>
      <c r="I2041" s="114">
        <v>48000</v>
      </c>
      <c r="J2041" s="114">
        <v>40336</v>
      </c>
      <c r="K2041" s="114">
        <v>7664</v>
      </c>
      <c r="L2041" s="114" t="str">
        <f t="shared" si="31"/>
        <v>INSERT INTO DETALLES_DOCUMENTO(NRO_DOCUMENTO,ID_TIPO,ID_PRODUCTO,CANTIDAD,PRECIO,VALOR_BRUTO,VALOR_NETO,VALOR_IVA) VALUES(1002,1,320,2,24000,48000,40336,7664);</v>
      </c>
    </row>
    <row r="2042" spans="1:12">
      <c r="A2042" s="114">
        <v>1</v>
      </c>
      <c r="B2042" s="114">
        <v>1002</v>
      </c>
      <c r="C2042" s="139" t="s">
        <v>2324</v>
      </c>
      <c r="D2042" s="114" t="s">
        <v>2090</v>
      </c>
      <c r="E2042" s="114">
        <v>214</v>
      </c>
      <c r="F2042" s="114">
        <v>323</v>
      </c>
      <c r="G2042" s="114">
        <v>1</v>
      </c>
      <c r="H2042" s="114">
        <v>3250</v>
      </c>
      <c r="I2042" s="114">
        <v>3250</v>
      </c>
      <c r="J2042" s="114">
        <v>2731</v>
      </c>
      <c r="K2042" s="114">
        <v>519</v>
      </c>
      <c r="L2042" s="114" t="str">
        <f t="shared" si="31"/>
        <v>INSERT INTO DETALLES_DOCUMENTO(NRO_DOCUMENTO,ID_TIPO,ID_PRODUCTO,CANTIDAD,PRECIO,VALOR_BRUTO,VALOR_NETO,VALOR_IVA) VALUES(1002,1,323,1,3250,3250,2731,519);</v>
      </c>
    </row>
    <row r="2043" spans="1:12">
      <c r="A2043" s="114">
        <v>1</v>
      </c>
      <c r="B2043" s="114">
        <v>1002</v>
      </c>
      <c r="C2043" s="139" t="s">
        <v>2324</v>
      </c>
      <c r="D2043" s="114" t="s">
        <v>2090</v>
      </c>
      <c r="E2043" s="114">
        <v>214</v>
      </c>
      <c r="F2043" s="114">
        <v>143</v>
      </c>
      <c r="G2043" s="114">
        <v>1</v>
      </c>
      <c r="H2043" s="114">
        <v>8200</v>
      </c>
      <c r="I2043" s="114">
        <v>8200</v>
      </c>
      <c r="J2043" s="114">
        <v>6891</v>
      </c>
      <c r="K2043" s="114">
        <v>1309</v>
      </c>
      <c r="L2043" s="114" t="str">
        <f t="shared" si="31"/>
        <v>INSERT INTO DETALLES_DOCUMENTO(NRO_DOCUMENTO,ID_TIPO,ID_PRODUCTO,CANTIDAD,PRECIO,VALOR_BRUTO,VALOR_NETO,VALOR_IVA) VALUES(1002,1,143,1,8200,8200,6891,1309);</v>
      </c>
    </row>
    <row r="2044" spans="1:12">
      <c r="A2044" s="114">
        <v>1</v>
      </c>
      <c r="B2044" s="114">
        <v>1003</v>
      </c>
      <c r="C2044" s="139" t="s">
        <v>2324</v>
      </c>
      <c r="D2044" s="114" t="s">
        <v>2090</v>
      </c>
      <c r="E2044" s="114">
        <v>267</v>
      </c>
      <c r="F2044" s="114">
        <v>329</v>
      </c>
      <c r="G2044" s="114">
        <v>1</v>
      </c>
      <c r="H2044" s="114">
        <v>6000</v>
      </c>
      <c r="I2044" s="114">
        <v>6000</v>
      </c>
      <c r="J2044" s="114">
        <v>5042</v>
      </c>
      <c r="K2044" s="114">
        <v>958</v>
      </c>
      <c r="L2044" s="114" t="str">
        <f t="shared" si="31"/>
        <v>INSERT INTO DETALLES_DOCUMENTO(NRO_DOCUMENTO,ID_TIPO,ID_PRODUCTO,CANTIDAD,PRECIO,VALOR_BRUTO,VALOR_NETO,VALOR_IVA) VALUES(1003,1,329,1,6000,6000,5042,958);</v>
      </c>
    </row>
    <row r="2045" spans="1:12">
      <c r="A2045" s="114">
        <v>1</v>
      </c>
      <c r="B2045" s="114">
        <v>1003</v>
      </c>
      <c r="C2045" s="139" t="s">
        <v>2324</v>
      </c>
      <c r="D2045" s="114" t="s">
        <v>2090</v>
      </c>
      <c r="E2045" s="114">
        <v>267</v>
      </c>
      <c r="F2045" s="114">
        <v>354</v>
      </c>
      <c r="G2045" s="114">
        <v>1</v>
      </c>
      <c r="H2045" s="114">
        <v>1800</v>
      </c>
      <c r="I2045" s="114">
        <v>1800</v>
      </c>
      <c r="J2045" s="114">
        <v>1513</v>
      </c>
      <c r="K2045" s="114">
        <v>287</v>
      </c>
      <c r="L2045" s="114" t="str">
        <f t="shared" si="31"/>
        <v>INSERT INTO DETALLES_DOCUMENTO(NRO_DOCUMENTO,ID_TIPO,ID_PRODUCTO,CANTIDAD,PRECIO,VALOR_BRUTO,VALOR_NETO,VALOR_IVA) VALUES(1003,1,354,1,1800,1800,1513,287);</v>
      </c>
    </row>
    <row r="2046" spans="1:12">
      <c r="A2046" s="114">
        <v>1</v>
      </c>
      <c r="B2046" s="114">
        <v>1004</v>
      </c>
      <c r="C2046" s="139" t="s">
        <v>2325</v>
      </c>
      <c r="D2046" s="114" t="s">
        <v>2090</v>
      </c>
      <c r="E2046" s="114">
        <v>82</v>
      </c>
      <c r="F2046" s="114">
        <v>324</v>
      </c>
      <c r="G2046" s="114">
        <v>1</v>
      </c>
      <c r="H2046" s="114">
        <v>11000</v>
      </c>
      <c r="I2046" s="114">
        <v>11000</v>
      </c>
      <c r="J2046" s="114">
        <v>9244</v>
      </c>
      <c r="K2046" s="114">
        <v>1756</v>
      </c>
      <c r="L2046" s="114" t="str">
        <f t="shared" si="31"/>
        <v>INSERT INTO DETALLES_DOCUMENTO(NRO_DOCUMENTO,ID_TIPO,ID_PRODUCTO,CANTIDAD,PRECIO,VALOR_BRUTO,VALOR_NETO,VALOR_IVA) VALUES(1004,1,324,1,11000,11000,9244,1756);</v>
      </c>
    </row>
    <row r="2047" spans="1:12">
      <c r="A2047" s="114">
        <v>1</v>
      </c>
      <c r="B2047" s="114">
        <v>1005</v>
      </c>
      <c r="C2047" s="139" t="s">
        <v>2325</v>
      </c>
      <c r="D2047" s="114" t="s">
        <v>2090</v>
      </c>
      <c r="E2047" s="114">
        <v>108</v>
      </c>
      <c r="F2047" s="114">
        <v>324</v>
      </c>
      <c r="G2047" s="114">
        <v>1</v>
      </c>
      <c r="H2047" s="114">
        <v>11000</v>
      </c>
      <c r="I2047" s="114">
        <v>11000</v>
      </c>
      <c r="J2047" s="114">
        <v>9244</v>
      </c>
      <c r="K2047" s="114">
        <v>1756</v>
      </c>
      <c r="L2047" s="114" t="str">
        <f t="shared" si="31"/>
        <v>INSERT INTO DETALLES_DOCUMENTO(NRO_DOCUMENTO,ID_TIPO,ID_PRODUCTO,CANTIDAD,PRECIO,VALOR_BRUTO,VALOR_NETO,VALOR_IVA) VALUES(1005,1,324,1,11000,11000,9244,1756);</v>
      </c>
    </row>
    <row r="2048" spans="1:12">
      <c r="A2048" s="114">
        <v>1</v>
      </c>
      <c r="B2048" s="114">
        <v>1005</v>
      </c>
      <c r="C2048" s="139" t="s">
        <v>2325</v>
      </c>
      <c r="D2048" s="114" t="s">
        <v>2090</v>
      </c>
      <c r="E2048" s="114">
        <v>108</v>
      </c>
      <c r="F2048" s="114">
        <v>143</v>
      </c>
      <c r="G2048" s="114">
        <v>1</v>
      </c>
      <c r="H2048" s="114">
        <v>8200</v>
      </c>
      <c r="I2048" s="114">
        <v>8200</v>
      </c>
      <c r="J2048" s="114">
        <v>6891</v>
      </c>
      <c r="K2048" s="114">
        <v>1309</v>
      </c>
      <c r="L2048" s="114" t="str">
        <f t="shared" si="31"/>
        <v>INSERT INTO DETALLES_DOCUMENTO(NRO_DOCUMENTO,ID_TIPO,ID_PRODUCTO,CANTIDAD,PRECIO,VALOR_BRUTO,VALOR_NETO,VALOR_IVA) VALUES(1005,1,143,1,8200,8200,6891,1309);</v>
      </c>
    </row>
    <row r="2049" spans="1:12">
      <c r="A2049" s="114">
        <v>1</v>
      </c>
      <c r="B2049" s="114">
        <v>1006</v>
      </c>
      <c r="C2049" s="139" t="s">
        <v>2325</v>
      </c>
      <c r="D2049" s="114" t="s">
        <v>2090</v>
      </c>
      <c r="E2049" s="114">
        <v>155</v>
      </c>
      <c r="F2049" s="114">
        <v>143</v>
      </c>
      <c r="G2049" s="114">
        <v>1</v>
      </c>
      <c r="H2049" s="114">
        <v>8200</v>
      </c>
      <c r="I2049" s="114">
        <v>8200</v>
      </c>
      <c r="J2049" s="114">
        <v>6891</v>
      </c>
      <c r="K2049" s="114">
        <v>1309</v>
      </c>
      <c r="L2049" s="114" t="str">
        <f t="shared" si="31"/>
        <v>INSERT INTO DETALLES_DOCUMENTO(NRO_DOCUMENTO,ID_TIPO,ID_PRODUCTO,CANTIDAD,PRECIO,VALOR_BRUTO,VALOR_NETO,VALOR_IVA) VALUES(1006,1,143,1,8200,8200,6891,1309);</v>
      </c>
    </row>
    <row r="2050" spans="1:12">
      <c r="A2050" s="114">
        <v>1</v>
      </c>
      <c r="B2050" s="114">
        <v>1007</v>
      </c>
      <c r="C2050" s="139" t="s">
        <v>2325</v>
      </c>
      <c r="D2050" s="114" t="s">
        <v>2090</v>
      </c>
      <c r="E2050" s="114">
        <v>166</v>
      </c>
      <c r="F2050" s="114">
        <v>259</v>
      </c>
      <c r="G2050" s="114">
        <v>1</v>
      </c>
      <c r="H2050" s="114">
        <v>4500</v>
      </c>
      <c r="I2050" s="114">
        <v>4500</v>
      </c>
      <c r="J2050" s="114">
        <v>3782</v>
      </c>
      <c r="K2050" s="114">
        <v>718</v>
      </c>
      <c r="L2050" s="114" t="str">
        <f t="shared" si="31"/>
        <v>INSERT INTO DETALLES_DOCUMENTO(NRO_DOCUMENTO,ID_TIPO,ID_PRODUCTO,CANTIDAD,PRECIO,VALOR_BRUTO,VALOR_NETO,VALOR_IVA) VALUES(1007,1,259,1,4500,4500,3782,718);</v>
      </c>
    </row>
    <row r="2051" spans="1:12">
      <c r="A2051" s="114">
        <v>1</v>
      </c>
      <c r="B2051" s="114">
        <v>1008</v>
      </c>
      <c r="C2051" s="139" t="s">
        <v>2325</v>
      </c>
      <c r="D2051" s="114" t="s">
        <v>2090</v>
      </c>
      <c r="E2051" s="114">
        <v>188</v>
      </c>
      <c r="F2051" s="114">
        <v>231</v>
      </c>
      <c r="G2051" s="114">
        <v>1</v>
      </c>
      <c r="H2051" s="114">
        <v>20900</v>
      </c>
      <c r="I2051" s="114">
        <v>20900</v>
      </c>
      <c r="J2051" s="114">
        <v>17563</v>
      </c>
      <c r="K2051" s="114">
        <v>3337</v>
      </c>
      <c r="L2051" s="114" t="str">
        <f t="shared" ref="L2051:L2114" si="32">CONCATENATE("INSERT INTO DETALLES_DOCUMENTO(NRO_DOCUMENTO,ID_TIPO,ID_PRODUCTO,CANTIDAD,PRECIO,VALOR_BRUTO,VALOR_NETO,VALOR_IVA) VALUES(",B2051,",",A2051,",",F2051,",",G2051,",",H2051,",",I2051,",",J2051,",",K2051,");")</f>
        <v>INSERT INTO DETALLES_DOCUMENTO(NRO_DOCUMENTO,ID_TIPO,ID_PRODUCTO,CANTIDAD,PRECIO,VALOR_BRUTO,VALOR_NETO,VALOR_IVA) VALUES(1008,1,231,1,20900,20900,17563,3337);</v>
      </c>
    </row>
    <row r="2052" spans="1:12">
      <c r="A2052" s="114">
        <v>1</v>
      </c>
      <c r="B2052" s="114">
        <v>1008</v>
      </c>
      <c r="C2052" s="139" t="s">
        <v>2325</v>
      </c>
      <c r="D2052" s="114" t="s">
        <v>2090</v>
      </c>
      <c r="E2052" s="114">
        <v>188</v>
      </c>
      <c r="F2052" s="114">
        <v>277</v>
      </c>
      <c r="G2052" s="114">
        <v>1</v>
      </c>
      <c r="H2052" s="114">
        <v>10000</v>
      </c>
      <c r="I2052" s="114">
        <v>10000</v>
      </c>
      <c r="J2052" s="114">
        <v>8403</v>
      </c>
      <c r="K2052" s="114">
        <v>1597</v>
      </c>
      <c r="L2052" s="114" t="str">
        <f t="shared" si="32"/>
        <v>INSERT INTO DETALLES_DOCUMENTO(NRO_DOCUMENTO,ID_TIPO,ID_PRODUCTO,CANTIDAD,PRECIO,VALOR_BRUTO,VALOR_NETO,VALOR_IVA) VALUES(1008,1,277,1,10000,10000,8403,1597);</v>
      </c>
    </row>
    <row r="2053" spans="1:12">
      <c r="A2053" s="114">
        <v>1</v>
      </c>
      <c r="B2053" s="114">
        <v>1009</v>
      </c>
      <c r="C2053" s="139" t="s">
        <v>2325</v>
      </c>
      <c r="D2053" s="114" t="s">
        <v>2090</v>
      </c>
      <c r="E2053" s="114">
        <v>202</v>
      </c>
      <c r="F2053" s="114">
        <v>143</v>
      </c>
      <c r="G2053" s="114">
        <v>1</v>
      </c>
      <c r="H2053" s="114">
        <v>8200</v>
      </c>
      <c r="I2053" s="114">
        <v>8200</v>
      </c>
      <c r="J2053" s="114">
        <v>6891</v>
      </c>
      <c r="K2053" s="114">
        <v>1309</v>
      </c>
      <c r="L2053" s="114" t="str">
        <f t="shared" si="32"/>
        <v>INSERT INTO DETALLES_DOCUMENTO(NRO_DOCUMENTO,ID_TIPO,ID_PRODUCTO,CANTIDAD,PRECIO,VALOR_BRUTO,VALOR_NETO,VALOR_IVA) VALUES(1009,1,143,1,8200,8200,6891,1309);</v>
      </c>
    </row>
    <row r="2054" spans="1:12">
      <c r="A2054" s="114">
        <v>1</v>
      </c>
      <c r="B2054" s="114">
        <v>1009</v>
      </c>
      <c r="C2054" s="139" t="s">
        <v>2325</v>
      </c>
      <c r="D2054" s="114" t="s">
        <v>2090</v>
      </c>
      <c r="E2054" s="114">
        <v>202</v>
      </c>
      <c r="F2054" s="114">
        <v>324</v>
      </c>
      <c r="G2054" s="114">
        <v>1</v>
      </c>
      <c r="H2054" s="114">
        <v>11000</v>
      </c>
      <c r="I2054" s="114">
        <v>11000</v>
      </c>
      <c r="J2054" s="114">
        <v>9244</v>
      </c>
      <c r="K2054" s="114">
        <v>1756</v>
      </c>
      <c r="L2054" s="114" t="str">
        <f t="shared" si="32"/>
        <v>INSERT INTO DETALLES_DOCUMENTO(NRO_DOCUMENTO,ID_TIPO,ID_PRODUCTO,CANTIDAD,PRECIO,VALOR_BRUTO,VALOR_NETO,VALOR_IVA) VALUES(1009,1,324,1,11000,11000,9244,1756);</v>
      </c>
    </row>
    <row r="2055" spans="1:12">
      <c r="A2055" s="114">
        <v>1</v>
      </c>
      <c r="B2055" s="114">
        <v>1010</v>
      </c>
      <c r="C2055" s="139" t="s">
        <v>2325</v>
      </c>
      <c r="D2055" s="114" t="s">
        <v>2090</v>
      </c>
      <c r="E2055" s="114">
        <v>207</v>
      </c>
      <c r="F2055" s="114">
        <v>117</v>
      </c>
      <c r="G2055" s="114">
        <v>4</v>
      </c>
      <c r="H2055" s="114">
        <v>14000</v>
      </c>
      <c r="I2055" s="114">
        <v>56000</v>
      </c>
      <c r="J2055" s="114">
        <v>47059</v>
      </c>
      <c r="K2055" s="114">
        <v>8941</v>
      </c>
      <c r="L2055" s="114" t="str">
        <f t="shared" si="32"/>
        <v>INSERT INTO DETALLES_DOCUMENTO(NRO_DOCUMENTO,ID_TIPO,ID_PRODUCTO,CANTIDAD,PRECIO,VALOR_BRUTO,VALOR_NETO,VALOR_IVA) VALUES(1010,1,117,4,14000,56000,47059,8941);</v>
      </c>
    </row>
    <row r="2056" spans="1:12">
      <c r="A2056" s="114">
        <v>1</v>
      </c>
      <c r="B2056" s="114">
        <v>1010</v>
      </c>
      <c r="C2056" s="139" t="s">
        <v>2325</v>
      </c>
      <c r="D2056" s="114" t="s">
        <v>2090</v>
      </c>
      <c r="E2056" s="114">
        <v>207</v>
      </c>
      <c r="F2056" s="114">
        <v>97</v>
      </c>
      <c r="G2056" s="114">
        <v>1</v>
      </c>
      <c r="H2056" s="114">
        <v>2000</v>
      </c>
      <c r="I2056" s="114">
        <v>2000</v>
      </c>
      <c r="J2056" s="114">
        <v>1681</v>
      </c>
      <c r="K2056" s="114">
        <v>319</v>
      </c>
      <c r="L2056" s="114" t="str">
        <f t="shared" si="32"/>
        <v>INSERT INTO DETALLES_DOCUMENTO(NRO_DOCUMENTO,ID_TIPO,ID_PRODUCTO,CANTIDAD,PRECIO,VALOR_BRUTO,VALOR_NETO,VALOR_IVA) VALUES(1010,1,97,1,2000,2000,1681,319);</v>
      </c>
    </row>
    <row r="2057" spans="1:12">
      <c r="A2057" s="114">
        <v>1</v>
      </c>
      <c r="B2057" s="114">
        <v>1010</v>
      </c>
      <c r="C2057" s="139" t="s">
        <v>2325</v>
      </c>
      <c r="D2057" s="114" t="s">
        <v>2090</v>
      </c>
      <c r="E2057" s="114">
        <v>207</v>
      </c>
      <c r="F2057" s="114">
        <v>157</v>
      </c>
      <c r="G2057" s="114">
        <v>1</v>
      </c>
      <c r="H2057" s="114">
        <v>4300</v>
      </c>
      <c r="I2057" s="114">
        <v>4300</v>
      </c>
      <c r="J2057" s="114">
        <v>3613</v>
      </c>
      <c r="K2057" s="114">
        <v>687</v>
      </c>
      <c r="L2057" s="114" t="str">
        <f t="shared" si="32"/>
        <v>INSERT INTO DETALLES_DOCUMENTO(NRO_DOCUMENTO,ID_TIPO,ID_PRODUCTO,CANTIDAD,PRECIO,VALOR_BRUTO,VALOR_NETO,VALOR_IVA) VALUES(1010,1,157,1,4300,4300,3613,687);</v>
      </c>
    </row>
    <row r="2058" spans="1:12">
      <c r="A2058" s="114">
        <v>1</v>
      </c>
      <c r="B2058" s="114">
        <v>1011</v>
      </c>
      <c r="C2058" s="139" t="s">
        <v>2325</v>
      </c>
      <c r="D2058" s="114" t="s">
        <v>2090</v>
      </c>
      <c r="E2058" s="114">
        <v>234</v>
      </c>
      <c r="F2058" s="114">
        <v>98</v>
      </c>
      <c r="G2058" s="114">
        <v>1</v>
      </c>
      <c r="H2058" s="114">
        <v>3500</v>
      </c>
      <c r="I2058" s="114">
        <v>3500</v>
      </c>
      <c r="J2058" s="114">
        <v>2941</v>
      </c>
      <c r="K2058" s="114">
        <v>559</v>
      </c>
      <c r="L2058" s="114" t="str">
        <f t="shared" si="32"/>
        <v>INSERT INTO DETALLES_DOCUMENTO(NRO_DOCUMENTO,ID_TIPO,ID_PRODUCTO,CANTIDAD,PRECIO,VALOR_BRUTO,VALOR_NETO,VALOR_IVA) VALUES(1011,1,98,1,3500,3500,2941,559);</v>
      </c>
    </row>
    <row r="2059" spans="1:12">
      <c r="A2059" s="114">
        <v>1</v>
      </c>
      <c r="B2059" s="114">
        <v>1012</v>
      </c>
      <c r="C2059" s="139" t="s">
        <v>2325</v>
      </c>
      <c r="D2059" s="114" t="s">
        <v>2090</v>
      </c>
      <c r="E2059" s="114">
        <v>342</v>
      </c>
      <c r="F2059" s="114">
        <v>233</v>
      </c>
      <c r="G2059" s="114">
        <v>2</v>
      </c>
      <c r="H2059" s="114">
        <v>31980</v>
      </c>
      <c r="I2059" s="114">
        <v>63960</v>
      </c>
      <c r="J2059" s="114">
        <v>53748</v>
      </c>
      <c r="K2059" s="114">
        <v>10212</v>
      </c>
      <c r="L2059" s="114" t="str">
        <f t="shared" si="32"/>
        <v>INSERT INTO DETALLES_DOCUMENTO(NRO_DOCUMENTO,ID_TIPO,ID_PRODUCTO,CANTIDAD,PRECIO,VALOR_BRUTO,VALOR_NETO,VALOR_IVA) VALUES(1012,1,233,2,31980,63960,53748,10212);</v>
      </c>
    </row>
    <row r="2060" spans="1:12">
      <c r="A2060" s="114">
        <v>1</v>
      </c>
      <c r="B2060" s="114">
        <v>1012</v>
      </c>
      <c r="C2060" s="139" t="s">
        <v>2325</v>
      </c>
      <c r="D2060" s="114" t="s">
        <v>2090</v>
      </c>
      <c r="E2060" s="114">
        <v>342</v>
      </c>
      <c r="F2060" s="114">
        <v>7</v>
      </c>
      <c r="G2060" s="114">
        <v>1</v>
      </c>
      <c r="H2060" s="114">
        <v>7000</v>
      </c>
      <c r="I2060" s="114">
        <v>7000</v>
      </c>
      <c r="J2060" s="114">
        <v>5882</v>
      </c>
      <c r="K2060" s="114">
        <v>1118</v>
      </c>
      <c r="L2060" s="114" t="str">
        <f t="shared" si="32"/>
        <v>INSERT INTO DETALLES_DOCUMENTO(NRO_DOCUMENTO,ID_TIPO,ID_PRODUCTO,CANTIDAD,PRECIO,VALOR_BRUTO,VALOR_NETO,VALOR_IVA) VALUES(1012,1,7,1,7000,7000,5882,1118);</v>
      </c>
    </row>
    <row r="2061" spans="1:12">
      <c r="A2061" s="114">
        <v>1</v>
      </c>
      <c r="B2061" s="114">
        <v>1012</v>
      </c>
      <c r="C2061" s="139" t="s">
        <v>2325</v>
      </c>
      <c r="D2061" s="114" t="s">
        <v>2090</v>
      </c>
      <c r="E2061" s="114">
        <v>342</v>
      </c>
      <c r="F2061" s="114">
        <v>97</v>
      </c>
      <c r="G2061" s="114">
        <v>1</v>
      </c>
      <c r="H2061" s="114">
        <v>2000</v>
      </c>
      <c r="I2061" s="114">
        <v>2000</v>
      </c>
      <c r="J2061" s="114">
        <v>1681</v>
      </c>
      <c r="K2061" s="114">
        <v>319</v>
      </c>
      <c r="L2061" s="114" t="str">
        <f t="shared" si="32"/>
        <v>INSERT INTO DETALLES_DOCUMENTO(NRO_DOCUMENTO,ID_TIPO,ID_PRODUCTO,CANTIDAD,PRECIO,VALOR_BRUTO,VALOR_NETO,VALOR_IVA) VALUES(1012,1,97,1,2000,2000,1681,319);</v>
      </c>
    </row>
    <row r="2062" spans="1:12">
      <c r="A2062" s="114">
        <v>1</v>
      </c>
      <c r="B2062" s="114">
        <v>1012</v>
      </c>
      <c r="C2062" s="139" t="s">
        <v>2325</v>
      </c>
      <c r="D2062" s="114" t="s">
        <v>2090</v>
      </c>
      <c r="E2062" s="114">
        <v>342</v>
      </c>
      <c r="F2062" s="114">
        <v>98</v>
      </c>
      <c r="G2062" s="114">
        <v>1</v>
      </c>
      <c r="H2062" s="114">
        <v>3500</v>
      </c>
      <c r="I2062" s="114">
        <v>3500</v>
      </c>
      <c r="J2062" s="114">
        <v>2941</v>
      </c>
      <c r="K2062" s="114">
        <v>559</v>
      </c>
      <c r="L2062" s="114" t="str">
        <f t="shared" si="32"/>
        <v>INSERT INTO DETALLES_DOCUMENTO(NRO_DOCUMENTO,ID_TIPO,ID_PRODUCTO,CANTIDAD,PRECIO,VALOR_BRUTO,VALOR_NETO,VALOR_IVA) VALUES(1012,1,98,1,3500,3500,2941,559);</v>
      </c>
    </row>
    <row r="2063" spans="1:12">
      <c r="A2063" s="114">
        <v>1</v>
      </c>
      <c r="B2063" s="114">
        <v>1012</v>
      </c>
      <c r="C2063" s="139" t="s">
        <v>2325</v>
      </c>
      <c r="D2063" s="114" t="s">
        <v>2090</v>
      </c>
      <c r="E2063" s="114">
        <v>342</v>
      </c>
      <c r="F2063" s="114">
        <v>361</v>
      </c>
      <c r="G2063" s="114">
        <v>1</v>
      </c>
      <c r="H2063" s="114">
        <v>3500</v>
      </c>
      <c r="I2063" s="114">
        <v>3500</v>
      </c>
      <c r="J2063" s="114">
        <v>2941</v>
      </c>
      <c r="K2063" s="114">
        <v>559</v>
      </c>
      <c r="L2063" s="114" t="str">
        <f t="shared" si="32"/>
        <v>INSERT INTO DETALLES_DOCUMENTO(NRO_DOCUMENTO,ID_TIPO,ID_PRODUCTO,CANTIDAD,PRECIO,VALOR_BRUTO,VALOR_NETO,VALOR_IVA) VALUES(1012,1,361,1,3500,3500,2941,559);</v>
      </c>
    </row>
    <row r="2064" spans="1:12">
      <c r="A2064" s="114">
        <v>1</v>
      </c>
      <c r="B2064" s="114">
        <v>1012</v>
      </c>
      <c r="C2064" s="139" t="s">
        <v>2325</v>
      </c>
      <c r="D2064" s="114" t="s">
        <v>2090</v>
      </c>
      <c r="E2064" s="114">
        <v>342</v>
      </c>
      <c r="F2064" s="114">
        <v>225</v>
      </c>
      <c r="G2064" s="114">
        <v>1</v>
      </c>
      <c r="H2064" s="114">
        <v>19500</v>
      </c>
      <c r="I2064" s="114">
        <v>19500</v>
      </c>
      <c r="J2064" s="114">
        <v>16387</v>
      </c>
      <c r="K2064" s="114">
        <v>3113</v>
      </c>
      <c r="L2064" s="114" t="str">
        <f t="shared" si="32"/>
        <v>INSERT INTO DETALLES_DOCUMENTO(NRO_DOCUMENTO,ID_TIPO,ID_PRODUCTO,CANTIDAD,PRECIO,VALOR_BRUTO,VALOR_NETO,VALOR_IVA) VALUES(1012,1,225,1,19500,19500,16387,3113);</v>
      </c>
    </row>
    <row r="2065" spans="1:12">
      <c r="A2065" s="114">
        <v>1</v>
      </c>
      <c r="B2065" s="114">
        <v>1013</v>
      </c>
      <c r="C2065" s="139" t="s">
        <v>2325</v>
      </c>
      <c r="D2065" s="114" t="s">
        <v>2090</v>
      </c>
      <c r="E2065" s="114">
        <v>363</v>
      </c>
      <c r="F2065" s="114">
        <v>143</v>
      </c>
      <c r="G2065" s="114">
        <v>1</v>
      </c>
      <c r="H2065" s="114">
        <v>8200</v>
      </c>
      <c r="I2065" s="114">
        <v>8200</v>
      </c>
      <c r="J2065" s="114">
        <v>6891</v>
      </c>
      <c r="K2065" s="114">
        <v>1309</v>
      </c>
      <c r="L2065" s="114" t="str">
        <f t="shared" si="32"/>
        <v>INSERT INTO DETALLES_DOCUMENTO(NRO_DOCUMENTO,ID_TIPO,ID_PRODUCTO,CANTIDAD,PRECIO,VALOR_BRUTO,VALOR_NETO,VALOR_IVA) VALUES(1013,1,143,1,8200,8200,6891,1309);</v>
      </c>
    </row>
    <row r="2066" spans="1:12">
      <c r="A2066" s="114">
        <v>1</v>
      </c>
      <c r="B2066" s="114">
        <v>1013</v>
      </c>
      <c r="C2066" s="139" t="s">
        <v>2325</v>
      </c>
      <c r="D2066" s="114" t="s">
        <v>2090</v>
      </c>
      <c r="E2066" s="114">
        <v>363</v>
      </c>
      <c r="F2066" s="114">
        <v>230</v>
      </c>
      <c r="G2066" s="114">
        <v>1</v>
      </c>
      <c r="H2066" s="114">
        <v>16500</v>
      </c>
      <c r="I2066" s="114">
        <v>16500</v>
      </c>
      <c r="J2066" s="114">
        <v>13866</v>
      </c>
      <c r="K2066" s="114">
        <v>2634</v>
      </c>
      <c r="L2066" s="114" t="str">
        <f t="shared" si="32"/>
        <v>INSERT INTO DETALLES_DOCUMENTO(NRO_DOCUMENTO,ID_TIPO,ID_PRODUCTO,CANTIDAD,PRECIO,VALOR_BRUTO,VALOR_NETO,VALOR_IVA) VALUES(1013,1,230,1,16500,16500,13866,2634);</v>
      </c>
    </row>
    <row r="2067" spans="1:12">
      <c r="A2067" s="114">
        <v>1</v>
      </c>
      <c r="B2067" s="114">
        <v>1014</v>
      </c>
      <c r="C2067" s="139" t="s">
        <v>2325</v>
      </c>
      <c r="D2067" s="114" t="s">
        <v>2090</v>
      </c>
      <c r="E2067" s="114">
        <v>467</v>
      </c>
      <c r="F2067" s="114">
        <v>167</v>
      </c>
      <c r="G2067" s="114">
        <v>1</v>
      </c>
      <c r="H2067" s="114">
        <v>8200</v>
      </c>
      <c r="I2067" s="114">
        <v>8200</v>
      </c>
      <c r="J2067" s="114">
        <v>6891</v>
      </c>
      <c r="K2067" s="114">
        <v>1309</v>
      </c>
      <c r="L2067" s="114" t="str">
        <f t="shared" si="32"/>
        <v>INSERT INTO DETALLES_DOCUMENTO(NRO_DOCUMENTO,ID_TIPO,ID_PRODUCTO,CANTIDAD,PRECIO,VALOR_BRUTO,VALOR_NETO,VALOR_IVA) VALUES(1014,1,167,1,8200,8200,6891,1309);</v>
      </c>
    </row>
    <row r="2068" spans="1:12">
      <c r="A2068" s="114">
        <v>1</v>
      </c>
      <c r="B2068" s="114">
        <v>1015</v>
      </c>
      <c r="C2068" s="139" t="s">
        <v>2326</v>
      </c>
      <c r="D2068" s="114" t="s">
        <v>2090</v>
      </c>
      <c r="E2068" s="114">
        <v>41</v>
      </c>
      <c r="F2068" s="114">
        <v>143</v>
      </c>
      <c r="G2068" s="114">
        <v>2</v>
      </c>
      <c r="H2068" s="114">
        <v>16400</v>
      </c>
      <c r="I2068" s="114">
        <v>32800</v>
      </c>
      <c r="J2068" s="114">
        <v>27563</v>
      </c>
      <c r="K2068" s="114">
        <v>5237</v>
      </c>
      <c r="L2068" s="114" t="str">
        <f t="shared" si="32"/>
        <v>INSERT INTO DETALLES_DOCUMENTO(NRO_DOCUMENTO,ID_TIPO,ID_PRODUCTO,CANTIDAD,PRECIO,VALOR_BRUTO,VALOR_NETO,VALOR_IVA) VALUES(1015,1,143,2,16400,32800,27563,5237);</v>
      </c>
    </row>
    <row r="2069" spans="1:12">
      <c r="A2069" s="114">
        <v>1</v>
      </c>
      <c r="B2069" s="114">
        <v>1016</v>
      </c>
      <c r="C2069" s="139" t="s">
        <v>2326</v>
      </c>
      <c r="D2069" s="114" t="s">
        <v>2090</v>
      </c>
      <c r="E2069" s="114">
        <v>42</v>
      </c>
      <c r="F2069" s="114">
        <v>324</v>
      </c>
      <c r="G2069" s="114">
        <v>1</v>
      </c>
      <c r="H2069" s="114">
        <v>11000</v>
      </c>
      <c r="I2069" s="114">
        <v>11000</v>
      </c>
      <c r="J2069" s="114">
        <v>9244</v>
      </c>
      <c r="K2069" s="114">
        <v>1756</v>
      </c>
      <c r="L2069" s="114" t="str">
        <f t="shared" si="32"/>
        <v>INSERT INTO DETALLES_DOCUMENTO(NRO_DOCUMENTO,ID_TIPO,ID_PRODUCTO,CANTIDAD,PRECIO,VALOR_BRUTO,VALOR_NETO,VALOR_IVA) VALUES(1016,1,324,1,11000,11000,9244,1756);</v>
      </c>
    </row>
    <row r="2070" spans="1:12">
      <c r="A2070" s="114">
        <v>1</v>
      </c>
      <c r="B2070" s="114">
        <v>1017</v>
      </c>
      <c r="C2070" s="139" t="s">
        <v>2326</v>
      </c>
      <c r="D2070" s="114" t="s">
        <v>2090</v>
      </c>
      <c r="E2070" s="114">
        <v>82</v>
      </c>
      <c r="F2070" s="114">
        <v>324</v>
      </c>
      <c r="G2070" s="114">
        <v>1</v>
      </c>
      <c r="H2070" s="114">
        <v>11000</v>
      </c>
      <c r="I2070" s="114">
        <v>11000</v>
      </c>
      <c r="J2070" s="114">
        <v>9244</v>
      </c>
      <c r="K2070" s="114">
        <v>1756</v>
      </c>
      <c r="L2070" s="114" t="str">
        <f t="shared" si="32"/>
        <v>INSERT INTO DETALLES_DOCUMENTO(NRO_DOCUMENTO,ID_TIPO,ID_PRODUCTO,CANTIDAD,PRECIO,VALOR_BRUTO,VALOR_NETO,VALOR_IVA) VALUES(1017,1,324,1,11000,11000,9244,1756);</v>
      </c>
    </row>
    <row r="2071" spans="1:12">
      <c r="A2071" s="114">
        <v>1</v>
      </c>
      <c r="B2071" s="114">
        <v>1017</v>
      </c>
      <c r="C2071" s="139" t="s">
        <v>2326</v>
      </c>
      <c r="D2071" s="114" t="s">
        <v>2090</v>
      </c>
      <c r="E2071" s="114">
        <v>82</v>
      </c>
      <c r="F2071" s="114">
        <v>329</v>
      </c>
      <c r="G2071" s="114">
        <v>1</v>
      </c>
      <c r="H2071" s="114">
        <v>6000</v>
      </c>
      <c r="I2071" s="114">
        <v>6000</v>
      </c>
      <c r="J2071" s="114">
        <v>5042</v>
      </c>
      <c r="K2071" s="114">
        <v>958</v>
      </c>
      <c r="L2071" s="114" t="str">
        <f t="shared" si="32"/>
        <v>INSERT INTO DETALLES_DOCUMENTO(NRO_DOCUMENTO,ID_TIPO,ID_PRODUCTO,CANTIDAD,PRECIO,VALOR_BRUTO,VALOR_NETO,VALOR_IVA) VALUES(1017,1,329,1,6000,6000,5042,958);</v>
      </c>
    </row>
    <row r="2072" spans="1:12">
      <c r="A2072" s="114">
        <v>1</v>
      </c>
      <c r="B2072" s="114">
        <v>1018</v>
      </c>
      <c r="C2072" s="139" t="s">
        <v>2326</v>
      </c>
      <c r="D2072" s="114" t="s">
        <v>2090</v>
      </c>
      <c r="E2072" s="114">
        <v>142</v>
      </c>
      <c r="F2072" s="114">
        <v>324</v>
      </c>
      <c r="G2072" s="114">
        <v>1</v>
      </c>
      <c r="H2072" s="114">
        <v>11000</v>
      </c>
      <c r="I2072" s="114">
        <v>11000</v>
      </c>
      <c r="J2072" s="114">
        <v>9244</v>
      </c>
      <c r="K2072" s="114">
        <v>1756</v>
      </c>
      <c r="L2072" s="114" t="str">
        <f t="shared" si="32"/>
        <v>INSERT INTO DETALLES_DOCUMENTO(NRO_DOCUMENTO,ID_TIPO,ID_PRODUCTO,CANTIDAD,PRECIO,VALOR_BRUTO,VALOR_NETO,VALOR_IVA) VALUES(1018,1,324,1,11000,11000,9244,1756);</v>
      </c>
    </row>
    <row r="2073" spans="1:12">
      <c r="A2073" s="114">
        <v>1</v>
      </c>
      <c r="B2073" s="114">
        <v>1019</v>
      </c>
      <c r="C2073" s="139" t="s">
        <v>2326</v>
      </c>
      <c r="D2073" s="114" t="s">
        <v>2090</v>
      </c>
      <c r="E2073" s="114">
        <v>166</v>
      </c>
      <c r="F2073" s="114">
        <v>324</v>
      </c>
      <c r="G2073" s="114">
        <v>1</v>
      </c>
      <c r="H2073" s="114">
        <v>11000</v>
      </c>
      <c r="I2073" s="114">
        <v>11000</v>
      </c>
      <c r="J2073" s="114">
        <v>9244</v>
      </c>
      <c r="K2073" s="114">
        <v>1756</v>
      </c>
      <c r="L2073" s="114" t="str">
        <f t="shared" si="32"/>
        <v>INSERT INTO DETALLES_DOCUMENTO(NRO_DOCUMENTO,ID_TIPO,ID_PRODUCTO,CANTIDAD,PRECIO,VALOR_BRUTO,VALOR_NETO,VALOR_IVA) VALUES(1019,1,324,1,11000,11000,9244,1756);</v>
      </c>
    </row>
    <row r="2074" spans="1:12">
      <c r="A2074" s="114">
        <v>1</v>
      </c>
      <c r="B2074" s="114">
        <v>1020</v>
      </c>
      <c r="C2074" s="139" t="s">
        <v>2326</v>
      </c>
      <c r="D2074" s="114" t="s">
        <v>2090</v>
      </c>
      <c r="E2074" s="114">
        <v>188</v>
      </c>
      <c r="F2074" s="114">
        <v>290</v>
      </c>
      <c r="G2074" s="114">
        <v>1</v>
      </c>
      <c r="H2074" s="114">
        <v>1200</v>
      </c>
      <c r="I2074" s="114">
        <v>1200</v>
      </c>
      <c r="J2074" s="114">
        <v>1008</v>
      </c>
      <c r="K2074" s="114">
        <v>192</v>
      </c>
      <c r="L2074" s="114" t="str">
        <f t="shared" si="32"/>
        <v>INSERT INTO DETALLES_DOCUMENTO(NRO_DOCUMENTO,ID_TIPO,ID_PRODUCTO,CANTIDAD,PRECIO,VALOR_BRUTO,VALOR_NETO,VALOR_IVA) VALUES(1020,1,290,1,1200,1200,1008,192);</v>
      </c>
    </row>
    <row r="2075" spans="1:12">
      <c r="A2075" s="114">
        <v>1</v>
      </c>
      <c r="B2075" s="114">
        <v>1021</v>
      </c>
      <c r="C2075" s="139" t="s">
        <v>2326</v>
      </c>
      <c r="D2075" s="114" t="s">
        <v>2090</v>
      </c>
      <c r="E2075" s="114">
        <v>198</v>
      </c>
      <c r="F2075" s="114">
        <v>324</v>
      </c>
      <c r="G2075" s="114">
        <v>1</v>
      </c>
      <c r="H2075" s="114">
        <v>11000</v>
      </c>
      <c r="I2075" s="114">
        <v>11000</v>
      </c>
      <c r="J2075" s="114">
        <v>9244</v>
      </c>
      <c r="K2075" s="114">
        <v>1756</v>
      </c>
      <c r="L2075" s="114" t="str">
        <f t="shared" si="32"/>
        <v>INSERT INTO DETALLES_DOCUMENTO(NRO_DOCUMENTO,ID_TIPO,ID_PRODUCTO,CANTIDAD,PRECIO,VALOR_BRUTO,VALOR_NETO,VALOR_IVA) VALUES(1021,1,324,1,11000,11000,9244,1756);</v>
      </c>
    </row>
    <row r="2076" spans="1:12">
      <c r="A2076" s="114">
        <v>1</v>
      </c>
      <c r="B2076" s="114">
        <v>1022</v>
      </c>
      <c r="C2076" s="139" t="s">
        <v>2326</v>
      </c>
      <c r="D2076" s="114" t="s">
        <v>2090</v>
      </c>
      <c r="E2076" s="114">
        <v>236</v>
      </c>
      <c r="F2076" s="114">
        <v>7</v>
      </c>
      <c r="G2076" s="114">
        <v>1</v>
      </c>
      <c r="H2076" s="114">
        <v>7000</v>
      </c>
      <c r="I2076" s="114">
        <v>7000</v>
      </c>
      <c r="J2076" s="114">
        <v>5882</v>
      </c>
      <c r="K2076" s="114">
        <v>1118</v>
      </c>
      <c r="L2076" s="114" t="str">
        <f t="shared" si="32"/>
        <v>INSERT INTO DETALLES_DOCUMENTO(NRO_DOCUMENTO,ID_TIPO,ID_PRODUCTO,CANTIDAD,PRECIO,VALOR_BRUTO,VALOR_NETO,VALOR_IVA) VALUES(1022,1,7,1,7000,7000,5882,1118);</v>
      </c>
    </row>
    <row r="2077" spans="1:12">
      <c r="A2077" s="114">
        <v>1</v>
      </c>
      <c r="B2077" s="114">
        <v>1022</v>
      </c>
      <c r="C2077" s="139" t="s">
        <v>2326</v>
      </c>
      <c r="D2077" s="114" t="s">
        <v>2090</v>
      </c>
      <c r="E2077" s="114">
        <v>236</v>
      </c>
      <c r="F2077" s="114">
        <v>331</v>
      </c>
      <c r="G2077" s="114">
        <v>1</v>
      </c>
      <c r="H2077" s="114">
        <v>3700</v>
      </c>
      <c r="I2077" s="114">
        <v>3700</v>
      </c>
      <c r="J2077" s="114">
        <v>3109</v>
      </c>
      <c r="K2077" s="114">
        <v>591</v>
      </c>
      <c r="L2077" s="114" t="str">
        <f t="shared" si="32"/>
        <v>INSERT INTO DETALLES_DOCUMENTO(NRO_DOCUMENTO,ID_TIPO,ID_PRODUCTO,CANTIDAD,PRECIO,VALOR_BRUTO,VALOR_NETO,VALOR_IVA) VALUES(1022,1,331,1,3700,3700,3109,591);</v>
      </c>
    </row>
    <row r="2078" spans="1:12">
      <c r="A2078" s="114">
        <v>1</v>
      </c>
      <c r="B2078" s="114">
        <v>1022</v>
      </c>
      <c r="C2078" s="139" t="s">
        <v>2326</v>
      </c>
      <c r="D2078" s="114" t="s">
        <v>2090</v>
      </c>
      <c r="E2078" s="114">
        <v>236</v>
      </c>
      <c r="F2078" s="114">
        <v>263</v>
      </c>
      <c r="G2078" s="114">
        <v>1</v>
      </c>
      <c r="H2078" s="114">
        <v>8000</v>
      </c>
      <c r="I2078" s="114">
        <v>8000</v>
      </c>
      <c r="J2078" s="114">
        <v>6723</v>
      </c>
      <c r="K2078" s="114">
        <v>1277</v>
      </c>
      <c r="L2078" s="114" t="str">
        <f t="shared" si="32"/>
        <v>INSERT INTO DETALLES_DOCUMENTO(NRO_DOCUMENTO,ID_TIPO,ID_PRODUCTO,CANTIDAD,PRECIO,VALOR_BRUTO,VALOR_NETO,VALOR_IVA) VALUES(1022,1,263,1,8000,8000,6723,1277);</v>
      </c>
    </row>
    <row r="2079" spans="1:12">
      <c r="A2079" s="114">
        <v>1</v>
      </c>
      <c r="B2079" s="114">
        <v>1023</v>
      </c>
      <c r="C2079" s="139" t="s">
        <v>2326</v>
      </c>
      <c r="D2079" s="114" t="s">
        <v>2090</v>
      </c>
      <c r="E2079" s="114">
        <v>300</v>
      </c>
      <c r="F2079" s="114">
        <v>329</v>
      </c>
      <c r="G2079" s="114">
        <v>1</v>
      </c>
      <c r="H2079" s="114">
        <v>6000</v>
      </c>
      <c r="I2079" s="114">
        <v>6000</v>
      </c>
      <c r="J2079" s="114">
        <v>5042</v>
      </c>
      <c r="K2079" s="114">
        <v>958</v>
      </c>
      <c r="L2079" s="114" t="str">
        <f t="shared" si="32"/>
        <v>INSERT INTO DETALLES_DOCUMENTO(NRO_DOCUMENTO,ID_TIPO,ID_PRODUCTO,CANTIDAD,PRECIO,VALOR_BRUTO,VALOR_NETO,VALOR_IVA) VALUES(1023,1,329,1,6000,6000,5042,958);</v>
      </c>
    </row>
    <row r="2080" spans="1:12">
      <c r="A2080" s="114">
        <v>1</v>
      </c>
      <c r="B2080" s="114">
        <v>1023</v>
      </c>
      <c r="C2080" s="139" t="s">
        <v>2326</v>
      </c>
      <c r="D2080" s="114" t="s">
        <v>2090</v>
      </c>
      <c r="E2080" s="114">
        <v>300</v>
      </c>
      <c r="F2080" s="114">
        <v>143</v>
      </c>
      <c r="G2080" s="114">
        <v>1</v>
      </c>
      <c r="H2080" s="114">
        <v>8200</v>
      </c>
      <c r="I2080" s="114">
        <v>8200</v>
      </c>
      <c r="J2080" s="114">
        <v>6891</v>
      </c>
      <c r="K2080" s="114">
        <v>1309</v>
      </c>
      <c r="L2080" s="114" t="str">
        <f t="shared" si="32"/>
        <v>INSERT INTO DETALLES_DOCUMENTO(NRO_DOCUMENTO,ID_TIPO,ID_PRODUCTO,CANTIDAD,PRECIO,VALOR_BRUTO,VALOR_NETO,VALOR_IVA) VALUES(1023,1,143,1,8200,8200,6891,1309);</v>
      </c>
    </row>
    <row r="2081" spans="1:12">
      <c r="A2081" s="114">
        <v>1</v>
      </c>
      <c r="B2081" s="114">
        <v>1024</v>
      </c>
      <c r="C2081" s="139" t="s">
        <v>2327</v>
      </c>
      <c r="D2081" s="114" t="s">
        <v>2090</v>
      </c>
      <c r="E2081" s="114">
        <v>50</v>
      </c>
      <c r="F2081" s="114">
        <v>143</v>
      </c>
      <c r="G2081" s="114">
        <v>1</v>
      </c>
      <c r="H2081" s="114">
        <v>8200</v>
      </c>
      <c r="I2081" s="114">
        <v>8200</v>
      </c>
      <c r="J2081" s="114">
        <v>6891</v>
      </c>
      <c r="K2081" s="114">
        <v>1309</v>
      </c>
      <c r="L2081" s="114" t="str">
        <f t="shared" si="32"/>
        <v>INSERT INTO DETALLES_DOCUMENTO(NRO_DOCUMENTO,ID_TIPO,ID_PRODUCTO,CANTIDAD,PRECIO,VALOR_BRUTO,VALOR_NETO,VALOR_IVA) VALUES(1024,1,143,1,8200,8200,6891,1309);</v>
      </c>
    </row>
    <row r="2082" spans="1:12">
      <c r="A2082" s="114">
        <v>1</v>
      </c>
      <c r="B2082" s="114">
        <v>1025</v>
      </c>
      <c r="C2082" s="139" t="s">
        <v>2327</v>
      </c>
      <c r="D2082" s="114" t="s">
        <v>2090</v>
      </c>
      <c r="E2082" s="114">
        <v>315</v>
      </c>
      <c r="F2082" s="114">
        <v>120</v>
      </c>
      <c r="G2082" s="114">
        <v>1</v>
      </c>
      <c r="H2082" s="114">
        <v>1700</v>
      </c>
      <c r="I2082" s="114">
        <v>1700</v>
      </c>
      <c r="J2082" s="114">
        <v>1429</v>
      </c>
      <c r="K2082" s="114">
        <v>271</v>
      </c>
      <c r="L2082" s="114" t="str">
        <f t="shared" si="32"/>
        <v>INSERT INTO DETALLES_DOCUMENTO(NRO_DOCUMENTO,ID_TIPO,ID_PRODUCTO,CANTIDAD,PRECIO,VALOR_BRUTO,VALOR_NETO,VALOR_IVA) VALUES(1025,1,120,1,1700,1700,1429,271);</v>
      </c>
    </row>
    <row r="2083" spans="1:12">
      <c r="A2083" s="114">
        <v>1</v>
      </c>
      <c r="B2083" s="114">
        <v>1026</v>
      </c>
      <c r="C2083" s="139" t="s">
        <v>2327</v>
      </c>
      <c r="D2083" s="114" t="s">
        <v>2090</v>
      </c>
      <c r="E2083" s="114">
        <v>345</v>
      </c>
      <c r="F2083" s="114">
        <v>324</v>
      </c>
      <c r="G2083" s="114">
        <v>1</v>
      </c>
      <c r="H2083" s="114">
        <v>11000</v>
      </c>
      <c r="I2083" s="114">
        <v>11000</v>
      </c>
      <c r="J2083" s="114">
        <v>9244</v>
      </c>
      <c r="K2083" s="114">
        <v>1756</v>
      </c>
      <c r="L2083" s="114" t="str">
        <f t="shared" si="32"/>
        <v>INSERT INTO DETALLES_DOCUMENTO(NRO_DOCUMENTO,ID_TIPO,ID_PRODUCTO,CANTIDAD,PRECIO,VALOR_BRUTO,VALOR_NETO,VALOR_IVA) VALUES(1026,1,324,1,11000,11000,9244,1756);</v>
      </c>
    </row>
    <row r="2084" spans="1:12">
      <c r="A2084" s="114">
        <v>1</v>
      </c>
      <c r="B2084" s="114">
        <v>1027</v>
      </c>
      <c r="C2084" s="139" t="s">
        <v>2327</v>
      </c>
      <c r="D2084" s="114" t="s">
        <v>2094</v>
      </c>
      <c r="E2084" s="114">
        <v>416</v>
      </c>
      <c r="F2084" s="114">
        <v>329</v>
      </c>
      <c r="G2084" s="114">
        <v>1</v>
      </c>
      <c r="H2084" s="114">
        <v>6000</v>
      </c>
      <c r="I2084" s="114">
        <v>6000</v>
      </c>
      <c r="J2084" s="114">
        <v>5042</v>
      </c>
      <c r="K2084" s="114">
        <v>958</v>
      </c>
      <c r="L2084" s="114" t="str">
        <f t="shared" si="32"/>
        <v>INSERT INTO DETALLES_DOCUMENTO(NRO_DOCUMENTO,ID_TIPO,ID_PRODUCTO,CANTIDAD,PRECIO,VALOR_BRUTO,VALOR_NETO,VALOR_IVA) VALUES(1027,1,329,1,6000,6000,5042,958);</v>
      </c>
    </row>
    <row r="2085" spans="1:12">
      <c r="A2085" s="114">
        <v>1</v>
      </c>
      <c r="B2085" s="114">
        <v>1028</v>
      </c>
      <c r="C2085" s="139" t="s">
        <v>2327</v>
      </c>
      <c r="D2085" s="114" t="s">
        <v>2090</v>
      </c>
      <c r="E2085" s="114">
        <v>427</v>
      </c>
      <c r="F2085" s="114">
        <v>231</v>
      </c>
      <c r="G2085" s="114">
        <v>1</v>
      </c>
      <c r="H2085" s="114">
        <v>20900</v>
      </c>
      <c r="I2085" s="114">
        <v>20900</v>
      </c>
      <c r="J2085" s="114">
        <v>17563</v>
      </c>
      <c r="K2085" s="114">
        <v>3337</v>
      </c>
      <c r="L2085" s="114" t="str">
        <f t="shared" si="32"/>
        <v>INSERT INTO DETALLES_DOCUMENTO(NRO_DOCUMENTO,ID_TIPO,ID_PRODUCTO,CANTIDAD,PRECIO,VALOR_BRUTO,VALOR_NETO,VALOR_IVA) VALUES(1028,1,231,1,20900,20900,17563,3337);</v>
      </c>
    </row>
    <row r="2086" spans="1:12">
      <c r="A2086" s="114">
        <v>1</v>
      </c>
      <c r="B2086" s="114">
        <v>1028</v>
      </c>
      <c r="C2086" s="139" t="s">
        <v>2327</v>
      </c>
      <c r="D2086" s="114" t="s">
        <v>2090</v>
      </c>
      <c r="E2086" s="114">
        <v>427</v>
      </c>
      <c r="F2086" s="114">
        <v>67</v>
      </c>
      <c r="G2086" s="114">
        <v>1</v>
      </c>
      <c r="H2086" s="114">
        <v>650</v>
      </c>
      <c r="I2086" s="114">
        <v>650</v>
      </c>
      <c r="J2086" s="114">
        <v>546</v>
      </c>
      <c r="K2086" s="114">
        <v>104</v>
      </c>
      <c r="L2086" s="114" t="str">
        <f t="shared" si="32"/>
        <v>INSERT INTO DETALLES_DOCUMENTO(NRO_DOCUMENTO,ID_TIPO,ID_PRODUCTO,CANTIDAD,PRECIO,VALOR_BRUTO,VALOR_NETO,VALOR_IVA) VALUES(1028,1,67,1,650,650,546,104);</v>
      </c>
    </row>
    <row r="2087" spans="1:12">
      <c r="A2087" s="114">
        <v>1</v>
      </c>
      <c r="B2087" s="114">
        <v>1029</v>
      </c>
      <c r="C2087" s="139" t="s">
        <v>2328</v>
      </c>
      <c r="D2087" s="114" t="s">
        <v>2090</v>
      </c>
      <c r="E2087" s="114">
        <v>56</v>
      </c>
      <c r="F2087" s="114">
        <v>231</v>
      </c>
      <c r="G2087" s="114">
        <v>1</v>
      </c>
      <c r="H2087" s="114">
        <v>20900</v>
      </c>
      <c r="I2087" s="114">
        <v>20900</v>
      </c>
      <c r="J2087" s="114">
        <v>17563</v>
      </c>
      <c r="K2087" s="114">
        <v>3337</v>
      </c>
      <c r="L2087" s="114" t="str">
        <f t="shared" si="32"/>
        <v>INSERT INTO DETALLES_DOCUMENTO(NRO_DOCUMENTO,ID_TIPO,ID_PRODUCTO,CANTIDAD,PRECIO,VALOR_BRUTO,VALOR_NETO,VALOR_IVA) VALUES(1029,1,231,1,20900,20900,17563,3337);</v>
      </c>
    </row>
    <row r="2088" spans="1:12">
      <c r="A2088" s="114">
        <v>1</v>
      </c>
      <c r="B2088" s="114">
        <v>1030</v>
      </c>
      <c r="C2088" s="139" t="s">
        <v>2328</v>
      </c>
      <c r="D2088" s="114" t="s">
        <v>2090</v>
      </c>
      <c r="E2088" s="114">
        <v>76</v>
      </c>
      <c r="F2088" s="114">
        <v>324</v>
      </c>
      <c r="G2088" s="114">
        <v>1</v>
      </c>
      <c r="H2088" s="114">
        <v>11000</v>
      </c>
      <c r="I2088" s="114">
        <v>11000</v>
      </c>
      <c r="J2088" s="114">
        <v>9244</v>
      </c>
      <c r="K2088" s="114">
        <v>1756</v>
      </c>
      <c r="L2088" s="114" t="str">
        <f t="shared" si="32"/>
        <v>INSERT INTO DETALLES_DOCUMENTO(NRO_DOCUMENTO,ID_TIPO,ID_PRODUCTO,CANTIDAD,PRECIO,VALOR_BRUTO,VALOR_NETO,VALOR_IVA) VALUES(1030,1,324,1,11000,11000,9244,1756);</v>
      </c>
    </row>
    <row r="2089" spans="1:12">
      <c r="A2089" s="114">
        <v>1</v>
      </c>
      <c r="B2089" s="114">
        <v>1031</v>
      </c>
      <c r="C2089" s="139" t="s">
        <v>2328</v>
      </c>
      <c r="D2089" s="114" t="s">
        <v>2090</v>
      </c>
      <c r="E2089" s="114">
        <v>119</v>
      </c>
      <c r="F2089" s="114">
        <v>143</v>
      </c>
      <c r="G2089" s="114">
        <v>1</v>
      </c>
      <c r="H2089" s="114">
        <v>8200</v>
      </c>
      <c r="I2089" s="114">
        <v>8200</v>
      </c>
      <c r="J2089" s="114">
        <v>6891</v>
      </c>
      <c r="K2089" s="114">
        <v>1309</v>
      </c>
      <c r="L2089" s="114" t="str">
        <f t="shared" si="32"/>
        <v>INSERT INTO DETALLES_DOCUMENTO(NRO_DOCUMENTO,ID_TIPO,ID_PRODUCTO,CANTIDAD,PRECIO,VALOR_BRUTO,VALOR_NETO,VALOR_IVA) VALUES(1031,1,143,1,8200,8200,6891,1309);</v>
      </c>
    </row>
    <row r="2090" spans="1:12">
      <c r="A2090" s="114">
        <v>1</v>
      </c>
      <c r="B2090" s="114">
        <v>1032</v>
      </c>
      <c r="C2090" s="139" t="s">
        <v>2328</v>
      </c>
      <c r="D2090" s="114" t="s">
        <v>2090</v>
      </c>
      <c r="E2090" s="114">
        <v>122</v>
      </c>
      <c r="F2090" s="114">
        <v>261</v>
      </c>
      <c r="G2090" s="114">
        <v>1</v>
      </c>
      <c r="H2090" s="114">
        <v>7000</v>
      </c>
      <c r="I2090" s="114">
        <v>7000</v>
      </c>
      <c r="J2090" s="114">
        <v>5882</v>
      </c>
      <c r="K2090" s="114">
        <v>1118</v>
      </c>
      <c r="L2090" s="114" t="str">
        <f t="shared" si="32"/>
        <v>INSERT INTO DETALLES_DOCUMENTO(NRO_DOCUMENTO,ID_TIPO,ID_PRODUCTO,CANTIDAD,PRECIO,VALOR_BRUTO,VALOR_NETO,VALOR_IVA) VALUES(1032,1,261,1,7000,7000,5882,1118);</v>
      </c>
    </row>
    <row r="2091" spans="1:12">
      <c r="A2091" s="114">
        <v>1</v>
      </c>
      <c r="B2091" s="114">
        <v>1032</v>
      </c>
      <c r="C2091" s="139" t="s">
        <v>2328</v>
      </c>
      <c r="D2091" s="114" t="s">
        <v>2090</v>
      </c>
      <c r="E2091" s="114">
        <v>122</v>
      </c>
      <c r="F2091" s="114">
        <v>143</v>
      </c>
      <c r="G2091" s="114">
        <v>2</v>
      </c>
      <c r="H2091" s="114">
        <v>16400</v>
      </c>
      <c r="I2091" s="114">
        <v>32800</v>
      </c>
      <c r="J2091" s="114">
        <v>27563</v>
      </c>
      <c r="K2091" s="114">
        <v>5237</v>
      </c>
      <c r="L2091" s="114" t="str">
        <f t="shared" si="32"/>
        <v>INSERT INTO DETALLES_DOCUMENTO(NRO_DOCUMENTO,ID_TIPO,ID_PRODUCTO,CANTIDAD,PRECIO,VALOR_BRUTO,VALOR_NETO,VALOR_IVA) VALUES(1032,1,143,2,16400,32800,27563,5237);</v>
      </c>
    </row>
    <row r="2092" spans="1:12">
      <c r="A2092" s="114">
        <v>1</v>
      </c>
      <c r="B2092" s="114">
        <v>1032</v>
      </c>
      <c r="C2092" s="139" t="s">
        <v>2328</v>
      </c>
      <c r="D2092" s="114" t="s">
        <v>2090</v>
      </c>
      <c r="E2092" s="114">
        <v>122</v>
      </c>
      <c r="F2092" s="114">
        <v>118</v>
      </c>
      <c r="G2092" s="114">
        <v>1</v>
      </c>
      <c r="H2092" s="114">
        <v>3500</v>
      </c>
      <c r="I2092" s="114">
        <v>3500</v>
      </c>
      <c r="J2092" s="114">
        <v>2941</v>
      </c>
      <c r="K2092" s="114">
        <v>559</v>
      </c>
      <c r="L2092" s="114" t="str">
        <f t="shared" si="32"/>
        <v>INSERT INTO DETALLES_DOCUMENTO(NRO_DOCUMENTO,ID_TIPO,ID_PRODUCTO,CANTIDAD,PRECIO,VALOR_BRUTO,VALOR_NETO,VALOR_IVA) VALUES(1032,1,118,1,3500,3500,2941,559);</v>
      </c>
    </row>
    <row r="2093" spans="1:12">
      <c r="A2093" s="114">
        <v>1</v>
      </c>
      <c r="B2093" s="114">
        <v>1033</v>
      </c>
      <c r="C2093" s="139" t="s">
        <v>2328</v>
      </c>
      <c r="D2093" s="114" t="s">
        <v>2090</v>
      </c>
      <c r="E2093" s="114">
        <v>325</v>
      </c>
      <c r="F2093" s="114">
        <v>223</v>
      </c>
      <c r="G2093" s="114">
        <v>1</v>
      </c>
      <c r="H2093" s="114">
        <v>24000</v>
      </c>
      <c r="I2093" s="114">
        <v>24000</v>
      </c>
      <c r="J2093" s="114">
        <v>20168</v>
      </c>
      <c r="K2093" s="114">
        <v>3832</v>
      </c>
      <c r="L2093" s="114" t="str">
        <f t="shared" si="32"/>
        <v>INSERT INTO DETALLES_DOCUMENTO(NRO_DOCUMENTO,ID_TIPO,ID_PRODUCTO,CANTIDAD,PRECIO,VALOR_BRUTO,VALOR_NETO,VALOR_IVA) VALUES(1033,1,223,1,24000,24000,20168,3832);</v>
      </c>
    </row>
    <row r="2094" spans="1:12">
      <c r="A2094" s="114">
        <v>1</v>
      </c>
      <c r="B2094" s="114">
        <v>1034</v>
      </c>
      <c r="C2094" s="139" t="s">
        <v>2328</v>
      </c>
      <c r="D2094" s="114" t="s">
        <v>2090</v>
      </c>
      <c r="E2094" s="114">
        <v>397</v>
      </c>
      <c r="F2094" s="114">
        <v>261</v>
      </c>
      <c r="G2094" s="114">
        <v>1</v>
      </c>
      <c r="H2094" s="114">
        <v>7000</v>
      </c>
      <c r="I2094" s="114">
        <v>7000</v>
      </c>
      <c r="J2094" s="114">
        <v>5882</v>
      </c>
      <c r="K2094" s="114">
        <v>1118</v>
      </c>
      <c r="L2094" s="114" t="str">
        <f t="shared" si="32"/>
        <v>INSERT INTO DETALLES_DOCUMENTO(NRO_DOCUMENTO,ID_TIPO,ID_PRODUCTO,CANTIDAD,PRECIO,VALOR_BRUTO,VALOR_NETO,VALOR_IVA) VALUES(1034,1,261,1,7000,7000,5882,1118);</v>
      </c>
    </row>
    <row r="2095" spans="1:12">
      <c r="A2095" s="114">
        <v>1</v>
      </c>
      <c r="B2095" s="114">
        <v>1035</v>
      </c>
      <c r="C2095" s="139" t="s">
        <v>2328</v>
      </c>
      <c r="D2095" s="114" t="s">
        <v>2090</v>
      </c>
      <c r="E2095" s="114">
        <v>408</v>
      </c>
      <c r="F2095" s="114">
        <v>261</v>
      </c>
      <c r="G2095" s="114">
        <v>1</v>
      </c>
      <c r="H2095" s="114">
        <v>7000</v>
      </c>
      <c r="I2095" s="114">
        <v>7000</v>
      </c>
      <c r="J2095" s="114">
        <v>5882</v>
      </c>
      <c r="K2095" s="114">
        <v>1118</v>
      </c>
      <c r="L2095" s="114" t="str">
        <f t="shared" si="32"/>
        <v>INSERT INTO DETALLES_DOCUMENTO(NRO_DOCUMENTO,ID_TIPO,ID_PRODUCTO,CANTIDAD,PRECIO,VALOR_BRUTO,VALOR_NETO,VALOR_IVA) VALUES(1035,1,261,1,7000,7000,5882,1118);</v>
      </c>
    </row>
    <row r="2096" spans="1:12">
      <c r="A2096" s="114">
        <v>1</v>
      </c>
      <c r="B2096" s="114">
        <v>1036</v>
      </c>
      <c r="C2096" s="139" t="s">
        <v>2328</v>
      </c>
      <c r="D2096" s="114" t="s">
        <v>2090</v>
      </c>
      <c r="E2096" s="114">
        <v>468</v>
      </c>
      <c r="F2096" s="114">
        <v>329</v>
      </c>
      <c r="G2096" s="114">
        <v>1</v>
      </c>
      <c r="H2096" s="114">
        <v>6000</v>
      </c>
      <c r="I2096" s="114">
        <v>6000</v>
      </c>
      <c r="J2096" s="114">
        <v>5042</v>
      </c>
      <c r="K2096" s="114">
        <v>958</v>
      </c>
      <c r="L2096" s="114" t="str">
        <f t="shared" si="32"/>
        <v>INSERT INTO DETALLES_DOCUMENTO(NRO_DOCUMENTO,ID_TIPO,ID_PRODUCTO,CANTIDAD,PRECIO,VALOR_BRUTO,VALOR_NETO,VALOR_IVA) VALUES(1036,1,329,1,6000,6000,5042,958);</v>
      </c>
    </row>
    <row r="2097" spans="1:12">
      <c r="A2097" s="114">
        <v>1</v>
      </c>
      <c r="B2097" s="114">
        <v>1037</v>
      </c>
      <c r="C2097" s="139" t="s">
        <v>2329</v>
      </c>
      <c r="D2097" s="114" t="s">
        <v>2090</v>
      </c>
      <c r="E2097" s="114">
        <v>48</v>
      </c>
      <c r="F2097" s="114">
        <v>324</v>
      </c>
      <c r="G2097" s="114">
        <v>1</v>
      </c>
      <c r="H2097" s="114">
        <v>11000</v>
      </c>
      <c r="I2097" s="114">
        <v>11000</v>
      </c>
      <c r="J2097" s="114">
        <v>9244</v>
      </c>
      <c r="K2097" s="114">
        <v>1756</v>
      </c>
      <c r="L2097" s="114" t="str">
        <f t="shared" si="32"/>
        <v>INSERT INTO DETALLES_DOCUMENTO(NRO_DOCUMENTO,ID_TIPO,ID_PRODUCTO,CANTIDAD,PRECIO,VALOR_BRUTO,VALOR_NETO,VALOR_IVA) VALUES(1037,1,324,1,11000,11000,9244,1756);</v>
      </c>
    </row>
    <row r="2098" spans="1:12">
      <c r="A2098" s="114">
        <v>1</v>
      </c>
      <c r="B2098" s="114">
        <v>1037</v>
      </c>
      <c r="C2098" s="139" t="s">
        <v>2329</v>
      </c>
      <c r="D2098" s="114" t="s">
        <v>2090</v>
      </c>
      <c r="E2098" s="114">
        <v>48</v>
      </c>
      <c r="F2098" s="114">
        <v>143</v>
      </c>
      <c r="G2098" s="114">
        <v>1</v>
      </c>
      <c r="H2098" s="114">
        <v>8200</v>
      </c>
      <c r="I2098" s="114">
        <v>8200</v>
      </c>
      <c r="J2098" s="114">
        <v>6891</v>
      </c>
      <c r="K2098" s="114">
        <v>1309</v>
      </c>
      <c r="L2098" s="114" t="str">
        <f t="shared" si="32"/>
        <v>INSERT INTO DETALLES_DOCUMENTO(NRO_DOCUMENTO,ID_TIPO,ID_PRODUCTO,CANTIDAD,PRECIO,VALOR_BRUTO,VALOR_NETO,VALOR_IVA) VALUES(1037,1,143,1,8200,8200,6891,1309);</v>
      </c>
    </row>
    <row r="2099" spans="1:12">
      <c r="A2099" s="114">
        <v>1</v>
      </c>
      <c r="B2099" s="114">
        <v>1037</v>
      </c>
      <c r="C2099" s="139" t="s">
        <v>2329</v>
      </c>
      <c r="D2099" s="114" t="s">
        <v>2090</v>
      </c>
      <c r="E2099" s="114">
        <v>48</v>
      </c>
      <c r="F2099" s="114">
        <v>382</v>
      </c>
      <c r="G2099" s="114">
        <v>2</v>
      </c>
      <c r="H2099" s="114">
        <v>5200</v>
      </c>
      <c r="I2099" s="114">
        <v>10400</v>
      </c>
      <c r="J2099" s="114">
        <v>8739</v>
      </c>
      <c r="K2099" s="114">
        <v>1661</v>
      </c>
      <c r="L2099" s="114" t="str">
        <f t="shared" si="32"/>
        <v>INSERT INTO DETALLES_DOCUMENTO(NRO_DOCUMENTO,ID_TIPO,ID_PRODUCTO,CANTIDAD,PRECIO,VALOR_BRUTO,VALOR_NETO,VALOR_IVA) VALUES(1037,1,382,2,5200,10400,8739,1661);</v>
      </c>
    </row>
    <row r="2100" spans="1:12">
      <c r="A2100" s="114">
        <v>1</v>
      </c>
      <c r="B2100" s="114">
        <v>1037</v>
      </c>
      <c r="C2100" s="139" t="s">
        <v>2329</v>
      </c>
      <c r="D2100" s="114" t="s">
        <v>2090</v>
      </c>
      <c r="E2100" s="114">
        <v>48</v>
      </c>
      <c r="F2100" s="114">
        <v>155</v>
      </c>
      <c r="G2100" s="114">
        <v>1</v>
      </c>
      <c r="H2100" s="114">
        <v>1650</v>
      </c>
      <c r="I2100" s="114">
        <v>1650</v>
      </c>
      <c r="J2100" s="114">
        <v>1387</v>
      </c>
      <c r="K2100" s="114">
        <v>263</v>
      </c>
      <c r="L2100" s="114" t="str">
        <f t="shared" si="32"/>
        <v>INSERT INTO DETALLES_DOCUMENTO(NRO_DOCUMENTO,ID_TIPO,ID_PRODUCTO,CANTIDAD,PRECIO,VALOR_BRUTO,VALOR_NETO,VALOR_IVA) VALUES(1037,1,155,1,1650,1650,1387,263);</v>
      </c>
    </row>
    <row r="2101" spans="1:12">
      <c r="A2101" s="114">
        <v>1</v>
      </c>
      <c r="B2101" s="114">
        <v>1037</v>
      </c>
      <c r="C2101" s="139" t="s">
        <v>2329</v>
      </c>
      <c r="D2101" s="114" t="s">
        <v>2090</v>
      </c>
      <c r="E2101" s="114">
        <v>48</v>
      </c>
      <c r="F2101" s="114">
        <v>332</v>
      </c>
      <c r="G2101" s="114">
        <v>1</v>
      </c>
      <c r="H2101" s="114">
        <v>2600</v>
      </c>
      <c r="I2101" s="114">
        <v>2600</v>
      </c>
      <c r="J2101" s="114">
        <v>2185</v>
      </c>
      <c r="K2101" s="114">
        <v>415</v>
      </c>
      <c r="L2101" s="114" t="str">
        <f t="shared" si="32"/>
        <v>INSERT INTO DETALLES_DOCUMENTO(NRO_DOCUMENTO,ID_TIPO,ID_PRODUCTO,CANTIDAD,PRECIO,VALOR_BRUTO,VALOR_NETO,VALOR_IVA) VALUES(1037,1,332,1,2600,2600,2185,415);</v>
      </c>
    </row>
    <row r="2102" spans="1:12">
      <c r="A2102" s="114">
        <v>1</v>
      </c>
      <c r="B2102" s="114">
        <v>1037</v>
      </c>
      <c r="C2102" s="139" t="s">
        <v>2329</v>
      </c>
      <c r="D2102" s="114" t="s">
        <v>2090</v>
      </c>
      <c r="E2102" s="114">
        <v>48</v>
      </c>
      <c r="F2102" s="114">
        <v>57</v>
      </c>
      <c r="G2102" s="114">
        <v>1</v>
      </c>
      <c r="H2102" s="114">
        <v>4000</v>
      </c>
      <c r="I2102" s="114">
        <v>4000</v>
      </c>
      <c r="J2102" s="114">
        <v>3361</v>
      </c>
      <c r="K2102" s="114">
        <v>639</v>
      </c>
      <c r="L2102" s="114" t="str">
        <f t="shared" si="32"/>
        <v>INSERT INTO DETALLES_DOCUMENTO(NRO_DOCUMENTO,ID_TIPO,ID_PRODUCTO,CANTIDAD,PRECIO,VALOR_BRUTO,VALOR_NETO,VALOR_IVA) VALUES(1037,1,57,1,4000,4000,3361,639);</v>
      </c>
    </row>
    <row r="2103" spans="1:12">
      <c r="A2103" s="114">
        <v>1</v>
      </c>
      <c r="B2103" s="114">
        <v>1037</v>
      </c>
      <c r="C2103" s="139" t="s">
        <v>2329</v>
      </c>
      <c r="D2103" s="114" t="s">
        <v>2090</v>
      </c>
      <c r="E2103" s="114">
        <v>48</v>
      </c>
      <c r="F2103" s="114">
        <v>230</v>
      </c>
      <c r="G2103" s="114">
        <v>1</v>
      </c>
      <c r="H2103" s="114">
        <v>16500</v>
      </c>
      <c r="I2103" s="114">
        <v>16500</v>
      </c>
      <c r="J2103" s="114">
        <v>13866</v>
      </c>
      <c r="K2103" s="114">
        <v>2634</v>
      </c>
      <c r="L2103" s="114" t="str">
        <f t="shared" si="32"/>
        <v>INSERT INTO DETALLES_DOCUMENTO(NRO_DOCUMENTO,ID_TIPO,ID_PRODUCTO,CANTIDAD,PRECIO,VALOR_BRUTO,VALOR_NETO,VALOR_IVA) VALUES(1037,1,230,1,16500,16500,13866,2634);</v>
      </c>
    </row>
    <row r="2104" spans="1:12">
      <c r="A2104" s="114">
        <v>1</v>
      </c>
      <c r="B2104" s="114">
        <v>1037</v>
      </c>
      <c r="C2104" s="139" t="s">
        <v>2329</v>
      </c>
      <c r="D2104" s="114" t="s">
        <v>2090</v>
      </c>
      <c r="E2104" s="114">
        <v>48</v>
      </c>
      <c r="F2104" s="114">
        <v>368</v>
      </c>
      <c r="G2104" s="114">
        <v>1</v>
      </c>
      <c r="H2104" s="114">
        <v>3000</v>
      </c>
      <c r="I2104" s="114">
        <v>3000</v>
      </c>
      <c r="J2104" s="114">
        <v>2521</v>
      </c>
      <c r="K2104" s="114">
        <v>479</v>
      </c>
      <c r="L2104" s="114" t="str">
        <f t="shared" si="32"/>
        <v>INSERT INTO DETALLES_DOCUMENTO(NRO_DOCUMENTO,ID_TIPO,ID_PRODUCTO,CANTIDAD,PRECIO,VALOR_BRUTO,VALOR_NETO,VALOR_IVA) VALUES(1037,1,368,1,3000,3000,2521,479);</v>
      </c>
    </row>
    <row r="2105" spans="1:12">
      <c r="A2105" s="114">
        <v>1</v>
      </c>
      <c r="B2105" s="114">
        <v>1037</v>
      </c>
      <c r="C2105" s="139" t="s">
        <v>2329</v>
      </c>
      <c r="D2105" s="114" t="s">
        <v>2090</v>
      </c>
      <c r="E2105" s="114">
        <v>48</v>
      </c>
      <c r="F2105" s="114">
        <v>354</v>
      </c>
      <c r="G2105" s="114">
        <v>1</v>
      </c>
      <c r="H2105" s="114">
        <v>1800</v>
      </c>
      <c r="I2105" s="114">
        <v>1800</v>
      </c>
      <c r="J2105" s="114">
        <v>1513</v>
      </c>
      <c r="K2105" s="114">
        <v>287</v>
      </c>
      <c r="L2105" s="114" t="str">
        <f t="shared" si="32"/>
        <v>INSERT INTO DETALLES_DOCUMENTO(NRO_DOCUMENTO,ID_TIPO,ID_PRODUCTO,CANTIDAD,PRECIO,VALOR_BRUTO,VALOR_NETO,VALOR_IVA) VALUES(1037,1,354,1,1800,1800,1513,287);</v>
      </c>
    </row>
    <row r="2106" spans="1:12">
      <c r="A2106" s="114">
        <v>1</v>
      </c>
      <c r="B2106" s="114">
        <v>1037</v>
      </c>
      <c r="C2106" s="139" t="s">
        <v>2329</v>
      </c>
      <c r="D2106" s="114" t="s">
        <v>2090</v>
      </c>
      <c r="E2106" s="114">
        <v>48</v>
      </c>
      <c r="F2106" s="114">
        <v>116</v>
      </c>
      <c r="G2106" s="114">
        <v>1</v>
      </c>
      <c r="H2106" s="114">
        <v>1600</v>
      </c>
      <c r="I2106" s="114">
        <v>1600</v>
      </c>
      <c r="J2106" s="114">
        <v>1345</v>
      </c>
      <c r="K2106" s="114">
        <v>255</v>
      </c>
      <c r="L2106" s="114" t="str">
        <f t="shared" si="32"/>
        <v>INSERT INTO DETALLES_DOCUMENTO(NRO_DOCUMENTO,ID_TIPO,ID_PRODUCTO,CANTIDAD,PRECIO,VALOR_BRUTO,VALOR_NETO,VALOR_IVA) VALUES(1037,1,116,1,1600,1600,1345,255);</v>
      </c>
    </row>
    <row r="2107" spans="1:12">
      <c r="A2107" s="114">
        <v>1</v>
      </c>
      <c r="B2107" s="114">
        <v>1037</v>
      </c>
      <c r="C2107" s="139" t="s">
        <v>2329</v>
      </c>
      <c r="D2107" s="114" t="s">
        <v>2090</v>
      </c>
      <c r="E2107" s="114">
        <v>48</v>
      </c>
      <c r="F2107" s="114">
        <v>115</v>
      </c>
      <c r="G2107" s="114">
        <v>1</v>
      </c>
      <c r="H2107" s="114">
        <v>1600</v>
      </c>
      <c r="I2107" s="114">
        <v>1600</v>
      </c>
      <c r="J2107" s="114">
        <v>1345</v>
      </c>
      <c r="K2107" s="114">
        <v>255</v>
      </c>
      <c r="L2107" s="114" t="str">
        <f t="shared" si="32"/>
        <v>INSERT INTO DETALLES_DOCUMENTO(NRO_DOCUMENTO,ID_TIPO,ID_PRODUCTO,CANTIDAD,PRECIO,VALOR_BRUTO,VALOR_NETO,VALOR_IVA) VALUES(1037,1,115,1,1600,1600,1345,255);</v>
      </c>
    </row>
    <row r="2108" spans="1:12">
      <c r="A2108" s="114">
        <v>1</v>
      </c>
      <c r="B2108" s="114">
        <v>1037</v>
      </c>
      <c r="C2108" s="139" t="s">
        <v>2329</v>
      </c>
      <c r="D2108" s="114" t="s">
        <v>2090</v>
      </c>
      <c r="E2108" s="114">
        <v>48</v>
      </c>
      <c r="F2108" s="114">
        <v>29</v>
      </c>
      <c r="G2108" s="114">
        <v>1</v>
      </c>
      <c r="H2108" s="114">
        <v>1000</v>
      </c>
      <c r="I2108" s="114">
        <v>1000</v>
      </c>
      <c r="J2108" s="114">
        <v>840</v>
      </c>
      <c r="K2108" s="114">
        <v>160</v>
      </c>
      <c r="L2108" s="114" t="str">
        <f t="shared" si="32"/>
        <v>INSERT INTO DETALLES_DOCUMENTO(NRO_DOCUMENTO,ID_TIPO,ID_PRODUCTO,CANTIDAD,PRECIO,VALOR_BRUTO,VALOR_NETO,VALOR_IVA) VALUES(1037,1,29,1,1000,1000,840,160);</v>
      </c>
    </row>
    <row r="2109" spans="1:12">
      <c r="A2109" s="114">
        <v>1</v>
      </c>
      <c r="B2109" s="114">
        <v>1037</v>
      </c>
      <c r="C2109" s="139" t="s">
        <v>2329</v>
      </c>
      <c r="D2109" s="114" t="s">
        <v>2090</v>
      </c>
      <c r="E2109" s="114">
        <v>48</v>
      </c>
      <c r="F2109" s="114">
        <v>67</v>
      </c>
      <c r="G2109" s="114">
        <v>2</v>
      </c>
      <c r="H2109" s="114">
        <v>1300</v>
      </c>
      <c r="I2109" s="114">
        <v>2600</v>
      </c>
      <c r="J2109" s="114">
        <v>2185</v>
      </c>
      <c r="K2109" s="114">
        <v>415</v>
      </c>
      <c r="L2109" s="114" t="str">
        <f t="shared" si="32"/>
        <v>INSERT INTO DETALLES_DOCUMENTO(NRO_DOCUMENTO,ID_TIPO,ID_PRODUCTO,CANTIDAD,PRECIO,VALOR_BRUTO,VALOR_NETO,VALOR_IVA) VALUES(1037,1,67,2,1300,2600,2185,415);</v>
      </c>
    </row>
    <row r="2110" spans="1:12">
      <c r="A2110" s="114">
        <v>1</v>
      </c>
      <c r="B2110" s="114">
        <v>1037</v>
      </c>
      <c r="C2110" s="139" t="s">
        <v>2329</v>
      </c>
      <c r="D2110" s="114" t="s">
        <v>2090</v>
      </c>
      <c r="E2110" s="114">
        <v>48</v>
      </c>
      <c r="F2110" s="114">
        <v>68</v>
      </c>
      <c r="G2110" s="114">
        <v>2</v>
      </c>
      <c r="H2110" s="114">
        <v>2400</v>
      </c>
      <c r="I2110" s="114">
        <v>4800</v>
      </c>
      <c r="J2110" s="114">
        <v>4034</v>
      </c>
      <c r="K2110" s="114">
        <v>766</v>
      </c>
      <c r="L2110" s="114" t="str">
        <f t="shared" si="32"/>
        <v>INSERT INTO DETALLES_DOCUMENTO(NRO_DOCUMENTO,ID_TIPO,ID_PRODUCTO,CANTIDAD,PRECIO,VALOR_BRUTO,VALOR_NETO,VALOR_IVA) VALUES(1037,1,68,2,2400,4800,4034,766);</v>
      </c>
    </row>
    <row r="2111" spans="1:12">
      <c r="A2111" s="114">
        <v>1</v>
      </c>
      <c r="B2111" s="114">
        <v>1038</v>
      </c>
      <c r="C2111" s="139" t="s">
        <v>2329</v>
      </c>
      <c r="D2111" s="114" t="s">
        <v>2090</v>
      </c>
      <c r="E2111" s="114">
        <v>110</v>
      </c>
      <c r="F2111" s="114">
        <v>27</v>
      </c>
      <c r="G2111" s="114">
        <v>1</v>
      </c>
      <c r="H2111" s="114">
        <v>8700</v>
      </c>
      <c r="I2111" s="114">
        <v>8700</v>
      </c>
      <c r="J2111" s="114">
        <v>7311</v>
      </c>
      <c r="K2111" s="114">
        <v>1389</v>
      </c>
      <c r="L2111" s="114" t="str">
        <f t="shared" si="32"/>
        <v>INSERT INTO DETALLES_DOCUMENTO(NRO_DOCUMENTO,ID_TIPO,ID_PRODUCTO,CANTIDAD,PRECIO,VALOR_BRUTO,VALOR_NETO,VALOR_IVA) VALUES(1038,1,27,1,8700,8700,7311,1389);</v>
      </c>
    </row>
    <row r="2112" spans="1:12">
      <c r="A2112" s="114">
        <v>1</v>
      </c>
      <c r="B2112" s="114">
        <v>1039</v>
      </c>
      <c r="C2112" s="139" t="s">
        <v>2329</v>
      </c>
      <c r="D2112" s="114" t="s">
        <v>2090</v>
      </c>
      <c r="E2112" s="114">
        <v>360</v>
      </c>
      <c r="F2112" s="114">
        <v>230</v>
      </c>
      <c r="G2112" s="114">
        <v>1</v>
      </c>
      <c r="H2112" s="114">
        <v>16500</v>
      </c>
      <c r="I2112" s="114">
        <v>16500</v>
      </c>
      <c r="J2112" s="114">
        <v>13866</v>
      </c>
      <c r="K2112" s="114">
        <v>2634</v>
      </c>
      <c r="L2112" s="114" t="str">
        <f t="shared" si="32"/>
        <v>INSERT INTO DETALLES_DOCUMENTO(NRO_DOCUMENTO,ID_TIPO,ID_PRODUCTO,CANTIDAD,PRECIO,VALOR_BRUTO,VALOR_NETO,VALOR_IVA) VALUES(1039,1,230,1,16500,16500,13866,2634);</v>
      </c>
    </row>
    <row r="2113" spans="1:12">
      <c r="A2113" s="114">
        <v>1</v>
      </c>
      <c r="B2113" s="114">
        <v>1039</v>
      </c>
      <c r="C2113" s="139" t="s">
        <v>2329</v>
      </c>
      <c r="D2113" s="114" t="s">
        <v>2090</v>
      </c>
      <c r="E2113" s="114">
        <v>360</v>
      </c>
      <c r="F2113" s="114">
        <v>29</v>
      </c>
      <c r="G2113" s="114">
        <v>1</v>
      </c>
      <c r="H2113" s="114">
        <v>1000</v>
      </c>
      <c r="I2113" s="114">
        <v>1000</v>
      </c>
      <c r="J2113" s="114">
        <v>840</v>
      </c>
      <c r="K2113" s="114">
        <v>160</v>
      </c>
      <c r="L2113" s="114" t="str">
        <f t="shared" si="32"/>
        <v>INSERT INTO DETALLES_DOCUMENTO(NRO_DOCUMENTO,ID_TIPO,ID_PRODUCTO,CANTIDAD,PRECIO,VALOR_BRUTO,VALOR_NETO,VALOR_IVA) VALUES(1039,1,29,1,1000,1000,840,160);</v>
      </c>
    </row>
    <row r="2114" spans="1:12">
      <c r="A2114" s="114">
        <v>1</v>
      </c>
      <c r="B2114" s="114">
        <v>1039</v>
      </c>
      <c r="C2114" s="139" t="s">
        <v>2329</v>
      </c>
      <c r="D2114" s="114" t="s">
        <v>2090</v>
      </c>
      <c r="E2114" s="114">
        <v>360</v>
      </c>
      <c r="F2114" s="114">
        <v>120</v>
      </c>
      <c r="G2114" s="114">
        <v>2</v>
      </c>
      <c r="H2114" s="114">
        <v>3400</v>
      </c>
      <c r="I2114" s="114">
        <v>6800</v>
      </c>
      <c r="J2114" s="114">
        <v>5714</v>
      </c>
      <c r="K2114" s="114">
        <v>1086</v>
      </c>
      <c r="L2114" s="114" t="str">
        <f t="shared" si="32"/>
        <v>INSERT INTO DETALLES_DOCUMENTO(NRO_DOCUMENTO,ID_TIPO,ID_PRODUCTO,CANTIDAD,PRECIO,VALOR_BRUTO,VALOR_NETO,VALOR_IVA) VALUES(1039,1,120,2,3400,6800,5714,1086);</v>
      </c>
    </row>
    <row r="2115" spans="1:12">
      <c r="A2115" s="114">
        <v>1</v>
      </c>
      <c r="B2115" s="114">
        <v>1039</v>
      </c>
      <c r="C2115" s="139" t="s">
        <v>2329</v>
      </c>
      <c r="D2115" s="114" t="s">
        <v>2090</v>
      </c>
      <c r="E2115" s="114">
        <v>360</v>
      </c>
      <c r="F2115" s="114">
        <v>285</v>
      </c>
      <c r="G2115" s="114">
        <v>1</v>
      </c>
      <c r="H2115" s="114">
        <v>3000</v>
      </c>
      <c r="I2115" s="114">
        <v>3000</v>
      </c>
      <c r="J2115" s="114">
        <v>2521</v>
      </c>
      <c r="K2115" s="114">
        <v>479</v>
      </c>
      <c r="L2115" s="114" t="str">
        <f t="shared" ref="L2115:L2178" si="33">CONCATENATE("INSERT INTO DETALLES_DOCUMENTO(NRO_DOCUMENTO,ID_TIPO,ID_PRODUCTO,CANTIDAD,PRECIO,VALOR_BRUTO,VALOR_NETO,VALOR_IVA) VALUES(",B2115,",",A2115,",",F2115,",",G2115,",",H2115,",",I2115,",",J2115,",",K2115,");")</f>
        <v>INSERT INTO DETALLES_DOCUMENTO(NRO_DOCUMENTO,ID_TIPO,ID_PRODUCTO,CANTIDAD,PRECIO,VALOR_BRUTO,VALOR_NETO,VALOR_IVA) VALUES(1039,1,285,1,3000,3000,2521,479);</v>
      </c>
    </row>
    <row r="2116" spans="1:12">
      <c r="A2116" s="114">
        <v>1</v>
      </c>
      <c r="B2116" s="114">
        <v>1039</v>
      </c>
      <c r="C2116" s="139" t="s">
        <v>2329</v>
      </c>
      <c r="D2116" s="114" t="s">
        <v>2090</v>
      </c>
      <c r="E2116" s="114">
        <v>360</v>
      </c>
      <c r="F2116" s="114">
        <v>329</v>
      </c>
      <c r="G2116" s="114">
        <v>1</v>
      </c>
      <c r="H2116" s="114">
        <v>6000</v>
      </c>
      <c r="I2116" s="114">
        <v>6000</v>
      </c>
      <c r="J2116" s="114">
        <v>5042</v>
      </c>
      <c r="K2116" s="114">
        <v>958</v>
      </c>
      <c r="L2116" s="114" t="str">
        <f t="shared" si="33"/>
        <v>INSERT INTO DETALLES_DOCUMENTO(NRO_DOCUMENTO,ID_TIPO,ID_PRODUCTO,CANTIDAD,PRECIO,VALOR_BRUTO,VALOR_NETO,VALOR_IVA) VALUES(1039,1,329,1,6000,6000,5042,958);</v>
      </c>
    </row>
    <row r="2117" spans="1:12">
      <c r="A2117" s="114">
        <v>1</v>
      </c>
      <c r="B2117" s="114">
        <v>1039</v>
      </c>
      <c r="C2117" s="139" t="s">
        <v>2329</v>
      </c>
      <c r="D2117" s="114" t="s">
        <v>2090</v>
      </c>
      <c r="E2117" s="114">
        <v>360</v>
      </c>
      <c r="F2117" s="114">
        <v>165</v>
      </c>
      <c r="G2117" s="114">
        <v>1</v>
      </c>
      <c r="H2117" s="114">
        <v>2000</v>
      </c>
      <c r="I2117" s="114">
        <v>2000</v>
      </c>
      <c r="J2117" s="114">
        <v>1681</v>
      </c>
      <c r="K2117" s="114">
        <v>319</v>
      </c>
      <c r="L2117" s="114" t="str">
        <f t="shared" si="33"/>
        <v>INSERT INTO DETALLES_DOCUMENTO(NRO_DOCUMENTO,ID_TIPO,ID_PRODUCTO,CANTIDAD,PRECIO,VALOR_BRUTO,VALOR_NETO,VALOR_IVA) VALUES(1039,1,165,1,2000,2000,1681,319);</v>
      </c>
    </row>
    <row r="2118" spans="1:12">
      <c r="A2118" s="114">
        <v>1</v>
      </c>
      <c r="B2118" s="114">
        <v>1040</v>
      </c>
      <c r="C2118" s="139" t="s">
        <v>2329</v>
      </c>
      <c r="D2118" s="114" t="s">
        <v>2090</v>
      </c>
      <c r="E2118" s="114">
        <v>374</v>
      </c>
      <c r="F2118" s="114">
        <v>324</v>
      </c>
      <c r="G2118" s="114">
        <v>1</v>
      </c>
      <c r="H2118" s="114">
        <v>11000</v>
      </c>
      <c r="I2118" s="114">
        <v>11000</v>
      </c>
      <c r="J2118" s="114">
        <v>9244</v>
      </c>
      <c r="K2118" s="114">
        <v>1756</v>
      </c>
      <c r="L2118" s="114" t="str">
        <f t="shared" si="33"/>
        <v>INSERT INTO DETALLES_DOCUMENTO(NRO_DOCUMENTO,ID_TIPO,ID_PRODUCTO,CANTIDAD,PRECIO,VALOR_BRUTO,VALOR_NETO,VALOR_IVA) VALUES(1040,1,324,1,11000,11000,9244,1756);</v>
      </c>
    </row>
    <row r="2119" spans="1:12">
      <c r="A2119" s="114">
        <v>1</v>
      </c>
      <c r="B2119" s="114">
        <v>1041</v>
      </c>
      <c r="C2119" s="139" t="s">
        <v>2329</v>
      </c>
      <c r="D2119" s="114" t="s">
        <v>2090</v>
      </c>
      <c r="E2119" s="114">
        <v>416</v>
      </c>
      <c r="F2119" s="114">
        <v>167</v>
      </c>
      <c r="G2119" s="114">
        <v>1</v>
      </c>
      <c r="H2119" s="114">
        <v>8200</v>
      </c>
      <c r="I2119" s="114">
        <v>8200</v>
      </c>
      <c r="J2119" s="114">
        <v>6891</v>
      </c>
      <c r="K2119" s="114">
        <v>1309</v>
      </c>
      <c r="L2119" s="114" t="str">
        <f t="shared" si="33"/>
        <v>INSERT INTO DETALLES_DOCUMENTO(NRO_DOCUMENTO,ID_TIPO,ID_PRODUCTO,CANTIDAD,PRECIO,VALOR_BRUTO,VALOR_NETO,VALOR_IVA) VALUES(1041,1,167,1,8200,8200,6891,1309);</v>
      </c>
    </row>
    <row r="2120" spans="1:12">
      <c r="A2120" s="114">
        <v>1</v>
      </c>
      <c r="B2120" s="114">
        <v>1042</v>
      </c>
      <c r="C2120" s="139" t="s">
        <v>2329</v>
      </c>
      <c r="D2120" s="114" t="s">
        <v>2090</v>
      </c>
      <c r="E2120" s="114">
        <v>451</v>
      </c>
      <c r="F2120" s="114">
        <v>329</v>
      </c>
      <c r="G2120" s="114">
        <v>1</v>
      </c>
      <c r="H2120" s="114">
        <v>6000</v>
      </c>
      <c r="I2120" s="114">
        <v>6000</v>
      </c>
      <c r="J2120" s="114">
        <v>5042</v>
      </c>
      <c r="K2120" s="114">
        <v>958</v>
      </c>
      <c r="L2120" s="114" t="str">
        <f t="shared" si="33"/>
        <v>INSERT INTO DETALLES_DOCUMENTO(NRO_DOCUMENTO,ID_TIPO,ID_PRODUCTO,CANTIDAD,PRECIO,VALOR_BRUTO,VALOR_NETO,VALOR_IVA) VALUES(1042,1,329,1,6000,6000,5042,958);</v>
      </c>
    </row>
    <row r="2121" spans="1:12">
      <c r="A2121" s="114">
        <v>1</v>
      </c>
      <c r="B2121" s="114">
        <v>1042</v>
      </c>
      <c r="C2121" s="139" t="s">
        <v>2329</v>
      </c>
      <c r="D2121" s="114" t="s">
        <v>2090</v>
      </c>
      <c r="E2121" s="114">
        <v>451</v>
      </c>
      <c r="F2121" s="114">
        <v>143</v>
      </c>
      <c r="G2121" s="114">
        <v>1</v>
      </c>
      <c r="H2121" s="114">
        <v>8200</v>
      </c>
      <c r="I2121" s="114">
        <v>8200</v>
      </c>
      <c r="J2121" s="114">
        <v>6891</v>
      </c>
      <c r="K2121" s="114">
        <v>1309</v>
      </c>
      <c r="L2121" s="114" t="str">
        <f t="shared" si="33"/>
        <v>INSERT INTO DETALLES_DOCUMENTO(NRO_DOCUMENTO,ID_TIPO,ID_PRODUCTO,CANTIDAD,PRECIO,VALOR_BRUTO,VALOR_NETO,VALOR_IVA) VALUES(1042,1,143,1,8200,8200,6891,1309);</v>
      </c>
    </row>
    <row r="2122" spans="1:12">
      <c r="A2122" s="114">
        <v>1</v>
      </c>
      <c r="B2122" s="114">
        <v>1043</v>
      </c>
      <c r="C2122" s="139" t="s">
        <v>2330</v>
      </c>
      <c r="D2122" s="114" t="s">
        <v>2090</v>
      </c>
      <c r="E2122" s="114">
        <v>56</v>
      </c>
      <c r="F2122" s="114">
        <v>324</v>
      </c>
      <c r="G2122" s="114">
        <v>1</v>
      </c>
      <c r="H2122" s="114">
        <v>11000</v>
      </c>
      <c r="I2122" s="114">
        <v>11000</v>
      </c>
      <c r="J2122" s="114">
        <v>9244</v>
      </c>
      <c r="K2122" s="114">
        <v>1756</v>
      </c>
      <c r="L2122" s="114" t="str">
        <f t="shared" si="33"/>
        <v>INSERT INTO DETALLES_DOCUMENTO(NRO_DOCUMENTO,ID_TIPO,ID_PRODUCTO,CANTIDAD,PRECIO,VALOR_BRUTO,VALOR_NETO,VALOR_IVA) VALUES(1043,1,324,1,11000,11000,9244,1756);</v>
      </c>
    </row>
    <row r="2123" spans="1:12">
      <c r="A2123" s="114">
        <v>1</v>
      </c>
      <c r="B2123" s="114">
        <v>1043</v>
      </c>
      <c r="C2123" s="139" t="s">
        <v>2330</v>
      </c>
      <c r="D2123" s="114" t="s">
        <v>2090</v>
      </c>
      <c r="E2123" s="114">
        <v>56</v>
      </c>
      <c r="F2123" s="114">
        <v>143</v>
      </c>
      <c r="G2123" s="114">
        <v>1</v>
      </c>
      <c r="H2123" s="114">
        <v>8200</v>
      </c>
      <c r="I2123" s="114">
        <v>8200</v>
      </c>
      <c r="J2123" s="114">
        <v>6891</v>
      </c>
      <c r="K2123" s="114">
        <v>1309</v>
      </c>
      <c r="L2123" s="114" t="str">
        <f t="shared" si="33"/>
        <v>INSERT INTO DETALLES_DOCUMENTO(NRO_DOCUMENTO,ID_TIPO,ID_PRODUCTO,CANTIDAD,PRECIO,VALOR_BRUTO,VALOR_NETO,VALOR_IVA) VALUES(1043,1,143,1,8200,8200,6891,1309);</v>
      </c>
    </row>
    <row r="2124" spans="1:12">
      <c r="A2124" s="114">
        <v>1</v>
      </c>
      <c r="B2124" s="114">
        <v>1044</v>
      </c>
      <c r="C2124" s="139" t="s">
        <v>2330</v>
      </c>
      <c r="D2124" s="114" t="s">
        <v>2090</v>
      </c>
      <c r="E2124" s="114">
        <v>411</v>
      </c>
      <c r="F2124" s="114">
        <v>143</v>
      </c>
      <c r="G2124" s="114">
        <v>1</v>
      </c>
      <c r="H2124" s="114">
        <v>8200</v>
      </c>
      <c r="I2124" s="114">
        <v>8200</v>
      </c>
      <c r="J2124" s="114">
        <v>6891</v>
      </c>
      <c r="K2124" s="114">
        <v>1309</v>
      </c>
      <c r="L2124" s="114" t="str">
        <f t="shared" si="33"/>
        <v>INSERT INTO DETALLES_DOCUMENTO(NRO_DOCUMENTO,ID_TIPO,ID_PRODUCTO,CANTIDAD,PRECIO,VALOR_BRUTO,VALOR_NETO,VALOR_IVA) VALUES(1044,1,143,1,8200,8200,6891,1309);</v>
      </c>
    </row>
    <row r="2125" spans="1:12">
      <c r="A2125" s="114">
        <v>1</v>
      </c>
      <c r="B2125" s="114">
        <v>1045</v>
      </c>
      <c r="C2125" s="139" t="s">
        <v>2331</v>
      </c>
      <c r="D2125" s="114" t="s">
        <v>2095</v>
      </c>
      <c r="E2125" s="114">
        <v>1</v>
      </c>
      <c r="F2125" s="114">
        <v>143</v>
      </c>
      <c r="G2125" s="114">
        <v>1</v>
      </c>
      <c r="H2125" s="114">
        <v>8200</v>
      </c>
      <c r="I2125" s="114">
        <v>8200</v>
      </c>
      <c r="J2125" s="114">
        <v>6891</v>
      </c>
      <c r="K2125" s="114">
        <v>1309</v>
      </c>
      <c r="L2125" s="114" t="str">
        <f t="shared" si="33"/>
        <v>INSERT INTO DETALLES_DOCUMENTO(NRO_DOCUMENTO,ID_TIPO,ID_PRODUCTO,CANTIDAD,PRECIO,VALOR_BRUTO,VALOR_NETO,VALOR_IVA) VALUES(1045,1,143,1,8200,8200,6891,1309);</v>
      </c>
    </row>
    <row r="2126" spans="1:12">
      <c r="A2126" s="114">
        <v>1</v>
      </c>
      <c r="B2126" s="114">
        <v>1046</v>
      </c>
      <c r="C2126" s="139" t="s">
        <v>2331</v>
      </c>
      <c r="D2126" s="114" t="s">
        <v>2095</v>
      </c>
      <c r="E2126" s="114">
        <v>22</v>
      </c>
      <c r="F2126" s="114">
        <v>368</v>
      </c>
      <c r="G2126" s="114">
        <v>2</v>
      </c>
      <c r="H2126" s="114">
        <v>6000</v>
      </c>
      <c r="I2126" s="114">
        <v>12000</v>
      </c>
      <c r="J2126" s="114">
        <v>10084</v>
      </c>
      <c r="K2126" s="114">
        <v>1916</v>
      </c>
      <c r="L2126" s="114" t="str">
        <f t="shared" si="33"/>
        <v>INSERT INTO DETALLES_DOCUMENTO(NRO_DOCUMENTO,ID_TIPO,ID_PRODUCTO,CANTIDAD,PRECIO,VALOR_BRUTO,VALOR_NETO,VALOR_IVA) VALUES(1046,1,368,2,6000,12000,10084,1916);</v>
      </c>
    </row>
    <row r="2127" spans="1:12">
      <c r="A2127" s="114">
        <v>1</v>
      </c>
      <c r="B2127" s="114">
        <v>1046</v>
      </c>
      <c r="C2127" s="139" t="s">
        <v>2331</v>
      </c>
      <c r="D2127" s="114" t="s">
        <v>2095</v>
      </c>
      <c r="E2127" s="114">
        <v>22</v>
      </c>
      <c r="F2127" s="114">
        <v>382</v>
      </c>
      <c r="G2127" s="114">
        <v>2</v>
      </c>
      <c r="H2127" s="114">
        <v>5200</v>
      </c>
      <c r="I2127" s="114">
        <v>10400</v>
      </c>
      <c r="J2127" s="114">
        <v>8739</v>
      </c>
      <c r="K2127" s="114">
        <v>1661</v>
      </c>
      <c r="L2127" s="114" t="str">
        <f t="shared" si="33"/>
        <v>INSERT INTO DETALLES_DOCUMENTO(NRO_DOCUMENTO,ID_TIPO,ID_PRODUCTO,CANTIDAD,PRECIO,VALOR_BRUTO,VALOR_NETO,VALOR_IVA) VALUES(1046,1,382,2,5200,10400,8739,1661);</v>
      </c>
    </row>
    <row r="2128" spans="1:12">
      <c r="A2128" s="114">
        <v>1</v>
      </c>
      <c r="B2128" s="114">
        <v>1046</v>
      </c>
      <c r="C2128" s="139" t="s">
        <v>2331</v>
      </c>
      <c r="D2128" s="114" t="s">
        <v>2095</v>
      </c>
      <c r="E2128" s="114">
        <v>22</v>
      </c>
      <c r="F2128" s="114">
        <v>230</v>
      </c>
      <c r="G2128" s="114">
        <v>1</v>
      </c>
      <c r="H2128" s="114">
        <v>16500</v>
      </c>
      <c r="I2128" s="114">
        <v>16500</v>
      </c>
      <c r="J2128" s="114">
        <v>13866</v>
      </c>
      <c r="K2128" s="114">
        <v>2634</v>
      </c>
      <c r="L2128" s="114" t="str">
        <f t="shared" si="33"/>
        <v>INSERT INTO DETALLES_DOCUMENTO(NRO_DOCUMENTO,ID_TIPO,ID_PRODUCTO,CANTIDAD,PRECIO,VALOR_BRUTO,VALOR_NETO,VALOR_IVA) VALUES(1046,1,230,1,16500,16500,13866,2634);</v>
      </c>
    </row>
    <row r="2129" spans="1:12">
      <c r="A2129" s="114">
        <v>1</v>
      </c>
      <c r="B2129" s="114">
        <v>1046</v>
      </c>
      <c r="C2129" s="139" t="s">
        <v>2331</v>
      </c>
      <c r="D2129" s="114" t="s">
        <v>2095</v>
      </c>
      <c r="E2129" s="114">
        <v>22</v>
      </c>
      <c r="F2129" s="114">
        <v>29</v>
      </c>
      <c r="G2129" s="114">
        <v>1</v>
      </c>
      <c r="H2129" s="114">
        <v>1000</v>
      </c>
      <c r="I2129" s="114">
        <v>1000</v>
      </c>
      <c r="J2129" s="114">
        <v>840</v>
      </c>
      <c r="K2129" s="114">
        <v>160</v>
      </c>
      <c r="L2129" s="114" t="str">
        <f t="shared" si="33"/>
        <v>INSERT INTO DETALLES_DOCUMENTO(NRO_DOCUMENTO,ID_TIPO,ID_PRODUCTO,CANTIDAD,PRECIO,VALOR_BRUTO,VALOR_NETO,VALOR_IVA) VALUES(1046,1,29,1,1000,1000,840,160);</v>
      </c>
    </row>
    <row r="2130" spans="1:12">
      <c r="A2130" s="114">
        <v>1</v>
      </c>
      <c r="B2130" s="114">
        <v>1047</v>
      </c>
      <c r="C2130" s="139" t="s">
        <v>2331</v>
      </c>
      <c r="D2130" s="114" t="s">
        <v>2090</v>
      </c>
      <c r="E2130" s="114">
        <v>37</v>
      </c>
      <c r="F2130" s="114">
        <v>324</v>
      </c>
      <c r="G2130" s="114">
        <v>1</v>
      </c>
      <c r="H2130" s="114">
        <v>11000</v>
      </c>
      <c r="I2130" s="114">
        <v>11000</v>
      </c>
      <c r="J2130" s="114">
        <v>9244</v>
      </c>
      <c r="K2130" s="114">
        <v>1756</v>
      </c>
      <c r="L2130" s="114" t="str">
        <f t="shared" si="33"/>
        <v>INSERT INTO DETALLES_DOCUMENTO(NRO_DOCUMENTO,ID_TIPO,ID_PRODUCTO,CANTIDAD,PRECIO,VALOR_BRUTO,VALOR_NETO,VALOR_IVA) VALUES(1047,1,324,1,11000,11000,9244,1756);</v>
      </c>
    </row>
    <row r="2131" spans="1:12">
      <c r="A2131" s="114">
        <v>1</v>
      </c>
      <c r="B2131" s="114">
        <v>1047</v>
      </c>
      <c r="C2131" s="139" t="s">
        <v>2331</v>
      </c>
      <c r="D2131" s="114" t="s">
        <v>2090</v>
      </c>
      <c r="E2131" s="114">
        <v>37</v>
      </c>
      <c r="F2131" s="114">
        <v>329</v>
      </c>
      <c r="G2131" s="114">
        <v>1</v>
      </c>
      <c r="H2131" s="114">
        <v>6000</v>
      </c>
      <c r="I2131" s="114">
        <v>6000</v>
      </c>
      <c r="J2131" s="114">
        <v>5042</v>
      </c>
      <c r="K2131" s="114">
        <v>958</v>
      </c>
      <c r="L2131" s="114" t="str">
        <f t="shared" si="33"/>
        <v>INSERT INTO DETALLES_DOCUMENTO(NRO_DOCUMENTO,ID_TIPO,ID_PRODUCTO,CANTIDAD,PRECIO,VALOR_BRUTO,VALOR_NETO,VALOR_IVA) VALUES(1047,1,329,1,6000,6000,5042,958);</v>
      </c>
    </row>
    <row r="2132" spans="1:12">
      <c r="A2132" s="114">
        <v>1</v>
      </c>
      <c r="B2132" s="114">
        <v>1047</v>
      </c>
      <c r="C2132" s="139" t="s">
        <v>2331</v>
      </c>
      <c r="D2132" s="114" t="s">
        <v>2090</v>
      </c>
      <c r="E2132" s="114">
        <v>37</v>
      </c>
      <c r="F2132" s="114">
        <v>7</v>
      </c>
      <c r="G2132" s="114">
        <v>2</v>
      </c>
      <c r="H2132" s="114">
        <v>14000</v>
      </c>
      <c r="I2132" s="114">
        <v>28000</v>
      </c>
      <c r="J2132" s="114">
        <v>23529</v>
      </c>
      <c r="K2132" s="114">
        <v>4471</v>
      </c>
      <c r="L2132" s="114" t="str">
        <f t="shared" si="33"/>
        <v>INSERT INTO DETALLES_DOCUMENTO(NRO_DOCUMENTO,ID_TIPO,ID_PRODUCTO,CANTIDAD,PRECIO,VALOR_BRUTO,VALOR_NETO,VALOR_IVA) VALUES(1047,1,7,2,14000,28000,23529,4471);</v>
      </c>
    </row>
    <row r="2133" spans="1:12">
      <c r="A2133" s="114">
        <v>1</v>
      </c>
      <c r="B2133" s="114">
        <v>1048</v>
      </c>
      <c r="C2133" s="139" t="s">
        <v>2331</v>
      </c>
      <c r="D2133" s="114" t="s">
        <v>2095</v>
      </c>
      <c r="E2133" s="114">
        <v>247</v>
      </c>
      <c r="F2133" s="114">
        <v>117</v>
      </c>
      <c r="G2133" s="114">
        <v>2</v>
      </c>
      <c r="H2133" s="114">
        <v>7000</v>
      </c>
      <c r="I2133" s="114">
        <v>14000</v>
      </c>
      <c r="J2133" s="114">
        <v>11765</v>
      </c>
      <c r="K2133" s="114">
        <v>2235</v>
      </c>
      <c r="L2133" s="114" t="str">
        <f t="shared" si="33"/>
        <v>INSERT INTO DETALLES_DOCUMENTO(NRO_DOCUMENTO,ID_TIPO,ID_PRODUCTO,CANTIDAD,PRECIO,VALOR_BRUTO,VALOR_NETO,VALOR_IVA) VALUES(1048,1,117,2,7000,14000,11765,2235);</v>
      </c>
    </row>
    <row r="2134" spans="1:12">
      <c r="A2134" s="114">
        <v>1</v>
      </c>
      <c r="B2134" s="114">
        <v>1048</v>
      </c>
      <c r="C2134" s="139" t="s">
        <v>2331</v>
      </c>
      <c r="D2134" s="114" t="s">
        <v>2095</v>
      </c>
      <c r="E2134" s="114">
        <v>247</v>
      </c>
      <c r="F2134" s="114">
        <v>97</v>
      </c>
      <c r="G2134" s="114">
        <v>1</v>
      </c>
      <c r="H2134" s="114">
        <v>2000</v>
      </c>
      <c r="I2134" s="114">
        <v>2000</v>
      </c>
      <c r="J2134" s="114">
        <v>1681</v>
      </c>
      <c r="K2134" s="114">
        <v>319</v>
      </c>
      <c r="L2134" s="114" t="str">
        <f t="shared" si="33"/>
        <v>INSERT INTO DETALLES_DOCUMENTO(NRO_DOCUMENTO,ID_TIPO,ID_PRODUCTO,CANTIDAD,PRECIO,VALOR_BRUTO,VALOR_NETO,VALOR_IVA) VALUES(1048,1,97,1,2000,2000,1681,319);</v>
      </c>
    </row>
    <row r="2135" spans="1:12">
      <c r="A2135" s="114">
        <v>1</v>
      </c>
      <c r="B2135" s="114">
        <v>1048</v>
      </c>
      <c r="C2135" s="139" t="s">
        <v>2331</v>
      </c>
      <c r="D2135" s="114" t="s">
        <v>2095</v>
      </c>
      <c r="E2135" s="114">
        <v>247</v>
      </c>
      <c r="F2135" s="114">
        <v>367</v>
      </c>
      <c r="G2135" s="114">
        <v>1</v>
      </c>
      <c r="H2135" s="114">
        <v>1500</v>
      </c>
      <c r="I2135" s="114">
        <v>1500</v>
      </c>
      <c r="J2135" s="114">
        <v>1261</v>
      </c>
      <c r="K2135" s="114">
        <v>239</v>
      </c>
      <c r="L2135" s="114" t="str">
        <f t="shared" si="33"/>
        <v>INSERT INTO DETALLES_DOCUMENTO(NRO_DOCUMENTO,ID_TIPO,ID_PRODUCTO,CANTIDAD,PRECIO,VALOR_BRUTO,VALOR_NETO,VALOR_IVA) VALUES(1048,1,367,1,1500,1500,1261,239);</v>
      </c>
    </row>
    <row r="2136" spans="1:12">
      <c r="A2136" s="114">
        <v>1</v>
      </c>
      <c r="B2136" s="114">
        <v>1049</v>
      </c>
      <c r="C2136" s="139" t="s">
        <v>2332</v>
      </c>
      <c r="D2136" s="114" t="s">
        <v>2090</v>
      </c>
      <c r="E2136" s="114">
        <v>63</v>
      </c>
      <c r="F2136" s="114">
        <v>143</v>
      </c>
      <c r="G2136" s="114">
        <v>1</v>
      </c>
      <c r="H2136" s="114">
        <v>8200</v>
      </c>
      <c r="I2136" s="114">
        <v>8200</v>
      </c>
      <c r="J2136" s="114">
        <v>6891</v>
      </c>
      <c r="K2136" s="114">
        <v>1309</v>
      </c>
      <c r="L2136" s="114" t="str">
        <f t="shared" si="33"/>
        <v>INSERT INTO DETALLES_DOCUMENTO(NRO_DOCUMENTO,ID_TIPO,ID_PRODUCTO,CANTIDAD,PRECIO,VALOR_BRUTO,VALOR_NETO,VALOR_IVA) VALUES(1049,1,143,1,8200,8200,6891,1309);</v>
      </c>
    </row>
    <row r="2137" spans="1:12">
      <c r="A2137" s="114">
        <v>1</v>
      </c>
      <c r="B2137" s="114">
        <v>1050</v>
      </c>
      <c r="C2137" s="139" t="s">
        <v>2332</v>
      </c>
      <c r="D2137" s="114" t="s">
        <v>2090</v>
      </c>
      <c r="E2137" s="114">
        <v>446</v>
      </c>
      <c r="F2137" s="114">
        <v>69</v>
      </c>
      <c r="G2137" s="114">
        <v>1</v>
      </c>
      <c r="H2137" s="114">
        <v>3000</v>
      </c>
      <c r="I2137" s="114">
        <v>3000</v>
      </c>
      <c r="J2137" s="114">
        <v>2521</v>
      </c>
      <c r="K2137" s="114">
        <v>479</v>
      </c>
      <c r="L2137" s="114" t="str">
        <f t="shared" si="33"/>
        <v>INSERT INTO DETALLES_DOCUMENTO(NRO_DOCUMENTO,ID_TIPO,ID_PRODUCTO,CANTIDAD,PRECIO,VALOR_BRUTO,VALOR_NETO,VALOR_IVA) VALUES(1050,1,69,1,3000,3000,2521,479);</v>
      </c>
    </row>
    <row r="2138" spans="1:12">
      <c r="A2138" s="114">
        <v>1</v>
      </c>
      <c r="B2138" s="114">
        <v>1050</v>
      </c>
      <c r="C2138" s="139" t="s">
        <v>2332</v>
      </c>
      <c r="D2138" s="114" t="s">
        <v>2090</v>
      </c>
      <c r="E2138" s="114">
        <v>446</v>
      </c>
      <c r="F2138" s="114">
        <v>368</v>
      </c>
      <c r="G2138" s="114">
        <v>1</v>
      </c>
      <c r="H2138" s="114">
        <v>3000</v>
      </c>
      <c r="I2138" s="114">
        <v>3000</v>
      </c>
      <c r="J2138" s="114">
        <v>2521</v>
      </c>
      <c r="K2138" s="114">
        <v>479</v>
      </c>
      <c r="L2138" s="114" t="str">
        <f t="shared" si="33"/>
        <v>INSERT INTO DETALLES_DOCUMENTO(NRO_DOCUMENTO,ID_TIPO,ID_PRODUCTO,CANTIDAD,PRECIO,VALOR_BRUTO,VALOR_NETO,VALOR_IVA) VALUES(1050,1,368,1,3000,3000,2521,479);</v>
      </c>
    </row>
    <row r="2139" spans="1:12">
      <c r="A2139" s="114">
        <v>1</v>
      </c>
      <c r="B2139" s="114">
        <v>1050</v>
      </c>
      <c r="C2139" s="139" t="s">
        <v>2332</v>
      </c>
      <c r="D2139" s="114" t="s">
        <v>2090</v>
      </c>
      <c r="E2139" s="114">
        <v>446</v>
      </c>
      <c r="F2139" s="114">
        <v>100</v>
      </c>
      <c r="G2139" s="114">
        <v>1</v>
      </c>
      <c r="H2139" s="114">
        <v>1500</v>
      </c>
      <c r="I2139" s="114">
        <v>1500</v>
      </c>
      <c r="J2139" s="114">
        <v>1261</v>
      </c>
      <c r="K2139" s="114">
        <v>239</v>
      </c>
      <c r="L2139" s="114" t="str">
        <f t="shared" si="33"/>
        <v>INSERT INTO DETALLES_DOCUMENTO(NRO_DOCUMENTO,ID_TIPO,ID_PRODUCTO,CANTIDAD,PRECIO,VALOR_BRUTO,VALOR_NETO,VALOR_IVA) VALUES(1050,1,100,1,1500,1500,1261,239);</v>
      </c>
    </row>
    <row r="2140" spans="1:12">
      <c r="A2140" s="114">
        <v>1</v>
      </c>
      <c r="B2140" s="114">
        <v>1051</v>
      </c>
      <c r="C2140" s="139" t="s">
        <v>2332</v>
      </c>
      <c r="D2140" s="114" t="s">
        <v>2090</v>
      </c>
      <c r="E2140" s="114">
        <v>449</v>
      </c>
      <c r="F2140" s="114">
        <v>231</v>
      </c>
      <c r="G2140" s="114">
        <v>1</v>
      </c>
      <c r="H2140" s="114">
        <v>20900</v>
      </c>
      <c r="I2140" s="114">
        <v>20900</v>
      </c>
      <c r="J2140" s="114">
        <v>17563</v>
      </c>
      <c r="K2140" s="114">
        <v>3337</v>
      </c>
      <c r="L2140" s="114" t="str">
        <f t="shared" si="33"/>
        <v>INSERT INTO DETALLES_DOCUMENTO(NRO_DOCUMENTO,ID_TIPO,ID_PRODUCTO,CANTIDAD,PRECIO,VALOR_BRUTO,VALOR_NETO,VALOR_IVA) VALUES(1051,1,231,1,20900,20900,17563,3337);</v>
      </c>
    </row>
    <row r="2141" spans="1:12">
      <c r="A2141" s="114">
        <v>1</v>
      </c>
      <c r="B2141" s="114">
        <v>1051</v>
      </c>
      <c r="C2141" s="139" t="s">
        <v>2332</v>
      </c>
      <c r="D2141" s="114" t="s">
        <v>2090</v>
      </c>
      <c r="E2141" s="114">
        <v>449</v>
      </c>
      <c r="F2141" s="114">
        <v>226</v>
      </c>
      <c r="G2141" s="114">
        <v>1</v>
      </c>
      <c r="H2141" s="114">
        <v>22500</v>
      </c>
      <c r="I2141" s="114">
        <v>22500</v>
      </c>
      <c r="J2141" s="114">
        <v>18908</v>
      </c>
      <c r="K2141" s="114">
        <v>3592</v>
      </c>
      <c r="L2141" s="114" t="str">
        <f t="shared" si="33"/>
        <v>INSERT INTO DETALLES_DOCUMENTO(NRO_DOCUMENTO,ID_TIPO,ID_PRODUCTO,CANTIDAD,PRECIO,VALOR_BRUTO,VALOR_NETO,VALOR_IVA) VALUES(1051,1,226,1,22500,22500,18908,3592);</v>
      </c>
    </row>
    <row r="2142" spans="1:12">
      <c r="A2142" s="114">
        <v>1</v>
      </c>
      <c r="B2142" s="114">
        <v>1052</v>
      </c>
      <c r="C2142" s="139" t="s">
        <v>2333</v>
      </c>
      <c r="D2142" s="114" t="s">
        <v>2094</v>
      </c>
      <c r="E2142" s="114">
        <v>119</v>
      </c>
      <c r="F2142" s="114">
        <v>164</v>
      </c>
      <c r="G2142" s="114">
        <v>1</v>
      </c>
      <c r="H2142" s="114">
        <v>3200</v>
      </c>
      <c r="I2142" s="114">
        <v>3200</v>
      </c>
      <c r="J2142" s="114">
        <v>2689</v>
      </c>
      <c r="K2142" s="114">
        <v>511</v>
      </c>
      <c r="L2142" s="114" t="str">
        <f t="shared" si="33"/>
        <v>INSERT INTO DETALLES_DOCUMENTO(NRO_DOCUMENTO,ID_TIPO,ID_PRODUCTO,CANTIDAD,PRECIO,VALOR_BRUTO,VALOR_NETO,VALOR_IVA) VALUES(1052,1,164,1,3200,3200,2689,511);</v>
      </c>
    </row>
    <row r="2143" spans="1:12">
      <c r="A2143" s="114">
        <v>1</v>
      </c>
      <c r="B2143" s="114">
        <v>1052</v>
      </c>
      <c r="C2143" s="139" t="s">
        <v>2333</v>
      </c>
      <c r="D2143" s="114" t="s">
        <v>2094</v>
      </c>
      <c r="E2143" s="114">
        <v>119</v>
      </c>
      <c r="F2143" s="114">
        <v>157</v>
      </c>
      <c r="G2143" s="114">
        <v>1</v>
      </c>
      <c r="H2143" s="114">
        <v>4300</v>
      </c>
      <c r="I2143" s="114">
        <v>4300</v>
      </c>
      <c r="J2143" s="114">
        <v>3613</v>
      </c>
      <c r="K2143" s="114">
        <v>687</v>
      </c>
      <c r="L2143" s="114" t="str">
        <f t="shared" si="33"/>
        <v>INSERT INTO DETALLES_DOCUMENTO(NRO_DOCUMENTO,ID_TIPO,ID_PRODUCTO,CANTIDAD,PRECIO,VALOR_BRUTO,VALOR_NETO,VALOR_IVA) VALUES(1052,1,157,1,4300,4300,3613,687);</v>
      </c>
    </row>
    <row r="2144" spans="1:12">
      <c r="A2144" s="114">
        <v>1</v>
      </c>
      <c r="B2144" s="114">
        <v>1052</v>
      </c>
      <c r="C2144" s="139" t="s">
        <v>2333</v>
      </c>
      <c r="D2144" s="114" t="s">
        <v>2094</v>
      </c>
      <c r="E2144" s="114">
        <v>119</v>
      </c>
      <c r="F2144" s="114">
        <v>162</v>
      </c>
      <c r="G2144" s="114">
        <v>1</v>
      </c>
      <c r="H2144" s="114">
        <v>1600</v>
      </c>
      <c r="I2144" s="114">
        <v>1600</v>
      </c>
      <c r="J2144" s="114">
        <v>1345</v>
      </c>
      <c r="K2144" s="114">
        <v>255</v>
      </c>
      <c r="L2144" s="114" t="str">
        <f t="shared" si="33"/>
        <v>INSERT INTO DETALLES_DOCUMENTO(NRO_DOCUMENTO,ID_TIPO,ID_PRODUCTO,CANTIDAD,PRECIO,VALOR_BRUTO,VALOR_NETO,VALOR_IVA) VALUES(1052,1,162,1,1600,1600,1345,255);</v>
      </c>
    </row>
    <row r="2145" spans="1:12">
      <c r="A2145" s="114">
        <v>1</v>
      </c>
      <c r="B2145" s="114">
        <v>1052</v>
      </c>
      <c r="C2145" s="139" t="s">
        <v>2333</v>
      </c>
      <c r="D2145" s="114" t="s">
        <v>2094</v>
      </c>
      <c r="E2145" s="114">
        <v>119</v>
      </c>
      <c r="F2145" s="114">
        <v>276</v>
      </c>
      <c r="G2145" s="114">
        <v>1</v>
      </c>
      <c r="H2145" s="114">
        <v>8000</v>
      </c>
      <c r="I2145" s="114">
        <v>8000</v>
      </c>
      <c r="J2145" s="114">
        <v>6723</v>
      </c>
      <c r="K2145" s="114">
        <v>1277</v>
      </c>
      <c r="L2145" s="114" t="str">
        <f t="shared" si="33"/>
        <v>INSERT INTO DETALLES_DOCUMENTO(NRO_DOCUMENTO,ID_TIPO,ID_PRODUCTO,CANTIDAD,PRECIO,VALOR_BRUTO,VALOR_NETO,VALOR_IVA) VALUES(1052,1,276,1,8000,8000,6723,1277);</v>
      </c>
    </row>
    <row r="2146" spans="1:12">
      <c r="A2146" s="114">
        <v>1</v>
      </c>
      <c r="B2146" s="114">
        <v>1052</v>
      </c>
      <c r="C2146" s="139" t="s">
        <v>2333</v>
      </c>
      <c r="D2146" s="114" t="s">
        <v>2094</v>
      </c>
      <c r="E2146" s="114">
        <v>119</v>
      </c>
      <c r="F2146" s="114">
        <v>117</v>
      </c>
      <c r="G2146" s="114">
        <v>2</v>
      </c>
      <c r="H2146" s="114">
        <v>7000</v>
      </c>
      <c r="I2146" s="114">
        <v>14000</v>
      </c>
      <c r="J2146" s="114">
        <v>11765</v>
      </c>
      <c r="K2146" s="114">
        <v>2235</v>
      </c>
      <c r="L2146" s="114" t="str">
        <f t="shared" si="33"/>
        <v>INSERT INTO DETALLES_DOCUMENTO(NRO_DOCUMENTO,ID_TIPO,ID_PRODUCTO,CANTIDAD,PRECIO,VALOR_BRUTO,VALOR_NETO,VALOR_IVA) VALUES(1052,1,117,2,7000,14000,11765,2235);</v>
      </c>
    </row>
    <row r="2147" spans="1:12">
      <c r="A2147" s="114">
        <v>1</v>
      </c>
      <c r="B2147" s="114">
        <v>1053</v>
      </c>
      <c r="C2147" s="139" t="s">
        <v>2333</v>
      </c>
      <c r="D2147" s="114" t="s">
        <v>2095</v>
      </c>
      <c r="E2147" s="114">
        <v>119</v>
      </c>
      <c r="F2147" s="114">
        <v>143</v>
      </c>
      <c r="G2147" s="114">
        <v>1</v>
      </c>
      <c r="H2147" s="114">
        <v>8200</v>
      </c>
      <c r="I2147" s="114">
        <v>8200</v>
      </c>
      <c r="J2147" s="114">
        <v>6891</v>
      </c>
      <c r="K2147" s="114">
        <v>1309</v>
      </c>
      <c r="L2147" s="114" t="str">
        <f t="shared" si="33"/>
        <v>INSERT INTO DETALLES_DOCUMENTO(NRO_DOCUMENTO,ID_TIPO,ID_PRODUCTO,CANTIDAD,PRECIO,VALOR_BRUTO,VALOR_NETO,VALOR_IVA) VALUES(1053,1,143,1,8200,8200,6891,1309);</v>
      </c>
    </row>
    <row r="2148" spans="1:12">
      <c r="A2148" s="114">
        <v>1</v>
      </c>
      <c r="B2148" s="114">
        <v>1053</v>
      </c>
      <c r="C2148" s="139" t="s">
        <v>2333</v>
      </c>
      <c r="D2148" s="114" t="s">
        <v>2095</v>
      </c>
      <c r="E2148" s="114">
        <v>119</v>
      </c>
      <c r="F2148" s="114">
        <v>68</v>
      </c>
      <c r="G2148" s="114">
        <v>1</v>
      </c>
      <c r="H2148" s="114">
        <v>1200</v>
      </c>
      <c r="I2148" s="114">
        <v>1200</v>
      </c>
      <c r="J2148" s="114">
        <v>1008</v>
      </c>
      <c r="K2148" s="114">
        <v>192</v>
      </c>
      <c r="L2148" s="114" t="str">
        <f t="shared" si="33"/>
        <v>INSERT INTO DETALLES_DOCUMENTO(NRO_DOCUMENTO,ID_TIPO,ID_PRODUCTO,CANTIDAD,PRECIO,VALOR_BRUTO,VALOR_NETO,VALOR_IVA) VALUES(1053,1,68,1,1200,1200,1008,192);</v>
      </c>
    </row>
    <row r="2149" spans="1:12">
      <c r="A2149" s="114">
        <v>1</v>
      </c>
      <c r="B2149" s="114">
        <v>1053</v>
      </c>
      <c r="C2149" s="139" t="s">
        <v>2333</v>
      </c>
      <c r="D2149" s="114" t="s">
        <v>2095</v>
      </c>
      <c r="E2149" s="114">
        <v>119</v>
      </c>
      <c r="F2149" s="114">
        <v>69</v>
      </c>
      <c r="G2149" s="114">
        <v>1</v>
      </c>
      <c r="H2149" s="114">
        <v>3000</v>
      </c>
      <c r="I2149" s="114">
        <v>3000</v>
      </c>
      <c r="J2149" s="114">
        <v>2521</v>
      </c>
      <c r="K2149" s="114">
        <v>479</v>
      </c>
      <c r="L2149" s="114" t="str">
        <f t="shared" si="33"/>
        <v>INSERT INTO DETALLES_DOCUMENTO(NRO_DOCUMENTO,ID_TIPO,ID_PRODUCTO,CANTIDAD,PRECIO,VALOR_BRUTO,VALOR_NETO,VALOR_IVA) VALUES(1053,1,69,1,3000,3000,2521,479);</v>
      </c>
    </row>
    <row r="2150" spans="1:12">
      <c r="A2150" s="114">
        <v>1</v>
      </c>
      <c r="B2150" s="114">
        <v>1053</v>
      </c>
      <c r="C2150" s="139" t="s">
        <v>2333</v>
      </c>
      <c r="D2150" s="114" t="s">
        <v>2095</v>
      </c>
      <c r="E2150" s="114">
        <v>119</v>
      </c>
      <c r="F2150" s="114">
        <v>264</v>
      </c>
      <c r="G2150" s="114">
        <v>1</v>
      </c>
      <c r="H2150" s="114">
        <v>5000</v>
      </c>
      <c r="I2150" s="114">
        <v>5000</v>
      </c>
      <c r="J2150" s="114">
        <v>4202</v>
      </c>
      <c r="K2150" s="114">
        <v>798</v>
      </c>
      <c r="L2150" s="114" t="str">
        <f t="shared" si="33"/>
        <v>INSERT INTO DETALLES_DOCUMENTO(NRO_DOCUMENTO,ID_TIPO,ID_PRODUCTO,CANTIDAD,PRECIO,VALOR_BRUTO,VALOR_NETO,VALOR_IVA) VALUES(1053,1,264,1,5000,5000,4202,798);</v>
      </c>
    </row>
    <row r="2151" spans="1:12">
      <c r="A2151" s="114">
        <v>1</v>
      </c>
      <c r="B2151" s="114">
        <v>1054</v>
      </c>
      <c r="C2151" s="139" t="s">
        <v>2333</v>
      </c>
      <c r="D2151" s="114" t="s">
        <v>2094</v>
      </c>
      <c r="E2151" s="114">
        <v>161</v>
      </c>
      <c r="F2151" s="114">
        <v>143</v>
      </c>
      <c r="G2151" s="114">
        <v>1</v>
      </c>
      <c r="H2151" s="114">
        <v>8200</v>
      </c>
      <c r="I2151" s="114">
        <v>8200</v>
      </c>
      <c r="J2151" s="114">
        <v>6891</v>
      </c>
      <c r="K2151" s="114">
        <v>1309</v>
      </c>
      <c r="L2151" s="114" t="str">
        <f t="shared" si="33"/>
        <v>INSERT INTO DETALLES_DOCUMENTO(NRO_DOCUMENTO,ID_TIPO,ID_PRODUCTO,CANTIDAD,PRECIO,VALOR_BRUTO,VALOR_NETO,VALOR_IVA) VALUES(1054,1,143,1,8200,8200,6891,1309);</v>
      </c>
    </row>
    <row r="2152" spans="1:12">
      <c r="A2152" s="114">
        <v>1</v>
      </c>
      <c r="B2152" s="114">
        <v>1054</v>
      </c>
      <c r="C2152" s="139" t="s">
        <v>2333</v>
      </c>
      <c r="D2152" s="114" t="s">
        <v>2094</v>
      </c>
      <c r="E2152" s="114">
        <v>161</v>
      </c>
      <c r="F2152" s="114">
        <v>329</v>
      </c>
      <c r="G2152" s="114">
        <v>1</v>
      </c>
      <c r="H2152" s="114">
        <v>6000</v>
      </c>
      <c r="I2152" s="114">
        <v>6000</v>
      </c>
      <c r="J2152" s="114">
        <v>5042</v>
      </c>
      <c r="K2152" s="114">
        <v>958</v>
      </c>
      <c r="L2152" s="114" t="str">
        <f t="shared" si="33"/>
        <v>INSERT INTO DETALLES_DOCUMENTO(NRO_DOCUMENTO,ID_TIPO,ID_PRODUCTO,CANTIDAD,PRECIO,VALOR_BRUTO,VALOR_NETO,VALOR_IVA) VALUES(1054,1,329,1,6000,6000,5042,958);</v>
      </c>
    </row>
    <row r="2153" spans="1:12">
      <c r="A2153" s="114">
        <v>1</v>
      </c>
      <c r="B2153" s="114">
        <v>1055</v>
      </c>
      <c r="C2153" s="139" t="s">
        <v>2333</v>
      </c>
      <c r="D2153" s="114" t="s">
        <v>2094</v>
      </c>
      <c r="E2153" s="114">
        <v>166</v>
      </c>
      <c r="F2153" s="114">
        <v>261</v>
      </c>
      <c r="G2153" s="114">
        <v>1</v>
      </c>
      <c r="H2153" s="114">
        <v>7000</v>
      </c>
      <c r="I2153" s="114">
        <v>7000</v>
      </c>
      <c r="J2153" s="114">
        <v>5882</v>
      </c>
      <c r="K2153" s="114">
        <v>1118</v>
      </c>
      <c r="L2153" s="114" t="str">
        <f t="shared" si="33"/>
        <v>INSERT INTO DETALLES_DOCUMENTO(NRO_DOCUMENTO,ID_TIPO,ID_PRODUCTO,CANTIDAD,PRECIO,VALOR_BRUTO,VALOR_NETO,VALOR_IVA) VALUES(1055,1,261,1,7000,7000,5882,1118);</v>
      </c>
    </row>
    <row r="2154" spans="1:12">
      <c r="A2154" s="114">
        <v>1</v>
      </c>
      <c r="B2154" s="114">
        <v>1056</v>
      </c>
      <c r="C2154" s="139" t="s">
        <v>2333</v>
      </c>
      <c r="D2154" s="114" t="s">
        <v>2095</v>
      </c>
      <c r="E2154" s="114">
        <v>166</v>
      </c>
      <c r="F2154" s="114">
        <v>365</v>
      </c>
      <c r="G2154" s="114">
        <v>1</v>
      </c>
      <c r="H2154" s="114">
        <v>3200</v>
      </c>
      <c r="I2154" s="114">
        <v>3200</v>
      </c>
      <c r="J2154" s="114">
        <v>2689</v>
      </c>
      <c r="K2154" s="114">
        <v>511</v>
      </c>
      <c r="L2154" s="114" t="str">
        <f t="shared" si="33"/>
        <v>INSERT INTO DETALLES_DOCUMENTO(NRO_DOCUMENTO,ID_TIPO,ID_PRODUCTO,CANTIDAD,PRECIO,VALOR_BRUTO,VALOR_NETO,VALOR_IVA) VALUES(1056,1,365,1,3200,3200,2689,511);</v>
      </c>
    </row>
    <row r="2155" spans="1:12">
      <c r="A2155" s="114">
        <v>1</v>
      </c>
      <c r="B2155" s="114">
        <v>1056</v>
      </c>
      <c r="C2155" s="139" t="s">
        <v>2333</v>
      </c>
      <c r="D2155" s="114" t="s">
        <v>2095</v>
      </c>
      <c r="E2155" s="114">
        <v>166</v>
      </c>
      <c r="F2155" s="114">
        <v>232</v>
      </c>
      <c r="G2155" s="114">
        <v>1</v>
      </c>
      <c r="H2155" s="114">
        <v>18000</v>
      </c>
      <c r="I2155" s="114">
        <v>18000</v>
      </c>
      <c r="J2155" s="114">
        <v>15126</v>
      </c>
      <c r="K2155" s="114">
        <v>2874</v>
      </c>
      <c r="L2155" s="114" t="str">
        <f t="shared" si="33"/>
        <v>INSERT INTO DETALLES_DOCUMENTO(NRO_DOCUMENTO,ID_TIPO,ID_PRODUCTO,CANTIDAD,PRECIO,VALOR_BRUTO,VALOR_NETO,VALOR_IVA) VALUES(1056,1,232,1,18000,18000,15126,2874);</v>
      </c>
    </row>
    <row r="2156" spans="1:12">
      <c r="A2156" s="114">
        <v>1</v>
      </c>
      <c r="B2156" s="114">
        <v>1057</v>
      </c>
      <c r="C2156" s="139" t="s">
        <v>2333</v>
      </c>
      <c r="D2156" s="114" t="s">
        <v>2095</v>
      </c>
      <c r="E2156" s="114">
        <v>184</v>
      </c>
      <c r="F2156" s="114">
        <v>324</v>
      </c>
      <c r="G2156" s="114">
        <v>1</v>
      </c>
      <c r="H2156" s="114">
        <v>11000</v>
      </c>
      <c r="I2156" s="114">
        <v>11000</v>
      </c>
      <c r="J2156" s="114">
        <v>9244</v>
      </c>
      <c r="K2156" s="114">
        <v>1756</v>
      </c>
      <c r="L2156" s="114" t="str">
        <f t="shared" si="33"/>
        <v>INSERT INTO DETALLES_DOCUMENTO(NRO_DOCUMENTO,ID_TIPO,ID_PRODUCTO,CANTIDAD,PRECIO,VALOR_BRUTO,VALOR_NETO,VALOR_IVA) VALUES(1057,1,324,1,11000,11000,9244,1756);</v>
      </c>
    </row>
    <row r="2157" spans="1:12">
      <c r="A2157" s="114">
        <v>1</v>
      </c>
      <c r="B2157" s="114">
        <v>1057</v>
      </c>
      <c r="C2157" s="139" t="s">
        <v>2333</v>
      </c>
      <c r="D2157" s="114" t="s">
        <v>2095</v>
      </c>
      <c r="E2157" s="114">
        <v>184</v>
      </c>
      <c r="F2157" s="114">
        <v>143</v>
      </c>
      <c r="G2157" s="114">
        <v>1</v>
      </c>
      <c r="H2157" s="114">
        <v>8200</v>
      </c>
      <c r="I2157" s="114">
        <v>8200</v>
      </c>
      <c r="J2157" s="114">
        <v>6891</v>
      </c>
      <c r="K2157" s="114">
        <v>1309</v>
      </c>
      <c r="L2157" s="114" t="str">
        <f t="shared" si="33"/>
        <v>INSERT INTO DETALLES_DOCUMENTO(NRO_DOCUMENTO,ID_TIPO,ID_PRODUCTO,CANTIDAD,PRECIO,VALOR_BRUTO,VALOR_NETO,VALOR_IVA) VALUES(1057,1,143,1,8200,8200,6891,1309);</v>
      </c>
    </row>
    <row r="2158" spans="1:12">
      <c r="A2158" s="114">
        <v>1</v>
      </c>
      <c r="B2158" s="114">
        <v>1058</v>
      </c>
      <c r="C2158" s="139" t="s">
        <v>2333</v>
      </c>
      <c r="D2158" s="114" t="s">
        <v>2095</v>
      </c>
      <c r="E2158" s="114">
        <v>302</v>
      </c>
      <c r="F2158" s="114">
        <v>324</v>
      </c>
      <c r="G2158" s="114">
        <v>1</v>
      </c>
      <c r="H2158" s="114">
        <v>11000</v>
      </c>
      <c r="I2158" s="114">
        <v>11000</v>
      </c>
      <c r="J2158" s="114">
        <v>9244</v>
      </c>
      <c r="K2158" s="114">
        <v>1756</v>
      </c>
      <c r="L2158" s="114" t="str">
        <f t="shared" si="33"/>
        <v>INSERT INTO DETALLES_DOCUMENTO(NRO_DOCUMENTO,ID_TIPO,ID_PRODUCTO,CANTIDAD,PRECIO,VALOR_BRUTO,VALOR_NETO,VALOR_IVA) VALUES(1058,1,324,1,11000,11000,9244,1756);</v>
      </c>
    </row>
    <row r="2159" spans="1:12">
      <c r="A2159" s="114">
        <v>1</v>
      </c>
      <c r="B2159" s="114">
        <v>1058</v>
      </c>
      <c r="C2159" s="139" t="s">
        <v>2333</v>
      </c>
      <c r="D2159" s="114" t="s">
        <v>2095</v>
      </c>
      <c r="E2159" s="114">
        <v>302</v>
      </c>
      <c r="F2159" s="114">
        <v>143</v>
      </c>
      <c r="G2159" s="114">
        <v>1</v>
      </c>
      <c r="H2159" s="114">
        <v>8200</v>
      </c>
      <c r="I2159" s="114">
        <v>8200</v>
      </c>
      <c r="J2159" s="114">
        <v>6891</v>
      </c>
      <c r="K2159" s="114">
        <v>1309</v>
      </c>
      <c r="L2159" s="114" t="str">
        <f t="shared" si="33"/>
        <v>INSERT INTO DETALLES_DOCUMENTO(NRO_DOCUMENTO,ID_TIPO,ID_PRODUCTO,CANTIDAD,PRECIO,VALOR_BRUTO,VALOR_NETO,VALOR_IVA) VALUES(1058,1,143,1,8200,8200,6891,1309);</v>
      </c>
    </row>
    <row r="2160" spans="1:12">
      <c r="A2160" s="114">
        <v>1</v>
      </c>
      <c r="B2160" s="114">
        <v>1059</v>
      </c>
      <c r="C2160" s="139" t="s">
        <v>2334</v>
      </c>
      <c r="D2160" s="114" t="s">
        <v>2094</v>
      </c>
      <c r="E2160" s="114">
        <v>85</v>
      </c>
      <c r="F2160" s="114">
        <v>329</v>
      </c>
      <c r="G2160" s="114">
        <v>1</v>
      </c>
      <c r="H2160" s="114">
        <v>6000</v>
      </c>
      <c r="I2160" s="114">
        <v>6000</v>
      </c>
      <c r="J2160" s="114">
        <v>5042</v>
      </c>
      <c r="K2160" s="114">
        <v>958</v>
      </c>
      <c r="L2160" s="114" t="str">
        <f t="shared" si="33"/>
        <v>INSERT INTO DETALLES_DOCUMENTO(NRO_DOCUMENTO,ID_TIPO,ID_PRODUCTO,CANTIDAD,PRECIO,VALOR_BRUTO,VALOR_NETO,VALOR_IVA) VALUES(1059,1,329,1,6000,6000,5042,958);</v>
      </c>
    </row>
    <row r="2161" spans="1:12">
      <c r="A2161" s="114">
        <v>1</v>
      </c>
      <c r="B2161" s="114">
        <v>1059</v>
      </c>
      <c r="C2161" s="139" t="s">
        <v>2334</v>
      </c>
      <c r="D2161" s="114" t="s">
        <v>2094</v>
      </c>
      <c r="E2161" s="114">
        <v>85</v>
      </c>
      <c r="F2161" s="114">
        <v>143</v>
      </c>
      <c r="G2161" s="114">
        <v>1</v>
      </c>
      <c r="H2161" s="114">
        <v>8200</v>
      </c>
      <c r="I2161" s="114">
        <v>8200</v>
      </c>
      <c r="J2161" s="114">
        <v>6891</v>
      </c>
      <c r="K2161" s="114">
        <v>1309</v>
      </c>
      <c r="L2161" s="114" t="str">
        <f t="shared" si="33"/>
        <v>INSERT INTO DETALLES_DOCUMENTO(NRO_DOCUMENTO,ID_TIPO,ID_PRODUCTO,CANTIDAD,PRECIO,VALOR_BRUTO,VALOR_NETO,VALOR_IVA) VALUES(1059,1,143,1,8200,8200,6891,1309);</v>
      </c>
    </row>
    <row r="2162" spans="1:12">
      <c r="A2162" s="114">
        <v>1</v>
      </c>
      <c r="B2162" s="114">
        <v>1060</v>
      </c>
      <c r="C2162" s="139" t="s">
        <v>2334</v>
      </c>
      <c r="D2162" s="114" t="s">
        <v>2094</v>
      </c>
      <c r="E2162" s="114">
        <v>227</v>
      </c>
      <c r="F2162" s="114">
        <v>324</v>
      </c>
      <c r="G2162" s="114">
        <v>1</v>
      </c>
      <c r="H2162" s="114">
        <v>11000</v>
      </c>
      <c r="I2162" s="114">
        <v>11000</v>
      </c>
      <c r="J2162" s="114">
        <v>9244</v>
      </c>
      <c r="K2162" s="114">
        <v>1756</v>
      </c>
      <c r="L2162" s="114" t="str">
        <f t="shared" si="33"/>
        <v>INSERT INTO DETALLES_DOCUMENTO(NRO_DOCUMENTO,ID_TIPO,ID_PRODUCTO,CANTIDAD,PRECIO,VALOR_BRUTO,VALOR_NETO,VALOR_IVA) VALUES(1060,1,324,1,11000,11000,9244,1756);</v>
      </c>
    </row>
    <row r="2163" spans="1:12">
      <c r="A2163" s="114">
        <v>1</v>
      </c>
      <c r="B2163" s="114">
        <v>1061</v>
      </c>
      <c r="C2163" s="139" t="s">
        <v>2334</v>
      </c>
      <c r="D2163" s="114" t="s">
        <v>2094</v>
      </c>
      <c r="E2163" s="114">
        <v>353</v>
      </c>
      <c r="F2163" s="114">
        <v>230</v>
      </c>
      <c r="G2163" s="114">
        <v>1</v>
      </c>
      <c r="H2163" s="114">
        <v>16500</v>
      </c>
      <c r="I2163" s="114">
        <v>16500</v>
      </c>
      <c r="J2163" s="114">
        <v>13866</v>
      </c>
      <c r="K2163" s="114">
        <v>2634</v>
      </c>
      <c r="L2163" s="114" t="str">
        <f t="shared" si="33"/>
        <v>INSERT INTO DETALLES_DOCUMENTO(NRO_DOCUMENTO,ID_TIPO,ID_PRODUCTO,CANTIDAD,PRECIO,VALOR_BRUTO,VALOR_NETO,VALOR_IVA) VALUES(1061,1,230,1,16500,16500,13866,2634);</v>
      </c>
    </row>
    <row r="2164" spans="1:12">
      <c r="A2164" s="114">
        <v>1</v>
      </c>
      <c r="B2164" s="114">
        <v>1061</v>
      </c>
      <c r="C2164" s="139" t="s">
        <v>2334</v>
      </c>
      <c r="D2164" s="114" t="s">
        <v>2094</v>
      </c>
      <c r="E2164" s="114">
        <v>353</v>
      </c>
      <c r="F2164" s="114">
        <v>98</v>
      </c>
      <c r="G2164" s="114">
        <v>1</v>
      </c>
      <c r="H2164" s="114">
        <v>3500</v>
      </c>
      <c r="I2164" s="114">
        <v>3500</v>
      </c>
      <c r="J2164" s="114">
        <v>2941</v>
      </c>
      <c r="K2164" s="114">
        <v>559</v>
      </c>
      <c r="L2164" s="114" t="str">
        <f t="shared" si="33"/>
        <v>INSERT INTO DETALLES_DOCUMENTO(NRO_DOCUMENTO,ID_TIPO,ID_PRODUCTO,CANTIDAD,PRECIO,VALOR_BRUTO,VALOR_NETO,VALOR_IVA) VALUES(1061,1,98,1,3500,3500,2941,559);</v>
      </c>
    </row>
    <row r="2165" spans="1:12">
      <c r="A2165" s="114">
        <v>1</v>
      </c>
      <c r="B2165" s="114">
        <v>1061</v>
      </c>
      <c r="C2165" s="139" t="s">
        <v>2334</v>
      </c>
      <c r="D2165" s="114" t="s">
        <v>2094</v>
      </c>
      <c r="E2165" s="114">
        <v>353</v>
      </c>
      <c r="F2165" s="114">
        <v>95</v>
      </c>
      <c r="G2165" s="114">
        <v>1</v>
      </c>
      <c r="H2165" s="114">
        <v>2400</v>
      </c>
      <c r="I2165" s="114">
        <v>2400</v>
      </c>
      <c r="J2165" s="114">
        <v>2017</v>
      </c>
      <c r="K2165" s="114">
        <v>383</v>
      </c>
      <c r="L2165" s="114" t="str">
        <f t="shared" si="33"/>
        <v>INSERT INTO DETALLES_DOCUMENTO(NRO_DOCUMENTO,ID_TIPO,ID_PRODUCTO,CANTIDAD,PRECIO,VALOR_BRUTO,VALOR_NETO,VALOR_IVA) VALUES(1061,1,95,1,2400,2400,2017,383);</v>
      </c>
    </row>
    <row r="2166" spans="1:12">
      <c r="A2166" s="114">
        <v>1</v>
      </c>
      <c r="B2166" s="114">
        <v>1062</v>
      </c>
      <c r="C2166" s="139" t="s">
        <v>2335</v>
      </c>
      <c r="D2166" s="114" t="s">
        <v>2090</v>
      </c>
      <c r="E2166" s="114">
        <v>26</v>
      </c>
      <c r="F2166" s="114">
        <v>143</v>
      </c>
      <c r="G2166" s="114">
        <v>1</v>
      </c>
      <c r="H2166" s="114">
        <v>8200</v>
      </c>
      <c r="I2166" s="114">
        <v>8200</v>
      </c>
      <c r="J2166" s="114">
        <v>6891</v>
      </c>
      <c r="K2166" s="114">
        <v>1309</v>
      </c>
      <c r="L2166" s="114" t="str">
        <f t="shared" si="33"/>
        <v>INSERT INTO DETALLES_DOCUMENTO(NRO_DOCUMENTO,ID_TIPO,ID_PRODUCTO,CANTIDAD,PRECIO,VALOR_BRUTO,VALOR_NETO,VALOR_IVA) VALUES(1062,1,143,1,8200,8200,6891,1309);</v>
      </c>
    </row>
    <row r="2167" spans="1:12">
      <c r="A2167" s="114">
        <v>1</v>
      </c>
      <c r="B2167" s="114">
        <v>1063</v>
      </c>
      <c r="C2167" s="139" t="s">
        <v>2335</v>
      </c>
      <c r="D2167" s="114" t="s">
        <v>2090</v>
      </c>
      <c r="E2167" s="114">
        <v>27</v>
      </c>
      <c r="F2167" s="114">
        <v>379</v>
      </c>
      <c r="G2167" s="114">
        <v>3</v>
      </c>
      <c r="H2167" s="114">
        <v>6000</v>
      </c>
      <c r="I2167" s="114">
        <v>18000</v>
      </c>
      <c r="J2167" s="114">
        <v>15126</v>
      </c>
      <c r="K2167" s="114">
        <v>2874</v>
      </c>
      <c r="L2167" s="114" t="str">
        <f t="shared" si="33"/>
        <v>INSERT INTO DETALLES_DOCUMENTO(NRO_DOCUMENTO,ID_TIPO,ID_PRODUCTO,CANTIDAD,PRECIO,VALOR_BRUTO,VALOR_NETO,VALOR_IVA) VALUES(1063,1,379,3,6000,18000,15126,2874);</v>
      </c>
    </row>
    <row r="2168" spans="1:12">
      <c r="A2168" s="114">
        <v>1</v>
      </c>
      <c r="B2168" s="114">
        <v>1063</v>
      </c>
      <c r="C2168" s="139" t="s">
        <v>2335</v>
      </c>
      <c r="D2168" s="114" t="s">
        <v>2090</v>
      </c>
      <c r="E2168" s="114">
        <v>27</v>
      </c>
      <c r="F2168" s="114">
        <v>255</v>
      </c>
      <c r="G2168" s="114">
        <v>1</v>
      </c>
      <c r="H2168" s="114">
        <v>4000</v>
      </c>
      <c r="I2168" s="114">
        <v>4000</v>
      </c>
      <c r="J2168" s="114">
        <v>3361</v>
      </c>
      <c r="K2168" s="114">
        <v>639</v>
      </c>
      <c r="L2168" s="114" t="str">
        <f t="shared" si="33"/>
        <v>INSERT INTO DETALLES_DOCUMENTO(NRO_DOCUMENTO,ID_TIPO,ID_PRODUCTO,CANTIDAD,PRECIO,VALOR_BRUTO,VALOR_NETO,VALOR_IVA) VALUES(1063,1,255,1,4000,4000,3361,639);</v>
      </c>
    </row>
    <row r="2169" spans="1:12">
      <c r="A2169" s="114">
        <v>1</v>
      </c>
      <c r="B2169" s="114">
        <v>1063</v>
      </c>
      <c r="C2169" s="139" t="s">
        <v>2335</v>
      </c>
      <c r="D2169" s="114" t="s">
        <v>2090</v>
      </c>
      <c r="E2169" s="114">
        <v>27</v>
      </c>
      <c r="F2169" s="114">
        <v>98</v>
      </c>
      <c r="G2169" s="114">
        <v>5</v>
      </c>
      <c r="H2169" s="114">
        <v>17500</v>
      </c>
      <c r="I2169" s="114">
        <v>87500</v>
      </c>
      <c r="J2169" s="114">
        <v>73529</v>
      </c>
      <c r="K2169" s="114">
        <v>13971</v>
      </c>
      <c r="L2169" s="114" t="str">
        <f t="shared" si="33"/>
        <v>INSERT INTO DETALLES_DOCUMENTO(NRO_DOCUMENTO,ID_TIPO,ID_PRODUCTO,CANTIDAD,PRECIO,VALOR_BRUTO,VALOR_NETO,VALOR_IVA) VALUES(1063,1,98,5,17500,87500,73529,13971);</v>
      </c>
    </row>
    <row r="2170" spans="1:12">
      <c r="A2170" s="114">
        <v>1</v>
      </c>
      <c r="B2170" s="114">
        <v>1063</v>
      </c>
      <c r="C2170" s="139" t="s">
        <v>2335</v>
      </c>
      <c r="D2170" s="114" t="s">
        <v>2090</v>
      </c>
      <c r="E2170" s="114">
        <v>27</v>
      </c>
      <c r="F2170" s="114">
        <v>356</v>
      </c>
      <c r="G2170" s="114">
        <v>5</v>
      </c>
      <c r="H2170" s="114">
        <v>15000</v>
      </c>
      <c r="I2170" s="114">
        <v>75000</v>
      </c>
      <c r="J2170" s="114">
        <v>63025</v>
      </c>
      <c r="K2170" s="114">
        <v>11975</v>
      </c>
      <c r="L2170" s="114" t="str">
        <f t="shared" si="33"/>
        <v>INSERT INTO DETALLES_DOCUMENTO(NRO_DOCUMENTO,ID_TIPO,ID_PRODUCTO,CANTIDAD,PRECIO,VALOR_BRUTO,VALOR_NETO,VALOR_IVA) VALUES(1063,1,356,5,15000,75000,63025,11975);</v>
      </c>
    </row>
    <row r="2171" spans="1:12">
      <c r="A2171" s="114">
        <v>1</v>
      </c>
      <c r="B2171" s="114">
        <v>1063</v>
      </c>
      <c r="C2171" s="139" t="s">
        <v>2335</v>
      </c>
      <c r="D2171" s="114" t="s">
        <v>2090</v>
      </c>
      <c r="E2171" s="114">
        <v>27</v>
      </c>
      <c r="F2171" s="114">
        <v>369</v>
      </c>
      <c r="G2171" s="114">
        <v>2</v>
      </c>
      <c r="H2171" s="114">
        <v>21000</v>
      </c>
      <c r="I2171" s="114">
        <v>42000</v>
      </c>
      <c r="J2171" s="114">
        <v>35294</v>
      </c>
      <c r="K2171" s="114">
        <v>6706</v>
      </c>
      <c r="L2171" s="114" t="str">
        <f t="shared" si="33"/>
        <v>INSERT INTO DETALLES_DOCUMENTO(NRO_DOCUMENTO,ID_TIPO,ID_PRODUCTO,CANTIDAD,PRECIO,VALOR_BRUTO,VALOR_NETO,VALOR_IVA) VALUES(1063,1,369,2,21000,42000,35294,6706);</v>
      </c>
    </row>
    <row r="2172" spans="1:12">
      <c r="A2172" s="114">
        <v>1</v>
      </c>
      <c r="B2172" s="114">
        <v>1063</v>
      </c>
      <c r="C2172" s="139" t="s">
        <v>2335</v>
      </c>
      <c r="D2172" s="114" t="s">
        <v>2090</v>
      </c>
      <c r="E2172" s="114">
        <v>27</v>
      </c>
      <c r="F2172" s="114">
        <v>231</v>
      </c>
      <c r="G2172" s="114">
        <v>1</v>
      </c>
      <c r="H2172" s="114">
        <v>20900</v>
      </c>
      <c r="I2172" s="114">
        <v>20900</v>
      </c>
      <c r="J2172" s="114">
        <v>17563</v>
      </c>
      <c r="K2172" s="114">
        <v>3337</v>
      </c>
      <c r="L2172" s="114" t="str">
        <f t="shared" si="33"/>
        <v>INSERT INTO DETALLES_DOCUMENTO(NRO_DOCUMENTO,ID_TIPO,ID_PRODUCTO,CANTIDAD,PRECIO,VALOR_BRUTO,VALOR_NETO,VALOR_IVA) VALUES(1063,1,231,1,20900,20900,17563,3337);</v>
      </c>
    </row>
    <row r="2173" spans="1:12">
      <c r="A2173" s="114">
        <v>1</v>
      </c>
      <c r="B2173" s="114">
        <v>1063</v>
      </c>
      <c r="C2173" s="139" t="s">
        <v>2335</v>
      </c>
      <c r="D2173" s="114" t="s">
        <v>2090</v>
      </c>
      <c r="E2173" s="114">
        <v>27</v>
      </c>
      <c r="F2173" s="114">
        <v>275</v>
      </c>
      <c r="G2173" s="114">
        <v>1</v>
      </c>
      <c r="H2173" s="114">
        <v>6900</v>
      </c>
      <c r="I2173" s="114">
        <v>6900</v>
      </c>
      <c r="J2173" s="114">
        <v>5798</v>
      </c>
      <c r="K2173" s="114">
        <v>1102</v>
      </c>
      <c r="L2173" s="114" t="str">
        <f t="shared" si="33"/>
        <v>INSERT INTO DETALLES_DOCUMENTO(NRO_DOCUMENTO,ID_TIPO,ID_PRODUCTO,CANTIDAD,PRECIO,VALOR_BRUTO,VALOR_NETO,VALOR_IVA) VALUES(1063,1,275,1,6900,6900,5798,1102);</v>
      </c>
    </row>
    <row r="2174" spans="1:12">
      <c r="A2174" s="114">
        <v>1</v>
      </c>
      <c r="B2174" s="114">
        <v>1063</v>
      </c>
      <c r="C2174" s="139" t="s">
        <v>2335</v>
      </c>
      <c r="D2174" s="114" t="s">
        <v>2090</v>
      </c>
      <c r="E2174" s="114">
        <v>27</v>
      </c>
      <c r="F2174" s="114">
        <v>112</v>
      </c>
      <c r="G2174" s="114">
        <v>1</v>
      </c>
      <c r="H2174" s="114">
        <v>-2200</v>
      </c>
      <c r="I2174" s="114">
        <v>-2200</v>
      </c>
      <c r="J2174" s="114">
        <v>-1849</v>
      </c>
      <c r="K2174" s="114">
        <v>-351</v>
      </c>
      <c r="L2174" s="114" t="str">
        <f t="shared" si="33"/>
        <v>INSERT INTO DETALLES_DOCUMENTO(NRO_DOCUMENTO,ID_TIPO,ID_PRODUCTO,CANTIDAD,PRECIO,VALOR_BRUTO,VALOR_NETO,VALOR_IVA) VALUES(1063,1,112,1,-2200,-2200,-1849,-351);</v>
      </c>
    </row>
    <row r="2175" spans="1:12">
      <c r="A2175" s="114">
        <v>1</v>
      </c>
      <c r="B2175" s="114">
        <v>1064</v>
      </c>
      <c r="C2175" s="139" t="s">
        <v>2335</v>
      </c>
      <c r="D2175" s="114" t="s">
        <v>2090</v>
      </c>
      <c r="E2175" s="114">
        <v>110</v>
      </c>
      <c r="F2175" s="114">
        <v>232</v>
      </c>
      <c r="G2175" s="114">
        <v>1</v>
      </c>
      <c r="H2175" s="114">
        <v>12500</v>
      </c>
      <c r="I2175" s="114">
        <v>12500</v>
      </c>
      <c r="J2175" s="114">
        <v>10504</v>
      </c>
      <c r="K2175" s="114">
        <v>1996</v>
      </c>
      <c r="L2175" s="114" t="str">
        <f t="shared" si="33"/>
        <v>INSERT INTO DETALLES_DOCUMENTO(NRO_DOCUMENTO,ID_TIPO,ID_PRODUCTO,CANTIDAD,PRECIO,VALOR_BRUTO,VALOR_NETO,VALOR_IVA) VALUES(1064,1,232,1,12500,12500,10504,1996);</v>
      </c>
    </row>
    <row r="2176" spans="1:12">
      <c r="A2176" s="114">
        <v>1</v>
      </c>
      <c r="B2176" s="114">
        <v>1065</v>
      </c>
      <c r="C2176" s="139" t="s">
        <v>2335</v>
      </c>
      <c r="D2176" s="114" t="s">
        <v>2090</v>
      </c>
      <c r="E2176" s="114">
        <v>119</v>
      </c>
      <c r="F2176" s="114">
        <v>165</v>
      </c>
      <c r="G2176" s="114">
        <v>1</v>
      </c>
      <c r="H2176" s="114">
        <v>2000</v>
      </c>
      <c r="I2176" s="114">
        <v>2000</v>
      </c>
      <c r="J2176" s="114">
        <v>1681</v>
      </c>
      <c r="K2176" s="114">
        <v>319</v>
      </c>
      <c r="L2176" s="114" t="str">
        <f t="shared" si="33"/>
        <v>INSERT INTO DETALLES_DOCUMENTO(NRO_DOCUMENTO,ID_TIPO,ID_PRODUCTO,CANTIDAD,PRECIO,VALOR_BRUTO,VALOR_NETO,VALOR_IVA) VALUES(1065,1,165,1,2000,2000,1681,319);</v>
      </c>
    </row>
    <row r="2177" spans="1:12">
      <c r="A2177" s="114">
        <v>1</v>
      </c>
      <c r="B2177" s="114">
        <v>1066</v>
      </c>
      <c r="C2177" s="139" t="s">
        <v>2335</v>
      </c>
      <c r="D2177" s="114" t="s">
        <v>2090</v>
      </c>
      <c r="E2177" s="114">
        <v>122</v>
      </c>
      <c r="F2177" s="114">
        <v>369</v>
      </c>
      <c r="G2177" s="114">
        <v>1</v>
      </c>
      <c r="H2177" s="114">
        <v>10500</v>
      </c>
      <c r="I2177" s="114">
        <v>10500</v>
      </c>
      <c r="J2177" s="114">
        <v>8824</v>
      </c>
      <c r="K2177" s="114">
        <v>1676</v>
      </c>
      <c r="L2177" s="114" t="str">
        <f t="shared" si="33"/>
        <v>INSERT INTO DETALLES_DOCUMENTO(NRO_DOCUMENTO,ID_TIPO,ID_PRODUCTO,CANTIDAD,PRECIO,VALOR_BRUTO,VALOR_NETO,VALOR_IVA) VALUES(1066,1,369,1,10500,10500,8824,1676);</v>
      </c>
    </row>
    <row r="2178" spans="1:12">
      <c r="A2178" s="114">
        <v>1</v>
      </c>
      <c r="B2178" s="114">
        <v>1066</v>
      </c>
      <c r="C2178" s="139" t="s">
        <v>2335</v>
      </c>
      <c r="D2178" s="114" t="s">
        <v>2090</v>
      </c>
      <c r="E2178" s="114">
        <v>122</v>
      </c>
      <c r="F2178" s="114">
        <v>269</v>
      </c>
      <c r="G2178" s="114">
        <v>1</v>
      </c>
      <c r="H2178" s="114">
        <v>1600</v>
      </c>
      <c r="I2178" s="114">
        <v>1600</v>
      </c>
      <c r="J2178" s="114">
        <v>1345</v>
      </c>
      <c r="K2178" s="114">
        <v>255</v>
      </c>
      <c r="L2178" s="114" t="str">
        <f t="shared" si="33"/>
        <v>INSERT INTO DETALLES_DOCUMENTO(NRO_DOCUMENTO,ID_TIPO,ID_PRODUCTO,CANTIDAD,PRECIO,VALOR_BRUTO,VALOR_NETO,VALOR_IVA) VALUES(1066,1,269,1,1600,1600,1345,255);</v>
      </c>
    </row>
    <row r="2179" spans="1:12">
      <c r="A2179" s="114">
        <v>1</v>
      </c>
      <c r="B2179" s="114">
        <v>1066</v>
      </c>
      <c r="C2179" s="139" t="s">
        <v>2335</v>
      </c>
      <c r="D2179" s="114" t="s">
        <v>2090</v>
      </c>
      <c r="E2179" s="114">
        <v>122</v>
      </c>
      <c r="F2179" s="114">
        <v>165</v>
      </c>
      <c r="G2179" s="114">
        <v>1</v>
      </c>
      <c r="H2179" s="114">
        <v>2000</v>
      </c>
      <c r="I2179" s="114">
        <v>2000</v>
      </c>
      <c r="J2179" s="114">
        <v>1681</v>
      </c>
      <c r="K2179" s="114">
        <v>319</v>
      </c>
      <c r="L2179" s="114" t="str">
        <f t="shared" ref="L2179:L2242" si="34">CONCATENATE("INSERT INTO DETALLES_DOCUMENTO(NRO_DOCUMENTO,ID_TIPO,ID_PRODUCTO,CANTIDAD,PRECIO,VALOR_BRUTO,VALOR_NETO,VALOR_IVA) VALUES(",B2179,",",A2179,",",F2179,",",G2179,",",H2179,",",I2179,",",J2179,",",K2179,");")</f>
        <v>INSERT INTO DETALLES_DOCUMENTO(NRO_DOCUMENTO,ID_TIPO,ID_PRODUCTO,CANTIDAD,PRECIO,VALOR_BRUTO,VALOR_NETO,VALOR_IVA) VALUES(1066,1,165,1,2000,2000,1681,319);</v>
      </c>
    </row>
    <row r="2180" spans="1:12">
      <c r="A2180" s="114">
        <v>1</v>
      </c>
      <c r="B2180" s="114">
        <v>1067</v>
      </c>
      <c r="C2180" s="139" t="s">
        <v>2335</v>
      </c>
      <c r="D2180" s="114" t="s">
        <v>2090</v>
      </c>
      <c r="E2180" s="114">
        <v>166</v>
      </c>
      <c r="F2180" s="114">
        <v>143</v>
      </c>
      <c r="G2180" s="114">
        <v>1</v>
      </c>
      <c r="H2180" s="114">
        <v>8200</v>
      </c>
      <c r="I2180" s="114">
        <v>8200</v>
      </c>
      <c r="J2180" s="114">
        <v>6891</v>
      </c>
      <c r="K2180" s="114">
        <v>1309</v>
      </c>
      <c r="L2180" s="114" t="str">
        <f t="shared" si="34"/>
        <v>INSERT INTO DETALLES_DOCUMENTO(NRO_DOCUMENTO,ID_TIPO,ID_PRODUCTO,CANTIDAD,PRECIO,VALOR_BRUTO,VALOR_NETO,VALOR_IVA) VALUES(1067,1,143,1,8200,8200,6891,1309);</v>
      </c>
    </row>
    <row r="2181" spans="1:12">
      <c r="A2181" s="114">
        <v>1</v>
      </c>
      <c r="B2181" s="114">
        <v>1068</v>
      </c>
      <c r="C2181" s="139" t="s">
        <v>2335</v>
      </c>
      <c r="D2181" s="114" t="s">
        <v>2090</v>
      </c>
      <c r="E2181" s="114">
        <v>200</v>
      </c>
      <c r="F2181" s="114">
        <v>324</v>
      </c>
      <c r="G2181" s="114">
        <v>1</v>
      </c>
      <c r="H2181" s="114">
        <v>11000</v>
      </c>
      <c r="I2181" s="114">
        <v>11000</v>
      </c>
      <c r="J2181" s="114">
        <v>9244</v>
      </c>
      <c r="K2181" s="114">
        <v>1756</v>
      </c>
      <c r="L2181" s="114" t="str">
        <f t="shared" si="34"/>
        <v>INSERT INTO DETALLES_DOCUMENTO(NRO_DOCUMENTO,ID_TIPO,ID_PRODUCTO,CANTIDAD,PRECIO,VALOR_BRUTO,VALOR_NETO,VALOR_IVA) VALUES(1068,1,324,1,11000,11000,9244,1756);</v>
      </c>
    </row>
    <row r="2182" spans="1:12">
      <c r="A2182" s="114">
        <v>1</v>
      </c>
      <c r="B2182" s="114">
        <v>1068</v>
      </c>
      <c r="C2182" s="139" t="s">
        <v>2335</v>
      </c>
      <c r="D2182" s="114" t="s">
        <v>2090</v>
      </c>
      <c r="E2182" s="114">
        <v>200</v>
      </c>
      <c r="F2182" s="114">
        <v>143</v>
      </c>
      <c r="G2182" s="114">
        <v>1</v>
      </c>
      <c r="H2182" s="114">
        <v>8200</v>
      </c>
      <c r="I2182" s="114">
        <v>8200</v>
      </c>
      <c r="J2182" s="114">
        <v>6891</v>
      </c>
      <c r="K2182" s="114">
        <v>1309</v>
      </c>
      <c r="L2182" s="114" t="str">
        <f t="shared" si="34"/>
        <v>INSERT INTO DETALLES_DOCUMENTO(NRO_DOCUMENTO,ID_TIPO,ID_PRODUCTO,CANTIDAD,PRECIO,VALOR_BRUTO,VALOR_NETO,VALOR_IVA) VALUES(1068,1,143,1,8200,8200,6891,1309);</v>
      </c>
    </row>
    <row r="2183" spans="1:12">
      <c r="A2183" s="114">
        <v>1</v>
      </c>
      <c r="B2183" s="114">
        <v>1069</v>
      </c>
      <c r="C2183" s="139" t="s">
        <v>2335</v>
      </c>
      <c r="D2183" s="114" t="s">
        <v>2090</v>
      </c>
      <c r="E2183" s="114">
        <v>315</v>
      </c>
      <c r="F2183" s="114">
        <v>329</v>
      </c>
      <c r="G2183" s="114">
        <v>1</v>
      </c>
      <c r="H2183" s="114">
        <v>6000</v>
      </c>
      <c r="I2183" s="114">
        <v>6000</v>
      </c>
      <c r="J2183" s="114">
        <v>5042</v>
      </c>
      <c r="K2183" s="114">
        <v>958</v>
      </c>
      <c r="L2183" s="114" t="str">
        <f t="shared" si="34"/>
        <v>INSERT INTO DETALLES_DOCUMENTO(NRO_DOCUMENTO,ID_TIPO,ID_PRODUCTO,CANTIDAD,PRECIO,VALOR_BRUTO,VALOR_NETO,VALOR_IVA) VALUES(1069,1,329,1,6000,6000,5042,958);</v>
      </c>
    </row>
    <row r="2184" spans="1:12">
      <c r="A2184" s="114">
        <v>1</v>
      </c>
      <c r="B2184" s="114">
        <v>1070</v>
      </c>
      <c r="C2184" s="139" t="s">
        <v>2335</v>
      </c>
      <c r="D2184" s="114" t="s">
        <v>2090</v>
      </c>
      <c r="E2184" s="114">
        <v>389</v>
      </c>
      <c r="F2184" s="114">
        <v>273</v>
      </c>
      <c r="G2184" s="114">
        <v>1</v>
      </c>
      <c r="H2184" s="114">
        <v>1300</v>
      </c>
      <c r="I2184" s="114">
        <v>1300</v>
      </c>
      <c r="J2184" s="114">
        <v>1092</v>
      </c>
      <c r="K2184" s="114">
        <v>208</v>
      </c>
      <c r="L2184" s="114" t="str">
        <f t="shared" si="34"/>
        <v>INSERT INTO DETALLES_DOCUMENTO(NRO_DOCUMENTO,ID_TIPO,ID_PRODUCTO,CANTIDAD,PRECIO,VALOR_BRUTO,VALOR_NETO,VALOR_IVA) VALUES(1070,1,273,1,1300,1300,1092,208);</v>
      </c>
    </row>
    <row r="2185" spans="1:12">
      <c r="A2185" s="114">
        <v>1</v>
      </c>
      <c r="B2185" s="114">
        <v>1070</v>
      </c>
      <c r="C2185" s="139" t="s">
        <v>2335</v>
      </c>
      <c r="D2185" s="114" t="s">
        <v>2090</v>
      </c>
      <c r="E2185" s="114">
        <v>389</v>
      </c>
      <c r="F2185" s="114">
        <v>19</v>
      </c>
      <c r="G2185" s="114">
        <v>1</v>
      </c>
      <c r="H2185" s="114">
        <v>2600</v>
      </c>
      <c r="I2185" s="114">
        <v>2600</v>
      </c>
      <c r="J2185" s="114">
        <v>2185</v>
      </c>
      <c r="K2185" s="114">
        <v>415</v>
      </c>
      <c r="L2185" s="114" t="str">
        <f t="shared" si="34"/>
        <v>INSERT INTO DETALLES_DOCUMENTO(NRO_DOCUMENTO,ID_TIPO,ID_PRODUCTO,CANTIDAD,PRECIO,VALOR_BRUTO,VALOR_NETO,VALOR_IVA) VALUES(1070,1,19,1,2600,2600,2185,415);</v>
      </c>
    </row>
    <row r="2186" spans="1:12">
      <c r="A2186" s="114">
        <v>1</v>
      </c>
      <c r="B2186" s="114">
        <v>1070</v>
      </c>
      <c r="C2186" s="139" t="s">
        <v>2335</v>
      </c>
      <c r="D2186" s="114" t="s">
        <v>2090</v>
      </c>
      <c r="E2186" s="114">
        <v>389</v>
      </c>
      <c r="F2186" s="114">
        <v>16</v>
      </c>
      <c r="G2186" s="114">
        <v>1</v>
      </c>
      <c r="H2186" s="114">
        <v>4200</v>
      </c>
      <c r="I2186" s="114">
        <v>4200</v>
      </c>
      <c r="J2186" s="114">
        <v>3529</v>
      </c>
      <c r="K2186" s="114">
        <v>671</v>
      </c>
      <c r="L2186" s="114" t="str">
        <f t="shared" si="34"/>
        <v>INSERT INTO DETALLES_DOCUMENTO(NRO_DOCUMENTO,ID_TIPO,ID_PRODUCTO,CANTIDAD,PRECIO,VALOR_BRUTO,VALOR_NETO,VALOR_IVA) VALUES(1070,1,16,1,4200,4200,3529,671);</v>
      </c>
    </row>
    <row r="2187" spans="1:12">
      <c r="A2187" s="114">
        <v>1</v>
      </c>
      <c r="B2187" s="114">
        <v>1070</v>
      </c>
      <c r="C2187" s="139" t="s">
        <v>2335</v>
      </c>
      <c r="D2187" s="114" t="s">
        <v>2090</v>
      </c>
      <c r="E2187" s="114">
        <v>389</v>
      </c>
      <c r="F2187" s="114">
        <v>11</v>
      </c>
      <c r="G2187" s="114">
        <v>1</v>
      </c>
      <c r="H2187" s="114">
        <v>2500</v>
      </c>
      <c r="I2187" s="114">
        <v>2500</v>
      </c>
      <c r="J2187" s="114">
        <v>2101</v>
      </c>
      <c r="K2187" s="114">
        <v>399</v>
      </c>
      <c r="L2187" s="114" t="str">
        <f t="shared" si="34"/>
        <v>INSERT INTO DETALLES_DOCUMENTO(NRO_DOCUMENTO,ID_TIPO,ID_PRODUCTO,CANTIDAD,PRECIO,VALOR_BRUTO,VALOR_NETO,VALOR_IVA) VALUES(1070,1,11,1,2500,2500,2101,399);</v>
      </c>
    </row>
    <row r="2188" spans="1:12">
      <c r="A2188" s="114">
        <v>1</v>
      </c>
      <c r="B2188" s="114">
        <v>1070</v>
      </c>
      <c r="C2188" s="139" t="s">
        <v>2335</v>
      </c>
      <c r="D2188" s="114" t="s">
        <v>2090</v>
      </c>
      <c r="E2188" s="114">
        <v>389</v>
      </c>
      <c r="F2188" s="114">
        <v>267</v>
      </c>
      <c r="G2188" s="114">
        <v>1</v>
      </c>
      <c r="H2188" s="114">
        <v>1600</v>
      </c>
      <c r="I2188" s="114">
        <v>1600</v>
      </c>
      <c r="J2188" s="114">
        <v>1345</v>
      </c>
      <c r="K2188" s="114">
        <v>255</v>
      </c>
      <c r="L2188" s="114" t="str">
        <f t="shared" si="34"/>
        <v>INSERT INTO DETALLES_DOCUMENTO(NRO_DOCUMENTO,ID_TIPO,ID_PRODUCTO,CANTIDAD,PRECIO,VALOR_BRUTO,VALOR_NETO,VALOR_IVA) VALUES(1070,1,267,1,1600,1600,1345,255);</v>
      </c>
    </row>
    <row r="2189" spans="1:12">
      <c r="A2189" s="114">
        <v>1</v>
      </c>
      <c r="B2189" s="114">
        <v>1070</v>
      </c>
      <c r="C2189" s="139" t="s">
        <v>2335</v>
      </c>
      <c r="D2189" s="114" t="s">
        <v>2090</v>
      </c>
      <c r="E2189" s="114">
        <v>389</v>
      </c>
      <c r="F2189" s="114">
        <v>7</v>
      </c>
      <c r="G2189" s="114">
        <v>1</v>
      </c>
      <c r="H2189" s="114">
        <v>7000</v>
      </c>
      <c r="I2189" s="114">
        <v>7000</v>
      </c>
      <c r="J2189" s="114">
        <v>5882</v>
      </c>
      <c r="K2189" s="114">
        <v>1118</v>
      </c>
      <c r="L2189" s="114" t="str">
        <f t="shared" si="34"/>
        <v>INSERT INTO DETALLES_DOCUMENTO(NRO_DOCUMENTO,ID_TIPO,ID_PRODUCTO,CANTIDAD,PRECIO,VALOR_BRUTO,VALOR_NETO,VALOR_IVA) VALUES(1070,1,7,1,7000,7000,5882,1118);</v>
      </c>
    </row>
    <row r="2190" spans="1:12">
      <c r="A2190" s="114">
        <v>1</v>
      </c>
      <c r="B2190" s="114">
        <v>1071</v>
      </c>
      <c r="C2190" s="139" t="s">
        <v>2335</v>
      </c>
      <c r="D2190" s="114" t="s">
        <v>2094</v>
      </c>
      <c r="E2190" s="114">
        <v>389</v>
      </c>
      <c r="F2190" s="114">
        <v>45</v>
      </c>
      <c r="G2190" s="114">
        <v>1</v>
      </c>
      <c r="H2190" s="114">
        <v>1600</v>
      </c>
      <c r="I2190" s="114">
        <v>1600</v>
      </c>
      <c r="J2190" s="114">
        <v>1345</v>
      </c>
      <c r="K2190" s="114">
        <v>255</v>
      </c>
      <c r="L2190" s="114" t="str">
        <f t="shared" si="34"/>
        <v>INSERT INTO DETALLES_DOCUMENTO(NRO_DOCUMENTO,ID_TIPO,ID_PRODUCTO,CANTIDAD,PRECIO,VALOR_BRUTO,VALOR_NETO,VALOR_IVA) VALUES(1071,1,45,1,1600,1600,1345,255);</v>
      </c>
    </row>
    <row r="2191" spans="1:12">
      <c r="A2191" s="114">
        <v>1</v>
      </c>
      <c r="B2191" s="114">
        <v>1071</v>
      </c>
      <c r="C2191" s="139" t="s">
        <v>2335</v>
      </c>
      <c r="D2191" s="114" t="s">
        <v>2094</v>
      </c>
      <c r="E2191" s="114">
        <v>389</v>
      </c>
      <c r="F2191" s="114">
        <v>32</v>
      </c>
      <c r="G2191" s="114">
        <v>1</v>
      </c>
      <c r="H2191" s="114">
        <v>6500</v>
      </c>
      <c r="I2191" s="114">
        <v>6500</v>
      </c>
      <c r="J2191" s="114">
        <v>5462</v>
      </c>
      <c r="K2191" s="114">
        <v>1038</v>
      </c>
      <c r="L2191" s="114" t="str">
        <f t="shared" si="34"/>
        <v>INSERT INTO DETALLES_DOCUMENTO(NRO_DOCUMENTO,ID_TIPO,ID_PRODUCTO,CANTIDAD,PRECIO,VALOR_BRUTO,VALOR_NETO,VALOR_IVA) VALUES(1071,1,32,1,6500,6500,5462,1038);</v>
      </c>
    </row>
    <row r="2192" spans="1:12">
      <c r="A2192" s="114">
        <v>1</v>
      </c>
      <c r="B2192" s="114">
        <v>1071</v>
      </c>
      <c r="C2192" s="139" t="s">
        <v>2335</v>
      </c>
      <c r="D2192" s="114" t="s">
        <v>2094</v>
      </c>
      <c r="E2192" s="114">
        <v>389</v>
      </c>
      <c r="F2192" s="114">
        <v>26</v>
      </c>
      <c r="G2192" s="114">
        <v>1</v>
      </c>
      <c r="H2192" s="114">
        <v>3400</v>
      </c>
      <c r="I2192" s="114">
        <v>3400</v>
      </c>
      <c r="J2192" s="114">
        <v>2857</v>
      </c>
      <c r="K2192" s="114">
        <v>543</v>
      </c>
      <c r="L2192" s="114" t="str">
        <f t="shared" si="34"/>
        <v>INSERT INTO DETALLES_DOCUMENTO(NRO_DOCUMENTO,ID_TIPO,ID_PRODUCTO,CANTIDAD,PRECIO,VALOR_BRUTO,VALOR_NETO,VALOR_IVA) VALUES(1071,1,26,1,3400,3400,2857,543);</v>
      </c>
    </row>
    <row r="2193" spans="1:12">
      <c r="A2193" s="114">
        <v>1</v>
      </c>
      <c r="B2193" s="114">
        <v>1071</v>
      </c>
      <c r="C2193" s="139" t="s">
        <v>2335</v>
      </c>
      <c r="D2193" s="114" t="s">
        <v>2094</v>
      </c>
      <c r="E2193" s="114">
        <v>389</v>
      </c>
      <c r="F2193" s="114">
        <v>83</v>
      </c>
      <c r="G2193" s="114">
        <v>1</v>
      </c>
      <c r="H2193" s="114">
        <v>1600</v>
      </c>
      <c r="I2193" s="114">
        <v>1600</v>
      </c>
      <c r="J2193" s="114">
        <v>1345</v>
      </c>
      <c r="K2193" s="114">
        <v>255</v>
      </c>
      <c r="L2193" s="114" t="str">
        <f t="shared" si="34"/>
        <v>INSERT INTO DETALLES_DOCUMENTO(NRO_DOCUMENTO,ID_TIPO,ID_PRODUCTO,CANTIDAD,PRECIO,VALOR_BRUTO,VALOR_NETO,VALOR_IVA) VALUES(1071,1,83,1,1600,1600,1345,255);</v>
      </c>
    </row>
    <row r="2194" spans="1:12">
      <c r="A2194" s="114">
        <v>1</v>
      </c>
      <c r="B2194" s="114">
        <v>1071</v>
      </c>
      <c r="C2194" s="139" t="s">
        <v>2335</v>
      </c>
      <c r="D2194" s="114" t="s">
        <v>2094</v>
      </c>
      <c r="E2194" s="114">
        <v>389</v>
      </c>
      <c r="F2194" s="114">
        <v>154</v>
      </c>
      <c r="G2194" s="114">
        <v>1</v>
      </c>
      <c r="H2194" s="114">
        <v>3200</v>
      </c>
      <c r="I2194" s="114">
        <v>3200</v>
      </c>
      <c r="J2194" s="114">
        <v>2689</v>
      </c>
      <c r="K2194" s="114">
        <v>511</v>
      </c>
      <c r="L2194" s="114" t="str">
        <f t="shared" si="34"/>
        <v>INSERT INTO DETALLES_DOCUMENTO(NRO_DOCUMENTO,ID_TIPO,ID_PRODUCTO,CANTIDAD,PRECIO,VALOR_BRUTO,VALOR_NETO,VALOR_IVA) VALUES(1071,1,154,1,3200,3200,2689,511);</v>
      </c>
    </row>
    <row r="2195" spans="1:12">
      <c r="A2195" s="114">
        <v>1</v>
      </c>
      <c r="B2195" s="114">
        <v>1071</v>
      </c>
      <c r="C2195" s="139" t="s">
        <v>2335</v>
      </c>
      <c r="D2195" s="114" t="s">
        <v>2094</v>
      </c>
      <c r="E2195" s="114">
        <v>389</v>
      </c>
      <c r="F2195" s="114">
        <v>248</v>
      </c>
      <c r="G2195" s="114">
        <v>1</v>
      </c>
      <c r="H2195" s="114">
        <v>4500</v>
      </c>
      <c r="I2195" s="114">
        <v>4500</v>
      </c>
      <c r="J2195" s="114">
        <v>3782</v>
      </c>
      <c r="K2195" s="114">
        <v>718</v>
      </c>
      <c r="L2195" s="114" t="str">
        <f t="shared" si="34"/>
        <v>INSERT INTO DETALLES_DOCUMENTO(NRO_DOCUMENTO,ID_TIPO,ID_PRODUCTO,CANTIDAD,PRECIO,VALOR_BRUTO,VALOR_NETO,VALOR_IVA) VALUES(1071,1,248,1,4500,4500,3782,718);</v>
      </c>
    </row>
    <row r="2196" spans="1:12">
      <c r="A2196" s="114">
        <v>1</v>
      </c>
      <c r="B2196" s="114">
        <v>1072</v>
      </c>
      <c r="C2196" s="139" t="s">
        <v>2335</v>
      </c>
      <c r="D2196" s="114" t="s">
        <v>2090</v>
      </c>
      <c r="E2196" s="114">
        <v>397</v>
      </c>
      <c r="F2196" s="114">
        <v>120</v>
      </c>
      <c r="G2196" s="114">
        <v>1</v>
      </c>
      <c r="H2196" s="114">
        <v>1900</v>
      </c>
      <c r="I2196" s="114">
        <v>1900</v>
      </c>
      <c r="J2196" s="114">
        <v>1597</v>
      </c>
      <c r="K2196" s="114">
        <v>303</v>
      </c>
      <c r="L2196" s="114" t="str">
        <f t="shared" si="34"/>
        <v>INSERT INTO DETALLES_DOCUMENTO(NRO_DOCUMENTO,ID_TIPO,ID_PRODUCTO,CANTIDAD,PRECIO,VALOR_BRUTO,VALOR_NETO,VALOR_IVA) VALUES(1072,1,120,1,1900,1900,1597,303);</v>
      </c>
    </row>
    <row r="2197" spans="1:12">
      <c r="A2197" s="114">
        <v>1</v>
      </c>
      <c r="B2197" s="114">
        <v>1073</v>
      </c>
      <c r="C2197" s="139" t="s">
        <v>2336</v>
      </c>
      <c r="D2197" s="114" t="s">
        <v>2090</v>
      </c>
      <c r="E2197" s="114">
        <v>29</v>
      </c>
      <c r="F2197" s="114">
        <v>354</v>
      </c>
      <c r="G2197" s="114">
        <v>1</v>
      </c>
      <c r="H2197" s="114">
        <v>1800</v>
      </c>
      <c r="I2197" s="114">
        <v>1800</v>
      </c>
      <c r="J2197" s="114">
        <v>1513</v>
      </c>
      <c r="K2197" s="114">
        <v>287</v>
      </c>
      <c r="L2197" s="114" t="str">
        <f t="shared" si="34"/>
        <v>INSERT INTO DETALLES_DOCUMENTO(NRO_DOCUMENTO,ID_TIPO,ID_PRODUCTO,CANTIDAD,PRECIO,VALOR_BRUTO,VALOR_NETO,VALOR_IVA) VALUES(1073,1,354,1,1800,1800,1513,287);</v>
      </c>
    </row>
    <row r="2198" spans="1:12">
      <c r="A2198" s="114">
        <v>1</v>
      </c>
      <c r="B2198" s="114">
        <v>1073</v>
      </c>
      <c r="C2198" s="139" t="s">
        <v>2336</v>
      </c>
      <c r="D2198" s="114" t="s">
        <v>2090</v>
      </c>
      <c r="E2198" s="114">
        <v>29</v>
      </c>
      <c r="F2198" s="114">
        <v>167</v>
      </c>
      <c r="G2198" s="114">
        <v>1</v>
      </c>
      <c r="H2198" s="114">
        <v>8200</v>
      </c>
      <c r="I2198" s="114">
        <v>8200</v>
      </c>
      <c r="J2198" s="114">
        <v>6891</v>
      </c>
      <c r="K2198" s="114">
        <v>1309</v>
      </c>
      <c r="L2198" s="114" t="str">
        <f t="shared" si="34"/>
        <v>INSERT INTO DETALLES_DOCUMENTO(NRO_DOCUMENTO,ID_TIPO,ID_PRODUCTO,CANTIDAD,PRECIO,VALOR_BRUTO,VALOR_NETO,VALOR_IVA) VALUES(1073,1,167,1,8200,8200,6891,1309);</v>
      </c>
    </row>
    <row r="2199" spans="1:12">
      <c r="A2199" s="114">
        <v>1</v>
      </c>
      <c r="B2199" s="114">
        <v>1073</v>
      </c>
      <c r="C2199" s="139" t="s">
        <v>2336</v>
      </c>
      <c r="D2199" s="114" t="s">
        <v>2090</v>
      </c>
      <c r="E2199" s="114">
        <v>29</v>
      </c>
      <c r="F2199" s="114">
        <v>284</v>
      </c>
      <c r="G2199" s="114">
        <v>1</v>
      </c>
      <c r="H2199" s="114">
        <v>1100</v>
      </c>
      <c r="I2199" s="114">
        <v>1100</v>
      </c>
      <c r="J2199" s="114">
        <v>924</v>
      </c>
      <c r="K2199" s="114">
        <v>176</v>
      </c>
      <c r="L2199" s="114" t="str">
        <f t="shared" si="34"/>
        <v>INSERT INTO DETALLES_DOCUMENTO(NRO_DOCUMENTO,ID_TIPO,ID_PRODUCTO,CANTIDAD,PRECIO,VALOR_BRUTO,VALOR_NETO,VALOR_IVA) VALUES(1073,1,284,1,1100,1100,924,176);</v>
      </c>
    </row>
    <row r="2200" spans="1:12">
      <c r="A2200" s="114">
        <v>1</v>
      </c>
      <c r="B2200" s="114">
        <v>1073</v>
      </c>
      <c r="C2200" s="139" t="s">
        <v>2336</v>
      </c>
      <c r="D2200" s="114" t="s">
        <v>2090</v>
      </c>
      <c r="E2200" s="114">
        <v>29</v>
      </c>
      <c r="F2200" s="114">
        <v>191</v>
      </c>
      <c r="G2200" s="114">
        <v>1</v>
      </c>
      <c r="H2200" s="114">
        <v>2500</v>
      </c>
      <c r="I2200" s="114">
        <v>2500</v>
      </c>
      <c r="J2200" s="114">
        <v>2101</v>
      </c>
      <c r="K2200" s="114">
        <v>399</v>
      </c>
      <c r="L2200" s="114" t="str">
        <f t="shared" si="34"/>
        <v>INSERT INTO DETALLES_DOCUMENTO(NRO_DOCUMENTO,ID_TIPO,ID_PRODUCTO,CANTIDAD,PRECIO,VALOR_BRUTO,VALOR_NETO,VALOR_IVA) VALUES(1073,1,191,1,2500,2500,2101,399);</v>
      </c>
    </row>
    <row r="2201" spans="1:12">
      <c r="A2201" s="114">
        <v>1</v>
      </c>
      <c r="B2201" s="114">
        <v>1073</v>
      </c>
      <c r="C2201" s="139" t="s">
        <v>2336</v>
      </c>
      <c r="D2201" s="114" t="s">
        <v>2090</v>
      </c>
      <c r="E2201" s="114">
        <v>29</v>
      </c>
      <c r="F2201" s="114">
        <v>118</v>
      </c>
      <c r="G2201" s="114">
        <v>1</v>
      </c>
      <c r="H2201" s="114">
        <v>3500</v>
      </c>
      <c r="I2201" s="114">
        <v>3500</v>
      </c>
      <c r="J2201" s="114">
        <v>2941</v>
      </c>
      <c r="K2201" s="114">
        <v>559</v>
      </c>
      <c r="L2201" s="114" t="str">
        <f t="shared" si="34"/>
        <v>INSERT INTO DETALLES_DOCUMENTO(NRO_DOCUMENTO,ID_TIPO,ID_PRODUCTO,CANTIDAD,PRECIO,VALOR_BRUTO,VALOR_NETO,VALOR_IVA) VALUES(1073,1,118,1,3500,3500,2941,559);</v>
      </c>
    </row>
    <row r="2202" spans="1:12">
      <c r="A2202" s="114">
        <v>1</v>
      </c>
      <c r="B2202" s="114">
        <v>1073</v>
      </c>
      <c r="C2202" s="139" t="s">
        <v>2336</v>
      </c>
      <c r="D2202" s="114" t="s">
        <v>2090</v>
      </c>
      <c r="E2202" s="114">
        <v>29</v>
      </c>
      <c r="F2202" s="114">
        <v>329</v>
      </c>
      <c r="G2202" s="114">
        <v>1</v>
      </c>
      <c r="H2202" s="114">
        <v>6000</v>
      </c>
      <c r="I2202" s="114">
        <v>6000</v>
      </c>
      <c r="J2202" s="114">
        <v>5042</v>
      </c>
      <c r="K2202" s="114">
        <v>958</v>
      </c>
      <c r="L2202" s="114" t="str">
        <f t="shared" si="34"/>
        <v>INSERT INTO DETALLES_DOCUMENTO(NRO_DOCUMENTO,ID_TIPO,ID_PRODUCTO,CANTIDAD,PRECIO,VALOR_BRUTO,VALOR_NETO,VALOR_IVA) VALUES(1073,1,329,1,6000,6000,5042,958);</v>
      </c>
    </row>
    <row r="2203" spans="1:12">
      <c r="A2203" s="114">
        <v>1</v>
      </c>
      <c r="B2203" s="114">
        <v>1073</v>
      </c>
      <c r="C2203" s="139" t="s">
        <v>2336</v>
      </c>
      <c r="D2203" s="114" t="s">
        <v>2090</v>
      </c>
      <c r="E2203" s="114">
        <v>29</v>
      </c>
      <c r="F2203" s="114">
        <v>112</v>
      </c>
      <c r="G2203" s="114">
        <v>1</v>
      </c>
      <c r="H2203" s="114">
        <v>-1000</v>
      </c>
      <c r="I2203" s="114">
        <v>-1000</v>
      </c>
      <c r="J2203" s="114">
        <v>-840</v>
      </c>
      <c r="K2203" s="114">
        <v>-160</v>
      </c>
      <c r="L2203" s="114" t="str">
        <f t="shared" si="34"/>
        <v>INSERT INTO DETALLES_DOCUMENTO(NRO_DOCUMENTO,ID_TIPO,ID_PRODUCTO,CANTIDAD,PRECIO,VALOR_BRUTO,VALOR_NETO,VALOR_IVA) VALUES(1073,1,112,1,-1000,-1000,-840,-160);</v>
      </c>
    </row>
    <row r="2204" spans="1:12">
      <c r="A2204" s="114">
        <v>1</v>
      </c>
      <c r="B2204" s="114">
        <v>1074</v>
      </c>
      <c r="C2204" s="139" t="s">
        <v>2336</v>
      </c>
      <c r="D2204" s="114" t="s">
        <v>2090</v>
      </c>
      <c r="E2204" s="114">
        <v>62</v>
      </c>
      <c r="F2204" s="114">
        <v>117</v>
      </c>
      <c r="G2204" s="114">
        <v>4</v>
      </c>
      <c r="H2204" s="114">
        <v>14000</v>
      </c>
      <c r="I2204" s="114">
        <v>56000</v>
      </c>
      <c r="J2204" s="114">
        <v>47059</v>
      </c>
      <c r="K2204" s="114">
        <v>8941</v>
      </c>
      <c r="L2204" s="114" t="str">
        <f t="shared" si="34"/>
        <v>INSERT INTO DETALLES_DOCUMENTO(NRO_DOCUMENTO,ID_TIPO,ID_PRODUCTO,CANTIDAD,PRECIO,VALOR_BRUTO,VALOR_NETO,VALOR_IVA) VALUES(1074,1,117,4,14000,56000,47059,8941);</v>
      </c>
    </row>
    <row r="2205" spans="1:12">
      <c r="A2205" s="114">
        <v>1</v>
      </c>
      <c r="B2205" s="114">
        <v>1074</v>
      </c>
      <c r="C2205" s="139" t="s">
        <v>2336</v>
      </c>
      <c r="D2205" s="114" t="s">
        <v>2090</v>
      </c>
      <c r="E2205" s="114">
        <v>62</v>
      </c>
      <c r="F2205" s="114">
        <v>368</v>
      </c>
      <c r="G2205" s="114">
        <v>3</v>
      </c>
      <c r="H2205" s="114">
        <v>9000</v>
      </c>
      <c r="I2205" s="114">
        <v>27000</v>
      </c>
      <c r="J2205" s="114">
        <v>22689</v>
      </c>
      <c r="K2205" s="114">
        <v>4311</v>
      </c>
      <c r="L2205" s="114" t="str">
        <f t="shared" si="34"/>
        <v>INSERT INTO DETALLES_DOCUMENTO(NRO_DOCUMENTO,ID_TIPO,ID_PRODUCTO,CANTIDAD,PRECIO,VALOR_BRUTO,VALOR_NETO,VALOR_IVA) VALUES(1074,1,368,3,9000,27000,22689,4311);</v>
      </c>
    </row>
    <row r="2206" spans="1:12">
      <c r="A2206" s="114">
        <v>1</v>
      </c>
      <c r="B2206" s="114">
        <v>1074</v>
      </c>
      <c r="C2206" s="139" t="s">
        <v>2336</v>
      </c>
      <c r="D2206" s="114" t="s">
        <v>2090</v>
      </c>
      <c r="E2206" s="114">
        <v>62</v>
      </c>
      <c r="F2206" s="114">
        <v>386</v>
      </c>
      <c r="G2206" s="114">
        <v>2</v>
      </c>
      <c r="H2206" s="114">
        <v>5400</v>
      </c>
      <c r="I2206" s="114">
        <v>10800</v>
      </c>
      <c r="J2206" s="114">
        <v>9076</v>
      </c>
      <c r="K2206" s="114">
        <v>1724</v>
      </c>
      <c r="L2206" s="114" t="str">
        <f t="shared" si="34"/>
        <v>INSERT INTO DETALLES_DOCUMENTO(NRO_DOCUMENTO,ID_TIPO,ID_PRODUCTO,CANTIDAD,PRECIO,VALOR_BRUTO,VALOR_NETO,VALOR_IVA) VALUES(1074,1,386,2,5400,10800,9076,1724);</v>
      </c>
    </row>
    <row r="2207" spans="1:12">
      <c r="A2207" s="114">
        <v>1</v>
      </c>
      <c r="B2207" s="114">
        <v>1074</v>
      </c>
      <c r="C2207" s="139" t="s">
        <v>2336</v>
      </c>
      <c r="D2207" s="114" t="s">
        <v>2090</v>
      </c>
      <c r="E2207" s="114">
        <v>62</v>
      </c>
      <c r="F2207" s="114">
        <v>356</v>
      </c>
      <c r="G2207" s="114">
        <v>1</v>
      </c>
      <c r="H2207" s="114">
        <v>3000</v>
      </c>
      <c r="I2207" s="114">
        <v>3000</v>
      </c>
      <c r="J2207" s="114">
        <v>2521</v>
      </c>
      <c r="K2207" s="114">
        <v>479</v>
      </c>
      <c r="L2207" s="114" t="str">
        <f t="shared" si="34"/>
        <v>INSERT INTO DETALLES_DOCUMENTO(NRO_DOCUMENTO,ID_TIPO,ID_PRODUCTO,CANTIDAD,PRECIO,VALOR_BRUTO,VALOR_NETO,VALOR_IVA) VALUES(1074,1,356,1,3000,3000,2521,479);</v>
      </c>
    </row>
    <row r="2208" spans="1:12">
      <c r="A2208" s="114">
        <v>1</v>
      </c>
      <c r="B2208" s="114">
        <v>1074</v>
      </c>
      <c r="C2208" s="139" t="s">
        <v>2336</v>
      </c>
      <c r="D2208" s="114" t="s">
        <v>2090</v>
      </c>
      <c r="E2208" s="114">
        <v>62</v>
      </c>
      <c r="F2208" s="114">
        <v>231</v>
      </c>
      <c r="G2208" s="114">
        <v>1</v>
      </c>
      <c r="H2208" s="114">
        <v>20900</v>
      </c>
      <c r="I2208" s="114">
        <v>20900</v>
      </c>
      <c r="J2208" s="114">
        <v>17563</v>
      </c>
      <c r="K2208" s="114">
        <v>3337</v>
      </c>
      <c r="L2208" s="114" t="str">
        <f t="shared" si="34"/>
        <v>INSERT INTO DETALLES_DOCUMENTO(NRO_DOCUMENTO,ID_TIPO,ID_PRODUCTO,CANTIDAD,PRECIO,VALOR_BRUTO,VALOR_NETO,VALOR_IVA) VALUES(1074,1,231,1,20900,20900,17563,3337);</v>
      </c>
    </row>
    <row r="2209" spans="1:12">
      <c r="A2209" s="114">
        <v>1</v>
      </c>
      <c r="B2209" s="114">
        <v>1074</v>
      </c>
      <c r="C2209" s="139" t="s">
        <v>2336</v>
      </c>
      <c r="D2209" s="114" t="s">
        <v>2090</v>
      </c>
      <c r="E2209" s="114">
        <v>62</v>
      </c>
      <c r="F2209" s="114">
        <v>25</v>
      </c>
      <c r="G2209" s="114">
        <v>1</v>
      </c>
      <c r="H2209" s="114">
        <v>1800</v>
      </c>
      <c r="I2209" s="114">
        <v>1800</v>
      </c>
      <c r="J2209" s="114">
        <v>1513</v>
      </c>
      <c r="K2209" s="114">
        <v>287</v>
      </c>
      <c r="L2209" s="114" t="str">
        <f t="shared" si="34"/>
        <v>INSERT INTO DETALLES_DOCUMENTO(NRO_DOCUMENTO,ID_TIPO,ID_PRODUCTO,CANTIDAD,PRECIO,VALOR_BRUTO,VALOR_NETO,VALOR_IVA) VALUES(1074,1,25,1,1800,1800,1513,287);</v>
      </c>
    </row>
    <row r="2210" spans="1:12">
      <c r="A2210" s="114">
        <v>1</v>
      </c>
      <c r="B2210" s="114">
        <v>1074</v>
      </c>
      <c r="C2210" s="139" t="s">
        <v>2336</v>
      </c>
      <c r="D2210" s="114" t="s">
        <v>2090</v>
      </c>
      <c r="E2210" s="114">
        <v>62</v>
      </c>
      <c r="F2210" s="114">
        <v>97</v>
      </c>
      <c r="G2210" s="114">
        <v>1</v>
      </c>
      <c r="H2210" s="114">
        <v>2000</v>
      </c>
      <c r="I2210" s="114">
        <v>2000</v>
      </c>
      <c r="J2210" s="114">
        <v>1681</v>
      </c>
      <c r="K2210" s="114">
        <v>319</v>
      </c>
      <c r="L2210" s="114" t="str">
        <f t="shared" si="34"/>
        <v>INSERT INTO DETALLES_DOCUMENTO(NRO_DOCUMENTO,ID_TIPO,ID_PRODUCTO,CANTIDAD,PRECIO,VALOR_BRUTO,VALOR_NETO,VALOR_IVA) VALUES(1074,1,97,1,2000,2000,1681,319);</v>
      </c>
    </row>
    <row r="2211" spans="1:12">
      <c r="A2211" s="114">
        <v>1</v>
      </c>
      <c r="B2211" s="114">
        <v>1074</v>
      </c>
      <c r="C2211" s="139" t="s">
        <v>2336</v>
      </c>
      <c r="D2211" s="114" t="s">
        <v>2090</v>
      </c>
      <c r="E2211" s="114">
        <v>62</v>
      </c>
      <c r="F2211" s="114">
        <v>69</v>
      </c>
      <c r="G2211" s="114">
        <v>1</v>
      </c>
      <c r="H2211" s="114">
        <v>3000</v>
      </c>
      <c r="I2211" s="114">
        <v>3000</v>
      </c>
      <c r="J2211" s="114">
        <v>2521</v>
      </c>
      <c r="K2211" s="114">
        <v>479</v>
      </c>
      <c r="L2211" s="114" t="str">
        <f t="shared" si="34"/>
        <v>INSERT INTO DETALLES_DOCUMENTO(NRO_DOCUMENTO,ID_TIPO,ID_PRODUCTO,CANTIDAD,PRECIO,VALOR_BRUTO,VALOR_NETO,VALOR_IVA) VALUES(1074,1,69,1,3000,3000,2521,479);</v>
      </c>
    </row>
    <row r="2212" spans="1:12">
      <c r="A2212" s="114">
        <v>1</v>
      </c>
      <c r="B2212" s="114">
        <v>1074</v>
      </c>
      <c r="C2212" s="139" t="s">
        <v>2336</v>
      </c>
      <c r="D2212" s="114" t="s">
        <v>2090</v>
      </c>
      <c r="E2212" s="114">
        <v>62</v>
      </c>
      <c r="F2212" s="114">
        <v>329</v>
      </c>
      <c r="G2212" s="114">
        <v>1</v>
      </c>
      <c r="H2212" s="114">
        <v>6000</v>
      </c>
      <c r="I2212" s="114">
        <v>6000</v>
      </c>
      <c r="J2212" s="114">
        <v>5042</v>
      </c>
      <c r="K2212" s="114">
        <v>958</v>
      </c>
      <c r="L2212" s="114" t="str">
        <f t="shared" si="34"/>
        <v>INSERT INTO DETALLES_DOCUMENTO(NRO_DOCUMENTO,ID_TIPO,ID_PRODUCTO,CANTIDAD,PRECIO,VALOR_BRUTO,VALOR_NETO,VALOR_IVA) VALUES(1074,1,329,1,6000,6000,5042,958);</v>
      </c>
    </row>
    <row r="2213" spans="1:12">
      <c r="A2213" s="114">
        <v>1</v>
      </c>
      <c r="B2213" s="114">
        <v>1074</v>
      </c>
      <c r="C2213" s="139" t="s">
        <v>2336</v>
      </c>
      <c r="D2213" s="114" t="s">
        <v>2090</v>
      </c>
      <c r="E2213" s="114">
        <v>62</v>
      </c>
      <c r="F2213" s="114">
        <v>143</v>
      </c>
      <c r="G2213" s="114">
        <v>1</v>
      </c>
      <c r="H2213" s="114">
        <v>8200</v>
      </c>
      <c r="I2213" s="114">
        <v>8200</v>
      </c>
      <c r="J2213" s="114">
        <v>6891</v>
      </c>
      <c r="K2213" s="114">
        <v>1309</v>
      </c>
      <c r="L2213" s="114" t="str">
        <f t="shared" si="34"/>
        <v>INSERT INTO DETALLES_DOCUMENTO(NRO_DOCUMENTO,ID_TIPO,ID_PRODUCTO,CANTIDAD,PRECIO,VALOR_BRUTO,VALOR_NETO,VALOR_IVA) VALUES(1074,1,143,1,8200,8200,6891,1309);</v>
      </c>
    </row>
    <row r="2214" spans="1:12">
      <c r="A2214" s="114">
        <v>1</v>
      </c>
      <c r="B2214" s="114">
        <v>1075</v>
      </c>
      <c r="C2214" s="139" t="s">
        <v>2336</v>
      </c>
      <c r="D2214" s="114" t="s">
        <v>2090</v>
      </c>
      <c r="E2214" s="114">
        <v>119</v>
      </c>
      <c r="F2214" s="114">
        <v>143</v>
      </c>
      <c r="G2214" s="114">
        <v>1</v>
      </c>
      <c r="H2214" s="114">
        <v>8200</v>
      </c>
      <c r="I2214" s="114">
        <v>8200</v>
      </c>
      <c r="J2214" s="114">
        <v>6891</v>
      </c>
      <c r="K2214" s="114">
        <v>1309</v>
      </c>
      <c r="L2214" s="114" t="str">
        <f t="shared" si="34"/>
        <v>INSERT INTO DETALLES_DOCUMENTO(NRO_DOCUMENTO,ID_TIPO,ID_PRODUCTO,CANTIDAD,PRECIO,VALOR_BRUTO,VALOR_NETO,VALOR_IVA) VALUES(1075,1,143,1,8200,8200,6891,1309);</v>
      </c>
    </row>
    <row r="2215" spans="1:12">
      <c r="A2215" s="114">
        <v>1</v>
      </c>
      <c r="B2215" s="114">
        <v>1076</v>
      </c>
      <c r="C2215" s="139" t="s">
        <v>2336</v>
      </c>
      <c r="D2215" s="114" t="s">
        <v>2090</v>
      </c>
      <c r="E2215" s="114">
        <v>166</v>
      </c>
      <c r="F2215" s="114">
        <v>324</v>
      </c>
      <c r="G2215" s="114">
        <v>1</v>
      </c>
      <c r="H2215" s="114">
        <v>11000</v>
      </c>
      <c r="I2215" s="114">
        <v>11000</v>
      </c>
      <c r="J2215" s="114">
        <v>9244</v>
      </c>
      <c r="K2215" s="114">
        <v>1756</v>
      </c>
      <c r="L2215" s="114" t="str">
        <f t="shared" si="34"/>
        <v>INSERT INTO DETALLES_DOCUMENTO(NRO_DOCUMENTO,ID_TIPO,ID_PRODUCTO,CANTIDAD,PRECIO,VALOR_BRUTO,VALOR_NETO,VALOR_IVA) VALUES(1076,1,324,1,11000,11000,9244,1756);</v>
      </c>
    </row>
    <row r="2216" spans="1:12">
      <c r="A2216" s="114">
        <v>1</v>
      </c>
      <c r="B2216" s="114">
        <v>1077</v>
      </c>
      <c r="C2216" s="139" t="s">
        <v>2337</v>
      </c>
      <c r="D2216" s="114" t="s">
        <v>2090</v>
      </c>
      <c r="E2216" s="114">
        <v>84</v>
      </c>
      <c r="F2216" s="114">
        <v>143</v>
      </c>
      <c r="G2216" s="114">
        <v>1</v>
      </c>
      <c r="H2216" s="114">
        <v>8200</v>
      </c>
      <c r="I2216" s="114">
        <v>8200</v>
      </c>
      <c r="J2216" s="114">
        <v>6891</v>
      </c>
      <c r="K2216" s="114">
        <v>1309</v>
      </c>
      <c r="L2216" s="114" t="str">
        <f t="shared" si="34"/>
        <v>INSERT INTO DETALLES_DOCUMENTO(NRO_DOCUMENTO,ID_TIPO,ID_PRODUCTO,CANTIDAD,PRECIO,VALOR_BRUTO,VALOR_NETO,VALOR_IVA) VALUES(1077,1,143,1,8200,8200,6891,1309);</v>
      </c>
    </row>
    <row r="2217" spans="1:12">
      <c r="A2217" s="114">
        <v>1</v>
      </c>
      <c r="B2217" s="114">
        <v>1078</v>
      </c>
      <c r="C2217" s="139" t="s">
        <v>2337</v>
      </c>
      <c r="D2217" s="114" t="s">
        <v>2090</v>
      </c>
      <c r="E2217" s="114">
        <v>108</v>
      </c>
      <c r="F2217" s="114">
        <v>95</v>
      </c>
      <c r="G2217" s="114">
        <v>1</v>
      </c>
      <c r="H2217" s="114">
        <v>2400</v>
      </c>
      <c r="I2217" s="114">
        <v>2400</v>
      </c>
      <c r="J2217" s="114">
        <v>2017</v>
      </c>
      <c r="K2217" s="114">
        <v>383</v>
      </c>
      <c r="L2217" s="114" t="str">
        <f t="shared" si="34"/>
        <v>INSERT INTO DETALLES_DOCUMENTO(NRO_DOCUMENTO,ID_TIPO,ID_PRODUCTO,CANTIDAD,PRECIO,VALOR_BRUTO,VALOR_NETO,VALOR_IVA) VALUES(1078,1,95,1,2400,2400,2017,383);</v>
      </c>
    </row>
    <row r="2218" spans="1:12">
      <c r="A2218" s="114">
        <v>1</v>
      </c>
      <c r="B2218" s="114">
        <v>1078</v>
      </c>
      <c r="C2218" s="139" t="s">
        <v>2337</v>
      </c>
      <c r="D2218" s="114" t="s">
        <v>2090</v>
      </c>
      <c r="E2218" s="114">
        <v>108</v>
      </c>
      <c r="F2218" s="114">
        <v>247</v>
      </c>
      <c r="G2218" s="114">
        <v>1</v>
      </c>
      <c r="H2218" s="114">
        <v>2800</v>
      </c>
      <c r="I2218" s="114">
        <v>2800</v>
      </c>
      <c r="J2218" s="114">
        <v>2353</v>
      </c>
      <c r="K2218" s="114">
        <v>447</v>
      </c>
      <c r="L2218" s="114" t="str">
        <f t="shared" si="34"/>
        <v>INSERT INTO DETALLES_DOCUMENTO(NRO_DOCUMENTO,ID_TIPO,ID_PRODUCTO,CANTIDAD,PRECIO,VALOR_BRUTO,VALOR_NETO,VALOR_IVA) VALUES(1078,1,247,1,2800,2800,2353,447);</v>
      </c>
    </row>
    <row r="2219" spans="1:12">
      <c r="A2219" s="114">
        <v>1</v>
      </c>
      <c r="B2219" s="114">
        <v>1079</v>
      </c>
      <c r="C2219" s="139" t="s">
        <v>2337</v>
      </c>
      <c r="D2219" s="114" t="s">
        <v>2090</v>
      </c>
      <c r="E2219" s="114">
        <v>110</v>
      </c>
      <c r="F2219" s="114">
        <v>143</v>
      </c>
      <c r="G2219" s="114">
        <v>1</v>
      </c>
      <c r="H2219" s="114">
        <v>8200</v>
      </c>
      <c r="I2219" s="114">
        <v>8200</v>
      </c>
      <c r="J2219" s="114">
        <v>6891</v>
      </c>
      <c r="K2219" s="114">
        <v>1309</v>
      </c>
      <c r="L2219" s="114" t="str">
        <f t="shared" si="34"/>
        <v>INSERT INTO DETALLES_DOCUMENTO(NRO_DOCUMENTO,ID_TIPO,ID_PRODUCTO,CANTIDAD,PRECIO,VALOR_BRUTO,VALOR_NETO,VALOR_IVA) VALUES(1079,1,143,1,8200,8200,6891,1309);</v>
      </c>
    </row>
    <row r="2220" spans="1:12">
      <c r="A2220" s="114">
        <v>1</v>
      </c>
      <c r="B2220" s="114">
        <v>1080</v>
      </c>
      <c r="C2220" s="139" t="s">
        <v>2337</v>
      </c>
      <c r="D2220" s="114" t="s">
        <v>2090</v>
      </c>
      <c r="E2220" s="114">
        <v>179</v>
      </c>
      <c r="F2220" s="114">
        <v>324</v>
      </c>
      <c r="G2220" s="114">
        <v>1</v>
      </c>
      <c r="H2220" s="114">
        <v>11000</v>
      </c>
      <c r="I2220" s="114">
        <v>11000</v>
      </c>
      <c r="J2220" s="114">
        <v>9244</v>
      </c>
      <c r="K2220" s="114">
        <v>1756</v>
      </c>
      <c r="L2220" s="114" t="str">
        <f t="shared" si="34"/>
        <v>INSERT INTO DETALLES_DOCUMENTO(NRO_DOCUMENTO,ID_TIPO,ID_PRODUCTO,CANTIDAD,PRECIO,VALOR_BRUTO,VALOR_NETO,VALOR_IVA) VALUES(1080,1,324,1,11000,11000,9244,1756);</v>
      </c>
    </row>
    <row r="2221" spans="1:12">
      <c r="A2221" s="114">
        <v>1</v>
      </c>
      <c r="B2221" s="114">
        <v>1080</v>
      </c>
      <c r="C2221" s="139" t="s">
        <v>2337</v>
      </c>
      <c r="D2221" s="114" t="s">
        <v>2090</v>
      </c>
      <c r="E2221" s="114">
        <v>179</v>
      </c>
      <c r="F2221" s="114">
        <v>378</v>
      </c>
      <c r="G2221" s="114">
        <v>2</v>
      </c>
      <c r="H2221" s="114">
        <v>2400</v>
      </c>
      <c r="I2221" s="114">
        <v>4800</v>
      </c>
      <c r="J2221" s="114">
        <v>4034</v>
      </c>
      <c r="K2221" s="114">
        <v>766</v>
      </c>
      <c r="L2221" s="114" t="str">
        <f t="shared" si="34"/>
        <v>INSERT INTO DETALLES_DOCUMENTO(NRO_DOCUMENTO,ID_TIPO,ID_PRODUCTO,CANTIDAD,PRECIO,VALOR_BRUTO,VALOR_NETO,VALOR_IVA) VALUES(1080,1,378,2,2400,4800,4034,766);</v>
      </c>
    </row>
    <row r="2222" spans="1:12">
      <c r="A2222" s="114">
        <v>1</v>
      </c>
      <c r="B2222" s="114">
        <v>1081</v>
      </c>
      <c r="C2222" s="139" t="s">
        <v>2337</v>
      </c>
      <c r="D2222" s="114" t="s">
        <v>2090</v>
      </c>
      <c r="E2222" s="114">
        <v>219</v>
      </c>
      <c r="F2222" s="114">
        <v>143</v>
      </c>
      <c r="G2222" s="114">
        <v>3</v>
      </c>
      <c r="H2222" s="114">
        <v>24600</v>
      </c>
      <c r="I2222" s="114">
        <v>73800</v>
      </c>
      <c r="J2222" s="114">
        <v>62017</v>
      </c>
      <c r="K2222" s="114">
        <v>11783</v>
      </c>
      <c r="L2222" s="114" t="str">
        <f t="shared" si="34"/>
        <v>INSERT INTO DETALLES_DOCUMENTO(NRO_DOCUMENTO,ID_TIPO,ID_PRODUCTO,CANTIDAD,PRECIO,VALOR_BRUTO,VALOR_NETO,VALOR_IVA) VALUES(1081,1,143,3,24600,73800,62017,11783);</v>
      </c>
    </row>
    <row r="2223" spans="1:12">
      <c r="A2223" s="114">
        <v>1</v>
      </c>
      <c r="B2223" s="114">
        <v>1082</v>
      </c>
      <c r="C2223" s="139" t="s">
        <v>2337</v>
      </c>
      <c r="D2223" s="114" t="s">
        <v>2090</v>
      </c>
      <c r="E2223" s="114">
        <v>263</v>
      </c>
      <c r="F2223" s="114">
        <v>143</v>
      </c>
      <c r="G2223" s="114">
        <v>1</v>
      </c>
      <c r="H2223" s="114">
        <v>8200</v>
      </c>
      <c r="I2223" s="114">
        <v>8200</v>
      </c>
      <c r="J2223" s="114">
        <v>6891</v>
      </c>
      <c r="K2223" s="114">
        <v>1309</v>
      </c>
      <c r="L2223" s="114" t="str">
        <f t="shared" si="34"/>
        <v>INSERT INTO DETALLES_DOCUMENTO(NRO_DOCUMENTO,ID_TIPO,ID_PRODUCTO,CANTIDAD,PRECIO,VALOR_BRUTO,VALOR_NETO,VALOR_IVA) VALUES(1082,1,143,1,8200,8200,6891,1309);</v>
      </c>
    </row>
    <row r="2224" spans="1:12">
      <c r="A2224" s="114">
        <v>1</v>
      </c>
      <c r="B2224" s="114">
        <v>1083</v>
      </c>
      <c r="C2224" s="139" t="s">
        <v>2337</v>
      </c>
      <c r="D2224" s="114" t="s">
        <v>2090</v>
      </c>
      <c r="E2224" s="114">
        <v>300</v>
      </c>
      <c r="F2224" s="114">
        <v>231</v>
      </c>
      <c r="G2224" s="114">
        <v>1</v>
      </c>
      <c r="H2224" s="114">
        <v>20900</v>
      </c>
      <c r="I2224" s="114">
        <v>20900</v>
      </c>
      <c r="J2224" s="114">
        <v>17563</v>
      </c>
      <c r="K2224" s="114">
        <v>3337</v>
      </c>
      <c r="L2224" s="114" t="str">
        <f t="shared" si="34"/>
        <v>INSERT INTO DETALLES_DOCUMENTO(NRO_DOCUMENTO,ID_TIPO,ID_PRODUCTO,CANTIDAD,PRECIO,VALOR_BRUTO,VALOR_NETO,VALOR_IVA) VALUES(1083,1,231,1,20900,20900,17563,3337);</v>
      </c>
    </row>
    <row r="2225" spans="1:12">
      <c r="A2225" s="114">
        <v>1</v>
      </c>
      <c r="B2225" s="114">
        <v>1083</v>
      </c>
      <c r="C2225" s="139" t="s">
        <v>2337</v>
      </c>
      <c r="D2225" s="114" t="s">
        <v>2090</v>
      </c>
      <c r="E2225" s="114">
        <v>300</v>
      </c>
      <c r="F2225" s="114">
        <v>368</v>
      </c>
      <c r="G2225" s="114">
        <v>1</v>
      </c>
      <c r="H2225" s="114">
        <v>3000</v>
      </c>
      <c r="I2225" s="114">
        <v>3000</v>
      </c>
      <c r="J2225" s="114">
        <v>2521</v>
      </c>
      <c r="K2225" s="114">
        <v>479</v>
      </c>
      <c r="L2225" s="114" t="str">
        <f t="shared" si="34"/>
        <v>INSERT INTO DETALLES_DOCUMENTO(NRO_DOCUMENTO,ID_TIPO,ID_PRODUCTO,CANTIDAD,PRECIO,VALOR_BRUTO,VALOR_NETO,VALOR_IVA) VALUES(1083,1,368,1,3000,3000,2521,479);</v>
      </c>
    </row>
    <row r="2226" spans="1:12">
      <c r="A2226" s="114">
        <v>1</v>
      </c>
      <c r="B2226" s="114">
        <v>1083</v>
      </c>
      <c r="C2226" s="139" t="s">
        <v>2337</v>
      </c>
      <c r="D2226" s="114" t="s">
        <v>2090</v>
      </c>
      <c r="E2226" s="114">
        <v>300</v>
      </c>
      <c r="F2226" s="114">
        <v>354</v>
      </c>
      <c r="G2226" s="114">
        <v>1</v>
      </c>
      <c r="H2226" s="114">
        <v>1800</v>
      </c>
      <c r="I2226" s="114">
        <v>1800</v>
      </c>
      <c r="J2226" s="114">
        <v>1513</v>
      </c>
      <c r="K2226" s="114">
        <v>287</v>
      </c>
      <c r="L2226" s="114" t="str">
        <f t="shared" si="34"/>
        <v>INSERT INTO DETALLES_DOCUMENTO(NRO_DOCUMENTO,ID_TIPO,ID_PRODUCTO,CANTIDAD,PRECIO,VALOR_BRUTO,VALOR_NETO,VALOR_IVA) VALUES(1083,1,354,1,1800,1800,1513,287);</v>
      </c>
    </row>
    <row r="2227" spans="1:12">
      <c r="A2227" s="114">
        <v>1</v>
      </c>
      <c r="B2227" s="114">
        <v>1084</v>
      </c>
      <c r="C2227" s="139" t="s">
        <v>2337</v>
      </c>
      <c r="D2227" s="114" t="s">
        <v>2090</v>
      </c>
      <c r="E2227" s="114">
        <v>346</v>
      </c>
      <c r="F2227" s="114">
        <v>322</v>
      </c>
      <c r="G2227" s="114">
        <v>1</v>
      </c>
      <c r="H2227" s="114">
        <v>9000</v>
      </c>
      <c r="I2227" s="114">
        <v>9000</v>
      </c>
      <c r="J2227" s="114">
        <v>7563</v>
      </c>
      <c r="K2227" s="114">
        <v>1437</v>
      </c>
      <c r="L2227" s="114" t="str">
        <f t="shared" si="34"/>
        <v>INSERT INTO DETALLES_DOCUMENTO(NRO_DOCUMENTO,ID_TIPO,ID_PRODUCTO,CANTIDAD,PRECIO,VALOR_BRUTO,VALOR_NETO,VALOR_IVA) VALUES(1084,1,322,1,9000,9000,7563,1437);</v>
      </c>
    </row>
    <row r="2228" spans="1:12">
      <c r="A2228" s="114">
        <v>1</v>
      </c>
      <c r="B2228" s="114">
        <v>1085</v>
      </c>
      <c r="C2228" s="139" t="s">
        <v>2337</v>
      </c>
      <c r="D2228" s="114" t="s">
        <v>2090</v>
      </c>
      <c r="E2228" s="114">
        <v>347</v>
      </c>
      <c r="F2228" s="114">
        <v>261</v>
      </c>
      <c r="G2228" s="114">
        <v>1</v>
      </c>
      <c r="H2228" s="114">
        <v>7000</v>
      </c>
      <c r="I2228" s="114">
        <v>7000</v>
      </c>
      <c r="J2228" s="114">
        <v>5882</v>
      </c>
      <c r="K2228" s="114">
        <v>1118</v>
      </c>
      <c r="L2228" s="114" t="str">
        <f t="shared" si="34"/>
        <v>INSERT INTO DETALLES_DOCUMENTO(NRO_DOCUMENTO,ID_TIPO,ID_PRODUCTO,CANTIDAD,PRECIO,VALOR_BRUTO,VALOR_NETO,VALOR_IVA) VALUES(1085,1,261,1,7000,7000,5882,1118);</v>
      </c>
    </row>
    <row r="2229" spans="1:12">
      <c r="A2229" s="114">
        <v>1</v>
      </c>
      <c r="B2229" s="114">
        <v>1085</v>
      </c>
      <c r="C2229" s="139" t="s">
        <v>2337</v>
      </c>
      <c r="D2229" s="114" t="s">
        <v>2090</v>
      </c>
      <c r="E2229" s="114">
        <v>347</v>
      </c>
      <c r="F2229" s="114">
        <v>97</v>
      </c>
      <c r="G2229" s="114">
        <v>1</v>
      </c>
      <c r="H2229" s="114">
        <v>2000</v>
      </c>
      <c r="I2229" s="114">
        <v>2000</v>
      </c>
      <c r="J2229" s="114">
        <v>1681</v>
      </c>
      <c r="K2229" s="114">
        <v>319</v>
      </c>
      <c r="L2229" s="114" t="str">
        <f t="shared" si="34"/>
        <v>INSERT INTO DETALLES_DOCUMENTO(NRO_DOCUMENTO,ID_TIPO,ID_PRODUCTO,CANTIDAD,PRECIO,VALOR_BRUTO,VALOR_NETO,VALOR_IVA) VALUES(1085,1,97,1,2000,2000,1681,319);</v>
      </c>
    </row>
    <row r="2230" spans="1:12">
      <c r="A2230" s="114">
        <v>1</v>
      </c>
      <c r="B2230" s="114">
        <v>1085</v>
      </c>
      <c r="C2230" s="139" t="s">
        <v>2337</v>
      </c>
      <c r="D2230" s="114" t="s">
        <v>2090</v>
      </c>
      <c r="E2230" s="114">
        <v>347</v>
      </c>
      <c r="F2230" s="114">
        <v>324</v>
      </c>
      <c r="G2230" s="114">
        <v>1</v>
      </c>
      <c r="H2230" s="114">
        <v>11000</v>
      </c>
      <c r="I2230" s="114">
        <v>11000</v>
      </c>
      <c r="J2230" s="114">
        <v>9244</v>
      </c>
      <c r="K2230" s="114">
        <v>1756</v>
      </c>
      <c r="L2230" s="114" t="str">
        <f t="shared" si="34"/>
        <v>INSERT INTO DETALLES_DOCUMENTO(NRO_DOCUMENTO,ID_TIPO,ID_PRODUCTO,CANTIDAD,PRECIO,VALOR_BRUTO,VALOR_NETO,VALOR_IVA) VALUES(1085,1,324,1,11000,11000,9244,1756);</v>
      </c>
    </row>
    <row r="2231" spans="1:12">
      <c r="A2231" s="114">
        <v>1</v>
      </c>
      <c r="B2231" s="114">
        <v>1085</v>
      </c>
      <c r="C2231" s="139" t="s">
        <v>2337</v>
      </c>
      <c r="D2231" s="114" t="s">
        <v>2090</v>
      </c>
      <c r="E2231" s="114">
        <v>347</v>
      </c>
      <c r="F2231" s="114">
        <v>365</v>
      </c>
      <c r="G2231" s="114">
        <v>1</v>
      </c>
      <c r="H2231" s="114">
        <v>3200</v>
      </c>
      <c r="I2231" s="114">
        <v>3200</v>
      </c>
      <c r="J2231" s="114">
        <v>2689</v>
      </c>
      <c r="K2231" s="114">
        <v>511</v>
      </c>
      <c r="L2231" s="114" t="str">
        <f t="shared" si="34"/>
        <v>INSERT INTO DETALLES_DOCUMENTO(NRO_DOCUMENTO,ID_TIPO,ID_PRODUCTO,CANTIDAD,PRECIO,VALOR_BRUTO,VALOR_NETO,VALOR_IVA) VALUES(1085,1,365,1,3200,3200,2689,511);</v>
      </c>
    </row>
    <row r="2232" spans="1:12">
      <c r="A2232" s="114">
        <v>1</v>
      </c>
      <c r="B2232" s="114">
        <v>1085</v>
      </c>
      <c r="C2232" s="139" t="s">
        <v>2337</v>
      </c>
      <c r="D2232" s="114" t="s">
        <v>2090</v>
      </c>
      <c r="E2232" s="114">
        <v>347</v>
      </c>
      <c r="F2232" s="114">
        <v>143</v>
      </c>
      <c r="G2232" s="114">
        <v>1</v>
      </c>
      <c r="H2232" s="114">
        <v>8200</v>
      </c>
      <c r="I2232" s="114">
        <v>8200</v>
      </c>
      <c r="J2232" s="114">
        <v>6891</v>
      </c>
      <c r="K2232" s="114">
        <v>1309</v>
      </c>
      <c r="L2232" s="114" t="str">
        <f t="shared" si="34"/>
        <v>INSERT INTO DETALLES_DOCUMENTO(NRO_DOCUMENTO,ID_TIPO,ID_PRODUCTO,CANTIDAD,PRECIO,VALOR_BRUTO,VALOR_NETO,VALOR_IVA) VALUES(1085,1,143,1,8200,8200,6891,1309);</v>
      </c>
    </row>
    <row r="2233" spans="1:12">
      <c r="A2233" s="114">
        <v>1</v>
      </c>
      <c r="B2233" s="114">
        <v>1086</v>
      </c>
      <c r="C2233" s="139" t="s">
        <v>2338</v>
      </c>
      <c r="D2233" s="114" t="s">
        <v>2090</v>
      </c>
      <c r="E2233" s="114">
        <v>65</v>
      </c>
      <c r="F2233" s="114">
        <v>324</v>
      </c>
      <c r="G2233" s="114">
        <v>1</v>
      </c>
      <c r="H2233" s="114">
        <v>11000</v>
      </c>
      <c r="I2233" s="114">
        <v>11000</v>
      </c>
      <c r="J2233" s="114">
        <v>9244</v>
      </c>
      <c r="K2233" s="114">
        <v>1756</v>
      </c>
      <c r="L2233" s="114" t="str">
        <f t="shared" si="34"/>
        <v>INSERT INTO DETALLES_DOCUMENTO(NRO_DOCUMENTO,ID_TIPO,ID_PRODUCTO,CANTIDAD,PRECIO,VALOR_BRUTO,VALOR_NETO,VALOR_IVA) VALUES(1086,1,324,1,11000,11000,9244,1756);</v>
      </c>
    </row>
    <row r="2234" spans="1:12">
      <c r="A2234" s="114">
        <v>1</v>
      </c>
      <c r="B2234" s="114">
        <v>1087</v>
      </c>
      <c r="C2234" s="139" t="s">
        <v>2338</v>
      </c>
      <c r="D2234" s="114" t="s">
        <v>2090</v>
      </c>
      <c r="E2234" s="114">
        <v>111</v>
      </c>
      <c r="F2234" s="114">
        <v>230</v>
      </c>
      <c r="G2234" s="114">
        <v>1</v>
      </c>
      <c r="H2234" s="114">
        <v>16500</v>
      </c>
      <c r="I2234" s="114">
        <v>16500</v>
      </c>
      <c r="J2234" s="114">
        <v>13866</v>
      </c>
      <c r="K2234" s="114">
        <v>2634</v>
      </c>
      <c r="L2234" s="114" t="str">
        <f t="shared" si="34"/>
        <v>INSERT INTO DETALLES_DOCUMENTO(NRO_DOCUMENTO,ID_TIPO,ID_PRODUCTO,CANTIDAD,PRECIO,VALOR_BRUTO,VALOR_NETO,VALOR_IVA) VALUES(1087,1,230,1,16500,16500,13866,2634);</v>
      </c>
    </row>
    <row r="2235" spans="1:12">
      <c r="A2235" s="114">
        <v>1</v>
      </c>
      <c r="B2235" s="114">
        <v>1088</v>
      </c>
      <c r="C2235" s="139" t="s">
        <v>2338</v>
      </c>
      <c r="D2235" s="114" t="s">
        <v>2090</v>
      </c>
      <c r="E2235" s="114">
        <v>153</v>
      </c>
      <c r="F2235" s="114">
        <v>230</v>
      </c>
      <c r="G2235" s="114">
        <v>1</v>
      </c>
      <c r="H2235" s="114">
        <v>16500</v>
      </c>
      <c r="I2235" s="114">
        <v>16500</v>
      </c>
      <c r="J2235" s="114">
        <v>13866</v>
      </c>
      <c r="K2235" s="114">
        <v>2634</v>
      </c>
      <c r="L2235" s="114" t="str">
        <f t="shared" si="34"/>
        <v>INSERT INTO DETALLES_DOCUMENTO(NRO_DOCUMENTO,ID_TIPO,ID_PRODUCTO,CANTIDAD,PRECIO,VALOR_BRUTO,VALOR_NETO,VALOR_IVA) VALUES(1088,1,230,1,16500,16500,13866,2634);</v>
      </c>
    </row>
    <row r="2236" spans="1:12">
      <c r="A2236" s="114">
        <v>1</v>
      </c>
      <c r="B2236" s="114">
        <v>1089</v>
      </c>
      <c r="C2236" s="139" t="s">
        <v>2338</v>
      </c>
      <c r="D2236" s="114" t="s">
        <v>2090</v>
      </c>
      <c r="E2236" s="114">
        <v>155</v>
      </c>
      <c r="F2236" s="114">
        <v>143</v>
      </c>
      <c r="G2236" s="114">
        <v>1</v>
      </c>
      <c r="H2236" s="114">
        <v>8200</v>
      </c>
      <c r="I2236" s="114">
        <v>8200</v>
      </c>
      <c r="J2236" s="114">
        <v>6891</v>
      </c>
      <c r="K2236" s="114">
        <v>1309</v>
      </c>
      <c r="L2236" s="114" t="str">
        <f t="shared" si="34"/>
        <v>INSERT INTO DETALLES_DOCUMENTO(NRO_DOCUMENTO,ID_TIPO,ID_PRODUCTO,CANTIDAD,PRECIO,VALOR_BRUTO,VALOR_NETO,VALOR_IVA) VALUES(1089,1,143,1,8200,8200,6891,1309);</v>
      </c>
    </row>
    <row r="2237" spans="1:12">
      <c r="A2237" s="114">
        <v>1</v>
      </c>
      <c r="B2237" s="114">
        <v>1090</v>
      </c>
      <c r="C2237" s="139" t="s">
        <v>2338</v>
      </c>
      <c r="D2237" s="114" t="s">
        <v>2090</v>
      </c>
      <c r="E2237" s="114">
        <v>159</v>
      </c>
      <c r="F2237" s="114">
        <v>143</v>
      </c>
      <c r="G2237" s="114">
        <v>1</v>
      </c>
      <c r="H2237" s="114">
        <v>8200</v>
      </c>
      <c r="I2237" s="114">
        <v>8200</v>
      </c>
      <c r="J2237" s="114">
        <v>6891</v>
      </c>
      <c r="K2237" s="114">
        <v>1309</v>
      </c>
      <c r="L2237" s="114" t="str">
        <f t="shared" si="34"/>
        <v>INSERT INTO DETALLES_DOCUMENTO(NRO_DOCUMENTO,ID_TIPO,ID_PRODUCTO,CANTIDAD,PRECIO,VALOR_BRUTO,VALOR_NETO,VALOR_IVA) VALUES(1090,1,143,1,8200,8200,6891,1309);</v>
      </c>
    </row>
    <row r="2238" spans="1:12">
      <c r="A2238" s="114">
        <v>1</v>
      </c>
      <c r="B2238" s="114">
        <v>1090</v>
      </c>
      <c r="C2238" s="139" t="s">
        <v>2338</v>
      </c>
      <c r="D2238" s="114" t="s">
        <v>2090</v>
      </c>
      <c r="E2238" s="114">
        <v>159</v>
      </c>
      <c r="F2238" s="114">
        <v>231</v>
      </c>
      <c r="G2238" s="114">
        <v>1</v>
      </c>
      <c r="H2238" s="114">
        <v>20900</v>
      </c>
      <c r="I2238" s="114">
        <v>20900</v>
      </c>
      <c r="J2238" s="114">
        <v>17563</v>
      </c>
      <c r="K2238" s="114">
        <v>3337</v>
      </c>
      <c r="L2238" s="114" t="str">
        <f t="shared" si="34"/>
        <v>INSERT INTO DETALLES_DOCUMENTO(NRO_DOCUMENTO,ID_TIPO,ID_PRODUCTO,CANTIDAD,PRECIO,VALOR_BRUTO,VALOR_NETO,VALOR_IVA) VALUES(1090,1,231,1,20900,20900,17563,3337);</v>
      </c>
    </row>
    <row r="2239" spans="1:12">
      <c r="A2239" s="114">
        <v>1</v>
      </c>
      <c r="B2239" s="114">
        <v>1090</v>
      </c>
      <c r="C2239" s="139" t="s">
        <v>2338</v>
      </c>
      <c r="D2239" s="114" t="s">
        <v>2090</v>
      </c>
      <c r="E2239" s="114">
        <v>159</v>
      </c>
      <c r="F2239" s="114">
        <v>157</v>
      </c>
      <c r="G2239" s="114">
        <v>1</v>
      </c>
      <c r="H2239" s="114">
        <v>4300</v>
      </c>
      <c r="I2239" s="114">
        <v>4300</v>
      </c>
      <c r="J2239" s="114">
        <v>3613</v>
      </c>
      <c r="K2239" s="114">
        <v>687</v>
      </c>
      <c r="L2239" s="114" t="str">
        <f t="shared" si="34"/>
        <v>INSERT INTO DETALLES_DOCUMENTO(NRO_DOCUMENTO,ID_TIPO,ID_PRODUCTO,CANTIDAD,PRECIO,VALOR_BRUTO,VALOR_NETO,VALOR_IVA) VALUES(1090,1,157,1,4300,4300,3613,687);</v>
      </c>
    </row>
    <row r="2240" spans="1:12">
      <c r="A2240" s="114">
        <v>1</v>
      </c>
      <c r="B2240" s="114">
        <v>1090</v>
      </c>
      <c r="C2240" s="139" t="s">
        <v>2338</v>
      </c>
      <c r="D2240" s="114" t="s">
        <v>2090</v>
      </c>
      <c r="E2240" s="114">
        <v>159</v>
      </c>
      <c r="F2240" s="114">
        <v>57</v>
      </c>
      <c r="G2240" s="114">
        <v>1</v>
      </c>
      <c r="H2240" s="114">
        <v>4000</v>
      </c>
      <c r="I2240" s="114">
        <v>4000</v>
      </c>
      <c r="J2240" s="114">
        <v>3361</v>
      </c>
      <c r="K2240" s="114">
        <v>639</v>
      </c>
      <c r="L2240" s="114" t="str">
        <f t="shared" si="34"/>
        <v>INSERT INTO DETALLES_DOCUMENTO(NRO_DOCUMENTO,ID_TIPO,ID_PRODUCTO,CANTIDAD,PRECIO,VALOR_BRUTO,VALOR_NETO,VALOR_IVA) VALUES(1090,1,57,1,4000,4000,3361,639);</v>
      </c>
    </row>
    <row r="2241" spans="1:12">
      <c r="A2241" s="114">
        <v>1</v>
      </c>
      <c r="B2241" s="114">
        <v>1090</v>
      </c>
      <c r="C2241" s="139" t="s">
        <v>2338</v>
      </c>
      <c r="D2241" s="114" t="s">
        <v>2090</v>
      </c>
      <c r="E2241" s="114">
        <v>159</v>
      </c>
      <c r="F2241" s="114">
        <v>98</v>
      </c>
      <c r="G2241" s="114">
        <v>1</v>
      </c>
      <c r="H2241" s="114">
        <v>3500</v>
      </c>
      <c r="I2241" s="114">
        <v>3500</v>
      </c>
      <c r="J2241" s="114">
        <v>2941</v>
      </c>
      <c r="K2241" s="114">
        <v>559</v>
      </c>
      <c r="L2241" s="114" t="str">
        <f t="shared" si="34"/>
        <v>INSERT INTO DETALLES_DOCUMENTO(NRO_DOCUMENTO,ID_TIPO,ID_PRODUCTO,CANTIDAD,PRECIO,VALOR_BRUTO,VALOR_NETO,VALOR_IVA) VALUES(1090,1,98,1,3500,3500,2941,559);</v>
      </c>
    </row>
    <row r="2242" spans="1:12">
      <c r="A2242" s="114">
        <v>1</v>
      </c>
      <c r="B2242" s="114">
        <v>1090</v>
      </c>
      <c r="C2242" s="139" t="s">
        <v>2338</v>
      </c>
      <c r="D2242" s="114" t="s">
        <v>2090</v>
      </c>
      <c r="E2242" s="114">
        <v>159</v>
      </c>
      <c r="F2242" s="114">
        <v>97</v>
      </c>
      <c r="G2242" s="114">
        <v>1</v>
      </c>
      <c r="H2242" s="114">
        <v>2000</v>
      </c>
      <c r="I2242" s="114">
        <v>2000</v>
      </c>
      <c r="J2242" s="114">
        <v>1681</v>
      </c>
      <c r="K2242" s="114">
        <v>319</v>
      </c>
      <c r="L2242" s="114" t="str">
        <f t="shared" si="34"/>
        <v>INSERT INTO DETALLES_DOCUMENTO(NRO_DOCUMENTO,ID_TIPO,ID_PRODUCTO,CANTIDAD,PRECIO,VALOR_BRUTO,VALOR_NETO,VALOR_IVA) VALUES(1090,1,97,1,2000,2000,1681,319);</v>
      </c>
    </row>
    <row r="2243" spans="1:12">
      <c r="A2243" s="114">
        <v>1</v>
      </c>
      <c r="B2243" s="114">
        <v>1090</v>
      </c>
      <c r="C2243" s="139" t="s">
        <v>2338</v>
      </c>
      <c r="D2243" s="114" t="s">
        <v>2090</v>
      </c>
      <c r="E2243" s="114">
        <v>159</v>
      </c>
      <c r="F2243" s="114">
        <v>165</v>
      </c>
      <c r="G2243" s="114">
        <v>1</v>
      </c>
      <c r="H2243" s="114">
        <v>2000</v>
      </c>
      <c r="I2243" s="114">
        <v>2000</v>
      </c>
      <c r="J2243" s="114">
        <v>1681</v>
      </c>
      <c r="K2243" s="114">
        <v>319</v>
      </c>
      <c r="L2243" s="114" t="str">
        <f t="shared" ref="L2243:L2306" si="35">CONCATENATE("INSERT INTO DETALLES_DOCUMENTO(NRO_DOCUMENTO,ID_TIPO,ID_PRODUCTO,CANTIDAD,PRECIO,VALOR_BRUTO,VALOR_NETO,VALOR_IVA) VALUES(",B2243,",",A2243,",",F2243,",",G2243,",",H2243,",",I2243,",",J2243,",",K2243,");")</f>
        <v>INSERT INTO DETALLES_DOCUMENTO(NRO_DOCUMENTO,ID_TIPO,ID_PRODUCTO,CANTIDAD,PRECIO,VALOR_BRUTO,VALOR_NETO,VALOR_IVA) VALUES(1090,1,165,1,2000,2000,1681,319);</v>
      </c>
    </row>
    <row r="2244" spans="1:12">
      <c r="A2244" s="114">
        <v>1</v>
      </c>
      <c r="B2244" s="114">
        <v>1090</v>
      </c>
      <c r="C2244" s="139" t="s">
        <v>2338</v>
      </c>
      <c r="D2244" s="114" t="s">
        <v>2090</v>
      </c>
      <c r="E2244" s="114">
        <v>159</v>
      </c>
      <c r="F2244" s="114">
        <v>31</v>
      </c>
      <c r="G2244" s="114">
        <v>1</v>
      </c>
      <c r="H2244" s="114">
        <v>3400</v>
      </c>
      <c r="I2244" s="114">
        <v>3400</v>
      </c>
      <c r="J2244" s="114">
        <v>2857</v>
      </c>
      <c r="K2244" s="114">
        <v>543</v>
      </c>
      <c r="L2244" s="114" t="str">
        <f t="shared" si="35"/>
        <v>INSERT INTO DETALLES_DOCUMENTO(NRO_DOCUMENTO,ID_TIPO,ID_PRODUCTO,CANTIDAD,PRECIO,VALOR_BRUTO,VALOR_NETO,VALOR_IVA) VALUES(1090,1,31,1,3400,3400,2857,543);</v>
      </c>
    </row>
    <row r="2245" spans="1:12">
      <c r="A2245" s="114">
        <v>1</v>
      </c>
      <c r="B2245" s="114">
        <v>1090</v>
      </c>
      <c r="C2245" s="139" t="s">
        <v>2338</v>
      </c>
      <c r="D2245" s="114" t="s">
        <v>2090</v>
      </c>
      <c r="E2245" s="114">
        <v>159</v>
      </c>
      <c r="F2245" s="114">
        <v>29</v>
      </c>
      <c r="G2245" s="114">
        <v>1</v>
      </c>
      <c r="H2245" s="114">
        <v>1000</v>
      </c>
      <c r="I2245" s="114">
        <v>1000</v>
      </c>
      <c r="J2245" s="114">
        <v>840</v>
      </c>
      <c r="K2245" s="114">
        <v>160</v>
      </c>
      <c r="L2245" s="114" t="str">
        <f t="shared" si="35"/>
        <v>INSERT INTO DETALLES_DOCUMENTO(NRO_DOCUMENTO,ID_TIPO,ID_PRODUCTO,CANTIDAD,PRECIO,VALOR_BRUTO,VALOR_NETO,VALOR_IVA) VALUES(1090,1,29,1,1000,1000,840,160);</v>
      </c>
    </row>
    <row r="2246" spans="1:12">
      <c r="A2246" s="114">
        <v>1</v>
      </c>
      <c r="B2246" s="114">
        <v>1091</v>
      </c>
      <c r="C2246" s="139" t="s">
        <v>2338</v>
      </c>
      <c r="D2246" s="114" t="s">
        <v>2090</v>
      </c>
      <c r="E2246" s="114">
        <v>192</v>
      </c>
      <c r="F2246" s="114">
        <v>261</v>
      </c>
      <c r="G2246" s="114">
        <v>1</v>
      </c>
      <c r="H2246" s="114">
        <v>7000</v>
      </c>
      <c r="I2246" s="114">
        <v>7000</v>
      </c>
      <c r="J2246" s="114">
        <v>5882</v>
      </c>
      <c r="K2246" s="114">
        <v>1118</v>
      </c>
      <c r="L2246" s="114" t="str">
        <f t="shared" si="35"/>
        <v>INSERT INTO DETALLES_DOCUMENTO(NRO_DOCUMENTO,ID_TIPO,ID_PRODUCTO,CANTIDAD,PRECIO,VALOR_BRUTO,VALOR_NETO,VALOR_IVA) VALUES(1091,1,261,1,7000,7000,5882,1118);</v>
      </c>
    </row>
    <row r="2247" spans="1:12">
      <c r="A2247" s="114">
        <v>1</v>
      </c>
      <c r="B2247" s="114">
        <v>1092</v>
      </c>
      <c r="C2247" s="139" t="s">
        <v>2338</v>
      </c>
      <c r="D2247" s="114" t="s">
        <v>2090</v>
      </c>
      <c r="E2247" s="114">
        <v>278</v>
      </c>
      <c r="F2247" s="114">
        <v>143</v>
      </c>
      <c r="G2247" s="114">
        <v>1</v>
      </c>
      <c r="H2247" s="114">
        <v>8200</v>
      </c>
      <c r="I2247" s="114">
        <v>8200</v>
      </c>
      <c r="J2247" s="114">
        <v>6891</v>
      </c>
      <c r="K2247" s="114">
        <v>1309</v>
      </c>
      <c r="L2247" s="114" t="str">
        <f t="shared" si="35"/>
        <v>INSERT INTO DETALLES_DOCUMENTO(NRO_DOCUMENTO,ID_TIPO,ID_PRODUCTO,CANTIDAD,PRECIO,VALOR_BRUTO,VALOR_NETO,VALOR_IVA) VALUES(1092,1,143,1,8200,8200,6891,1309);</v>
      </c>
    </row>
    <row r="2248" spans="1:12">
      <c r="A2248" s="114">
        <v>1</v>
      </c>
      <c r="B2248" s="114">
        <v>1092</v>
      </c>
      <c r="C2248" s="139" t="s">
        <v>2338</v>
      </c>
      <c r="D2248" s="114" t="s">
        <v>2090</v>
      </c>
      <c r="E2248" s="114">
        <v>278</v>
      </c>
      <c r="F2248" s="114">
        <v>99</v>
      </c>
      <c r="G2248" s="114">
        <v>1</v>
      </c>
      <c r="H2248" s="114">
        <v>1700</v>
      </c>
      <c r="I2248" s="114">
        <v>1700</v>
      </c>
      <c r="J2248" s="114">
        <v>1429</v>
      </c>
      <c r="K2248" s="114">
        <v>271</v>
      </c>
      <c r="L2248" s="114" t="str">
        <f t="shared" si="35"/>
        <v>INSERT INTO DETALLES_DOCUMENTO(NRO_DOCUMENTO,ID_TIPO,ID_PRODUCTO,CANTIDAD,PRECIO,VALOR_BRUTO,VALOR_NETO,VALOR_IVA) VALUES(1092,1,99,1,1700,1700,1429,271);</v>
      </c>
    </row>
    <row r="2249" spans="1:12">
      <c r="A2249" s="114">
        <v>1</v>
      </c>
      <c r="B2249" s="114">
        <v>1092</v>
      </c>
      <c r="C2249" s="139" t="s">
        <v>2338</v>
      </c>
      <c r="D2249" s="114" t="s">
        <v>2090</v>
      </c>
      <c r="E2249" s="114">
        <v>278</v>
      </c>
      <c r="F2249" s="114">
        <v>165</v>
      </c>
      <c r="G2249" s="114">
        <v>1</v>
      </c>
      <c r="H2249" s="114">
        <v>2000</v>
      </c>
      <c r="I2249" s="114">
        <v>2000</v>
      </c>
      <c r="J2249" s="114">
        <v>1681</v>
      </c>
      <c r="K2249" s="114">
        <v>319</v>
      </c>
      <c r="L2249" s="114" t="str">
        <f t="shared" si="35"/>
        <v>INSERT INTO DETALLES_DOCUMENTO(NRO_DOCUMENTO,ID_TIPO,ID_PRODUCTO,CANTIDAD,PRECIO,VALOR_BRUTO,VALOR_NETO,VALOR_IVA) VALUES(1092,1,165,1,2000,2000,1681,319);</v>
      </c>
    </row>
    <row r="2250" spans="1:12">
      <c r="A2250" s="114">
        <v>1</v>
      </c>
      <c r="B2250" s="114">
        <v>1092</v>
      </c>
      <c r="C2250" s="139" t="s">
        <v>2338</v>
      </c>
      <c r="D2250" s="114" t="s">
        <v>2090</v>
      </c>
      <c r="E2250" s="114">
        <v>278</v>
      </c>
      <c r="F2250" s="114">
        <v>117</v>
      </c>
      <c r="G2250" s="114">
        <v>1</v>
      </c>
      <c r="H2250" s="114">
        <v>3500</v>
      </c>
      <c r="I2250" s="114">
        <v>3500</v>
      </c>
      <c r="J2250" s="114">
        <v>2941</v>
      </c>
      <c r="K2250" s="114">
        <v>559</v>
      </c>
      <c r="L2250" s="114" t="str">
        <f t="shared" si="35"/>
        <v>INSERT INTO DETALLES_DOCUMENTO(NRO_DOCUMENTO,ID_TIPO,ID_PRODUCTO,CANTIDAD,PRECIO,VALOR_BRUTO,VALOR_NETO,VALOR_IVA) VALUES(1092,1,117,1,3500,3500,2941,559);</v>
      </c>
    </row>
    <row r="2251" spans="1:12">
      <c r="A2251" s="114">
        <v>1</v>
      </c>
      <c r="B2251" s="114">
        <v>1093</v>
      </c>
      <c r="C2251" s="139" t="s">
        <v>2338</v>
      </c>
      <c r="D2251" s="114" t="s">
        <v>2090</v>
      </c>
      <c r="E2251" s="114">
        <v>322</v>
      </c>
      <c r="F2251" s="114">
        <v>232</v>
      </c>
      <c r="G2251" s="114">
        <v>1</v>
      </c>
      <c r="H2251" s="114">
        <v>12500</v>
      </c>
      <c r="I2251" s="114">
        <v>12500</v>
      </c>
      <c r="J2251" s="114">
        <v>10504</v>
      </c>
      <c r="K2251" s="114">
        <v>1996</v>
      </c>
      <c r="L2251" s="114" t="str">
        <f t="shared" si="35"/>
        <v>INSERT INTO DETALLES_DOCUMENTO(NRO_DOCUMENTO,ID_TIPO,ID_PRODUCTO,CANTIDAD,PRECIO,VALOR_BRUTO,VALOR_NETO,VALOR_IVA) VALUES(1093,1,232,1,12500,12500,10504,1996);</v>
      </c>
    </row>
    <row r="2252" spans="1:12">
      <c r="A2252" s="114">
        <v>1</v>
      </c>
      <c r="B2252" s="114">
        <v>1094</v>
      </c>
      <c r="C2252" s="139" t="s">
        <v>2338</v>
      </c>
      <c r="D2252" s="114" t="s">
        <v>2090</v>
      </c>
      <c r="E2252" s="114">
        <v>397</v>
      </c>
      <c r="F2252" s="114">
        <v>69</v>
      </c>
      <c r="G2252" s="114">
        <v>1</v>
      </c>
      <c r="H2252" s="114">
        <v>3000</v>
      </c>
      <c r="I2252" s="114">
        <v>3000</v>
      </c>
      <c r="J2252" s="114">
        <v>2521</v>
      </c>
      <c r="K2252" s="114">
        <v>479</v>
      </c>
      <c r="L2252" s="114" t="str">
        <f t="shared" si="35"/>
        <v>INSERT INTO DETALLES_DOCUMENTO(NRO_DOCUMENTO,ID_TIPO,ID_PRODUCTO,CANTIDAD,PRECIO,VALOR_BRUTO,VALOR_NETO,VALOR_IVA) VALUES(1094,1,69,1,3000,3000,2521,479);</v>
      </c>
    </row>
    <row r="2253" spans="1:12">
      <c r="A2253" s="114">
        <v>1</v>
      </c>
      <c r="B2253" s="114">
        <v>1095</v>
      </c>
      <c r="C2253" s="139" t="s">
        <v>2338</v>
      </c>
      <c r="D2253" s="114" t="s">
        <v>2090</v>
      </c>
      <c r="E2253" s="114">
        <v>405</v>
      </c>
      <c r="F2253" s="114">
        <v>233</v>
      </c>
      <c r="G2253" s="114">
        <v>1</v>
      </c>
      <c r="H2253" s="114">
        <v>15990</v>
      </c>
      <c r="I2253" s="114">
        <v>15990</v>
      </c>
      <c r="J2253" s="114">
        <v>13437</v>
      </c>
      <c r="K2253" s="114">
        <v>2553</v>
      </c>
      <c r="L2253" s="114" t="str">
        <f t="shared" si="35"/>
        <v>INSERT INTO DETALLES_DOCUMENTO(NRO_DOCUMENTO,ID_TIPO,ID_PRODUCTO,CANTIDAD,PRECIO,VALOR_BRUTO,VALOR_NETO,VALOR_IVA) VALUES(1095,1,233,1,15990,15990,13437,2553);</v>
      </c>
    </row>
    <row r="2254" spans="1:12">
      <c r="A2254" s="114">
        <v>1</v>
      </c>
      <c r="B2254" s="114">
        <v>1095</v>
      </c>
      <c r="C2254" s="139" t="s">
        <v>2338</v>
      </c>
      <c r="D2254" s="114" t="s">
        <v>2090</v>
      </c>
      <c r="E2254" s="114">
        <v>405</v>
      </c>
      <c r="F2254" s="114">
        <v>290</v>
      </c>
      <c r="G2254" s="114">
        <v>1</v>
      </c>
      <c r="H2254" s="114">
        <v>1200</v>
      </c>
      <c r="I2254" s="114">
        <v>1200</v>
      </c>
      <c r="J2254" s="114">
        <v>1008</v>
      </c>
      <c r="K2254" s="114">
        <v>192</v>
      </c>
      <c r="L2254" s="114" t="str">
        <f t="shared" si="35"/>
        <v>INSERT INTO DETALLES_DOCUMENTO(NRO_DOCUMENTO,ID_TIPO,ID_PRODUCTO,CANTIDAD,PRECIO,VALOR_BRUTO,VALOR_NETO,VALOR_IVA) VALUES(1095,1,290,1,1200,1200,1008,192);</v>
      </c>
    </row>
    <row r="2255" spans="1:12">
      <c r="A2255" s="114">
        <v>1</v>
      </c>
      <c r="B2255" s="114">
        <v>1095</v>
      </c>
      <c r="C2255" s="139" t="s">
        <v>2338</v>
      </c>
      <c r="D2255" s="114" t="s">
        <v>2090</v>
      </c>
      <c r="E2255" s="114">
        <v>405</v>
      </c>
      <c r="F2255" s="114">
        <v>69</v>
      </c>
      <c r="G2255" s="114">
        <v>1</v>
      </c>
      <c r="H2255" s="114">
        <v>3000</v>
      </c>
      <c r="I2255" s="114">
        <v>3000</v>
      </c>
      <c r="J2255" s="114">
        <v>2521</v>
      </c>
      <c r="K2255" s="114">
        <v>479</v>
      </c>
      <c r="L2255" s="114" t="str">
        <f t="shared" si="35"/>
        <v>INSERT INTO DETALLES_DOCUMENTO(NRO_DOCUMENTO,ID_TIPO,ID_PRODUCTO,CANTIDAD,PRECIO,VALOR_BRUTO,VALOR_NETO,VALOR_IVA) VALUES(1095,1,69,1,3000,3000,2521,479);</v>
      </c>
    </row>
    <row r="2256" spans="1:12">
      <c r="A2256" s="114">
        <v>1</v>
      </c>
      <c r="B2256" s="114">
        <v>1095</v>
      </c>
      <c r="C2256" s="139" t="s">
        <v>2338</v>
      </c>
      <c r="D2256" s="114" t="s">
        <v>2090</v>
      </c>
      <c r="E2256" s="114">
        <v>405</v>
      </c>
      <c r="F2256" s="114">
        <v>371</v>
      </c>
      <c r="G2256" s="114">
        <v>1</v>
      </c>
      <c r="H2256" s="114">
        <v>9500</v>
      </c>
      <c r="I2256" s="114">
        <v>9500</v>
      </c>
      <c r="J2256" s="114">
        <v>7983</v>
      </c>
      <c r="K2256" s="114">
        <v>1517</v>
      </c>
      <c r="L2256" s="114" t="str">
        <f t="shared" si="35"/>
        <v>INSERT INTO DETALLES_DOCUMENTO(NRO_DOCUMENTO,ID_TIPO,ID_PRODUCTO,CANTIDAD,PRECIO,VALOR_BRUTO,VALOR_NETO,VALOR_IVA) VALUES(1095,1,371,1,9500,9500,7983,1517);</v>
      </c>
    </row>
    <row r="2257" spans="1:12">
      <c r="A2257" s="114">
        <v>1</v>
      </c>
      <c r="B2257" s="114">
        <v>1096</v>
      </c>
      <c r="C2257" s="139" t="s">
        <v>2338</v>
      </c>
      <c r="D2257" s="114" t="s">
        <v>2090</v>
      </c>
      <c r="E2257" s="114">
        <v>411</v>
      </c>
      <c r="F2257" s="114">
        <v>261</v>
      </c>
      <c r="G2257" s="114">
        <v>1</v>
      </c>
      <c r="H2257" s="114">
        <v>7000</v>
      </c>
      <c r="I2257" s="114">
        <v>7000</v>
      </c>
      <c r="J2257" s="114">
        <v>5882</v>
      </c>
      <c r="K2257" s="114">
        <v>1118</v>
      </c>
      <c r="L2257" s="114" t="str">
        <f t="shared" si="35"/>
        <v>INSERT INTO DETALLES_DOCUMENTO(NRO_DOCUMENTO,ID_TIPO,ID_PRODUCTO,CANTIDAD,PRECIO,VALOR_BRUTO,VALOR_NETO,VALOR_IVA) VALUES(1096,1,261,1,7000,7000,5882,1118);</v>
      </c>
    </row>
    <row r="2258" spans="1:12">
      <c r="A2258" s="114">
        <v>1</v>
      </c>
      <c r="B2258" s="114">
        <v>1096</v>
      </c>
      <c r="C2258" s="139" t="s">
        <v>2338</v>
      </c>
      <c r="D2258" s="114" t="s">
        <v>2090</v>
      </c>
      <c r="E2258" s="114">
        <v>411</v>
      </c>
      <c r="F2258" s="114">
        <v>322</v>
      </c>
      <c r="G2258" s="114">
        <v>1</v>
      </c>
      <c r="H2258" s="114">
        <v>9000</v>
      </c>
      <c r="I2258" s="114">
        <v>9000</v>
      </c>
      <c r="J2258" s="114">
        <v>7563</v>
      </c>
      <c r="K2258" s="114">
        <v>1437</v>
      </c>
      <c r="L2258" s="114" t="str">
        <f t="shared" si="35"/>
        <v>INSERT INTO DETALLES_DOCUMENTO(NRO_DOCUMENTO,ID_TIPO,ID_PRODUCTO,CANTIDAD,PRECIO,VALOR_BRUTO,VALOR_NETO,VALOR_IVA) VALUES(1096,1,322,1,9000,9000,7563,1437);</v>
      </c>
    </row>
    <row r="2259" spans="1:12">
      <c r="A2259" s="114">
        <v>1</v>
      </c>
      <c r="B2259" s="114">
        <v>1096</v>
      </c>
      <c r="C2259" s="139" t="s">
        <v>2338</v>
      </c>
      <c r="D2259" s="114" t="s">
        <v>2090</v>
      </c>
      <c r="E2259" s="114">
        <v>411</v>
      </c>
      <c r="F2259" s="114">
        <v>368</v>
      </c>
      <c r="G2259" s="114">
        <v>1</v>
      </c>
      <c r="H2259" s="114">
        <v>3000</v>
      </c>
      <c r="I2259" s="114">
        <v>3000</v>
      </c>
      <c r="J2259" s="114">
        <v>2521</v>
      </c>
      <c r="K2259" s="114">
        <v>479</v>
      </c>
      <c r="L2259" s="114" t="str">
        <f t="shared" si="35"/>
        <v>INSERT INTO DETALLES_DOCUMENTO(NRO_DOCUMENTO,ID_TIPO,ID_PRODUCTO,CANTIDAD,PRECIO,VALOR_BRUTO,VALOR_NETO,VALOR_IVA) VALUES(1096,1,368,1,3000,3000,2521,479);</v>
      </c>
    </row>
    <row r="2260" spans="1:12">
      <c r="A2260" s="114">
        <v>1</v>
      </c>
      <c r="B2260" s="114">
        <v>1096</v>
      </c>
      <c r="C2260" s="139" t="s">
        <v>2338</v>
      </c>
      <c r="D2260" s="114" t="s">
        <v>2090</v>
      </c>
      <c r="E2260" s="114">
        <v>411</v>
      </c>
      <c r="F2260" s="114">
        <v>99</v>
      </c>
      <c r="G2260" s="114">
        <v>1</v>
      </c>
      <c r="H2260" s="114">
        <v>1700</v>
      </c>
      <c r="I2260" s="114">
        <v>1700</v>
      </c>
      <c r="J2260" s="114">
        <v>1429</v>
      </c>
      <c r="K2260" s="114">
        <v>271</v>
      </c>
      <c r="L2260" s="114" t="str">
        <f t="shared" si="35"/>
        <v>INSERT INTO DETALLES_DOCUMENTO(NRO_DOCUMENTO,ID_TIPO,ID_PRODUCTO,CANTIDAD,PRECIO,VALOR_BRUTO,VALOR_NETO,VALOR_IVA) VALUES(1096,1,99,1,1700,1700,1429,271);</v>
      </c>
    </row>
    <row r="2261" spans="1:12">
      <c r="A2261" s="114">
        <v>1</v>
      </c>
      <c r="B2261" s="114">
        <v>1096</v>
      </c>
      <c r="C2261" s="139" t="s">
        <v>2338</v>
      </c>
      <c r="D2261" s="114" t="s">
        <v>2090</v>
      </c>
      <c r="E2261" s="114">
        <v>411</v>
      </c>
      <c r="F2261" s="114">
        <v>384</v>
      </c>
      <c r="G2261" s="114">
        <v>1</v>
      </c>
      <c r="H2261" s="114">
        <v>2750</v>
      </c>
      <c r="I2261" s="114">
        <v>2750</v>
      </c>
      <c r="J2261" s="114">
        <v>2311</v>
      </c>
      <c r="K2261" s="114">
        <v>439</v>
      </c>
      <c r="L2261" s="114" t="str">
        <f t="shared" si="35"/>
        <v>INSERT INTO DETALLES_DOCUMENTO(NRO_DOCUMENTO,ID_TIPO,ID_PRODUCTO,CANTIDAD,PRECIO,VALOR_BRUTO,VALOR_NETO,VALOR_IVA) VALUES(1096,1,384,1,2750,2750,2311,439);</v>
      </c>
    </row>
    <row r="2262" spans="1:12">
      <c r="A2262" s="114">
        <v>1</v>
      </c>
      <c r="B2262" s="114">
        <v>1097</v>
      </c>
      <c r="C2262" s="139" t="s">
        <v>2339</v>
      </c>
      <c r="D2262" s="114" t="s">
        <v>2090</v>
      </c>
      <c r="E2262" s="114">
        <v>231</v>
      </c>
      <c r="F2262" s="114">
        <v>231</v>
      </c>
      <c r="G2262" s="114">
        <v>1</v>
      </c>
      <c r="H2262" s="114">
        <v>20900</v>
      </c>
      <c r="I2262" s="114">
        <v>20900</v>
      </c>
      <c r="J2262" s="114">
        <v>17563</v>
      </c>
      <c r="K2262" s="114">
        <v>3337</v>
      </c>
      <c r="L2262" s="114" t="str">
        <f t="shared" si="35"/>
        <v>INSERT INTO DETALLES_DOCUMENTO(NRO_DOCUMENTO,ID_TIPO,ID_PRODUCTO,CANTIDAD,PRECIO,VALOR_BRUTO,VALOR_NETO,VALOR_IVA) VALUES(1097,1,231,1,20900,20900,17563,3337);</v>
      </c>
    </row>
    <row r="2263" spans="1:12">
      <c r="A2263" s="114">
        <v>1</v>
      </c>
      <c r="B2263" s="114">
        <v>1098</v>
      </c>
      <c r="C2263" s="139" t="s">
        <v>2339</v>
      </c>
      <c r="D2263" s="114" t="s">
        <v>2090</v>
      </c>
      <c r="E2263" s="114">
        <v>278</v>
      </c>
      <c r="F2263" s="114">
        <v>324</v>
      </c>
      <c r="G2263" s="114">
        <v>2</v>
      </c>
      <c r="H2263" s="114">
        <v>22000</v>
      </c>
      <c r="I2263" s="114">
        <v>44000</v>
      </c>
      <c r="J2263" s="114">
        <v>36975</v>
      </c>
      <c r="K2263" s="114">
        <v>7025</v>
      </c>
      <c r="L2263" s="114" t="str">
        <f t="shared" si="35"/>
        <v>INSERT INTO DETALLES_DOCUMENTO(NRO_DOCUMENTO,ID_TIPO,ID_PRODUCTO,CANTIDAD,PRECIO,VALOR_BRUTO,VALOR_NETO,VALOR_IVA) VALUES(1098,1,324,2,22000,44000,36975,7025);</v>
      </c>
    </row>
    <row r="2264" spans="1:12">
      <c r="A2264" s="114">
        <v>1</v>
      </c>
      <c r="B2264" s="114">
        <v>1098</v>
      </c>
      <c r="C2264" s="139" t="s">
        <v>2339</v>
      </c>
      <c r="D2264" s="114" t="s">
        <v>2090</v>
      </c>
      <c r="E2264" s="114">
        <v>278</v>
      </c>
      <c r="F2264" s="114">
        <v>97</v>
      </c>
      <c r="G2264" s="114">
        <v>1</v>
      </c>
      <c r="H2264" s="114">
        <v>2000</v>
      </c>
      <c r="I2264" s="114">
        <v>2000</v>
      </c>
      <c r="J2264" s="114">
        <v>1681</v>
      </c>
      <c r="K2264" s="114">
        <v>319</v>
      </c>
      <c r="L2264" s="114" t="str">
        <f t="shared" si="35"/>
        <v>INSERT INTO DETALLES_DOCUMENTO(NRO_DOCUMENTO,ID_TIPO,ID_PRODUCTO,CANTIDAD,PRECIO,VALOR_BRUTO,VALOR_NETO,VALOR_IVA) VALUES(1098,1,97,1,2000,2000,1681,319);</v>
      </c>
    </row>
    <row r="2265" spans="1:12">
      <c r="A2265" s="114">
        <v>1</v>
      </c>
      <c r="B2265" s="114">
        <v>1098</v>
      </c>
      <c r="C2265" s="139" t="s">
        <v>2339</v>
      </c>
      <c r="D2265" s="114" t="s">
        <v>2090</v>
      </c>
      <c r="E2265" s="114">
        <v>278</v>
      </c>
      <c r="F2265" s="114">
        <v>168</v>
      </c>
      <c r="G2265" s="114">
        <v>1</v>
      </c>
      <c r="H2265" s="114">
        <v>1500</v>
      </c>
      <c r="I2265" s="114">
        <v>1500</v>
      </c>
      <c r="J2265" s="114">
        <v>1261</v>
      </c>
      <c r="K2265" s="114">
        <v>239</v>
      </c>
      <c r="L2265" s="114" t="str">
        <f t="shared" si="35"/>
        <v>INSERT INTO DETALLES_DOCUMENTO(NRO_DOCUMENTO,ID_TIPO,ID_PRODUCTO,CANTIDAD,PRECIO,VALOR_BRUTO,VALOR_NETO,VALOR_IVA) VALUES(1098,1,168,1,1500,1500,1261,239);</v>
      </c>
    </row>
    <row r="2266" spans="1:12">
      <c r="A2266" s="114">
        <v>1</v>
      </c>
      <c r="B2266" s="114">
        <v>1098</v>
      </c>
      <c r="C2266" s="139" t="s">
        <v>2339</v>
      </c>
      <c r="D2266" s="114" t="s">
        <v>2090</v>
      </c>
      <c r="E2266" s="114">
        <v>278</v>
      </c>
      <c r="F2266" s="114">
        <v>157</v>
      </c>
      <c r="G2266" s="114">
        <v>1</v>
      </c>
      <c r="H2266" s="114">
        <v>4300</v>
      </c>
      <c r="I2266" s="114">
        <v>4300</v>
      </c>
      <c r="J2266" s="114">
        <v>3613</v>
      </c>
      <c r="K2266" s="114">
        <v>687</v>
      </c>
      <c r="L2266" s="114" t="str">
        <f t="shared" si="35"/>
        <v>INSERT INTO DETALLES_DOCUMENTO(NRO_DOCUMENTO,ID_TIPO,ID_PRODUCTO,CANTIDAD,PRECIO,VALOR_BRUTO,VALOR_NETO,VALOR_IVA) VALUES(1098,1,157,1,4300,4300,3613,687);</v>
      </c>
    </row>
    <row r="2267" spans="1:12">
      <c r="A2267" s="114">
        <v>1</v>
      </c>
      <c r="B2267" s="114">
        <v>1098</v>
      </c>
      <c r="C2267" s="139" t="s">
        <v>2339</v>
      </c>
      <c r="D2267" s="114" t="s">
        <v>2090</v>
      </c>
      <c r="E2267" s="114">
        <v>278</v>
      </c>
      <c r="F2267" s="114">
        <v>354</v>
      </c>
      <c r="G2267" s="114">
        <v>1</v>
      </c>
      <c r="H2267" s="114">
        <v>1800</v>
      </c>
      <c r="I2267" s="114">
        <v>1800</v>
      </c>
      <c r="J2267" s="114">
        <v>1513</v>
      </c>
      <c r="K2267" s="114">
        <v>287</v>
      </c>
      <c r="L2267" s="114" t="str">
        <f t="shared" si="35"/>
        <v>INSERT INTO DETALLES_DOCUMENTO(NRO_DOCUMENTO,ID_TIPO,ID_PRODUCTO,CANTIDAD,PRECIO,VALOR_BRUTO,VALOR_NETO,VALOR_IVA) VALUES(1098,1,354,1,1800,1800,1513,287);</v>
      </c>
    </row>
    <row r="2268" spans="1:12">
      <c r="A2268" s="114">
        <v>1</v>
      </c>
      <c r="B2268" s="114">
        <v>1099</v>
      </c>
      <c r="C2268" s="139" t="s">
        <v>2340</v>
      </c>
      <c r="D2268" s="114" t="s">
        <v>2090</v>
      </c>
      <c r="E2268" s="114">
        <v>56</v>
      </c>
      <c r="F2268" s="114">
        <v>322</v>
      </c>
      <c r="G2268" s="114">
        <v>1</v>
      </c>
      <c r="H2268" s="114">
        <v>9000</v>
      </c>
      <c r="I2268" s="114">
        <v>9000</v>
      </c>
      <c r="J2268" s="114">
        <v>7563</v>
      </c>
      <c r="K2268" s="114">
        <v>1437</v>
      </c>
      <c r="L2268" s="114" t="str">
        <f t="shared" si="35"/>
        <v>INSERT INTO DETALLES_DOCUMENTO(NRO_DOCUMENTO,ID_TIPO,ID_PRODUCTO,CANTIDAD,PRECIO,VALOR_BRUTO,VALOR_NETO,VALOR_IVA) VALUES(1099,1,322,1,9000,9000,7563,1437);</v>
      </c>
    </row>
    <row r="2269" spans="1:12">
      <c r="A2269" s="114">
        <v>1</v>
      </c>
      <c r="B2269" s="114">
        <v>1099</v>
      </c>
      <c r="C2269" s="139" t="s">
        <v>2340</v>
      </c>
      <c r="D2269" s="114" t="s">
        <v>2090</v>
      </c>
      <c r="E2269" s="114">
        <v>56</v>
      </c>
      <c r="F2269" s="114">
        <v>143</v>
      </c>
      <c r="G2269" s="114">
        <v>1</v>
      </c>
      <c r="H2269" s="114">
        <v>8200</v>
      </c>
      <c r="I2269" s="114">
        <v>8200</v>
      </c>
      <c r="J2269" s="114">
        <v>6891</v>
      </c>
      <c r="K2269" s="114">
        <v>1309</v>
      </c>
      <c r="L2269" s="114" t="str">
        <f t="shared" si="35"/>
        <v>INSERT INTO DETALLES_DOCUMENTO(NRO_DOCUMENTO,ID_TIPO,ID_PRODUCTO,CANTIDAD,PRECIO,VALOR_BRUTO,VALOR_NETO,VALOR_IVA) VALUES(1099,1,143,1,8200,8200,6891,1309);</v>
      </c>
    </row>
    <row r="2270" spans="1:12">
      <c r="A2270" s="114">
        <v>1</v>
      </c>
      <c r="B2270" s="114">
        <v>1100</v>
      </c>
      <c r="C2270" s="139" t="s">
        <v>2340</v>
      </c>
      <c r="D2270" s="114" t="s">
        <v>2090</v>
      </c>
      <c r="E2270" s="114">
        <v>166</v>
      </c>
      <c r="F2270" s="114">
        <v>167</v>
      </c>
      <c r="G2270" s="114">
        <v>1</v>
      </c>
      <c r="H2270" s="114">
        <v>8200</v>
      </c>
      <c r="I2270" s="114">
        <v>8200</v>
      </c>
      <c r="J2270" s="114">
        <v>6891</v>
      </c>
      <c r="K2270" s="114">
        <v>1309</v>
      </c>
      <c r="L2270" s="114" t="str">
        <f t="shared" si="35"/>
        <v>INSERT INTO DETALLES_DOCUMENTO(NRO_DOCUMENTO,ID_TIPO,ID_PRODUCTO,CANTIDAD,PRECIO,VALOR_BRUTO,VALOR_NETO,VALOR_IVA) VALUES(1100,1,167,1,8200,8200,6891,1309);</v>
      </c>
    </row>
    <row r="2271" spans="1:12">
      <c r="A2271" s="114">
        <v>1</v>
      </c>
      <c r="B2271" s="114">
        <v>1101</v>
      </c>
      <c r="C2271" s="139" t="s">
        <v>2340</v>
      </c>
      <c r="D2271" s="114" t="s">
        <v>2090</v>
      </c>
      <c r="E2271" s="114">
        <v>300</v>
      </c>
      <c r="F2271" s="114">
        <v>143</v>
      </c>
      <c r="G2271" s="114">
        <v>1</v>
      </c>
      <c r="H2271" s="114">
        <v>8200</v>
      </c>
      <c r="I2271" s="114">
        <v>8200</v>
      </c>
      <c r="J2271" s="114">
        <v>6891</v>
      </c>
      <c r="K2271" s="114">
        <v>1309</v>
      </c>
      <c r="L2271" s="114" t="str">
        <f t="shared" si="35"/>
        <v>INSERT INTO DETALLES_DOCUMENTO(NRO_DOCUMENTO,ID_TIPO,ID_PRODUCTO,CANTIDAD,PRECIO,VALOR_BRUTO,VALOR_NETO,VALOR_IVA) VALUES(1101,1,143,1,8200,8200,6891,1309);</v>
      </c>
    </row>
    <row r="2272" spans="1:12">
      <c r="A2272" s="114">
        <v>1</v>
      </c>
      <c r="B2272" s="114">
        <v>1101</v>
      </c>
      <c r="C2272" s="139" t="s">
        <v>2340</v>
      </c>
      <c r="D2272" s="114" t="s">
        <v>2090</v>
      </c>
      <c r="E2272" s="114">
        <v>300</v>
      </c>
      <c r="F2272" s="114">
        <v>191</v>
      </c>
      <c r="G2272" s="114">
        <v>2</v>
      </c>
      <c r="H2272" s="114">
        <v>5000</v>
      </c>
      <c r="I2272" s="114">
        <v>10000</v>
      </c>
      <c r="J2272" s="114">
        <v>8403</v>
      </c>
      <c r="K2272" s="114">
        <v>1597</v>
      </c>
      <c r="L2272" s="114" t="str">
        <f t="shared" si="35"/>
        <v>INSERT INTO DETALLES_DOCUMENTO(NRO_DOCUMENTO,ID_TIPO,ID_PRODUCTO,CANTIDAD,PRECIO,VALOR_BRUTO,VALOR_NETO,VALOR_IVA) VALUES(1101,1,191,2,5000,10000,8403,1597);</v>
      </c>
    </row>
    <row r="2273" spans="1:12">
      <c r="A2273" s="114">
        <v>1</v>
      </c>
      <c r="B2273" s="114">
        <v>1101</v>
      </c>
      <c r="C2273" s="139" t="s">
        <v>2340</v>
      </c>
      <c r="D2273" s="114" t="s">
        <v>2090</v>
      </c>
      <c r="E2273" s="114">
        <v>300</v>
      </c>
      <c r="F2273" s="114">
        <v>329</v>
      </c>
      <c r="G2273" s="114">
        <v>1</v>
      </c>
      <c r="H2273" s="114">
        <v>6000</v>
      </c>
      <c r="I2273" s="114">
        <v>6000</v>
      </c>
      <c r="J2273" s="114">
        <v>5042</v>
      </c>
      <c r="K2273" s="114">
        <v>958</v>
      </c>
      <c r="L2273" s="114" t="str">
        <f t="shared" si="35"/>
        <v>INSERT INTO DETALLES_DOCUMENTO(NRO_DOCUMENTO,ID_TIPO,ID_PRODUCTO,CANTIDAD,PRECIO,VALOR_BRUTO,VALOR_NETO,VALOR_IVA) VALUES(1101,1,329,1,6000,6000,5042,958);</v>
      </c>
    </row>
    <row r="2274" spans="1:12">
      <c r="A2274" s="114">
        <v>1</v>
      </c>
      <c r="B2274" s="114">
        <v>1102</v>
      </c>
      <c r="C2274" s="139" t="s">
        <v>2341</v>
      </c>
      <c r="D2274" s="114" t="s">
        <v>2090</v>
      </c>
      <c r="E2274" s="114">
        <v>407</v>
      </c>
      <c r="F2274" s="114">
        <v>143</v>
      </c>
      <c r="G2274" s="114">
        <v>1</v>
      </c>
      <c r="H2274" s="114">
        <v>8200</v>
      </c>
      <c r="I2274" s="114">
        <v>8200</v>
      </c>
      <c r="J2274" s="114">
        <v>6891</v>
      </c>
      <c r="K2274" s="114">
        <v>1309</v>
      </c>
      <c r="L2274" s="114" t="str">
        <f t="shared" si="35"/>
        <v>INSERT INTO DETALLES_DOCUMENTO(NRO_DOCUMENTO,ID_TIPO,ID_PRODUCTO,CANTIDAD,PRECIO,VALOR_BRUTO,VALOR_NETO,VALOR_IVA) VALUES(1102,1,143,1,8200,8200,6891,1309);</v>
      </c>
    </row>
    <row r="2275" spans="1:12">
      <c r="A2275" s="114">
        <v>1</v>
      </c>
      <c r="B2275" s="114">
        <v>1102</v>
      </c>
      <c r="C2275" s="139" t="s">
        <v>2341</v>
      </c>
      <c r="D2275" s="114" t="s">
        <v>2090</v>
      </c>
      <c r="E2275" s="114">
        <v>407</v>
      </c>
      <c r="F2275" s="114">
        <v>118</v>
      </c>
      <c r="G2275" s="114">
        <v>1</v>
      </c>
      <c r="H2275" s="114">
        <v>3500</v>
      </c>
      <c r="I2275" s="114">
        <v>3500</v>
      </c>
      <c r="J2275" s="114">
        <v>2941</v>
      </c>
      <c r="K2275" s="114">
        <v>559</v>
      </c>
      <c r="L2275" s="114" t="str">
        <f t="shared" si="35"/>
        <v>INSERT INTO DETALLES_DOCUMENTO(NRO_DOCUMENTO,ID_TIPO,ID_PRODUCTO,CANTIDAD,PRECIO,VALOR_BRUTO,VALOR_NETO,VALOR_IVA) VALUES(1102,1,118,1,3500,3500,2941,559);</v>
      </c>
    </row>
    <row r="2276" spans="1:12">
      <c r="A2276" s="114">
        <v>1</v>
      </c>
      <c r="B2276" s="114">
        <v>1102</v>
      </c>
      <c r="C2276" s="139" t="s">
        <v>2341</v>
      </c>
      <c r="D2276" s="114" t="s">
        <v>2090</v>
      </c>
      <c r="E2276" s="114">
        <v>407</v>
      </c>
      <c r="F2276" s="114">
        <v>97</v>
      </c>
      <c r="G2276" s="114">
        <v>1</v>
      </c>
      <c r="H2276" s="114">
        <v>2000</v>
      </c>
      <c r="I2276" s="114">
        <v>2000</v>
      </c>
      <c r="J2276" s="114">
        <v>1681</v>
      </c>
      <c r="K2276" s="114">
        <v>319</v>
      </c>
      <c r="L2276" s="114" t="str">
        <f t="shared" si="35"/>
        <v>INSERT INTO DETALLES_DOCUMENTO(NRO_DOCUMENTO,ID_TIPO,ID_PRODUCTO,CANTIDAD,PRECIO,VALOR_BRUTO,VALOR_NETO,VALOR_IVA) VALUES(1102,1,97,1,2000,2000,1681,319);</v>
      </c>
    </row>
    <row r="2277" spans="1:12">
      <c r="A2277" s="114">
        <v>1</v>
      </c>
      <c r="B2277" s="114">
        <v>1102</v>
      </c>
      <c r="C2277" s="139" t="s">
        <v>2341</v>
      </c>
      <c r="D2277" s="114" t="s">
        <v>2090</v>
      </c>
      <c r="E2277" s="114">
        <v>407</v>
      </c>
      <c r="F2277" s="114">
        <v>329</v>
      </c>
      <c r="G2277" s="114">
        <v>1</v>
      </c>
      <c r="H2277" s="114">
        <v>6000</v>
      </c>
      <c r="I2277" s="114">
        <v>6000</v>
      </c>
      <c r="J2277" s="114">
        <v>5042</v>
      </c>
      <c r="K2277" s="114">
        <v>958</v>
      </c>
      <c r="L2277" s="114" t="str">
        <f t="shared" si="35"/>
        <v>INSERT INTO DETALLES_DOCUMENTO(NRO_DOCUMENTO,ID_TIPO,ID_PRODUCTO,CANTIDAD,PRECIO,VALOR_BRUTO,VALOR_NETO,VALOR_IVA) VALUES(1102,1,329,1,6000,6000,5042,958);</v>
      </c>
    </row>
    <row r="2278" spans="1:12">
      <c r="A2278" s="114">
        <v>1</v>
      </c>
      <c r="B2278" s="114">
        <v>1102</v>
      </c>
      <c r="C2278" s="139" t="s">
        <v>2341</v>
      </c>
      <c r="D2278" s="114" t="s">
        <v>2090</v>
      </c>
      <c r="E2278" s="114">
        <v>407</v>
      </c>
      <c r="F2278" s="114">
        <v>354</v>
      </c>
      <c r="G2278" s="114">
        <v>2</v>
      </c>
      <c r="H2278" s="114">
        <v>3600</v>
      </c>
      <c r="I2278" s="114">
        <v>7200</v>
      </c>
      <c r="J2278" s="114">
        <v>6050</v>
      </c>
      <c r="K2278" s="114">
        <v>1150</v>
      </c>
      <c r="L2278" s="114" t="str">
        <f t="shared" si="35"/>
        <v>INSERT INTO DETALLES_DOCUMENTO(NRO_DOCUMENTO,ID_TIPO,ID_PRODUCTO,CANTIDAD,PRECIO,VALOR_BRUTO,VALOR_NETO,VALOR_IVA) VALUES(1102,1,354,2,3600,7200,6050,1150);</v>
      </c>
    </row>
    <row r="2279" spans="1:12">
      <c r="A2279" s="114">
        <v>1</v>
      </c>
      <c r="B2279" s="114">
        <v>1102</v>
      </c>
      <c r="C2279" s="139" t="s">
        <v>2341</v>
      </c>
      <c r="D2279" s="114" t="s">
        <v>2090</v>
      </c>
      <c r="E2279" s="114">
        <v>407</v>
      </c>
      <c r="F2279" s="114">
        <v>29</v>
      </c>
      <c r="G2279" s="114">
        <v>1</v>
      </c>
      <c r="H2279" s="114">
        <v>1000</v>
      </c>
      <c r="I2279" s="114">
        <v>1000</v>
      </c>
      <c r="J2279" s="114">
        <v>840</v>
      </c>
      <c r="K2279" s="114">
        <v>160</v>
      </c>
      <c r="L2279" s="114" t="str">
        <f t="shared" si="35"/>
        <v>INSERT INTO DETALLES_DOCUMENTO(NRO_DOCUMENTO,ID_TIPO,ID_PRODUCTO,CANTIDAD,PRECIO,VALOR_BRUTO,VALOR_NETO,VALOR_IVA) VALUES(1102,1,29,1,1000,1000,840,160);</v>
      </c>
    </row>
    <row r="2280" spans="1:12">
      <c r="A2280" s="114">
        <v>1</v>
      </c>
      <c r="B2280" s="114">
        <v>1102</v>
      </c>
      <c r="C2280" s="139" t="s">
        <v>2341</v>
      </c>
      <c r="D2280" s="114" t="s">
        <v>2090</v>
      </c>
      <c r="E2280" s="114">
        <v>407</v>
      </c>
      <c r="F2280" s="114">
        <v>284</v>
      </c>
      <c r="G2280" s="114">
        <v>1</v>
      </c>
      <c r="H2280" s="114">
        <v>1100</v>
      </c>
      <c r="I2280" s="114">
        <v>1100</v>
      </c>
      <c r="J2280" s="114">
        <v>924</v>
      </c>
      <c r="K2280" s="114">
        <v>176</v>
      </c>
      <c r="L2280" s="114" t="str">
        <f t="shared" si="35"/>
        <v>INSERT INTO DETALLES_DOCUMENTO(NRO_DOCUMENTO,ID_TIPO,ID_PRODUCTO,CANTIDAD,PRECIO,VALOR_BRUTO,VALOR_NETO,VALOR_IVA) VALUES(1102,1,284,1,1100,1100,924,176);</v>
      </c>
    </row>
    <row r="2281" spans="1:12">
      <c r="A2281" s="114">
        <v>1</v>
      </c>
      <c r="B2281" s="114">
        <v>1103</v>
      </c>
      <c r="C2281" s="139" t="s">
        <v>2342</v>
      </c>
      <c r="D2281" s="114" t="s">
        <v>2090</v>
      </c>
      <c r="E2281" s="114">
        <v>76</v>
      </c>
      <c r="F2281" s="114">
        <v>324</v>
      </c>
      <c r="G2281" s="114">
        <v>1</v>
      </c>
      <c r="H2281" s="114">
        <v>11000</v>
      </c>
      <c r="I2281" s="114">
        <v>11000</v>
      </c>
      <c r="J2281" s="114">
        <v>9244</v>
      </c>
      <c r="K2281" s="114">
        <v>1756</v>
      </c>
      <c r="L2281" s="114" t="str">
        <f t="shared" si="35"/>
        <v>INSERT INTO DETALLES_DOCUMENTO(NRO_DOCUMENTO,ID_TIPO,ID_PRODUCTO,CANTIDAD,PRECIO,VALOR_BRUTO,VALOR_NETO,VALOR_IVA) VALUES(1103,1,324,1,11000,11000,9244,1756);</v>
      </c>
    </row>
    <row r="2282" spans="1:12">
      <c r="A2282" s="114">
        <v>1</v>
      </c>
      <c r="B2282" s="114">
        <v>1104</v>
      </c>
      <c r="C2282" s="139" t="s">
        <v>2342</v>
      </c>
      <c r="D2282" s="114" t="s">
        <v>2090</v>
      </c>
      <c r="E2282" s="114">
        <v>98</v>
      </c>
      <c r="F2282" s="114">
        <v>329</v>
      </c>
      <c r="G2282" s="114">
        <v>1</v>
      </c>
      <c r="H2282" s="114">
        <v>6000</v>
      </c>
      <c r="I2282" s="114">
        <v>6000</v>
      </c>
      <c r="J2282" s="114">
        <v>5042</v>
      </c>
      <c r="K2282" s="114">
        <v>958</v>
      </c>
      <c r="L2282" s="114" t="str">
        <f t="shared" si="35"/>
        <v>INSERT INTO DETALLES_DOCUMENTO(NRO_DOCUMENTO,ID_TIPO,ID_PRODUCTO,CANTIDAD,PRECIO,VALOR_BRUTO,VALOR_NETO,VALOR_IVA) VALUES(1104,1,329,1,6000,6000,5042,958);</v>
      </c>
    </row>
    <row r="2283" spans="1:12">
      <c r="A2283" s="114">
        <v>1</v>
      </c>
      <c r="B2283" s="114">
        <v>1105</v>
      </c>
      <c r="C2283" s="139" t="s">
        <v>2342</v>
      </c>
      <c r="D2283" s="114" t="s">
        <v>2090</v>
      </c>
      <c r="E2283" s="114">
        <v>132</v>
      </c>
      <c r="F2283" s="114">
        <v>230</v>
      </c>
      <c r="G2283" s="114">
        <v>1</v>
      </c>
      <c r="H2283" s="114">
        <v>16500</v>
      </c>
      <c r="I2283" s="114">
        <v>16500</v>
      </c>
      <c r="J2283" s="114">
        <v>13866</v>
      </c>
      <c r="K2283" s="114">
        <v>2634</v>
      </c>
      <c r="L2283" s="114" t="str">
        <f t="shared" si="35"/>
        <v>INSERT INTO DETALLES_DOCUMENTO(NRO_DOCUMENTO,ID_TIPO,ID_PRODUCTO,CANTIDAD,PRECIO,VALOR_BRUTO,VALOR_NETO,VALOR_IVA) VALUES(1105,1,230,1,16500,16500,13866,2634);</v>
      </c>
    </row>
    <row r="2284" spans="1:12">
      <c r="A2284" s="114">
        <v>1</v>
      </c>
      <c r="B2284" s="114">
        <v>1106</v>
      </c>
      <c r="C2284" s="139" t="s">
        <v>2342</v>
      </c>
      <c r="D2284" s="114" t="s">
        <v>2090</v>
      </c>
      <c r="E2284" s="114">
        <v>166</v>
      </c>
      <c r="F2284" s="114">
        <v>11</v>
      </c>
      <c r="G2284" s="114">
        <v>1</v>
      </c>
      <c r="H2284" s="114">
        <v>2500</v>
      </c>
      <c r="I2284" s="114">
        <v>2500</v>
      </c>
      <c r="J2284" s="114">
        <v>2101</v>
      </c>
      <c r="K2284" s="114">
        <v>399</v>
      </c>
      <c r="L2284" s="114" t="str">
        <f t="shared" si="35"/>
        <v>INSERT INTO DETALLES_DOCUMENTO(NRO_DOCUMENTO,ID_TIPO,ID_PRODUCTO,CANTIDAD,PRECIO,VALOR_BRUTO,VALOR_NETO,VALOR_IVA) VALUES(1106,1,11,1,2500,2500,2101,399);</v>
      </c>
    </row>
    <row r="2285" spans="1:12">
      <c r="A2285" s="114">
        <v>1</v>
      </c>
      <c r="B2285" s="114">
        <v>1107</v>
      </c>
      <c r="C2285" s="139" t="s">
        <v>2342</v>
      </c>
      <c r="D2285" s="114" t="s">
        <v>2090</v>
      </c>
      <c r="E2285" s="114">
        <v>267</v>
      </c>
      <c r="F2285" s="114">
        <v>255</v>
      </c>
      <c r="G2285" s="114">
        <v>1</v>
      </c>
      <c r="H2285" s="114">
        <v>4000</v>
      </c>
      <c r="I2285" s="114">
        <v>4000</v>
      </c>
      <c r="J2285" s="114">
        <v>3361</v>
      </c>
      <c r="K2285" s="114">
        <v>639</v>
      </c>
      <c r="L2285" s="114" t="str">
        <f t="shared" si="35"/>
        <v>INSERT INTO DETALLES_DOCUMENTO(NRO_DOCUMENTO,ID_TIPO,ID_PRODUCTO,CANTIDAD,PRECIO,VALOR_BRUTO,VALOR_NETO,VALOR_IVA) VALUES(1107,1,255,1,4000,4000,3361,639);</v>
      </c>
    </row>
    <row r="2286" spans="1:12">
      <c r="A2286" s="114">
        <v>1</v>
      </c>
      <c r="B2286" s="114">
        <v>1107</v>
      </c>
      <c r="C2286" s="139" t="s">
        <v>2342</v>
      </c>
      <c r="D2286" s="114" t="s">
        <v>2090</v>
      </c>
      <c r="E2286" s="114">
        <v>267</v>
      </c>
      <c r="F2286" s="114">
        <v>11</v>
      </c>
      <c r="G2286" s="114">
        <v>1</v>
      </c>
      <c r="H2286" s="114">
        <v>2500</v>
      </c>
      <c r="I2286" s="114">
        <v>2500</v>
      </c>
      <c r="J2286" s="114">
        <v>2101</v>
      </c>
      <c r="K2286" s="114">
        <v>399</v>
      </c>
      <c r="L2286" s="114" t="str">
        <f t="shared" si="35"/>
        <v>INSERT INTO DETALLES_DOCUMENTO(NRO_DOCUMENTO,ID_TIPO,ID_PRODUCTO,CANTIDAD,PRECIO,VALOR_BRUTO,VALOR_NETO,VALOR_IVA) VALUES(1107,1,11,1,2500,2500,2101,399);</v>
      </c>
    </row>
    <row r="2287" spans="1:12">
      <c r="A2287" s="114">
        <v>1</v>
      </c>
      <c r="B2287" s="114">
        <v>1108</v>
      </c>
      <c r="C2287" s="139" t="s">
        <v>2342</v>
      </c>
      <c r="D2287" s="114" t="s">
        <v>2090</v>
      </c>
      <c r="E2287" s="114">
        <v>389</v>
      </c>
      <c r="F2287" s="114">
        <v>322</v>
      </c>
      <c r="G2287" s="114">
        <v>1</v>
      </c>
      <c r="H2287" s="114">
        <v>9000</v>
      </c>
      <c r="I2287" s="114">
        <v>9000</v>
      </c>
      <c r="J2287" s="114">
        <v>7563</v>
      </c>
      <c r="K2287" s="114">
        <v>1437</v>
      </c>
      <c r="L2287" s="114" t="str">
        <f t="shared" si="35"/>
        <v>INSERT INTO DETALLES_DOCUMENTO(NRO_DOCUMENTO,ID_TIPO,ID_PRODUCTO,CANTIDAD,PRECIO,VALOR_BRUTO,VALOR_NETO,VALOR_IVA) VALUES(1108,1,322,1,9000,9000,7563,1437);</v>
      </c>
    </row>
    <row r="2288" spans="1:12">
      <c r="A2288" s="114">
        <v>1</v>
      </c>
      <c r="B2288" s="114">
        <v>1109</v>
      </c>
      <c r="C2288" s="139" t="s">
        <v>2343</v>
      </c>
      <c r="D2288" s="114" t="s">
        <v>2090</v>
      </c>
      <c r="E2288" s="114">
        <v>166</v>
      </c>
      <c r="F2288" s="114">
        <v>277</v>
      </c>
      <c r="G2288" s="114">
        <v>1</v>
      </c>
      <c r="H2288" s="114">
        <v>10000</v>
      </c>
      <c r="I2288" s="114">
        <v>10000</v>
      </c>
      <c r="J2288" s="114">
        <v>8403</v>
      </c>
      <c r="K2288" s="114">
        <v>1597</v>
      </c>
      <c r="L2288" s="114" t="str">
        <f t="shared" si="35"/>
        <v>INSERT INTO DETALLES_DOCUMENTO(NRO_DOCUMENTO,ID_TIPO,ID_PRODUCTO,CANTIDAD,PRECIO,VALOR_BRUTO,VALOR_NETO,VALOR_IVA) VALUES(1109,1,277,1,10000,10000,8403,1597);</v>
      </c>
    </row>
    <row r="2289" spans="1:12">
      <c r="A2289" s="114">
        <v>1</v>
      </c>
      <c r="B2289" s="114">
        <v>1110</v>
      </c>
      <c r="C2289" s="139" t="s">
        <v>2343</v>
      </c>
      <c r="D2289" s="114" t="s">
        <v>2090</v>
      </c>
      <c r="E2289" s="114">
        <v>254</v>
      </c>
      <c r="F2289" s="114">
        <v>230</v>
      </c>
      <c r="G2289" s="114">
        <v>2</v>
      </c>
      <c r="H2289" s="114">
        <v>33000</v>
      </c>
      <c r="I2289" s="114">
        <v>66000</v>
      </c>
      <c r="J2289" s="114">
        <v>55462</v>
      </c>
      <c r="K2289" s="114">
        <v>10538</v>
      </c>
      <c r="L2289" s="114" t="str">
        <f t="shared" si="35"/>
        <v>INSERT INTO DETALLES_DOCUMENTO(NRO_DOCUMENTO,ID_TIPO,ID_PRODUCTO,CANTIDAD,PRECIO,VALOR_BRUTO,VALOR_NETO,VALOR_IVA) VALUES(1110,1,230,2,33000,66000,55462,10538);</v>
      </c>
    </row>
    <row r="2290" spans="1:12">
      <c r="A2290" s="114">
        <v>1</v>
      </c>
      <c r="B2290" s="114">
        <v>1110</v>
      </c>
      <c r="C2290" s="139" t="s">
        <v>2343</v>
      </c>
      <c r="D2290" s="114" t="s">
        <v>2090</v>
      </c>
      <c r="E2290" s="114">
        <v>254</v>
      </c>
      <c r="F2290" s="114">
        <v>117</v>
      </c>
      <c r="G2290" s="114">
        <v>1</v>
      </c>
      <c r="H2290" s="114">
        <v>3500</v>
      </c>
      <c r="I2290" s="114">
        <v>3500</v>
      </c>
      <c r="J2290" s="114">
        <v>2941</v>
      </c>
      <c r="K2290" s="114">
        <v>559</v>
      </c>
      <c r="L2290" s="114" t="str">
        <f t="shared" si="35"/>
        <v>INSERT INTO DETALLES_DOCUMENTO(NRO_DOCUMENTO,ID_TIPO,ID_PRODUCTO,CANTIDAD,PRECIO,VALOR_BRUTO,VALOR_NETO,VALOR_IVA) VALUES(1110,1,117,1,3500,3500,2941,559);</v>
      </c>
    </row>
    <row r="2291" spans="1:12">
      <c r="A2291" s="114">
        <v>1</v>
      </c>
      <c r="B2291" s="114">
        <v>1110</v>
      </c>
      <c r="C2291" s="139" t="s">
        <v>2343</v>
      </c>
      <c r="D2291" s="114" t="s">
        <v>2090</v>
      </c>
      <c r="E2291" s="114">
        <v>254</v>
      </c>
      <c r="F2291" s="114">
        <v>165</v>
      </c>
      <c r="G2291" s="114">
        <v>1</v>
      </c>
      <c r="H2291" s="114">
        <v>2000</v>
      </c>
      <c r="I2291" s="114">
        <v>2000</v>
      </c>
      <c r="J2291" s="114">
        <v>1681</v>
      </c>
      <c r="K2291" s="114">
        <v>319</v>
      </c>
      <c r="L2291" s="114" t="str">
        <f t="shared" si="35"/>
        <v>INSERT INTO DETALLES_DOCUMENTO(NRO_DOCUMENTO,ID_TIPO,ID_PRODUCTO,CANTIDAD,PRECIO,VALOR_BRUTO,VALOR_NETO,VALOR_IVA) VALUES(1110,1,165,1,2000,2000,1681,319);</v>
      </c>
    </row>
    <row r="2292" spans="1:12">
      <c r="A2292" s="114">
        <v>1</v>
      </c>
      <c r="B2292" s="114">
        <v>1111</v>
      </c>
      <c r="C2292" s="139" t="s">
        <v>2343</v>
      </c>
      <c r="D2292" s="114" t="s">
        <v>2090</v>
      </c>
      <c r="E2292" s="114">
        <v>363</v>
      </c>
      <c r="F2292" s="114">
        <v>143</v>
      </c>
      <c r="G2292" s="114">
        <v>1</v>
      </c>
      <c r="H2292" s="114">
        <v>8200</v>
      </c>
      <c r="I2292" s="114">
        <v>8200</v>
      </c>
      <c r="J2292" s="114">
        <v>6891</v>
      </c>
      <c r="K2292" s="114">
        <v>1309</v>
      </c>
      <c r="L2292" s="114" t="str">
        <f t="shared" si="35"/>
        <v>INSERT INTO DETALLES_DOCUMENTO(NRO_DOCUMENTO,ID_TIPO,ID_PRODUCTO,CANTIDAD,PRECIO,VALOR_BRUTO,VALOR_NETO,VALOR_IVA) VALUES(1111,1,143,1,8200,8200,6891,1309);</v>
      </c>
    </row>
    <row r="2293" spans="1:12">
      <c r="A2293" s="114">
        <v>1</v>
      </c>
      <c r="B2293" s="114">
        <v>1112</v>
      </c>
      <c r="C2293" s="139" t="s">
        <v>2343</v>
      </c>
      <c r="D2293" s="114" t="s">
        <v>2090</v>
      </c>
      <c r="E2293" s="114">
        <v>451</v>
      </c>
      <c r="F2293" s="114">
        <v>329</v>
      </c>
      <c r="G2293" s="114">
        <v>1</v>
      </c>
      <c r="H2293" s="114">
        <v>6000</v>
      </c>
      <c r="I2293" s="114">
        <v>6000</v>
      </c>
      <c r="J2293" s="114">
        <v>5042</v>
      </c>
      <c r="K2293" s="114">
        <v>958</v>
      </c>
      <c r="L2293" s="114" t="str">
        <f t="shared" si="35"/>
        <v>INSERT INTO DETALLES_DOCUMENTO(NRO_DOCUMENTO,ID_TIPO,ID_PRODUCTO,CANTIDAD,PRECIO,VALOR_BRUTO,VALOR_NETO,VALOR_IVA) VALUES(1112,1,329,1,6000,6000,5042,958);</v>
      </c>
    </row>
    <row r="2294" spans="1:12">
      <c r="A2294" s="114">
        <v>1</v>
      </c>
      <c r="B2294" s="114">
        <v>1112</v>
      </c>
      <c r="C2294" s="139" t="s">
        <v>2343</v>
      </c>
      <c r="D2294" s="114" t="s">
        <v>2090</v>
      </c>
      <c r="E2294" s="114">
        <v>451</v>
      </c>
      <c r="F2294" s="114">
        <v>118</v>
      </c>
      <c r="G2294" s="114">
        <v>1</v>
      </c>
      <c r="H2294" s="114">
        <v>3500</v>
      </c>
      <c r="I2294" s="114">
        <v>3500</v>
      </c>
      <c r="J2294" s="114">
        <v>2941</v>
      </c>
      <c r="K2294" s="114">
        <v>559</v>
      </c>
      <c r="L2294" s="114" t="str">
        <f t="shared" si="35"/>
        <v>INSERT INTO DETALLES_DOCUMENTO(NRO_DOCUMENTO,ID_TIPO,ID_PRODUCTO,CANTIDAD,PRECIO,VALOR_BRUTO,VALOR_NETO,VALOR_IVA) VALUES(1112,1,118,1,3500,3500,2941,559);</v>
      </c>
    </row>
    <row r="2295" spans="1:12">
      <c r="A2295" s="114">
        <v>1</v>
      </c>
      <c r="B2295" s="114">
        <v>1112</v>
      </c>
      <c r="C2295" s="139" t="s">
        <v>2343</v>
      </c>
      <c r="D2295" s="114" t="s">
        <v>2090</v>
      </c>
      <c r="E2295" s="114">
        <v>451</v>
      </c>
      <c r="F2295" s="114">
        <v>165</v>
      </c>
      <c r="G2295" s="114">
        <v>1</v>
      </c>
      <c r="H2295" s="114">
        <v>2000</v>
      </c>
      <c r="I2295" s="114">
        <v>2000</v>
      </c>
      <c r="J2295" s="114">
        <v>1681</v>
      </c>
      <c r="K2295" s="114">
        <v>319</v>
      </c>
      <c r="L2295" s="114" t="str">
        <f t="shared" si="35"/>
        <v>INSERT INTO DETALLES_DOCUMENTO(NRO_DOCUMENTO,ID_TIPO,ID_PRODUCTO,CANTIDAD,PRECIO,VALOR_BRUTO,VALOR_NETO,VALOR_IVA) VALUES(1112,1,165,1,2000,2000,1681,319);</v>
      </c>
    </row>
    <row r="2296" spans="1:12">
      <c r="A2296" s="114">
        <v>1</v>
      </c>
      <c r="B2296" s="114">
        <v>1113</v>
      </c>
      <c r="C2296" s="139" t="s">
        <v>2343</v>
      </c>
      <c r="D2296" s="114" t="s">
        <v>2090</v>
      </c>
      <c r="E2296" s="114">
        <v>459</v>
      </c>
      <c r="F2296" s="114">
        <v>230</v>
      </c>
      <c r="G2296" s="114">
        <v>1</v>
      </c>
      <c r="H2296" s="114">
        <v>16500</v>
      </c>
      <c r="I2296" s="114">
        <v>16500</v>
      </c>
      <c r="J2296" s="114">
        <v>13866</v>
      </c>
      <c r="K2296" s="114">
        <v>2634</v>
      </c>
      <c r="L2296" s="114" t="str">
        <f t="shared" si="35"/>
        <v>INSERT INTO DETALLES_DOCUMENTO(NRO_DOCUMENTO,ID_TIPO,ID_PRODUCTO,CANTIDAD,PRECIO,VALOR_BRUTO,VALOR_NETO,VALOR_IVA) VALUES(1113,1,230,1,16500,16500,13866,2634);</v>
      </c>
    </row>
    <row r="2297" spans="1:12">
      <c r="A2297" s="114">
        <v>1</v>
      </c>
      <c r="B2297" s="114">
        <v>1113</v>
      </c>
      <c r="C2297" s="139" t="s">
        <v>2343</v>
      </c>
      <c r="D2297" s="114" t="s">
        <v>2090</v>
      </c>
      <c r="E2297" s="114">
        <v>459</v>
      </c>
      <c r="F2297" s="114">
        <v>117</v>
      </c>
      <c r="G2297" s="114">
        <v>1</v>
      </c>
      <c r="H2297" s="114">
        <v>3500</v>
      </c>
      <c r="I2297" s="114">
        <v>3500</v>
      </c>
      <c r="J2297" s="114">
        <v>2941</v>
      </c>
      <c r="K2297" s="114">
        <v>559</v>
      </c>
      <c r="L2297" s="114" t="str">
        <f t="shared" si="35"/>
        <v>INSERT INTO DETALLES_DOCUMENTO(NRO_DOCUMENTO,ID_TIPO,ID_PRODUCTO,CANTIDAD,PRECIO,VALOR_BRUTO,VALOR_NETO,VALOR_IVA) VALUES(1113,1,117,1,3500,3500,2941,559);</v>
      </c>
    </row>
    <row r="2298" spans="1:12">
      <c r="A2298" s="114">
        <v>1</v>
      </c>
      <c r="B2298" s="114">
        <v>1114</v>
      </c>
      <c r="C2298" s="139" t="s">
        <v>2343</v>
      </c>
      <c r="D2298" s="114" t="s">
        <v>2090</v>
      </c>
      <c r="E2298" s="114">
        <v>476</v>
      </c>
      <c r="F2298" s="114">
        <v>329</v>
      </c>
      <c r="G2298" s="114">
        <v>1</v>
      </c>
      <c r="H2298" s="114">
        <v>6000</v>
      </c>
      <c r="I2298" s="114">
        <v>6000</v>
      </c>
      <c r="J2298" s="114">
        <v>5042</v>
      </c>
      <c r="K2298" s="114">
        <v>958</v>
      </c>
      <c r="L2298" s="114" t="str">
        <f t="shared" si="35"/>
        <v>INSERT INTO DETALLES_DOCUMENTO(NRO_DOCUMENTO,ID_TIPO,ID_PRODUCTO,CANTIDAD,PRECIO,VALOR_BRUTO,VALOR_NETO,VALOR_IVA) VALUES(1114,1,329,1,6000,6000,5042,958);</v>
      </c>
    </row>
    <row r="2299" spans="1:12">
      <c r="A2299" s="114">
        <v>1</v>
      </c>
      <c r="B2299" s="114">
        <v>1114</v>
      </c>
      <c r="C2299" s="139" t="s">
        <v>2343</v>
      </c>
      <c r="D2299" s="114" t="s">
        <v>2090</v>
      </c>
      <c r="E2299" s="114">
        <v>476</v>
      </c>
      <c r="F2299" s="114">
        <v>143</v>
      </c>
      <c r="G2299" s="114">
        <v>1</v>
      </c>
      <c r="H2299" s="114">
        <v>8200</v>
      </c>
      <c r="I2299" s="114">
        <v>8200</v>
      </c>
      <c r="J2299" s="114">
        <v>6891</v>
      </c>
      <c r="K2299" s="114">
        <v>1309</v>
      </c>
      <c r="L2299" s="114" t="str">
        <f t="shared" si="35"/>
        <v>INSERT INTO DETALLES_DOCUMENTO(NRO_DOCUMENTO,ID_TIPO,ID_PRODUCTO,CANTIDAD,PRECIO,VALOR_BRUTO,VALOR_NETO,VALOR_IVA) VALUES(1114,1,143,1,8200,8200,6891,1309);</v>
      </c>
    </row>
    <row r="2300" spans="1:12">
      <c r="A2300" s="114">
        <v>1</v>
      </c>
      <c r="B2300" s="114">
        <v>1115</v>
      </c>
      <c r="C2300" s="139" t="s">
        <v>2344</v>
      </c>
      <c r="D2300" s="114" t="s">
        <v>2090</v>
      </c>
      <c r="E2300" s="114">
        <v>349</v>
      </c>
      <c r="F2300" s="114">
        <v>290</v>
      </c>
      <c r="G2300" s="114">
        <v>2</v>
      </c>
      <c r="H2300" s="114">
        <v>2400</v>
      </c>
      <c r="I2300" s="114">
        <v>4800</v>
      </c>
      <c r="J2300" s="114">
        <v>4034</v>
      </c>
      <c r="K2300" s="114">
        <v>766</v>
      </c>
      <c r="L2300" s="114" t="str">
        <f t="shared" si="35"/>
        <v>INSERT INTO DETALLES_DOCUMENTO(NRO_DOCUMENTO,ID_TIPO,ID_PRODUCTO,CANTIDAD,PRECIO,VALOR_BRUTO,VALOR_NETO,VALOR_IVA) VALUES(1115,1,290,2,2400,4800,4034,766);</v>
      </c>
    </row>
    <row r="2301" spans="1:12">
      <c r="A2301" s="114">
        <v>1</v>
      </c>
      <c r="B2301" s="114">
        <v>1116</v>
      </c>
      <c r="C2301" s="139" t="s">
        <v>2345</v>
      </c>
      <c r="D2301" s="114" t="s">
        <v>2090</v>
      </c>
      <c r="E2301" s="114">
        <v>402</v>
      </c>
      <c r="F2301" s="114">
        <v>143</v>
      </c>
      <c r="G2301" s="114">
        <v>1</v>
      </c>
      <c r="H2301" s="114">
        <v>8200</v>
      </c>
      <c r="I2301" s="114">
        <v>8200</v>
      </c>
      <c r="J2301" s="114">
        <v>6891</v>
      </c>
      <c r="K2301" s="114">
        <v>1309</v>
      </c>
      <c r="L2301" s="114" t="str">
        <f t="shared" si="35"/>
        <v>INSERT INTO DETALLES_DOCUMENTO(NRO_DOCUMENTO,ID_TIPO,ID_PRODUCTO,CANTIDAD,PRECIO,VALOR_BRUTO,VALOR_NETO,VALOR_IVA) VALUES(1116,1,143,1,8200,8200,6891,1309);</v>
      </c>
    </row>
    <row r="2302" spans="1:12">
      <c r="A2302" s="114">
        <v>1</v>
      </c>
      <c r="B2302" s="114">
        <v>1117</v>
      </c>
      <c r="C2302" s="139" t="s">
        <v>2346</v>
      </c>
      <c r="D2302" s="114" t="s">
        <v>2090</v>
      </c>
      <c r="E2302" s="114">
        <v>202</v>
      </c>
      <c r="F2302" s="114">
        <v>143</v>
      </c>
      <c r="G2302" s="114">
        <v>1</v>
      </c>
      <c r="H2302" s="114">
        <v>8200</v>
      </c>
      <c r="I2302" s="114">
        <v>8200</v>
      </c>
      <c r="J2302" s="114">
        <v>6891</v>
      </c>
      <c r="K2302" s="114">
        <v>1309</v>
      </c>
      <c r="L2302" s="114" t="str">
        <f t="shared" si="35"/>
        <v>INSERT INTO DETALLES_DOCUMENTO(NRO_DOCUMENTO,ID_TIPO,ID_PRODUCTO,CANTIDAD,PRECIO,VALOR_BRUTO,VALOR_NETO,VALOR_IVA) VALUES(1117,1,143,1,8200,8200,6891,1309);</v>
      </c>
    </row>
    <row r="2303" spans="1:12">
      <c r="A2303" s="114">
        <v>1</v>
      </c>
      <c r="B2303" s="114">
        <v>1117</v>
      </c>
      <c r="C2303" s="139" t="s">
        <v>2346</v>
      </c>
      <c r="D2303" s="114" t="s">
        <v>2090</v>
      </c>
      <c r="E2303" s="114">
        <v>202</v>
      </c>
      <c r="F2303" s="114">
        <v>324</v>
      </c>
      <c r="G2303" s="114">
        <v>1</v>
      </c>
      <c r="H2303" s="114">
        <v>11000</v>
      </c>
      <c r="I2303" s="114">
        <v>11000</v>
      </c>
      <c r="J2303" s="114">
        <v>9244</v>
      </c>
      <c r="K2303" s="114">
        <v>1756</v>
      </c>
      <c r="L2303" s="114" t="str">
        <f t="shared" si="35"/>
        <v>INSERT INTO DETALLES_DOCUMENTO(NRO_DOCUMENTO,ID_TIPO,ID_PRODUCTO,CANTIDAD,PRECIO,VALOR_BRUTO,VALOR_NETO,VALOR_IVA) VALUES(1117,1,324,1,11000,11000,9244,1756);</v>
      </c>
    </row>
    <row r="2304" spans="1:12">
      <c r="A2304" s="114">
        <v>1</v>
      </c>
      <c r="B2304" s="114">
        <v>1118</v>
      </c>
      <c r="C2304" s="139" t="s">
        <v>2346</v>
      </c>
      <c r="D2304" s="114" t="s">
        <v>2090</v>
      </c>
      <c r="E2304" s="114">
        <v>212</v>
      </c>
      <c r="F2304" s="114">
        <v>233</v>
      </c>
      <c r="G2304" s="114">
        <v>1</v>
      </c>
      <c r="H2304" s="114">
        <v>15990</v>
      </c>
      <c r="I2304" s="114">
        <v>15990</v>
      </c>
      <c r="J2304" s="114">
        <v>13437</v>
      </c>
      <c r="K2304" s="114">
        <v>2553</v>
      </c>
      <c r="L2304" s="114" t="str">
        <f t="shared" si="35"/>
        <v>INSERT INTO DETALLES_DOCUMENTO(NRO_DOCUMENTO,ID_TIPO,ID_PRODUCTO,CANTIDAD,PRECIO,VALOR_BRUTO,VALOR_NETO,VALOR_IVA) VALUES(1118,1,233,1,15990,15990,13437,2553);</v>
      </c>
    </row>
    <row r="2305" spans="1:12">
      <c r="A2305" s="114">
        <v>1</v>
      </c>
      <c r="B2305" s="114">
        <v>1118</v>
      </c>
      <c r="C2305" s="139" t="s">
        <v>2346</v>
      </c>
      <c r="D2305" s="114" t="s">
        <v>2090</v>
      </c>
      <c r="E2305" s="114">
        <v>212</v>
      </c>
      <c r="F2305" s="114">
        <v>118</v>
      </c>
      <c r="G2305" s="114">
        <v>1</v>
      </c>
      <c r="H2305" s="114">
        <v>3500</v>
      </c>
      <c r="I2305" s="114">
        <v>3500</v>
      </c>
      <c r="J2305" s="114">
        <v>2941</v>
      </c>
      <c r="K2305" s="114">
        <v>559</v>
      </c>
      <c r="L2305" s="114" t="str">
        <f t="shared" si="35"/>
        <v>INSERT INTO DETALLES_DOCUMENTO(NRO_DOCUMENTO,ID_TIPO,ID_PRODUCTO,CANTIDAD,PRECIO,VALOR_BRUTO,VALOR_NETO,VALOR_IVA) VALUES(1118,1,118,1,3500,3500,2941,559);</v>
      </c>
    </row>
    <row r="2306" spans="1:12">
      <c r="A2306" s="114">
        <v>1</v>
      </c>
      <c r="B2306" s="114">
        <v>1119</v>
      </c>
      <c r="C2306" s="139" t="s">
        <v>2346</v>
      </c>
      <c r="D2306" s="114" t="s">
        <v>2090</v>
      </c>
      <c r="E2306" s="114">
        <v>263</v>
      </c>
      <c r="F2306" s="114">
        <v>143</v>
      </c>
      <c r="G2306" s="114">
        <v>1</v>
      </c>
      <c r="H2306" s="114">
        <v>8200</v>
      </c>
      <c r="I2306" s="114">
        <v>8200</v>
      </c>
      <c r="J2306" s="114">
        <v>6891</v>
      </c>
      <c r="K2306" s="114">
        <v>1309</v>
      </c>
      <c r="L2306" s="114" t="str">
        <f t="shared" si="35"/>
        <v>INSERT INTO DETALLES_DOCUMENTO(NRO_DOCUMENTO,ID_TIPO,ID_PRODUCTO,CANTIDAD,PRECIO,VALOR_BRUTO,VALOR_NETO,VALOR_IVA) VALUES(1119,1,143,1,8200,8200,6891,1309);</v>
      </c>
    </row>
    <row r="2307" spans="1:12">
      <c r="A2307" s="114">
        <v>1</v>
      </c>
      <c r="B2307" s="114">
        <v>1120</v>
      </c>
      <c r="C2307" s="139" t="s">
        <v>2346</v>
      </c>
      <c r="D2307" s="114" t="s">
        <v>2090</v>
      </c>
      <c r="E2307" s="114">
        <v>303</v>
      </c>
      <c r="F2307" s="114">
        <v>230</v>
      </c>
      <c r="G2307" s="114">
        <v>1</v>
      </c>
      <c r="H2307" s="114">
        <v>16500</v>
      </c>
      <c r="I2307" s="114">
        <v>16500</v>
      </c>
      <c r="J2307" s="114">
        <v>13866</v>
      </c>
      <c r="K2307" s="114">
        <v>2634</v>
      </c>
      <c r="L2307" s="114" t="str">
        <f t="shared" ref="L2307:L2370" si="36">CONCATENATE("INSERT INTO DETALLES_DOCUMENTO(NRO_DOCUMENTO,ID_TIPO,ID_PRODUCTO,CANTIDAD,PRECIO,VALOR_BRUTO,VALOR_NETO,VALOR_IVA) VALUES(",B2307,",",A2307,",",F2307,",",G2307,",",H2307,",",I2307,",",J2307,",",K2307,");")</f>
        <v>INSERT INTO DETALLES_DOCUMENTO(NRO_DOCUMENTO,ID_TIPO,ID_PRODUCTO,CANTIDAD,PRECIO,VALOR_BRUTO,VALOR_NETO,VALOR_IVA) VALUES(1120,1,230,1,16500,16500,13866,2634);</v>
      </c>
    </row>
    <row r="2308" spans="1:12">
      <c r="A2308" s="114">
        <v>1</v>
      </c>
      <c r="B2308" s="114">
        <v>1120</v>
      </c>
      <c r="C2308" s="139" t="s">
        <v>2346</v>
      </c>
      <c r="D2308" s="114" t="s">
        <v>2090</v>
      </c>
      <c r="E2308" s="114">
        <v>303</v>
      </c>
      <c r="F2308" s="114">
        <v>244</v>
      </c>
      <c r="G2308" s="114">
        <v>1</v>
      </c>
      <c r="H2308" s="114">
        <v>14900</v>
      </c>
      <c r="I2308" s="114">
        <v>14900</v>
      </c>
      <c r="J2308" s="114">
        <v>12521</v>
      </c>
      <c r="K2308" s="114">
        <v>2379</v>
      </c>
      <c r="L2308" s="114" t="str">
        <f t="shared" si="36"/>
        <v>INSERT INTO DETALLES_DOCUMENTO(NRO_DOCUMENTO,ID_TIPO,ID_PRODUCTO,CANTIDAD,PRECIO,VALOR_BRUTO,VALOR_NETO,VALOR_IVA) VALUES(1120,1,244,1,14900,14900,12521,2379);</v>
      </c>
    </row>
    <row r="2309" spans="1:12">
      <c r="A2309" s="114">
        <v>1</v>
      </c>
      <c r="B2309" s="114">
        <v>1120</v>
      </c>
      <c r="C2309" s="139" t="s">
        <v>2346</v>
      </c>
      <c r="D2309" s="114" t="s">
        <v>2090</v>
      </c>
      <c r="E2309" s="114">
        <v>303</v>
      </c>
      <c r="F2309" s="114">
        <v>354</v>
      </c>
      <c r="G2309" s="114">
        <v>1</v>
      </c>
      <c r="H2309" s="114">
        <v>1800</v>
      </c>
      <c r="I2309" s="114">
        <v>1800</v>
      </c>
      <c r="J2309" s="114">
        <v>1513</v>
      </c>
      <c r="K2309" s="114">
        <v>287</v>
      </c>
      <c r="L2309" s="114" t="str">
        <f t="shared" si="36"/>
        <v>INSERT INTO DETALLES_DOCUMENTO(NRO_DOCUMENTO,ID_TIPO,ID_PRODUCTO,CANTIDAD,PRECIO,VALOR_BRUTO,VALOR_NETO,VALOR_IVA) VALUES(1120,1,354,1,1800,1800,1513,287);</v>
      </c>
    </row>
    <row r="2310" spans="1:12">
      <c r="A2310" s="114">
        <v>1</v>
      </c>
      <c r="B2310" s="114">
        <v>1121</v>
      </c>
      <c r="C2310" s="139" t="s">
        <v>2346</v>
      </c>
      <c r="D2310" s="114" t="s">
        <v>2090</v>
      </c>
      <c r="E2310" s="114">
        <v>343</v>
      </c>
      <c r="F2310" s="114">
        <v>143</v>
      </c>
      <c r="G2310" s="114">
        <v>2</v>
      </c>
      <c r="H2310" s="114">
        <v>16400</v>
      </c>
      <c r="I2310" s="114">
        <v>32800</v>
      </c>
      <c r="J2310" s="114">
        <v>27563</v>
      </c>
      <c r="K2310" s="114">
        <v>5237</v>
      </c>
      <c r="L2310" s="114" t="str">
        <f t="shared" si="36"/>
        <v>INSERT INTO DETALLES_DOCUMENTO(NRO_DOCUMENTO,ID_TIPO,ID_PRODUCTO,CANTIDAD,PRECIO,VALOR_BRUTO,VALOR_NETO,VALOR_IVA) VALUES(1121,1,143,2,16400,32800,27563,5237);</v>
      </c>
    </row>
    <row r="2311" spans="1:12">
      <c r="A2311" s="114">
        <v>1</v>
      </c>
      <c r="B2311" s="114">
        <v>1122</v>
      </c>
      <c r="C2311" s="139" t="s">
        <v>2346</v>
      </c>
      <c r="D2311" s="114" t="s">
        <v>2090</v>
      </c>
      <c r="E2311" s="114">
        <v>374</v>
      </c>
      <c r="F2311" s="114">
        <v>324</v>
      </c>
      <c r="G2311" s="114">
        <v>1</v>
      </c>
      <c r="H2311" s="114">
        <v>11000</v>
      </c>
      <c r="I2311" s="114">
        <v>11000</v>
      </c>
      <c r="J2311" s="114">
        <v>9244</v>
      </c>
      <c r="K2311" s="114">
        <v>1756</v>
      </c>
      <c r="L2311" s="114" t="str">
        <f t="shared" si="36"/>
        <v>INSERT INTO DETALLES_DOCUMENTO(NRO_DOCUMENTO,ID_TIPO,ID_PRODUCTO,CANTIDAD,PRECIO,VALOR_BRUTO,VALOR_NETO,VALOR_IVA) VALUES(1122,1,324,1,11000,11000,9244,1756);</v>
      </c>
    </row>
    <row r="2312" spans="1:12">
      <c r="A2312" s="114">
        <v>1</v>
      </c>
      <c r="B2312" s="114">
        <v>1123</v>
      </c>
      <c r="C2312" s="139" t="s">
        <v>2346</v>
      </c>
      <c r="D2312" s="114" t="s">
        <v>2090</v>
      </c>
      <c r="E2312" s="114">
        <v>382</v>
      </c>
      <c r="F2312" s="114">
        <v>143</v>
      </c>
      <c r="G2312" s="114">
        <v>1</v>
      </c>
      <c r="H2312" s="114">
        <v>8200</v>
      </c>
      <c r="I2312" s="114">
        <v>8200</v>
      </c>
      <c r="J2312" s="114">
        <v>6891</v>
      </c>
      <c r="K2312" s="114">
        <v>1309</v>
      </c>
      <c r="L2312" s="114" t="str">
        <f t="shared" si="36"/>
        <v>INSERT INTO DETALLES_DOCUMENTO(NRO_DOCUMENTO,ID_TIPO,ID_PRODUCTO,CANTIDAD,PRECIO,VALOR_BRUTO,VALOR_NETO,VALOR_IVA) VALUES(1123,1,143,1,8200,8200,6891,1309);</v>
      </c>
    </row>
    <row r="2313" spans="1:12">
      <c r="A2313" s="114">
        <v>1</v>
      </c>
      <c r="B2313" s="114">
        <v>1124</v>
      </c>
      <c r="C2313" s="139" t="s">
        <v>2347</v>
      </c>
      <c r="D2313" s="114" t="s">
        <v>2090</v>
      </c>
      <c r="E2313" s="114">
        <v>63</v>
      </c>
      <c r="F2313" s="114">
        <v>143</v>
      </c>
      <c r="G2313" s="114">
        <v>1</v>
      </c>
      <c r="H2313" s="114">
        <v>8200</v>
      </c>
      <c r="I2313" s="114">
        <v>8200</v>
      </c>
      <c r="J2313" s="114">
        <v>6891</v>
      </c>
      <c r="K2313" s="114">
        <v>1309</v>
      </c>
      <c r="L2313" s="114" t="str">
        <f t="shared" si="36"/>
        <v>INSERT INTO DETALLES_DOCUMENTO(NRO_DOCUMENTO,ID_TIPO,ID_PRODUCTO,CANTIDAD,PRECIO,VALOR_BRUTO,VALOR_NETO,VALOR_IVA) VALUES(1124,1,143,1,8200,8200,6891,1309);</v>
      </c>
    </row>
    <row r="2314" spans="1:12">
      <c r="A2314" s="114">
        <v>1</v>
      </c>
      <c r="B2314" s="114">
        <v>1125</v>
      </c>
      <c r="C2314" s="139" t="s">
        <v>2347</v>
      </c>
      <c r="D2314" s="114" t="s">
        <v>2090</v>
      </c>
      <c r="E2314" s="114">
        <v>155</v>
      </c>
      <c r="F2314" s="114">
        <v>143</v>
      </c>
      <c r="G2314" s="114">
        <v>1</v>
      </c>
      <c r="H2314" s="114">
        <v>8200</v>
      </c>
      <c r="I2314" s="114">
        <v>8200</v>
      </c>
      <c r="J2314" s="114">
        <v>6891</v>
      </c>
      <c r="K2314" s="114">
        <v>1309</v>
      </c>
      <c r="L2314" s="114" t="str">
        <f t="shared" si="36"/>
        <v>INSERT INTO DETALLES_DOCUMENTO(NRO_DOCUMENTO,ID_TIPO,ID_PRODUCTO,CANTIDAD,PRECIO,VALOR_BRUTO,VALOR_NETO,VALOR_IVA) VALUES(1125,1,143,1,8200,8200,6891,1309);</v>
      </c>
    </row>
    <row r="2315" spans="1:12">
      <c r="A2315" s="114">
        <v>1</v>
      </c>
      <c r="B2315" s="114">
        <v>1126</v>
      </c>
      <c r="C2315" s="139" t="s">
        <v>2347</v>
      </c>
      <c r="D2315" s="114" t="s">
        <v>2090</v>
      </c>
      <c r="E2315" s="114">
        <v>200</v>
      </c>
      <c r="F2315" s="114">
        <v>143</v>
      </c>
      <c r="G2315" s="114">
        <v>1</v>
      </c>
      <c r="H2315" s="114">
        <v>8200</v>
      </c>
      <c r="I2315" s="114">
        <v>8200</v>
      </c>
      <c r="J2315" s="114">
        <v>6891</v>
      </c>
      <c r="K2315" s="114">
        <v>1309</v>
      </c>
      <c r="L2315" s="114" t="str">
        <f t="shared" si="36"/>
        <v>INSERT INTO DETALLES_DOCUMENTO(NRO_DOCUMENTO,ID_TIPO,ID_PRODUCTO,CANTIDAD,PRECIO,VALOR_BRUTO,VALOR_NETO,VALOR_IVA) VALUES(1126,1,143,1,8200,8200,6891,1309);</v>
      </c>
    </row>
    <row r="2316" spans="1:12">
      <c r="A2316" s="114">
        <v>1</v>
      </c>
      <c r="B2316" s="114">
        <v>1127</v>
      </c>
      <c r="C2316" s="139" t="s">
        <v>2348</v>
      </c>
      <c r="D2316" s="114" t="s">
        <v>2090</v>
      </c>
      <c r="E2316" s="114">
        <v>57</v>
      </c>
      <c r="F2316" s="114">
        <v>143</v>
      </c>
      <c r="G2316" s="114">
        <v>1</v>
      </c>
      <c r="H2316" s="114">
        <v>8200</v>
      </c>
      <c r="I2316" s="114">
        <v>8200</v>
      </c>
      <c r="J2316" s="114">
        <v>6891</v>
      </c>
      <c r="K2316" s="114">
        <v>1309</v>
      </c>
      <c r="L2316" s="114" t="str">
        <f t="shared" si="36"/>
        <v>INSERT INTO DETALLES_DOCUMENTO(NRO_DOCUMENTO,ID_TIPO,ID_PRODUCTO,CANTIDAD,PRECIO,VALOR_BRUTO,VALOR_NETO,VALOR_IVA) VALUES(1127,1,143,1,8200,8200,6891,1309);</v>
      </c>
    </row>
    <row r="2317" spans="1:12">
      <c r="A2317" s="114">
        <v>1</v>
      </c>
      <c r="B2317" s="114">
        <v>1128</v>
      </c>
      <c r="C2317" s="139" t="s">
        <v>2348</v>
      </c>
      <c r="D2317" s="114" t="s">
        <v>2090</v>
      </c>
      <c r="E2317" s="114">
        <v>98</v>
      </c>
      <c r="F2317" s="114">
        <v>329</v>
      </c>
      <c r="G2317" s="114">
        <v>1</v>
      </c>
      <c r="H2317" s="114">
        <v>6000</v>
      </c>
      <c r="I2317" s="114">
        <v>6000</v>
      </c>
      <c r="J2317" s="114">
        <v>5042</v>
      </c>
      <c r="K2317" s="114">
        <v>958</v>
      </c>
      <c r="L2317" s="114" t="str">
        <f t="shared" si="36"/>
        <v>INSERT INTO DETALLES_DOCUMENTO(NRO_DOCUMENTO,ID_TIPO,ID_PRODUCTO,CANTIDAD,PRECIO,VALOR_BRUTO,VALOR_NETO,VALOR_IVA) VALUES(1128,1,329,1,6000,6000,5042,958);</v>
      </c>
    </row>
    <row r="2318" spans="1:12">
      <c r="A2318" s="114">
        <v>1</v>
      </c>
      <c r="B2318" s="114">
        <v>1129</v>
      </c>
      <c r="C2318" s="139" t="s">
        <v>2348</v>
      </c>
      <c r="D2318" s="114" t="s">
        <v>2090</v>
      </c>
      <c r="E2318" s="114">
        <v>164</v>
      </c>
      <c r="F2318" s="114">
        <v>231</v>
      </c>
      <c r="G2318" s="114">
        <v>1</v>
      </c>
      <c r="H2318" s="114">
        <v>20900</v>
      </c>
      <c r="I2318" s="114">
        <v>20900</v>
      </c>
      <c r="J2318" s="114">
        <v>17563</v>
      </c>
      <c r="K2318" s="114">
        <v>3337</v>
      </c>
      <c r="L2318" s="114" t="str">
        <f t="shared" si="36"/>
        <v>INSERT INTO DETALLES_DOCUMENTO(NRO_DOCUMENTO,ID_TIPO,ID_PRODUCTO,CANTIDAD,PRECIO,VALOR_BRUTO,VALOR_NETO,VALOR_IVA) VALUES(1129,1,231,1,20900,20900,17563,3337);</v>
      </c>
    </row>
    <row r="2319" spans="1:12">
      <c r="A2319" s="114">
        <v>1</v>
      </c>
      <c r="B2319" s="114">
        <v>1130</v>
      </c>
      <c r="C2319" s="139" t="s">
        <v>2348</v>
      </c>
      <c r="D2319" s="114" t="s">
        <v>2090</v>
      </c>
      <c r="E2319" s="114">
        <v>345</v>
      </c>
      <c r="F2319" s="114">
        <v>231</v>
      </c>
      <c r="G2319" s="114">
        <v>1</v>
      </c>
      <c r="H2319" s="114">
        <v>20900</v>
      </c>
      <c r="I2319" s="114">
        <v>20900</v>
      </c>
      <c r="J2319" s="114">
        <v>17563</v>
      </c>
      <c r="K2319" s="114">
        <v>3337</v>
      </c>
      <c r="L2319" s="114" t="str">
        <f t="shared" si="36"/>
        <v>INSERT INTO DETALLES_DOCUMENTO(NRO_DOCUMENTO,ID_TIPO,ID_PRODUCTO,CANTIDAD,PRECIO,VALOR_BRUTO,VALOR_NETO,VALOR_IVA) VALUES(1130,1,231,1,20900,20900,17563,3337);</v>
      </c>
    </row>
    <row r="2320" spans="1:12">
      <c r="A2320" s="114">
        <v>1</v>
      </c>
      <c r="B2320" s="114">
        <v>1131</v>
      </c>
      <c r="C2320" s="139" t="s">
        <v>2348</v>
      </c>
      <c r="D2320" s="114" t="s">
        <v>2090</v>
      </c>
      <c r="E2320" s="114">
        <v>389</v>
      </c>
      <c r="F2320" s="114">
        <v>322</v>
      </c>
      <c r="G2320" s="114">
        <v>1</v>
      </c>
      <c r="H2320" s="114">
        <v>9000</v>
      </c>
      <c r="I2320" s="114">
        <v>9000</v>
      </c>
      <c r="J2320" s="114">
        <v>7563</v>
      </c>
      <c r="K2320" s="114">
        <v>1437</v>
      </c>
      <c r="L2320" s="114" t="str">
        <f t="shared" si="36"/>
        <v>INSERT INTO DETALLES_DOCUMENTO(NRO_DOCUMENTO,ID_TIPO,ID_PRODUCTO,CANTIDAD,PRECIO,VALOR_BRUTO,VALOR_NETO,VALOR_IVA) VALUES(1131,1,322,1,9000,9000,7563,1437);</v>
      </c>
    </row>
    <row r="2321" spans="1:12">
      <c r="A2321" s="114">
        <v>1</v>
      </c>
      <c r="B2321" s="114">
        <v>1131</v>
      </c>
      <c r="C2321" s="139" t="s">
        <v>2348</v>
      </c>
      <c r="D2321" s="114" t="s">
        <v>2090</v>
      </c>
      <c r="E2321" s="114">
        <v>389</v>
      </c>
      <c r="F2321" s="114">
        <v>143</v>
      </c>
      <c r="G2321" s="114">
        <v>1</v>
      </c>
      <c r="H2321" s="114">
        <v>8200</v>
      </c>
      <c r="I2321" s="114">
        <v>8200</v>
      </c>
      <c r="J2321" s="114">
        <v>6891</v>
      </c>
      <c r="K2321" s="114">
        <v>1309</v>
      </c>
      <c r="L2321" s="114" t="str">
        <f t="shared" si="36"/>
        <v>INSERT INTO DETALLES_DOCUMENTO(NRO_DOCUMENTO,ID_TIPO,ID_PRODUCTO,CANTIDAD,PRECIO,VALOR_BRUTO,VALOR_NETO,VALOR_IVA) VALUES(1131,1,143,1,8200,8200,6891,1309);</v>
      </c>
    </row>
    <row r="2322" spans="1:12">
      <c r="A2322" s="114">
        <v>1</v>
      </c>
      <c r="B2322" s="114">
        <v>1132</v>
      </c>
      <c r="C2322" s="139" t="s">
        <v>2348</v>
      </c>
      <c r="D2322" s="114" t="s">
        <v>2090</v>
      </c>
      <c r="E2322" s="114">
        <v>427</v>
      </c>
      <c r="F2322" s="114">
        <v>368</v>
      </c>
      <c r="G2322" s="114">
        <v>1</v>
      </c>
      <c r="H2322" s="114">
        <v>3000</v>
      </c>
      <c r="I2322" s="114">
        <v>3000</v>
      </c>
      <c r="J2322" s="114">
        <v>2521</v>
      </c>
      <c r="K2322" s="114">
        <v>479</v>
      </c>
      <c r="L2322" s="114" t="str">
        <f t="shared" si="36"/>
        <v>INSERT INTO DETALLES_DOCUMENTO(NRO_DOCUMENTO,ID_TIPO,ID_PRODUCTO,CANTIDAD,PRECIO,VALOR_BRUTO,VALOR_NETO,VALOR_IVA) VALUES(1132,1,368,1,3000,3000,2521,479);</v>
      </c>
    </row>
    <row r="2323" spans="1:12">
      <c r="A2323" s="114">
        <v>1</v>
      </c>
      <c r="B2323" s="114">
        <v>1132</v>
      </c>
      <c r="C2323" s="139" t="s">
        <v>2348</v>
      </c>
      <c r="D2323" s="114" t="s">
        <v>2090</v>
      </c>
      <c r="E2323" s="114">
        <v>427</v>
      </c>
      <c r="F2323" s="114">
        <v>387</v>
      </c>
      <c r="G2323" s="114">
        <v>1</v>
      </c>
      <c r="H2323" s="114">
        <v>1500</v>
      </c>
      <c r="I2323" s="114">
        <v>1500</v>
      </c>
      <c r="J2323" s="114">
        <v>1261</v>
      </c>
      <c r="K2323" s="114">
        <v>239</v>
      </c>
      <c r="L2323" s="114" t="str">
        <f t="shared" si="36"/>
        <v>INSERT INTO DETALLES_DOCUMENTO(NRO_DOCUMENTO,ID_TIPO,ID_PRODUCTO,CANTIDAD,PRECIO,VALOR_BRUTO,VALOR_NETO,VALOR_IVA) VALUES(1132,1,387,1,1500,1500,1261,239);</v>
      </c>
    </row>
    <row r="2324" spans="1:12">
      <c r="A2324" s="114">
        <v>1</v>
      </c>
      <c r="B2324" s="114">
        <v>1133</v>
      </c>
      <c r="C2324" s="139" t="s">
        <v>2349</v>
      </c>
      <c r="D2324" s="114" t="s">
        <v>2090</v>
      </c>
      <c r="E2324" s="114">
        <v>38</v>
      </c>
      <c r="F2324" s="114">
        <v>231</v>
      </c>
      <c r="G2324" s="114">
        <v>1</v>
      </c>
      <c r="H2324" s="114">
        <v>20900</v>
      </c>
      <c r="I2324" s="114">
        <v>20900</v>
      </c>
      <c r="J2324" s="114">
        <v>17563</v>
      </c>
      <c r="K2324" s="114">
        <v>3337</v>
      </c>
      <c r="L2324" s="114" t="str">
        <f t="shared" si="36"/>
        <v>INSERT INTO DETALLES_DOCUMENTO(NRO_DOCUMENTO,ID_TIPO,ID_PRODUCTO,CANTIDAD,PRECIO,VALOR_BRUTO,VALOR_NETO,VALOR_IVA) VALUES(1133,1,231,1,20900,20900,17563,3337);</v>
      </c>
    </row>
    <row r="2325" spans="1:12">
      <c r="A2325" s="114">
        <v>1</v>
      </c>
      <c r="B2325" s="114">
        <v>1134</v>
      </c>
      <c r="C2325" s="139" t="s">
        <v>2349</v>
      </c>
      <c r="D2325" s="114" t="s">
        <v>2090</v>
      </c>
      <c r="E2325" s="114">
        <v>119</v>
      </c>
      <c r="F2325" s="114">
        <v>143</v>
      </c>
      <c r="G2325" s="114">
        <v>1</v>
      </c>
      <c r="H2325" s="114">
        <v>8200</v>
      </c>
      <c r="I2325" s="114">
        <v>8200</v>
      </c>
      <c r="J2325" s="114">
        <v>6891</v>
      </c>
      <c r="K2325" s="114">
        <v>1309</v>
      </c>
      <c r="L2325" s="114" t="str">
        <f t="shared" si="36"/>
        <v>INSERT INTO DETALLES_DOCUMENTO(NRO_DOCUMENTO,ID_TIPO,ID_PRODUCTO,CANTIDAD,PRECIO,VALOR_BRUTO,VALOR_NETO,VALOR_IVA) VALUES(1134,1,143,1,8200,8200,6891,1309);</v>
      </c>
    </row>
    <row r="2326" spans="1:12">
      <c r="A2326" s="114">
        <v>1</v>
      </c>
      <c r="B2326" s="114">
        <v>1134</v>
      </c>
      <c r="C2326" s="139" t="s">
        <v>2349</v>
      </c>
      <c r="D2326" s="114" t="s">
        <v>2090</v>
      </c>
      <c r="E2326" s="114">
        <v>119</v>
      </c>
      <c r="F2326" s="114">
        <v>365</v>
      </c>
      <c r="G2326" s="114">
        <v>2</v>
      </c>
      <c r="H2326" s="114">
        <v>6400</v>
      </c>
      <c r="I2326" s="114">
        <v>12800</v>
      </c>
      <c r="J2326" s="114">
        <v>10756</v>
      </c>
      <c r="K2326" s="114">
        <v>2044</v>
      </c>
      <c r="L2326" s="114" t="str">
        <f t="shared" si="36"/>
        <v>INSERT INTO DETALLES_DOCUMENTO(NRO_DOCUMENTO,ID_TIPO,ID_PRODUCTO,CANTIDAD,PRECIO,VALOR_BRUTO,VALOR_NETO,VALOR_IVA) VALUES(1134,1,365,2,6400,12800,10756,2044);</v>
      </c>
    </row>
    <row r="2327" spans="1:12">
      <c r="A2327" s="114">
        <v>1</v>
      </c>
      <c r="B2327" s="114">
        <v>1134</v>
      </c>
      <c r="C2327" s="139" t="s">
        <v>2349</v>
      </c>
      <c r="D2327" s="114" t="s">
        <v>2090</v>
      </c>
      <c r="E2327" s="114">
        <v>119</v>
      </c>
      <c r="F2327" s="114">
        <v>69</v>
      </c>
      <c r="G2327" s="114">
        <v>1</v>
      </c>
      <c r="H2327" s="114">
        <v>3000</v>
      </c>
      <c r="I2327" s="114">
        <v>3000</v>
      </c>
      <c r="J2327" s="114">
        <v>2521</v>
      </c>
      <c r="K2327" s="114">
        <v>479</v>
      </c>
      <c r="L2327" s="114" t="str">
        <f t="shared" si="36"/>
        <v>INSERT INTO DETALLES_DOCUMENTO(NRO_DOCUMENTO,ID_TIPO,ID_PRODUCTO,CANTIDAD,PRECIO,VALOR_BRUTO,VALOR_NETO,VALOR_IVA) VALUES(1134,1,69,1,3000,3000,2521,479);</v>
      </c>
    </row>
    <row r="2328" spans="1:12">
      <c r="A2328" s="114">
        <v>1</v>
      </c>
      <c r="B2328" s="114">
        <v>1134</v>
      </c>
      <c r="C2328" s="139" t="s">
        <v>2349</v>
      </c>
      <c r="D2328" s="114" t="s">
        <v>2090</v>
      </c>
      <c r="E2328" s="114">
        <v>119</v>
      </c>
      <c r="F2328" s="114">
        <v>117</v>
      </c>
      <c r="G2328" s="114">
        <v>2</v>
      </c>
      <c r="H2328" s="114">
        <v>7000</v>
      </c>
      <c r="I2328" s="114">
        <v>14000</v>
      </c>
      <c r="J2328" s="114">
        <v>11765</v>
      </c>
      <c r="K2328" s="114">
        <v>2235</v>
      </c>
      <c r="L2328" s="114" t="str">
        <f t="shared" si="36"/>
        <v>INSERT INTO DETALLES_DOCUMENTO(NRO_DOCUMENTO,ID_TIPO,ID_PRODUCTO,CANTIDAD,PRECIO,VALOR_BRUTO,VALOR_NETO,VALOR_IVA) VALUES(1134,1,117,2,7000,14000,11765,2235);</v>
      </c>
    </row>
    <row r="2329" spans="1:12">
      <c r="A2329" s="114">
        <v>1</v>
      </c>
      <c r="B2329" s="114">
        <v>1135</v>
      </c>
      <c r="C2329" s="139" t="s">
        <v>2349</v>
      </c>
      <c r="D2329" s="114" t="s">
        <v>2090</v>
      </c>
      <c r="E2329" s="114">
        <v>153</v>
      </c>
      <c r="F2329" s="114">
        <v>162</v>
      </c>
      <c r="G2329" s="114">
        <v>1</v>
      </c>
      <c r="H2329" s="114">
        <v>1600</v>
      </c>
      <c r="I2329" s="114">
        <v>1600</v>
      </c>
      <c r="J2329" s="114">
        <v>1345</v>
      </c>
      <c r="K2329" s="114">
        <v>255</v>
      </c>
      <c r="L2329" s="114" t="str">
        <f t="shared" si="36"/>
        <v>INSERT INTO DETALLES_DOCUMENTO(NRO_DOCUMENTO,ID_TIPO,ID_PRODUCTO,CANTIDAD,PRECIO,VALOR_BRUTO,VALOR_NETO,VALOR_IVA) VALUES(1135,1,162,1,1600,1600,1345,255);</v>
      </c>
    </row>
    <row r="2330" spans="1:12">
      <c r="A2330" s="114">
        <v>1</v>
      </c>
      <c r="B2330" s="114">
        <v>1135</v>
      </c>
      <c r="C2330" s="139" t="s">
        <v>2349</v>
      </c>
      <c r="D2330" s="114" t="s">
        <v>2090</v>
      </c>
      <c r="E2330" s="114">
        <v>153</v>
      </c>
      <c r="F2330" s="114">
        <v>169</v>
      </c>
      <c r="G2330" s="114">
        <v>1</v>
      </c>
      <c r="H2330" s="114">
        <v>2700</v>
      </c>
      <c r="I2330" s="114">
        <v>2700</v>
      </c>
      <c r="J2330" s="114">
        <v>2269</v>
      </c>
      <c r="K2330" s="114">
        <v>431</v>
      </c>
      <c r="L2330" s="114" t="str">
        <f t="shared" si="36"/>
        <v>INSERT INTO DETALLES_DOCUMENTO(NRO_DOCUMENTO,ID_TIPO,ID_PRODUCTO,CANTIDAD,PRECIO,VALOR_BRUTO,VALOR_NETO,VALOR_IVA) VALUES(1135,1,169,1,2700,2700,2269,431);</v>
      </c>
    </row>
    <row r="2331" spans="1:12">
      <c r="A2331" s="114">
        <v>1</v>
      </c>
      <c r="B2331" s="114">
        <v>1135</v>
      </c>
      <c r="C2331" s="139" t="s">
        <v>2349</v>
      </c>
      <c r="D2331" s="114" t="s">
        <v>2090</v>
      </c>
      <c r="E2331" s="114">
        <v>153</v>
      </c>
      <c r="F2331" s="114">
        <v>155</v>
      </c>
      <c r="G2331" s="114">
        <v>1</v>
      </c>
      <c r="H2331" s="114">
        <v>1650</v>
      </c>
      <c r="I2331" s="114">
        <v>1650</v>
      </c>
      <c r="J2331" s="114">
        <v>1387</v>
      </c>
      <c r="K2331" s="114">
        <v>263</v>
      </c>
      <c r="L2331" s="114" t="str">
        <f t="shared" si="36"/>
        <v>INSERT INTO DETALLES_DOCUMENTO(NRO_DOCUMENTO,ID_TIPO,ID_PRODUCTO,CANTIDAD,PRECIO,VALOR_BRUTO,VALOR_NETO,VALOR_IVA) VALUES(1135,1,155,1,1650,1650,1387,263);</v>
      </c>
    </row>
    <row r="2332" spans="1:12">
      <c r="A2332" s="114">
        <v>1</v>
      </c>
      <c r="B2332" s="114">
        <v>1135</v>
      </c>
      <c r="C2332" s="139" t="s">
        <v>2349</v>
      </c>
      <c r="D2332" s="114" t="s">
        <v>2090</v>
      </c>
      <c r="E2332" s="114">
        <v>153</v>
      </c>
      <c r="F2332" s="114">
        <v>25</v>
      </c>
      <c r="G2332" s="114">
        <v>1</v>
      </c>
      <c r="H2332" s="114">
        <v>1800</v>
      </c>
      <c r="I2332" s="114">
        <v>1800</v>
      </c>
      <c r="J2332" s="114">
        <v>1513</v>
      </c>
      <c r="K2332" s="114">
        <v>287</v>
      </c>
      <c r="L2332" s="114" t="str">
        <f t="shared" si="36"/>
        <v>INSERT INTO DETALLES_DOCUMENTO(NRO_DOCUMENTO,ID_TIPO,ID_PRODUCTO,CANTIDAD,PRECIO,VALOR_BRUTO,VALOR_NETO,VALOR_IVA) VALUES(1135,1,25,1,1800,1800,1513,287);</v>
      </c>
    </row>
    <row r="2333" spans="1:12">
      <c r="A2333" s="114">
        <v>1</v>
      </c>
      <c r="B2333" s="114">
        <v>1135</v>
      </c>
      <c r="C2333" s="139" t="s">
        <v>2349</v>
      </c>
      <c r="D2333" s="114" t="s">
        <v>2090</v>
      </c>
      <c r="E2333" s="114">
        <v>153</v>
      </c>
      <c r="F2333" s="114">
        <v>27</v>
      </c>
      <c r="G2333" s="114">
        <v>1</v>
      </c>
      <c r="H2333" s="114">
        <v>8700</v>
      </c>
      <c r="I2333" s="114">
        <v>8700</v>
      </c>
      <c r="J2333" s="114">
        <v>7311</v>
      </c>
      <c r="K2333" s="114">
        <v>1389</v>
      </c>
      <c r="L2333" s="114" t="str">
        <f t="shared" si="36"/>
        <v>INSERT INTO DETALLES_DOCUMENTO(NRO_DOCUMENTO,ID_TIPO,ID_PRODUCTO,CANTIDAD,PRECIO,VALOR_BRUTO,VALOR_NETO,VALOR_IVA) VALUES(1135,1,27,1,8700,8700,7311,1389);</v>
      </c>
    </row>
    <row r="2334" spans="1:12">
      <c r="A2334" s="114">
        <v>1</v>
      </c>
      <c r="B2334" s="114">
        <v>1135</v>
      </c>
      <c r="C2334" s="139" t="s">
        <v>2349</v>
      </c>
      <c r="D2334" s="114" t="s">
        <v>2090</v>
      </c>
      <c r="E2334" s="114">
        <v>153</v>
      </c>
      <c r="F2334" s="114">
        <v>324</v>
      </c>
      <c r="G2334" s="114">
        <v>1</v>
      </c>
      <c r="H2334" s="114">
        <v>11000</v>
      </c>
      <c r="I2334" s="114">
        <v>11000</v>
      </c>
      <c r="J2334" s="114">
        <v>9244</v>
      </c>
      <c r="K2334" s="114">
        <v>1756</v>
      </c>
      <c r="L2334" s="114" t="str">
        <f t="shared" si="36"/>
        <v>INSERT INTO DETALLES_DOCUMENTO(NRO_DOCUMENTO,ID_TIPO,ID_PRODUCTO,CANTIDAD,PRECIO,VALOR_BRUTO,VALOR_NETO,VALOR_IVA) VALUES(1135,1,324,1,11000,11000,9244,1756);</v>
      </c>
    </row>
    <row r="2335" spans="1:12">
      <c r="A2335" s="114">
        <v>1</v>
      </c>
      <c r="B2335" s="114">
        <v>1136</v>
      </c>
      <c r="C2335" s="139" t="s">
        <v>2349</v>
      </c>
      <c r="D2335" s="114" t="s">
        <v>2090</v>
      </c>
      <c r="E2335" s="114">
        <v>166</v>
      </c>
      <c r="F2335" s="114">
        <v>118</v>
      </c>
      <c r="G2335" s="114">
        <v>1</v>
      </c>
      <c r="H2335" s="114">
        <v>3500</v>
      </c>
      <c r="I2335" s="114">
        <v>3500</v>
      </c>
      <c r="J2335" s="114">
        <v>2941</v>
      </c>
      <c r="K2335" s="114">
        <v>559</v>
      </c>
      <c r="L2335" s="114" t="str">
        <f t="shared" si="36"/>
        <v>INSERT INTO DETALLES_DOCUMENTO(NRO_DOCUMENTO,ID_TIPO,ID_PRODUCTO,CANTIDAD,PRECIO,VALOR_BRUTO,VALOR_NETO,VALOR_IVA) VALUES(1136,1,118,1,3500,3500,2941,559);</v>
      </c>
    </row>
    <row r="2336" spans="1:12">
      <c r="A2336" s="114">
        <v>1</v>
      </c>
      <c r="B2336" s="114">
        <v>1136</v>
      </c>
      <c r="C2336" s="139" t="s">
        <v>2349</v>
      </c>
      <c r="D2336" s="114" t="s">
        <v>2090</v>
      </c>
      <c r="E2336" s="114">
        <v>166</v>
      </c>
      <c r="F2336" s="114">
        <v>330</v>
      </c>
      <c r="G2336" s="114">
        <v>1</v>
      </c>
      <c r="H2336" s="114">
        <v>4800</v>
      </c>
      <c r="I2336" s="114">
        <v>4800</v>
      </c>
      <c r="J2336" s="114">
        <v>4034</v>
      </c>
      <c r="K2336" s="114">
        <v>766</v>
      </c>
      <c r="L2336" s="114" t="str">
        <f t="shared" si="36"/>
        <v>INSERT INTO DETALLES_DOCUMENTO(NRO_DOCUMENTO,ID_TIPO,ID_PRODUCTO,CANTIDAD,PRECIO,VALOR_BRUTO,VALOR_NETO,VALOR_IVA) VALUES(1136,1,330,1,4800,4800,4034,766);</v>
      </c>
    </row>
    <row r="2337" spans="1:12">
      <c r="A2337" s="114">
        <v>1</v>
      </c>
      <c r="B2337" s="114">
        <v>1136</v>
      </c>
      <c r="C2337" s="139" t="s">
        <v>2349</v>
      </c>
      <c r="D2337" s="114" t="s">
        <v>2090</v>
      </c>
      <c r="E2337" s="114">
        <v>166</v>
      </c>
      <c r="F2337" s="114">
        <v>324</v>
      </c>
      <c r="G2337" s="114">
        <v>1</v>
      </c>
      <c r="H2337" s="114">
        <v>11000</v>
      </c>
      <c r="I2337" s="114">
        <v>11000</v>
      </c>
      <c r="J2337" s="114">
        <v>9244</v>
      </c>
      <c r="K2337" s="114">
        <v>1756</v>
      </c>
      <c r="L2337" s="114" t="str">
        <f t="shared" si="36"/>
        <v>INSERT INTO DETALLES_DOCUMENTO(NRO_DOCUMENTO,ID_TIPO,ID_PRODUCTO,CANTIDAD,PRECIO,VALOR_BRUTO,VALOR_NETO,VALOR_IVA) VALUES(1136,1,324,1,11000,11000,9244,1756);</v>
      </c>
    </row>
    <row r="2338" spans="1:12">
      <c r="A2338" s="114">
        <v>1</v>
      </c>
      <c r="B2338" s="114">
        <v>1137</v>
      </c>
      <c r="C2338" s="139" t="s">
        <v>2349</v>
      </c>
      <c r="D2338" s="114" t="s">
        <v>2090</v>
      </c>
      <c r="E2338" s="114">
        <v>198</v>
      </c>
      <c r="F2338" s="114">
        <v>329</v>
      </c>
      <c r="G2338" s="114">
        <v>1</v>
      </c>
      <c r="H2338" s="114">
        <v>6000</v>
      </c>
      <c r="I2338" s="114">
        <v>6000</v>
      </c>
      <c r="J2338" s="114">
        <v>5042</v>
      </c>
      <c r="K2338" s="114">
        <v>958</v>
      </c>
      <c r="L2338" s="114" t="str">
        <f t="shared" si="36"/>
        <v>INSERT INTO DETALLES_DOCUMENTO(NRO_DOCUMENTO,ID_TIPO,ID_PRODUCTO,CANTIDAD,PRECIO,VALOR_BRUTO,VALOR_NETO,VALOR_IVA) VALUES(1137,1,329,1,6000,6000,5042,958);</v>
      </c>
    </row>
    <row r="2339" spans="1:12">
      <c r="A2339" s="114">
        <v>1</v>
      </c>
      <c r="B2339" s="114">
        <v>1138</v>
      </c>
      <c r="C2339" s="139" t="s">
        <v>2349</v>
      </c>
      <c r="D2339" s="114" t="s">
        <v>2090</v>
      </c>
      <c r="E2339" s="114">
        <v>274</v>
      </c>
      <c r="F2339" s="114">
        <v>231</v>
      </c>
      <c r="G2339" s="114">
        <v>1</v>
      </c>
      <c r="H2339" s="114">
        <v>20900</v>
      </c>
      <c r="I2339" s="114">
        <v>20900</v>
      </c>
      <c r="J2339" s="114">
        <v>17563</v>
      </c>
      <c r="K2339" s="114">
        <v>3337</v>
      </c>
      <c r="L2339" s="114" t="str">
        <f t="shared" si="36"/>
        <v>INSERT INTO DETALLES_DOCUMENTO(NRO_DOCUMENTO,ID_TIPO,ID_PRODUCTO,CANTIDAD,PRECIO,VALOR_BRUTO,VALOR_NETO,VALOR_IVA) VALUES(1138,1,231,1,20900,20900,17563,3337);</v>
      </c>
    </row>
    <row r="2340" spans="1:12">
      <c r="A2340" s="114">
        <v>1</v>
      </c>
      <c r="B2340" s="114">
        <v>1138</v>
      </c>
      <c r="C2340" s="139" t="s">
        <v>2349</v>
      </c>
      <c r="D2340" s="114" t="s">
        <v>2090</v>
      </c>
      <c r="E2340" s="114">
        <v>274</v>
      </c>
      <c r="F2340" s="114">
        <v>264</v>
      </c>
      <c r="G2340" s="114">
        <v>1</v>
      </c>
      <c r="H2340" s="114">
        <v>5000</v>
      </c>
      <c r="I2340" s="114">
        <v>5000</v>
      </c>
      <c r="J2340" s="114">
        <v>4202</v>
      </c>
      <c r="K2340" s="114">
        <v>798</v>
      </c>
      <c r="L2340" s="114" t="str">
        <f t="shared" si="36"/>
        <v>INSERT INTO DETALLES_DOCUMENTO(NRO_DOCUMENTO,ID_TIPO,ID_PRODUCTO,CANTIDAD,PRECIO,VALOR_BRUTO,VALOR_NETO,VALOR_IVA) VALUES(1138,1,264,1,5000,5000,4202,798);</v>
      </c>
    </row>
    <row r="2341" spans="1:12">
      <c r="A2341" s="114">
        <v>1</v>
      </c>
      <c r="B2341" s="114">
        <v>1139</v>
      </c>
      <c r="C2341" s="139" t="s">
        <v>2349</v>
      </c>
      <c r="D2341" s="114" t="s">
        <v>2090</v>
      </c>
      <c r="E2341" s="114">
        <v>345</v>
      </c>
      <c r="F2341" s="114">
        <v>329</v>
      </c>
      <c r="G2341" s="114">
        <v>1</v>
      </c>
      <c r="H2341" s="114">
        <v>6000</v>
      </c>
      <c r="I2341" s="114">
        <v>6000</v>
      </c>
      <c r="J2341" s="114">
        <v>5042</v>
      </c>
      <c r="K2341" s="114">
        <v>958</v>
      </c>
      <c r="L2341" s="114" t="str">
        <f t="shared" si="36"/>
        <v>INSERT INTO DETALLES_DOCUMENTO(NRO_DOCUMENTO,ID_TIPO,ID_PRODUCTO,CANTIDAD,PRECIO,VALOR_BRUTO,VALOR_NETO,VALOR_IVA) VALUES(1139,1,329,1,6000,6000,5042,958);</v>
      </c>
    </row>
    <row r="2342" spans="1:12">
      <c r="A2342" s="114">
        <v>1</v>
      </c>
      <c r="B2342" s="114">
        <v>1140</v>
      </c>
      <c r="C2342" s="139" t="s">
        <v>2349</v>
      </c>
      <c r="D2342" s="114" t="s">
        <v>2090</v>
      </c>
      <c r="E2342" s="114">
        <v>408</v>
      </c>
      <c r="F2342" s="114">
        <v>261</v>
      </c>
      <c r="G2342" s="114">
        <v>2</v>
      </c>
      <c r="H2342" s="114">
        <v>14000</v>
      </c>
      <c r="I2342" s="114">
        <v>28000</v>
      </c>
      <c r="J2342" s="114">
        <v>23529</v>
      </c>
      <c r="K2342" s="114">
        <v>4471</v>
      </c>
      <c r="L2342" s="114" t="str">
        <f t="shared" si="36"/>
        <v>INSERT INTO DETALLES_DOCUMENTO(NRO_DOCUMENTO,ID_TIPO,ID_PRODUCTO,CANTIDAD,PRECIO,VALOR_BRUTO,VALOR_NETO,VALOR_IVA) VALUES(1140,1,261,2,14000,28000,23529,4471);</v>
      </c>
    </row>
    <row r="2343" spans="1:12">
      <c r="A2343" s="114">
        <v>1</v>
      </c>
      <c r="B2343" s="114">
        <v>1141</v>
      </c>
      <c r="C2343" s="139" t="s">
        <v>2349</v>
      </c>
      <c r="D2343" s="114" t="s">
        <v>2090</v>
      </c>
      <c r="E2343" s="114">
        <v>418</v>
      </c>
      <c r="F2343" s="114">
        <v>136</v>
      </c>
      <c r="G2343" s="114">
        <v>1</v>
      </c>
      <c r="H2343" s="114">
        <v>4500</v>
      </c>
      <c r="I2343" s="114">
        <v>4500</v>
      </c>
      <c r="J2343" s="114">
        <v>3782</v>
      </c>
      <c r="K2343" s="114">
        <v>718</v>
      </c>
      <c r="L2343" s="114" t="str">
        <f t="shared" si="36"/>
        <v>INSERT INTO DETALLES_DOCUMENTO(NRO_DOCUMENTO,ID_TIPO,ID_PRODUCTO,CANTIDAD,PRECIO,VALOR_BRUTO,VALOR_NETO,VALOR_IVA) VALUES(1141,1,136,1,4500,4500,3782,718);</v>
      </c>
    </row>
    <row r="2344" spans="1:12">
      <c r="A2344" s="114">
        <v>1</v>
      </c>
      <c r="B2344" s="114">
        <v>1142</v>
      </c>
      <c r="C2344" s="139" t="s">
        <v>2349</v>
      </c>
      <c r="D2344" s="114" t="s">
        <v>2090</v>
      </c>
      <c r="E2344" s="114">
        <v>470</v>
      </c>
      <c r="F2344" s="114">
        <v>290</v>
      </c>
      <c r="G2344" s="114">
        <v>1</v>
      </c>
      <c r="H2344" s="114">
        <v>1200</v>
      </c>
      <c r="I2344" s="114">
        <v>1200</v>
      </c>
      <c r="J2344" s="114">
        <v>1008</v>
      </c>
      <c r="K2344" s="114">
        <v>192</v>
      </c>
      <c r="L2344" s="114" t="str">
        <f t="shared" si="36"/>
        <v>INSERT INTO DETALLES_DOCUMENTO(NRO_DOCUMENTO,ID_TIPO,ID_PRODUCTO,CANTIDAD,PRECIO,VALOR_BRUTO,VALOR_NETO,VALOR_IVA) VALUES(1142,1,290,1,1200,1200,1008,192);</v>
      </c>
    </row>
    <row r="2345" spans="1:12">
      <c r="A2345" s="114">
        <v>1</v>
      </c>
      <c r="B2345" s="114">
        <v>1143</v>
      </c>
      <c r="C2345" s="139" t="s">
        <v>2350</v>
      </c>
      <c r="D2345" s="114" t="s">
        <v>2090</v>
      </c>
      <c r="E2345" s="114">
        <v>56</v>
      </c>
      <c r="F2345" s="114">
        <v>231</v>
      </c>
      <c r="G2345" s="114">
        <v>1</v>
      </c>
      <c r="H2345" s="114">
        <v>20900</v>
      </c>
      <c r="I2345" s="114">
        <v>20900</v>
      </c>
      <c r="J2345" s="114">
        <v>17563</v>
      </c>
      <c r="K2345" s="114">
        <v>3337</v>
      </c>
      <c r="L2345" s="114" t="str">
        <f t="shared" si="36"/>
        <v>INSERT INTO DETALLES_DOCUMENTO(NRO_DOCUMENTO,ID_TIPO,ID_PRODUCTO,CANTIDAD,PRECIO,VALOR_BRUTO,VALOR_NETO,VALOR_IVA) VALUES(1143,1,231,1,20900,20900,17563,3337);</v>
      </c>
    </row>
    <row r="2346" spans="1:12">
      <c r="A2346" s="114">
        <v>1</v>
      </c>
      <c r="B2346" s="114">
        <v>1144</v>
      </c>
      <c r="C2346" s="139" t="s">
        <v>2350</v>
      </c>
      <c r="D2346" s="114" t="s">
        <v>2090</v>
      </c>
      <c r="E2346" s="114">
        <v>166</v>
      </c>
      <c r="F2346" s="114">
        <v>143</v>
      </c>
      <c r="G2346" s="114">
        <v>1</v>
      </c>
      <c r="H2346" s="114">
        <v>8200</v>
      </c>
      <c r="I2346" s="114">
        <v>8200</v>
      </c>
      <c r="J2346" s="114">
        <v>6891</v>
      </c>
      <c r="K2346" s="114">
        <v>1309</v>
      </c>
      <c r="L2346" s="114" t="str">
        <f t="shared" si="36"/>
        <v>INSERT INTO DETALLES_DOCUMENTO(NRO_DOCUMENTO,ID_TIPO,ID_PRODUCTO,CANTIDAD,PRECIO,VALOR_BRUTO,VALOR_NETO,VALOR_IVA) VALUES(1144,1,143,1,8200,8200,6891,1309);</v>
      </c>
    </row>
    <row r="2347" spans="1:12">
      <c r="A2347" s="114">
        <v>1</v>
      </c>
      <c r="B2347" s="114">
        <v>1145</v>
      </c>
      <c r="C2347" s="139" t="s">
        <v>2350</v>
      </c>
      <c r="D2347" s="114" t="s">
        <v>2090</v>
      </c>
      <c r="E2347" s="114">
        <v>202</v>
      </c>
      <c r="F2347" s="114">
        <v>324</v>
      </c>
      <c r="G2347" s="114">
        <v>2</v>
      </c>
      <c r="H2347" s="114">
        <v>22000</v>
      </c>
      <c r="I2347" s="114">
        <v>44000</v>
      </c>
      <c r="J2347" s="114">
        <v>36975</v>
      </c>
      <c r="K2347" s="114">
        <v>7025</v>
      </c>
      <c r="L2347" s="114" t="str">
        <f t="shared" si="36"/>
        <v>INSERT INTO DETALLES_DOCUMENTO(NRO_DOCUMENTO,ID_TIPO,ID_PRODUCTO,CANTIDAD,PRECIO,VALOR_BRUTO,VALOR_NETO,VALOR_IVA) VALUES(1145,1,324,2,22000,44000,36975,7025);</v>
      </c>
    </row>
    <row r="2348" spans="1:12">
      <c r="A2348" s="114">
        <v>1</v>
      </c>
      <c r="B2348" s="114">
        <v>1145</v>
      </c>
      <c r="C2348" s="139" t="s">
        <v>2350</v>
      </c>
      <c r="D2348" s="114" t="s">
        <v>2090</v>
      </c>
      <c r="E2348" s="114">
        <v>202</v>
      </c>
      <c r="F2348" s="114">
        <v>143</v>
      </c>
      <c r="G2348" s="114">
        <v>1</v>
      </c>
      <c r="H2348" s="114">
        <v>8200</v>
      </c>
      <c r="I2348" s="114">
        <v>8200</v>
      </c>
      <c r="J2348" s="114">
        <v>6891</v>
      </c>
      <c r="K2348" s="114">
        <v>1309</v>
      </c>
      <c r="L2348" s="114" t="str">
        <f t="shared" si="36"/>
        <v>INSERT INTO DETALLES_DOCUMENTO(NRO_DOCUMENTO,ID_TIPO,ID_PRODUCTO,CANTIDAD,PRECIO,VALOR_BRUTO,VALOR_NETO,VALOR_IVA) VALUES(1145,1,143,1,8200,8200,6891,1309);</v>
      </c>
    </row>
    <row r="2349" spans="1:12">
      <c r="A2349" s="114">
        <v>1</v>
      </c>
      <c r="B2349" s="114">
        <v>1146</v>
      </c>
      <c r="C2349" s="139" t="s">
        <v>2350</v>
      </c>
      <c r="D2349" s="114" t="s">
        <v>2090</v>
      </c>
      <c r="E2349" s="114">
        <v>267</v>
      </c>
      <c r="F2349" s="114">
        <v>354</v>
      </c>
      <c r="G2349" s="114">
        <v>1</v>
      </c>
      <c r="H2349" s="114">
        <v>1800</v>
      </c>
      <c r="I2349" s="114">
        <v>1800</v>
      </c>
      <c r="J2349" s="114">
        <v>1513</v>
      </c>
      <c r="K2349" s="114">
        <v>287</v>
      </c>
      <c r="L2349" s="114" t="str">
        <f t="shared" si="36"/>
        <v>INSERT INTO DETALLES_DOCUMENTO(NRO_DOCUMENTO,ID_TIPO,ID_PRODUCTO,CANTIDAD,PRECIO,VALOR_BRUTO,VALOR_NETO,VALOR_IVA) VALUES(1146,1,354,1,1800,1800,1513,287);</v>
      </c>
    </row>
    <row r="2350" spans="1:12">
      <c r="A2350" s="114">
        <v>1</v>
      </c>
      <c r="B2350" s="114">
        <v>1146</v>
      </c>
      <c r="C2350" s="139" t="s">
        <v>2350</v>
      </c>
      <c r="D2350" s="114" t="s">
        <v>2090</v>
      </c>
      <c r="E2350" s="114">
        <v>267</v>
      </c>
      <c r="F2350" s="114">
        <v>286</v>
      </c>
      <c r="G2350" s="114">
        <v>1</v>
      </c>
      <c r="H2350" s="114">
        <v>1100</v>
      </c>
      <c r="I2350" s="114">
        <v>1100</v>
      </c>
      <c r="J2350" s="114">
        <v>924</v>
      </c>
      <c r="K2350" s="114">
        <v>176</v>
      </c>
      <c r="L2350" s="114" t="str">
        <f t="shared" si="36"/>
        <v>INSERT INTO DETALLES_DOCUMENTO(NRO_DOCUMENTO,ID_TIPO,ID_PRODUCTO,CANTIDAD,PRECIO,VALOR_BRUTO,VALOR_NETO,VALOR_IVA) VALUES(1146,1,286,1,1100,1100,924,176);</v>
      </c>
    </row>
    <row r="2351" spans="1:12">
      <c r="A2351" s="114">
        <v>1</v>
      </c>
      <c r="B2351" s="114">
        <v>1147</v>
      </c>
      <c r="C2351" s="139" t="s">
        <v>2350</v>
      </c>
      <c r="D2351" s="114" t="s">
        <v>2090</v>
      </c>
      <c r="E2351" s="114">
        <v>411</v>
      </c>
      <c r="F2351" s="114">
        <v>143</v>
      </c>
      <c r="G2351" s="114">
        <v>1</v>
      </c>
      <c r="H2351" s="114">
        <v>8200</v>
      </c>
      <c r="I2351" s="114">
        <v>8200</v>
      </c>
      <c r="J2351" s="114">
        <v>6891</v>
      </c>
      <c r="K2351" s="114">
        <v>1309</v>
      </c>
      <c r="L2351" s="114" t="str">
        <f t="shared" si="36"/>
        <v>INSERT INTO DETALLES_DOCUMENTO(NRO_DOCUMENTO,ID_TIPO,ID_PRODUCTO,CANTIDAD,PRECIO,VALOR_BRUTO,VALOR_NETO,VALOR_IVA) VALUES(1147,1,143,1,8200,8200,6891,1309);</v>
      </c>
    </row>
    <row r="2352" spans="1:12">
      <c r="A2352" s="114">
        <v>1</v>
      </c>
      <c r="B2352" s="114">
        <v>1148</v>
      </c>
      <c r="C2352" s="139" t="s">
        <v>2350</v>
      </c>
      <c r="D2352" s="114" t="s">
        <v>2090</v>
      </c>
      <c r="E2352" s="114">
        <v>416</v>
      </c>
      <c r="F2352" s="114">
        <v>329</v>
      </c>
      <c r="G2352" s="114">
        <v>1</v>
      </c>
      <c r="H2352" s="114">
        <v>6000</v>
      </c>
      <c r="I2352" s="114">
        <v>6000</v>
      </c>
      <c r="J2352" s="114">
        <v>5042</v>
      </c>
      <c r="K2352" s="114">
        <v>958</v>
      </c>
      <c r="L2352" s="114" t="str">
        <f t="shared" si="36"/>
        <v>INSERT INTO DETALLES_DOCUMENTO(NRO_DOCUMENTO,ID_TIPO,ID_PRODUCTO,CANTIDAD,PRECIO,VALOR_BRUTO,VALOR_NETO,VALOR_IVA) VALUES(1148,1,329,1,6000,6000,5042,958);</v>
      </c>
    </row>
    <row r="2353" spans="1:12">
      <c r="A2353" s="114">
        <v>1</v>
      </c>
      <c r="B2353" s="114">
        <v>1149</v>
      </c>
      <c r="C2353" s="139" t="s">
        <v>2351</v>
      </c>
      <c r="D2353" s="114" t="s">
        <v>2090</v>
      </c>
      <c r="E2353" s="114">
        <v>29</v>
      </c>
      <c r="F2353" s="114">
        <v>329</v>
      </c>
      <c r="G2353" s="114">
        <v>1</v>
      </c>
      <c r="H2353" s="114">
        <v>6000</v>
      </c>
      <c r="I2353" s="114">
        <v>6000</v>
      </c>
      <c r="J2353" s="114">
        <v>5042</v>
      </c>
      <c r="K2353" s="114">
        <v>958</v>
      </c>
      <c r="L2353" s="114" t="str">
        <f t="shared" si="36"/>
        <v>INSERT INTO DETALLES_DOCUMENTO(NRO_DOCUMENTO,ID_TIPO,ID_PRODUCTO,CANTIDAD,PRECIO,VALOR_BRUTO,VALOR_NETO,VALOR_IVA) VALUES(1149,1,329,1,6000,6000,5042,958);</v>
      </c>
    </row>
    <row r="2354" spans="1:12">
      <c r="A2354" s="114">
        <v>1</v>
      </c>
      <c r="B2354" s="114">
        <v>1149</v>
      </c>
      <c r="C2354" s="139" t="s">
        <v>2351</v>
      </c>
      <c r="D2354" s="114" t="s">
        <v>2090</v>
      </c>
      <c r="E2354" s="114">
        <v>29</v>
      </c>
      <c r="F2354" s="114">
        <v>112</v>
      </c>
      <c r="G2354" s="114">
        <v>1</v>
      </c>
      <c r="H2354" s="114">
        <v>-1000</v>
      </c>
      <c r="I2354" s="114">
        <v>-1000</v>
      </c>
      <c r="J2354" s="114">
        <v>-840</v>
      </c>
      <c r="K2354" s="114">
        <v>-160</v>
      </c>
      <c r="L2354" s="114" t="str">
        <f t="shared" si="36"/>
        <v>INSERT INTO DETALLES_DOCUMENTO(NRO_DOCUMENTO,ID_TIPO,ID_PRODUCTO,CANTIDAD,PRECIO,VALOR_BRUTO,VALOR_NETO,VALOR_IVA) VALUES(1149,1,112,1,-1000,-1000,-840,-160);</v>
      </c>
    </row>
    <row r="2355" spans="1:12">
      <c r="A2355" s="114">
        <v>1</v>
      </c>
      <c r="B2355" s="114">
        <v>1149</v>
      </c>
      <c r="C2355" s="139" t="s">
        <v>2351</v>
      </c>
      <c r="D2355" s="114" t="s">
        <v>2090</v>
      </c>
      <c r="E2355" s="114">
        <v>29</v>
      </c>
      <c r="F2355" s="114">
        <v>191</v>
      </c>
      <c r="G2355" s="114">
        <v>1</v>
      </c>
      <c r="H2355" s="114">
        <v>2500</v>
      </c>
      <c r="I2355" s="114">
        <v>2500</v>
      </c>
      <c r="J2355" s="114">
        <v>2101</v>
      </c>
      <c r="K2355" s="114">
        <v>399</v>
      </c>
      <c r="L2355" s="114" t="str">
        <f t="shared" si="36"/>
        <v>INSERT INTO DETALLES_DOCUMENTO(NRO_DOCUMENTO,ID_TIPO,ID_PRODUCTO,CANTIDAD,PRECIO,VALOR_BRUTO,VALOR_NETO,VALOR_IVA) VALUES(1149,1,191,1,2500,2500,2101,399);</v>
      </c>
    </row>
    <row r="2356" spans="1:12">
      <c r="A2356" s="114">
        <v>1</v>
      </c>
      <c r="B2356" s="114">
        <v>1149</v>
      </c>
      <c r="C2356" s="139" t="s">
        <v>2351</v>
      </c>
      <c r="D2356" s="114" t="s">
        <v>2090</v>
      </c>
      <c r="E2356" s="114">
        <v>29</v>
      </c>
      <c r="F2356" s="114">
        <v>143</v>
      </c>
      <c r="G2356" s="114">
        <v>1</v>
      </c>
      <c r="H2356" s="114">
        <v>8200</v>
      </c>
      <c r="I2356" s="114">
        <v>8200</v>
      </c>
      <c r="J2356" s="114">
        <v>6891</v>
      </c>
      <c r="K2356" s="114">
        <v>1309</v>
      </c>
      <c r="L2356" s="114" t="str">
        <f t="shared" si="36"/>
        <v>INSERT INTO DETALLES_DOCUMENTO(NRO_DOCUMENTO,ID_TIPO,ID_PRODUCTO,CANTIDAD,PRECIO,VALOR_BRUTO,VALOR_NETO,VALOR_IVA) VALUES(1149,1,143,1,8200,8200,6891,1309);</v>
      </c>
    </row>
    <row r="2357" spans="1:12">
      <c r="A2357" s="114">
        <v>1</v>
      </c>
      <c r="B2357" s="114">
        <v>1149</v>
      </c>
      <c r="C2357" s="139" t="s">
        <v>2351</v>
      </c>
      <c r="D2357" s="114" t="s">
        <v>2090</v>
      </c>
      <c r="E2357" s="114">
        <v>29</v>
      </c>
      <c r="F2357" s="114">
        <v>387</v>
      </c>
      <c r="G2357" s="114">
        <v>1</v>
      </c>
      <c r="H2357" s="114">
        <v>1500</v>
      </c>
      <c r="I2357" s="114">
        <v>1500</v>
      </c>
      <c r="J2357" s="114">
        <v>1261</v>
      </c>
      <c r="K2357" s="114">
        <v>239</v>
      </c>
      <c r="L2357" s="114" t="str">
        <f t="shared" si="36"/>
        <v>INSERT INTO DETALLES_DOCUMENTO(NRO_DOCUMENTO,ID_TIPO,ID_PRODUCTO,CANTIDAD,PRECIO,VALOR_BRUTO,VALOR_NETO,VALOR_IVA) VALUES(1149,1,387,1,1500,1500,1261,239);</v>
      </c>
    </row>
    <row r="2358" spans="1:12">
      <c r="A2358" s="114">
        <v>1</v>
      </c>
      <c r="B2358" s="114">
        <v>1149</v>
      </c>
      <c r="C2358" s="139" t="s">
        <v>2351</v>
      </c>
      <c r="D2358" s="114" t="s">
        <v>2090</v>
      </c>
      <c r="E2358" s="114">
        <v>29</v>
      </c>
      <c r="F2358" s="114">
        <v>354</v>
      </c>
      <c r="G2358" s="114">
        <v>1</v>
      </c>
      <c r="H2358" s="114">
        <v>1800</v>
      </c>
      <c r="I2358" s="114">
        <v>1800</v>
      </c>
      <c r="J2358" s="114">
        <v>1513</v>
      </c>
      <c r="K2358" s="114">
        <v>287</v>
      </c>
      <c r="L2358" s="114" t="str">
        <f t="shared" si="36"/>
        <v>INSERT INTO DETALLES_DOCUMENTO(NRO_DOCUMENTO,ID_TIPO,ID_PRODUCTO,CANTIDAD,PRECIO,VALOR_BRUTO,VALOR_NETO,VALOR_IVA) VALUES(1149,1,354,1,1800,1800,1513,287);</v>
      </c>
    </row>
    <row r="2359" spans="1:12">
      <c r="A2359" s="114">
        <v>1</v>
      </c>
      <c r="B2359" s="114">
        <v>1149</v>
      </c>
      <c r="C2359" s="139" t="s">
        <v>2351</v>
      </c>
      <c r="D2359" s="114" t="s">
        <v>2090</v>
      </c>
      <c r="E2359" s="114">
        <v>29</v>
      </c>
      <c r="F2359" s="114">
        <v>298</v>
      </c>
      <c r="G2359" s="114">
        <v>1</v>
      </c>
      <c r="H2359" s="114">
        <v>2500</v>
      </c>
      <c r="I2359" s="114">
        <v>2500</v>
      </c>
      <c r="J2359" s="114">
        <v>2101</v>
      </c>
      <c r="K2359" s="114">
        <v>399</v>
      </c>
      <c r="L2359" s="114" t="str">
        <f t="shared" si="36"/>
        <v>INSERT INTO DETALLES_DOCUMENTO(NRO_DOCUMENTO,ID_TIPO,ID_PRODUCTO,CANTIDAD,PRECIO,VALOR_BRUTO,VALOR_NETO,VALOR_IVA) VALUES(1149,1,298,1,2500,2500,2101,399);</v>
      </c>
    </row>
    <row r="2360" spans="1:12">
      <c r="A2360" s="114">
        <v>1</v>
      </c>
      <c r="B2360" s="114">
        <v>1150</v>
      </c>
      <c r="C2360" s="139" t="s">
        <v>2351</v>
      </c>
      <c r="D2360" s="114" t="s">
        <v>2090</v>
      </c>
      <c r="E2360" s="114">
        <v>377</v>
      </c>
      <c r="F2360" s="114">
        <v>231</v>
      </c>
      <c r="G2360" s="114">
        <v>1</v>
      </c>
      <c r="H2360" s="114">
        <v>20900</v>
      </c>
      <c r="I2360" s="114">
        <v>20900</v>
      </c>
      <c r="J2360" s="114">
        <v>17563</v>
      </c>
      <c r="K2360" s="114">
        <v>3337</v>
      </c>
      <c r="L2360" s="114" t="str">
        <f t="shared" si="36"/>
        <v>INSERT INTO DETALLES_DOCUMENTO(NRO_DOCUMENTO,ID_TIPO,ID_PRODUCTO,CANTIDAD,PRECIO,VALOR_BRUTO,VALOR_NETO,VALOR_IVA) VALUES(1150,1,231,1,20900,20900,17563,3337);</v>
      </c>
    </row>
    <row r="2361" spans="1:12">
      <c r="A2361" s="114">
        <v>1</v>
      </c>
      <c r="B2361" s="114">
        <v>1150</v>
      </c>
      <c r="C2361" s="139" t="s">
        <v>2351</v>
      </c>
      <c r="D2361" s="114" t="s">
        <v>2090</v>
      </c>
      <c r="E2361" s="114">
        <v>377</v>
      </c>
      <c r="F2361" s="114">
        <v>244</v>
      </c>
      <c r="G2361" s="114">
        <v>1</v>
      </c>
      <c r="H2361" s="114">
        <v>14900</v>
      </c>
      <c r="I2361" s="114">
        <v>14900</v>
      </c>
      <c r="J2361" s="114">
        <v>12521</v>
      </c>
      <c r="K2361" s="114">
        <v>2379</v>
      </c>
      <c r="L2361" s="114" t="str">
        <f t="shared" si="36"/>
        <v>INSERT INTO DETALLES_DOCUMENTO(NRO_DOCUMENTO,ID_TIPO,ID_PRODUCTO,CANTIDAD,PRECIO,VALOR_BRUTO,VALOR_NETO,VALOR_IVA) VALUES(1150,1,244,1,14900,14900,12521,2379);</v>
      </c>
    </row>
    <row r="2362" spans="1:12">
      <c r="A2362" s="114">
        <v>1</v>
      </c>
      <c r="B2362" s="114">
        <v>1151</v>
      </c>
      <c r="C2362" s="139" t="s">
        <v>2351</v>
      </c>
      <c r="D2362" s="114" t="s">
        <v>2090</v>
      </c>
      <c r="E2362" s="114">
        <v>457</v>
      </c>
      <c r="F2362" s="114">
        <v>233</v>
      </c>
      <c r="G2362" s="114">
        <v>1</v>
      </c>
      <c r="H2362" s="114">
        <v>15990</v>
      </c>
      <c r="I2362" s="114">
        <v>15990</v>
      </c>
      <c r="J2362" s="114">
        <v>13437</v>
      </c>
      <c r="K2362" s="114">
        <v>2553</v>
      </c>
      <c r="L2362" s="114" t="str">
        <f t="shared" si="36"/>
        <v>INSERT INTO DETALLES_DOCUMENTO(NRO_DOCUMENTO,ID_TIPO,ID_PRODUCTO,CANTIDAD,PRECIO,VALOR_BRUTO,VALOR_NETO,VALOR_IVA) VALUES(1151,1,233,1,15990,15990,13437,2553);</v>
      </c>
    </row>
    <row r="2363" spans="1:12">
      <c r="A2363" s="114">
        <v>1</v>
      </c>
      <c r="B2363" s="114">
        <v>1151</v>
      </c>
      <c r="C2363" s="139" t="s">
        <v>2351</v>
      </c>
      <c r="D2363" s="114" t="s">
        <v>2090</v>
      </c>
      <c r="E2363" s="114">
        <v>457</v>
      </c>
      <c r="F2363" s="114">
        <v>143</v>
      </c>
      <c r="G2363" s="114">
        <v>1</v>
      </c>
      <c r="H2363" s="114">
        <v>8200</v>
      </c>
      <c r="I2363" s="114">
        <v>8200</v>
      </c>
      <c r="J2363" s="114">
        <v>6891</v>
      </c>
      <c r="K2363" s="114">
        <v>1309</v>
      </c>
      <c r="L2363" s="114" t="str">
        <f t="shared" si="36"/>
        <v>INSERT INTO DETALLES_DOCUMENTO(NRO_DOCUMENTO,ID_TIPO,ID_PRODUCTO,CANTIDAD,PRECIO,VALOR_BRUTO,VALOR_NETO,VALOR_IVA) VALUES(1151,1,143,1,8200,8200,6891,1309);</v>
      </c>
    </row>
    <row r="2364" spans="1:12">
      <c r="A2364" s="114">
        <v>1</v>
      </c>
      <c r="B2364" s="114">
        <v>1152</v>
      </c>
      <c r="C2364" s="139" t="s">
        <v>2351</v>
      </c>
      <c r="D2364" s="114" t="s">
        <v>2090</v>
      </c>
      <c r="E2364" s="114">
        <v>479</v>
      </c>
      <c r="F2364" s="114">
        <v>369</v>
      </c>
      <c r="G2364" s="114">
        <v>2</v>
      </c>
      <c r="H2364" s="114">
        <v>21000</v>
      </c>
      <c r="I2364" s="114">
        <v>42000</v>
      </c>
      <c r="J2364" s="114">
        <v>35294</v>
      </c>
      <c r="K2364" s="114">
        <v>6706</v>
      </c>
      <c r="L2364" s="114" t="str">
        <f t="shared" si="36"/>
        <v>INSERT INTO DETALLES_DOCUMENTO(NRO_DOCUMENTO,ID_TIPO,ID_PRODUCTO,CANTIDAD,PRECIO,VALOR_BRUTO,VALOR_NETO,VALOR_IVA) VALUES(1152,1,369,2,21000,42000,35294,6706);</v>
      </c>
    </row>
    <row r="2365" spans="1:12">
      <c r="A2365" s="114">
        <v>1</v>
      </c>
      <c r="B2365" s="114">
        <v>1153</v>
      </c>
      <c r="C2365" s="139" t="s">
        <v>2351</v>
      </c>
      <c r="D2365" s="114" t="s">
        <v>2090</v>
      </c>
      <c r="E2365" s="114">
        <v>485</v>
      </c>
      <c r="F2365" s="114">
        <v>118</v>
      </c>
      <c r="G2365" s="114">
        <v>1</v>
      </c>
      <c r="H2365" s="114">
        <v>3500</v>
      </c>
      <c r="I2365" s="114">
        <v>3500</v>
      </c>
      <c r="J2365" s="114">
        <v>2941</v>
      </c>
      <c r="K2365" s="114">
        <v>559</v>
      </c>
      <c r="L2365" s="114" t="str">
        <f t="shared" si="36"/>
        <v>INSERT INTO DETALLES_DOCUMENTO(NRO_DOCUMENTO,ID_TIPO,ID_PRODUCTO,CANTIDAD,PRECIO,VALOR_BRUTO,VALOR_NETO,VALOR_IVA) VALUES(1153,1,118,1,3500,3500,2941,559);</v>
      </c>
    </row>
    <row r="2366" spans="1:12">
      <c r="A2366" s="114">
        <v>1</v>
      </c>
      <c r="B2366" s="114">
        <v>1153</v>
      </c>
      <c r="C2366" s="139" t="s">
        <v>2351</v>
      </c>
      <c r="D2366" s="114" t="s">
        <v>2090</v>
      </c>
      <c r="E2366" s="114">
        <v>485</v>
      </c>
      <c r="F2366" s="114">
        <v>165</v>
      </c>
      <c r="G2366" s="114">
        <v>1</v>
      </c>
      <c r="H2366" s="114">
        <v>2000</v>
      </c>
      <c r="I2366" s="114">
        <v>2000</v>
      </c>
      <c r="J2366" s="114">
        <v>1681</v>
      </c>
      <c r="K2366" s="114">
        <v>319</v>
      </c>
      <c r="L2366" s="114" t="str">
        <f t="shared" si="36"/>
        <v>INSERT INTO DETALLES_DOCUMENTO(NRO_DOCUMENTO,ID_TIPO,ID_PRODUCTO,CANTIDAD,PRECIO,VALOR_BRUTO,VALOR_NETO,VALOR_IVA) VALUES(1153,1,165,1,2000,2000,1681,319);</v>
      </c>
    </row>
    <row r="2367" spans="1:12">
      <c r="A2367" s="114">
        <v>1</v>
      </c>
      <c r="B2367" s="114">
        <v>1153</v>
      </c>
      <c r="C2367" s="139" t="s">
        <v>2351</v>
      </c>
      <c r="D2367" s="114" t="s">
        <v>2090</v>
      </c>
      <c r="E2367" s="114">
        <v>485</v>
      </c>
      <c r="F2367" s="114">
        <v>66</v>
      </c>
      <c r="G2367" s="114">
        <v>1</v>
      </c>
      <c r="H2367" s="114">
        <v>600</v>
      </c>
      <c r="I2367" s="114">
        <v>600</v>
      </c>
      <c r="J2367" s="114">
        <v>504</v>
      </c>
      <c r="K2367" s="114">
        <v>96</v>
      </c>
      <c r="L2367" s="114" t="str">
        <f t="shared" si="36"/>
        <v>INSERT INTO DETALLES_DOCUMENTO(NRO_DOCUMENTO,ID_TIPO,ID_PRODUCTO,CANTIDAD,PRECIO,VALOR_BRUTO,VALOR_NETO,VALOR_IVA) VALUES(1153,1,66,1,600,600,504,96);</v>
      </c>
    </row>
    <row r="2368" spans="1:12">
      <c r="A2368" s="114">
        <v>1</v>
      </c>
      <c r="B2368" s="114">
        <v>1153</v>
      </c>
      <c r="C2368" s="139" t="s">
        <v>2351</v>
      </c>
      <c r="D2368" s="114" t="s">
        <v>2090</v>
      </c>
      <c r="E2368" s="114">
        <v>485</v>
      </c>
      <c r="F2368" s="114">
        <v>358</v>
      </c>
      <c r="G2368" s="114">
        <v>1</v>
      </c>
      <c r="H2368" s="114">
        <v>2500</v>
      </c>
      <c r="I2368" s="114">
        <v>2500</v>
      </c>
      <c r="J2368" s="114">
        <v>2101</v>
      </c>
      <c r="K2368" s="114">
        <v>399</v>
      </c>
      <c r="L2368" s="114" t="str">
        <f t="shared" si="36"/>
        <v>INSERT INTO DETALLES_DOCUMENTO(NRO_DOCUMENTO,ID_TIPO,ID_PRODUCTO,CANTIDAD,PRECIO,VALOR_BRUTO,VALOR_NETO,VALOR_IVA) VALUES(1153,1,358,1,2500,2500,2101,399);</v>
      </c>
    </row>
    <row r="2369" spans="1:12">
      <c r="A2369" s="114">
        <v>1</v>
      </c>
      <c r="B2369" s="114">
        <v>1154</v>
      </c>
      <c r="C2369" s="139" t="s">
        <v>2352</v>
      </c>
      <c r="D2369" s="114" t="s">
        <v>2090</v>
      </c>
      <c r="E2369" s="114">
        <v>92</v>
      </c>
      <c r="F2369" s="114">
        <v>329</v>
      </c>
      <c r="G2369" s="114">
        <v>1</v>
      </c>
      <c r="H2369" s="114">
        <v>6000</v>
      </c>
      <c r="I2369" s="114">
        <v>6000</v>
      </c>
      <c r="J2369" s="114">
        <v>5042</v>
      </c>
      <c r="K2369" s="114">
        <v>958</v>
      </c>
      <c r="L2369" s="114" t="str">
        <f t="shared" si="36"/>
        <v>INSERT INTO DETALLES_DOCUMENTO(NRO_DOCUMENTO,ID_TIPO,ID_PRODUCTO,CANTIDAD,PRECIO,VALOR_BRUTO,VALOR_NETO,VALOR_IVA) VALUES(1154,1,329,1,6000,6000,5042,958);</v>
      </c>
    </row>
    <row r="2370" spans="1:12">
      <c r="A2370" s="114">
        <v>1</v>
      </c>
      <c r="B2370" s="114">
        <v>1155</v>
      </c>
      <c r="C2370" s="139" t="s">
        <v>2353</v>
      </c>
      <c r="D2370" s="114" t="s">
        <v>2090</v>
      </c>
      <c r="E2370" s="114">
        <v>116</v>
      </c>
      <c r="F2370" s="114">
        <v>230</v>
      </c>
      <c r="G2370" s="114">
        <v>1</v>
      </c>
      <c r="H2370" s="114">
        <v>16500</v>
      </c>
      <c r="I2370" s="114">
        <v>16500</v>
      </c>
      <c r="J2370" s="114">
        <v>13866</v>
      </c>
      <c r="K2370" s="114">
        <v>2634</v>
      </c>
      <c r="L2370" s="114" t="str">
        <f t="shared" si="36"/>
        <v>INSERT INTO DETALLES_DOCUMENTO(NRO_DOCUMENTO,ID_TIPO,ID_PRODUCTO,CANTIDAD,PRECIO,VALOR_BRUTO,VALOR_NETO,VALOR_IVA) VALUES(1155,1,230,1,16500,16500,13866,2634);</v>
      </c>
    </row>
    <row r="2371" spans="1:12">
      <c r="A2371" s="114">
        <v>1</v>
      </c>
      <c r="B2371" s="114">
        <v>1155</v>
      </c>
      <c r="C2371" s="139" t="s">
        <v>2353</v>
      </c>
      <c r="D2371" s="114" t="s">
        <v>2090</v>
      </c>
      <c r="E2371" s="114">
        <v>116</v>
      </c>
      <c r="F2371" s="114">
        <v>369</v>
      </c>
      <c r="G2371" s="114">
        <v>1</v>
      </c>
      <c r="H2371" s="114">
        <v>10500</v>
      </c>
      <c r="I2371" s="114">
        <v>10500</v>
      </c>
      <c r="J2371" s="114">
        <v>8824</v>
      </c>
      <c r="K2371" s="114">
        <v>1676</v>
      </c>
      <c r="L2371" s="114" t="str">
        <f t="shared" ref="L2371:L2434" si="37">CONCATENATE("INSERT INTO DETALLES_DOCUMENTO(NRO_DOCUMENTO,ID_TIPO,ID_PRODUCTO,CANTIDAD,PRECIO,VALOR_BRUTO,VALOR_NETO,VALOR_IVA) VALUES(",B2371,",",A2371,",",F2371,",",G2371,",",H2371,",",I2371,",",J2371,",",K2371,");")</f>
        <v>INSERT INTO DETALLES_DOCUMENTO(NRO_DOCUMENTO,ID_TIPO,ID_PRODUCTO,CANTIDAD,PRECIO,VALOR_BRUTO,VALOR_NETO,VALOR_IVA) VALUES(1155,1,369,1,10500,10500,8824,1676);</v>
      </c>
    </row>
    <row r="2372" spans="1:12">
      <c r="A2372" s="114">
        <v>1</v>
      </c>
      <c r="B2372" s="114">
        <v>1156</v>
      </c>
      <c r="C2372" s="139" t="s">
        <v>2353</v>
      </c>
      <c r="D2372" s="114" t="s">
        <v>2090</v>
      </c>
      <c r="E2372" s="114">
        <v>179</v>
      </c>
      <c r="F2372" s="114">
        <v>11</v>
      </c>
      <c r="G2372" s="114">
        <v>1</v>
      </c>
      <c r="H2372" s="114">
        <v>2500</v>
      </c>
      <c r="I2372" s="114">
        <v>2500</v>
      </c>
      <c r="J2372" s="114">
        <v>2101</v>
      </c>
      <c r="K2372" s="114">
        <v>399</v>
      </c>
      <c r="L2372" s="114" t="str">
        <f t="shared" si="37"/>
        <v>INSERT INTO DETALLES_DOCUMENTO(NRO_DOCUMENTO,ID_TIPO,ID_PRODUCTO,CANTIDAD,PRECIO,VALOR_BRUTO,VALOR_NETO,VALOR_IVA) VALUES(1156,1,11,1,2500,2500,2101,399);</v>
      </c>
    </row>
    <row r="2373" spans="1:12">
      <c r="A2373" s="114">
        <v>1</v>
      </c>
      <c r="B2373" s="114">
        <v>1156</v>
      </c>
      <c r="C2373" s="139" t="s">
        <v>2353</v>
      </c>
      <c r="D2373" s="114" t="s">
        <v>2090</v>
      </c>
      <c r="E2373" s="114">
        <v>179</v>
      </c>
      <c r="F2373" s="114">
        <v>231</v>
      </c>
      <c r="G2373" s="114">
        <v>1</v>
      </c>
      <c r="H2373" s="114">
        <v>20900</v>
      </c>
      <c r="I2373" s="114">
        <v>20900</v>
      </c>
      <c r="J2373" s="114">
        <v>17563</v>
      </c>
      <c r="K2373" s="114">
        <v>3337</v>
      </c>
      <c r="L2373" s="114" t="str">
        <f t="shared" si="37"/>
        <v>INSERT INTO DETALLES_DOCUMENTO(NRO_DOCUMENTO,ID_TIPO,ID_PRODUCTO,CANTIDAD,PRECIO,VALOR_BRUTO,VALOR_NETO,VALOR_IVA) VALUES(1156,1,231,1,20900,20900,17563,3337);</v>
      </c>
    </row>
    <row r="2374" spans="1:12">
      <c r="A2374" s="114">
        <v>1</v>
      </c>
      <c r="B2374" s="114">
        <v>1156</v>
      </c>
      <c r="C2374" s="139" t="s">
        <v>2353</v>
      </c>
      <c r="D2374" s="114" t="s">
        <v>2090</v>
      </c>
      <c r="E2374" s="114">
        <v>179</v>
      </c>
      <c r="F2374" s="114">
        <v>378</v>
      </c>
      <c r="G2374" s="114">
        <v>4</v>
      </c>
      <c r="H2374" s="114">
        <v>4800</v>
      </c>
      <c r="I2374" s="114">
        <v>19200</v>
      </c>
      <c r="J2374" s="114">
        <v>16134</v>
      </c>
      <c r="K2374" s="114">
        <v>3066</v>
      </c>
      <c r="L2374" s="114" t="str">
        <f t="shared" si="37"/>
        <v>INSERT INTO DETALLES_DOCUMENTO(NRO_DOCUMENTO,ID_TIPO,ID_PRODUCTO,CANTIDAD,PRECIO,VALOR_BRUTO,VALOR_NETO,VALOR_IVA) VALUES(1156,1,378,4,4800,19200,16134,3066);</v>
      </c>
    </row>
    <row r="2375" spans="1:12">
      <c r="A2375" s="114">
        <v>1</v>
      </c>
      <c r="B2375" s="114">
        <v>1156</v>
      </c>
      <c r="C2375" s="139" t="s">
        <v>2353</v>
      </c>
      <c r="D2375" s="114" t="s">
        <v>2090</v>
      </c>
      <c r="E2375" s="114">
        <v>179</v>
      </c>
      <c r="F2375" s="114">
        <v>120</v>
      </c>
      <c r="G2375" s="114">
        <v>2</v>
      </c>
      <c r="H2375" s="114">
        <v>3800</v>
      </c>
      <c r="I2375" s="114">
        <v>7600</v>
      </c>
      <c r="J2375" s="114">
        <v>6387</v>
      </c>
      <c r="K2375" s="114">
        <v>1213</v>
      </c>
      <c r="L2375" s="114" t="str">
        <f t="shared" si="37"/>
        <v>INSERT INTO DETALLES_DOCUMENTO(NRO_DOCUMENTO,ID_TIPO,ID_PRODUCTO,CANTIDAD,PRECIO,VALOR_BRUTO,VALOR_NETO,VALOR_IVA) VALUES(1156,1,120,2,3800,7600,6387,1213);</v>
      </c>
    </row>
    <row r="2376" spans="1:12">
      <c r="A2376" s="114">
        <v>1</v>
      </c>
      <c r="B2376" s="114">
        <v>1156</v>
      </c>
      <c r="C2376" s="139" t="s">
        <v>2353</v>
      </c>
      <c r="D2376" s="114" t="s">
        <v>2090</v>
      </c>
      <c r="E2376" s="114">
        <v>179</v>
      </c>
      <c r="F2376" s="114">
        <v>324</v>
      </c>
      <c r="G2376" s="114">
        <v>1</v>
      </c>
      <c r="H2376" s="114">
        <v>11000</v>
      </c>
      <c r="I2376" s="114">
        <v>11000</v>
      </c>
      <c r="J2376" s="114">
        <v>9244</v>
      </c>
      <c r="K2376" s="114">
        <v>1756</v>
      </c>
      <c r="L2376" s="114" t="str">
        <f t="shared" si="37"/>
        <v>INSERT INTO DETALLES_DOCUMENTO(NRO_DOCUMENTO,ID_TIPO,ID_PRODUCTO,CANTIDAD,PRECIO,VALOR_BRUTO,VALOR_NETO,VALOR_IVA) VALUES(1156,1,324,1,11000,11000,9244,1756);</v>
      </c>
    </row>
    <row r="2377" spans="1:12">
      <c r="A2377" s="114">
        <v>1</v>
      </c>
      <c r="B2377" s="114">
        <v>1156</v>
      </c>
      <c r="C2377" s="139" t="s">
        <v>2353</v>
      </c>
      <c r="D2377" s="114" t="s">
        <v>2090</v>
      </c>
      <c r="E2377" s="114">
        <v>179</v>
      </c>
      <c r="F2377" s="114">
        <v>169</v>
      </c>
      <c r="G2377" s="114">
        <v>1</v>
      </c>
      <c r="H2377" s="114">
        <v>2700</v>
      </c>
      <c r="I2377" s="114">
        <v>2700</v>
      </c>
      <c r="J2377" s="114">
        <v>2269</v>
      </c>
      <c r="K2377" s="114">
        <v>431</v>
      </c>
      <c r="L2377" s="114" t="str">
        <f t="shared" si="37"/>
        <v>INSERT INTO DETALLES_DOCUMENTO(NRO_DOCUMENTO,ID_TIPO,ID_PRODUCTO,CANTIDAD,PRECIO,VALOR_BRUTO,VALOR_NETO,VALOR_IVA) VALUES(1156,1,169,1,2700,2700,2269,431);</v>
      </c>
    </row>
    <row r="2378" spans="1:12">
      <c r="A2378" s="114">
        <v>1</v>
      </c>
      <c r="B2378" s="114">
        <v>1156</v>
      </c>
      <c r="C2378" s="139" t="s">
        <v>2353</v>
      </c>
      <c r="D2378" s="114" t="s">
        <v>2090</v>
      </c>
      <c r="E2378" s="114">
        <v>179</v>
      </c>
      <c r="F2378" s="114">
        <v>273</v>
      </c>
      <c r="G2378" s="114">
        <v>1</v>
      </c>
      <c r="H2378" s="114">
        <v>1300</v>
      </c>
      <c r="I2378" s="114">
        <v>1300</v>
      </c>
      <c r="J2378" s="114">
        <v>1092</v>
      </c>
      <c r="K2378" s="114">
        <v>208</v>
      </c>
      <c r="L2378" s="114" t="str">
        <f t="shared" si="37"/>
        <v>INSERT INTO DETALLES_DOCUMENTO(NRO_DOCUMENTO,ID_TIPO,ID_PRODUCTO,CANTIDAD,PRECIO,VALOR_BRUTO,VALOR_NETO,VALOR_IVA) VALUES(1156,1,273,1,1300,1300,1092,208);</v>
      </c>
    </row>
    <row r="2379" spans="1:12">
      <c r="A2379" s="114">
        <v>1</v>
      </c>
      <c r="B2379" s="114">
        <v>1156</v>
      </c>
      <c r="C2379" s="139" t="s">
        <v>2353</v>
      </c>
      <c r="D2379" s="114" t="s">
        <v>2090</v>
      </c>
      <c r="E2379" s="114">
        <v>179</v>
      </c>
      <c r="F2379" s="114">
        <v>21</v>
      </c>
      <c r="G2379" s="114">
        <v>1</v>
      </c>
      <c r="H2379" s="114">
        <v>3200</v>
      </c>
      <c r="I2379" s="114">
        <v>3200</v>
      </c>
      <c r="J2379" s="114">
        <v>2689</v>
      </c>
      <c r="K2379" s="114">
        <v>511</v>
      </c>
      <c r="L2379" s="114" t="str">
        <f t="shared" si="37"/>
        <v>INSERT INTO DETALLES_DOCUMENTO(NRO_DOCUMENTO,ID_TIPO,ID_PRODUCTO,CANTIDAD,PRECIO,VALOR_BRUTO,VALOR_NETO,VALOR_IVA) VALUES(1156,1,21,1,3200,3200,2689,511);</v>
      </c>
    </row>
    <row r="2380" spans="1:12">
      <c r="A2380" s="114">
        <v>1</v>
      </c>
      <c r="B2380" s="114">
        <v>1156</v>
      </c>
      <c r="C2380" s="139" t="s">
        <v>2353</v>
      </c>
      <c r="D2380" s="114" t="s">
        <v>2090</v>
      </c>
      <c r="E2380" s="114">
        <v>179</v>
      </c>
      <c r="F2380" s="114">
        <v>143</v>
      </c>
      <c r="G2380" s="114">
        <v>1</v>
      </c>
      <c r="H2380" s="114">
        <v>8200</v>
      </c>
      <c r="I2380" s="114">
        <v>8200</v>
      </c>
      <c r="J2380" s="114">
        <v>6891</v>
      </c>
      <c r="K2380" s="114">
        <v>1309</v>
      </c>
      <c r="L2380" s="114" t="str">
        <f t="shared" si="37"/>
        <v>INSERT INTO DETALLES_DOCUMENTO(NRO_DOCUMENTO,ID_TIPO,ID_PRODUCTO,CANTIDAD,PRECIO,VALOR_BRUTO,VALOR_NETO,VALOR_IVA) VALUES(1156,1,143,1,8200,8200,6891,1309);</v>
      </c>
    </row>
    <row r="2381" spans="1:12">
      <c r="A2381" s="114">
        <v>1</v>
      </c>
      <c r="B2381" s="114">
        <v>1157</v>
      </c>
      <c r="C2381" s="139" t="s">
        <v>2353</v>
      </c>
      <c r="D2381" s="114" t="s">
        <v>2090</v>
      </c>
      <c r="E2381" s="114">
        <v>321</v>
      </c>
      <c r="F2381" s="114">
        <v>51</v>
      </c>
      <c r="G2381" s="114">
        <v>4</v>
      </c>
      <c r="H2381" s="114">
        <v>16800</v>
      </c>
      <c r="I2381" s="114">
        <v>67200</v>
      </c>
      <c r="J2381" s="114">
        <v>56471</v>
      </c>
      <c r="K2381" s="114">
        <v>10729</v>
      </c>
      <c r="L2381" s="114" t="str">
        <f t="shared" si="37"/>
        <v>INSERT INTO DETALLES_DOCUMENTO(NRO_DOCUMENTO,ID_TIPO,ID_PRODUCTO,CANTIDAD,PRECIO,VALOR_BRUTO,VALOR_NETO,VALOR_IVA) VALUES(1157,1,51,4,16800,67200,56471,10729);</v>
      </c>
    </row>
    <row r="2382" spans="1:12">
      <c r="A2382" s="114">
        <v>1</v>
      </c>
      <c r="B2382" s="114">
        <v>1158</v>
      </c>
      <c r="C2382" s="139" t="s">
        <v>2353</v>
      </c>
      <c r="D2382" s="114" t="s">
        <v>2090</v>
      </c>
      <c r="E2382" s="114">
        <v>323</v>
      </c>
      <c r="F2382" s="114">
        <v>117</v>
      </c>
      <c r="G2382" s="114">
        <v>2</v>
      </c>
      <c r="H2382" s="114">
        <v>7000</v>
      </c>
      <c r="I2382" s="114">
        <v>14000</v>
      </c>
      <c r="J2382" s="114">
        <v>11765</v>
      </c>
      <c r="K2382" s="114">
        <v>2235</v>
      </c>
      <c r="L2382" s="114" t="str">
        <f t="shared" si="37"/>
        <v>INSERT INTO DETALLES_DOCUMENTO(NRO_DOCUMENTO,ID_TIPO,ID_PRODUCTO,CANTIDAD,PRECIO,VALOR_BRUTO,VALOR_NETO,VALOR_IVA) VALUES(1158,1,117,2,7000,14000,11765,2235);</v>
      </c>
    </row>
    <row r="2383" spans="1:12">
      <c r="A2383" s="114">
        <v>1</v>
      </c>
      <c r="B2383" s="114">
        <v>1158</v>
      </c>
      <c r="C2383" s="139" t="s">
        <v>2353</v>
      </c>
      <c r="D2383" s="114" t="s">
        <v>2090</v>
      </c>
      <c r="E2383" s="114">
        <v>323</v>
      </c>
      <c r="F2383" s="114">
        <v>264</v>
      </c>
      <c r="G2383" s="114">
        <v>1</v>
      </c>
      <c r="H2383" s="114">
        <v>5000</v>
      </c>
      <c r="I2383" s="114">
        <v>5000</v>
      </c>
      <c r="J2383" s="114">
        <v>4202</v>
      </c>
      <c r="K2383" s="114">
        <v>798</v>
      </c>
      <c r="L2383" s="114" t="str">
        <f t="shared" si="37"/>
        <v>INSERT INTO DETALLES_DOCUMENTO(NRO_DOCUMENTO,ID_TIPO,ID_PRODUCTO,CANTIDAD,PRECIO,VALOR_BRUTO,VALOR_NETO,VALOR_IVA) VALUES(1158,1,264,1,5000,5000,4202,798);</v>
      </c>
    </row>
    <row r="2384" spans="1:12">
      <c r="A2384" s="114">
        <v>1</v>
      </c>
      <c r="B2384" s="114">
        <v>1159</v>
      </c>
      <c r="C2384" s="139" t="s">
        <v>2353</v>
      </c>
      <c r="D2384" s="114" t="s">
        <v>2090</v>
      </c>
      <c r="E2384" s="114">
        <v>352</v>
      </c>
      <c r="F2384" s="114">
        <v>231</v>
      </c>
      <c r="G2384" s="114">
        <v>1</v>
      </c>
      <c r="H2384" s="114">
        <v>20900</v>
      </c>
      <c r="I2384" s="114">
        <v>20900</v>
      </c>
      <c r="J2384" s="114">
        <v>17563</v>
      </c>
      <c r="K2384" s="114">
        <v>3337</v>
      </c>
      <c r="L2384" s="114" t="str">
        <f t="shared" si="37"/>
        <v>INSERT INTO DETALLES_DOCUMENTO(NRO_DOCUMENTO,ID_TIPO,ID_PRODUCTO,CANTIDAD,PRECIO,VALOR_BRUTO,VALOR_NETO,VALOR_IVA) VALUES(1159,1,231,1,20900,20900,17563,3337);</v>
      </c>
    </row>
    <row r="2385" spans="1:12">
      <c r="A2385" s="114">
        <v>1</v>
      </c>
      <c r="B2385" s="114">
        <v>1159</v>
      </c>
      <c r="C2385" s="139" t="s">
        <v>2353</v>
      </c>
      <c r="D2385" s="114" t="s">
        <v>2090</v>
      </c>
      <c r="E2385" s="114">
        <v>352</v>
      </c>
      <c r="F2385" s="114">
        <v>264</v>
      </c>
      <c r="G2385" s="114">
        <v>1</v>
      </c>
      <c r="H2385" s="114">
        <v>5000</v>
      </c>
      <c r="I2385" s="114">
        <v>5000</v>
      </c>
      <c r="J2385" s="114">
        <v>4202</v>
      </c>
      <c r="K2385" s="114">
        <v>798</v>
      </c>
      <c r="L2385" s="114" t="str">
        <f t="shared" si="37"/>
        <v>INSERT INTO DETALLES_DOCUMENTO(NRO_DOCUMENTO,ID_TIPO,ID_PRODUCTO,CANTIDAD,PRECIO,VALOR_BRUTO,VALOR_NETO,VALOR_IVA) VALUES(1159,1,264,1,5000,5000,4202,798);</v>
      </c>
    </row>
    <row r="2386" spans="1:12">
      <c r="A2386" s="114">
        <v>1</v>
      </c>
      <c r="B2386" s="114">
        <v>1159</v>
      </c>
      <c r="C2386" s="139" t="s">
        <v>2353</v>
      </c>
      <c r="D2386" s="114" t="s">
        <v>2090</v>
      </c>
      <c r="E2386" s="114">
        <v>352</v>
      </c>
      <c r="F2386" s="114">
        <v>244</v>
      </c>
      <c r="G2386" s="114">
        <v>1</v>
      </c>
      <c r="H2386" s="114">
        <v>14900</v>
      </c>
      <c r="I2386" s="114">
        <v>14900</v>
      </c>
      <c r="J2386" s="114">
        <v>12521</v>
      </c>
      <c r="K2386" s="114">
        <v>2379</v>
      </c>
      <c r="L2386" s="114" t="str">
        <f t="shared" si="37"/>
        <v>INSERT INTO DETALLES_DOCUMENTO(NRO_DOCUMENTO,ID_TIPO,ID_PRODUCTO,CANTIDAD,PRECIO,VALOR_BRUTO,VALOR_NETO,VALOR_IVA) VALUES(1159,1,244,1,14900,14900,12521,2379);</v>
      </c>
    </row>
    <row r="2387" spans="1:12">
      <c r="A2387" s="114">
        <v>1</v>
      </c>
      <c r="B2387" s="114">
        <v>1159</v>
      </c>
      <c r="C2387" s="139" t="s">
        <v>2353</v>
      </c>
      <c r="D2387" s="114" t="s">
        <v>2090</v>
      </c>
      <c r="E2387" s="114">
        <v>352</v>
      </c>
      <c r="F2387" s="114">
        <v>120</v>
      </c>
      <c r="G2387" s="114">
        <v>1</v>
      </c>
      <c r="H2387" s="114">
        <v>1900</v>
      </c>
      <c r="I2387" s="114">
        <v>1900</v>
      </c>
      <c r="J2387" s="114">
        <v>1597</v>
      </c>
      <c r="K2387" s="114">
        <v>303</v>
      </c>
      <c r="L2387" s="114" t="str">
        <f t="shared" si="37"/>
        <v>INSERT INTO DETALLES_DOCUMENTO(NRO_DOCUMENTO,ID_TIPO,ID_PRODUCTO,CANTIDAD,PRECIO,VALOR_BRUTO,VALOR_NETO,VALOR_IVA) VALUES(1159,1,120,1,1900,1900,1597,303);</v>
      </c>
    </row>
    <row r="2388" spans="1:12">
      <c r="A2388" s="114">
        <v>1</v>
      </c>
      <c r="B2388" s="114">
        <v>1160</v>
      </c>
      <c r="C2388" s="139" t="s">
        <v>2353</v>
      </c>
      <c r="D2388" s="114" t="s">
        <v>2090</v>
      </c>
      <c r="E2388" s="114">
        <v>418</v>
      </c>
      <c r="F2388" s="114">
        <v>143</v>
      </c>
      <c r="G2388" s="114">
        <v>1</v>
      </c>
      <c r="H2388" s="114">
        <v>8200</v>
      </c>
      <c r="I2388" s="114">
        <v>8200</v>
      </c>
      <c r="J2388" s="114">
        <v>6891</v>
      </c>
      <c r="K2388" s="114">
        <v>1309</v>
      </c>
      <c r="L2388" s="114" t="str">
        <f t="shared" si="37"/>
        <v>INSERT INTO DETALLES_DOCUMENTO(NRO_DOCUMENTO,ID_TIPO,ID_PRODUCTO,CANTIDAD,PRECIO,VALOR_BRUTO,VALOR_NETO,VALOR_IVA) VALUES(1160,1,143,1,8200,8200,6891,1309);</v>
      </c>
    </row>
    <row r="2389" spans="1:12">
      <c r="A2389" s="114">
        <v>1</v>
      </c>
      <c r="B2389" s="114">
        <v>1161</v>
      </c>
      <c r="C2389" s="139" t="s">
        <v>2353</v>
      </c>
      <c r="D2389" s="114" t="s">
        <v>2090</v>
      </c>
      <c r="E2389" s="114">
        <v>451</v>
      </c>
      <c r="F2389" s="114">
        <v>231</v>
      </c>
      <c r="G2389" s="114">
        <v>1</v>
      </c>
      <c r="H2389" s="114">
        <v>20900</v>
      </c>
      <c r="I2389" s="114">
        <v>20900</v>
      </c>
      <c r="J2389" s="114">
        <v>17563</v>
      </c>
      <c r="K2389" s="114">
        <v>3337</v>
      </c>
      <c r="L2389" s="114" t="str">
        <f t="shared" si="37"/>
        <v>INSERT INTO DETALLES_DOCUMENTO(NRO_DOCUMENTO,ID_TIPO,ID_PRODUCTO,CANTIDAD,PRECIO,VALOR_BRUTO,VALOR_NETO,VALOR_IVA) VALUES(1161,1,231,1,20900,20900,17563,3337);</v>
      </c>
    </row>
    <row r="2390" spans="1:12">
      <c r="A2390" s="114">
        <v>1</v>
      </c>
      <c r="B2390" s="114">
        <v>1162</v>
      </c>
      <c r="C2390" s="139" t="s">
        <v>2354</v>
      </c>
      <c r="D2390" s="114" t="s">
        <v>2090</v>
      </c>
      <c r="E2390" s="114">
        <v>98</v>
      </c>
      <c r="F2390" s="114">
        <v>329</v>
      </c>
      <c r="G2390" s="114">
        <v>1</v>
      </c>
      <c r="H2390" s="114">
        <v>6000</v>
      </c>
      <c r="I2390" s="114">
        <v>6000</v>
      </c>
      <c r="J2390" s="114">
        <v>5042</v>
      </c>
      <c r="K2390" s="114">
        <v>958</v>
      </c>
      <c r="L2390" s="114" t="str">
        <f t="shared" si="37"/>
        <v>INSERT INTO DETALLES_DOCUMENTO(NRO_DOCUMENTO,ID_TIPO,ID_PRODUCTO,CANTIDAD,PRECIO,VALOR_BRUTO,VALOR_NETO,VALOR_IVA) VALUES(1162,1,329,1,6000,6000,5042,958);</v>
      </c>
    </row>
    <row r="2391" spans="1:12">
      <c r="A2391" s="114">
        <v>1</v>
      </c>
      <c r="B2391" s="114">
        <v>1163</v>
      </c>
      <c r="C2391" s="139" t="s">
        <v>2354</v>
      </c>
      <c r="D2391" s="114" t="s">
        <v>2090</v>
      </c>
      <c r="E2391" s="114">
        <v>207</v>
      </c>
      <c r="F2391" s="114">
        <v>117</v>
      </c>
      <c r="G2391" s="114">
        <v>2</v>
      </c>
      <c r="H2391" s="114">
        <v>7000</v>
      </c>
      <c r="I2391" s="114">
        <v>14000</v>
      </c>
      <c r="J2391" s="114">
        <v>11765</v>
      </c>
      <c r="K2391" s="114">
        <v>2235</v>
      </c>
      <c r="L2391" s="114" t="str">
        <f t="shared" si="37"/>
        <v>INSERT INTO DETALLES_DOCUMENTO(NRO_DOCUMENTO,ID_TIPO,ID_PRODUCTO,CANTIDAD,PRECIO,VALOR_BRUTO,VALOR_NETO,VALOR_IVA) VALUES(1163,1,117,2,7000,14000,11765,2235);</v>
      </c>
    </row>
    <row r="2392" spans="1:12">
      <c r="A2392" s="114">
        <v>1</v>
      </c>
      <c r="B2392" s="114">
        <v>1164</v>
      </c>
      <c r="C2392" s="139" t="s">
        <v>2354</v>
      </c>
      <c r="D2392" s="114" t="s">
        <v>2090</v>
      </c>
      <c r="E2392" s="114">
        <v>268</v>
      </c>
      <c r="F2392" s="114">
        <v>231</v>
      </c>
      <c r="G2392" s="114">
        <v>1</v>
      </c>
      <c r="H2392" s="114">
        <v>20900</v>
      </c>
      <c r="I2392" s="114">
        <v>20900</v>
      </c>
      <c r="J2392" s="114">
        <v>17563</v>
      </c>
      <c r="K2392" s="114">
        <v>3337</v>
      </c>
      <c r="L2392" s="114" t="str">
        <f t="shared" si="37"/>
        <v>INSERT INTO DETALLES_DOCUMENTO(NRO_DOCUMENTO,ID_TIPO,ID_PRODUCTO,CANTIDAD,PRECIO,VALOR_BRUTO,VALOR_NETO,VALOR_IVA) VALUES(1164,1,231,1,20900,20900,17563,3337);</v>
      </c>
    </row>
    <row r="2393" spans="1:12">
      <c r="A2393" s="114">
        <v>1</v>
      </c>
      <c r="B2393" s="114">
        <v>1164</v>
      </c>
      <c r="C2393" s="139" t="s">
        <v>2354</v>
      </c>
      <c r="D2393" s="114" t="s">
        <v>2090</v>
      </c>
      <c r="E2393" s="114">
        <v>268</v>
      </c>
      <c r="F2393" s="114">
        <v>278</v>
      </c>
      <c r="G2393" s="114">
        <v>1</v>
      </c>
      <c r="H2393" s="114">
        <v>11500</v>
      </c>
      <c r="I2393" s="114">
        <v>11500</v>
      </c>
      <c r="J2393" s="114">
        <v>9664</v>
      </c>
      <c r="K2393" s="114">
        <v>1836</v>
      </c>
      <c r="L2393" s="114" t="str">
        <f t="shared" si="37"/>
        <v>INSERT INTO DETALLES_DOCUMENTO(NRO_DOCUMENTO,ID_TIPO,ID_PRODUCTO,CANTIDAD,PRECIO,VALOR_BRUTO,VALOR_NETO,VALOR_IVA) VALUES(1164,1,278,1,11500,11500,9664,1836);</v>
      </c>
    </row>
    <row r="2394" spans="1:12">
      <c r="A2394" s="114">
        <v>1</v>
      </c>
      <c r="B2394" s="114">
        <v>1164</v>
      </c>
      <c r="C2394" s="139" t="s">
        <v>2354</v>
      </c>
      <c r="D2394" s="114" t="s">
        <v>2090</v>
      </c>
      <c r="E2394" s="114">
        <v>268</v>
      </c>
      <c r="F2394" s="114">
        <v>264</v>
      </c>
      <c r="G2394" s="114">
        <v>1</v>
      </c>
      <c r="H2394" s="114">
        <v>5000</v>
      </c>
      <c r="I2394" s="114">
        <v>5000</v>
      </c>
      <c r="J2394" s="114">
        <v>4202</v>
      </c>
      <c r="K2394" s="114">
        <v>798</v>
      </c>
      <c r="L2394" s="114" t="str">
        <f t="shared" si="37"/>
        <v>INSERT INTO DETALLES_DOCUMENTO(NRO_DOCUMENTO,ID_TIPO,ID_PRODUCTO,CANTIDAD,PRECIO,VALOR_BRUTO,VALOR_NETO,VALOR_IVA) VALUES(1164,1,264,1,5000,5000,4202,798);</v>
      </c>
    </row>
    <row r="2395" spans="1:12">
      <c r="A2395" s="114">
        <v>1</v>
      </c>
      <c r="B2395" s="114">
        <v>1164</v>
      </c>
      <c r="C2395" s="139" t="s">
        <v>2354</v>
      </c>
      <c r="D2395" s="114" t="s">
        <v>2090</v>
      </c>
      <c r="E2395" s="114">
        <v>268</v>
      </c>
      <c r="F2395" s="114">
        <v>354</v>
      </c>
      <c r="G2395" s="114">
        <v>1</v>
      </c>
      <c r="H2395" s="114">
        <v>1800</v>
      </c>
      <c r="I2395" s="114">
        <v>1800</v>
      </c>
      <c r="J2395" s="114">
        <v>1513</v>
      </c>
      <c r="K2395" s="114">
        <v>287</v>
      </c>
      <c r="L2395" s="114" t="str">
        <f t="shared" si="37"/>
        <v>INSERT INTO DETALLES_DOCUMENTO(NRO_DOCUMENTO,ID_TIPO,ID_PRODUCTO,CANTIDAD,PRECIO,VALOR_BRUTO,VALOR_NETO,VALOR_IVA) VALUES(1164,1,354,1,1800,1800,1513,287);</v>
      </c>
    </row>
    <row r="2396" spans="1:12">
      <c r="A2396" s="114">
        <v>1</v>
      </c>
      <c r="B2396" s="114">
        <v>1164</v>
      </c>
      <c r="C2396" s="139" t="s">
        <v>2354</v>
      </c>
      <c r="D2396" s="114" t="s">
        <v>2090</v>
      </c>
      <c r="E2396" s="114">
        <v>268</v>
      </c>
      <c r="F2396" s="114">
        <v>329</v>
      </c>
      <c r="G2396" s="114">
        <v>1</v>
      </c>
      <c r="H2396" s="114">
        <v>6000</v>
      </c>
      <c r="I2396" s="114">
        <v>6000</v>
      </c>
      <c r="J2396" s="114">
        <v>5042</v>
      </c>
      <c r="K2396" s="114">
        <v>958</v>
      </c>
      <c r="L2396" s="114" t="str">
        <f t="shared" si="37"/>
        <v>INSERT INTO DETALLES_DOCUMENTO(NRO_DOCUMENTO,ID_TIPO,ID_PRODUCTO,CANTIDAD,PRECIO,VALOR_BRUTO,VALOR_NETO,VALOR_IVA) VALUES(1164,1,329,1,6000,6000,5042,958);</v>
      </c>
    </row>
    <row r="2397" spans="1:12">
      <c r="A2397" s="114">
        <v>1</v>
      </c>
      <c r="B2397" s="114">
        <v>1165</v>
      </c>
      <c r="C2397" s="139" t="s">
        <v>2354</v>
      </c>
      <c r="D2397" s="114" t="s">
        <v>2090</v>
      </c>
      <c r="E2397" s="114">
        <v>278</v>
      </c>
      <c r="F2397" s="114">
        <v>359</v>
      </c>
      <c r="G2397" s="114">
        <v>1</v>
      </c>
      <c r="H2397" s="114">
        <v>2700</v>
      </c>
      <c r="I2397" s="114">
        <v>2700</v>
      </c>
      <c r="J2397" s="114">
        <v>2269</v>
      </c>
      <c r="K2397" s="114">
        <v>431</v>
      </c>
      <c r="L2397" s="114" t="str">
        <f t="shared" si="37"/>
        <v>INSERT INTO DETALLES_DOCUMENTO(NRO_DOCUMENTO,ID_TIPO,ID_PRODUCTO,CANTIDAD,PRECIO,VALOR_BRUTO,VALOR_NETO,VALOR_IVA) VALUES(1165,1,359,1,2700,2700,2269,431);</v>
      </c>
    </row>
    <row r="2398" spans="1:12">
      <c r="A2398" s="114">
        <v>1</v>
      </c>
      <c r="B2398" s="114">
        <v>1165</v>
      </c>
      <c r="C2398" s="139" t="s">
        <v>2354</v>
      </c>
      <c r="D2398" s="114" t="s">
        <v>2090</v>
      </c>
      <c r="E2398" s="114">
        <v>278</v>
      </c>
      <c r="F2398" s="114">
        <v>31</v>
      </c>
      <c r="G2398" s="114">
        <v>1</v>
      </c>
      <c r="H2398" s="114">
        <v>3400</v>
      </c>
      <c r="I2398" s="114">
        <v>3400</v>
      </c>
      <c r="J2398" s="114">
        <v>2857</v>
      </c>
      <c r="K2398" s="114">
        <v>543</v>
      </c>
      <c r="L2398" s="114" t="str">
        <f t="shared" si="37"/>
        <v>INSERT INTO DETALLES_DOCUMENTO(NRO_DOCUMENTO,ID_TIPO,ID_PRODUCTO,CANTIDAD,PRECIO,VALOR_BRUTO,VALOR_NETO,VALOR_IVA) VALUES(1165,1,31,1,3400,3400,2857,543);</v>
      </c>
    </row>
    <row r="2399" spans="1:12">
      <c r="A2399" s="114">
        <v>1</v>
      </c>
      <c r="B2399" s="114">
        <v>1165</v>
      </c>
      <c r="C2399" s="139" t="s">
        <v>2354</v>
      </c>
      <c r="D2399" s="114" t="s">
        <v>2090</v>
      </c>
      <c r="E2399" s="114">
        <v>278</v>
      </c>
      <c r="F2399" s="114">
        <v>259</v>
      </c>
      <c r="G2399" s="114">
        <v>1</v>
      </c>
      <c r="H2399" s="114">
        <v>4500</v>
      </c>
      <c r="I2399" s="114">
        <v>4500</v>
      </c>
      <c r="J2399" s="114">
        <v>3782</v>
      </c>
      <c r="K2399" s="114">
        <v>718</v>
      </c>
      <c r="L2399" s="114" t="str">
        <f t="shared" si="37"/>
        <v>INSERT INTO DETALLES_DOCUMENTO(NRO_DOCUMENTO,ID_TIPO,ID_PRODUCTO,CANTIDAD,PRECIO,VALOR_BRUTO,VALOR_NETO,VALOR_IVA) VALUES(1165,1,259,1,4500,4500,3782,718);</v>
      </c>
    </row>
    <row r="2400" spans="1:12">
      <c r="A2400" s="114">
        <v>1</v>
      </c>
      <c r="B2400" s="114">
        <v>1165</v>
      </c>
      <c r="C2400" s="139" t="s">
        <v>2354</v>
      </c>
      <c r="D2400" s="114" t="s">
        <v>2090</v>
      </c>
      <c r="E2400" s="114">
        <v>278</v>
      </c>
      <c r="F2400" s="114">
        <v>29</v>
      </c>
      <c r="G2400" s="114">
        <v>1</v>
      </c>
      <c r="H2400" s="114">
        <v>1000</v>
      </c>
      <c r="I2400" s="114">
        <v>1000</v>
      </c>
      <c r="J2400" s="114">
        <v>840</v>
      </c>
      <c r="K2400" s="114">
        <v>160</v>
      </c>
      <c r="L2400" s="114" t="str">
        <f t="shared" si="37"/>
        <v>INSERT INTO DETALLES_DOCUMENTO(NRO_DOCUMENTO,ID_TIPO,ID_PRODUCTO,CANTIDAD,PRECIO,VALOR_BRUTO,VALOR_NETO,VALOR_IVA) VALUES(1165,1,29,1,1000,1000,840,160);</v>
      </c>
    </row>
    <row r="2401" spans="1:12">
      <c r="A2401" s="114">
        <v>1</v>
      </c>
      <c r="B2401" s="114">
        <v>1165</v>
      </c>
      <c r="C2401" s="139" t="s">
        <v>2354</v>
      </c>
      <c r="D2401" s="114" t="s">
        <v>2090</v>
      </c>
      <c r="E2401" s="114">
        <v>278</v>
      </c>
      <c r="F2401" s="114">
        <v>287</v>
      </c>
      <c r="G2401" s="114">
        <v>1</v>
      </c>
      <c r="H2401" s="114">
        <v>3000</v>
      </c>
      <c r="I2401" s="114">
        <v>3000</v>
      </c>
      <c r="J2401" s="114">
        <v>2521</v>
      </c>
      <c r="K2401" s="114">
        <v>479</v>
      </c>
      <c r="L2401" s="114" t="str">
        <f t="shared" si="37"/>
        <v>INSERT INTO DETALLES_DOCUMENTO(NRO_DOCUMENTO,ID_TIPO,ID_PRODUCTO,CANTIDAD,PRECIO,VALOR_BRUTO,VALOR_NETO,VALOR_IVA) VALUES(1165,1,287,1,3000,3000,2521,479);</v>
      </c>
    </row>
    <row r="2402" spans="1:12">
      <c r="A2402" s="114">
        <v>1</v>
      </c>
      <c r="B2402" s="114">
        <v>1165</v>
      </c>
      <c r="C2402" s="139" t="s">
        <v>2354</v>
      </c>
      <c r="D2402" s="114" t="s">
        <v>2090</v>
      </c>
      <c r="E2402" s="114">
        <v>278</v>
      </c>
      <c r="F2402" s="114">
        <v>332</v>
      </c>
      <c r="G2402" s="114">
        <v>1</v>
      </c>
      <c r="H2402" s="114">
        <v>2600</v>
      </c>
      <c r="I2402" s="114">
        <v>2600</v>
      </c>
      <c r="J2402" s="114">
        <v>2185</v>
      </c>
      <c r="K2402" s="114">
        <v>415</v>
      </c>
      <c r="L2402" s="114" t="str">
        <f t="shared" si="37"/>
        <v>INSERT INTO DETALLES_DOCUMENTO(NRO_DOCUMENTO,ID_TIPO,ID_PRODUCTO,CANTIDAD,PRECIO,VALOR_BRUTO,VALOR_NETO,VALOR_IVA) VALUES(1165,1,332,1,2600,2600,2185,415);</v>
      </c>
    </row>
    <row r="2403" spans="1:12">
      <c r="A2403" s="114">
        <v>1</v>
      </c>
      <c r="B2403" s="114">
        <v>1165</v>
      </c>
      <c r="C2403" s="139" t="s">
        <v>2354</v>
      </c>
      <c r="D2403" s="114" t="s">
        <v>2090</v>
      </c>
      <c r="E2403" s="114">
        <v>278</v>
      </c>
      <c r="F2403" s="114">
        <v>99</v>
      </c>
      <c r="G2403" s="114">
        <v>1</v>
      </c>
      <c r="H2403" s="114">
        <v>1700</v>
      </c>
      <c r="I2403" s="114">
        <v>1700</v>
      </c>
      <c r="J2403" s="114">
        <v>1429</v>
      </c>
      <c r="K2403" s="114">
        <v>271</v>
      </c>
      <c r="L2403" s="114" t="str">
        <f t="shared" si="37"/>
        <v>INSERT INTO DETALLES_DOCUMENTO(NRO_DOCUMENTO,ID_TIPO,ID_PRODUCTO,CANTIDAD,PRECIO,VALOR_BRUTO,VALOR_NETO,VALOR_IVA) VALUES(1165,1,99,1,1700,1700,1429,271);</v>
      </c>
    </row>
    <row r="2404" spans="1:12">
      <c r="A2404" s="114">
        <v>1</v>
      </c>
      <c r="B2404" s="114">
        <v>1165</v>
      </c>
      <c r="C2404" s="139" t="s">
        <v>2354</v>
      </c>
      <c r="D2404" s="114" t="s">
        <v>2090</v>
      </c>
      <c r="E2404" s="114">
        <v>278</v>
      </c>
      <c r="F2404" s="114">
        <v>165</v>
      </c>
      <c r="G2404" s="114">
        <v>1</v>
      </c>
      <c r="H2404" s="114">
        <v>2000</v>
      </c>
      <c r="I2404" s="114">
        <v>2000</v>
      </c>
      <c r="J2404" s="114">
        <v>1681</v>
      </c>
      <c r="K2404" s="114">
        <v>319</v>
      </c>
      <c r="L2404" s="114" t="str">
        <f t="shared" si="37"/>
        <v>INSERT INTO DETALLES_DOCUMENTO(NRO_DOCUMENTO,ID_TIPO,ID_PRODUCTO,CANTIDAD,PRECIO,VALOR_BRUTO,VALOR_NETO,VALOR_IVA) VALUES(1165,1,165,1,2000,2000,1681,319);</v>
      </c>
    </row>
    <row r="2405" spans="1:12">
      <c r="A2405" s="114">
        <v>1</v>
      </c>
      <c r="B2405" s="114">
        <v>1165</v>
      </c>
      <c r="C2405" s="139" t="s">
        <v>2354</v>
      </c>
      <c r="D2405" s="114" t="s">
        <v>2090</v>
      </c>
      <c r="E2405" s="114">
        <v>278</v>
      </c>
      <c r="F2405" s="114">
        <v>143</v>
      </c>
      <c r="G2405" s="114">
        <v>1</v>
      </c>
      <c r="H2405" s="114">
        <v>8200</v>
      </c>
      <c r="I2405" s="114">
        <v>8200</v>
      </c>
      <c r="J2405" s="114">
        <v>6891</v>
      </c>
      <c r="K2405" s="114">
        <v>1309</v>
      </c>
      <c r="L2405" s="114" t="str">
        <f t="shared" si="37"/>
        <v>INSERT INTO DETALLES_DOCUMENTO(NRO_DOCUMENTO,ID_TIPO,ID_PRODUCTO,CANTIDAD,PRECIO,VALOR_BRUTO,VALOR_NETO,VALOR_IVA) VALUES(1165,1,143,1,8200,8200,6891,1309);</v>
      </c>
    </row>
    <row r="2406" spans="1:12">
      <c r="A2406" s="114">
        <v>1</v>
      </c>
      <c r="B2406" s="114">
        <v>1165</v>
      </c>
      <c r="C2406" s="139" t="s">
        <v>2354</v>
      </c>
      <c r="D2406" s="114" t="s">
        <v>2090</v>
      </c>
      <c r="E2406" s="114">
        <v>278</v>
      </c>
      <c r="F2406" s="114">
        <v>230</v>
      </c>
      <c r="G2406" s="114">
        <v>1</v>
      </c>
      <c r="H2406" s="114">
        <v>16500</v>
      </c>
      <c r="I2406" s="114">
        <v>16500</v>
      </c>
      <c r="J2406" s="114">
        <v>13866</v>
      </c>
      <c r="K2406" s="114">
        <v>2634</v>
      </c>
      <c r="L2406" s="114" t="str">
        <f t="shared" si="37"/>
        <v>INSERT INTO DETALLES_DOCUMENTO(NRO_DOCUMENTO,ID_TIPO,ID_PRODUCTO,CANTIDAD,PRECIO,VALOR_BRUTO,VALOR_NETO,VALOR_IVA) VALUES(1165,1,230,1,16500,16500,13866,2634);</v>
      </c>
    </row>
    <row r="2407" spans="1:12">
      <c r="A2407" s="114">
        <v>1</v>
      </c>
      <c r="B2407" s="114">
        <v>1165</v>
      </c>
      <c r="C2407" s="139" t="s">
        <v>2354</v>
      </c>
      <c r="D2407" s="114" t="s">
        <v>2090</v>
      </c>
      <c r="E2407" s="114">
        <v>278</v>
      </c>
      <c r="F2407" s="114">
        <v>278</v>
      </c>
      <c r="G2407" s="114">
        <v>1</v>
      </c>
      <c r="H2407" s="114">
        <v>11500</v>
      </c>
      <c r="I2407" s="114">
        <v>11500</v>
      </c>
      <c r="J2407" s="114">
        <v>9664</v>
      </c>
      <c r="K2407" s="114">
        <v>1836</v>
      </c>
      <c r="L2407" s="114" t="str">
        <f t="shared" si="37"/>
        <v>INSERT INTO DETALLES_DOCUMENTO(NRO_DOCUMENTO,ID_TIPO,ID_PRODUCTO,CANTIDAD,PRECIO,VALOR_BRUTO,VALOR_NETO,VALOR_IVA) VALUES(1165,1,278,1,11500,11500,9664,1836);</v>
      </c>
    </row>
    <row r="2408" spans="1:12">
      <c r="A2408" s="114">
        <v>1</v>
      </c>
      <c r="B2408" s="114">
        <v>1166</v>
      </c>
      <c r="C2408" s="139" t="s">
        <v>2354</v>
      </c>
      <c r="D2408" s="114" t="s">
        <v>2090</v>
      </c>
      <c r="E2408" s="114">
        <v>353</v>
      </c>
      <c r="F2408" s="114">
        <v>231</v>
      </c>
      <c r="G2408" s="114">
        <v>1</v>
      </c>
      <c r="H2408" s="114">
        <v>20900</v>
      </c>
      <c r="I2408" s="114">
        <v>20900</v>
      </c>
      <c r="J2408" s="114">
        <v>17563</v>
      </c>
      <c r="K2408" s="114">
        <v>3337</v>
      </c>
      <c r="L2408" s="114" t="str">
        <f t="shared" si="37"/>
        <v>INSERT INTO DETALLES_DOCUMENTO(NRO_DOCUMENTO,ID_TIPO,ID_PRODUCTO,CANTIDAD,PRECIO,VALOR_BRUTO,VALOR_NETO,VALOR_IVA) VALUES(1166,1,231,1,20900,20900,17563,3337);</v>
      </c>
    </row>
    <row r="2409" spans="1:12">
      <c r="A2409" s="114">
        <v>1</v>
      </c>
      <c r="B2409" s="114">
        <v>1167</v>
      </c>
      <c r="C2409" s="139" t="s">
        <v>2355</v>
      </c>
      <c r="D2409" s="114" t="s">
        <v>2090</v>
      </c>
      <c r="E2409" s="114">
        <v>76</v>
      </c>
      <c r="F2409" s="114">
        <v>324</v>
      </c>
      <c r="G2409" s="114">
        <v>1</v>
      </c>
      <c r="H2409" s="114">
        <v>11000</v>
      </c>
      <c r="I2409" s="114">
        <v>11000</v>
      </c>
      <c r="J2409" s="114">
        <v>9244</v>
      </c>
      <c r="K2409" s="114">
        <v>1756</v>
      </c>
      <c r="L2409" s="114" t="str">
        <f t="shared" si="37"/>
        <v>INSERT INTO DETALLES_DOCUMENTO(NRO_DOCUMENTO,ID_TIPO,ID_PRODUCTO,CANTIDAD,PRECIO,VALOR_BRUTO,VALOR_NETO,VALOR_IVA) VALUES(1167,1,324,1,11000,11000,9244,1756);</v>
      </c>
    </row>
    <row r="2410" spans="1:12">
      <c r="A2410" s="114">
        <v>1</v>
      </c>
      <c r="B2410" s="114">
        <v>1168</v>
      </c>
      <c r="C2410" s="139" t="s">
        <v>2355</v>
      </c>
      <c r="D2410" s="114" t="s">
        <v>2090</v>
      </c>
      <c r="E2410" s="114">
        <v>300</v>
      </c>
      <c r="F2410" s="114">
        <v>324</v>
      </c>
      <c r="G2410" s="114">
        <v>1</v>
      </c>
      <c r="H2410" s="114">
        <v>11000</v>
      </c>
      <c r="I2410" s="114">
        <v>11000</v>
      </c>
      <c r="J2410" s="114">
        <v>9244</v>
      </c>
      <c r="K2410" s="114">
        <v>1756</v>
      </c>
      <c r="L2410" s="114" t="str">
        <f t="shared" si="37"/>
        <v>INSERT INTO DETALLES_DOCUMENTO(NRO_DOCUMENTO,ID_TIPO,ID_PRODUCTO,CANTIDAD,PRECIO,VALOR_BRUTO,VALOR_NETO,VALOR_IVA) VALUES(1168,1,324,1,11000,11000,9244,1756);</v>
      </c>
    </row>
    <row r="2411" spans="1:12">
      <c r="A2411" s="114">
        <v>1</v>
      </c>
      <c r="B2411" s="114">
        <v>1168</v>
      </c>
      <c r="C2411" s="139" t="s">
        <v>2355</v>
      </c>
      <c r="D2411" s="114" t="s">
        <v>2090</v>
      </c>
      <c r="E2411" s="114">
        <v>300</v>
      </c>
      <c r="F2411" s="114">
        <v>143</v>
      </c>
      <c r="G2411" s="114">
        <v>1</v>
      </c>
      <c r="H2411" s="114">
        <v>7900</v>
      </c>
      <c r="I2411" s="114">
        <v>7900</v>
      </c>
      <c r="J2411" s="114">
        <v>6639</v>
      </c>
      <c r="K2411" s="114">
        <v>1261</v>
      </c>
      <c r="L2411" s="114" t="str">
        <f t="shared" si="37"/>
        <v>INSERT INTO DETALLES_DOCUMENTO(NRO_DOCUMENTO,ID_TIPO,ID_PRODUCTO,CANTIDAD,PRECIO,VALOR_BRUTO,VALOR_NETO,VALOR_IVA) VALUES(1168,1,143,1,7900,7900,6639,1261);</v>
      </c>
    </row>
    <row r="2412" spans="1:12">
      <c r="A2412" s="114">
        <v>1</v>
      </c>
      <c r="B2412" s="114">
        <v>1169</v>
      </c>
      <c r="C2412" s="139" t="s">
        <v>2355</v>
      </c>
      <c r="D2412" s="114" t="s">
        <v>2090</v>
      </c>
      <c r="E2412" s="114">
        <v>360</v>
      </c>
      <c r="F2412" s="114">
        <v>230</v>
      </c>
      <c r="G2412" s="114">
        <v>1</v>
      </c>
      <c r="H2412" s="114">
        <v>16500</v>
      </c>
      <c r="I2412" s="114">
        <v>16500</v>
      </c>
      <c r="J2412" s="114">
        <v>13866</v>
      </c>
      <c r="K2412" s="114">
        <v>2634</v>
      </c>
      <c r="L2412" s="114" t="str">
        <f t="shared" si="37"/>
        <v>INSERT INTO DETALLES_DOCUMENTO(NRO_DOCUMENTO,ID_TIPO,ID_PRODUCTO,CANTIDAD,PRECIO,VALOR_BRUTO,VALOR_NETO,VALOR_IVA) VALUES(1169,1,230,1,16500,16500,13866,2634);</v>
      </c>
    </row>
    <row r="2413" spans="1:12">
      <c r="A2413" s="114">
        <v>1</v>
      </c>
      <c r="B2413" s="114">
        <v>1169</v>
      </c>
      <c r="C2413" s="139" t="s">
        <v>2355</v>
      </c>
      <c r="D2413" s="114" t="s">
        <v>2090</v>
      </c>
      <c r="E2413" s="114">
        <v>360</v>
      </c>
      <c r="F2413" s="114">
        <v>53</v>
      </c>
      <c r="G2413" s="114">
        <v>1</v>
      </c>
      <c r="H2413" s="114">
        <v>4200</v>
      </c>
      <c r="I2413" s="114">
        <v>4200</v>
      </c>
      <c r="J2413" s="114">
        <v>3529</v>
      </c>
      <c r="K2413" s="114">
        <v>671</v>
      </c>
      <c r="L2413" s="114" t="str">
        <f t="shared" si="37"/>
        <v>INSERT INTO DETALLES_DOCUMENTO(NRO_DOCUMENTO,ID_TIPO,ID_PRODUCTO,CANTIDAD,PRECIO,VALOR_BRUTO,VALOR_NETO,VALOR_IVA) VALUES(1169,1,53,1,4200,4200,3529,671);</v>
      </c>
    </row>
    <row r="2414" spans="1:12">
      <c r="A2414" s="114">
        <v>1</v>
      </c>
      <c r="B2414" s="114">
        <v>1169</v>
      </c>
      <c r="C2414" s="139" t="s">
        <v>2355</v>
      </c>
      <c r="D2414" s="114" t="s">
        <v>2090</v>
      </c>
      <c r="E2414" s="114">
        <v>360</v>
      </c>
      <c r="F2414" s="114">
        <v>117</v>
      </c>
      <c r="G2414" s="114">
        <v>1</v>
      </c>
      <c r="H2414" s="114">
        <v>3500</v>
      </c>
      <c r="I2414" s="114">
        <v>3500</v>
      </c>
      <c r="J2414" s="114">
        <v>2941</v>
      </c>
      <c r="K2414" s="114">
        <v>559</v>
      </c>
      <c r="L2414" s="114" t="str">
        <f t="shared" si="37"/>
        <v>INSERT INTO DETALLES_DOCUMENTO(NRO_DOCUMENTO,ID_TIPO,ID_PRODUCTO,CANTIDAD,PRECIO,VALOR_BRUTO,VALOR_NETO,VALOR_IVA) VALUES(1169,1,117,1,3500,3500,2941,559);</v>
      </c>
    </row>
    <row r="2415" spans="1:12">
      <c r="A2415" s="114">
        <v>1</v>
      </c>
      <c r="B2415" s="114">
        <v>1170</v>
      </c>
      <c r="C2415" s="139" t="s">
        <v>2356</v>
      </c>
      <c r="D2415" s="114" t="s">
        <v>2090</v>
      </c>
      <c r="E2415" s="114">
        <v>108</v>
      </c>
      <c r="F2415" s="114">
        <v>324</v>
      </c>
      <c r="G2415" s="114">
        <v>1</v>
      </c>
      <c r="H2415" s="114">
        <v>11000</v>
      </c>
      <c r="I2415" s="114">
        <v>11000</v>
      </c>
      <c r="J2415" s="114">
        <v>9244</v>
      </c>
      <c r="K2415" s="114">
        <v>1756</v>
      </c>
      <c r="L2415" s="114" t="str">
        <f t="shared" si="37"/>
        <v>INSERT INTO DETALLES_DOCUMENTO(NRO_DOCUMENTO,ID_TIPO,ID_PRODUCTO,CANTIDAD,PRECIO,VALOR_BRUTO,VALOR_NETO,VALOR_IVA) VALUES(1170,1,324,1,11000,11000,9244,1756);</v>
      </c>
    </row>
    <row r="2416" spans="1:12">
      <c r="A2416" s="114">
        <v>1</v>
      </c>
      <c r="B2416" s="114">
        <v>1170</v>
      </c>
      <c r="C2416" s="139" t="s">
        <v>2356</v>
      </c>
      <c r="D2416" s="114" t="s">
        <v>2090</v>
      </c>
      <c r="E2416" s="114">
        <v>108</v>
      </c>
      <c r="F2416" s="114">
        <v>329</v>
      </c>
      <c r="G2416" s="114">
        <v>1</v>
      </c>
      <c r="H2416" s="114">
        <v>6000</v>
      </c>
      <c r="I2416" s="114">
        <v>6000</v>
      </c>
      <c r="J2416" s="114">
        <v>5042</v>
      </c>
      <c r="K2416" s="114">
        <v>958</v>
      </c>
      <c r="L2416" s="114" t="str">
        <f t="shared" si="37"/>
        <v>INSERT INTO DETALLES_DOCUMENTO(NRO_DOCUMENTO,ID_TIPO,ID_PRODUCTO,CANTIDAD,PRECIO,VALOR_BRUTO,VALOR_NETO,VALOR_IVA) VALUES(1170,1,329,1,6000,6000,5042,958);</v>
      </c>
    </row>
    <row r="2417" spans="1:12">
      <c r="A2417" s="114">
        <v>1</v>
      </c>
      <c r="B2417" s="114">
        <v>1170</v>
      </c>
      <c r="C2417" s="139" t="s">
        <v>2356</v>
      </c>
      <c r="D2417" s="114" t="s">
        <v>2090</v>
      </c>
      <c r="E2417" s="114">
        <v>108</v>
      </c>
      <c r="F2417" s="114">
        <v>118</v>
      </c>
      <c r="G2417" s="114">
        <v>1</v>
      </c>
      <c r="H2417" s="114">
        <v>3500</v>
      </c>
      <c r="I2417" s="114">
        <v>3500</v>
      </c>
      <c r="J2417" s="114">
        <v>2941</v>
      </c>
      <c r="K2417" s="114">
        <v>559</v>
      </c>
      <c r="L2417" s="114" t="str">
        <f t="shared" si="37"/>
        <v>INSERT INTO DETALLES_DOCUMENTO(NRO_DOCUMENTO,ID_TIPO,ID_PRODUCTO,CANTIDAD,PRECIO,VALOR_BRUTO,VALOR_NETO,VALOR_IVA) VALUES(1170,1,118,1,3500,3500,2941,559);</v>
      </c>
    </row>
    <row r="2418" spans="1:12">
      <c r="A2418" s="114">
        <v>1</v>
      </c>
      <c r="B2418" s="114">
        <v>1170</v>
      </c>
      <c r="C2418" s="139" t="s">
        <v>2356</v>
      </c>
      <c r="D2418" s="114" t="s">
        <v>2090</v>
      </c>
      <c r="E2418" s="114">
        <v>108</v>
      </c>
      <c r="F2418" s="114">
        <v>356</v>
      </c>
      <c r="G2418" s="114">
        <v>1</v>
      </c>
      <c r="H2418" s="114">
        <v>3000</v>
      </c>
      <c r="I2418" s="114">
        <v>3000</v>
      </c>
      <c r="J2418" s="114">
        <v>2521</v>
      </c>
      <c r="K2418" s="114">
        <v>479</v>
      </c>
      <c r="L2418" s="114" t="str">
        <f t="shared" si="37"/>
        <v>INSERT INTO DETALLES_DOCUMENTO(NRO_DOCUMENTO,ID_TIPO,ID_PRODUCTO,CANTIDAD,PRECIO,VALOR_BRUTO,VALOR_NETO,VALOR_IVA) VALUES(1170,1,356,1,3000,3000,2521,479);</v>
      </c>
    </row>
    <row r="2419" spans="1:12">
      <c r="A2419" s="114">
        <v>1</v>
      </c>
      <c r="B2419" s="114">
        <v>1170</v>
      </c>
      <c r="C2419" s="139" t="s">
        <v>2356</v>
      </c>
      <c r="D2419" s="114" t="s">
        <v>2090</v>
      </c>
      <c r="E2419" s="114">
        <v>108</v>
      </c>
      <c r="F2419" s="114">
        <v>332</v>
      </c>
      <c r="G2419" s="114">
        <v>1</v>
      </c>
      <c r="H2419" s="114">
        <v>2600</v>
      </c>
      <c r="I2419" s="114">
        <v>2600</v>
      </c>
      <c r="J2419" s="114">
        <v>2185</v>
      </c>
      <c r="K2419" s="114">
        <v>415</v>
      </c>
      <c r="L2419" s="114" t="str">
        <f t="shared" si="37"/>
        <v>INSERT INTO DETALLES_DOCUMENTO(NRO_DOCUMENTO,ID_TIPO,ID_PRODUCTO,CANTIDAD,PRECIO,VALOR_BRUTO,VALOR_NETO,VALOR_IVA) VALUES(1170,1,332,1,2600,2600,2185,415);</v>
      </c>
    </row>
    <row r="2420" spans="1:12">
      <c r="A2420" s="114">
        <v>1</v>
      </c>
      <c r="B2420" s="114">
        <v>1170</v>
      </c>
      <c r="C2420" s="139" t="s">
        <v>2356</v>
      </c>
      <c r="D2420" s="114" t="s">
        <v>2090</v>
      </c>
      <c r="E2420" s="114">
        <v>108</v>
      </c>
      <c r="F2420" s="114">
        <v>97</v>
      </c>
      <c r="G2420" s="114">
        <v>1</v>
      </c>
      <c r="H2420" s="114">
        <v>2000</v>
      </c>
      <c r="I2420" s="114">
        <v>2000</v>
      </c>
      <c r="J2420" s="114">
        <v>1681</v>
      </c>
      <c r="K2420" s="114">
        <v>319</v>
      </c>
      <c r="L2420" s="114" t="str">
        <f t="shared" si="37"/>
        <v>INSERT INTO DETALLES_DOCUMENTO(NRO_DOCUMENTO,ID_TIPO,ID_PRODUCTO,CANTIDAD,PRECIO,VALOR_BRUTO,VALOR_NETO,VALOR_IVA) VALUES(1170,1,97,1,2000,2000,1681,319);</v>
      </c>
    </row>
    <row r="2421" spans="1:12">
      <c r="A2421" s="114">
        <v>1</v>
      </c>
      <c r="B2421" s="114">
        <v>1170</v>
      </c>
      <c r="C2421" s="139" t="s">
        <v>2356</v>
      </c>
      <c r="D2421" s="114" t="s">
        <v>2090</v>
      </c>
      <c r="E2421" s="114">
        <v>108</v>
      </c>
      <c r="F2421" s="114">
        <v>24</v>
      </c>
      <c r="G2421" s="114">
        <v>1</v>
      </c>
      <c r="H2421" s="114">
        <v>1650</v>
      </c>
      <c r="I2421" s="114">
        <v>1650</v>
      </c>
      <c r="J2421" s="114">
        <v>1387</v>
      </c>
      <c r="K2421" s="114">
        <v>263</v>
      </c>
      <c r="L2421" s="114" t="str">
        <f t="shared" si="37"/>
        <v>INSERT INTO DETALLES_DOCUMENTO(NRO_DOCUMENTO,ID_TIPO,ID_PRODUCTO,CANTIDAD,PRECIO,VALOR_BRUTO,VALOR_NETO,VALOR_IVA) VALUES(1170,1,24,1,1650,1650,1387,263);</v>
      </c>
    </row>
    <row r="2422" spans="1:12">
      <c r="A2422" s="114">
        <v>1</v>
      </c>
      <c r="B2422" s="114">
        <v>1170</v>
      </c>
      <c r="C2422" s="139" t="s">
        <v>2356</v>
      </c>
      <c r="D2422" s="114" t="s">
        <v>2090</v>
      </c>
      <c r="E2422" s="114">
        <v>108</v>
      </c>
      <c r="F2422" s="114">
        <v>25</v>
      </c>
      <c r="G2422" s="114">
        <v>1</v>
      </c>
      <c r="H2422" s="114">
        <v>1800</v>
      </c>
      <c r="I2422" s="114">
        <v>1800</v>
      </c>
      <c r="J2422" s="114">
        <v>1513</v>
      </c>
      <c r="K2422" s="114">
        <v>287</v>
      </c>
      <c r="L2422" s="114" t="str">
        <f t="shared" si="37"/>
        <v>INSERT INTO DETALLES_DOCUMENTO(NRO_DOCUMENTO,ID_TIPO,ID_PRODUCTO,CANTIDAD,PRECIO,VALOR_BRUTO,VALOR_NETO,VALOR_IVA) VALUES(1170,1,25,1,1800,1800,1513,287);</v>
      </c>
    </row>
    <row r="2423" spans="1:12">
      <c r="A2423" s="114">
        <v>1</v>
      </c>
      <c r="B2423" s="114">
        <v>1170</v>
      </c>
      <c r="C2423" s="139" t="s">
        <v>2356</v>
      </c>
      <c r="D2423" s="114" t="s">
        <v>2090</v>
      </c>
      <c r="E2423" s="114">
        <v>108</v>
      </c>
      <c r="F2423" s="114">
        <v>56</v>
      </c>
      <c r="G2423" s="114">
        <v>1</v>
      </c>
      <c r="H2423" s="114">
        <v>1500</v>
      </c>
      <c r="I2423" s="114">
        <v>1500</v>
      </c>
      <c r="J2423" s="114">
        <v>1261</v>
      </c>
      <c r="K2423" s="114">
        <v>239</v>
      </c>
      <c r="L2423" s="114" t="str">
        <f t="shared" si="37"/>
        <v>INSERT INTO DETALLES_DOCUMENTO(NRO_DOCUMENTO,ID_TIPO,ID_PRODUCTO,CANTIDAD,PRECIO,VALOR_BRUTO,VALOR_NETO,VALOR_IVA) VALUES(1170,1,56,1,1500,1500,1261,239);</v>
      </c>
    </row>
    <row r="2424" spans="1:12">
      <c r="A2424" s="114">
        <v>1</v>
      </c>
      <c r="B2424" s="114">
        <v>1171</v>
      </c>
      <c r="C2424" s="139" t="s">
        <v>2356</v>
      </c>
      <c r="D2424" s="114" t="s">
        <v>2090</v>
      </c>
      <c r="E2424" s="114">
        <v>122</v>
      </c>
      <c r="F2424" s="114">
        <v>98</v>
      </c>
      <c r="G2424" s="114">
        <v>1</v>
      </c>
      <c r="H2424" s="114">
        <v>3500</v>
      </c>
      <c r="I2424" s="114">
        <v>3500</v>
      </c>
      <c r="J2424" s="114">
        <v>2941</v>
      </c>
      <c r="K2424" s="114">
        <v>559</v>
      </c>
      <c r="L2424" s="114" t="str">
        <f t="shared" si="37"/>
        <v>INSERT INTO DETALLES_DOCUMENTO(NRO_DOCUMENTO,ID_TIPO,ID_PRODUCTO,CANTIDAD,PRECIO,VALOR_BRUTO,VALOR_NETO,VALOR_IVA) VALUES(1171,1,98,1,3500,3500,2941,559);</v>
      </c>
    </row>
    <row r="2425" spans="1:12">
      <c r="A2425" s="114">
        <v>1</v>
      </c>
      <c r="B2425" s="114">
        <v>1171</v>
      </c>
      <c r="C2425" s="139" t="s">
        <v>2356</v>
      </c>
      <c r="D2425" s="114" t="s">
        <v>2090</v>
      </c>
      <c r="E2425" s="114">
        <v>122</v>
      </c>
      <c r="F2425" s="114">
        <v>99</v>
      </c>
      <c r="G2425" s="114">
        <v>1</v>
      </c>
      <c r="H2425" s="114">
        <v>1700</v>
      </c>
      <c r="I2425" s="114">
        <v>1700</v>
      </c>
      <c r="J2425" s="114">
        <v>1429</v>
      </c>
      <c r="K2425" s="114">
        <v>271</v>
      </c>
      <c r="L2425" s="114" t="str">
        <f t="shared" si="37"/>
        <v>INSERT INTO DETALLES_DOCUMENTO(NRO_DOCUMENTO,ID_TIPO,ID_PRODUCTO,CANTIDAD,PRECIO,VALOR_BRUTO,VALOR_NETO,VALOR_IVA) VALUES(1171,1,99,1,1700,1700,1429,271);</v>
      </c>
    </row>
    <row r="2426" spans="1:12">
      <c r="A2426" s="114">
        <v>1</v>
      </c>
      <c r="B2426" s="114">
        <v>1171</v>
      </c>
      <c r="C2426" s="139" t="s">
        <v>2356</v>
      </c>
      <c r="D2426" s="114" t="s">
        <v>2090</v>
      </c>
      <c r="E2426" s="114">
        <v>122</v>
      </c>
      <c r="F2426" s="114">
        <v>82</v>
      </c>
      <c r="G2426" s="114">
        <v>2</v>
      </c>
      <c r="H2426" s="114">
        <v>3200</v>
      </c>
      <c r="I2426" s="114">
        <v>6400</v>
      </c>
      <c r="J2426" s="114">
        <v>5378</v>
      </c>
      <c r="K2426" s="114">
        <v>1022</v>
      </c>
      <c r="L2426" s="114" t="str">
        <f t="shared" si="37"/>
        <v>INSERT INTO DETALLES_DOCUMENTO(NRO_DOCUMENTO,ID_TIPO,ID_PRODUCTO,CANTIDAD,PRECIO,VALOR_BRUTO,VALOR_NETO,VALOR_IVA) VALUES(1171,1,82,2,3200,6400,5378,1022);</v>
      </c>
    </row>
    <row r="2427" spans="1:12">
      <c r="A2427" s="114">
        <v>1</v>
      </c>
      <c r="B2427" s="114">
        <v>1172</v>
      </c>
      <c r="C2427" s="139" t="s">
        <v>2356</v>
      </c>
      <c r="D2427" s="114" t="s">
        <v>2090</v>
      </c>
      <c r="E2427" s="114">
        <v>166</v>
      </c>
      <c r="F2427" s="114">
        <v>270</v>
      </c>
      <c r="G2427" s="114">
        <v>1</v>
      </c>
      <c r="H2427" s="114">
        <v>3000</v>
      </c>
      <c r="I2427" s="114">
        <v>3000</v>
      </c>
      <c r="J2427" s="114">
        <v>2521</v>
      </c>
      <c r="K2427" s="114">
        <v>479</v>
      </c>
      <c r="L2427" s="114" t="str">
        <f t="shared" si="37"/>
        <v>INSERT INTO DETALLES_DOCUMENTO(NRO_DOCUMENTO,ID_TIPO,ID_PRODUCTO,CANTIDAD,PRECIO,VALOR_BRUTO,VALOR_NETO,VALOR_IVA) VALUES(1172,1,270,1,3000,3000,2521,479);</v>
      </c>
    </row>
    <row r="2428" spans="1:12">
      <c r="A2428" s="114">
        <v>1</v>
      </c>
      <c r="B2428" s="114">
        <v>1172</v>
      </c>
      <c r="C2428" s="139" t="s">
        <v>2356</v>
      </c>
      <c r="D2428" s="114" t="s">
        <v>2090</v>
      </c>
      <c r="E2428" s="114">
        <v>166</v>
      </c>
      <c r="F2428" s="114">
        <v>30</v>
      </c>
      <c r="G2428" s="114">
        <v>1</v>
      </c>
      <c r="H2428" s="114">
        <v>3000</v>
      </c>
      <c r="I2428" s="114">
        <v>3000</v>
      </c>
      <c r="J2428" s="114">
        <v>2521</v>
      </c>
      <c r="K2428" s="114">
        <v>479</v>
      </c>
      <c r="L2428" s="114" t="str">
        <f t="shared" si="37"/>
        <v>INSERT INTO DETALLES_DOCUMENTO(NRO_DOCUMENTO,ID_TIPO,ID_PRODUCTO,CANTIDAD,PRECIO,VALOR_BRUTO,VALOR_NETO,VALOR_IVA) VALUES(1172,1,30,1,3000,3000,2521,479);</v>
      </c>
    </row>
    <row r="2429" spans="1:12">
      <c r="A2429" s="114">
        <v>1</v>
      </c>
      <c r="B2429" s="114">
        <v>1172</v>
      </c>
      <c r="C2429" s="139" t="s">
        <v>2356</v>
      </c>
      <c r="D2429" s="114" t="s">
        <v>2090</v>
      </c>
      <c r="E2429" s="114">
        <v>166</v>
      </c>
      <c r="F2429" s="114">
        <v>274</v>
      </c>
      <c r="G2429" s="114">
        <v>1</v>
      </c>
      <c r="H2429" s="114">
        <v>7500</v>
      </c>
      <c r="I2429" s="114">
        <v>7500</v>
      </c>
      <c r="J2429" s="114">
        <v>6303</v>
      </c>
      <c r="K2429" s="114">
        <v>1197</v>
      </c>
      <c r="L2429" s="114" t="str">
        <f t="shared" si="37"/>
        <v>INSERT INTO DETALLES_DOCUMENTO(NRO_DOCUMENTO,ID_TIPO,ID_PRODUCTO,CANTIDAD,PRECIO,VALOR_BRUTO,VALOR_NETO,VALOR_IVA) VALUES(1172,1,274,1,7500,7500,6303,1197);</v>
      </c>
    </row>
    <row r="2430" spans="1:12">
      <c r="A2430" s="114">
        <v>1</v>
      </c>
      <c r="B2430" s="114">
        <v>1173</v>
      </c>
      <c r="C2430" s="139" t="s">
        <v>2356</v>
      </c>
      <c r="D2430" s="114" t="s">
        <v>2090</v>
      </c>
      <c r="E2430" s="114">
        <v>198</v>
      </c>
      <c r="F2430" s="114">
        <v>324</v>
      </c>
      <c r="G2430" s="114">
        <v>1</v>
      </c>
      <c r="H2430" s="114">
        <v>11000</v>
      </c>
      <c r="I2430" s="114">
        <v>11000</v>
      </c>
      <c r="J2430" s="114">
        <v>9244</v>
      </c>
      <c r="K2430" s="114">
        <v>1756</v>
      </c>
      <c r="L2430" s="114" t="str">
        <f t="shared" si="37"/>
        <v>INSERT INTO DETALLES_DOCUMENTO(NRO_DOCUMENTO,ID_TIPO,ID_PRODUCTO,CANTIDAD,PRECIO,VALOR_BRUTO,VALOR_NETO,VALOR_IVA) VALUES(1173,1,324,1,11000,11000,9244,1756);</v>
      </c>
    </row>
    <row r="2431" spans="1:12">
      <c r="A2431" s="114">
        <v>1</v>
      </c>
      <c r="B2431" s="114">
        <v>1174</v>
      </c>
      <c r="C2431" s="139" t="s">
        <v>2356</v>
      </c>
      <c r="D2431" s="114" t="s">
        <v>2090</v>
      </c>
      <c r="E2431" s="114">
        <v>322</v>
      </c>
      <c r="F2431" s="114">
        <v>5</v>
      </c>
      <c r="G2431" s="114">
        <v>1</v>
      </c>
      <c r="H2431" s="114">
        <v>11000</v>
      </c>
      <c r="I2431" s="114">
        <v>11000</v>
      </c>
      <c r="J2431" s="114">
        <v>9244</v>
      </c>
      <c r="K2431" s="114">
        <v>1756</v>
      </c>
      <c r="L2431" s="114" t="str">
        <f t="shared" si="37"/>
        <v>INSERT INTO DETALLES_DOCUMENTO(NRO_DOCUMENTO,ID_TIPO,ID_PRODUCTO,CANTIDAD,PRECIO,VALOR_BRUTO,VALOR_NETO,VALOR_IVA) VALUES(1174,1,5,1,11000,11000,9244,1756);</v>
      </c>
    </row>
    <row r="2432" spans="1:12">
      <c r="A2432" s="114">
        <v>1</v>
      </c>
      <c r="B2432" s="114">
        <v>1175</v>
      </c>
      <c r="C2432" s="139" t="s">
        <v>2356</v>
      </c>
      <c r="D2432" s="114" t="s">
        <v>2090</v>
      </c>
      <c r="E2432" s="114">
        <v>402</v>
      </c>
      <c r="F2432" s="114">
        <v>143</v>
      </c>
      <c r="G2432" s="114">
        <v>1</v>
      </c>
      <c r="H2432" s="114">
        <v>7900</v>
      </c>
      <c r="I2432" s="114">
        <v>7900</v>
      </c>
      <c r="J2432" s="114">
        <v>6639</v>
      </c>
      <c r="K2432" s="114">
        <v>1261</v>
      </c>
      <c r="L2432" s="114" t="str">
        <f t="shared" si="37"/>
        <v>INSERT INTO DETALLES_DOCUMENTO(NRO_DOCUMENTO,ID_TIPO,ID_PRODUCTO,CANTIDAD,PRECIO,VALOR_BRUTO,VALOR_NETO,VALOR_IVA) VALUES(1175,1,143,1,7900,7900,6639,1261);</v>
      </c>
    </row>
    <row r="2433" spans="1:12">
      <c r="A2433" s="114">
        <v>1</v>
      </c>
      <c r="B2433" s="114">
        <v>1175</v>
      </c>
      <c r="C2433" s="139" t="s">
        <v>2356</v>
      </c>
      <c r="D2433" s="114" t="s">
        <v>2090</v>
      </c>
      <c r="E2433" s="114">
        <v>402</v>
      </c>
      <c r="F2433" s="114">
        <v>324</v>
      </c>
      <c r="G2433" s="114">
        <v>1</v>
      </c>
      <c r="H2433" s="114">
        <v>11000</v>
      </c>
      <c r="I2433" s="114">
        <v>11000</v>
      </c>
      <c r="J2433" s="114">
        <v>9244</v>
      </c>
      <c r="K2433" s="114">
        <v>1756</v>
      </c>
      <c r="L2433" s="114" t="str">
        <f t="shared" si="37"/>
        <v>INSERT INTO DETALLES_DOCUMENTO(NRO_DOCUMENTO,ID_TIPO,ID_PRODUCTO,CANTIDAD,PRECIO,VALOR_BRUTO,VALOR_NETO,VALOR_IVA) VALUES(1175,1,324,1,11000,11000,9244,1756);</v>
      </c>
    </row>
    <row r="2434" spans="1:12">
      <c r="A2434" s="114">
        <v>1</v>
      </c>
      <c r="B2434" s="114">
        <v>1176</v>
      </c>
      <c r="C2434" s="139" t="s">
        <v>2356</v>
      </c>
      <c r="D2434" s="114" t="s">
        <v>2090</v>
      </c>
      <c r="E2434" s="114">
        <v>416</v>
      </c>
      <c r="F2434" s="114">
        <v>278</v>
      </c>
      <c r="G2434" s="114">
        <v>1</v>
      </c>
      <c r="H2434" s="114">
        <v>11500</v>
      </c>
      <c r="I2434" s="114">
        <v>11500</v>
      </c>
      <c r="J2434" s="114">
        <v>9664</v>
      </c>
      <c r="K2434" s="114">
        <v>1836</v>
      </c>
      <c r="L2434" s="114" t="str">
        <f t="shared" si="37"/>
        <v>INSERT INTO DETALLES_DOCUMENTO(NRO_DOCUMENTO,ID_TIPO,ID_PRODUCTO,CANTIDAD,PRECIO,VALOR_BRUTO,VALOR_NETO,VALOR_IVA) VALUES(1176,1,278,1,11500,11500,9664,1836);</v>
      </c>
    </row>
    <row r="2435" spans="1:12">
      <c r="A2435" s="114">
        <v>1</v>
      </c>
      <c r="B2435" s="114">
        <v>1176</v>
      </c>
      <c r="C2435" s="139" t="s">
        <v>2356</v>
      </c>
      <c r="D2435" s="114" t="s">
        <v>2090</v>
      </c>
      <c r="E2435" s="114">
        <v>416</v>
      </c>
      <c r="F2435" s="114">
        <v>264</v>
      </c>
      <c r="G2435" s="114">
        <v>1</v>
      </c>
      <c r="H2435" s="114">
        <v>5000</v>
      </c>
      <c r="I2435" s="114">
        <v>5000</v>
      </c>
      <c r="J2435" s="114">
        <v>4202</v>
      </c>
      <c r="K2435" s="114">
        <v>798</v>
      </c>
      <c r="L2435" s="114" t="str">
        <f t="shared" ref="L2435:L2498" si="38">CONCATENATE("INSERT INTO DETALLES_DOCUMENTO(NRO_DOCUMENTO,ID_TIPO,ID_PRODUCTO,CANTIDAD,PRECIO,VALOR_BRUTO,VALOR_NETO,VALOR_IVA) VALUES(",B2435,",",A2435,",",F2435,",",G2435,",",H2435,",",I2435,",",J2435,",",K2435,");")</f>
        <v>INSERT INTO DETALLES_DOCUMENTO(NRO_DOCUMENTO,ID_TIPO,ID_PRODUCTO,CANTIDAD,PRECIO,VALOR_BRUTO,VALOR_NETO,VALOR_IVA) VALUES(1176,1,264,1,5000,5000,4202,798);</v>
      </c>
    </row>
    <row r="2436" spans="1:12">
      <c r="A2436" s="114">
        <v>1</v>
      </c>
      <c r="B2436" s="114">
        <v>1177</v>
      </c>
      <c r="C2436" s="139" t="s">
        <v>2356</v>
      </c>
      <c r="D2436" s="114" t="s">
        <v>2090</v>
      </c>
      <c r="E2436" s="114">
        <v>444</v>
      </c>
      <c r="F2436" s="114">
        <v>143</v>
      </c>
      <c r="G2436" s="114">
        <v>1</v>
      </c>
      <c r="H2436" s="114">
        <v>7900</v>
      </c>
      <c r="I2436" s="114">
        <v>7900</v>
      </c>
      <c r="J2436" s="114">
        <v>6639</v>
      </c>
      <c r="K2436" s="114">
        <v>1261</v>
      </c>
      <c r="L2436" s="114" t="str">
        <f t="shared" si="38"/>
        <v>INSERT INTO DETALLES_DOCUMENTO(NRO_DOCUMENTO,ID_TIPO,ID_PRODUCTO,CANTIDAD,PRECIO,VALOR_BRUTO,VALOR_NETO,VALOR_IVA) VALUES(1177,1,143,1,7900,7900,6639,1261);</v>
      </c>
    </row>
    <row r="2437" spans="1:12">
      <c r="A2437" s="114">
        <v>1</v>
      </c>
      <c r="B2437" s="114">
        <v>1178</v>
      </c>
      <c r="C2437" s="139" t="s">
        <v>2356</v>
      </c>
      <c r="D2437" s="114" t="s">
        <v>2090</v>
      </c>
      <c r="E2437" s="114">
        <v>451</v>
      </c>
      <c r="F2437" s="114">
        <v>261</v>
      </c>
      <c r="G2437" s="114">
        <v>1</v>
      </c>
      <c r="H2437" s="114">
        <v>7000</v>
      </c>
      <c r="I2437" s="114">
        <v>7000</v>
      </c>
      <c r="J2437" s="114">
        <v>5882</v>
      </c>
      <c r="K2437" s="114">
        <v>1118</v>
      </c>
      <c r="L2437" s="114" t="str">
        <f t="shared" si="38"/>
        <v>INSERT INTO DETALLES_DOCUMENTO(NRO_DOCUMENTO,ID_TIPO,ID_PRODUCTO,CANTIDAD,PRECIO,VALOR_BRUTO,VALOR_NETO,VALOR_IVA) VALUES(1178,1,261,1,7000,7000,5882,1118);</v>
      </c>
    </row>
    <row r="2438" spans="1:12">
      <c r="A2438" s="114">
        <v>1</v>
      </c>
      <c r="B2438" s="114">
        <v>1179</v>
      </c>
      <c r="C2438" s="139" t="s">
        <v>2357</v>
      </c>
      <c r="D2438" s="114" t="s">
        <v>2090</v>
      </c>
      <c r="E2438" s="114">
        <v>108</v>
      </c>
      <c r="F2438" s="114">
        <v>368</v>
      </c>
      <c r="G2438" s="114">
        <v>1</v>
      </c>
      <c r="H2438" s="114">
        <v>3000</v>
      </c>
      <c r="I2438" s="114">
        <v>3000</v>
      </c>
      <c r="J2438" s="114">
        <v>2521</v>
      </c>
      <c r="K2438" s="114">
        <v>479</v>
      </c>
      <c r="L2438" s="114" t="str">
        <f t="shared" si="38"/>
        <v>INSERT INTO DETALLES_DOCUMENTO(NRO_DOCUMENTO,ID_TIPO,ID_PRODUCTO,CANTIDAD,PRECIO,VALOR_BRUTO,VALOR_NETO,VALOR_IVA) VALUES(1179,1,368,1,3000,3000,2521,479);</v>
      </c>
    </row>
    <row r="2439" spans="1:12">
      <c r="A2439" s="114">
        <v>1</v>
      </c>
      <c r="B2439" s="114">
        <v>1180</v>
      </c>
      <c r="C2439" s="139" t="s">
        <v>2357</v>
      </c>
      <c r="D2439" s="114" t="s">
        <v>2090</v>
      </c>
      <c r="E2439" s="114">
        <v>155</v>
      </c>
      <c r="F2439" s="114">
        <v>143</v>
      </c>
      <c r="G2439" s="114">
        <v>1</v>
      </c>
      <c r="H2439" s="114">
        <v>7900</v>
      </c>
      <c r="I2439" s="114">
        <v>7900</v>
      </c>
      <c r="J2439" s="114">
        <v>6639</v>
      </c>
      <c r="K2439" s="114">
        <v>1261</v>
      </c>
      <c r="L2439" s="114" t="str">
        <f t="shared" si="38"/>
        <v>INSERT INTO DETALLES_DOCUMENTO(NRO_DOCUMENTO,ID_TIPO,ID_PRODUCTO,CANTIDAD,PRECIO,VALOR_BRUTO,VALOR_NETO,VALOR_IVA) VALUES(1180,1,143,1,7900,7900,6639,1261);</v>
      </c>
    </row>
    <row r="2440" spans="1:12">
      <c r="A2440" s="114">
        <v>1</v>
      </c>
      <c r="B2440" s="114">
        <v>1181</v>
      </c>
      <c r="C2440" s="139" t="s">
        <v>2357</v>
      </c>
      <c r="D2440" s="114" t="s">
        <v>2090</v>
      </c>
      <c r="E2440" s="114">
        <v>166</v>
      </c>
      <c r="F2440" s="114">
        <v>329</v>
      </c>
      <c r="G2440" s="114">
        <v>1</v>
      </c>
      <c r="H2440" s="114">
        <v>6000</v>
      </c>
      <c r="I2440" s="114">
        <v>6000</v>
      </c>
      <c r="J2440" s="114">
        <v>5042</v>
      </c>
      <c r="K2440" s="114">
        <v>958</v>
      </c>
      <c r="L2440" s="114" t="str">
        <f t="shared" si="38"/>
        <v>INSERT INTO DETALLES_DOCUMENTO(NRO_DOCUMENTO,ID_TIPO,ID_PRODUCTO,CANTIDAD,PRECIO,VALOR_BRUTO,VALOR_NETO,VALOR_IVA) VALUES(1181,1,329,1,6000,6000,5042,958);</v>
      </c>
    </row>
    <row r="2441" spans="1:12">
      <c r="A2441" s="114">
        <v>1</v>
      </c>
      <c r="B2441" s="114">
        <v>1182</v>
      </c>
      <c r="C2441" s="139" t="s">
        <v>2357</v>
      </c>
      <c r="D2441" s="114" t="s">
        <v>2090</v>
      </c>
      <c r="E2441" s="114">
        <v>306</v>
      </c>
      <c r="F2441" s="114">
        <v>324</v>
      </c>
      <c r="G2441" s="114">
        <v>4</v>
      </c>
      <c r="H2441" s="114">
        <v>44000</v>
      </c>
      <c r="I2441" s="114">
        <v>176000</v>
      </c>
      <c r="J2441" s="114">
        <v>147899</v>
      </c>
      <c r="K2441" s="114">
        <v>28101</v>
      </c>
      <c r="L2441" s="114" t="str">
        <f t="shared" si="38"/>
        <v>INSERT INTO DETALLES_DOCUMENTO(NRO_DOCUMENTO,ID_TIPO,ID_PRODUCTO,CANTIDAD,PRECIO,VALOR_BRUTO,VALOR_NETO,VALOR_IVA) VALUES(1182,1,324,4,44000,176000,147899,28101);</v>
      </c>
    </row>
    <row r="2442" spans="1:12">
      <c r="A2442" s="114">
        <v>1</v>
      </c>
      <c r="B2442" s="114">
        <v>1182</v>
      </c>
      <c r="C2442" s="139" t="s">
        <v>2357</v>
      </c>
      <c r="D2442" s="114" t="s">
        <v>2090</v>
      </c>
      <c r="E2442" s="114">
        <v>306</v>
      </c>
      <c r="F2442" s="114">
        <v>263</v>
      </c>
      <c r="G2442" s="114">
        <v>2</v>
      </c>
      <c r="H2442" s="114">
        <v>16000</v>
      </c>
      <c r="I2442" s="114">
        <v>32000</v>
      </c>
      <c r="J2442" s="114">
        <v>26891</v>
      </c>
      <c r="K2442" s="114">
        <v>5109</v>
      </c>
      <c r="L2442" s="114" t="str">
        <f t="shared" si="38"/>
        <v>INSERT INTO DETALLES_DOCUMENTO(NRO_DOCUMENTO,ID_TIPO,ID_PRODUCTO,CANTIDAD,PRECIO,VALOR_BRUTO,VALOR_NETO,VALOR_IVA) VALUES(1182,1,263,2,16000,32000,26891,5109);</v>
      </c>
    </row>
    <row r="2443" spans="1:12">
      <c r="A2443" s="114">
        <v>1</v>
      </c>
      <c r="B2443" s="114">
        <v>1182</v>
      </c>
      <c r="C2443" s="139" t="s">
        <v>2357</v>
      </c>
      <c r="D2443" s="114" t="s">
        <v>2090</v>
      </c>
      <c r="E2443" s="114">
        <v>306</v>
      </c>
      <c r="F2443" s="114">
        <v>143</v>
      </c>
      <c r="G2443" s="114">
        <v>1</v>
      </c>
      <c r="H2443" s="114">
        <v>7900</v>
      </c>
      <c r="I2443" s="114">
        <v>7900</v>
      </c>
      <c r="J2443" s="114">
        <v>6639</v>
      </c>
      <c r="K2443" s="114">
        <v>1261</v>
      </c>
      <c r="L2443" s="114" t="str">
        <f t="shared" si="38"/>
        <v>INSERT INTO DETALLES_DOCUMENTO(NRO_DOCUMENTO,ID_TIPO,ID_PRODUCTO,CANTIDAD,PRECIO,VALOR_BRUTO,VALOR_NETO,VALOR_IVA) VALUES(1182,1,143,1,7900,7900,6639,1261);</v>
      </c>
    </row>
    <row r="2444" spans="1:12">
      <c r="A2444" s="114">
        <v>1</v>
      </c>
      <c r="B2444" s="114">
        <v>1183</v>
      </c>
      <c r="C2444" s="139" t="s">
        <v>2358</v>
      </c>
      <c r="D2444" s="114" t="s">
        <v>2090</v>
      </c>
      <c r="E2444" s="114">
        <v>24</v>
      </c>
      <c r="F2444" s="114">
        <v>18</v>
      </c>
      <c r="G2444" s="114">
        <v>1</v>
      </c>
      <c r="H2444" s="114">
        <v>1000</v>
      </c>
      <c r="I2444" s="114">
        <v>1000</v>
      </c>
      <c r="J2444" s="114">
        <v>840</v>
      </c>
      <c r="K2444" s="114">
        <v>160</v>
      </c>
      <c r="L2444" s="114" t="str">
        <f t="shared" si="38"/>
        <v>INSERT INTO DETALLES_DOCUMENTO(NRO_DOCUMENTO,ID_TIPO,ID_PRODUCTO,CANTIDAD,PRECIO,VALOR_BRUTO,VALOR_NETO,VALOR_IVA) VALUES(1183,1,18,1,1000,1000,840,160);</v>
      </c>
    </row>
    <row r="2445" spans="1:12">
      <c r="A2445" s="114">
        <v>1</v>
      </c>
      <c r="B2445" s="114">
        <v>1183</v>
      </c>
      <c r="C2445" s="139" t="s">
        <v>2358</v>
      </c>
      <c r="D2445" s="114" t="s">
        <v>2090</v>
      </c>
      <c r="E2445" s="114">
        <v>24</v>
      </c>
      <c r="F2445" s="114">
        <v>56</v>
      </c>
      <c r="G2445" s="114">
        <v>1</v>
      </c>
      <c r="H2445" s="114">
        <v>1500</v>
      </c>
      <c r="I2445" s="114">
        <v>1500</v>
      </c>
      <c r="J2445" s="114">
        <v>1261</v>
      </c>
      <c r="K2445" s="114">
        <v>239</v>
      </c>
      <c r="L2445" s="114" t="str">
        <f t="shared" si="38"/>
        <v>INSERT INTO DETALLES_DOCUMENTO(NRO_DOCUMENTO,ID_TIPO,ID_PRODUCTO,CANTIDAD,PRECIO,VALOR_BRUTO,VALOR_NETO,VALOR_IVA) VALUES(1183,1,56,1,1500,1500,1261,239);</v>
      </c>
    </row>
    <row r="2446" spans="1:12">
      <c r="A2446" s="114">
        <v>1</v>
      </c>
      <c r="B2446" s="114">
        <v>1183</v>
      </c>
      <c r="C2446" s="139" t="s">
        <v>2358</v>
      </c>
      <c r="D2446" s="114" t="s">
        <v>2090</v>
      </c>
      <c r="E2446" s="114">
        <v>24</v>
      </c>
      <c r="F2446" s="114">
        <v>254</v>
      </c>
      <c r="G2446" s="114">
        <v>1</v>
      </c>
      <c r="H2446" s="114">
        <v>2000</v>
      </c>
      <c r="I2446" s="114">
        <v>2000</v>
      </c>
      <c r="J2446" s="114">
        <v>1681</v>
      </c>
      <c r="K2446" s="114">
        <v>319</v>
      </c>
      <c r="L2446" s="114" t="str">
        <f t="shared" si="38"/>
        <v>INSERT INTO DETALLES_DOCUMENTO(NRO_DOCUMENTO,ID_TIPO,ID_PRODUCTO,CANTIDAD,PRECIO,VALOR_BRUTO,VALOR_NETO,VALOR_IVA) VALUES(1183,1,254,1,2000,2000,1681,319);</v>
      </c>
    </row>
    <row r="2447" spans="1:12">
      <c r="A2447" s="114">
        <v>1</v>
      </c>
      <c r="B2447" s="114">
        <v>1183</v>
      </c>
      <c r="C2447" s="139" t="s">
        <v>2358</v>
      </c>
      <c r="D2447" s="114" t="s">
        <v>2090</v>
      </c>
      <c r="E2447" s="114">
        <v>24</v>
      </c>
      <c r="F2447" s="114">
        <v>384</v>
      </c>
      <c r="G2447" s="114">
        <v>1</v>
      </c>
      <c r="H2447" s="114">
        <v>2750</v>
      </c>
      <c r="I2447" s="114">
        <v>2750</v>
      </c>
      <c r="J2447" s="114">
        <v>2311</v>
      </c>
      <c r="K2447" s="114">
        <v>439</v>
      </c>
      <c r="L2447" s="114" t="str">
        <f t="shared" si="38"/>
        <v>INSERT INTO DETALLES_DOCUMENTO(NRO_DOCUMENTO,ID_TIPO,ID_PRODUCTO,CANTIDAD,PRECIO,VALOR_BRUTO,VALOR_NETO,VALOR_IVA) VALUES(1183,1,384,1,2750,2750,2311,439);</v>
      </c>
    </row>
    <row r="2448" spans="1:12">
      <c r="A2448" s="114">
        <v>1</v>
      </c>
      <c r="B2448" s="114">
        <v>1184</v>
      </c>
      <c r="C2448" s="139" t="s">
        <v>2358</v>
      </c>
      <c r="D2448" s="114" t="s">
        <v>2090</v>
      </c>
      <c r="E2448" s="114">
        <v>25</v>
      </c>
      <c r="F2448" s="114">
        <v>143</v>
      </c>
      <c r="G2448" s="114">
        <v>1</v>
      </c>
      <c r="H2448" s="114">
        <v>7900</v>
      </c>
      <c r="I2448" s="114">
        <v>7900</v>
      </c>
      <c r="J2448" s="114">
        <v>6639</v>
      </c>
      <c r="K2448" s="114">
        <v>1261</v>
      </c>
      <c r="L2448" s="114" t="str">
        <f t="shared" si="38"/>
        <v>INSERT INTO DETALLES_DOCUMENTO(NRO_DOCUMENTO,ID_TIPO,ID_PRODUCTO,CANTIDAD,PRECIO,VALOR_BRUTO,VALOR_NETO,VALOR_IVA) VALUES(1184,1,143,1,7900,7900,6639,1261);</v>
      </c>
    </row>
    <row r="2449" spans="1:12">
      <c r="A2449" s="114">
        <v>1</v>
      </c>
      <c r="B2449" s="114">
        <v>1185</v>
      </c>
      <c r="C2449" s="139" t="s">
        <v>2358</v>
      </c>
      <c r="D2449" s="114" t="s">
        <v>2090</v>
      </c>
      <c r="E2449" s="114">
        <v>48</v>
      </c>
      <c r="F2449" s="114">
        <v>324</v>
      </c>
      <c r="G2449" s="114">
        <v>1</v>
      </c>
      <c r="H2449" s="114">
        <v>11000</v>
      </c>
      <c r="I2449" s="114">
        <v>11000</v>
      </c>
      <c r="J2449" s="114">
        <v>9244</v>
      </c>
      <c r="K2449" s="114">
        <v>1756</v>
      </c>
      <c r="L2449" s="114" t="str">
        <f t="shared" si="38"/>
        <v>INSERT INTO DETALLES_DOCUMENTO(NRO_DOCUMENTO,ID_TIPO,ID_PRODUCTO,CANTIDAD,PRECIO,VALOR_BRUTO,VALOR_NETO,VALOR_IVA) VALUES(1185,1,324,1,11000,11000,9244,1756);</v>
      </c>
    </row>
    <row r="2450" spans="1:12">
      <c r="A2450" s="114">
        <v>1</v>
      </c>
      <c r="B2450" s="114">
        <v>1185</v>
      </c>
      <c r="C2450" s="139" t="s">
        <v>2358</v>
      </c>
      <c r="D2450" s="114" t="s">
        <v>2090</v>
      </c>
      <c r="E2450" s="114">
        <v>48</v>
      </c>
      <c r="F2450" s="114">
        <v>143</v>
      </c>
      <c r="G2450" s="114">
        <v>1</v>
      </c>
      <c r="H2450" s="114">
        <v>7900</v>
      </c>
      <c r="I2450" s="114">
        <v>7900</v>
      </c>
      <c r="J2450" s="114">
        <v>6639</v>
      </c>
      <c r="K2450" s="114">
        <v>1261</v>
      </c>
      <c r="L2450" s="114" t="str">
        <f t="shared" si="38"/>
        <v>INSERT INTO DETALLES_DOCUMENTO(NRO_DOCUMENTO,ID_TIPO,ID_PRODUCTO,CANTIDAD,PRECIO,VALOR_BRUTO,VALOR_NETO,VALOR_IVA) VALUES(1185,1,143,1,7900,7900,6639,1261);</v>
      </c>
    </row>
    <row r="2451" spans="1:12">
      <c r="A2451" s="114">
        <v>1</v>
      </c>
      <c r="B2451" s="114">
        <v>1185</v>
      </c>
      <c r="C2451" s="139" t="s">
        <v>2358</v>
      </c>
      <c r="D2451" s="114" t="s">
        <v>2090</v>
      </c>
      <c r="E2451" s="114">
        <v>48</v>
      </c>
      <c r="F2451" s="114">
        <v>382</v>
      </c>
      <c r="G2451" s="114">
        <v>1</v>
      </c>
      <c r="H2451" s="114">
        <v>2600</v>
      </c>
      <c r="I2451" s="114">
        <v>2600</v>
      </c>
      <c r="J2451" s="114">
        <v>2185</v>
      </c>
      <c r="K2451" s="114">
        <v>415</v>
      </c>
      <c r="L2451" s="114" t="str">
        <f t="shared" si="38"/>
        <v>INSERT INTO DETALLES_DOCUMENTO(NRO_DOCUMENTO,ID_TIPO,ID_PRODUCTO,CANTIDAD,PRECIO,VALOR_BRUTO,VALOR_NETO,VALOR_IVA) VALUES(1185,1,382,1,2600,2600,2185,415);</v>
      </c>
    </row>
    <row r="2452" spans="1:12">
      <c r="A2452" s="114">
        <v>1</v>
      </c>
      <c r="B2452" s="114">
        <v>1185</v>
      </c>
      <c r="C2452" s="139" t="s">
        <v>2358</v>
      </c>
      <c r="D2452" s="114" t="s">
        <v>2090</v>
      </c>
      <c r="E2452" s="114">
        <v>48</v>
      </c>
      <c r="F2452" s="114">
        <v>332</v>
      </c>
      <c r="G2452" s="114">
        <v>1</v>
      </c>
      <c r="H2452" s="114">
        <v>2600</v>
      </c>
      <c r="I2452" s="114">
        <v>2600</v>
      </c>
      <c r="J2452" s="114">
        <v>2185</v>
      </c>
      <c r="K2452" s="114">
        <v>415</v>
      </c>
      <c r="L2452" s="114" t="str">
        <f t="shared" si="38"/>
        <v>INSERT INTO DETALLES_DOCUMENTO(NRO_DOCUMENTO,ID_TIPO,ID_PRODUCTO,CANTIDAD,PRECIO,VALOR_BRUTO,VALOR_NETO,VALOR_IVA) VALUES(1185,1,332,1,2600,2600,2185,415);</v>
      </c>
    </row>
    <row r="2453" spans="1:12">
      <c r="A2453" s="114">
        <v>1</v>
      </c>
      <c r="B2453" s="114">
        <v>1185</v>
      </c>
      <c r="C2453" s="139" t="s">
        <v>2358</v>
      </c>
      <c r="D2453" s="114" t="s">
        <v>2090</v>
      </c>
      <c r="E2453" s="114">
        <v>48</v>
      </c>
      <c r="F2453" s="114">
        <v>99</v>
      </c>
      <c r="G2453" s="114">
        <v>1</v>
      </c>
      <c r="H2453" s="114">
        <v>1700</v>
      </c>
      <c r="I2453" s="114">
        <v>1700</v>
      </c>
      <c r="J2453" s="114">
        <v>1429</v>
      </c>
      <c r="K2453" s="114">
        <v>271</v>
      </c>
      <c r="L2453" s="114" t="str">
        <f t="shared" si="38"/>
        <v>INSERT INTO DETALLES_DOCUMENTO(NRO_DOCUMENTO,ID_TIPO,ID_PRODUCTO,CANTIDAD,PRECIO,VALOR_BRUTO,VALOR_NETO,VALOR_IVA) VALUES(1185,1,99,1,1700,1700,1429,271);</v>
      </c>
    </row>
    <row r="2454" spans="1:12">
      <c r="A2454" s="114">
        <v>1</v>
      </c>
      <c r="B2454" s="114">
        <v>1185</v>
      </c>
      <c r="C2454" s="139" t="s">
        <v>2358</v>
      </c>
      <c r="D2454" s="114" t="s">
        <v>2090</v>
      </c>
      <c r="E2454" s="114">
        <v>48</v>
      </c>
      <c r="F2454" s="114">
        <v>114</v>
      </c>
      <c r="G2454" s="114">
        <v>1</v>
      </c>
      <c r="H2454" s="114">
        <v>1600</v>
      </c>
      <c r="I2454" s="114">
        <v>1600</v>
      </c>
      <c r="J2454" s="114">
        <v>1345</v>
      </c>
      <c r="K2454" s="114">
        <v>255</v>
      </c>
      <c r="L2454" s="114" t="str">
        <f t="shared" si="38"/>
        <v>INSERT INTO DETALLES_DOCUMENTO(NRO_DOCUMENTO,ID_TIPO,ID_PRODUCTO,CANTIDAD,PRECIO,VALOR_BRUTO,VALOR_NETO,VALOR_IVA) VALUES(1185,1,114,1,1600,1600,1345,255);</v>
      </c>
    </row>
    <row r="2455" spans="1:12">
      <c r="A2455" s="114">
        <v>1</v>
      </c>
      <c r="B2455" s="114">
        <v>1185</v>
      </c>
      <c r="C2455" s="139" t="s">
        <v>2358</v>
      </c>
      <c r="D2455" s="114" t="s">
        <v>2090</v>
      </c>
      <c r="E2455" s="114">
        <v>48</v>
      </c>
      <c r="F2455" s="114">
        <v>115</v>
      </c>
      <c r="G2455" s="114">
        <v>1</v>
      </c>
      <c r="H2455" s="114">
        <v>1600</v>
      </c>
      <c r="I2455" s="114">
        <v>1600</v>
      </c>
      <c r="J2455" s="114">
        <v>1345</v>
      </c>
      <c r="K2455" s="114">
        <v>255</v>
      </c>
      <c r="L2455" s="114" t="str">
        <f t="shared" si="38"/>
        <v>INSERT INTO DETALLES_DOCUMENTO(NRO_DOCUMENTO,ID_TIPO,ID_PRODUCTO,CANTIDAD,PRECIO,VALOR_BRUTO,VALOR_NETO,VALOR_IVA) VALUES(1185,1,115,1,1600,1600,1345,255);</v>
      </c>
    </row>
    <row r="2456" spans="1:12">
      <c r="A2456" s="114">
        <v>1</v>
      </c>
      <c r="B2456" s="114">
        <v>1185</v>
      </c>
      <c r="C2456" s="139" t="s">
        <v>2358</v>
      </c>
      <c r="D2456" s="114" t="s">
        <v>2090</v>
      </c>
      <c r="E2456" s="114">
        <v>48</v>
      </c>
      <c r="F2456" s="114">
        <v>116</v>
      </c>
      <c r="G2456" s="114">
        <v>1</v>
      </c>
      <c r="H2456" s="114">
        <v>1600</v>
      </c>
      <c r="I2456" s="114">
        <v>1600</v>
      </c>
      <c r="J2456" s="114">
        <v>1345</v>
      </c>
      <c r="K2456" s="114">
        <v>255</v>
      </c>
      <c r="L2456" s="114" t="str">
        <f t="shared" si="38"/>
        <v>INSERT INTO DETALLES_DOCUMENTO(NRO_DOCUMENTO,ID_TIPO,ID_PRODUCTO,CANTIDAD,PRECIO,VALOR_BRUTO,VALOR_NETO,VALOR_IVA) VALUES(1185,1,116,1,1600,1600,1345,255);</v>
      </c>
    </row>
    <row r="2457" spans="1:12">
      <c r="A2457" s="114">
        <v>1</v>
      </c>
      <c r="B2457" s="114">
        <v>1185</v>
      </c>
      <c r="C2457" s="139" t="s">
        <v>2358</v>
      </c>
      <c r="D2457" s="114" t="s">
        <v>2090</v>
      </c>
      <c r="E2457" s="114">
        <v>48</v>
      </c>
      <c r="F2457" s="114">
        <v>230</v>
      </c>
      <c r="G2457" s="114">
        <v>1</v>
      </c>
      <c r="H2457" s="114">
        <v>16500</v>
      </c>
      <c r="I2457" s="114">
        <v>16500</v>
      </c>
      <c r="J2457" s="114">
        <v>13866</v>
      </c>
      <c r="K2457" s="114">
        <v>2634</v>
      </c>
      <c r="L2457" s="114" t="str">
        <f t="shared" si="38"/>
        <v>INSERT INTO DETALLES_DOCUMENTO(NRO_DOCUMENTO,ID_TIPO,ID_PRODUCTO,CANTIDAD,PRECIO,VALOR_BRUTO,VALOR_NETO,VALOR_IVA) VALUES(1185,1,230,1,16500,16500,13866,2634);</v>
      </c>
    </row>
    <row r="2458" spans="1:12">
      <c r="A2458" s="114">
        <v>1</v>
      </c>
      <c r="B2458" s="114">
        <v>1185</v>
      </c>
      <c r="C2458" s="139" t="s">
        <v>2358</v>
      </c>
      <c r="D2458" s="114" t="s">
        <v>2090</v>
      </c>
      <c r="E2458" s="114">
        <v>48</v>
      </c>
      <c r="F2458" s="114">
        <v>166</v>
      </c>
      <c r="G2458" s="114">
        <v>1</v>
      </c>
      <c r="H2458" s="114">
        <v>1600</v>
      </c>
      <c r="I2458" s="114">
        <v>1600</v>
      </c>
      <c r="J2458" s="114">
        <v>1345</v>
      </c>
      <c r="K2458" s="114">
        <v>255</v>
      </c>
      <c r="L2458" s="114" t="str">
        <f t="shared" si="38"/>
        <v>INSERT INTO DETALLES_DOCUMENTO(NRO_DOCUMENTO,ID_TIPO,ID_PRODUCTO,CANTIDAD,PRECIO,VALOR_BRUTO,VALOR_NETO,VALOR_IVA) VALUES(1185,1,166,1,1600,1600,1345,255);</v>
      </c>
    </row>
    <row r="2459" spans="1:12">
      <c r="A2459" s="114">
        <v>1</v>
      </c>
      <c r="B2459" s="114">
        <v>1185</v>
      </c>
      <c r="C2459" s="139" t="s">
        <v>2358</v>
      </c>
      <c r="D2459" s="114" t="s">
        <v>2090</v>
      </c>
      <c r="E2459" s="114">
        <v>48</v>
      </c>
      <c r="F2459" s="114">
        <v>354</v>
      </c>
      <c r="G2459" s="114">
        <v>1</v>
      </c>
      <c r="H2459" s="114">
        <v>1800</v>
      </c>
      <c r="I2459" s="114">
        <v>1800</v>
      </c>
      <c r="J2459" s="114">
        <v>1513</v>
      </c>
      <c r="K2459" s="114">
        <v>287</v>
      </c>
      <c r="L2459" s="114" t="str">
        <f t="shared" si="38"/>
        <v>INSERT INTO DETALLES_DOCUMENTO(NRO_DOCUMENTO,ID_TIPO,ID_PRODUCTO,CANTIDAD,PRECIO,VALOR_BRUTO,VALOR_NETO,VALOR_IVA) VALUES(1185,1,354,1,1800,1800,1513,287);</v>
      </c>
    </row>
    <row r="2460" spans="1:12">
      <c r="A2460" s="114">
        <v>1</v>
      </c>
      <c r="B2460" s="114">
        <v>1185</v>
      </c>
      <c r="C2460" s="139" t="s">
        <v>2358</v>
      </c>
      <c r="D2460" s="114" t="s">
        <v>2090</v>
      </c>
      <c r="E2460" s="114">
        <v>48</v>
      </c>
      <c r="F2460" s="114">
        <v>68</v>
      </c>
      <c r="G2460" s="114">
        <v>1</v>
      </c>
      <c r="H2460" s="114">
        <v>1200</v>
      </c>
      <c r="I2460" s="114">
        <v>1200</v>
      </c>
      <c r="J2460" s="114">
        <v>1008</v>
      </c>
      <c r="K2460" s="114">
        <v>192</v>
      </c>
      <c r="L2460" s="114" t="str">
        <f t="shared" si="38"/>
        <v>INSERT INTO DETALLES_DOCUMENTO(NRO_DOCUMENTO,ID_TIPO,ID_PRODUCTO,CANTIDAD,PRECIO,VALOR_BRUTO,VALOR_NETO,VALOR_IVA) VALUES(1185,1,68,1,1200,1200,1008,192);</v>
      </c>
    </row>
    <row r="2461" spans="1:12">
      <c r="A2461" s="114">
        <v>1</v>
      </c>
      <c r="B2461" s="114">
        <v>1185</v>
      </c>
      <c r="C2461" s="139" t="s">
        <v>2358</v>
      </c>
      <c r="D2461" s="114" t="s">
        <v>2090</v>
      </c>
      <c r="E2461" s="114">
        <v>48</v>
      </c>
      <c r="F2461" s="114">
        <v>69</v>
      </c>
      <c r="G2461" s="114">
        <v>1</v>
      </c>
      <c r="H2461" s="114">
        <v>3000</v>
      </c>
      <c r="I2461" s="114">
        <v>3000</v>
      </c>
      <c r="J2461" s="114">
        <v>2521</v>
      </c>
      <c r="K2461" s="114">
        <v>479</v>
      </c>
      <c r="L2461" s="114" t="str">
        <f t="shared" si="38"/>
        <v>INSERT INTO DETALLES_DOCUMENTO(NRO_DOCUMENTO,ID_TIPO,ID_PRODUCTO,CANTIDAD,PRECIO,VALOR_BRUTO,VALOR_NETO,VALOR_IVA) VALUES(1185,1,69,1,3000,3000,2521,479);</v>
      </c>
    </row>
    <row r="2462" spans="1:12">
      <c r="A2462" s="114">
        <v>1</v>
      </c>
      <c r="B2462" s="114">
        <v>1186</v>
      </c>
      <c r="C2462" s="139" t="s">
        <v>2358</v>
      </c>
      <c r="D2462" s="114" t="s">
        <v>2090</v>
      </c>
      <c r="E2462" s="114">
        <v>111</v>
      </c>
      <c r="F2462" s="114">
        <v>230</v>
      </c>
      <c r="G2462" s="114">
        <v>1</v>
      </c>
      <c r="H2462" s="114">
        <v>16500</v>
      </c>
      <c r="I2462" s="114">
        <v>16500</v>
      </c>
      <c r="J2462" s="114">
        <v>13866</v>
      </c>
      <c r="K2462" s="114">
        <v>2634</v>
      </c>
      <c r="L2462" s="114" t="str">
        <f t="shared" si="38"/>
        <v>INSERT INTO DETALLES_DOCUMENTO(NRO_DOCUMENTO,ID_TIPO,ID_PRODUCTO,CANTIDAD,PRECIO,VALOR_BRUTO,VALOR_NETO,VALOR_IVA) VALUES(1186,1,230,1,16500,16500,13866,2634);</v>
      </c>
    </row>
    <row r="2463" spans="1:12">
      <c r="A2463" s="114">
        <v>1</v>
      </c>
      <c r="B2463" s="114">
        <v>1187</v>
      </c>
      <c r="C2463" s="139" t="s">
        <v>2358</v>
      </c>
      <c r="D2463" s="114" t="s">
        <v>2090</v>
      </c>
      <c r="E2463" s="114">
        <v>119</v>
      </c>
      <c r="F2463" s="114">
        <v>143</v>
      </c>
      <c r="G2463" s="114">
        <v>1</v>
      </c>
      <c r="H2463" s="114">
        <v>7900</v>
      </c>
      <c r="I2463" s="114">
        <v>7900</v>
      </c>
      <c r="J2463" s="114">
        <v>6639</v>
      </c>
      <c r="K2463" s="114">
        <v>1261</v>
      </c>
      <c r="L2463" s="114" t="str">
        <f t="shared" si="38"/>
        <v>INSERT INTO DETALLES_DOCUMENTO(NRO_DOCUMENTO,ID_TIPO,ID_PRODUCTO,CANTIDAD,PRECIO,VALOR_BRUTO,VALOR_NETO,VALOR_IVA) VALUES(1187,1,143,1,7900,7900,6639,1261);</v>
      </c>
    </row>
    <row r="2464" spans="1:12">
      <c r="A2464" s="114">
        <v>1</v>
      </c>
      <c r="B2464" s="114">
        <v>1187</v>
      </c>
      <c r="C2464" s="139" t="s">
        <v>2358</v>
      </c>
      <c r="D2464" s="114" t="s">
        <v>2090</v>
      </c>
      <c r="E2464" s="114">
        <v>119</v>
      </c>
      <c r="F2464" s="114">
        <v>365</v>
      </c>
      <c r="G2464" s="114">
        <v>2</v>
      </c>
      <c r="H2464" s="114">
        <v>6400</v>
      </c>
      <c r="I2464" s="114">
        <v>12800</v>
      </c>
      <c r="J2464" s="114">
        <v>10756</v>
      </c>
      <c r="K2464" s="114">
        <v>2044</v>
      </c>
      <c r="L2464" s="114" t="str">
        <f t="shared" si="38"/>
        <v>INSERT INTO DETALLES_DOCUMENTO(NRO_DOCUMENTO,ID_TIPO,ID_PRODUCTO,CANTIDAD,PRECIO,VALOR_BRUTO,VALOR_NETO,VALOR_IVA) VALUES(1187,1,365,2,6400,12800,10756,2044);</v>
      </c>
    </row>
    <row r="2465" spans="1:12">
      <c r="A2465" s="114">
        <v>1</v>
      </c>
      <c r="B2465" s="114">
        <v>1188</v>
      </c>
      <c r="C2465" s="139" t="s">
        <v>2358</v>
      </c>
      <c r="D2465" s="114" t="s">
        <v>2090</v>
      </c>
      <c r="E2465" s="114">
        <v>135</v>
      </c>
      <c r="F2465" s="114">
        <v>143</v>
      </c>
      <c r="G2465" s="114">
        <v>2</v>
      </c>
      <c r="H2465" s="114">
        <v>15800</v>
      </c>
      <c r="I2465" s="114">
        <v>31600</v>
      </c>
      <c r="J2465" s="114">
        <v>26555</v>
      </c>
      <c r="K2465" s="114">
        <v>5045</v>
      </c>
      <c r="L2465" s="114" t="str">
        <f t="shared" si="38"/>
        <v>INSERT INTO DETALLES_DOCUMENTO(NRO_DOCUMENTO,ID_TIPO,ID_PRODUCTO,CANTIDAD,PRECIO,VALOR_BRUTO,VALOR_NETO,VALOR_IVA) VALUES(1188,1,143,2,15800,31600,26555,5045);</v>
      </c>
    </row>
    <row r="2466" spans="1:12">
      <c r="A2466" s="114">
        <v>1</v>
      </c>
      <c r="B2466" s="114">
        <v>1189</v>
      </c>
      <c r="C2466" s="139" t="s">
        <v>2358</v>
      </c>
      <c r="D2466" s="114" t="s">
        <v>2090</v>
      </c>
      <c r="E2466" s="114">
        <v>323</v>
      </c>
      <c r="F2466" s="114">
        <v>231</v>
      </c>
      <c r="G2466" s="114">
        <v>1</v>
      </c>
      <c r="H2466" s="114">
        <v>20900</v>
      </c>
      <c r="I2466" s="114">
        <v>20900</v>
      </c>
      <c r="J2466" s="114">
        <v>17563</v>
      </c>
      <c r="K2466" s="114">
        <v>3337</v>
      </c>
      <c r="L2466" s="114" t="str">
        <f t="shared" si="38"/>
        <v>INSERT INTO DETALLES_DOCUMENTO(NRO_DOCUMENTO,ID_TIPO,ID_PRODUCTO,CANTIDAD,PRECIO,VALOR_BRUTO,VALOR_NETO,VALOR_IVA) VALUES(1189,1,231,1,20900,20900,17563,3337);</v>
      </c>
    </row>
    <row r="2467" spans="1:12">
      <c r="A2467" s="114">
        <v>1</v>
      </c>
      <c r="B2467" s="114">
        <v>1190</v>
      </c>
      <c r="C2467" s="139" t="s">
        <v>2358</v>
      </c>
      <c r="D2467" s="114" t="s">
        <v>2090</v>
      </c>
      <c r="E2467" s="114">
        <v>363</v>
      </c>
      <c r="F2467" s="114">
        <v>143</v>
      </c>
      <c r="G2467" s="114">
        <v>1</v>
      </c>
      <c r="H2467" s="114">
        <v>7900</v>
      </c>
      <c r="I2467" s="114">
        <v>7900</v>
      </c>
      <c r="J2467" s="114">
        <v>6639</v>
      </c>
      <c r="K2467" s="114">
        <v>1261</v>
      </c>
      <c r="L2467" s="114" t="str">
        <f t="shared" si="38"/>
        <v>INSERT INTO DETALLES_DOCUMENTO(NRO_DOCUMENTO,ID_TIPO,ID_PRODUCTO,CANTIDAD,PRECIO,VALOR_BRUTO,VALOR_NETO,VALOR_IVA) VALUES(1190,1,143,1,7900,7900,6639,1261);</v>
      </c>
    </row>
    <row r="2468" spans="1:12">
      <c r="A2468" s="114">
        <v>1</v>
      </c>
      <c r="B2468" s="114">
        <v>1191</v>
      </c>
      <c r="C2468" s="139" t="s">
        <v>2358</v>
      </c>
      <c r="D2468" s="114" t="s">
        <v>2090</v>
      </c>
      <c r="E2468" s="114">
        <v>374</v>
      </c>
      <c r="F2468" s="114">
        <v>324</v>
      </c>
      <c r="G2468" s="114">
        <v>1</v>
      </c>
      <c r="H2468" s="114">
        <v>11000</v>
      </c>
      <c r="I2468" s="114">
        <v>11000</v>
      </c>
      <c r="J2468" s="114">
        <v>9244</v>
      </c>
      <c r="K2468" s="114">
        <v>1756</v>
      </c>
      <c r="L2468" s="114" t="str">
        <f t="shared" si="38"/>
        <v>INSERT INTO DETALLES_DOCUMENTO(NRO_DOCUMENTO,ID_TIPO,ID_PRODUCTO,CANTIDAD,PRECIO,VALOR_BRUTO,VALOR_NETO,VALOR_IVA) VALUES(1191,1,324,1,11000,11000,9244,1756);</v>
      </c>
    </row>
    <row r="2469" spans="1:12">
      <c r="A2469" s="114">
        <v>1</v>
      </c>
      <c r="B2469" s="114">
        <v>1192</v>
      </c>
      <c r="C2469" s="139" t="s">
        <v>2358</v>
      </c>
      <c r="D2469" s="114" t="s">
        <v>2090</v>
      </c>
      <c r="E2469" s="114">
        <v>446</v>
      </c>
      <c r="F2469" s="114">
        <v>117</v>
      </c>
      <c r="G2469" s="114">
        <v>1</v>
      </c>
      <c r="H2469" s="114">
        <v>3500</v>
      </c>
      <c r="I2469" s="114">
        <v>3500</v>
      </c>
      <c r="J2469" s="114">
        <v>2941</v>
      </c>
      <c r="K2469" s="114">
        <v>559</v>
      </c>
      <c r="L2469" s="114" t="str">
        <f t="shared" si="38"/>
        <v>INSERT INTO DETALLES_DOCUMENTO(NRO_DOCUMENTO,ID_TIPO,ID_PRODUCTO,CANTIDAD,PRECIO,VALOR_BRUTO,VALOR_NETO,VALOR_IVA) VALUES(1192,1,117,1,3500,3500,2941,559);</v>
      </c>
    </row>
    <row r="2470" spans="1:12">
      <c r="A2470" s="114">
        <v>1</v>
      </c>
      <c r="B2470" s="114">
        <v>1192</v>
      </c>
      <c r="C2470" s="139" t="s">
        <v>2358</v>
      </c>
      <c r="D2470" s="114" t="s">
        <v>2090</v>
      </c>
      <c r="E2470" s="114">
        <v>446</v>
      </c>
      <c r="F2470" s="114">
        <v>368</v>
      </c>
      <c r="G2470" s="114">
        <v>1</v>
      </c>
      <c r="H2470" s="114">
        <v>3000</v>
      </c>
      <c r="I2470" s="114">
        <v>3000</v>
      </c>
      <c r="J2470" s="114">
        <v>2521</v>
      </c>
      <c r="K2470" s="114">
        <v>479</v>
      </c>
      <c r="L2470" s="114" t="str">
        <f t="shared" si="38"/>
        <v>INSERT INTO DETALLES_DOCUMENTO(NRO_DOCUMENTO,ID_TIPO,ID_PRODUCTO,CANTIDAD,PRECIO,VALOR_BRUTO,VALOR_NETO,VALOR_IVA) VALUES(1192,1,368,1,3000,3000,2521,479);</v>
      </c>
    </row>
    <row r="2471" spans="1:12">
      <c r="A2471" s="114">
        <v>1</v>
      </c>
      <c r="B2471" s="114">
        <v>1193</v>
      </c>
      <c r="C2471" s="139" t="s">
        <v>2358</v>
      </c>
      <c r="D2471" s="114" t="s">
        <v>2090</v>
      </c>
      <c r="E2471" s="114">
        <v>476</v>
      </c>
      <c r="F2471" s="114">
        <v>143</v>
      </c>
      <c r="G2471" s="114">
        <v>1</v>
      </c>
      <c r="H2471" s="114">
        <v>7900</v>
      </c>
      <c r="I2471" s="114">
        <v>7900</v>
      </c>
      <c r="J2471" s="114">
        <v>6639</v>
      </c>
      <c r="K2471" s="114">
        <v>1261</v>
      </c>
      <c r="L2471" s="114" t="str">
        <f t="shared" si="38"/>
        <v>INSERT INTO DETALLES_DOCUMENTO(NRO_DOCUMENTO,ID_TIPO,ID_PRODUCTO,CANTIDAD,PRECIO,VALOR_BRUTO,VALOR_NETO,VALOR_IVA) VALUES(1193,1,143,1,7900,7900,6639,1261);</v>
      </c>
    </row>
    <row r="2472" spans="1:12">
      <c r="A2472" s="114">
        <v>1</v>
      </c>
      <c r="B2472" s="114">
        <v>1193</v>
      </c>
      <c r="C2472" s="139" t="s">
        <v>2358</v>
      </c>
      <c r="D2472" s="114" t="s">
        <v>2090</v>
      </c>
      <c r="E2472" s="114">
        <v>476</v>
      </c>
      <c r="F2472" s="114">
        <v>329</v>
      </c>
      <c r="G2472" s="114">
        <v>1</v>
      </c>
      <c r="H2472" s="114">
        <v>6000</v>
      </c>
      <c r="I2472" s="114">
        <v>6000</v>
      </c>
      <c r="J2472" s="114">
        <v>5042</v>
      </c>
      <c r="K2472" s="114">
        <v>958</v>
      </c>
      <c r="L2472" s="114" t="str">
        <f t="shared" si="38"/>
        <v>INSERT INTO DETALLES_DOCUMENTO(NRO_DOCUMENTO,ID_TIPO,ID_PRODUCTO,CANTIDAD,PRECIO,VALOR_BRUTO,VALOR_NETO,VALOR_IVA) VALUES(1193,1,329,1,6000,6000,5042,958);</v>
      </c>
    </row>
    <row r="2473" spans="1:12">
      <c r="A2473" s="114">
        <v>1</v>
      </c>
      <c r="B2473" s="114">
        <v>1194</v>
      </c>
      <c r="C2473" s="139" t="s">
        <v>2359</v>
      </c>
      <c r="D2473" s="114" t="s">
        <v>2090</v>
      </c>
      <c r="E2473" s="114">
        <v>63</v>
      </c>
      <c r="F2473" s="114">
        <v>231</v>
      </c>
      <c r="G2473" s="114">
        <v>1</v>
      </c>
      <c r="H2473" s="114">
        <v>20900</v>
      </c>
      <c r="I2473" s="114">
        <v>20900</v>
      </c>
      <c r="J2473" s="114">
        <v>17563</v>
      </c>
      <c r="K2473" s="114">
        <v>3337</v>
      </c>
      <c r="L2473" s="114" t="str">
        <f t="shared" si="38"/>
        <v>INSERT INTO DETALLES_DOCUMENTO(NRO_DOCUMENTO,ID_TIPO,ID_PRODUCTO,CANTIDAD,PRECIO,VALOR_BRUTO,VALOR_NETO,VALOR_IVA) VALUES(1194,1,231,1,20900,20900,17563,3337);</v>
      </c>
    </row>
    <row r="2474" spans="1:12">
      <c r="A2474" s="114">
        <v>1</v>
      </c>
      <c r="B2474" s="114">
        <v>1195</v>
      </c>
      <c r="C2474" s="139" t="s">
        <v>2359</v>
      </c>
      <c r="D2474" s="114" t="s">
        <v>2090</v>
      </c>
      <c r="E2474" s="114">
        <v>166</v>
      </c>
      <c r="F2474" s="114">
        <v>329</v>
      </c>
      <c r="G2474" s="114">
        <v>1</v>
      </c>
      <c r="H2474" s="114">
        <v>6000</v>
      </c>
      <c r="I2474" s="114">
        <v>6000</v>
      </c>
      <c r="J2474" s="114">
        <v>5042</v>
      </c>
      <c r="K2474" s="114">
        <v>958</v>
      </c>
      <c r="L2474" s="114" t="str">
        <f t="shared" si="38"/>
        <v>INSERT INTO DETALLES_DOCUMENTO(NRO_DOCUMENTO,ID_TIPO,ID_PRODUCTO,CANTIDAD,PRECIO,VALOR_BRUTO,VALOR_NETO,VALOR_IVA) VALUES(1195,1,329,1,6000,6000,5042,958);</v>
      </c>
    </row>
    <row r="2475" spans="1:12">
      <c r="A2475" s="114">
        <v>1</v>
      </c>
      <c r="B2475" s="114">
        <v>1196</v>
      </c>
      <c r="C2475" s="139" t="s">
        <v>2359</v>
      </c>
      <c r="D2475" s="114" t="s">
        <v>2090</v>
      </c>
      <c r="E2475" s="114">
        <v>457</v>
      </c>
      <c r="F2475" s="114">
        <v>143</v>
      </c>
      <c r="G2475" s="114">
        <v>1</v>
      </c>
      <c r="H2475" s="114">
        <v>7900</v>
      </c>
      <c r="I2475" s="114">
        <v>7900</v>
      </c>
      <c r="J2475" s="114">
        <v>6639</v>
      </c>
      <c r="K2475" s="114">
        <v>1261</v>
      </c>
      <c r="L2475" s="114" t="str">
        <f t="shared" si="38"/>
        <v>INSERT INTO DETALLES_DOCUMENTO(NRO_DOCUMENTO,ID_TIPO,ID_PRODUCTO,CANTIDAD,PRECIO,VALOR_BRUTO,VALOR_NETO,VALOR_IVA) VALUES(1196,1,143,1,7900,7900,6639,1261);</v>
      </c>
    </row>
    <row r="2476" spans="1:12">
      <c r="A2476" s="114">
        <v>1</v>
      </c>
      <c r="B2476" s="114">
        <v>1197</v>
      </c>
      <c r="C2476" s="139" t="s">
        <v>2360</v>
      </c>
      <c r="D2476" s="114" t="s">
        <v>2090</v>
      </c>
      <c r="E2476" s="114">
        <v>63</v>
      </c>
      <c r="F2476" s="114">
        <v>143</v>
      </c>
      <c r="G2476" s="114">
        <v>1</v>
      </c>
      <c r="H2476" s="114">
        <v>7900</v>
      </c>
      <c r="I2476" s="114">
        <v>7900</v>
      </c>
      <c r="J2476" s="114">
        <v>6639</v>
      </c>
      <c r="K2476" s="114">
        <v>1261</v>
      </c>
      <c r="L2476" s="114" t="str">
        <f t="shared" si="38"/>
        <v>INSERT INTO DETALLES_DOCUMENTO(NRO_DOCUMENTO,ID_TIPO,ID_PRODUCTO,CANTIDAD,PRECIO,VALOR_BRUTO,VALOR_NETO,VALOR_IVA) VALUES(1197,1,143,1,7900,7900,6639,1261);</v>
      </c>
    </row>
    <row r="2477" spans="1:12">
      <c r="A2477" s="114">
        <v>1</v>
      </c>
      <c r="B2477" s="114">
        <v>1198</v>
      </c>
      <c r="C2477" s="139" t="s">
        <v>2360</v>
      </c>
      <c r="D2477" s="114" t="s">
        <v>2090</v>
      </c>
      <c r="E2477" s="114">
        <v>97</v>
      </c>
      <c r="F2477" s="114">
        <v>329</v>
      </c>
      <c r="G2477" s="114">
        <v>1</v>
      </c>
      <c r="H2477" s="114">
        <v>6000</v>
      </c>
      <c r="I2477" s="114">
        <v>6000</v>
      </c>
      <c r="J2477" s="114">
        <v>5042</v>
      </c>
      <c r="K2477" s="114">
        <v>958</v>
      </c>
      <c r="L2477" s="114" t="str">
        <f t="shared" si="38"/>
        <v>INSERT INTO DETALLES_DOCUMENTO(NRO_DOCUMENTO,ID_TIPO,ID_PRODUCTO,CANTIDAD,PRECIO,VALOR_BRUTO,VALOR_NETO,VALOR_IVA) VALUES(1198,1,329,1,6000,6000,5042,958);</v>
      </c>
    </row>
    <row r="2478" spans="1:12">
      <c r="A2478" s="114">
        <v>1</v>
      </c>
      <c r="B2478" s="114">
        <v>1199</v>
      </c>
      <c r="C2478" s="139" t="s">
        <v>2360</v>
      </c>
      <c r="D2478" s="114" t="s">
        <v>2090</v>
      </c>
      <c r="E2478" s="114">
        <v>122</v>
      </c>
      <c r="F2478" s="114">
        <v>143</v>
      </c>
      <c r="G2478" s="114">
        <v>2</v>
      </c>
      <c r="H2478" s="114">
        <v>15800</v>
      </c>
      <c r="I2478" s="114">
        <v>31600</v>
      </c>
      <c r="J2478" s="114">
        <v>26555</v>
      </c>
      <c r="K2478" s="114">
        <v>5045</v>
      </c>
      <c r="L2478" s="114" t="str">
        <f t="shared" si="38"/>
        <v>INSERT INTO DETALLES_DOCUMENTO(NRO_DOCUMENTO,ID_TIPO,ID_PRODUCTO,CANTIDAD,PRECIO,VALOR_BRUTO,VALOR_NETO,VALOR_IVA) VALUES(1199,1,143,2,15800,31600,26555,5045);</v>
      </c>
    </row>
    <row r="2479" spans="1:12">
      <c r="A2479" s="114">
        <v>1</v>
      </c>
      <c r="B2479" s="114">
        <v>1200</v>
      </c>
      <c r="C2479" s="139" t="s">
        <v>2360</v>
      </c>
      <c r="D2479" s="114" t="s">
        <v>2090</v>
      </c>
      <c r="E2479" s="114">
        <v>153</v>
      </c>
      <c r="F2479" s="114">
        <v>324</v>
      </c>
      <c r="G2479" s="114">
        <v>1</v>
      </c>
      <c r="H2479" s="114">
        <v>11000</v>
      </c>
      <c r="I2479" s="114">
        <v>11000</v>
      </c>
      <c r="J2479" s="114">
        <v>9244</v>
      </c>
      <c r="K2479" s="114">
        <v>1756</v>
      </c>
      <c r="L2479" s="114" t="str">
        <f t="shared" si="38"/>
        <v>INSERT INTO DETALLES_DOCUMENTO(NRO_DOCUMENTO,ID_TIPO,ID_PRODUCTO,CANTIDAD,PRECIO,VALOR_BRUTO,VALOR_NETO,VALOR_IVA) VALUES(1200,1,324,1,11000,11000,9244,1756);</v>
      </c>
    </row>
    <row r="2480" spans="1:12">
      <c r="A2480" s="114">
        <v>1</v>
      </c>
      <c r="B2480" s="114">
        <v>1201</v>
      </c>
      <c r="C2480" s="139" t="s">
        <v>2360</v>
      </c>
      <c r="D2480" s="114" t="s">
        <v>2090</v>
      </c>
      <c r="E2480" s="114">
        <v>161</v>
      </c>
      <c r="F2480" s="114">
        <v>143</v>
      </c>
      <c r="G2480" s="114">
        <v>1</v>
      </c>
      <c r="H2480" s="114">
        <v>7900</v>
      </c>
      <c r="I2480" s="114">
        <v>7900</v>
      </c>
      <c r="J2480" s="114">
        <v>6639</v>
      </c>
      <c r="K2480" s="114">
        <v>1261</v>
      </c>
      <c r="L2480" s="114" t="str">
        <f t="shared" si="38"/>
        <v>INSERT INTO DETALLES_DOCUMENTO(NRO_DOCUMENTO,ID_TIPO,ID_PRODUCTO,CANTIDAD,PRECIO,VALOR_BRUTO,VALOR_NETO,VALOR_IVA) VALUES(1201,1,143,1,7900,7900,6639,1261);</v>
      </c>
    </row>
    <row r="2481" spans="1:12">
      <c r="A2481" s="114">
        <v>1</v>
      </c>
      <c r="B2481" s="114">
        <v>1201</v>
      </c>
      <c r="C2481" s="139" t="s">
        <v>2360</v>
      </c>
      <c r="D2481" s="114" t="s">
        <v>2090</v>
      </c>
      <c r="E2481" s="114">
        <v>161</v>
      </c>
      <c r="F2481" s="114">
        <v>329</v>
      </c>
      <c r="G2481" s="114">
        <v>1</v>
      </c>
      <c r="H2481" s="114">
        <v>6000</v>
      </c>
      <c r="I2481" s="114">
        <v>6000</v>
      </c>
      <c r="J2481" s="114">
        <v>5042</v>
      </c>
      <c r="K2481" s="114">
        <v>958</v>
      </c>
      <c r="L2481" s="114" t="str">
        <f t="shared" si="38"/>
        <v>INSERT INTO DETALLES_DOCUMENTO(NRO_DOCUMENTO,ID_TIPO,ID_PRODUCTO,CANTIDAD,PRECIO,VALOR_BRUTO,VALOR_NETO,VALOR_IVA) VALUES(1201,1,329,1,6000,6000,5042,958);</v>
      </c>
    </row>
    <row r="2482" spans="1:12">
      <c r="A2482" s="114">
        <v>1</v>
      </c>
      <c r="B2482" s="114">
        <v>1202</v>
      </c>
      <c r="C2482" s="139" t="s">
        <v>2360</v>
      </c>
      <c r="D2482" s="114" t="s">
        <v>2090</v>
      </c>
      <c r="E2482" s="114">
        <v>166</v>
      </c>
      <c r="F2482" s="114">
        <v>143</v>
      </c>
      <c r="G2482" s="114">
        <v>1</v>
      </c>
      <c r="H2482" s="114">
        <v>7900</v>
      </c>
      <c r="I2482" s="114">
        <v>7900</v>
      </c>
      <c r="J2482" s="114">
        <v>6639</v>
      </c>
      <c r="K2482" s="114">
        <v>1261</v>
      </c>
      <c r="L2482" s="114" t="str">
        <f t="shared" si="38"/>
        <v>INSERT INTO DETALLES_DOCUMENTO(NRO_DOCUMENTO,ID_TIPO,ID_PRODUCTO,CANTIDAD,PRECIO,VALOR_BRUTO,VALOR_NETO,VALOR_IVA) VALUES(1202,1,143,1,7900,7900,6639,1261);</v>
      </c>
    </row>
    <row r="2483" spans="1:12">
      <c r="A2483" s="114">
        <v>1</v>
      </c>
      <c r="B2483" s="114">
        <v>1203</v>
      </c>
      <c r="C2483" s="139" t="s">
        <v>2360</v>
      </c>
      <c r="D2483" s="114" t="s">
        <v>2090</v>
      </c>
      <c r="E2483" s="114">
        <v>200</v>
      </c>
      <c r="F2483" s="114">
        <v>324</v>
      </c>
      <c r="G2483" s="114">
        <v>1</v>
      </c>
      <c r="H2483" s="114">
        <v>11000</v>
      </c>
      <c r="I2483" s="114">
        <v>11000</v>
      </c>
      <c r="J2483" s="114">
        <v>9244</v>
      </c>
      <c r="K2483" s="114">
        <v>1756</v>
      </c>
      <c r="L2483" s="114" t="str">
        <f t="shared" si="38"/>
        <v>INSERT INTO DETALLES_DOCUMENTO(NRO_DOCUMENTO,ID_TIPO,ID_PRODUCTO,CANTIDAD,PRECIO,VALOR_BRUTO,VALOR_NETO,VALOR_IVA) VALUES(1203,1,324,1,11000,11000,9244,1756);</v>
      </c>
    </row>
    <row r="2484" spans="1:12">
      <c r="A2484" s="114">
        <v>1</v>
      </c>
      <c r="B2484" s="114">
        <v>1203</v>
      </c>
      <c r="C2484" s="139" t="s">
        <v>2360</v>
      </c>
      <c r="D2484" s="114" t="s">
        <v>2090</v>
      </c>
      <c r="E2484" s="114">
        <v>200</v>
      </c>
      <c r="F2484" s="114">
        <v>143</v>
      </c>
      <c r="G2484" s="114">
        <v>1</v>
      </c>
      <c r="H2484" s="114">
        <v>7900</v>
      </c>
      <c r="I2484" s="114">
        <v>7900</v>
      </c>
      <c r="J2484" s="114">
        <v>6639</v>
      </c>
      <c r="K2484" s="114">
        <v>1261</v>
      </c>
      <c r="L2484" s="114" t="str">
        <f t="shared" si="38"/>
        <v>INSERT INTO DETALLES_DOCUMENTO(NRO_DOCUMENTO,ID_TIPO,ID_PRODUCTO,CANTIDAD,PRECIO,VALOR_BRUTO,VALOR_NETO,VALOR_IVA) VALUES(1203,1,143,1,7900,7900,6639,1261);</v>
      </c>
    </row>
    <row r="2485" spans="1:12">
      <c r="A2485" s="114">
        <v>1</v>
      </c>
      <c r="B2485" s="114">
        <v>1204</v>
      </c>
      <c r="C2485" s="139" t="s">
        <v>2360</v>
      </c>
      <c r="D2485" s="114" t="s">
        <v>2090</v>
      </c>
      <c r="E2485" s="114">
        <v>389</v>
      </c>
      <c r="F2485" s="114">
        <v>110</v>
      </c>
      <c r="G2485" s="114">
        <v>1</v>
      </c>
      <c r="H2485" s="114">
        <v>4500</v>
      </c>
      <c r="I2485" s="114">
        <v>4500</v>
      </c>
      <c r="J2485" s="114">
        <v>3782</v>
      </c>
      <c r="K2485" s="114">
        <v>718</v>
      </c>
      <c r="L2485" s="114" t="str">
        <f t="shared" si="38"/>
        <v>INSERT INTO DETALLES_DOCUMENTO(NRO_DOCUMENTO,ID_TIPO,ID_PRODUCTO,CANTIDAD,PRECIO,VALOR_BRUTO,VALOR_NETO,VALOR_IVA) VALUES(1204,1,110,1,4500,4500,3782,718);</v>
      </c>
    </row>
    <row r="2486" spans="1:12">
      <c r="A2486" s="114">
        <v>1</v>
      </c>
      <c r="B2486" s="114">
        <v>1204</v>
      </c>
      <c r="C2486" s="139" t="s">
        <v>2360</v>
      </c>
      <c r="D2486" s="114" t="s">
        <v>2090</v>
      </c>
      <c r="E2486" s="114">
        <v>389</v>
      </c>
      <c r="F2486" s="114">
        <v>322</v>
      </c>
      <c r="G2486" s="114">
        <v>1</v>
      </c>
      <c r="H2486" s="114">
        <v>9000</v>
      </c>
      <c r="I2486" s="114">
        <v>9000</v>
      </c>
      <c r="J2486" s="114">
        <v>7563</v>
      </c>
      <c r="K2486" s="114">
        <v>1437</v>
      </c>
      <c r="L2486" s="114" t="str">
        <f t="shared" si="38"/>
        <v>INSERT INTO DETALLES_DOCUMENTO(NRO_DOCUMENTO,ID_TIPO,ID_PRODUCTO,CANTIDAD,PRECIO,VALOR_BRUTO,VALOR_NETO,VALOR_IVA) VALUES(1204,1,322,1,9000,9000,7563,1437);</v>
      </c>
    </row>
    <row r="2487" spans="1:12">
      <c r="A2487" s="114">
        <v>1</v>
      </c>
      <c r="B2487" s="114">
        <v>1204</v>
      </c>
      <c r="C2487" s="139" t="s">
        <v>2360</v>
      </c>
      <c r="D2487" s="114" t="s">
        <v>2090</v>
      </c>
      <c r="E2487" s="114">
        <v>389</v>
      </c>
      <c r="F2487" s="114">
        <v>143</v>
      </c>
      <c r="G2487" s="114">
        <v>1</v>
      </c>
      <c r="H2487" s="114">
        <v>7900</v>
      </c>
      <c r="I2487" s="114">
        <v>7900</v>
      </c>
      <c r="J2487" s="114">
        <v>6639</v>
      </c>
      <c r="K2487" s="114">
        <v>1261</v>
      </c>
      <c r="L2487" s="114" t="str">
        <f t="shared" si="38"/>
        <v>INSERT INTO DETALLES_DOCUMENTO(NRO_DOCUMENTO,ID_TIPO,ID_PRODUCTO,CANTIDAD,PRECIO,VALOR_BRUTO,VALOR_NETO,VALOR_IVA) VALUES(1204,1,143,1,7900,7900,6639,1261);</v>
      </c>
    </row>
    <row r="2488" spans="1:12">
      <c r="A2488" s="114">
        <v>1</v>
      </c>
      <c r="B2488" s="114">
        <v>1205</v>
      </c>
      <c r="C2488" s="139" t="s">
        <v>2360</v>
      </c>
      <c r="D2488" s="114" t="s">
        <v>2090</v>
      </c>
      <c r="E2488" s="114">
        <v>397</v>
      </c>
      <c r="F2488" s="114">
        <v>322</v>
      </c>
      <c r="G2488" s="114">
        <v>1</v>
      </c>
      <c r="H2488" s="114">
        <v>9000</v>
      </c>
      <c r="I2488" s="114">
        <v>9000</v>
      </c>
      <c r="J2488" s="114">
        <v>7563</v>
      </c>
      <c r="K2488" s="114">
        <v>1437</v>
      </c>
      <c r="L2488" s="114" t="str">
        <f t="shared" si="38"/>
        <v>INSERT INTO DETALLES_DOCUMENTO(NRO_DOCUMENTO,ID_TIPO,ID_PRODUCTO,CANTIDAD,PRECIO,VALOR_BRUTO,VALOR_NETO,VALOR_IVA) VALUES(1205,1,322,1,9000,9000,7563,1437);</v>
      </c>
    </row>
    <row r="2489" spans="1:12">
      <c r="A2489" s="114">
        <v>1</v>
      </c>
      <c r="B2489" s="114">
        <v>1206</v>
      </c>
      <c r="C2489" s="139" t="s">
        <v>2360</v>
      </c>
      <c r="D2489" s="114" t="s">
        <v>2090</v>
      </c>
      <c r="E2489" s="114">
        <v>407</v>
      </c>
      <c r="F2489" s="114">
        <v>143</v>
      </c>
      <c r="G2489" s="114">
        <v>1</v>
      </c>
      <c r="H2489" s="114">
        <v>7900</v>
      </c>
      <c r="I2489" s="114">
        <v>7900</v>
      </c>
      <c r="J2489" s="114">
        <v>6639</v>
      </c>
      <c r="K2489" s="114">
        <v>1261</v>
      </c>
      <c r="L2489" s="114" t="str">
        <f t="shared" si="38"/>
        <v>INSERT INTO DETALLES_DOCUMENTO(NRO_DOCUMENTO,ID_TIPO,ID_PRODUCTO,CANTIDAD,PRECIO,VALOR_BRUTO,VALOR_NETO,VALOR_IVA) VALUES(1206,1,143,1,7900,7900,6639,1261);</v>
      </c>
    </row>
    <row r="2490" spans="1:12">
      <c r="A2490" s="114">
        <v>1</v>
      </c>
      <c r="B2490" s="114">
        <v>1206</v>
      </c>
      <c r="C2490" s="139" t="s">
        <v>2360</v>
      </c>
      <c r="D2490" s="114" t="s">
        <v>2090</v>
      </c>
      <c r="E2490" s="114">
        <v>407</v>
      </c>
      <c r="F2490" s="114">
        <v>277</v>
      </c>
      <c r="G2490" s="114">
        <v>1</v>
      </c>
      <c r="H2490" s="114">
        <v>10000</v>
      </c>
      <c r="I2490" s="114">
        <v>10000</v>
      </c>
      <c r="J2490" s="114">
        <v>8403</v>
      </c>
      <c r="K2490" s="114">
        <v>1597</v>
      </c>
      <c r="L2490" s="114" t="str">
        <f t="shared" si="38"/>
        <v>INSERT INTO DETALLES_DOCUMENTO(NRO_DOCUMENTO,ID_TIPO,ID_PRODUCTO,CANTIDAD,PRECIO,VALOR_BRUTO,VALOR_NETO,VALOR_IVA) VALUES(1206,1,277,1,10000,10000,8403,1597);</v>
      </c>
    </row>
    <row r="2491" spans="1:12">
      <c r="A2491" s="114">
        <v>1</v>
      </c>
      <c r="B2491" s="114">
        <v>1206</v>
      </c>
      <c r="C2491" s="139" t="s">
        <v>2360</v>
      </c>
      <c r="D2491" s="114" t="s">
        <v>2090</v>
      </c>
      <c r="E2491" s="114">
        <v>407</v>
      </c>
      <c r="F2491" s="114">
        <v>118</v>
      </c>
      <c r="G2491" s="114">
        <v>1</v>
      </c>
      <c r="H2491" s="114">
        <v>3500</v>
      </c>
      <c r="I2491" s="114">
        <v>3500</v>
      </c>
      <c r="J2491" s="114">
        <v>2941</v>
      </c>
      <c r="K2491" s="114">
        <v>559</v>
      </c>
      <c r="L2491" s="114" t="str">
        <f t="shared" si="38"/>
        <v>INSERT INTO DETALLES_DOCUMENTO(NRO_DOCUMENTO,ID_TIPO,ID_PRODUCTO,CANTIDAD,PRECIO,VALOR_BRUTO,VALOR_NETO,VALOR_IVA) VALUES(1206,1,118,1,3500,3500,2941,559);</v>
      </c>
    </row>
    <row r="2492" spans="1:12">
      <c r="A2492" s="114">
        <v>1</v>
      </c>
      <c r="B2492" s="114">
        <v>1206</v>
      </c>
      <c r="C2492" s="139" t="s">
        <v>2360</v>
      </c>
      <c r="D2492" s="114" t="s">
        <v>2090</v>
      </c>
      <c r="E2492" s="114">
        <v>407</v>
      </c>
      <c r="F2492" s="114">
        <v>378</v>
      </c>
      <c r="G2492" s="114">
        <v>1</v>
      </c>
      <c r="H2492" s="114">
        <v>1200</v>
      </c>
      <c r="I2492" s="114">
        <v>1200</v>
      </c>
      <c r="J2492" s="114">
        <v>1008</v>
      </c>
      <c r="K2492" s="114">
        <v>192</v>
      </c>
      <c r="L2492" s="114" t="str">
        <f t="shared" si="38"/>
        <v>INSERT INTO DETALLES_DOCUMENTO(NRO_DOCUMENTO,ID_TIPO,ID_PRODUCTO,CANTIDAD,PRECIO,VALOR_BRUTO,VALOR_NETO,VALOR_IVA) VALUES(1206,1,378,1,1200,1200,1008,192);</v>
      </c>
    </row>
    <row r="2493" spans="1:12">
      <c r="A2493" s="114">
        <v>1</v>
      </c>
      <c r="B2493" s="114">
        <v>1206</v>
      </c>
      <c r="C2493" s="139" t="s">
        <v>2360</v>
      </c>
      <c r="D2493" s="114" t="s">
        <v>2090</v>
      </c>
      <c r="E2493" s="114">
        <v>407</v>
      </c>
      <c r="F2493" s="114">
        <v>354</v>
      </c>
      <c r="G2493" s="114">
        <v>1</v>
      </c>
      <c r="H2493" s="114">
        <v>1800</v>
      </c>
      <c r="I2493" s="114">
        <v>1800</v>
      </c>
      <c r="J2493" s="114">
        <v>1513</v>
      </c>
      <c r="K2493" s="114">
        <v>287</v>
      </c>
      <c r="L2493" s="114" t="str">
        <f t="shared" si="38"/>
        <v>INSERT INTO DETALLES_DOCUMENTO(NRO_DOCUMENTO,ID_TIPO,ID_PRODUCTO,CANTIDAD,PRECIO,VALOR_BRUTO,VALOR_NETO,VALOR_IVA) VALUES(1206,1,354,1,1800,1800,1513,287);</v>
      </c>
    </row>
    <row r="2494" spans="1:12">
      <c r="A2494" s="114">
        <v>1</v>
      </c>
      <c r="B2494" s="114">
        <v>1207</v>
      </c>
      <c r="C2494" s="139" t="s">
        <v>2360</v>
      </c>
      <c r="D2494" s="114" t="s">
        <v>2090</v>
      </c>
      <c r="E2494" s="114">
        <v>445</v>
      </c>
      <c r="F2494" s="114">
        <v>329</v>
      </c>
      <c r="G2494" s="114">
        <v>1</v>
      </c>
      <c r="H2494" s="114">
        <v>6000</v>
      </c>
      <c r="I2494" s="114">
        <v>6000</v>
      </c>
      <c r="J2494" s="114">
        <v>5042</v>
      </c>
      <c r="K2494" s="114">
        <v>958</v>
      </c>
      <c r="L2494" s="114" t="str">
        <f t="shared" si="38"/>
        <v>INSERT INTO DETALLES_DOCUMENTO(NRO_DOCUMENTO,ID_TIPO,ID_PRODUCTO,CANTIDAD,PRECIO,VALOR_BRUTO,VALOR_NETO,VALOR_IVA) VALUES(1207,1,329,1,6000,6000,5042,958);</v>
      </c>
    </row>
    <row r="2495" spans="1:12">
      <c r="A2495" s="114">
        <v>1</v>
      </c>
      <c r="B2495" s="114">
        <v>1208</v>
      </c>
      <c r="C2495" s="139" t="s">
        <v>2361</v>
      </c>
      <c r="D2495" s="114" t="s">
        <v>2090</v>
      </c>
      <c r="E2495" s="114">
        <v>98</v>
      </c>
      <c r="F2495" s="114">
        <v>329</v>
      </c>
      <c r="G2495" s="114">
        <v>1</v>
      </c>
      <c r="H2495" s="114">
        <v>6000</v>
      </c>
      <c r="I2495" s="114">
        <v>6000</v>
      </c>
      <c r="J2495" s="114">
        <v>5042</v>
      </c>
      <c r="K2495" s="114">
        <v>958</v>
      </c>
      <c r="L2495" s="114" t="str">
        <f t="shared" si="38"/>
        <v>INSERT INTO DETALLES_DOCUMENTO(NRO_DOCUMENTO,ID_TIPO,ID_PRODUCTO,CANTIDAD,PRECIO,VALOR_BRUTO,VALOR_NETO,VALOR_IVA) VALUES(1208,1,329,1,6000,6000,5042,958);</v>
      </c>
    </row>
    <row r="2496" spans="1:12">
      <c r="A2496" s="114">
        <v>1</v>
      </c>
      <c r="B2496" s="114">
        <v>1209</v>
      </c>
      <c r="C2496" s="139" t="s">
        <v>2361</v>
      </c>
      <c r="D2496" s="114" t="s">
        <v>2090</v>
      </c>
      <c r="E2496" s="114">
        <v>159</v>
      </c>
      <c r="F2496" s="114">
        <v>143</v>
      </c>
      <c r="G2496" s="114">
        <v>1</v>
      </c>
      <c r="H2496" s="114">
        <v>7900</v>
      </c>
      <c r="I2496" s="114">
        <v>7900</v>
      </c>
      <c r="J2496" s="114">
        <v>6639</v>
      </c>
      <c r="K2496" s="114">
        <v>1261</v>
      </c>
      <c r="L2496" s="114" t="str">
        <f t="shared" si="38"/>
        <v>INSERT INTO DETALLES_DOCUMENTO(NRO_DOCUMENTO,ID_TIPO,ID_PRODUCTO,CANTIDAD,PRECIO,VALOR_BRUTO,VALOR_NETO,VALOR_IVA) VALUES(1209,1,143,1,7900,7900,6639,1261);</v>
      </c>
    </row>
    <row r="2497" spans="1:12">
      <c r="A2497" s="114">
        <v>1</v>
      </c>
      <c r="B2497" s="114">
        <v>1210</v>
      </c>
      <c r="C2497" s="139" t="s">
        <v>2362</v>
      </c>
      <c r="D2497" s="114" t="s">
        <v>2090</v>
      </c>
      <c r="E2497" s="114">
        <v>56</v>
      </c>
      <c r="F2497" s="114">
        <v>143</v>
      </c>
      <c r="G2497" s="114">
        <v>1</v>
      </c>
      <c r="H2497" s="114">
        <v>7900</v>
      </c>
      <c r="I2497" s="114">
        <v>7900</v>
      </c>
      <c r="J2497" s="114">
        <v>6639</v>
      </c>
      <c r="K2497" s="114">
        <v>1261</v>
      </c>
      <c r="L2497" s="114" t="str">
        <f t="shared" si="38"/>
        <v>INSERT INTO DETALLES_DOCUMENTO(NRO_DOCUMENTO,ID_TIPO,ID_PRODUCTO,CANTIDAD,PRECIO,VALOR_BRUTO,VALOR_NETO,VALOR_IVA) VALUES(1210,1,143,1,7900,7900,6639,1261);</v>
      </c>
    </row>
    <row r="2498" spans="1:12">
      <c r="A2498" s="114">
        <v>1</v>
      </c>
      <c r="B2498" s="114">
        <v>1211</v>
      </c>
      <c r="C2498" s="139" t="s">
        <v>2362</v>
      </c>
      <c r="D2498" s="114" t="s">
        <v>2090</v>
      </c>
      <c r="E2498" s="114">
        <v>110</v>
      </c>
      <c r="F2498" s="114">
        <v>232</v>
      </c>
      <c r="G2498" s="114">
        <v>1</v>
      </c>
      <c r="H2498" s="114">
        <v>12500</v>
      </c>
      <c r="I2498" s="114">
        <v>12500</v>
      </c>
      <c r="J2498" s="114">
        <v>10504</v>
      </c>
      <c r="K2498" s="114">
        <v>1996</v>
      </c>
      <c r="L2498" s="114" t="str">
        <f t="shared" si="38"/>
        <v>INSERT INTO DETALLES_DOCUMENTO(NRO_DOCUMENTO,ID_TIPO,ID_PRODUCTO,CANTIDAD,PRECIO,VALOR_BRUTO,VALOR_NETO,VALOR_IVA) VALUES(1211,1,232,1,12500,12500,10504,1996);</v>
      </c>
    </row>
    <row r="2499" spans="1:12">
      <c r="A2499" s="114">
        <v>1</v>
      </c>
      <c r="B2499" s="114">
        <v>1211</v>
      </c>
      <c r="C2499" s="139" t="s">
        <v>2362</v>
      </c>
      <c r="D2499" s="114" t="s">
        <v>2090</v>
      </c>
      <c r="E2499" s="114">
        <v>110</v>
      </c>
      <c r="F2499" s="114">
        <v>118</v>
      </c>
      <c r="G2499" s="114">
        <v>1</v>
      </c>
      <c r="H2499" s="114">
        <v>3500</v>
      </c>
      <c r="I2499" s="114">
        <v>3500</v>
      </c>
      <c r="J2499" s="114">
        <v>2941</v>
      </c>
      <c r="K2499" s="114">
        <v>559</v>
      </c>
      <c r="L2499" s="114" t="str">
        <f t="shared" ref="L2499:L2562" si="39">CONCATENATE("INSERT INTO DETALLES_DOCUMENTO(NRO_DOCUMENTO,ID_TIPO,ID_PRODUCTO,CANTIDAD,PRECIO,VALOR_BRUTO,VALOR_NETO,VALOR_IVA) VALUES(",B2499,",",A2499,",",F2499,",",G2499,",",H2499,",",I2499,",",J2499,",",K2499,");")</f>
        <v>INSERT INTO DETALLES_DOCUMENTO(NRO_DOCUMENTO,ID_TIPO,ID_PRODUCTO,CANTIDAD,PRECIO,VALOR_BRUTO,VALOR_NETO,VALOR_IVA) VALUES(1211,1,118,1,3500,3500,2941,559);</v>
      </c>
    </row>
    <row r="2500" spans="1:12">
      <c r="A2500" s="114">
        <v>1</v>
      </c>
      <c r="B2500" s="114">
        <v>1211</v>
      </c>
      <c r="C2500" s="139" t="s">
        <v>2362</v>
      </c>
      <c r="D2500" s="114" t="s">
        <v>2090</v>
      </c>
      <c r="E2500" s="114">
        <v>110</v>
      </c>
      <c r="F2500" s="114">
        <v>283</v>
      </c>
      <c r="G2500" s="114">
        <v>1</v>
      </c>
      <c r="H2500" s="114">
        <v>7600</v>
      </c>
      <c r="I2500" s="114">
        <v>7600</v>
      </c>
      <c r="J2500" s="114">
        <v>6387</v>
      </c>
      <c r="K2500" s="114">
        <v>1213</v>
      </c>
      <c r="L2500" s="114" t="str">
        <f t="shared" si="39"/>
        <v>INSERT INTO DETALLES_DOCUMENTO(NRO_DOCUMENTO,ID_TIPO,ID_PRODUCTO,CANTIDAD,PRECIO,VALOR_BRUTO,VALOR_NETO,VALOR_IVA) VALUES(1211,1,283,1,7600,7600,6387,1213);</v>
      </c>
    </row>
    <row r="2501" spans="1:12">
      <c r="A2501" s="114">
        <v>1</v>
      </c>
      <c r="B2501" s="114">
        <v>1212</v>
      </c>
      <c r="C2501" s="139" t="s">
        <v>2362</v>
      </c>
      <c r="D2501" s="114" t="s">
        <v>2090</v>
      </c>
      <c r="E2501" s="114">
        <v>345</v>
      </c>
      <c r="F2501" s="114">
        <v>324</v>
      </c>
      <c r="G2501" s="114">
        <v>1</v>
      </c>
      <c r="H2501" s="114">
        <v>11000</v>
      </c>
      <c r="I2501" s="114">
        <v>11000</v>
      </c>
      <c r="J2501" s="114">
        <v>9244</v>
      </c>
      <c r="K2501" s="114">
        <v>1756</v>
      </c>
      <c r="L2501" s="114" t="str">
        <f t="shared" si="39"/>
        <v>INSERT INTO DETALLES_DOCUMENTO(NRO_DOCUMENTO,ID_TIPO,ID_PRODUCTO,CANTIDAD,PRECIO,VALOR_BRUTO,VALOR_NETO,VALOR_IVA) VALUES(1212,1,324,1,11000,11000,9244,1756);</v>
      </c>
    </row>
    <row r="2502" spans="1:12">
      <c r="A2502" s="114">
        <v>1</v>
      </c>
      <c r="B2502" s="114">
        <v>1212</v>
      </c>
      <c r="C2502" s="139" t="s">
        <v>2362</v>
      </c>
      <c r="D2502" s="114" t="s">
        <v>2090</v>
      </c>
      <c r="E2502" s="114">
        <v>345</v>
      </c>
      <c r="F2502" s="114">
        <v>165</v>
      </c>
      <c r="G2502" s="114">
        <v>1</v>
      </c>
      <c r="H2502" s="114">
        <v>2000</v>
      </c>
      <c r="I2502" s="114">
        <v>2000</v>
      </c>
      <c r="J2502" s="114">
        <v>1681</v>
      </c>
      <c r="K2502" s="114">
        <v>319</v>
      </c>
      <c r="L2502" s="114" t="str">
        <f t="shared" si="39"/>
        <v>INSERT INTO DETALLES_DOCUMENTO(NRO_DOCUMENTO,ID_TIPO,ID_PRODUCTO,CANTIDAD,PRECIO,VALOR_BRUTO,VALOR_NETO,VALOR_IVA) VALUES(1212,1,165,1,2000,2000,1681,319);</v>
      </c>
    </row>
    <row r="2503" spans="1:12">
      <c r="A2503" s="114">
        <v>1</v>
      </c>
      <c r="B2503" s="114">
        <v>1213</v>
      </c>
      <c r="C2503" s="139" t="s">
        <v>2362</v>
      </c>
      <c r="D2503" s="114" t="s">
        <v>2090</v>
      </c>
      <c r="E2503" s="114">
        <v>411</v>
      </c>
      <c r="F2503" s="114">
        <v>329</v>
      </c>
      <c r="G2503" s="114">
        <v>1</v>
      </c>
      <c r="H2503" s="114">
        <v>6000</v>
      </c>
      <c r="I2503" s="114">
        <v>6000</v>
      </c>
      <c r="J2503" s="114">
        <v>5042</v>
      </c>
      <c r="K2503" s="114">
        <v>958</v>
      </c>
      <c r="L2503" s="114" t="str">
        <f t="shared" si="39"/>
        <v>INSERT INTO DETALLES_DOCUMENTO(NRO_DOCUMENTO,ID_TIPO,ID_PRODUCTO,CANTIDAD,PRECIO,VALOR_BRUTO,VALOR_NETO,VALOR_IVA) VALUES(1213,1,329,1,6000,6000,5042,958);</v>
      </c>
    </row>
    <row r="2504" spans="1:12">
      <c r="A2504" s="114">
        <v>1</v>
      </c>
      <c r="B2504" s="114">
        <v>1213</v>
      </c>
      <c r="C2504" s="139" t="s">
        <v>2362</v>
      </c>
      <c r="D2504" s="114" t="s">
        <v>2090</v>
      </c>
      <c r="E2504" s="114">
        <v>411</v>
      </c>
      <c r="F2504" s="114">
        <v>368</v>
      </c>
      <c r="G2504" s="114">
        <v>1</v>
      </c>
      <c r="H2504" s="114">
        <v>3000</v>
      </c>
      <c r="I2504" s="114">
        <v>3000</v>
      </c>
      <c r="J2504" s="114">
        <v>2521</v>
      </c>
      <c r="K2504" s="114">
        <v>479</v>
      </c>
      <c r="L2504" s="114" t="str">
        <f t="shared" si="39"/>
        <v>INSERT INTO DETALLES_DOCUMENTO(NRO_DOCUMENTO,ID_TIPO,ID_PRODUCTO,CANTIDAD,PRECIO,VALOR_BRUTO,VALOR_NETO,VALOR_IVA) VALUES(1213,1,368,1,3000,3000,2521,479);</v>
      </c>
    </row>
    <row r="2505" spans="1:12">
      <c r="A2505" s="114">
        <v>1</v>
      </c>
      <c r="B2505" s="114">
        <v>1214</v>
      </c>
      <c r="C2505" s="139" t="s">
        <v>2363</v>
      </c>
      <c r="D2505" s="114" t="s">
        <v>2090</v>
      </c>
      <c r="E2505" s="114">
        <v>124</v>
      </c>
      <c r="F2505" s="114">
        <v>143</v>
      </c>
      <c r="G2505" s="114">
        <v>1</v>
      </c>
      <c r="H2505" s="114">
        <v>7900</v>
      </c>
      <c r="I2505" s="114">
        <v>7900</v>
      </c>
      <c r="J2505" s="114">
        <v>6639</v>
      </c>
      <c r="K2505" s="114">
        <v>1261</v>
      </c>
      <c r="L2505" s="114" t="str">
        <f t="shared" si="39"/>
        <v>INSERT INTO DETALLES_DOCUMENTO(NRO_DOCUMENTO,ID_TIPO,ID_PRODUCTO,CANTIDAD,PRECIO,VALOR_BRUTO,VALOR_NETO,VALOR_IVA) VALUES(1214,1,143,1,7900,7900,6639,1261);</v>
      </c>
    </row>
    <row r="2506" spans="1:12">
      <c r="A2506" s="114">
        <v>1</v>
      </c>
      <c r="B2506" s="114">
        <v>1214</v>
      </c>
      <c r="C2506" s="139" t="s">
        <v>2363</v>
      </c>
      <c r="D2506" s="114" t="s">
        <v>2090</v>
      </c>
      <c r="E2506" s="114">
        <v>124</v>
      </c>
      <c r="F2506" s="114">
        <v>69</v>
      </c>
      <c r="G2506" s="114">
        <v>1</v>
      </c>
      <c r="H2506" s="114">
        <v>3000</v>
      </c>
      <c r="I2506" s="114">
        <v>3000</v>
      </c>
      <c r="J2506" s="114">
        <v>2521</v>
      </c>
      <c r="K2506" s="114">
        <v>479</v>
      </c>
      <c r="L2506" s="114" t="str">
        <f t="shared" si="39"/>
        <v>INSERT INTO DETALLES_DOCUMENTO(NRO_DOCUMENTO,ID_TIPO,ID_PRODUCTO,CANTIDAD,PRECIO,VALOR_BRUTO,VALOR_NETO,VALOR_IVA) VALUES(1214,1,69,1,3000,3000,2521,479);</v>
      </c>
    </row>
    <row r="2507" spans="1:12">
      <c r="A2507" s="114">
        <v>1</v>
      </c>
      <c r="B2507" s="114">
        <v>1214</v>
      </c>
      <c r="C2507" s="139" t="s">
        <v>2363</v>
      </c>
      <c r="D2507" s="114" t="s">
        <v>2090</v>
      </c>
      <c r="E2507" s="114">
        <v>124</v>
      </c>
      <c r="F2507" s="114">
        <v>331</v>
      </c>
      <c r="G2507" s="114">
        <v>1</v>
      </c>
      <c r="H2507" s="114">
        <v>3700</v>
      </c>
      <c r="I2507" s="114">
        <v>3700</v>
      </c>
      <c r="J2507" s="114">
        <v>3109</v>
      </c>
      <c r="K2507" s="114">
        <v>591</v>
      </c>
      <c r="L2507" s="114" t="str">
        <f t="shared" si="39"/>
        <v>INSERT INTO DETALLES_DOCUMENTO(NRO_DOCUMENTO,ID_TIPO,ID_PRODUCTO,CANTIDAD,PRECIO,VALOR_BRUTO,VALOR_NETO,VALOR_IVA) VALUES(1214,1,331,1,3700,3700,3109,591);</v>
      </c>
    </row>
    <row r="2508" spans="1:12">
      <c r="A2508" s="114">
        <v>1</v>
      </c>
      <c r="B2508" s="114">
        <v>1215</v>
      </c>
      <c r="C2508" s="139" t="s">
        <v>2363</v>
      </c>
      <c r="D2508" s="114" t="s">
        <v>2090</v>
      </c>
      <c r="E2508" s="114">
        <v>142</v>
      </c>
      <c r="F2508" s="114">
        <v>324</v>
      </c>
      <c r="G2508" s="114">
        <v>1</v>
      </c>
      <c r="H2508" s="114">
        <v>11000</v>
      </c>
      <c r="I2508" s="114">
        <v>11000</v>
      </c>
      <c r="J2508" s="114">
        <v>9244</v>
      </c>
      <c r="K2508" s="114">
        <v>1756</v>
      </c>
      <c r="L2508" s="114" t="str">
        <f t="shared" si="39"/>
        <v>INSERT INTO DETALLES_DOCUMENTO(NRO_DOCUMENTO,ID_TIPO,ID_PRODUCTO,CANTIDAD,PRECIO,VALOR_BRUTO,VALOR_NETO,VALOR_IVA) VALUES(1215,1,324,1,11000,11000,9244,1756);</v>
      </c>
    </row>
    <row r="2509" spans="1:12">
      <c r="A2509" s="114">
        <v>1</v>
      </c>
      <c r="B2509" s="114">
        <v>1216</v>
      </c>
      <c r="C2509" s="139" t="s">
        <v>2363</v>
      </c>
      <c r="D2509" s="114" t="s">
        <v>2090</v>
      </c>
      <c r="E2509" s="114">
        <v>397</v>
      </c>
      <c r="F2509" s="114">
        <v>324</v>
      </c>
      <c r="G2509" s="114">
        <v>1</v>
      </c>
      <c r="H2509" s="114">
        <v>11000</v>
      </c>
      <c r="I2509" s="114">
        <v>11000</v>
      </c>
      <c r="J2509" s="114">
        <v>9244</v>
      </c>
      <c r="K2509" s="114">
        <v>1756</v>
      </c>
      <c r="L2509" s="114" t="str">
        <f t="shared" si="39"/>
        <v>INSERT INTO DETALLES_DOCUMENTO(NRO_DOCUMENTO,ID_TIPO,ID_PRODUCTO,CANTIDAD,PRECIO,VALOR_BRUTO,VALOR_NETO,VALOR_IVA) VALUES(1216,1,324,1,11000,11000,9244,1756);</v>
      </c>
    </row>
    <row r="2510" spans="1:12">
      <c r="A2510" s="114">
        <v>1</v>
      </c>
      <c r="B2510" s="114">
        <v>1217</v>
      </c>
      <c r="C2510" s="139" t="s">
        <v>2364</v>
      </c>
      <c r="D2510" s="114" t="s">
        <v>2090</v>
      </c>
      <c r="E2510" s="114">
        <v>73</v>
      </c>
      <c r="F2510" s="114">
        <v>322</v>
      </c>
      <c r="G2510" s="114">
        <v>1</v>
      </c>
      <c r="H2510" s="114">
        <v>9000</v>
      </c>
      <c r="I2510" s="114">
        <v>9000</v>
      </c>
      <c r="J2510" s="114">
        <v>7563</v>
      </c>
      <c r="K2510" s="114">
        <v>1437</v>
      </c>
      <c r="L2510" s="114" t="str">
        <f t="shared" si="39"/>
        <v>INSERT INTO DETALLES_DOCUMENTO(NRO_DOCUMENTO,ID_TIPO,ID_PRODUCTO,CANTIDAD,PRECIO,VALOR_BRUTO,VALOR_NETO,VALOR_IVA) VALUES(1217,1,322,1,9000,9000,7563,1437);</v>
      </c>
    </row>
    <row r="2511" spans="1:12">
      <c r="A2511" s="114">
        <v>1</v>
      </c>
      <c r="B2511" s="114">
        <v>1218</v>
      </c>
      <c r="C2511" s="139" t="s">
        <v>2364</v>
      </c>
      <c r="D2511" s="114" t="s">
        <v>2090</v>
      </c>
      <c r="E2511" s="114">
        <v>92</v>
      </c>
      <c r="F2511" s="114">
        <v>124</v>
      </c>
      <c r="G2511" s="114">
        <v>1</v>
      </c>
      <c r="H2511" s="114">
        <v>4000</v>
      </c>
      <c r="I2511" s="114">
        <v>4000</v>
      </c>
      <c r="J2511" s="114">
        <v>3361</v>
      </c>
      <c r="K2511" s="114">
        <v>639</v>
      </c>
      <c r="L2511" s="114" t="str">
        <f t="shared" si="39"/>
        <v>INSERT INTO DETALLES_DOCUMENTO(NRO_DOCUMENTO,ID_TIPO,ID_PRODUCTO,CANTIDAD,PRECIO,VALOR_BRUTO,VALOR_NETO,VALOR_IVA) VALUES(1218,1,124,1,4000,4000,3361,639);</v>
      </c>
    </row>
    <row r="2512" spans="1:12">
      <c r="A2512" s="114">
        <v>1</v>
      </c>
      <c r="B2512" s="114">
        <v>1219</v>
      </c>
      <c r="C2512" s="139" t="s">
        <v>2364</v>
      </c>
      <c r="D2512" s="114" t="s">
        <v>2090</v>
      </c>
      <c r="E2512" s="114">
        <v>323</v>
      </c>
      <c r="F2512" s="114">
        <v>231</v>
      </c>
      <c r="G2512" s="114">
        <v>1</v>
      </c>
      <c r="H2512" s="114">
        <v>20900</v>
      </c>
      <c r="I2512" s="114">
        <v>20900</v>
      </c>
      <c r="J2512" s="114">
        <v>17563</v>
      </c>
      <c r="K2512" s="114">
        <v>3337</v>
      </c>
      <c r="L2512" s="114" t="str">
        <f t="shared" si="39"/>
        <v>INSERT INTO DETALLES_DOCUMENTO(NRO_DOCUMENTO,ID_TIPO,ID_PRODUCTO,CANTIDAD,PRECIO,VALOR_BRUTO,VALOR_NETO,VALOR_IVA) VALUES(1219,1,231,1,20900,20900,17563,3337);</v>
      </c>
    </row>
    <row r="2513" spans="1:12">
      <c r="A2513" s="114">
        <v>1</v>
      </c>
      <c r="B2513" s="114">
        <v>1220</v>
      </c>
      <c r="C2513" s="139" t="s">
        <v>2364</v>
      </c>
      <c r="D2513" s="114" t="s">
        <v>2090</v>
      </c>
      <c r="E2513" s="114">
        <v>470</v>
      </c>
      <c r="F2513" s="114">
        <v>122</v>
      </c>
      <c r="G2513" s="114">
        <v>1</v>
      </c>
      <c r="H2513" s="114">
        <v>6000</v>
      </c>
      <c r="I2513" s="114">
        <v>6000</v>
      </c>
      <c r="J2513" s="114">
        <v>5042</v>
      </c>
      <c r="K2513" s="114">
        <v>958</v>
      </c>
      <c r="L2513" s="114" t="str">
        <f t="shared" si="39"/>
        <v>INSERT INTO DETALLES_DOCUMENTO(NRO_DOCUMENTO,ID_TIPO,ID_PRODUCTO,CANTIDAD,PRECIO,VALOR_BRUTO,VALOR_NETO,VALOR_IVA) VALUES(1220,1,122,1,6000,6000,5042,958);</v>
      </c>
    </row>
    <row r="2514" spans="1:12">
      <c r="A2514" s="114">
        <v>1</v>
      </c>
      <c r="B2514" s="114">
        <v>1221</v>
      </c>
      <c r="C2514" s="139" t="s">
        <v>2365</v>
      </c>
      <c r="D2514" s="114" t="s">
        <v>2090</v>
      </c>
      <c r="E2514" s="114">
        <v>82</v>
      </c>
      <c r="F2514" s="114">
        <v>324</v>
      </c>
      <c r="G2514" s="114">
        <v>1</v>
      </c>
      <c r="H2514" s="114">
        <v>11000</v>
      </c>
      <c r="I2514" s="114">
        <v>11000</v>
      </c>
      <c r="J2514" s="114">
        <v>9244</v>
      </c>
      <c r="K2514" s="114">
        <v>1756</v>
      </c>
      <c r="L2514" s="114" t="str">
        <f t="shared" si="39"/>
        <v>INSERT INTO DETALLES_DOCUMENTO(NRO_DOCUMENTO,ID_TIPO,ID_PRODUCTO,CANTIDAD,PRECIO,VALOR_BRUTO,VALOR_NETO,VALOR_IVA) VALUES(1221,1,324,1,11000,11000,9244,1756);</v>
      </c>
    </row>
    <row r="2515" spans="1:12">
      <c r="A2515" s="114">
        <v>1</v>
      </c>
      <c r="B2515" s="114">
        <v>1222</v>
      </c>
      <c r="C2515" s="139" t="s">
        <v>2365</v>
      </c>
      <c r="D2515" s="114" t="s">
        <v>2090</v>
      </c>
      <c r="E2515" s="114">
        <v>222</v>
      </c>
      <c r="F2515" s="114">
        <v>117</v>
      </c>
      <c r="G2515" s="114">
        <v>2</v>
      </c>
      <c r="H2515" s="114">
        <v>7000</v>
      </c>
      <c r="I2515" s="114">
        <v>14000</v>
      </c>
      <c r="J2515" s="114">
        <v>11765</v>
      </c>
      <c r="K2515" s="114">
        <v>2235</v>
      </c>
      <c r="L2515" s="114" t="str">
        <f t="shared" si="39"/>
        <v>INSERT INTO DETALLES_DOCUMENTO(NRO_DOCUMENTO,ID_TIPO,ID_PRODUCTO,CANTIDAD,PRECIO,VALOR_BRUTO,VALOR_NETO,VALOR_IVA) VALUES(1222,1,117,2,7000,14000,11765,2235);</v>
      </c>
    </row>
    <row r="2516" spans="1:12">
      <c r="A2516" s="114">
        <v>1</v>
      </c>
      <c r="B2516" s="114">
        <v>1223</v>
      </c>
      <c r="C2516" s="139" t="s">
        <v>2365</v>
      </c>
      <c r="D2516" s="114" t="s">
        <v>2090</v>
      </c>
      <c r="E2516" s="114">
        <v>315</v>
      </c>
      <c r="F2516" s="114">
        <v>143</v>
      </c>
      <c r="G2516" s="114">
        <v>1</v>
      </c>
      <c r="H2516" s="114">
        <v>7900</v>
      </c>
      <c r="I2516" s="114">
        <v>7900</v>
      </c>
      <c r="J2516" s="114">
        <v>6639</v>
      </c>
      <c r="K2516" s="114">
        <v>1261</v>
      </c>
      <c r="L2516" s="114" t="str">
        <f t="shared" si="39"/>
        <v>INSERT INTO DETALLES_DOCUMENTO(NRO_DOCUMENTO,ID_TIPO,ID_PRODUCTO,CANTIDAD,PRECIO,VALOR_BRUTO,VALOR_NETO,VALOR_IVA) VALUES(1223,1,143,1,7900,7900,6639,1261);</v>
      </c>
    </row>
    <row r="2517" spans="1:12">
      <c r="A2517" s="114">
        <v>1</v>
      </c>
      <c r="B2517" s="114">
        <v>1224</v>
      </c>
      <c r="C2517" s="139" t="s">
        <v>2365</v>
      </c>
      <c r="D2517" s="114" t="s">
        <v>2090</v>
      </c>
      <c r="E2517" s="114">
        <v>416</v>
      </c>
      <c r="F2517" s="114">
        <v>7</v>
      </c>
      <c r="G2517" s="114">
        <v>1</v>
      </c>
      <c r="H2517" s="114">
        <v>7000</v>
      </c>
      <c r="I2517" s="114">
        <v>7000</v>
      </c>
      <c r="J2517" s="114">
        <v>5882</v>
      </c>
      <c r="K2517" s="114">
        <v>1118</v>
      </c>
      <c r="L2517" s="114" t="str">
        <f t="shared" si="39"/>
        <v>INSERT INTO DETALLES_DOCUMENTO(NRO_DOCUMENTO,ID_TIPO,ID_PRODUCTO,CANTIDAD,PRECIO,VALOR_BRUTO,VALOR_NETO,VALOR_IVA) VALUES(1224,1,7,1,7000,7000,5882,1118);</v>
      </c>
    </row>
    <row r="2518" spans="1:12">
      <c r="A2518" s="114">
        <v>1</v>
      </c>
      <c r="B2518" s="114">
        <v>1224</v>
      </c>
      <c r="C2518" s="139" t="s">
        <v>2365</v>
      </c>
      <c r="D2518" s="114" t="s">
        <v>2090</v>
      </c>
      <c r="E2518" s="114">
        <v>416</v>
      </c>
      <c r="F2518" s="114">
        <v>329</v>
      </c>
      <c r="G2518" s="114">
        <v>1</v>
      </c>
      <c r="H2518" s="114">
        <v>6000</v>
      </c>
      <c r="I2518" s="114">
        <v>6000</v>
      </c>
      <c r="J2518" s="114">
        <v>5042</v>
      </c>
      <c r="K2518" s="114">
        <v>958</v>
      </c>
      <c r="L2518" s="114" t="str">
        <f t="shared" si="39"/>
        <v>INSERT INTO DETALLES_DOCUMENTO(NRO_DOCUMENTO,ID_TIPO,ID_PRODUCTO,CANTIDAD,PRECIO,VALOR_BRUTO,VALOR_NETO,VALOR_IVA) VALUES(1224,1,329,1,6000,6000,5042,958);</v>
      </c>
    </row>
    <row r="2519" spans="1:12">
      <c r="A2519" s="114">
        <v>1</v>
      </c>
      <c r="B2519" s="114">
        <v>1225</v>
      </c>
      <c r="C2519" s="139" t="s">
        <v>2366</v>
      </c>
      <c r="D2519" s="114" t="s">
        <v>2090</v>
      </c>
      <c r="E2519" s="114">
        <v>82</v>
      </c>
      <c r="F2519" s="114">
        <v>324</v>
      </c>
      <c r="G2519" s="114">
        <v>1</v>
      </c>
      <c r="H2519" s="114">
        <v>11000</v>
      </c>
      <c r="I2519" s="114">
        <v>11000</v>
      </c>
      <c r="J2519" s="114">
        <v>9244</v>
      </c>
      <c r="K2519" s="114">
        <v>1756</v>
      </c>
      <c r="L2519" s="114" t="str">
        <f t="shared" si="39"/>
        <v>INSERT INTO DETALLES_DOCUMENTO(NRO_DOCUMENTO,ID_TIPO,ID_PRODUCTO,CANTIDAD,PRECIO,VALOR_BRUTO,VALOR_NETO,VALOR_IVA) VALUES(1225,1,324,1,11000,11000,9244,1756);</v>
      </c>
    </row>
    <row r="2520" spans="1:12">
      <c r="A2520" s="114">
        <v>1</v>
      </c>
      <c r="B2520" s="114">
        <v>1225</v>
      </c>
      <c r="C2520" s="139" t="s">
        <v>2366</v>
      </c>
      <c r="D2520" s="114" t="s">
        <v>2090</v>
      </c>
      <c r="E2520" s="114">
        <v>82</v>
      </c>
      <c r="F2520" s="114">
        <v>329</v>
      </c>
      <c r="G2520" s="114">
        <v>1</v>
      </c>
      <c r="H2520" s="114">
        <v>6000</v>
      </c>
      <c r="I2520" s="114">
        <v>6000</v>
      </c>
      <c r="J2520" s="114">
        <v>5042</v>
      </c>
      <c r="K2520" s="114">
        <v>958</v>
      </c>
      <c r="L2520" s="114" t="str">
        <f t="shared" si="39"/>
        <v>INSERT INTO DETALLES_DOCUMENTO(NRO_DOCUMENTO,ID_TIPO,ID_PRODUCTO,CANTIDAD,PRECIO,VALOR_BRUTO,VALOR_NETO,VALOR_IVA) VALUES(1225,1,329,1,6000,6000,5042,958);</v>
      </c>
    </row>
    <row r="2521" spans="1:12">
      <c r="A2521" s="114">
        <v>1</v>
      </c>
      <c r="B2521" s="114">
        <v>1226</v>
      </c>
      <c r="C2521" s="139" t="s">
        <v>2366</v>
      </c>
      <c r="D2521" s="114" t="s">
        <v>2090</v>
      </c>
      <c r="E2521" s="114">
        <v>236</v>
      </c>
      <c r="F2521" s="114">
        <v>329</v>
      </c>
      <c r="G2521" s="114">
        <v>1</v>
      </c>
      <c r="H2521" s="114">
        <v>6000</v>
      </c>
      <c r="I2521" s="114">
        <v>6000</v>
      </c>
      <c r="J2521" s="114">
        <v>5042</v>
      </c>
      <c r="K2521" s="114">
        <v>958</v>
      </c>
      <c r="L2521" s="114" t="str">
        <f t="shared" si="39"/>
        <v>INSERT INTO DETALLES_DOCUMENTO(NRO_DOCUMENTO,ID_TIPO,ID_PRODUCTO,CANTIDAD,PRECIO,VALOR_BRUTO,VALOR_NETO,VALOR_IVA) VALUES(1226,1,329,1,6000,6000,5042,958);</v>
      </c>
    </row>
    <row r="2522" spans="1:12">
      <c r="A2522" s="114">
        <v>1</v>
      </c>
      <c r="B2522" s="114">
        <v>1226</v>
      </c>
      <c r="C2522" s="139" t="s">
        <v>2366</v>
      </c>
      <c r="D2522" s="114" t="s">
        <v>2090</v>
      </c>
      <c r="E2522" s="114">
        <v>236</v>
      </c>
      <c r="F2522" s="114">
        <v>263</v>
      </c>
      <c r="G2522" s="114">
        <v>1</v>
      </c>
      <c r="H2522" s="114">
        <v>8000</v>
      </c>
      <c r="I2522" s="114">
        <v>8000</v>
      </c>
      <c r="J2522" s="114">
        <v>6723</v>
      </c>
      <c r="K2522" s="114">
        <v>1277</v>
      </c>
      <c r="L2522" s="114" t="str">
        <f t="shared" si="39"/>
        <v>INSERT INTO DETALLES_DOCUMENTO(NRO_DOCUMENTO,ID_TIPO,ID_PRODUCTO,CANTIDAD,PRECIO,VALOR_BRUTO,VALOR_NETO,VALOR_IVA) VALUES(1226,1,263,1,8000,8000,6723,1277);</v>
      </c>
    </row>
    <row r="2523" spans="1:12">
      <c r="A2523" s="114">
        <v>1</v>
      </c>
      <c r="B2523" s="114">
        <v>1226</v>
      </c>
      <c r="C2523" s="139" t="s">
        <v>2366</v>
      </c>
      <c r="D2523" s="114" t="s">
        <v>2090</v>
      </c>
      <c r="E2523" s="114">
        <v>236</v>
      </c>
      <c r="F2523" s="114">
        <v>7</v>
      </c>
      <c r="G2523" s="114">
        <v>1</v>
      </c>
      <c r="H2523" s="114">
        <v>7000</v>
      </c>
      <c r="I2523" s="114">
        <v>7000</v>
      </c>
      <c r="J2523" s="114">
        <v>5882</v>
      </c>
      <c r="K2523" s="114">
        <v>1118</v>
      </c>
      <c r="L2523" s="114" t="str">
        <f t="shared" si="39"/>
        <v>INSERT INTO DETALLES_DOCUMENTO(NRO_DOCUMENTO,ID_TIPO,ID_PRODUCTO,CANTIDAD,PRECIO,VALOR_BRUTO,VALOR_NETO,VALOR_IVA) VALUES(1226,1,7,1,7000,7000,5882,1118);</v>
      </c>
    </row>
    <row r="2524" spans="1:12">
      <c r="A2524" s="114">
        <v>1</v>
      </c>
      <c r="B2524" s="114">
        <v>1227</v>
      </c>
      <c r="C2524" s="139" t="s">
        <v>2366</v>
      </c>
      <c r="D2524" s="114" t="s">
        <v>2090</v>
      </c>
      <c r="E2524" s="114">
        <v>349</v>
      </c>
      <c r="F2524" s="114">
        <v>51</v>
      </c>
      <c r="G2524" s="114">
        <v>2</v>
      </c>
      <c r="H2524" s="114">
        <v>8400</v>
      </c>
      <c r="I2524" s="114">
        <v>16800</v>
      </c>
      <c r="J2524" s="114">
        <v>14118</v>
      </c>
      <c r="K2524" s="114">
        <v>2682</v>
      </c>
      <c r="L2524" s="114" t="str">
        <f t="shared" si="39"/>
        <v>INSERT INTO DETALLES_DOCUMENTO(NRO_DOCUMENTO,ID_TIPO,ID_PRODUCTO,CANTIDAD,PRECIO,VALOR_BRUTO,VALOR_NETO,VALOR_IVA) VALUES(1227,1,51,2,8400,16800,14118,2682);</v>
      </c>
    </row>
    <row r="2525" spans="1:12">
      <c r="A2525" s="114">
        <v>1</v>
      </c>
      <c r="B2525" s="114">
        <v>1228</v>
      </c>
      <c r="C2525" s="139" t="s">
        <v>2367</v>
      </c>
      <c r="D2525" s="114" t="s">
        <v>2090</v>
      </c>
      <c r="E2525" s="114">
        <v>267</v>
      </c>
      <c r="F2525" s="114">
        <v>29</v>
      </c>
      <c r="G2525" s="114">
        <v>1</v>
      </c>
      <c r="H2525" s="114">
        <v>1000</v>
      </c>
      <c r="I2525" s="114">
        <v>1000</v>
      </c>
      <c r="J2525" s="114">
        <v>840</v>
      </c>
      <c r="K2525" s="114">
        <v>160</v>
      </c>
      <c r="L2525" s="114" t="str">
        <f t="shared" si="39"/>
        <v>INSERT INTO DETALLES_DOCUMENTO(NRO_DOCUMENTO,ID_TIPO,ID_PRODUCTO,CANTIDAD,PRECIO,VALOR_BRUTO,VALOR_NETO,VALOR_IVA) VALUES(1228,1,29,1,1000,1000,840,160);</v>
      </c>
    </row>
    <row r="2526" spans="1:12">
      <c r="A2526" s="114">
        <v>1</v>
      </c>
      <c r="B2526" s="114">
        <v>1228</v>
      </c>
      <c r="C2526" s="139" t="s">
        <v>2367</v>
      </c>
      <c r="D2526" s="114" t="s">
        <v>2090</v>
      </c>
      <c r="E2526" s="114">
        <v>267</v>
      </c>
      <c r="F2526" s="114">
        <v>290</v>
      </c>
      <c r="G2526" s="114">
        <v>1</v>
      </c>
      <c r="H2526" s="114">
        <v>1200</v>
      </c>
      <c r="I2526" s="114">
        <v>1200</v>
      </c>
      <c r="J2526" s="114">
        <v>1008</v>
      </c>
      <c r="K2526" s="114">
        <v>192</v>
      </c>
      <c r="L2526" s="114" t="str">
        <f t="shared" si="39"/>
        <v>INSERT INTO DETALLES_DOCUMENTO(NRO_DOCUMENTO,ID_TIPO,ID_PRODUCTO,CANTIDAD,PRECIO,VALOR_BRUTO,VALOR_NETO,VALOR_IVA) VALUES(1228,1,290,1,1200,1200,1008,192);</v>
      </c>
    </row>
    <row r="2527" spans="1:12">
      <c r="A2527" s="114">
        <v>1</v>
      </c>
      <c r="B2527" s="114">
        <v>1228</v>
      </c>
      <c r="C2527" s="139" t="s">
        <v>2367</v>
      </c>
      <c r="D2527" s="114" t="s">
        <v>2090</v>
      </c>
      <c r="E2527" s="114">
        <v>267</v>
      </c>
      <c r="F2527" s="114">
        <v>273</v>
      </c>
      <c r="G2527" s="114">
        <v>1</v>
      </c>
      <c r="H2527" s="114">
        <v>1300</v>
      </c>
      <c r="I2527" s="114">
        <v>1300</v>
      </c>
      <c r="J2527" s="114">
        <v>1092</v>
      </c>
      <c r="K2527" s="114">
        <v>208</v>
      </c>
      <c r="L2527" s="114" t="str">
        <f t="shared" si="39"/>
        <v>INSERT INTO DETALLES_DOCUMENTO(NRO_DOCUMENTO,ID_TIPO,ID_PRODUCTO,CANTIDAD,PRECIO,VALOR_BRUTO,VALOR_NETO,VALOR_IVA) VALUES(1228,1,273,1,1300,1300,1092,208);</v>
      </c>
    </row>
    <row r="2528" spans="1:12">
      <c r="A2528" s="114">
        <v>1</v>
      </c>
      <c r="B2528" s="114">
        <v>1228</v>
      </c>
      <c r="C2528" s="139" t="s">
        <v>2367</v>
      </c>
      <c r="D2528" s="114" t="s">
        <v>2090</v>
      </c>
      <c r="E2528" s="114">
        <v>267</v>
      </c>
      <c r="F2528" s="114">
        <v>18</v>
      </c>
      <c r="G2528" s="114">
        <v>1</v>
      </c>
      <c r="H2528" s="114">
        <v>1000</v>
      </c>
      <c r="I2528" s="114">
        <v>1000</v>
      </c>
      <c r="J2528" s="114">
        <v>840</v>
      </c>
      <c r="K2528" s="114">
        <v>160</v>
      </c>
      <c r="L2528" s="114" t="str">
        <f t="shared" si="39"/>
        <v>INSERT INTO DETALLES_DOCUMENTO(NRO_DOCUMENTO,ID_TIPO,ID_PRODUCTO,CANTIDAD,PRECIO,VALOR_BRUTO,VALOR_NETO,VALOR_IVA) VALUES(1228,1,18,1,1000,1000,840,160);</v>
      </c>
    </row>
    <row r="2529" spans="1:12">
      <c r="A2529" s="114">
        <v>1</v>
      </c>
      <c r="B2529" s="114">
        <v>1228</v>
      </c>
      <c r="C2529" s="139" t="s">
        <v>2367</v>
      </c>
      <c r="D2529" s="114" t="s">
        <v>2090</v>
      </c>
      <c r="E2529" s="114">
        <v>267</v>
      </c>
      <c r="F2529" s="114">
        <v>12</v>
      </c>
      <c r="G2529" s="114">
        <v>1</v>
      </c>
      <c r="H2529" s="114">
        <v>700</v>
      </c>
      <c r="I2529" s="114">
        <v>700</v>
      </c>
      <c r="J2529" s="114">
        <v>588</v>
      </c>
      <c r="K2529" s="114">
        <v>112</v>
      </c>
      <c r="L2529" s="114" t="str">
        <f t="shared" si="39"/>
        <v>INSERT INTO DETALLES_DOCUMENTO(NRO_DOCUMENTO,ID_TIPO,ID_PRODUCTO,CANTIDAD,PRECIO,VALOR_BRUTO,VALOR_NETO,VALOR_IVA) VALUES(1228,1,12,1,700,700,588,112);</v>
      </c>
    </row>
    <row r="2530" spans="1:12">
      <c r="A2530" s="114">
        <v>1</v>
      </c>
      <c r="B2530" s="114">
        <v>1228</v>
      </c>
      <c r="C2530" s="139" t="s">
        <v>2367</v>
      </c>
      <c r="D2530" s="114" t="s">
        <v>2090</v>
      </c>
      <c r="E2530" s="114">
        <v>267</v>
      </c>
      <c r="F2530" s="114">
        <v>286</v>
      </c>
      <c r="G2530" s="114">
        <v>1</v>
      </c>
      <c r="H2530" s="114">
        <v>1100</v>
      </c>
      <c r="I2530" s="114">
        <v>1100</v>
      </c>
      <c r="J2530" s="114">
        <v>924</v>
      </c>
      <c r="K2530" s="114">
        <v>176</v>
      </c>
      <c r="L2530" s="114" t="str">
        <f t="shared" si="39"/>
        <v>INSERT INTO DETALLES_DOCUMENTO(NRO_DOCUMENTO,ID_TIPO,ID_PRODUCTO,CANTIDAD,PRECIO,VALOR_BRUTO,VALOR_NETO,VALOR_IVA) VALUES(1228,1,286,1,1100,1100,924,176);</v>
      </c>
    </row>
    <row r="2531" spans="1:12">
      <c r="A2531" s="114">
        <v>1</v>
      </c>
      <c r="B2531" s="114">
        <v>1228</v>
      </c>
      <c r="C2531" s="139" t="s">
        <v>2367</v>
      </c>
      <c r="D2531" s="114" t="s">
        <v>2090</v>
      </c>
      <c r="E2531" s="114">
        <v>267</v>
      </c>
      <c r="F2531" s="114">
        <v>153</v>
      </c>
      <c r="G2531" s="114">
        <v>1</v>
      </c>
      <c r="H2531" s="114">
        <v>1200</v>
      </c>
      <c r="I2531" s="114">
        <v>1200</v>
      </c>
      <c r="J2531" s="114">
        <v>1008</v>
      </c>
      <c r="K2531" s="114">
        <v>192</v>
      </c>
      <c r="L2531" s="114" t="str">
        <f t="shared" si="39"/>
        <v>INSERT INTO DETALLES_DOCUMENTO(NRO_DOCUMENTO,ID_TIPO,ID_PRODUCTO,CANTIDAD,PRECIO,VALOR_BRUTO,VALOR_NETO,VALOR_IVA) VALUES(1228,1,153,1,1200,1200,1008,192);</v>
      </c>
    </row>
    <row r="2532" spans="1:12">
      <c r="A2532" s="114">
        <v>1</v>
      </c>
      <c r="B2532" s="114">
        <v>1229</v>
      </c>
      <c r="C2532" s="139" t="s">
        <v>2368</v>
      </c>
      <c r="D2532" s="114" t="s">
        <v>2090</v>
      </c>
      <c r="E2532" s="114">
        <v>119</v>
      </c>
      <c r="F2532" s="114">
        <v>143</v>
      </c>
      <c r="G2532" s="114">
        <v>1</v>
      </c>
      <c r="H2532" s="114">
        <v>7900</v>
      </c>
      <c r="I2532" s="114">
        <v>7900</v>
      </c>
      <c r="J2532" s="114">
        <v>6639</v>
      </c>
      <c r="K2532" s="114">
        <v>1261</v>
      </c>
      <c r="L2532" s="114" t="str">
        <f t="shared" si="39"/>
        <v>INSERT INTO DETALLES_DOCUMENTO(NRO_DOCUMENTO,ID_TIPO,ID_PRODUCTO,CANTIDAD,PRECIO,VALOR_BRUTO,VALOR_NETO,VALOR_IVA) VALUES(1229,1,143,1,7900,7900,6639,1261);</v>
      </c>
    </row>
    <row r="2533" spans="1:12">
      <c r="A2533" s="114">
        <v>1</v>
      </c>
      <c r="B2533" s="114">
        <v>1229</v>
      </c>
      <c r="C2533" s="139" t="s">
        <v>2368</v>
      </c>
      <c r="D2533" s="114" t="s">
        <v>2090</v>
      </c>
      <c r="E2533" s="114">
        <v>119</v>
      </c>
      <c r="F2533" s="114">
        <v>117</v>
      </c>
      <c r="G2533" s="114">
        <v>2</v>
      </c>
      <c r="H2533" s="114">
        <v>7000</v>
      </c>
      <c r="I2533" s="114">
        <v>14000</v>
      </c>
      <c r="J2533" s="114">
        <v>11765</v>
      </c>
      <c r="K2533" s="114">
        <v>2235</v>
      </c>
      <c r="L2533" s="114" t="str">
        <f t="shared" si="39"/>
        <v>INSERT INTO DETALLES_DOCUMENTO(NRO_DOCUMENTO,ID_TIPO,ID_PRODUCTO,CANTIDAD,PRECIO,VALOR_BRUTO,VALOR_NETO,VALOR_IVA) VALUES(1229,1,117,2,7000,14000,11765,2235);</v>
      </c>
    </row>
    <row r="2534" spans="1:12">
      <c r="A2534" s="114">
        <v>1</v>
      </c>
      <c r="B2534" s="114">
        <v>1229</v>
      </c>
      <c r="C2534" s="139" t="s">
        <v>2368</v>
      </c>
      <c r="D2534" s="114" t="s">
        <v>2090</v>
      </c>
      <c r="E2534" s="114">
        <v>119</v>
      </c>
      <c r="F2534" s="114">
        <v>365</v>
      </c>
      <c r="G2534" s="114">
        <v>1</v>
      </c>
      <c r="H2534" s="114">
        <v>3200</v>
      </c>
      <c r="I2534" s="114">
        <v>3200</v>
      </c>
      <c r="J2534" s="114">
        <v>2689</v>
      </c>
      <c r="K2534" s="114">
        <v>511</v>
      </c>
      <c r="L2534" s="114" t="str">
        <f t="shared" si="39"/>
        <v>INSERT INTO DETALLES_DOCUMENTO(NRO_DOCUMENTO,ID_TIPO,ID_PRODUCTO,CANTIDAD,PRECIO,VALOR_BRUTO,VALOR_NETO,VALOR_IVA) VALUES(1229,1,365,1,3200,3200,2689,511);</v>
      </c>
    </row>
    <row r="2535" spans="1:12">
      <c r="A2535" s="114">
        <v>1</v>
      </c>
      <c r="B2535" s="114">
        <v>1230</v>
      </c>
      <c r="C2535" s="139" t="s">
        <v>2368</v>
      </c>
      <c r="D2535" s="114" t="s">
        <v>2090</v>
      </c>
      <c r="E2535" s="114">
        <v>122</v>
      </c>
      <c r="F2535" s="114">
        <v>11</v>
      </c>
      <c r="G2535" s="114">
        <v>1</v>
      </c>
      <c r="H2535" s="114">
        <v>2500</v>
      </c>
      <c r="I2535" s="114">
        <v>2500</v>
      </c>
      <c r="J2535" s="114">
        <v>2101</v>
      </c>
      <c r="K2535" s="114">
        <v>399</v>
      </c>
      <c r="L2535" s="114" t="str">
        <f t="shared" si="39"/>
        <v>INSERT INTO DETALLES_DOCUMENTO(NRO_DOCUMENTO,ID_TIPO,ID_PRODUCTO,CANTIDAD,PRECIO,VALOR_BRUTO,VALOR_NETO,VALOR_IVA) VALUES(1230,1,11,1,2500,2500,2101,399);</v>
      </c>
    </row>
    <row r="2536" spans="1:12">
      <c r="A2536" s="114">
        <v>1</v>
      </c>
      <c r="B2536" s="114">
        <v>1230</v>
      </c>
      <c r="C2536" s="139" t="s">
        <v>2368</v>
      </c>
      <c r="D2536" s="114" t="s">
        <v>2090</v>
      </c>
      <c r="E2536" s="114">
        <v>122</v>
      </c>
      <c r="F2536" s="114">
        <v>378</v>
      </c>
      <c r="G2536" s="114">
        <v>1</v>
      </c>
      <c r="H2536" s="114">
        <v>1200</v>
      </c>
      <c r="I2536" s="114">
        <v>1200</v>
      </c>
      <c r="J2536" s="114">
        <v>1008</v>
      </c>
      <c r="K2536" s="114">
        <v>192</v>
      </c>
      <c r="L2536" s="114" t="str">
        <f t="shared" si="39"/>
        <v>INSERT INTO DETALLES_DOCUMENTO(NRO_DOCUMENTO,ID_TIPO,ID_PRODUCTO,CANTIDAD,PRECIO,VALOR_BRUTO,VALOR_NETO,VALOR_IVA) VALUES(1230,1,378,1,1200,1200,1008,192);</v>
      </c>
    </row>
    <row r="2537" spans="1:12">
      <c r="A2537" s="114">
        <v>1</v>
      </c>
      <c r="B2537" s="114">
        <v>1230</v>
      </c>
      <c r="C2537" s="139" t="s">
        <v>2368</v>
      </c>
      <c r="D2537" s="114" t="s">
        <v>2090</v>
      </c>
      <c r="E2537" s="114">
        <v>122</v>
      </c>
      <c r="F2537" s="114">
        <v>274</v>
      </c>
      <c r="G2537" s="114">
        <v>1</v>
      </c>
      <c r="H2537" s="114">
        <v>7500</v>
      </c>
      <c r="I2537" s="114">
        <v>7500</v>
      </c>
      <c r="J2537" s="114">
        <v>6303</v>
      </c>
      <c r="K2537" s="114">
        <v>1197</v>
      </c>
      <c r="L2537" s="114" t="str">
        <f t="shared" si="39"/>
        <v>INSERT INTO DETALLES_DOCUMENTO(NRO_DOCUMENTO,ID_TIPO,ID_PRODUCTO,CANTIDAD,PRECIO,VALOR_BRUTO,VALOR_NETO,VALOR_IVA) VALUES(1230,1,274,1,7500,7500,6303,1197);</v>
      </c>
    </row>
    <row r="2538" spans="1:12">
      <c r="A2538" s="114">
        <v>1</v>
      </c>
      <c r="B2538" s="114">
        <v>1231</v>
      </c>
      <c r="C2538" s="139" t="s">
        <v>2368</v>
      </c>
      <c r="D2538" s="114" t="s">
        <v>2090</v>
      </c>
      <c r="E2538" s="114">
        <v>147</v>
      </c>
      <c r="F2538" s="114">
        <v>143</v>
      </c>
      <c r="G2538" s="114">
        <v>1</v>
      </c>
      <c r="H2538" s="114">
        <v>7900</v>
      </c>
      <c r="I2538" s="114">
        <v>7900</v>
      </c>
      <c r="J2538" s="114">
        <v>6639</v>
      </c>
      <c r="K2538" s="114">
        <v>1261</v>
      </c>
      <c r="L2538" s="114" t="str">
        <f t="shared" si="39"/>
        <v>INSERT INTO DETALLES_DOCUMENTO(NRO_DOCUMENTO,ID_TIPO,ID_PRODUCTO,CANTIDAD,PRECIO,VALOR_BRUTO,VALOR_NETO,VALOR_IVA) VALUES(1231,1,143,1,7900,7900,6639,1261);</v>
      </c>
    </row>
    <row r="2539" spans="1:12">
      <c r="A2539" s="114">
        <v>1</v>
      </c>
      <c r="B2539" s="114">
        <v>1232</v>
      </c>
      <c r="C2539" s="139" t="s">
        <v>2368</v>
      </c>
      <c r="D2539" s="114" t="s">
        <v>2090</v>
      </c>
      <c r="E2539" s="114">
        <v>166</v>
      </c>
      <c r="F2539" s="114">
        <v>143</v>
      </c>
      <c r="G2539" s="114">
        <v>1</v>
      </c>
      <c r="H2539" s="114">
        <v>7900</v>
      </c>
      <c r="I2539" s="114">
        <v>7900</v>
      </c>
      <c r="J2539" s="114">
        <v>6639</v>
      </c>
      <c r="K2539" s="114">
        <v>1261</v>
      </c>
      <c r="L2539" s="114" t="str">
        <f t="shared" si="39"/>
        <v>INSERT INTO DETALLES_DOCUMENTO(NRO_DOCUMENTO,ID_TIPO,ID_PRODUCTO,CANTIDAD,PRECIO,VALOR_BRUTO,VALOR_NETO,VALOR_IVA) VALUES(1232,1,143,1,7900,7900,6639,1261);</v>
      </c>
    </row>
    <row r="2540" spans="1:12">
      <c r="A2540" s="114">
        <v>1</v>
      </c>
      <c r="B2540" s="114">
        <v>1233</v>
      </c>
      <c r="C2540" s="139" t="s">
        <v>2368</v>
      </c>
      <c r="D2540" s="114" t="s">
        <v>2090</v>
      </c>
      <c r="E2540" s="114">
        <v>230</v>
      </c>
      <c r="F2540" s="114">
        <v>143</v>
      </c>
      <c r="G2540" s="114">
        <v>1</v>
      </c>
      <c r="H2540" s="114">
        <v>7900</v>
      </c>
      <c r="I2540" s="114">
        <v>7900</v>
      </c>
      <c r="J2540" s="114">
        <v>6639</v>
      </c>
      <c r="K2540" s="114">
        <v>1261</v>
      </c>
      <c r="L2540" s="114" t="str">
        <f t="shared" si="39"/>
        <v>INSERT INTO DETALLES_DOCUMENTO(NRO_DOCUMENTO,ID_TIPO,ID_PRODUCTO,CANTIDAD,PRECIO,VALOR_BRUTO,VALOR_NETO,VALOR_IVA) VALUES(1233,1,143,1,7900,7900,6639,1261);</v>
      </c>
    </row>
    <row r="2541" spans="1:12">
      <c r="A2541" s="114">
        <v>1</v>
      </c>
      <c r="B2541" s="114">
        <v>1233</v>
      </c>
      <c r="C2541" s="139" t="s">
        <v>2368</v>
      </c>
      <c r="D2541" s="114" t="s">
        <v>2090</v>
      </c>
      <c r="E2541" s="114">
        <v>230</v>
      </c>
      <c r="F2541" s="114">
        <v>118</v>
      </c>
      <c r="G2541" s="114">
        <v>1</v>
      </c>
      <c r="H2541" s="114">
        <v>3500</v>
      </c>
      <c r="I2541" s="114">
        <v>3500</v>
      </c>
      <c r="J2541" s="114">
        <v>2941</v>
      </c>
      <c r="K2541" s="114">
        <v>559</v>
      </c>
      <c r="L2541" s="114" t="str">
        <f t="shared" si="39"/>
        <v>INSERT INTO DETALLES_DOCUMENTO(NRO_DOCUMENTO,ID_TIPO,ID_PRODUCTO,CANTIDAD,PRECIO,VALOR_BRUTO,VALOR_NETO,VALOR_IVA) VALUES(1233,1,118,1,3500,3500,2941,559);</v>
      </c>
    </row>
    <row r="2542" spans="1:12">
      <c r="A2542" s="114">
        <v>1</v>
      </c>
      <c r="B2542" s="114">
        <v>1233</v>
      </c>
      <c r="C2542" s="139" t="s">
        <v>2368</v>
      </c>
      <c r="D2542" s="114" t="s">
        <v>2090</v>
      </c>
      <c r="E2542" s="114">
        <v>230</v>
      </c>
      <c r="F2542" s="114">
        <v>378</v>
      </c>
      <c r="G2542" s="114">
        <v>1</v>
      </c>
      <c r="H2542" s="114">
        <v>1200</v>
      </c>
      <c r="I2542" s="114">
        <v>1200</v>
      </c>
      <c r="J2542" s="114">
        <v>1008</v>
      </c>
      <c r="K2542" s="114">
        <v>192</v>
      </c>
      <c r="L2542" s="114" t="str">
        <f t="shared" si="39"/>
        <v>INSERT INTO DETALLES_DOCUMENTO(NRO_DOCUMENTO,ID_TIPO,ID_PRODUCTO,CANTIDAD,PRECIO,VALOR_BRUTO,VALOR_NETO,VALOR_IVA) VALUES(1233,1,378,1,1200,1200,1008,192);</v>
      </c>
    </row>
    <row r="2543" spans="1:12">
      <c r="A2543" s="114">
        <v>1</v>
      </c>
      <c r="B2543" s="114">
        <v>1233</v>
      </c>
      <c r="C2543" s="139" t="s">
        <v>2368</v>
      </c>
      <c r="D2543" s="114" t="s">
        <v>2090</v>
      </c>
      <c r="E2543" s="114">
        <v>230</v>
      </c>
      <c r="F2543" s="114">
        <v>11</v>
      </c>
      <c r="G2543" s="114">
        <v>1</v>
      </c>
      <c r="H2543" s="114">
        <v>2500</v>
      </c>
      <c r="I2543" s="114">
        <v>2500</v>
      </c>
      <c r="J2543" s="114">
        <v>2101</v>
      </c>
      <c r="K2543" s="114">
        <v>399</v>
      </c>
      <c r="L2543" s="114" t="str">
        <f t="shared" si="39"/>
        <v>INSERT INTO DETALLES_DOCUMENTO(NRO_DOCUMENTO,ID_TIPO,ID_PRODUCTO,CANTIDAD,PRECIO,VALOR_BRUTO,VALOR_NETO,VALOR_IVA) VALUES(1233,1,11,1,2500,2500,2101,399);</v>
      </c>
    </row>
    <row r="2544" spans="1:12">
      <c r="A2544" s="114">
        <v>1</v>
      </c>
      <c r="B2544" s="114">
        <v>1233</v>
      </c>
      <c r="C2544" s="139" t="s">
        <v>2368</v>
      </c>
      <c r="D2544" s="114" t="s">
        <v>2090</v>
      </c>
      <c r="E2544" s="114">
        <v>230</v>
      </c>
      <c r="F2544" s="114">
        <v>156</v>
      </c>
      <c r="G2544" s="114">
        <v>1</v>
      </c>
      <c r="H2544" s="114">
        <v>1400</v>
      </c>
      <c r="I2544" s="114">
        <v>1400</v>
      </c>
      <c r="J2544" s="114">
        <v>1176</v>
      </c>
      <c r="K2544" s="114">
        <v>224</v>
      </c>
      <c r="L2544" s="114" t="str">
        <f t="shared" si="39"/>
        <v>INSERT INTO DETALLES_DOCUMENTO(NRO_DOCUMENTO,ID_TIPO,ID_PRODUCTO,CANTIDAD,PRECIO,VALOR_BRUTO,VALOR_NETO,VALOR_IVA) VALUES(1233,1,156,1,1400,1400,1176,224);</v>
      </c>
    </row>
    <row r="2545" spans="1:12">
      <c r="A2545" s="114">
        <v>1</v>
      </c>
      <c r="B2545" s="114">
        <v>1234</v>
      </c>
      <c r="C2545" s="139" t="s">
        <v>2368</v>
      </c>
      <c r="D2545" s="114" t="s">
        <v>2090</v>
      </c>
      <c r="E2545" s="114">
        <v>302</v>
      </c>
      <c r="F2545" s="114">
        <v>324</v>
      </c>
      <c r="G2545" s="114">
        <v>1</v>
      </c>
      <c r="H2545" s="114">
        <v>11000</v>
      </c>
      <c r="I2545" s="114">
        <v>11000</v>
      </c>
      <c r="J2545" s="114">
        <v>9244</v>
      </c>
      <c r="K2545" s="114">
        <v>1756</v>
      </c>
      <c r="L2545" s="114" t="str">
        <f t="shared" si="39"/>
        <v>INSERT INTO DETALLES_DOCUMENTO(NRO_DOCUMENTO,ID_TIPO,ID_PRODUCTO,CANTIDAD,PRECIO,VALOR_BRUTO,VALOR_NETO,VALOR_IVA) VALUES(1234,1,324,1,11000,11000,9244,1756);</v>
      </c>
    </row>
    <row r="2546" spans="1:12">
      <c r="A2546" s="114">
        <v>1</v>
      </c>
      <c r="B2546" s="114">
        <v>1235</v>
      </c>
      <c r="C2546" s="139" t="s">
        <v>2368</v>
      </c>
      <c r="D2546" s="114" t="s">
        <v>2090</v>
      </c>
      <c r="E2546" s="114">
        <v>386</v>
      </c>
      <c r="F2546" s="114">
        <v>231</v>
      </c>
      <c r="G2546" s="114">
        <v>1</v>
      </c>
      <c r="H2546" s="114">
        <v>20900</v>
      </c>
      <c r="I2546" s="114">
        <v>20900</v>
      </c>
      <c r="J2546" s="114">
        <v>17563</v>
      </c>
      <c r="K2546" s="114">
        <v>3337</v>
      </c>
      <c r="L2546" s="114" t="str">
        <f t="shared" si="39"/>
        <v>INSERT INTO DETALLES_DOCUMENTO(NRO_DOCUMENTO,ID_TIPO,ID_PRODUCTO,CANTIDAD,PRECIO,VALOR_BRUTO,VALOR_NETO,VALOR_IVA) VALUES(1235,1,231,1,20900,20900,17563,3337);</v>
      </c>
    </row>
    <row r="2547" spans="1:12">
      <c r="A2547" s="114">
        <v>1</v>
      </c>
      <c r="B2547" s="114">
        <v>1235</v>
      </c>
      <c r="C2547" s="139" t="s">
        <v>2368</v>
      </c>
      <c r="D2547" s="114" t="s">
        <v>2090</v>
      </c>
      <c r="E2547" s="114">
        <v>386</v>
      </c>
      <c r="F2547" s="114">
        <v>244</v>
      </c>
      <c r="G2547" s="114">
        <v>1</v>
      </c>
      <c r="H2547" s="114">
        <v>14900</v>
      </c>
      <c r="I2547" s="114">
        <v>14900</v>
      </c>
      <c r="J2547" s="114">
        <v>12521</v>
      </c>
      <c r="K2547" s="114">
        <v>2379</v>
      </c>
      <c r="L2547" s="114" t="str">
        <f t="shared" si="39"/>
        <v>INSERT INTO DETALLES_DOCUMENTO(NRO_DOCUMENTO,ID_TIPO,ID_PRODUCTO,CANTIDAD,PRECIO,VALOR_BRUTO,VALOR_NETO,VALOR_IVA) VALUES(1235,1,244,1,14900,14900,12521,2379);</v>
      </c>
    </row>
    <row r="2548" spans="1:12">
      <c r="A2548" s="114">
        <v>1</v>
      </c>
      <c r="B2548" s="114">
        <v>1235</v>
      </c>
      <c r="C2548" s="139" t="s">
        <v>2368</v>
      </c>
      <c r="D2548" s="114" t="s">
        <v>2090</v>
      </c>
      <c r="E2548" s="114">
        <v>386</v>
      </c>
      <c r="F2548" s="114">
        <v>126</v>
      </c>
      <c r="G2548" s="114">
        <v>1</v>
      </c>
      <c r="H2548" s="114">
        <v>9000</v>
      </c>
      <c r="I2548" s="114">
        <v>9000</v>
      </c>
      <c r="J2548" s="114">
        <v>7563</v>
      </c>
      <c r="K2548" s="114">
        <v>1437</v>
      </c>
      <c r="L2548" s="114" t="str">
        <f t="shared" si="39"/>
        <v>INSERT INTO DETALLES_DOCUMENTO(NRO_DOCUMENTO,ID_TIPO,ID_PRODUCTO,CANTIDAD,PRECIO,VALOR_BRUTO,VALOR_NETO,VALOR_IVA) VALUES(1235,1,126,1,9000,9000,7563,1437);</v>
      </c>
    </row>
    <row r="2549" spans="1:12">
      <c r="A2549" s="114">
        <v>1</v>
      </c>
      <c r="B2549" s="114">
        <v>1235</v>
      </c>
      <c r="C2549" s="139" t="s">
        <v>2368</v>
      </c>
      <c r="D2549" s="114" t="s">
        <v>2090</v>
      </c>
      <c r="E2549" s="114">
        <v>386</v>
      </c>
      <c r="F2549" s="114">
        <v>117</v>
      </c>
      <c r="G2549" s="114">
        <v>1</v>
      </c>
      <c r="H2549" s="114">
        <v>3500</v>
      </c>
      <c r="I2549" s="114">
        <v>3500</v>
      </c>
      <c r="J2549" s="114">
        <v>2941</v>
      </c>
      <c r="K2549" s="114">
        <v>559</v>
      </c>
      <c r="L2549" s="114" t="str">
        <f t="shared" si="39"/>
        <v>INSERT INTO DETALLES_DOCUMENTO(NRO_DOCUMENTO,ID_TIPO,ID_PRODUCTO,CANTIDAD,PRECIO,VALOR_BRUTO,VALOR_NETO,VALOR_IVA) VALUES(1235,1,117,1,3500,3500,2941,559);</v>
      </c>
    </row>
    <row r="2550" spans="1:12">
      <c r="A2550" s="114">
        <v>1</v>
      </c>
      <c r="B2550" s="114">
        <v>1236</v>
      </c>
      <c r="C2550" s="139" t="s">
        <v>2369</v>
      </c>
      <c r="D2550" s="114" t="s">
        <v>2090</v>
      </c>
      <c r="E2550" s="114">
        <v>56</v>
      </c>
      <c r="F2550" s="114">
        <v>143</v>
      </c>
      <c r="G2550" s="114">
        <v>1</v>
      </c>
      <c r="H2550" s="114">
        <v>7900</v>
      </c>
      <c r="I2550" s="114">
        <v>7900</v>
      </c>
      <c r="J2550" s="114">
        <v>6639</v>
      </c>
      <c r="K2550" s="114">
        <v>1261</v>
      </c>
      <c r="L2550" s="114" t="str">
        <f t="shared" si="39"/>
        <v>INSERT INTO DETALLES_DOCUMENTO(NRO_DOCUMENTO,ID_TIPO,ID_PRODUCTO,CANTIDAD,PRECIO,VALOR_BRUTO,VALOR_NETO,VALOR_IVA) VALUES(1236,1,143,1,7900,7900,6639,1261);</v>
      </c>
    </row>
    <row r="2551" spans="1:12">
      <c r="A2551" s="114">
        <v>1</v>
      </c>
      <c r="B2551" s="114">
        <v>1236</v>
      </c>
      <c r="C2551" s="139" t="s">
        <v>2369</v>
      </c>
      <c r="D2551" s="114" t="s">
        <v>2090</v>
      </c>
      <c r="E2551" s="114">
        <v>56</v>
      </c>
      <c r="F2551" s="114">
        <v>322</v>
      </c>
      <c r="G2551" s="114">
        <v>1</v>
      </c>
      <c r="H2551" s="114">
        <v>9000</v>
      </c>
      <c r="I2551" s="114">
        <v>9000</v>
      </c>
      <c r="J2551" s="114">
        <v>7563</v>
      </c>
      <c r="K2551" s="114">
        <v>1437</v>
      </c>
      <c r="L2551" s="114" t="str">
        <f t="shared" si="39"/>
        <v>INSERT INTO DETALLES_DOCUMENTO(NRO_DOCUMENTO,ID_TIPO,ID_PRODUCTO,CANTIDAD,PRECIO,VALOR_BRUTO,VALOR_NETO,VALOR_IVA) VALUES(1236,1,322,1,9000,9000,7563,1437);</v>
      </c>
    </row>
    <row r="2552" spans="1:12">
      <c r="A2552" s="114">
        <v>1</v>
      </c>
      <c r="B2552" s="114">
        <v>1237</v>
      </c>
      <c r="C2552" s="139" t="s">
        <v>2369</v>
      </c>
      <c r="D2552" s="114" t="s">
        <v>2090</v>
      </c>
      <c r="E2552" s="114">
        <v>57</v>
      </c>
      <c r="F2552" s="114">
        <v>143</v>
      </c>
      <c r="G2552" s="114">
        <v>1</v>
      </c>
      <c r="H2552" s="114">
        <v>7900</v>
      </c>
      <c r="I2552" s="114">
        <v>7900</v>
      </c>
      <c r="J2552" s="114">
        <v>6639</v>
      </c>
      <c r="K2552" s="114">
        <v>1261</v>
      </c>
      <c r="L2552" s="114" t="str">
        <f t="shared" si="39"/>
        <v>INSERT INTO DETALLES_DOCUMENTO(NRO_DOCUMENTO,ID_TIPO,ID_PRODUCTO,CANTIDAD,PRECIO,VALOR_BRUTO,VALOR_NETO,VALOR_IVA) VALUES(1237,1,143,1,7900,7900,6639,1261);</v>
      </c>
    </row>
    <row r="2553" spans="1:12">
      <c r="A2553" s="114">
        <v>1</v>
      </c>
      <c r="B2553" s="114">
        <v>1238</v>
      </c>
      <c r="C2553" s="139" t="s">
        <v>2369</v>
      </c>
      <c r="D2553" s="114" t="s">
        <v>2090</v>
      </c>
      <c r="E2553" s="114">
        <v>76</v>
      </c>
      <c r="F2553" s="114">
        <v>324</v>
      </c>
      <c r="G2553" s="114">
        <v>1</v>
      </c>
      <c r="H2553" s="114">
        <v>11000</v>
      </c>
      <c r="I2553" s="114">
        <v>11000</v>
      </c>
      <c r="J2553" s="114">
        <v>9244</v>
      </c>
      <c r="K2553" s="114">
        <v>1756</v>
      </c>
      <c r="L2553" s="114" t="str">
        <f t="shared" si="39"/>
        <v>INSERT INTO DETALLES_DOCUMENTO(NRO_DOCUMENTO,ID_TIPO,ID_PRODUCTO,CANTIDAD,PRECIO,VALOR_BRUTO,VALOR_NETO,VALOR_IVA) VALUES(1238,1,324,1,11000,11000,9244,1756);</v>
      </c>
    </row>
    <row r="2554" spans="1:12">
      <c r="A2554" s="114">
        <v>1</v>
      </c>
      <c r="B2554" s="114">
        <v>1239</v>
      </c>
      <c r="C2554" s="139" t="s">
        <v>2369</v>
      </c>
      <c r="D2554" s="114" t="s">
        <v>2090</v>
      </c>
      <c r="E2554" s="114">
        <v>98</v>
      </c>
      <c r="F2554" s="114">
        <v>329</v>
      </c>
      <c r="G2554" s="114">
        <v>1</v>
      </c>
      <c r="H2554" s="114">
        <v>6000</v>
      </c>
      <c r="I2554" s="114">
        <v>6000</v>
      </c>
      <c r="J2554" s="114">
        <v>5042</v>
      </c>
      <c r="K2554" s="114">
        <v>958</v>
      </c>
      <c r="L2554" s="114" t="str">
        <f t="shared" si="39"/>
        <v>INSERT INTO DETALLES_DOCUMENTO(NRO_DOCUMENTO,ID_TIPO,ID_PRODUCTO,CANTIDAD,PRECIO,VALOR_BRUTO,VALOR_NETO,VALOR_IVA) VALUES(1239,1,329,1,6000,6000,5042,958);</v>
      </c>
    </row>
    <row r="2555" spans="1:12">
      <c r="A2555" s="114">
        <v>1</v>
      </c>
      <c r="B2555" s="114">
        <v>1240</v>
      </c>
      <c r="C2555" s="139" t="s">
        <v>2369</v>
      </c>
      <c r="D2555" s="114" t="s">
        <v>2090</v>
      </c>
      <c r="E2555" s="114">
        <v>166</v>
      </c>
      <c r="F2555" s="114">
        <v>329</v>
      </c>
      <c r="G2555" s="114">
        <v>1</v>
      </c>
      <c r="H2555" s="114">
        <v>6000</v>
      </c>
      <c r="I2555" s="114">
        <v>6000</v>
      </c>
      <c r="J2555" s="114">
        <v>5042</v>
      </c>
      <c r="K2555" s="114">
        <v>958</v>
      </c>
      <c r="L2555" s="114" t="str">
        <f t="shared" si="39"/>
        <v>INSERT INTO DETALLES_DOCUMENTO(NRO_DOCUMENTO,ID_TIPO,ID_PRODUCTO,CANTIDAD,PRECIO,VALOR_BRUTO,VALOR_NETO,VALOR_IVA) VALUES(1240,1,329,1,6000,6000,5042,958);</v>
      </c>
    </row>
    <row r="2556" spans="1:12">
      <c r="A2556" s="114">
        <v>1</v>
      </c>
      <c r="B2556" s="114">
        <v>1241</v>
      </c>
      <c r="C2556" s="139" t="s">
        <v>2369</v>
      </c>
      <c r="D2556" s="114" t="s">
        <v>2090</v>
      </c>
      <c r="E2556" s="114">
        <v>219</v>
      </c>
      <c r="F2556" s="114">
        <v>231</v>
      </c>
      <c r="G2556" s="114">
        <v>1</v>
      </c>
      <c r="H2556" s="114">
        <v>20900</v>
      </c>
      <c r="I2556" s="114">
        <v>20900</v>
      </c>
      <c r="J2556" s="114">
        <v>17563</v>
      </c>
      <c r="K2556" s="114">
        <v>3337</v>
      </c>
      <c r="L2556" s="114" t="str">
        <f t="shared" si="39"/>
        <v>INSERT INTO DETALLES_DOCUMENTO(NRO_DOCUMENTO,ID_TIPO,ID_PRODUCTO,CANTIDAD,PRECIO,VALOR_BRUTO,VALOR_NETO,VALOR_IVA) VALUES(1241,1,231,1,20900,20900,17563,3337);</v>
      </c>
    </row>
    <row r="2557" spans="1:12">
      <c r="A2557" s="114">
        <v>1</v>
      </c>
      <c r="B2557" s="114">
        <v>1242</v>
      </c>
      <c r="C2557" s="139" t="s">
        <v>2370</v>
      </c>
      <c r="D2557" s="114" t="s">
        <v>2090</v>
      </c>
      <c r="E2557" s="114">
        <v>108</v>
      </c>
      <c r="F2557" s="114">
        <v>259</v>
      </c>
      <c r="G2557" s="114">
        <v>1</v>
      </c>
      <c r="H2557" s="114">
        <v>4500</v>
      </c>
      <c r="I2557" s="114">
        <v>4500</v>
      </c>
      <c r="J2557" s="114">
        <v>3782</v>
      </c>
      <c r="K2557" s="114">
        <v>718</v>
      </c>
      <c r="L2557" s="114" t="str">
        <f t="shared" si="39"/>
        <v>INSERT INTO DETALLES_DOCUMENTO(NRO_DOCUMENTO,ID_TIPO,ID_PRODUCTO,CANTIDAD,PRECIO,VALOR_BRUTO,VALOR_NETO,VALOR_IVA) VALUES(1242,1,259,1,4500,4500,3782,718);</v>
      </c>
    </row>
    <row r="2558" spans="1:12">
      <c r="A2558" s="114">
        <v>1</v>
      </c>
      <c r="B2558" s="114">
        <v>1242</v>
      </c>
      <c r="C2558" s="139" t="s">
        <v>2370</v>
      </c>
      <c r="D2558" s="114" t="s">
        <v>2090</v>
      </c>
      <c r="E2558" s="114">
        <v>108</v>
      </c>
      <c r="F2558" s="114">
        <v>155</v>
      </c>
      <c r="G2558" s="114">
        <v>1</v>
      </c>
      <c r="H2558" s="114">
        <v>1650</v>
      </c>
      <c r="I2558" s="114">
        <v>1650</v>
      </c>
      <c r="J2558" s="114">
        <v>1387</v>
      </c>
      <c r="K2558" s="114">
        <v>263</v>
      </c>
      <c r="L2558" s="114" t="str">
        <f t="shared" si="39"/>
        <v>INSERT INTO DETALLES_DOCUMENTO(NRO_DOCUMENTO,ID_TIPO,ID_PRODUCTO,CANTIDAD,PRECIO,VALOR_BRUTO,VALOR_NETO,VALOR_IVA) VALUES(1242,1,155,1,1650,1650,1387,263);</v>
      </c>
    </row>
    <row r="2559" spans="1:12">
      <c r="A2559" s="114">
        <v>1</v>
      </c>
      <c r="B2559" s="114">
        <v>1242</v>
      </c>
      <c r="C2559" s="139" t="s">
        <v>2370</v>
      </c>
      <c r="D2559" s="114" t="s">
        <v>2090</v>
      </c>
      <c r="E2559" s="114">
        <v>108</v>
      </c>
      <c r="F2559" s="114">
        <v>268</v>
      </c>
      <c r="G2559" s="114">
        <v>1</v>
      </c>
      <c r="H2559" s="114">
        <v>600</v>
      </c>
      <c r="I2559" s="114">
        <v>600</v>
      </c>
      <c r="J2559" s="114">
        <v>504</v>
      </c>
      <c r="K2559" s="114">
        <v>96</v>
      </c>
      <c r="L2559" s="114" t="str">
        <f t="shared" si="39"/>
        <v>INSERT INTO DETALLES_DOCUMENTO(NRO_DOCUMENTO,ID_TIPO,ID_PRODUCTO,CANTIDAD,PRECIO,VALOR_BRUTO,VALOR_NETO,VALOR_IVA) VALUES(1242,1,268,1,600,600,504,96);</v>
      </c>
    </row>
    <row r="2560" spans="1:12">
      <c r="A2560" s="114">
        <v>1</v>
      </c>
      <c r="B2560" s="114">
        <v>1242</v>
      </c>
      <c r="C2560" s="139" t="s">
        <v>2370</v>
      </c>
      <c r="D2560" s="114" t="s">
        <v>2090</v>
      </c>
      <c r="E2560" s="114">
        <v>108</v>
      </c>
      <c r="F2560" s="114">
        <v>271</v>
      </c>
      <c r="G2560" s="114">
        <v>1</v>
      </c>
      <c r="H2560" s="114">
        <v>300</v>
      </c>
      <c r="I2560" s="114">
        <v>300</v>
      </c>
      <c r="J2560" s="114">
        <v>252</v>
      </c>
      <c r="K2560" s="114">
        <v>48</v>
      </c>
      <c r="L2560" s="114" t="str">
        <f t="shared" si="39"/>
        <v>INSERT INTO DETALLES_DOCUMENTO(NRO_DOCUMENTO,ID_TIPO,ID_PRODUCTO,CANTIDAD,PRECIO,VALOR_BRUTO,VALOR_NETO,VALOR_IVA) VALUES(1242,1,271,1,300,300,252,48);</v>
      </c>
    </row>
    <row r="2561" spans="1:12">
      <c r="A2561" s="114">
        <v>1</v>
      </c>
      <c r="B2561" s="114">
        <v>1242</v>
      </c>
      <c r="C2561" s="139" t="s">
        <v>2370</v>
      </c>
      <c r="D2561" s="114" t="s">
        <v>2090</v>
      </c>
      <c r="E2561" s="114">
        <v>108</v>
      </c>
      <c r="F2561" s="114">
        <v>367</v>
      </c>
      <c r="G2561" s="114">
        <v>1</v>
      </c>
      <c r="H2561" s="114">
        <v>1500</v>
      </c>
      <c r="I2561" s="114">
        <v>1500</v>
      </c>
      <c r="J2561" s="114">
        <v>1261</v>
      </c>
      <c r="K2561" s="114">
        <v>239</v>
      </c>
      <c r="L2561" s="114" t="str">
        <f t="shared" si="39"/>
        <v>INSERT INTO DETALLES_DOCUMENTO(NRO_DOCUMENTO,ID_TIPO,ID_PRODUCTO,CANTIDAD,PRECIO,VALOR_BRUTO,VALOR_NETO,VALOR_IVA) VALUES(1242,1,367,1,1500,1500,1261,239);</v>
      </c>
    </row>
    <row r="2562" spans="1:12">
      <c r="A2562" s="114">
        <v>1</v>
      </c>
      <c r="B2562" s="114">
        <v>1243</v>
      </c>
      <c r="C2562" s="139" t="s">
        <v>2370</v>
      </c>
      <c r="D2562" s="114" t="s">
        <v>2090</v>
      </c>
      <c r="E2562" s="114">
        <v>416</v>
      </c>
      <c r="F2562" s="114">
        <v>329</v>
      </c>
      <c r="G2562" s="114">
        <v>1</v>
      </c>
      <c r="H2562" s="114">
        <v>6000</v>
      </c>
      <c r="I2562" s="114">
        <v>6000</v>
      </c>
      <c r="J2562" s="114">
        <v>5042</v>
      </c>
      <c r="K2562" s="114">
        <v>958</v>
      </c>
      <c r="L2562" s="114" t="str">
        <f t="shared" si="39"/>
        <v>INSERT INTO DETALLES_DOCUMENTO(NRO_DOCUMENTO,ID_TIPO,ID_PRODUCTO,CANTIDAD,PRECIO,VALOR_BRUTO,VALOR_NETO,VALOR_IVA) VALUES(1243,1,329,1,6000,6000,5042,958);</v>
      </c>
    </row>
    <row r="2563" spans="1:12">
      <c r="A2563" s="114">
        <v>1</v>
      </c>
      <c r="B2563" s="114">
        <v>1244</v>
      </c>
      <c r="C2563" s="139" t="s">
        <v>2371</v>
      </c>
      <c r="D2563" s="114" t="s">
        <v>2090</v>
      </c>
      <c r="E2563" s="114">
        <v>48</v>
      </c>
      <c r="F2563" s="114">
        <v>382</v>
      </c>
      <c r="G2563" s="114">
        <v>1</v>
      </c>
      <c r="H2563" s="114">
        <v>2600</v>
      </c>
      <c r="I2563" s="114">
        <v>2600</v>
      </c>
      <c r="J2563" s="114">
        <v>2185</v>
      </c>
      <c r="K2563" s="114">
        <v>415</v>
      </c>
      <c r="L2563" s="114" t="str">
        <f t="shared" ref="L2563:L2626" si="40">CONCATENATE("INSERT INTO DETALLES_DOCUMENTO(NRO_DOCUMENTO,ID_TIPO,ID_PRODUCTO,CANTIDAD,PRECIO,VALOR_BRUTO,VALOR_NETO,VALOR_IVA) VALUES(",B2563,",",A2563,",",F2563,",",G2563,",",H2563,",",I2563,",",J2563,",",K2563,");")</f>
        <v>INSERT INTO DETALLES_DOCUMENTO(NRO_DOCUMENTO,ID_TIPO,ID_PRODUCTO,CANTIDAD,PRECIO,VALOR_BRUTO,VALOR_NETO,VALOR_IVA) VALUES(1244,1,382,1,2600,2600,2185,415);</v>
      </c>
    </row>
    <row r="2564" spans="1:12">
      <c r="A2564" s="114">
        <v>1</v>
      </c>
      <c r="B2564" s="114">
        <v>1244</v>
      </c>
      <c r="C2564" s="139" t="s">
        <v>2371</v>
      </c>
      <c r="D2564" s="114" t="s">
        <v>2090</v>
      </c>
      <c r="E2564" s="114">
        <v>48</v>
      </c>
      <c r="F2564" s="114">
        <v>293</v>
      </c>
      <c r="G2564" s="114">
        <v>1</v>
      </c>
      <c r="H2564" s="114">
        <v>10000</v>
      </c>
      <c r="I2564" s="114">
        <v>10000</v>
      </c>
      <c r="J2564" s="114">
        <v>8403</v>
      </c>
      <c r="K2564" s="114">
        <v>1597</v>
      </c>
      <c r="L2564" s="114" t="str">
        <f t="shared" si="40"/>
        <v>INSERT INTO DETALLES_DOCUMENTO(NRO_DOCUMENTO,ID_TIPO,ID_PRODUCTO,CANTIDAD,PRECIO,VALOR_BRUTO,VALOR_NETO,VALOR_IVA) VALUES(1244,1,293,1,10000,10000,8403,1597);</v>
      </c>
    </row>
    <row r="2565" spans="1:12">
      <c r="A2565" s="114">
        <v>1</v>
      </c>
      <c r="B2565" s="114">
        <v>1244</v>
      </c>
      <c r="C2565" s="139" t="s">
        <v>2371</v>
      </c>
      <c r="D2565" s="114" t="s">
        <v>2090</v>
      </c>
      <c r="E2565" s="114">
        <v>48</v>
      </c>
      <c r="F2565" s="114">
        <v>329</v>
      </c>
      <c r="G2565" s="114">
        <v>1</v>
      </c>
      <c r="H2565" s="114">
        <v>6000</v>
      </c>
      <c r="I2565" s="114">
        <v>6000</v>
      </c>
      <c r="J2565" s="114">
        <v>5042</v>
      </c>
      <c r="K2565" s="114">
        <v>958</v>
      </c>
      <c r="L2565" s="114" t="str">
        <f t="shared" si="40"/>
        <v>INSERT INTO DETALLES_DOCUMENTO(NRO_DOCUMENTO,ID_TIPO,ID_PRODUCTO,CANTIDAD,PRECIO,VALOR_BRUTO,VALOR_NETO,VALOR_IVA) VALUES(1244,1,329,1,6000,6000,5042,958);</v>
      </c>
    </row>
    <row r="2566" spans="1:12">
      <c r="A2566" s="114">
        <v>1</v>
      </c>
      <c r="B2566" s="114">
        <v>1244</v>
      </c>
      <c r="C2566" s="139" t="s">
        <v>2371</v>
      </c>
      <c r="D2566" s="114" t="s">
        <v>2090</v>
      </c>
      <c r="E2566" s="114">
        <v>48</v>
      </c>
      <c r="F2566" s="114">
        <v>368</v>
      </c>
      <c r="G2566" s="114">
        <v>1</v>
      </c>
      <c r="H2566" s="114">
        <v>3000</v>
      </c>
      <c r="I2566" s="114">
        <v>3000</v>
      </c>
      <c r="J2566" s="114">
        <v>2521</v>
      </c>
      <c r="K2566" s="114">
        <v>479</v>
      </c>
      <c r="L2566" s="114" t="str">
        <f t="shared" si="40"/>
        <v>INSERT INTO DETALLES_DOCUMENTO(NRO_DOCUMENTO,ID_TIPO,ID_PRODUCTO,CANTIDAD,PRECIO,VALOR_BRUTO,VALOR_NETO,VALOR_IVA) VALUES(1244,1,368,1,3000,3000,2521,479);</v>
      </c>
    </row>
    <row r="2567" spans="1:12">
      <c r="A2567" s="114">
        <v>1</v>
      </c>
      <c r="B2567" s="114">
        <v>1244</v>
      </c>
      <c r="C2567" s="139" t="s">
        <v>2371</v>
      </c>
      <c r="D2567" s="114" t="s">
        <v>2090</v>
      </c>
      <c r="E2567" s="114">
        <v>48</v>
      </c>
      <c r="F2567" s="114">
        <v>97</v>
      </c>
      <c r="G2567" s="114">
        <v>1</v>
      </c>
      <c r="H2567" s="114">
        <v>2000</v>
      </c>
      <c r="I2567" s="114">
        <v>2000</v>
      </c>
      <c r="J2567" s="114">
        <v>1681</v>
      </c>
      <c r="K2567" s="114">
        <v>319</v>
      </c>
      <c r="L2567" s="114" t="str">
        <f t="shared" si="40"/>
        <v>INSERT INTO DETALLES_DOCUMENTO(NRO_DOCUMENTO,ID_TIPO,ID_PRODUCTO,CANTIDAD,PRECIO,VALOR_BRUTO,VALOR_NETO,VALOR_IVA) VALUES(1244,1,97,1,2000,2000,1681,319);</v>
      </c>
    </row>
    <row r="2568" spans="1:12">
      <c r="A2568" s="114">
        <v>1</v>
      </c>
      <c r="B2568" s="114">
        <v>1245</v>
      </c>
      <c r="C2568" s="139" t="s">
        <v>2371</v>
      </c>
      <c r="D2568" s="114" t="s">
        <v>2090</v>
      </c>
      <c r="E2568" s="114">
        <v>230</v>
      </c>
      <c r="F2568" s="114">
        <v>293</v>
      </c>
      <c r="G2568" s="114">
        <v>1</v>
      </c>
      <c r="H2568" s="114">
        <v>10000</v>
      </c>
      <c r="I2568" s="114">
        <v>10000</v>
      </c>
      <c r="J2568" s="114">
        <v>8403</v>
      </c>
      <c r="K2568" s="114">
        <v>1597</v>
      </c>
      <c r="L2568" s="114" t="str">
        <f t="shared" si="40"/>
        <v>INSERT INTO DETALLES_DOCUMENTO(NRO_DOCUMENTO,ID_TIPO,ID_PRODUCTO,CANTIDAD,PRECIO,VALOR_BRUTO,VALOR_NETO,VALOR_IVA) VALUES(1245,1,293,1,10000,10000,8403,1597);</v>
      </c>
    </row>
    <row r="2569" spans="1:12">
      <c r="A2569" s="114">
        <v>1</v>
      </c>
      <c r="B2569" s="114">
        <v>1245</v>
      </c>
      <c r="C2569" s="139" t="s">
        <v>2371</v>
      </c>
      <c r="D2569" s="114" t="s">
        <v>2090</v>
      </c>
      <c r="E2569" s="114">
        <v>230</v>
      </c>
      <c r="F2569" s="114">
        <v>370</v>
      </c>
      <c r="G2569" s="114">
        <v>1</v>
      </c>
      <c r="H2569" s="114">
        <v>4000</v>
      </c>
      <c r="I2569" s="114">
        <v>4000</v>
      </c>
      <c r="J2569" s="114">
        <v>3361</v>
      </c>
      <c r="K2569" s="114">
        <v>639</v>
      </c>
      <c r="L2569" s="114" t="str">
        <f t="shared" si="40"/>
        <v>INSERT INTO DETALLES_DOCUMENTO(NRO_DOCUMENTO,ID_TIPO,ID_PRODUCTO,CANTIDAD,PRECIO,VALOR_BRUTO,VALOR_NETO,VALOR_IVA) VALUES(1245,1,370,1,4000,4000,3361,639);</v>
      </c>
    </row>
    <row r="2570" spans="1:12">
      <c r="A2570" s="114">
        <v>1</v>
      </c>
      <c r="B2570" s="114">
        <v>1245</v>
      </c>
      <c r="C2570" s="139" t="s">
        <v>2371</v>
      </c>
      <c r="D2570" s="114" t="s">
        <v>2090</v>
      </c>
      <c r="E2570" s="114">
        <v>230</v>
      </c>
      <c r="F2570" s="114">
        <v>143</v>
      </c>
      <c r="G2570" s="114">
        <v>1</v>
      </c>
      <c r="H2570" s="114">
        <v>7900</v>
      </c>
      <c r="I2570" s="114">
        <v>7900</v>
      </c>
      <c r="J2570" s="114">
        <v>6639</v>
      </c>
      <c r="K2570" s="114">
        <v>1261</v>
      </c>
      <c r="L2570" s="114" t="str">
        <f t="shared" si="40"/>
        <v>INSERT INTO DETALLES_DOCUMENTO(NRO_DOCUMENTO,ID_TIPO,ID_PRODUCTO,CANTIDAD,PRECIO,VALOR_BRUTO,VALOR_NETO,VALOR_IVA) VALUES(1245,1,143,1,7900,7900,6639,1261);</v>
      </c>
    </row>
    <row r="2571" spans="1:12">
      <c r="A2571" s="114">
        <v>1</v>
      </c>
      <c r="B2571" s="114">
        <v>1245</v>
      </c>
      <c r="C2571" s="139" t="s">
        <v>2371</v>
      </c>
      <c r="D2571" s="114" t="s">
        <v>2090</v>
      </c>
      <c r="E2571" s="114">
        <v>230</v>
      </c>
      <c r="F2571" s="114">
        <v>286</v>
      </c>
      <c r="G2571" s="114">
        <v>1</v>
      </c>
      <c r="H2571" s="114">
        <v>1100</v>
      </c>
      <c r="I2571" s="114">
        <v>1100</v>
      </c>
      <c r="J2571" s="114">
        <v>924</v>
      </c>
      <c r="K2571" s="114">
        <v>176</v>
      </c>
      <c r="L2571" s="114" t="str">
        <f t="shared" si="40"/>
        <v>INSERT INTO DETALLES_DOCUMENTO(NRO_DOCUMENTO,ID_TIPO,ID_PRODUCTO,CANTIDAD,PRECIO,VALOR_BRUTO,VALOR_NETO,VALOR_IVA) VALUES(1245,1,286,1,1100,1100,924,176);</v>
      </c>
    </row>
    <row r="2572" spans="1:12">
      <c r="A2572" s="114">
        <v>1</v>
      </c>
      <c r="B2572" s="114">
        <v>1246</v>
      </c>
      <c r="C2572" s="139" t="s">
        <v>2371</v>
      </c>
      <c r="D2572" s="114" t="s">
        <v>2090</v>
      </c>
      <c r="E2572" s="114">
        <v>267</v>
      </c>
      <c r="F2572" s="114">
        <v>354</v>
      </c>
      <c r="G2572" s="114">
        <v>1</v>
      </c>
      <c r="H2572" s="114">
        <v>1800</v>
      </c>
      <c r="I2572" s="114">
        <v>1800</v>
      </c>
      <c r="J2572" s="114">
        <v>1513</v>
      </c>
      <c r="K2572" s="114">
        <v>287</v>
      </c>
      <c r="L2572" s="114" t="str">
        <f t="shared" si="40"/>
        <v>INSERT INTO DETALLES_DOCUMENTO(NRO_DOCUMENTO,ID_TIPO,ID_PRODUCTO,CANTIDAD,PRECIO,VALOR_BRUTO,VALOR_NETO,VALOR_IVA) VALUES(1246,1,354,1,1800,1800,1513,287);</v>
      </c>
    </row>
    <row r="2573" spans="1:12">
      <c r="A2573" s="114">
        <v>1</v>
      </c>
      <c r="B2573" s="114">
        <v>1247</v>
      </c>
      <c r="C2573" s="139" t="s">
        <v>2371</v>
      </c>
      <c r="D2573" s="114" t="s">
        <v>2090</v>
      </c>
      <c r="E2573" s="114">
        <v>353</v>
      </c>
      <c r="F2573" s="114">
        <v>143</v>
      </c>
      <c r="G2573" s="114">
        <v>1</v>
      </c>
      <c r="H2573" s="114">
        <v>7900</v>
      </c>
      <c r="I2573" s="114">
        <v>7900</v>
      </c>
      <c r="J2573" s="114">
        <v>6639</v>
      </c>
      <c r="K2573" s="114">
        <v>1261</v>
      </c>
      <c r="L2573" s="114" t="str">
        <f t="shared" si="40"/>
        <v>INSERT INTO DETALLES_DOCUMENTO(NRO_DOCUMENTO,ID_TIPO,ID_PRODUCTO,CANTIDAD,PRECIO,VALOR_BRUTO,VALOR_NETO,VALOR_IVA) VALUES(1247,1,143,1,7900,7900,6639,1261);</v>
      </c>
    </row>
    <row r="2574" spans="1:12">
      <c r="A2574" s="114">
        <v>1</v>
      </c>
      <c r="B2574" s="114">
        <v>1248</v>
      </c>
      <c r="C2574" s="139" t="s">
        <v>2371</v>
      </c>
      <c r="D2574" s="114" t="s">
        <v>2090</v>
      </c>
      <c r="E2574" s="114">
        <v>451</v>
      </c>
      <c r="F2574" s="114">
        <v>290</v>
      </c>
      <c r="G2574" s="114">
        <v>1</v>
      </c>
      <c r="H2574" s="114">
        <v>1200</v>
      </c>
      <c r="I2574" s="114">
        <v>1200</v>
      </c>
      <c r="J2574" s="114">
        <v>1008</v>
      </c>
      <c r="K2574" s="114">
        <v>192</v>
      </c>
      <c r="L2574" s="114" t="str">
        <f t="shared" si="40"/>
        <v>INSERT INTO DETALLES_DOCUMENTO(NRO_DOCUMENTO,ID_TIPO,ID_PRODUCTO,CANTIDAD,PRECIO,VALOR_BRUTO,VALOR_NETO,VALOR_IVA) VALUES(1248,1,290,1,1200,1200,1008,192);</v>
      </c>
    </row>
    <row r="2575" spans="1:12">
      <c r="A2575" s="114">
        <v>1</v>
      </c>
      <c r="B2575" s="114">
        <v>1248</v>
      </c>
      <c r="C2575" s="139" t="s">
        <v>2371</v>
      </c>
      <c r="D2575" s="114" t="s">
        <v>2090</v>
      </c>
      <c r="E2575" s="114">
        <v>451</v>
      </c>
      <c r="F2575" s="114">
        <v>329</v>
      </c>
      <c r="G2575" s="114">
        <v>1</v>
      </c>
      <c r="H2575" s="114">
        <v>6000</v>
      </c>
      <c r="I2575" s="114">
        <v>6000</v>
      </c>
      <c r="J2575" s="114">
        <v>5042</v>
      </c>
      <c r="K2575" s="114">
        <v>958</v>
      </c>
      <c r="L2575" s="114" t="str">
        <f t="shared" si="40"/>
        <v>INSERT INTO DETALLES_DOCUMENTO(NRO_DOCUMENTO,ID_TIPO,ID_PRODUCTO,CANTIDAD,PRECIO,VALOR_BRUTO,VALOR_NETO,VALOR_IVA) VALUES(1248,1,329,1,6000,6000,5042,958);</v>
      </c>
    </row>
    <row r="2576" spans="1:12">
      <c r="A2576" s="114">
        <v>1</v>
      </c>
      <c r="B2576" s="114">
        <v>1249</v>
      </c>
      <c r="C2576" s="139" t="s">
        <v>2372</v>
      </c>
      <c r="D2576" s="114" t="s">
        <v>2090</v>
      </c>
      <c r="E2576" s="114">
        <v>63</v>
      </c>
      <c r="F2576" s="114">
        <v>143</v>
      </c>
      <c r="G2576" s="114">
        <v>1</v>
      </c>
      <c r="H2576" s="114">
        <v>8000</v>
      </c>
      <c r="I2576" s="114">
        <v>8000</v>
      </c>
      <c r="J2576" s="114">
        <v>6723</v>
      </c>
      <c r="K2576" s="114">
        <v>1277</v>
      </c>
      <c r="L2576" s="114" t="str">
        <f t="shared" si="40"/>
        <v>INSERT INTO DETALLES_DOCUMENTO(NRO_DOCUMENTO,ID_TIPO,ID_PRODUCTO,CANTIDAD,PRECIO,VALOR_BRUTO,VALOR_NETO,VALOR_IVA) VALUES(1249,1,143,1,8000,8000,6723,1277);</v>
      </c>
    </row>
    <row r="2577" spans="1:12">
      <c r="A2577" s="114">
        <v>1</v>
      </c>
      <c r="B2577" s="114">
        <v>1250</v>
      </c>
      <c r="C2577" s="139" t="s">
        <v>2372</v>
      </c>
      <c r="D2577" s="114" t="s">
        <v>2090</v>
      </c>
      <c r="E2577" s="114">
        <v>72</v>
      </c>
      <c r="F2577" s="114">
        <v>329</v>
      </c>
      <c r="G2577" s="114">
        <v>1</v>
      </c>
      <c r="H2577" s="114">
        <v>6000</v>
      </c>
      <c r="I2577" s="114">
        <v>6000</v>
      </c>
      <c r="J2577" s="114">
        <v>5042</v>
      </c>
      <c r="K2577" s="114">
        <v>958</v>
      </c>
      <c r="L2577" s="114" t="str">
        <f t="shared" si="40"/>
        <v>INSERT INTO DETALLES_DOCUMENTO(NRO_DOCUMENTO,ID_TIPO,ID_PRODUCTO,CANTIDAD,PRECIO,VALOR_BRUTO,VALOR_NETO,VALOR_IVA) VALUES(1250,1,329,1,6000,6000,5042,958);</v>
      </c>
    </row>
    <row r="2578" spans="1:12">
      <c r="A2578" s="114">
        <v>1</v>
      </c>
      <c r="B2578" s="114">
        <v>1251</v>
      </c>
      <c r="C2578" s="139" t="s">
        <v>2372</v>
      </c>
      <c r="D2578" s="114" t="s">
        <v>2090</v>
      </c>
      <c r="E2578" s="114">
        <v>135</v>
      </c>
      <c r="F2578" s="114">
        <v>143</v>
      </c>
      <c r="G2578" s="114">
        <v>2</v>
      </c>
      <c r="H2578" s="114">
        <v>15800</v>
      </c>
      <c r="I2578" s="114">
        <v>31600</v>
      </c>
      <c r="J2578" s="114">
        <v>26555</v>
      </c>
      <c r="K2578" s="114">
        <v>5045</v>
      </c>
      <c r="L2578" s="114" t="str">
        <f t="shared" si="40"/>
        <v>INSERT INTO DETALLES_DOCUMENTO(NRO_DOCUMENTO,ID_TIPO,ID_PRODUCTO,CANTIDAD,PRECIO,VALOR_BRUTO,VALOR_NETO,VALOR_IVA) VALUES(1251,1,143,2,15800,31600,26555,5045);</v>
      </c>
    </row>
    <row r="2579" spans="1:12">
      <c r="A2579" s="114">
        <v>1</v>
      </c>
      <c r="B2579" s="114">
        <v>1252</v>
      </c>
      <c r="C2579" s="139" t="s">
        <v>2372</v>
      </c>
      <c r="D2579" s="114" t="s">
        <v>2090</v>
      </c>
      <c r="E2579" s="114">
        <v>155</v>
      </c>
      <c r="F2579" s="114">
        <v>143</v>
      </c>
      <c r="G2579" s="114">
        <v>1</v>
      </c>
      <c r="H2579" s="114">
        <v>8000</v>
      </c>
      <c r="I2579" s="114">
        <v>8000</v>
      </c>
      <c r="J2579" s="114">
        <v>6723</v>
      </c>
      <c r="K2579" s="114">
        <v>1277</v>
      </c>
      <c r="L2579" s="114" t="str">
        <f t="shared" si="40"/>
        <v>INSERT INTO DETALLES_DOCUMENTO(NRO_DOCUMENTO,ID_TIPO,ID_PRODUCTO,CANTIDAD,PRECIO,VALOR_BRUTO,VALOR_NETO,VALOR_IVA) VALUES(1252,1,143,1,8000,8000,6723,1277);</v>
      </c>
    </row>
    <row r="2580" spans="1:12">
      <c r="A2580" s="114">
        <v>1</v>
      </c>
      <c r="B2580" s="114">
        <v>1253</v>
      </c>
      <c r="C2580" s="139" t="s">
        <v>2372</v>
      </c>
      <c r="D2580" s="114" t="s">
        <v>2090</v>
      </c>
      <c r="E2580" s="114">
        <v>254</v>
      </c>
      <c r="F2580" s="114">
        <v>230</v>
      </c>
      <c r="G2580" s="114">
        <v>1</v>
      </c>
      <c r="H2580" s="114">
        <v>16500</v>
      </c>
      <c r="I2580" s="114">
        <v>16500</v>
      </c>
      <c r="J2580" s="114">
        <v>13866</v>
      </c>
      <c r="K2580" s="114">
        <v>2634</v>
      </c>
      <c r="L2580" s="114" t="str">
        <f t="shared" si="40"/>
        <v>INSERT INTO DETALLES_DOCUMENTO(NRO_DOCUMENTO,ID_TIPO,ID_PRODUCTO,CANTIDAD,PRECIO,VALOR_BRUTO,VALOR_NETO,VALOR_IVA) VALUES(1253,1,230,1,16500,16500,13866,2634);</v>
      </c>
    </row>
    <row r="2581" spans="1:12">
      <c r="A2581" s="114">
        <v>1</v>
      </c>
      <c r="B2581" s="114">
        <v>1253</v>
      </c>
      <c r="C2581" s="139" t="s">
        <v>2372</v>
      </c>
      <c r="D2581" s="114" t="s">
        <v>2090</v>
      </c>
      <c r="E2581" s="114">
        <v>254</v>
      </c>
      <c r="F2581" s="114">
        <v>368</v>
      </c>
      <c r="G2581" s="114">
        <v>1</v>
      </c>
      <c r="H2581" s="114">
        <v>3000</v>
      </c>
      <c r="I2581" s="114">
        <v>3000</v>
      </c>
      <c r="J2581" s="114">
        <v>2521</v>
      </c>
      <c r="K2581" s="114">
        <v>479</v>
      </c>
      <c r="L2581" s="114" t="str">
        <f t="shared" si="40"/>
        <v>INSERT INTO DETALLES_DOCUMENTO(NRO_DOCUMENTO,ID_TIPO,ID_PRODUCTO,CANTIDAD,PRECIO,VALOR_BRUTO,VALOR_NETO,VALOR_IVA) VALUES(1253,1,368,1,3000,3000,2521,479);</v>
      </c>
    </row>
    <row r="2582" spans="1:12">
      <c r="A2582" s="114">
        <v>1</v>
      </c>
      <c r="B2582" s="114">
        <v>1253</v>
      </c>
      <c r="C2582" s="139" t="s">
        <v>2372</v>
      </c>
      <c r="D2582" s="114" t="s">
        <v>2090</v>
      </c>
      <c r="E2582" s="114">
        <v>254</v>
      </c>
      <c r="F2582" s="114">
        <v>117</v>
      </c>
      <c r="G2582" s="114">
        <v>1</v>
      </c>
      <c r="H2582" s="114">
        <v>3500</v>
      </c>
      <c r="I2582" s="114">
        <v>3500</v>
      </c>
      <c r="J2582" s="114">
        <v>2941</v>
      </c>
      <c r="K2582" s="114">
        <v>559</v>
      </c>
      <c r="L2582" s="114" t="str">
        <f t="shared" si="40"/>
        <v>INSERT INTO DETALLES_DOCUMENTO(NRO_DOCUMENTO,ID_TIPO,ID_PRODUCTO,CANTIDAD,PRECIO,VALOR_BRUTO,VALOR_NETO,VALOR_IVA) VALUES(1253,1,117,1,3500,3500,2941,559);</v>
      </c>
    </row>
    <row r="2583" spans="1:12">
      <c r="A2583" s="114">
        <v>1</v>
      </c>
      <c r="B2583" s="114">
        <v>1253</v>
      </c>
      <c r="C2583" s="139" t="s">
        <v>2372</v>
      </c>
      <c r="D2583" s="114" t="s">
        <v>2090</v>
      </c>
      <c r="E2583" s="114">
        <v>254</v>
      </c>
      <c r="F2583" s="114">
        <v>165</v>
      </c>
      <c r="G2583" s="114">
        <v>1</v>
      </c>
      <c r="H2583" s="114">
        <v>2000</v>
      </c>
      <c r="I2583" s="114">
        <v>2000</v>
      </c>
      <c r="J2583" s="114">
        <v>1681</v>
      </c>
      <c r="K2583" s="114">
        <v>319</v>
      </c>
      <c r="L2583" s="114" t="str">
        <f t="shared" si="40"/>
        <v>INSERT INTO DETALLES_DOCUMENTO(NRO_DOCUMENTO,ID_TIPO,ID_PRODUCTO,CANTIDAD,PRECIO,VALOR_BRUTO,VALOR_NETO,VALOR_IVA) VALUES(1253,1,165,1,2000,2000,1681,319);</v>
      </c>
    </row>
    <row r="2584" spans="1:12">
      <c r="A2584" s="114">
        <v>1</v>
      </c>
      <c r="B2584" s="114">
        <v>1254</v>
      </c>
      <c r="C2584" s="139" t="s">
        <v>2372</v>
      </c>
      <c r="D2584" s="114" t="s">
        <v>2090</v>
      </c>
      <c r="E2584" s="114">
        <v>408</v>
      </c>
      <c r="F2584" s="114">
        <v>261</v>
      </c>
      <c r="G2584" s="114">
        <v>1</v>
      </c>
      <c r="H2584" s="114">
        <v>7000</v>
      </c>
      <c r="I2584" s="114">
        <v>7000</v>
      </c>
      <c r="J2584" s="114">
        <v>5882</v>
      </c>
      <c r="K2584" s="114">
        <v>1118</v>
      </c>
      <c r="L2584" s="114" t="str">
        <f t="shared" si="40"/>
        <v>INSERT INTO DETALLES_DOCUMENTO(NRO_DOCUMENTO,ID_TIPO,ID_PRODUCTO,CANTIDAD,PRECIO,VALOR_BRUTO,VALOR_NETO,VALOR_IVA) VALUES(1254,1,261,1,7000,7000,5882,1118);</v>
      </c>
    </row>
    <row r="2585" spans="1:12">
      <c r="A2585" s="114">
        <v>1</v>
      </c>
      <c r="B2585" s="114">
        <v>1254</v>
      </c>
      <c r="C2585" s="139" t="s">
        <v>2372</v>
      </c>
      <c r="D2585" s="114" t="s">
        <v>2090</v>
      </c>
      <c r="E2585" s="114">
        <v>408</v>
      </c>
      <c r="F2585" s="114">
        <v>369</v>
      </c>
      <c r="G2585" s="114">
        <v>1</v>
      </c>
      <c r="H2585" s="114">
        <v>10500</v>
      </c>
      <c r="I2585" s="114">
        <v>10500</v>
      </c>
      <c r="J2585" s="114">
        <v>8824</v>
      </c>
      <c r="K2585" s="114">
        <v>1676</v>
      </c>
      <c r="L2585" s="114" t="str">
        <f t="shared" si="40"/>
        <v>INSERT INTO DETALLES_DOCUMENTO(NRO_DOCUMENTO,ID_TIPO,ID_PRODUCTO,CANTIDAD,PRECIO,VALOR_BRUTO,VALOR_NETO,VALOR_IVA) VALUES(1254,1,369,1,10500,10500,8824,1676);</v>
      </c>
    </row>
    <row r="2586" spans="1:12">
      <c r="A2586" s="114">
        <v>1</v>
      </c>
      <c r="B2586" s="114">
        <v>1255</v>
      </c>
      <c r="C2586" s="139" t="s">
        <v>2372</v>
      </c>
      <c r="D2586" s="114" t="s">
        <v>2090</v>
      </c>
      <c r="E2586" s="114">
        <v>411</v>
      </c>
      <c r="F2586" s="114">
        <v>261</v>
      </c>
      <c r="G2586" s="114">
        <v>1</v>
      </c>
      <c r="H2586" s="114">
        <v>7000</v>
      </c>
      <c r="I2586" s="114">
        <v>7000</v>
      </c>
      <c r="J2586" s="114">
        <v>5882</v>
      </c>
      <c r="K2586" s="114">
        <v>1118</v>
      </c>
      <c r="L2586" s="114" t="str">
        <f t="shared" si="40"/>
        <v>INSERT INTO DETALLES_DOCUMENTO(NRO_DOCUMENTO,ID_TIPO,ID_PRODUCTO,CANTIDAD,PRECIO,VALOR_BRUTO,VALOR_NETO,VALOR_IVA) VALUES(1255,1,261,1,7000,7000,5882,1118);</v>
      </c>
    </row>
    <row r="2587" spans="1:12">
      <c r="A2587" s="114">
        <v>1</v>
      </c>
      <c r="B2587" s="114">
        <v>1255</v>
      </c>
      <c r="C2587" s="139" t="s">
        <v>2372</v>
      </c>
      <c r="D2587" s="114" t="s">
        <v>2090</v>
      </c>
      <c r="E2587" s="114">
        <v>411</v>
      </c>
      <c r="F2587" s="114">
        <v>322</v>
      </c>
      <c r="G2587" s="114">
        <v>1</v>
      </c>
      <c r="H2587" s="114">
        <v>9000</v>
      </c>
      <c r="I2587" s="114">
        <v>9000</v>
      </c>
      <c r="J2587" s="114">
        <v>7563</v>
      </c>
      <c r="K2587" s="114">
        <v>1437</v>
      </c>
      <c r="L2587" s="114" t="str">
        <f t="shared" si="40"/>
        <v>INSERT INTO DETALLES_DOCUMENTO(NRO_DOCUMENTO,ID_TIPO,ID_PRODUCTO,CANTIDAD,PRECIO,VALOR_BRUTO,VALOR_NETO,VALOR_IVA) VALUES(1255,1,322,1,9000,9000,7563,1437);</v>
      </c>
    </row>
    <row r="2588" spans="1:12">
      <c r="A2588" s="114">
        <v>1</v>
      </c>
      <c r="B2588" s="114">
        <v>1255</v>
      </c>
      <c r="C2588" s="139" t="s">
        <v>2372</v>
      </c>
      <c r="D2588" s="114" t="s">
        <v>2090</v>
      </c>
      <c r="E2588" s="114">
        <v>411</v>
      </c>
      <c r="F2588" s="114">
        <v>143</v>
      </c>
      <c r="G2588" s="114">
        <v>1</v>
      </c>
      <c r="H2588" s="114">
        <v>8000</v>
      </c>
      <c r="I2588" s="114">
        <v>8000</v>
      </c>
      <c r="J2588" s="114">
        <v>6723</v>
      </c>
      <c r="K2588" s="114">
        <v>1277</v>
      </c>
      <c r="L2588" s="114" t="str">
        <f t="shared" si="40"/>
        <v>INSERT INTO DETALLES_DOCUMENTO(NRO_DOCUMENTO,ID_TIPO,ID_PRODUCTO,CANTIDAD,PRECIO,VALOR_BRUTO,VALOR_NETO,VALOR_IVA) VALUES(1255,1,143,1,8000,8000,6723,1277);</v>
      </c>
    </row>
    <row r="2589" spans="1:12">
      <c r="A2589" s="114">
        <v>1</v>
      </c>
      <c r="B2589" s="114">
        <v>1256</v>
      </c>
      <c r="C2589" s="139" t="s">
        <v>2373</v>
      </c>
      <c r="D2589" s="114" t="s">
        <v>2090</v>
      </c>
      <c r="E2589" s="114">
        <v>23</v>
      </c>
      <c r="F2589" s="114">
        <v>143</v>
      </c>
      <c r="G2589" s="114">
        <v>1</v>
      </c>
      <c r="H2589" s="114">
        <v>8000</v>
      </c>
      <c r="I2589" s="114">
        <v>8000</v>
      </c>
      <c r="J2589" s="114">
        <v>6723</v>
      </c>
      <c r="K2589" s="114">
        <v>1277</v>
      </c>
      <c r="L2589" s="114" t="str">
        <f t="shared" si="40"/>
        <v>INSERT INTO DETALLES_DOCUMENTO(NRO_DOCUMENTO,ID_TIPO,ID_PRODUCTO,CANTIDAD,PRECIO,VALOR_BRUTO,VALOR_NETO,VALOR_IVA) VALUES(1256,1,143,1,8000,8000,6723,1277);</v>
      </c>
    </row>
    <row r="2590" spans="1:12">
      <c r="A2590" s="114">
        <v>1</v>
      </c>
      <c r="B2590" s="114">
        <v>1257</v>
      </c>
      <c r="C2590" s="139" t="s">
        <v>2373</v>
      </c>
      <c r="D2590" s="114" t="s">
        <v>2090</v>
      </c>
      <c r="E2590" s="114">
        <v>108</v>
      </c>
      <c r="F2590" s="114">
        <v>191</v>
      </c>
      <c r="G2590" s="114">
        <v>1</v>
      </c>
      <c r="H2590" s="114">
        <v>2500</v>
      </c>
      <c r="I2590" s="114">
        <v>2500</v>
      </c>
      <c r="J2590" s="114">
        <v>2101</v>
      </c>
      <c r="K2590" s="114">
        <v>399</v>
      </c>
      <c r="L2590" s="114" t="str">
        <f t="shared" si="40"/>
        <v>INSERT INTO DETALLES_DOCUMENTO(NRO_DOCUMENTO,ID_TIPO,ID_PRODUCTO,CANTIDAD,PRECIO,VALOR_BRUTO,VALOR_NETO,VALOR_IVA) VALUES(1257,1,191,1,2500,2500,2101,399);</v>
      </c>
    </row>
    <row r="2591" spans="1:12">
      <c r="A2591" s="114">
        <v>1</v>
      </c>
      <c r="B2591" s="114">
        <v>1258</v>
      </c>
      <c r="C2591" s="139" t="s">
        <v>2373</v>
      </c>
      <c r="D2591" s="114" t="s">
        <v>2090</v>
      </c>
      <c r="E2591" s="114">
        <v>407</v>
      </c>
      <c r="F2591" s="114">
        <v>143</v>
      </c>
      <c r="G2591" s="114">
        <v>1</v>
      </c>
      <c r="H2591" s="114">
        <v>8000</v>
      </c>
      <c r="I2591" s="114">
        <v>8000</v>
      </c>
      <c r="J2591" s="114">
        <v>6723</v>
      </c>
      <c r="K2591" s="114">
        <v>1277</v>
      </c>
      <c r="L2591" s="114" t="str">
        <f t="shared" si="40"/>
        <v>INSERT INTO DETALLES_DOCUMENTO(NRO_DOCUMENTO,ID_TIPO,ID_PRODUCTO,CANTIDAD,PRECIO,VALOR_BRUTO,VALOR_NETO,VALOR_IVA) VALUES(1258,1,143,1,8000,8000,6723,1277);</v>
      </c>
    </row>
    <row r="2592" spans="1:12">
      <c r="A2592" s="114">
        <v>1</v>
      </c>
      <c r="B2592" s="114">
        <v>1259</v>
      </c>
      <c r="C2592" s="139" t="s">
        <v>2373</v>
      </c>
      <c r="D2592" s="114" t="s">
        <v>2090</v>
      </c>
      <c r="E2592" s="114">
        <v>427</v>
      </c>
      <c r="F2592" s="114">
        <v>231</v>
      </c>
      <c r="G2592" s="114">
        <v>1</v>
      </c>
      <c r="H2592" s="114">
        <v>20900</v>
      </c>
      <c r="I2592" s="114">
        <v>20900</v>
      </c>
      <c r="J2592" s="114">
        <v>17563</v>
      </c>
      <c r="K2592" s="114">
        <v>3337</v>
      </c>
      <c r="L2592" s="114" t="str">
        <f t="shared" si="40"/>
        <v>INSERT INTO DETALLES_DOCUMENTO(NRO_DOCUMENTO,ID_TIPO,ID_PRODUCTO,CANTIDAD,PRECIO,VALOR_BRUTO,VALOR_NETO,VALOR_IVA) VALUES(1259,1,231,1,20900,20900,17563,3337);</v>
      </c>
    </row>
    <row r="2593" spans="1:12">
      <c r="A2593" s="114">
        <v>1</v>
      </c>
      <c r="B2593" s="114">
        <v>1259</v>
      </c>
      <c r="C2593" s="139" t="s">
        <v>2373</v>
      </c>
      <c r="D2593" s="114" t="s">
        <v>2090</v>
      </c>
      <c r="E2593" s="114">
        <v>427</v>
      </c>
      <c r="F2593" s="114">
        <v>368</v>
      </c>
      <c r="G2593" s="114">
        <v>1</v>
      </c>
      <c r="H2593" s="114">
        <v>3000</v>
      </c>
      <c r="I2593" s="114">
        <v>3000</v>
      </c>
      <c r="J2593" s="114">
        <v>2521</v>
      </c>
      <c r="K2593" s="114">
        <v>479</v>
      </c>
      <c r="L2593" s="114" t="str">
        <f t="shared" si="40"/>
        <v>INSERT INTO DETALLES_DOCUMENTO(NRO_DOCUMENTO,ID_TIPO,ID_PRODUCTO,CANTIDAD,PRECIO,VALOR_BRUTO,VALOR_NETO,VALOR_IVA) VALUES(1259,1,368,1,3000,3000,2521,479);</v>
      </c>
    </row>
    <row r="2594" spans="1:12">
      <c r="A2594" s="114">
        <v>1</v>
      </c>
      <c r="B2594" s="114">
        <v>1260</v>
      </c>
      <c r="C2594" s="139" t="s">
        <v>2373</v>
      </c>
      <c r="D2594" s="114" t="s">
        <v>2090</v>
      </c>
      <c r="E2594" s="114">
        <v>483</v>
      </c>
      <c r="F2594" s="114">
        <v>49</v>
      </c>
      <c r="G2594" s="114">
        <v>1</v>
      </c>
      <c r="H2594" s="114">
        <v>4200</v>
      </c>
      <c r="I2594" s="114">
        <v>4200</v>
      </c>
      <c r="J2594" s="114">
        <v>3529</v>
      </c>
      <c r="K2594" s="114">
        <v>671</v>
      </c>
      <c r="L2594" s="114" t="str">
        <f t="shared" si="40"/>
        <v>INSERT INTO DETALLES_DOCUMENTO(NRO_DOCUMENTO,ID_TIPO,ID_PRODUCTO,CANTIDAD,PRECIO,VALOR_BRUTO,VALOR_NETO,VALOR_IVA) VALUES(1260,1,49,1,4200,4200,3529,671);</v>
      </c>
    </row>
    <row r="2595" spans="1:12">
      <c r="A2595" s="114">
        <v>1</v>
      </c>
      <c r="B2595" s="114">
        <v>1260</v>
      </c>
      <c r="C2595" s="139" t="s">
        <v>2373</v>
      </c>
      <c r="D2595" s="114" t="s">
        <v>2090</v>
      </c>
      <c r="E2595" s="114">
        <v>483</v>
      </c>
      <c r="F2595" s="114">
        <v>45</v>
      </c>
      <c r="G2595" s="114">
        <v>2</v>
      </c>
      <c r="H2595" s="114">
        <v>3200</v>
      </c>
      <c r="I2595" s="114">
        <v>6400</v>
      </c>
      <c r="J2595" s="114">
        <v>5378</v>
      </c>
      <c r="K2595" s="114">
        <v>1022</v>
      </c>
      <c r="L2595" s="114" t="str">
        <f t="shared" si="40"/>
        <v>INSERT INTO DETALLES_DOCUMENTO(NRO_DOCUMENTO,ID_TIPO,ID_PRODUCTO,CANTIDAD,PRECIO,VALOR_BRUTO,VALOR_NETO,VALOR_IVA) VALUES(1260,1,45,2,3200,6400,5378,1022);</v>
      </c>
    </row>
    <row r="2596" spans="1:12">
      <c r="A2596" s="114">
        <v>1</v>
      </c>
      <c r="B2596" s="114">
        <v>1260</v>
      </c>
      <c r="C2596" s="139" t="s">
        <v>2373</v>
      </c>
      <c r="D2596" s="114" t="s">
        <v>2090</v>
      </c>
      <c r="E2596" s="114">
        <v>483</v>
      </c>
      <c r="F2596" s="114">
        <v>124</v>
      </c>
      <c r="G2596" s="114">
        <v>1</v>
      </c>
      <c r="H2596" s="114">
        <v>4000</v>
      </c>
      <c r="I2596" s="114">
        <v>4000</v>
      </c>
      <c r="J2596" s="114">
        <v>3361</v>
      </c>
      <c r="K2596" s="114">
        <v>639</v>
      </c>
      <c r="L2596" s="114" t="str">
        <f t="shared" si="40"/>
        <v>INSERT INTO DETALLES_DOCUMENTO(NRO_DOCUMENTO,ID_TIPO,ID_PRODUCTO,CANTIDAD,PRECIO,VALOR_BRUTO,VALOR_NETO,VALOR_IVA) VALUES(1260,1,124,1,4000,4000,3361,639);</v>
      </c>
    </row>
    <row r="2597" spans="1:12">
      <c r="A2597" s="114">
        <v>1</v>
      </c>
      <c r="B2597" s="114">
        <v>1260</v>
      </c>
      <c r="C2597" s="139" t="s">
        <v>2373</v>
      </c>
      <c r="D2597" s="114" t="s">
        <v>2090</v>
      </c>
      <c r="E2597" s="114">
        <v>483</v>
      </c>
      <c r="F2597" s="114">
        <v>288</v>
      </c>
      <c r="G2597" s="114">
        <v>1</v>
      </c>
      <c r="H2597" s="114">
        <v>8500</v>
      </c>
      <c r="I2597" s="114">
        <v>8500</v>
      </c>
      <c r="J2597" s="114">
        <v>7143</v>
      </c>
      <c r="K2597" s="114">
        <v>1357</v>
      </c>
      <c r="L2597" s="114" t="str">
        <f t="shared" si="40"/>
        <v>INSERT INTO DETALLES_DOCUMENTO(NRO_DOCUMENTO,ID_TIPO,ID_PRODUCTO,CANTIDAD,PRECIO,VALOR_BRUTO,VALOR_NETO,VALOR_IVA) VALUES(1260,1,288,1,8500,8500,7143,1357);</v>
      </c>
    </row>
    <row r="2598" spans="1:12">
      <c r="A2598" s="114">
        <v>1</v>
      </c>
      <c r="B2598" s="114">
        <v>1260</v>
      </c>
      <c r="C2598" s="139" t="s">
        <v>2373</v>
      </c>
      <c r="D2598" s="114" t="s">
        <v>2090</v>
      </c>
      <c r="E2598" s="114">
        <v>483</v>
      </c>
      <c r="F2598" s="114">
        <v>12</v>
      </c>
      <c r="G2598" s="114">
        <v>1</v>
      </c>
      <c r="H2598" s="114">
        <v>700</v>
      </c>
      <c r="I2598" s="114">
        <v>700</v>
      </c>
      <c r="J2598" s="114">
        <v>588</v>
      </c>
      <c r="K2598" s="114">
        <v>112</v>
      </c>
      <c r="L2598" s="114" t="str">
        <f t="shared" si="40"/>
        <v>INSERT INTO DETALLES_DOCUMENTO(NRO_DOCUMENTO,ID_TIPO,ID_PRODUCTO,CANTIDAD,PRECIO,VALOR_BRUTO,VALOR_NETO,VALOR_IVA) VALUES(1260,1,12,1,700,700,588,112);</v>
      </c>
    </row>
    <row r="2599" spans="1:12">
      <c r="A2599" s="114">
        <v>1</v>
      </c>
      <c r="B2599" s="114">
        <v>1260</v>
      </c>
      <c r="C2599" s="139" t="s">
        <v>2373</v>
      </c>
      <c r="D2599" s="114" t="s">
        <v>2090</v>
      </c>
      <c r="E2599" s="114">
        <v>483</v>
      </c>
      <c r="F2599" s="114">
        <v>267</v>
      </c>
      <c r="G2599" s="114">
        <v>2</v>
      </c>
      <c r="H2599" s="114">
        <v>3200</v>
      </c>
      <c r="I2599" s="114">
        <v>6400</v>
      </c>
      <c r="J2599" s="114">
        <v>5378</v>
      </c>
      <c r="K2599" s="114">
        <v>1022</v>
      </c>
      <c r="L2599" s="114" t="str">
        <f t="shared" si="40"/>
        <v>INSERT INTO DETALLES_DOCUMENTO(NRO_DOCUMENTO,ID_TIPO,ID_PRODUCTO,CANTIDAD,PRECIO,VALOR_BRUTO,VALOR_NETO,VALOR_IVA) VALUES(1260,1,267,2,3200,6400,5378,1022);</v>
      </c>
    </row>
    <row r="2600" spans="1:12">
      <c r="A2600" s="114">
        <v>1</v>
      </c>
      <c r="B2600" s="114">
        <v>1260</v>
      </c>
      <c r="C2600" s="139" t="s">
        <v>2373</v>
      </c>
      <c r="D2600" s="114" t="s">
        <v>2090</v>
      </c>
      <c r="E2600" s="114">
        <v>483</v>
      </c>
      <c r="F2600" s="114">
        <v>26</v>
      </c>
      <c r="G2600" s="114">
        <v>1</v>
      </c>
      <c r="H2600" s="114">
        <v>3400</v>
      </c>
      <c r="I2600" s="114">
        <v>3400</v>
      </c>
      <c r="J2600" s="114">
        <v>2857</v>
      </c>
      <c r="K2600" s="114">
        <v>543</v>
      </c>
      <c r="L2600" s="114" t="str">
        <f t="shared" si="40"/>
        <v>INSERT INTO DETALLES_DOCUMENTO(NRO_DOCUMENTO,ID_TIPO,ID_PRODUCTO,CANTIDAD,PRECIO,VALOR_BRUTO,VALOR_NETO,VALOR_IVA) VALUES(1260,1,26,1,3400,3400,2857,543);</v>
      </c>
    </row>
    <row r="2601" spans="1:12">
      <c r="A2601" s="114">
        <v>1</v>
      </c>
      <c r="B2601" s="114">
        <v>1260</v>
      </c>
      <c r="C2601" s="139" t="s">
        <v>2373</v>
      </c>
      <c r="D2601" s="114" t="s">
        <v>2090</v>
      </c>
      <c r="E2601" s="114">
        <v>483</v>
      </c>
      <c r="F2601" s="114">
        <v>24</v>
      </c>
      <c r="G2601" s="114">
        <v>1</v>
      </c>
      <c r="H2601" s="114">
        <v>1650</v>
      </c>
      <c r="I2601" s="114">
        <v>1650</v>
      </c>
      <c r="J2601" s="114">
        <v>1387</v>
      </c>
      <c r="K2601" s="114">
        <v>263</v>
      </c>
      <c r="L2601" s="114" t="str">
        <f t="shared" si="40"/>
        <v>INSERT INTO DETALLES_DOCUMENTO(NRO_DOCUMENTO,ID_TIPO,ID_PRODUCTO,CANTIDAD,PRECIO,VALOR_BRUTO,VALOR_NETO,VALOR_IVA) VALUES(1260,1,24,1,1650,1650,1387,263);</v>
      </c>
    </row>
    <row r="2602" spans="1:12">
      <c r="A2602" s="114">
        <v>1</v>
      </c>
      <c r="B2602" s="114">
        <v>1260</v>
      </c>
      <c r="C2602" s="139" t="s">
        <v>2373</v>
      </c>
      <c r="D2602" s="114" t="s">
        <v>2090</v>
      </c>
      <c r="E2602" s="114">
        <v>483</v>
      </c>
      <c r="F2602" s="114">
        <v>259</v>
      </c>
      <c r="G2602" s="114">
        <v>1</v>
      </c>
      <c r="H2602" s="114">
        <v>4500</v>
      </c>
      <c r="I2602" s="114">
        <v>4500</v>
      </c>
      <c r="J2602" s="114">
        <v>3782</v>
      </c>
      <c r="K2602" s="114">
        <v>718</v>
      </c>
      <c r="L2602" s="114" t="str">
        <f t="shared" si="40"/>
        <v>INSERT INTO DETALLES_DOCUMENTO(NRO_DOCUMENTO,ID_TIPO,ID_PRODUCTO,CANTIDAD,PRECIO,VALOR_BRUTO,VALOR_NETO,VALOR_IVA) VALUES(1260,1,259,1,4500,4500,3782,718);</v>
      </c>
    </row>
    <row r="2603" spans="1:12">
      <c r="A2603" s="114">
        <v>1</v>
      </c>
      <c r="B2603" s="114">
        <v>1260</v>
      </c>
      <c r="C2603" s="139" t="s">
        <v>2373</v>
      </c>
      <c r="D2603" s="114" t="s">
        <v>2090</v>
      </c>
      <c r="E2603" s="114">
        <v>483</v>
      </c>
      <c r="F2603" s="114">
        <v>150</v>
      </c>
      <c r="G2603" s="114">
        <v>1</v>
      </c>
      <c r="H2603" s="114">
        <v>4200</v>
      </c>
      <c r="I2603" s="114">
        <v>4200</v>
      </c>
      <c r="J2603" s="114">
        <v>3529</v>
      </c>
      <c r="K2603" s="114">
        <v>671</v>
      </c>
      <c r="L2603" s="114" t="str">
        <f t="shared" si="40"/>
        <v>INSERT INTO DETALLES_DOCUMENTO(NRO_DOCUMENTO,ID_TIPO,ID_PRODUCTO,CANTIDAD,PRECIO,VALOR_BRUTO,VALOR_NETO,VALOR_IVA) VALUES(1260,1,150,1,4200,4200,3529,671);</v>
      </c>
    </row>
    <row r="2604" spans="1:12">
      <c r="A2604" s="114">
        <v>1</v>
      </c>
      <c r="B2604" s="114">
        <v>1260</v>
      </c>
      <c r="C2604" s="139" t="s">
        <v>2373</v>
      </c>
      <c r="D2604" s="114" t="s">
        <v>2090</v>
      </c>
      <c r="E2604" s="114">
        <v>483</v>
      </c>
      <c r="F2604" s="114">
        <v>99</v>
      </c>
      <c r="G2604" s="114">
        <v>2</v>
      </c>
      <c r="H2604" s="114">
        <v>3400</v>
      </c>
      <c r="I2604" s="114">
        <v>6800</v>
      </c>
      <c r="J2604" s="114">
        <v>5714</v>
      </c>
      <c r="K2604" s="114">
        <v>1086</v>
      </c>
      <c r="L2604" s="114" t="str">
        <f t="shared" si="40"/>
        <v>INSERT INTO DETALLES_DOCUMENTO(NRO_DOCUMENTO,ID_TIPO,ID_PRODUCTO,CANTIDAD,PRECIO,VALOR_BRUTO,VALOR_NETO,VALOR_IVA) VALUES(1260,1,99,2,3400,6800,5714,1086);</v>
      </c>
    </row>
    <row r="2605" spans="1:12">
      <c r="A2605" s="114">
        <v>1</v>
      </c>
      <c r="B2605" s="114">
        <v>1260</v>
      </c>
      <c r="C2605" s="139" t="s">
        <v>2373</v>
      </c>
      <c r="D2605" s="114" t="s">
        <v>2090</v>
      </c>
      <c r="E2605" s="114">
        <v>483</v>
      </c>
      <c r="F2605" s="114">
        <v>231</v>
      </c>
      <c r="G2605" s="114">
        <v>1</v>
      </c>
      <c r="H2605" s="114">
        <v>20900</v>
      </c>
      <c r="I2605" s="114">
        <v>20900</v>
      </c>
      <c r="J2605" s="114">
        <v>17563</v>
      </c>
      <c r="K2605" s="114">
        <v>3337</v>
      </c>
      <c r="L2605" s="114" t="str">
        <f t="shared" si="40"/>
        <v>INSERT INTO DETALLES_DOCUMENTO(NRO_DOCUMENTO,ID_TIPO,ID_PRODUCTO,CANTIDAD,PRECIO,VALOR_BRUTO,VALOR_NETO,VALOR_IVA) VALUES(1260,1,231,1,20900,20900,17563,3337);</v>
      </c>
    </row>
    <row r="2606" spans="1:12">
      <c r="A2606" s="114">
        <v>1</v>
      </c>
      <c r="B2606" s="114">
        <v>1260</v>
      </c>
      <c r="C2606" s="139" t="s">
        <v>2373</v>
      </c>
      <c r="D2606" s="114" t="s">
        <v>2090</v>
      </c>
      <c r="E2606" s="114">
        <v>483</v>
      </c>
      <c r="F2606" s="114">
        <v>228</v>
      </c>
      <c r="G2606" s="114">
        <v>1</v>
      </c>
      <c r="H2606" s="114">
        <v>21500</v>
      </c>
      <c r="I2606" s="114">
        <v>21500</v>
      </c>
      <c r="J2606" s="114">
        <v>18067</v>
      </c>
      <c r="K2606" s="114">
        <v>3433</v>
      </c>
      <c r="L2606" s="114" t="str">
        <f t="shared" si="40"/>
        <v>INSERT INTO DETALLES_DOCUMENTO(NRO_DOCUMENTO,ID_TIPO,ID_PRODUCTO,CANTIDAD,PRECIO,VALOR_BRUTO,VALOR_NETO,VALOR_IVA) VALUES(1260,1,228,1,21500,21500,18067,3433);</v>
      </c>
    </row>
    <row r="2607" spans="1:12">
      <c r="A2607" s="114">
        <v>1</v>
      </c>
      <c r="B2607" s="114">
        <v>1260</v>
      </c>
      <c r="C2607" s="139" t="s">
        <v>2373</v>
      </c>
      <c r="D2607" s="114" t="s">
        <v>2090</v>
      </c>
      <c r="E2607" s="114">
        <v>483</v>
      </c>
      <c r="F2607" s="114">
        <v>166</v>
      </c>
      <c r="G2607" s="114">
        <v>2</v>
      </c>
      <c r="H2607" s="114">
        <v>3200</v>
      </c>
      <c r="I2607" s="114">
        <v>6400</v>
      </c>
      <c r="J2607" s="114">
        <v>5378</v>
      </c>
      <c r="K2607" s="114">
        <v>1022</v>
      </c>
      <c r="L2607" s="114" t="str">
        <f t="shared" si="40"/>
        <v>INSERT INTO DETALLES_DOCUMENTO(NRO_DOCUMENTO,ID_TIPO,ID_PRODUCTO,CANTIDAD,PRECIO,VALOR_BRUTO,VALOR_NETO,VALOR_IVA) VALUES(1260,1,166,2,3200,6400,5378,1022);</v>
      </c>
    </row>
    <row r="2608" spans="1:12">
      <c r="A2608" s="114">
        <v>1</v>
      </c>
      <c r="B2608" s="114">
        <v>1261</v>
      </c>
      <c r="C2608" s="139" t="s">
        <v>2374</v>
      </c>
      <c r="D2608" s="114" t="s">
        <v>2090</v>
      </c>
      <c r="E2608" s="114">
        <v>21</v>
      </c>
      <c r="F2608" s="114">
        <v>143</v>
      </c>
      <c r="G2608" s="114">
        <v>2</v>
      </c>
      <c r="H2608" s="114">
        <v>16000</v>
      </c>
      <c r="I2608" s="114">
        <v>32000</v>
      </c>
      <c r="J2608" s="114">
        <v>26891</v>
      </c>
      <c r="K2608" s="114">
        <v>5109</v>
      </c>
      <c r="L2608" s="114" t="str">
        <f t="shared" si="40"/>
        <v>INSERT INTO DETALLES_DOCUMENTO(NRO_DOCUMENTO,ID_TIPO,ID_PRODUCTO,CANTIDAD,PRECIO,VALOR_BRUTO,VALOR_NETO,VALOR_IVA) VALUES(1261,1,143,2,16000,32000,26891,5109);</v>
      </c>
    </row>
    <row r="2609" spans="1:12">
      <c r="A2609" s="114">
        <v>1</v>
      </c>
      <c r="B2609" s="114">
        <v>1262</v>
      </c>
      <c r="C2609" s="139" t="s">
        <v>2374</v>
      </c>
      <c r="D2609" s="114" t="s">
        <v>2090</v>
      </c>
      <c r="E2609" s="114">
        <v>41</v>
      </c>
      <c r="F2609" s="114">
        <v>143</v>
      </c>
      <c r="G2609" s="114">
        <v>2</v>
      </c>
      <c r="H2609" s="114">
        <v>16000</v>
      </c>
      <c r="I2609" s="114">
        <v>32000</v>
      </c>
      <c r="J2609" s="114">
        <v>26891</v>
      </c>
      <c r="K2609" s="114">
        <v>5109</v>
      </c>
      <c r="L2609" s="114" t="str">
        <f t="shared" si="40"/>
        <v>INSERT INTO DETALLES_DOCUMENTO(NRO_DOCUMENTO,ID_TIPO,ID_PRODUCTO,CANTIDAD,PRECIO,VALOR_BRUTO,VALOR_NETO,VALOR_IVA) VALUES(1262,1,143,2,16000,32000,26891,5109);</v>
      </c>
    </row>
    <row r="2610" spans="1:12">
      <c r="A2610" s="114">
        <v>1</v>
      </c>
      <c r="B2610" s="114">
        <v>1263</v>
      </c>
      <c r="C2610" s="139" t="s">
        <v>2374</v>
      </c>
      <c r="D2610" s="114" t="s">
        <v>2090</v>
      </c>
      <c r="E2610" s="114">
        <v>163</v>
      </c>
      <c r="F2610" s="114">
        <v>231</v>
      </c>
      <c r="G2610" s="114">
        <v>1</v>
      </c>
      <c r="H2610" s="114">
        <v>20900</v>
      </c>
      <c r="I2610" s="114">
        <v>20900</v>
      </c>
      <c r="J2610" s="114">
        <v>17563</v>
      </c>
      <c r="K2610" s="114">
        <v>3337</v>
      </c>
      <c r="L2610" s="114" t="str">
        <f t="shared" si="40"/>
        <v>INSERT INTO DETALLES_DOCUMENTO(NRO_DOCUMENTO,ID_TIPO,ID_PRODUCTO,CANTIDAD,PRECIO,VALOR_BRUTO,VALOR_NETO,VALOR_IVA) VALUES(1263,1,231,1,20900,20900,17563,3337);</v>
      </c>
    </row>
    <row r="2611" spans="1:12">
      <c r="A2611" s="114">
        <v>1</v>
      </c>
      <c r="B2611" s="114">
        <v>1264</v>
      </c>
      <c r="C2611" s="139" t="s">
        <v>2374</v>
      </c>
      <c r="D2611" s="114" t="s">
        <v>2090</v>
      </c>
      <c r="E2611" s="114">
        <v>212</v>
      </c>
      <c r="F2611" s="114">
        <v>143</v>
      </c>
      <c r="G2611" s="114">
        <v>1</v>
      </c>
      <c r="H2611" s="114">
        <v>8000</v>
      </c>
      <c r="I2611" s="114">
        <v>8000</v>
      </c>
      <c r="J2611" s="114">
        <v>6723</v>
      </c>
      <c r="K2611" s="114">
        <v>1277</v>
      </c>
      <c r="L2611" s="114" t="str">
        <f t="shared" si="40"/>
        <v>INSERT INTO DETALLES_DOCUMENTO(NRO_DOCUMENTO,ID_TIPO,ID_PRODUCTO,CANTIDAD,PRECIO,VALOR_BRUTO,VALOR_NETO,VALOR_IVA) VALUES(1264,1,143,1,8000,8000,6723,1277);</v>
      </c>
    </row>
    <row r="2612" spans="1:12">
      <c r="A2612" s="114">
        <v>1</v>
      </c>
      <c r="B2612" s="114">
        <v>1265</v>
      </c>
      <c r="C2612" s="139" t="s">
        <v>2374</v>
      </c>
      <c r="D2612" s="114" t="s">
        <v>2090</v>
      </c>
      <c r="E2612" s="114">
        <v>229</v>
      </c>
      <c r="F2612" s="114">
        <v>143</v>
      </c>
      <c r="G2612" s="114">
        <v>2</v>
      </c>
      <c r="H2612" s="114">
        <v>16000</v>
      </c>
      <c r="I2612" s="114">
        <v>32000</v>
      </c>
      <c r="J2612" s="114">
        <v>26891</v>
      </c>
      <c r="K2612" s="114">
        <v>5109</v>
      </c>
      <c r="L2612" s="114" t="str">
        <f t="shared" si="40"/>
        <v>INSERT INTO DETALLES_DOCUMENTO(NRO_DOCUMENTO,ID_TIPO,ID_PRODUCTO,CANTIDAD,PRECIO,VALOR_BRUTO,VALOR_NETO,VALOR_IVA) VALUES(1265,1,143,2,16000,32000,26891,5109);</v>
      </c>
    </row>
    <row r="2613" spans="1:12">
      <c r="A2613" s="114">
        <v>1</v>
      </c>
      <c r="B2613" s="114">
        <v>1266</v>
      </c>
      <c r="C2613" s="139" t="s">
        <v>2374</v>
      </c>
      <c r="D2613" s="114" t="s">
        <v>2090</v>
      </c>
      <c r="E2613" s="114">
        <v>306</v>
      </c>
      <c r="F2613" s="114">
        <v>324</v>
      </c>
      <c r="G2613" s="114">
        <v>2</v>
      </c>
      <c r="H2613" s="114">
        <v>22000</v>
      </c>
      <c r="I2613" s="114">
        <v>44000</v>
      </c>
      <c r="J2613" s="114">
        <v>36975</v>
      </c>
      <c r="K2613" s="114">
        <v>7025</v>
      </c>
      <c r="L2613" s="114" t="str">
        <f t="shared" si="40"/>
        <v>INSERT INTO DETALLES_DOCUMENTO(NRO_DOCUMENTO,ID_TIPO,ID_PRODUCTO,CANTIDAD,PRECIO,VALOR_BRUTO,VALOR_NETO,VALOR_IVA) VALUES(1266,1,324,2,22000,44000,36975,7025);</v>
      </c>
    </row>
    <row r="2614" spans="1:12">
      <c r="A2614" s="114">
        <v>1</v>
      </c>
      <c r="B2614" s="114">
        <v>1267</v>
      </c>
      <c r="C2614" s="139" t="s">
        <v>2374</v>
      </c>
      <c r="D2614" s="114" t="s">
        <v>2090</v>
      </c>
      <c r="E2614" s="114">
        <v>343</v>
      </c>
      <c r="F2614" s="114">
        <v>143</v>
      </c>
      <c r="G2614" s="114">
        <v>2</v>
      </c>
      <c r="H2614" s="114">
        <v>16000</v>
      </c>
      <c r="I2614" s="114">
        <v>32000</v>
      </c>
      <c r="J2614" s="114">
        <v>26891</v>
      </c>
      <c r="K2614" s="114">
        <v>5109</v>
      </c>
      <c r="L2614" s="114" t="str">
        <f t="shared" si="40"/>
        <v>INSERT INTO DETALLES_DOCUMENTO(NRO_DOCUMENTO,ID_TIPO,ID_PRODUCTO,CANTIDAD,PRECIO,VALOR_BRUTO,VALOR_NETO,VALOR_IVA) VALUES(1267,1,143,2,16000,32000,26891,5109);</v>
      </c>
    </row>
    <row r="2615" spans="1:12">
      <c r="A2615" s="114">
        <v>1</v>
      </c>
      <c r="B2615" s="114">
        <v>1268</v>
      </c>
      <c r="C2615" s="139" t="s">
        <v>2374</v>
      </c>
      <c r="D2615" s="114" t="s">
        <v>2090</v>
      </c>
      <c r="E2615" s="114">
        <v>376</v>
      </c>
      <c r="F2615" s="114">
        <v>143</v>
      </c>
      <c r="G2615" s="114">
        <v>1</v>
      </c>
      <c r="H2615" s="114">
        <v>8000</v>
      </c>
      <c r="I2615" s="114">
        <v>8000</v>
      </c>
      <c r="J2615" s="114">
        <v>6723</v>
      </c>
      <c r="K2615" s="114">
        <v>1277</v>
      </c>
      <c r="L2615" s="114" t="str">
        <f t="shared" si="40"/>
        <v>INSERT INTO DETALLES_DOCUMENTO(NRO_DOCUMENTO,ID_TIPO,ID_PRODUCTO,CANTIDAD,PRECIO,VALOR_BRUTO,VALOR_NETO,VALOR_IVA) VALUES(1268,1,143,1,8000,8000,6723,1277);</v>
      </c>
    </row>
    <row r="2616" spans="1:12">
      <c r="A2616" s="114">
        <v>1</v>
      </c>
      <c r="B2616" s="114">
        <v>1269</v>
      </c>
      <c r="C2616" s="139" t="s">
        <v>2374</v>
      </c>
      <c r="D2616" s="114" t="s">
        <v>2090</v>
      </c>
      <c r="E2616" s="114">
        <v>393</v>
      </c>
      <c r="F2616" s="114">
        <v>53</v>
      </c>
      <c r="G2616" s="114">
        <v>1</v>
      </c>
      <c r="H2616" s="114">
        <v>4200</v>
      </c>
      <c r="I2616" s="114">
        <v>4200</v>
      </c>
      <c r="J2616" s="114">
        <v>3529</v>
      </c>
      <c r="K2616" s="114">
        <v>671</v>
      </c>
      <c r="L2616" s="114" t="str">
        <f t="shared" si="40"/>
        <v>INSERT INTO DETALLES_DOCUMENTO(NRO_DOCUMENTO,ID_TIPO,ID_PRODUCTO,CANTIDAD,PRECIO,VALOR_BRUTO,VALOR_NETO,VALOR_IVA) VALUES(1269,1,53,1,4200,4200,3529,671);</v>
      </c>
    </row>
    <row r="2617" spans="1:12">
      <c r="A2617" s="114">
        <v>1</v>
      </c>
      <c r="B2617" s="114">
        <v>1269</v>
      </c>
      <c r="C2617" s="139" t="s">
        <v>2374</v>
      </c>
      <c r="D2617" s="114" t="s">
        <v>2090</v>
      </c>
      <c r="E2617" s="114">
        <v>393</v>
      </c>
      <c r="F2617" s="114">
        <v>153</v>
      </c>
      <c r="G2617" s="114">
        <v>1</v>
      </c>
      <c r="H2617" s="114">
        <v>1200</v>
      </c>
      <c r="I2617" s="114">
        <v>1200</v>
      </c>
      <c r="J2617" s="114">
        <v>1008</v>
      </c>
      <c r="K2617" s="114">
        <v>192</v>
      </c>
      <c r="L2617" s="114" t="str">
        <f t="shared" si="40"/>
        <v>INSERT INTO DETALLES_DOCUMENTO(NRO_DOCUMENTO,ID_TIPO,ID_PRODUCTO,CANTIDAD,PRECIO,VALOR_BRUTO,VALOR_NETO,VALOR_IVA) VALUES(1269,1,153,1,1200,1200,1008,192);</v>
      </c>
    </row>
    <row r="2618" spans="1:12">
      <c r="A2618" s="114">
        <v>1</v>
      </c>
      <c r="B2618" s="114">
        <v>1270</v>
      </c>
      <c r="C2618" s="139" t="s">
        <v>2374</v>
      </c>
      <c r="D2618" s="114" t="s">
        <v>2090</v>
      </c>
      <c r="E2618" s="114">
        <v>436</v>
      </c>
      <c r="F2618" s="114">
        <v>230</v>
      </c>
      <c r="G2618" s="114">
        <v>1</v>
      </c>
      <c r="H2618" s="114">
        <v>16500</v>
      </c>
      <c r="I2618" s="114">
        <v>16500</v>
      </c>
      <c r="J2618" s="114">
        <v>13866</v>
      </c>
      <c r="K2618" s="114">
        <v>2634</v>
      </c>
      <c r="L2618" s="114" t="str">
        <f t="shared" si="40"/>
        <v>INSERT INTO DETALLES_DOCUMENTO(NRO_DOCUMENTO,ID_TIPO,ID_PRODUCTO,CANTIDAD,PRECIO,VALOR_BRUTO,VALOR_NETO,VALOR_IVA) VALUES(1270,1,230,1,16500,16500,13866,2634);</v>
      </c>
    </row>
    <row r="2619" spans="1:12">
      <c r="A2619" s="114">
        <v>1</v>
      </c>
      <c r="B2619" s="114">
        <v>1270</v>
      </c>
      <c r="C2619" s="139" t="s">
        <v>2374</v>
      </c>
      <c r="D2619" s="114" t="s">
        <v>2090</v>
      </c>
      <c r="E2619" s="114">
        <v>436</v>
      </c>
      <c r="F2619" s="114">
        <v>358</v>
      </c>
      <c r="G2619" s="114">
        <v>1</v>
      </c>
      <c r="H2619" s="114">
        <v>2500</v>
      </c>
      <c r="I2619" s="114">
        <v>2500</v>
      </c>
      <c r="J2619" s="114">
        <v>2101</v>
      </c>
      <c r="K2619" s="114">
        <v>399</v>
      </c>
      <c r="L2619" s="114" t="str">
        <f t="shared" si="40"/>
        <v>INSERT INTO DETALLES_DOCUMENTO(NRO_DOCUMENTO,ID_TIPO,ID_PRODUCTO,CANTIDAD,PRECIO,VALOR_BRUTO,VALOR_NETO,VALOR_IVA) VALUES(1270,1,358,1,2500,2500,2101,399);</v>
      </c>
    </row>
    <row r="2620" spans="1:12">
      <c r="A2620" s="114">
        <v>1</v>
      </c>
      <c r="B2620" s="114">
        <v>1270</v>
      </c>
      <c r="C2620" s="139" t="s">
        <v>2374</v>
      </c>
      <c r="D2620" s="114" t="s">
        <v>2090</v>
      </c>
      <c r="E2620" s="114">
        <v>436</v>
      </c>
      <c r="F2620" s="114">
        <v>143</v>
      </c>
      <c r="G2620" s="114">
        <v>1</v>
      </c>
      <c r="H2620" s="114">
        <v>8000</v>
      </c>
      <c r="I2620" s="114">
        <v>8000</v>
      </c>
      <c r="J2620" s="114">
        <v>6723</v>
      </c>
      <c r="K2620" s="114">
        <v>1277</v>
      </c>
      <c r="L2620" s="114" t="str">
        <f t="shared" si="40"/>
        <v>INSERT INTO DETALLES_DOCUMENTO(NRO_DOCUMENTO,ID_TIPO,ID_PRODUCTO,CANTIDAD,PRECIO,VALOR_BRUTO,VALOR_NETO,VALOR_IVA) VALUES(1270,1,143,1,8000,8000,6723,1277);</v>
      </c>
    </row>
    <row r="2621" spans="1:12">
      <c r="A2621" s="114">
        <v>1</v>
      </c>
      <c r="B2621" s="114">
        <v>1271</v>
      </c>
      <c r="C2621" s="139" t="s">
        <v>2374</v>
      </c>
      <c r="D2621" s="114" t="s">
        <v>2090</v>
      </c>
      <c r="E2621" s="114">
        <v>446</v>
      </c>
      <c r="F2621" s="114">
        <v>69</v>
      </c>
      <c r="G2621" s="114">
        <v>1</v>
      </c>
      <c r="H2621" s="114">
        <v>3000</v>
      </c>
      <c r="I2621" s="114">
        <v>3000</v>
      </c>
      <c r="J2621" s="114">
        <v>2521</v>
      </c>
      <c r="K2621" s="114">
        <v>479</v>
      </c>
      <c r="L2621" s="114" t="str">
        <f t="shared" si="40"/>
        <v>INSERT INTO DETALLES_DOCUMENTO(NRO_DOCUMENTO,ID_TIPO,ID_PRODUCTO,CANTIDAD,PRECIO,VALOR_BRUTO,VALOR_NETO,VALOR_IVA) VALUES(1271,1,69,1,3000,3000,2521,479);</v>
      </c>
    </row>
    <row r="2622" spans="1:12">
      <c r="A2622" s="114">
        <v>1</v>
      </c>
      <c r="B2622" s="114">
        <v>1272</v>
      </c>
      <c r="C2622" s="139" t="s">
        <v>2374</v>
      </c>
      <c r="D2622" s="114" t="s">
        <v>2090</v>
      </c>
      <c r="E2622" s="114">
        <v>477</v>
      </c>
      <c r="F2622" s="114">
        <v>29</v>
      </c>
      <c r="G2622" s="114">
        <v>1</v>
      </c>
      <c r="H2622" s="114">
        <v>1000</v>
      </c>
      <c r="I2622" s="114">
        <v>1000</v>
      </c>
      <c r="J2622" s="114">
        <v>840</v>
      </c>
      <c r="K2622" s="114">
        <v>160</v>
      </c>
      <c r="L2622" s="114" t="str">
        <f t="shared" si="40"/>
        <v>INSERT INTO DETALLES_DOCUMENTO(NRO_DOCUMENTO,ID_TIPO,ID_PRODUCTO,CANTIDAD,PRECIO,VALOR_BRUTO,VALOR_NETO,VALOR_IVA) VALUES(1272,1,29,1,1000,1000,840,160);</v>
      </c>
    </row>
    <row r="2623" spans="1:12">
      <c r="A2623" s="114">
        <v>1</v>
      </c>
      <c r="B2623" s="114">
        <v>1272</v>
      </c>
      <c r="C2623" s="139" t="s">
        <v>2374</v>
      </c>
      <c r="D2623" s="114" t="s">
        <v>2090</v>
      </c>
      <c r="E2623" s="114">
        <v>477</v>
      </c>
      <c r="F2623" s="114">
        <v>165</v>
      </c>
      <c r="G2623" s="114">
        <v>1</v>
      </c>
      <c r="H2623" s="114">
        <v>2000</v>
      </c>
      <c r="I2623" s="114">
        <v>2000</v>
      </c>
      <c r="J2623" s="114">
        <v>1681</v>
      </c>
      <c r="K2623" s="114">
        <v>319</v>
      </c>
      <c r="L2623" s="114" t="str">
        <f t="shared" si="40"/>
        <v>INSERT INTO DETALLES_DOCUMENTO(NRO_DOCUMENTO,ID_TIPO,ID_PRODUCTO,CANTIDAD,PRECIO,VALOR_BRUTO,VALOR_NETO,VALOR_IVA) VALUES(1272,1,165,1,2000,2000,1681,319);</v>
      </c>
    </row>
    <row r="2624" spans="1:12">
      <c r="A2624" s="114">
        <v>1</v>
      </c>
      <c r="B2624" s="114">
        <v>1272</v>
      </c>
      <c r="C2624" s="139" t="s">
        <v>2374</v>
      </c>
      <c r="D2624" s="114" t="s">
        <v>2090</v>
      </c>
      <c r="E2624" s="114">
        <v>477</v>
      </c>
      <c r="F2624" s="114">
        <v>117</v>
      </c>
      <c r="G2624" s="114">
        <v>1</v>
      </c>
      <c r="H2624" s="114">
        <v>3500</v>
      </c>
      <c r="I2624" s="114">
        <v>3500</v>
      </c>
      <c r="J2624" s="114">
        <v>2941</v>
      </c>
      <c r="K2624" s="114">
        <v>559</v>
      </c>
      <c r="L2624" s="114" t="str">
        <f t="shared" si="40"/>
        <v>INSERT INTO DETALLES_DOCUMENTO(NRO_DOCUMENTO,ID_TIPO,ID_PRODUCTO,CANTIDAD,PRECIO,VALOR_BRUTO,VALOR_NETO,VALOR_IVA) VALUES(1272,1,117,1,3500,3500,2941,559);</v>
      </c>
    </row>
    <row r="2625" spans="1:12">
      <c r="A2625" s="114">
        <v>1</v>
      </c>
      <c r="B2625" s="114">
        <v>1272</v>
      </c>
      <c r="C2625" s="139" t="s">
        <v>2374</v>
      </c>
      <c r="D2625" s="114" t="s">
        <v>2090</v>
      </c>
      <c r="E2625" s="114">
        <v>477</v>
      </c>
      <c r="F2625" s="114">
        <v>57</v>
      </c>
      <c r="G2625" s="114">
        <v>1</v>
      </c>
      <c r="H2625" s="114">
        <v>4000</v>
      </c>
      <c r="I2625" s="114">
        <v>4000</v>
      </c>
      <c r="J2625" s="114">
        <v>3361</v>
      </c>
      <c r="K2625" s="114">
        <v>639</v>
      </c>
      <c r="L2625" s="114" t="str">
        <f t="shared" si="40"/>
        <v>INSERT INTO DETALLES_DOCUMENTO(NRO_DOCUMENTO,ID_TIPO,ID_PRODUCTO,CANTIDAD,PRECIO,VALOR_BRUTO,VALOR_NETO,VALOR_IVA) VALUES(1272,1,57,1,4000,4000,3361,639);</v>
      </c>
    </row>
    <row r="2626" spans="1:12">
      <c r="A2626" s="114">
        <v>1</v>
      </c>
      <c r="B2626" s="114">
        <v>1272</v>
      </c>
      <c r="C2626" s="139" t="s">
        <v>2374</v>
      </c>
      <c r="D2626" s="114" t="s">
        <v>2090</v>
      </c>
      <c r="E2626" s="114">
        <v>477</v>
      </c>
      <c r="F2626" s="114">
        <v>231</v>
      </c>
      <c r="G2626" s="114">
        <v>1</v>
      </c>
      <c r="H2626" s="114">
        <v>20900</v>
      </c>
      <c r="I2626" s="114">
        <v>20900</v>
      </c>
      <c r="J2626" s="114">
        <v>17563</v>
      </c>
      <c r="K2626" s="114">
        <v>3337</v>
      </c>
      <c r="L2626" s="114" t="str">
        <f t="shared" si="40"/>
        <v>INSERT INTO DETALLES_DOCUMENTO(NRO_DOCUMENTO,ID_TIPO,ID_PRODUCTO,CANTIDAD,PRECIO,VALOR_BRUTO,VALOR_NETO,VALOR_IVA) VALUES(1272,1,231,1,20900,20900,17563,3337);</v>
      </c>
    </row>
    <row r="2627" spans="1:12">
      <c r="A2627" s="114">
        <v>1</v>
      </c>
      <c r="B2627" s="114">
        <v>1272</v>
      </c>
      <c r="C2627" s="139" t="s">
        <v>2374</v>
      </c>
      <c r="D2627" s="114" t="s">
        <v>2090</v>
      </c>
      <c r="E2627" s="114">
        <v>477</v>
      </c>
      <c r="F2627" s="114">
        <v>365</v>
      </c>
      <c r="G2627" s="114">
        <v>1</v>
      </c>
      <c r="H2627" s="114">
        <v>3200</v>
      </c>
      <c r="I2627" s="114">
        <v>3200</v>
      </c>
      <c r="J2627" s="114">
        <v>2689</v>
      </c>
      <c r="K2627" s="114">
        <v>511</v>
      </c>
      <c r="L2627" s="114" t="str">
        <f t="shared" ref="L2627:L2690" si="41">CONCATENATE("INSERT INTO DETALLES_DOCUMENTO(NRO_DOCUMENTO,ID_TIPO,ID_PRODUCTO,CANTIDAD,PRECIO,VALOR_BRUTO,VALOR_NETO,VALOR_IVA) VALUES(",B2627,",",A2627,",",F2627,",",G2627,",",H2627,",",I2627,",",J2627,",",K2627,");")</f>
        <v>INSERT INTO DETALLES_DOCUMENTO(NRO_DOCUMENTO,ID_TIPO,ID_PRODUCTO,CANTIDAD,PRECIO,VALOR_BRUTO,VALOR_NETO,VALOR_IVA) VALUES(1272,1,365,1,3200,3200,2689,511);</v>
      </c>
    </row>
    <row r="2628" spans="1:12">
      <c r="A2628" s="114">
        <v>1</v>
      </c>
      <c r="B2628" s="114">
        <v>1273</v>
      </c>
      <c r="C2628" s="139" t="s">
        <v>2375</v>
      </c>
      <c r="D2628" s="114" t="s">
        <v>2090</v>
      </c>
      <c r="E2628" s="114">
        <v>108</v>
      </c>
      <c r="F2628" s="114">
        <v>191</v>
      </c>
      <c r="G2628" s="114">
        <v>2</v>
      </c>
      <c r="H2628" s="114">
        <v>5000</v>
      </c>
      <c r="I2628" s="114">
        <v>10000</v>
      </c>
      <c r="J2628" s="114">
        <v>8403</v>
      </c>
      <c r="K2628" s="114">
        <v>1597</v>
      </c>
      <c r="L2628" s="114" t="str">
        <f t="shared" si="41"/>
        <v>INSERT INTO DETALLES_DOCUMENTO(NRO_DOCUMENTO,ID_TIPO,ID_PRODUCTO,CANTIDAD,PRECIO,VALOR_BRUTO,VALOR_NETO,VALOR_IVA) VALUES(1273,1,191,2,5000,10000,8403,1597);</v>
      </c>
    </row>
    <row r="2629" spans="1:12">
      <c r="A2629" s="114">
        <v>1</v>
      </c>
      <c r="B2629" s="114">
        <v>1274</v>
      </c>
      <c r="C2629" s="139" t="s">
        <v>2375</v>
      </c>
      <c r="D2629" s="114" t="s">
        <v>2090</v>
      </c>
      <c r="E2629" s="114">
        <v>363</v>
      </c>
      <c r="F2629" s="114">
        <v>329</v>
      </c>
      <c r="G2629" s="114">
        <v>1</v>
      </c>
      <c r="H2629" s="114">
        <v>6000</v>
      </c>
      <c r="I2629" s="114">
        <v>6000</v>
      </c>
      <c r="J2629" s="114">
        <v>5042</v>
      </c>
      <c r="K2629" s="114">
        <v>958</v>
      </c>
      <c r="L2629" s="114" t="str">
        <f t="shared" si="41"/>
        <v>INSERT INTO DETALLES_DOCUMENTO(NRO_DOCUMENTO,ID_TIPO,ID_PRODUCTO,CANTIDAD,PRECIO,VALOR_BRUTO,VALOR_NETO,VALOR_IVA) VALUES(1274,1,329,1,6000,6000,5042,958);</v>
      </c>
    </row>
    <row r="2630" spans="1:12">
      <c r="A2630" s="114">
        <v>1</v>
      </c>
      <c r="B2630" s="114">
        <v>1274</v>
      </c>
      <c r="C2630" s="139" t="s">
        <v>2375</v>
      </c>
      <c r="D2630" s="114" t="s">
        <v>2090</v>
      </c>
      <c r="E2630" s="114">
        <v>363</v>
      </c>
      <c r="F2630" s="114">
        <v>143</v>
      </c>
      <c r="G2630" s="114">
        <v>1</v>
      </c>
      <c r="H2630" s="114">
        <v>8000</v>
      </c>
      <c r="I2630" s="114">
        <v>8000</v>
      </c>
      <c r="J2630" s="114">
        <v>6723</v>
      </c>
      <c r="K2630" s="114">
        <v>1277</v>
      </c>
      <c r="L2630" s="114" t="str">
        <f t="shared" si="41"/>
        <v>INSERT INTO DETALLES_DOCUMENTO(NRO_DOCUMENTO,ID_TIPO,ID_PRODUCTO,CANTIDAD,PRECIO,VALOR_BRUTO,VALOR_NETO,VALOR_IVA) VALUES(1274,1,143,1,8000,8000,6723,1277);</v>
      </c>
    </row>
    <row r="2631" spans="1:12">
      <c r="A2631" s="114">
        <v>1</v>
      </c>
      <c r="B2631" s="114">
        <v>1275</v>
      </c>
      <c r="C2631" s="139" t="s">
        <v>2376</v>
      </c>
      <c r="D2631" s="114" t="s">
        <v>2090</v>
      </c>
      <c r="E2631" s="114">
        <v>56</v>
      </c>
      <c r="F2631" s="114">
        <v>143</v>
      </c>
      <c r="G2631" s="114">
        <v>1</v>
      </c>
      <c r="H2631" s="114">
        <v>8000</v>
      </c>
      <c r="I2631" s="114">
        <v>8000</v>
      </c>
      <c r="J2631" s="114">
        <v>6723</v>
      </c>
      <c r="K2631" s="114">
        <v>1277</v>
      </c>
      <c r="L2631" s="114" t="str">
        <f t="shared" si="41"/>
        <v>INSERT INTO DETALLES_DOCUMENTO(NRO_DOCUMENTO,ID_TIPO,ID_PRODUCTO,CANTIDAD,PRECIO,VALOR_BRUTO,VALOR_NETO,VALOR_IVA) VALUES(1275,1,143,1,8000,8000,6723,1277);</v>
      </c>
    </row>
    <row r="2632" spans="1:12">
      <c r="A2632" s="114">
        <v>1</v>
      </c>
      <c r="B2632" s="114">
        <v>1276</v>
      </c>
      <c r="C2632" s="139" t="s">
        <v>2377</v>
      </c>
      <c r="D2632" s="114" t="s">
        <v>2090</v>
      </c>
      <c r="E2632" s="114">
        <v>56</v>
      </c>
      <c r="F2632" s="114">
        <v>231</v>
      </c>
      <c r="G2632" s="114">
        <v>1</v>
      </c>
      <c r="H2632" s="114">
        <v>20900</v>
      </c>
      <c r="I2632" s="114">
        <v>20900</v>
      </c>
      <c r="J2632" s="114">
        <v>17563</v>
      </c>
      <c r="K2632" s="114">
        <v>3337</v>
      </c>
      <c r="L2632" s="114" t="str">
        <f t="shared" si="41"/>
        <v>INSERT INTO DETALLES_DOCUMENTO(NRO_DOCUMENTO,ID_TIPO,ID_PRODUCTO,CANTIDAD,PRECIO,VALOR_BRUTO,VALOR_NETO,VALOR_IVA) VALUES(1276,1,231,1,20900,20900,17563,3337);</v>
      </c>
    </row>
    <row r="2633" spans="1:12">
      <c r="A2633" s="114">
        <v>1</v>
      </c>
      <c r="B2633" s="114">
        <v>1277</v>
      </c>
      <c r="C2633" s="139" t="s">
        <v>2377</v>
      </c>
      <c r="D2633" s="114" t="s">
        <v>2090</v>
      </c>
      <c r="E2633" s="114">
        <v>119</v>
      </c>
      <c r="F2633" s="114">
        <v>117</v>
      </c>
      <c r="G2633" s="114">
        <v>2</v>
      </c>
      <c r="H2633" s="114">
        <v>7000</v>
      </c>
      <c r="I2633" s="114">
        <v>14000</v>
      </c>
      <c r="J2633" s="114">
        <v>11765</v>
      </c>
      <c r="K2633" s="114">
        <v>2235</v>
      </c>
      <c r="L2633" s="114" t="str">
        <f t="shared" si="41"/>
        <v>INSERT INTO DETALLES_DOCUMENTO(NRO_DOCUMENTO,ID_TIPO,ID_PRODUCTO,CANTIDAD,PRECIO,VALOR_BRUTO,VALOR_NETO,VALOR_IVA) VALUES(1277,1,117,2,7000,14000,11765,2235);</v>
      </c>
    </row>
    <row r="2634" spans="1:12">
      <c r="A2634" s="114">
        <v>1</v>
      </c>
      <c r="B2634" s="114">
        <v>1277</v>
      </c>
      <c r="C2634" s="139" t="s">
        <v>2377</v>
      </c>
      <c r="D2634" s="114" t="s">
        <v>2090</v>
      </c>
      <c r="E2634" s="114">
        <v>119</v>
      </c>
      <c r="F2634" s="114">
        <v>97</v>
      </c>
      <c r="G2634" s="114">
        <v>1</v>
      </c>
      <c r="H2634" s="114">
        <v>2000</v>
      </c>
      <c r="I2634" s="114">
        <v>2000</v>
      </c>
      <c r="J2634" s="114">
        <v>1681</v>
      </c>
      <c r="K2634" s="114">
        <v>319</v>
      </c>
      <c r="L2634" s="114" t="str">
        <f t="shared" si="41"/>
        <v>INSERT INTO DETALLES_DOCUMENTO(NRO_DOCUMENTO,ID_TIPO,ID_PRODUCTO,CANTIDAD,PRECIO,VALOR_BRUTO,VALOR_NETO,VALOR_IVA) VALUES(1277,1,97,1,2000,2000,1681,319);</v>
      </c>
    </row>
    <row r="2635" spans="1:12">
      <c r="A2635" s="114">
        <v>1</v>
      </c>
      <c r="B2635" s="114">
        <v>1277</v>
      </c>
      <c r="C2635" s="139" t="s">
        <v>2377</v>
      </c>
      <c r="D2635" s="114" t="s">
        <v>2090</v>
      </c>
      <c r="E2635" s="114">
        <v>119</v>
      </c>
      <c r="F2635" s="114">
        <v>98</v>
      </c>
      <c r="G2635" s="114">
        <v>1</v>
      </c>
      <c r="H2635" s="114">
        <v>3500</v>
      </c>
      <c r="I2635" s="114">
        <v>3500</v>
      </c>
      <c r="J2635" s="114">
        <v>2941</v>
      </c>
      <c r="K2635" s="114">
        <v>559</v>
      </c>
      <c r="L2635" s="114" t="str">
        <f t="shared" si="41"/>
        <v>INSERT INTO DETALLES_DOCUMENTO(NRO_DOCUMENTO,ID_TIPO,ID_PRODUCTO,CANTIDAD,PRECIO,VALOR_BRUTO,VALOR_NETO,VALOR_IVA) VALUES(1277,1,98,1,3500,3500,2941,559);</v>
      </c>
    </row>
    <row r="2636" spans="1:12">
      <c r="A2636" s="114">
        <v>1</v>
      </c>
      <c r="B2636" s="114">
        <v>1277</v>
      </c>
      <c r="C2636" s="139" t="s">
        <v>2377</v>
      </c>
      <c r="D2636" s="114" t="s">
        <v>2090</v>
      </c>
      <c r="E2636" s="114">
        <v>119</v>
      </c>
      <c r="F2636" s="114">
        <v>143</v>
      </c>
      <c r="G2636" s="114">
        <v>1</v>
      </c>
      <c r="H2636" s="114">
        <v>8000</v>
      </c>
      <c r="I2636" s="114">
        <v>8000</v>
      </c>
      <c r="J2636" s="114">
        <v>6723</v>
      </c>
      <c r="K2636" s="114">
        <v>1277</v>
      </c>
      <c r="L2636" s="114" t="str">
        <f t="shared" si="41"/>
        <v>INSERT INTO DETALLES_DOCUMENTO(NRO_DOCUMENTO,ID_TIPO,ID_PRODUCTO,CANTIDAD,PRECIO,VALOR_BRUTO,VALOR_NETO,VALOR_IVA) VALUES(1277,1,143,1,8000,8000,6723,1277);</v>
      </c>
    </row>
    <row r="2637" spans="1:12">
      <c r="A2637" s="114">
        <v>1</v>
      </c>
      <c r="B2637" s="114">
        <v>1278</v>
      </c>
      <c r="C2637" s="139" t="s">
        <v>2377</v>
      </c>
      <c r="D2637" s="114" t="s">
        <v>2090</v>
      </c>
      <c r="E2637" s="114">
        <v>122</v>
      </c>
      <c r="F2637" s="114">
        <v>233</v>
      </c>
      <c r="G2637" s="114">
        <v>1</v>
      </c>
      <c r="H2637" s="114">
        <v>16000</v>
      </c>
      <c r="I2637" s="114">
        <v>16000</v>
      </c>
      <c r="J2637" s="114">
        <v>13445</v>
      </c>
      <c r="K2637" s="114">
        <v>2555</v>
      </c>
      <c r="L2637" s="114" t="str">
        <f t="shared" si="41"/>
        <v>INSERT INTO DETALLES_DOCUMENTO(NRO_DOCUMENTO,ID_TIPO,ID_PRODUCTO,CANTIDAD,PRECIO,VALOR_BRUTO,VALOR_NETO,VALOR_IVA) VALUES(1278,1,233,1,16000,16000,13445,2555);</v>
      </c>
    </row>
    <row r="2638" spans="1:12">
      <c r="A2638" s="114">
        <v>1</v>
      </c>
      <c r="B2638" s="114">
        <v>1278</v>
      </c>
      <c r="C2638" s="139" t="s">
        <v>2377</v>
      </c>
      <c r="D2638" s="114" t="s">
        <v>2090</v>
      </c>
      <c r="E2638" s="114">
        <v>122</v>
      </c>
      <c r="F2638" s="114">
        <v>369</v>
      </c>
      <c r="G2638" s="114">
        <v>1</v>
      </c>
      <c r="H2638" s="114">
        <v>10500</v>
      </c>
      <c r="I2638" s="114">
        <v>10500</v>
      </c>
      <c r="J2638" s="114">
        <v>8824</v>
      </c>
      <c r="K2638" s="114">
        <v>1676</v>
      </c>
      <c r="L2638" s="114" t="str">
        <f t="shared" si="41"/>
        <v>INSERT INTO DETALLES_DOCUMENTO(NRO_DOCUMENTO,ID_TIPO,ID_PRODUCTO,CANTIDAD,PRECIO,VALOR_BRUTO,VALOR_NETO,VALOR_IVA) VALUES(1278,1,369,1,10500,10500,8824,1676);</v>
      </c>
    </row>
    <row r="2639" spans="1:12">
      <c r="A2639" s="114">
        <v>1</v>
      </c>
      <c r="B2639" s="114">
        <v>1278</v>
      </c>
      <c r="C2639" s="139" t="s">
        <v>2377</v>
      </c>
      <c r="D2639" s="114" t="s">
        <v>2090</v>
      </c>
      <c r="E2639" s="114">
        <v>122</v>
      </c>
      <c r="F2639" s="114">
        <v>16</v>
      </c>
      <c r="G2639" s="114">
        <v>1</v>
      </c>
      <c r="H2639" s="114">
        <v>4200</v>
      </c>
      <c r="I2639" s="114">
        <v>4200</v>
      </c>
      <c r="J2639" s="114">
        <v>3529</v>
      </c>
      <c r="K2639" s="114">
        <v>671</v>
      </c>
      <c r="L2639" s="114" t="str">
        <f t="shared" si="41"/>
        <v>INSERT INTO DETALLES_DOCUMENTO(NRO_DOCUMENTO,ID_TIPO,ID_PRODUCTO,CANTIDAD,PRECIO,VALOR_BRUTO,VALOR_NETO,VALOR_IVA) VALUES(1278,1,16,1,4200,4200,3529,671);</v>
      </c>
    </row>
    <row r="2640" spans="1:12">
      <c r="A2640" s="114">
        <v>1</v>
      </c>
      <c r="B2640" s="114">
        <v>1279</v>
      </c>
      <c r="C2640" s="139" t="s">
        <v>2377</v>
      </c>
      <c r="D2640" s="114" t="s">
        <v>2090</v>
      </c>
      <c r="E2640" s="114">
        <v>166</v>
      </c>
      <c r="F2640" s="114">
        <v>118</v>
      </c>
      <c r="G2640" s="114">
        <v>1</v>
      </c>
      <c r="H2640" s="114">
        <v>3500</v>
      </c>
      <c r="I2640" s="114">
        <v>3500</v>
      </c>
      <c r="J2640" s="114">
        <v>2941</v>
      </c>
      <c r="K2640" s="114">
        <v>559</v>
      </c>
      <c r="L2640" s="114" t="str">
        <f t="shared" si="41"/>
        <v>INSERT INTO DETALLES_DOCUMENTO(NRO_DOCUMENTO,ID_TIPO,ID_PRODUCTO,CANTIDAD,PRECIO,VALOR_BRUTO,VALOR_NETO,VALOR_IVA) VALUES(1279,1,118,1,3500,3500,2941,559);</v>
      </c>
    </row>
    <row r="2641" spans="1:12">
      <c r="A2641" s="114">
        <v>1</v>
      </c>
      <c r="B2641" s="114">
        <v>1280</v>
      </c>
      <c r="C2641" s="139" t="s">
        <v>2377</v>
      </c>
      <c r="D2641" s="114" t="s">
        <v>2090</v>
      </c>
      <c r="E2641" s="114">
        <v>230</v>
      </c>
      <c r="F2641" s="114">
        <v>16</v>
      </c>
      <c r="G2641" s="114">
        <v>1</v>
      </c>
      <c r="H2641" s="114">
        <v>4200</v>
      </c>
      <c r="I2641" s="114">
        <v>4200</v>
      </c>
      <c r="J2641" s="114">
        <v>3529</v>
      </c>
      <c r="K2641" s="114">
        <v>671</v>
      </c>
      <c r="L2641" s="114" t="str">
        <f t="shared" si="41"/>
        <v>INSERT INTO DETALLES_DOCUMENTO(NRO_DOCUMENTO,ID_TIPO,ID_PRODUCTO,CANTIDAD,PRECIO,VALOR_BRUTO,VALOR_NETO,VALOR_IVA) VALUES(1280,1,16,1,4200,4200,3529,671);</v>
      </c>
    </row>
    <row r="2642" spans="1:12">
      <c r="A2642" s="114">
        <v>1</v>
      </c>
      <c r="B2642" s="114">
        <v>1280</v>
      </c>
      <c r="C2642" s="139" t="s">
        <v>2377</v>
      </c>
      <c r="D2642" s="114" t="s">
        <v>2090</v>
      </c>
      <c r="E2642" s="114">
        <v>230</v>
      </c>
      <c r="F2642" s="114">
        <v>99</v>
      </c>
      <c r="G2642" s="114">
        <v>2</v>
      </c>
      <c r="H2642" s="114">
        <v>3400</v>
      </c>
      <c r="I2642" s="114">
        <v>6800</v>
      </c>
      <c r="J2642" s="114">
        <v>5714</v>
      </c>
      <c r="K2642" s="114">
        <v>1086</v>
      </c>
      <c r="L2642" s="114" t="str">
        <f t="shared" si="41"/>
        <v>INSERT INTO DETALLES_DOCUMENTO(NRO_DOCUMENTO,ID_TIPO,ID_PRODUCTO,CANTIDAD,PRECIO,VALOR_BRUTO,VALOR_NETO,VALOR_IVA) VALUES(1280,1,99,2,3400,6800,5714,1086);</v>
      </c>
    </row>
    <row r="2643" spans="1:12">
      <c r="A2643" s="114">
        <v>1</v>
      </c>
      <c r="B2643" s="114">
        <v>1280</v>
      </c>
      <c r="C2643" s="139" t="s">
        <v>2377</v>
      </c>
      <c r="D2643" s="114" t="s">
        <v>2090</v>
      </c>
      <c r="E2643" s="114">
        <v>230</v>
      </c>
      <c r="F2643" s="114">
        <v>324</v>
      </c>
      <c r="G2643" s="114">
        <v>1</v>
      </c>
      <c r="H2643" s="114">
        <v>11000</v>
      </c>
      <c r="I2643" s="114">
        <v>11000</v>
      </c>
      <c r="J2643" s="114">
        <v>9244</v>
      </c>
      <c r="K2643" s="114">
        <v>1756</v>
      </c>
      <c r="L2643" s="114" t="str">
        <f t="shared" si="41"/>
        <v>INSERT INTO DETALLES_DOCUMENTO(NRO_DOCUMENTO,ID_TIPO,ID_PRODUCTO,CANTIDAD,PRECIO,VALOR_BRUTO,VALOR_NETO,VALOR_IVA) VALUES(1280,1,324,1,11000,11000,9244,1756);</v>
      </c>
    </row>
    <row r="2644" spans="1:12">
      <c r="A2644" s="114">
        <v>1</v>
      </c>
      <c r="B2644" s="114">
        <v>1281</v>
      </c>
      <c r="C2644" s="139" t="s">
        <v>2377</v>
      </c>
      <c r="D2644" s="114" t="s">
        <v>2090</v>
      </c>
      <c r="E2644" s="114">
        <v>300</v>
      </c>
      <c r="F2644" s="114">
        <v>329</v>
      </c>
      <c r="G2644" s="114">
        <v>1</v>
      </c>
      <c r="H2644" s="114">
        <v>6000</v>
      </c>
      <c r="I2644" s="114">
        <v>6000</v>
      </c>
      <c r="J2644" s="114">
        <v>5042</v>
      </c>
      <c r="K2644" s="114">
        <v>958</v>
      </c>
      <c r="L2644" s="114" t="str">
        <f t="shared" si="41"/>
        <v>INSERT INTO DETALLES_DOCUMENTO(NRO_DOCUMENTO,ID_TIPO,ID_PRODUCTO,CANTIDAD,PRECIO,VALOR_BRUTO,VALOR_NETO,VALOR_IVA) VALUES(1281,1,329,1,6000,6000,5042,958);</v>
      </c>
    </row>
    <row r="2645" spans="1:12">
      <c r="A2645" s="114">
        <v>1</v>
      </c>
      <c r="B2645" s="114">
        <v>1281</v>
      </c>
      <c r="C2645" s="139" t="s">
        <v>2377</v>
      </c>
      <c r="D2645" s="114" t="s">
        <v>2090</v>
      </c>
      <c r="E2645" s="114">
        <v>300</v>
      </c>
      <c r="F2645" s="114">
        <v>143</v>
      </c>
      <c r="G2645" s="114">
        <v>1</v>
      </c>
      <c r="H2645" s="114">
        <v>8000</v>
      </c>
      <c r="I2645" s="114">
        <v>8000</v>
      </c>
      <c r="J2645" s="114">
        <v>6723</v>
      </c>
      <c r="K2645" s="114">
        <v>1277</v>
      </c>
      <c r="L2645" s="114" t="str">
        <f t="shared" si="41"/>
        <v>INSERT INTO DETALLES_DOCUMENTO(NRO_DOCUMENTO,ID_TIPO,ID_PRODUCTO,CANTIDAD,PRECIO,VALOR_BRUTO,VALOR_NETO,VALOR_IVA) VALUES(1281,1,143,1,8000,8000,6723,1277);</v>
      </c>
    </row>
    <row r="2646" spans="1:12">
      <c r="A2646" s="114">
        <v>1</v>
      </c>
      <c r="B2646" s="114">
        <v>1281</v>
      </c>
      <c r="C2646" s="139" t="s">
        <v>2377</v>
      </c>
      <c r="D2646" s="114" t="s">
        <v>2090</v>
      </c>
      <c r="E2646" s="114">
        <v>300</v>
      </c>
      <c r="F2646" s="114">
        <v>191</v>
      </c>
      <c r="G2646" s="114">
        <v>2</v>
      </c>
      <c r="H2646" s="114">
        <v>5000</v>
      </c>
      <c r="I2646" s="114">
        <v>10000</v>
      </c>
      <c r="J2646" s="114">
        <v>8403</v>
      </c>
      <c r="K2646" s="114">
        <v>1597</v>
      </c>
      <c r="L2646" s="114" t="str">
        <f t="shared" si="41"/>
        <v>INSERT INTO DETALLES_DOCUMENTO(NRO_DOCUMENTO,ID_TIPO,ID_PRODUCTO,CANTIDAD,PRECIO,VALOR_BRUTO,VALOR_NETO,VALOR_IVA) VALUES(1281,1,191,2,5000,10000,8403,1597);</v>
      </c>
    </row>
    <row r="2647" spans="1:12">
      <c r="A2647" s="114">
        <v>1</v>
      </c>
      <c r="B2647" s="114">
        <v>1282</v>
      </c>
      <c r="C2647" s="139" t="s">
        <v>2377</v>
      </c>
      <c r="D2647" s="114" t="s">
        <v>2090</v>
      </c>
      <c r="E2647" s="114">
        <v>323</v>
      </c>
      <c r="F2647" s="114">
        <v>157</v>
      </c>
      <c r="G2647" s="114">
        <v>1</v>
      </c>
      <c r="H2647" s="114">
        <v>4300</v>
      </c>
      <c r="I2647" s="114">
        <v>4300</v>
      </c>
      <c r="J2647" s="114">
        <v>3613</v>
      </c>
      <c r="K2647" s="114">
        <v>687</v>
      </c>
      <c r="L2647" s="114" t="str">
        <f t="shared" si="41"/>
        <v>INSERT INTO DETALLES_DOCUMENTO(NRO_DOCUMENTO,ID_TIPO,ID_PRODUCTO,CANTIDAD,PRECIO,VALOR_BRUTO,VALOR_NETO,VALOR_IVA) VALUES(1282,1,157,1,4300,4300,3613,687);</v>
      </c>
    </row>
    <row r="2648" spans="1:12">
      <c r="A2648" s="114">
        <v>1</v>
      </c>
      <c r="B2648" s="114">
        <v>1282</v>
      </c>
      <c r="C2648" s="139" t="s">
        <v>2377</v>
      </c>
      <c r="D2648" s="114" t="s">
        <v>2090</v>
      </c>
      <c r="E2648" s="114">
        <v>323</v>
      </c>
      <c r="F2648" s="114">
        <v>283</v>
      </c>
      <c r="G2648" s="114">
        <v>1</v>
      </c>
      <c r="H2648" s="114">
        <v>7600</v>
      </c>
      <c r="I2648" s="114">
        <v>7600</v>
      </c>
      <c r="J2648" s="114">
        <v>6387</v>
      </c>
      <c r="K2648" s="114">
        <v>1213</v>
      </c>
      <c r="L2648" s="114" t="str">
        <f t="shared" si="41"/>
        <v>INSERT INTO DETALLES_DOCUMENTO(NRO_DOCUMENTO,ID_TIPO,ID_PRODUCTO,CANTIDAD,PRECIO,VALOR_BRUTO,VALOR_NETO,VALOR_IVA) VALUES(1282,1,283,1,7600,7600,6387,1213);</v>
      </c>
    </row>
    <row r="2649" spans="1:12">
      <c r="A2649" s="114">
        <v>1</v>
      </c>
      <c r="B2649" s="114">
        <v>1282</v>
      </c>
      <c r="C2649" s="139" t="s">
        <v>2377</v>
      </c>
      <c r="D2649" s="114" t="s">
        <v>2090</v>
      </c>
      <c r="E2649" s="114">
        <v>323</v>
      </c>
      <c r="F2649" s="114">
        <v>29</v>
      </c>
      <c r="G2649" s="114">
        <v>2</v>
      </c>
      <c r="H2649" s="114">
        <v>2000</v>
      </c>
      <c r="I2649" s="114">
        <v>4000</v>
      </c>
      <c r="J2649" s="114">
        <v>3361</v>
      </c>
      <c r="K2649" s="114">
        <v>639</v>
      </c>
      <c r="L2649" s="114" t="str">
        <f t="shared" si="41"/>
        <v>INSERT INTO DETALLES_DOCUMENTO(NRO_DOCUMENTO,ID_TIPO,ID_PRODUCTO,CANTIDAD,PRECIO,VALOR_BRUTO,VALOR_NETO,VALOR_IVA) VALUES(1282,1,29,2,2000,4000,3361,639);</v>
      </c>
    </row>
    <row r="2650" spans="1:12">
      <c r="A2650" s="114">
        <v>1</v>
      </c>
      <c r="B2650" s="114">
        <v>1283</v>
      </c>
      <c r="C2650" s="139" t="s">
        <v>2377</v>
      </c>
      <c r="D2650" s="114" t="s">
        <v>2090</v>
      </c>
      <c r="E2650" s="114">
        <v>353</v>
      </c>
      <c r="F2650" s="114">
        <v>230</v>
      </c>
      <c r="G2650" s="114">
        <v>1</v>
      </c>
      <c r="H2650" s="114">
        <v>16500</v>
      </c>
      <c r="I2650" s="114">
        <v>16500</v>
      </c>
      <c r="J2650" s="114">
        <v>13866</v>
      </c>
      <c r="K2650" s="114">
        <v>2634</v>
      </c>
      <c r="L2650" s="114" t="str">
        <f t="shared" si="41"/>
        <v>INSERT INTO DETALLES_DOCUMENTO(NRO_DOCUMENTO,ID_TIPO,ID_PRODUCTO,CANTIDAD,PRECIO,VALOR_BRUTO,VALOR_NETO,VALOR_IVA) VALUES(1283,1,230,1,16500,16500,13866,2634);</v>
      </c>
    </row>
    <row r="2651" spans="1:12">
      <c r="A2651" s="114">
        <v>1</v>
      </c>
      <c r="B2651" s="114">
        <v>1283</v>
      </c>
      <c r="C2651" s="139" t="s">
        <v>2377</v>
      </c>
      <c r="D2651" s="114" t="s">
        <v>2090</v>
      </c>
      <c r="E2651" s="114">
        <v>353</v>
      </c>
      <c r="F2651" s="114">
        <v>135</v>
      </c>
      <c r="G2651" s="114">
        <v>1</v>
      </c>
      <c r="H2651" s="114">
        <v>1000</v>
      </c>
      <c r="I2651" s="114">
        <v>1000</v>
      </c>
      <c r="J2651" s="114">
        <v>840</v>
      </c>
      <c r="K2651" s="114">
        <v>160</v>
      </c>
      <c r="L2651" s="114" t="str">
        <f t="shared" si="41"/>
        <v>INSERT INTO DETALLES_DOCUMENTO(NRO_DOCUMENTO,ID_TIPO,ID_PRODUCTO,CANTIDAD,PRECIO,VALOR_BRUTO,VALOR_NETO,VALOR_IVA) VALUES(1283,1,135,1,1000,1000,840,160);</v>
      </c>
    </row>
    <row r="2652" spans="1:12">
      <c r="A2652" s="114">
        <v>1</v>
      </c>
      <c r="B2652" s="114">
        <v>1284</v>
      </c>
      <c r="C2652" s="139" t="s">
        <v>2377</v>
      </c>
      <c r="D2652" s="114" t="s">
        <v>2090</v>
      </c>
      <c r="E2652" s="114">
        <v>377</v>
      </c>
      <c r="F2652" s="114">
        <v>231</v>
      </c>
      <c r="G2652" s="114">
        <v>1</v>
      </c>
      <c r="H2652" s="114">
        <v>20900</v>
      </c>
      <c r="I2652" s="114">
        <v>20900</v>
      </c>
      <c r="J2652" s="114">
        <v>17563</v>
      </c>
      <c r="K2652" s="114">
        <v>3337</v>
      </c>
      <c r="L2652" s="114" t="str">
        <f t="shared" si="41"/>
        <v>INSERT INTO DETALLES_DOCUMENTO(NRO_DOCUMENTO,ID_TIPO,ID_PRODUCTO,CANTIDAD,PRECIO,VALOR_BRUTO,VALOR_NETO,VALOR_IVA) VALUES(1284,1,231,1,20900,20900,17563,3337);</v>
      </c>
    </row>
    <row r="2653" spans="1:12">
      <c r="A2653" s="114">
        <v>1</v>
      </c>
      <c r="B2653" s="114">
        <v>1284</v>
      </c>
      <c r="C2653" s="139" t="s">
        <v>2377</v>
      </c>
      <c r="D2653" s="114" t="s">
        <v>2090</v>
      </c>
      <c r="E2653" s="114">
        <v>377</v>
      </c>
      <c r="F2653" s="114">
        <v>244</v>
      </c>
      <c r="G2653" s="114">
        <v>1</v>
      </c>
      <c r="H2653" s="114">
        <v>14900</v>
      </c>
      <c r="I2653" s="114">
        <v>14900</v>
      </c>
      <c r="J2653" s="114">
        <v>12521</v>
      </c>
      <c r="K2653" s="114">
        <v>2379</v>
      </c>
      <c r="L2653" s="114" t="str">
        <f t="shared" si="41"/>
        <v>INSERT INTO DETALLES_DOCUMENTO(NRO_DOCUMENTO,ID_TIPO,ID_PRODUCTO,CANTIDAD,PRECIO,VALOR_BRUTO,VALOR_NETO,VALOR_IVA) VALUES(1284,1,244,1,14900,14900,12521,2379);</v>
      </c>
    </row>
    <row r="2654" spans="1:12">
      <c r="A2654" s="114">
        <v>1</v>
      </c>
      <c r="B2654" s="114">
        <v>1285</v>
      </c>
      <c r="C2654" s="139" t="s">
        <v>2377</v>
      </c>
      <c r="D2654" s="114" t="s">
        <v>2090</v>
      </c>
      <c r="E2654" s="114">
        <v>408</v>
      </c>
      <c r="F2654" s="114">
        <v>117</v>
      </c>
      <c r="G2654" s="114">
        <v>4</v>
      </c>
      <c r="H2654" s="114">
        <v>14000</v>
      </c>
      <c r="I2654" s="114">
        <v>56000</v>
      </c>
      <c r="J2654" s="114">
        <v>47059</v>
      </c>
      <c r="K2654" s="114">
        <v>8941</v>
      </c>
      <c r="L2654" s="114" t="str">
        <f t="shared" si="41"/>
        <v>INSERT INTO DETALLES_DOCUMENTO(NRO_DOCUMENTO,ID_TIPO,ID_PRODUCTO,CANTIDAD,PRECIO,VALOR_BRUTO,VALOR_NETO,VALOR_IVA) VALUES(1285,1,117,4,14000,56000,47059,8941);</v>
      </c>
    </row>
    <row r="2655" spans="1:12">
      <c r="A2655" s="114">
        <v>1</v>
      </c>
      <c r="B2655" s="114">
        <v>1285</v>
      </c>
      <c r="C2655" s="139" t="s">
        <v>2377</v>
      </c>
      <c r="D2655" s="114" t="s">
        <v>2090</v>
      </c>
      <c r="E2655" s="114">
        <v>408</v>
      </c>
      <c r="F2655" s="114">
        <v>356</v>
      </c>
      <c r="G2655" s="114">
        <v>2</v>
      </c>
      <c r="H2655" s="114">
        <v>6000</v>
      </c>
      <c r="I2655" s="114">
        <v>12000</v>
      </c>
      <c r="J2655" s="114">
        <v>10084</v>
      </c>
      <c r="K2655" s="114">
        <v>1916</v>
      </c>
      <c r="L2655" s="114" t="str">
        <f t="shared" si="41"/>
        <v>INSERT INTO DETALLES_DOCUMENTO(NRO_DOCUMENTO,ID_TIPO,ID_PRODUCTO,CANTIDAD,PRECIO,VALOR_BRUTO,VALOR_NETO,VALOR_IVA) VALUES(1285,1,356,2,6000,12000,10084,1916);</v>
      </c>
    </row>
    <row r="2656" spans="1:12">
      <c r="A2656" s="114">
        <v>1</v>
      </c>
      <c r="B2656" s="114">
        <v>1286</v>
      </c>
      <c r="C2656" s="139" t="s">
        <v>2377</v>
      </c>
      <c r="D2656" s="114" t="s">
        <v>2090</v>
      </c>
      <c r="E2656" s="114">
        <v>442</v>
      </c>
      <c r="F2656" s="114">
        <v>143</v>
      </c>
      <c r="G2656" s="114">
        <v>1</v>
      </c>
      <c r="H2656" s="114">
        <v>8000</v>
      </c>
      <c r="I2656" s="114">
        <v>8000</v>
      </c>
      <c r="J2656" s="114">
        <v>6723</v>
      </c>
      <c r="K2656" s="114">
        <v>1277</v>
      </c>
      <c r="L2656" s="114" t="str">
        <f t="shared" si="41"/>
        <v>INSERT INTO DETALLES_DOCUMENTO(NRO_DOCUMENTO,ID_TIPO,ID_PRODUCTO,CANTIDAD,PRECIO,VALOR_BRUTO,VALOR_NETO,VALOR_IVA) VALUES(1286,1,143,1,8000,8000,6723,1277);</v>
      </c>
    </row>
    <row r="2657" spans="1:12">
      <c r="A2657" s="114">
        <v>1</v>
      </c>
      <c r="B2657" s="114">
        <v>1286</v>
      </c>
      <c r="C2657" s="139" t="s">
        <v>2377</v>
      </c>
      <c r="D2657" s="114" t="s">
        <v>2090</v>
      </c>
      <c r="E2657" s="114">
        <v>442</v>
      </c>
      <c r="F2657" s="114">
        <v>120</v>
      </c>
      <c r="G2657" s="114">
        <v>1</v>
      </c>
      <c r="H2657" s="114">
        <v>1900</v>
      </c>
      <c r="I2657" s="114">
        <v>1900</v>
      </c>
      <c r="J2657" s="114">
        <v>1597</v>
      </c>
      <c r="K2657" s="114">
        <v>303</v>
      </c>
      <c r="L2657" s="114" t="str">
        <f t="shared" si="41"/>
        <v>INSERT INTO DETALLES_DOCUMENTO(NRO_DOCUMENTO,ID_TIPO,ID_PRODUCTO,CANTIDAD,PRECIO,VALOR_BRUTO,VALOR_NETO,VALOR_IVA) VALUES(1286,1,120,1,1900,1900,1597,303);</v>
      </c>
    </row>
    <row r="2658" spans="1:12">
      <c r="A2658" s="114">
        <v>1</v>
      </c>
      <c r="B2658" s="114">
        <v>1286</v>
      </c>
      <c r="C2658" s="139" t="s">
        <v>2377</v>
      </c>
      <c r="D2658" s="114" t="s">
        <v>2090</v>
      </c>
      <c r="E2658" s="114">
        <v>442</v>
      </c>
      <c r="F2658" s="114">
        <v>69</v>
      </c>
      <c r="G2658" s="114">
        <v>1</v>
      </c>
      <c r="H2658" s="114">
        <v>3000</v>
      </c>
      <c r="I2658" s="114">
        <v>3000</v>
      </c>
      <c r="J2658" s="114">
        <v>2521</v>
      </c>
      <c r="K2658" s="114">
        <v>479</v>
      </c>
      <c r="L2658" s="114" t="str">
        <f t="shared" si="41"/>
        <v>INSERT INTO DETALLES_DOCUMENTO(NRO_DOCUMENTO,ID_TIPO,ID_PRODUCTO,CANTIDAD,PRECIO,VALOR_BRUTO,VALOR_NETO,VALOR_IVA) VALUES(1286,1,69,1,3000,3000,2521,479);</v>
      </c>
    </row>
    <row r="2659" spans="1:12">
      <c r="A2659" s="114">
        <v>1</v>
      </c>
      <c r="B2659" s="114">
        <v>1286</v>
      </c>
      <c r="C2659" s="139" t="s">
        <v>2377</v>
      </c>
      <c r="D2659" s="114" t="s">
        <v>2090</v>
      </c>
      <c r="E2659" s="114">
        <v>442</v>
      </c>
      <c r="F2659" s="114">
        <v>358</v>
      </c>
      <c r="G2659" s="114">
        <v>1</v>
      </c>
      <c r="H2659" s="114">
        <v>2500</v>
      </c>
      <c r="I2659" s="114">
        <v>2500</v>
      </c>
      <c r="J2659" s="114">
        <v>2101</v>
      </c>
      <c r="K2659" s="114">
        <v>399</v>
      </c>
      <c r="L2659" s="114" t="str">
        <f t="shared" si="41"/>
        <v>INSERT INTO DETALLES_DOCUMENTO(NRO_DOCUMENTO,ID_TIPO,ID_PRODUCTO,CANTIDAD,PRECIO,VALOR_BRUTO,VALOR_NETO,VALOR_IVA) VALUES(1286,1,358,1,2500,2500,2101,399);</v>
      </c>
    </row>
    <row r="2660" spans="1:12">
      <c r="A2660" s="114">
        <v>1</v>
      </c>
      <c r="B2660" s="114">
        <v>1286</v>
      </c>
      <c r="C2660" s="139" t="s">
        <v>2377</v>
      </c>
      <c r="D2660" s="114" t="s">
        <v>2090</v>
      </c>
      <c r="E2660" s="114">
        <v>442</v>
      </c>
      <c r="F2660" s="114">
        <v>97</v>
      </c>
      <c r="G2660" s="114">
        <v>1</v>
      </c>
      <c r="H2660" s="114">
        <v>2000</v>
      </c>
      <c r="I2660" s="114">
        <v>2000</v>
      </c>
      <c r="J2660" s="114">
        <v>1681</v>
      </c>
      <c r="K2660" s="114">
        <v>319</v>
      </c>
      <c r="L2660" s="114" t="str">
        <f t="shared" si="41"/>
        <v>INSERT INTO DETALLES_DOCUMENTO(NRO_DOCUMENTO,ID_TIPO,ID_PRODUCTO,CANTIDAD,PRECIO,VALOR_BRUTO,VALOR_NETO,VALOR_IVA) VALUES(1286,1,97,1,2000,2000,1681,319);</v>
      </c>
    </row>
    <row r="2661" spans="1:12">
      <c r="A2661" s="114">
        <v>1</v>
      </c>
      <c r="B2661" s="114">
        <v>1286</v>
      </c>
      <c r="C2661" s="139" t="s">
        <v>2377</v>
      </c>
      <c r="D2661" s="114" t="s">
        <v>2090</v>
      </c>
      <c r="E2661" s="114">
        <v>442</v>
      </c>
      <c r="F2661" s="114">
        <v>118</v>
      </c>
      <c r="G2661" s="114">
        <v>1</v>
      </c>
      <c r="H2661" s="114">
        <v>3500</v>
      </c>
      <c r="I2661" s="114">
        <v>3500</v>
      </c>
      <c r="J2661" s="114">
        <v>2941</v>
      </c>
      <c r="K2661" s="114">
        <v>559</v>
      </c>
      <c r="L2661" s="114" t="str">
        <f t="shared" si="41"/>
        <v>INSERT INTO DETALLES_DOCUMENTO(NRO_DOCUMENTO,ID_TIPO,ID_PRODUCTO,CANTIDAD,PRECIO,VALOR_BRUTO,VALOR_NETO,VALOR_IVA) VALUES(1286,1,118,1,3500,3500,2941,559);</v>
      </c>
    </row>
    <row r="2662" spans="1:12">
      <c r="A2662" s="114">
        <v>1</v>
      </c>
      <c r="B2662" s="114">
        <v>1286</v>
      </c>
      <c r="C2662" s="139" t="s">
        <v>2377</v>
      </c>
      <c r="D2662" s="114" t="s">
        <v>2090</v>
      </c>
      <c r="E2662" s="114">
        <v>442</v>
      </c>
      <c r="F2662" s="114">
        <v>29</v>
      </c>
      <c r="G2662" s="114">
        <v>1</v>
      </c>
      <c r="H2662" s="114">
        <v>1000</v>
      </c>
      <c r="I2662" s="114">
        <v>1000</v>
      </c>
      <c r="J2662" s="114">
        <v>840</v>
      </c>
      <c r="K2662" s="114">
        <v>160</v>
      </c>
      <c r="L2662" s="114" t="str">
        <f t="shared" si="41"/>
        <v>INSERT INTO DETALLES_DOCUMENTO(NRO_DOCUMENTO,ID_TIPO,ID_PRODUCTO,CANTIDAD,PRECIO,VALOR_BRUTO,VALOR_NETO,VALOR_IVA) VALUES(1286,1,29,1,1000,1000,840,160);</v>
      </c>
    </row>
    <row r="2663" spans="1:12">
      <c r="A2663" s="114">
        <v>1</v>
      </c>
      <c r="B2663" s="114">
        <v>1286</v>
      </c>
      <c r="C2663" s="139" t="s">
        <v>2377</v>
      </c>
      <c r="D2663" s="114" t="s">
        <v>2090</v>
      </c>
      <c r="E2663" s="114">
        <v>442</v>
      </c>
      <c r="F2663" s="114">
        <v>383</v>
      </c>
      <c r="G2663" s="114">
        <v>1</v>
      </c>
      <c r="H2663" s="114">
        <v>2400</v>
      </c>
      <c r="I2663" s="114">
        <v>2400</v>
      </c>
      <c r="J2663" s="114">
        <v>2017</v>
      </c>
      <c r="K2663" s="114">
        <v>383</v>
      </c>
      <c r="L2663" s="114" t="str">
        <f t="shared" si="41"/>
        <v>INSERT INTO DETALLES_DOCUMENTO(NRO_DOCUMENTO,ID_TIPO,ID_PRODUCTO,CANTIDAD,PRECIO,VALOR_BRUTO,VALOR_NETO,VALOR_IVA) VALUES(1286,1,383,1,2400,2400,2017,383);</v>
      </c>
    </row>
    <row r="2664" spans="1:12">
      <c r="A2664" s="114">
        <v>1</v>
      </c>
      <c r="B2664" s="114">
        <v>1287</v>
      </c>
      <c r="C2664" s="139" t="s">
        <v>2377</v>
      </c>
      <c r="D2664" s="114" t="s">
        <v>2090</v>
      </c>
      <c r="E2664" s="114">
        <v>443</v>
      </c>
      <c r="F2664" s="114">
        <v>7</v>
      </c>
      <c r="G2664" s="114">
        <v>1</v>
      </c>
      <c r="H2664" s="114">
        <v>7000</v>
      </c>
      <c r="I2664" s="114">
        <v>7000</v>
      </c>
      <c r="J2664" s="114">
        <v>5882</v>
      </c>
      <c r="K2664" s="114">
        <v>1118</v>
      </c>
      <c r="L2664" s="114" t="str">
        <f t="shared" si="41"/>
        <v>INSERT INTO DETALLES_DOCUMENTO(NRO_DOCUMENTO,ID_TIPO,ID_PRODUCTO,CANTIDAD,PRECIO,VALOR_BRUTO,VALOR_NETO,VALOR_IVA) VALUES(1287,1,7,1,7000,7000,5882,1118);</v>
      </c>
    </row>
    <row r="2665" spans="1:12">
      <c r="A2665" s="114">
        <v>1</v>
      </c>
      <c r="B2665" s="114">
        <v>1288</v>
      </c>
      <c r="C2665" s="139" t="s">
        <v>2377</v>
      </c>
      <c r="D2665" s="114" t="s">
        <v>2090</v>
      </c>
      <c r="E2665" s="114">
        <v>465</v>
      </c>
      <c r="F2665" s="114">
        <v>233</v>
      </c>
      <c r="G2665" s="114">
        <v>1</v>
      </c>
      <c r="H2665" s="114">
        <v>16000</v>
      </c>
      <c r="I2665" s="114">
        <v>16000</v>
      </c>
      <c r="J2665" s="114">
        <v>13445</v>
      </c>
      <c r="K2665" s="114">
        <v>2555</v>
      </c>
      <c r="L2665" s="114" t="str">
        <f t="shared" si="41"/>
        <v>INSERT INTO DETALLES_DOCUMENTO(NRO_DOCUMENTO,ID_TIPO,ID_PRODUCTO,CANTIDAD,PRECIO,VALOR_BRUTO,VALOR_NETO,VALOR_IVA) VALUES(1288,1,233,1,16000,16000,13445,2555);</v>
      </c>
    </row>
    <row r="2666" spans="1:12">
      <c r="A2666" s="114">
        <v>1</v>
      </c>
      <c r="B2666" s="114">
        <v>1288</v>
      </c>
      <c r="C2666" s="139" t="s">
        <v>2377</v>
      </c>
      <c r="D2666" s="114" t="s">
        <v>2090</v>
      </c>
      <c r="E2666" s="114">
        <v>465</v>
      </c>
      <c r="F2666" s="114">
        <v>256</v>
      </c>
      <c r="G2666" s="114">
        <v>2</v>
      </c>
      <c r="H2666" s="114">
        <v>6000</v>
      </c>
      <c r="I2666" s="114">
        <v>12000</v>
      </c>
      <c r="J2666" s="114">
        <v>10084</v>
      </c>
      <c r="K2666" s="114">
        <v>1916</v>
      </c>
      <c r="L2666" s="114" t="str">
        <f t="shared" si="41"/>
        <v>INSERT INTO DETALLES_DOCUMENTO(NRO_DOCUMENTO,ID_TIPO,ID_PRODUCTO,CANTIDAD,PRECIO,VALOR_BRUTO,VALOR_NETO,VALOR_IVA) VALUES(1288,1,256,2,6000,12000,10084,1916);</v>
      </c>
    </row>
    <row r="2667" spans="1:12">
      <c r="A2667" s="114">
        <v>1</v>
      </c>
      <c r="B2667" s="114">
        <v>1288</v>
      </c>
      <c r="C2667" s="139" t="s">
        <v>2377</v>
      </c>
      <c r="D2667" s="114" t="s">
        <v>2090</v>
      </c>
      <c r="E2667" s="114">
        <v>465</v>
      </c>
      <c r="F2667" s="114">
        <v>322</v>
      </c>
      <c r="G2667" s="114">
        <v>1</v>
      </c>
      <c r="H2667" s="114">
        <v>9000</v>
      </c>
      <c r="I2667" s="114">
        <v>9000</v>
      </c>
      <c r="J2667" s="114">
        <v>7563</v>
      </c>
      <c r="K2667" s="114">
        <v>1437</v>
      </c>
      <c r="L2667" s="114" t="str">
        <f t="shared" si="41"/>
        <v>INSERT INTO DETALLES_DOCUMENTO(NRO_DOCUMENTO,ID_TIPO,ID_PRODUCTO,CANTIDAD,PRECIO,VALOR_BRUTO,VALOR_NETO,VALOR_IVA) VALUES(1288,1,322,1,9000,9000,7563,1437);</v>
      </c>
    </row>
    <row r="2668" spans="1:12">
      <c r="A2668" s="114">
        <v>1</v>
      </c>
      <c r="B2668" s="114">
        <v>1289</v>
      </c>
      <c r="C2668" s="139" t="s">
        <v>2378</v>
      </c>
      <c r="D2668" s="114" t="s">
        <v>2090</v>
      </c>
      <c r="E2668" s="114">
        <v>19</v>
      </c>
      <c r="F2668" s="114">
        <v>49</v>
      </c>
      <c r="G2668" s="114">
        <v>1</v>
      </c>
      <c r="H2668" s="114">
        <v>4200</v>
      </c>
      <c r="I2668" s="114">
        <v>4200</v>
      </c>
      <c r="J2668" s="114">
        <v>3529</v>
      </c>
      <c r="K2668" s="114">
        <v>671</v>
      </c>
      <c r="L2668" s="114" t="str">
        <f t="shared" si="41"/>
        <v>INSERT INTO DETALLES_DOCUMENTO(NRO_DOCUMENTO,ID_TIPO,ID_PRODUCTO,CANTIDAD,PRECIO,VALOR_BRUTO,VALOR_NETO,VALOR_IVA) VALUES(1289,1,49,1,4200,4200,3529,671);</v>
      </c>
    </row>
    <row r="2669" spans="1:12">
      <c r="A2669" s="114">
        <v>1</v>
      </c>
      <c r="B2669" s="114">
        <v>1289</v>
      </c>
      <c r="C2669" s="139" t="s">
        <v>2378</v>
      </c>
      <c r="D2669" s="114" t="s">
        <v>2090</v>
      </c>
      <c r="E2669" s="114">
        <v>19</v>
      </c>
      <c r="F2669" s="114">
        <v>118</v>
      </c>
      <c r="G2669" s="114">
        <v>1</v>
      </c>
      <c r="H2669" s="114">
        <v>3500</v>
      </c>
      <c r="I2669" s="114">
        <v>3500</v>
      </c>
      <c r="J2669" s="114">
        <v>2941</v>
      </c>
      <c r="K2669" s="114">
        <v>559</v>
      </c>
      <c r="L2669" s="114" t="str">
        <f t="shared" si="41"/>
        <v>INSERT INTO DETALLES_DOCUMENTO(NRO_DOCUMENTO,ID_TIPO,ID_PRODUCTO,CANTIDAD,PRECIO,VALOR_BRUTO,VALOR_NETO,VALOR_IVA) VALUES(1289,1,118,1,3500,3500,2941,559);</v>
      </c>
    </row>
    <row r="2670" spans="1:12">
      <c r="A2670" s="114">
        <v>1</v>
      </c>
      <c r="B2670" s="114">
        <v>1289</v>
      </c>
      <c r="C2670" s="139" t="s">
        <v>2378</v>
      </c>
      <c r="D2670" s="114" t="s">
        <v>2090</v>
      </c>
      <c r="E2670" s="114">
        <v>19</v>
      </c>
      <c r="F2670" s="114">
        <v>120</v>
      </c>
      <c r="G2670" s="114">
        <v>1</v>
      </c>
      <c r="H2670" s="114">
        <v>1900</v>
      </c>
      <c r="I2670" s="114">
        <v>1900</v>
      </c>
      <c r="J2670" s="114">
        <v>1597</v>
      </c>
      <c r="K2670" s="114">
        <v>303</v>
      </c>
      <c r="L2670" s="114" t="str">
        <f t="shared" si="41"/>
        <v>INSERT INTO DETALLES_DOCUMENTO(NRO_DOCUMENTO,ID_TIPO,ID_PRODUCTO,CANTIDAD,PRECIO,VALOR_BRUTO,VALOR_NETO,VALOR_IVA) VALUES(1289,1,120,1,1900,1900,1597,303);</v>
      </c>
    </row>
    <row r="2671" spans="1:12">
      <c r="A2671" s="114">
        <v>1</v>
      </c>
      <c r="B2671" s="114">
        <v>1290</v>
      </c>
      <c r="C2671" s="139" t="s">
        <v>2378</v>
      </c>
      <c r="D2671" s="114" t="s">
        <v>2090</v>
      </c>
      <c r="E2671" s="114">
        <v>97</v>
      </c>
      <c r="F2671" s="114">
        <v>143</v>
      </c>
      <c r="G2671" s="114">
        <v>1</v>
      </c>
      <c r="H2671" s="114">
        <v>8000</v>
      </c>
      <c r="I2671" s="114">
        <v>8000</v>
      </c>
      <c r="J2671" s="114">
        <v>6723</v>
      </c>
      <c r="K2671" s="114">
        <v>1277</v>
      </c>
      <c r="L2671" s="114" t="str">
        <f t="shared" si="41"/>
        <v>INSERT INTO DETALLES_DOCUMENTO(NRO_DOCUMENTO,ID_TIPO,ID_PRODUCTO,CANTIDAD,PRECIO,VALOR_BRUTO,VALOR_NETO,VALOR_IVA) VALUES(1290,1,143,1,8000,8000,6723,1277);</v>
      </c>
    </row>
    <row r="2672" spans="1:12">
      <c r="A2672" s="114">
        <v>1</v>
      </c>
      <c r="B2672" s="114">
        <v>1290</v>
      </c>
      <c r="C2672" s="139" t="s">
        <v>2378</v>
      </c>
      <c r="D2672" s="114" t="s">
        <v>2090</v>
      </c>
      <c r="E2672" s="114">
        <v>97</v>
      </c>
      <c r="F2672" s="114">
        <v>329</v>
      </c>
      <c r="G2672" s="114">
        <v>1</v>
      </c>
      <c r="H2672" s="114">
        <v>6000</v>
      </c>
      <c r="I2672" s="114">
        <v>6000</v>
      </c>
      <c r="J2672" s="114">
        <v>5042</v>
      </c>
      <c r="K2672" s="114">
        <v>958</v>
      </c>
      <c r="L2672" s="114" t="str">
        <f t="shared" si="41"/>
        <v>INSERT INTO DETALLES_DOCUMENTO(NRO_DOCUMENTO,ID_TIPO,ID_PRODUCTO,CANTIDAD,PRECIO,VALOR_BRUTO,VALOR_NETO,VALOR_IVA) VALUES(1290,1,329,1,6000,6000,5042,958);</v>
      </c>
    </row>
    <row r="2673" spans="1:12">
      <c r="A2673" s="114">
        <v>1</v>
      </c>
      <c r="B2673" s="114">
        <v>1291</v>
      </c>
      <c r="C2673" s="139" t="s">
        <v>2378</v>
      </c>
      <c r="D2673" s="114" t="s">
        <v>2090</v>
      </c>
      <c r="E2673" s="114">
        <v>166</v>
      </c>
      <c r="F2673" s="114">
        <v>191</v>
      </c>
      <c r="G2673" s="114">
        <v>1</v>
      </c>
      <c r="H2673" s="114">
        <v>2500</v>
      </c>
      <c r="I2673" s="114">
        <v>2500</v>
      </c>
      <c r="J2673" s="114">
        <v>2101</v>
      </c>
      <c r="K2673" s="114">
        <v>399</v>
      </c>
      <c r="L2673" s="114" t="str">
        <f t="shared" si="41"/>
        <v>INSERT INTO DETALLES_DOCUMENTO(NRO_DOCUMENTO,ID_TIPO,ID_PRODUCTO,CANTIDAD,PRECIO,VALOR_BRUTO,VALOR_NETO,VALOR_IVA) VALUES(1291,1,191,1,2500,2500,2101,399);</v>
      </c>
    </row>
    <row r="2674" spans="1:12">
      <c r="A2674" s="114">
        <v>1</v>
      </c>
      <c r="B2674" s="114">
        <v>1292</v>
      </c>
      <c r="C2674" s="139" t="s">
        <v>2378</v>
      </c>
      <c r="D2674" s="114" t="s">
        <v>2090</v>
      </c>
      <c r="E2674" s="114">
        <v>231</v>
      </c>
      <c r="F2674" s="114">
        <v>231</v>
      </c>
      <c r="G2674" s="114">
        <v>1</v>
      </c>
      <c r="H2674" s="114">
        <v>20900</v>
      </c>
      <c r="I2674" s="114">
        <v>20900</v>
      </c>
      <c r="J2674" s="114">
        <v>17563</v>
      </c>
      <c r="K2674" s="114">
        <v>3337</v>
      </c>
      <c r="L2674" s="114" t="str">
        <f t="shared" si="41"/>
        <v>INSERT INTO DETALLES_DOCUMENTO(NRO_DOCUMENTO,ID_TIPO,ID_PRODUCTO,CANTIDAD,PRECIO,VALOR_BRUTO,VALOR_NETO,VALOR_IVA) VALUES(1292,1,231,1,20900,20900,17563,3337);</v>
      </c>
    </row>
    <row r="2675" spans="1:12">
      <c r="A2675" s="114">
        <v>1</v>
      </c>
      <c r="B2675" s="114">
        <v>1292</v>
      </c>
      <c r="C2675" s="139" t="s">
        <v>2378</v>
      </c>
      <c r="D2675" s="114" t="s">
        <v>2090</v>
      </c>
      <c r="E2675" s="114">
        <v>231</v>
      </c>
      <c r="F2675" s="114">
        <v>244</v>
      </c>
      <c r="G2675" s="114">
        <v>1</v>
      </c>
      <c r="H2675" s="114">
        <v>14900</v>
      </c>
      <c r="I2675" s="114">
        <v>14900</v>
      </c>
      <c r="J2675" s="114">
        <v>12521</v>
      </c>
      <c r="K2675" s="114">
        <v>2379</v>
      </c>
      <c r="L2675" s="114" t="str">
        <f t="shared" si="41"/>
        <v>INSERT INTO DETALLES_DOCUMENTO(NRO_DOCUMENTO,ID_TIPO,ID_PRODUCTO,CANTIDAD,PRECIO,VALOR_BRUTO,VALOR_NETO,VALOR_IVA) VALUES(1292,1,244,1,14900,14900,12521,2379);</v>
      </c>
    </row>
    <row r="2676" spans="1:12">
      <c r="A2676" s="114">
        <v>1</v>
      </c>
      <c r="B2676" s="114">
        <v>1293</v>
      </c>
      <c r="C2676" s="139" t="s">
        <v>2379</v>
      </c>
      <c r="D2676" s="114" t="s">
        <v>2090</v>
      </c>
      <c r="E2676" s="114">
        <v>18</v>
      </c>
      <c r="F2676" s="114">
        <v>231</v>
      </c>
      <c r="G2676" s="114">
        <v>1</v>
      </c>
      <c r="H2676" s="114">
        <v>20900</v>
      </c>
      <c r="I2676" s="114">
        <v>20900</v>
      </c>
      <c r="J2676" s="114">
        <v>17563</v>
      </c>
      <c r="K2676" s="114">
        <v>3337</v>
      </c>
      <c r="L2676" s="114" t="str">
        <f t="shared" si="41"/>
        <v>INSERT INTO DETALLES_DOCUMENTO(NRO_DOCUMENTO,ID_TIPO,ID_PRODUCTO,CANTIDAD,PRECIO,VALOR_BRUTO,VALOR_NETO,VALOR_IVA) VALUES(1293,1,231,1,20900,20900,17563,3337);</v>
      </c>
    </row>
    <row r="2677" spans="1:12">
      <c r="A2677" s="114">
        <v>1</v>
      </c>
      <c r="B2677" s="114">
        <v>1294</v>
      </c>
      <c r="C2677" s="139" t="s">
        <v>2379</v>
      </c>
      <c r="D2677" s="114" t="s">
        <v>2090</v>
      </c>
      <c r="E2677" s="114">
        <v>62</v>
      </c>
      <c r="F2677" s="114">
        <v>231</v>
      </c>
      <c r="G2677" s="114">
        <v>1</v>
      </c>
      <c r="H2677" s="114">
        <v>20900</v>
      </c>
      <c r="I2677" s="114">
        <v>20900</v>
      </c>
      <c r="J2677" s="114">
        <v>17563</v>
      </c>
      <c r="K2677" s="114">
        <v>3337</v>
      </c>
      <c r="L2677" s="114" t="str">
        <f t="shared" si="41"/>
        <v>INSERT INTO DETALLES_DOCUMENTO(NRO_DOCUMENTO,ID_TIPO,ID_PRODUCTO,CANTIDAD,PRECIO,VALOR_BRUTO,VALOR_NETO,VALOR_IVA) VALUES(1294,1,231,1,20900,20900,17563,3337);</v>
      </c>
    </row>
    <row r="2678" spans="1:12">
      <c r="A2678" s="114">
        <v>1</v>
      </c>
      <c r="B2678" s="114">
        <v>1294</v>
      </c>
      <c r="C2678" s="139" t="s">
        <v>2379</v>
      </c>
      <c r="D2678" s="114" t="s">
        <v>2090</v>
      </c>
      <c r="E2678" s="114">
        <v>62</v>
      </c>
      <c r="F2678" s="114">
        <v>95</v>
      </c>
      <c r="G2678" s="114">
        <v>1</v>
      </c>
      <c r="H2678" s="114">
        <v>2400</v>
      </c>
      <c r="I2678" s="114">
        <v>2400</v>
      </c>
      <c r="J2678" s="114">
        <v>2017</v>
      </c>
      <c r="K2678" s="114">
        <v>383</v>
      </c>
      <c r="L2678" s="114" t="str">
        <f t="shared" si="41"/>
        <v>INSERT INTO DETALLES_DOCUMENTO(NRO_DOCUMENTO,ID_TIPO,ID_PRODUCTO,CANTIDAD,PRECIO,VALOR_BRUTO,VALOR_NETO,VALOR_IVA) VALUES(1294,1,95,1,2400,2400,2017,383);</v>
      </c>
    </row>
    <row r="2679" spans="1:12">
      <c r="A2679" s="114">
        <v>1</v>
      </c>
      <c r="B2679" s="114">
        <v>1294</v>
      </c>
      <c r="C2679" s="139" t="s">
        <v>2379</v>
      </c>
      <c r="D2679" s="114" t="s">
        <v>2090</v>
      </c>
      <c r="E2679" s="114">
        <v>62</v>
      </c>
      <c r="F2679" s="114">
        <v>386</v>
      </c>
      <c r="G2679" s="114">
        <v>1</v>
      </c>
      <c r="H2679" s="114">
        <v>2700</v>
      </c>
      <c r="I2679" s="114">
        <v>2700</v>
      </c>
      <c r="J2679" s="114">
        <v>2269</v>
      </c>
      <c r="K2679" s="114">
        <v>431</v>
      </c>
      <c r="L2679" s="114" t="str">
        <f t="shared" si="41"/>
        <v>INSERT INTO DETALLES_DOCUMENTO(NRO_DOCUMENTO,ID_TIPO,ID_PRODUCTO,CANTIDAD,PRECIO,VALOR_BRUTO,VALOR_NETO,VALOR_IVA) VALUES(1294,1,386,1,2700,2700,2269,431);</v>
      </c>
    </row>
    <row r="2680" spans="1:12">
      <c r="A2680" s="114">
        <v>1</v>
      </c>
      <c r="B2680" s="114">
        <v>1294</v>
      </c>
      <c r="C2680" s="139" t="s">
        <v>2379</v>
      </c>
      <c r="D2680" s="114" t="s">
        <v>2090</v>
      </c>
      <c r="E2680" s="114">
        <v>62</v>
      </c>
      <c r="F2680" s="114">
        <v>368</v>
      </c>
      <c r="G2680" s="114">
        <v>3</v>
      </c>
      <c r="H2680" s="114">
        <v>9000</v>
      </c>
      <c r="I2680" s="114">
        <v>27000</v>
      </c>
      <c r="J2680" s="114">
        <v>22689</v>
      </c>
      <c r="K2680" s="114">
        <v>4311</v>
      </c>
      <c r="L2680" s="114" t="str">
        <f t="shared" si="41"/>
        <v>INSERT INTO DETALLES_DOCUMENTO(NRO_DOCUMENTO,ID_TIPO,ID_PRODUCTO,CANTIDAD,PRECIO,VALOR_BRUTO,VALOR_NETO,VALOR_IVA) VALUES(1294,1,368,3,9000,27000,22689,4311);</v>
      </c>
    </row>
    <row r="2681" spans="1:12">
      <c r="A2681" s="114">
        <v>1</v>
      </c>
      <c r="B2681" s="114">
        <v>1294</v>
      </c>
      <c r="C2681" s="139" t="s">
        <v>2379</v>
      </c>
      <c r="D2681" s="114" t="s">
        <v>2090</v>
      </c>
      <c r="E2681" s="114">
        <v>62</v>
      </c>
      <c r="F2681" s="114">
        <v>69</v>
      </c>
      <c r="G2681" s="114">
        <v>1</v>
      </c>
      <c r="H2681" s="114">
        <v>3000</v>
      </c>
      <c r="I2681" s="114">
        <v>3000</v>
      </c>
      <c r="J2681" s="114">
        <v>2521</v>
      </c>
      <c r="K2681" s="114">
        <v>479</v>
      </c>
      <c r="L2681" s="114" t="str">
        <f t="shared" si="41"/>
        <v>INSERT INTO DETALLES_DOCUMENTO(NRO_DOCUMENTO,ID_TIPO,ID_PRODUCTO,CANTIDAD,PRECIO,VALOR_BRUTO,VALOR_NETO,VALOR_IVA) VALUES(1294,1,69,1,3000,3000,2521,479);</v>
      </c>
    </row>
    <row r="2682" spans="1:12">
      <c r="A2682" s="114">
        <v>1</v>
      </c>
      <c r="B2682" s="114">
        <v>1294</v>
      </c>
      <c r="C2682" s="139" t="s">
        <v>2379</v>
      </c>
      <c r="D2682" s="114" t="s">
        <v>2090</v>
      </c>
      <c r="E2682" s="114">
        <v>62</v>
      </c>
      <c r="F2682" s="114">
        <v>67</v>
      </c>
      <c r="G2682" s="114">
        <v>1</v>
      </c>
      <c r="H2682" s="114">
        <v>650</v>
      </c>
      <c r="I2682" s="114">
        <v>650</v>
      </c>
      <c r="J2682" s="114">
        <v>546</v>
      </c>
      <c r="K2682" s="114">
        <v>104</v>
      </c>
      <c r="L2682" s="114" t="str">
        <f t="shared" si="41"/>
        <v>INSERT INTO DETALLES_DOCUMENTO(NRO_DOCUMENTO,ID_TIPO,ID_PRODUCTO,CANTIDAD,PRECIO,VALOR_BRUTO,VALOR_NETO,VALOR_IVA) VALUES(1294,1,67,1,650,650,546,104);</v>
      </c>
    </row>
    <row r="2683" spans="1:12">
      <c r="A2683" s="114">
        <v>1</v>
      </c>
      <c r="B2683" s="114">
        <v>1294</v>
      </c>
      <c r="C2683" s="139" t="s">
        <v>2379</v>
      </c>
      <c r="D2683" s="114" t="s">
        <v>2090</v>
      </c>
      <c r="E2683" s="114">
        <v>62</v>
      </c>
      <c r="F2683" s="114">
        <v>327</v>
      </c>
      <c r="G2683" s="114">
        <v>1</v>
      </c>
      <c r="H2683" s="114">
        <v>3500</v>
      </c>
      <c r="I2683" s="114">
        <v>3500</v>
      </c>
      <c r="J2683" s="114">
        <v>2941</v>
      </c>
      <c r="K2683" s="114">
        <v>559</v>
      </c>
      <c r="L2683" s="114" t="str">
        <f t="shared" si="41"/>
        <v>INSERT INTO DETALLES_DOCUMENTO(NRO_DOCUMENTO,ID_TIPO,ID_PRODUCTO,CANTIDAD,PRECIO,VALOR_BRUTO,VALOR_NETO,VALOR_IVA) VALUES(1294,1,327,1,3500,3500,2941,559);</v>
      </c>
    </row>
    <row r="2684" spans="1:12">
      <c r="A2684" s="114">
        <v>1</v>
      </c>
      <c r="B2684" s="114">
        <v>1294</v>
      </c>
      <c r="C2684" s="139" t="s">
        <v>2379</v>
      </c>
      <c r="D2684" s="114" t="s">
        <v>2090</v>
      </c>
      <c r="E2684" s="114">
        <v>62</v>
      </c>
      <c r="F2684" s="114">
        <v>143</v>
      </c>
      <c r="G2684" s="114">
        <v>1</v>
      </c>
      <c r="H2684" s="114">
        <v>8000</v>
      </c>
      <c r="I2684" s="114">
        <v>8000</v>
      </c>
      <c r="J2684" s="114">
        <v>6723</v>
      </c>
      <c r="K2684" s="114">
        <v>1277</v>
      </c>
      <c r="L2684" s="114" t="str">
        <f t="shared" si="41"/>
        <v>INSERT INTO DETALLES_DOCUMENTO(NRO_DOCUMENTO,ID_TIPO,ID_PRODUCTO,CANTIDAD,PRECIO,VALOR_BRUTO,VALOR_NETO,VALOR_IVA) VALUES(1294,1,143,1,8000,8000,6723,1277);</v>
      </c>
    </row>
    <row r="2685" spans="1:12">
      <c r="A2685" s="114">
        <v>1</v>
      </c>
      <c r="B2685" s="114">
        <v>1295</v>
      </c>
      <c r="C2685" s="139" t="s">
        <v>2379</v>
      </c>
      <c r="D2685" s="114" t="s">
        <v>2090</v>
      </c>
      <c r="E2685" s="114">
        <v>166</v>
      </c>
      <c r="F2685" s="114">
        <v>143</v>
      </c>
      <c r="G2685" s="114">
        <v>1</v>
      </c>
      <c r="H2685" s="114">
        <v>8000</v>
      </c>
      <c r="I2685" s="114">
        <v>8000</v>
      </c>
      <c r="J2685" s="114">
        <v>6723</v>
      </c>
      <c r="K2685" s="114">
        <v>1277</v>
      </c>
      <c r="L2685" s="114" t="str">
        <f t="shared" si="41"/>
        <v>INSERT INTO DETALLES_DOCUMENTO(NRO_DOCUMENTO,ID_TIPO,ID_PRODUCTO,CANTIDAD,PRECIO,VALOR_BRUTO,VALOR_NETO,VALOR_IVA) VALUES(1295,1,143,1,8000,8000,6723,1277);</v>
      </c>
    </row>
    <row r="2686" spans="1:12">
      <c r="A2686" s="114">
        <v>1</v>
      </c>
      <c r="B2686" s="114">
        <v>1296</v>
      </c>
      <c r="C2686" s="139" t="s">
        <v>2379</v>
      </c>
      <c r="D2686" s="114" t="s">
        <v>2090</v>
      </c>
      <c r="E2686" s="114">
        <v>360</v>
      </c>
      <c r="F2686" s="114">
        <v>230</v>
      </c>
      <c r="G2686" s="114">
        <v>1</v>
      </c>
      <c r="H2686" s="114">
        <v>16500</v>
      </c>
      <c r="I2686" s="114">
        <v>16500</v>
      </c>
      <c r="J2686" s="114">
        <v>13866</v>
      </c>
      <c r="K2686" s="114">
        <v>2634</v>
      </c>
      <c r="L2686" s="114" t="str">
        <f t="shared" si="41"/>
        <v>INSERT INTO DETALLES_DOCUMENTO(NRO_DOCUMENTO,ID_TIPO,ID_PRODUCTO,CANTIDAD,PRECIO,VALOR_BRUTO,VALOR_NETO,VALOR_IVA) VALUES(1296,1,230,1,16500,16500,13866,2634);</v>
      </c>
    </row>
    <row r="2687" spans="1:12">
      <c r="A2687" s="114">
        <v>1</v>
      </c>
      <c r="B2687" s="114">
        <v>1296</v>
      </c>
      <c r="C2687" s="139" t="s">
        <v>2379</v>
      </c>
      <c r="D2687" s="114" t="s">
        <v>2090</v>
      </c>
      <c r="E2687" s="114">
        <v>360</v>
      </c>
      <c r="F2687" s="114">
        <v>284</v>
      </c>
      <c r="G2687" s="114">
        <v>1</v>
      </c>
      <c r="H2687" s="114">
        <v>1100</v>
      </c>
      <c r="I2687" s="114">
        <v>1100</v>
      </c>
      <c r="J2687" s="114">
        <v>924</v>
      </c>
      <c r="K2687" s="114">
        <v>176</v>
      </c>
      <c r="L2687" s="114" t="str">
        <f t="shared" si="41"/>
        <v>INSERT INTO DETALLES_DOCUMENTO(NRO_DOCUMENTO,ID_TIPO,ID_PRODUCTO,CANTIDAD,PRECIO,VALOR_BRUTO,VALOR_NETO,VALOR_IVA) VALUES(1296,1,284,1,1100,1100,924,176);</v>
      </c>
    </row>
    <row r="2688" spans="1:12">
      <c r="A2688" s="114">
        <v>1</v>
      </c>
      <c r="B2688" s="114">
        <v>1297</v>
      </c>
      <c r="C2688" s="139" t="s">
        <v>2379</v>
      </c>
      <c r="D2688" s="114" t="s">
        <v>2090</v>
      </c>
      <c r="E2688" s="114">
        <v>382</v>
      </c>
      <c r="F2688" s="114">
        <v>143</v>
      </c>
      <c r="G2688" s="114">
        <v>1</v>
      </c>
      <c r="H2688" s="114">
        <v>8000</v>
      </c>
      <c r="I2688" s="114">
        <v>8000</v>
      </c>
      <c r="J2688" s="114">
        <v>6723</v>
      </c>
      <c r="K2688" s="114">
        <v>1277</v>
      </c>
      <c r="L2688" s="114" t="str">
        <f t="shared" si="41"/>
        <v>INSERT INTO DETALLES_DOCUMENTO(NRO_DOCUMENTO,ID_TIPO,ID_PRODUCTO,CANTIDAD,PRECIO,VALOR_BRUTO,VALOR_NETO,VALOR_IVA) VALUES(1297,1,143,1,8000,8000,6723,1277);</v>
      </c>
    </row>
    <row r="2689" spans="1:12">
      <c r="A2689" s="114">
        <v>1</v>
      </c>
      <c r="B2689" s="114">
        <v>1298</v>
      </c>
      <c r="C2689" s="139" t="s">
        <v>2380</v>
      </c>
      <c r="D2689" s="114" t="s">
        <v>2090</v>
      </c>
      <c r="E2689" s="114">
        <v>202</v>
      </c>
      <c r="F2689" s="114">
        <v>324</v>
      </c>
      <c r="G2689" s="114">
        <v>1</v>
      </c>
      <c r="H2689" s="114">
        <v>11000</v>
      </c>
      <c r="I2689" s="114">
        <v>11000</v>
      </c>
      <c r="J2689" s="114">
        <v>9244</v>
      </c>
      <c r="K2689" s="114">
        <v>1756</v>
      </c>
      <c r="L2689" s="114" t="str">
        <f t="shared" si="41"/>
        <v>INSERT INTO DETALLES_DOCUMENTO(NRO_DOCUMENTO,ID_TIPO,ID_PRODUCTO,CANTIDAD,PRECIO,VALOR_BRUTO,VALOR_NETO,VALOR_IVA) VALUES(1298,1,324,1,11000,11000,9244,1756);</v>
      </c>
    </row>
    <row r="2690" spans="1:12">
      <c r="A2690" s="114">
        <v>1</v>
      </c>
      <c r="B2690" s="114">
        <v>1299</v>
      </c>
      <c r="C2690" s="139" t="s">
        <v>2380</v>
      </c>
      <c r="D2690" s="114" t="s">
        <v>2090</v>
      </c>
      <c r="E2690" s="114">
        <v>247</v>
      </c>
      <c r="F2690" s="114">
        <v>370</v>
      </c>
      <c r="G2690" s="114">
        <v>1</v>
      </c>
      <c r="H2690" s="114">
        <v>4000</v>
      </c>
      <c r="I2690" s="114">
        <v>4000</v>
      </c>
      <c r="J2690" s="114">
        <v>3361</v>
      </c>
      <c r="K2690" s="114">
        <v>639</v>
      </c>
      <c r="L2690" s="114" t="str">
        <f t="shared" si="41"/>
        <v>INSERT INTO DETALLES_DOCUMENTO(NRO_DOCUMENTO,ID_TIPO,ID_PRODUCTO,CANTIDAD,PRECIO,VALOR_BRUTO,VALOR_NETO,VALOR_IVA) VALUES(1299,1,370,1,4000,4000,3361,639);</v>
      </c>
    </row>
    <row r="2691" spans="1:12">
      <c r="A2691" s="114">
        <v>1</v>
      </c>
      <c r="B2691" s="114">
        <v>1299</v>
      </c>
      <c r="C2691" s="139" t="s">
        <v>2380</v>
      </c>
      <c r="D2691" s="114" t="s">
        <v>2090</v>
      </c>
      <c r="E2691" s="114">
        <v>247</v>
      </c>
      <c r="F2691" s="114">
        <v>274</v>
      </c>
      <c r="G2691" s="114">
        <v>1</v>
      </c>
      <c r="H2691" s="114">
        <v>7500</v>
      </c>
      <c r="I2691" s="114">
        <v>7500</v>
      </c>
      <c r="J2691" s="114">
        <v>6303</v>
      </c>
      <c r="K2691" s="114">
        <v>1197</v>
      </c>
      <c r="L2691" s="114" t="str">
        <f t="shared" ref="L2691:L2754" si="42">CONCATENATE("INSERT INTO DETALLES_DOCUMENTO(NRO_DOCUMENTO,ID_TIPO,ID_PRODUCTO,CANTIDAD,PRECIO,VALOR_BRUTO,VALOR_NETO,VALOR_IVA) VALUES(",B2691,",",A2691,",",F2691,",",G2691,",",H2691,",",I2691,",",J2691,",",K2691,");")</f>
        <v>INSERT INTO DETALLES_DOCUMENTO(NRO_DOCUMENTO,ID_TIPO,ID_PRODUCTO,CANTIDAD,PRECIO,VALOR_BRUTO,VALOR_NETO,VALOR_IVA) VALUES(1299,1,274,1,7500,7500,6303,1197);</v>
      </c>
    </row>
    <row r="2692" spans="1:12">
      <c r="A2692" s="114">
        <v>1</v>
      </c>
      <c r="B2692" s="114">
        <v>1299</v>
      </c>
      <c r="C2692" s="139" t="s">
        <v>2380</v>
      </c>
      <c r="D2692" s="114" t="s">
        <v>2090</v>
      </c>
      <c r="E2692" s="114">
        <v>247</v>
      </c>
      <c r="F2692" s="114">
        <v>97</v>
      </c>
      <c r="G2692" s="114">
        <v>1</v>
      </c>
      <c r="H2692" s="114">
        <v>2000</v>
      </c>
      <c r="I2692" s="114">
        <v>2000</v>
      </c>
      <c r="J2692" s="114">
        <v>1681</v>
      </c>
      <c r="K2692" s="114">
        <v>319</v>
      </c>
      <c r="L2692" s="114" t="str">
        <f t="shared" si="42"/>
        <v>INSERT INTO DETALLES_DOCUMENTO(NRO_DOCUMENTO,ID_TIPO,ID_PRODUCTO,CANTIDAD,PRECIO,VALOR_BRUTO,VALOR_NETO,VALOR_IVA) VALUES(1299,1,97,1,2000,2000,1681,319);</v>
      </c>
    </row>
    <row r="2693" spans="1:12">
      <c r="A2693" s="114">
        <v>1</v>
      </c>
      <c r="B2693" s="114">
        <v>1299</v>
      </c>
      <c r="C2693" s="139" t="s">
        <v>2380</v>
      </c>
      <c r="D2693" s="114" t="s">
        <v>2090</v>
      </c>
      <c r="E2693" s="114">
        <v>247</v>
      </c>
      <c r="F2693" s="114">
        <v>117</v>
      </c>
      <c r="G2693" s="114">
        <v>2</v>
      </c>
      <c r="H2693" s="114">
        <v>7000</v>
      </c>
      <c r="I2693" s="114">
        <v>14000</v>
      </c>
      <c r="J2693" s="114">
        <v>11765</v>
      </c>
      <c r="K2693" s="114">
        <v>2235</v>
      </c>
      <c r="L2693" s="114" t="str">
        <f t="shared" si="42"/>
        <v>INSERT INTO DETALLES_DOCUMENTO(NRO_DOCUMENTO,ID_TIPO,ID_PRODUCTO,CANTIDAD,PRECIO,VALOR_BRUTO,VALOR_NETO,VALOR_IVA) VALUES(1299,1,117,2,7000,14000,11765,2235);</v>
      </c>
    </row>
    <row r="2694" spans="1:12">
      <c r="A2694" s="114">
        <v>1</v>
      </c>
      <c r="B2694" s="114">
        <v>1300</v>
      </c>
      <c r="C2694" s="139" t="s">
        <v>2380</v>
      </c>
      <c r="D2694" s="114" t="s">
        <v>2090</v>
      </c>
      <c r="E2694" s="114">
        <v>374</v>
      </c>
      <c r="F2694" s="114">
        <v>324</v>
      </c>
      <c r="G2694" s="114">
        <v>1</v>
      </c>
      <c r="H2694" s="114">
        <v>11000</v>
      </c>
      <c r="I2694" s="114">
        <v>11000</v>
      </c>
      <c r="J2694" s="114">
        <v>9244</v>
      </c>
      <c r="K2694" s="114">
        <v>1756</v>
      </c>
      <c r="L2694" s="114" t="str">
        <f t="shared" si="42"/>
        <v>INSERT INTO DETALLES_DOCUMENTO(NRO_DOCUMENTO,ID_TIPO,ID_PRODUCTO,CANTIDAD,PRECIO,VALOR_BRUTO,VALOR_NETO,VALOR_IVA) VALUES(1300,1,324,1,11000,11000,9244,1756);</v>
      </c>
    </row>
    <row r="2695" spans="1:12">
      <c r="A2695" s="114">
        <v>1</v>
      </c>
      <c r="B2695" s="114">
        <v>1301</v>
      </c>
      <c r="C2695" s="139" t="s">
        <v>2380</v>
      </c>
      <c r="D2695" s="114" t="s">
        <v>2090</v>
      </c>
      <c r="E2695" s="114">
        <v>402</v>
      </c>
      <c r="F2695" s="114">
        <v>143</v>
      </c>
      <c r="G2695" s="114">
        <v>1</v>
      </c>
      <c r="H2695" s="114">
        <v>8000</v>
      </c>
      <c r="I2695" s="114">
        <v>8000</v>
      </c>
      <c r="J2695" s="114">
        <v>6723</v>
      </c>
      <c r="K2695" s="114">
        <v>1277</v>
      </c>
      <c r="L2695" s="114" t="str">
        <f t="shared" si="42"/>
        <v>INSERT INTO DETALLES_DOCUMENTO(NRO_DOCUMENTO,ID_TIPO,ID_PRODUCTO,CANTIDAD,PRECIO,VALOR_BRUTO,VALOR_NETO,VALOR_IVA) VALUES(1301,1,143,1,8000,8000,6723,1277);</v>
      </c>
    </row>
    <row r="2696" spans="1:12">
      <c r="A2696" s="114">
        <v>1</v>
      </c>
      <c r="B2696" s="114">
        <v>1302</v>
      </c>
      <c r="C2696" s="139" t="s">
        <v>2380</v>
      </c>
      <c r="D2696" s="114" t="s">
        <v>2090</v>
      </c>
      <c r="E2696" s="114">
        <v>430</v>
      </c>
      <c r="F2696" s="114">
        <v>329</v>
      </c>
      <c r="G2696" s="114">
        <v>1</v>
      </c>
      <c r="H2696" s="114">
        <v>6000</v>
      </c>
      <c r="I2696" s="114">
        <v>6000</v>
      </c>
      <c r="J2696" s="114">
        <v>5042</v>
      </c>
      <c r="K2696" s="114">
        <v>958</v>
      </c>
      <c r="L2696" s="114" t="str">
        <f t="shared" si="42"/>
        <v>INSERT INTO DETALLES_DOCUMENTO(NRO_DOCUMENTO,ID_TIPO,ID_PRODUCTO,CANTIDAD,PRECIO,VALOR_BRUTO,VALOR_NETO,VALOR_IVA) VALUES(1302,1,329,1,6000,6000,5042,958);</v>
      </c>
    </row>
    <row r="2697" spans="1:12">
      <c r="A2697" s="114">
        <v>1</v>
      </c>
      <c r="B2697" s="114">
        <v>1302</v>
      </c>
      <c r="C2697" s="139" t="s">
        <v>2380</v>
      </c>
      <c r="D2697" s="114" t="s">
        <v>2090</v>
      </c>
      <c r="E2697" s="114">
        <v>430</v>
      </c>
      <c r="F2697" s="114">
        <v>99</v>
      </c>
      <c r="G2697" s="114">
        <v>1</v>
      </c>
      <c r="H2697" s="114">
        <v>1700</v>
      </c>
      <c r="I2697" s="114">
        <v>1700</v>
      </c>
      <c r="J2697" s="114">
        <v>1429</v>
      </c>
      <c r="K2697" s="114">
        <v>271</v>
      </c>
      <c r="L2697" s="114" t="str">
        <f t="shared" si="42"/>
        <v>INSERT INTO DETALLES_DOCUMENTO(NRO_DOCUMENTO,ID_TIPO,ID_PRODUCTO,CANTIDAD,PRECIO,VALOR_BRUTO,VALOR_NETO,VALOR_IVA) VALUES(1302,1,99,1,1700,1700,1429,271);</v>
      </c>
    </row>
    <row r="2698" spans="1:12">
      <c r="A2698" s="114">
        <v>1</v>
      </c>
      <c r="B2698" s="114">
        <v>1302</v>
      </c>
      <c r="C2698" s="139" t="s">
        <v>2380</v>
      </c>
      <c r="D2698" s="114" t="s">
        <v>2090</v>
      </c>
      <c r="E2698" s="114">
        <v>430</v>
      </c>
      <c r="F2698" s="114">
        <v>357</v>
      </c>
      <c r="G2698" s="114">
        <v>1</v>
      </c>
      <c r="H2698" s="114">
        <v>1800</v>
      </c>
      <c r="I2698" s="114">
        <v>1800</v>
      </c>
      <c r="J2698" s="114">
        <v>1513</v>
      </c>
      <c r="K2698" s="114">
        <v>287</v>
      </c>
      <c r="L2698" s="114" t="str">
        <f t="shared" si="42"/>
        <v>INSERT INTO DETALLES_DOCUMENTO(NRO_DOCUMENTO,ID_TIPO,ID_PRODUCTO,CANTIDAD,PRECIO,VALOR_BRUTO,VALOR_NETO,VALOR_IVA) VALUES(1302,1,357,1,1800,1800,1513,287);</v>
      </c>
    </row>
    <row r="2699" spans="1:12">
      <c r="A2699" s="114">
        <v>1</v>
      </c>
      <c r="B2699" s="114">
        <v>1302</v>
      </c>
      <c r="C2699" s="139" t="s">
        <v>2380</v>
      </c>
      <c r="D2699" s="114" t="s">
        <v>2090</v>
      </c>
      <c r="E2699" s="114">
        <v>430</v>
      </c>
      <c r="F2699" s="114">
        <v>155</v>
      </c>
      <c r="G2699" s="114">
        <v>1</v>
      </c>
      <c r="H2699" s="114">
        <v>1650</v>
      </c>
      <c r="I2699" s="114">
        <v>1650</v>
      </c>
      <c r="J2699" s="114">
        <v>1387</v>
      </c>
      <c r="K2699" s="114">
        <v>263</v>
      </c>
      <c r="L2699" s="114" t="str">
        <f t="shared" si="42"/>
        <v>INSERT INTO DETALLES_DOCUMENTO(NRO_DOCUMENTO,ID_TIPO,ID_PRODUCTO,CANTIDAD,PRECIO,VALOR_BRUTO,VALOR_NETO,VALOR_IVA) VALUES(1302,1,155,1,1650,1650,1387,263);</v>
      </c>
    </row>
    <row r="2700" spans="1:12">
      <c r="A2700" s="114">
        <v>1</v>
      </c>
      <c r="B2700" s="114">
        <v>1303</v>
      </c>
      <c r="C2700" s="139" t="s">
        <v>2380</v>
      </c>
      <c r="D2700" s="114" t="s">
        <v>2090</v>
      </c>
      <c r="E2700" s="114">
        <v>470</v>
      </c>
      <c r="F2700" s="114">
        <v>143</v>
      </c>
      <c r="G2700" s="114">
        <v>2</v>
      </c>
      <c r="H2700" s="114">
        <v>16000</v>
      </c>
      <c r="I2700" s="114">
        <v>32000</v>
      </c>
      <c r="J2700" s="114">
        <v>26891</v>
      </c>
      <c r="K2700" s="114">
        <v>5109</v>
      </c>
      <c r="L2700" s="114" t="str">
        <f t="shared" si="42"/>
        <v>INSERT INTO DETALLES_DOCUMENTO(NRO_DOCUMENTO,ID_TIPO,ID_PRODUCTO,CANTIDAD,PRECIO,VALOR_BRUTO,VALOR_NETO,VALOR_IVA) VALUES(1303,1,143,2,16000,32000,26891,5109);</v>
      </c>
    </row>
    <row r="2701" spans="1:12">
      <c r="A2701" s="114">
        <v>1</v>
      </c>
      <c r="B2701" s="114">
        <v>1304</v>
      </c>
      <c r="C2701" s="139" t="s">
        <v>2381</v>
      </c>
      <c r="D2701" s="114" t="s">
        <v>2090</v>
      </c>
      <c r="E2701" s="114">
        <v>98</v>
      </c>
      <c r="F2701" s="114">
        <v>324</v>
      </c>
      <c r="G2701" s="114">
        <v>1</v>
      </c>
      <c r="H2701" s="114">
        <v>11000</v>
      </c>
      <c r="I2701" s="114">
        <v>11000</v>
      </c>
      <c r="J2701" s="114">
        <v>9244</v>
      </c>
      <c r="K2701" s="114">
        <v>1756</v>
      </c>
      <c r="L2701" s="114" t="str">
        <f t="shared" si="42"/>
        <v>INSERT INTO DETALLES_DOCUMENTO(NRO_DOCUMENTO,ID_TIPO,ID_PRODUCTO,CANTIDAD,PRECIO,VALOR_BRUTO,VALOR_NETO,VALOR_IVA) VALUES(1304,1,324,1,11000,11000,9244,1756);</v>
      </c>
    </row>
    <row r="2702" spans="1:12">
      <c r="A2702" s="114">
        <v>1</v>
      </c>
      <c r="B2702" s="114">
        <v>1305</v>
      </c>
      <c r="C2702" s="139" t="s">
        <v>2381</v>
      </c>
      <c r="D2702" s="114" t="s">
        <v>2090</v>
      </c>
      <c r="E2702" s="114">
        <v>323</v>
      </c>
      <c r="F2702" s="114">
        <v>16</v>
      </c>
      <c r="G2702" s="114">
        <v>1</v>
      </c>
      <c r="H2702" s="114">
        <v>4200</v>
      </c>
      <c r="I2702" s="114">
        <v>4200</v>
      </c>
      <c r="J2702" s="114">
        <v>3529</v>
      </c>
      <c r="K2702" s="114">
        <v>671</v>
      </c>
      <c r="L2702" s="114" t="str">
        <f t="shared" si="42"/>
        <v>INSERT INTO DETALLES_DOCUMENTO(NRO_DOCUMENTO,ID_TIPO,ID_PRODUCTO,CANTIDAD,PRECIO,VALOR_BRUTO,VALOR_NETO,VALOR_IVA) VALUES(1305,1,16,1,4200,4200,3529,671);</v>
      </c>
    </row>
    <row r="2703" spans="1:12">
      <c r="A2703" s="114">
        <v>1</v>
      </c>
      <c r="B2703" s="114">
        <v>1305</v>
      </c>
      <c r="C2703" s="139" t="s">
        <v>2381</v>
      </c>
      <c r="D2703" s="114" t="s">
        <v>2090</v>
      </c>
      <c r="E2703" s="114">
        <v>323</v>
      </c>
      <c r="F2703" s="114">
        <v>11</v>
      </c>
      <c r="G2703" s="114">
        <v>1</v>
      </c>
      <c r="H2703" s="114">
        <v>2500</v>
      </c>
      <c r="I2703" s="114">
        <v>2500</v>
      </c>
      <c r="J2703" s="114">
        <v>2101</v>
      </c>
      <c r="K2703" s="114">
        <v>399</v>
      </c>
      <c r="L2703" s="114" t="str">
        <f t="shared" si="42"/>
        <v>INSERT INTO DETALLES_DOCUMENTO(NRO_DOCUMENTO,ID_TIPO,ID_PRODUCTO,CANTIDAD,PRECIO,VALOR_BRUTO,VALOR_NETO,VALOR_IVA) VALUES(1305,1,11,1,2500,2500,2101,399);</v>
      </c>
    </row>
    <row r="2704" spans="1:12">
      <c r="A2704" s="114">
        <v>1</v>
      </c>
      <c r="B2704" s="114">
        <v>1305</v>
      </c>
      <c r="C2704" s="139" t="s">
        <v>2381</v>
      </c>
      <c r="D2704" s="114" t="s">
        <v>2090</v>
      </c>
      <c r="E2704" s="114">
        <v>323</v>
      </c>
      <c r="F2704" s="114">
        <v>29</v>
      </c>
      <c r="G2704" s="114">
        <v>2</v>
      </c>
      <c r="H2704" s="114">
        <v>2000</v>
      </c>
      <c r="I2704" s="114">
        <v>4000</v>
      </c>
      <c r="J2704" s="114">
        <v>3361</v>
      </c>
      <c r="K2704" s="114">
        <v>639</v>
      </c>
      <c r="L2704" s="114" t="str">
        <f t="shared" si="42"/>
        <v>INSERT INTO DETALLES_DOCUMENTO(NRO_DOCUMENTO,ID_TIPO,ID_PRODUCTO,CANTIDAD,PRECIO,VALOR_BRUTO,VALOR_NETO,VALOR_IVA) VALUES(1305,1,29,2,2000,4000,3361,639);</v>
      </c>
    </row>
    <row r="2705" spans="1:12">
      <c r="A2705" s="114">
        <v>1</v>
      </c>
      <c r="B2705" s="114">
        <v>1305</v>
      </c>
      <c r="C2705" s="139" t="s">
        <v>2381</v>
      </c>
      <c r="D2705" s="114" t="s">
        <v>2090</v>
      </c>
      <c r="E2705" s="114">
        <v>323</v>
      </c>
      <c r="F2705" s="114">
        <v>285</v>
      </c>
      <c r="G2705" s="114">
        <v>1</v>
      </c>
      <c r="H2705" s="114">
        <v>3000</v>
      </c>
      <c r="I2705" s="114">
        <v>3000</v>
      </c>
      <c r="J2705" s="114">
        <v>2521</v>
      </c>
      <c r="K2705" s="114">
        <v>479</v>
      </c>
      <c r="L2705" s="114" t="str">
        <f t="shared" si="42"/>
        <v>INSERT INTO DETALLES_DOCUMENTO(NRO_DOCUMENTO,ID_TIPO,ID_PRODUCTO,CANTIDAD,PRECIO,VALOR_BRUTO,VALOR_NETO,VALOR_IVA) VALUES(1305,1,285,1,3000,3000,2521,479);</v>
      </c>
    </row>
    <row r="2706" spans="1:12">
      <c r="A2706" s="114">
        <v>1</v>
      </c>
      <c r="B2706" s="114">
        <v>1305</v>
      </c>
      <c r="C2706" s="139" t="s">
        <v>2381</v>
      </c>
      <c r="D2706" s="114" t="s">
        <v>2090</v>
      </c>
      <c r="E2706" s="114">
        <v>323</v>
      </c>
      <c r="F2706" s="114">
        <v>247</v>
      </c>
      <c r="G2706" s="114">
        <v>2</v>
      </c>
      <c r="H2706" s="114">
        <v>5599</v>
      </c>
      <c r="I2706" s="114">
        <v>11198</v>
      </c>
      <c r="J2706" s="114">
        <v>9410</v>
      </c>
      <c r="K2706" s="114">
        <v>1788</v>
      </c>
      <c r="L2706" s="114" t="str">
        <f t="shared" si="42"/>
        <v>INSERT INTO DETALLES_DOCUMENTO(NRO_DOCUMENTO,ID_TIPO,ID_PRODUCTO,CANTIDAD,PRECIO,VALOR_BRUTO,VALOR_NETO,VALOR_IVA) VALUES(1305,1,247,2,5599,11198,9410,1788);</v>
      </c>
    </row>
    <row r="2707" spans="1:12">
      <c r="A2707" s="114">
        <v>1</v>
      </c>
      <c r="B2707" s="114">
        <v>1305</v>
      </c>
      <c r="C2707" s="139" t="s">
        <v>2381</v>
      </c>
      <c r="D2707" s="114" t="s">
        <v>2090</v>
      </c>
      <c r="E2707" s="114">
        <v>323</v>
      </c>
      <c r="F2707" s="114">
        <v>157</v>
      </c>
      <c r="G2707" s="114">
        <v>1</v>
      </c>
      <c r="H2707" s="114">
        <v>4300</v>
      </c>
      <c r="I2707" s="114">
        <v>4300</v>
      </c>
      <c r="J2707" s="114">
        <v>3613</v>
      </c>
      <c r="K2707" s="114">
        <v>687</v>
      </c>
      <c r="L2707" s="114" t="str">
        <f t="shared" si="42"/>
        <v>INSERT INTO DETALLES_DOCUMENTO(NRO_DOCUMENTO,ID_TIPO,ID_PRODUCTO,CANTIDAD,PRECIO,VALOR_BRUTO,VALOR_NETO,VALOR_IVA) VALUES(1305,1,157,1,4300,4300,3613,687);</v>
      </c>
    </row>
    <row r="2708" spans="1:12">
      <c r="A2708" s="114">
        <v>1</v>
      </c>
      <c r="B2708" s="114">
        <v>1305</v>
      </c>
      <c r="C2708" s="139" t="s">
        <v>2381</v>
      </c>
      <c r="D2708" s="114" t="s">
        <v>2090</v>
      </c>
      <c r="E2708" s="114">
        <v>323</v>
      </c>
      <c r="F2708" s="114">
        <v>248</v>
      </c>
      <c r="G2708" s="114">
        <v>1</v>
      </c>
      <c r="H2708" s="114">
        <v>4500</v>
      </c>
      <c r="I2708" s="114">
        <v>4500</v>
      </c>
      <c r="J2708" s="114">
        <v>3782</v>
      </c>
      <c r="K2708" s="114">
        <v>718</v>
      </c>
      <c r="L2708" s="114" t="str">
        <f t="shared" si="42"/>
        <v>INSERT INTO DETALLES_DOCUMENTO(NRO_DOCUMENTO,ID_TIPO,ID_PRODUCTO,CANTIDAD,PRECIO,VALOR_BRUTO,VALOR_NETO,VALOR_IVA) VALUES(1305,1,248,1,4500,4500,3782,718);</v>
      </c>
    </row>
    <row r="2709" spans="1:12">
      <c r="A2709" s="114">
        <v>1</v>
      </c>
      <c r="B2709" s="114">
        <v>1305</v>
      </c>
      <c r="C2709" s="139" t="s">
        <v>2381</v>
      </c>
      <c r="D2709" s="114" t="s">
        <v>2090</v>
      </c>
      <c r="E2709" s="114">
        <v>323</v>
      </c>
      <c r="F2709" s="114">
        <v>162</v>
      </c>
      <c r="G2709" s="114">
        <v>3</v>
      </c>
      <c r="H2709" s="114">
        <v>4800</v>
      </c>
      <c r="I2709" s="114">
        <v>14400</v>
      </c>
      <c r="J2709" s="114">
        <v>12101</v>
      </c>
      <c r="K2709" s="114">
        <v>2299</v>
      </c>
      <c r="L2709" s="114" t="str">
        <f t="shared" si="42"/>
        <v>INSERT INTO DETALLES_DOCUMENTO(NRO_DOCUMENTO,ID_TIPO,ID_PRODUCTO,CANTIDAD,PRECIO,VALOR_BRUTO,VALOR_NETO,VALOR_IVA) VALUES(1305,1,162,3,4800,14400,12101,2299);</v>
      </c>
    </row>
    <row r="2710" spans="1:12">
      <c r="A2710" s="114">
        <v>1</v>
      </c>
      <c r="B2710" s="114">
        <v>1305</v>
      </c>
      <c r="C2710" s="139" t="s">
        <v>2381</v>
      </c>
      <c r="D2710" s="114" t="s">
        <v>2090</v>
      </c>
      <c r="E2710" s="114">
        <v>323</v>
      </c>
      <c r="F2710" s="114">
        <v>98</v>
      </c>
      <c r="G2710" s="114">
        <v>1</v>
      </c>
      <c r="H2710" s="114">
        <v>3500</v>
      </c>
      <c r="I2710" s="114">
        <v>3500</v>
      </c>
      <c r="J2710" s="114">
        <v>2941</v>
      </c>
      <c r="K2710" s="114">
        <v>559</v>
      </c>
      <c r="L2710" s="114" t="str">
        <f t="shared" si="42"/>
        <v>INSERT INTO DETALLES_DOCUMENTO(NRO_DOCUMENTO,ID_TIPO,ID_PRODUCTO,CANTIDAD,PRECIO,VALOR_BRUTO,VALOR_NETO,VALOR_IVA) VALUES(1305,1,98,1,3500,3500,2941,559);</v>
      </c>
    </row>
    <row r="2711" spans="1:12">
      <c r="A2711" s="114">
        <v>1</v>
      </c>
      <c r="B2711" s="114">
        <v>1305</v>
      </c>
      <c r="C2711" s="139" t="s">
        <v>2381</v>
      </c>
      <c r="D2711" s="114" t="s">
        <v>2090</v>
      </c>
      <c r="E2711" s="114">
        <v>323</v>
      </c>
      <c r="F2711" s="114">
        <v>118</v>
      </c>
      <c r="G2711" s="114">
        <v>4</v>
      </c>
      <c r="H2711" s="114">
        <v>14000</v>
      </c>
      <c r="I2711" s="114">
        <v>56000</v>
      </c>
      <c r="J2711" s="114">
        <v>47059</v>
      </c>
      <c r="K2711" s="114">
        <v>8941</v>
      </c>
      <c r="L2711" s="114" t="str">
        <f t="shared" si="42"/>
        <v>INSERT INTO DETALLES_DOCUMENTO(NRO_DOCUMENTO,ID_TIPO,ID_PRODUCTO,CANTIDAD,PRECIO,VALOR_BRUTO,VALOR_NETO,VALOR_IVA) VALUES(1305,1,118,4,14000,56000,47059,8941);</v>
      </c>
    </row>
    <row r="2712" spans="1:12">
      <c r="A2712" s="114">
        <v>1</v>
      </c>
      <c r="B2712" s="114">
        <v>1305</v>
      </c>
      <c r="C2712" s="139" t="s">
        <v>2381</v>
      </c>
      <c r="D2712" s="114" t="s">
        <v>2090</v>
      </c>
      <c r="E2712" s="114">
        <v>323</v>
      </c>
      <c r="F2712" s="114">
        <v>356</v>
      </c>
      <c r="G2712" s="114">
        <v>2</v>
      </c>
      <c r="H2712" s="114">
        <v>6000</v>
      </c>
      <c r="I2712" s="114">
        <v>12000</v>
      </c>
      <c r="J2712" s="114">
        <v>10084</v>
      </c>
      <c r="K2712" s="114">
        <v>1916</v>
      </c>
      <c r="L2712" s="114" t="str">
        <f t="shared" si="42"/>
        <v>INSERT INTO DETALLES_DOCUMENTO(NRO_DOCUMENTO,ID_TIPO,ID_PRODUCTO,CANTIDAD,PRECIO,VALOR_BRUTO,VALOR_NETO,VALOR_IVA) VALUES(1305,1,356,2,6000,12000,10084,1916);</v>
      </c>
    </row>
    <row r="2713" spans="1:12">
      <c r="A2713" s="114">
        <v>1</v>
      </c>
      <c r="B2713" s="114">
        <v>1305</v>
      </c>
      <c r="C2713" s="139" t="s">
        <v>2381</v>
      </c>
      <c r="D2713" s="114" t="s">
        <v>2090</v>
      </c>
      <c r="E2713" s="114">
        <v>323</v>
      </c>
      <c r="F2713" s="114">
        <v>244</v>
      </c>
      <c r="G2713" s="114">
        <v>1</v>
      </c>
      <c r="H2713" s="114">
        <v>14900</v>
      </c>
      <c r="I2713" s="114">
        <v>14900</v>
      </c>
      <c r="J2713" s="114">
        <v>12521</v>
      </c>
      <c r="K2713" s="114">
        <v>2379</v>
      </c>
      <c r="L2713" s="114" t="str">
        <f t="shared" si="42"/>
        <v>INSERT INTO DETALLES_DOCUMENTO(NRO_DOCUMENTO,ID_TIPO,ID_PRODUCTO,CANTIDAD,PRECIO,VALOR_BRUTO,VALOR_NETO,VALOR_IVA) VALUES(1305,1,244,1,14900,14900,12521,2379);</v>
      </c>
    </row>
    <row r="2714" spans="1:12">
      <c r="A2714" s="114">
        <v>1</v>
      </c>
      <c r="B2714" s="114">
        <v>1305</v>
      </c>
      <c r="C2714" s="139" t="s">
        <v>2381</v>
      </c>
      <c r="D2714" s="114" t="s">
        <v>2090</v>
      </c>
      <c r="E2714" s="114">
        <v>323</v>
      </c>
      <c r="F2714" s="114">
        <v>111</v>
      </c>
      <c r="G2714" s="114">
        <v>1</v>
      </c>
      <c r="H2714" s="114">
        <v>1500</v>
      </c>
      <c r="I2714" s="114">
        <v>1500</v>
      </c>
      <c r="J2714" s="114">
        <v>1261</v>
      </c>
      <c r="K2714" s="114">
        <v>239</v>
      </c>
      <c r="L2714" s="114" t="str">
        <f t="shared" si="42"/>
        <v>INSERT INTO DETALLES_DOCUMENTO(NRO_DOCUMENTO,ID_TIPO,ID_PRODUCTO,CANTIDAD,PRECIO,VALOR_BRUTO,VALOR_NETO,VALOR_IVA) VALUES(1305,1,111,1,1500,1500,1261,239);</v>
      </c>
    </row>
    <row r="2715" spans="1:12">
      <c r="A2715" s="114">
        <v>1</v>
      </c>
      <c r="B2715" s="114">
        <v>1306</v>
      </c>
      <c r="C2715" s="139" t="s">
        <v>2382</v>
      </c>
      <c r="D2715" s="114" t="s">
        <v>2090</v>
      </c>
      <c r="E2715" s="114">
        <v>207</v>
      </c>
      <c r="F2715" s="114">
        <v>117</v>
      </c>
      <c r="G2715" s="114">
        <v>2</v>
      </c>
      <c r="H2715" s="114">
        <v>7000</v>
      </c>
      <c r="I2715" s="114">
        <v>14000</v>
      </c>
      <c r="J2715" s="114">
        <v>11765</v>
      </c>
      <c r="K2715" s="114">
        <v>2235</v>
      </c>
      <c r="L2715" s="114" t="str">
        <f t="shared" si="42"/>
        <v>INSERT INTO DETALLES_DOCUMENTO(NRO_DOCUMENTO,ID_TIPO,ID_PRODUCTO,CANTIDAD,PRECIO,VALOR_BRUTO,VALOR_NETO,VALOR_IVA) VALUES(1306,1,117,2,7000,14000,11765,2235);</v>
      </c>
    </row>
    <row r="2716" spans="1:12">
      <c r="A2716" s="114">
        <v>1</v>
      </c>
      <c r="B2716" s="114">
        <v>1307</v>
      </c>
      <c r="C2716" s="139" t="s">
        <v>2382</v>
      </c>
      <c r="D2716" s="114" t="s">
        <v>2090</v>
      </c>
      <c r="E2716" s="114">
        <v>300</v>
      </c>
      <c r="F2716" s="114">
        <v>368</v>
      </c>
      <c r="G2716" s="114">
        <v>2</v>
      </c>
      <c r="H2716" s="114">
        <v>6000</v>
      </c>
      <c r="I2716" s="114">
        <v>12000</v>
      </c>
      <c r="J2716" s="114">
        <v>10084</v>
      </c>
      <c r="K2716" s="114">
        <v>1916</v>
      </c>
      <c r="L2716" s="114" t="str">
        <f t="shared" si="42"/>
        <v>INSERT INTO DETALLES_DOCUMENTO(NRO_DOCUMENTO,ID_TIPO,ID_PRODUCTO,CANTIDAD,PRECIO,VALOR_BRUTO,VALOR_NETO,VALOR_IVA) VALUES(1307,1,368,2,6000,12000,10084,1916);</v>
      </c>
    </row>
    <row r="2717" spans="1:12">
      <c r="A2717" s="114">
        <v>1</v>
      </c>
      <c r="B2717" s="114">
        <v>1307</v>
      </c>
      <c r="C2717" s="139" t="s">
        <v>2382</v>
      </c>
      <c r="D2717" s="114" t="s">
        <v>2090</v>
      </c>
      <c r="E2717" s="114">
        <v>300</v>
      </c>
      <c r="F2717" s="114">
        <v>354</v>
      </c>
      <c r="G2717" s="114">
        <v>1</v>
      </c>
      <c r="H2717" s="114">
        <v>1800</v>
      </c>
      <c r="I2717" s="114">
        <v>1800</v>
      </c>
      <c r="J2717" s="114">
        <v>1513</v>
      </c>
      <c r="K2717" s="114">
        <v>287</v>
      </c>
      <c r="L2717" s="114" t="str">
        <f t="shared" si="42"/>
        <v>INSERT INTO DETALLES_DOCUMENTO(NRO_DOCUMENTO,ID_TIPO,ID_PRODUCTO,CANTIDAD,PRECIO,VALOR_BRUTO,VALOR_NETO,VALOR_IVA) VALUES(1307,1,354,1,1800,1800,1513,287);</v>
      </c>
    </row>
    <row r="2718" spans="1:12">
      <c r="A2718" s="114">
        <v>1</v>
      </c>
      <c r="B2718" s="114">
        <v>1308</v>
      </c>
      <c r="C2718" s="139" t="s">
        <v>2383</v>
      </c>
      <c r="D2718" s="114" t="s">
        <v>2090</v>
      </c>
      <c r="E2718" s="114">
        <v>63</v>
      </c>
      <c r="F2718" s="114">
        <v>143</v>
      </c>
      <c r="G2718" s="114">
        <v>1</v>
      </c>
      <c r="H2718" s="114">
        <v>8000</v>
      </c>
      <c r="I2718" s="114">
        <v>8000</v>
      </c>
      <c r="J2718" s="114">
        <v>6723</v>
      </c>
      <c r="K2718" s="114">
        <v>1277</v>
      </c>
      <c r="L2718" s="114" t="str">
        <f t="shared" si="42"/>
        <v>INSERT INTO DETALLES_DOCUMENTO(NRO_DOCUMENTO,ID_TIPO,ID_PRODUCTO,CANTIDAD,PRECIO,VALOR_BRUTO,VALOR_NETO,VALOR_IVA) VALUES(1308,1,143,1,8000,8000,6723,1277);</v>
      </c>
    </row>
    <row r="2719" spans="1:12">
      <c r="A2719" s="114">
        <v>1</v>
      </c>
      <c r="B2719" s="114">
        <v>1309</v>
      </c>
      <c r="C2719" s="139" t="s">
        <v>2383</v>
      </c>
      <c r="D2719" s="114" t="s">
        <v>2090</v>
      </c>
      <c r="E2719" s="114">
        <v>196</v>
      </c>
      <c r="F2719" s="114">
        <v>233</v>
      </c>
      <c r="G2719" s="114">
        <v>1</v>
      </c>
      <c r="H2719" s="114">
        <v>16000</v>
      </c>
      <c r="I2719" s="114">
        <v>16000</v>
      </c>
      <c r="J2719" s="114">
        <v>13445</v>
      </c>
      <c r="K2719" s="114">
        <v>2555</v>
      </c>
      <c r="L2719" s="114" t="str">
        <f t="shared" si="42"/>
        <v>INSERT INTO DETALLES_DOCUMENTO(NRO_DOCUMENTO,ID_TIPO,ID_PRODUCTO,CANTIDAD,PRECIO,VALOR_BRUTO,VALOR_NETO,VALOR_IVA) VALUES(1309,1,233,1,16000,16000,13445,2555);</v>
      </c>
    </row>
    <row r="2720" spans="1:12">
      <c r="A2720" s="114">
        <v>1</v>
      </c>
      <c r="B2720" s="114">
        <v>1309</v>
      </c>
      <c r="C2720" s="139" t="s">
        <v>2383</v>
      </c>
      <c r="D2720" s="114" t="s">
        <v>2090</v>
      </c>
      <c r="E2720" s="114">
        <v>196</v>
      </c>
      <c r="F2720" s="114">
        <v>143</v>
      </c>
      <c r="G2720" s="114">
        <v>1</v>
      </c>
      <c r="H2720" s="114">
        <v>8000</v>
      </c>
      <c r="I2720" s="114">
        <v>8000</v>
      </c>
      <c r="J2720" s="114">
        <v>6723</v>
      </c>
      <c r="K2720" s="114">
        <v>1277</v>
      </c>
      <c r="L2720" s="114" t="str">
        <f t="shared" si="42"/>
        <v>INSERT INTO DETALLES_DOCUMENTO(NRO_DOCUMENTO,ID_TIPO,ID_PRODUCTO,CANTIDAD,PRECIO,VALOR_BRUTO,VALOR_NETO,VALOR_IVA) VALUES(1309,1,143,1,8000,8000,6723,1277);</v>
      </c>
    </row>
    <row r="2721" spans="1:12">
      <c r="A2721" s="114">
        <v>1</v>
      </c>
      <c r="B2721" s="114">
        <v>1309</v>
      </c>
      <c r="C2721" s="139" t="s">
        <v>2383</v>
      </c>
      <c r="D2721" s="114" t="s">
        <v>2090</v>
      </c>
      <c r="E2721" s="114">
        <v>196</v>
      </c>
      <c r="F2721" s="114">
        <v>51</v>
      </c>
      <c r="G2721" s="114">
        <v>1</v>
      </c>
      <c r="H2721" s="114">
        <v>4200</v>
      </c>
      <c r="I2721" s="114">
        <v>4200</v>
      </c>
      <c r="J2721" s="114">
        <v>3529</v>
      </c>
      <c r="K2721" s="114">
        <v>671</v>
      </c>
      <c r="L2721" s="114" t="str">
        <f t="shared" si="42"/>
        <v>INSERT INTO DETALLES_DOCUMENTO(NRO_DOCUMENTO,ID_TIPO,ID_PRODUCTO,CANTIDAD,PRECIO,VALOR_BRUTO,VALOR_NETO,VALOR_IVA) VALUES(1309,1,51,1,4200,4200,3529,671);</v>
      </c>
    </row>
    <row r="2722" spans="1:12">
      <c r="A2722" s="114">
        <v>1</v>
      </c>
      <c r="B2722" s="114">
        <v>1310</v>
      </c>
      <c r="C2722" s="139" t="s">
        <v>2383</v>
      </c>
      <c r="D2722" s="114" t="s">
        <v>2090</v>
      </c>
      <c r="E2722" s="114">
        <v>263</v>
      </c>
      <c r="F2722" s="114">
        <v>143</v>
      </c>
      <c r="G2722" s="114">
        <v>1</v>
      </c>
      <c r="H2722" s="114">
        <v>8000</v>
      </c>
      <c r="I2722" s="114">
        <v>8000</v>
      </c>
      <c r="J2722" s="114">
        <v>6723</v>
      </c>
      <c r="K2722" s="114">
        <v>1277</v>
      </c>
      <c r="L2722" s="114" t="str">
        <f t="shared" si="42"/>
        <v>INSERT INTO DETALLES_DOCUMENTO(NRO_DOCUMENTO,ID_TIPO,ID_PRODUCTO,CANTIDAD,PRECIO,VALOR_BRUTO,VALOR_NETO,VALOR_IVA) VALUES(1310,1,143,1,8000,8000,6723,1277);</v>
      </c>
    </row>
    <row r="2723" spans="1:12">
      <c r="A2723" s="114">
        <v>1</v>
      </c>
      <c r="B2723" s="114">
        <v>1311</v>
      </c>
      <c r="C2723" s="139" t="s">
        <v>2383</v>
      </c>
      <c r="D2723" s="114" t="s">
        <v>2090</v>
      </c>
      <c r="E2723" s="114">
        <v>279</v>
      </c>
      <c r="F2723" s="114">
        <v>143</v>
      </c>
      <c r="G2723" s="114">
        <v>1</v>
      </c>
      <c r="H2723" s="114">
        <v>8000</v>
      </c>
      <c r="I2723" s="114">
        <v>8000</v>
      </c>
      <c r="J2723" s="114">
        <v>6723</v>
      </c>
      <c r="K2723" s="114">
        <v>1277</v>
      </c>
      <c r="L2723" s="114" t="str">
        <f t="shared" si="42"/>
        <v>INSERT INTO DETALLES_DOCUMENTO(NRO_DOCUMENTO,ID_TIPO,ID_PRODUCTO,CANTIDAD,PRECIO,VALOR_BRUTO,VALOR_NETO,VALOR_IVA) VALUES(1311,1,143,1,8000,8000,6723,1277);</v>
      </c>
    </row>
    <row r="2724" spans="1:12">
      <c r="A2724" s="114">
        <v>1</v>
      </c>
      <c r="B2724" s="114">
        <v>1312</v>
      </c>
      <c r="C2724" s="139" t="s">
        <v>2383</v>
      </c>
      <c r="D2724" s="114" t="s">
        <v>2090</v>
      </c>
      <c r="E2724" s="114">
        <v>298</v>
      </c>
      <c r="F2724" s="114">
        <v>231</v>
      </c>
      <c r="G2724" s="114">
        <v>1</v>
      </c>
      <c r="H2724" s="114">
        <v>20900</v>
      </c>
      <c r="I2724" s="114">
        <v>20900</v>
      </c>
      <c r="J2724" s="114">
        <v>17563</v>
      </c>
      <c r="K2724" s="114">
        <v>3337</v>
      </c>
      <c r="L2724" s="114" t="str">
        <f t="shared" si="42"/>
        <v>INSERT INTO DETALLES_DOCUMENTO(NRO_DOCUMENTO,ID_TIPO,ID_PRODUCTO,CANTIDAD,PRECIO,VALOR_BRUTO,VALOR_NETO,VALOR_IVA) VALUES(1312,1,231,1,20900,20900,17563,3337);</v>
      </c>
    </row>
    <row r="2725" spans="1:12">
      <c r="A2725" s="114">
        <v>1</v>
      </c>
      <c r="B2725" s="114">
        <v>1312</v>
      </c>
      <c r="C2725" s="139" t="s">
        <v>2383</v>
      </c>
      <c r="D2725" s="114" t="s">
        <v>2090</v>
      </c>
      <c r="E2725" s="114">
        <v>298</v>
      </c>
      <c r="F2725" s="114">
        <v>369</v>
      </c>
      <c r="G2725" s="114">
        <v>1</v>
      </c>
      <c r="H2725" s="114">
        <v>10500</v>
      </c>
      <c r="I2725" s="114">
        <v>10500</v>
      </c>
      <c r="J2725" s="114">
        <v>8824</v>
      </c>
      <c r="K2725" s="114">
        <v>1676</v>
      </c>
      <c r="L2725" s="114" t="str">
        <f t="shared" si="42"/>
        <v>INSERT INTO DETALLES_DOCUMENTO(NRO_DOCUMENTO,ID_TIPO,ID_PRODUCTO,CANTIDAD,PRECIO,VALOR_BRUTO,VALOR_NETO,VALOR_IVA) VALUES(1312,1,369,1,10500,10500,8824,1676);</v>
      </c>
    </row>
    <row r="2726" spans="1:12">
      <c r="A2726" s="114">
        <v>1</v>
      </c>
      <c r="B2726" s="114">
        <v>1312</v>
      </c>
      <c r="C2726" s="139" t="s">
        <v>2383</v>
      </c>
      <c r="D2726" s="114" t="s">
        <v>2090</v>
      </c>
      <c r="E2726" s="114">
        <v>298</v>
      </c>
      <c r="F2726" s="114">
        <v>256</v>
      </c>
      <c r="G2726" s="114">
        <v>1</v>
      </c>
      <c r="H2726" s="114">
        <v>3000</v>
      </c>
      <c r="I2726" s="114">
        <v>3000</v>
      </c>
      <c r="J2726" s="114">
        <v>2521</v>
      </c>
      <c r="K2726" s="114">
        <v>479</v>
      </c>
      <c r="L2726" s="114" t="str">
        <f t="shared" si="42"/>
        <v>INSERT INTO DETALLES_DOCUMENTO(NRO_DOCUMENTO,ID_TIPO,ID_PRODUCTO,CANTIDAD,PRECIO,VALOR_BRUTO,VALOR_NETO,VALOR_IVA) VALUES(1312,1,256,1,3000,3000,2521,479);</v>
      </c>
    </row>
    <row r="2727" spans="1:12">
      <c r="A2727" s="114">
        <v>1</v>
      </c>
      <c r="B2727" s="114">
        <v>1313</v>
      </c>
      <c r="C2727" s="139" t="s">
        <v>2383</v>
      </c>
      <c r="D2727" s="114" t="s">
        <v>2090</v>
      </c>
      <c r="E2727" s="114">
        <v>306</v>
      </c>
      <c r="F2727" s="114">
        <v>324</v>
      </c>
      <c r="G2727" s="114">
        <v>2</v>
      </c>
      <c r="H2727" s="114">
        <v>22000</v>
      </c>
      <c r="I2727" s="114">
        <v>44000</v>
      </c>
      <c r="J2727" s="114">
        <v>36975</v>
      </c>
      <c r="K2727" s="114">
        <v>7025</v>
      </c>
      <c r="L2727" s="114" t="str">
        <f t="shared" si="42"/>
        <v>INSERT INTO DETALLES_DOCUMENTO(NRO_DOCUMENTO,ID_TIPO,ID_PRODUCTO,CANTIDAD,PRECIO,VALOR_BRUTO,VALOR_NETO,VALOR_IVA) VALUES(1313,1,324,2,22000,44000,36975,7025);</v>
      </c>
    </row>
    <row r="2728" spans="1:12">
      <c r="A2728" s="114">
        <v>1</v>
      </c>
      <c r="B2728" s="114">
        <v>1314</v>
      </c>
      <c r="C2728" s="139" t="s">
        <v>2383</v>
      </c>
      <c r="D2728" s="114" t="s">
        <v>2090</v>
      </c>
      <c r="E2728" s="114">
        <v>389</v>
      </c>
      <c r="F2728" s="114">
        <v>324</v>
      </c>
      <c r="G2728" s="114">
        <v>1</v>
      </c>
      <c r="H2728" s="114">
        <v>11000</v>
      </c>
      <c r="I2728" s="114">
        <v>11000</v>
      </c>
      <c r="J2728" s="114">
        <v>9244</v>
      </c>
      <c r="K2728" s="114">
        <v>1756</v>
      </c>
      <c r="L2728" s="114" t="str">
        <f t="shared" si="42"/>
        <v>INSERT INTO DETALLES_DOCUMENTO(NRO_DOCUMENTO,ID_TIPO,ID_PRODUCTO,CANTIDAD,PRECIO,VALOR_BRUTO,VALOR_NETO,VALOR_IVA) VALUES(1314,1,324,1,11000,11000,9244,1756);</v>
      </c>
    </row>
    <row r="2729" spans="1:12">
      <c r="A2729" s="114">
        <v>1</v>
      </c>
      <c r="B2729" s="114">
        <v>1314</v>
      </c>
      <c r="C2729" s="139" t="s">
        <v>2383</v>
      </c>
      <c r="D2729" s="114" t="s">
        <v>2090</v>
      </c>
      <c r="E2729" s="114">
        <v>389</v>
      </c>
      <c r="F2729" s="114">
        <v>322</v>
      </c>
      <c r="G2729" s="114">
        <v>1</v>
      </c>
      <c r="H2729" s="114">
        <v>9000</v>
      </c>
      <c r="I2729" s="114">
        <v>9000</v>
      </c>
      <c r="J2729" s="114">
        <v>7563</v>
      </c>
      <c r="K2729" s="114">
        <v>1437</v>
      </c>
      <c r="L2729" s="114" t="str">
        <f t="shared" si="42"/>
        <v>INSERT INTO DETALLES_DOCUMENTO(NRO_DOCUMENTO,ID_TIPO,ID_PRODUCTO,CANTIDAD,PRECIO,VALOR_BRUTO,VALOR_NETO,VALOR_IVA) VALUES(1314,1,322,1,9000,9000,7563,1437);</v>
      </c>
    </row>
    <row r="2730" spans="1:12">
      <c r="A2730" s="114">
        <v>1</v>
      </c>
      <c r="B2730" s="114">
        <v>1315</v>
      </c>
      <c r="C2730" s="139" t="s">
        <v>2383</v>
      </c>
      <c r="D2730" s="114" t="s">
        <v>2090</v>
      </c>
      <c r="E2730" s="114">
        <v>457</v>
      </c>
      <c r="F2730" s="114">
        <v>143</v>
      </c>
      <c r="G2730" s="114">
        <v>2</v>
      </c>
      <c r="H2730" s="114">
        <v>16000</v>
      </c>
      <c r="I2730" s="114">
        <v>32000</v>
      </c>
      <c r="J2730" s="114">
        <v>26891</v>
      </c>
      <c r="K2730" s="114">
        <v>5109</v>
      </c>
      <c r="L2730" s="114" t="str">
        <f t="shared" si="42"/>
        <v>INSERT INTO DETALLES_DOCUMENTO(NRO_DOCUMENTO,ID_TIPO,ID_PRODUCTO,CANTIDAD,PRECIO,VALOR_BRUTO,VALOR_NETO,VALOR_IVA) VALUES(1315,1,143,2,16000,32000,26891,5109);</v>
      </c>
    </row>
    <row r="2731" spans="1:12">
      <c r="A2731" s="114">
        <v>1</v>
      </c>
      <c r="B2731" s="114">
        <v>1316</v>
      </c>
      <c r="C2731" s="139" t="s">
        <v>2384</v>
      </c>
      <c r="D2731" s="114" t="s">
        <v>2090</v>
      </c>
      <c r="E2731" s="114">
        <v>274</v>
      </c>
      <c r="F2731" s="114">
        <v>231</v>
      </c>
      <c r="G2731" s="114">
        <v>1</v>
      </c>
      <c r="H2731" s="114">
        <v>20900</v>
      </c>
      <c r="I2731" s="114">
        <v>20900</v>
      </c>
      <c r="J2731" s="114">
        <v>17563</v>
      </c>
      <c r="K2731" s="114">
        <v>3337</v>
      </c>
      <c r="L2731" s="114" t="str">
        <f t="shared" si="42"/>
        <v>INSERT INTO DETALLES_DOCUMENTO(NRO_DOCUMENTO,ID_TIPO,ID_PRODUCTO,CANTIDAD,PRECIO,VALOR_BRUTO,VALOR_NETO,VALOR_IVA) VALUES(1316,1,231,1,20900,20900,17563,3337);</v>
      </c>
    </row>
    <row r="2732" spans="1:12">
      <c r="A2732" s="114">
        <v>1</v>
      </c>
      <c r="B2732" s="114">
        <v>1316</v>
      </c>
      <c r="C2732" s="139" t="s">
        <v>2384</v>
      </c>
      <c r="D2732" s="114" t="s">
        <v>2090</v>
      </c>
      <c r="E2732" s="114">
        <v>274</v>
      </c>
      <c r="F2732" s="114">
        <v>99</v>
      </c>
      <c r="G2732" s="114">
        <v>2</v>
      </c>
      <c r="H2732" s="114">
        <v>3400</v>
      </c>
      <c r="I2732" s="114">
        <v>6800</v>
      </c>
      <c r="J2732" s="114">
        <v>5714</v>
      </c>
      <c r="K2732" s="114">
        <v>1086</v>
      </c>
      <c r="L2732" s="114" t="str">
        <f t="shared" si="42"/>
        <v>INSERT INTO DETALLES_DOCUMENTO(NRO_DOCUMENTO,ID_TIPO,ID_PRODUCTO,CANTIDAD,PRECIO,VALOR_BRUTO,VALOR_NETO,VALOR_IVA) VALUES(1316,1,99,2,3400,6800,5714,1086);</v>
      </c>
    </row>
    <row r="2733" spans="1:12">
      <c r="A2733" s="114">
        <v>1</v>
      </c>
      <c r="B2733" s="114">
        <v>1317</v>
      </c>
      <c r="C2733" s="139" t="s">
        <v>2384</v>
      </c>
      <c r="D2733" s="114" t="s">
        <v>2090</v>
      </c>
      <c r="E2733" s="114">
        <v>476</v>
      </c>
      <c r="F2733" s="114">
        <v>324</v>
      </c>
      <c r="G2733" s="114">
        <v>1</v>
      </c>
      <c r="H2733" s="114">
        <v>11000</v>
      </c>
      <c r="I2733" s="114">
        <v>11000</v>
      </c>
      <c r="J2733" s="114">
        <v>9244</v>
      </c>
      <c r="K2733" s="114">
        <v>1756</v>
      </c>
      <c r="L2733" s="114" t="str">
        <f t="shared" si="42"/>
        <v>INSERT INTO DETALLES_DOCUMENTO(NRO_DOCUMENTO,ID_TIPO,ID_PRODUCTO,CANTIDAD,PRECIO,VALOR_BRUTO,VALOR_NETO,VALOR_IVA) VALUES(1317,1,324,1,11000,11000,9244,1756);</v>
      </c>
    </row>
    <row r="2734" spans="1:12">
      <c r="A2734" s="114">
        <v>1</v>
      </c>
      <c r="B2734" s="114">
        <v>1318</v>
      </c>
      <c r="C2734" s="139" t="s">
        <v>2385</v>
      </c>
      <c r="D2734" s="114" t="s">
        <v>2090</v>
      </c>
      <c r="E2734" s="114">
        <v>119</v>
      </c>
      <c r="F2734" s="114">
        <v>143</v>
      </c>
      <c r="G2734" s="114">
        <v>1</v>
      </c>
      <c r="H2734" s="114">
        <v>8000</v>
      </c>
      <c r="I2734" s="114">
        <v>8000</v>
      </c>
      <c r="J2734" s="114">
        <v>6723</v>
      </c>
      <c r="K2734" s="114">
        <v>1277</v>
      </c>
      <c r="L2734" s="114" t="str">
        <f t="shared" si="42"/>
        <v>INSERT INTO DETALLES_DOCUMENTO(NRO_DOCUMENTO,ID_TIPO,ID_PRODUCTO,CANTIDAD,PRECIO,VALOR_BRUTO,VALOR_NETO,VALOR_IVA) VALUES(1318,1,143,1,8000,8000,6723,1277);</v>
      </c>
    </row>
    <row r="2735" spans="1:12">
      <c r="A2735" s="114">
        <v>1</v>
      </c>
      <c r="B2735" s="114">
        <v>1319</v>
      </c>
      <c r="C2735" s="139" t="s">
        <v>2385</v>
      </c>
      <c r="D2735" s="114" t="s">
        <v>2090</v>
      </c>
      <c r="E2735" s="114">
        <v>166</v>
      </c>
      <c r="F2735" s="114">
        <v>26</v>
      </c>
      <c r="G2735" s="114">
        <v>1</v>
      </c>
      <c r="H2735" s="114">
        <v>3400</v>
      </c>
      <c r="I2735" s="114">
        <v>3400</v>
      </c>
      <c r="J2735" s="114">
        <v>2857</v>
      </c>
      <c r="K2735" s="114">
        <v>543</v>
      </c>
      <c r="L2735" s="114" t="str">
        <f t="shared" si="42"/>
        <v>INSERT INTO DETALLES_DOCUMENTO(NRO_DOCUMENTO,ID_TIPO,ID_PRODUCTO,CANTIDAD,PRECIO,VALOR_BRUTO,VALOR_NETO,VALOR_IVA) VALUES(1319,1,26,1,3400,3400,2857,543);</v>
      </c>
    </row>
    <row r="2736" spans="1:12">
      <c r="A2736" s="114">
        <v>1</v>
      </c>
      <c r="B2736" s="114">
        <v>1320</v>
      </c>
      <c r="C2736" s="139" t="s">
        <v>2386</v>
      </c>
      <c r="D2736" s="114" t="s">
        <v>2090</v>
      </c>
      <c r="E2736" s="114">
        <v>179</v>
      </c>
      <c r="F2736" s="114">
        <v>324</v>
      </c>
      <c r="G2736" s="114">
        <v>1</v>
      </c>
      <c r="H2736" s="114">
        <v>11000</v>
      </c>
      <c r="I2736" s="114">
        <v>11000</v>
      </c>
      <c r="J2736" s="114">
        <v>9244</v>
      </c>
      <c r="K2736" s="114">
        <v>1756</v>
      </c>
      <c r="L2736" s="114" t="str">
        <f t="shared" si="42"/>
        <v>INSERT INTO DETALLES_DOCUMENTO(NRO_DOCUMENTO,ID_TIPO,ID_PRODUCTO,CANTIDAD,PRECIO,VALOR_BRUTO,VALOR_NETO,VALOR_IVA) VALUES(1320,1,324,1,11000,11000,9244,1756);</v>
      </c>
    </row>
    <row r="2737" spans="1:12">
      <c r="A2737" s="114">
        <v>1</v>
      </c>
      <c r="B2737" s="114">
        <v>1321</v>
      </c>
      <c r="C2737" s="139" t="s">
        <v>2386</v>
      </c>
      <c r="D2737" s="114" t="s">
        <v>2090</v>
      </c>
      <c r="E2737" s="114">
        <v>219</v>
      </c>
      <c r="F2737" s="114">
        <v>143</v>
      </c>
      <c r="G2737" s="114">
        <v>1</v>
      </c>
      <c r="H2737" s="114">
        <v>8000</v>
      </c>
      <c r="I2737" s="114">
        <v>8000</v>
      </c>
      <c r="J2737" s="114">
        <v>6723</v>
      </c>
      <c r="K2737" s="114">
        <v>1277</v>
      </c>
      <c r="L2737" s="114" t="str">
        <f t="shared" si="42"/>
        <v>INSERT INTO DETALLES_DOCUMENTO(NRO_DOCUMENTO,ID_TIPO,ID_PRODUCTO,CANTIDAD,PRECIO,VALOR_BRUTO,VALOR_NETO,VALOR_IVA) VALUES(1321,1,143,1,8000,8000,6723,1277);</v>
      </c>
    </row>
    <row r="2738" spans="1:12">
      <c r="A2738" s="114">
        <v>1</v>
      </c>
      <c r="B2738" s="114">
        <v>1322</v>
      </c>
      <c r="C2738" s="139" t="s">
        <v>2386</v>
      </c>
      <c r="D2738" s="114" t="s">
        <v>2090</v>
      </c>
      <c r="E2738" s="114">
        <v>278</v>
      </c>
      <c r="F2738" s="114">
        <v>324</v>
      </c>
      <c r="G2738" s="114">
        <v>1</v>
      </c>
      <c r="H2738" s="114">
        <v>11000</v>
      </c>
      <c r="I2738" s="114">
        <v>11000</v>
      </c>
      <c r="J2738" s="114">
        <v>9244</v>
      </c>
      <c r="K2738" s="114">
        <v>1756</v>
      </c>
      <c r="L2738" s="114" t="str">
        <f t="shared" si="42"/>
        <v>INSERT INTO DETALLES_DOCUMENTO(NRO_DOCUMENTO,ID_TIPO,ID_PRODUCTO,CANTIDAD,PRECIO,VALOR_BRUTO,VALOR_NETO,VALOR_IVA) VALUES(1322,1,324,1,11000,11000,9244,1756);</v>
      </c>
    </row>
    <row r="2739" spans="1:12">
      <c r="A2739" s="114">
        <v>1</v>
      </c>
      <c r="B2739" s="114">
        <v>1322</v>
      </c>
      <c r="C2739" s="139" t="s">
        <v>2386</v>
      </c>
      <c r="D2739" s="114" t="s">
        <v>2090</v>
      </c>
      <c r="E2739" s="114">
        <v>278</v>
      </c>
      <c r="F2739" s="114">
        <v>143</v>
      </c>
      <c r="G2739" s="114">
        <v>1</v>
      </c>
      <c r="H2739" s="114">
        <v>8000</v>
      </c>
      <c r="I2739" s="114">
        <v>8000</v>
      </c>
      <c r="J2739" s="114">
        <v>6723</v>
      </c>
      <c r="K2739" s="114">
        <v>1277</v>
      </c>
      <c r="L2739" s="114" t="str">
        <f t="shared" si="42"/>
        <v>INSERT INTO DETALLES_DOCUMENTO(NRO_DOCUMENTO,ID_TIPO,ID_PRODUCTO,CANTIDAD,PRECIO,VALOR_BRUTO,VALOR_NETO,VALOR_IVA) VALUES(1322,1,143,1,8000,8000,6723,1277);</v>
      </c>
    </row>
    <row r="2740" spans="1:12">
      <c r="A2740" s="114">
        <v>1</v>
      </c>
      <c r="B2740" s="114">
        <v>1322</v>
      </c>
      <c r="C2740" s="139" t="s">
        <v>2386</v>
      </c>
      <c r="D2740" s="114" t="s">
        <v>2090</v>
      </c>
      <c r="E2740" s="114">
        <v>278</v>
      </c>
      <c r="F2740" s="114">
        <v>15</v>
      </c>
      <c r="G2740" s="114">
        <v>1</v>
      </c>
      <c r="H2740" s="114">
        <v>1500</v>
      </c>
      <c r="I2740" s="114">
        <v>1500</v>
      </c>
      <c r="J2740" s="114">
        <v>1261</v>
      </c>
      <c r="K2740" s="114">
        <v>239</v>
      </c>
      <c r="L2740" s="114" t="str">
        <f t="shared" si="42"/>
        <v>INSERT INTO DETALLES_DOCUMENTO(NRO_DOCUMENTO,ID_TIPO,ID_PRODUCTO,CANTIDAD,PRECIO,VALOR_BRUTO,VALOR_NETO,VALOR_IVA) VALUES(1322,1,15,1,1500,1500,1261,239);</v>
      </c>
    </row>
    <row r="2741" spans="1:12">
      <c r="A2741" s="114">
        <v>1</v>
      </c>
      <c r="B2741" s="114">
        <v>1322</v>
      </c>
      <c r="C2741" s="139" t="s">
        <v>2386</v>
      </c>
      <c r="D2741" s="114" t="s">
        <v>2090</v>
      </c>
      <c r="E2741" s="114">
        <v>278</v>
      </c>
      <c r="F2741" s="114">
        <v>359</v>
      </c>
      <c r="G2741" s="114">
        <v>1</v>
      </c>
      <c r="H2741" s="114">
        <v>2700</v>
      </c>
      <c r="I2741" s="114">
        <v>2700</v>
      </c>
      <c r="J2741" s="114">
        <v>2269</v>
      </c>
      <c r="K2741" s="114">
        <v>431</v>
      </c>
      <c r="L2741" s="114" t="str">
        <f t="shared" si="42"/>
        <v>INSERT INTO DETALLES_DOCUMENTO(NRO_DOCUMENTO,ID_TIPO,ID_PRODUCTO,CANTIDAD,PRECIO,VALOR_BRUTO,VALOR_NETO,VALOR_IVA) VALUES(1322,1,359,1,2700,2700,2269,431);</v>
      </c>
    </row>
    <row r="2742" spans="1:12">
      <c r="A2742" s="114">
        <v>1</v>
      </c>
      <c r="B2742" s="114">
        <v>1322</v>
      </c>
      <c r="C2742" s="139" t="s">
        <v>2386</v>
      </c>
      <c r="D2742" s="114" t="s">
        <v>2090</v>
      </c>
      <c r="E2742" s="114">
        <v>278</v>
      </c>
      <c r="F2742" s="114">
        <v>31</v>
      </c>
      <c r="G2742" s="114">
        <v>1</v>
      </c>
      <c r="H2742" s="114">
        <v>3400</v>
      </c>
      <c r="I2742" s="114">
        <v>3400</v>
      </c>
      <c r="J2742" s="114">
        <v>2857</v>
      </c>
      <c r="K2742" s="114">
        <v>543</v>
      </c>
      <c r="L2742" s="114" t="str">
        <f t="shared" si="42"/>
        <v>INSERT INTO DETALLES_DOCUMENTO(NRO_DOCUMENTO,ID_TIPO,ID_PRODUCTO,CANTIDAD,PRECIO,VALOR_BRUTO,VALOR_NETO,VALOR_IVA) VALUES(1322,1,31,1,3400,3400,2857,543);</v>
      </c>
    </row>
    <row r="2743" spans="1:12">
      <c r="A2743" s="114">
        <v>1</v>
      </c>
      <c r="B2743" s="114">
        <v>1322</v>
      </c>
      <c r="C2743" s="139" t="s">
        <v>2386</v>
      </c>
      <c r="D2743" s="114" t="s">
        <v>2090</v>
      </c>
      <c r="E2743" s="114">
        <v>278</v>
      </c>
      <c r="F2743" s="114">
        <v>259</v>
      </c>
      <c r="G2743" s="114">
        <v>1</v>
      </c>
      <c r="H2743" s="114">
        <v>4500</v>
      </c>
      <c r="I2743" s="114">
        <v>4500</v>
      </c>
      <c r="J2743" s="114">
        <v>3782</v>
      </c>
      <c r="K2743" s="114">
        <v>718</v>
      </c>
      <c r="L2743" s="114" t="str">
        <f t="shared" si="42"/>
        <v>INSERT INTO DETALLES_DOCUMENTO(NRO_DOCUMENTO,ID_TIPO,ID_PRODUCTO,CANTIDAD,PRECIO,VALOR_BRUTO,VALOR_NETO,VALOR_IVA) VALUES(1322,1,259,1,4500,4500,3782,718);</v>
      </c>
    </row>
    <row r="2744" spans="1:12">
      <c r="A2744" s="114">
        <v>1</v>
      </c>
      <c r="B2744" s="114">
        <v>1322</v>
      </c>
      <c r="C2744" s="139" t="s">
        <v>2386</v>
      </c>
      <c r="D2744" s="114" t="s">
        <v>2090</v>
      </c>
      <c r="E2744" s="114">
        <v>278</v>
      </c>
      <c r="F2744" s="114">
        <v>252</v>
      </c>
      <c r="G2744" s="114">
        <v>1</v>
      </c>
      <c r="H2744" s="114">
        <v>4800</v>
      </c>
      <c r="I2744" s="114">
        <v>4800</v>
      </c>
      <c r="J2744" s="114">
        <v>4034</v>
      </c>
      <c r="K2744" s="114">
        <v>766</v>
      </c>
      <c r="L2744" s="114" t="str">
        <f t="shared" si="42"/>
        <v>INSERT INTO DETALLES_DOCUMENTO(NRO_DOCUMENTO,ID_TIPO,ID_PRODUCTO,CANTIDAD,PRECIO,VALOR_BRUTO,VALOR_NETO,VALOR_IVA) VALUES(1322,1,252,1,4800,4800,4034,766);</v>
      </c>
    </row>
    <row r="2745" spans="1:12">
      <c r="A2745" s="114">
        <v>1</v>
      </c>
      <c r="B2745" s="114">
        <v>1322</v>
      </c>
      <c r="C2745" s="139" t="s">
        <v>2386</v>
      </c>
      <c r="D2745" s="114" t="s">
        <v>2090</v>
      </c>
      <c r="E2745" s="114">
        <v>278</v>
      </c>
      <c r="F2745" s="114">
        <v>99</v>
      </c>
      <c r="G2745" s="114">
        <v>1</v>
      </c>
      <c r="H2745" s="114">
        <v>1700</v>
      </c>
      <c r="I2745" s="114">
        <v>1700</v>
      </c>
      <c r="J2745" s="114">
        <v>1429</v>
      </c>
      <c r="K2745" s="114">
        <v>271</v>
      </c>
      <c r="L2745" s="114" t="str">
        <f t="shared" si="42"/>
        <v>INSERT INTO DETALLES_DOCUMENTO(NRO_DOCUMENTO,ID_TIPO,ID_PRODUCTO,CANTIDAD,PRECIO,VALOR_BRUTO,VALOR_NETO,VALOR_IVA) VALUES(1322,1,99,1,1700,1700,1429,271);</v>
      </c>
    </row>
    <row r="2746" spans="1:12">
      <c r="A2746" s="114">
        <v>1</v>
      </c>
      <c r="B2746" s="114">
        <v>1322</v>
      </c>
      <c r="C2746" s="139" t="s">
        <v>2386</v>
      </c>
      <c r="D2746" s="114" t="s">
        <v>2090</v>
      </c>
      <c r="E2746" s="114">
        <v>278</v>
      </c>
      <c r="F2746" s="114">
        <v>165</v>
      </c>
      <c r="G2746" s="114">
        <v>1</v>
      </c>
      <c r="H2746" s="114">
        <v>2000</v>
      </c>
      <c r="I2746" s="114">
        <v>2000</v>
      </c>
      <c r="J2746" s="114">
        <v>1681</v>
      </c>
      <c r="K2746" s="114">
        <v>319</v>
      </c>
      <c r="L2746" s="114" t="str">
        <f t="shared" si="42"/>
        <v>INSERT INTO DETALLES_DOCUMENTO(NRO_DOCUMENTO,ID_TIPO,ID_PRODUCTO,CANTIDAD,PRECIO,VALOR_BRUTO,VALOR_NETO,VALOR_IVA) VALUES(1322,1,165,1,2000,2000,1681,319);</v>
      </c>
    </row>
    <row r="2747" spans="1:12">
      <c r="A2747" s="114">
        <v>1</v>
      </c>
      <c r="B2747" s="114">
        <v>1322</v>
      </c>
      <c r="C2747" s="139" t="s">
        <v>2386</v>
      </c>
      <c r="D2747" s="114" t="s">
        <v>2090</v>
      </c>
      <c r="E2747" s="114">
        <v>278</v>
      </c>
      <c r="F2747" s="114">
        <v>230</v>
      </c>
      <c r="G2747" s="114">
        <v>1</v>
      </c>
      <c r="H2747" s="114">
        <v>16500</v>
      </c>
      <c r="I2747" s="114">
        <v>16500</v>
      </c>
      <c r="J2747" s="114">
        <v>13866</v>
      </c>
      <c r="K2747" s="114">
        <v>2634</v>
      </c>
      <c r="L2747" s="114" t="str">
        <f t="shared" si="42"/>
        <v>INSERT INTO DETALLES_DOCUMENTO(NRO_DOCUMENTO,ID_TIPO,ID_PRODUCTO,CANTIDAD,PRECIO,VALOR_BRUTO,VALOR_NETO,VALOR_IVA) VALUES(1322,1,230,1,16500,16500,13866,2634);</v>
      </c>
    </row>
    <row r="2748" spans="1:12">
      <c r="A2748" s="114">
        <v>1</v>
      </c>
      <c r="B2748" s="114">
        <v>1322</v>
      </c>
      <c r="C2748" s="139" t="s">
        <v>2386</v>
      </c>
      <c r="D2748" s="114" t="s">
        <v>2090</v>
      </c>
      <c r="E2748" s="114">
        <v>278</v>
      </c>
      <c r="F2748" s="114">
        <v>278</v>
      </c>
      <c r="G2748" s="114">
        <v>1</v>
      </c>
      <c r="H2748" s="114">
        <v>11500</v>
      </c>
      <c r="I2748" s="114">
        <v>11500</v>
      </c>
      <c r="J2748" s="114">
        <v>9664</v>
      </c>
      <c r="K2748" s="114">
        <v>1836</v>
      </c>
      <c r="L2748" s="114" t="str">
        <f t="shared" si="42"/>
        <v>INSERT INTO DETALLES_DOCUMENTO(NRO_DOCUMENTO,ID_TIPO,ID_PRODUCTO,CANTIDAD,PRECIO,VALOR_BRUTO,VALOR_NETO,VALOR_IVA) VALUES(1322,1,278,1,11500,11500,9664,1836);</v>
      </c>
    </row>
    <row r="2749" spans="1:12">
      <c r="A2749" s="114">
        <v>1</v>
      </c>
      <c r="B2749" s="114">
        <v>1322</v>
      </c>
      <c r="C2749" s="139" t="s">
        <v>2386</v>
      </c>
      <c r="D2749" s="114" t="s">
        <v>2090</v>
      </c>
      <c r="E2749" s="114">
        <v>278</v>
      </c>
      <c r="F2749" s="114">
        <v>117</v>
      </c>
      <c r="G2749" s="114">
        <v>1</v>
      </c>
      <c r="H2749" s="114">
        <v>3500</v>
      </c>
      <c r="I2749" s="114">
        <v>3500</v>
      </c>
      <c r="J2749" s="114">
        <v>2941</v>
      </c>
      <c r="K2749" s="114">
        <v>559</v>
      </c>
      <c r="L2749" s="114" t="str">
        <f t="shared" si="42"/>
        <v>INSERT INTO DETALLES_DOCUMENTO(NRO_DOCUMENTO,ID_TIPO,ID_PRODUCTO,CANTIDAD,PRECIO,VALOR_BRUTO,VALOR_NETO,VALOR_IVA) VALUES(1322,1,117,1,3500,3500,2941,559);</v>
      </c>
    </row>
    <row r="2750" spans="1:12">
      <c r="A2750" s="114">
        <v>1</v>
      </c>
      <c r="B2750" s="114">
        <v>1323</v>
      </c>
      <c r="C2750" s="139" t="s">
        <v>2386</v>
      </c>
      <c r="D2750" s="114" t="s">
        <v>2090</v>
      </c>
      <c r="E2750" s="114">
        <v>343</v>
      </c>
      <c r="F2750" s="114">
        <v>322</v>
      </c>
      <c r="G2750" s="114">
        <v>1</v>
      </c>
      <c r="H2750" s="114">
        <v>9000</v>
      </c>
      <c r="I2750" s="114">
        <v>9000</v>
      </c>
      <c r="J2750" s="114">
        <v>7563</v>
      </c>
      <c r="K2750" s="114">
        <v>1437</v>
      </c>
      <c r="L2750" s="114" t="str">
        <f t="shared" si="42"/>
        <v>INSERT INTO DETALLES_DOCUMENTO(NRO_DOCUMENTO,ID_TIPO,ID_PRODUCTO,CANTIDAD,PRECIO,VALOR_BRUTO,VALOR_NETO,VALOR_IVA) VALUES(1323,1,322,1,9000,9000,7563,1437);</v>
      </c>
    </row>
    <row r="2751" spans="1:12">
      <c r="A2751" s="114">
        <v>1</v>
      </c>
      <c r="B2751" s="114">
        <v>1323</v>
      </c>
      <c r="C2751" s="139" t="s">
        <v>2386</v>
      </c>
      <c r="D2751" s="114" t="s">
        <v>2090</v>
      </c>
      <c r="E2751" s="114">
        <v>343</v>
      </c>
      <c r="F2751" s="114">
        <v>15</v>
      </c>
      <c r="G2751" s="114">
        <v>1</v>
      </c>
      <c r="H2751" s="114">
        <v>1500</v>
      </c>
      <c r="I2751" s="114">
        <v>1500</v>
      </c>
      <c r="J2751" s="114">
        <v>1261</v>
      </c>
      <c r="K2751" s="114">
        <v>239</v>
      </c>
      <c r="L2751" s="114" t="str">
        <f t="shared" si="42"/>
        <v>INSERT INTO DETALLES_DOCUMENTO(NRO_DOCUMENTO,ID_TIPO,ID_PRODUCTO,CANTIDAD,PRECIO,VALOR_BRUTO,VALOR_NETO,VALOR_IVA) VALUES(1323,1,15,1,1500,1500,1261,239);</v>
      </c>
    </row>
    <row r="2752" spans="1:12">
      <c r="A2752" s="114">
        <v>1</v>
      </c>
      <c r="B2752" s="114">
        <v>1323</v>
      </c>
      <c r="C2752" s="139" t="s">
        <v>2386</v>
      </c>
      <c r="D2752" s="114" t="s">
        <v>2090</v>
      </c>
      <c r="E2752" s="114">
        <v>343</v>
      </c>
      <c r="F2752" s="114">
        <v>273</v>
      </c>
      <c r="G2752" s="114">
        <v>1</v>
      </c>
      <c r="H2752" s="114">
        <v>1300</v>
      </c>
      <c r="I2752" s="114">
        <v>1300</v>
      </c>
      <c r="J2752" s="114">
        <v>1092</v>
      </c>
      <c r="K2752" s="114">
        <v>208</v>
      </c>
      <c r="L2752" s="114" t="str">
        <f t="shared" si="42"/>
        <v>INSERT INTO DETALLES_DOCUMENTO(NRO_DOCUMENTO,ID_TIPO,ID_PRODUCTO,CANTIDAD,PRECIO,VALOR_BRUTO,VALOR_NETO,VALOR_IVA) VALUES(1323,1,273,1,1300,1300,1092,208);</v>
      </c>
    </row>
    <row r="2753" spans="1:12">
      <c r="A2753" s="114">
        <v>1</v>
      </c>
      <c r="B2753" s="114">
        <v>1323</v>
      </c>
      <c r="C2753" s="139" t="s">
        <v>2386</v>
      </c>
      <c r="D2753" s="114" t="s">
        <v>2090</v>
      </c>
      <c r="E2753" s="114">
        <v>343</v>
      </c>
      <c r="F2753" s="114">
        <v>81</v>
      </c>
      <c r="G2753" s="114">
        <v>1</v>
      </c>
      <c r="H2753" s="114">
        <v>1600</v>
      </c>
      <c r="I2753" s="114">
        <v>1600</v>
      </c>
      <c r="J2753" s="114">
        <v>1345</v>
      </c>
      <c r="K2753" s="114">
        <v>255</v>
      </c>
      <c r="L2753" s="114" t="str">
        <f t="shared" si="42"/>
        <v>INSERT INTO DETALLES_DOCUMENTO(NRO_DOCUMENTO,ID_TIPO,ID_PRODUCTO,CANTIDAD,PRECIO,VALOR_BRUTO,VALOR_NETO,VALOR_IVA) VALUES(1323,1,81,1,1600,1600,1345,255);</v>
      </c>
    </row>
    <row r="2754" spans="1:12">
      <c r="A2754" s="114">
        <v>1</v>
      </c>
      <c r="B2754" s="114">
        <v>1323</v>
      </c>
      <c r="C2754" s="139" t="s">
        <v>2386</v>
      </c>
      <c r="D2754" s="114" t="s">
        <v>2090</v>
      </c>
      <c r="E2754" s="114">
        <v>343</v>
      </c>
      <c r="F2754" s="114">
        <v>156</v>
      </c>
      <c r="G2754" s="114">
        <v>1</v>
      </c>
      <c r="H2754" s="114">
        <v>1400</v>
      </c>
      <c r="I2754" s="114">
        <v>1400</v>
      </c>
      <c r="J2754" s="114">
        <v>1176</v>
      </c>
      <c r="K2754" s="114">
        <v>224</v>
      </c>
      <c r="L2754" s="114" t="str">
        <f t="shared" si="42"/>
        <v>INSERT INTO DETALLES_DOCUMENTO(NRO_DOCUMENTO,ID_TIPO,ID_PRODUCTO,CANTIDAD,PRECIO,VALOR_BRUTO,VALOR_NETO,VALOR_IVA) VALUES(1323,1,156,1,1400,1400,1176,224);</v>
      </c>
    </row>
    <row r="2755" spans="1:12">
      <c r="A2755" s="114">
        <v>1</v>
      </c>
      <c r="B2755" s="114">
        <v>1323</v>
      </c>
      <c r="C2755" s="139" t="s">
        <v>2386</v>
      </c>
      <c r="D2755" s="114" t="s">
        <v>2090</v>
      </c>
      <c r="E2755" s="114">
        <v>343</v>
      </c>
      <c r="F2755" s="114">
        <v>154</v>
      </c>
      <c r="G2755" s="114">
        <v>1</v>
      </c>
      <c r="H2755" s="114">
        <v>3200</v>
      </c>
      <c r="I2755" s="114">
        <v>3200</v>
      </c>
      <c r="J2755" s="114">
        <v>2689</v>
      </c>
      <c r="K2755" s="114">
        <v>511</v>
      </c>
      <c r="L2755" s="114" t="str">
        <f t="shared" ref="L2755:L2818" si="43">CONCATENATE("INSERT INTO DETALLES_DOCUMENTO(NRO_DOCUMENTO,ID_TIPO,ID_PRODUCTO,CANTIDAD,PRECIO,VALOR_BRUTO,VALOR_NETO,VALOR_IVA) VALUES(",B2755,",",A2755,",",F2755,",",G2755,",",H2755,",",I2755,",",J2755,",",K2755,");")</f>
        <v>INSERT INTO DETALLES_DOCUMENTO(NRO_DOCUMENTO,ID_TIPO,ID_PRODUCTO,CANTIDAD,PRECIO,VALOR_BRUTO,VALOR_NETO,VALOR_IVA) VALUES(1323,1,154,1,3200,3200,2689,511);</v>
      </c>
    </row>
    <row r="2756" spans="1:12">
      <c r="A2756" s="114">
        <v>1</v>
      </c>
      <c r="B2756" s="114">
        <v>1323</v>
      </c>
      <c r="C2756" s="139" t="s">
        <v>2386</v>
      </c>
      <c r="D2756" s="114" t="s">
        <v>2090</v>
      </c>
      <c r="E2756" s="114">
        <v>343</v>
      </c>
      <c r="F2756" s="114">
        <v>97</v>
      </c>
      <c r="G2756" s="114">
        <v>1</v>
      </c>
      <c r="H2756" s="114">
        <v>2000</v>
      </c>
      <c r="I2756" s="114">
        <v>2000</v>
      </c>
      <c r="J2756" s="114">
        <v>1681</v>
      </c>
      <c r="K2756" s="114">
        <v>319</v>
      </c>
      <c r="L2756" s="114" t="str">
        <f t="shared" si="43"/>
        <v>INSERT INTO DETALLES_DOCUMENTO(NRO_DOCUMENTO,ID_TIPO,ID_PRODUCTO,CANTIDAD,PRECIO,VALOR_BRUTO,VALOR_NETO,VALOR_IVA) VALUES(1323,1,97,1,2000,2000,1681,319);</v>
      </c>
    </row>
    <row r="2757" spans="1:12">
      <c r="A2757" s="114">
        <v>1</v>
      </c>
      <c r="B2757" s="114">
        <v>1323</v>
      </c>
      <c r="C2757" s="139" t="s">
        <v>2386</v>
      </c>
      <c r="D2757" s="114" t="s">
        <v>2090</v>
      </c>
      <c r="E2757" s="114">
        <v>343</v>
      </c>
      <c r="F2757" s="114">
        <v>165</v>
      </c>
      <c r="G2757" s="114">
        <v>1</v>
      </c>
      <c r="H2757" s="114">
        <v>2000</v>
      </c>
      <c r="I2757" s="114">
        <v>2000</v>
      </c>
      <c r="J2757" s="114">
        <v>1681</v>
      </c>
      <c r="K2757" s="114">
        <v>319</v>
      </c>
      <c r="L2757" s="114" t="str">
        <f t="shared" si="43"/>
        <v>INSERT INTO DETALLES_DOCUMENTO(NRO_DOCUMENTO,ID_TIPO,ID_PRODUCTO,CANTIDAD,PRECIO,VALOR_BRUTO,VALOR_NETO,VALOR_IVA) VALUES(1323,1,165,1,2000,2000,1681,319);</v>
      </c>
    </row>
    <row r="2758" spans="1:12">
      <c r="A2758" s="114">
        <v>1</v>
      </c>
      <c r="B2758" s="114">
        <v>1323</v>
      </c>
      <c r="C2758" s="139" t="s">
        <v>2386</v>
      </c>
      <c r="D2758" s="114" t="s">
        <v>2090</v>
      </c>
      <c r="E2758" s="114">
        <v>343</v>
      </c>
      <c r="F2758" s="114">
        <v>244</v>
      </c>
      <c r="G2758" s="114">
        <v>1</v>
      </c>
      <c r="H2758" s="114">
        <v>14900</v>
      </c>
      <c r="I2758" s="114">
        <v>14900</v>
      </c>
      <c r="J2758" s="114">
        <v>12521</v>
      </c>
      <c r="K2758" s="114">
        <v>2379</v>
      </c>
      <c r="L2758" s="114" t="str">
        <f t="shared" si="43"/>
        <v>INSERT INTO DETALLES_DOCUMENTO(NRO_DOCUMENTO,ID_TIPO,ID_PRODUCTO,CANTIDAD,PRECIO,VALOR_BRUTO,VALOR_NETO,VALOR_IVA) VALUES(1323,1,244,1,14900,14900,12521,2379);</v>
      </c>
    </row>
    <row r="2759" spans="1:12">
      <c r="A2759" s="114">
        <v>1</v>
      </c>
      <c r="B2759" s="114">
        <v>1323</v>
      </c>
      <c r="C2759" s="139" t="s">
        <v>2386</v>
      </c>
      <c r="D2759" s="114" t="s">
        <v>2090</v>
      </c>
      <c r="E2759" s="114">
        <v>343</v>
      </c>
      <c r="F2759" s="114">
        <v>230</v>
      </c>
      <c r="G2759" s="114">
        <v>1</v>
      </c>
      <c r="H2759" s="114">
        <v>16500</v>
      </c>
      <c r="I2759" s="114">
        <v>16500</v>
      </c>
      <c r="J2759" s="114">
        <v>13866</v>
      </c>
      <c r="K2759" s="114">
        <v>2634</v>
      </c>
      <c r="L2759" s="114" t="str">
        <f t="shared" si="43"/>
        <v>INSERT INTO DETALLES_DOCUMENTO(NRO_DOCUMENTO,ID_TIPO,ID_PRODUCTO,CANTIDAD,PRECIO,VALOR_BRUTO,VALOR_NETO,VALOR_IVA) VALUES(1323,1,230,1,16500,16500,13866,2634);</v>
      </c>
    </row>
    <row r="2760" spans="1:12">
      <c r="A2760" s="114">
        <v>1</v>
      </c>
      <c r="B2760" s="114">
        <v>1323</v>
      </c>
      <c r="C2760" s="139" t="s">
        <v>2386</v>
      </c>
      <c r="D2760" s="114" t="s">
        <v>2090</v>
      </c>
      <c r="E2760" s="114">
        <v>343</v>
      </c>
      <c r="F2760" s="114">
        <v>21</v>
      </c>
      <c r="G2760" s="114">
        <v>1</v>
      </c>
      <c r="H2760" s="114">
        <v>3200</v>
      </c>
      <c r="I2760" s="114">
        <v>3200</v>
      </c>
      <c r="J2760" s="114">
        <v>2689</v>
      </c>
      <c r="K2760" s="114">
        <v>511</v>
      </c>
      <c r="L2760" s="114" t="str">
        <f t="shared" si="43"/>
        <v>INSERT INTO DETALLES_DOCUMENTO(NRO_DOCUMENTO,ID_TIPO,ID_PRODUCTO,CANTIDAD,PRECIO,VALOR_BRUTO,VALOR_NETO,VALOR_IVA) VALUES(1323,1,21,1,3200,3200,2689,511);</v>
      </c>
    </row>
    <row r="2761" spans="1:12">
      <c r="A2761" s="114">
        <v>1</v>
      </c>
      <c r="B2761" s="114">
        <v>1323</v>
      </c>
      <c r="C2761" s="139" t="s">
        <v>2386</v>
      </c>
      <c r="D2761" s="114" t="s">
        <v>2090</v>
      </c>
      <c r="E2761" s="114">
        <v>343</v>
      </c>
      <c r="F2761" s="114">
        <v>143</v>
      </c>
      <c r="G2761" s="114">
        <v>1</v>
      </c>
      <c r="H2761" s="114">
        <v>8000</v>
      </c>
      <c r="I2761" s="114">
        <v>8000</v>
      </c>
      <c r="J2761" s="114">
        <v>6723</v>
      </c>
      <c r="K2761" s="114">
        <v>1277</v>
      </c>
      <c r="L2761" s="114" t="str">
        <f t="shared" si="43"/>
        <v>INSERT INTO DETALLES_DOCUMENTO(NRO_DOCUMENTO,ID_TIPO,ID_PRODUCTO,CANTIDAD,PRECIO,VALOR_BRUTO,VALOR_NETO,VALOR_IVA) VALUES(1323,1,143,1,8000,8000,6723,1277);</v>
      </c>
    </row>
    <row r="2762" spans="1:12">
      <c r="A2762" s="114">
        <v>1</v>
      </c>
      <c r="B2762" s="114">
        <v>1324</v>
      </c>
      <c r="C2762" s="139" t="s">
        <v>2386</v>
      </c>
      <c r="D2762" s="114" t="s">
        <v>2090</v>
      </c>
      <c r="E2762" s="114">
        <v>347</v>
      </c>
      <c r="F2762" s="114">
        <v>324</v>
      </c>
      <c r="G2762" s="114">
        <v>1</v>
      </c>
      <c r="H2762" s="114">
        <v>11000</v>
      </c>
      <c r="I2762" s="114">
        <v>11000</v>
      </c>
      <c r="J2762" s="114">
        <v>9244</v>
      </c>
      <c r="K2762" s="114">
        <v>1756</v>
      </c>
      <c r="L2762" s="114" t="str">
        <f t="shared" si="43"/>
        <v>INSERT INTO DETALLES_DOCUMENTO(NRO_DOCUMENTO,ID_TIPO,ID_PRODUCTO,CANTIDAD,PRECIO,VALOR_BRUTO,VALOR_NETO,VALOR_IVA) VALUES(1324,1,324,1,11000,11000,9244,1756);</v>
      </c>
    </row>
    <row r="2763" spans="1:12">
      <c r="A2763" s="114">
        <v>1</v>
      </c>
      <c r="B2763" s="114">
        <v>1324</v>
      </c>
      <c r="C2763" s="139" t="s">
        <v>2386</v>
      </c>
      <c r="D2763" s="114" t="s">
        <v>2090</v>
      </c>
      <c r="E2763" s="114">
        <v>347</v>
      </c>
      <c r="F2763" s="114">
        <v>261</v>
      </c>
      <c r="G2763" s="114">
        <v>1</v>
      </c>
      <c r="H2763" s="114">
        <v>7000</v>
      </c>
      <c r="I2763" s="114">
        <v>7000</v>
      </c>
      <c r="J2763" s="114">
        <v>5882</v>
      </c>
      <c r="K2763" s="114">
        <v>1118</v>
      </c>
      <c r="L2763" s="114" t="str">
        <f t="shared" si="43"/>
        <v>INSERT INTO DETALLES_DOCUMENTO(NRO_DOCUMENTO,ID_TIPO,ID_PRODUCTO,CANTIDAD,PRECIO,VALOR_BRUTO,VALOR_NETO,VALOR_IVA) VALUES(1324,1,261,1,7000,7000,5882,1118);</v>
      </c>
    </row>
    <row r="2764" spans="1:12">
      <c r="A2764" s="114">
        <v>1</v>
      </c>
      <c r="B2764" s="114">
        <v>1324</v>
      </c>
      <c r="C2764" s="139" t="s">
        <v>2386</v>
      </c>
      <c r="D2764" s="114" t="s">
        <v>2090</v>
      </c>
      <c r="E2764" s="114">
        <v>347</v>
      </c>
      <c r="F2764" s="114">
        <v>378</v>
      </c>
      <c r="G2764" s="114">
        <v>1</v>
      </c>
      <c r="H2764" s="114">
        <v>1200</v>
      </c>
      <c r="I2764" s="114">
        <v>1200</v>
      </c>
      <c r="J2764" s="114">
        <v>1008</v>
      </c>
      <c r="K2764" s="114">
        <v>192</v>
      </c>
      <c r="L2764" s="114" t="str">
        <f t="shared" si="43"/>
        <v>INSERT INTO DETALLES_DOCUMENTO(NRO_DOCUMENTO,ID_TIPO,ID_PRODUCTO,CANTIDAD,PRECIO,VALOR_BRUTO,VALOR_NETO,VALOR_IVA) VALUES(1324,1,378,1,1200,1200,1008,192);</v>
      </c>
    </row>
    <row r="2765" spans="1:12">
      <c r="A2765" s="114">
        <v>1</v>
      </c>
      <c r="B2765" s="114">
        <v>1324</v>
      </c>
      <c r="C2765" s="139" t="s">
        <v>2386</v>
      </c>
      <c r="D2765" s="114" t="s">
        <v>2090</v>
      </c>
      <c r="E2765" s="114">
        <v>347</v>
      </c>
      <c r="F2765" s="114">
        <v>111</v>
      </c>
      <c r="G2765" s="114">
        <v>1</v>
      </c>
      <c r="H2765" s="114">
        <v>-1600</v>
      </c>
      <c r="I2765" s="114">
        <v>-1600</v>
      </c>
      <c r="J2765" s="114">
        <v>-1345</v>
      </c>
      <c r="K2765" s="114">
        <v>-255</v>
      </c>
      <c r="L2765" s="114" t="str">
        <f t="shared" si="43"/>
        <v>INSERT INTO DETALLES_DOCUMENTO(NRO_DOCUMENTO,ID_TIPO,ID_PRODUCTO,CANTIDAD,PRECIO,VALOR_BRUTO,VALOR_NETO,VALOR_IVA) VALUES(1324,1,111,1,-1600,-1600,-1345,-255);</v>
      </c>
    </row>
    <row r="2766" spans="1:12">
      <c r="A2766" s="114">
        <v>1</v>
      </c>
      <c r="B2766" s="114">
        <v>1325</v>
      </c>
      <c r="C2766" s="139" t="s">
        <v>2386</v>
      </c>
      <c r="D2766" s="114" t="s">
        <v>2090</v>
      </c>
      <c r="E2766" s="114">
        <v>363</v>
      </c>
      <c r="F2766" s="114">
        <v>322</v>
      </c>
      <c r="G2766" s="114">
        <v>1</v>
      </c>
      <c r="H2766" s="114">
        <v>9000</v>
      </c>
      <c r="I2766" s="114">
        <v>9000</v>
      </c>
      <c r="J2766" s="114">
        <v>7563</v>
      </c>
      <c r="K2766" s="114">
        <v>1437</v>
      </c>
      <c r="L2766" s="114" t="str">
        <f t="shared" si="43"/>
        <v>INSERT INTO DETALLES_DOCUMENTO(NRO_DOCUMENTO,ID_TIPO,ID_PRODUCTO,CANTIDAD,PRECIO,VALOR_BRUTO,VALOR_NETO,VALOR_IVA) VALUES(1325,1,322,1,9000,9000,7563,1437);</v>
      </c>
    </row>
    <row r="2767" spans="1:12">
      <c r="A2767" s="114">
        <v>1</v>
      </c>
      <c r="B2767" s="114">
        <v>1325</v>
      </c>
      <c r="C2767" s="139" t="s">
        <v>2386</v>
      </c>
      <c r="D2767" s="114" t="s">
        <v>2090</v>
      </c>
      <c r="E2767" s="114">
        <v>363</v>
      </c>
      <c r="F2767" s="114">
        <v>230</v>
      </c>
      <c r="G2767" s="114">
        <v>1</v>
      </c>
      <c r="H2767" s="114">
        <v>16500</v>
      </c>
      <c r="I2767" s="114">
        <v>16500</v>
      </c>
      <c r="J2767" s="114">
        <v>13866</v>
      </c>
      <c r="K2767" s="114">
        <v>2634</v>
      </c>
      <c r="L2767" s="114" t="str">
        <f t="shared" si="43"/>
        <v>INSERT INTO DETALLES_DOCUMENTO(NRO_DOCUMENTO,ID_TIPO,ID_PRODUCTO,CANTIDAD,PRECIO,VALOR_BRUTO,VALOR_NETO,VALOR_IVA) VALUES(1325,1,230,1,16500,16500,13866,2634);</v>
      </c>
    </row>
    <row r="2768" spans="1:12">
      <c r="A2768" s="114">
        <v>1</v>
      </c>
      <c r="B2768" s="114">
        <v>1326</v>
      </c>
      <c r="C2768" s="139" t="s">
        <v>2387</v>
      </c>
      <c r="D2768" s="114" t="s">
        <v>2090</v>
      </c>
      <c r="E2768" s="114">
        <v>21</v>
      </c>
      <c r="F2768" s="114">
        <v>143</v>
      </c>
      <c r="G2768" s="114">
        <v>2</v>
      </c>
      <c r="H2768" s="114">
        <v>16000</v>
      </c>
      <c r="I2768" s="114">
        <v>32000</v>
      </c>
      <c r="J2768" s="114">
        <v>26891</v>
      </c>
      <c r="K2768" s="114">
        <v>5109</v>
      </c>
      <c r="L2768" s="114" t="str">
        <f t="shared" si="43"/>
        <v>INSERT INTO DETALLES_DOCUMENTO(NRO_DOCUMENTO,ID_TIPO,ID_PRODUCTO,CANTIDAD,PRECIO,VALOR_BRUTO,VALOR_NETO,VALOR_IVA) VALUES(1326,1,143,2,16000,32000,26891,5109);</v>
      </c>
    </row>
    <row r="2769" spans="1:12">
      <c r="A2769" s="114">
        <v>1</v>
      </c>
      <c r="B2769" s="114">
        <v>1327</v>
      </c>
      <c r="C2769" s="139" t="s">
        <v>2387</v>
      </c>
      <c r="D2769" s="114" t="s">
        <v>2090</v>
      </c>
      <c r="E2769" s="114">
        <v>29</v>
      </c>
      <c r="F2769" s="114">
        <v>191</v>
      </c>
      <c r="G2769" s="114">
        <v>1</v>
      </c>
      <c r="H2769" s="114">
        <v>2500</v>
      </c>
      <c r="I2769" s="114">
        <v>2500</v>
      </c>
      <c r="J2769" s="114">
        <v>2101</v>
      </c>
      <c r="K2769" s="114">
        <v>399</v>
      </c>
      <c r="L2769" s="114" t="str">
        <f t="shared" si="43"/>
        <v>INSERT INTO DETALLES_DOCUMENTO(NRO_DOCUMENTO,ID_TIPO,ID_PRODUCTO,CANTIDAD,PRECIO,VALOR_BRUTO,VALOR_NETO,VALOR_IVA) VALUES(1327,1,191,1,2500,2500,2101,399);</v>
      </c>
    </row>
    <row r="2770" spans="1:12">
      <c r="A2770" s="114">
        <v>1</v>
      </c>
      <c r="B2770" s="114">
        <v>1327</v>
      </c>
      <c r="C2770" s="139" t="s">
        <v>2387</v>
      </c>
      <c r="D2770" s="114" t="s">
        <v>2090</v>
      </c>
      <c r="E2770" s="114">
        <v>29</v>
      </c>
      <c r="F2770" s="114">
        <v>328</v>
      </c>
      <c r="G2770" s="114">
        <v>1</v>
      </c>
      <c r="H2770" s="114">
        <v>5000</v>
      </c>
      <c r="I2770" s="114">
        <v>5000</v>
      </c>
      <c r="J2770" s="114">
        <v>4202</v>
      </c>
      <c r="K2770" s="114">
        <v>798</v>
      </c>
      <c r="L2770" s="114" t="str">
        <f t="shared" si="43"/>
        <v>INSERT INTO DETALLES_DOCUMENTO(NRO_DOCUMENTO,ID_TIPO,ID_PRODUCTO,CANTIDAD,PRECIO,VALOR_BRUTO,VALOR_NETO,VALOR_IVA) VALUES(1327,1,328,1,5000,5000,4202,798);</v>
      </c>
    </row>
    <row r="2771" spans="1:12">
      <c r="A2771" s="114">
        <v>1</v>
      </c>
      <c r="B2771" s="114">
        <v>1327</v>
      </c>
      <c r="C2771" s="139" t="s">
        <v>2387</v>
      </c>
      <c r="D2771" s="114" t="s">
        <v>2090</v>
      </c>
      <c r="E2771" s="114">
        <v>29</v>
      </c>
      <c r="F2771" s="114">
        <v>143</v>
      </c>
      <c r="G2771" s="114">
        <v>1</v>
      </c>
      <c r="H2771" s="114">
        <v>8000</v>
      </c>
      <c r="I2771" s="114">
        <v>8000</v>
      </c>
      <c r="J2771" s="114">
        <v>6723</v>
      </c>
      <c r="K2771" s="114">
        <v>1277</v>
      </c>
      <c r="L2771" s="114" t="str">
        <f t="shared" si="43"/>
        <v>INSERT INTO DETALLES_DOCUMENTO(NRO_DOCUMENTO,ID_TIPO,ID_PRODUCTO,CANTIDAD,PRECIO,VALOR_BRUTO,VALOR_NETO,VALOR_IVA) VALUES(1327,1,143,1,8000,8000,6723,1277);</v>
      </c>
    </row>
    <row r="2772" spans="1:12">
      <c r="A2772" s="114">
        <v>1</v>
      </c>
      <c r="B2772" s="114">
        <v>1327</v>
      </c>
      <c r="C2772" s="139" t="s">
        <v>2387</v>
      </c>
      <c r="D2772" s="114" t="s">
        <v>2090</v>
      </c>
      <c r="E2772" s="114">
        <v>29</v>
      </c>
      <c r="F2772" s="114">
        <v>118</v>
      </c>
      <c r="G2772" s="114">
        <v>1</v>
      </c>
      <c r="H2772" s="114">
        <v>3500</v>
      </c>
      <c r="I2772" s="114">
        <v>3500</v>
      </c>
      <c r="J2772" s="114">
        <v>2941</v>
      </c>
      <c r="K2772" s="114">
        <v>559</v>
      </c>
      <c r="L2772" s="114" t="str">
        <f t="shared" si="43"/>
        <v>INSERT INTO DETALLES_DOCUMENTO(NRO_DOCUMENTO,ID_TIPO,ID_PRODUCTO,CANTIDAD,PRECIO,VALOR_BRUTO,VALOR_NETO,VALOR_IVA) VALUES(1327,1,118,1,3500,3500,2941,559);</v>
      </c>
    </row>
    <row r="2773" spans="1:12">
      <c r="A2773" s="114">
        <v>1</v>
      </c>
      <c r="B2773" s="114">
        <v>1327</v>
      </c>
      <c r="C2773" s="139" t="s">
        <v>2387</v>
      </c>
      <c r="D2773" s="114" t="s">
        <v>2090</v>
      </c>
      <c r="E2773" s="114">
        <v>29</v>
      </c>
      <c r="F2773" s="114">
        <v>354</v>
      </c>
      <c r="G2773" s="114">
        <v>1</v>
      </c>
      <c r="H2773" s="114">
        <v>1800</v>
      </c>
      <c r="I2773" s="114">
        <v>1800</v>
      </c>
      <c r="J2773" s="114">
        <v>1513</v>
      </c>
      <c r="K2773" s="114">
        <v>287</v>
      </c>
      <c r="L2773" s="114" t="str">
        <f t="shared" si="43"/>
        <v>INSERT INTO DETALLES_DOCUMENTO(NRO_DOCUMENTO,ID_TIPO,ID_PRODUCTO,CANTIDAD,PRECIO,VALOR_BRUTO,VALOR_NETO,VALOR_IVA) VALUES(1327,1,354,1,1800,1800,1513,287);</v>
      </c>
    </row>
    <row r="2774" spans="1:12">
      <c r="A2774" s="114">
        <v>1</v>
      </c>
      <c r="B2774" s="114">
        <v>1327</v>
      </c>
      <c r="C2774" s="139" t="s">
        <v>2387</v>
      </c>
      <c r="D2774" s="114" t="s">
        <v>2090</v>
      </c>
      <c r="E2774" s="114">
        <v>29</v>
      </c>
      <c r="F2774" s="114">
        <v>297</v>
      </c>
      <c r="G2774" s="114">
        <v>1</v>
      </c>
      <c r="H2774" s="114">
        <v>7000</v>
      </c>
      <c r="I2774" s="114">
        <v>7000</v>
      </c>
      <c r="J2774" s="114">
        <v>5882</v>
      </c>
      <c r="K2774" s="114">
        <v>1118</v>
      </c>
      <c r="L2774" s="114" t="str">
        <f t="shared" si="43"/>
        <v>INSERT INTO DETALLES_DOCUMENTO(NRO_DOCUMENTO,ID_TIPO,ID_PRODUCTO,CANTIDAD,PRECIO,VALOR_BRUTO,VALOR_NETO,VALOR_IVA) VALUES(1327,1,297,1,7000,7000,5882,1118);</v>
      </c>
    </row>
    <row r="2775" spans="1:12">
      <c r="A2775" s="114">
        <v>1</v>
      </c>
      <c r="B2775" s="114">
        <v>1328</v>
      </c>
      <c r="C2775" s="139" t="s">
        <v>2387</v>
      </c>
      <c r="D2775" s="114" t="s">
        <v>2090</v>
      </c>
      <c r="E2775" s="114">
        <v>78</v>
      </c>
      <c r="F2775" s="114">
        <v>230</v>
      </c>
      <c r="G2775" s="114">
        <v>1</v>
      </c>
      <c r="H2775" s="114">
        <v>16500</v>
      </c>
      <c r="I2775" s="114">
        <v>16500</v>
      </c>
      <c r="J2775" s="114">
        <v>13866</v>
      </c>
      <c r="K2775" s="114">
        <v>2634</v>
      </c>
      <c r="L2775" s="114" t="str">
        <f t="shared" si="43"/>
        <v>INSERT INTO DETALLES_DOCUMENTO(NRO_DOCUMENTO,ID_TIPO,ID_PRODUCTO,CANTIDAD,PRECIO,VALOR_BRUTO,VALOR_NETO,VALOR_IVA) VALUES(1328,1,230,1,16500,16500,13866,2634);</v>
      </c>
    </row>
    <row r="2776" spans="1:12">
      <c r="A2776" s="114">
        <v>1</v>
      </c>
      <c r="B2776" s="114">
        <v>1328</v>
      </c>
      <c r="C2776" s="139" t="s">
        <v>2387</v>
      </c>
      <c r="D2776" s="114" t="s">
        <v>2090</v>
      </c>
      <c r="E2776" s="114">
        <v>78</v>
      </c>
      <c r="F2776" s="114">
        <v>369</v>
      </c>
      <c r="G2776" s="114">
        <v>1</v>
      </c>
      <c r="H2776" s="114">
        <v>10500</v>
      </c>
      <c r="I2776" s="114">
        <v>10500</v>
      </c>
      <c r="J2776" s="114">
        <v>8824</v>
      </c>
      <c r="K2776" s="114">
        <v>1676</v>
      </c>
      <c r="L2776" s="114" t="str">
        <f t="shared" si="43"/>
        <v>INSERT INTO DETALLES_DOCUMENTO(NRO_DOCUMENTO,ID_TIPO,ID_PRODUCTO,CANTIDAD,PRECIO,VALOR_BRUTO,VALOR_NETO,VALOR_IVA) VALUES(1328,1,369,1,10500,10500,8824,1676);</v>
      </c>
    </row>
    <row r="2777" spans="1:12">
      <c r="A2777" s="114">
        <v>1</v>
      </c>
      <c r="B2777" s="114">
        <v>1328</v>
      </c>
      <c r="C2777" s="139" t="s">
        <v>2387</v>
      </c>
      <c r="D2777" s="114" t="s">
        <v>2090</v>
      </c>
      <c r="E2777" s="114">
        <v>78</v>
      </c>
      <c r="F2777" s="114">
        <v>118</v>
      </c>
      <c r="G2777" s="114">
        <v>1</v>
      </c>
      <c r="H2777" s="114">
        <v>3500</v>
      </c>
      <c r="I2777" s="114">
        <v>3500</v>
      </c>
      <c r="J2777" s="114">
        <v>2941</v>
      </c>
      <c r="K2777" s="114">
        <v>559</v>
      </c>
      <c r="L2777" s="114" t="str">
        <f t="shared" si="43"/>
        <v>INSERT INTO DETALLES_DOCUMENTO(NRO_DOCUMENTO,ID_TIPO,ID_PRODUCTO,CANTIDAD,PRECIO,VALOR_BRUTO,VALOR_NETO,VALOR_IVA) VALUES(1328,1,118,1,3500,3500,2941,559);</v>
      </c>
    </row>
    <row r="2778" spans="1:12">
      <c r="A2778" s="114">
        <v>1</v>
      </c>
      <c r="B2778" s="114">
        <v>1328</v>
      </c>
      <c r="C2778" s="139" t="s">
        <v>2387</v>
      </c>
      <c r="D2778" s="114" t="s">
        <v>2090</v>
      </c>
      <c r="E2778" s="114">
        <v>78</v>
      </c>
      <c r="F2778" s="114">
        <v>31</v>
      </c>
      <c r="G2778" s="114">
        <v>1</v>
      </c>
      <c r="H2778" s="114">
        <v>3400</v>
      </c>
      <c r="I2778" s="114">
        <v>3400</v>
      </c>
      <c r="J2778" s="114">
        <v>2857</v>
      </c>
      <c r="K2778" s="114">
        <v>543</v>
      </c>
      <c r="L2778" s="114" t="str">
        <f t="shared" si="43"/>
        <v>INSERT INTO DETALLES_DOCUMENTO(NRO_DOCUMENTO,ID_TIPO,ID_PRODUCTO,CANTIDAD,PRECIO,VALOR_BRUTO,VALOR_NETO,VALOR_IVA) VALUES(1328,1,31,1,3400,3400,2857,543);</v>
      </c>
    </row>
    <row r="2779" spans="1:12">
      <c r="A2779" s="114">
        <v>1</v>
      </c>
      <c r="B2779" s="114">
        <v>1328</v>
      </c>
      <c r="C2779" s="139" t="s">
        <v>2387</v>
      </c>
      <c r="D2779" s="114" t="s">
        <v>2090</v>
      </c>
      <c r="E2779" s="114">
        <v>78</v>
      </c>
      <c r="F2779" s="114">
        <v>30</v>
      </c>
      <c r="G2779" s="114">
        <v>1</v>
      </c>
      <c r="H2779" s="114">
        <v>3000</v>
      </c>
      <c r="I2779" s="114">
        <v>3000</v>
      </c>
      <c r="J2779" s="114">
        <v>2521</v>
      </c>
      <c r="K2779" s="114">
        <v>479</v>
      </c>
      <c r="L2779" s="114" t="str">
        <f t="shared" si="43"/>
        <v>INSERT INTO DETALLES_DOCUMENTO(NRO_DOCUMENTO,ID_TIPO,ID_PRODUCTO,CANTIDAD,PRECIO,VALOR_BRUTO,VALOR_NETO,VALOR_IVA) VALUES(1328,1,30,1,3000,3000,2521,479);</v>
      </c>
    </row>
    <row r="2780" spans="1:12">
      <c r="A2780" s="114">
        <v>1</v>
      </c>
      <c r="B2780" s="114">
        <v>1328</v>
      </c>
      <c r="C2780" s="139" t="s">
        <v>2387</v>
      </c>
      <c r="D2780" s="114" t="s">
        <v>2090</v>
      </c>
      <c r="E2780" s="114">
        <v>78</v>
      </c>
      <c r="F2780" s="114">
        <v>248</v>
      </c>
      <c r="G2780" s="114">
        <v>1</v>
      </c>
      <c r="H2780" s="114">
        <v>4500</v>
      </c>
      <c r="I2780" s="114">
        <v>4500</v>
      </c>
      <c r="J2780" s="114">
        <v>3782</v>
      </c>
      <c r="K2780" s="114">
        <v>718</v>
      </c>
      <c r="L2780" s="114" t="str">
        <f t="shared" si="43"/>
        <v>INSERT INTO DETALLES_DOCUMENTO(NRO_DOCUMENTO,ID_TIPO,ID_PRODUCTO,CANTIDAD,PRECIO,VALOR_BRUTO,VALOR_NETO,VALOR_IVA) VALUES(1328,1,248,1,4500,4500,3782,718);</v>
      </c>
    </row>
    <row r="2781" spans="1:12">
      <c r="A2781" s="114">
        <v>1</v>
      </c>
      <c r="B2781" s="114">
        <v>1328</v>
      </c>
      <c r="C2781" s="139" t="s">
        <v>2387</v>
      </c>
      <c r="D2781" s="114" t="s">
        <v>2090</v>
      </c>
      <c r="E2781" s="114">
        <v>78</v>
      </c>
      <c r="F2781" s="114">
        <v>157</v>
      </c>
      <c r="G2781" s="114">
        <v>1</v>
      </c>
      <c r="H2781" s="114">
        <v>4300</v>
      </c>
      <c r="I2781" s="114">
        <v>4300</v>
      </c>
      <c r="J2781" s="114">
        <v>3613</v>
      </c>
      <c r="K2781" s="114">
        <v>687</v>
      </c>
      <c r="L2781" s="114" t="str">
        <f t="shared" si="43"/>
        <v>INSERT INTO DETALLES_DOCUMENTO(NRO_DOCUMENTO,ID_TIPO,ID_PRODUCTO,CANTIDAD,PRECIO,VALOR_BRUTO,VALOR_NETO,VALOR_IVA) VALUES(1328,1,157,1,4300,4300,3613,687);</v>
      </c>
    </row>
    <row r="2782" spans="1:12">
      <c r="A2782" s="114">
        <v>1</v>
      </c>
      <c r="B2782" s="114">
        <v>1328</v>
      </c>
      <c r="C2782" s="139" t="s">
        <v>2387</v>
      </c>
      <c r="D2782" s="114" t="s">
        <v>2090</v>
      </c>
      <c r="E2782" s="114">
        <v>78</v>
      </c>
      <c r="F2782" s="114">
        <v>274</v>
      </c>
      <c r="G2782" s="114">
        <v>1</v>
      </c>
      <c r="H2782" s="114">
        <v>7500</v>
      </c>
      <c r="I2782" s="114">
        <v>7500</v>
      </c>
      <c r="J2782" s="114">
        <v>6303</v>
      </c>
      <c r="K2782" s="114">
        <v>1197</v>
      </c>
      <c r="L2782" s="114" t="str">
        <f t="shared" si="43"/>
        <v>INSERT INTO DETALLES_DOCUMENTO(NRO_DOCUMENTO,ID_TIPO,ID_PRODUCTO,CANTIDAD,PRECIO,VALOR_BRUTO,VALOR_NETO,VALOR_IVA) VALUES(1328,1,274,1,7500,7500,6303,1197);</v>
      </c>
    </row>
    <row r="2783" spans="1:12">
      <c r="A2783" s="114">
        <v>1</v>
      </c>
      <c r="B2783" s="114">
        <v>1328</v>
      </c>
      <c r="C2783" s="139" t="s">
        <v>2387</v>
      </c>
      <c r="D2783" s="114" t="s">
        <v>2090</v>
      </c>
      <c r="E2783" s="114">
        <v>78</v>
      </c>
      <c r="F2783" s="114">
        <v>360</v>
      </c>
      <c r="G2783" s="114">
        <v>1</v>
      </c>
      <c r="H2783" s="114">
        <v>3000</v>
      </c>
      <c r="I2783" s="114">
        <v>3000</v>
      </c>
      <c r="J2783" s="114">
        <v>2521</v>
      </c>
      <c r="K2783" s="114">
        <v>479</v>
      </c>
      <c r="L2783" s="114" t="str">
        <f t="shared" si="43"/>
        <v>INSERT INTO DETALLES_DOCUMENTO(NRO_DOCUMENTO,ID_TIPO,ID_PRODUCTO,CANTIDAD,PRECIO,VALOR_BRUTO,VALOR_NETO,VALOR_IVA) VALUES(1328,1,360,1,3000,3000,2521,479);</v>
      </c>
    </row>
    <row r="2784" spans="1:12">
      <c r="A2784" s="114">
        <v>1</v>
      </c>
      <c r="B2784" s="114">
        <v>1328</v>
      </c>
      <c r="C2784" s="139" t="s">
        <v>2387</v>
      </c>
      <c r="D2784" s="114" t="s">
        <v>2090</v>
      </c>
      <c r="E2784" s="114">
        <v>78</v>
      </c>
      <c r="F2784" s="114">
        <v>143</v>
      </c>
      <c r="G2784" s="114">
        <v>1</v>
      </c>
      <c r="H2784" s="114">
        <v>8000</v>
      </c>
      <c r="I2784" s="114">
        <v>8000</v>
      </c>
      <c r="J2784" s="114">
        <v>6723</v>
      </c>
      <c r="K2784" s="114">
        <v>1277</v>
      </c>
      <c r="L2784" s="114" t="str">
        <f t="shared" si="43"/>
        <v>INSERT INTO DETALLES_DOCUMENTO(NRO_DOCUMENTO,ID_TIPO,ID_PRODUCTO,CANTIDAD,PRECIO,VALOR_BRUTO,VALOR_NETO,VALOR_IVA) VALUES(1328,1,143,1,8000,8000,6723,1277);</v>
      </c>
    </row>
    <row r="2785" spans="1:12">
      <c r="A2785" s="114">
        <v>1</v>
      </c>
      <c r="B2785" s="114">
        <v>1329</v>
      </c>
      <c r="C2785" s="139" t="s">
        <v>2387</v>
      </c>
      <c r="D2785" s="114" t="s">
        <v>2090</v>
      </c>
      <c r="E2785" s="114">
        <v>219</v>
      </c>
      <c r="F2785" s="114">
        <v>143</v>
      </c>
      <c r="G2785" s="114">
        <v>2</v>
      </c>
      <c r="H2785" s="114">
        <v>16000</v>
      </c>
      <c r="I2785" s="114">
        <v>32000</v>
      </c>
      <c r="J2785" s="114">
        <v>26891</v>
      </c>
      <c r="K2785" s="114">
        <v>5109</v>
      </c>
      <c r="L2785" s="114" t="str">
        <f t="shared" si="43"/>
        <v>INSERT INTO DETALLES_DOCUMENTO(NRO_DOCUMENTO,ID_TIPO,ID_PRODUCTO,CANTIDAD,PRECIO,VALOR_BRUTO,VALOR_NETO,VALOR_IVA) VALUES(1329,1,143,2,16000,32000,26891,5109);</v>
      </c>
    </row>
    <row r="2786" spans="1:12">
      <c r="A2786" s="114">
        <v>1</v>
      </c>
      <c r="B2786" s="114">
        <v>1330</v>
      </c>
      <c r="C2786" s="139" t="s">
        <v>2387</v>
      </c>
      <c r="D2786" s="114" t="s">
        <v>2090</v>
      </c>
      <c r="E2786" s="114">
        <v>256</v>
      </c>
      <c r="F2786" s="114">
        <v>143</v>
      </c>
      <c r="G2786" s="114">
        <v>2</v>
      </c>
      <c r="H2786" s="114">
        <v>16000</v>
      </c>
      <c r="I2786" s="114">
        <v>32000</v>
      </c>
      <c r="J2786" s="114">
        <v>26891</v>
      </c>
      <c r="K2786" s="114">
        <v>5109</v>
      </c>
      <c r="L2786" s="114" t="str">
        <f t="shared" si="43"/>
        <v>INSERT INTO DETALLES_DOCUMENTO(NRO_DOCUMENTO,ID_TIPO,ID_PRODUCTO,CANTIDAD,PRECIO,VALOR_BRUTO,VALOR_NETO,VALOR_IVA) VALUES(1330,1,143,2,16000,32000,26891,5109);</v>
      </c>
    </row>
    <row r="2787" spans="1:12">
      <c r="A2787" s="114">
        <v>1</v>
      </c>
      <c r="B2787" s="114">
        <v>1331</v>
      </c>
      <c r="C2787" s="139" t="s">
        <v>2387</v>
      </c>
      <c r="D2787" s="114" t="s">
        <v>2090</v>
      </c>
      <c r="E2787" s="114">
        <v>268</v>
      </c>
      <c r="F2787" s="114">
        <v>231</v>
      </c>
      <c r="G2787" s="114">
        <v>2</v>
      </c>
      <c r="H2787" s="114">
        <v>41800</v>
      </c>
      <c r="I2787" s="114">
        <v>83600</v>
      </c>
      <c r="J2787" s="114">
        <v>70252</v>
      </c>
      <c r="K2787" s="114">
        <v>13348</v>
      </c>
      <c r="L2787" s="114" t="str">
        <f t="shared" si="43"/>
        <v>INSERT INTO DETALLES_DOCUMENTO(NRO_DOCUMENTO,ID_TIPO,ID_PRODUCTO,CANTIDAD,PRECIO,VALOR_BRUTO,VALOR_NETO,VALOR_IVA) VALUES(1331,1,231,2,41800,83600,70252,13348);</v>
      </c>
    </row>
    <row r="2788" spans="1:12">
      <c r="A2788" s="114">
        <v>1</v>
      </c>
      <c r="B2788" s="114">
        <v>1331</v>
      </c>
      <c r="C2788" s="139" t="s">
        <v>2387</v>
      </c>
      <c r="D2788" s="114" t="s">
        <v>2090</v>
      </c>
      <c r="E2788" s="114">
        <v>268</v>
      </c>
      <c r="F2788" s="114">
        <v>226</v>
      </c>
      <c r="G2788" s="114">
        <v>1</v>
      </c>
      <c r="H2788" s="114">
        <v>22500</v>
      </c>
      <c r="I2788" s="114">
        <v>22500</v>
      </c>
      <c r="J2788" s="114">
        <v>18908</v>
      </c>
      <c r="K2788" s="114">
        <v>3592</v>
      </c>
      <c r="L2788" s="114" t="str">
        <f t="shared" si="43"/>
        <v>INSERT INTO DETALLES_DOCUMENTO(NRO_DOCUMENTO,ID_TIPO,ID_PRODUCTO,CANTIDAD,PRECIO,VALOR_BRUTO,VALOR_NETO,VALOR_IVA) VALUES(1331,1,226,1,22500,22500,18908,3592);</v>
      </c>
    </row>
    <row r="2789" spans="1:12">
      <c r="A2789" s="114">
        <v>1</v>
      </c>
      <c r="B2789" s="114">
        <v>1331</v>
      </c>
      <c r="C2789" s="139" t="s">
        <v>2387</v>
      </c>
      <c r="D2789" s="114" t="s">
        <v>2090</v>
      </c>
      <c r="E2789" s="114">
        <v>268</v>
      </c>
      <c r="F2789" s="114">
        <v>227</v>
      </c>
      <c r="G2789" s="114">
        <v>1</v>
      </c>
      <c r="H2789" s="114">
        <v>13500</v>
      </c>
      <c r="I2789" s="114">
        <v>13500</v>
      </c>
      <c r="J2789" s="114">
        <v>11345</v>
      </c>
      <c r="K2789" s="114">
        <v>2155</v>
      </c>
      <c r="L2789" s="114" t="str">
        <f t="shared" si="43"/>
        <v>INSERT INTO DETALLES_DOCUMENTO(NRO_DOCUMENTO,ID_TIPO,ID_PRODUCTO,CANTIDAD,PRECIO,VALOR_BRUTO,VALOR_NETO,VALOR_IVA) VALUES(1331,1,227,1,13500,13500,11345,2155);</v>
      </c>
    </row>
    <row r="2790" spans="1:12">
      <c r="A2790" s="114">
        <v>1</v>
      </c>
      <c r="B2790" s="114">
        <v>1331</v>
      </c>
      <c r="C2790" s="139" t="s">
        <v>2387</v>
      </c>
      <c r="D2790" s="114" t="s">
        <v>2090</v>
      </c>
      <c r="E2790" s="114">
        <v>268</v>
      </c>
      <c r="F2790" s="114">
        <v>359</v>
      </c>
      <c r="G2790" s="114">
        <v>1</v>
      </c>
      <c r="H2790" s="114">
        <v>2700</v>
      </c>
      <c r="I2790" s="114">
        <v>2700</v>
      </c>
      <c r="J2790" s="114">
        <v>2269</v>
      </c>
      <c r="K2790" s="114">
        <v>431</v>
      </c>
      <c r="L2790" s="114" t="str">
        <f t="shared" si="43"/>
        <v>INSERT INTO DETALLES_DOCUMENTO(NRO_DOCUMENTO,ID_TIPO,ID_PRODUCTO,CANTIDAD,PRECIO,VALOR_BRUTO,VALOR_NETO,VALOR_IVA) VALUES(1331,1,359,1,2700,2700,2269,431);</v>
      </c>
    </row>
    <row r="2791" spans="1:12">
      <c r="A2791" s="114">
        <v>1</v>
      </c>
      <c r="B2791" s="114">
        <v>1332</v>
      </c>
      <c r="C2791" s="139" t="s">
        <v>2387</v>
      </c>
      <c r="D2791" s="114" t="s">
        <v>2090</v>
      </c>
      <c r="E2791" s="114">
        <v>411</v>
      </c>
      <c r="F2791" s="114">
        <v>322</v>
      </c>
      <c r="G2791" s="114">
        <v>1</v>
      </c>
      <c r="H2791" s="114">
        <v>9000</v>
      </c>
      <c r="I2791" s="114">
        <v>9000</v>
      </c>
      <c r="J2791" s="114">
        <v>7563</v>
      </c>
      <c r="K2791" s="114">
        <v>1437</v>
      </c>
      <c r="L2791" s="114" t="str">
        <f t="shared" si="43"/>
        <v>INSERT INTO DETALLES_DOCUMENTO(NRO_DOCUMENTO,ID_TIPO,ID_PRODUCTO,CANTIDAD,PRECIO,VALOR_BRUTO,VALOR_NETO,VALOR_IVA) VALUES(1332,1,322,1,9000,9000,7563,1437);</v>
      </c>
    </row>
    <row r="2792" spans="1:12">
      <c r="A2792" s="114">
        <v>1</v>
      </c>
      <c r="B2792" s="114">
        <v>1332</v>
      </c>
      <c r="C2792" s="139" t="s">
        <v>2387</v>
      </c>
      <c r="D2792" s="114" t="s">
        <v>2090</v>
      </c>
      <c r="E2792" s="114">
        <v>411</v>
      </c>
      <c r="F2792" s="114">
        <v>143</v>
      </c>
      <c r="G2792" s="114">
        <v>1</v>
      </c>
      <c r="H2792" s="114">
        <v>8000</v>
      </c>
      <c r="I2792" s="114">
        <v>8000</v>
      </c>
      <c r="J2792" s="114">
        <v>6723</v>
      </c>
      <c r="K2792" s="114">
        <v>1277</v>
      </c>
      <c r="L2792" s="114" t="str">
        <f t="shared" si="43"/>
        <v>INSERT INTO DETALLES_DOCUMENTO(NRO_DOCUMENTO,ID_TIPO,ID_PRODUCTO,CANTIDAD,PRECIO,VALOR_BRUTO,VALOR_NETO,VALOR_IVA) VALUES(1332,1,143,1,8000,8000,6723,1277);</v>
      </c>
    </row>
    <row r="2793" spans="1:12">
      <c r="A2793" s="114">
        <v>1</v>
      </c>
      <c r="B2793" s="114">
        <v>1333</v>
      </c>
      <c r="C2793" s="139" t="s">
        <v>2387</v>
      </c>
      <c r="D2793" s="114" t="s">
        <v>2090</v>
      </c>
      <c r="E2793" s="114">
        <v>416</v>
      </c>
      <c r="F2793" s="114">
        <v>329</v>
      </c>
      <c r="G2793" s="114">
        <v>1</v>
      </c>
      <c r="H2793" s="114">
        <v>6000</v>
      </c>
      <c r="I2793" s="114">
        <v>6000</v>
      </c>
      <c r="J2793" s="114">
        <v>5042</v>
      </c>
      <c r="K2793" s="114">
        <v>958</v>
      </c>
      <c r="L2793" s="114" t="str">
        <f t="shared" si="43"/>
        <v>INSERT INTO DETALLES_DOCUMENTO(NRO_DOCUMENTO,ID_TIPO,ID_PRODUCTO,CANTIDAD,PRECIO,VALOR_BRUTO,VALOR_NETO,VALOR_IVA) VALUES(1333,1,329,1,6000,6000,5042,958);</v>
      </c>
    </row>
    <row r="2794" spans="1:12">
      <c r="A2794" s="114">
        <v>1</v>
      </c>
      <c r="B2794" s="114">
        <v>1334</v>
      </c>
      <c r="C2794" s="139" t="s">
        <v>2388</v>
      </c>
      <c r="D2794" s="114" t="s">
        <v>2090</v>
      </c>
      <c r="E2794" s="114">
        <v>334</v>
      </c>
      <c r="F2794" s="114">
        <v>232</v>
      </c>
      <c r="G2794" s="114">
        <v>1</v>
      </c>
      <c r="H2794" s="114">
        <v>12500</v>
      </c>
      <c r="I2794" s="114">
        <v>12500</v>
      </c>
      <c r="J2794" s="114">
        <v>10504</v>
      </c>
      <c r="K2794" s="114">
        <v>1996</v>
      </c>
      <c r="L2794" s="114" t="str">
        <f t="shared" si="43"/>
        <v>INSERT INTO DETALLES_DOCUMENTO(NRO_DOCUMENTO,ID_TIPO,ID_PRODUCTO,CANTIDAD,PRECIO,VALOR_BRUTO,VALOR_NETO,VALOR_IVA) VALUES(1334,1,232,1,12500,12500,10504,1996);</v>
      </c>
    </row>
    <row r="2795" spans="1:12">
      <c r="A2795" s="114">
        <v>1</v>
      </c>
      <c r="B2795" s="114">
        <v>1335</v>
      </c>
      <c r="C2795" s="139" t="s">
        <v>2388</v>
      </c>
      <c r="D2795" s="114" t="s">
        <v>2090</v>
      </c>
      <c r="E2795" s="114">
        <v>471</v>
      </c>
      <c r="F2795" s="114">
        <v>124</v>
      </c>
      <c r="G2795" s="114">
        <v>1</v>
      </c>
      <c r="H2795" s="114">
        <v>4000</v>
      </c>
      <c r="I2795" s="114">
        <v>4000</v>
      </c>
      <c r="J2795" s="114">
        <v>3361</v>
      </c>
      <c r="K2795" s="114">
        <v>639</v>
      </c>
      <c r="L2795" s="114" t="str">
        <f t="shared" si="43"/>
        <v>INSERT INTO DETALLES_DOCUMENTO(NRO_DOCUMENTO,ID_TIPO,ID_PRODUCTO,CANTIDAD,PRECIO,VALOR_BRUTO,VALOR_NETO,VALOR_IVA) VALUES(1335,1,124,1,4000,4000,3361,639);</v>
      </c>
    </row>
    <row r="2796" spans="1:12">
      <c r="A2796" s="114">
        <v>1</v>
      </c>
      <c r="B2796" s="114">
        <v>1335</v>
      </c>
      <c r="C2796" s="139" t="s">
        <v>2388</v>
      </c>
      <c r="D2796" s="114" t="s">
        <v>2090</v>
      </c>
      <c r="E2796" s="114">
        <v>471</v>
      </c>
      <c r="F2796" s="114">
        <v>288</v>
      </c>
      <c r="G2796" s="114">
        <v>1</v>
      </c>
      <c r="H2796" s="114">
        <v>8500</v>
      </c>
      <c r="I2796" s="114">
        <v>8500</v>
      </c>
      <c r="J2796" s="114">
        <v>7143</v>
      </c>
      <c r="K2796" s="114">
        <v>1357</v>
      </c>
      <c r="L2796" s="114" t="str">
        <f t="shared" si="43"/>
        <v>INSERT INTO DETALLES_DOCUMENTO(NRO_DOCUMENTO,ID_TIPO,ID_PRODUCTO,CANTIDAD,PRECIO,VALOR_BRUTO,VALOR_NETO,VALOR_IVA) VALUES(1335,1,288,1,8500,8500,7143,1357);</v>
      </c>
    </row>
    <row r="2797" spans="1:12">
      <c r="A2797" s="114">
        <v>1</v>
      </c>
      <c r="B2797" s="114">
        <v>1336</v>
      </c>
      <c r="C2797" s="139" t="s">
        <v>2389</v>
      </c>
      <c r="D2797" s="114" t="s">
        <v>2090</v>
      </c>
      <c r="E2797" s="114">
        <v>202</v>
      </c>
      <c r="F2797" s="114">
        <v>324</v>
      </c>
      <c r="G2797" s="114">
        <v>1</v>
      </c>
      <c r="H2797" s="114">
        <v>11000</v>
      </c>
      <c r="I2797" s="114">
        <v>11000</v>
      </c>
      <c r="J2797" s="114">
        <v>9244</v>
      </c>
      <c r="K2797" s="114">
        <v>1756</v>
      </c>
      <c r="L2797" s="114" t="str">
        <f t="shared" si="43"/>
        <v>INSERT INTO DETALLES_DOCUMENTO(NRO_DOCUMENTO,ID_TIPO,ID_PRODUCTO,CANTIDAD,PRECIO,VALOR_BRUTO,VALOR_NETO,VALOR_IVA) VALUES(1336,1,324,1,11000,11000,9244,1756);</v>
      </c>
    </row>
    <row r="2798" spans="1:12">
      <c r="A2798" s="114">
        <v>1</v>
      </c>
      <c r="B2798" s="114">
        <v>1336</v>
      </c>
      <c r="C2798" s="139" t="s">
        <v>2389</v>
      </c>
      <c r="D2798" s="114" t="s">
        <v>2090</v>
      </c>
      <c r="E2798" s="114">
        <v>202</v>
      </c>
      <c r="F2798" s="114">
        <v>143</v>
      </c>
      <c r="G2798" s="114">
        <v>1</v>
      </c>
      <c r="H2798" s="114">
        <v>8000</v>
      </c>
      <c r="I2798" s="114">
        <v>8000</v>
      </c>
      <c r="J2798" s="114">
        <v>6723</v>
      </c>
      <c r="K2798" s="114">
        <v>1277</v>
      </c>
      <c r="L2798" s="114" t="str">
        <f t="shared" si="43"/>
        <v>INSERT INTO DETALLES_DOCUMENTO(NRO_DOCUMENTO,ID_TIPO,ID_PRODUCTO,CANTIDAD,PRECIO,VALOR_BRUTO,VALOR_NETO,VALOR_IVA) VALUES(1336,1,143,1,8000,8000,6723,1277);</v>
      </c>
    </row>
    <row r="2799" spans="1:12">
      <c r="A2799" s="114">
        <v>1</v>
      </c>
      <c r="B2799" s="114">
        <v>1337</v>
      </c>
      <c r="C2799" s="139" t="s">
        <v>2389</v>
      </c>
      <c r="D2799" s="114" t="s">
        <v>2090</v>
      </c>
      <c r="E2799" s="114">
        <v>267</v>
      </c>
      <c r="F2799" s="114">
        <v>255</v>
      </c>
      <c r="G2799" s="114">
        <v>1</v>
      </c>
      <c r="H2799" s="114">
        <v>4000</v>
      </c>
      <c r="I2799" s="114">
        <v>4000</v>
      </c>
      <c r="J2799" s="114">
        <v>3361</v>
      </c>
      <c r="K2799" s="114">
        <v>639</v>
      </c>
      <c r="L2799" s="114" t="str">
        <f t="shared" si="43"/>
        <v>INSERT INTO DETALLES_DOCUMENTO(NRO_DOCUMENTO,ID_TIPO,ID_PRODUCTO,CANTIDAD,PRECIO,VALOR_BRUTO,VALOR_NETO,VALOR_IVA) VALUES(1337,1,255,1,4000,4000,3361,639);</v>
      </c>
    </row>
    <row r="2800" spans="1:12">
      <c r="A2800" s="114">
        <v>1</v>
      </c>
      <c r="B2800" s="114">
        <v>1338</v>
      </c>
      <c r="C2800" s="139" t="s">
        <v>2389</v>
      </c>
      <c r="D2800" s="114" t="s">
        <v>2090</v>
      </c>
      <c r="E2800" s="114">
        <v>303</v>
      </c>
      <c r="F2800" s="114">
        <v>230</v>
      </c>
      <c r="G2800" s="114">
        <v>1</v>
      </c>
      <c r="H2800" s="114">
        <v>16500</v>
      </c>
      <c r="I2800" s="114">
        <v>16500</v>
      </c>
      <c r="J2800" s="114">
        <v>13866</v>
      </c>
      <c r="K2800" s="114">
        <v>2634</v>
      </c>
      <c r="L2800" s="114" t="str">
        <f t="shared" si="43"/>
        <v>INSERT INTO DETALLES_DOCUMENTO(NRO_DOCUMENTO,ID_TIPO,ID_PRODUCTO,CANTIDAD,PRECIO,VALOR_BRUTO,VALOR_NETO,VALOR_IVA) VALUES(1338,1,230,1,16500,16500,13866,2634);</v>
      </c>
    </row>
    <row r="2801" spans="1:12">
      <c r="A2801" s="114">
        <v>1</v>
      </c>
      <c r="B2801" s="114">
        <v>1339</v>
      </c>
      <c r="C2801" s="139" t="s">
        <v>2389</v>
      </c>
      <c r="D2801" s="114" t="s">
        <v>2090</v>
      </c>
      <c r="E2801" s="114">
        <v>315</v>
      </c>
      <c r="F2801" s="114">
        <v>365</v>
      </c>
      <c r="G2801" s="114">
        <v>1</v>
      </c>
      <c r="H2801" s="114">
        <v>3200</v>
      </c>
      <c r="I2801" s="114">
        <v>3200</v>
      </c>
      <c r="J2801" s="114">
        <v>2689</v>
      </c>
      <c r="K2801" s="114">
        <v>511</v>
      </c>
      <c r="L2801" s="114" t="str">
        <f t="shared" si="43"/>
        <v>INSERT INTO DETALLES_DOCUMENTO(NRO_DOCUMENTO,ID_TIPO,ID_PRODUCTO,CANTIDAD,PRECIO,VALOR_BRUTO,VALOR_NETO,VALOR_IVA) VALUES(1339,1,365,1,3200,3200,2689,511);</v>
      </c>
    </row>
    <row r="2802" spans="1:12">
      <c r="A2802" s="114">
        <v>1</v>
      </c>
      <c r="B2802" s="114">
        <v>1340</v>
      </c>
      <c r="C2802" s="139" t="s">
        <v>2390</v>
      </c>
      <c r="D2802" s="114" t="s">
        <v>2090</v>
      </c>
      <c r="E2802" s="114">
        <v>17</v>
      </c>
      <c r="F2802" s="114">
        <v>143</v>
      </c>
      <c r="G2802" s="114">
        <v>1</v>
      </c>
      <c r="H2802" s="114">
        <v>8000</v>
      </c>
      <c r="I2802" s="114">
        <v>8000</v>
      </c>
      <c r="J2802" s="114">
        <v>6723</v>
      </c>
      <c r="K2802" s="114">
        <v>1277</v>
      </c>
      <c r="L2802" s="114" t="str">
        <f t="shared" si="43"/>
        <v>INSERT INTO DETALLES_DOCUMENTO(NRO_DOCUMENTO,ID_TIPO,ID_PRODUCTO,CANTIDAD,PRECIO,VALOR_BRUTO,VALOR_NETO,VALOR_IVA) VALUES(1340,1,143,1,8000,8000,6723,1277);</v>
      </c>
    </row>
    <row r="2803" spans="1:12">
      <c r="A2803" s="114">
        <v>1</v>
      </c>
      <c r="B2803" s="114">
        <v>1341</v>
      </c>
      <c r="C2803" s="139" t="s">
        <v>2390</v>
      </c>
      <c r="D2803" s="114" t="s">
        <v>2090</v>
      </c>
      <c r="E2803" s="114">
        <v>76</v>
      </c>
      <c r="F2803" s="114">
        <v>324</v>
      </c>
      <c r="G2803" s="114">
        <v>1</v>
      </c>
      <c r="H2803" s="114">
        <v>11000</v>
      </c>
      <c r="I2803" s="114">
        <v>11000</v>
      </c>
      <c r="J2803" s="114">
        <v>9244</v>
      </c>
      <c r="K2803" s="114">
        <v>1756</v>
      </c>
      <c r="L2803" s="114" t="str">
        <f t="shared" si="43"/>
        <v>INSERT INTO DETALLES_DOCUMENTO(NRO_DOCUMENTO,ID_TIPO,ID_PRODUCTO,CANTIDAD,PRECIO,VALOR_BRUTO,VALOR_NETO,VALOR_IVA) VALUES(1341,1,324,1,11000,11000,9244,1756);</v>
      </c>
    </row>
    <row r="2804" spans="1:12">
      <c r="A2804" s="114">
        <v>1</v>
      </c>
      <c r="B2804" s="114">
        <v>1342</v>
      </c>
      <c r="C2804" s="139" t="s">
        <v>2390</v>
      </c>
      <c r="D2804" s="114" t="s">
        <v>2090</v>
      </c>
      <c r="E2804" s="114">
        <v>82</v>
      </c>
      <c r="F2804" s="114">
        <v>324</v>
      </c>
      <c r="G2804" s="114">
        <v>1</v>
      </c>
      <c r="H2804" s="114">
        <v>11000</v>
      </c>
      <c r="I2804" s="114">
        <v>11000</v>
      </c>
      <c r="J2804" s="114">
        <v>9244</v>
      </c>
      <c r="K2804" s="114">
        <v>1756</v>
      </c>
      <c r="L2804" s="114" t="str">
        <f t="shared" si="43"/>
        <v>INSERT INTO DETALLES_DOCUMENTO(NRO_DOCUMENTO,ID_TIPO,ID_PRODUCTO,CANTIDAD,PRECIO,VALOR_BRUTO,VALOR_NETO,VALOR_IVA) VALUES(1342,1,324,1,11000,11000,9244,1756);</v>
      </c>
    </row>
    <row r="2805" spans="1:12">
      <c r="A2805" s="114">
        <v>1</v>
      </c>
      <c r="B2805" s="114">
        <v>1343</v>
      </c>
      <c r="C2805" s="139" t="s">
        <v>2390</v>
      </c>
      <c r="D2805" s="114" t="s">
        <v>2090</v>
      </c>
      <c r="E2805" s="114">
        <v>166</v>
      </c>
      <c r="F2805" s="114">
        <v>256</v>
      </c>
      <c r="G2805" s="114">
        <v>1</v>
      </c>
      <c r="H2805" s="114">
        <v>3000</v>
      </c>
      <c r="I2805" s="114">
        <v>3000</v>
      </c>
      <c r="J2805" s="114">
        <v>2521</v>
      </c>
      <c r="K2805" s="114">
        <v>479</v>
      </c>
      <c r="L2805" s="114" t="str">
        <f t="shared" si="43"/>
        <v>INSERT INTO DETALLES_DOCUMENTO(NRO_DOCUMENTO,ID_TIPO,ID_PRODUCTO,CANTIDAD,PRECIO,VALOR_BRUTO,VALOR_NETO,VALOR_IVA) VALUES(1343,1,256,1,3000,3000,2521,479);</v>
      </c>
    </row>
    <row r="2806" spans="1:12">
      <c r="A2806" s="114">
        <v>1</v>
      </c>
      <c r="B2806" s="114">
        <v>1344</v>
      </c>
      <c r="C2806" s="139" t="s">
        <v>2390</v>
      </c>
      <c r="D2806" s="114" t="s">
        <v>2090</v>
      </c>
      <c r="E2806" s="114">
        <v>374</v>
      </c>
      <c r="F2806" s="114">
        <v>230</v>
      </c>
      <c r="G2806" s="114">
        <v>1</v>
      </c>
      <c r="H2806" s="114">
        <v>16500</v>
      </c>
      <c r="I2806" s="114">
        <v>16500</v>
      </c>
      <c r="J2806" s="114">
        <v>13866</v>
      </c>
      <c r="K2806" s="114">
        <v>2634</v>
      </c>
      <c r="L2806" s="114" t="str">
        <f t="shared" si="43"/>
        <v>INSERT INTO DETALLES_DOCUMENTO(NRO_DOCUMENTO,ID_TIPO,ID_PRODUCTO,CANTIDAD,PRECIO,VALOR_BRUTO,VALOR_NETO,VALOR_IVA) VALUES(1344,1,230,1,16500,16500,13866,2634);</v>
      </c>
    </row>
    <row r="2807" spans="1:12">
      <c r="A2807" s="114">
        <v>1</v>
      </c>
      <c r="B2807" s="114">
        <v>1344</v>
      </c>
      <c r="C2807" s="139" t="s">
        <v>2390</v>
      </c>
      <c r="D2807" s="114" t="s">
        <v>2090</v>
      </c>
      <c r="E2807" s="114">
        <v>374</v>
      </c>
      <c r="F2807" s="114">
        <v>226</v>
      </c>
      <c r="G2807" s="114">
        <v>1</v>
      </c>
      <c r="H2807" s="114">
        <v>22500</v>
      </c>
      <c r="I2807" s="114">
        <v>22500</v>
      </c>
      <c r="J2807" s="114">
        <v>18908</v>
      </c>
      <c r="K2807" s="114">
        <v>3592</v>
      </c>
      <c r="L2807" s="114" t="str">
        <f t="shared" si="43"/>
        <v>INSERT INTO DETALLES_DOCUMENTO(NRO_DOCUMENTO,ID_TIPO,ID_PRODUCTO,CANTIDAD,PRECIO,VALOR_BRUTO,VALOR_NETO,VALOR_IVA) VALUES(1344,1,226,1,22500,22500,18908,3592);</v>
      </c>
    </row>
    <row r="2808" spans="1:12">
      <c r="A2808" s="114">
        <v>1</v>
      </c>
      <c r="B2808" s="114">
        <v>1344</v>
      </c>
      <c r="C2808" s="139" t="s">
        <v>2390</v>
      </c>
      <c r="D2808" s="114" t="s">
        <v>2090</v>
      </c>
      <c r="E2808" s="114">
        <v>374</v>
      </c>
      <c r="F2808" s="114">
        <v>324</v>
      </c>
      <c r="G2808" s="114">
        <v>1</v>
      </c>
      <c r="H2808" s="114">
        <v>11000</v>
      </c>
      <c r="I2808" s="114">
        <v>11000</v>
      </c>
      <c r="J2808" s="114">
        <v>9244</v>
      </c>
      <c r="K2808" s="114">
        <v>1756</v>
      </c>
      <c r="L2808" s="114" t="str">
        <f t="shared" si="43"/>
        <v>INSERT INTO DETALLES_DOCUMENTO(NRO_DOCUMENTO,ID_TIPO,ID_PRODUCTO,CANTIDAD,PRECIO,VALOR_BRUTO,VALOR_NETO,VALOR_IVA) VALUES(1344,1,324,1,11000,11000,9244,1756);</v>
      </c>
    </row>
    <row r="2809" spans="1:12">
      <c r="A2809" s="114">
        <v>1</v>
      </c>
      <c r="B2809" s="114">
        <v>1345</v>
      </c>
      <c r="C2809" s="139" t="s">
        <v>2390</v>
      </c>
      <c r="D2809" s="114" t="s">
        <v>2090</v>
      </c>
      <c r="E2809" s="114">
        <v>443</v>
      </c>
      <c r="F2809" s="114">
        <v>327</v>
      </c>
      <c r="G2809" s="114">
        <v>1</v>
      </c>
      <c r="H2809" s="114">
        <v>3500</v>
      </c>
      <c r="I2809" s="114">
        <v>3500</v>
      </c>
      <c r="J2809" s="114">
        <v>2941</v>
      </c>
      <c r="K2809" s="114">
        <v>559</v>
      </c>
      <c r="L2809" s="114" t="str">
        <f t="shared" si="43"/>
        <v>INSERT INTO DETALLES_DOCUMENTO(NRO_DOCUMENTO,ID_TIPO,ID_PRODUCTO,CANTIDAD,PRECIO,VALOR_BRUTO,VALOR_NETO,VALOR_IVA) VALUES(1345,1,327,1,3500,3500,2941,559);</v>
      </c>
    </row>
    <row r="2810" spans="1:12">
      <c r="A2810" s="114">
        <v>1</v>
      </c>
      <c r="B2810" s="114">
        <v>1345</v>
      </c>
      <c r="C2810" s="139" t="s">
        <v>2390</v>
      </c>
      <c r="D2810" s="114" t="s">
        <v>2090</v>
      </c>
      <c r="E2810" s="114">
        <v>443</v>
      </c>
      <c r="F2810" s="114">
        <v>328</v>
      </c>
      <c r="G2810" s="114">
        <v>1</v>
      </c>
      <c r="H2810" s="114">
        <v>5000</v>
      </c>
      <c r="I2810" s="114">
        <v>5000</v>
      </c>
      <c r="J2810" s="114">
        <v>4202</v>
      </c>
      <c r="K2810" s="114">
        <v>798</v>
      </c>
      <c r="L2810" s="114" t="str">
        <f t="shared" si="43"/>
        <v>INSERT INTO DETALLES_DOCUMENTO(NRO_DOCUMENTO,ID_TIPO,ID_PRODUCTO,CANTIDAD,PRECIO,VALOR_BRUTO,VALOR_NETO,VALOR_IVA) VALUES(1345,1,328,1,5000,5000,4202,798);</v>
      </c>
    </row>
    <row r="2811" spans="1:12">
      <c r="A2811" s="114">
        <v>1</v>
      </c>
      <c r="B2811" s="114">
        <v>1345</v>
      </c>
      <c r="C2811" s="139" t="s">
        <v>2390</v>
      </c>
      <c r="D2811" s="114" t="s">
        <v>2090</v>
      </c>
      <c r="E2811" s="114">
        <v>443</v>
      </c>
      <c r="F2811" s="114">
        <v>7</v>
      </c>
      <c r="G2811" s="114">
        <v>1</v>
      </c>
      <c r="H2811" s="114">
        <v>7000</v>
      </c>
      <c r="I2811" s="114">
        <v>7000</v>
      </c>
      <c r="J2811" s="114">
        <v>5882</v>
      </c>
      <c r="K2811" s="114">
        <v>1118</v>
      </c>
      <c r="L2811" s="114" t="str">
        <f t="shared" si="43"/>
        <v>INSERT INTO DETALLES_DOCUMENTO(NRO_DOCUMENTO,ID_TIPO,ID_PRODUCTO,CANTIDAD,PRECIO,VALOR_BRUTO,VALOR_NETO,VALOR_IVA) VALUES(1345,1,7,1,7000,7000,5882,1118);</v>
      </c>
    </row>
    <row r="2812" spans="1:12">
      <c r="A2812" s="114">
        <v>1</v>
      </c>
      <c r="B2812" s="114">
        <v>1346</v>
      </c>
      <c r="C2812" s="139" t="s">
        <v>2391</v>
      </c>
      <c r="D2812" s="114" t="s">
        <v>2090</v>
      </c>
      <c r="E2812" s="114">
        <v>26</v>
      </c>
      <c r="F2812" s="114">
        <v>143</v>
      </c>
      <c r="G2812" s="114">
        <v>1</v>
      </c>
      <c r="H2812" s="114">
        <v>8000</v>
      </c>
      <c r="I2812" s="114">
        <v>8000</v>
      </c>
      <c r="J2812" s="114">
        <v>6723</v>
      </c>
      <c r="K2812" s="114">
        <v>1277</v>
      </c>
      <c r="L2812" s="114" t="str">
        <f t="shared" si="43"/>
        <v>INSERT INTO DETALLES_DOCUMENTO(NRO_DOCUMENTO,ID_TIPO,ID_PRODUCTO,CANTIDAD,PRECIO,VALOR_BRUTO,VALOR_NETO,VALOR_IVA) VALUES(1346,1,143,1,8000,8000,6723,1277);</v>
      </c>
    </row>
    <row r="2813" spans="1:12">
      <c r="A2813" s="114">
        <v>1</v>
      </c>
      <c r="B2813" s="114">
        <v>1347</v>
      </c>
      <c r="C2813" s="139" t="s">
        <v>2391</v>
      </c>
      <c r="D2813" s="114" t="s">
        <v>2090</v>
      </c>
      <c r="E2813" s="114">
        <v>122</v>
      </c>
      <c r="F2813" s="114">
        <v>118</v>
      </c>
      <c r="G2813" s="114">
        <v>1</v>
      </c>
      <c r="H2813" s="114">
        <v>3500</v>
      </c>
      <c r="I2813" s="114">
        <v>3500</v>
      </c>
      <c r="J2813" s="114">
        <v>2941</v>
      </c>
      <c r="K2813" s="114">
        <v>559</v>
      </c>
      <c r="L2813" s="114" t="str">
        <f t="shared" si="43"/>
        <v>INSERT INTO DETALLES_DOCUMENTO(NRO_DOCUMENTO,ID_TIPO,ID_PRODUCTO,CANTIDAD,PRECIO,VALOR_BRUTO,VALOR_NETO,VALOR_IVA) VALUES(1347,1,118,1,3500,3500,2941,559);</v>
      </c>
    </row>
    <row r="2814" spans="1:12">
      <c r="A2814" s="114">
        <v>1</v>
      </c>
      <c r="B2814" s="114">
        <v>1348</v>
      </c>
      <c r="C2814" s="139" t="s">
        <v>2391</v>
      </c>
      <c r="D2814" s="114" t="s">
        <v>2090</v>
      </c>
      <c r="E2814" s="114">
        <v>230</v>
      </c>
      <c r="F2814" s="114">
        <v>118</v>
      </c>
      <c r="G2814" s="114">
        <v>1</v>
      </c>
      <c r="H2814" s="114">
        <v>3500</v>
      </c>
      <c r="I2814" s="114">
        <v>3500</v>
      </c>
      <c r="J2814" s="114">
        <v>2941</v>
      </c>
      <c r="K2814" s="114">
        <v>559</v>
      </c>
      <c r="L2814" s="114" t="str">
        <f t="shared" si="43"/>
        <v>INSERT INTO DETALLES_DOCUMENTO(NRO_DOCUMENTO,ID_TIPO,ID_PRODUCTO,CANTIDAD,PRECIO,VALOR_BRUTO,VALOR_NETO,VALOR_IVA) VALUES(1348,1,118,1,3500,3500,2941,559);</v>
      </c>
    </row>
    <row r="2815" spans="1:12">
      <c r="A2815" s="114">
        <v>1</v>
      </c>
      <c r="B2815" s="114">
        <v>1348</v>
      </c>
      <c r="C2815" s="139" t="s">
        <v>2391</v>
      </c>
      <c r="D2815" s="114" t="s">
        <v>2090</v>
      </c>
      <c r="E2815" s="114">
        <v>230</v>
      </c>
      <c r="F2815" s="114">
        <v>293</v>
      </c>
      <c r="G2815" s="114">
        <v>1</v>
      </c>
      <c r="H2815" s="114">
        <v>10000</v>
      </c>
      <c r="I2815" s="114">
        <v>10000</v>
      </c>
      <c r="J2815" s="114">
        <v>8403</v>
      </c>
      <c r="K2815" s="114">
        <v>1597</v>
      </c>
      <c r="L2815" s="114" t="str">
        <f t="shared" si="43"/>
        <v>INSERT INTO DETALLES_DOCUMENTO(NRO_DOCUMENTO,ID_TIPO,ID_PRODUCTO,CANTIDAD,PRECIO,VALOR_BRUTO,VALOR_NETO,VALOR_IVA) VALUES(1348,1,293,1,10000,10000,8403,1597);</v>
      </c>
    </row>
    <row r="2816" spans="1:12">
      <c r="A2816" s="114">
        <v>1</v>
      </c>
      <c r="B2816" s="114">
        <v>1348</v>
      </c>
      <c r="C2816" s="139" t="s">
        <v>2391</v>
      </c>
      <c r="D2816" s="114" t="s">
        <v>2090</v>
      </c>
      <c r="E2816" s="114">
        <v>230</v>
      </c>
      <c r="F2816" s="114">
        <v>254</v>
      </c>
      <c r="G2816" s="114">
        <v>3</v>
      </c>
      <c r="H2816" s="114">
        <v>6000</v>
      </c>
      <c r="I2816" s="114">
        <v>18000</v>
      </c>
      <c r="J2816" s="114">
        <v>15126</v>
      </c>
      <c r="K2816" s="114">
        <v>2874</v>
      </c>
      <c r="L2816" s="114" t="str">
        <f t="shared" si="43"/>
        <v>INSERT INTO DETALLES_DOCUMENTO(NRO_DOCUMENTO,ID_TIPO,ID_PRODUCTO,CANTIDAD,PRECIO,VALOR_BRUTO,VALOR_NETO,VALOR_IVA) VALUES(1348,1,254,3,6000,18000,15126,2874);</v>
      </c>
    </row>
    <row r="2817" spans="1:12">
      <c r="A2817" s="114">
        <v>1</v>
      </c>
      <c r="B2817" s="114">
        <v>1349</v>
      </c>
      <c r="C2817" s="139" t="s">
        <v>2391</v>
      </c>
      <c r="D2817" s="114" t="s">
        <v>2090</v>
      </c>
      <c r="E2817" s="114">
        <v>263</v>
      </c>
      <c r="F2817" s="114">
        <v>143</v>
      </c>
      <c r="G2817" s="114">
        <v>1</v>
      </c>
      <c r="H2817" s="114">
        <v>8000</v>
      </c>
      <c r="I2817" s="114">
        <v>8000</v>
      </c>
      <c r="J2817" s="114">
        <v>6723</v>
      </c>
      <c r="K2817" s="114">
        <v>1277</v>
      </c>
      <c r="L2817" s="114" t="str">
        <f t="shared" si="43"/>
        <v>INSERT INTO DETALLES_DOCUMENTO(NRO_DOCUMENTO,ID_TIPO,ID_PRODUCTO,CANTIDAD,PRECIO,VALOR_BRUTO,VALOR_NETO,VALOR_IVA) VALUES(1349,1,143,1,8000,8000,6723,1277);</v>
      </c>
    </row>
    <row r="2818" spans="1:12">
      <c r="A2818" s="114">
        <v>1</v>
      </c>
      <c r="B2818" s="114">
        <v>1350</v>
      </c>
      <c r="C2818" s="139" t="s">
        <v>2391</v>
      </c>
      <c r="D2818" s="114" t="s">
        <v>2090</v>
      </c>
      <c r="E2818" s="114">
        <v>267</v>
      </c>
      <c r="F2818" s="114">
        <v>11</v>
      </c>
      <c r="G2818" s="114">
        <v>1</v>
      </c>
      <c r="H2818" s="114">
        <v>2500</v>
      </c>
      <c r="I2818" s="114">
        <v>2500</v>
      </c>
      <c r="J2818" s="114">
        <v>2101</v>
      </c>
      <c r="K2818" s="114">
        <v>399</v>
      </c>
      <c r="L2818" s="114" t="str">
        <f t="shared" si="43"/>
        <v>INSERT INTO DETALLES_DOCUMENTO(NRO_DOCUMENTO,ID_TIPO,ID_PRODUCTO,CANTIDAD,PRECIO,VALOR_BRUTO,VALOR_NETO,VALOR_IVA) VALUES(1350,1,11,1,2500,2500,2101,399);</v>
      </c>
    </row>
    <row r="2819" spans="1:12">
      <c r="A2819" s="114">
        <v>1</v>
      </c>
      <c r="B2819" s="114">
        <v>1350</v>
      </c>
      <c r="C2819" s="139" t="s">
        <v>2391</v>
      </c>
      <c r="D2819" s="114" t="s">
        <v>2090</v>
      </c>
      <c r="E2819" s="114">
        <v>267</v>
      </c>
      <c r="F2819" s="114">
        <v>386</v>
      </c>
      <c r="G2819" s="114">
        <v>1</v>
      </c>
      <c r="H2819" s="114">
        <v>2700</v>
      </c>
      <c r="I2819" s="114">
        <v>2700</v>
      </c>
      <c r="J2819" s="114">
        <v>2269</v>
      </c>
      <c r="K2819" s="114">
        <v>431</v>
      </c>
      <c r="L2819" s="114" t="str">
        <f t="shared" ref="L2819:L2882" si="44">CONCATENATE("INSERT INTO DETALLES_DOCUMENTO(NRO_DOCUMENTO,ID_TIPO,ID_PRODUCTO,CANTIDAD,PRECIO,VALOR_BRUTO,VALOR_NETO,VALOR_IVA) VALUES(",B2819,",",A2819,",",F2819,",",G2819,",",H2819,",",I2819,",",J2819,",",K2819,");")</f>
        <v>INSERT INTO DETALLES_DOCUMENTO(NRO_DOCUMENTO,ID_TIPO,ID_PRODUCTO,CANTIDAD,PRECIO,VALOR_BRUTO,VALOR_NETO,VALOR_IVA) VALUES(1350,1,386,1,2700,2700,2269,431);</v>
      </c>
    </row>
    <row r="2820" spans="1:12">
      <c r="A2820" s="114">
        <v>1</v>
      </c>
      <c r="B2820" s="114">
        <v>1350</v>
      </c>
      <c r="C2820" s="139" t="s">
        <v>2391</v>
      </c>
      <c r="D2820" s="114" t="s">
        <v>2090</v>
      </c>
      <c r="E2820" s="114">
        <v>267</v>
      </c>
      <c r="F2820" s="114">
        <v>254</v>
      </c>
      <c r="G2820" s="114">
        <v>1</v>
      </c>
      <c r="H2820" s="114">
        <v>2000</v>
      </c>
      <c r="I2820" s="114">
        <v>2000</v>
      </c>
      <c r="J2820" s="114">
        <v>1681</v>
      </c>
      <c r="K2820" s="114">
        <v>319</v>
      </c>
      <c r="L2820" s="114" t="str">
        <f t="shared" si="44"/>
        <v>INSERT INTO DETALLES_DOCUMENTO(NRO_DOCUMENTO,ID_TIPO,ID_PRODUCTO,CANTIDAD,PRECIO,VALOR_BRUTO,VALOR_NETO,VALOR_IVA) VALUES(1350,1,254,1,2000,2000,1681,319);</v>
      </c>
    </row>
    <row r="2821" spans="1:12">
      <c r="A2821" s="114">
        <v>1</v>
      </c>
      <c r="B2821" s="114">
        <v>1350</v>
      </c>
      <c r="C2821" s="139" t="s">
        <v>2391</v>
      </c>
      <c r="D2821" s="114" t="s">
        <v>2090</v>
      </c>
      <c r="E2821" s="114">
        <v>267</v>
      </c>
      <c r="F2821" s="114">
        <v>15</v>
      </c>
      <c r="G2821" s="114">
        <v>1</v>
      </c>
      <c r="H2821" s="114">
        <v>1500</v>
      </c>
      <c r="I2821" s="114">
        <v>1500</v>
      </c>
      <c r="J2821" s="114">
        <v>1261</v>
      </c>
      <c r="K2821" s="114">
        <v>239</v>
      </c>
      <c r="L2821" s="114" t="str">
        <f t="shared" si="44"/>
        <v>INSERT INTO DETALLES_DOCUMENTO(NRO_DOCUMENTO,ID_TIPO,ID_PRODUCTO,CANTIDAD,PRECIO,VALOR_BRUTO,VALOR_NETO,VALOR_IVA) VALUES(1350,1,15,1,1500,1500,1261,239);</v>
      </c>
    </row>
    <row r="2822" spans="1:12">
      <c r="A2822" s="114">
        <v>1</v>
      </c>
      <c r="B2822" s="114">
        <v>1350</v>
      </c>
      <c r="C2822" s="139" t="s">
        <v>2391</v>
      </c>
      <c r="D2822" s="114" t="s">
        <v>2090</v>
      </c>
      <c r="E2822" s="114">
        <v>267</v>
      </c>
      <c r="F2822" s="114">
        <v>354</v>
      </c>
      <c r="G2822" s="114">
        <v>1</v>
      </c>
      <c r="H2822" s="114">
        <v>1800</v>
      </c>
      <c r="I2822" s="114">
        <v>1800</v>
      </c>
      <c r="J2822" s="114">
        <v>1513</v>
      </c>
      <c r="K2822" s="114">
        <v>287</v>
      </c>
      <c r="L2822" s="114" t="str">
        <f t="shared" si="44"/>
        <v>INSERT INTO DETALLES_DOCUMENTO(NRO_DOCUMENTO,ID_TIPO,ID_PRODUCTO,CANTIDAD,PRECIO,VALOR_BRUTO,VALOR_NETO,VALOR_IVA) VALUES(1350,1,354,1,1800,1800,1513,287);</v>
      </c>
    </row>
    <row r="2823" spans="1:12">
      <c r="A2823" s="114">
        <v>1</v>
      </c>
      <c r="B2823" s="114">
        <v>1350</v>
      </c>
      <c r="C2823" s="139" t="s">
        <v>2391</v>
      </c>
      <c r="D2823" s="114" t="s">
        <v>2090</v>
      </c>
      <c r="E2823" s="114">
        <v>267</v>
      </c>
      <c r="F2823" s="114">
        <v>118</v>
      </c>
      <c r="G2823" s="114">
        <v>1</v>
      </c>
      <c r="H2823" s="114">
        <v>3500</v>
      </c>
      <c r="I2823" s="114">
        <v>3500</v>
      </c>
      <c r="J2823" s="114">
        <v>2941</v>
      </c>
      <c r="K2823" s="114">
        <v>559</v>
      </c>
      <c r="L2823" s="114" t="str">
        <f t="shared" si="44"/>
        <v>INSERT INTO DETALLES_DOCUMENTO(NRO_DOCUMENTO,ID_TIPO,ID_PRODUCTO,CANTIDAD,PRECIO,VALOR_BRUTO,VALOR_NETO,VALOR_IVA) VALUES(1350,1,118,1,3500,3500,2941,559);</v>
      </c>
    </row>
    <row r="2824" spans="1:12">
      <c r="A2824" s="114">
        <v>1</v>
      </c>
      <c r="B2824" s="114">
        <v>1351</v>
      </c>
      <c r="C2824" s="139" t="s">
        <v>2391</v>
      </c>
      <c r="D2824" s="114" t="s">
        <v>2090</v>
      </c>
      <c r="E2824" s="114">
        <v>342</v>
      </c>
      <c r="F2824" s="114">
        <v>234</v>
      </c>
      <c r="G2824" s="114">
        <v>2</v>
      </c>
      <c r="H2824" s="114">
        <v>39000</v>
      </c>
      <c r="I2824" s="114">
        <v>78000</v>
      </c>
      <c r="J2824" s="114">
        <v>65546</v>
      </c>
      <c r="K2824" s="114">
        <v>12454</v>
      </c>
      <c r="L2824" s="114" t="str">
        <f t="shared" si="44"/>
        <v>INSERT INTO DETALLES_DOCUMENTO(NRO_DOCUMENTO,ID_TIPO,ID_PRODUCTO,CANTIDAD,PRECIO,VALOR_BRUTO,VALOR_NETO,VALOR_IVA) VALUES(1351,1,234,2,39000,78000,65546,12454);</v>
      </c>
    </row>
    <row r="2825" spans="1:12">
      <c r="A2825" s="114">
        <v>1</v>
      </c>
      <c r="B2825" s="114">
        <v>1351</v>
      </c>
      <c r="C2825" s="139" t="s">
        <v>2391</v>
      </c>
      <c r="D2825" s="114" t="s">
        <v>2090</v>
      </c>
      <c r="E2825" s="114">
        <v>342</v>
      </c>
      <c r="F2825" s="114">
        <v>7</v>
      </c>
      <c r="G2825" s="114">
        <v>1</v>
      </c>
      <c r="H2825" s="114">
        <v>7000</v>
      </c>
      <c r="I2825" s="114">
        <v>7000</v>
      </c>
      <c r="J2825" s="114">
        <v>5882</v>
      </c>
      <c r="K2825" s="114">
        <v>1118</v>
      </c>
      <c r="L2825" s="114" t="str">
        <f t="shared" si="44"/>
        <v>INSERT INTO DETALLES_DOCUMENTO(NRO_DOCUMENTO,ID_TIPO,ID_PRODUCTO,CANTIDAD,PRECIO,VALOR_BRUTO,VALOR_NETO,VALOR_IVA) VALUES(1351,1,7,1,7000,7000,5882,1118);</v>
      </c>
    </row>
    <row r="2826" spans="1:12">
      <c r="A2826" s="114">
        <v>1</v>
      </c>
      <c r="B2826" s="114">
        <v>1351</v>
      </c>
      <c r="C2826" s="139" t="s">
        <v>2391</v>
      </c>
      <c r="D2826" s="114" t="s">
        <v>2090</v>
      </c>
      <c r="E2826" s="114">
        <v>342</v>
      </c>
      <c r="F2826" s="114">
        <v>97</v>
      </c>
      <c r="G2826" s="114">
        <v>1</v>
      </c>
      <c r="H2826" s="114">
        <v>2000</v>
      </c>
      <c r="I2826" s="114">
        <v>2000</v>
      </c>
      <c r="J2826" s="114">
        <v>1681</v>
      </c>
      <c r="K2826" s="114">
        <v>319</v>
      </c>
      <c r="L2826" s="114" t="str">
        <f t="shared" si="44"/>
        <v>INSERT INTO DETALLES_DOCUMENTO(NRO_DOCUMENTO,ID_TIPO,ID_PRODUCTO,CANTIDAD,PRECIO,VALOR_BRUTO,VALOR_NETO,VALOR_IVA) VALUES(1351,1,97,1,2000,2000,1681,319);</v>
      </c>
    </row>
    <row r="2827" spans="1:12">
      <c r="A2827" s="114">
        <v>1</v>
      </c>
      <c r="B2827" s="114">
        <v>1352</v>
      </c>
      <c r="C2827" s="139" t="s">
        <v>2391</v>
      </c>
      <c r="D2827" s="114" t="s">
        <v>2090</v>
      </c>
      <c r="E2827" s="114">
        <v>397</v>
      </c>
      <c r="F2827" s="114">
        <v>17</v>
      </c>
      <c r="G2827" s="114">
        <v>1</v>
      </c>
      <c r="H2827" s="114">
        <v>3400</v>
      </c>
      <c r="I2827" s="114">
        <v>3400</v>
      </c>
      <c r="J2827" s="114">
        <v>2857</v>
      </c>
      <c r="K2827" s="114">
        <v>543</v>
      </c>
      <c r="L2827" s="114" t="str">
        <f t="shared" si="44"/>
        <v>INSERT INTO DETALLES_DOCUMENTO(NRO_DOCUMENTO,ID_TIPO,ID_PRODUCTO,CANTIDAD,PRECIO,VALOR_BRUTO,VALOR_NETO,VALOR_IVA) VALUES(1352,1,17,1,3400,3400,2857,543);</v>
      </c>
    </row>
    <row r="2828" spans="1:12">
      <c r="A2828" s="114">
        <v>1</v>
      </c>
      <c r="B2828" s="114">
        <v>1352</v>
      </c>
      <c r="C2828" s="139" t="s">
        <v>2391</v>
      </c>
      <c r="D2828" s="114" t="s">
        <v>2090</v>
      </c>
      <c r="E2828" s="114">
        <v>397</v>
      </c>
      <c r="F2828" s="114">
        <v>95</v>
      </c>
      <c r="G2828" s="114">
        <v>1</v>
      </c>
      <c r="H2828" s="114">
        <v>2400</v>
      </c>
      <c r="I2828" s="114">
        <v>2400</v>
      </c>
      <c r="J2828" s="114">
        <v>2017</v>
      </c>
      <c r="K2828" s="114">
        <v>383</v>
      </c>
      <c r="L2828" s="114" t="str">
        <f t="shared" si="44"/>
        <v>INSERT INTO DETALLES_DOCUMENTO(NRO_DOCUMENTO,ID_TIPO,ID_PRODUCTO,CANTIDAD,PRECIO,VALOR_BRUTO,VALOR_NETO,VALOR_IVA) VALUES(1352,1,95,1,2400,2400,2017,383);</v>
      </c>
    </row>
    <row r="2829" spans="1:12">
      <c r="A2829" s="114">
        <v>1</v>
      </c>
      <c r="B2829" s="114">
        <v>1352</v>
      </c>
      <c r="C2829" s="139" t="s">
        <v>2391</v>
      </c>
      <c r="D2829" s="114" t="s">
        <v>2090</v>
      </c>
      <c r="E2829" s="114">
        <v>397</v>
      </c>
      <c r="F2829" s="114">
        <v>11</v>
      </c>
      <c r="G2829" s="114">
        <v>1</v>
      </c>
      <c r="H2829" s="114">
        <v>2500</v>
      </c>
      <c r="I2829" s="114">
        <v>2500</v>
      </c>
      <c r="J2829" s="114">
        <v>2101</v>
      </c>
      <c r="K2829" s="114">
        <v>399</v>
      </c>
      <c r="L2829" s="114" t="str">
        <f t="shared" si="44"/>
        <v>INSERT INTO DETALLES_DOCUMENTO(NRO_DOCUMENTO,ID_TIPO,ID_PRODUCTO,CANTIDAD,PRECIO,VALOR_BRUTO,VALOR_NETO,VALOR_IVA) VALUES(1352,1,11,1,2500,2500,2101,399);</v>
      </c>
    </row>
    <row r="2830" spans="1:12">
      <c r="A2830" s="114">
        <v>1</v>
      </c>
      <c r="B2830" s="114">
        <v>1352</v>
      </c>
      <c r="C2830" s="139" t="s">
        <v>2391</v>
      </c>
      <c r="D2830" s="114" t="s">
        <v>2090</v>
      </c>
      <c r="E2830" s="114">
        <v>397</v>
      </c>
      <c r="F2830" s="114">
        <v>386</v>
      </c>
      <c r="G2830" s="114">
        <v>1</v>
      </c>
      <c r="H2830" s="114">
        <v>2700</v>
      </c>
      <c r="I2830" s="114">
        <v>2700</v>
      </c>
      <c r="J2830" s="114">
        <v>2269</v>
      </c>
      <c r="K2830" s="114">
        <v>431</v>
      </c>
      <c r="L2830" s="114" t="str">
        <f t="shared" si="44"/>
        <v>INSERT INTO DETALLES_DOCUMENTO(NRO_DOCUMENTO,ID_TIPO,ID_PRODUCTO,CANTIDAD,PRECIO,VALOR_BRUTO,VALOR_NETO,VALOR_IVA) VALUES(1352,1,386,1,2700,2700,2269,431);</v>
      </c>
    </row>
    <row r="2831" spans="1:12">
      <c r="A2831" s="114">
        <v>1</v>
      </c>
      <c r="B2831" s="114">
        <v>1352</v>
      </c>
      <c r="C2831" s="139" t="s">
        <v>2391</v>
      </c>
      <c r="D2831" s="114" t="s">
        <v>2090</v>
      </c>
      <c r="E2831" s="114">
        <v>397</v>
      </c>
      <c r="F2831" s="114">
        <v>124</v>
      </c>
      <c r="G2831" s="114">
        <v>1</v>
      </c>
      <c r="H2831" s="114">
        <v>4000</v>
      </c>
      <c r="I2831" s="114">
        <v>4000</v>
      </c>
      <c r="J2831" s="114">
        <v>3361</v>
      </c>
      <c r="K2831" s="114">
        <v>639</v>
      </c>
      <c r="L2831" s="114" t="str">
        <f t="shared" si="44"/>
        <v>INSERT INTO DETALLES_DOCUMENTO(NRO_DOCUMENTO,ID_TIPO,ID_PRODUCTO,CANTIDAD,PRECIO,VALOR_BRUTO,VALOR_NETO,VALOR_IVA) VALUES(1352,1,124,1,4000,4000,3361,639);</v>
      </c>
    </row>
    <row r="2832" spans="1:12">
      <c r="A2832" s="114">
        <v>1</v>
      </c>
      <c r="B2832" s="114">
        <v>1352</v>
      </c>
      <c r="C2832" s="139" t="s">
        <v>2391</v>
      </c>
      <c r="D2832" s="114" t="s">
        <v>2090</v>
      </c>
      <c r="E2832" s="114">
        <v>397</v>
      </c>
      <c r="F2832" s="114">
        <v>81</v>
      </c>
      <c r="G2832" s="114">
        <v>2</v>
      </c>
      <c r="H2832" s="114">
        <v>3200</v>
      </c>
      <c r="I2832" s="114">
        <v>6400</v>
      </c>
      <c r="J2832" s="114">
        <v>5378</v>
      </c>
      <c r="K2832" s="114">
        <v>1022</v>
      </c>
      <c r="L2832" s="114" t="str">
        <f t="shared" si="44"/>
        <v>INSERT INTO DETALLES_DOCUMENTO(NRO_DOCUMENTO,ID_TIPO,ID_PRODUCTO,CANTIDAD,PRECIO,VALOR_BRUTO,VALOR_NETO,VALOR_IVA) VALUES(1352,1,81,2,3200,6400,5378,1022);</v>
      </c>
    </row>
    <row r="2833" spans="1:12">
      <c r="A2833" s="114">
        <v>1</v>
      </c>
      <c r="B2833" s="114">
        <v>1352</v>
      </c>
      <c r="C2833" s="139" t="s">
        <v>2391</v>
      </c>
      <c r="D2833" s="114" t="s">
        <v>2090</v>
      </c>
      <c r="E2833" s="114">
        <v>397</v>
      </c>
      <c r="F2833" s="114">
        <v>379</v>
      </c>
      <c r="G2833" s="114">
        <v>1</v>
      </c>
      <c r="H2833" s="114">
        <v>2000</v>
      </c>
      <c r="I2833" s="114">
        <v>2000</v>
      </c>
      <c r="J2833" s="114">
        <v>1681</v>
      </c>
      <c r="K2833" s="114">
        <v>319</v>
      </c>
      <c r="L2833" s="114" t="str">
        <f t="shared" si="44"/>
        <v>INSERT INTO DETALLES_DOCUMENTO(NRO_DOCUMENTO,ID_TIPO,ID_PRODUCTO,CANTIDAD,PRECIO,VALOR_BRUTO,VALOR_NETO,VALOR_IVA) VALUES(1352,1,379,1,2000,2000,1681,319);</v>
      </c>
    </row>
    <row r="2834" spans="1:12">
      <c r="A2834" s="114">
        <v>1</v>
      </c>
      <c r="B2834" s="114">
        <v>1352</v>
      </c>
      <c r="C2834" s="139" t="s">
        <v>2391</v>
      </c>
      <c r="D2834" s="114" t="s">
        <v>2090</v>
      </c>
      <c r="E2834" s="114">
        <v>397</v>
      </c>
      <c r="F2834" s="114">
        <v>154</v>
      </c>
      <c r="G2834" s="114">
        <v>1</v>
      </c>
      <c r="H2834" s="114">
        <v>3200</v>
      </c>
      <c r="I2834" s="114">
        <v>3200</v>
      </c>
      <c r="J2834" s="114">
        <v>2689</v>
      </c>
      <c r="K2834" s="114">
        <v>511</v>
      </c>
      <c r="L2834" s="114" t="str">
        <f t="shared" si="44"/>
        <v>INSERT INTO DETALLES_DOCUMENTO(NRO_DOCUMENTO,ID_TIPO,ID_PRODUCTO,CANTIDAD,PRECIO,VALOR_BRUTO,VALOR_NETO,VALOR_IVA) VALUES(1352,1,154,1,3200,3200,2689,511);</v>
      </c>
    </row>
    <row r="2835" spans="1:12">
      <c r="A2835" s="114">
        <v>1</v>
      </c>
      <c r="B2835" s="114">
        <v>1352</v>
      </c>
      <c r="C2835" s="139" t="s">
        <v>2391</v>
      </c>
      <c r="D2835" s="114" t="s">
        <v>2090</v>
      </c>
      <c r="E2835" s="114">
        <v>397</v>
      </c>
      <c r="F2835" s="114">
        <v>97</v>
      </c>
      <c r="G2835" s="114">
        <v>1</v>
      </c>
      <c r="H2835" s="114">
        <v>2000</v>
      </c>
      <c r="I2835" s="114">
        <v>2000</v>
      </c>
      <c r="J2835" s="114">
        <v>1681</v>
      </c>
      <c r="K2835" s="114">
        <v>319</v>
      </c>
      <c r="L2835" s="114" t="str">
        <f t="shared" si="44"/>
        <v>INSERT INTO DETALLES_DOCUMENTO(NRO_DOCUMENTO,ID_TIPO,ID_PRODUCTO,CANTIDAD,PRECIO,VALOR_BRUTO,VALOR_NETO,VALOR_IVA) VALUES(1352,1,97,1,2000,2000,1681,319);</v>
      </c>
    </row>
    <row r="2836" spans="1:12">
      <c r="A2836" s="114">
        <v>1</v>
      </c>
      <c r="B2836" s="114">
        <v>1352</v>
      </c>
      <c r="C2836" s="139" t="s">
        <v>2391</v>
      </c>
      <c r="D2836" s="114" t="s">
        <v>2090</v>
      </c>
      <c r="E2836" s="114">
        <v>397</v>
      </c>
      <c r="F2836" s="114">
        <v>164</v>
      </c>
      <c r="G2836" s="114">
        <v>1</v>
      </c>
      <c r="H2836" s="114">
        <v>3200</v>
      </c>
      <c r="I2836" s="114">
        <v>3200</v>
      </c>
      <c r="J2836" s="114">
        <v>2689</v>
      </c>
      <c r="K2836" s="114">
        <v>511</v>
      </c>
      <c r="L2836" s="114" t="str">
        <f t="shared" si="44"/>
        <v>INSERT INTO DETALLES_DOCUMENTO(NRO_DOCUMENTO,ID_TIPO,ID_PRODUCTO,CANTIDAD,PRECIO,VALOR_BRUTO,VALOR_NETO,VALOR_IVA) VALUES(1352,1,164,1,3200,3200,2689,511);</v>
      </c>
    </row>
    <row r="2837" spans="1:12">
      <c r="A2837" s="114">
        <v>1</v>
      </c>
      <c r="B2837" s="114">
        <v>1352</v>
      </c>
      <c r="C2837" s="139" t="s">
        <v>2391</v>
      </c>
      <c r="D2837" s="114" t="s">
        <v>2090</v>
      </c>
      <c r="E2837" s="114">
        <v>397</v>
      </c>
      <c r="F2837" s="114">
        <v>256</v>
      </c>
      <c r="G2837" s="114">
        <v>1</v>
      </c>
      <c r="H2837" s="114">
        <v>3000</v>
      </c>
      <c r="I2837" s="114">
        <v>3000</v>
      </c>
      <c r="J2837" s="114">
        <v>2521</v>
      </c>
      <c r="K2837" s="114">
        <v>479</v>
      </c>
      <c r="L2837" s="114" t="str">
        <f t="shared" si="44"/>
        <v>INSERT INTO DETALLES_DOCUMENTO(NRO_DOCUMENTO,ID_TIPO,ID_PRODUCTO,CANTIDAD,PRECIO,VALOR_BRUTO,VALOR_NETO,VALOR_IVA) VALUES(1352,1,256,1,3000,3000,2521,479);</v>
      </c>
    </row>
    <row r="2838" spans="1:12">
      <c r="A2838" s="114">
        <v>1</v>
      </c>
      <c r="B2838" s="114">
        <v>1352</v>
      </c>
      <c r="C2838" s="139" t="s">
        <v>2391</v>
      </c>
      <c r="D2838" s="114" t="s">
        <v>2090</v>
      </c>
      <c r="E2838" s="114">
        <v>397</v>
      </c>
      <c r="F2838" s="114">
        <v>322</v>
      </c>
      <c r="G2838" s="114">
        <v>1</v>
      </c>
      <c r="H2838" s="114">
        <v>9000</v>
      </c>
      <c r="I2838" s="114">
        <v>9000</v>
      </c>
      <c r="J2838" s="114">
        <v>7563</v>
      </c>
      <c r="K2838" s="114">
        <v>1437</v>
      </c>
      <c r="L2838" s="114" t="str">
        <f t="shared" si="44"/>
        <v>INSERT INTO DETALLES_DOCUMENTO(NRO_DOCUMENTO,ID_TIPO,ID_PRODUCTO,CANTIDAD,PRECIO,VALOR_BRUTO,VALOR_NETO,VALOR_IVA) VALUES(1352,1,322,1,9000,9000,7563,1437);</v>
      </c>
    </row>
    <row r="2839" spans="1:12">
      <c r="A2839" s="114">
        <v>1</v>
      </c>
      <c r="B2839" s="114">
        <v>1352</v>
      </c>
      <c r="C2839" s="139" t="s">
        <v>2391</v>
      </c>
      <c r="D2839" s="114" t="s">
        <v>2090</v>
      </c>
      <c r="E2839" s="114">
        <v>397</v>
      </c>
      <c r="F2839" s="114">
        <v>276</v>
      </c>
      <c r="G2839" s="114">
        <v>1</v>
      </c>
      <c r="H2839" s="114">
        <v>8000</v>
      </c>
      <c r="I2839" s="114">
        <v>8000</v>
      </c>
      <c r="J2839" s="114">
        <v>6723</v>
      </c>
      <c r="K2839" s="114">
        <v>1277</v>
      </c>
      <c r="L2839" s="114" t="str">
        <f t="shared" si="44"/>
        <v>INSERT INTO DETALLES_DOCUMENTO(NRO_DOCUMENTO,ID_TIPO,ID_PRODUCTO,CANTIDAD,PRECIO,VALOR_BRUTO,VALOR_NETO,VALOR_IVA) VALUES(1352,1,276,1,8000,8000,6723,1277);</v>
      </c>
    </row>
    <row r="2840" spans="1:12">
      <c r="A2840" s="114">
        <v>1</v>
      </c>
      <c r="B2840" s="114">
        <v>1352</v>
      </c>
      <c r="C2840" s="139" t="s">
        <v>2391</v>
      </c>
      <c r="D2840" s="114" t="s">
        <v>2090</v>
      </c>
      <c r="E2840" s="114">
        <v>397</v>
      </c>
      <c r="F2840" s="114">
        <v>284</v>
      </c>
      <c r="G2840" s="114">
        <v>1</v>
      </c>
      <c r="H2840" s="114">
        <v>1100</v>
      </c>
      <c r="I2840" s="114">
        <v>1100</v>
      </c>
      <c r="J2840" s="114">
        <v>924</v>
      </c>
      <c r="K2840" s="114">
        <v>176</v>
      </c>
      <c r="L2840" s="114" t="str">
        <f t="shared" si="44"/>
        <v>INSERT INTO DETALLES_DOCUMENTO(NRO_DOCUMENTO,ID_TIPO,ID_PRODUCTO,CANTIDAD,PRECIO,VALOR_BRUTO,VALOR_NETO,VALOR_IVA) VALUES(1352,1,284,1,1100,1100,924,176);</v>
      </c>
    </row>
    <row r="2841" spans="1:12">
      <c r="A2841" s="114">
        <v>1</v>
      </c>
      <c r="B2841" s="114">
        <v>1353</v>
      </c>
      <c r="C2841" s="139" t="s">
        <v>2391</v>
      </c>
      <c r="D2841" s="114" t="s">
        <v>2090</v>
      </c>
      <c r="E2841" s="114">
        <v>476</v>
      </c>
      <c r="F2841" s="114">
        <v>143</v>
      </c>
      <c r="G2841" s="114">
        <v>1</v>
      </c>
      <c r="H2841" s="114">
        <v>8000</v>
      </c>
      <c r="I2841" s="114">
        <v>8000</v>
      </c>
      <c r="J2841" s="114">
        <v>6723</v>
      </c>
      <c r="K2841" s="114">
        <v>1277</v>
      </c>
      <c r="L2841" s="114" t="str">
        <f t="shared" si="44"/>
        <v>INSERT INTO DETALLES_DOCUMENTO(NRO_DOCUMENTO,ID_TIPO,ID_PRODUCTO,CANTIDAD,PRECIO,VALOR_BRUTO,VALOR_NETO,VALOR_IVA) VALUES(1353,1,143,1,8000,8000,6723,1277);</v>
      </c>
    </row>
    <row r="2842" spans="1:12">
      <c r="A2842" s="114">
        <v>1</v>
      </c>
      <c r="B2842" s="114">
        <v>1354</v>
      </c>
      <c r="C2842" s="139" t="s">
        <v>2391</v>
      </c>
      <c r="D2842" s="114" t="s">
        <v>2090</v>
      </c>
      <c r="E2842" s="114">
        <v>477</v>
      </c>
      <c r="F2842" s="114">
        <v>7</v>
      </c>
      <c r="G2842" s="114">
        <v>1</v>
      </c>
      <c r="H2842" s="114">
        <v>7000</v>
      </c>
      <c r="I2842" s="114">
        <v>7000</v>
      </c>
      <c r="J2842" s="114">
        <v>5882</v>
      </c>
      <c r="K2842" s="114">
        <v>1118</v>
      </c>
      <c r="L2842" s="114" t="str">
        <f t="shared" si="44"/>
        <v>INSERT INTO DETALLES_DOCUMENTO(NRO_DOCUMENTO,ID_TIPO,ID_PRODUCTO,CANTIDAD,PRECIO,VALOR_BRUTO,VALOR_NETO,VALOR_IVA) VALUES(1354,1,7,1,7000,7000,5882,1118);</v>
      </c>
    </row>
    <row r="2843" spans="1:12">
      <c r="A2843" s="114">
        <v>1</v>
      </c>
      <c r="B2843" s="114">
        <v>1354</v>
      </c>
      <c r="C2843" s="139" t="s">
        <v>2391</v>
      </c>
      <c r="D2843" s="114" t="s">
        <v>2090</v>
      </c>
      <c r="E2843" s="114">
        <v>477</v>
      </c>
      <c r="F2843" s="114">
        <v>331</v>
      </c>
      <c r="G2843" s="114">
        <v>1</v>
      </c>
      <c r="H2843" s="114">
        <v>3700</v>
      </c>
      <c r="I2843" s="114">
        <v>3700</v>
      </c>
      <c r="J2843" s="114">
        <v>3109</v>
      </c>
      <c r="K2843" s="114">
        <v>591</v>
      </c>
      <c r="L2843" s="114" t="str">
        <f t="shared" si="44"/>
        <v>INSERT INTO DETALLES_DOCUMENTO(NRO_DOCUMENTO,ID_TIPO,ID_PRODUCTO,CANTIDAD,PRECIO,VALOR_BRUTO,VALOR_NETO,VALOR_IVA) VALUES(1354,1,331,1,3700,3700,3109,591);</v>
      </c>
    </row>
    <row r="2844" spans="1:12">
      <c r="A2844" s="114">
        <v>1</v>
      </c>
      <c r="B2844" s="114">
        <v>1355</v>
      </c>
      <c r="C2844" s="139" t="s">
        <v>2392</v>
      </c>
      <c r="D2844" s="114" t="s">
        <v>2090</v>
      </c>
      <c r="E2844" s="114">
        <v>151</v>
      </c>
      <c r="F2844" s="114">
        <v>143</v>
      </c>
      <c r="G2844" s="114">
        <v>1</v>
      </c>
      <c r="H2844" s="114">
        <v>8000</v>
      </c>
      <c r="I2844" s="114">
        <v>8000</v>
      </c>
      <c r="J2844" s="114">
        <v>6723</v>
      </c>
      <c r="K2844" s="114">
        <v>1277</v>
      </c>
      <c r="L2844" s="114" t="str">
        <f t="shared" si="44"/>
        <v>INSERT INTO DETALLES_DOCUMENTO(NRO_DOCUMENTO,ID_TIPO,ID_PRODUCTO,CANTIDAD,PRECIO,VALOR_BRUTO,VALOR_NETO,VALOR_IVA) VALUES(1355,1,143,1,8000,8000,6723,1277);</v>
      </c>
    </row>
    <row r="2845" spans="1:12">
      <c r="A2845" s="114">
        <v>1</v>
      </c>
      <c r="B2845" s="114">
        <v>1356</v>
      </c>
      <c r="C2845" s="139" t="s">
        <v>2392</v>
      </c>
      <c r="D2845" s="114" t="s">
        <v>2090</v>
      </c>
      <c r="E2845" s="114">
        <v>254</v>
      </c>
      <c r="F2845" s="114">
        <v>230</v>
      </c>
      <c r="G2845" s="114">
        <v>1</v>
      </c>
      <c r="H2845" s="114">
        <v>16500</v>
      </c>
      <c r="I2845" s="114">
        <v>16500</v>
      </c>
      <c r="J2845" s="114">
        <v>13866</v>
      </c>
      <c r="K2845" s="114">
        <v>2634</v>
      </c>
      <c r="L2845" s="114" t="str">
        <f t="shared" si="44"/>
        <v>INSERT INTO DETALLES_DOCUMENTO(NRO_DOCUMENTO,ID_TIPO,ID_PRODUCTO,CANTIDAD,PRECIO,VALOR_BRUTO,VALOR_NETO,VALOR_IVA) VALUES(1356,1,230,1,16500,16500,13866,2634);</v>
      </c>
    </row>
    <row r="2846" spans="1:12">
      <c r="A2846" s="114">
        <v>1</v>
      </c>
      <c r="B2846" s="114">
        <v>1356</v>
      </c>
      <c r="C2846" s="139" t="s">
        <v>2392</v>
      </c>
      <c r="D2846" s="114" t="s">
        <v>2090</v>
      </c>
      <c r="E2846" s="114">
        <v>254</v>
      </c>
      <c r="F2846" s="114">
        <v>165</v>
      </c>
      <c r="G2846" s="114">
        <v>1</v>
      </c>
      <c r="H2846" s="114">
        <v>2000</v>
      </c>
      <c r="I2846" s="114">
        <v>2000</v>
      </c>
      <c r="J2846" s="114">
        <v>1681</v>
      </c>
      <c r="K2846" s="114">
        <v>319</v>
      </c>
      <c r="L2846" s="114" t="str">
        <f t="shared" si="44"/>
        <v>INSERT INTO DETALLES_DOCUMENTO(NRO_DOCUMENTO,ID_TIPO,ID_PRODUCTO,CANTIDAD,PRECIO,VALOR_BRUTO,VALOR_NETO,VALOR_IVA) VALUES(1356,1,165,1,2000,2000,1681,319);</v>
      </c>
    </row>
    <row r="2847" spans="1:12">
      <c r="A2847" s="114">
        <v>1</v>
      </c>
      <c r="B2847" s="114">
        <v>1356</v>
      </c>
      <c r="C2847" s="139" t="s">
        <v>2392</v>
      </c>
      <c r="D2847" s="114" t="s">
        <v>2090</v>
      </c>
      <c r="E2847" s="114">
        <v>254</v>
      </c>
      <c r="F2847" s="114">
        <v>117</v>
      </c>
      <c r="G2847" s="114">
        <v>1</v>
      </c>
      <c r="H2847" s="114">
        <v>3500</v>
      </c>
      <c r="I2847" s="114">
        <v>3500</v>
      </c>
      <c r="J2847" s="114">
        <v>2941</v>
      </c>
      <c r="K2847" s="114">
        <v>559</v>
      </c>
      <c r="L2847" s="114" t="str">
        <f t="shared" si="44"/>
        <v>INSERT INTO DETALLES_DOCUMENTO(NRO_DOCUMENTO,ID_TIPO,ID_PRODUCTO,CANTIDAD,PRECIO,VALOR_BRUTO,VALOR_NETO,VALOR_IVA) VALUES(1356,1,117,1,3500,3500,2941,559);</v>
      </c>
    </row>
    <row r="2848" spans="1:12">
      <c r="A2848" s="114">
        <v>1</v>
      </c>
      <c r="B2848" s="114">
        <v>1357</v>
      </c>
      <c r="C2848" s="139" t="s">
        <v>2392</v>
      </c>
      <c r="D2848" s="114" t="s">
        <v>2090</v>
      </c>
      <c r="E2848" s="114">
        <v>306</v>
      </c>
      <c r="F2848" s="114">
        <v>324</v>
      </c>
      <c r="G2848" s="114">
        <v>2</v>
      </c>
      <c r="H2848" s="114">
        <v>22000</v>
      </c>
      <c r="I2848" s="114">
        <v>44000</v>
      </c>
      <c r="J2848" s="114">
        <v>36975</v>
      </c>
      <c r="K2848" s="114">
        <v>7025</v>
      </c>
      <c r="L2848" s="114" t="str">
        <f t="shared" si="44"/>
        <v>INSERT INTO DETALLES_DOCUMENTO(NRO_DOCUMENTO,ID_TIPO,ID_PRODUCTO,CANTIDAD,PRECIO,VALOR_BRUTO,VALOR_NETO,VALOR_IVA) VALUES(1357,1,324,2,22000,44000,36975,7025);</v>
      </c>
    </row>
    <row r="2849" spans="1:12">
      <c r="A2849" s="114">
        <v>1</v>
      </c>
      <c r="B2849" s="114">
        <v>1357</v>
      </c>
      <c r="C2849" s="139" t="s">
        <v>2392</v>
      </c>
      <c r="D2849" s="114" t="s">
        <v>2090</v>
      </c>
      <c r="E2849" s="114">
        <v>306</v>
      </c>
      <c r="F2849" s="114">
        <v>143</v>
      </c>
      <c r="G2849" s="114">
        <v>1</v>
      </c>
      <c r="H2849" s="114">
        <v>8000</v>
      </c>
      <c r="I2849" s="114">
        <v>8000</v>
      </c>
      <c r="J2849" s="114">
        <v>6723</v>
      </c>
      <c r="K2849" s="114">
        <v>1277</v>
      </c>
      <c r="L2849" s="114" t="str">
        <f t="shared" si="44"/>
        <v>INSERT INTO DETALLES_DOCUMENTO(NRO_DOCUMENTO,ID_TIPO,ID_PRODUCTO,CANTIDAD,PRECIO,VALOR_BRUTO,VALOR_NETO,VALOR_IVA) VALUES(1357,1,143,1,8000,8000,6723,1277);</v>
      </c>
    </row>
    <row r="2850" spans="1:12">
      <c r="A2850" s="114">
        <v>1</v>
      </c>
      <c r="B2850" s="114">
        <v>1358</v>
      </c>
      <c r="C2850" s="139" t="s">
        <v>2393</v>
      </c>
      <c r="D2850" s="114" t="s">
        <v>2090</v>
      </c>
      <c r="E2850" s="114">
        <v>48</v>
      </c>
      <c r="F2850" s="114">
        <v>230</v>
      </c>
      <c r="G2850" s="114">
        <v>1</v>
      </c>
      <c r="H2850" s="114">
        <v>16500</v>
      </c>
      <c r="I2850" s="114">
        <v>16500</v>
      </c>
      <c r="J2850" s="114">
        <v>13866</v>
      </c>
      <c r="K2850" s="114">
        <v>2634</v>
      </c>
      <c r="L2850" s="114" t="str">
        <f t="shared" si="44"/>
        <v>INSERT INTO DETALLES_DOCUMENTO(NRO_DOCUMENTO,ID_TIPO,ID_PRODUCTO,CANTIDAD,PRECIO,VALOR_BRUTO,VALOR_NETO,VALOR_IVA) VALUES(1358,1,230,1,16500,16500,13866,2634);</v>
      </c>
    </row>
    <row r="2851" spans="1:12">
      <c r="A2851" s="114">
        <v>1</v>
      </c>
      <c r="B2851" s="114">
        <v>1358</v>
      </c>
      <c r="C2851" s="139" t="s">
        <v>2393</v>
      </c>
      <c r="D2851" s="114" t="s">
        <v>2090</v>
      </c>
      <c r="E2851" s="114">
        <v>48</v>
      </c>
      <c r="F2851" s="114">
        <v>324</v>
      </c>
      <c r="G2851" s="114">
        <v>1</v>
      </c>
      <c r="H2851" s="114">
        <v>11000</v>
      </c>
      <c r="I2851" s="114">
        <v>11000</v>
      </c>
      <c r="J2851" s="114">
        <v>9244</v>
      </c>
      <c r="K2851" s="114">
        <v>1756</v>
      </c>
      <c r="L2851" s="114" t="str">
        <f t="shared" si="44"/>
        <v>INSERT INTO DETALLES_DOCUMENTO(NRO_DOCUMENTO,ID_TIPO,ID_PRODUCTO,CANTIDAD,PRECIO,VALOR_BRUTO,VALOR_NETO,VALOR_IVA) VALUES(1358,1,324,1,11000,11000,9244,1756);</v>
      </c>
    </row>
    <row r="2852" spans="1:12">
      <c r="A2852" s="114">
        <v>1</v>
      </c>
      <c r="B2852" s="114">
        <v>1359</v>
      </c>
      <c r="C2852" s="139" t="s">
        <v>2393</v>
      </c>
      <c r="D2852" s="114" t="s">
        <v>2090</v>
      </c>
      <c r="E2852" s="114">
        <v>119</v>
      </c>
      <c r="F2852" s="114">
        <v>143</v>
      </c>
      <c r="G2852" s="114">
        <v>1</v>
      </c>
      <c r="H2852" s="114">
        <v>8000</v>
      </c>
      <c r="I2852" s="114">
        <v>8000</v>
      </c>
      <c r="J2852" s="114">
        <v>6723</v>
      </c>
      <c r="K2852" s="114">
        <v>1277</v>
      </c>
      <c r="L2852" s="114" t="str">
        <f t="shared" si="44"/>
        <v>INSERT INTO DETALLES_DOCUMENTO(NRO_DOCUMENTO,ID_TIPO,ID_PRODUCTO,CANTIDAD,PRECIO,VALOR_BRUTO,VALOR_NETO,VALOR_IVA) VALUES(1359,1,143,1,8000,8000,6723,1277);</v>
      </c>
    </row>
    <row r="2853" spans="1:12">
      <c r="A2853" s="114">
        <v>1</v>
      </c>
      <c r="B2853" s="114">
        <v>1360</v>
      </c>
      <c r="C2853" s="139" t="s">
        <v>2393</v>
      </c>
      <c r="D2853" s="114" t="s">
        <v>2090</v>
      </c>
      <c r="E2853" s="114">
        <v>135</v>
      </c>
      <c r="F2853" s="114">
        <v>143</v>
      </c>
      <c r="G2853" s="114">
        <v>2</v>
      </c>
      <c r="H2853" s="114">
        <v>16000</v>
      </c>
      <c r="I2853" s="114">
        <v>32000</v>
      </c>
      <c r="J2853" s="114">
        <v>26891</v>
      </c>
      <c r="K2853" s="114">
        <v>5109</v>
      </c>
      <c r="L2853" s="114" t="str">
        <f t="shared" si="44"/>
        <v>INSERT INTO DETALLES_DOCUMENTO(NRO_DOCUMENTO,ID_TIPO,ID_PRODUCTO,CANTIDAD,PRECIO,VALOR_BRUTO,VALOR_NETO,VALOR_IVA) VALUES(1360,1,143,2,16000,32000,26891,5109);</v>
      </c>
    </row>
    <row r="2854" spans="1:12">
      <c r="A2854" s="114">
        <v>1</v>
      </c>
      <c r="B2854" s="114">
        <v>1361</v>
      </c>
      <c r="C2854" s="139" t="s">
        <v>2393</v>
      </c>
      <c r="D2854" s="114" t="s">
        <v>2090</v>
      </c>
      <c r="E2854" s="114">
        <v>393</v>
      </c>
      <c r="F2854" s="114">
        <v>120</v>
      </c>
      <c r="G2854" s="114">
        <v>1</v>
      </c>
      <c r="H2854" s="114">
        <v>1900</v>
      </c>
      <c r="I2854" s="114">
        <v>1900</v>
      </c>
      <c r="J2854" s="114">
        <v>1597</v>
      </c>
      <c r="K2854" s="114">
        <v>303</v>
      </c>
      <c r="L2854" s="114" t="str">
        <f t="shared" si="44"/>
        <v>INSERT INTO DETALLES_DOCUMENTO(NRO_DOCUMENTO,ID_TIPO,ID_PRODUCTO,CANTIDAD,PRECIO,VALOR_BRUTO,VALOR_NETO,VALOR_IVA) VALUES(1361,1,120,1,1900,1900,1597,303);</v>
      </c>
    </row>
    <row r="2855" spans="1:12">
      <c r="A2855" s="114">
        <v>1</v>
      </c>
      <c r="B2855" s="114">
        <v>1361</v>
      </c>
      <c r="C2855" s="139" t="s">
        <v>2393</v>
      </c>
      <c r="D2855" s="114" t="s">
        <v>2090</v>
      </c>
      <c r="E2855" s="114">
        <v>393</v>
      </c>
      <c r="F2855" s="114">
        <v>378</v>
      </c>
      <c r="G2855" s="114">
        <v>1</v>
      </c>
      <c r="H2855" s="114">
        <v>1200</v>
      </c>
      <c r="I2855" s="114">
        <v>1200</v>
      </c>
      <c r="J2855" s="114">
        <v>1008</v>
      </c>
      <c r="K2855" s="114">
        <v>192</v>
      </c>
      <c r="L2855" s="114" t="str">
        <f t="shared" si="44"/>
        <v>INSERT INTO DETALLES_DOCUMENTO(NRO_DOCUMENTO,ID_TIPO,ID_PRODUCTO,CANTIDAD,PRECIO,VALOR_BRUTO,VALOR_NETO,VALOR_IVA) VALUES(1361,1,378,1,1200,1200,1008,192);</v>
      </c>
    </row>
    <row r="2856" spans="1:12">
      <c r="A2856" s="114">
        <v>1</v>
      </c>
      <c r="B2856" s="114">
        <v>1361</v>
      </c>
      <c r="C2856" s="139" t="s">
        <v>2393</v>
      </c>
      <c r="D2856" s="114" t="s">
        <v>2090</v>
      </c>
      <c r="E2856" s="114">
        <v>393</v>
      </c>
      <c r="F2856" s="114">
        <v>286</v>
      </c>
      <c r="G2856" s="114">
        <v>1</v>
      </c>
      <c r="H2856" s="114">
        <v>1100</v>
      </c>
      <c r="I2856" s="114">
        <v>1100</v>
      </c>
      <c r="J2856" s="114">
        <v>924</v>
      </c>
      <c r="K2856" s="114">
        <v>176</v>
      </c>
      <c r="L2856" s="114" t="str">
        <f t="shared" si="44"/>
        <v>INSERT INTO DETALLES_DOCUMENTO(NRO_DOCUMENTO,ID_TIPO,ID_PRODUCTO,CANTIDAD,PRECIO,VALOR_BRUTO,VALOR_NETO,VALOR_IVA) VALUES(1361,1,286,1,1100,1100,924,176);</v>
      </c>
    </row>
    <row r="2857" spans="1:12">
      <c r="A2857" s="114">
        <v>1</v>
      </c>
      <c r="B2857" s="114">
        <v>1361</v>
      </c>
      <c r="C2857" s="139" t="s">
        <v>2393</v>
      </c>
      <c r="D2857" s="114" t="s">
        <v>2090</v>
      </c>
      <c r="E2857" s="114">
        <v>393</v>
      </c>
      <c r="F2857" s="114">
        <v>382</v>
      </c>
      <c r="G2857" s="114">
        <v>1</v>
      </c>
      <c r="H2857" s="114">
        <v>2600</v>
      </c>
      <c r="I2857" s="114">
        <v>2600</v>
      </c>
      <c r="J2857" s="114">
        <v>2185</v>
      </c>
      <c r="K2857" s="114">
        <v>415</v>
      </c>
      <c r="L2857" s="114" t="str">
        <f t="shared" si="44"/>
        <v>INSERT INTO DETALLES_DOCUMENTO(NRO_DOCUMENTO,ID_TIPO,ID_PRODUCTO,CANTIDAD,PRECIO,VALOR_BRUTO,VALOR_NETO,VALOR_IVA) VALUES(1361,1,382,1,2600,2600,2185,415);</v>
      </c>
    </row>
    <row r="2858" spans="1:12">
      <c r="A2858" s="114">
        <v>1</v>
      </c>
      <c r="B2858" s="114">
        <v>1361</v>
      </c>
      <c r="C2858" s="139" t="s">
        <v>2393</v>
      </c>
      <c r="D2858" s="114" t="s">
        <v>2090</v>
      </c>
      <c r="E2858" s="114">
        <v>393</v>
      </c>
      <c r="F2858" s="114">
        <v>98</v>
      </c>
      <c r="G2858" s="114">
        <v>1</v>
      </c>
      <c r="H2858" s="114">
        <v>3500</v>
      </c>
      <c r="I2858" s="114">
        <v>3500</v>
      </c>
      <c r="J2858" s="114">
        <v>2941</v>
      </c>
      <c r="K2858" s="114">
        <v>559</v>
      </c>
      <c r="L2858" s="114" t="str">
        <f t="shared" si="44"/>
        <v>INSERT INTO DETALLES_DOCUMENTO(NRO_DOCUMENTO,ID_TIPO,ID_PRODUCTO,CANTIDAD,PRECIO,VALOR_BRUTO,VALOR_NETO,VALOR_IVA) VALUES(1361,1,98,1,3500,3500,2941,559);</v>
      </c>
    </row>
    <row r="2859" spans="1:12">
      <c r="A2859" s="114">
        <v>1</v>
      </c>
      <c r="B2859" s="114">
        <v>1361</v>
      </c>
      <c r="C2859" s="139" t="s">
        <v>2393</v>
      </c>
      <c r="D2859" s="114" t="s">
        <v>2090</v>
      </c>
      <c r="E2859" s="114">
        <v>393</v>
      </c>
      <c r="F2859" s="114">
        <v>165</v>
      </c>
      <c r="G2859" s="114">
        <v>1</v>
      </c>
      <c r="H2859" s="114">
        <v>2000</v>
      </c>
      <c r="I2859" s="114">
        <v>2000</v>
      </c>
      <c r="J2859" s="114">
        <v>1681</v>
      </c>
      <c r="K2859" s="114">
        <v>319</v>
      </c>
      <c r="L2859" s="114" t="str">
        <f t="shared" si="44"/>
        <v>INSERT INTO DETALLES_DOCUMENTO(NRO_DOCUMENTO,ID_TIPO,ID_PRODUCTO,CANTIDAD,PRECIO,VALOR_BRUTO,VALOR_NETO,VALOR_IVA) VALUES(1361,1,165,1,2000,2000,1681,319);</v>
      </c>
    </row>
    <row r="2860" spans="1:12">
      <c r="A2860" s="114">
        <v>1</v>
      </c>
      <c r="B2860" s="114">
        <v>1361</v>
      </c>
      <c r="C2860" s="139" t="s">
        <v>2393</v>
      </c>
      <c r="D2860" s="114" t="s">
        <v>2090</v>
      </c>
      <c r="E2860" s="114">
        <v>393</v>
      </c>
      <c r="F2860" s="114">
        <v>354</v>
      </c>
      <c r="G2860" s="114">
        <v>1</v>
      </c>
      <c r="H2860" s="114">
        <v>1800</v>
      </c>
      <c r="I2860" s="114">
        <v>1800</v>
      </c>
      <c r="J2860" s="114">
        <v>1513</v>
      </c>
      <c r="K2860" s="114">
        <v>287</v>
      </c>
      <c r="L2860" s="114" t="str">
        <f t="shared" si="44"/>
        <v>INSERT INTO DETALLES_DOCUMENTO(NRO_DOCUMENTO,ID_TIPO,ID_PRODUCTO,CANTIDAD,PRECIO,VALOR_BRUTO,VALOR_NETO,VALOR_IVA) VALUES(1361,1,354,1,1800,1800,1513,287);</v>
      </c>
    </row>
    <row r="2861" spans="1:12">
      <c r="A2861" s="114">
        <v>1</v>
      </c>
      <c r="B2861" s="114">
        <v>1362</v>
      </c>
      <c r="C2861" s="139" t="s">
        <v>2393</v>
      </c>
      <c r="D2861" s="114" t="s">
        <v>2090</v>
      </c>
      <c r="E2861" s="114">
        <v>407</v>
      </c>
      <c r="F2861" s="114">
        <v>143</v>
      </c>
      <c r="G2861" s="114">
        <v>1</v>
      </c>
      <c r="H2861" s="114">
        <v>8000</v>
      </c>
      <c r="I2861" s="114">
        <v>8000</v>
      </c>
      <c r="J2861" s="114">
        <v>6723</v>
      </c>
      <c r="K2861" s="114">
        <v>1277</v>
      </c>
      <c r="L2861" s="114" t="str">
        <f t="shared" si="44"/>
        <v>INSERT INTO DETALLES_DOCUMENTO(NRO_DOCUMENTO,ID_TIPO,ID_PRODUCTO,CANTIDAD,PRECIO,VALOR_BRUTO,VALOR_NETO,VALOR_IVA) VALUES(1362,1,143,1,8000,8000,6723,1277);</v>
      </c>
    </row>
    <row r="2862" spans="1:12">
      <c r="A2862" s="114">
        <v>1</v>
      </c>
      <c r="B2862" s="114">
        <v>1362</v>
      </c>
      <c r="C2862" s="139" t="s">
        <v>2393</v>
      </c>
      <c r="D2862" s="114" t="s">
        <v>2090</v>
      </c>
      <c r="E2862" s="114">
        <v>407</v>
      </c>
      <c r="F2862" s="114">
        <v>118</v>
      </c>
      <c r="G2862" s="114">
        <v>1</v>
      </c>
      <c r="H2862" s="114">
        <v>3500</v>
      </c>
      <c r="I2862" s="114">
        <v>3500</v>
      </c>
      <c r="J2862" s="114">
        <v>2941</v>
      </c>
      <c r="K2862" s="114">
        <v>559</v>
      </c>
      <c r="L2862" s="114" t="str">
        <f t="shared" si="44"/>
        <v>INSERT INTO DETALLES_DOCUMENTO(NRO_DOCUMENTO,ID_TIPO,ID_PRODUCTO,CANTIDAD,PRECIO,VALOR_BRUTO,VALOR_NETO,VALOR_IVA) VALUES(1362,1,118,1,3500,3500,2941,559);</v>
      </c>
    </row>
    <row r="2863" spans="1:12">
      <c r="A2863" s="114">
        <v>1</v>
      </c>
      <c r="B2863" s="114">
        <v>1362</v>
      </c>
      <c r="C2863" s="139" t="s">
        <v>2393</v>
      </c>
      <c r="D2863" s="114" t="s">
        <v>2090</v>
      </c>
      <c r="E2863" s="114">
        <v>407</v>
      </c>
      <c r="F2863" s="114">
        <v>382</v>
      </c>
      <c r="G2863" s="114">
        <v>1</v>
      </c>
      <c r="H2863" s="114">
        <v>2600</v>
      </c>
      <c r="I2863" s="114">
        <v>2600</v>
      </c>
      <c r="J2863" s="114">
        <v>2185</v>
      </c>
      <c r="K2863" s="114">
        <v>415</v>
      </c>
      <c r="L2863" s="114" t="str">
        <f t="shared" si="44"/>
        <v>INSERT INTO DETALLES_DOCUMENTO(NRO_DOCUMENTO,ID_TIPO,ID_PRODUCTO,CANTIDAD,PRECIO,VALOR_BRUTO,VALOR_NETO,VALOR_IVA) VALUES(1362,1,382,1,2600,2600,2185,415);</v>
      </c>
    </row>
    <row r="2864" spans="1:12">
      <c r="A2864" s="114">
        <v>1</v>
      </c>
      <c r="B2864" s="114">
        <v>1363</v>
      </c>
      <c r="C2864" s="139" t="s">
        <v>2393</v>
      </c>
      <c r="D2864" s="114" t="s">
        <v>2090</v>
      </c>
      <c r="E2864" s="114">
        <v>446</v>
      </c>
      <c r="F2864" s="114">
        <v>117</v>
      </c>
      <c r="G2864" s="114">
        <v>1</v>
      </c>
      <c r="H2864" s="114">
        <v>3500</v>
      </c>
      <c r="I2864" s="114">
        <v>3500</v>
      </c>
      <c r="J2864" s="114">
        <v>2941</v>
      </c>
      <c r="K2864" s="114">
        <v>559</v>
      </c>
      <c r="L2864" s="114" t="str">
        <f t="shared" si="44"/>
        <v>INSERT INTO DETALLES_DOCUMENTO(NRO_DOCUMENTO,ID_TIPO,ID_PRODUCTO,CANTIDAD,PRECIO,VALOR_BRUTO,VALOR_NETO,VALOR_IVA) VALUES(1363,1,117,1,3500,3500,2941,559);</v>
      </c>
    </row>
    <row r="2865" spans="1:12">
      <c r="A2865" s="114">
        <v>1</v>
      </c>
      <c r="B2865" s="114">
        <v>1363</v>
      </c>
      <c r="C2865" s="139" t="s">
        <v>2393</v>
      </c>
      <c r="D2865" s="114" t="s">
        <v>2090</v>
      </c>
      <c r="E2865" s="114">
        <v>446</v>
      </c>
      <c r="F2865" s="114">
        <v>368</v>
      </c>
      <c r="G2865" s="114">
        <v>1</v>
      </c>
      <c r="H2865" s="114">
        <v>3000</v>
      </c>
      <c r="I2865" s="114">
        <v>3000</v>
      </c>
      <c r="J2865" s="114">
        <v>2521</v>
      </c>
      <c r="K2865" s="114">
        <v>479</v>
      </c>
      <c r="L2865" s="114" t="str">
        <f t="shared" si="44"/>
        <v>INSERT INTO DETALLES_DOCUMENTO(NRO_DOCUMENTO,ID_TIPO,ID_PRODUCTO,CANTIDAD,PRECIO,VALOR_BRUTO,VALOR_NETO,VALOR_IVA) VALUES(1363,1,368,1,3000,3000,2521,479);</v>
      </c>
    </row>
    <row r="2866" spans="1:12">
      <c r="A2866" s="114">
        <v>1</v>
      </c>
      <c r="B2866" s="114">
        <v>1363</v>
      </c>
      <c r="C2866" s="139" t="s">
        <v>2393</v>
      </c>
      <c r="D2866" s="114" t="s">
        <v>2090</v>
      </c>
      <c r="E2866" s="114">
        <v>446</v>
      </c>
      <c r="F2866" s="114">
        <v>69</v>
      </c>
      <c r="G2866" s="114">
        <v>1</v>
      </c>
      <c r="H2866" s="114">
        <v>3000</v>
      </c>
      <c r="I2866" s="114">
        <v>3000</v>
      </c>
      <c r="J2866" s="114">
        <v>2521</v>
      </c>
      <c r="K2866" s="114">
        <v>479</v>
      </c>
      <c r="L2866" s="114" t="str">
        <f t="shared" si="44"/>
        <v>INSERT INTO DETALLES_DOCUMENTO(NRO_DOCUMENTO,ID_TIPO,ID_PRODUCTO,CANTIDAD,PRECIO,VALOR_BRUTO,VALOR_NETO,VALOR_IVA) VALUES(1363,1,69,1,3000,3000,2521,479);</v>
      </c>
    </row>
    <row r="2867" spans="1:12">
      <c r="A2867" s="114">
        <v>1</v>
      </c>
      <c r="B2867" s="114">
        <v>1364</v>
      </c>
      <c r="C2867" s="139" t="s">
        <v>2393</v>
      </c>
      <c r="D2867" s="114" t="s">
        <v>2090</v>
      </c>
      <c r="E2867" s="114">
        <v>474</v>
      </c>
      <c r="F2867" s="114">
        <v>324</v>
      </c>
      <c r="G2867" s="114">
        <v>1</v>
      </c>
      <c r="H2867" s="114">
        <v>11000</v>
      </c>
      <c r="I2867" s="114">
        <v>11000</v>
      </c>
      <c r="J2867" s="114">
        <v>9244</v>
      </c>
      <c r="K2867" s="114">
        <v>1756</v>
      </c>
      <c r="L2867" s="114" t="str">
        <f t="shared" si="44"/>
        <v>INSERT INTO DETALLES_DOCUMENTO(NRO_DOCUMENTO,ID_TIPO,ID_PRODUCTO,CANTIDAD,PRECIO,VALOR_BRUTO,VALOR_NETO,VALOR_IVA) VALUES(1364,1,324,1,11000,11000,9244,1756);</v>
      </c>
    </row>
    <row r="2868" spans="1:12">
      <c r="A2868" s="114">
        <v>1</v>
      </c>
      <c r="B2868" s="114">
        <v>1364</v>
      </c>
      <c r="C2868" s="139" t="s">
        <v>2393</v>
      </c>
      <c r="D2868" s="114" t="s">
        <v>2090</v>
      </c>
      <c r="E2868" s="114">
        <v>474</v>
      </c>
      <c r="F2868" s="114">
        <v>26</v>
      </c>
      <c r="G2868" s="114">
        <v>1</v>
      </c>
      <c r="H2868" s="114">
        <v>3400</v>
      </c>
      <c r="I2868" s="114">
        <v>3400</v>
      </c>
      <c r="J2868" s="114">
        <v>2857</v>
      </c>
      <c r="K2868" s="114">
        <v>543</v>
      </c>
      <c r="L2868" s="114" t="str">
        <f t="shared" si="44"/>
        <v>INSERT INTO DETALLES_DOCUMENTO(NRO_DOCUMENTO,ID_TIPO,ID_PRODUCTO,CANTIDAD,PRECIO,VALOR_BRUTO,VALOR_NETO,VALOR_IVA) VALUES(1364,1,26,1,3400,3400,2857,543);</v>
      </c>
    </row>
    <row r="2869" spans="1:12">
      <c r="A2869" s="114">
        <v>1</v>
      </c>
      <c r="B2869" s="114">
        <v>1365</v>
      </c>
      <c r="C2869" s="139" t="s">
        <v>2394</v>
      </c>
      <c r="D2869" s="114" t="s">
        <v>2090</v>
      </c>
      <c r="E2869" s="114">
        <v>16</v>
      </c>
      <c r="F2869" s="114">
        <v>45</v>
      </c>
      <c r="G2869" s="114">
        <v>1</v>
      </c>
      <c r="H2869" s="114">
        <v>1600</v>
      </c>
      <c r="I2869" s="114">
        <v>1600</v>
      </c>
      <c r="J2869" s="114">
        <v>1345</v>
      </c>
      <c r="K2869" s="114">
        <v>255</v>
      </c>
      <c r="L2869" s="114" t="str">
        <f t="shared" si="44"/>
        <v>INSERT INTO DETALLES_DOCUMENTO(NRO_DOCUMENTO,ID_TIPO,ID_PRODUCTO,CANTIDAD,PRECIO,VALOR_BRUTO,VALOR_NETO,VALOR_IVA) VALUES(1365,1,45,1,1600,1600,1345,255);</v>
      </c>
    </row>
    <row r="2870" spans="1:12">
      <c r="A2870" s="114">
        <v>1</v>
      </c>
      <c r="B2870" s="114">
        <v>1365</v>
      </c>
      <c r="C2870" s="139" t="s">
        <v>2394</v>
      </c>
      <c r="D2870" s="114" t="s">
        <v>2090</v>
      </c>
      <c r="E2870" s="114">
        <v>16</v>
      </c>
      <c r="F2870" s="114">
        <v>230</v>
      </c>
      <c r="G2870" s="114">
        <v>1</v>
      </c>
      <c r="H2870" s="114">
        <v>16500</v>
      </c>
      <c r="I2870" s="114">
        <v>16500</v>
      </c>
      <c r="J2870" s="114">
        <v>13866</v>
      </c>
      <c r="K2870" s="114">
        <v>2634</v>
      </c>
      <c r="L2870" s="114" t="str">
        <f t="shared" si="44"/>
        <v>INSERT INTO DETALLES_DOCUMENTO(NRO_DOCUMENTO,ID_TIPO,ID_PRODUCTO,CANTIDAD,PRECIO,VALOR_BRUTO,VALOR_NETO,VALOR_IVA) VALUES(1365,1,230,1,16500,16500,13866,2634);</v>
      </c>
    </row>
    <row r="2871" spans="1:12">
      <c r="A2871" s="114">
        <v>1</v>
      </c>
      <c r="B2871" s="114">
        <v>1365</v>
      </c>
      <c r="C2871" s="139" t="s">
        <v>2394</v>
      </c>
      <c r="D2871" s="114" t="s">
        <v>2090</v>
      </c>
      <c r="E2871" s="114">
        <v>16</v>
      </c>
      <c r="F2871" s="114">
        <v>226</v>
      </c>
      <c r="G2871" s="114">
        <v>1</v>
      </c>
      <c r="H2871" s="114">
        <v>22500</v>
      </c>
      <c r="I2871" s="114">
        <v>22500</v>
      </c>
      <c r="J2871" s="114">
        <v>18908</v>
      </c>
      <c r="K2871" s="114">
        <v>3592</v>
      </c>
      <c r="L2871" s="114" t="str">
        <f t="shared" si="44"/>
        <v>INSERT INTO DETALLES_DOCUMENTO(NRO_DOCUMENTO,ID_TIPO,ID_PRODUCTO,CANTIDAD,PRECIO,VALOR_BRUTO,VALOR_NETO,VALOR_IVA) VALUES(1365,1,226,1,22500,22500,18908,3592);</v>
      </c>
    </row>
    <row r="2872" spans="1:12">
      <c r="A2872" s="114">
        <v>1</v>
      </c>
      <c r="B2872" s="114">
        <v>1365</v>
      </c>
      <c r="C2872" s="139" t="s">
        <v>2394</v>
      </c>
      <c r="D2872" s="114" t="s">
        <v>2090</v>
      </c>
      <c r="E2872" s="114">
        <v>16</v>
      </c>
      <c r="F2872" s="114">
        <v>264</v>
      </c>
      <c r="G2872" s="114">
        <v>1</v>
      </c>
      <c r="H2872" s="114">
        <v>5000</v>
      </c>
      <c r="I2872" s="114">
        <v>5000</v>
      </c>
      <c r="J2872" s="114">
        <v>4202</v>
      </c>
      <c r="K2872" s="114">
        <v>798</v>
      </c>
      <c r="L2872" s="114" t="str">
        <f t="shared" si="44"/>
        <v>INSERT INTO DETALLES_DOCUMENTO(NRO_DOCUMENTO,ID_TIPO,ID_PRODUCTO,CANTIDAD,PRECIO,VALOR_BRUTO,VALOR_NETO,VALOR_IVA) VALUES(1365,1,264,1,5000,5000,4202,798);</v>
      </c>
    </row>
    <row r="2873" spans="1:12">
      <c r="A2873" s="114">
        <v>1</v>
      </c>
      <c r="B2873" s="114">
        <v>1365</v>
      </c>
      <c r="C2873" s="139" t="s">
        <v>2394</v>
      </c>
      <c r="D2873" s="114" t="s">
        <v>2090</v>
      </c>
      <c r="E2873" s="114">
        <v>16</v>
      </c>
      <c r="F2873" s="114">
        <v>171</v>
      </c>
      <c r="G2873" s="114">
        <v>1</v>
      </c>
      <c r="H2873" s="114">
        <v>3700</v>
      </c>
      <c r="I2873" s="114">
        <v>3700</v>
      </c>
      <c r="J2873" s="114">
        <v>3109</v>
      </c>
      <c r="K2873" s="114">
        <v>591</v>
      </c>
      <c r="L2873" s="114" t="str">
        <f t="shared" si="44"/>
        <v>INSERT INTO DETALLES_DOCUMENTO(NRO_DOCUMENTO,ID_TIPO,ID_PRODUCTO,CANTIDAD,PRECIO,VALOR_BRUTO,VALOR_NETO,VALOR_IVA) VALUES(1365,1,171,1,3700,3700,3109,591);</v>
      </c>
    </row>
    <row r="2874" spans="1:12">
      <c r="A2874" s="114">
        <v>1</v>
      </c>
      <c r="B2874" s="114">
        <v>1365</v>
      </c>
      <c r="C2874" s="139" t="s">
        <v>2394</v>
      </c>
      <c r="D2874" s="114" t="s">
        <v>2090</v>
      </c>
      <c r="E2874" s="114">
        <v>16</v>
      </c>
      <c r="F2874" s="114">
        <v>331</v>
      </c>
      <c r="G2874" s="114">
        <v>1</v>
      </c>
      <c r="H2874" s="114">
        <v>3700</v>
      </c>
      <c r="I2874" s="114">
        <v>3700</v>
      </c>
      <c r="J2874" s="114">
        <v>3109</v>
      </c>
      <c r="K2874" s="114">
        <v>591</v>
      </c>
      <c r="L2874" s="114" t="str">
        <f t="shared" si="44"/>
        <v>INSERT INTO DETALLES_DOCUMENTO(NRO_DOCUMENTO,ID_TIPO,ID_PRODUCTO,CANTIDAD,PRECIO,VALOR_BRUTO,VALOR_NETO,VALOR_IVA) VALUES(1365,1,331,1,3700,3700,3109,591);</v>
      </c>
    </row>
    <row r="2875" spans="1:12">
      <c r="A2875" s="114">
        <v>1</v>
      </c>
      <c r="B2875" s="114">
        <v>1366</v>
      </c>
      <c r="C2875" s="139" t="s">
        <v>2394</v>
      </c>
      <c r="D2875" s="114" t="s">
        <v>2090</v>
      </c>
      <c r="E2875" s="114">
        <v>92</v>
      </c>
      <c r="F2875" s="114">
        <v>124</v>
      </c>
      <c r="G2875" s="114">
        <v>1</v>
      </c>
      <c r="H2875" s="114">
        <v>4000</v>
      </c>
      <c r="I2875" s="114">
        <v>4000</v>
      </c>
      <c r="J2875" s="114">
        <v>3361</v>
      </c>
      <c r="K2875" s="114">
        <v>639</v>
      </c>
      <c r="L2875" s="114" t="str">
        <f t="shared" si="44"/>
        <v>INSERT INTO DETALLES_DOCUMENTO(NRO_DOCUMENTO,ID_TIPO,ID_PRODUCTO,CANTIDAD,PRECIO,VALOR_BRUTO,VALOR_NETO,VALOR_IVA) VALUES(1366,1,124,1,4000,4000,3361,639);</v>
      </c>
    </row>
    <row r="2876" spans="1:12">
      <c r="A2876" s="114">
        <v>1</v>
      </c>
      <c r="B2876" s="114">
        <v>1367</v>
      </c>
      <c r="C2876" s="139" t="s">
        <v>2394</v>
      </c>
      <c r="D2876" s="114" t="s">
        <v>2090</v>
      </c>
      <c r="E2876" s="114">
        <v>114</v>
      </c>
      <c r="F2876" s="114">
        <v>49</v>
      </c>
      <c r="G2876" s="114">
        <v>2</v>
      </c>
      <c r="H2876" s="114">
        <v>8400</v>
      </c>
      <c r="I2876" s="114">
        <v>16800</v>
      </c>
      <c r="J2876" s="114">
        <v>14118</v>
      </c>
      <c r="K2876" s="114">
        <v>2682</v>
      </c>
      <c r="L2876" s="114" t="str">
        <f t="shared" si="44"/>
        <v>INSERT INTO DETALLES_DOCUMENTO(NRO_DOCUMENTO,ID_TIPO,ID_PRODUCTO,CANTIDAD,PRECIO,VALOR_BRUTO,VALOR_NETO,VALOR_IVA) VALUES(1367,1,49,2,8400,16800,14118,2682);</v>
      </c>
    </row>
    <row r="2877" spans="1:12">
      <c r="A2877" s="114">
        <v>1</v>
      </c>
      <c r="B2877" s="114">
        <v>1367</v>
      </c>
      <c r="C2877" s="139" t="s">
        <v>2394</v>
      </c>
      <c r="D2877" s="114" t="s">
        <v>2090</v>
      </c>
      <c r="E2877" s="114">
        <v>114</v>
      </c>
      <c r="F2877" s="114">
        <v>124</v>
      </c>
      <c r="G2877" s="114">
        <v>1</v>
      </c>
      <c r="H2877" s="114">
        <v>4000</v>
      </c>
      <c r="I2877" s="114">
        <v>4000</v>
      </c>
      <c r="J2877" s="114">
        <v>3361</v>
      </c>
      <c r="K2877" s="114">
        <v>639</v>
      </c>
      <c r="L2877" s="114" t="str">
        <f t="shared" si="44"/>
        <v>INSERT INTO DETALLES_DOCUMENTO(NRO_DOCUMENTO,ID_TIPO,ID_PRODUCTO,CANTIDAD,PRECIO,VALOR_BRUTO,VALOR_NETO,VALOR_IVA) VALUES(1367,1,124,1,4000,4000,3361,639);</v>
      </c>
    </row>
    <row r="2878" spans="1:12">
      <c r="A2878" s="114">
        <v>1</v>
      </c>
      <c r="B2878" s="114">
        <v>1367</v>
      </c>
      <c r="C2878" s="139" t="s">
        <v>2394</v>
      </c>
      <c r="D2878" s="114" t="s">
        <v>2090</v>
      </c>
      <c r="E2878" s="114">
        <v>114</v>
      </c>
      <c r="F2878" s="114">
        <v>382</v>
      </c>
      <c r="G2878" s="114">
        <v>1</v>
      </c>
      <c r="H2878" s="114">
        <v>2600</v>
      </c>
      <c r="I2878" s="114">
        <v>2600</v>
      </c>
      <c r="J2878" s="114">
        <v>2185</v>
      </c>
      <c r="K2878" s="114">
        <v>415</v>
      </c>
      <c r="L2878" s="114" t="str">
        <f t="shared" si="44"/>
        <v>INSERT INTO DETALLES_DOCUMENTO(NRO_DOCUMENTO,ID_TIPO,ID_PRODUCTO,CANTIDAD,PRECIO,VALOR_BRUTO,VALOR_NETO,VALOR_IVA) VALUES(1367,1,382,1,2600,2600,2185,415);</v>
      </c>
    </row>
    <row r="2879" spans="1:12">
      <c r="A2879" s="114">
        <v>1</v>
      </c>
      <c r="B2879" s="114">
        <v>1368</v>
      </c>
      <c r="C2879" s="139" t="s">
        <v>2394</v>
      </c>
      <c r="D2879" s="114" t="s">
        <v>2090</v>
      </c>
      <c r="E2879" s="114">
        <v>166</v>
      </c>
      <c r="F2879" s="114">
        <v>324</v>
      </c>
      <c r="G2879" s="114">
        <v>1</v>
      </c>
      <c r="H2879" s="114">
        <v>11000</v>
      </c>
      <c r="I2879" s="114">
        <v>11000</v>
      </c>
      <c r="J2879" s="114">
        <v>9244</v>
      </c>
      <c r="K2879" s="114">
        <v>1756</v>
      </c>
      <c r="L2879" s="114" t="str">
        <f t="shared" si="44"/>
        <v>INSERT INTO DETALLES_DOCUMENTO(NRO_DOCUMENTO,ID_TIPO,ID_PRODUCTO,CANTIDAD,PRECIO,VALOR_BRUTO,VALOR_NETO,VALOR_IVA) VALUES(1368,1,324,1,11000,11000,9244,1756);</v>
      </c>
    </row>
    <row r="2880" spans="1:12">
      <c r="A2880" s="114">
        <v>1</v>
      </c>
      <c r="B2880" s="114">
        <v>1369</v>
      </c>
      <c r="C2880" s="139" t="s">
        <v>2394</v>
      </c>
      <c r="D2880" s="114" t="s">
        <v>2090</v>
      </c>
      <c r="E2880" s="114">
        <v>363</v>
      </c>
      <c r="F2880" s="114">
        <v>143</v>
      </c>
      <c r="G2880" s="114">
        <v>1</v>
      </c>
      <c r="H2880" s="114">
        <v>8000</v>
      </c>
      <c r="I2880" s="114">
        <v>8000</v>
      </c>
      <c r="J2880" s="114">
        <v>6723</v>
      </c>
      <c r="K2880" s="114">
        <v>1277</v>
      </c>
      <c r="L2880" s="114" t="str">
        <f t="shared" si="44"/>
        <v>INSERT INTO DETALLES_DOCUMENTO(NRO_DOCUMENTO,ID_TIPO,ID_PRODUCTO,CANTIDAD,PRECIO,VALOR_BRUTO,VALOR_NETO,VALOR_IVA) VALUES(1369,1,143,1,8000,8000,6723,1277);</v>
      </c>
    </row>
    <row r="2881" spans="1:12">
      <c r="A2881" s="114">
        <v>1</v>
      </c>
      <c r="B2881" s="114">
        <v>1370</v>
      </c>
      <c r="C2881" s="139" t="s">
        <v>2394</v>
      </c>
      <c r="D2881" s="114" t="s">
        <v>2090</v>
      </c>
      <c r="E2881" s="114">
        <v>398</v>
      </c>
      <c r="F2881" s="114">
        <v>122</v>
      </c>
      <c r="G2881" s="114">
        <v>1</v>
      </c>
      <c r="H2881" s="114">
        <v>6000</v>
      </c>
      <c r="I2881" s="114">
        <v>6000</v>
      </c>
      <c r="J2881" s="114">
        <v>5042</v>
      </c>
      <c r="K2881" s="114">
        <v>958</v>
      </c>
      <c r="L2881" s="114" t="str">
        <f t="shared" si="44"/>
        <v>INSERT INTO DETALLES_DOCUMENTO(NRO_DOCUMENTO,ID_TIPO,ID_PRODUCTO,CANTIDAD,PRECIO,VALOR_BRUTO,VALOR_NETO,VALOR_IVA) VALUES(1370,1,122,1,6000,6000,5042,958);</v>
      </c>
    </row>
    <row r="2882" spans="1:12">
      <c r="A2882" s="114">
        <v>1</v>
      </c>
      <c r="B2882" s="114">
        <v>1371</v>
      </c>
      <c r="C2882" s="139" t="s">
        <v>2394</v>
      </c>
      <c r="D2882" s="114" t="s">
        <v>2090</v>
      </c>
      <c r="E2882" s="114">
        <v>470</v>
      </c>
      <c r="F2882" s="114">
        <v>143</v>
      </c>
      <c r="G2882" s="114">
        <v>1</v>
      </c>
      <c r="H2882" s="114">
        <v>8000</v>
      </c>
      <c r="I2882" s="114">
        <v>8000</v>
      </c>
      <c r="J2882" s="114">
        <v>6723</v>
      </c>
      <c r="K2882" s="114">
        <v>1277</v>
      </c>
      <c r="L2882" s="114" t="str">
        <f t="shared" si="44"/>
        <v>INSERT INTO DETALLES_DOCUMENTO(NRO_DOCUMENTO,ID_TIPO,ID_PRODUCTO,CANTIDAD,PRECIO,VALOR_BRUTO,VALOR_NETO,VALOR_IVA) VALUES(1371,1,143,1,8000,8000,6723,1277);</v>
      </c>
    </row>
    <row r="2883" spans="1:12">
      <c r="A2883" s="114">
        <v>1</v>
      </c>
      <c r="B2883" s="114">
        <v>1372</v>
      </c>
      <c r="C2883" s="139" t="s">
        <v>2395</v>
      </c>
      <c r="D2883" s="114" t="s">
        <v>2090</v>
      </c>
      <c r="E2883" s="114">
        <v>15</v>
      </c>
      <c r="F2883" s="114">
        <v>324</v>
      </c>
      <c r="G2883" s="114">
        <v>1</v>
      </c>
      <c r="H2883" s="114">
        <v>11000</v>
      </c>
      <c r="I2883" s="114">
        <v>11000</v>
      </c>
      <c r="J2883" s="114">
        <v>9244</v>
      </c>
      <c r="K2883" s="114">
        <v>1756</v>
      </c>
      <c r="L2883" s="114" t="str">
        <f t="shared" ref="L2883:L2946" si="45">CONCATENATE("INSERT INTO DETALLES_DOCUMENTO(NRO_DOCUMENTO,ID_TIPO,ID_PRODUCTO,CANTIDAD,PRECIO,VALOR_BRUTO,VALOR_NETO,VALOR_IVA) VALUES(",B2883,",",A2883,",",F2883,",",G2883,",",H2883,",",I2883,",",J2883,",",K2883,");")</f>
        <v>INSERT INTO DETALLES_DOCUMENTO(NRO_DOCUMENTO,ID_TIPO,ID_PRODUCTO,CANTIDAD,PRECIO,VALOR_BRUTO,VALOR_NETO,VALOR_IVA) VALUES(1372,1,324,1,11000,11000,9244,1756);</v>
      </c>
    </row>
    <row r="2884" spans="1:12">
      <c r="A2884" s="114">
        <v>1</v>
      </c>
      <c r="B2884" s="114">
        <v>1373</v>
      </c>
      <c r="C2884" s="139" t="s">
        <v>2395</v>
      </c>
      <c r="D2884" s="114" t="s">
        <v>2090</v>
      </c>
      <c r="E2884" s="114">
        <v>98</v>
      </c>
      <c r="F2884" s="114">
        <v>324</v>
      </c>
      <c r="G2884" s="114">
        <v>1</v>
      </c>
      <c r="H2884" s="114">
        <v>11000</v>
      </c>
      <c r="I2884" s="114">
        <v>11000</v>
      </c>
      <c r="J2884" s="114">
        <v>9244</v>
      </c>
      <c r="K2884" s="114">
        <v>1756</v>
      </c>
      <c r="L2884" s="114" t="str">
        <f t="shared" si="45"/>
        <v>INSERT INTO DETALLES_DOCUMENTO(NRO_DOCUMENTO,ID_TIPO,ID_PRODUCTO,CANTIDAD,PRECIO,VALOR_BRUTO,VALOR_NETO,VALOR_IVA) VALUES(1373,1,324,1,11000,11000,9244,1756);</v>
      </c>
    </row>
    <row r="2885" spans="1:12">
      <c r="A2885" s="114">
        <v>1</v>
      </c>
      <c r="B2885" s="114">
        <v>1374</v>
      </c>
      <c r="C2885" s="139" t="s">
        <v>2395</v>
      </c>
      <c r="D2885" s="114" t="s">
        <v>2090</v>
      </c>
      <c r="E2885" s="114">
        <v>466</v>
      </c>
      <c r="F2885" s="114">
        <v>324</v>
      </c>
      <c r="G2885" s="114">
        <v>1</v>
      </c>
      <c r="H2885" s="114">
        <v>11000</v>
      </c>
      <c r="I2885" s="114">
        <v>11000</v>
      </c>
      <c r="J2885" s="114">
        <v>9244</v>
      </c>
      <c r="K2885" s="114">
        <v>1756</v>
      </c>
      <c r="L2885" s="114" t="str">
        <f t="shared" si="45"/>
        <v>INSERT INTO DETALLES_DOCUMENTO(NRO_DOCUMENTO,ID_TIPO,ID_PRODUCTO,CANTIDAD,PRECIO,VALOR_BRUTO,VALOR_NETO,VALOR_IVA) VALUES(1374,1,324,1,11000,11000,9244,1756);</v>
      </c>
    </row>
    <row r="2886" spans="1:12">
      <c r="A2886" s="114">
        <v>1</v>
      </c>
      <c r="B2886" s="114">
        <v>1374</v>
      </c>
      <c r="C2886" s="139" t="s">
        <v>2395</v>
      </c>
      <c r="D2886" s="114" t="s">
        <v>2090</v>
      </c>
      <c r="E2886" s="114">
        <v>466</v>
      </c>
      <c r="F2886" s="114">
        <v>152</v>
      </c>
      <c r="G2886" s="114">
        <v>1</v>
      </c>
      <c r="H2886" s="114">
        <v>4200</v>
      </c>
      <c r="I2886" s="114">
        <v>4200</v>
      </c>
      <c r="J2886" s="114">
        <v>3529</v>
      </c>
      <c r="K2886" s="114">
        <v>671</v>
      </c>
      <c r="L2886" s="114" t="str">
        <f t="shared" si="45"/>
        <v>INSERT INTO DETALLES_DOCUMENTO(NRO_DOCUMENTO,ID_TIPO,ID_PRODUCTO,CANTIDAD,PRECIO,VALOR_BRUTO,VALOR_NETO,VALOR_IVA) VALUES(1374,1,152,1,4200,4200,3529,671);</v>
      </c>
    </row>
    <row r="2887" spans="1:12">
      <c r="A2887" s="114">
        <v>1</v>
      </c>
      <c r="B2887" s="114">
        <v>1374</v>
      </c>
      <c r="C2887" s="139" t="s">
        <v>2395</v>
      </c>
      <c r="D2887" s="114" t="s">
        <v>2090</v>
      </c>
      <c r="E2887" s="114">
        <v>466</v>
      </c>
      <c r="F2887" s="114">
        <v>290</v>
      </c>
      <c r="G2887" s="114">
        <v>1</v>
      </c>
      <c r="H2887" s="114">
        <v>1200</v>
      </c>
      <c r="I2887" s="114">
        <v>1200</v>
      </c>
      <c r="J2887" s="114">
        <v>1008</v>
      </c>
      <c r="K2887" s="114">
        <v>192</v>
      </c>
      <c r="L2887" s="114" t="str">
        <f t="shared" si="45"/>
        <v>INSERT INTO DETALLES_DOCUMENTO(NRO_DOCUMENTO,ID_TIPO,ID_PRODUCTO,CANTIDAD,PRECIO,VALOR_BRUTO,VALOR_NETO,VALOR_IVA) VALUES(1374,1,290,1,1200,1200,1008,192);</v>
      </c>
    </row>
    <row r="2888" spans="1:12">
      <c r="A2888" s="114">
        <v>1</v>
      </c>
      <c r="B2888" s="114">
        <v>1374</v>
      </c>
      <c r="C2888" s="139" t="s">
        <v>2395</v>
      </c>
      <c r="D2888" s="114" t="s">
        <v>2090</v>
      </c>
      <c r="E2888" s="114">
        <v>466</v>
      </c>
      <c r="F2888" s="114">
        <v>382</v>
      </c>
      <c r="G2888" s="114">
        <v>1</v>
      </c>
      <c r="H2888" s="114">
        <v>2600</v>
      </c>
      <c r="I2888" s="114">
        <v>2600</v>
      </c>
      <c r="J2888" s="114">
        <v>2185</v>
      </c>
      <c r="K2888" s="114">
        <v>415</v>
      </c>
      <c r="L2888" s="114" t="str">
        <f t="shared" si="45"/>
        <v>INSERT INTO DETALLES_DOCUMENTO(NRO_DOCUMENTO,ID_TIPO,ID_PRODUCTO,CANTIDAD,PRECIO,VALOR_BRUTO,VALOR_NETO,VALOR_IVA) VALUES(1374,1,382,1,2600,2600,2185,415);</v>
      </c>
    </row>
    <row r="2889" spans="1:12">
      <c r="A2889" s="114">
        <v>1</v>
      </c>
      <c r="B2889" s="114">
        <v>1374</v>
      </c>
      <c r="C2889" s="139" t="s">
        <v>2395</v>
      </c>
      <c r="D2889" s="114" t="s">
        <v>2090</v>
      </c>
      <c r="E2889" s="114">
        <v>466</v>
      </c>
      <c r="F2889" s="114">
        <v>164</v>
      </c>
      <c r="G2889" s="114">
        <v>1</v>
      </c>
      <c r="H2889" s="114">
        <v>3200</v>
      </c>
      <c r="I2889" s="114">
        <v>3200</v>
      </c>
      <c r="J2889" s="114">
        <v>2689</v>
      </c>
      <c r="K2889" s="114">
        <v>511</v>
      </c>
      <c r="L2889" s="114" t="str">
        <f t="shared" si="45"/>
        <v>INSERT INTO DETALLES_DOCUMENTO(NRO_DOCUMENTO,ID_TIPO,ID_PRODUCTO,CANTIDAD,PRECIO,VALOR_BRUTO,VALOR_NETO,VALOR_IVA) VALUES(1374,1,164,1,3200,3200,2689,511);</v>
      </c>
    </row>
    <row r="2890" spans="1:12">
      <c r="A2890" s="114">
        <v>1</v>
      </c>
      <c r="B2890" s="114">
        <v>1375</v>
      </c>
      <c r="C2890" s="139" t="s">
        <v>2395</v>
      </c>
      <c r="D2890" s="114" t="s">
        <v>2090</v>
      </c>
      <c r="E2890" s="114">
        <v>470</v>
      </c>
      <c r="F2890" s="114">
        <v>143</v>
      </c>
      <c r="G2890" s="114">
        <v>2</v>
      </c>
      <c r="H2890" s="114">
        <v>16000</v>
      </c>
      <c r="I2890" s="114">
        <v>32000</v>
      </c>
      <c r="J2890" s="114">
        <v>26891</v>
      </c>
      <c r="K2890" s="114">
        <v>5109</v>
      </c>
      <c r="L2890" s="114" t="str">
        <f t="shared" si="45"/>
        <v>INSERT INTO DETALLES_DOCUMENTO(NRO_DOCUMENTO,ID_TIPO,ID_PRODUCTO,CANTIDAD,PRECIO,VALOR_BRUTO,VALOR_NETO,VALOR_IVA) VALUES(1375,1,143,2,16000,32000,26891,5109);</v>
      </c>
    </row>
    <row r="2891" spans="1:12">
      <c r="A2891" s="114">
        <v>1</v>
      </c>
      <c r="B2891" s="114">
        <v>1376</v>
      </c>
      <c r="C2891" s="139" t="s">
        <v>2395</v>
      </c>
      <c r="D2891" s="114" t="s">
        <v>2090</v>
      </c>
      <c r="E2891" s="114">
        <v>471</v>
      </c>
      <c r="F2891" s="114">
        <v>143</v>
      </c>
      <c r="G2891" s="114">
        <v>1</v>
      </c>
      <c r="H2891" s="114">
        <v>8000</v>
      </c>
      <c r="I2891" s="114">
        <v>8000</v>
      </c>
      <c r="J2891" s="114">
        <v>6723</v>
      </c>
      <c r="K2891" s="114">
        <v>1277</v>
      </c>
      <c r="L2891" s="114" t="str">
        <f t="shared" si="45"/>
        <v>INSERT INTO DETALLES_DOCUMENTO(NRO_DOCUMENTO,ID_TIPO,ID_PRODUCTO,CANTIDAD,PRECIO,VALOR_BRUTO,VALOR_NETO,VALOR_IVA) VALUES(1376,1,143,1,8000,8000,6723,1277);</v>
      </c>
    </row>
    <row r="2892" spans="1:12">
      <c r="A2892" s="114">
        <v>1</v>
      </c>
      <c r="B2892" s="114">
        <v>1377</v>
      </c>
      <c r="C2892" s="139" t="s">
        <v>2396</v>
      </c>
      <c r="D2892" s="114" t="s">
        <v>2090</v>
      </c>
      <c r="E2892" s="114">
        <v>56</v>
      </c>
      <c r="F2892" s="114">
        <v>322</v>
      </c>
      <c r="G2892" s="114">
        <v>1</v>
      </c>
      <c r="H2892" s="114">
        <v>9000</v>
      </c>
      <c r="I2892" s="114">
        <v>9000</v>
      </c>
      <c r="J2892" s="114">
        <v>7563</v>
      </c>
      <c r="K2892" s="114">
        <v>1437</v>
      </c>
      <c r="L2892" s="114" t="str">
        <f t="shared" si="45"/>
        <v>INSERT INTO DETALLES_DOCUMENTO(NRO_DOCUMENTO,ID_TIPO,ID_PRODUCTO,CANTIDAD,PRECIO,VALOR_BRUTO,VALOR_NETO,VALOR_IVA) VALUES(1377,1,322,1,9000,9000,7563,1437);</v>
      </c>
    </row>
    <row r="2893" spans="1:12">
      <c r="A2893" s="114">
        <v>1</v>
      </c>
      <c r="B2893" s="114">
        <v>1377</v>
      </c>
      <c r="C2893" s="139" t="s">
        <v>2396</v>
      </c>
      <c r="D2893" s="114" t="s">
        <v>2090</v>
      </c>
      <c r="E2893" s="114">
        <v>56</v>
      </c>
      <c r="F2893" s="114">
        <v>143</v>
      </c>
      <c r="G2893" s="114">
        <v>1</v>
      </c>
      <c r="H2893" s="114">
        <v>8000</v>
      </c>
      <c r="I2893" s="114">
        <v>8000</v>
      </c>
      <c r="J2893" s="114">
        <v>6723</v>
      </c>
      <c r="K2893" s="114">
        <v>1277</v>
      </c>
      <c r="L2893" s="114" t="str">
        <f t="shared" si="45"/>
        <v>INSERT INTO DETALLES_DOCUMENTO(NRO_DOCUMENTO,ID_TIPO,ID_PRODUCTO,CANTIDAD,PRECIO,VALOR_BRUTO,VALOR_NETO,VALOR_IVA) VALUES(1377,1,143,1,8000,8000,6723,1277);</v>
      </c>
    </row>
    <row r="2894" spans="1:12">
      <c r="A2894" s="114">
        <v>1</v>
      </c>
      <c r="B2894" s="114">
        <v>1378</v>
      </c>
      <c r="C2894" s="139" t="s">
        <v>2396</v>
      </c>
      <c r="D2894" s="114" t="s">
        <v>2090</v>
      </c>
      <c r="E2894" s="114">
        <v>166</v>
      </c>
      <c r="F2894" s="114">
        <v>143</v>
      </c>
      <c r="G2894" s="114">
        <v>1</v>
      </c>
      <c r="H2894" s="114">
        <v>8000</v>
      </c>
      <c r="I2894" s="114">
        <v>8000</v>
      </c>
      <c r="J2894" s="114">
        <v>6723</v>
      </c>
      <c r="K2894" s="114">
        <v>1277</v>
      </c>
      <c r="L2894" s="114" t="str">
        <f t="shared" si="45"/>
        <v>INSERT INTO DETALLES_DOCUMENTO(NRO_DOCUMENTO,ID_TIPO,ID_PRODUCTO,CANTIDAD,PRECIO,VALOR_BRUTO,VALOR_NETO,VALOR_IVA) VALUES(1378,1,143,1,8000,8000,6723,1277);</v>
      </c>
    </row>
    <row r="2895" spans="1:12">
      <c r="A2895" s="114">
        <v>1</v>
      </c>
      <c r="B2895" s="114">
        <v>1379</v>
      </c>
      <c r="C2895" s="139" t="s">
        <v>2397</v>
      </c>
      <c r="D2895" s="114" t="s">
        <v>2090</v>
      </c>
      <c r="E2895" s="114">
        <v>63</v>
      </c>
      <c r="F2895" s="114">
        <v>143</v>
      </c>
      <c r="G2895" s="114">
        <v>1</v>
      </c>
      <c r="H2895" s="114">
        <v>8000</v>
      </c>
      <c r="I2895" s="114">
        <v>8000</v>
      </c>
      <c r="J2895" s="114">
        <v>6723</v>
      </c>
      <c r="K2895" s="114">
        <v>1277</v>
      </c>
      <c r="L2895" s="114" t="str">
        <f t="shared" si="45"/>
        <v>INSERT INTO DETALLES_DOCUMENTO(NRO_DOCUMENTO,ID_TIPO,ID_PRODUCTO,CANTIDAD,PRECIO,VALOR_BRUTO,VALOR_NETO,VALOR_IVA) VALUES(1379,1,143,1,8000,8000,6723,1277);</v>
      </c>
    </row>
    <row r="2896" spans="1:12">
      <c r="A2896" s="114">
        <v>1</v>
      </c>
      <c r="B2896" s="114">
        <v>1380</v>
      </c>
      <c r="C2896" s="139" t="s">
        <v>2397</v>
      </c>
      <c r="D2896" s="114" t="s">
        <v>2090</v>
      </c>
      <c r="E2896" s="114">
        <v>119</v>
      </c>
      <c r="F2896" s="114">
        <v>143</v>
      </c>
      <c r="G2896" s="114">
        <v>1</v>
      </c>
      <c r="H2896" s="114">
        <v>8000</v>
      </c>
      <c r="I2896" s="114">
        <v>8000</v>
      </c>
      <c r="J2896" s="114">
        <v>6723</v>
      </c>
      <c r="K2896" s="114">
        <v>1277</v>
      </c>
      <c r="L2896" s="114" t="str">
        <f t="shared" si="45"/>
        <v>INSERT INTO DETALLES_DOCUMENTO(NRO_DOCUMENTO,ID_TIPO,ID_PRODUCTO,CANTIDAD,PRECIO,VALOR_BRUTO,VALOR_NETO,VALOR_IVA) VALUES(1380,1,143,1,8000,8000,6723,1277);</v>
      </c>
    </row>
    <row r="2897" spans="1:12">
      <c r="A2897" s="114">
        <v>1</v>
      </c>
      <c r="B2897" s="114">
        <v>1380</v>
      </c>
      <c r="C2897" s="139" t="s">
        <v>2397</v>
      </c>
      <c r="D2897" s="114" t="s">
        <v>2090</v>
      </c>
      <c r="E2897" s="114">
        <v>119</v>
      </c>
      <c r="F2897" s="114">
        <v>21</v>
      </c>
      <c r="G2897" s="114">
        <v>1</v>
      </c>
      <c r="H2897" s="114">
        <v>3200</v>
      </c>
      <c r="I2897" s="114">
        <v>3200</v>
      </c>
      <c r="J2897" s="114">
        <v>2689</v>
      </c>
      <c r="K2897" s="114">
        <v>511</v>
      </c>
      <c r="L2897" s="114" t="str">
        <f t="shared" si="45"/>
        <v>INSERT INTO DETALLES_DOCUMENTO(NRO_DOCUMENTO,ID_TIPO,ID_PRODUCTO,CANTIDAD,PRECIO,VALOR_BRUTO,VALOR_NETO,VALOR_IVA) VALUES(1380,1,21,1,3200,3200,2689,511);</v>
      </c>
    </row>
    <row r="2898" spans="1:12">
      <c r="A2898" s="114">
        <v>1</v>
      </c>
      <c r="B2898" s="114">
        <v>1380</v>
      </c>
      <c r="C2898" s="139" t="s">
        <v>2397</v>
      </c>
      <c r="D2898" s="114" t="s">
        <v>2090</v>
      </c>
      <c r="E2898" s="114">
        <v>119</v>
      </c>
      <c r="F2898" s="114">
        <v>12</v>
      </c>
      <c r="G2898" s="114">
        <v>1</v>
      </c>
      <c r="H2898" s="114">
        <v>700</v>
      </c>
      <c r="I2898" s="114">
        <v>700</v>
      </c>
      <c r="J2898" s="114">
        <v>588</v>
      </c>
      <c r="K2898" s="114">
        <v>112</v>
      </c>
      <c r="L2898" s="114" t="str">
        <f t="shared" si="45"/>
        <v>INSERT INTO DETALLES_DOCUMENTO(NRO_DOCUMENTO,ID_TIPO,ID_PRODUCTO,CANTIDAD,PRECIO,VALOR_BRUTO,VALOR_NETO,VALOR_IVA) VALUES(1380,1,12,1,700,700,588,112);</v>
      </c>
    </row>
    <row r="2899" spans="1:12">
      <c r="A2899" s="114">
        <v>1</v>
      </c>
      <c r="B2899" s="114">
        <v>1380</v>
      </c>
      <c r="C2899" s="139" t="s">
        <v>2397</v>
      </c>
      <c r="D2899" s="114" t="s">
        <v>2090</v>
      </c>
      <c r="E2899" s="114">
        <v>119</v>
      </c>
      <c r="F2899" s="114">
        <v>13</v>
      </c>
      <c r="G2899" s="114">
        <v>1</v>
      </c>
      <c r="H2899" s="114">
        <v>700</v>
      </c>
      <c r="I2899" s="114">
        <v>700</v>
      </c>
      <c r="J2899" s="114">
        <v>588</v>
      </c>
      <c r="K2899" s="114">
        <v>112</v>
      </c>
      <c r="L2899" s="114" t="str">
        <f t="shared" si="45"/>
        <v>INSERT INTO DETALLES_DOCUMENTO(NRO_DOCUMENTO,ID_TIPO,ID_PRODUCTO,CANTIDAD,PRECIO,VALOR_BRUTO,VALOR_NETO,VALOR_IVA) VALUES(1380,1,13,1,700,700,588,112);</v>
      </c>
    </row>
    <row r="2900" spans="1:12">
      <c r="A2900" s="114">
        <v>1</v>
      </c>
      <c r="B2900" s="114">
        <v>1380</v>
      </c>
      <c r="C2900" s="139" t="s">
        <v>2397</v>
      </c>
      <c r="D2900" s="114" t="s">
        <v>2090</v>
      </c>
      <c r="E2900" s="114">
        <v>119</v>
      </c>
      <c r="F2900" s="114">
        <v>69</v>
      </c>
      <c r="G2900" s="114">
        <v>1</v>
      </c>
      <c r="H2900" s="114">
        <v>3000</v>
      </c>
      <c r="I2900" s="114">
        <v>3000</v>
      </c>
      <c r="J2900" s="114">
        <v>2521</v>
      </c>
      <c r="K2900" s="114">
        <v>479</v>
      </c>
      <c r="L2900" s="114" t="str">
        <f t="shared" si="45"/>
        <v>INSERT INTO DETALLES_DOCUMENTO(NRO_DOCUMENTO,ID_TIPO,ID_PRODUCTO,CANTIDAD,PRECIO,VALOR_BRUTO,VALOR_NETO,VALOR_IVA) VALUES(1380,1,69,1,3000,3000,2521,479);</v>
      </c>
    </row>
    <row r="2901" spans="1:12">
      <c r="A2901" s="114">
        <v>1</v>
      </c>
      <c r="B2901" s="114">
        <v>1380</v>
      </c>
      <c r="C2901" s="139" t="s">
        <v>2397</v>
      </c>
      <c r="D2901" s="114" t="s">
        <v>2090</v>
      </c>
      <c r="E2901" s="114">
        <v>119</v>
      </c>
      <c r="F2901" s="114">
        <v>29</v>
      </c>
      <c r="G2901" s="114">
        <v>1</v>
      </c>
      <c r="H2901" s="114">
        <v>1000</v>
      </c>
      <c r="I2901" s="114">
        <v>1000</v>
      </c>
      <c r="J2901" s="114">
        <v>840</v>
      </c>
      <c r="K2901" s="114">
        <v>160</v>
      </c>
      <c r="L2901" s="114" t="str">
        <f t="shared" si="45"/>
        <v>INSERT INTO DETALLES_DOCUMENTO(NRO_DOCUMENTO,ID_TIPO,ID_PRODUCTO,CANTIDAD,PRECIO,VALOR_BRUTO,VALOR_NETO,VALOR_IVA) VALUES(1380,1,29,1,1000,1000,840,160);</v>
      </c>
    </row>
    <row r="2902" spans="1:12">
      <c r="A2902" s="114">
        <v>1</v>
      </c>
      <c r="B2902" s="114">
        <v>1380</v>
      </c>
      <c r="C2902" s="139" t="s">
        <v>2397</v>
      </c>
      <c r="D2902" s="114" t="s">
        <v>2090</v>
      </c>
      <c r="E2902" s="114">
        <v>119</v>
      </c>
      <c r="F2902" s="114">
        <v>286</v>
      </c>
      <c r="G2902" s="114">
        <v>1</v>
      </c>
      <c r="H2902" s="114">
        <v>1100</v>
      </c>
      <c r="I2902" s="114">
        <v>1100</v>
      </c>
      <c r="J2902" s="114">
        <v>924</v>
      </c>
      <c r="K2902" s="114">
        <v>176</v>
      </c>
      <c r="L2902" s="114" t="str">
        <f t="shared" si="45"/>
        <v>INSERT INTO DETALLES_DOCUMENTO(NRO_DOCUMENTO,ID_TIPO,ID_PRODUCTO,CANTIDAD,PRECIO,VALOR_BRUTO,VALOR_NETO,VALOR_IVA) VALUES(1380,1,286,1,1100,1100,924,176);</v>
      </c>
    </row>
    <row r="2903" spans="1:12">
      <c r="A2903" s="114">
        <v>1</v>
      </c>
      <c r="B2903" s="114">
        <v>1380</v>
      </c>
      <c r="C2903" s="139" t="s">
        <v>2397</v>
      </c>
      <c r="D2903" s="114" t="s">
        <v>2090</v>
      </c>
      <c r="E2903" s="114">
        <v>119</v>
      </c>
      <c r="F2903" s="114">
        <v>155</v>
      </c>
      <c r="G2903" s="114">
        <v>1</v>
      </c>
      <c r="H2903" s="114">
        <v>1650</v>
      </c>
      <c r="I2903" s="114">
        <v>1650</v>
      </c>
      <c r="J2903" s="114">
        <v>1387</v>
      </c>
      <c r="K2903" s="114">
        <v>263</v>
      </c>
      <c r="L2903" s="114" t="str">
        <f t="shared" si="45"/>
        <v>INSERT INTO DETALLES_DOCUMENTO(NRO_DOCUMENTO,ID_TIPO,ID_PRODUCTO,CANTIDAD,PRECIO,VALOR_BRUTO,VALOR_NETO,VALOR_IVA) VALUES(1380,1,155,1,1650,1650,1387,263);</v>
      </c>
    </row>
    <row r="2904" spans="1:12">
      <c r="A2904" s="114">
        <v>1</v>
      </c>
      <c r="B2904" s="114">
        <v>1380</v>
      </c>
      <c r="C2904" s="139" t="s">
        <v>2397</v>
      </c>
      <c r="D2904" s="114" t="s">
        <v>2090</v>
      </c>
      <c r="E2904" s="114">
        <v>119</v>
      </c>
      <c r="F2904" s="114">
        <v>230</v>
      </c>
      <c r="G2904" s="114">
        <v>1</v>
      </c>
      <c r="H2904" s="114">
        <v>16500</v>
      </c>
      <c r="I2904" s="114">
        <v>16500</v>
      </c>
      <c r="J2904" s="114">
        <v>13866</v>
      </c>
      <c r="K2904" s="114">
        <v>2634</v>
      </c>
      <c r="L2904" s="114" t="str">
        <f t="shared" si="45"/>
        <v>INSERT INTO DETALLES_DOCUMENTO(NRO_DOCUMENTO,ID_TIPO,ID_PRODUCTO,CANTIDAD,PRECIO,VALOR_BRUTO,VALOR_NETO,VALOR_IVA) VALUES(1380,1,230,1,16500,16500,13866,2634);</v>
      </c>
    </row>
    <row r="2905" spans="1:12">
      <c r="A2905" s="114">
        <v>1</v>
      </c>
      <c r="B2905" s="114">
        <v>1380</v>
      </c>
      <c r="C2905" s="139" t="s">
        <v>2397</v>
      </c>
      <c r="D2905" s="114" t="s">
        <v>2090</v>
      </c>
      <c r="E2905" s="114">
        <v>119</v>
      </c>
      <c r="F2905" s="114">
        <v>229</v>
      </c>
      <c r="G2905" s="114">
        <v>1</v>
      </c>
      <c r="H2905" s="114">
        <v>18500</v>
      </c>
      <c r="I2905" s="114">
        <v>18500</v>
      </c>
      <c r="J2905" s="114">
        <v>15546</v>
      </c>
      <c r="K2905" s="114">
        <v>2954</v>
      </c>
      <c r="L2905" s="114" t="str">
        <f t="shared" si="45"/>
        <v>INSERT INTO DETALLES_DOCUMENTO(NRO_DOCUMENTO,ID_TIPO,ID_PRODUCTO,CANTIDAD,PRECIO,VALOR_BRUTO,VALOR_NETO,VALOR_IVA) VALUES(1380,1,229,1,18500,18500,15546,2954);</v>
      </c>
    </row>
    <row r="2906" spans="1:12">
      <c r="A2906" s="114">
        <v>1</v>
      </c>
      <c r="B2906" s="114">
        <v>1381</v>
      </c>
      <c r="C2906" s="139" t="s">
        <v>2397</v>
      </c>
      <c r="D2906" s="114" t="s">
        <v>2090</v>
      </c>
      <c r="E2906" s="114">
        <v>122</v>
      </c>
      <c r="F2906" s="114">
        <v>118</v>
      </c>
      <c r="G2906" s="114">
        <v>1</v>
      </c>
      <c r="H2906" s="114">
        <v>3500</v>
      </c>
      <c r="I2906" s="114">
        <v>3500</v>
      </c>
      <c r="J2906" s="114">
        <v>2941</v>
      </c>
      <c r="K2906" s="114">
        <v>559</v>
      </c>
      <c r="L2906" s="114" t="str">
        <f t="shared" si="45"/>
        <v>INSERT INTO DETALLES_DOCUMENTO(NRO_DOCUMENTO,ID_TIPO,ID_PRODUCTO,CANTIDAD,PRECIO,VALOR_BRUTO,VALOR_NETO,VALOR_IVA) VALUES(1381,1,118,1,3500,3500,2941,559);</v>
      </c>
    </row>
    <row r="2907" spans="1:12">
      <c r="A2907" s="114">
        <v>1</v>
      </c>
      <c r="B2907" s="114">
        <v>1382</v>
      </c>
      <c r="C2907" s="139" t="s">
        <v>2397</v>
      </c>
      <c r="D2907" s="114" t="s">
        <v>2090</v>
      </c>
      <c r="E2907" s="114">
        <v>155</v>
      </c>
      <c r="F2907" s="114">
        <v>143</v>
      </c>
      <c r="G2907" s="114">
        <v>2</v>
      </c>
      <c r="H2907" s="114">
        <v>16000</v>
      </c>
      <c r="I2907" s="114">
        <v>32000</v>
      </c>
      <c r="J2907" s="114">
        <v>26891</v>
      </c>
      <c r="K2907" s="114">
        <v>5109</v>
      </c>
      <c r="L2907" s="114" t="str">
        <f t="shared" si="45"/>
        <v>INSERT INTO DETALLES_DOCUMENTO(NRO_DOCUMENTO,ID_TIPO,ID_PRODUCTO,CANTIDAD,PRECIO,VALOR_BRUTO,VALOR_NETO,VALOR_IVA) VALUES(1382,1,143,2,16000,32000,26891,5109);</v>
      </c>
    </row>
    <row r="2908" spans="1:12">
      <c r="A2908" s="114">
        <v>1</v>
      </c>
      <c r="B2908" s="114">
        <v>1383</v>
      </c>
      <c r="C2908" s="139" t="s">
        <v>2397</v>
      </c>
      <c r="D2908" s="114" t="s">
        <v>2090</v>
      </c>
      <c r="E2908" s="114">
        <v>229</v>
      </c>
      <c r="F2908" s="114">
        <v>143</v>
      </c>
      <c r="G2908" s="114">
        <v>2</v>
      </c>
      <c r="H2908" s="114">
        <v>16000</v>
      </c>
      <c r="I2908" s="114">
        <v>32000</v>
      </c>
      <c r="J2908" s="114">
        <v>26891</v>
      </c>
      <c r="K2908" s="114">
        <v>5109</v>
      </c>
      <c r="L2908" s="114" t="str">
        <f t="shared" si="45"/>
        <v>INSERT INTO DETALLES_DOCUMENTO(NRO_DOCUMENTO,ID_TIPO,ID_PRODUCTO,CANTIDAD,PRECIO,VALOR_BRUTO,VALOR_NETO,VALOR_IVA) VALUES(1383,1,143,2,16000,32000,26891,5109);</v>
      </c>
    </row>
    <row r="2909" spans="1:12">
      <c r="A2909" s="114">
        <v>1</v>
      </c>
      <c r="B2909" s="114">
        <v>1384</v>
      </c>
      <c r="C2909" s="139" t="s">
        <v>2397</v>
      </c>
      <c r="D2909" s="114" t="s">
        <v>2090</v>
      </c>
      <c r="E2909" s="114">
        <v>300</v>
      </c>
      <c r="F2909" s="114">
        <v>143</v>
      </c>
      <c r="G2909" s="114">
        <v>1</v>
      </c>
      <c r="H2909" s="114">
        <v>8000</v>
      </c>
      <c r="I2909" s="114">
        <v>8000</v>
      </c>
      <c r="J2909" s="114">
        <v>6723</v>
      </c>
      <c r="K2909" s="114">
        <v>1277</v>
      </c>
      <c r="L2909" s="114" t="str">
        <f t="shared" si="45"/>
        <v>INSERT INTO DETALLES_DOCUMENTO(NRO_DOCUMENTO,ID_TIPO,ID_PRODUCTO,CANTIDAD,PRECIO,VALOR_BRUTO,VALOR_NETO,VALOR_IVA) VALUES(1384,1,143,1,8000,8000,6723,1277);</v>
      </c>
    </row>
    <row r="2910" spans="1:12">
      <c r="A2910" s="114">
        <v>1</v>
      </c>
      <c r="B2910" s="114">
        <v>1384</v>
      </c>
      <c r="C2910" s="139" t="s">
        <v>2397</v>
      </c>
      <c r="D2910" s="114" t="s">
        <v>2090</v>
      </c>
      <c r="E2910" s="114">
        <v>300</v>
      </c>
      <c r="F2910" s="114">
        <v>354</v>
      </c>
      <c r="G2910" s="114">
        <v>1</v>
      </c>
      <c r="H2910" s="114">
        <v>1800</v>
      </c>
      <c r="I2910" s="114">
        <v>1800</v>
      </c>
      <c r="J2910" s="114">
        <v>1513</v>
      </c>
      <c r="K2910" s="114">
        <v>287</v>
      </c>
      <c r="L2910" s="114" t="str">
        <f t="shared" si="45"/>
        <v>INSERT INTO DETALLES_DOCUMENTO(NRO_DOCUMENTO,ID_TIPO,ID_PRODUCTO,CANTIDAD,PRECIO,VALOR_BRUTO,VALOR_NETO,VALOR_IVA) VALUES(1384,1,354,1,1800,1800,1513,287);</v>
      </c>
    </row>
    <row r="2911" spans="1:12">
      <c r="A2911" s="114">
        <v>1</v>
      </c>
      <c r="B2911" s="114">
        <v>1384</v>
      </c>
      <c r="C2911" s="139" t="s">
        <v>2397</v>
      </c>
      <c r="D2911" s="114" t="s">
        <v>2090</v>
      </c>
      <c r="E2911" s="114">
        <v>300</v>
      </c>
      <c r="F2911" s="114">
        <v>293</v>
      </c>
      <c r="G2911" s="114">
        <v>1</v>
      </c>
      <c r="H2911" s="114">
        <v>10000</v>
      </c>
      <c r="I2911" s="114">
        <v>10000</v>
      </c>
      <c r="J2911" s="114">
        <v>8403</v>
      </c>
      <c r="K2911" s="114">
        <v>1597</v>
      </c>
      <c r="L2911" s="114" t="str">
        <f t="shared" si="45"/>
        <v>INSERT INTO DETALLES_DOCUMENTO(NRO_DOCUMENTO,ID_TIPO,ID_PRODUCTO,CANTIDAD,PRECIO,VALOR_BRUTO,VALOR_NETO,VALOR_IVA) VALUES(1384,1,293,1,10000,10000,8403,1597);</v>
      </c>
    </row>
    <row r="2912" spans="1:12">
      <c r="A2912" s="114">
        <v>1</v>
      </c>
      <c r="B2912" s="114">
        <v>1384</v>
      </c>
      <c r="C2912" s="139" t="s">
        <v>2397</v>
      </c>
      <c r="D2912" s="114" t="s">
        <v>2090</v>
      </c>
      <c r="E2912" s="114">
        <v>300</v>
      </c>
      <c r="F2912" s="114">
        <v>296</v>
      </c>
      <c r="G2912" s="114">
        <v>1</v>
      </c>
      <c r="H2912" s="114">
        <v>3500</v>
      </c>
      <c r="I2912" s="114">
        <v>3500</v>
      </c>
      <c r="J2912" s="114">
        <v>2941</v>
      </c>
      <c r="K2912" s="114">
        <v>559</v>
      </c>
      <c r="L2912" s="114" t="str">
        <f t="shared" si="45"/>
        <v>INSERT INTO DETALLES_DOCUMENTO(NRO_DOCUMENTO,ID_TIPO,ID_PRODUCTO,CANTIDAD,PRECIO,VALOR_BRUTO,VALOR_NETO,VALOR_IVA) VALUES(1384,1,296,1,3500,3500,2941,559);</v>
      </c>
    </row>
    <row r="2913" spans="1:12">
      <c r="A2913" s="114">
        <v>1</v>
      </c>
      <c r="B2913" s="114">
        <v>1384</v>
      </c>
      <c r="C2913" s="139" t="s">
        <v>2397</v>
      </c>
      <c r="D2913" s="114" t="s">
        <v>2090</v>
      </c>
      <c r="E2913" s="114">
        <v>300</v>
      </c>
      <c r="F2913" s="114">
        <v>368</v>
      </c>
      <c r="G2913" s="114">
        <v>2</v>
      </c>
      <c r="H2913" s="114">
        <v>6000</v>
      </c>
      <c r="I2913" s="114">
        <v>12000</v>
      </c>
      <c r="J2913" s="114">
        <v>10084</v>
      </c>
      <c r="K2913" s="114">
        <v>1916</v>
      </c>
      <c r="L2913" s="114" t="str">
        <f t="shared" si="45"/>
        <v>INSERT INTO DETALLES_DOCUMENTO(NRO_DOCUMENTO,ID_TIPO,ID_PRODUCTO,CANTIDAD,PRECIO,VALOR_BRUTO,VALOR_NETO,VALOR_IVA) VALUES(1384,1,368,2,6000,12000,10084,1916);</v>
      </c>
    </row>
    <row r="2914" spans="1:12">
      <c r="A2914" s="114">
        <v>1</v>
      </c>
      <c r="B2914" s="114">
        <v>1384</v>
      </c>
      <c r="C2914" s="139" t="s">
        <v>2397</v>
      </c>
      <c r="D2914" s="114" t="s">
        <v>2090</v>
      </c>
      <c r="E2914" s="114">
        <v>300</v>
      </c>
      <c r="F2914" s="114">
        <v>329</v>
      </c>
      <c r="G2914" s="114">
        <v>1</v>
      </c>
      <c r="H2914" s="114">
        <v>6000</v>
      </c>
      <c r="I2914" s="114">
        <v>6000</v>
      </c>
      <c r="J2914" s="114">
        <v>5042</v>
      </c>
      <c r="K2914" s="114">
        <v>958</v>
      </c>
      <c r="L2914" s="114" t="str">
        <f t="shared" si="45"/>
        <v>INSERT INTO DETALLES_DOCUMENTO(NRO_DOCUMENTO,ID_TIPO,ID_PRODUCTO,CANTIDAD,PRECIO,VALOR_BRUTO,VALOR_NETO,VALOR_IVA) VALUES(1384,1,329,1,6000,6000,5042,958);</v>
      </c>
    </row>
    <row r="2915" spans="1:12">
      <c r="A2915" s="114">
        <v>1</v>
      </c>
      <c r="B2915" s="114">
        <v>1385</v>
      </c>
      <c r="C2915" s="139" t="s">
        <v>2397</v>
      </c>
      <c r="D2915" s="114" t="s">
        <v>2090</v>
      </c>
      <c r="E2915" s="114">
        <v>345</v>
      </c>
      <c r="F2915" s="114">
        <v>329</v>
      </c>
      <c r="G2915" s="114">
        <v>1</v>
      </c>
      <c r="H2915" s="114">
        <v>6000</v>
      </c>
      <c r="I2915" s="114">
        <v>6000</v>
      </c>
      <c r="J2915" s="114">
        <v>5042</v>
      </c>
      <c r="K2915" s="114">
        <v>958</v>
      </c>
      <c r="L2915" s="114" t="str">
        <f t="shared" si="45"/>
        <v>INSERT INTO DETALLES_DOCUMENTO(NRO_DOCUMENTO,ID_TIPO,ID_PRODUCTO,CANTIDAD,PRECIO,VALOR_BRUTO,VALOR_NETO,VALOR_IVA) VALUES(1385,1,329,1,6000,6000,5042,958);</v>
      </c>
    </row>
    <row r="2916" spans="1:12">
      <c r="A2916" s="114">
        <v>1</v>
      </c>
      <c r="B2916" s="114">
        <v>1386</v>
      </c>
      <c r="C2916" s="139" t="s">
        <v>2397</v>
      </c>
      <c r="D2916" s="114" t="s">
        <v>2090</v>
      </c>
      <c r="E2916" s="114">
        <v>402</v>
      </c>
      <c r="F2916" s="114">
        <v>143</v>
      </c>
      <c r="G2916" s="114">
        <v>1</v>
      </c>
      <c r="H2916" s="114">
        <v>8000</v>
      </c>
      <c r="I2916" s="114">
        <v>8000</v>
      </c>
      <c r="J2916" s="114">
        <v>6723</v>
      </c>
      <c r="K2916" s="114">
        <v>1277</v>
      </c>
      <c r="L2916" s="114" t="str">
        <f t="shared" si="45"/>
        <v>INSERT INTO DETALLES_DOCUMENTO(NRO_DOCUMENTO,ID_TIPO,ID_PRODUCTO,CANTIDAD,PRECIO,VALOR_BRUTO,VALOR_NETO,VALOR_IVA) VALUES(1386,1,143,1,8000,8000,6723,1277);</v>
      </c>
    </row>
    <row r="2917" spans="1:12">
      <c r="A2917" s="114">
        <v>1</v>
      </c>
      <c r="B2917" s="114">
        <v>1387</v>
      </c>
      <c r="C2917" s="139" t="s">
        <v>2397</v>
      </c>
      <c r="D2917" s="114" t="s">
        <v>2090</v>
      </c>
      <c r="E2917" s="114">
        <v>408</v>
      </c>
      <c r="F2917" s="114">
        <v>261</v>
      </c>
      <c r="G2917" s="114">
        <v>1</v>
      </c>
      <c r="H2917" s="114">
        <v>7000</v>
      </c>
      <c r="I2917" s="114">
        <v>7000</v>
      </c>
      <c r="J2917" s="114">
        <v>5882</v>
      </c>
      <c r="K2917" s="114">
        <v>1118</v>
      </c>
      <c r="L2917" s="114" t="str">
        <f t="shared" si="45"/>
        <v>INSERT INTO DETALLES_DOCUMENTO(NRO_DOCUMENTO,ID_TIPO,ID_PRODUCTO,CANTIDAD,PRECIO,VALOR_BRUTO,VALOR_NETO,VALOR_IVA) VALUES(1387,1,261,1,7000,7000,5882,1118);</v>
      </c>
    </row>
    <row r="2918" spans="1:12">
      <c r="A2918" s="114">
        <v>1</v>
      </c>
      <c r="B2918" s="114">
        <v>1387</v>
      </c>
      <c r="C2918" s="139" t="s">
        <v>2397</v>
      </c>
      <c r="D2918" s="114" t="s">
        <v>2090</v>
      </c>
      <c r="E2918" s="114">
        <v>408</v>
      </c>
      <c r="F2918" s="114">
        <v>322</v>
      </c>
      <c r="G2918" s="114">
        <v>1</v>
      </c>
      <c r="H2918" s="114">
        <v>9000</v>
      </c>
      <c r="I2918" s="114">
        <v>9000</v>
      </c>
      <c r="J2918" s="114">
        <v>7563</v>
      </c>
      <c r="K2918" s="114">
        <v>1437</v>
      </c>
      <c r="L2918" s="114" t="str">
        <f t="shared" si="45"/>
        <v>INSERT INTO DETALLES_DOCUMENTO(NRO_DOCUMENTO,ID_TIPO,ID_PRODUCTO,CANTIDAD,PRECIO,VALOR_BRUTO,VALOR_NETO,VALOR_IVA) VALUES(1387,1,322,1,9000,9000,7563,1437);</v>
      </c>
    </row>
    <row r="2919" spans="1:12">
      <c r="A2919" s="114">
        <v>1</v>
      </c>
      <c r="B2919" s="114">
        <v>1388</v>
      </c>
      <c r="C2919" s="139" t="s">
        <v>2397</v>
      </c>
      <c r="D2919" s="114" t="s">
        <v>2090</v>
      </c>
      <c r="E2919" s="114">
        <v>416</v>
      </c>
      <c r="F2919" s="114">
        <v>231</v>
      </c>
      <c r="G2919" s="114">
        <v>1</v>
      </c>
      <c r="H2919" s="114">
        <v>20900</v>
      </c>
      <c r="I2919" s="114">
        <v>20900</v>
      </c>
      <c r="J2919" s="114">
        <v>17563</v>
      </c>
      <c r="K2919" s="114">
        <v>3337</v>
      </c>
      <c r="L2919" s="114" t="str">
        <f t="shared" si="45"/>
        <v>INSERT INTO DETALLES_DOCUMENTO(NRO_DOCUMENTO,ID_TIPO,ID_PRODUCTO,CANTIDAD,PRECIO,VALOR_BRUTO,VALOR_NETO,VALOR_IVA) VALUES(1388,1,231,1,20900,20900,17563,3337);</v>
      </c>
    </row>
    <row r="2920" spans="1:12">
      <c r="A2920" s="114">
        <v>1</v>
      </c>
      <c r="B2920" s="114">
        <v>1388</v>
      </c>
      <c r="C2920" s="139" t="s">
        <v>2397</v>
      </c>
      <c r="D2920" s="114" t="s">
        <v>2090</v>
      </c>
      <c r="E2920" s="114">
        <v>416</v>
      </c>
      <c r="F2920" s="114">
        <v>329</v>
      </c>
      <c r="G2920" s="114">
        <v>1</v>
      </c>
      <c r="H2920" s="114">
        <v>6000</v>
      </c>
      <c r="I2920" s="114">
        <v>6000</v>
      </c>
      <c r="J2920" s="114">
        <v>5042</v>
      </c>
      <c r="K2920" s="114">
        <v>958</v>
      </c>
      <c r="L2920" s="114" t="str">
        <f t="shared" si="45"/>
        <v>INSERT INTO DETALLES_DOCUMENTO(NRO_DOCUMENTO,ID_TIPO,ID_PRODUCTO,CANTIDAD,PRECIO,VALOR_BRUTO,VALOR_NETO,VALOR_IVA) VALUES(1388,1,329,1,6000,6000,5042,958);</v>
      </c>
    </row>
    <row r="2921" spans="1:12">
      <c r="A2921" s="114">
        <v>1</v>
      </c>
      <c r="B2921" s="114">
        <v>1389</v>
      </c>
      <c r="C2921" s="139" t="s">
        <v>2397</v>
      </c>
      <c r="D2921" s="114" t="s">
        <v>2090</v>
      </c>
      <c r="E2921" s="114">
        <v>427</v>
      </c>
      <c r="F2921" s="114">
        <v>368</v>
      </c>
      <c r="G2921" s="114">
        <v>1</v>
      </c>
      <c r="H2921" s="114">
        <v>3000</v>
      </c>
      <c r="I2921" s="114">
        <v>3000</v>
      </c>
      <c r="J2921" s="114">
        <v>2521</v>
      </c>
      <c r="K2921" s="114">
        <v>479</v>
      </c>
      <c r="L2921" s="114" t="str">
        <f t="shared" si="45"/>
        <v>INSERT INTO DETALLES_DOCUMENTO(NRO_DOCUMENTO,ID_TIPO,ID_PRODUCTO,CANTIDAD,PRECIO,VALOR_BRUTO,VALOR_NETO,VALOR_IVA) VALUES(1389,1,368,1,3000,3000,2521,479);</v>
      </c>
    </row>
    <row r="2922" spans="1:12">
      <c r="A2922" s="114">
        <v>1</v>
      </c>
      <c r="B2922" s="114">
        <v>1389</v>
      </c>
      <c r="C2922" s="139" t="s">
        <v>2397</v>
      </c>
      <c r="D2922" s="114" t="s">
        <v>2090</v>
      </c>
      <c r="E2922" s="114">
        <v>427</v>
      </c>
      <c r="F2922" s="114">
        <v>81</v>
      </c>
      <c r="G2922" s="114">
        <v>1</v>
      </c>
      <c r="H2922" s="114">
        <v>1600</v>
      </c>
      <c r="I2922" s="114">
        <v>1600</v>
      </c>
      <c r="J2922" s="114">
        <v>1345</v>
      </c>
      <c r="K2922" s="114">
        <v>255</v>
      </c>
      <c r="L2922" s="114" t="str">
        <f t="shared" si="45"/>
        <v>INSERT INTO DETALLES_DOCUMENTO(NRO_DOCUMENTO,ID_TIPO,ID_PRODUCTO,CANTIDAD,PRECIO,VALOR_BRUTO,VALOR_NETO,VALOR_IVA) VALUES(1389,1,81,1,1600,1600,1345,255);</v>
      </c>
    </row>
    <row r="2923" spans="1:12">
      <c r="A2923" s="114">
        <v>1</v>
      </c>
      <c r="B2923" s="114">
        <v>1389</v>
      </c>
      <c r="C2923" s="139" t="s">
        <v>2397</v>
      </c>
      <c r="D2923" s="114" t="s">
        <v>2090</v>
      </c>
      <c r="E2923" s="114">
        <v>427</v>
      </c>
      <c r="F2923" s="114">
        <v>387</v>
      </c>
      <c r="G2923" s="114">
        <v>1</v>
      </c>
      <c r="H2923" s="114">
        <v>1500</v>
      </c>
      <c r="I2923" s="114">
        <v>1500</v>
      </c>
      <c r="J2923" s="114">
        <v>1261</v>
      </c>
      <c r="K2923" s="114">
        <v>239</v>
      </c>
      <c r="L2923" s="114" t="str">
        <f t="shared" si="45"/>
        <v>INSERT INTO DETALLES_DOCUMENTO(NRO_DOCUMENTO,ID_TIPO,ID_PRODUCTO,CANTIDAD,PRECIO,VALOR_BRUTO,VALOR_NETO,VALOR_IVA) VALUES(1389,1,387,1,1500,1500,1261,239);</v>
      </c>
    </row>
    <row r="2924" spans="1:12">
      <c r="A2924" s="114">
        <v>1</v>
      </c>
      <c r="B2924" s="114">
        <v>1390</v>
      </c>
      <c r="C2924" s="139" t="s">
        <v>2397</v>
      </c>
      <c r="D2924" s="114" t="s">
        <v>2090</v>
      </c>
      <c r="E2924" s="114">
        <v>449</v>
      </c>
      <c r="F2924" s="114">
        <v>98</v>
      </c>
      <c r="G2924" s="114">
        <v>1</v>
      </c>
      <c r="H2924" s="114">
        <v>3500</v>
      </c>
      <c r="I2924" s="114">
        <v>3500</v>
      </c>
      <c r="J2924" s="114">
        <v>2941</v>
      </c>
      <c r="K2924" s="114">
        <v>559</v>
      </c>
      <c r="L2924" s="114" t="str">
        <f t="shared" si="45"/>
        <v>INSERT INTO DETALLES_DOCUMENTO(NRO_DOCUMENTO,ID_TIPO,ID_PRODUCTO,CANTIDAD,PRECIO,VALOR_BRUTO,VALOR_NETO,VALOR_IVA) VALUES(1390,1,98,1,3500,3500,2941,559);</v>
      </c>
    </row>
    <row r="2925" spans="1:12">
      <c r="A2925" s="114">
        <v>1</v>
      </c>
      <c r="B2925" s="114">
        <v>1390</v>
      </c>
      <c r="C2925" s="139" t="s">
        <v>2397</v>
      </c>
      <c r="D2925" s="114" t="s">
        <v>2090</v>
      </c>
      <c r="E2925" s="114">
        <v>449</v>
      </c>
      <c r="F2925" s="114">
        <v>165</v>
      </c>
      <c r="G2925" s="114">
        <v>1</v>
      </c>
      <c r="H2925" s="114">
        <v>2000</v>
      </c>
      <c r="I2925" s="114">
        <v>2000</v>
      </c>
      <c r="J2925" s="114">
        <v>1681</v>
      </c>
      <c r="K2925" s="114">
        <v>319</v>
      </c>
      <c r="L2925" s="114" t="str">
        <f t="shared" si="45"/>
        <v>INSERT INTO DETALLES_DOCUMENTO(NRO_DOCUMENTO,ID_TIPO,ID_PRODUCTO,CANTIDAD,PRECIO,VALOR_BRUTO,VALOR_NETO,VALOR_IVA) VALUES(1390,1,165,1,2000,2000,1681,319);</v>
      </c>
    </row>
    <row r="2926" spans="1:12">
      <c r="A2926" s="114">
        <v>1</v>
      </c>
      <c r="B2926" s="114">
        <v>1390</v>
      </c>
      <c r="C2926" s="139" t="s">
        <v>2397</v>
      </c>
      <c r="D2926" s="114" t="s">
        <v>2090</v>
      </c>
      <c r="E2926" s="114">
        <v>449</v>
      </c>
      <c r="F2926" s="114">
        <v>231</v>
      </c>
      <c r="G2926" s="114">
        <v>1</v>
      </c>
      <c r="H2926" s="114">
        <v>20900</v>
      </c>
      <c r="I2926" s="114">
        <v>20900</v>
      </c>
      <c r="J2926" s="114">
        <v>17563</v>
      </c>
      <c r="K2926" s="114">
        <v>3337</v>
      </c>
      <c r="L2926" s="114" t="str">
        <f t="shared" si="45"/>
        <v>INSERT INTO DETALLES_DOCUMENTO(NRO_DOCUMENTO,ID_TIPO,ID_PRODUCTO,CANTIDAD,PRECIO,VALOR_BRUTO,VALOR_NETO,VALOR_IVA) VALUES(1390,1,231,1,20900,20900,17563,3337);</v>
      </c>
    </row>
    <row r="2927" spans="1:12">
      <c r="A2927" s="114">
        <v>1</v>
      </c>
      <c r="B2927" s="114">
        <v>1390</v>
      </c>
      <c r="C2927" s="139" t="s">
        <v>2397</v>
      </c>
      <c r="D2927" s="114" t="s">
        <v>2090</v>
      </c>
      <c r="E2927" s="114">
        <v>449</v>
      </c>
      <c r="F2927" s="114">
        <v>226</v>
      </c>
      <c r="G2927" s="114">
        <v>1</v>
      </c>
      <c r="H2927" s="114">
        <v>22500</v>
      </c>
      <c r="I2927" s="114">
        <v>22500</v>
      </c>
      <c r="J2927" s="114">
        <v>18908</v>
      </c>
      <c r="K2927" s="114">
        <v>3592</v>
      </c>
      <c r="L2927" s="114" t="str">
        <f t="shared" si="45"/>
        <v>INSERT INTO DETALLES_DOCUMENTO(NRO_DOCUMENTO,ID_TIPO,ID_PRODUCTO,CANTIDAD,PRECIO,VALOR_BRUTO,VALOR_NETO,VALOR_IVA) VALUES(1390,1,226,1,22500,22500,18908,3592);</v>
      </c>
    </row>
    <row r="2928" spans="1:12">
      <c r="A2928" s="114">
        <v>1</v>
      </c>
      <c r="B2928" s="114">
        <v>1391</v>
      </c>
      <c r="C2928" s="139" t="s">
        <v>2397</v>
      </c>
      <c r="D2928" s="114" t="s">
        <v>2090</v>
      </c>
      <c r="E2928" s="114">
        <v>470</v>
      </c>
      <c r="F2928" s="114">
        <v>143</v>
      </c>
      <c r="G2928" s="114">
        <v>2</v>
      </c>
      <c r="H2928" s="114">
        <v>16000</v>
      </c>
      <c r="I2928" s="114">
        <v>32000</v>
      </c>
      <c r="J2928" s="114">
        <v>26891</v>
      </c>
      <c r="K2928" s="114">
        <v>5109</v>
      </c>
      <c r="L2928" s="114" t="str">
        <f t="shared" si="45"/>
        <v>INSERT INTO DETALLES_DOCUMENTO(NRO_DOCUMENTO,ID_TIPO,ID_PRODUCTO,CANTIDAD,PRECIO,VALOR_BRUTO,VALOR_NETO,VALOR_IVA) VALUES(1391,1,143,2,16000,32000,26891,5109);</v>
      </c>
    </row>
    <row r="2929" spans="1:12">
      <c r="A2929" s="114">
        <v>1</v>
      </c>
      <c r="B2929" s="114">
        <v>1392</v>
      </c>
      <c r="C2929" s="139" t="s">
        <v>2398</v>
      </c>
      <c r="D2929" s="114" t="s">
        <v>2090</v>
      </c>
      <c r="E2929" s="114">
        <v>13</v>
      </c>
      <c r="F2929" s="114">
        <v>126</v>
      </c>
      <c r="G2929" s="114">
        <v>1</v>
      </c>
      <c r="H2929" s="114">
        <v>9000</v>
      </c>
      <c r="I2929" s="114">
        <v>9000</v>
      </c>
      <c r="J2929" s="114">
        <v>7563</v>
      </c>
      <c r="K2929" s="114">
        <v>1437</v>
      </c>
      <c r="L2929" s="114" t="str">
        <f t="shared" si="45"/>
        <v>INSERT INTO DETALLES_DOCUMENTO(NRO_DOCUMENTO,ID_TIPO,ID_PRODUCTO,CANTIDAD,PRECIO,VALOR_BRUTO,VALOR_NETO,VALOR_IVA) VALUES(1392,1,126,1,9000,9000,7563,1437);</v>
      </c>
    </row>
    <row r="2930" spans="1:12">
      <c r="A2930" s="114">
        <v>1</v>
      </c>
      <c r="B2930" s="114">
        <v>1392</v>
      </c>
      <c r="C2930" s="139" t="s">
        <v>2398</v>
      </c>
      <c r="D2930" s="114" t="s">
        <v>2090</v>
      </c>
      <c r="E2930" s="114">
        <v>13</v>
      </c>
      <c r="F2930" s="114">
        <v>288</v>
      </c>
      <c r="G2930" s="114">
        <v>1</v>
      </c>
      <c r="H2930" s="114">
        <v>8500</v>
      </c>
      <c r="I2930" s="114">
        <v>8500</v>
      </c>
      <c r="J2930" s="114">
        <v>7143</v>
      </c>
      <c r="K2930" s="114">
        <v>1357</v>
      </c>
      <c r="L2930" s="114" t="str">
        <f t="shared" si="45"/>
        <v>INSERT INTO DETALLES_DOCUMENTO(NRO_DOCUMENTO,ID_TIPO,ID_PRODUCTO,CANTIDAD,PRECIO,VALOR_BRUTO,VALOR_NETO,VALOR_IVA) VALUES(1392,1,288,1,8500,8500,7143,1357);</v>
      </c>
    </row>
    <row r="2931" spans="1:12">
      <c r="A2931" s="114">
        <v>1</v>
      </c>
      <c r="B2931" s="114">
        <v>1393</v>
      </c>
      <c r="C2931" s="139" t="s">
        <v>2398</v>
      </c>
      <c r="D2931" s="114" t="s">
        <v>2090</v>
      </c>
      <c r="E2931" s="114">
        <v>14</v>
      </c>
      <c r="F2931" s="114">
        <v>289</v>
      </c>
      <c r="G2931" s="114">
        <v>1</v>
      </c>
      <c r="H2931" s="114">
        <v>19500</v>
      </c>
      <c r="I2931" s="114">
        <v>19500</v>
      </c>
      <c r="J2931" s="114">
        <v>16387</v>
      </c>
      <c r="K2931" s="114">
        <v>3113</v>
      </c>
      <c r="L2931" s="114" t="str">
        <f t="shared" si="45"/>
        <v>INSERT INTO DETALLES_DOCUMENTO(NRO_DOCUMENTO,ID_TIPO,ID_PRODUCTO,CANTIDAD,PRECIO,VALOR_BRUTO,VALOR_NETO,VALOR_IVA) VALUES(1393,1,289,1,19500,19500,16387,3113);</v>
      </c>
    </row>
    <row r="2932" spans="1:12">
      <c r="A2932" s="114">
        <v>1</v>
      </c>
      <c r="B2932" s="114">
        <v>1394</v>
      </c>
      <c r="C2932" s="139" t="s">
        <v>2398</v>
      </c>
      <c r="D2932" s="114" t="s">
        <v>2090</v>
      </c>
      <c r="E2932" s="114">
        <v>98</v>
      </c>
      <c r="F2932" s="114">
        <v>324</v>
      </c>
      <c r="G2932" s="114">
        <v>1</v>
      </c>
      <c r="H2932" s="114">
        <v>11000</v>
      </c>
      <c r="I2932" s="114">
        <v>11000</v>
      </c>
      <c r="J2932" s="114">
        <v>9244</v>
      </c>
      <c r="K2932" s="114">
        <v>1756</v>
      </c>
      <c r="L2932" s="114" t="str">
        <f t="shared" si="45"/>
        <v>INSERT INTO DETALLES_DOCUMENTO(NRO_DOCUMENTO,ID_TIPO,ID_PRODUCTO,CANTIDAD,PRECIO,VALOR_BRUTO,VALOR_NETO,VALOR_IVA) VALUES(1394,1,324,1,11000,11000,9244,1756);</v>
      </c>
    </row>
    <row r="2933" spans="1:12">
      <c r="A2933" s="114">
        <v>1</v>
      </c>
      <c r="B2933" s="114">
        <v>1395</v>
      </c>
      <c r="C2933" s="139" t="s">
        <v>2398</v>
      </c>
      <c r="D2933" s="114" t="s">
        <v>2090</v>
      </c>
      <c r="E2933" s="114">
        <v>196</v>
      </c>
      <c r="F2933" s="114">
        <v>227</v>
      </c>
      <c r="G2933" s="114">
        <v>1</v>
      </c>
      <c r="H2933" s="114">
        <v>13500</v>
      </c>
      <c r="I2933" s="114">
        <v>13500</v>
      </c>
      <c r="J2933" s="114">
        <v>11345</v>
      </c>
      <c r="K2933" s="114">
        <v>2155</v>
      </c>
      <c r="L2933" s="114" t="str">
        <f t="shared" si="45"/>
        <v>INSERT INTO DETALLES_DOCUMENTO(NRO_DOCUMENTO,ID_TIPO,ID_PRODUCTO,CANTIDAD,PRECIO,VALOR_BRUTO,VALOR_NETO,VALOR_IVA) VALUES(1395,1,227,1,13500,13500,11345,2155);</v>
      </c>
    </row>
    <row r="2934" spans="1:12">
      <c r="A2934" s="114">
        <v>1</v>
      </c>
      <c r="B2934" s="114">
        <v>1395</v>
      </c>
      <c r="C2934" s="139" t="s">
        <v>2398</v>
      </c>
      <c r="D2934" s="114" t="s">
        <v>2090</v>
      </c>
      <c r="E2934" s="114">
        <v>196</v>
      </c>
      <c r="F2934" s="114">
        <v>143</v>
      </c>
      <c r="G2934" s="114">
        <v>1</v>
      </c>
      <c r="H2934" s="114">
        <v>8000</v>
      </c>
      <c r="I2934" s="114">
        <v>8000</v>
      </c>
      <c r="J2934" s="114">
        <v>6723</v>
      </c>
      <c r="K2934" s="114">
        <v>1277</v>
      </c>
      <c r="L2934" s="114" t="str">
        <f t="shared" si="45"/>
        <v>INSERT INTO DETALLES_DOCUMENTO(NRO_DOCUMENTO,ID_TIPO,ID_PRODUCTO,CANTIDAD,PRECIO,VALOR_BRUTO,VALOR_NETO,VALOR_IVA) VALUES(1395,1,143,1,8000,8000,6723,1277);</v>
      </c>
    </row>
    <row r="2935" spans="1:12">
      <c r="A2935" s="114">
        <v>1</v>
      </c>
      <c r="B2935" s="114">
        <v>1396</v>
      </c>
      <c r="C2935" s="139" t="s">
        <v>2398</v>
      </c>
      <c r="D2935" s="114" t="s">
        <v>2090</v>
      </c>
      <c r="E2935" s="114">
        <v>202</v>
      </c>
      <c r="F2935" s="114">
        <v>322</v>
      </c>
      <c r="G2935" s="114">
        <v>1</v>
      </c>
      <c r="H2935" s="114">
        <v>9000</v>
      </c>
      <c r="I2935" s="114">
        <v>9000</v>
      </c>
      <c r="J2935" s="114">
        <v>7563</v>
      </c>
      <c r="K2935" s="114">
        <v>1437</v>
      </c>
      <c r="L2935" s="114" t="str">
        <f t="shared" si="45"/>
        <v>INSERT INTO DETALLES_DOCUMENTO(NRO_DOCUMENTO,ID_TIPO,ID_PRODUCTO,CANTIDAD,PRECIO,VALOR_BRUTO,VALOR_NETO,VALOR_IVA) VALUES(1396,1,322,1,9000,9000,7563,1437);</v>
      </c>
    </row>
    <row r="2936" spans="1:12">
      <c r="A2936" s="114">
        <v>1</v>
      </c>
      <c r="B2936" s="114">
        <v>1397</v>
      </c>
      <c r="C2936" s="139" t="s">
        <v>2398</v>
      </c>
      <c r="D2936" s="114" t="s">
        <v>2090</v>
      </c>
      <c r="E2936" s="114">
        <v>277</v>
      </c>
      <c r="F2936" s="114">
        <v>143</v>
      </c>
      <c r="G2936" s="114">
        <v>1</v>
      </c>
      <c r="H2936" s="114">
        <v>8000</v>
      </c>
      <c r="I2936" s="114">
        <v>8000</v>
      </c>
      <c r="J2936" s="114">
        <v>6723</v>
      </c>
      <c r="K2936" s="114">
        <v>1277</v>
      </c>
      <c r="L2936" s="114" t="str">
        <f t="shared" si="45"/>
        <v>INSERT INTO DETALLES_DOCUMENTO(NRO_DOCUMENTO,ID_TIPO,ID_PRODUCTO,CANTIDAD,PRECIO,VALOR_BRUTO,VALOR_NETO,VALOR_IVA) VALUES(1397,1,143,1,8000,8000,6723,1277);</v>
      </c>
    </row>
    <row r="2937" spans="1:12">
      <c r="A2937" s="114">
        <v>1</v>
      </c>
      <c r="B2937" s="114">
        <v>1398</v>
      </c>
      <c r="C2937" s="139" t="s">
        <v>2398</v>
      </c>
      <c r="D2937" s="114" t="s">
        <v>2090</v>
      </c>
      <c r="E2937" s="114">
        <v>387</v>
      </c>
      <c r="F2937" s="114">
        <v>231</v>
      </c>
      <c r="G2937" s="114">
        <v>1</v>
      </c>
      <c r="H2937" s="114">
        <v>20900</v>
      </c>
      <c r="I2937" s="114">
        <v>20900</v>
      </c>
      <c r="J2937" s="114">
        <v>17563</v>
      </c>
      <c r="K2937" s="114">
        <v>3337</v>
      </c>
      <c r="L2937" s="114" t="str">
        <f t="shared" si="45"/>
        <v>INSERT INTO DETALLES_DOCUMENTO(NRO_DOCUMENTO,ID_TIPO,ID_PRODUCTO,CANTIDAD,PRECIO,VALOR_BRUTO,VALOR_NETO,VALOR_IVA) VALUES(1398,1,231,1,20900,20900,17563,3337);</v>
      </c>
    </row>
    <row r="2938" spans="1:12">
      <c r="A2938" s="114">
        <v>1</v>
      </c>
      <c r="B2938" s="114">
        <v>1399</v>
      </c>
      <c r="C2938" s="139" t="s">
        <v>2398</v>
      </c>
      <c r="D2938" s="114" t="s">
        <v>2090</v>
      </c>
      <c r="E2938" s="114">
        <v>444</v>
      </c>
      <c r="F2938" s="114">
        <v>143</v>
      </c>
      <c r="G2938" s="114">
        <v>1</v>
      </c>
      <c r="H2938" s="114">
        <v>8000</v>
      </c>
      <c r="I2938" s="114">
        <v>8000</v>
      </c>
      <c r="J2938" s="114">
        <v>6723</v>
      </c>
      <c r="K2938" s="114">
        <v>1277</v>
      </c>
      <c r="L2938" s="114" t="str">
        <f t="shared" si="45"/>
        <v>INSERT INTO DETALLES_DOCUMENTO(NRO_DOCUMENTO,ID_TIPO,ID_PRODUCTO,CANTIDAD,PRECIO,VALOR_BRUTO,VALOR_NETO,VALOR_IVA) VALUES(1399,1,143,1,8000,8000,6723,1277);</v>
      </c>
    </row>
    <row r="2939" spans="1:12">
      <c r="A2939" s="114">
        <v>1</v>
      </c>
      <c r="B2939" s="114">
        <v>1400</v>
      </c>
      <c r="C2939" s="139" t="s">
        <v>2399</v>
      </c>
      <c r="D2939" s="114" t="s">
        <v>2090</v>
      </c>
      <c r="E2939" s="114">
        <v>21</v>
      </c>
      <c r="F2939" s="114">
        <v>143</v>
      </c>
      <c r="G2939" s="114">
        <v>3</v>
      </c>
      <c r="H2939" s="114">
        <v>24001</v>
      </c>
      <c r="I2939" s="114">
        <v>72003</v>
      </c>
      <c r="J2939" s="114">
        <v>60507</v>
      </c>
      <c r="K2939" s="114">
        <v>11496</v>
      </c>
      <c r="L2939" s="114" t="str">
        <f t="shared" si="45"/>
        <v>INSERT INTO DETALLES_DOCUMENTO(NRO_DOCUMENTO,ID_TIPO,ID_PRODUCTO,CANTIDAD,PRECIO,VALOR_BRUTO,VALOR_NETO,VALOR_IVA) VALUES(1400,1,143,3,24001,72003,60507,11496);</v>
      </c>
    </row>
    <row r="2940" spans="1:12">
      <c r="A2940" s="114">
        <v>1</v>
      </c>
      <c r="B2940" s="114">
        <v>1401</v>
      </c>
      <c r="C2940" s="139" t="s">
        <v>2399</v>
      </c>
      <c r="D2940" s="114" t="s">
        <v>2090</v>
      </c>
      <c r="E2940" s="114">
        <v>25</v>
      </c>
      <c r="F2940" s="114">
        <v>143</v>
      </c>
      <c r="G2940" s="114">
        <v>1</v>
      </c>
      <c r="H2940" s="114">
        <v>8000</v>
      </c>
      <c r="I2940" s="114">
        <v>8000</v>
      </c>
      <c r="J2940" s="114">
        <v>6723</v>
      </c>
      <c r="K2940" s="114">
        <v>1277</v>
      </c>
      <c r="L2940" s="114" t="str">
        <f t="shared" si="45"/>
        <v>INSERT INTO DETALLES_DOCUMENTO(NRO_DOCUMENTO,ID_TIPO,ID_PRODUCTO,CANTIDAD,PRECIO,VALOR_BRUTO,VALOR_NETO,VALOR_IVA) VALUES(1401,1,143,1,8000,8000,6723,1277);</v>
      </c>
    </row>
    <row r="2941" spans="1:12">
      <c r="A2941" s="114">
        <v>1</v>
      </c>
      <c r="B2941" s="114">
        <v>1402</v>
      </c>
      <c r="C2941" s="139" t="s">
        <v>2399</v>
      </c>
      <c r="D2941" s="114" t="s">
        <v>2090</v>
      </c>
      <c r="E2941" s="114">
        <v>147</v>
      </c>
      <c r="F2941" s="114">
        <v>143</v>
      </c>
      <c r="G2941" s="114">
        <v>1</v>
      </c>
      <c r="H2941" s="114">
        <v>8000</v>
      </c>
      <c r="I2941" s="114">
        <v>8000</v>
      </c>
      <c r="J2941" s="114">
        <v>6723</v>
      </c>
      <c r="K2941" s="114">
        <v>1277</v>
      </c>
      <c r="L2941" s="114" t="str">
        <f t="shared" si="45"/>
        <v>INSERT INTO DETALLES_DOCUMENTO(NRO_DOCUMENTO,ID_TIPO,ID_PRODUCTO,CANTIDAD,PRECIO,VALOR_BRUTO,VALOR_NETO,VALOR_IVA) VALUES(1402,1,143,1,8000,8000,6723,1277);</v>
      </c>
    </row>
    <row r="2942" spans="1:12">
      <c r="A2942" s="114">
        <v>1</v>
      </c>
      <c r="B2942" s="114">
        <v>1403</v>
      </c>
      <c r="C2942" s="139" t="s">
        <v>2399</v>
      </c>
      <c r="D2942" s="114" t="s">
        <v>2090</v>
      </c>
      <c r="E2942" s="114">
        <v>315</v>
      </c>
      <c r="F2942" s="114">
        <v>143</v>
      </c>
      <c r="G2942" s="114">
        <v>1</v>
      </c>
      <c r="H2942" s="114">
        <v>8000</v>
      </c>
      <c r="I2942" s="114">
        <v>8000</v>
      </c>
      <c r="J2942" s="114">
        <v>6723</v>
      </c>
      <c r="K2942" s="114">
        <v>1277</v>
      </c>
      <c r="L2942" s="114" t="str">
        <f t="shared" si="45"/>
        <v>INSERT INTO DETALLES_DOCUMENTO(NRO_DOCUMENTO,ID_TIPO,ID_PRODUCTO,CANTIDAD,PRECIO,VALOR_BRUTO,VALOR_NETO,VALOR_IVA) VALUES(1403,1,143,1,8000,8000,6723,1277);</v>
      </c>
    </row>
    <row r="2943" spans="1:12">
      <c r="A2943" s="114">
        <v>1</v>
      </c>
      <c r="B2943" s="114">
        <v>1404</v>
      </c>
      <c r="C2943" s="139" t="s">
        <v>2399</v>
      </c>
      <c r="D2943" s="114" t="s">
        <v>2090</v>
      </c>
      <c r="E2943" s="114">
        <v>343</v>
      </c>
      <c r="F2943" s="114">
        <v>143</v>
      </c>
      <c r="G2943" s="114">
        <v>2</v>
      </c>
      <c r="H2943" s="114">
        <v>16000</v>
      </c>
      <c r="I2943" s="114">
        <v>32000</v>
      </c>
      <c r="J2943" s="114">
        <v>26891</v>
      </c>
      <c r="K2943" s="114">
        <v>5109</v>
      </c>
      <c r="L2943" s="114" t="str">
        <f t="shared" si="45"/>
        <v>INSERT INTO DETALLES_DOCUMENTO(NRO_DOCUMENTO,ID_TIPO,ID_PRODUCTO,CANTIDAD,PRECIO,VALOR_BRUTO,VALOR_NETO,VALOR_IVA) VALUES(1404,1,143,2,16000,32000,26891,5109);</v>
      </c>
    </row>
    <row r="2944" spans="1:12">
      <c r="A2944" s="114">
        <v>1</v>
      </c>
      <c r="B2944" s="114">
        <v>1405</v>
      </c>
      <c r="C2944" s="139" t="s">
        <v>2399</v>
      </c>
      <c r="D2944" s="114" t="s">
        <v>2090</v>
      </c>
      <c r="E2944" s="114">
        <v>411</v>
      </c>
      <c r="F2944" s="114">
        <v>231</v>
      </c>
      <c r="G2944" s="114">
        <v>1</v>
      </c>
      <c r="H2944" s="114">
        <v>20900</v>
      </c>
      <c r="I2944" s="114">
        <v>20900</v>
      </c>
      <c r="J2944" s="114">
        <v>17563</v>
      </c>
      <c r="K2944" s="114">
        <v>3337</v>
      </c>
      <c r="L2944" s="114" t="str">
        <f t="shared" si="45"/>
        <v>INSERT INTO DETALLES_DOCUMENTO(NRO_DOCUMENTO,ID_TIPO,ID_PRODUCTO,CANTIDAD,PRECIO,VALOR_BRUTO,VALOR_NETO,VALOR_IVA) VALUES(1405,1,231,1,20900,20900,17563,3337);</v>
      </c>
    </row>
    <row r="2945" spans="1:12">
      <c r="A2945" s="114">
        <v>1</v>
      </c>
      <c r="B2945" s="114">
        <v>1405</v>
      </c>
      <c r="C2945" s="139" t="s">
        <v>2399</v>
      </c>
      <c r="D2945" s="114" t="s">
        <v>2090</v>
      </c>
      <c r="E2945" s="114">
        <v>411</v>
      </c>
      <c r="F2945" s="114">
        <v>261</v>
      </c>
      <c r="G2945" s="114">
        <v>1</v>
      </c>
      <c r="H2945" s="114">
        <v>7000</v>
      </c>
      <c r="I2945" s="114">
        <v>7000</v>
      </c>
      <c r="J2945" s="114">
        <v>5882</v>
      </c>
      <c r="K2945" s="114">
        <v>1118</v>
      </c>
      <c r="L2945" s="114" t="str">
        <f t="shared" si="45"/>
        <v>INSERT INTO DETALLES_DOCUMENTO(NRO_DOCUMENTO,ID_TIPO,ID_PRODUCTO,CANTIDAD,PRECIO,VALOR_BRUTO,VALOR_NETO,VALOR_IVA) VALUES(1405,1,261,1,7000,7000,5882,1118);</v>
      </c>
    </row>
    <row r="2946" spans="1:12">
      <c r="A2946" s="114">
        <v>1</v>
      </c>
      <c r="B2946" s="114">
        <v>1405</v>
      </c>
      <c r="C2946" s="139" t="s">
        <v>2399</v>
      </c>
      <c r="D2946" s="114" t="s">
        <v>2090</v>
      </c>
      <c r="E2946" s="114">
        <v>411</v>
      </c>
      <c r="F2946" s="114">
        <v>143</v>
      </c>
      <c r="G2946" s="114">
        <v>1</v>
      </c>
      <c r="H2946" s="114">
        <v>8000</v>
      </c>
      <c r="I2946" s="114">
        <v>8000</v>
      </c>
      <c r="J2946" s="114">
        <v>6723</v>
      </c>
      <c r="K2946" s="114">
        <v>1277</v>
      </c>
      <c r="L2946" s="114" t="str">
        <f t="shared" si="45"/>
        <v>INSERT INTO DETALLES_DOCUMENTO(NRO_DOCUMENTO,ID_TIPO,ID_PRODUCTO,CANTIDAD,PRECIO,VALOR_BRUTO,VALOR_NETO,VALOR_IVA) VALUES(1405,1,143,1,8000,8000,6723,1277);</v>
      </c>
    </row>
    <row r="2947" spans="1:12">
      <c r="A2947" s="114">
        <v>1</v>
      </c>
      <c r="B2947" s="114">
        <v>1405</v>
      </c>
      <c r="C2947" s="139" t="s">
        <v>2399</v>
      </c>
      <c r="D2947" s="114" t="s">
        <v>2090</v>
      </c>
      <c r="E2947" s="114">
        <v>411</v>
      </c>
      <c r="F2947" s="114">
        <v>322</v>
      </c>
      <c r="G2947" s="114">
        <v>1</v>
      </c>
      <c r="H2947" s="114">
        <v>9000</v>
      </c>
      <c r="I2947" s="114">
        <v>9000</v>
      </c>
      <c r="J2947" s="114">
        <v>7563</v>
      </c>
      <c r="K2947" s="114">
        <v>1437</v>
      </c>
      <c r="L2947" s="114" t="str">
        <f t="shared" ref="L2947:L3010" si="46">CONCATENATE("INSERT INTO DETALLES_DOCUMENTO(NRO_DOCUMENTO,ID_TIPO,ID_PRODUCTO,CANTIDAD,PRECIO,VALOR_BRUTO,VALOR_NETO,VALOR_IVA) VALUES(",B2947,",",A2947,",",F2947,",",G2947,",",H2947,",",I2947,",",J2947,",",K2947,");")</f>
        <v>INSERT INTO DETALLES_DOCUMENTO(NRO_DOCUMENTO,ID_TIPO,ID_PRODUCTO,CANTIDAD,PRECIO,VALOR_BRUTO,VALOR_NETO,VALOR_IVA) VALUES(1405,1,322,1,9000,9000,7563,1437);</v>
      </c>
    </row>
    <row r="2948" spans="1:12">
      <c r="A2948" s="114">
        <v>1</v>
      </c>
      <c r="B2948" s="114">
        <v>1406</v>
      </c>
      <c r="C2948" s="139" t="s">
        <v>2399</v>
      </c>
      <c r="D2948" s="114" t="s">
        <v>2090</v>
      </c>
      <c r="E2948" s="114">
        <v>470</v>
      </c>
      <c r="F2948" s="114">
        <v>143</v>
      </c>
      <c r="G2948" s="114">
        <v>1</v>
      </c>
      <c r="H2948" s="114">
        <v>8000</v>
      </c>
      <c r="I2948" s="114">
        <v>8000</v>
      </c>
      <c r="J2948" s="114">
        <v>6723</v>
      </c>
      <c r="K2948" s="114">
        <v>1277</v>
      </c>
      <c r="L2948" s="114" t="str">
        <f t="shared" si="46"/>
        <v>INSERT INTO DETALLES_DOCUMENTO(NRO_DOCUMENTO,ID_TIPO,ID_PRODUCTO,CANTIDAD,PRECIO,VALOR_BRUTO,VALOR_NETO,VALOR_IVA) VALUES(1406,1,143,1,8000,8000,6723,1277);</v>
      </c>
    </row>
    <row r="2949" spans="1:12">
      <c r="A2949" s="114">
        <v>1</v>
      </c>
      <c r="B2949" s="114">
        <v>1407</v>
      </c>
      <c r="C2949" s="139" t="s">
        <v>2400</v>
      </c>
      <c r="D2949" s="114" t="s">
        <v>2090</v>
      </c>
      <c r="E2949" s="114">
        <v>10</v>
      </c>
      <c r="F2949" s="114">
        <v>143</v>
      </c>
      <c r="G2949" s="114">
        <v>1</v>
      </c>
      <c r="H2949" s="114">
        <v>8000</v>
      </c>
      <c r="I2949" s="114">
        <v>8000</v>
      </c>
      <c r="J2949" s="114">
        <v>6723</v>
      </c>
      <c r="K2949" s="114">
        <v>1277</v>
      </c>
      <c r="L2949" s="114" t="str">
        <f t="shared" si="46"/>
        <v>INSERT INTO DETALLES_DOCUMENTO(NRO_DOCUMENTO,ID_TIPO,ID_PRODUCTO,CANTIDAD,PRECIO,VALOR_BRUTO,VALOR_NETO,VALOR_IVA) VALUES(1407,1,143,1,8000,8000,6723,1277);</v>
      </c>
    </row>
    <row r="2950" spans="1:12">
      <c r="A2950" s="114">
        <v>1</v>
      </c>
      <c r="B2950" s="114">
        <v>1408</v>
      </c>
      <c r="C2950" s="139" t="s">
        <v>2400</v>
      </c>
      <c r="D2950" s="114" t="s">
        <v>2090</v>
      </c>
      <c r="E2950" s="114">
        <v>11</v>
      </c>
      <c r="F2950" s="114">
        <v>293</v>
      </c>
      <c r="G2950" s="114">
        <v>1</v>
      </c>
      <c r="H2950" s="114">
        <v>10000</v>
      </c>
      <c r="I2950" s="114">
        <v>10000</v>
      </c>
      <c r="J2950" s="114">
        <v>8403</v>
      </c>
      <c r="K2950" s="114">
        <v>1597</v>
      </c>
      <c r="L2950" s="114" t="str">
        <f t="shared" si="46"/>
        <v>INSERT INTO DETALLES_DOCUMENTO(NRO_DOCUMENTO,ID_TIPO,ID_PRODUCTO,CANTIDAD,PRECIO,VALOR_BRUTO,VALOR_NETO,VALOR_IVA) VALUES(1408,1,293,1,10000,10000,8403,1597);</v>
      </c>
    </row>
    <row r="2951" spans="1:12">
      <c r="A2951" s="114">
        <v>1</v>
      </c>
      <c r="B2951" s="114">
        <v>1408</v>
      </c>
      <c r="C2951" s="139" t="s">
        <v>2400</v>
      </c>
      <c r="D2951" s="114" t="s">
        <v>2090</v>
      </c>
      <c r="E2951" s="114">
        <v>11</v>
      </c>
      <c r="F2951" s="114">
        <v>226</v>
      </c>
      <c r="G2951" s="114">
        <v>1</v>
      </c>
      <c r="H2951" s="114">
        <v>22500</v>
      </c>
      <c r="I2951" s="114">
        <v>22500</v>
      </c>
      <c r="J2951" s="114">
        <v>18908</v>
      </c>
      <c r="K2951" s="114">
        <v>3592</v>
      </c>
      <c r="L2951" s="114" t="str">
        <f t="shared" si="46"/>
        <v>INSERT INTO DETALLES_DOCUMENTO(NRO_DOCUMENTO,ID_TIPO,ID_PRODUCTO,CANTIDAD,PRECIO,VALOR_BRUTO,VALOR_NETO,VALOR_IVA) VALUES(1408,1,226,1,22500,22500,18908,3592);</v>
      </c>
    </row>
    <row r="2952" spans="1:12">
      <c r="A2952" s="114">
        <v>1</v>
      </c>
      <c r="B2952" s="114">
        <v>1409</v>
      </c>
      <c r="C2952" s="139" t="s">
        <v>2400</v>
      </c>
      <c r="D2952" s="114" t="s">
        <v>2090</v>
      </c>
      <c r="E2952" s="114">
        <v>12</v>
      </c>
      <c r="F2952" s="114">
        <v>143</v>
      </c>
      <c r="G2952" s="114">
        <v>1</v>
      </c>
      <c r="H2952" s="114">
        <v>8000</v>
      </c>
      <c r="I2952" s="114">
        <v>8000</v>
      </c>
      <c r="J2952" s="114">
        <v>6723</v>
      </c>
      <c r="K2952" s="114">
        <v>1277</v>
      </c>
      <c r="L2952" s="114" t="str">
        <f t="shared" si="46"/>
        <v>INSERT INTO DETALLES_DOCUMENTO(NRO_DOCUMENTO,ID_TIPO,ID_PRODUCTO,CANTIDAD,PRECIO,VALOR_BRUTO,VALOR_NETO,VALOR_IVA) VALUES(1409,1,143,1,8000,8000,6723,1277);</v>
      </c>
    </row>
    <row r="2953" spans="1:12">
      <c r="A2953" s="114">
        <v>1</v>
      </c>
      <c r="B2953" s="114">
        <v>1410</v>
      </c>
      <c r="C2953" s="139" t="s">
        <v>2400</v>
      </c>
      <c r="D2953" s="114" t="s">
        <v>2090</v>
      </c>
      <c r="E2953" s="114">
        <v>142</v>
      </c>
      <c r="F2953" s="114">
        <v>51</v>
      </c>
      <c r="G2953" s="114">
        <v>1</v>
      </c>
      <c r="H2953" s="114">
        <v>4200</v>
      </c>
      <c r="I2953" s="114">
        <v>4200</v>
      </c>
      <c r="J2953" s="114">
        <v>3529</v>
      </c>
      <c r="K2953" s="114">
        <v>671</v>
      </c>
      <c r="L2953" s="114" t="str">
        <f t="shared" si="46"/>
        <v>INSERT INTO DETALLES_DOCUMENTO(NRO_DOCUMENTO,ID_TIPO,ID_PRODUCTO,CANTIDAD,PRECIO,VALOR_BRUTO,VALOR_NETO,VALOR_IVA) VALUES(1410,1,51,1,4200,4200,3529,671);</v>
      </c>
    </row>
    <row r="2954" spans="1:12">
      <c r="A2954" s="114">
        <v>1</v>
      </c>
      <c r="B2954" s="114">
        <v>1411</v>
      </c>
      <c r="C2954" s="139" t="s">
        <v>2400</v>
      </c>
      <c r="D2954" s="114" t="s">
        <v>2090</v>
      </c>
      <c r="E2954" s="114">
        <v>166</v>
      </c>
      <c r="F2954" s="114">
        <v>387</v>
      </c>
      <c r="G2954" s="114">
        <v>1</v>
      </c>
      <c r="H2954" s="114">
        <v>1500</v>
      </c>
      <c r="I2954" s="114">
        <v>1500</v>
      </c>
      <c r="J2954" s="114">
        <v>1261</v>
      </c>
      <c r="K2954" s="114">
        <v>239</v>
      </c>
      <c r="L2954" s="114" t="str">
        <f t="shared" si="46"/>
        <v>INSERT INTO DETALLES_DOCUMENTO(NRO_DOCUMENTO,ID_TIPO,ID_PRODUCTO,CANTIDAD,PRECIO,VALOR_BRUTO,VALOR_NETO,VALOR_IVA) VALUES(1411,1,387,1,1500,1500,1261,239);</v>
      </c>
    </row>
    <row r="2955" spans="1:12">
      <c r="A2955" s="114">
        <v>1</v>
      </c>
      <c r="B2955" s="114">
        <v>1412</v>
      </c>
      <c r="C2955" s="139" t="s">
        <v>2400</v>
      </c>
      <c r="D2955" s="114" t="s">
        <v>2090</v>
      </c>
      <c r="E2955" s="114">
        <v>263</v>
      </c>
      <c r="F2955" s="114">
        <v>261</v>
      </c>
      <c r="G2955" s="114">
        <v>1</v>
      </c>
      <c r="H2955" s="114">
        <v>7000</v>
      </c>
      <c r="I2955" s="114">
        <v>7000</v>
      </c>
      <c r="J2955" s="114">
        <v>5882</v>
      </c>
      <c r="K2955" s="114">
        <v>1118</v>
      </c>
      <c r="L2955" s="114" t="str">
        <f t="shared" si="46"/>
        <v>INSERT INTO DETALLES_DOCUMENTO(NRO_DOCUMENTO,ID_TIPO,ID_PRODUCTO,CANTIDAD,PRECIO,VALOR_BRUTO,VALOR_NETO,VALOR_IVA) VALUES(1412,1,261,1,7000,7000,5882,1118);</v>
      </c>
    </row>
    <row r="2956" spans="1:12">
      <c r="A2956" s="114">
        <v>1</v>
      </c>
      <c r="B2956" s="114">
        <v>1412</v>
      </c>
      <c r="C2956" s="139" t="s">
        <v>2400</v>
      </c>
      <c r="D2956" s="114" t="s">
        <v>2090</v>
      </c>
      <c r="E2956" s="114">
        <v>263</v>
      </c>
      <c r="F2956" s="114">
        <v>143</v>
      </c>
      <c r="G2956" s="114">
        <v>1</v>
      </c>
      <c r="H2956" s="114">
        <v>8000</v>
      </c>
      <c r="I2956" s="114">
        <v>8000</v>
      </c>
      <c r="J2956" s="114">
        <v>6723</v>
      </c>
      <c r="K2956" s="114">
        <v>1277</v>
      </c>
      <c r="L2956" s="114" t="str">
        <f t="shared" si="46"/>
        <v>INSERT INTO DETALLES_DOCUMENTO(NRO_DOCUMENTO,ID_TIPO,ID_PRODUCTO,CANTIDAD,PRECIO,VALOR_BRUTO,VALOR_NETO,VALOR_IVA) VALUES(1412,1,143,1,8000,8000,6723,1277);</v>
      </c>
    </row>
    <row r="2957" spans="1:12">
      <c r="A2957" s="114">
        <v>1</v>
      </c>
      <c r="B2957" s="114">
        <v>1413</v>
      </c>
      <c r="C2957" s="139" t="s">
        <v>2401</v>
      </c>
      <c r="D2957" s="114" t="s">
        <v>2090</v>
      </c>
      <c r="E2957" s="114">
        <v>69</v>
      </c>
      <c r="F2957" s="114">
        <v>324</v>
      </c>
      <c r="G2957" s="114">
        <v>1</v>
      </c>
      <c r="H2957" s="114">
        <v>11000</v>
      </c>
      <c r="I2957" s="114">
        <v>11000</v>
      </c>
      <c r="J2957" s="114">
        <v>9244</v>
      </c>
      <c r="K2957" s="114">
        <v>1756</v>
      </c>
      <c r="L2957" s="114" t="str">
        <f t="shared" si="46"/>
        <v>INSERT INTO DETALLES_DOCUMENTO(NRO_DOCUMENTO,ID_TIPO,ID_PRODUCTO,CANTIDAD,PRECIO,VALOR_BRUTO,VALOR_NETO,VALOR_IVA) VALUES(1413,1,324,1,11000,11000,9244,1756);</v>
      </c>
    </row>
    <row r="2958" spans="1:12">
      <c r="A2958" s="114">
        <v>1</v>
      </c>
      <c r="B2958" s="114">
        <v>1413</v>
      </c>
      <c r="C2958" s="139" t="s">
        <v>2401</v>
      </c>
      <c r="D2958" s="114" t="s">
        <v>2090</v>
      </c>
      <c r="E2958" s="114">
        <v>69</v>
      </c>
      <c r="F2958" s="114">
        <v>288</v>
      </c>
      <c r="G2958" s="114">
        <v>1</v>
      </c>
      <c r="H2958" s="114">
        <v>8500</v>
      </c>
      <c r="I2958" s="114">
        <v>8500</v>
      </c>
      <c r="J2958" s="114">
        <v>7143</v>
      </c>
      <c r="K2958" s="114">
        <v>1357</v>
      </c>
      <c r="L2958" s="114" t="str">
        <f t="shared" si="46"/>
        <v>INSERT INTO DETALLES_DOCUMENTO(NRO_DOCUMENTO,ID_TIPO,ID_PRODUCTO,CANTIDAD,PRECIO,VALOR_BRUTO,VALOR_NETO,VALOR_IVA) VALUES(1413,1,288,1,8500,8500,7143,1357);</v>
      </c>
    </row>
    <row r="2959" spans="1:12">
      <c r="A2959" s="114">
        <v>1</v>
      </c>
      <c r="B2959" s="114">
        <v>1413</v>
      </c>
      <c r="C2959" s="139" t="s">
        <v>2401</v>
      </c>
      <c r="D2959" s="114" t="s">
        <v>2090</v>
      </c>
      <c r="E2959" s="114">
        <v>69</v>
      </c>
      <c r="F2959" s="114">
        <v>371</v>
      </c>
      <c r="G2959" s="114">
        <v>1</v>
      </c>
      <c r="H2959" s="114">
        <v>9500</v>
      </c>
      <c r="I2959" s="114">
        <v>9500</v>
      </c>
      <c r="J2959" s="114">
        <v>7983</v>
      </c>
      <c r="K2959" s="114">
        <v>1517</v>
      </c>
      <c r="L2959" s="114" t="str">
        <f t="shared" si="46"/>
        <v>INSERT INTO DETALLES_DOCUMENTO(NRO_DOCUMENTO,ID_TIPO,ID_PRODUCTO,CANTIDAD,PRECIO,VALOR_BRUTO,VALOR_NETO,VALOR_IVA) VALUES(1413,1,371,1,9500,9500,7983,1517);</v>
      </c>
    </row>
    <row r="2960" spans="1:12">
      <c r="A2960" s="114">
        <v>1</v>
      </c>
      <c r="B2960" s="114">
        <v>1414</v>
      </c>
      <c r="C2960" s="139" t="s">
        <v>2401</v>
      </c>
      <c r="D2960" s="114" t="s">
        <v>2090</v>
      </c>
      <c r="E2960" s="114">
        <v>267</v>
      </c>
      <c r="F2960" s="114">
        <v>143</v>
      </c>
      <c r="G2960" s="114">
        <v>1</v>
      </c>
      <c r="H2960" s="114">
        <v>8000</v>
      </c>
      <c r="I2960" s="114">
        <v>8000</v>
      </c>
      <c r="J2960" s="114">
        <v>6723</v>
      </c>
      <c r="K2960" s="114">
        <v>1277</v>
      </c>
      <c r="L2960" s="114" t="str">
        <f t="shared" si="46"/>
        <v>INSERT INTO DETALLES_DOCUMENTO(NRO_DOCUMENTO,ID_TIPO,ID_PRODUCTO,CANTIDAD,PRECIO,VALOR_BRUTO,VALOR_NETO,VALOR_IVA) VALUES(1414,1,143,1,8000,8000,6723,1277);</v>
      </c>
    </row>
    <row r="2961" spans="1:12">
      <c r="A2961" s="114">
        <v>1</v>
      </c>
      <c r="B2961" s="114">
        <v>1415</v>
      </c>
      <c r="C2961" s="139" t="s">
        <v>2402</v>
      </c>
      <c r="D2961" s="114" t="s">
        <v>2090</v>
      </c>
      <c r="E2961" s="114">
        <v>98</v>
      </c>
      <c r="F2961" s="114">
        <v>324</v>
      </c>
      <c r="G2961" s="114">
        <v>1</v>
      </c>
      <c r="H2961" s="114">
        <v>11000</v>
      </c>
      <c r="I2961" s="114">
        <v>11000</v>
      </c>
      <c r="J2961" s="114">
        <v>9244</v>
      </c>
      <c r="K2961" s="114">
        <v>1756</v>
      </c>
      <c r="L2961" s="114" t="str">
        <f t="shared" si="46"/>
        <v>INSERT INTO DETALLES_DOCUMENTO(NRO_DOCUMENTO,ID_TIPO,ID_PRODUCTO,CANTIDAD,PRECIO,VALOR_BRUTO,VALOR_NETO,VALOR_IVA) VALUES(1415,1,324,1,11000,11000,9244,1756);</v>
      </c>
    </row>
    <row r="2962" spans="1:12">
      <c r="A2962" s="114">
        <v>1</v>
      </c>
      <c r="B2962" s="114">
        <v>1416</v>
      </c>
      <c r="C2962" s="139" t="s">
        <v>2402</v>
      </c>
      <c r="D2962" s="114" t="s">
        <v>2090</v>
      </c>
      <c r="E2962" s="114">
        <v>122</v>
      </c>
      <c r="F2962" s="114">
        <v>165</v>
      </c>
      <c r="G2962" s="114">
        <v>1</v>
      </c>
      <c r="H2962" s="114">
        <v>2000</v>
      </c>
      <c r="I2962" s="114">
        <v>2000</v>
      </c>
      <c r="J2962" s="114">
        <v>1681</v>
      </c>
      <c r="K2962" s="114">
        <v>319</v>
      </c>
      <c r="L2962" s="114" t="str">
        <f t="shared" si="46"/>
        <v>INSERT INTO DETALLES_DOCUMENTO(NRO_DOCUMENTO,ID_TIPO,ID_PRODUCTO,CANTIDAD,PRECIO,VALOR_BRUTO,VALOR_NETO,VALOR_IVA) VALUES(1416,1,165,1,2000,2000,1681,319);</v>
      </c>
    </row>
    <row r="2963" spans="1:12">
      <c r="A2963" s="114">
        <v>1</v>
      </c>
      <c r="B2963" s="114">
        <v>1416</v>
      </c>
      <c r="C2963" s="139" t="s">
        <v>2402</v>
      </c>
      <c r="D2963" s="114" t="s">
        <v>2090</v>
      </c>
      <c r="E2963" s="114">
        <v>122</v>
      </c>
      <c r="F2963" s="114">
        <v>261</v>
      </c>
      <c r="G2963" s="114">
        <v>1</v>
      </c>
      <c r="H2963" s="114">
        <v>7000</v>
      </c>
      <c r="I2963" s="114">
        <v>7000</v>
      </c>
      <c r="J2963" s="114">
        <v>5882</v>
      </c>
      <c r="K2963" s="114">
        <v>1118</v>
      </c>
      <c r="L2963" s="114" t="str">
        <f t="shared" si="46"/>
        <v>INSERT INTO DETALLES_DOCUMENTO(NRO_DOCUMENTO,ID_TIPO,ID_PRODUCTO,CANTIDAD,PRECIO,VALOR_BRUTO,VALOR_NETO,VALOR_IVA) VALUES(1416,1,261,1,7000,7000,5882,1118);</v>
      </c>
    </row>
    <row r="2964" spans="1:12">
      <c r="A2964" s="114">
        <v>1</v>
      </c>
      <c r="B2964" s="114">
        <v>1416</v>
      </c>
      <c r="C2964" s="139" t="s">
        <v>2402</v>
      </c>
      <c r="D2964" s="114" t="s">
        <v>2090</v>
      </c>
      <c r="E2964" s="114">
        <v>122</v>
      </c>
      <c r="F2964" s="114">
        <v>83</v>
      </c>
      <c r="G2964" s="114">
        <v>2</v>
      </c>
      <c r="H2964" s="114">
        <v>3200</v>
      </c>
      <c r="I2964" s="114">
        <v>6400</v>
      </c>
      <c r="J2964" s="114">
        <v>5378</v>
      </c>
      <c r="K2964" s="114">
        <v>1022</v>
      </c>
      <c r="L2964" s="114" t="str">
        <f t="shared" si="46"/>
        <v>INSERT INTO DETALLES_DOCUMENTO(NRO_DOCUMENTO,ID_TIPO,ID_PRODUCTO,CANTIDAD,PRECIO,VALOR_BRUTO,VALOR_NETO,VALOR_IVA) VALUES(1416,1,83,2,3200,6400,5378,1022);</v>
      </c>
    </row>
    <row r="2965" spans="1:12">
      <c r="A2965" s="114">
        <v>1</v>
      </c>
      <c r="B2965" s="114">
        <v>1416</v>
      </c>
      <c r="C2965" s="139" t="s">
        <v>2402</v>
      </c>
      <c r="D2965" s="114" t="s">
        <v>2090</v>
      </c>
      <c r="E2965" s="114">
        <v>122</v>
      </c>
      <c r="F2965" s="114">
        <v>171</v>
      </c>
      <c r="G2965" s="114">
        <v>1</v>
      </c>
      <c r="H2965" s="114">
        <v>3700</v>
      </c>
      <c r="I2965" s="114">
        <v>3700</v>
      </c>
      <c r="J2965" s="114">
        <v>3109</v>
      </c>
      <c r="K2965" s="114">
        <v>591</v>
      </c>
      <c r="L2965" s="114" t="str">
        <f t="shared" si="46"/>
        <v>INSERT INTO DETALLES_DOCUMENTO(NRO_DOCUMENTO,ID_TIPO,ID_PRODUCTO,CANTIDAD,PRECIO,VALOR_BRUTO,VALOR_NETO,VALOR_IVA) VALUES(1416,1,171,1,3700,3700,3109,591);</v>
      </c>
    </row>
    <row r="2966" spans="1:12">
      <c r="A2966" s="114">
        <v>1</v>
      </c>
      <c r="B2966" s="114">
        <v>1417</v>
      </c>
      <c r="C2966" s="139" t="s">
        <v>2402</v>
      </c>
      <c r="D2966" s="114" t="s">
        <v>2090</v>
      </c>
      <c r="E2966" s="114">
        <v>153</v>
      </c>
      <c r="F2966" s="114">
        <v>324</v>
      </c>
      <c r="G2966" s="114">
        <v>1</v>
      </c>
      <c r="H2966" s="114">
        <v>11000</v>
      </c>
      <c r="I2966" s="114">
        <v>11000</v>
      </c>
      <c r="J2966" s="114">
        <v>9244</v>
      </c>
      <c r="K2966" s="114">
        <v>1756</v>
      </c>
      <c r="L2966" s="114" t="str">
        <f t="shared" si="46"/>
        <v>INSERT INTO DETALLES_DOCUMENTO(NRO_DOCUMENTO,ID_TIPO,ID_PRODUCTO,CANTIDAD,PRECIO,VALOR_BRUTO,VALOR_NETO,VALOR_IVA) VALUES(1417,1,324,1,11000,11000,9244,1756);</v>
      </c>
    </row>
    <row r="2967" spans="1:12">
      <c r="A2967" s="114">
        <v>1</v>
      </c>
      <c r="B2967" s="114">
        <v>1417</v>
      </c>
      <c r="C2967" s="139" t="s">
        <v>2402</v>
      </c>
      <c r="D2967" s="114" t="s">
        <v>2090</v>
      </c>
      <c r="E2967" s="114">
        <v>153</v>
      </c>
      <c r="F2967" s="114">
        <v>286</v>
      </c>
      <c r="G2967" s="114">
        <v>1</v>
      </c>
      <c r="H2967" s="114">
        <v>1100</v>
      </c>
      <c r="I2967" s="114">
        <v>1100</v>
      </c>
      <c r="J2967" s="114">
        <v>924</v>
      </c>
      <c r="K2967" s="114">
        <v>176</v>
      </c>
      <c r="L2967" s="114" t="str">
        <f t="shared" si="46"/>
        <v>INSERT INTO DETALLES_DOCUMENTO(NRO_DOCUMENTO,ID_TIPO,ID_PRODUCTO,CANTIDAD,PRECIO,VALOR_BRUTO,VALOR_NETO,VALOR_IVA) VALUES(1417,1,286,1,1100,1100,924,176);</v>
      </c>
    </row>
    <row r="2968" spans="1:12">
      <c r="A2968" s="114">
        <v>1</v>
      </c>
      <c r="B2968" s="114">
        <v>1417</v>
      </c>
      <c r="C2968" s="139" t="s">
        <v>2402</v>
      </c>
      <c r="D2968" s="114" t="s">
        <v>2090</v>
      </c>
      <c r="E2968" s="114">
        <v>153</v>
      </c>
      <c r="F2968" s="114">
        <v>98</v>
      </c>
      <c r="G2968" s="114">
        <v>1</v>
      </c>
      <c r="H2968" s="114">
        <v>3500</v>
      </c>
      <c r="I2968" s="114">
        <v>3500</v>
      </c>
      <c r="J2968" s="114">
        <v>2941</v>
      </c>
      <c r="K2968" s="114">
        <v>559</v>
      </c>
      <c r="L2968" s="114" t="str">
        <f t="shared" si="46"/>
        <v>INSERT INTO DETALLES_DOCUMENTO(NRO_DOCUMENTO,ID_TIPO,ID_PRODUCTO,CANTIDAD,PRECIO,VALOR_BRUTO,VALOR_NETO,VALOR_IVA) VALUES(1417,1,98,1,3500,3500,2941,559);</v>
      </c>
    </row>
    <row r="2969" spans="1:12">
      <c r="A2969" s="114">
        <v>1</v>
      </c>
      <c r="B2969" s="114">
        <v>1417</v>
      </c>
      <c r="C2969" s="139" t="s">
        <v>2402</v>
      </c>
      <c r="D2969" s="114" t="s">
        <v>2090</v>
      </c>
      <c r="E2969" s="114">
        <v>153</v>
      </c>
      <c r="F2969" s="114">
        <v>97</v>
      </c>
      <c r="G2969" s="114">
        <v>1</v>
      </c>
      <c r="H2969" s="114">
        <v>2000</v>
      </c>
      <c r="I2969" s="114">
        <v>2000</v>
      </c>
      <c r="J2969" s="114">
        <v>1681</v>
      </c>
      <c r="K2969" s="114">
        <v>319</v>
      </c>
      <c r="L2969" s="114" t="str">
        <f t="shared" si="46"/>
        <v>INSERT INTO DETALLES_DOCUMENTO(NRO_DOCUMENTO,ID_TIPO,ID_PRODUCTO,CANTIDAD,PRECIO,VALOR_BRUTO,VALOR_NETO,VALOR_IVA) VALUES(1417,1,97,1,2000,2000,1681,319);</v>
      </c>
    </row>
    <row r="2970" spans="1:12">
      <c r="A2970" s="114">
        <v>1</v>
      </c>
      <c r="B2970" s="114">
        <v>1417</v>
      </c>
      <c r="C2970" s="139" t="s">
        <v>2402</v>
      </c>
      <c r="D2970" s="114" t="s">
        <v>2090</v>
      </c>
      <c r="E2970" s="114">
        <v>153</v>
      </c>
      <c r="F2970" s="114">
        <v>354</v>
      </c>
      <c r="G2970" s="114">
        <v>1</v>
      </c>
      <c r="H2970" s="114">
        <v>1800</v>
      </c>
      <c r="I2970" s="114">
        <v>1800</v>
      </c>
      <c r="J2970" s="114">
        <v>1513</v>
      </c>
      <c r="K2970" s="114">
        <v>287</v>
      </c>
      <c r="L2970" s="114" t="str">
        <f t="shared" si="46"/>
        <v>INSERT INTO DETALLES_DOCUMENTO(NRO_DOCUMENTO,ID_TIPO,ID_PRODUCTO,CANTIDAD,PRECIO,VALOR_BRUTO,VALOR_NETO,VALOR_IVA) VALUES(1417,1,354,1,1800,1800,1513,287);</v>
      </c>
    </row>
    <row r="2971" spans="1:12">
      <c r="A2971" s="114">
        <v>1</v>
      </c>
      <c r="B2971" s="114">
        <v>1417</v>
      </c>
      <c r="C2971" s="139" t="s">
        <v>2402</v>
      </c>
      <c r="D2971" s="114" t="s">
        <v>2090</v>
      </c>
      <c r="E2971" s="114">
        <v>153</v>
      </c>
      <c r="F2971" s="114">
        <v>254</v>
      </c>
      <c r="G2971" s="114">
        <v>1</v>
      </c>
      <c r="H2971" s="114">
        <v>2000</v>
      </c>
      <c r="I2971" s="114">
        <v>2000</v>
      </c>
      <c r="J2971" s="114">
        <v>1681</v>
      </c>
      <c r="K2971" s="114">
        <v>319</v>
      </c>
      <c r="L2971" s="114" t="str">
        <f t="shared" si="46"/>
        <v>INSERT INTO DETALLES_DOCUMENTO(NRO_DOCUMENTO,ID_TIPO,ID_PRODUCTO,CANTIDAD,PRECIO,VALOR_BRUTO,VALOR_NETO,VALOR_IVA) VALUES(1417,1,254,1,2000,2000,1681,319);</v>
      </c>
    </row>
    <row r="2972" spans="1:12">
      <c r="A2972" s="114">
        <v>1</v>
      </c>
      <c r="B2972" s="114">
        <v>1418</v>
      </c>
      <c r="C2972" s="139" t="s">
        <v>2402</v>
      </c>
      <c r="D2972" s="114" t="s">
        <v>2090</v>
      </c>
      <c r="E2972" s="114">
        <v>166</v>
      </c>
      <c r="F2972" s="114">
        <v>274</v>
      </c>
      <c r="G2972" s="114">
        <v>1</v>
      </c>
      <c r="H2972" s="114">
        <v>7500</v>
      </c>
      <c r="I2972" s="114">
        <v>7500</v>
      </c>
      <c r="J2972" s="114">
        <v>6303</v>
      </c>
      <c r="K2972" s="114">
        <v>1197</v>
      </c>
      <c r="L2972" s="114" t="str">
        <f t="shared" si="46"/>
        <v>INSERT INTO DETALLES_DOCUMENTO(NRO_DOCUMENTO,ID_TIPO,ID_PRODUCTO,CANTIDAD,PRECIO,VALOR_BRUTO,VALOR_NETO,VALOR_IVA) VALUES(1418,1,274,1,7500,7500,6303,1197);</v>
      </c>
    </row>
    <row r="2973" spans="1:12">
      <c r="A2973" s="114">
        <v>1</v>
      </c>
      <c r="B2973" s="114">
        <v>1419</v>
      </c>
      <c r="C2973" s="139" t="s">
        <v>2402</v>
      </c>
      <c r="D2973" s="114" t="s">
        <v>2090</v>
      </c>
      <c r="E2973" s="114">
        <v>222</v>
      </c>
      <c r="F2973" s="114">
        <v>167</v>
      </c>
      <c r="G2973" s="114">
        <v>2</v>
      </c>
      <c r="H2973" s="114">
        <v>16400</v>
      </c>
      <c r="I2973" s="114">
        <v>32800</v>
      </c>
      <c r="J2973" s="114">
        <v>27563</v>
      </c>
      <c r="K2973" s="114">
        <v>5237</v>
      </c>
      <c r="L2973" s="114" t="str">
        <f t="shared" si="46"/>
        <v>INSERT INTO DETALLES_DOCUMENTO(NRO_DOCUMENTO,ID_TIPO,ID_PRODUCTO,CANTIDAD,PRECIO,VALOR_BRUTO,VALOR_NETO,VALOR_IVA) VALUES(1419,1,167,2,16400,32800,27563,5237);</v>
      </c>
    </row>
    <row r="2974" spans="1:12">
      <c r="A2974" s="114">
        <v>1</v>
      </c>
      <c r="B2974" s="114">
        <v>1419</v>
      </c>
      <c r="C2974" s="139" t="s">
        <v>2402</v>
      </c>
      <c r="D2974" s="114" t="s">
        <v>2090</v>
      </c>
      <c r="E2974" s="114">
        <v>222</v>
      </c>
      <c r="F2974" s="114">
        <v>117</v>
      </c>
      <c r="G2974" s="114">
        <v>1</v>
      </c>
      <c r="H2974" s="114">
        <v>3500</v>
      </c>
      <c r="I2974" s="114">
        <v>3500</v>
      </c>
      <c r="J2974" s="114">
        <v>2941</v>
      </c>
      <c r="K2974" s="114">
        <v>559</v>
      </c>
      <c r="L2974" s="114" t="str">
        <f t="shared" si="46"/>
        <v>INSERT INTO DETALLES_DOCUMENTO(NRO_DOCUMENTO,ID_TIPO,ID_PRODUCTO,CANTIDAD,PRECIO,VALOR_BRUTO,VALOR_NETO,VALOR_IVA) VALUES(1419,1,117,1,3500,3500,2941,559);</v>
      </c>
    </row>
    <row r="2975" spans="1:12">
      <c r="A2975" s="114">
        <v>1</v>
      </c>
      <c r="B2975" s="114">
        <v>1419</v>
      </c>
      <c r="C2975" s="139" t="s">
        <v>2402</v>
      </c>
      <c r="D2975" s="114" t="s">
        <v>2090</v>
      </c>
      <c r="E2975" s="114">
        <v>222</v>
      </c>
      <c r="F2975" s="114">
        <v>98</v>
      </c>
      <c r="G2975" s="114">
        <v>1</v>
      </c>
      <c r="H2975" s="114">
        <v>3500</v>
      </c>
      <c r="I2975" s="114">
        <v>3500</v>
      </c>
      <c r="J2975" s="114">
        <v>2941</v>
      </c>
      <c r="K2975" s="114">
        <v>559</v>
      </c>
      <c r="L2975" s="114" t="str">
        <f t="shared" si="46"/>
        <v>INSERT INTO DETALLES_DOCUMENTO(NRO_DOCUMENTO,ID_TIPO,ID_PRODUCTO,CANTIDAD,PRECIO,VALOR_BRUTO,VALOR_NETO,VALOR_IVA) VALUES(1419,1,98,1,3500,3500,2941,559);</v>
      </c>
    </row>
    <row r="2976" spans="1:12">
      <c r="A2976" s="114">
        <v>1</v>
      </c>
      <c r="B2976" s="114">
        <v>1420</v>
      </c>
      <c r="C2976" s="139" t="s">
        <v>2402</v>
      </c>
      <c r="D2976" s="114" t="s">
        <v>2090</v>
      </c>
      <c r="E2976" s="114">
        <v>323</v>
      </c>
      <c r="F2976" s="114">
        <v>167</v>
      </c>
      <c r="G2976" s="114">
        <v>1</v>
      </c>
      <c r="H2976" s="114">
        <v>8200</v>
      </c>
      <c r="I2976" s="114">
        <v>8200</v>
      </c>
      <c r="J2976" s="114">
        <v>6891</v>
      </c>
      <c r="K2976" s="114">
        <v>1309</v>
      </c>
      <c r="L2976" s="114" t="str">
        <f t="shared" si="46"/>
        <v>INSERT INTO DETALLES_DOCUMENTO(NRO_DOCUMENTO,ID_TIPO,ID_PRODUCTO,CANTIDAD,PRECIO,VALOR_BRUTO,VALOR_NETO,VALOR_IVA) VALUES(1420,1,167,1,8200,8200,6891,1309);</v>
      </c>
    </row>
    <row r="2977" spans="1:12">
      <c r="A2977" s="114">
        <v>1</v>
      </c>
      <c r="B2977" s="114">
        <v>1420</v>
      </c>
      <c r="C2977" s="139" t="s">
        <v>2402</v>
      </c>
      <c r="D2977" s="114" t="s">
        <v>2090</v>
      </c>
      <c r="E2977" s="114">
        <v>323</v>
      </c>
      <c r="F2977" s="114">
        <v>264</v>
      </c>
      <c r="G2977" s="114">
        <v>1</v>
      </c>
      <c r="H2977" s="114">
        <v>5000</v>
      </c>
      <c r="I2977" s="114">
        <v>5000</v>
      </c>
      <c r="J2977" s="114">
        <v>4202</v>
      </c>
      <c r="K2977" s="114">
        <v>798</v>
      </c>
      <c r="L2977" s="114" t="str">
        <f t="shared" si="46"/>
        <v>INSERT INTO DETALLES_DOCUMENTO(NRO_DOCUMENTO,ID_TIPO,ID_PRODUCTO,CANTIDAD,PRECIO,VALOR_BRUTO,VALOR_NETO,VALOR_IVA) VALUES(1420,1,264,1,5000,5000,4202,798);</v>
      </c>
    </row>
    <row r="2978" spans="1:12">
      <c r="A2978" s="114">
        <v>1</v>
      </c>
      <c r="B2978" s="114">
        <v>1421</v>
      </c>
      <c r="C2978" s="139" t="s">
        <v>2402</v>
      </c>
      <c r="D2978" s="114" t="s">
        <v>2090</v>
      </c>
      <c r="E2978" s="114">
        <v>334</v>
      </c>
      <c r="F2978" s="114">
        <v>223</v>
      </c>
      <c r="G2978" s="114">
        <v>1</v>
      </c>
      <c r="H2978" s="114">
        <v>24000</v>
      </c>
      <c r="I2978" s="114">
        <v>24000</v>
      </c>
      <c r="J2978" s="114">
        <v>20168</v>
      </c>
      <c r="K2978" s="114">
        <v>3832</v>
      </c>
      <c r="L2978" s="114" t="str">
        <f t="shared" si="46"/>
        <v>INSERT INTO DETALLES_DOCUMENTO(NRO_DOCUMENTO,ID_TIPO,ID_PRODUCTO,CANTIDAD,PRECIO,VALOR_BRUTO,VALOR_NETO,VALOR_IVA) VALUES(1421,1,223,1,24000,24000,20168,3832);</v>
      </c>
    </row>
    <row r="2979" spans="1:12">
      <c r="A2979" s="114">
        <v>1</v>
      </c>
      <c r="B2979" s="114">
        <v>1421</v>
      </c>
      <c r="C2979" s="139" t="s">
        <v>2402</v>
      </c>
      <c r="D2979" s="114" t="s">
        <v>2090</v>
      </c>
      <c r="E2979" s="114">
        <v>334</v>
      </c>
      <c r="F2979" s="114">
        <v>265</v>
      </c>
      <c r="G2979" s="114">
        <v>1</v>
      </c>
      <c r="H2979" s="114">
        <v>10000</v>
      </c>
      <c r="I2979" s="114">
        <v>10000</v>
      </c>
      <c r="J2979" s="114">
        <v>8403</v>
      </c>
      <c r="K2979" s="114">
        <v>1597</v>
      </c>
      <c r="L2979" s="114" t="str">
        <f t="shared" si="46"/>
        <v>INSERT INTO DETALLES_DOCUMENTO(NRO_DOCUMENTO,ID_TIPO,ID_PRODUCTO,CANTIDAD,PRECIO,VALOR_BRUTO,VALOR_NETO,VALOR_IVA) VALUES(1421,1,265,1,10000,10000,8403,1597);</v>
      </c>
    </row>
    <row r="2980" spans="1:12">
      <c r="A2980" s="114">
        <v>1</v>
      </c>
      <c r="B2980" s="114">
        <v>1422</v>
      </c>
      <c r="C2980" s="139" t="s">
        <v>2402</v>
      </c>
      <c r="D2980" s="114" t="s">
        <v>2090</v>
      </c>
      <c r="E2980" s="114">
        <v>376</v>
      </c>
      <c r="F2980" s="114">
        <v>143</v>
      </c>
      <c r="G2980" s="114">
        <v>1</v>
      </c>
      <c r="H2980" s="114">
        <v>8000</v>
      </c>
      <c r="I2980" s="114">
        <v>8000</v>
      </c>
      <c r="J2980" s="114">
        <v>6723</v>
      </c>
      <c r="K2980" s="114">
        <v>1277</v>
      </c>
      <c r="L2980" s="114" t="str">
        <f t="shared" si="46"/>
        <v>INSERT INTO DETALLES_DOCUMENTO(NRO_DOCUMENTO,ID_TIPO,ID_PRODUCTO,CANTIDAD,PRECIO,VALOR_BRUTO,VALOR_NETO,VALOR_IVA) VALUES(1422,1,143,1,8000,8000,6723,1277);</v>
      </c>
    </row>
    <row r="2981" spans="1:12">
      <c r="A2981" s="114">
        <v>1</v>
      </c>
      <c r="B2981" s="114">
        <v>1423</v>
      </c>
      <c r="C2981" s="139" t="s">
        <v>2402</v>
      </c>
      <c r="D2981" s="114" t="s">
        <v>2090</v>
      </c>
      <c r="E2981" s="114">
        <v>389</v>
      </c>
      <c r="F2981" s="114">
        <v>288</v>
      </c>
      <c r="G2981" s="114">
        <v>2</v>
      </c>
      <c r="H2981" s="114">
        <v>17000</v>
      </c>
      <c r="I2981" s="114">
        <v>34000</v>
      </c>
      <c r="J2981" s="114">
        <v>28571</v>
      </c>
      <c r="K2981" s="114">
        <v>5429</v>
      </c>
      <c r="L2981" s="114" t="str">
        <f t="shared" si="46"/>
        <v>INSERT INTO DETALLES_DOCUMENTO(NRO_DOCUMENTO,ID_TIPO,ID_PRODUCTO,CANTIDAD,PRECIO,VALOR_BRUTO,VALOR_NETO,VALOR_IVA) VALUES(1423,1,288,2,17000,34000,28571,5429);</v>
      </c>
    </row>
    <row r="2982" spans="1:12">
      <c r="A2982" s="114">
        <v>1</v>
      </c>
      <c r="B2982" s="114">
        <v>1424</v>
      </c>
      <c r="C2982" s="139" t="s">
        <v>2402</v>
      </c>
      <c r="D2982" s="114" t="s">
        <v>2090</v>
      </c>
      <c r="E2982" s="114">
        <v>474</v>
      </c>
      <c r="F2982" s="114">
        <v>289</v>
      </c>
      <c r="G2982" s="114">
        <v>1</v>
      </c>
      <c r="H2982" s="114">
        <v>19500</v>
      </c>
      <c r="I2982" s="114">
        <v>19500</v>
      </c>
      <c r="J2982" s="114">
        <v>16387</v>
      </c>
      <c r="K2982" s="114">
        <v>3113</v>
      </c>
      <c r="L2982" s="114" t="str">
        <f t="shared" si="46"/>
        <v>INSERT INTO DETALLES_DOCUMENTO(NRO_DOCUMENTO,ID_TIPO,ID_PRODUCTO,CANTIDAD,PRECIO,VALOR_BRUTO,VALOR_NETO,VALOR_IVA) VALUES(1424,1,289,1,19500,19500,16387,3113);</v>
      </c>
    </row>
    <row r="2983" spans="1:12">
      <c r="A2983" s="114">
        <v>1</v>
      </c>
      <c r="B2983" s="114">
        <v>1424</v>
      </c>
      <c r="C2983" s="139" t="s">
        <v>2402</v>
      </c>
      <c r="D2983" s="114" t="s">
        <v>2090</v>
      </c>
      <c r="E2983" s="114">
        <v>474</v>
      </c>
      <c r="F2983" s="114">
        <v>225</v>
      </c>
      <c r="G2983" s="114">
        <v>1</v>
      </c>
      <c r="H2983" s="114">
        <v>19500</v>
      </c>
      <c r="I2983" s="114">
        <v>19500</v>
      </c>
      <c r="J2983" s="114">
        <v>16387</v>
      </c>
      <c r="K2983" s="114">
        <v>3113</v>
      </c>
      <c r="L2983" s="114" t="str">
        <f t="shared" si="46"/>
        <v>INSERT INTO DETALLES_DOCUMENTO(NRO_DOCUMENTO,ID_TIPO,ID_PRODUCTO,CANTIDAD,PRECIO,VALOR_BRUTO,VALOR_NETO,VALOR_IVA) VALUES(1424,1,225,1,19500,19500,16387,3113);</v>
      </c>
    </row>
    <row r="2984" spans="1:12">
      <c r="A2984" s="114">
        <v>1</v>
      </c>
      <c r="B2984" s="114">
        <v>1425</v>
      </c>
      <c r="C2984" s="139" t="s">
        <v>2402</v>
      </c>
      <c r="D2984" s="114" t="s">
        <v>2090</v>
      </c>
      <c r="E2984" s="114">
        <v>483</v>
      </c>
      <c r="F2984" s="114">
        <v>322</v>
      </c>
      <c r="G2984" s="114">
        <v>2</v>
      </c>
      <c r="H2984" s="114">
        <v>18000</v>
      </c>
      <c r="I2984" s="114">
        <v>36000</v>
      </c>
      <c r="J2984" s="114">
        <v>30252</v>
      </c>
      <c r="K2984" s="114">
        <v>5748</v>
      </c>
      <c r="L2984" s="114" t="str">
        <f t="shared" si="46"/>
        <v>INSERT INTO DETALLES_DOCUMENTO(NRO_DOCUMENTO,ID_TIPO,ID_PRODUCTO,CANTIDAD,PRECIO,VALOR_BRUTO,VALOR_NETO,VALOR_IVA) VALUES(1425,1,322,2,18000,36000,30252,5748);</v>
      </c>
    </row>
    <row r="2985" spans="1:12">
      <c r="A2985" s="114">
        <v>1</v>
      </c>
      <c r="B2985" s="114">
        <v>1426</v>
      </c>
      <c r="C2985" s="139" t="s">
        <v>2403</v>
      </c>
      <c r="D2985" s="114" t="s">
        <v>2090</v>
      </c>
      <c r="E2985" s="114">
        <v>135</v>
      </c>
      <c r="F2985" s="114">
        <v>167</v>
      </c>
      <c r="G2985" s="114">
        <v>2</v>
      </c>
      <c r="H2985" s="114">
        <v>16400</v>
      </c>
      <c r="I2985" s="114">
        <v>32800</v>
      </c>
      <c r="J2985" s="114">
        <v>27563</v>
      </c>
      <c r="K2985" s="114">
        <v>5237</v>
      </c>
      <c r="L2985" s="114" t="str">
        <f t="shared" si="46"/>
        <v>INSERT INTO DETALLES_DOCUMENTO(NRO_DOCUMENTO,ID_TIPO,ID_PRODUCTO,CANTIDAD,PRECIO,VALOR_BRUTO,VALOR_NETO,VALOR_IVA) VALUES(1426,1,167,2,16400,32800,27563,5237);</v>
      </c>
    </row>
    <row r="2986" spans="1:12">
      <c r="A2986" s="114">
        <v>1</v>
      </c>
      <c r="B2986" s="114">
        <v>1427</v>
      </c>
      <c r="C2986" s="139" t="s">
        <v>2403</v>
      </c>
      <c r="D2986" s="114" t="s">
        <v>2090</v>
      </c>
      <c r="E2986" s="114">
        <v>151</v>
      </c>
      <c r="F2986" s="114">
        <v>117</v>
      </c>
      <c r="G2986" s="114">
        <v>1</v>
      </c>
      <c r="H2986" s="114">
        <v>3500</v>
      </c>
      <c r="I2986" s="114">
        <v>3500</v>
      </c>
      <c r="J2986" s="114">
        <v>2941</v>
      </c>
      <c r="K2986" s="114">
        <v>559</v>
      </c>
      <c r="L2986" s="114" t="str">
        <f t="shared" si="46"/>
        <v>INSERT INTO DETALLES_DOCUMENTO(NRO_DOCUMENTO,ID_TIPO,ID_PRODUCTO,CANTIDAD,PRECIO,VALOR_BRUTO,VALOR_NETO,VALOR_IVA) VALUES(1427,1,117,1,3500,3500,2941,559);</v>
      </c>
    </row>
    <row r="2987" spans="1:12">
      <c r="A2987" s="114">
        <v>1</v>
      </c>
      <c r="B2987" s="114">
        <v>1427</v>
      </c>
      <c r="C2987" s="139" t="s">
        <v>2403</v>
      </c>
      <c r="D2987" s="114" t="s">
        <v>2090</v>
      </c>
      <c r="E2987" s="114">
        <v>151</v>
      </c>
      <c r="F2987" s="114">
        <v>165</v>
      </c>
      <c r="G2987" s="114">
        <v>1</v>
      </c>
      <c r="H2987" s="114">
        <v>2000</v>
      </c>
      <c r="I2987" s="114">
        <v>2000</v>
      </c>
      <c r="J2987" s="114">
        <v>1681</v>
      </c>
      <c r="K2987" s="114">
        <v>319</v>
      </c>
      <c r="L2987" s="114" t="str">
        <f t="shared" si="46"/>
        <v>INSERT INTO DETALLES_DOCUMENTO(NRO_DOCUMENTO,ID_TIPO,ID_PRODUCTO,CANTIDAD,PRECIO,VALOR_BRUTO,VALOR_NETO,VALOR_IVA) VALUES(1427,1,165,1,2000,2000,1681,319);</v>
      </c>
    </row>
    <row r="2988" spans="1:12">
      <c r="A2988" s="114">
        <v>1</v>
      </c>
      <c r="B2988" s="114">
        <v>1427</v>
      </c>
      <c r="C2988" s="139" t="s">
        <v>2403</v>
      </c>
      <c r="D2988" s="114" t="s">
        <v>2090</v>
      </c>
      <c r="E2988" s="114">
        <v>151</v>
      </c>
      <c r="F2988" s="114">
        <v>143</v>
      </c>
      <c r="G2988" s="114">
        <v>1</v>
      </c>
      <c r="H2988" s="114">
        <v>8000</v>
      </c>
      <c r="I2988" s="114">
        <v>8000</v>
      </c>
      <c r="J2988" s="114">
        <v>6723</v>
      </c>
      <c r="K2988" s="114">
        <v>1277</v>
      </c>
      <c r="L2988" s="114" t="str">
        <f t="shared" si="46"/>
        <v>INSERT INTO DETALLES_DOCUMENTO(NRO_DOCUMENTO,ID_TIPO,ID_PRODUCTO,CANTIDAD,PRECIO,VALOR_BRUTO,VALOR_NETO,VALOR_IVA) VALUES(1427,1,143,1,8000,8000,6723,1277);</v>
      </c>
    </row>
    <row r="2989" spans="1:12">
      <c r="A2989" s="114">
        <v>1</v>
      </c>
      <c r="B2989" s="114">
        <v>1428</v>
      </c>
      <c r="C2989" s="139" t="s">
        <v>2403</v>
      </c>
      <c r="D2989" s="114" t="s">
        <v>2090</v>
      </c>
      <c r="E2989" s="114">
        <v>164</v>
      </c>
      <c r="F2989" s="114">
        <v>231</v>
      </c>
      <c r="G2989" s="114">
        <v>1</v>
      </c>
      <c r="H2989" s="114">
        <v>20900</v>
      </c>
      <c r="I2989" s="114">
        <v>20900</v>
      </c>
      <c r="J2989" s="114">
        <v>17563</v>
      </c>
      <c r="K2989" s="114">
        <v>3337</v>
      </c>
      <c r="L2989" s="114" t="str">
        <f t="shared" si="46"/>
        <v>INSERT INTO DETALLES_DOCUMENTO(NRO_DOCUMENTO,ID_TIPO,ID_PRODUCTO,CANTIDAD,PRECIO,VALOR_BRUTO,VALOR_NETO,VALOR_IVA) VALUES(1428,1,231,1,20900,20900,17563,3337);</v>
      </c>
    </row>
    <row r="2990" spans="1:12">
      <c r="A2990" s="114">
        <v>1</v>
      </c>
      <c r="B2990" s="114">
        <v>1429</v>
      </c>
      <c r="C2990" s="139" t="s">
        <v>2403</v>
      </c>
      <c r="D2990" s="114" t="s">
        <v>2090</v>
      </c>
      <c r="E2990" s="114">
        <v>187</v>
      </c>
      <c r="F2990" s="114">
        <v>167</v>
      </c>
      <c r="G2990" s="114">
        <v>1</v>
      </c>
      <c r="H2990" s="114">
        <v>8200</v>
      </c>
      <c r="I2990" s="114">
        <v>8200</v>
      </c>
      <c r="J2990" s="114">
        <v>6891</v>
      </c>
      <c r="K2990" s="114">
        <v>1309</v>
      </c>
      <c r="L2990" s="114" t="str">
        <f t="shared" si="46"/>
        <v>INSERT INTO DETALLES_DOCUMENTO(NRO_DOCUMENTO,ID_TIPO,ID_PRODUCTO,CANTIDAD,PRECIO,VALOR_BRUTO,VALOR_NETO,VALOR_IVA) VALUES(1429,1,167,1,8200,8200,6891,1309);</v>
      </c>
    </row>
    <row r="2991" spans="1:12">
      <c r="A2991" s="114">
        <v>1</v>
      </c>
      <c r="B2991" s="114">
        <v>1429</v>
      </c>
      <c r="C2991" s="139" t="s">
        <v>2403</v>
      </c>
      <c r="D2991" s="114" t="s">
        <v>2090</v>
      </c>
      <c r="E2991" s="114">
        <v>187</v>
      </c>
      <c r="F2991" s="114">
        <v>324</v>
      </c>
      <c r="G2991" s="114">
        <v>1</v>
      </c>
      <c r="H2991" s="114">
        <v>11000</v>
      </c>
      <c r="I2991" s="114">
        <v>11000</v>
      </c>
      <c r="J2991" s="114">
        <v>9244</v>
      </c>
      <c r="K2991" s="114">
        <v>1756</v>
      </c>
      <c r="L2991" s="114" t="str">
        <f t="shared" si="46"/>
        <v>INSERT INTO DETALLES_DOCUMENTO(NRO_DOCUMENTO,ID_TIPO,ID_PRODUCTO,CANTIDAD,PRECIO,VALOR_BRUTO,VALOR_NETO,VALOR_IVA) VALUES(1429,1,324,1,11000,11000,9244,1756);</v>
      </c>
    </row>
    <row r="2992" spans="1:12">
      <c r="A2992" s="114">
        <v>1</v>
      </c>
      <c r="B2992" s="114">
        <v>1429</v>
      </c>
      <c r="C2992" s="139" t="s">
        <v>2403</v>
      </c>
      <c r="D2992" s="114" t="s">
        <v>2090</v>
      </c>
      <c r="E2992" s="114">
        <v>187</v>
      </c>
      <c r="F2992" s="114">
        <v>124</v>
      </c>
      <c r="G2992" s="114">
        <v>1</v>
      </c>
      <c r="H2992" s="114">
        <v>4000</v>
      </c>
      <c r="I2992" s="114">
        <v>4000</v>
      </c>
      <c r="J2992" s="114">
        <v>3361</v>
      </c>
      <c r="K2992" s="114">
        <v>639</v>
      </c>
      <c r="L2992" s="114" t="str">
        <f t="shared" si="46"/>
        <v>INSERT INTO DETALLES_DOCUMENTO(NRO_DOCUMENTO,ID_TIPO,ID_PRODUCTO,CANTIDAD,PRECIO,VALOR_BRUTO,VALOR_NETO,VALOR_IVA) VALUES(1429,1,124,1,4000,4000,3361,639);</v>
      </c>
    </row>
    <row r="2993" spans="1:12">
      <c r="A2993" s="114">
        <v>1</v>
      </c>
      <c r="B2993" s="114">
        <v>1430</v>
      </c>
      <c r="C2993" s="139" t="s">
        <v>2403</v>
      </c>
      <c r="D2993" s="114" t="s">
        <v>2090</v>
      </c>
      <c r="E2993" s="114">
        <v>230</v>
      </c>
      <c r="F2993" s="114">
        <v>143</v>
      </c>
      <c r="G2993" s="114">
        <v>2</v>
      </c>
      <c r="H2993" s="114">
        <v>16000</v>
      </c>
      <c r="I2993" s="114">
        <v>32000</v>
      </c>
      <c r="J2993" s="114">
        <v>26891</v>
      </c>
      <c r="K2993" s="114">
        <v>5109</v>
      </c>
      <c r="L2993" s="114" t="str">
        <f t="shared" si="46"/>
        <v>INSERT INTO DETALLES_DOCUMENTO(NRO_DOCUMENTO,ID_TIPO,ID_PRODUCTO,CANTIDAD,PRECIO,VALOR_BRUTO,VALOR_NETO,VALOR_IVA) VALUES(1430,1,143,2,16000,32000,26891,5109);</v>
      </c>
    </row>
    <row r="2994" spans="1:12">
      <c r="A2994" s="114">
        <v>1</v>
      </c>
      <c r="B2994" s="114">
        <v>1431</v>
      </c>
      <c r="C2994" s="139" t="s">
        <v>2403</v>
      </c>
      <c r="D2994" s="114" t="s">
        <v>2090</v>
      </c>
      <c r="E2994" s="114">
        <v>357</v>
      </c>
      <c r="F2994" s="114">
        <v>167</v>
      </c>
      <c r="G2994" s="114">
        <v>1</v>
      </c>
      <c r="H2994" s="114">
        <v>8200</v>
      </c>
      <c r="I2994" s="114">
        <v>8200</v>
      </c>
      <c r="J2994" s="114">
        <v>6891</v>
      </c>
      <c r="K2994" s="114">
        <v>1309</v>
      </c>
      <c r="L2994" s="114" t="str">
        <f t="shared" si="46"/>
        <v>INSERT INTO DETALLES_DOCUMENTO(NRO_DOCUMENTO,ID_TIPO,ID_PRODUCTO,CANTIDAD,PRECIO,VALOR_BRUTO,VALOR_NETO,VALOR_IVA) VALUES(1431,1,167,1,8200,8200,6891,1309);</v>
      </c>
    </row>
    <row r="2995" spans="1:12">
      <c r="A2995" s="114">
        <v>1</v>
      </c>
      <c r="B2995" s="114">
        <v>1432</v>
      </c>
      <c r="C2995" s="139" t="s">
        <v>2403</v>
      </c>
      <c r="D2995" s="114" t="s">
        <v>2090</v>
      </c>
      <c r="E2995" s="114">
        <v>360</v>
      </c>
      <c r="F2995" s="114">
        <v>230</v>
      </c>
      <c r="G2995" s="114">
        <v>1</v>
      </c>
      <c r="H2995" s="114">
        <v>16500</v>
      </c>
      <c r="I2995" s="114">
        <v>16500</v>
      </c>
      <c r="J2995" s="114">
        <v>13866</v>
      </c>
      <c r="K2995" s="114">
        <v>2634</v>
      </c>
      <c r="L2995" s="114" t="str">
        <f t="shared" si="46"/>
        <v>INSERT INTO DETALLES_DOCUMENTO(NRO_DOCUMENTO,ID_TIPO,ID_PRODUCTO,CANTIDAD,PRECIO,VALOR_BRUTO,VALOR_NETO,VALOR_IVA) VALUES(1432,1,230,1,16500,16500,13866,2634);</v>
      </c>
    </row>
    <row r="2996" spans="1:12">
      <c r="A2996" s="114">
        <v>1</v>
      </c>
      <c r="B2996" s="114">
        <v>1432</v>
      </c>
      <c r="C2996" s="139" t="s">
        <v>2403</v>
      </c>
      <c r="D2996" s="114" t="s">
        <v>2090</v>
      </c>
      <c r="E2996" s="114">
        <v>360</v>
      </c>
      <c r="F2996" s="114">
        <v>46</v>
      </c>
      <c r="G2996" s="114">
        <v>1</v>
      </c>
      <c r="H2996" s="114">
        <v>2500</v>
      </c>
      <c r="I2996" s="114">
        <v>2500</v>
      </c>
      <c r="J2996" s="114">
        <v>2101</v>
      </c>
      <c r="K2996" s="114">
        <v>399</v>
      </c>
      <c r="L2996" s="114" t="str">
        <f t="shared" si="46"/>
        <v>INSERT INTO DETALLES_DOCUMENTO(NRO_DOCUMENTO,ID_TIPO,ID_PRODUCTO,CANTIDAD,PRECIO,VALOR_BRUTO,VALOR_NETO,VALOR_IVA) VALUES(1432,1,46,1,2500,2500,2101,399);</v>
      </c>
    </row>
    <row r="2997" spans="1:12">
      <c r="A2997" s="114">
        <v>1</v>
      </c>
      <c r="B2997" s="114">
        <v>1432</v>
      </c>
      <c r="C2997" s="139" t="s">
        <v>2403</v>
      </c>
      <c r="D2997" s="114" t="s">
        <v>2090</v>
      </c>
      <c r="E2997" s="114">
        <v>360</v>
      </c>
      <c r="F2997" s="114">
        <v>117</v>
      </c>
      <c r="G2997" s="114">
        <v>1</v>
      </c>
      <c r="H2997" s="114">
        <v>3500</v>
      </c>
      <c r="I2997" s="114">
        <v>3500</v>
      </c>
      <c r="J2997" s="114">
        <v>2941</v>
      </c>
      <c r="K2997" s="114">
        <v>559</v>
      </c>
      <c r="L2997" s="114" t="str">
        <f t="shared" si="46"/>
        <v>INSERT INTO DETALLES_DOCUMENTO(NRO_DOCUMENTO,ID_TIPO,ID_PRODUCTO,CANTIDAD,PRECIO,VALOR_BRUTO,VALOR_NETO,VALOR_IVA) VALUES(1432,1,117,1,3500,3500,2941,559);</v>
      </c>
    </row>
    <row r="2998" spans="1:12">
      <c r="A2998" s="114">
        <v>1</v>
      </c>
      <c r="B2998" s="114">
        <v>1432</v>
      </c>
      <c r="C2998" s="139" t="s">
        <v>2403</v>
      </c>
      <c r="D2998" s="114" t="s">
        <v>2090</v>
      </c>
      <c r="E2998" s="114">
        <v>360</v>
      </c>
      <c r="F2998" s="114">
        <v>165</v>
      </c>
      <c r="G2998" s="114">
        <v>1</v>
      </c>
      <c r="H2998" s="114">
        <v>2000</v>
      </c>
      <c r="I2998" s="114">
        <v>2000</v>
      </c>
      <c r="J2998" s="114">
        <v>1681</v>
      </c>
      <c r="K2998" s="114">
        <v>319</v>
      </c>
      <c r="L2998" s="114" t="str">
        <f t="shared" si="46"/>
        <v>INSERT INTO DETALLES_DOCUMENTO(NRO_DOCUMENTO,ID_TIPO,ID_PRODUCTO,CANTIDAD,PRECIO,VALOR_BRUTO,VALOR_NETO,VALOR_IVA) VALUES(1432,1,165,1,2000,2000,1681,319);</v>
      </c>
    </row>
    <row r="2999" spans="1:12">
      <c r="A2999" s="114">
        <v>1</v>
      </c>
      <c r="B2999" s="114">
        <v>1433</v>
      </c>
      <c r="C2999" s="139" t="s">
        <v>2403</v>
      </c>
      <c r="D2999" s="114" t="s">
        <v>2090</v>
      </c>
      <c r="E2999" s="114">
        <v>382</v>
      </c>
      <c r="F2999" s="114">
        <v>143</v>
      </c>
      <c r="G2999" s="114">
        <v>1</v>
      </c>
      <c r="H2999" s="114">
        <v>8000</v>
      </c>
      <c r="I2999" s="114">
        <v>8000</v>
      </c>
      <c r="J2999" s="114">
        <v>6723</v>
      </c>
      <c r="K2999" s="114">
        <v>1277</v>
      </c>
      <c r="L2999" s="114" t="str">
        <f t="shared" si="46"/>
        <v>INSERT INTO DETALLES_DOCUMENTO(NRO_DOCUMENTO,ID_TIPO,ID_PRODUCTO,CANTIDAD,PRECIO,VALOR_BRUTO,VALOR_NETO,VALOR_IVA) VALUES(1433,1,143,1,8000,8000,6723,1277);</v>
      </c>
    </row>
    <row r="3000" spans="1:12">
      <c r="A3000" s="114">
        <v>1</v>
      </c>
      <c r="B3000" s="114">
        <v>1434</v>
      </c>
      <c r="C3000" s="139" t="s">
        <v>2403</v>
      </c>
      <c r="D3000" s="114" t="s">
        <v>2090</v>
      </c>
      <c r="E3000" s="114">
        <v>483</v>
      </c>
      <c r="F3000" s="114">
        <v>126</v>
      </c>
      <c r="G3000" s="114">
        <v>1</v>
      </c>
      <c r="H3000" s="114">
        <v>9000</v>
      </c>
      <c r="I3000" s="114">
        <v>9000</v>
      </c>
      <c r="J3000" s="114">
        <v>7563</v>
      </c>
      <c r="K3000" s="114">
        <v>1437</v>
      </c>
      <c r="L3000" s="114" t="str">
        <f t="shared" si="46"/>
        <v>INSERT INTO DETALLES_DOCUMENTO(NRO_DOCUMENTO,ID_TIPO,ID_PRODUCTO,CANTIDAD,PRECIO,VALOR_BRUTO,VALOR_NETO,VALOR_IVA) VALUES(1434,1,126,1,9000,9000,7563,1437);</v>
      </c>
    </row>
    <row r="3001" spans="1:12">
      <c r="A3001" s="114">
        <v>1</v>
      </c>
      <c r="B3001" s="114">
        <v>1434</v>
      </c>
      <c r="C3001" s="139" t="s">
        <v>2403</v>
      </c>
      <c r="D3001" s="114" t="s">
        <v>2090</v>
      </c>
      <c r="E3001" s="114">
        <v>483</v>
      </c>
      <c r="F3001" s="114">
        <v>288</v>
      </c>
      <c r="G3001" s="114">
        <v>1</v>
      </c>
      <c r="H3001" s="114">
        <v>8500</v>
      </c>
      <c r="I3001" s="114">
        <v>8500</v>
      </c>
      <c r="J3001" s="114">
        <v>7143</v>
      </c>
      <c r="K3001" s="114">
        <v>1357</v>
      </c>
      <c r="L3001" s="114" t="str">
        <f t="shared" si="46"/>
        <v>INSERT INTO DETALLES_DOCUMENTO(NRO_DOCUMENTO,ID_TIPO,ID_PRODUCTO,CANTIDAD,PRECIO,VALOR_BRUTO,VALOR_NETO,VALOR_IVA) VALUES(1434,1,288,1,8500,8500,7143,1357);</v>
      </c>
    </row>
    <row r="3002" spans="1:12">
      <c r="A3002" s="114">
        <v>1</v>
      </c>
      <c r="B3002" s="114">
        <v>1434</v>
      </c>
      <c r="C3002" s="139" t="s">
        <v>2403</v>
      </c>
      <c r="D3002" s="114" t="s">
        <v>2090</v>
      </c>
      <c r="E3002" s="114">
        <v>483</v>
      </c>
      <c r="F3002" s="114">
        <v>11</v>
      </c>
      <c r="G3002" s="114">
        <v>2</v>
      </c>
      <c r="H3002" s="114">
        <v>5000</v>
      </c>
      <c r="I3002" s="114">
        <v>10000</v>
      </c>
      <c r="J3002" s="114">
        <v>8403</v>
      </c>
      <c r="K3002" s="114">
        <v>1597</v>
      </c>
      <c r="L3002" s="114" t="str">
        <f t="shared" si="46"/>
        <v>INSERT INTO DETALLES_DOCUMENTO(NRO_DOCUMENTO,ID_TIPO,ID_PRODUCTO,CANTIDAD,PRECIO,VALOR_BRUTO,VALOR_NETO,VALOR_IVA) VALUES(1434,1,11,2,5000,10000,8403,1597);</v>
      </c>
    </row>
    <row r="3003" spans="1:12">
      <c r="A3003" s="114">
        <v>1</v>
      </c>
      <c r="B3003" s="114">
        <v>1434</v>
      </c>
      <c r="C3003" s="139" t="s">
        <v>2403</v>
      </c>
      <c r="D3003" s="114" t="s">
        <v>2090</v>
      </c>
      <c r="E3003" s="114">
        <v>483</v>
      </c>
      <c r="F3003" s="114">
        <v>267</v>
      </c>
      <c r="G3003" s="114">
        <v>2</v>
      </c>
      <c r="H3003" s="114">
        <v>3200</v>
      </c>
      <c r="I3003" s="114">
        <v>6400</v>
      </c>
      <c r="J3003" s="114">
        <v>5378</v>
      </c>
      <c r="K3003" s="114">
        <v>1022</v>
      </c>
      <c r="L3003" s="114" t="str">
        <f t="shared" si="46"/>
        <v>INSERT INTO DETALLES_DOCUMENTO(NRO_DOCUMENTO,ID_TIPO,ID_PRODUCTO,CANTIDAD,PRECIO,VALOR_BRUTO,VALOR_NETO,VALOR_IVA) VALUES(1434,1,267,2,3200,6400,5378,1022);</v>
      </c>
    </row>
    <row r="3004" spans="1:12">
      <c r="A3004" s="114">
        <v>1</v>
      </c>
      <c r="B3004" s="114">
        <v>1434</v>
      </c>
      <c r="C3004" s="139" t="s">
        <v>2403</v>
      </c>
      <c r="D3004" s="114" t="s">
        <v>2090</v>
      </c>
      <c r="E3004" s="114">
        <v>483</v>
      </c>
      <c r="F3004" s="114">
        <v>259</v>
      </c>
      <c r="G3004" s="114">
        <v>1</v>
      </c>
      <c r="H3004" s="114">
        <v>4500</v>
      </c>
      <c r="I3004" s="114">
        <v>4500</v>
      </c>
      <c r="J3004" s="114">
        <v>3782</v>
      </c>
      <c r="K3004" s="114">
        <v>718</v>
      </c>
      <c r="L3004" s="114" t="str">
        <f t="shared" si="46"/>
        <v>INSERT INTO DETALLES_DOCUMENTO(NRO_DOCUMENTO,ID_TIPO,ID_PRODUCTO,CANTIDAD,PRECIO,VALOR_BRUTO,VALOR_NETO,VALOR_IVA) VALUES(1434,1,259,1,4500,4500,3782,718);</v>
      </c>
    </row>
    <row r="3005" spans="1:12">
      <c r="A3005" s="114">
        <v>1</v>
      </c>
      <c r="B3005" s="114">
        <v>1434</v>
      </c>
      <c r="C3005" s="139" t="s">
        <v>2403</v>
      </c>
      <c r="D3005" s="114" t="s">
        <v>2090</v>
      </c>
      <c r="E3005" s="114">
        <v>483</v>
      </c>
      <c r="F3005" s="114">
        <v>150</v>
      </c>
      <c r="G3005" s="114">
        <v>1</v>
      </c>
      <c r="H3005" s="114">
        <v>4200</v>
      </c>
      <c r="I3005" s="114">
        <v>4200</v>
      </c>
      <c r="J3005" s="114">
        <v>3529</v>
      </c>
      <c r="K3005" s="114">
        <v>671</v>
      </c>
      <c r="L3005" s="114" t="str">
        <f t="shared" si="46"/>
        <v>INSERT INTO DETALLES_DOCUMENTO(NRO_DOCUMENTO,ID_TIPO,ID_PRODUCTO,CANTIDAD,PRECIO,VALOR_BRUTO,VALOR_NETO,VALOR_IVA) VALUES(1434,1,150,1,4200,4200,3529,671);</v>
      </c>
    </row>
    <row r="3006" spans="1:12">
      <c r="A3006" s="114">
        <v>1</v>
      </c>
      <c r="B3006" s="114">
        <v>1434</v>
      </c>
      <c r="C3006" s="139" t="s">
        <v>2403</v>
      </c>
      <c r="D3006" s="114" t="s">
        <v>2090</v>
      </c>
      <c r="E3006" s="114">
        <v>483</v>
      </c>
      <c r="F3006" s="114">
        <v>99</v>
      </c>
      <c r="G3006" s="114">
        <v>2</v>
      </c>
      <c r="H3006" s="114">
        <v>3400</v>
      </c>
      <c r="I3006" s="114">
        <v>6800</v>
      </c>
      <c r="J3006" s="114">
        <v>5714</v>
      </c>
      <c r="K3006" s="114">
        <v>1086</v>
      </c>
      <c r="L3006" s="114" t="str">
        <f t="shared" si="46"/>
        <v>INSERT INTO DETALLES_DOCUMENTO(NRO_DOCUMENTO,ID_TIPO,ID_PRODUCTO,CANTIDAD,PRECIO,VALOR_BRUTO,VALOR_NETO,VALOR_IVA) VALUES(1434,1,99,2,3400,6800,5714,1086);</v>
      </c>
    </row>
    <row r="3007" spans="1:12">
      <c r="A3007" s="114">
        <v>1</v>
      </c>
      <c r="B3007" s="114">
        <v>1434</v>
      </c>
      <c r="C3007" s="139" t="s">
        <v>2403</v>
      </c>
      <c r="D3007" s="114" t="s">
        <v>2090</v>
      </c>
      <c r="E3007" s="114">
        <v>483</v>
      </c>
      <c r="F3007" s="114">
        <v>166</v>
      </c>
      <c r="G3007" s="114">
        <v>3</v>
      </c>
      <c r="H3007" s="114">
        <v>4800</v>
      </c>
      <c r="I3007" s="114">
        <v>14400</v>
      </c>
      <c r="J3007" s="114">
        <v>12101</v>
      </c>
      <c r="K3007" s="114">
        <v>2299</v>
      </c>
      <c r="L3007" s="114" t="str">
        <f t="shared" si="46"/>
        <v>INSERT INTO DETALLES_DOCUMENTO(NRO_DOCUMENTO,ID_TIPO,ID_PRODUCTO,CANTIDAD,PRECIO,VALOR_BRUTO,VALOR_NETO,VALOR_IVA) VALUES(1434,1,166,3,4800,14400,12101,2299);</v>
      </c>
    </row>
    <row r="3008" spans="1:12">
      <c r="A3008" s="114">
        <v>1</v>
      </c>
      <c r="B3008" s="114">
        <v>1434</v>
      </c>
      <c r="C3008" s="139" t="s">
        <v>2403</v>
      </c>
      <c r="D3008" s="114" t="s">
        <v>2090</v>
      </c>
      <c r="E3008" s="114">
        <v>483</v>
      </c>
      <c r="F3008" s="114">
        <v>231</v>
      </c>
      <c r="G3008" s="114">
        <v>1</v>
      </c>
      <c r="H3008" s="114">
        <v>20900</v>
      </c>
      <c r="I3008" s="114">
        <v>20900</v>
      </c>
      <c r="J3008" s="114">
        <v>17563</v>
      </c>
      <c r="K3008" s="114">
        <v>3337</v>
      </c>
      <c r="L3008" s="114" t="str">
        <f t="shared" si="46"/>
        <v>INSERT INTO DETALLES_DOCUMENTO(NRO_DOCUMENTO,ID_TIPO,ID_PRODUCTO,CANTIDAD,PRECIO,VALOR_BRUTO,VALOR_NETO,VALOR_IVA) VALUES(1434,1,231,1,20900,20900,17563,3337);</v>
      </c>
    </row>
    <row r="3009" spans="1:12">
      <c r="A3009" s="114">
        <v>1</v>
      </c>
      <c r="B3009" s="114">
        <v>1434</v>
      </c>
      <c r="C3009" s="139" t="s">
        <v>2403</v>
      </c>
      <c r="D3009" s="114" t="s">
        <v>2090</v>
      </c>
      <c r="E3009" s="114">
        <v>483</v>
      </c>
      <c r="F3009" s="114">
        <v>228</v>
      </c>
      <c r="G3009" s="114">
        <v>1</v>
      </c>
      <c r="H3009" s="114">
        <v>21500</v>
      </c>
      <c r="I3009" s="114">
        <v>21500</v>
      </c>
      <c r="J3009" s="114">
        <v>18067</v>
      </c>
      <c r="K3009" s="114">
        <v>3433</v>
      </c>
      <c r="L3009" s="114" t="str">
        <f t="shared" si="46"/>
        <v>INSERT INTO DETALLES_DOCUMENTO(NRO_DOCUMENTO,ID_TIPO,ID_PRODUCTO,CANTIDAD,PRECIO,VALOR_BRUTO,VALOR_NETO,VALOR_IVA) VALUES(1434,1,228,1,21500,21500,18067,3433);</v>
      </c>
    </row>
    <row r="3010" spans="1:12">
      <c r="A3010" s="114">
        <v>1</v>
      </c>
      <c r="B3010" s="114">
        <v>1434</v>
      </c>
      <c r="C3010" s="139" t="s">
        <v>2403</v>
      </c>
      <c r="D3010" s="114" t="s">
        <v>2090</v>
      </c>
      <c r="E3010" s="114">
        <v>483</v>
      </c>
      <c r="F3010" s="114">
        <v>229</v>
      </c>
      <c r="G3010" s="114">
        <v>1</v>
      </c>
      <c r="H3010" s="114">
        <v>18500</v>
      </c>
      <c r="I3010" s="114">
        <v>18500</v>
      </c>
      <c r="J3010" s="114">
        <v>15546</v>
      </c>
      <c r="K3010" s="114">
        <v>2954</v>
      </c>
      <c r="L3010" s="114" t="str">
        <f t="shared" si="46"/>
        <v>INSERT INTO DETALLES_DOCUMENTO(NRO_DOCUMENTO,ID_TIPO,ID_PRODUCTO,CANTIDAD,PRECIO,VALOR_BRUTO,VALOR_NETO,VALOR_IVA) VALUES(1434,1,229,1,18500,18500,15546,2954);</v>
      </c>
    </row>
    <row r="3011" spans="1:12">
      <c r="A3011" s="114">
        <v>1</v>
      </c>
      <c r="B3011" s="114">
        <v>1434</v>
      </c>
      <c r="C3011" s="139" t="s">
        <v>2403</v>
      </c>
      <c r="D3011" s="114" t="s">
        <v>2090</v>
      </c>
      <c r="E3011" s="114">
        <v>483</v>
      </c>
      <c r="F3011" s="114">
        <v>360</v>
      </c>
      <c r="G3011" s="114">
        <v>2</v>
      </c>
      <c r="H3011" s="114">
        <v>6000</v>
      </c>
      <c r="I3011" s="114">
        <v>12000</v>
      </c>
      <c r="J3011" s="114">
        <v>10084</v>
      </c>
      <c r="K3011" s="114">
        <v>1916</v>
      </c>
      <c r="L3011" s="114" t="str">
        <f t="shared" ref="L3011:L3074" si="47">CONCATENATE("INSERT INTO DETALLES_DOCUMENTO(NRO_DOCUMENTO,ID_TIPO,ID_PRODUCTO,CANTIDAD,PRECIO,VALOR_BRUTO,VALOR_NETO,VALOR_IVA) VALUES(",B3011,",",A3011,",",F3011,",",G3011,",",H3011,",",I3011,",",J3011,",",K3011,");")</f>
        <v>INSERT INTO DETALLES_DOCUMENTO(NRO_DOCUMENTO,ID_TIPO,ID_PRODUCTO,CANTIDAD,PRECIO,VALOR_BRUTO,VALOR_NETO,VALOR_IVA) VALUES(1434,1,360,2,6000,12000,10084,1916);</v>
      </c>
    </row>
    <row r="3012" spans="1:12">
      <c r="A3012" s="114">
        <v>1</v>
      </c>
      <c r="B3012" s="114">
        <v>1434</v>
      </c>
      <c r="C3012" s="139" t="s">
        <v>2403</v>
      </c>
      <c r="D3012" s="114" t="s">
        <v>2090</v>
      </c>
      <c r="E3012" s="114">
        <v>483</v>
      </c>
      <c r="F3012" s="114">
        <v>357</v>
      </c>
      <c r="G3012" s="114">
        <v>1</v>
      </c>
      <c r="H3012" s="114">
        <v>1800</v>
      </c>
      <c r="I3012" s="114">
        <v>1800</v>
      </c>
      <c r="J3012" s="114">
        <v>1513</v>
      </c>
      <c r="K3012" s="114">
        <v>287</v>
      </c>
      <c r="L3012" s="114" t="str">
        <f t="shared" si="47"/>
        <v>INSERT INTO DETALLES_DOCUMENTO(NRO_DOCUMENTO,ID_TIPO,ID_PRODUCTO,CANTIDAD,PRECIO,VALOR_BRUTO,VALOR_NETO,VALOR_IVA) VALUES(1434,1,357,1,1800,1800,1513,287);</v>
      </c>
    </row>
    <row r="3013" spans="1:12">
      <c r="A3013" s="114">
        <v>1</v>
      </c>
      <c r="B3013" s="114">
        <v>1435</v>
      </c>
      <c r="C3013" s="139" t="s">
        <v>2404</v>
      </c>
      <c r="D3013" s="114" t="s">
        <v>2090</v>
      </c>
      <c r="E3013" s="114">
        <v>76</v>
      </c>
      <c r="F3013" s="114">
        <v>324</v>
      </c>
      <c r="G3013" s="114">
        <v>1</v>
      </c>
      <c r="H3013" s="114">
        <v>11000</v>
      </c>
      <c r="I3013" s="114">
        <v>11000</v>
      </c>
      <c r="J3013" s="114">
        <v>9244</v>
      </c>
      <c r="K3013" s="114">
        <v>1756</v>
      </c>
      <c r="L3013" s="114" t="str">
        <f t="shared" si="47"/>
        <v>INSERT INTO DETALLES_DOCUMENTO(NRO_DOCUMENTO,ID_TIPO,ID_PRODUCTO,CANTIDAD,PRECIO,VALOR_BRUTO,VALOR_NETO,VALOR_IVA) VALUES(1435,1,324,1,11000,11000,9244,1756);</v>
      </c>
    </row>
    <row r="3014" spans="1:12">
      <c r="A3014" s="114">
        <v>1</v>
      </c>
      <c r="B3014" s="114">
        <v>1436</v>
      </c>
      <c r="C3014" s="139" t="s">
        <v>2404</v>
      </c>
      <c r="D3014" s="114" t="s">
        <v>2090</v>
      </c>
      <c r="E3014" s="114">
        <v>155</v>
      </c>
      <c r="F3014" s="114">
        <v>143</v>
      </c>
      <c r="G3014" s="114">
        <v>1</v>
      </c>
      <c r="H3014" s="114">
        <v>8000</v>
      </c>
      <c r="I3014" s="114">
        <v>8000</v>
      </c>
      <c r="J3014" s="114">
        <v>6723</v>
      </c>
      <c r="K3014" s="114">
        <v>1277</v>
      </c>
      <c r="L3014" s="114" t="str">
        <f t="shared" si="47"/>
        <v>INSERT INTO DETALLES_DOCUMENTO(NRO_DOCUMENTO,ID_TIPO,ID_PRODUCTO,CANTIDAD,PRECIO,VALOR_BRUTO,VALOR_NETO,VALOR_IVA) VALUES(1436,1,143,1,8000,8000,6723,1277);</v>
      </c>
    </row>
    <row r="3015" spans="1:12">
      <c r="A3015" s="114">
        <v>1</v>
      </c>
      <c r="B3015" s="114">
        <v>1437</v>
      </c>
      <c r="C3015" s="139" t="s">
        <v>2404</v>
      </c>
      <c r="D3015" s="114" t="s">
        <v>2090</v>
      </c>
      <c r="E3015" s="114">
        <v>199</v>
      </c>
      <c r="F3015" s="114">
        <v>143</v>
      </c>
      <c r="G3015" s="114">
        <v>1</v>
      </c>
      <c r="H3015" s="114">
        <v>8000</v>
      </c>
      <c r="I3015" s="114">
        <v>8000</v>
      </c>
      <c r="J3015" s="114">
        <v>6723</v>
      </c>
      <c r="K3015" s="114">
        <v>1277</v>
      </c>
      <c r="L3015" s="114" t="str">
        <f t="shared" si="47"/>
        <v>INSERT INTO DETALLES_DOCUMENTO(NRO_DOCUMENTO,ID_TIPO,ID_PRODUCTO,CANTIDAD,PRECIO,VALOR_BRUTO,VALOR_NETO,VALOR_IVA) VALUES(1437,1,143,1,8000,8000,6723,1277);</v>
      </c>
    </row>
    <row r="3016" spans="1:12">
      <c r="A3016" s="114">
        <v>1</v>
      </c>
      <c r="B3016" s="114">
        <v>1438</v>
      </c>
      <c r="C3016" s="139" t="s">
        <v>2404</v>
      </c>
      <c r="D3016" s="114" t="s">
        <v>2090</v>
      </c>
      <c r="E3016" s="114">
        <v>300</v>
      </c>
      <c r="F3016" s="114">
        <v>118</v>
      </c>
      <c r="G3016" s="114">
        <v>2</v>
      </c>
      <c r="H3016" s="114">
        <v>7000</v>
      </c>
      <c r="I3016" s="114">
        <v>14000</v>
      </c>
      <c r="J3016" s="114">
        <v>11765</v>
      </c>
      <c r="K3016" s="114">
        <v>2235</v>
      </c>
      <c r="L3016" s="114" t="str">
        <f t="shared" si="47"/>
        <v>INSERT INTO DETALLES_DOCUMENTO(NRO_DOCUMENTO,ID_TIPO,ID_PRODUCTO,CANTIDAD,PRECIO,VALOR_BRUTO,VALOR_NETO,VALOR_IVA) VALUES(1438,1,118,2,7000,14000,11765,2235);</v>
      </c>
    </row>
    <row r="3017" spans="1:12">
      <c r="A3017" s="114">
        <v>1</v>
      </c>
      <c r="B3017" s="114">
        <v>1439</v>
      </c>
      <c r="C3017" s="139" t="s">
        <v>2404</v>
      </c>
      <c r="D3017" s="114" t="s">
        <v>2090</v>
      </c>
      <c r="E3017" s="114">
        <v>394</v>
      </c>
      <c r="F3017" s="114">
        <v>235</v>
      </c>
      <c r="G3017" s="114">
        <v>1</v>
      </c>
      <c r="H3017" s="114">
        <v>15500</v>
      </c>
      <c r="I3017" s="114">
        <v>15500</v>
      </c>
      <c r="J3017" s="114">
        <v>13025</v>
      </c>
      <c r="K3017" s="114">
        <v>2475</v>
      </c>
      <c r="L3017" s="114" t="str">
        <f t="shared" si="47"/>
        <v>INSERT INTO DETALLES_DOCUMENTO(NRO_DOCUMENTO,ID_TIPO,ID_PRODUCTO,CANTIDAD,PRECIO,VALOR_BRUTO,VALOR_NETO,VALOR_IVA) VALUES(1439,1,235,1,15500,15500,13025,2475);</v>
      </c>
    </row>
    <row r="3018" spans="1:12">
      <c r="A3018" s="114">
        <v>1</v>
      </c>
      <c r="B3018" s="114">
        <v>1439</v>
      </c>
      <c r="C3018" s="139" t="s">
        <v>2404</v>
      </c>
      <c r="D3018" s="114" t="s">
        <v>2090</v>
      </c>
      <c r="E3018" s="114">
        <v>394</v>
      </c>
      <c r="F3018" s="114">
        <v>277</v>
      </c>
      <c r="G3018" s="114">
        <v>1</v>
      </c>
      <c r="H3018" s="114">
        <v>10000</v>
      </c>
      <c r="I3018" s="114">
        <v>10000</v>
      </c>
      <c r="J3018" s="114">
        <v>8403</v>
      </c>
      <c r="K3018" s="114">
        <v>1597</v>
      </c>
      <c r="L3018" s="114" t="str">
        <f t="shared" si="47"/>
        <v>INSERT INTO DETALLES_DOCUMENTO(NRO_DOCUMENTO,ID_TIPO,ID_PRODUCTO,CANTIDAD,PRECIO,VALOR_BRUTO,VALOR_NETO,VALOR_IVA) VALUES(1439,1,277,1,10000,10000,8403,1597);</v>
      </c>
    </row>
    <row r="3019" spans="1:12">
      <c r="A3019" s="114">
        <v>1</v>
      </c>
      <c r="B3019" s="114">
        <v>1440</v>
      </c>
      <c r="C3019" s="139" t="s">
        <v>2404</v>
      </c>
      <c r="D3019" s="114" t="s">
        <v>2090</v>
      </c>
      <c r="E3019" s="114">
        <v>407</v>
      </c>
      <c r="F3019" s="114">
        <v>143</v>
      </c>
      <c r="G3019" s="114">
        <v>1</v>
      </c>
      <c r="H3019" s="114">
        <v>8000</v>
      </c>
      <c r="I3019" s="114">
        <v>8000</v>
      </c>
      <c r="J3019" s="114">
        <v>6723</v>
      </c>
      <c r="K3019" s="114">
        <v>1277</v>
      </c>
      <c r="L3019" s="114" t="str">
        <f t="shared" si="47"/>
        <v>INSERT INTO DETALLES_DOCUMENTO(NRO_DOCUMENTO,ID_TIPO,ID_PRODUCTO,CANTIDAD,PRECIO,VALOR_BRUTO,VALOR_NETO,VALOR_IVA) VALUES(1440,1,143,1,8000,8000,6723,1277);</v>
      </c>
    </row>
    <row r="3020" spans="1:12">
      <c r="A3020" s="114">
        <v>1</v>
      </c>
      <c r="B3020" s="114">
        <v>1440</v>
      </c>
      <c r="C3020" s="139" t="s">
        <v>2404</v>
      </c>
      <c r="D3020" s="114" t="s">
        <v>2090</v>
      </c>
      <c r="E3020" s="114">
        <v>407</v>
      </c>
      <c r="F3020" s="114">
        <v>329</v>
      </c>
      <c r="G3020" s="114">
        <v>1</v>
      </c>
      <c r="H3020" s="114">
        <v>6000</v>
      </c>
      <c r="I3020" s="114">
        <v>6000</v>
      </c>
      <c r="J3020" s="114">
        <v>5042</v>
      </c>
      <c r="K3020" s="114">
        <v>958</v>
      </c>
      <c r="L3020" s="114" t="str">
        <f t="shared" si="47"/>
        <v>INSERT INTO DETALLES_DOCUMENTO(NRO_DOCUMENTO,ID_TIPO,ID_PRODUCTO,CANTIDAD,PRECIO,VALOR_BRUTO,VALOR_NETO,VALOR_IVA) VALUES(1440,1,329,1,6000,6000,5042,958);</v>
      </c>
    </row>
    <row r="3021" spans="1:12">
      <c r="A3021" s="114">
        <v>1</v>
      </c>
      <c r="B3021" s="114">
        <v>1441</v>
      </c>
      <c r="C3021" s="139" t="s">
        <v>2405</v>
      </c>
      <c r="D3021" s="114" t="s">
        <v>2090</v>
      </c>
      <c r="E3021" s="114">
        <v>97</v>
      </c>
      <c r="F3021" s="114">
        <v>322</v>
      </c>
      <c r="G3021" s="114">
        <v>1</v>
      </c>
      <c r="H3021" s="114">
        <v>9000</v>
      </c>
      <c r="I3021" s="114">
        <v>9000</v>
      </c>
      <c r="J3021" s="114">
        <v>7563</v>
      </c>
      <c r="K3021" s="114">
        <v>1437</v>
      </c>
      <c r="L3021" s="114" t="str">
        <f t="shared" si="47"/>
        <v>INSERT INTO DETALLES_DOCUMENTO(NRO_DOCUMENTO,ID_TIPO,ID_PRODUCTO,CANTIDAD,PRECIO,VALOR_BRUTO,VALOR_NETO,VALOR_IVA) VALUES(1441,1,322,1,9000,9000,7563,1437);</v>
      </c>
    </row>
    <row r="3022" spans="1:12">
      <c r="A3022" s="114">
        <v>1</v>
      </c>
      <c r="B3022" s="114">
        <v>1441</v>
      </c>
      <c r="C3022" s="139" t="s">
        <v>2405</v>
      </c>
      <c r="D3022" s="114" t="s">
        <v>2090</v>
      </c>
      <c r="E3022" s="114">
        <v>97</v>
      </c>
      <c r="F3022" s="114">
        <v>143</v>
      </c>
      <c r="G3022" s="114">
        <v>1</v>
      </c>
      <c r="H3022" s="114">
        <v>8000</v>
      </c>
      <c r="I3022" s="114">
        <v>8000</v>
      </c>
      <c r="J3022" s="114">
        <v>6723</v>
      </c>
      <c r="K3022" s="114">
        <v>1277</v>
      </c>
      <c r="L3022" s="114" t="str">
        <f t="shared" si="47"/>
        <v>INSERT INTO DETALLES_DOCUMENTO(NRO_DOCUMENTO,ID_TIPO,ID_PRODUCTO,CANTIDAD,PRECIO,VALOR_BRUTO,VALOR_NETO,VALOR_IVA) VALUES(1441,1,143,1,8000,8000,6723,1277);</v>
      </c>
    </row>
    <row r="3023" spans="1:12">
      <c r="A3023" s="114">
        <v>1</v>
      </c>
      <c r="B3023" s="114">
        <v>1442</v>
      </c>
      <c r="C3023" s="139" t="s">
        <v>2405</v>
      </c>
      <c r="D3023" s="114" t="s">
        <v>2090</v>
      </c>
      <c r="E3023" s="114">
        <v>122</v>
      </c>
      <c r="F3023" s="114">
        <v>244</v>
      </c>
      <c r="G3023" s="114">
        <v>1</v>
      </c>
      <c r="H3023" s="114">
        <v>14900</v>
      </c>
      <c r="I3023" s="114">
        <v>14900</v>
      </c>
      <c r="J3023" s="114">
        <v>12521</v>
      </c>
      <c r="K3023" s="114">
        <v>2379</v>
      </c>
      <c r="L3023" s="114" t="str">
        <f t="shared" si="47"/>
        <v>INSERT INTO DETALLES_DOCUMENTO(NRO_DOCUMENTO,ID_TIPO,ID_PRODUCTO,CANTIDAD,PRECIO,VALOR_BRUTO,VALOR_NETO,VALOR_IVA) VALUES(1442,1,244,1,14900,14900,12521,2379);</v>
      </c>
    </row>
    <row r="3024" spans="1:12">
      <c r="A3024" s="114">
        <v>1</v>
      </c>
      <c r="B3024" s="114">
        <v>1443</v>
      </c>
      <c r="C3024" s="139" t="s">
        <v>2405</v>
      </c>
      <c r="D3024" s="114" t="s">
        <v>2090</v>
      </c>
      <c r="E3024" s="114">
        <v>333</v>
      </c>
      <c r="F3024" s="114">
        <v>167</v>
      </c>
      <c r="G3024" s="114">
        <v>1</v>
      </c>
      <c r="H3024" s="114">
        <v>8200</v>
      </c>
      <c r="I3024" s="114">
        <v>8200</v>
      </c>
      <c r="J3024" s="114">
        <v>6891</v>
      </c>
      <c r="K3024" s="114">
        <v>1309</v>
      </c>
      <c r="L3024" s="114" t="str">
        <f t="shared" si="47"/>
        <v>INSERT INTO DETALLES_DOCUMENTO(NRO_DOCUMENTO,ID_TIPO,ID_PRODUCTO,CANTIDAD,PRECIO,VALOR_BRUTO,VALOR_NETO,VALOR_IVA) VALUES(1443,1,167,1,8200,8200,6891,1309);</v>
      </c>
    </row>
    <row r="3025" spans="1:12">
      <c r="A3025" s="114">
        <v>1</v>
      </c>
      <c r="B3025" s="114">
        <v>1444</v>
      </c>
      <c r="C3025" s="139" t="s">
        <v>2405</v>
      </c>
      <c r="D3025" s="114" t="s">
        <v>2090</v>
      </c>
      <c r="E3025" s="114">
        <v>345</v>
      </c>
      <c r="F3025" s="114">
        <v>231</v>
      </c>
      <c r="G3025" s="114">
        <v>1</v>
      </c>
      <c r="H3025" s="114">
        <v>20900</v>
      </c>
      <c r="I3025" s="114">
        <v>20900</v>
      </c>
      <c r="J3025" s="114">
        <v>17563</v>
      </c>
      <c r="K3025" s="114">
        <v>3337</v>
      </c>
      <c r="L3025" s="114" t="str">
        <f t="shared" si="47"/>
        <v>INSERT INTO DETALLES_DOCUMENTO(NRO_DOCUMENTO,ID_TIPO,ID_PRODUCTO,CANTIDAD,PRECIO,VALOR_BRUTO,VALOR_NETO,VALOR_IVA) VALUES(1444,1,231,1,20900,20900,17563,3337);</v>
      </c>
    </row>
    <row r="3026" spans="1:12">
      <c r="A3026" s="114">
        <v>1</v>
      </c>
      <c r="B3026" s="114">
        <v>1445</v>
      </c>
      <c r="C3026" s="139" t="s">
        <v>2405</v>
      </c>
      <c r="D3026" s="114" t="s">
        <v>2090</v>
      </c>
      <c r="E3026" s="114">
        <v>367</v>
      </c>
      <c r="F3026" s="114">
        <v>223</v>
      </c>
      <c r="G3026" s="114">
        <v>1</v>
      </c>
      <c r="H3026" s="114">
        <v>24000</v>
      </c>
      <c r="I3026" s="114">
        <v>24000</v>
      </c>
      <c r="J3026" s="114">
        <v>20168</v>
      </c>
      <c r="K3026" s="114">
        <v>3832</v>
      </c>
      <c r="L3026" s="114" t="str">
        <f t="shared" si="47"/>
        <v>INSERT INTO DETALLES_DOCUMENTO(NRO_DOCUMENTO,ID_TIPO,ID_PRODUCTO,CANTIDAD,PRECIO,VALOR_BRUTO,VALOR_NETO,VALOR_IVA) VALUES(1445,1,223,1,24000,24000,20168,3832);</v>
      </c>
    </row>
    <row r="3027" spans="1:12">
      <c r="A3027" s="114">
        <v>1</v>
      </c>
      <c r="B3027" s="114">
        <v>1446</v>
      </c>
      <c r="C3027" s="139" t="s">
        <v>2405</v>
      </c>
      <c r="D3027" s="114" t="s">
        <v>2090</v>
      </c>
      <c r="E3027" s="114">
        <v>397</v>
      </c>
      <c r="F3027" s="114">
        <v>223</v>
      </c>
      <c r="G3027" s="114">
        <v>1</v>
      </c>
      <c r="H3027" s="114">
        <v>24000</v>
      </c>
      <c r="I3027" s="114">
        <v>24000</v>
      </c>
      <c r="J3027" s="114">
        <v>20168</v>
      </c>
      <c r="K3027" s="114">
        <v>3832</v>
      </c>
      <c r="L3027" s="114" t="str">
        <f t="shared" si="47"/>
        <v>INSERT INTO DETALLES_DOCUMENTO(NRO_DOCUMENTO,ID_TIPO,ID_PRODUCTO,CANTIDAD,PRECIO,VALOR_BRUTO,VALOR_NETO,VALOR_IVA) VALUES(1446,1,223,1,24000,24000,20168,3832);</v>
      </c>
    </row>
    <row r="3028" spans="1:12">
      <c r="A3028" s="114">
        <v>1</v>
      </c>
      <c r="B3028" s="114">
        <v>1447</v>
      </c>
      <c r="C3028" s="139" t="s">
        <v>2405</v>
      </c>
      <c r="D3028" s="114" t="s">
        <v>2090</v>
      </c>
      <c r="E3028" s="114">
        <v>427</v>
      </c>
      <c r="F3028" s="114">
        <v>231</v>
      </c>
      <c r="G3028" s="114">
        <v>1</v>
      </c>
      <c r="H3028" s="114">
        <v>20900</v>
      </c>
      <c r="I3028" s="114">
        <v>20900</v>
      </c>
      <c r="J3028" s="114">
        <v>17563</v>
      </c>
      <c r="K3028" s="114">
        <v>3337</v>
      </c>
      <c r="L3028" s="114" t="str">
        <f t="shared" si="47"/>
        <v>INSERT INTO DETALLES_DOCUMENTO(NRO_DOCUMENTO,ID_TIPO,ID_PRODUCTO,CANTIDAD,PRECIO,VALOR_BRUTO,VALOR_NETO,VALOR_IVA) VALUES(1447,1,231,1,20900,20900,17563,3337);</v>
      </c>
    </row>
    <row r="3029" spans="1:12">
      <c r="A3029" s="114">
        <v>1</v>
      </c>
      <c r="B3029" s="114">
        <v>1447</v>
      </c>
      <c r="C3029" s="139" t="s">
        <v>2405</v>
      </c>
      <c r="D3029" s="114" t="s">
        <v>2090</v>
      </c>
      <c r="E3029" s="114">
        <v>427</v>
      </c>
      <c r="F3029" s="114">
        <v>368</v>
      </c>
      <c r="G3029" s="114">
        <v>1</v>
      </c>
      <c r="H3029" s="114">
        <v>3000</v>
      </c>
      <c r="I3029" s="114">
        <v>3000</v>
      </c>
      <c r="J3029" s="114">
        <v>2521</v>
      </c>
      <c r="K3029" s="114">
        <v>479</v>
      </c>
      <c r="L3029" s="114" t="str">
        <f t="shared" si="47"/>
        <v>INSERT INTO DETALLES_DOCUMENTO(NRO_DOCUMENTO,ID_TIPO,ID_PRODUCTO,CANTIDAD,PRECIO,VALOR_BRUTO,VALOR_NETO,VALOR_IVA) VALUES(1447,1,368,1,3000,3000,2521,479);</v>
      </c>
    </row>
    <row r="3030" spans="1:12">
      <c r="A3030" s="114">
        <v>1</v>
      </c>
      <c r="B3030" s="114">
        <v>1448</v>
      </c>
      <c r="C3030" s="139" t="s">
        <v>2405</v>
      </c>
      <c r="D3030" s="114" t="s">
        <v>2090</v>
      </c>
      <c r="E3030" s="114">
        <v>451</v>
      </c>
      <c r="F3030" s="114">
        <v>368</v>
      </c>
      <c r="G3030" s="114">
        <v>1</v>
      </c>
      <c r="H3030" s="114">
        <v>3000</v>
      </c>
      <c r="I3030" s="114">
        <v>3000</v>
      </c>
      <c r="J3030" s="114">
        <v>2521</v>
      </c>
      <c r="K3030" s="114">
        <v>479</v>
      </c>
      <c r="L3030" s="114" t="str">
        <f t="shared" si="47"/>
        <v>INSERT INTO DETALLES_DOCUMENTO(NRO_DOCUMENTO,ID_TIPO,ID_PRODUCTO,CANTIDAD,PRECIO,VALOR_BRUTO,VALOR_NETO,VALOR_IVA) VALUES(1448,1,368,1,3000,3000,2521,479);</v>
      </c>
    </row>
    <row r="3031" spans="1:12">
      <c r="A3031" s="114">
        <v>1</v>
      </c>
      <c r="B3031" s="114">
        <v>1448</v>
      </c>
      <c r="C3031" s="139" t="s">
        <v>2405</v>
      </c>
      <c r="D3031" s="114" t="s">
        <v>2090</v>
      </c>
      <c r="E3031" s="114">
        <v>451</v>
      </c>
      <c r="F3031" s="114">
        <v>329</v>
      </c>
      <c r="G3031" s="114">
        <v>1</v>
      </c>
      <c r="H3031" s="114">
        <v>6000</v>
      </c>
      <c r="I3031" s="114">
        <v>6000</v>
      </c>
      <c r="J3031" s="114">
        <v>5042</v>
      </c>
      <c r="K3031" s="114">
        <v>958</v>
      </c>
      <c r="L3031" s="114" t="str">
        <f t="shared" si="47"/>
        <v>INSERT INTO DETALLES_DOCUMENTO(NRO_DOCUMENTO,ID_TIPO,ID_PRODUCTO,CANTIDAD,PRECIO,VALOR_BRUTO,VALOR_NETO,VALOR_IVA) VALUES(1448,1,329,1,6000,6000,5042,958);</v>
      </c>
    </row>
    <row r="3032" spans="1:12">
      <c r="A3032" s="114">
        <v>1</v>
      </c>
      <c r="B3032" s="114">
        <v>1448</v>
      </c>
      <c r="C3032" s="139" t="s">
        <v>2405</v>
      </c>
      <c r="D3032" s="114" t="s">
        <v>2090</v>
      </c>
      <c r="E3032" s="114">
        <v>451</v>
      </c>
      <c r="F3032" s="114">
        <v>118</v>
      </c>
      <c r="G3032" s="114">
        <v>1</v>
      </c>
      <c r="H3032" s="114">
        <v>3500</v>
      </c>
      <c r="I3032" s="114">
        <v>3500</v>
      </c>
      <c r="J3032" s="114">
        <v>2941</v>
      </c>
      <c r="K3032" s="114">
        <v>559</v>
      </c>
      <c r="L3032" s="114" t="str">
        <f t="shared" si="47"/>
        <v>INSERT INTO DETALLES_DOCUMENTO(NRO_DOCUMENTO,ID_TIPO,ID_PRODUCTO,CANTIDAD,PRECIO,VALOR_BRUTO,VALOR_NETO,VALOR_IVA) VALUES(1448,1,118,1,3500,3500,2941,559);</v>
      </c>
    </row>
    <row r="3033" spans="1:12">
      <c r="A3033" s="114">
        <v>1</v>
      </c>
      <c r="B3033" s="114">
        <v>1448</v>
      </c>
      <c r="C3033" s="139" t="s">
        <v>2405</v>
      </c>
      <c r="D3033" s="114" t="s">
        <v>2090</v>
      </c>
      <c r="E3033" s="114">
        <v>451</v>
      </c>
      <c r="F3033" s="114">
        <v>143</v>
      </c>
      <c r="G3033" s="114">
        <v>1</v>
      </c>
      <c r="H3033" s="114">
        <v>8000</v>
      </c>
      <c r="I3033" s="114">
        <v>8000</v>
      </c>
      <c r="J3033" s="114">
        <v>6723</v>
      </c>
      <c r="K3033" s="114">
        <v>1277</v>
      </c>
      <c r="L3033" s="114" t="str">
        <f t="shared" si="47"/>
        <v>INSERT INTO DETALLES_DOCUMENTO(NRO_DOCUMENTO,ID_TIPO,ID_PRODUCTO,CANTIDAD,PRECIO,VALOR_BRUTO,VALOR_NETO,VALOR_IVA) VALUES(1448,1,143,1,8000,8000,6723,1277);</v>
      </c>
    </row>
    <row r="3034" spans="1:12">
      <c r="A3034" s="114">
        <v>1</v>
      </c>
      <c r="B3034" s="114">
        <v>1449</v>
      </c>
      <c r="C3034" s="139" t="s">
        <v>2405</v>
      </c>
      <c r="D3034" s="114" t="s">
        <v>2090</v>
      </c>
      <c r="E3034" s="114">
        <v>466</v>
      </c>
      <c r="F3034" s="114">
        <v>322</v>
      </c>
      <c r="G3034" s="114">
        <v>1</v>
      </c>
      <c r="H3034" s="114">
        <v>9000</v>
      </c>
      <c r="I3034" s="114">
        <v>9000</v>
      </c>
      <c r="J3034" s="114">
        <v>7563</v>
      </c>
      <c r="K3034" s="114">
        <v>1437</v>
      </c>
      <c r="L3034" s="114" t="str">
        <f t="shared" si="47"/>
        <v>INSERT INTO DETALLES_DOCUMENTO(NRO_DOCUMENTO,ID_TIPO,ID_PRODUCTO,CANTIDAD,PRECIO,VALOR_BRUTO,VALOR_NETO,VALOR_IVA) VALUES(1449,1,322,1,9000,9000,7563,1437);</v>
      </c>
    </row>
    <row r="3035" spans="1:12">
      <c r="A3035" s="114">
        <v>1</v>
      </c>
      <c r="B3035" s="114">
        <v>1449</v>
      </c>
      <c r="C3035" s="139" t="s">
        <v>2405</v>
      </c>
      <c r="D3035" s="114" t="s">
        <v>2090</v>
      </c>
      <c r="E3035" s="114">
        <v>466</v>
      </c>
      <c r="F3035" s="114">
        <v>261</v>
      </c>
      <c r="G3035" s="114">
        <v>1</v>
      </c>
      <c r="H3035" s="114">
        <v>7000</v>
      </c>
      <c r="I3035" s="114">
        <v>7000</v>
      </c>
      <c r="J3035" s="114">
        <v>5882</v>
      </c>
      <c r="K3035" s="114">
        <v>1118</v>
      </c>
      <c r="L3035" s="114" t="str">
        <f t="shared" si="47"/>
        <v>INSERT INTO DETALLES_DOCUMENTO(NRO_DOCUMENTO,ID_TIPO,ID_PRODUCTO,CANTIDAD,PRECIO,VALOR_BRUTO,VALOR_NETO,VALOR_IVA) VALUES(1449,1,261,1,7000,7000,5882,1118);</v>
      </c>
    </row>
    <row r="3036" spans="1:12">
      <c r="A3036" s="114">
        <v>1</v>
      </c>
      <c r="B3036" s="114">
        <v>1449</v>
      </c>
      <c r="C3036" s="139" t="s">
        <v>2405</v>
      </c>
      <c r="D3036" s="114" t="s">
        <v>2090</v>
      </c>
      <c r="E3036" s="114">
        <v>466</v>
      </c>
      <c r="F3036" s="114">
        <v>167</v>
      </c>
      <c r="G3036" s="114">
        <v>1</v>
      </c>
      <c r="H3036" s="114">
        <v>8200</v>
      </c>
      <c r="I3036" s="114">
        <v>8200</v>
      </c>
      <c r="J3036" s="114">
        <v>6891</v>
      </c>
      <c r="K3036" s="114">
        <v>1309</v>
      </c>
      <c r="L3036" s="114" t="str">
        <f t="shared" si="47"/>
        <v>INSERT INTO DETALLES_DOCUMENTO(NRO_DOCUMENTO,ID_TIPO,ID_PRODUCTO,CANTIDAD,PRECIO,VALOR_BRUTO,VALOR_NETO,VALOR_IVA) VALUES(1449,1,167,1,8200,8200,6891,1309);</v>
      </c>
    </row>
    <row r="3037" spans="1:12">
      <c r="A3037" s="114">
        <v>1</v>
      </c>
      <c r="B3037" s="114">
        <v>1449</v>
      </c>
      <c r="C3037" s="139" t="s">
        <v>2405</v>
      </c>
      <c r="D3037" s="114" t="s">
        <v>2090</v>
      </c>
      <c r="E3037" s="114">
        <v>466</v>
      </c>
      <c r="F3037" s="114">
        <v>143</v>
      </c>
      <c r="G3037" s="114">
        <v>1</v>
      </c>
      <c r="H3037" s="114">
        <v>8000</v>
      </c>
      <c r="I3037" s="114">
        <v>8000</v>
      </c>
      <c r="J3037" s="114">
        <v>6723</v>
      </c>
      <c r="K3037" s="114">
        <v>1277</v>
      </c>
      <c r="L3037" s="114" t="str">
        <f t="shared" si="47"/>
        <v>INSERT INTO DETALLES_DOCUMENTO(NRO_DOCUMENTO,ID_TIPO,ID_PRODUCTO,CANTIDAD,PRECIO,VALOR_BRUTO,VALOR_NETO,VALOR_IVA) VALUES(1449,1,143,1,8000,8000,6723,1277);</v>
      </c>
    </row>
    <row r="3038" spans="1:12">
      <c r="A3038" s="114">
        <v>1</v>
      </c>
      <c r="B3038" s="114">
        <v>1449</v>
      </c>
      <c r="C3038" s="139" t="s">
        <v>2405</v>
      </c>
      <c r="D3038" s="114" t="s">
        <v>2090</v>
      </c>
      <c r="E3038" s="114">
        <v>466</v>
      </c>
      <c r="F3038" s="114">
        <v>171</v>
      </c>
      <c r="G3038" s="114">
        <v>1</v>
      </c>
      <c r="H3038" s="114">
        <v>3700</v>
      </c>
      <c r="I3038" s="114">
        <v>3700</v>
      </c>
      <c r="J3038" s="114">
        <v>3109</v>
      </c>
      <c r="K3038" s="114">
        <v>591</v>
      </c>
      <c r="L3038" s="114" t="str">
        <f t="shared" si="47"/>
        <v>INSERT INTO DETALLES_DOCUMENTO(NRO_DOCUMENTO,ID_TIPO,ID_PRODUCTO,CANTIDAD,PRECIO,VALOR_BRUTO,VALOR_NETO,VALOR_IVA) VALUES(1449,1,171,1,3700,3700,3109,591);</v>
      </c>
    </row>
    <row r="3039" spans="1:12">
      <c r="A3039" s="114">
        <v>1</v>
      </c>
      <c r="B3039" s="114">
        <v>1450</v>
      </c>
      <c r="C3039" s="139" t="s">
        <v>2405</v>
      </c>
      <c r="D3039" s="114" t="s">
        <v>2090</v>
      </c>
      <c r="E3039" s="114">
        <v>476</v>
      </c>
      <c r="F3039" s="114">
        <v>143</v>
      </c>
      <c r="G3039" s="114">
        <v>1</v>
      </c>
      <c r="H3039" s="114">
        <v>8000</v>
      </c>
      <c r="I3039" s="114">
        <v>8000</v>
      </c>
      <c r="J3039" s="114">
        <v>6723</v>
      </c>
      <c r="K3039" s="114">
        <v>1277</v>
      </c>
      <c r="L3039" s="114" t="str">
        <f t="shared" si="47"/>
        <v>INSERT INTO DETALLES_DOCUMENTO(NRO_DOCUMENTO,ID_TIPO,ID_PRODUCTO,CANTIDAD,PRECIO,VALOR_BRUTO,VALOR_NETO,VALOR_IVA) VALUES(1450,1,143,1,8000,8000,6723,1277);</v>
      </c>
    </row>
    <row r="3040" spans="1:12">
      <c r="A3040" s="114">
        <v>1</v>
      </c>
      <c r="B3040" s="114">
        <v>1451</v>
      </c>
      <c r="C3040" s="139" t="s">
        <v>2406</v>
      </c>
      <c r="D3040" s="114" t="s">
        <v>2090</v>
      </c>
      <c r="E3040" s="114">
        <v>48</v>
      </c>
      <c r="F3040" s="114">
        <v>230</v>
      </c>
      <c r="G3040" s="114">
        <v>1</v>
      </c>
      <c r="H3040" s="114">
        <v>16500</v>
      </c>
      <c r="I3040" s="114">
        <v>16500</v>
      </c>
      <c r="J3040" s="114">
        <v>13866</v>
      </c>
      <c r="K3040" s="114">
        <v>2634</v>
      </c>
      <c r="L3040" s="114" t="str">
        <f t="shared" si="47"/>
        <v>INSERT INTO DETALLES_DOCUMENTO(NRO_DOCUMENTO,ID_TIPO,ID_PRODUCTO,CANTIDAD,PRECIO,VALOR_BRUTO,VALOR_NETO,VALOR_IVA) VALUES(1451,1,230,1,16500,16500,13866,2634);</v>
      </c>
    </row>
    <row r="3041" spans="1:12">
      <c r="A3041" s="114">
        <v>1</v>
      </c>
      <c r="B3041" s="114">
        <v>1451</v>
      </c>
      <c r="C3041" s="139" t="s">
        <v>2406</v>
      </c>
      <c r="D3041" s="114" t="s">
        <v>2090</v>
      </c>
      <c r="E3041" s="114">
        <v>48</v>
      </c>
      <c r="F3041" s="114">
        <v>329</v>
      </c>
      <c r="G3041" s="114">
        <v>1</v>
      </c>
      <c r="H3041" s="114">
        <v>6000</v>
      </c>
      <c r="I3041" s="114">
        <v>6000</v>
      </c>
      <c r="J3041" s="114">
        <v>5042</v>
      </c>
      <c r="K3041" s="114">
        <v>958</v>
      </c>
      <c r="L3041" s="114" t="str">
        <f t="shared" si="47"/>
        <v>INSERT INTO DETALLES_DOCUMENTO(NRO_DOCUMENTO,ID_TIPO,ID_PRODUCTO,CANTIDAD,PRECIO,VALOR_BRUTO,VALOR_NETO,VALOR_IVA) VALUES(1451,1,329,1,6000,6000,5042,958);</v>
      </c>
    </row>
    <row r="3042" spans="1:12">
      <c r="A3042" s="114">
        <v>1</v>
      </c>
      <c r="B3042" s="114">
        <v>1452</v>
      </c>
      <c r="C3042" s="139" t="s">
        <v>2406</v>
      </c>
      <c r="D3042" s="114" t="s">
        <v>2090</v>
      </c>
      <c r="E3042" s="114">
        <v>119</v>
      </c>
      <c r="F3042" s="114">
        <v>143</v>
      </c>
      <c r="G3042" s="114">
        <v>1</v>
      </c>
      <c r="H3042" s="114">
        <v>8000</v>
      </c>
      <c r="I3042" s="114">
        <v>8000</v>
      </c>
      <c r="J3042" s="114">
        <v>6723</v>
      </c>
      <c r="K3042" s="114">
        <v>1277</v>
      </c>
      <c r="L3042" s="114" t="str">
        <f t="shared" si="47"/>
        <v>INSERT INTO DETALLES_DOCUMENTO(NRO_DOCUMENTO,ID_TIPO,ID_PRODUCTO,CANTIDAD,PRECIO,VALOR_BRUTO,VALOR_NETO,VALOR_IVA) VALUES(1452,1,143,1,8000,8000,6723,1277);</v>
      </c>
    </row>
    <row r="3043" spans="1:12">
      <c r="A3043" s="114">
        <v>1</v>
      </c>
      <c r="B3043" s="114">
        <v>1453</v>
      </c>
      <c r="C3043" s="139" t="s">
        <v>2406</v>
      </c>
      <c r="D3043" s="114" t="s">
        <v>2090</v>
      </c>
      <c r="E3043" s="114">
        <v>302</v>
      </c>
      <c r="F3043" s="114">
        <v>319</v>
      </c>
      <c r="G3043" s="114">
        <v>2</v>
      </c>
      <c r="H3043" s="114">
        <v>5999</v>
      </c>
      <c r="I3043" s="114">
        <v>11998</v>
      </c>
      <c r="J3043" s="114">
        <v>10082</v>
      </c>
      <c r="K3043" s="114">
        <v>1916</v>
      </c>
      <c r="L3043" s="114" t="str">
        <f t="shared" si="47"/>
        <v>INSERT INTO DETALLES_DOCUMENTO(NRO_DOCUMENTO,ID_TIPO,ID_PRODUCTO,CANTIDAD,PRECIO,VALOR_BRUTO,VALOR_NETO,VALOR_IVA) VALUES(1453,1,319,2,5999,11998,10082,1916);</v>
      </c>
    </row>
    <row r="3044" spans="1:12">
      <c r="A3044" s="114">
        <v>1</v>
      </c>
      <c r="B3044" s="114">
        <v>1453</v>
      </c>
      <c r="C3044" s="139" t="s">
        <v>2406</v>
      </c>
      <c r="D3044" s="114" t="s">
        <v>2090</v>
      </c>
      <c r="E3044" s="114">
        <v>302</v>
      </c>
      <c r="F3044" s="114">
        <v>324</v>
      </c>
      <c r="G3044" s="114">
        <v>1</v>
      </c>
      <c r="H3044" s="114">
        <v>11000</v>
      </c>
      <c r="I3044" s="114">
        <v>11000</v>
      </c>
      <c r="J3044" s="114">
        <v>9244</v>
      </c>
      <c r="K3044" s="114">
        <v>1756</v>
      </c>
      <c r="L3044" s="114" t="str">
        <f t="shared" si="47"/>
        <v>INSERT INTO DETALLES_DOCUMENTO(NRO_DOCUMENTO,ID_TIPO,ID_PRODUCTO,CANTIDAD,PRECIO,VALOR_BRUTO,VALOR_NETO,VALOR_IVA) VALUES(1453,1,324,1,11000,11000,9244,1756);</v>
      </c>
    </row>
    <row r="3045" spans="1:12">
      <c r="A3045" s="114">
        <v>1</v>
      </c>
      <c r="B3045" s="114">
        <v>1454</v>
      </c>
      <c r="C3045" s="139" t="s">
        <v>2406</v>
      </c>
      <c r="D3045" s="114" t="s">
        <v>2090</v>
      </c>
      <c r="E3045" s="114">
        <v>353</v>
      </c>
      <c r="F3045" s="114">
        <v>230</v>
      </c>
      <c r="G3045" s="114">
        <v>1</v>
      </c>
      <c r="H3045" s="114">
        <v>16500</v>
      </c>
      <c r="I3045" s="114">
        <v>16500</v>
      </c>
      <c r="J3045" s="114">
        <v>13866</v>
      </c>
      <c r="K3045" s="114">
        <v>2634</v>
      </c>
      <c r="L3045" s="114" t="str">
        <f t="shared" si="47"/>
        <v>INSERT INTO DETALLES_DOCUMENTO(NRO_DOCUMENTO,ID_TIPO,ID_PRODUCTO,CANTIDAD,PRECIO,VALOR_BRUTO,VALOR_NETO,VALOR_IVA) VALUES(1454,1,230,1,16500,16500,13866,2634);</v>
      </c>
    </row>
    <row r="3046" spans="1:12">
      <c r="A3046" s="114">
        <v>1</v>
      </c>
      <c r="B3046" s="114">
        <v>1455</v>
      </c>
      <c r="C3046" s="139" t="s">
        <v>2406</v>
      </c>
      <c r="D3046" s="114" t="s">
        <v>2090</v>
      </c>
      <c r="E3046" s="114">
        <v>398</v>
      </c>
      <c r="F3046" s="114">
        <v>223</v>
      </c>
      <c r="G3046" s="114">
        <v>1</v>
      </c>
      <c r="H3046" s="114">
        <v>24000</v>
      </c>
      <c r="I3046" s="114">
        <v>24000</v>
      </c>
      <c r="J3046" s="114">
        <v>20168</v>
      </c>
      <c r="K3046" s="114">
        <v>3832</v>
      </c>
      <c r="L3046" s="114" t="str">
        <f t="shared" si="47"/>
        <v>INSERT INTO DETALLES_DOCUMENTO(NRO_DOCUMENTO,ID_TIPO,ID_PRODUCTO,CANTIDAD,PRECIO,VALOR_BRUTO,VALOR_NETO,VALOR_IVA) VALUES(1455,1,223,1,24000,24000,20168,3832);</v>
      </c>
    </row>
    <row r="3047" spans="1:12">
      <c r="A3047" s="114">
        <v>1</v>
      </c>
      <c r="B3047" s="114">
        <v>1456</v>
      </c>
      <c r="C3047" s="139" t="s">
        <v>2406</v>
      </c>
      <c r="D3047" s="114" t="s">
        <v>2090</v>
      </c>
      <c r="E3047" s="114">
        <v>442</v>
      </c>
      <c r="F3047" s="114">
        <v>143</v>
      </c>
      <c r="G3047" s="114">
        <v>2</v>
      </c>
      <c r="H3047" s="114">
        <v>16000</v>
      </c>
      <c r="I3047" s="114">
        <v>32000</v>
      </c>
      <c r="J3047" s="114">
        <v>26891</v>
      </c>
      <c r="K3047" s="114">
        <v>5109</v>
      </c>
      <c r="L3047" s="114" t="str">
        <f t="shared" si="47"/>
        <v>INSERT INTO DETALLES_DOCUMENTO(NRO_DOCUMENTO,ID_TIPO,ID_PRODUCTO,CANTIDAD,PRECIO,VALOR_BRUTO,VALOR_NETO,VALOR_IVA) VALUES(1456,1,143,2,16000,32000,26891,5109);</v>
      </c>
    </row>
    <row r="3048" spans="1:12">
      <c r="A3048" s="114">
        <v>1</v>
      </c>
      <c r="B3048" s="114">
        <v>1457</v>
      </c>
      <c r="C3048" s="139" t="s">
        <v>2406</v>
      </c>
      <c r="D3048" s="114" t="s">
        <v>2090</v>
      </c>
      <c r="E3048" s="114">
        <v>470</v>
      </c>
      <c r="F3048" s="114">
        <v>143</v>
      </c>
      <c r="G3048" s="114">
        <v>1</v>
      </c>
      <c r="H3048" s="114">
        <v>8000</v>
      </c>
      <c r="I3048" s="114">
        <v>8000</v>
      </c>
      <c r="J3048" s="114">
        <v>6723</v>
      </c>
      <c r="K3048" s="114">
        <v>1277</v>
      </c>
      <c r="L3048" s="114" t="str">
        <f t="shared" si="47"/>
        <v>INSERT INTO DETALLES_DOCUMENTO(NRO_DOCUMENTO,ID_TIPO,ID_PRODUCTO,CANTIDAD,PRECIO,VALOR_BRUTO,VALOR_NETO,VALOR_IVA) VALUES(1457,1,143,1,8000,8000,6723,1277);</v>
      </c>
    </row>
    <row r="3049" spans="1:12">
      <c r="A3049" s="114">
        <v>1</v>
      </c>
      <c r="B3049" s="114">
        <v>1458</v>
      </c>
      <c r="C3049" s="139" t="s">
        <v>2406</v>
      </c>
      <c r="D3049" s="114" t="s">
        <v>2090</v>
      </c>
      <c r="E3049" s="114">
        <v>479</v>
      </c>
      <c r="F3049" s="114">
        <v>369</v>
      </c>
      <c r="G3049" s="114">
        <v>1</v>
      </c>
      <c r="H3049" s="114">
        <v>10500</v>
      </c>
      <c r="I3049" s="114">
        <v>10500</v>
      </c>
      <c r="J3049" s="114">
        <v>8824</v>
      </c>
      <c r="K3049" s="114">
        <v>1676</v>
      </c>
      <c r="L3049" s="114" t="str">
        <f t="shared" si="47"/>
        <v>INSERT INTO DETALLES_DOCUMENTO(NRO_DOCUMENTO,ID_TIPO,ID_PRODUCTO,CANTIDAD,PRECIO,VALOR_BRUTO,VALOR_NETO,VALOR_IVA) VALUES(1458,1,369,1,10500,10500,8824,1676);</v>
      </c>
    </row>
    <row r="3050" spans="1:12">
      <c r="A3050" s="114">
        <v>1</v>
      </c>
      <c r="B3050" s="114">
        <v>1459</v>
      </c>
      <c r="C3050" s="139" t="s">
        <v>2407</v>
      </c>
      <c r="D3050" s="114" t="s">
        <v>2090</v>
      </c>
      <c r="E3050" s="114">
        <v>219</v>
      </c>
      <c r="F3050" s="114">
        <v>143</v>
      </c>
      <c r="G3050" s="114">
        <v>3</v>
      </c>
      <c r="H3050" s="114">
        <v>24001</v>
      </c>
      <c r="I3050" s="114">
        <v>72003</v>
      </c>
      <c r="J3050" s="114">
        <v>60507</v>
      </c>
      <c r="K3050" s="114">
        <v>11496</v>
      </c>
      <c r="L3050" s="114" t="str">
        <f t="shared" si="47"/>
        <v>INSERT INTO DETALLES_DOCUMENTO(NRO_DOCUMENTO,ID_TIPO,ID_PRODUCTO,CANTIDAD,PRECIO,VALOR_BRUTO,VALOR_NETO,VALOR_IVA) VALUES(1459,1,143,3,24001,72003,60507,11496);</v>
      </c>
    </row>
    <row r="3051" spans="1:12">
      <c r="A3051" s="114">
        <v>1</v>
      </c>
      <c r="B3051" s="114">
        <v>1460</v>
      </c>
      <c r="C3051" s="139" t="s">
        <v>2407</v>
      </c>
      <c r="D3051" s="114" t="s">
        <v>2090</v>
      </c>
      <c r="E3051" s="114">
        <v>405</v>
      </c>
      <c r="F3051" s="114">
        <v>233</v>
      </c>
      <c r="G3051" s="114">
        <v>1</v>
      </c>
      <c r="H3051" s="114">
        <v>16000</v>
      </c>
      <c r="I3051" s="114">
        <v>16000</v>
      </c>
      <c r="J3051" s="114">
        <v>13445</v>
      </c>
      <c r="K3051" s="114">
        <v>2555</v>
      </c>
      <c r="L3051" s="114" t="str">
        <f t="shared" si="47"/>
        <v>INSERT INTO DETALLES_DOCUMENTO(NRO_DOCUMENTO,ID_TIPO,ID_PRODUCTO,CANTIDAD,PRECIO,VALOR_BRUTO,VALOR_NETO,VALOR_IVA) VALUES(1460,1,233,1,16000,16000,13445,2555);</v>
      </c>
    </row>
    <row r="3052" spans="1:12">
      <c r="A3052" s="114">
        <v>1</v>
      </c>
      <c r="B3052" s="114">
        <v>1460</v>
      </c>
      <c r="C3052" s="139" t="s">
        <v>2407</v>
      </c>
      <c r="D3052" s="114" t="s">
        <v>2090</v>
      </c>
      <c r="E3052" s="114">
        <v>405</v>
      </c>
      <c r="F3052" s="114">
        <v>322</v>
      </c>
      <c r="G3052" s="114">
        <v>1</v>
      </c>
      <c r="H3052" s="114">
        <v>9000</v>
      </c>
      <c r="I3052" s="114">
        <v>9000</v>
      </c>
      <c r="J3052" s="114">
        <v>7563</v>
      </c>
      <c r="K3052" s="114">
        <v>1437</v>
      </c>
      <c r="L3052" s="114" t="str">
        <f t="shared" si="47"/>
        <v>INSERT INTO DETALLES_DOCUMENTO(NRO_DOCUMENTO,ID_TIPO,ID_PRODUCTO,CANTIDAD,PRECIO,VALOR_BRUTO,VALOR_NETO,VALOR_IVA) VALUES(1460,1,322,1,9000,9000,7563,1437);</v>
      </c>
    </row>
    <row r="3053" spans="1:12">
      <c r="A3053" s="114">
        <v>1</v>
      </c>
      <c r="B3053" s="114">
        <v>1460</v>
      </c>
      <c r="C3053" s="139" t="s">
        <v>2407</v>
      </c>
      <c r="D3053" s="114" t="s">
        <v>2090</v>
      </c>
      <c r="E3053" s="114">
        <v>405</v>
      </c>
      <c r="F3053" s="114">
        <v>381</v>
      </c>
      <c r="G3053" s="114">
        <v>1</v>
      </c>
      <c r="H3053" s="114">
        <v>2400</v>
      </c>
      <c r="I3053" s="114">
        <v>2400</v>
      </c>
      <c r="J3053" s="114">
        <v>2017</v>
      </c>
      <c r="K3053" s="114">
        <v>383</v>
      </c>
      <c r="L3053" s="114" t="str">
        <f t="shared" si="47"/>
        <v>INSERT INTO DETALLES_DOCUMENTO(NRO_DOCUMENTO,ID_TIPO,ID_PRODUCTO,CANTIDAD,PRECIO,VALOR_BRUTO,VALOR_NETO,VALOR_IVA) VALUES(1460,1,381,1,2400,2400,2017,383);</v>
      </c>
    </row>
    <row r="3054" spans="1:12">
      <c r="A3054" s="114">
        <v>1</v>
      </c>
      <c r="B3054" s="114">
        <v>1461</v>
      </c>
      <c r="C3054" s="139" t="s">
        <v>2407</v>
      </c>
      <c r="D3054" s="114" t="s">
        <v>2090</v>
      </c>
      <c r="E3054" s="114">
        <v>472</v>
      </c>
      <c r="F3054" s="114">
        <v>281</v>
      </c>
      <c r="G3054" s="114">
        <v>1</v>
      </c>
      <c r="H3054" s="114">
        <v>13000</v>
      </c>
      <c r="I3054" s="114">
        <v>13000</v>
      </c>
      <c r="J3054" s="114">
        <v>10924</v>
      </c>
      <c r="K3054" s="114">
        <v>2076</v>
      </c>
      <c r="L3054" s="114" t="str">
        <f t="shared" si="47"/>
        <v>INSERT INTO DETALLES_DOCUMENTO(NRO_DOCUMENTO,ID_TIPO,ID_PRODUCTO,CANTIDAD,PRECIO,VALOR_BRUTO,VALOR_NETO,VALOR_IVA) VALUES(1461,1,281,1,13000,13000,10924,2076);</v>
      </c>
    </row>
    <row r="3055" spans="1:12">
      <c r="A3055" s="114">
        <v>1</v>
      </c>
      <c r="B3055" s="114">
        <v>1462</v>
      </c>
      <c r="C3055" s="139" t="s">
        <v>2408</v>
      </c>
      <c r="D3055" s="114" t="s">
        <v>2090</v>
      </c>
      <c r="E3055" s="114">
        <v>94</v>
      </c>
      <c r="F3055" s="114">
        <v>143</v>
      </c>
      <c r="G3055" s="114">
        <v>1</v>
      </c>
      <c r="H3055" s="114">
        <v>8000</v>
      </c>
      <c r="I3055" s="114">
        <v>8000</v>
      </c>
      <c r="J3055" s="114">
        <v>6723</v>
      </c>
      <c r="K3055" s="114">
        <v>1277</v>
      </c>
      <c r="L3055" s="114" t="str">
        <f t="shared" si="47"/>
        <v>INSERT INTO DETALLES_DOCUMENTO(NRO_DOCUMENTO,ID_TIPO,ID_PRODUCTO,CANTIDAD,PRECIO,VALOR_BRUTO,VALOR_NETO,VALOR_IVA) VALUES(1462,1,143,1,8000,8000,6723,1277);</v>
      </c>
    </row>
    <row r="3056" spans="1:12">
      <c r="A3056" s="114">
        <v>1</v>
      </c>
      <c r="B3056" s="114">
        <v>1463</v>
      </c>
      <c r="C3056" s="139" t="s">
        <v>2408</v>
      </c>
      <c r="D3056" s="114" t="s">
        <v>2090</v>
      </c>
      <c r="E3056" s="114">
        <v>159</v>
      </c>
      <c r="F3056" s="114">
        <v>157</v>
      </c>
      <c r="G3056" s="114">
        <v>1</v>
      </c>
      <c r="H3056" s="114">
        <v>4300</v>
      </c>
      <c r="I3056" s="114">
        <v>4300</v>
      </c>
      <c r="J3056" s="114">
        <v>3613</v>
      </c>
      <c r="K3056" s="114">
        <v>687</v>
      </c>
      <c r="L3056" s="114" t="str">
        <f t="shared" si="47"/>
        <v>INSERT INTO DETALLES_DOCUMENTO(NRO_DOCUMENTO,ID_TIPO,ID_PRODUCTO,CANTIDAD,PRECIO,VALOR_BRUTO,VALOR_NETO,VALOR_IVA) VALUES(1463,1,157,1,4300,4300,3613,687);</v>
      </c>
    </row>
    <row r="3057" spans="1:12">
      <c r="A3057" s="114">
        <v>1</v>
      </c>
      <c r="B3057" s="114">
        <v>1463</v>
      </c>
      <c r="C3057" s="139" t="s">
        <v>2408</v>
      </c>
      <c r="D3057" s="114" t="s">
        <v>2090</v>
      </c>
      <c r="E3057" s="114">
        <v>159</v>
      </c>
      <c r="F3057" s="114">
        <v>231</v>
      </c>
      <c r="G3057" s="114">
        <v>1</v>
      </c>
      <c r="H3057" s="114">
        <v>20900</v>
      </c>
      <c r="I3057" s="114">
        <v>20900</v>
      </c>
      <c r="J3057" s="114">
        <v>17563</v>
      </c>
      <c r="K3057" s="114">
        <v>3337</v>
      </c>
      <c r="L3057" s="114" t="str">
        <f t="shared" si="47"/>
        <v>INSERT INTO DETALLES_DOCUMENTO(NRO_DOCUMENTO,ID_TIPO,ID_PRODUCTO,CANTIDAD,PRECIO,VALOR_BRUTO,VALOR_NETO,VALOR_IVA) VALUES(1463,1,231,1,20900,20900,17563,3337);</v>
      </c>
    </row>
    <row r="3058" spans="1:12">
      <c r="A3058" s="114">
        <v>1</v>
      </c>
      <c r="B3058" s="114">
        <v>1464</v>
      </c>
      <c r="C3058" s="139" t="s">
        <v>2408</v>
      </c>
      <c r="D3058" s="114" t="s">
        <v>2090</v>
      </c>
      <c r="E3058" s="114">
        <v>166</v>
      </c>
      <c r="F3058" s="114">
        <v>234</v>
      </c>
      <c r="G3058" s="114">
        <v>1</v>
      </c>
      <c r="H3058" s="114">
        <v>19500</v>
      </c>
      <c r="I3058" s="114">
        <v>19500</v>
      </c>
      <c r="J3058" s="114">
        <v>16387</v>
      </c>
      <c r="K3058" s="114">
        <v>3113</v>
      </c>
      <c r="L3058" s="114" t="str">
        <f t="shared" si="47"/>
        <v>INSERT INTO DETALLES_DOCUMENTO(NRO_DOCUMENTO,ID_TIPO,ID_PRODUCTO,CANTIDAD,PRECIO,VALOR_BRUTO,VALOR_NETO,VALOR_IVA) VALUES(1464,1,234,1,19500,19500,16387,3113);</v>
      </c>
    </row>
    <row r="3059" spans="1:12">
      <c r="A3059" s="114">
        <v>1</v>
      </c>
      <c r="B3059" s="114">
        <v>1464</v>
      </c>
      <c r="C3059" s="139" t="s">
        <v>2408</v>
      </c>
      <c r="D3059" s="114" t="s">
        <v>2090</v>
      </c>
      <c r="E3059" s="114">
        <v>166</v>
      </c>
      <c r="F3059" s="114">
        <v>261</v>
      </c>
      <c r="G3059" s="114">
        <v>1</v>
      </c>
      <c r="H3059" s="114">
        <v>7000</v>
      </c>
      <c r="I3059" s="114">
        <v>7000</v>
      </c>
      <c r="J3059" s="114">
        <v>5882</v>
      </c>
      <c r="K3059" s="114">
        <v>1118</v>
      </c>
      <c r="L3059" s="114" t="str">
        <f t="shared" si="47"/>
        <v>INSERT INTO DETALLES_DOCUMENTO(NRO_DOCUMENTO,ID_TIPO,ID_PRODUCTO,CANTIDAD,PRECIO,VALOR_BRUTO,VALOR_NETO,VALOR_IVA) VALUES(1464,1,261,1,7000,7000,5882,1118);</v>
      </c>
    </row>
    <row r="3060" spans="1:12">
      <c r="A3060" s="114">
        <v>1</v>
      </c>
      <c r="B3060" s="114">
        <v>1465</v>
      </c>
      <c r="C3060" s="139" t="s">
        <v>2408</v>
      </c>
      <c r="D3060" s="114" t="s">
        <v>2090</v>
      </c>
      <c r="E3060" s="114">
        <v>202</v>
      </c>
      <c r="F3060" s="114">
        <v>322</v>
      </c>
      <c r="G3060" s="114">
        <v>1</v>
      </c>
      <c r="H3060" s="114">
        <v>9000</v>
      </c>
      <c r="I3060" s="114">
        <v>9000</v>
      </c>
      <c r="J3060" s="114">
        <v>7563</v>
      </c>
      <c r="K3060" s="114">
        <v>1437</v>
      </c>
      <c r="L3060" s="114" t="str">
        <f t="shared" si="47"/>
        <v>INSERT INTO DETALLES_DOCUMENTO(NRO_DOCUMENTO,ID_TIPO,ID_PRODUCTO,CANTIDAD,PRECIO,VALOR_BRUTO,VALOR_NETO,VALOR_IVA) VALUES(1465,1,322,1,9000,9000,7563,1437);</v>
      </c>
    </row>
    <row r="3061" spans="1:12">
      <c r="A3061" s="114">
        <v>1</v>
      </c>
      <c r="B3061" s="114">
        <v>1465</v>
      </c>
      <c r="C3061" s="139" t="s">
        <v>2408</v>
      </c>
      <c r="D3061" s="114" t="s">
        <v>2090</v>
      </c>
      <c r="E3061" s="114">
        <v>202</v>
      </c>
      <c r="F3061" s="114">
        <v>143</v>
      </c>
      <c r="G3061" s="114">
        <v>1</v>
      </c>
      <c r="H3061" s="114">
        <v>8000</v>
      </c>
      <c r="I3061" s="114">
        <v>8000</v>
      </c>
      <c r="J3061" s="114">
        <v>6723</v>
      </c>
      <c r="K3061" s="114">
        <v>1277</v>
      </c>
      <c r="L3061" s="114" t="str">
        <f t="shared" si="47"/>
        <v>INSERT INTO DETALLES_DOCUMENTO(NRO_DOCUMENTO,ID_TIPO,ID_PRODUCTO,CANTIDAD,PRECIO,VALOR_BRUTO,VALOR_NETO,VALOR_IVA) VALUES(1465,1,143,1,8000,8000,6723,1277);</v>
      </c>
    </row>
    <row r="3062" spans="1:12">
      <c r="A3062" s="114">
        <v>1</v>
      </c>
      <c r="B3062" s="114">
        <v>1466</v>
      </c>
      <c r="C3062" s="139" t="s">
        <v>2408</v>
      </c>
      <c r="D3062" s="114" t="s">
        <v>2090</v>
      </c>
      <c r="E3062" s="114">
        <v>234</v>
      </c>
      <c r="F3062" s="114">
        <v>143</v>
      </c>
      <c r="G3062" s="114">
        <v>1</v>
      </c>
      <c r="H3062" s="114">
        <v>8000</v>
      </c>
      <c r="I3062" s="114">
        <v>8000</v>
      </c>
      <c r="J3062" s="114">
        <v>6723</v>
      </c>
      <c r="K3062" s="114">
        <v>1277</v>
      </c>
      <c r="L3062" s="114" t="str">
        <f t="shared" si="47"/>
        <v>INSERT INTO DETALLES_DOCUMENTO(NRO_DOCUMENTO,ID_TIPO,ID_PRODUCTO,CANTIDAD,PRECIO,VALOR_BRUTO,VALOR_NETO,VALOR_IVA) VALUES(1466,1,143,1,8000,8000,6723,1277);</v>
      </c>
    </row>
    <row r="3063" spans="1:12">
      <c r="A3063" s="114">
        <v>1</v>
      </c>
      <c r="B3063" s="114">
        <v>1467</v>
      </c>
      <c r="C3063" s="139" t="s">
        <v>2408</v>
      </c>
      <c r="D3063" s="114" t="s">
        <v>2090</v>
      </c>
      <c r="E3063" s="114">
        <v>263</v>
      </c>
      <c r="F3063" s="114">
        <v>143</v>
      </c>
      <c r="G3063" s="114">
        <v>1</v>
      </c>
      <c r="H3063" s="114">
        <v>8000</v>
      </c>
      <c r="I3063" s="114">
        <v>8000</v>
      </c>
      <c r="J3063" s="114">
        <v>6723</v>
      </c>
      <c r="K3063" s="114">
        <v>1277</v>
      </c>
      <c r="L3063" s="114" t="str">
        <f t="shared" si="47"/>
        <v>INSERT INTO DETALLES_DOCUMENTO(NRO_DOCUMENTO,ID_TIPO,ID_PRODUCTO,CANTIDAD,PRECIO,VALOR_BRUTO,VALOR_NETO,VALOR_IVA) VALUES(1467,1,143,1,8000,8000,6723,1277);</v>
      </c>
    </row>
    <row r="3064" spans="1:12">
      <c r="A3064" s="114">
        <v>1</v>
      </c>
      <c r="B3064" s="114">
        <v>1468</v>
      </c>
      <c r="C3064" s="139" t="s">
        <v>2408</v>
      </c>
      <c r="D3064" s="114" t="s">
        <v>2090</v>
      </c>
      <c r="E3064" s="114">
        <v>315</v>
      </c>
      <c r="F3064" s="114">
        <v>329</v>
      </c>
      <c r="G3064" s="114">
        <v>1</v>
      </c>
      <c r="H3064" s="114">
        <v>6000</v>
      </c>
      <c r="I3064" s="114">
        <v>6000</v>
      </c>
      <c r="J3064" s="114">
        <v>5042</v>
      </c>
      <c r="K3064" s="114">
        <v>958</v>
      </c>
      <c r="L3064" s="114" t="str">
        <f t="shared" si="47"/>
        <v>INSERT INTO DETALLES_DOCUMENTO(NRO_DOCUMENTO,ID_TIPO,ID_PRODUCTO,CANTIDAD,PRECIO,VALOR_BRUTO,VALOR_NETO,VALOR_IVA) VALUES(1468,1,329,1,6000,6000,5042,958);</v>
      </c>
    </row>
    <row r="3065" spans="1:12">
      <c r="A3065" s="114">
        <v>1</v>
      </c>
      <c r="B3065" s="114">
        <v>1469</v>
      </c>
      <c r="C3065" s="139" t="s">
        <v>2408</v>
      </c>
      <c r="D3065" s="114" t="s">
        <v>2090</v>
      </c>
      <c r="E3065" s="114">
        <v>373</v>
      </c>
      <c r="F3065" s="114">
        <v>118</v>
      </c>
      <c r="G3065" s="114">
        <v>1</v>
      </c>
      <c r="H3065" s="114">
        <v>3500</v>
      </c>
      <c r="I3065" s="114">
        <v>3500</v>
      </c>
      <c r="J3065" s="114">
        <v>2941</v>
      </c>
      <c r="K3065" s="114">
        <v>559</v>
      </c>
      <c r="L3065" s="114" t="str">
        <f t="shared" si="47"/>
        <v>INSERT INTO DETALLES_DOCUMENTO(NRO_DOCUMENTO,ID_TIPO,ID_PRODUCTO,CANTIDAD,PRECIO,VALOR_BRUTO,VALOR_NETO,VALOR_IVA) VALUES(1469,1,118,1,3500,3500,2941,559);</v>
      </c>
    </row>
    <row r="3066" spans="1:12">
      <c r="A3066" s="114">
        <v>1</v>
      </c>
      <c r="B3066" s="114">
        <v>1469</v>
      </c>
      <c r="C3066" s="139" t="s">
        <v>2408</v>
      </c>
      <c r="D3066" s="114" t="s">
        <v>2090</v>
      </c>
      <c r="E3066" s="114">
        <v>373</v>
      </c>
      <c r="F3066" s="114">
        <v>117</v>
      </c>
      <c r="G3066" s="114">
        <v>1</v>
      </c>
      <c r="H3066" s="114">
        <v>3500</v>
      </c>
      <c r="I3066" s="114">
        <v>3500</v>
      </c>
      <c r="J3066" s="114">
        <v>2941</v>
      </c>
      <c r="K3066" s="114">
        <v>559</v>
      </c>
      <c r="L3066" s="114" t="str">
        <f t="shared" si="47"/>
        <v>INSERT INTO DETALLES_DOCUMENTO(NRO_DOCUMENTO,ID_TIPO,ID_PRODUCTO,CANTIDAD,PRECIO,VALOR_BRUTO,VALOR_NETO,VALOR_IVA) VALUES(1469,1,117,1,3500,3500,2941,559);</v>
      </c>
    </row>
    <row r="3067" spans="1:12">
      <c r="A3067" s="114">
        <v>1</v>
      </c>
      <c r="B3067" s="114">
        <v>1469</v>
      </c>
      <c r="C3067" s="139" t="s">
        <v>2408</v>
      </c>
      <c r="D3067" s="114" t="s">
        <v>2090</v>
      </c>
      <c r="E3067" s="114">
        <v>373</v>
      </c>
      <c r="F3067" s="114">
        <v>165</v>
      </c>
      <c r="G3067" s="114">
        <v>1</v>
      </c>
      <c r="H3067" s="114">
        <v>2000</v>
      </c>
      <c r="I3067" s="114">
        <v>2000</v>
      </c>
      <c r="J3067" s="114">
        <v>1681</v>
      </c>
      <c r="K3067" s="114">
        <v>319</v>
      </c>
      <c r="L3067" s="114" t="str">
        <f t="shared" si="47"/>
        <v>INSERT INTO DETALLES_DOCUMENTO(NRO_DOCUMENTO,ID_TIPO,ID_PRODUCTO,CANTIDAD,PRECIO,VALOR_BRUTO,VALOR_NETO,VALOR_IVA) VALUES(1469,1,165,1,2000,2000,1681,319);</v>
      </c>
    </row>
    <row r="3068" spans="1:12">
      <c r="A3068" s="114">
        <v>1</v>
      </c>
      <c r="B3068" s="114">
        <v>1469</v>
      </c>
      <c r="C3068" s="139" t="s">
        <v>2408</v>
      </c>
      <c r="D3068" s="114" t="s">
        <v>2090</v>
      </c>
      <c r="E3068" s="114">
        <v>373</v>
      </c>
      <c r="F3068" s="114">
        <v>97</v>
      </c>
      <c r="G3068" s="114">
        <v>1</v>
      </c>
      <c r="H3068" s="114">
        <v>2000</v>
      </c>
      <c r="I3068" s="114">
        <v>2000</v>
      </c>
      <c r="J3068" s="114">
        <v>1681</v>
      </c>
      <c r="K3068" s="114">
        <v>319</v>
      </c>
      <c r="L3068" s="114" t="str">
        <f t="shared" si="47"/>
        <v>INSERT INTO DETALLES_DOCUMENTO(NRO_DOCUMENTO,ID_TIPO,ID_PRODUCTO,CANTIDAD,PRECIO,VALOR_BRUTO,VALOR_NETO,VALOR_IVA) VALUES(1469,1,97,1,2000,2000,1681,319);</v>
      </c>
    </row>
    <row r="3069" spans="1:12">
      <c r="A3069" s="114">
        <v>1</v>
      </c>
      <c r="B3069" s="114">
        <v>1469</v>
      </c>
      <c r="C3069" s="139" t="s">
        <v>2408</v>
      </c>
      <c r="D3069" s="114" t="s">
        <v>2090</v>
      </c>
      <c r="E3069" s="114">
        <v>373</v>
      </c>
      <c r="F3069" s="114">
        <v>157</v>
      </c>
      <c r="G3069" s="114">
        <v>1</v>
      </c>
      <c r="H3069" s="114">
        <v>4300</v>
      </c>
      <c r="I3069" s="114">
        <v>4300</v>
      </c>
      <c r="J3069" s="114">
        <v>3613</v>
      </c>
      <c r="K3069" s="114">
        <v>687</v>
      </c>
      <c r="L3069" s="114" t="str">
        <f t="shared" si="47"/>
        <v>INSERT INTO DETALLES_DOCUMENTO(NRO_DOCUMENTO,ID_TIPO,ID_PRODUCTO,CANTIDAD,PRECIO,VALOR_BRUTO,VALOR_NETO,VALOR_IVA) VALUES(1469,1,157,1,4300,4300,3613,687);</v>
      </c>
    </row>
    <row r="3070" spans="1:12">
      <c r="A3070" s="114">
        <v>1</v>
      </c>
      <c r="B3070" s="114">
        <v>1470</v>
      </c>
      <c r="C3070" s="139" t="s">
        <v>2408</v>
      </c>
      <c r="D3070" s="114" t="s">
        <v>2090</v>
      </c>
      <c r="E3070" s="114">
        <v>446</v>
      </c>
      <c r="F3070" s="114">
        <v>329</v>
      </c>
      <c r="G3070" s="114">
        <v>1</v>
      </c>
      <c r="H3070" s="114">
        <v>6000</v>
      </c>
      <c r="I3070" s="114">
        <v>6000</v>
      </c>
      <c r="J3070" s="114">
        <v>5042</v>
      </c>
      <c r="K3070" s="114">
        <v>958</v>
      </c>
      <c r="L3070" s="114" t="str">
        <f t="shared" si="47"/>
        <v>INSERT INTO DETALLES_DOCUMENTO(NRO_DOCUMENTO,ID_TIPO,ID_PRODUCTO,CANTIDAD,PRECIO,VALOR_BRUTO,VALOR_NETO,VALOR_IVA) VALUES(1470,1,329,1,6000,6000,5042,958);</v>
      </c>
    </row>
    <row r="3071" spans="1:12">
      <c r="A3071" s="114">
        <v>1</v>
      </c>
      <c r="B3071" s="114">
        <v>1471</v>
      </c>
      <c r="C3071" s="139" t="s">
        <v>2408</v>
      </c>
      <c r="D3071" s="114" t="s">
        <v>2090</v>
      </c>
      <c r="E3071" s="114">
        <v>470</v>
      </c>
      <c r="F3071" s="114">
        <v>143</v>
      </c>
      <c r="G3071" s="114">
        <v>1</v>
      </c>
      <c r="H3071" s="114">
        <v>8000</v>
      </c>
      <c r="I3071" s="114">
        <v>8000</v>
      </c>
      <c r="J3071" s="114">
        <v>6723</v>
      </c>
      <c r="K3071" s="114">
        <v>1277</v>
      </c>
      <c r="L3071" s="114" t="str">
        <f t="shared" si="47"/>
        <v>INSERT INTO DETALLES_DOCUMENTO(NRO_DOCUMENTO,ID_TIPO,ID_PRODUCTO,CANTIDAD,PRECIO,VALOR_BRUTO,VALOR_NETO,VALOR_IVA) VALUES(1471,1,143,1,8000,8000,6723,1277);</v>
      </c>
    </row>
    <row r="3072" spans="1:12">
      <c r="A3072" s="114">
        <v>1</v>
      </c>
      <c r="B3072" s="114">
        <v>1472</v>
      </c>
      <c r="C3072" s="139" t="s">
        <v>2409</v>
      </c>
      <c r="D3072" s="114" t="s">
        <v>2090</v>
      </c>
      <c r="E3072" s="114">
        <v>73</v>
      </c>
      <c r="F3072" s="114">
        <v>324</v>
      </c>
      <c r="G3072" s="114">
        <v>2</v>
      </c>
      <c r="H3072" s="114">
        <v>22000</v>
      </c>
      <c r="I3072" s="114">
        <v>44000</v>
      </c>
      <c r="J3072" s="114">
        <v>36975</v>
      </c>
      <c r="K3072" s="114">
        <v>7025</v>
      </c>
      <c r="L3072" s="114" t="str">
        <f t="shared" si="47"/>
        <v>INSERT INTO DETALLES_DOCUMENTO(NRO_DOCUMENTO,ID_TIPO,ID_PRODUCTO,CANTIDAD,PRECIO,VALOR_BRUTO,VALOR_NETO,VALOR_IVA) VALUES(1472,1,324,2,22000,44000,36975,7025);</v>
      </c>
    </row>
    <row r="3073" spans="1:12">
      <c r="A3073" s="114">
        <v>1</v>
      </c>
      <c r="B3073" s="114">
        <v>1472</v>
      </c>
      <c r="C3073" s="139" t="s">
        <v>2409</v>
      </c>
      <c r="D3073" s="114" t="s">
        <v>2090</v>
      </c>
      <c r="E3073" s="114">
        <v>73</v>
      </c>
      <c r="F3073" s="114">
        <v>223</v>
      </c>
      <c r="G3073" s="114">
        <v>1</v>
      </c>
      <c r="H3073" s="114">
        <v>24000</v>
      </c>
      <c r="I3073" s="114">
        <v>24000</v>
      </c>
      <c r="J3073" s="114">
        <v>20168</v>
      </c>
      <c r="K3073" s="114">
        <v>3832</v>
      </c>
      <c r="L3073" s="114" t="str">
        <f t="shared" si="47"/>
        <v>INSERT INTO DETALLES_DOCUMENTO(NRO_DOCUMENTO,ID_TIPO,ID_PRODUCTO,CANTIDAD,PRECIO,VALOR_BRUTO,VALOR_NETO,VALOR_IVA) VALUES(1472,1,223,1,24000,24000,20168,3832);</v>
      </c>
    </row>
    <row r="3074" spans="1:12">
      <c r="A3074" s="114">
        <v>1</v>
      </c>
      <c r="B3074" s="114">
        <v>1473</v>
      </c>
      <c r="C3074" s="139" t="s">
        <v>2409</v>
      </c>
      <c r="D3074" s="114" t="s">
        <v>2090</v>
      </c>
      <c r="E3074" s="114">
        <v>82</v>
      </c>
      <c r="F3074" s="114">
        <v>324</v>
      </c>
      <c r="G3074" s="114">
        <v>4</v>
      </c>
      <c r="H3074" s="114">
        <v>44000</v>
      </c>
      <c r="I3074" s="114">
        <v>176000</v>
      </c>
      <c r="J3074" s="114">
        <v>147899</v>
      </c>
      <c r="K3074" s="114">
        <v>28101</v>
      </c>
      <c r="L3074" s="114" t="str">
        <f t="shared" si="47"/>
        <v>INSERT INTO DETALLES_DOCUMENTO(NRO_DOCUMENTO,ID_TIPO,ID_PRODUCTO,CANTIDAD,PRECIO,VALOR_BRUTO,VALOR_NETO,VALOR_IVA) VALUES(1473,1,324,4,44000,176000,147899,28101);</v>
      </c>
    </row>
    <row r="3075" spans="1:12">
      <c r="A3075" s="114">
        <v>1</v>
      </c>
      <c r="B3075" s="114">
        <v>1473</v>
      </c>
      <c r="C3075" s="139" t="s">
        <v>2409</v>
      </c>
      <c r="D3075" s="114" t="s">
        <v>2090</v>
      </c>
      <c r="E3075" s="114">
        <v>82</v>
      </c>
      <c r="F3075" s="114">
        <v>167</v>
      </c>
      <c r="G3075" s="114">
        <v>2</v>
      </c>
      <c r="H3075" s="114">
        <v>16400</v>
      </c>
      <c r="I3075" s="114">
        <v>32800</v>
      </c>
      <c r="J3075" s="114">
        <v>27563</v>
      </c>
      <c r="K3075" s="114">
        <v>5237</v>
      </c>
      <c r="L3075" s="114" t="str">
        <f t="shared" ref="L3075:L3138" si="48">CONCATENATE("INSERT INTO DETALLES_DOCUMENTO(NRO_DOCUMENTO,ID_TIPO,ID_PRODUCTO,CANTIDAD,PRECIO,VALOR_BRUTO,VALOR_NETO,VALOR_IVA) VALUES(",B3075,",",A3075,",",F3075,",",G3075,",",H3075,",",I3075,",",J3075,",",K3075,");")</f>
        <v>INSERT INTO DETALLES_DOCUMENTO(NRO_DOCUMENTO,ID_TIPO,ID_PRODUCTO,CANTIDAD,PRECIO,VALOR_BRUTO,VALOR_NETO,VALOR_IVA) VALUES(1473,1,167,2,16400,32800,27563,5237);</v>
      </c>
    </row>
    <row r="3076" spans="1:12">
      <c r="A3076" s="114">
        <v>1</v>
      </c>
      <c r="B3076" s="114">
        <v>1473</v>
      </c>
      <c r="C3076" s="139" t="s">
        <v>2409</v>
      </c>
      <c r="D3076" s="114" t="s">
        <v>2090</v>
      </c>
      <c r="E3076" s="114">
        <v>82</v>
      </c>
      <c r="F3076" s="114">
        <v>319</v>
      </c>
      <c r="G3076" s="114">
        <v>1</v>
      </c>
      <c r="H3076" s="114">
        <v>3000</v>
      </c>
      <c r="I3076" s="114">
        <v>3000</v>
      </c>
      <c r="J3076" s="114">
        <v>2521</v>
      </c>
      <c r="K3076" s="114">
        <v>479</v>
      </c>
      <c r="L3076" s="114" t="str">
        <f t="shared" si="48"/>
        <v>INSERT INTO DETALLES_DOCUMENTO(NRO_DOCUMENTO,ID_TIPO,ID_PRODUCTO,CANTIDAD,PRECIO,VALOR_BRUTO,VALOR_NETO,VALOR_IVA) VALUES(1473,1,319,1,3000,3000,2521,479);</v>
      </c>
    </row>
    <row r="3077" spans="1:12">
      <c r="A3077" s="114">
        <v>1</v>
      </c>
      <c r="B3077" s="114">
        <v>1474</v>
      </c>
      <c r="C3077" s="139" t="s">
        <v>2409</v>
      </c>
      <c r="D3077" s="114" t="s">
        <v>2090</v>
      </c>
      <c r="E3077" s="114">
        <v>315</v>
      </c>
      <c r="F3077" s="114">
        <v>117</v>
      </c>
      <c r="G3077" s="114">
        <v>2</v>
      </c>
      <c r="H3077" s="114">
        <v>7000</v>
      </c>
      <c r="I3077" s="114">
        <v>14000</v>
      </c>
      <c r="J3077" s="114">
        <v>11765</v>
      </c>
      <c r="K3077" s="114">
        <v>2235</v>
      </c>
      <c r="L3077" s="114" t="str">
        <f t="shared" si="48"/>
        <v>INSERT INTO DETALLES_DOCUMENTO(NRO_DOCUMENTO,ID_TIPO,ID_PRODUCTO,CANTIDAD,PRECIO,VALOR_BRUTO,VALOR_NETO,VALOR_IVA) VALUES(1474,1,117,2,7000,14000,11765,2235);</v>
      </c>
    </row>
    <row r="3078" spans="1:12">
      <c r="A3078" s="114">
        <v>1</v>
      </c>
      <c r="B3078" s="114">
        <v>1475</v>
      </c>
      <c r="C3078" s="139" t="s">
        <v>2409</v>
      </c>
      <c r="D3078" s="114" t="s">
        <v>2090</v>
      </c>
      <c r="E3078" s="114">
        <v>374</v>
      </c>
      <c r="F3078" s="114">
        <v>324</v>
      </c>
      <c r="G3078" s="114">
        <v>1</v>
      </c>
      <c r="H3078" s="114">
        <v>11000</v>
      </c>
      <c r="I3078" s="114">
        <v>11000</v>
      </c>
      <c r="J3078" s="114">
        <v>9244</v>
      </c>
      <c r="K3078" s="114">
        <v>1756</v>
      </c>
      <c r="L3078" s="114" t="str">
        <f t="shared" si="48"/>
        <v>INSERT INTO DETALLES_DOCUMENTO(NRO_DOCUMENTO,ID_TIPO,ID_PRODUCTO,CANTIDAD,PRECIO,VALOR_BRUTO,VALOR_NETO,VALOR_IVA) VALUES(1475,1,324,1,11000,11000,9244,1756);</v>
      </c>
    </row>
    <row r="3079" spans="1:12">
      <c r="A3079" s="114">
        <v>1</v>
      </c>
      <c r="B3079" s="114">
        <v>1476</v>
      </c>
      <c r="C3079" s="139" t="s">
        <v>2410</v>
      </c>
      <c r="D3079" s="114" t="s">
        <v>2090</v>
      </c>
      <c r="E3079" s="114">
        <v>9</v>
      </c>
      <c r="F3079" s="114">
        <v>111</v>
      </c>
      <c r="G3079" s="114">
        <v>1</v>
      </c>
      <c r="H3079" s="114">
        <v>-1600</v>
      </c>
      <c r="I3079" s="114">
        <v>-1600</v>
      </c>
      <c r="J3079" s="114">
        <v>-1345</v>
      </c>
      <c r="K3079" s="114">
        <v>-255</v>
      </c>
      <c r="L3079" s="114" t="str">
        <f t="shared" si="48"/>
        <v>INSERT INTO DETALLES_DOCUMENTO(NRO_DOCUMENTO,ID_TIPO,ID_PRODUCTO,CANTIDAD,PRECIO,VALOR_BRUTO,VALOR_NETO,VALOR_IVA) VALUES(1476,1,111,1,-1600,-1600,-1345,-255);</v>
      </c>
    </row>
    <row r="3080" spans="1:12">
      <c r="A3080" s="114">
        <v>1</v>
      </c>
      <c r="B3080" s="114">
        <v>1477</v>
      </c>
      <c r="C3080" s="139" t="s">
        <v>2410</v>
      </c>
      <c r="D3080" s="114" t="s">
        <v>2090</v>
      </c>
      <c r="E3080" s="114">
        <v>15</v>
      </c>
      <c r="F3080" s="114">
        <v>324</v>
      </c>
      <c r="G3080" s="114">
        <v>2</v>
      </c>
      <c r="H3080" s="114">
        <v>22000</v>
      </c>
      <c r="I3080" s="114">
        <v>44000</v>
      </c>
      <c r="J3080" s="114">
        <v>36975</v>
      </c>
      <c r="K3080" s="114">
        <v>7025</v>
      </c>
      <c r="L3080" s="114" t="str">
        <f t="shared" si="48"/>
        <v>INSERT INTO DETALLES_DOCUMENTO(NRO_DOCUMENTO,ID_TIPO,ID_PRODUCTO,CANTIDAD,PRECIO,VALOR_BRUTO,VALOR_NETO,VALOR_IVA) VALUES(1477,1,324,2,22000,44000,36975,7025);</v>
      </c>
    </row>
    <row r="3081" spans="1:12">
      <c r="A3081" s="114">
        <v>1</v>
      </c>
      <c r="B3081" s="114">
        <v>1478</v>
      </c>
      <c r="C3081" s="139" t="s">
        <v>2410</v>
      </c>
      <c r="D3081" s="114" t="s">
        <v>2090</v>
      </c>
      <c r="E3081" s="114">
        <v>62</v>
      </c>
      <c r="F3081" s="114">
        <v>223</v>
      </c>
      <c r="G3081" s="114">
        <v>1</v>
      </c>
      <c r="H3081" s="114">
        <v>24000</v>
      </c>
      <c r="I3081" s="114">
        <v>24000</v>
      </c>
      <c r="J3081" s="114">
        <v>20168</v>
      </c>
      <c r="K3081" s="114">
        <v>3832</v>
      </c>
      <c r="L3081" s="114" t="str">
        <f t="shared" si="48"/>
        <v>INSERT INTO DETALLES_DOCUMENTO(NRO_DOCUMENTO,ID_TIPO,ID_PRODUCTO,CANTIDAD,PRECIO,VALOR_BRUTO,VALOR_NETO,VALOR_IVA) VALUES(1478,1,223,1,24000,24000,20168,3832);</v>
      </c>
    </row>
    <row r="3082" spans="1:12">
      <c r="A3082" s="114">
        <v>1</v>
      </c>
      <c r="B3082" s="114">
        <v>1478</v>
      </c>
      <c r="C3082" s="139" t="s">
        <v>2410</v>
      </c>
      <c r="D3082" s="114" t="s">
        <v>2090</v>
      </c>
      <c r="E3082" s="114">
        <v>62</v>
      </c>
      <c r="F3082" s="114">
        <v>319</v>
      </c>
      <c r="G3082" s="114">
        <v>1</v>
      </c>
      <c r="H3082" s="114">
        <v>3000</v>
      </c>
      <c r="I3082" s="114">
        <v>3000</v>
      </c>
      <c r="J3082" s="114">
        <v>2521</v>
      </c>
      <c r="K3082" s="114">
        <v>479</v>
      </c>
      <c r="L3082" s="114" t="str">
        <f t="shared" si="48"/>
        <v>INSERT INTO DETALLES_DOCUMENTO(NRO_DOCUMENTO,ID_TIPO,ID_PRODUCTO,CANTIDAD,PRECIO,VALOR_BRUTO,VALOR_NETO,VALOR_IVA) VALUES(1478,1,319,1,3000,3000,2521,479);</v>
      </c>
    </row>
    <row r="3083" spans="1:12">
      <c r="A3083" s="114">
        <v>1</v>
      </c>
      <c r="B3083" s="114">
        <v>1478</v>
      </c>
      <c r="C3083" s="139" t="s">
        <v>2410</v>
      </c>
      <c r="D3083" s="114" t="s">
        <v>2090</v>
      </c>
      <c r="E3083" s="114">
        <v>62</v>
      </c>
      <c r="F3083" s="114">
        <v>117</v>
      </c>
      <c r="G3083" s="114">
        <v>4</v>
      </c>
      <c r="H3083" s="114">
        <v>14000</v>
      </c>
      <c r="I3083" s="114">
        <v>56000</v>
      </c>
      <c r="J3083" s="114">
        <v>47059</v>
      </c>
      <c r="K3083" s="114">
        <v>8941</v>
      </c>
      <c r="L3083" s="114" t="str">
        <f t="shared" si="48"/>
        <v>INSERT INTO DETALLES_DOCUMENTO(NRO_DOCUMENTO,ID_TIPO,ID_PRODUCTO,CANTIDAD,PRECIO,VALOR_BRUTO,VALOR_NETO,VALOR_IVA) VALUES(1478,1,117,4,14000,56000,47059,8941);</v>
      </c>
    </row>
    <row r="3084" spans="1:12">
      <c r="A3084" s="114">
        <v>1</v>
      </c>
      <c r="B3084" s="114">
        <v>1478</v>
      </c>
      <c r="C3084" s="139" t="s">
        <v>2410</v>
      </c>
      <c r="D3084" s="114" t="s">
        <v>2090</v>
      </c>
      <c r="E3084" s="114">
        <v>62</v>
      </c>
      <c r="F3084" s="114">
        <v>356</v>
      </c>
      <c r="G3084" s="114">
        <v>1</v>
      </c>
      <c r="H3084" s="114">
        <v>3000</v>
      </c>
      <c r="I3084" s="114">
        <v>3000</v>
      </c>
      <c r="J3084" s="114">
        <v>2521</v>
      </c>
      <c r="K3084" s="114">
        <v>479</v>
      </c>
      <c r="L3084" s="114" t="str">
        <f t="shared" si="48"/>
        <v>INSERT INTO DETALLES_DOCUMENTO(NRO_DOCUMENTO,ID_TIPO,ID_PRODUCTO,CANTIDAD,PRECIO,VALOR_BRUTO,VALOR_NETO,VALOR_IVA) VALUES(1478,1,356,1,3000,3000,2521,479);</v>
      </c>
    </row>
    <row r="3085" spans="1:12">
      <c r="A3085" s="114">
        <v>1</v>
      </c>
      <c r="B3085" s="114">
        <v>1478</v>
      </c>
      <c r="C3085" s="139" t="s">
        <v>2410</v>
      </c>
      <c r="D3085" s="114" t="s">
        <v>2090</v>
      </c>
      <c r="E3085" s="114">
        <v>62</v>
      </c>
      <c r="F3085" s="114">
        <v>97</v>
      </c>
      <c r="G3085" s="114">
        <v>1</v>
      </c>
      <c r="H3085" s="114">
        <v>2000</v>
      </c>
      <c r="I3085" s="114">
        <v>2000</v>
      </c>
      <c r="J3085" s="114">
        <v>1681</v>
      </c>
      <c r="K3085" s="114">
        <v>319</v>
      </c>
      <c r="L3085" s="114" t="str">
        <f t="shared" si="48"/>
        <v>INSERT INTO DETALLES_DOCUMENTO(NRO_DOCUMENTO,ID_TIPO,ID_PRODUCTO,CANTIDAD,PRECIO,VALOR_BRUTO,VALOR_NETO,VALOR_IVA) VALUES(1478,1,97,1,2000,2000,1681,319);</v>
      </c>
    </row>
    <row r="3086" spans="1:12">
      <c r="A3086" s="114">
        <v>1</v>
      </c>
      <c r="B3086" s="114">
        <v>1478</v>
      </c>
      <c r="C3086" s="139" t="s">
        <v>2410</v>
      </c>
      <c r="D3086" s="114" t="s">
        <v>2090</v>
      </c>
      <c r="E3086" s="114">
        <v>62</v>
      </c>
      <c r="F3086" s="114">
        <v>98</v>
      </c>
      <c r="G3086" s="114">
        <v>1</v>
      </c>
      <c r="H3086" s="114">
        <v>3500</v>
      </c>
      <c r="I3086" s="114">
        <v>3500</v>
      </c>
      <c r="J3086" s="114">
        <v>2941</v>
      </c>
      <c r="K3086" s="114">
        <v>559</v>
      </c>
      <c r="L3086" s="114" t="str">
        <f t="shared" si="48"/>
        <v>INSERT INTO DETALLES_DOCUMENTO(NRO_DOCUMENTO,ID_TIPO,ID_PRODUCTO,CANTIDAD,PRECIO,VALOR_BRUTO,VALOR_NETO,VALOR_IVA) VALUES(1478,1,98,1,3500,3500,2941,559);</v>
      </c>
    </row>
    <row r="3087" spans="1:12">
      <c r="A3087" s="114">
        <v>1</v>
      </c>
      <c r="B3087" s="114">
        <v>1478</v>
      </c>
      <c r="C3087" s="139" t="s">
        <v>2410</v>
      </c>
      <c r="D3087" s="114" t="s">
        <v>2090</v>
      </c>
      <c r="E3087" s="114">
        <v>62</v>
      </c>
      <c r="F3087" s="114">
        <v>386</v>
      </c>
      <c r="G3087" s="114">
        <v>1</v>
      </c>
      <c r="H3087" s="114">
        <v>2700</v>
      </c>
      <c r="I3087" s="114">
        <v>2700</v>
      </c>
      <c r="J3087" s="114">
        <v>2269</v>
      </c>
      <c r="K3087" s="114">
        <v>431</v>
      </c>
      <c r="L3087" s="114" t="str">
        <f t="shared" si="48"/>
        <v>INSERT INTO DETALLES_DOCUMENTO(NRO_DOCUMENTO,ID_TIPO,ID_PRODUCTO,CANTIDAD,PRECIO,VALOR_BRUTO,VALOR_NETO,VALOR_IVA) VALUES(1478,1,386,1,2700,2700,2269,431);</v>
      </c>
    </row>
    <row r="3088" spans="1:12">
      <c r="A3088" s="114">
        <v>1</v>
      </c>
      <c r="B3088" s="114">
        <v>1478</v>
      </c>
      <c r="C3088" s="139" t="s">
        <v>2410</v>
      </c>
      <c r="D3088" s="114" t="s">
        <v>2090</v>
      </c>
      <c r="E3088" s="114">
        <v>62</v>
      </c>
      <c r="F3088" s="114">
        <v>230</v>
      </c>
      <c r="G3088" s="114">
        <v>1</v>
      </c>
      <c r="H3088" s="114">
        <v>16500</v>
      </c>
      <c r="I3088" s="114">
        <v>16500</v>
      </c>
      <c r="J3088" s="114">
        <v>13866</v>
      </c>
      <c r="K3088" s="114">
        <v>2634</v>
      </c>
      <c r="L3088" s="114" t="str">
        <f t="shared" si="48"/>
        <v>INSERT INTO DETALLES_DOCUMENTO(NRO_DOCUMENTO,ID_TIPO,ID_PRODUCTO,CANTIDAD,PRECIO,VALOR_BRUTO,VALOR_NETO,VALOR_IVA) VALUES(1478,1,230,1,16500,16500,13866,2634);</v>
      </c>
    </row>
    <row r="3089" spans="1:12">
      <c r="A3089" s="114">
        <v>1</v>
      </c>
      <c r="B3089" s="114">
        <v>1478</v>
      </c>
      <c r="C3089" s="139" t="s">
        <v>2410</v>
      </c>
      <c r="D3089" s="114" t="s">
        <v>2090</v>
      </c>
      <c r="E3089" s="114">
        <v>62</v>
      </c>
      <c r="F3089" s="114">
        <v>95</v>
      </c>
      <c r="G3089" s="114">
        <v>1</v>
      </c>
      <c r="H3089" s="114">
        <v>2400</v>
      </c>
      <c r="I3089" s="114">
        <v>2400</v>
      </c>
      <c r="J3089" s="114">
        <v>2017</v>
      </c>
      <c r="K3089" s="114">
        <v>383</v>
      </c>
      <c r="L3089" s="114" t="str">
        <f t="shared" si="48"/>
        <v>INSERT INTO DETALLES_DOCUMENTO(NRO_DOCUMENTO,ID_TIPO,ID_PRODUCTO,CANTIDAD,PRECIO,VALOR_BRUTO,VALOR_NETO,VALOR_IVA) VALUES(1478,1,95,1,2400,2400,2017,383);</v>
      </c>
    </row>
    <row r="3090" spans="1:12">
      <c r="A3090" s="114">
        <v>1</v>
      </c>
      <c r="B3090" s="114">
        <v>1478</v>
      </c>
      <c r="C3090" s="139" t="s">
        <v>2410</v>
      </c>
      <c r="D3090" s="114" t="s">
        <v>2090</v>
      </c>
      <c r="E3090" s="114">
        <v>62</v>
      </c>
      <c r="F3090" s="114">
        <v>324</v>
      </c>
      <c r="G3090" s="114">
        <v>1</v>
      </c>
      <c r="H3090" s="114">
        <v>11000</v>
      </c>
      <c r="I3090" s="114">
        <v>11000</v>
      </c>
      <c r="J3090" s="114">
        <v>9244</v>
      </c>
      <c r="K3090" s="114">
        <v>1756</v>
      </c>
      <c r="L3090" s="114" t="str">
        <f t="shared" si="48"/>
        <v>INSERT INTO DETALLES_DOCUMENTO(NRO_DOCUMENTO,ID_TIPO,ID_PRODUCTO,CANTIDAD,PRECIO,VALOR_BRUTO,VALOR_NETO,VALOR_IVA) VALUES(1478,1,324,1,11000,11000,9244,1756);</v>
      </c>
    </row>
    <row r="3091" spans="1:12">
      <c r="A3091" s="114">
        <v>1</v>
      </c>
      <c r="B3091" s="114">
        <v>1478</v>
      </c>
      <c r="C3091" s="139" t="s">
        <v>2410</v>
      </c>
      <c r="D3091" s="114" t="s">
        <v>2090</v>
      </c>
      <c r="E3091" s="114">
        <v>62</v>
      </c>
      <c r="F3091" s="114">
        <v>143</v>
      </c>
      <c r="G3091" s="114">
        <v>1</v>
      </c>
      <c r="H3091" s="114">
        <v>8000</v>
      </c>
      <c r="I3091" s="114">
        <v>8000</v>
      </c>
      <c r="J3091" s="114">
        <v>6723</v>
      </c>
      <c r="K3091" s="114">
        <v>1277</v>
      </c>
      <c r="L3091" s="114" t="str">
        <f t="shared" si="48"/>
        <v>INSERT INTO DETALLES_DOCUMENTO(NRO_DOCUMENTO,ID_TIPO,ID_PRODUCTO,CANTIDAD,PRECIO,VALOR_BRUTO,VALOR_NETO,VALOR_IVA) VALUES(1478,1,143,1,8000,8000,6723,1277);</v>
      </c>
    </row>
    <row r="3092" spans="1:12">
      <c r="A3092" s="114">
        <v>1</v>
      </c>
      <c r="B3092" s="114">
        <v>1479</v>
      </c>
      <c r="C3092" s="139" t="s">
        <v>2410</v>
      </c>
      <c r="D3092" s="114" t="s">
        <v>2090</v>
      </c>
      <c r="E3092" s="114">
        <v>151</v>
      </c>
      <c r="F3092" s="114">
        <v>68</v>
      </c>
      <c r="G3092" s="114">
        <v>1</v>
      </c>
      <c r="H3092" s="114">
        <v>1200</v>
      </c>
      <c r="I3092" s="114">
        <v>1200</v>
      </c>
      <c r="J3092" s="114">
        <v>1008</v>
      </c>
      <c r="K3092" s="114">
        <v>192</v>
      </c>
      <c r="L3092" s="114" t="str">
        <f t="shared" si="48"/>
        <v>INSERT INTO DETALLES_DOCUMENTO(NRO_DOCUMENTO,ID_TIPO,ID_PRODUCTO,CANTIDAD,PRECIO,VALOR_BRUTO,VALOR_NETO,VALOR_IVA) VALUES(1479,1,68,1,1200,1200,1008,192);</v>
      </c>
    </row>
    <row r="3093" spans="1:12">
      <c r="A3093" s="114">
        <v>1</v>
      </c>
      <c r="B3093" s="114">
        <v>1479</v>
      </c>
      <c r="C3093" s="139" t="s">
        <v>2410</v>
      </c>
      <c r="D3093" s="114" t="s">
        <v>2090</v>
      </c>
      <c r="E3093" s="114">
        <v>151</v>
      </c>
      <c r="F3093" s="114">
        <v>386</v>
      </c>
      <c r="G3093" s="114">
        <v>1</v>
      </c>
      <c r="H3093" s="114">
        <v>2700</v>
      </c>
      <c r="I3093" s="114">
        <v>2700</v>
      </c>
      <c r="J3093" s="114">
        <v>2269</v>
      </c>
      <c r="K3093" s="114">
        <v>431</v>
      </c>
      <c r="L3093" s="114" t="str">
        <f t="shared" si="48"/>
        <v>INSERT INTO DETALLES_DOCUMENTO(NRO_DOCUMENTO,ID_TIPO,ID_PRODUCTO,CANTIDAD,PRECIO,VALOR_BRUTO,VALOR_NETO,VALOR_IVA) VALUES(1479,1,386,1,2700,2700,2269,431);</v>
      </c>
    </row>
    <row r="3094" spans="1:12">
      <c r="A3094" s="114">
        <v>1</v>
      </c>
      <c r="B3094" s="114">
        <v>1479</v>
      </c>
      <c r="C3094" s="139" t="s">
        <v>2410</v>
      </c>
      <c r="D3094" s="114" t="s">
        <v>2090</v>
      </c>
      <c r="E3094" s="114">
        <v>151</v>
      </c>
      <c r="F3094" s="114">
        <v>95</v>
      </c>
      <c r="G3094" s="114">
        <v>1</v>
      </c>
      <c r="H3094" s="114">
        <v>2400</v>
      </c>
      <c r="I3094" s="114">
        <v>2400</v>
      </c>
      <c r="J3094" s="114">
        <v>2017</v>
      </c>
      <c r="K3094" s="114">
        <v>383</v>
      </c>
      <c r="L3094" s="114" t="str">
        <f t="shared" si="48"/>
        <v>INSERT INTO DETALLES_DOCUMENTO(NRO_DOCUMENTO,ID_TIPO,ID_PRODUCTO,CANTIDAD,PRECIO,VALOR_BRUTO,VALOR_NETO,VALOR_IVA) VALUES(1479,1,95,1,2400,2400,2017,383);</v>
      </c>
    </row>
    <row r="3095" spans="1:12">
      <c r="A3095" s="114">
        <v>1</v>
      </c>
      <c r="B3095" s="114">
        <v>1480</v>
      </c>
      <c r="C3095" s="139" t="s">
        <v>2410</v>
      </c>
      <c r="D3095" s="114" t="s">
        <v>2090</v>
      </c>
      <c r="E3095" s="114">
        <v>166</v>
      </c>
      <c r="F3095" s="114">
        <v>324</v>
      </c>
      <c r="G3095" s="114">
        <v>1</v>
      </c>
      <c r="H3095" s="114">
        <v>11000</v>
      </c>
      <c r="I3095" s="114">
        <v>11000</v>
      </c>
      <c r="J3095" s="114">
        <v>9244</v>
      </c>
      <c r="K3095" s="114">
        <v>1756</v>
      </c>
      <c r="L3095" s="114" t="str">
        <f t="shared" si="48"/>
        <v>INSERT INTO DETALLES_DOCUMENTO(NRO_DOCUMENTO,ID_TIPO,ID_PRODUCTO,CANTIDAD,PRECIO,VALOR_BRUTO,VALOR_NETO,VALOR_IVA) VALUES(1480,1,324,1,11000,11000,9244,1756);</v>
      </c>
    </row>
    <row r="3096" spans="1:12">
      <c r="A3096" s="114">
        <v>1</v>
      </c>
      <c r="B3096" s="114">
        <v>1481</v>
      </c>
      <c r="C3096" s="139" t="s">
        <v>2410</v>
      </c>
      <c r="D3096" s="114" t="s">
        <v>2090</v>
      </c>
      <c r="E3096" s="114">
        <v>212</v>
      </c>
      <c r="F3096" s="114">
        <v>233</v>
      </c>
      <c r="G3096" s="114">
        <v>1</v>
      </c>
      <c r="H3096" s="114">
        <v>16000</v>
      </c>
      <c r="I3096" s="114">
        <v>16000</v>
      </c>
      <c r="J3096" s="114">
        <v>13445</v>
      </c>
      <c r="K3096" s="114">
        <v>2555</v>
      </c>
      <c r="L3096" s="114" t="str">
        <f t="shared" si="48"/>
        <v>INSERT INTO DETALLES_DOCUMENTO(NRO_DOCUMENTO,ID_TIPO,ID_PRODUCTO,CANTIDAD,PRECIO,VALOR_BRUTO,VALOR_NETO,VALOR_IVA) VALUES(1481,1,233,1,16000,16000,13445,2555);</v>
      </c>
    </row>
    <row r="3097" spans="1:12">
      <c r="A3097" s="114">
        <v>1</v>
      </c>
      <c r="B3097" s="114">
        <v>1481</v>
      </c>
      <c r="C3097" s="139" t="s">
        <v>2410</v>
      </c>
      <c r="D3097" s="114" t="s">
        <v>2090</v>
      </c>
      <c r="E3097" s="114">
        <v>212</v>
      </c>
      <c r="F3097" s="114">
        <v>118</v>
      </c>
      <c r="G3097" s="114">
        <v>1</v>
      </c>
      <c r="H3097" s="114">
        <v>3500</v>
      </c>
      <c r="I3097" s="114">
        <v>3500</v>
      </c>
      <c r="J3097" s="114">
        <v>2941</v>
      </c>
      <c r="K3097" s="114">
        <v>559</v>
      </c>
      <c r="L3097" s="114" t="str">
        <f t="shared" si="48"/>
        <v>INSERT INTO DETALLES_DOCUMENTO(NRO_DOCUMENTO,ID_TIPO,ID_PRODUCTO,CANTIDAD,PRECIO,VALOR_BRUTO,VALOR_NETO,VALOR_IVA) VALUES(1481,1,118,1,3500,3500,2941,559);</v>
      </c>
    </row>
    <row r="3098" spans="1:12">
      <c r="A3098" s="114">
        <v>1</v>
      </c>
      <c r="B3098" s="114">
        <v>1481</v>
      </c>
      <c r="C3098" s="139" t="s">
        <v>2410</v>
      </c>
      <c r="D3098" s="114" t="s">
        <v>2090</v>
      </c>
      <c r="E3098" s="114">
        <v>212</v>
      </c>
      <c r="F3098" s="114">
        <v>223</v>
      </c>
      <c r="G3098" s="114">
        <v>1</v>
      </c>
      <c r="H3098" s="114">
        <v>24000</v>
      </c>
      <c r="I3098" s="114">
        <v>24000</v>
      </c>
      <c r="J3098" s="114">
        <v>20168</v>
      </c>
      <c r="K3098" s="114">
        <v>3832</v>
      </c>
      <c r="L3098" s="114" t="str">
        <f t="shared" si="48"/>
        <v>INSERT INTO DETALLES_DOCUMENTO(NRO_DOCUMENTO,ID_TIPO,ID_PRODUCTO,CANTIDAD,PRECIO,VALOR_BRUTO,VALOR_NETO,VALOR_IVA) VALUES(1481,1,223,1,24000,24000,20168,3832);</v>
      </c>
    </row>
    <row r="3099" spans="1:12">
      <c r="A3099" s="114">
        <v>1</v>
      </c>
      <c r="B3099" s="114">
        <v>1482</v>
      </c>
      <c r="C3099" s="139" t="s">
        <v>2410</v>
      </c>
      <c r="D3099" s="114" t="s">
        <v>2090</v>
      </c>
      <c r="E3099" s="114">
        <v>306</v>
      </c>
      <c r="F3099" s="114">
        <v>324</v>
      </c>
      <c r="G3099" s="114">
        <v>3</v>
      </c>
      <c r="H3099" s="114">
        <v>33000</v>
      </c>
      <c r="I3099" s="114">
        <v>99000</v>
      </c>
      <c r="J3099" s="114">
        <v>83193</v>
      </c>
      <c r="K3099" s="114">
        <v>15807</v>
      </c>
      <c r="L3099" s="114" t="str">
        <f t="shared" si="48"/>
        <v>INSERT INTO DETALLES_DOCUMENTO(NRO_DOCUMENTO,ID_TIPO,ID_PRODUCTO,CANTIDAD,PRECIO,VALOR_BRUTO,VALOR_NETO,VALOR_IVA) VALUES(1482,1,324,3,33000,99000,83193,15807);</v>
      </c>
    </row>
    <row r="3100" spans="1:12">
      <c r="A3100" s="114">
        <v>1</v>
      </c>
      <c r="B3100" s="114">
        <v>1482</v>
      </c>
      <c r="C3100" s="139" t="s">
        <v>2410</v>
      </c>
      <c r="D3100" s="114" t="s">
        <v>2090</v>
      </c>
      <c r="E3100" s="114">
        <v>306</v>
      </c>
      <c r="F3100" s="114">
        <v>7</v>
      </c>
      <c r="G3100" s="114">
        <v>1</v>
      </c>
      <c r="H3100" s="114">
        <v>7000</v>
      </c>
      <c r="I3100" s="114">
        <v>7000</v>
      </c>
      <c r="J3100" s="114">
        <v>5882</v>
      </c>
      <c r="K3100" s="114">
        <v>1118</v>
      </c>
      <c r="L3100" s="114" t="str">
        <f t="shared" si="48"/>
        <v>INSERT INTO DETALLES_DOCUMENTO(NRO_DOCUMENTO,ID_TIPO,ID_PRODUCTO,CANTIDAD,PRECIO,VALOR_BRUTO,VALOR_NETO,VALOR_IVA) VALUES(1482,1,7,1,7000,7000,5882,1118);</v>
      </c>
    </row>
    <row r="3101" spans="1:12">
      <c r="A3101" s="114">
        <v>1</v>
      </c>
      <c r="B3101" s="114">
        <v>1482</v>
      </c>
      <c r="C3101" s="139" t="s">
        <v>2410</v>
      </c>
      <c r="D3101" s="114" t="s">
        <v>2090</v>
      </c>
      <c r="E3101" s="114">
        <v>306</v>
      </c>
      <c r="F3101" s="114">
        <v>319</v>
      </c>
      <c r="G3101" s="114">
        <v>1</v>
      </c>
      <c r="H3101" s="114">
        <v>3000</v>
      </c>
      <c r="I3101" s="114">
        <v>3000</v>
      </c>
      <c r="J3101" s="114">
        <v>2521</v>
      </c>
      <c r="K3101" s="114">
        <v>479</v>
      </c>
      <c r="L3101" s="114" t="str">
        <f t="shared" si="48"/>
        <v>INSERT INTO DETALLES_DOCUMENTO(NRO_DOCUMENTO,ID_TIPO,ID_PRODUCTO,CANTIDAD,PRECIO,VALOR_BRUTO,VALOR_NETO,VALOR_IVA) VALUES(1482,1,319,1,3000,3000,2521,479);</v>
      </c>
    </row>
    <row r="3102" spans="1:12">
      <c r="A3102" s="114">
        <v>1</v>
      </c>
      <c r="B3102" s="114">
        <v>1483</v>
      </c>
      <c r="C3102" s="139" t="s">
        <v>2410</v>
      </c>
      <c r="D3102" s="114" t="s">
        <v>2090</v>
      </c>
      <c r="E3102" s="114">
        <v>357</v>
      </c>
      <c r="F3102" s="114">
        <v>222</v>
      </c>
      <c r="G3102" s="114">
        <v>1</v>
      </c>
      <c r="H3102" s="114">
        <v>32000</v>
      </c>
      <c r="I3102" s="114">
        <v>32000</v>
      </c>
      <c r="J3102" s="114">
        <v>26891</v>
      </c>
      <c r="K3102" s="114">
        <v>5109</v>
      </c>
      <c r="L3102" s="114" t="str">
        <f t="shared" si="48"/>
        <v>INSERT INTO DETALLES_DOCUMENTO(NRO_DOCUMENTO,ID_TIPO,ID_PRODUCTO,CANTIDAD,PRECIO,VALOR_BRUTO,VALOR_NETO,VALOR_IVA) VALUES(1483,1,222,1,32000,32000,26891,5109);</v>
      </c>
    </row>
    <row r="3103" spans="1:12">
      <c r="A3103" s="114">
        <v>1</v>
      </c>
      <c r="B3103" s="114">
        <v>1484</v>
      </c>
      <c r="C3103" s="139" t="s">
        <v>2410</v>
      </c>
      <c r="D3103" s="114" t="s">
        <v>2090</v>
      </c>
      <c r="E3103" s="114">
        <v>446</v>
      </c>
      <c r="F3103" s="114">
        <v>322</v>
      </c>
      <c r="G3103" s="114">
        <v>1</v>
      </c>
      <c r="H3103" s="114">
        <v>9000</v>
      </c>
      <c r="I3103" s="114">
        <v>9000</v>
      </c>
      <c r="J3103" s="114">
        <v>7563</v>
      </c>
      <c r="K3103" s="114">
        <v>1437</v>
      </c>
      <c r="L3103" s="114" t="str">
        <f t="shared" si="48"/>
        <v>INSERT INTO DETALLES_DOCUMENTO(NRO_DOCUMENTO,ID_TIPO,ID_PRODUCTO,CANTIDAD,PRECIO,VALOR_BRUTO,VALOR_NETO,VALOR_IVA) VALUES(1484,1,322,1,9000,9000,7563,1437);</v>
      </c>
    </row>
    <row r="3104" spans="1:12">
      <c r="A3104" s="114">
        <v>1</v>
      </c>
      <c r="B3104" s="114">
        <v>1485</v>
      </c>
      <c r="C3104" s="139" t="s">
        <v>2411</v>
      </c>
      <c r="D3104" s="114" t="s">
        <v>2090</v>
      </c>
      <c r="E3104" s="114">
        <v>8</v>
      </c>
      <c r="F3104" s="114">
        <v>167</v>
      </c>
      <c r="G3104" s="114">
        <v>1</v>
      </c>
      <c r="H3104" s="114">
        <v>8200</v>
      </c>
      <c r="I3104" s="114">
        <v>8200</v>
      </c>
      <c r="J3104" s="114">
        <v>6891</v>
      </c>
      <c r="K3104" s="114">
        <v>1309</v>
      </c>
      <c r="L3104" s="114" t="str">
        <f t="shared" si="48"/>
        <v>INSERT INTO DETALLES_DOCUMENTO(NRO_DOCUMENTO,ID_TIPO,ID_PRODUCTO,CANTIDAD,PRECIO,VALOR_BRUTO,VALOR_NETO,VALOR_IVA) VALUES(1485,1,167,1,8200,8200,6891,1309);</v>
      </c>
    </row>
    <row r="3105" spans="1:12">
      <c r="A3105" s="114">
        <v>1</v>
      </c>
      <c r="B3105" s="114">
        <v>1486</v>
      </c>
      <c r="C3105" s="139" t="s">
        <v>2411</v>
      </c>
      <c r="D3105" s="114" t="s">
        <v>2090</v>
      </c>
      <c r="E3105" s="114">
        <v>98</v>
      </c>
      <c r="F3105" s="114">
        <v>329</v>
      </c>
      <c r="G3105" s="114">
        <v>1</v>
      </c>
      <c r="H3105" s="114">
        <v>6000</v>
      </c>
      <c r="I3105" s="114">
        <v>6000</v>
      </c>
      <c r="J3105" s="114">
        <v>5042</v>
      </c>
      <c r="K3105" s="114">
        <v>958</v>
      </c>
      <c r="L3105" s="114" t="str">
        <f t="shared" si="48"/>
        <v>INSERT INTO DETALLES_DOCUMENTO(NRO_DOCUMENTO,ID_TIPO,ID_PRODUCTO,CANTIDAD,PRECIO,VALOR_BRUTO,VALOR_NETO,VALOR_IVA) VALUES(1486,1,329,1,6000,6000,5042,958);</v>
      </c>
    </row>
    <row r="3106" spans="1:12">
      <c r="A3106" s="114">
        <v>1</v>
      </c>
      <c r="B3106" s="114">
        <v>1487</v>
      </c>
      <c r="C3106" s="139" t="s">
        <v>2411</v>
      </c>
      <c r="D3106" s="114" t="s">
        <v>2090</v>
      </c>
      <c r="E3106" s="114">
        <v>119</v>
      </c>
      <c r="F3106" s="114">
        <v>117</v>
      </c>
      <c r="G3106" s="114">
        <v>3</v>
      </c>
      <c r="H3106" s="114">
        <v>10500</v>
      </c>
      <c r="I3106" s="114">
        <v>31500</v>
      </c>
      <c r="J3106" s="114">
        <v>26471</v>
      </c>
      <c r="K3106" s="114">
        <v>5029</v>
      </c>
      <c r="L3106" s="114" t="str">
        <f t="shared" si="48"/>
        <v>INSERT INTO DETALLES_DOCUMENTO(NRO_DOCUMENTO,ID_TIPO,ID_PRODUCTO,CANTIDAD,PRECIO,VALOR_BRUTO,VALOR_NETO,VALOR_IVA) VALUES(1487,1,117,3,10500,31500,26471,5029);</v>
      </c>
    </row>
    <row r="3107" spans="1:12">
      <c r="A3107" s="114">
        <v>1</v>
      </c>
      <c r="B3107" s="114">
        <v>1487</v>
      </c>
      <c r="C3107" s="139" t="s">
        <v>2411</v>
      </c>
      <c r="D3107" s="114" t="s">
        <v>2090</v>
      </c>
      <c r="E3107" s="114">
        <v>119</v>
      </c>
      <c r="F3107" s="114">
        <v>98</v>
      </c>
      <c r="G3107" s="114">
        <v>1</v>
      </c>
      <c r="H3107" s="114">
        <v>3500</v>
      </c>
      <c r="I3107" s="114">
        <v>3500</v>
      </c>
      <c r="J3107" s="114">
        <v>2941</v>
      </c>
      <c r="K3107" s="114">
        <v>559</v>
      </c>
      <c r="L3107" s="114" t="str">
        <f t="shared" si="48"/>
        <v>INSERT INTO DETALLES_DOCUMENTO(NRO_DOCUMENTO,ID_TIPO,ID_PRODUCTO,CANTIDAD,PRECIO,VALOR_BRUTO,VALOR_NETO,VALOR_IVA) VALUES(1487,1,98,1,3500,3500,2941,559);</v>
      </c>
    </row>
    <row r="3108" spans="1:12">
      <c r="A3108" s="114">
        <v>1</v>
      </c>
      <c r="B3108" s="114">
        <v>1487</v>
      </c>
      <c r="C3108" s="139" t="s">
        <v>2411</v>
      </c>
      <c r="D3108" s="114" t="s">
        <v>2090</v>
      </c>
      <c r="E3108" s="114">
        <v>119</v>
      </c>
      <c r="F3108" s="114">
        <v>164</v>
      </c>
      <c r="G3108" s="114">
        <v>1</v>
      </c>
      <c r="H3108" s="114">
        <v>3200</v>
      </c>
      <c r="I3108" s="114">
        <v>3200</v>
      </c>
      <c r="J3108" s="114">
        <v>2689</v>
      </c>
      <c r="K3108" s="114">
        <v>511</v>
      </c>
      <c r="L3108" s="114" t="str">
        <f t="shared" si="48"/>
        <v>INSERT INTO DETALLES_DOCUMENTO(NRO_DOCUMENTO,ID_TIPO,ID_PRODUCTO,CANTIDAD,PRECIO,VALOR_BRUTO,VALOR_NETO,VALOR_IVA) VALUES(1487,1,164,1,3200,3200,2689,511);</v>
      </c>
    </row>
    <row r="3109" spans="1:12">
      <c r="A3109" s="114">
        <v>1</v>
      </c>
      <c r="B3109" s="114">
        <v>1487</v>
      </c>
      <c r="C3109" s="139" t="s">
        <v>2411</v>
      </c>
      <c r="D3109" s="114" t="s">
        <v>2090</v>
      </c>
      <c r="E3109" s="114">
        <v>119</v>
      </c>
      <c r="F3109" s="114">
        <v>24</v>
      </c>
      <c r="G3109" s="114">
        <v>1</v>
      </c>
      <c r="H3109" s="114">
        <v>1650</v>
      </c>
      <c r="I3109" s="114">
        <v>1650</v>
      </c>
      <c r="J3109" s="114">
        <v>1387</v>
      </c>
      <c r="K3109" s="114">
        <v>263</v>
      </c>
      <c r="L3109" s="114" t="str">
        <f t="shared" si="48"/>
        <v>INSERT INTO DETALLES_DOCUMENTO(NRO_DOCUMENTO,ID_TIPO,ID_PRODUCTO,CANTIDAD,PRECIO,VALOR_BRUTO,VALOR_NETO,VALOR_IVA) VALUES(1487,1,24,1,1650,1650,1387,263);</v>
      </c>
    </row>
    <row r="3110" spans="1:12">
      <c r="A3110" s="114">
        <v>1</v>
      </c>
      <c r="B3110" s="114">
        <v>1488</v>
      </c>
      <c r="C3110" s="139" t="s">
        <v>2411</v>
      </c>
      <c r="D3110" s="114" t="s">
        <v>2090</v>
      </c>
      <c r="E3110" s="114">
        <v>216</v>
      </c>
      <c r="F3110" s="114">
        <v>231</v>
      </c>
      <c r="G3110" s="114">
        <v>1</v>
      </c>
      <c r="H3110" s="114">
        <v>20900</v>
      </c>
      <c r="I3110" s="114">
        <v>20900</v>
      </c>
      <c r="J3110" s="114">
        <v>17563</v>
      </c>
      <c r="K3110" s="114">
        <v>3337</v>
      </c>
      <c r="L3110" s="114" t="str">
        <f t="shared" si="48"/>
        <v>INSERT INTO DETALLES_DOCUMENTO(NRO_DOCUMENTO,ID_TIPO,ID_PRODUCTO,CANTIDAD,PRECIO,VALOR_BRUTO,VALOR_NETO,VALOR_IVA) VALUES(1488,1,231,1,20900,20900,17563,3337);</v>
      </c>
    </row>
    <row r="3111" spans="1:12">
      <c r="A3111" s="114">
        <v>1</v>
      </c>
      <c r="B3111" s="114">
        <v>1489</v>
      </c>
      <c r="C3111" s="139" t="s">
        <v>2411</v>
      </c>
      <c r="D3111" s="114" t="s">
        <v>2090</v>
      </c>
      <c r="E3111" s="114">
        <v>300</v>
      </c>
      <c r="F3111" s="114">
        <v>329</v>
      </c>
      <c r="G3111" s="114">
        <v>1</v>
      </c>
      <c r="H3111" s="114">
        <v>6000</v>
      </c>
      <c r="I3111" s="114">
        <v>6000</v>
      </c>
      <c r="J3111" s="114">
        <v>5042</v>
      </c>
      <c r="K3111" s="114">
        <v>958</v>
      </c>
      <c r="L3111" s="114" t="str">
        <f t="shared" si="48"/>
        <v>INSERT INTO DETALLES_DOCUMENTO(NRO_DOCUMENTO,ID_TIPO,ID_PRODUCTO,CANTIDAD,PRECIO,VALOR_BRUTO,VALOR_NETO,VALOR_IVA) VALUES(1489,1,329,1,6000,6000,5042,958);</v>
      </c>
    </row>
    <row r="3112" spans="1:12">
      <c r="A3112" s="114">
        <v>1</v>
      </c>
      <c r="B3112" s="114">
        <v>1489</v>
      </c>
      <c r="C3112" s="139" t="s">
        <v>2411</v>
      </c>
      <c r="D3112" s="114" t="s">
        <v>2090</v>
      </c>
      <c r="E3112" s="114">
        <v>300</v>
      </c>
      <c r="F3112" s="114">
        <v>167</v>
      </c>
      <c r="G3112" s="114">
        <v>1</v>
      </c>
      <c r="H3112" s="114">
        <v>8200</v>
      </c>
      <c r="I3112" s="114">
        <v>8200</v>
      </c>
      <c r="J3112" s="114">
        <v>6891</v>
      </c>
      <c r="K3112" s="114">
        <v>1309</v>
      </c>
      <c r="L3112" s="114" t="str">
        <f t="shared" si="48"/>
        <v>INSERT INTO DETALLES_DOCUMENTO(NRO_DOCUMENTO,ID_TIPO,ID_PRODUCTO,CANTIDAD,PRECIO,VALOR_BRUTO,VALOR_NETO,VALOR_IVA) VALUES(1489,1,167,1,8200,8200,6891,1309);</v>
      </c>
    </row>
    <row r="3113" spans="1:12">
      <c r="A3113" s="114">
        <v>1</v>
      </c>
      <c r="B3113" s="114">
        <v>1489</v>
      </c>
      <c r="C3113" s="139" t="s">
        <v>2411</v>
      </c>
      <c r="D3113" s="114" t="s">
        <v>2090</v>
      </c>
      <c r="E3113" s="114">
        <v>300</v>
      </c>
      <c r="F3113" s="114">
        <v>143</v>
      </c>
      <c r="G3113" s="114">
        <v>1</v>
      </c>
      <c r="H3113" s="114">
        <v>8000</v>
      </c>
      <c r="I3113" s="114">
        <v>8000</v>
      </c>
      <c r="J3113" s="114">
        <v>6723</v>
      </c>
      <c r="K3113" s="114">
        <v>1277</v>
      </c>
      <c r="L3113" s="114" t="str">
        <f t="shared" si="48"/>
        <v>INSERT INTO DETALLES_DOCUMENTO(NRO_DOCUMENTO,ID_TIPO,ID_PRODUCTO,CANTIDAD,PRECIO,VALOR_BRUTO,VALOR_NETO,VALOR_IVA) VALUES(1489,1,143,1,8000,8000,6723,1277);</v>
      </c>
    </row>
    <row r="3114" spans="1:12">
      <c r="A3114" s="114">
        <v>1</v>
      </c>
      <c r="B3114" s="114">
        <v>1489</v>
      </c>
      <c r="C3114" s="139" t="s">
        <v>2411</v>
      </c>
      <c r="D3114" s="114" t="s">
        <v>2090</v>
      </c>
      <c r="E3114" s="114">
        <v>300</v>
      </c>
      <c r="F3114" s="114">
        <v>354</v>
      </c>
      <c r="G3114" s="114">
        <v>1</v>
      </c>
      <c r="H3114" s="114">
        <v>1800</v>
      </c>
      <c r="I3114" s="114">
        <v>1800</v>
      </c>
      <c r="J3114" s="114">
        <v>1513</v>
      </c>
      <c r="K3114" s="114">
        <v>287</v>
      </c>
      <c r="L3114" s="114" t="str">
        <f t="shared" si="48"/>
        <v>INSERT INTO DETALLES_DOCUMENTO(NRO_DOCUMENTO,ID_TIPO,ID_PRODUCTO,CANTIDAD,PRECIO,VALOR_BRUTO,VALOR_NETO,VALOR_IVA) VALUES(1489,1,354,1,1800,1800,1513,287);</v>
      </c>
    </row>
    <row r="3115" spans="1:12">
      <c r="A3115" s="114">
        <v>1</v>
      </c>
      <c r="B3115" s="114">
        <v>1489</v>
      </c>
      <c r="C3115" s="139" t="s">
        <v>2411</v>
      </c>
      <c r="D3115" s="114" t="s">
        <v>2090</v>
      </c>
      <c r="E3115" s="114">
        <v>300</v>
      </c>
      <c r="F3115" s="114">
        <v>368</v>
      </c>
      <c r="G3115" s="114">
        <v>2</v>
      </c>
      <c r="H3115" s="114">
        <v>6000</v>
      </c>
      <c r="I3115" s="114">
        <v>12000</v>
      </c>
      <c r="J3115" s="114">
        <v>10084</v>
      </c>
      <c r="K3115" s="114">
        <v>1916</v>
      </c>
      <c r="L3115" s="114" t="str">
        <f t="shared" si="48"/>
        <v>INSERT INTO DETALLES_DOCUMENTO(NRO_DOCUMENTO,ID_TIPO,ID_PRODUCTO,CANTIDAD,PRECIO,VALOR_BRUTO,VALOR_NETO,VALOR_IVA) VALUES(1489,1,368,2,6000,12000,10084,1916);</v>
      </c>
    </row>
    <row r="3116" spans="1:12">
      <c r="A3116" s="114">
        <v>1</v>
      </c>
      <c r="B3116" s="114">
        <v>1489</v>
      </c>
      <c r="C3116" s="139" t="s">
        <v>2411</v>
      </c>
      <c r="D3116" s="114" t="s">
        <v>2090</v>
      </c>
      <c r="E3116" s="114">
        <v>300</v>
      </c>
      <c r="F3116" s="114">
        <v>191</v>
      </c>
      <c r="G3116" s="114">
        <v>2</v>
      </c>
      <c r="H3116" s="114">
        <v>5000</v>
      </c>
      <c r="I3116" s="114">
        <v>10000</v>
      </c>
      <c r="J3116" s="114">
        <v>8403</v>
      </c>
      <c r="K3116" s="114">
        <v>1597</v>
      </c>
      <c r="L3116" s="114" t="str">
        <f t="shared" si="48"/>
        <v>INSERT INTO DETALLES_DOCUMENTO(NRO_DOCUMENTO,ID_TIPO,ID_PRODUCTO,CANTIDAD,PRECIO,VALOR_BRUTO,VALOR_NETO,VALOR_IVA) VALUES(1489,1,191,2,5000,10000,8403,1597);</v>
      </c>
    </row>
    <row r="3117" spans="1:12">
      <c r="A3117" s="114">
        <v>1</v>
      </c>
      <c r="B3117" s="114">
        <v>1490</v>
      </c>
      <c r="C3117" s="139" t="s">
        <v>2411</v>
      </c>
      <c r="D3117" s="114" t="s">
        <v>2090</v>
      </c>
      <c r="E3117" s="114">
        <v>352</v>
      </c>
      <c r="F3117" s="114">
        <v>231</v>
      </c>
      <c r="G3117" s="114">
        <v>1</v>
      </c>
      <c r="H3117" s="114">
        <v>20900</v>
      </c>
      <c r="I3117" s="114">
        <v>20900</v>
      </c>
      <c r="J3117" s="114">
        <v>17563</v>
      </c>
      <c r="K3117" s="114">
        <v>3337</v>
      </c>
      <c r="L3117" s="114" t="str">
        <f t="shared" si="48"/>
        <v>INSERT INTO DETALLES_DOCUMENTO(NRO_DOCUMENTO,ID_TIPO,ID_PRODUCTO,CANTIDAD,PRECIO,VALOR_BRUTO,VALOR_NETO,VALOR_IVA) VALUES(1490,1,231,1,20900,20900,17563,3337);</v>
      </c>
    </row>
    <row r="3118" spans="1:12">
      <c r="A3118" s="114">
        <v>1</v>
      </c>
      <c r="B3118" s="114">
        <v>1490</v>
      </c>
      <c r="C3118" s="139" t="s">
        <v>2411</v>
      </c>
      <c r="D3118" s="114" t="s">
        <v>2090</v>
      </c>
      <c r="E3118" s="114">
        <v>352</v>
      </c>
      <c r="F3118" s="114">
        <v>98</v>
      </c>
      <c r="G3118" s="114">
        <v>1</v>
      </c>
      <c r="H3118" s="114">
        <v>3500</v>
      </c>
      <c r="I3118" s="114">
        <v>3500</v>
      </c>
      <c r="J3118" s="114">
        <v>2941</v>
      </c>
      <c r="K3118" s="114">
        <v>559</v>
      </c>
      <c r="L3118" s="114" t="str">
        <f t="shared" si="48"/>
        <v>INSERT INTO DETALLES_DOCUMENTO(NRO_DOCUMENTO,ID_TIPO,ID_PRODUCTO,CANTIDAD,PRECIO,VALOR_BRUTO,VALOR_NETO,VALOR_IVA) VALUES(1490,1,98,1,3500,3500,2941,559);</v>
      </c>
    </row>
    <row r="3119" spans="1:12">
      <c r="A3119" s="114">
        <v>1</v>
      </c>
      <c r="B3119" s="114">
        <v>1490</v>
      </c>
      <c r="C3119" s="139" t="s">
        <v>2411</v>
      </c>
      <c r="D3119" s="114" t="s">
        <v>2090</v>
      </c>
      <c r="E3119" s="114">
        <v>352</v>
      </c>
      <c r="F3119" s="114">
        <v>386</v>
      </c>
      <c r="G3119" s="114">
        <v>1</v>
      </c>
      <c r="H3119" s="114">
        <v>2700</v>
      </c>
      <c r="I3119" s="114">
        <v>2700</v>
      </c>
      <c r="J3119" s="114">
        <v>2269</v>
      </c>
      <c r="K3119" s="114">
        <v>431</v>
      </c>
      <c r="L3119" s="114" t="str">
        <f t="shared" si="48"/>
        <v>INSERT INTO DETALLES_DOCUMENTO(NRO_DOCUMENTO,ID_TIPO,ID_PRODUCTO,CANTIDAD,PRECIO,VALOR_BRUTO,VALOR_NETO,VALOR_IVA) VALUES(1490,1,386,1,2700,2700,2269,431);</v>
      </c>
    </row>
    <row r="3120" spans="1:12">
      <c r="A3120" s="114">
        <v>1</v>
      </c>
      <c r="B3120" s="114">
        <v>1490</v>
      </c>
      <c r="C3120" s="139" t="s">
        <v>2411</v>
      </c>
      <c r="D3120" s="114" t="s">
        <v>2090</v>
      </c>
      <c r="E3120" s="114">
        <v>352</v>
      </c>
      <c r="F3120" s="114">
        <v>249</v>
      </c>
      <c r="G3120" s="114">
        <v>1</v>
      </c>
      <c r="H3120" s="114">
        <v>4000</v>
      </c>
      <c r="I3120" s="114">
        <v>4000</v>
      </c>
      <c r="J3120" s="114">
        <v>3361</v>
      </c>
      <c r="K3120" s="114">
        <v>639</v>
      </c>
      <c r="L3120" s="114" t="str">
        <f t="shared" si="48"/>
        <v>INSERT INTO DETALLES_DOCUMENTO(NRO_DOCUMENTO,ID_TIPO,ID_PRODUCTO,CANTIDAD,PRECIO,VALOR_BRUTO,VALOR_NETO,VALOR_IVA) VALUES(1490,1,249,1,4000,4000,3361,639);</v>
      </c>
    </row>
    <row r="3121" spans="1:12">
      <c r="A3121" s="114">
        <v>1</v>
      </c>
      <c r="B3121" s="114">
        <v>1490</v>
      </c>
      <c r="C3121" s="139" t="s">
        <v>2411</v>
      </c>
      <c r="D3121" s="114" t="s">
        <v>2090</v>
      </c>
      <c r="E3121" s="114">
        <v>352</v>
      </c>
      <c r="F3121" s="114">
        <v>360</v>
      </c>
      <c r="G3121" s="114">
        <v>1</v>
      </c>
      <c r="H3121" s="114">
        <v>3000</v>
      </c>
      <c r="I3121" s="114">
        <v>3000</v>
      </c>
      <c r="J3121" s="114">
        <v>2521</v>
      </c>
      <c r="K3121" s="114">
        <v>479</v>
      </c>
      <c r="L3121" s="114" t="str">
        <f t="shared" si="48"/>
        <v>INSERT INTO DETALLES_DOCUMENTO(NRO_DOCUMENTO,ID_TIPO,ID_PRODUCTO,CANTIDAD,PRECIO,VALOR_BRUTO,VALOR_NETO,VALOR_IVA) VALUES(1490,1,360,1,3000,3000,2521,479);</v>
      </c>
    </row>
    <row r="3122" spans="1:12">
      <c r="A3122" s="114">
        <v>1</v>
      </c>
      <c r="B3122" s="114">
        <v>1491</v>
      </c>
      <c r="C3122" s="139" t="s">
        <v>2411</v>
      </c>
      <c r="D3122" s="114" t="s">
        <v>2090</v>
      </c>
      <c r="E3122" s="114">
        <v>389</v>
      </c>
      <c r="F3122" s="114">
        <v>26</v>
      </c>
      <c r="G3122" s="114">
        <v>1</v>
      </c>
      <c r="H3122" s="114">
        <v>3400</v>
      </c>
      <c r="I3122" s="114">
        <v>3400</v>
      </c>
      <c r="J3122" s="114">
        <v>2857</v>
      </c>
      <c r="K3122" s="114">
        <v>543</v>
      </c>
      <c r="L3122" s="114" t="str">
        <f t="shared" si="48"/>
        <v>INSERT INTO DETALLES_DOCUMENTO(NRO_DOCUMENTO,ID_TIPO,ID_PRODUCTO,CANTIDAD,PRECIO,VALOR_BRUTO,VALOR_NETO,VALOR_IVA) VALUES(1491,1,26,1,3400,3400,2857,543);</v>
      </c>
    </row>
    <row r="3123" spans="1:12">
      <c r="A3123" s="114">
        <v>1</v>
      </c>
      <c r="B3123" s="114">
        <v>1491</v>
      </c>
      <c r="C3123" s="139" t="s">
        <v>2411</v>
      </c>
      <c r="D3123" s="114" t="s">
        <v>2090</v>
      </c>
      <c r="E3123" s="114">
        <v>389</v>
      </c>
      <c r="F3123" s="114">
        <v>135</v>
      </c>
      <c r="G3123" s="114">
        <v>2</v>
      </c>
      <c r="H3123" s="114">
        <v>2000</v>
      </c>
      <c r="I3123" s="114">
        <v>4000</v>
      </c>
      <c r="J3123" s="114">
        <v>3361</v>
      </c>
      <c r="K3123" s="114">
        <v>639</v>
      </c>
      <c r="L3123" s="114" t="str">
        <f t="shared" si="48"/>
        <v>INSERT INTO DETALLES_DOCUMENTO(NRO_DOCUMENTO,ID_TIPO,ID_PRODUCTO,CANTIDAD,PRECIO,VALOR_BRUTO,VALOR_NETO,VALOR_IVA) VALUES(1491,1,135,2,2000,4000,3361,639);</v>
      </c>
    </row>
    <row r="3124" spans="1:12">
      <c r="A3124" s="114">
        <v>1</v>
      </c>
      <c r="B3124" s="114">
        <v>1491</v>
      </c>
      <c r="C3124" s="139" t="s">
        <v>2411</v>
      </c>
      <c r="D3124" s="114" t="s">
        <v>2090</v>
      </c>
      <c r="E3124" s="114">
        <v>389</v>
      </c>
      <c r="F3124" s="114">
        <v>246</v>
      </c>
      <c r="G3124" s="114">
        <v>1</v>
      </c>
      <c r="H3124" s="114">
        <v>3000</v>
      </c>
      <c r="I3124" s="114">
        <v>3000</v>
      </c>
      <c r="J3124" s="114">
        <v>2521</v>
      </c>
      <c r="K3124" s="114">
        <v>479</v>
      </c>
      <c r="L3124" s="114" t="str">
        <f t="shared" si="48"/>
        <v>INSERT INTO DETALLES_DOCUMENTO(NRO_DOCUMENTO,ID_TIPO,ID_PRODUCTO,CANTIDAD,PRECIO,VALOR_BRUTO,VALOR_NETO,VALOR_IVA) VALUES(1491,1,246,1,3000,3000,2521,479);</v>
      </c>
    </row>
    <row r="3125" spans="1:12">
      <c r="A3125" s="114">
        <v>1</v>
      </c>
      <c r="B3125" s="114">
        <v>1491</v>
      </c>
      <c r="C3125" s="139" t="s">
        <v>2411</v>
      </c>
      <c r="D3125" s="114" t="s">
        <v>2090</v>
      </c>
      <c r="E3125" s="114">
        <v>389</v>
      </c>
      <c r="F3125" s="114">
        <v>55</v>
      </c>
      <c r="G3125" s="114">
        <v>1</v>
      </c>
      <c r="H3125" s="114">
        <v>1600</v>
      </c>
      <c r="I3125" s="114">
        <v>1600</v>
      </c>
      <c r="J3125" s="114">
        <v>1345</v>
      </c>
      <c r="K3125" s="114">
        <v>255</v>
      </c>
      <c r="L3125" s="114" t="str">
        <f t="shared" si="48"/>
        <v>INSERT INTO DETALLES_DOCUMENTO(NRO_DOCUMENTO,ID_TIPO,ID_PRODUCTO,CANTIDAD,PRECIO,VALOR_BRUTO,VALOR_NETO,VALOR_IVA) VALUES(1491,1,55,1,1600,1600,1345,255);</v>
      </c>
    </row>
    <row r="3126" spans="1:12">
      <c r="A3126" s="114">
        <v>1</v>
      </c>
      <c r="B3126" s="114">
        <v>1491</v>
      </c>
      <c r="C3126" s="139" t="s">
        <v>2411</v>
      </c>
      <c r="D3126" s="114" t="s">
        <v>2090</v>
      </c>
      <c r="E3126" s="114">
        <v>389</v>
      </c>
      <c r="F3126" s="114">
        <v>110</v>
      </c>
      <c r="G3126" s="114">
        <v>1</v>
      </c>
      <c r="H3126" s="114">
        <v>4500</v>
      </c>
      <c r="I3126" s="114">
        <v>4500</v>
      </c>
      <c r="J3126" s="114">
        <v>3782</v>
      </c>
      <c r="K3126" s="114">
        <v>718</v>
      </c>
      <c r="L3126" s="114" t="str">
        <f t="shared" si="48"/>
        <v>INSERT INTO DETALLES_DOCUMENTO(NRO_DOCUMENTO,ID_TIPO,ID_PRODUCTO,CANTIDAD,PRECIO,VALOR_BRUTO,VALOR_NETO,VALOR_IVA) VALUES(1491,1,110,1,4500,4500,3782,718);</v>
      </c>
    </row>
    <row r="3127" spans="1:12">
      <c r="A3127" s="114">
        <v>1</v>
      </c>
      <c r="B3127" s="114">
        <v>1491</v>
      </c>
      <c r="C3127" s="139" t="s">
        <v>2411</v>
      </c>
      <c r="D3127" s="114" t="s">
        <v>2090</v>
      </c>
      <c r="E3127" s="114">
        <v>389</v>
      </c>
      <c r="F3127" s="114">
        <v>324</v>
      </c>
      <c r="G3127" s="114">
        <v>1</v>
      </c>
      <c r="H3127" s="114">
        <v>11000</v>
      </c>
      <c r="I3127" s="114">
        <v>11000</v>
      </c>
      <c r="J3127" s="114">
        <v>9244</v>
      </c>
      <c r="K3127" s="114">
        <v>1756</v>
      </c>
      <c r="L3127" s="114" t="str">
        <f t="shared" si="48"/>
        <v>INSERT INTO DETALLES_DOCUMENTO(NRO_DOCUMENTO,ID_TIPO,ID_PRODUCTO,CANTIDAD,PRECIO,VALOR_BRUTO,VALOR_NETO,VALOR_IVA) VALUES(1491,1,324,1,11000,11000,9244,1756);</v>
      </c>
    </row>
    <row r="3128" spans="1:12">
      <c r="A3128" s="114">
        <v>1</v>
      </c>
      <c r="B3128" s="114">
        <v>1491</v>
      </c>
      <c r="C3128" s="139" t="s">
        <v>2411</v>
      </c>
      <c r="D3128" s="114" t="s">
        <v>2090</v>
      </c>
      <c r="E3128" s="114">
        <v>389</v>
      </c>
      <c r="F3128" s="114">
        <v>7</v>
      </c>
      <c r="G3128" s="114">
        <v>1</v>
      </c>
      <c r="H3128" s="114">
        <v>7000</v>
      </c>
      <c r="I3128" s="114">
        <v>7000</v>
      </c>
      <c r="J3128" s="114">
        <v>5882</v>
      </c>
      <c r="K3128" s="114">
        <v>1118</v>
      </c>
      <c r="L3128" s="114" t="str">
        <f t="shared" si="48"/>
        <v>INSERT INTO DETALLES_DOCUMENTO(NRO_DOCUMENTO,ID_TIPO,ID_PRODUCTO,CANTIDAD,PRECIO,VALOR_BRUTO,VALOR_NETO,VALOR_IVA) VALUES(1491,1,7,1,7000,7000,5882,1118);</v>
      </c>
    </row>
    <row r="3129" spans="1:12">
      <c r="A3129" s="114">
        <v>1</v>
      </c>
      <c r="B3129" s="114">
        <v>1491</v>
      </c>
      <c r="C3129" s="139" t="s">
        <v>2411</v>
      </c>
      <c r="D3129" s="114" t="s">
        <v>2090</v>
      </c>
      <c r="E3129" s="114">
        <v>389</v>
      </c>
      <c r="F3129" s="114">
        <v>261</v>
      </c>
      <c r="G3129" s="114">
        <v>1</v>
      </c>
      <c r="H3129" s="114">
        <v>7000</v>
      </c>
      <c r="I3129" s="114">
        <v>7000</v>
      </c>
      <c r="J3129" s="114">
        <v>5882</v>
      </c>
      <c r="K3129" s="114">
        <v>1118</v>
      </c>
      <c r="L3129" s="114" t="str">
        <f t="shared" si="48"/>
        <v>INSERT INTO DETALLES_DOCUMENTO(NRO_DOCUMENTO,ID_TIPO,ID_PRODUCTO,CANTIDAD,PRECIO,VALOR_BRUTO,VALOR_NETO,VALOR_IVA) VALUES(1491,1,261,1,7000,7000,5882,1118);</v>
      </c>
    </row>
    <row r="3130" spans="1:12">
      <c r="A3130" s="114">
        <v>1</v>
      </c>
      <c r="B3130" s="114">
        <v>1492</v>
      </c>
      <c r="C3130" s="139" t="s">
        <v>2412</v>
      </c>
      <c r="D3130" s="114" t="s">
        <v>2090</v>
      </c>
      <c r="E3130" s="114">
        <v>227</v>
      </c>
      <c r="F3130" s="114">
        <v>167</v>
      </c>
      <c r="G3130" s="114">
        <v>1</v>
      </c>
      <c r="H3130" s="114">
        <v>8200</v>
      </c>
      <c r="I3130" s="114">
        <v>8200</v>
      </c>
      <c r="J3130" s="114">
        <v>6891</v>
      </c>
      <c r="K3130" s="114">
        <v>1309</v>
      </c>
      <c r="L3130" s="114" t="str">
        <f t="shared" si="48"/>
        <v>INSERT INTO DETALLES_DOCUMENTO(NRO_DOCUMENTO,ID_TIPO,ID_PRODUCTO,CANTIDAD,PRECIO,VALOR_BRUTO,VALOR_NETO,VALOR_IVA) VALUES(1492,1,167,1,8200,8200,6891,1309);</v>
      </c>
    </row>
    <row r="3131" spans="1:12">
      <c r="A3131" s="114">
        <v>1</v>
      </c>
      <c r="B3131" s="114">
        <v>1493</v>
      </c>
      <c r="C3131" s="139" t="s">
        <v>2412</v>
      </c>
      <c r="D3131" s="114" t="s">
        <v>2090</v>
      </c>
      <c r="E3131" s="114">
        <v>315</v>
      </c>
      <c r="F3131" s="114">
        <v>143</v>
      </c>
      <c r="G3131" s="114">
        <v>1</v>
      </c>
      <c r="H3131" s="114">
        <v>8000</v>
      </c>
      <c r="I3131" s="114">
        <v>8000</v>
      </c>
      <c r="J3131" s="114">
        <v>6723</v>
      </c>
      <c r="K3131" s="114">
        <v>1277</v>
      </c>
      <c r="L3131" s="114" t="str">
        <f t="shared" si="48"/>
        <v>INSERT INTO DETALLES_DOCUMENTO(NRO_DOCUMENTO,ID_TIPO,ID_PRODUCTO,CANTIDAD,PRECIO,VALOR_BRUTO,VALOR_NETO,VALOR_IVA) VALUES(1493,1,143,1,8000,8000,6723,1277);</v>
      </c>
    </row>
    <row r="3132" spans="1:12">
      <c r="A3132" s="114">
        <v>1</v>
      </c>
      <c r="B3132" s="114">
        <v>1494</v>
      </c>
      <c r="C3132" s="139" t="s">
        <v>2412</v>
      </c>
      <c r="D3132" s="114" t="s">
        <v>2090</v>
      </c>
      <c r="E3132" s="114">
        <v>387</v>
      </c>
      <c r="F3132" s="114">
        <v>167</v>
      </c>
      <c r="G3132" s="114">
        <v>2</v>
      </c>
      <c r="H3132" s="114">
        <v>16400</v>
      </c>
      <c r="I3132" s="114">
        <v>32800</v>
      </c>
      <c r="J3132" s="114">
        <v>27563</v>
      </c>
      <c r="K3132" s="114">
        <v>5237</v>
      </c>
      <c r="L3132" s="114" t="str">
        <f t="shared" si="48"/>
        <v>INSERT INTO DETALLES_DOCUMENTO(NRO_DOCUMENTO,ID_TIPO,ID_PRODUCTO,CANTIDAD,PRECIO,VALOR_BRUTO,VALOR_NETO,VALOR_IVA) VALUES(1494,1,167,2,16400,32800,27563,5237);</v>
      </c>
    </row>
    <row r="3133" spans="1:12">
      <c r="A3133" s="114">
        <v>1</v>
      </c>
      <c r="B3133" s="114">
        <v>1495</v>
      </c>
      <c r="C3133" s="139" t="s">
        <v>2412</v>
      </c>
      <c r="D3133" s="114" t="s">
        <v>2090</v>
      </c>
      <c r="E3133" s="114">
        <v>412</v>
      </c>
      <c r="F3133" s="114">
        <v>143</v>
      </c>
      <c r="G3133" s="114">
        <v>1</v>
      </c>
      <c r="H3133" s="114">
        <v>8000</v>
      </c>
      <c r="I3133" s="114">
        <v>8000</v>
      </c>
      <c r="J3133" s="114">
        <v>6723</v>
      </c>
      <c r="K3133" s="114">
        <v>1277</v>
      </c>
      <c r="L3133" s="114" t="str">
        <f t="shared" si="48"/>
        <v>INSERT INTO DETALLES_DOCUMENTO(NRO_DOCUMENTO,ID_TIPO,ID_PRODUCTO,CANTIDAD,PRECIO,VALOR_BRUTO,VALOR_NETO,VALOR_IVA) VALUES(1495,1,143,1,8000,8000,6723,1277);</v>
      </c>
    </row>
    <row r="3134" spans="1:12">
      <c r="A3134" s="114">
        <v>1</v>
      </c>
      <c r="B3134" s="114">
        <v>1496</v>
      </c>
      <c r="C3134" s="139" t="s">
        <v>2413</v>
      </c>
      <c r="D3134" s="114" t="s">
        <v>2090</v>
      </c>
      <c r="E3134" s="114">
        <v>6</v>
      </c>
      <c r="F3134" s="114">
        <v>167</v>
      </c>
      <c r="G3134" s="114">
        <v>1</v>
      </c>
      <c r="H3134" s="114">
        <v>8200</v>
      </c>
      <c r="I3134" s="114">
        <v>8200</v>
      </c>
      <c r="J3134" s="114">
        <v>6891</v>
      </c>
      <c r="K3134" s="114">
        <v>1309</v>
      </c>
      <c r="L3134" s="114" t="str">
        <f t="shared" si="48"/>
        <v>INSERT INTO DETALLES_DOCUMENTO(NRO_DOCUMENTO,ID_TIPO,ID_PRODUCTO,CANTIDAD,PRECIO,VALOR_BRUTO,VALOR_NETO,VALOR_IVA) VALUES(1496,1,167,1,8200,8200,6891,1309);</v>
      </c>
    </row>
    <row r="3135" spans="1:12">
      <c r="A3135" s="114">
        <v>1</v>
      </c>
      <c r="B3135" s="114">
        <v>1497</v>
      </c>
      <c r="C3135" s="139" t="s">
        <v>2413</v>
      </c>
      <c r="D3135" s="114" t="s">
        <v>2090</v>
      </c>
      <c r="E3135" s="114">
        <v>7</v>
      </c>
      <c r="F3135" s="114">
        <v>143</v>
      </c>
      <c r="G3135" s="114">
        <v>1</v>
      </c>
      <c r="H3135" s="114">
        <v>8000</v>
      </c>
      <c r="I3135" s="114">
        <v>8000</v>
      </c>
      <c r="J3135" s="114">
        <v>6723</v>
      </c>
      <c r="K3135" s="114">
        <v>1277</v>
      </c>
      <c r="L3135" s="114" t="str">
        <f t="shared" si="48"/>
        <v>INSERT INTO DETALLES_DOCUMENTO(NRO_DOCUMENTO,ID_TIPO,ID_PRODUCTO,CANTIDAD,PRECIO,VALOR_BRUTO,VALOR_NETO,VALOR_IVA) VALUES(1497,1,143,1,8000,8000,6723,1277);</v>
      </c>
    </row>
    <row r="3136" spans="1:12">
      <c r="A3136" s="114">
        <v>1</v>
      </c>
      <c r="B3136" s="114">
        <v>1498</v>
      </c>
      <c r="C3136" s="139" t="s">
        <v>2413</v>
      </c>
      <c r="D3136" s="114" t="s">
        <v>2090</v>
      </c>
      <c r="E3136" s="114">
        <v>84</v>
      </c>
      <c r="F3136" s="114">
        <v>322</v>
      </c>
      <c r="G3136" s="114">
        <v>1</v>
      </c>
      <c r="H3136" s="114">
        <v>9000</v>
      </c>
      <c r="I3136" s="114">
        <v>9000</v>
      </c>
      <c r="J3136" s="114">
        <v>7563</v>
      </c>
      <c r="K3136" s="114">
        <v>1437</v>
      </c>
      <c r="L3136" s="114" t="str">
        <f t="shared" si="48"/>
        <v>INSERT INTO DETALLES_DOCUMENTO(NRO_DOCUMENTO,ID_TIPO,ID_PRODUCTO,CANTIDAD,PRECIO,VALOR_BRUTO,VALOR_NETO,VALOR_IVA) VALUES(1498,1,322,1,9000,9000,7563,1437);</v>
      </c>
    </row>
    <row r="3137" spans="1:12">
      <c r="A3137" s="114">
        <v>1</v>
      </c>
      <c r="B3137" s="114">
        <v>1499</v>
      </c>
      <c r="C3137" s="139" t="s">
        <v>2413</v>
      </c>
      <c r="D3137" s="114" t="s">
        <v>2090</v>
      </c>
      <c r="E3137" s="114">
        <v>184</v>
      </c>
      <c r="F3137" s="114">
        <v>143</v>
      </c>
      <c r="G3137" s="114">
        <v>1</v>
      </c>
      <c r="H3137" s="114">
        <v>8000</v>
      </c>
      <c r="I3137" s="114">
        <v>8000</v>
      </c>
      <c r="J3137" s="114">
        <v>6723</v>
      </c>
      <c r="K3137" s="114">
        <v>1277</v>
      </c>
      <c r="L3137" s="114" t="str">
        <f t="shared" si="48"/>
        <v>INSERT INTO DETALLES_DOCUMENTO(NRO_DOCUMENTO,ID_TIPO,ID_PRODUCTO,CANTIDAD,PRECIO,VALOR_BRUTO,VALOR_NETO,VALOR_IVA) VALUES(1499,1,143,1,8000,8000,6723,1277);</v>
      </c>
    </row>
    <row r="3138" spans="1:12">
      <c r="A3138" s="114">
        <v>1</v>
      </c>
      <c r="B3138" s="114">
        <v>1499</v>
      </c>
      <c r="C3138" s="139" t="s">
        <v>2413</v>
      </c>
      <c r="D3138" s="114" t="s">
        <v>2090</v>
      </c>
      <c r="E3138" s="114">
        <v>184</v>
      </c>
      <c r="F3138" s="114">
        <v>167</v>
      </c>
      <c r="G3138" s="114">
        <v>1</v>
      </c>
      <c r="H3138" s="114">
        <v>8200</v>
      </c>
      <c r="I3138" s="114">
        <v>8200</v>
      </c>
      <c r="J3138" s="114">
        <v>6891</v>
      </c>
      <c r="K3138" s="114">
        <v>1309</v>
      </c>
      <c r="L3138" s="114" t="str">
        <f t="shared" si="48"/>
        <v>INSERT INTO DETALLES_DOCUMENTO(NRO_DOCUMENTO,ID_TIPO,ID_PRODUCTO,CANTIDAD,PRECIO,VALOR_BRUTO,VALOR_NETO,VALOR_IVA) VALUES(1499,1,167,1,8200,8200,6891,1309);</v>
      </c>
    </row>
    <row r="3139" spans="1:12">
      <c r="A3139" s="114">
        <v>1</v>
      </c>
      <c r="B3139" s="114">
        <v>1499</v>
      </c>
      <c r="C3139" s="139" t="s">
        <v>2413</v>
      </c>
      <c r="D3139" s="114" t="s">
        <v>2090</v>
      </c>
      <c r="E3139" s="114">
        <v>184</v>
      </c>
      <c r="F3139" s="114">
        <v>324</v>
      </c>
      <c r="G3139" s="114">
        <v>1</v>
      </c>
      <c r="H3139" s="114">
        <v>11000</v>
      </c>
      <c r="I3139" s="114">
        <v>11000</v>
      </c>
      <c r="J3139" s="114">
        <v>9244</v>
      </c>
      <c r="K3139" s="114">
        <v>1756</v>
      </c>
      <c r="L3139" s="114" t="str">
        <f t="shared" ref="L3139:L3202" si="49">CONCATENATE("INSERT INTO DETALLES_DOCUMENTO(NRO_DOCUMENTO,ID_TIPO,ID_PRODUCTO,CANTIDAD,PRECIO,VALOR_BRUTO,VALOR_NETO,VALOR_IVA) VALUES(",B3139,",",A3139,",",F3139,",",G3139,",",H3139,",",I3139,",",J3139,",",K3139,");")</f>
        <v>INSERT INTO DETALLES_DOCUMENTO(NRO_DOCUMENTO,ID_TIPO,ID_PRODUCTO,CANTIDAD,PRECIO,VALOR_BRUTO,VALOR_NETO,VALOR_IVA) VALUES(1499,1,324,1,11000,11000,9244,1756);</v>
      </c>
    </row>
    <row r="3140" spans="1:12">
      <c r="A3140" s="114">
        <v>1</v>
      </c>
      <c r="B3140" s="114">
        <v>1500</v>
      </c>
      <c r="C3140" s="139" t="s">
        <v>2414</v>
      </c>
      <c r="D3140" s="114" t="s">
        <v>2090</v>
      </c>
      <c r="E3140" s="114">
        <v>5</v>
      </c>
      <c r="F3140" s="114">
        <v>259</v>
      </c>
      <c r="G3140" s="114">
        <v>1</v>
      </c>
      <c r="H3140" s="114">
        <v>4500</v>
      </c>
      <c r="I3140" s="114">
        <v>4500</v>
      </c>
      <c r="J3140" s="114">
        <v>3782</v>
      </c>
      <c r="K3140" s="114">
        <v>718</v>
      </c>
      <c r="L3140" s="114" t="str">
        <f t="shared" si="49"/>
        <v>INSERT INTO DETALLES_DOCUMENTO(NRO_DOCUMENTO,ID_TIPO,ID_PRODUCTO,CANTIDAD,PRECIO,VALOR_BRUTO,VALOR_NETO,VALOR_IVA) VALUES(1500,1,259,1,4500,4500,3782,718);</v>
      </c>
    </row>
    <row r="3141" spans="1:12">
      <c r="A3141" s="114">
        <v>1</v>
      </c>
      <c r="B3141" s="114">
        <v>1500</v>
      </c>
      <c r="C3141" s="139" t="s">
        <v>2414</v>
      </c>
      <c r="D3141" s="114" t="s">
        <v>2090</v>
      </c>
      <c r="E3141" s="114">
        <v>5</v>
      </c>
      <c r="F3141" s="114">
        <v>153</v>
      </c>
      <c r="G3141" s="114">
        <v>1</v>
      </c>
      <c r="H3141" s="114">
        <v>1200</v>
      </c>
      <c r="I3141" s="114">
        <v>1200</v>
      </c>
      <c r="J3141" s="114">
        <v>1008</v>
      </c>
      <c r="K3141" s="114">
        <v>192</v>
      </c>
      <c r="L3141" s="114" t="str">
        <f t="shared" si="49"/>
        <v>INSERT INTO DETALLES_DOCUMENTO(NRO_DOCUMENTO,ID_TIPO,ID_PRODUCTO,CANTIDAD,PRECIO,VALOR_BRUTO,VALOR_NETO,VALOR_IVA) VALUES(1500,1,153,1,1200,1200,1008,192);</v>
      </c>
    </row>
    <row r="3142" spans="1:12">
      <c r="A3142" s="114">
        <v>1</v>
      </c>
      <c r="B3142" s="114">
        <v>1500</v>
      </c>
      <c r="C3142" s="139" t="s">
        <v>2414</v>
      </c>
      <c r="D3142" s="114" t="s">
        <v>2090</v>
      </c>
      <c r="E3142" s="114">
        <v>5</v>
      </c>
      <c r="F3142" s="114">
        <v>98</v>
      </c>
      <c r="G3142" s="114">
        <v>1</v>
      </c>
      <c r="H3142" s="114">
        <v>3500</v>
      </c>
      <c r="I3142" s="114">
        <v>3500</v>
      </c>
      <c r="J3142" s="114">
        <v>2941</v>
      </c>
      <c r="K3142" s="114">
        <v>559</v>
      </c>
      <c r="L3142" s="114" t="str">
        <f t="shared" si="49"/>
        <v>INSERT INTO DETALLES_DOCUMENTO(NRO_DOCUMENTO,ID_TIPO,ID_PRODUCTO,CANTIDAD,PRECIO,VALOR_BRUTO,VALOR_NETO,VALOR_IVA) VALUES(1500,1,98,1,3500,3500,2941,559);</v>
      </c>
    </row>
    <row r="3143" spans="1:12">
      <c r="A3143" s="114">
        <v>1</v>
      </c>
      <c r="B3143" s="114">
        <v>1500</v>
      </c>
      <c r="C3143" s="139" t="s">
        <v>2414</v>
      </c>
      <c r="D3143" s="114" t="s">
        <v>2090</v>
      </c>
      <c r="E3143" s="114">
        <v>5</v>
      </c>
      <c r="F3143" s="114">
        <v>97</v>
      </c>
      <c r="G3143" s="114">
        <v>1</v>
      </c>
      <c r="H3143" s="114">
        <v>2000</v>
      </c>
      <c r="I3143" s="114">
        <v>2000</v>
      </c>
      <c r="J3143" s="114">
        <v>1681</v>
      </c>
      <c r="K3143" s="114">
        <v>319</v>
      </c>
      <c r="L3143" s="114" t="str">
        <f t="shared" si="49"/>
        <v>INSERT INTO DETALLES_DOCUMENTO(NRO_DOCUMENTO,ID_TIPO,ID_PRODUCTO,CANTIDAD,PRECIO,VALOR_BRUTO,VALOR_NETO,VALOR_IVA) VALUES(1500,1,97,1,2000,2000,1681,319);</v>
      </c>
    </row>
    <row r="3144" spans="1:12">
      <c r="A3144" s="114">
        <v>1</v>
      </c>
      <c r="B3144" s="114">
        <v>1500</v>
      </c>
      <c r="C3144" s="139" t="s">
        <v>2414</v>
      </c>
      <c r="D3144" s="114" t="s">
        <v>2090</v>
      </c>
      <c r="E3144" s="114">
        <v>5</v>
      </c>
      <c r="F3144" s="114">
        <v>118</v>
      </c>
      <c r="G3144" s="114">
        <v>1</v>
      </c>
      <c r="H3144" s="114">
        <v>3500</v>
      </c>
      <c r="I3144" s="114">
        <v>3500</v>
      </c>
      <c r="J3144" s="114">
        <v>2941</v>
      </c>
      <c r="K3144" s="114">
        <v>559</v>
      </c>
      <c r="L3144" s="114" t="str">
        <f t="shared" si="49"/>
        <v>INSERT INTO DETALLES_DOCUMENTO(NRO_DOCUMENTO,ID_TIPO,ID_PRODUCTO,CANTIDAD,PRECIO,VALOR_BRUTO,VALOR_NETO,VALOR_IVA) VALUES(1500,1,118,1,3500,3500,2941,559);</v>
      </c>
    </row>
    <row r="3145" spans="1:12">
      <c r="A3145" s="114">
        <v>1</v>
      </c>
      <c r="B3145" s="114">
        <v>1500</v>
      </c>
      <c r="C3145" s="139" t="s">
        <v>2414</v>
      </c>
      <c r="D3145" s="114" t="s">
        <v>2090</v>
      </c>
      <c r="E3145" s="114">
        <v>5</v>
      </c>
      <c r="F3145" s="114">
        <v>266</v>
      </c>
      <c r="G3145" s="114">
        <v>1</v>
      </c>
      <c r="H3145" s="114">
        <v>9500</v>
      </c>
      <c r="I3145" s="114">
        <v>9500</v>
      </c>
      <c r="J3145" s="114">
        <v>7983</v>
      </c>
      <c r="K3145" s="114">
        <v>1517</v>
      </c>
      <c r="L3145" s="114" t="str">
        <f t="shared" si="49"/>
        <v>INSERT INTO DETALLES_DOCUMENTO(NRO_DOCUMENTO,ID_TIPO,ID_PRODUCTO,CANTIDAD,PRECIO,VALOR_BRUTO,VALOR_NETO,VALOR_IVA) VALUES(1500,1,266,1,9500,9500,7983,1517);</v>
      </c>
    </row>
    <row r="3146" spans="1:12">
      <c r="A3146" s="114">
        <v>1</v>
      </c>
      <c r="B3146" s="114">
        <v>1500</v>
      </c>
      <c r="C3146" s="139" t="s">
        <v>2414</v>
      </c>
      <c r="D3146" s="114" t="s">
        <v>2090</v>
      </c>
      <c r="E3146" s="114">
        <v>5</v>
      </c>
      <c r="F3146" s="114">
        <v>254</v>
      </c>
      <c r="G3146" s="114">
        <v>3</v>
      </c>
      <c r="H3146" s="114">
        <v>6000</v>
      </c>
      <c r="I3146" s="114">
        <v>18000</v>
      </c>
      <c r="J3146" s="114">
        <v>15126</v>
      </c>
      <c r="K3146" s="114">
        <v>2874</v>
      </c>
      <c r="L3146" s="114" t="str">
        <f t="shared" si="49"/>
        <v>INSERT INTO DETALLES_DOCUMENTO(NRO_DOCUMENTO,ID_TIPO,ID_PRODUCTO,CANTIDAD,PRECIO,VALOR_BRUTO,VALOR_NETO,VALOR_IVA) VALUES(1500,1,254,3,6000,18000,15126,2874);</v>
      </c>
    </row>
    <row r="3147" spans="1:12">
      <c r="A3147" s="114">
        <v>1</v>
      </c>
      <c r="B3147" s="114">
        <v>1501</v>
      </c>
      <c r="C3147" s="139" t="s">
        <v>2414</v>
      </c>
      <c r="D3147" s="114" t="s">
        <v>2090</v>
      </c>
      <c r="E3147" s="114">
        <v>62</v>
      </c>
      <c r="F3147" s="114">
        <v>368</v>
      </c>
      <c r="G3147" s="114">
        <v>3</v>
      </c>
      <c r="H3147" s="114">
        <v>9000</v>
      </c>
      <c r="I3147" s="114">
        <v>27000</v>
      </c>
      <c r="J3147" s="114">
        <v>22689</v>
      </c>
      <c r="K3147" s="114">
        <v>4311</v>
      </c>
      <c r="L3147" s="114" t="str">
        <f t="shared" si="49"/>
        <v>INSERT INTO DETALLES_DOCUMENTO(NRO_DOCUMENTO,ID_TIPO,ID_PRODUCTO,CANTIDAD,PRECIO,VALOR_BRUTO,VALOR_NETO,VALOR_IVA) VALUES(1501,1,368,3,9000,27000,22689,4311);</v>
      </c>
    </row>
    <row r="3148" spans="1:12">
      <c r="A3148" s="114">
        <v>1</v>
      </c>
      <c r="B3148" s="114">
        <v>1501</v>
      </c>
      <c r="C3148" s="139" t="s">
        <v>2414</v>
      </c>
      <c r="D3148" s="114" t="s">
        <v>2090</v>
      </c>
      <c r="E3148" s="114">
        <v>62</v>
      </c>
      <c r="F3148" s="114">
        <v>167</v>
      </c>
      <c r="G3148" s="114">
        <v>1</v>
      </c>
      <c r="H3148" s="114">
        <v>8200</v>
      </c>
      <c r="I3148" s="114">
        <v>8200</v>
      </c>
      <c r="J3148" s="114">
        <v>6891</v>
      </c>
      <c r="K3148" s="114">
        <v>1309</v>
      </c>
      <c r="L3148" s="114" t="str">
        <f t="shared" si="49"/>
        <v>INSERT INTO DETALLES_DOCUMENTO(NRO_DOCUMENTO,ID_TIPO,ID_PRODUCTO,CANTIDAD,PRECIO,VALOR_BRUTO,VALOR_NETO,VALOR_IVA) VALUES(1501,1,167,1,8200,8200,6891,1309);</v>
      </c>
    </row>
    <row r="3149" spans="1:12">
      <c r="A3149" s="114">
        <v>1</v>
      </c>
      <c r="B3149" s="114">
        <v>1501</v>
      </c>
      <c r="C3149" s="139" t="s">
        <v>2414</v>
      </c>
      <c r="D3149" s="114" t="s">
        <v>2090</v>
      </c>
      <c r="E3149" s="114">
        <v>62</v>
      </c>
      <c r="F3149" s="114">
        <v>223</v>
      </c>
      <c r="G3149" s="114">
        <v>-1</v>
      </c>
      <c r="H3149" s="114">
        <v>-24000</v>
      </c>
      <c r="I3149" s="114">
        <v>24000</v>
      </c>
      <c r="J3149" s="114">
        <v>20168</v>
      </c>
      <c r="K3149" s="114">
        <v>3832</v>
      </c>
      <c r="L3149" s="114" t="str">
        <f t="shared" si="49"/>
        <v>INSERT INTO DETALLES_DOCUMENTO(NRO_DOCUMENTO,ID_TIPO,ID_PRODUCTO,CANTIDAD,PRECIO,VALOR_BRUTO,VALOR_NETO,VALOR_IVA) VALUES(1501,1,223,-1,-24000,24000,20168,3832);</v>
      </c>
    </row>
    <row r="3150" spans="1:12">
      <c r="A3150" s="114">
        <v>1</v>
      </c>
      <c r="B3150" s="114">
        <v>1502</v>
      </c>
      <c r="C3150" s="139" t="s">
        <v>2414</v>
      </c>
      <c r="D3150" s="114" t="s">
        <v>2090</v>
      </c>
      <c r="E3150" s="114">
        <v>110</v>
      </c>
      <c r="F3150" s="114">
        <v>118</v>
      </c>
      <c r="G3150" s="114">
        <v>1</v>
      </c>
      <c r="H3150" s="114">
        <v>3500</v>
      </c>
      <c r="I3150" s="114">
        <v>3500</v>
      </c>
      <c r="J3150" s="114">
        <v>2941</v>
      </c>
      <c r="K3150" s="114">
        <v>559</v>
      </c>
      <c r="L3150" s="114" t="str">
        <f t="shared" si="49"/>
        <v>INSERT INTO DETALLES_DOCUMENTO(NRO_DOCUMENTO,ID_TIPO,ID_PRODUCTO,CANTIDAD,PRECIO,VALOR_BRUTO,VALOR_NETO,VALOR_IVA) VALUES(1502,1,118,1,3500,3500,2941,559);</v>
      </c>
    </row>
    <row r="3151" spans="1:12">
      <c r="A3151" s="114">
        <v>1</v>
      </c>
      <c r="B3151" s="114">
        <v>1503</v>
      </c>
      <c r="C3151" s="139" t="s">
        <v>2414</v>
      </c>
      <c r="D3151" s="114" t="s">
        <v>2090</v>
      </c>
      <c r="E3151" s="114">
        <v>166</v>
      </c>
      <c r="F3151" s="114">
        <v>277</v>
      </c>
      <c r="G3151" s="114">
        <v>1</v>
      </c>
      <c r="H3151" s="114">
        <v>10000</v>
      </c>
      <c r="I3151" s="114">
        <v>10000</v>
      </c>
      <c r="J3151" s="114">
        <v>8403</v>
      </c>
      <c r="K3151" s="114">
        <v>1597</v>
      </c>
      <c r="L3151" s="114" t="str">
        <f t="shared" si="49"/>
        <v>INSERT INTO DETALLES_DOCUMENTO(NRO_DOCUMENTO,ID_TIPO,ID_PRODUCTO,CANTIDAD,PRECIO,VALOR_BRUTO,VALOR_NETO,VALOR_IVA) VALUES(1503,1,277,1,10000,10000,8403,1597);</v>
      </c>
    </row>
    <row r="3152" spans="1:12">
      <c r="A3152" s="114">
        <v>1</v>
      </c>
      <c r="B3152" s="114">
        <v>1503</v>
      </c>
      <c r="C3152" s="139" t="s">
        <v>2414</v>
      </c>
      <c r="D3152" s="114" t="s">
        <v>2090</v>
      </c>
      <c r="E3152" s="114">
        <v>166</v>
      </c>
      <c r="F3152" s="114">
        <v>117</v>
      </c>
      <c r="G3152" s="114">
        <v>1</v>
      </c>
      <c r="H3152" s="114">
        <v>3500</v>
      </c>
      <c r="I3152" s="114">
        <v>3500</v>
      </c>
      <c r="J3152" s="114">
        <v>2941</v>
      </c>
      <c r="K3152" s="114">
        <v>559</v>
      </c>
      <c r="L3152" s="114" t="str">
        <f t="shared" si="49"/>
        <v>INSERT INTO DETALLES_DOCUMENTO(NRO_DOCUMENTO,ID_TIPO,ID_PRODUCTO,CANTIDAD,PRECIO,VALOR_BRUTO,VALOR_NETO,VALOR_IVA) VALUES(1503,1,117,1,3500,3500,2941,559);</v>
      </c>
    </row>
    <row r="3153" spans="1:12">
      <c r="A3153" s="114">
        <v>1</v>
      </c>
      <c r="B3153" s="114">
        <v>1503</v>
      </c>
      <c r="C3153" s="139" t="s">
        <v>2414</v>
      </c>
      <c r="D3153" s="114" t="s">
        <v>2090</v>
      </c>
      <c r="E3153" s="114">
        <v>166</v>
      </c>
      <c r="F3153" s="114">
        <v>118</v>
      </c>
      <c r="G3153" s="114">
        <v>2</v>
      </c>
      <c r="H3153" s="114">
        <v>7000</v>
      </c>
      <c r="I3153" s="114">
        <v>14000</v>
      </c>
      <c r="J3153" s="114">
        <v>11765</v>
      </c>
      <c r="K3153" s="114">
        <v>2235</v>
      </c>
      <c r="L3153" s="114" t="str">
        <f t="shared" si="49"/>
        <v>INSERT INTO DETALLES_DOCUMENTO(NRO_DOCUMENTO,ID_TIPO,ID_PRODUCTO,CANTIDAD,PRECIO,VALOR_BRUTO,VALOR_NETO,VALOR_IVA) VALUES(1503,1,118,2,7000,14000,11765,2235);</v>
      </c>
    </row>
    <row r="3154" spans="1:12">
      <c r="A3154" s="114">
        <v>1</v>
      </c>
      <c r="B3154" s="114">
        <v>1503</v>
      </c>
      <c r="C3154" s="139" t="s">
        <v>2414</v>
      </c>
      <c r="D3154" s="114" t="s">
        <v>2090</v>
      </c>
      <c r="E3154" s="114">
        <v>166</v>
      </c>
      <c r="F3154" s="114">
        <v>26</v>
      </c>
      <c r="G3154" s="114">
        <v>1</v>
      </c>
      <c r="H3154" s="114">
        <v>3400</v>
      </c>
      <c r="I3154" s="114">
        <v>3400</v>
      </c>
      <c r="J3154" s="114">
        <v>2857</v>
      </c>
      <c r="K3154" s="114">
        <v>543</v>
      </c>
      <c r="L3154" s="114" t="str">
        <f t="shared" si="49"/>
        <v>INSERT INTO DETALLES_DOCUMENTO(NRO_DOCUMENTO,ID_TIPO,ID_PRODUCTO,CANTIDAD,PRECIO,VALOR_BRUTO,VALOR_NETO,VALOR_IVA) VALUES(1503,1,26,1,3400,3400,2857,543);</v>
      </c>
    </row>
    <row r="3155" spans="1:12">
      <c r="A3155" s="114">
        <v>1</v>
      </c>
      <c r="B3155" s="114">
        <v>1503</v>
      </c>
      <c r="C3155" s="139" t="s">
        <v>2414</v>
      </c>
      <c r="D3155" s="114" t="s">
        <v>2090</v>
      </c>
      <c r="E3155" s="114">
        <v>166</v>
      </c>
      <c r="F3155" s="114">
        <v>29</v>
      </c>
      <c r="G3155" s="114">
        <v>1</v>
      </c>
      <c r="H3155" s="114">
        <v>1000</v>
      </c>
      <c r="I3155" s="114">
        <v>1000</v>
      </c>
      <c r="J3155" s="114">
        <v>840</v>
      </c>
      <c r="K3155" s="114">
        <v>160</v>
      </c>
      <c r="L3155" s="114" t="str">
        <f t="shared" si="49"/>
        <v>INSERT INTO DETALLES_DOCUMENTO(NRO_DOCUMENTO,ID_TIPO,ID_PRODUCTO,CANTIDAD,PRECIO,VALOR_BRUTO,VALOR_NETO,VALOR_IVA) VALUES(1503,1,29,1,1000,1000,840,160);</v>
      </c>
    </row>
    <row r="3156" spans="1:12">
      <c r="A3156" s="114">
        <v>1</v>
      </c>
      <c r="B3156" s="114">
        <v>1503</v>
      </c>
      <c r="C3156" s="139" t="s">
        <v>2414</v>
      </c>
      <c r="D3156" s="114" t="s">
        <v>2090</v>
      </c>
      <c r="E3156" s="114">
        <v>166</v>
      </c>
      <c r="F3156" s="114">
        <v>259</v>
      </c>
      <c r="G3156" s="114">
        <v>1</v>
      </c>
      <c r="H3156" s="114">
        <v>4500</v>
      </c>
      <c r="I3156" s="114">
        <v>4500</v>
      </c>
      <c r="J3156" s="114">
        <v>3782</v>
      </c>
      <c r="K3156" s="114">
        <v>718</v>
      </c>
      <c r="L3156" s="114" t="str">
        <f t="shared" si="49"/>
        <v>INSERT INTO DETALLES_DOCUMENTO(NRO_DOCUMENTO,ID_TIPO,ID_PRODUCTO,CANTIDAD,PRECIO,VALOR_BRUTO,VALOR_NETO,VALOR_IVA) VALUES(1503,1,259,1,4500,4500,3782,718);</v>
      </c>
    </row>
    <row r="3157" spans="1:12">
      <c r="A3157" s="114">
        <v>1</v>
      </c>
      <c r="B3157" s="114">
        <v>1503</v>
      </c>
      <c r="C3157" s="139" t="s">
        <v>2414</v>
      </c>
      <c r="D3157" s="114" t="s">
        <v>2090</v>
      </c>
      <c r="E3157" s="114">
        <v>166</v>
      </c>
      <c r="F3157" s="114">
        <v>120</v>
      </c>
      <c r="G3157" s="114">
        <v>1</v>
      </c>
      <c r="H3157" s="114">
        <v>1900</v>
      </c>
      <c r="I3157" s="114">
        <v>1900</v>
      </c>
      <c r="J3157" s="114">
        <v>1597</v>
      </c>
      <c r="K3157" s="114">
        <v>303</v>
      </c>
      <c r="L3157" s="114" t="str">
        <f t="shared" si="49"/>
        <v>INSERT INTO DETALLES_DOCUMENTO(NRO_DOCUMENTO,ID_TIPO,ID_PRODUCTO,CANTIDAD,PRECIO,VALOR_BRUTO,VALOR_NETO,VALOR_IVA) VALUES(1503,1,120,1,1900,1900,1597,303);</v>
      </c>
    </row>
    <row r="3158" spans="1:12">
      <c r="A3158" s="114">
        <v>1</v>
      </c>
      <c r="B3158" s="114">
        <v>1503</v>
      </c>
      <c r="C3158" s="139" t="s">
        <v>2414</v>
      </c>
      <c r="D3158" s="114" t="s">
        <v>2090</v>
      </c>
      <c r="E3158" s="114">
        <v>166</v>
      </c>
      <c r="F3158" s="114">
        <v>99</v>
      </c>
      <c r="G3158" s="114">
        <v>1</v>
      </c>
      <c r="H3158" s="114">
        <v>1700</v>
      </c>
      <c r="I3158" s="114">
        <v>1700</v>
      </c>
      <c r="J3158" s="114">
        <v>1429</v>
      </c>
      <c r="K3158" s="114">
        <v>271</v>
      </c>
      <c r="L3158" s="114" t="str">
        <f t="shared" si="49"/>
        <v>INSERT INTO DETALLES_DOCUMENTO(NRO_DOCUMENTO,ID_TIPO,ID_PRODUCTO,CANTIDAD,PRECIO,VALOR_BRUTO,VALOR_NETO,VALOR_IVA) VALUES(1503,1,99,1,1700,1700,1429,271);</v>
      </c>
    </row>
    <row r="3159" spans="1:12">
      <c r="A3159" s="114">
        <v>1</v>
      </c>
      <c r="B3159" s="114">
        <v>1503</v>
      </c>
      <c r="C3159" s="139" t="s">
        <v>2414</v>
      </c>
      <c r="D3159" s="114" t="s">
        <v>2090</v>
      </c>
      <c r="E3159" s="114">
        <v>166</v>
      </c>
      <c r="F3159" s="114">
        <v>249</v>
      </c>
      <c r="G3159" s="114">
        <v>1</v>
      </c>
      <c r="H3159" s="114">
        <v>4000</v>
      </c>
      <c r="I3159" s="114">
        <v>4000</v>
      </c>
      <c r="J3159" s="114">
        <v>3361</v>
      </c>
      <c r="K3159" s="114">
        <v>639</v>
      </c>
      <c r="L3159" s="114" t="str">
        <f t="shared" si="49"/>
        <v>INSERT INTO DETALLES_DOCUMENTO(NRO_DOCUMENTO,ID_TIPO,ID_PRODUCTO,CANTIDAD,PRECIO,VALOR_BRUTO,VALOR_NETO,VALOR_IVA) VALUES(1503,1,249,1,4000,4000,3361,639);</v>
      </c>
    </row>
    <row r="3160" spans="1:12">
      <c r="A3160" s="114">
        <v>1</v>
      </c>
      <c r="B3160" s="114">
        <v>1504</v>
      </c>
      <c r="C3160" s="139" t="s">
        <v>2414</v>
      </c>
      <c r="D3160" s="114" t="s">
        <v>2090</v>
      </c>
      <c r="E3160" s="114">
        <v>268</v>
      </c>
      <c r="F3160" s="114">
        <v>231</v>
      </c>
      <c r="G3160" s="114">
        <v>1</v>
      </c>
      <c r="H3160" s="114">
        <v>20900</v>
      </c>
      <c r="I3160" s="114">
        <v>20900</v>
      </c>
      <c r="J3160" s="114">
        <v>17563</v>
      </c>
      <c r="K3160" s="114">
        <v>3337</v>
      </c>
      <c r="L3160" s="114" t="str">
        <f t="shared" si="49"/>
        <v>INSERT INTO DETALLES_DOCUMENTO(NRO_DOCUMENTO,ID_TIPO,ID_PRODUCTO,CANTIDAD,PRECIO,VALOR_BRUTO,VALOR_NETO,VALOR_IVA) VALUES(1504,1,231,1,20900,20900,17563,3337);</v>
      </c>
    </row>
    <row r="3161" spans="1:12">
      <c r="A3161" s="114">
        <v>1</v>
      </c>
      <c r="B3161" s="114">
        <v>1504</v>
      </c>
      <c r="C3161" s="139" t="s">
        <v>2414</v>
      </c>
      <c r="D3161" s="114" t="s">
        <v>2090</v>
      </c>
      <c r="E3161" s="114">
        <v>268</v>
      </c>
      <c r="F3161" s="114">
        <v>278</v>
      </c>
      <c r="G3161" s="114">
        <v>1</v>
      </c>
      <c r="H3161" s="114">
        <v>11500</v>
      </c>
      <c r="I3161" s="114">
        <v>11500</v>
      </c>
      <c r="J3161" s="114">
        <v>9664</v>
      </c>
      <c r="K3161" s="114">
        <v>1836</v>
      </c>
      <c r="L3161" s="114" t="str">
        <f t="shared" si="49"/>
        <v>INSERT INTO DETALLES_DOCUMENTO(NRO_DOCUMENTO,ID_TIPO,ID_PRODUCTO,CANTIDAD,PRECIO,VALOR_BRUTO,VALOR_NETO,VALOR_IVA) VALUES(1504,1,278,1,11500,11500,9664,1836);</v>
      </c>
    </row>
    <row r="3162" spans="1:12">
      <c r="A3162" s="114">
        <v>1</v>
      </c>
      <c r="B3162" s="114">
        <v>1504</v>
      </c>
      <c r="C3162" s="139" t="s">
        <v>2414</v>
      </c>
      <c r="D3162" s="114" t="s">
        <v>2090</v>
      </c>
      <c r="E3162" s="114">
        <v>268</v>
      </c>
      <c r="F3162" s="114">
        <v>359</v>
      </c>
      <c r="G3162" s="114">
        <v>4</v>
      </c>
      <c r="H3162" s="114">
        <v>10800</v>
      </c>
      <c r="I3162" s="114">
        <v>43200</v>
      </c>
      <c r="J3162" s="114">
        <v>36303</v>
      </c>
      <c r="K3162" s="114">
        <v>6897</v>
      </c>
      <c r="L3162" s="114" t="str">
        <f t="shared" si="49"/>
        <v>INSERT INTO DETALLES_DOCUMENTO(NRO_DOCUMENTO,ID_TIPO,ID_PRODUCTO,CANTIDAD,PRECIO,VALOR_BRUTO,VALOR_NETO,VALOR_IVA) VALUES(1504,1,359,4,10800,43200,36303,6897);</v>
      </c>
    </row>
    <row r="3163" spans="1:12">
      <c r="A3163" s="114">
        <v>1</v>
      </c>
      <c r="B3163" s="114">
        <v>1504</v>
      </c>
      <c r="C3163" s="139" t="s">
        <v>2414</v>
      </c>
      <c r="D3163" s="114" t="s">
        <v>2090</v>
      </c>
      <c r="E3163" s="114">
        <v>268</v>
      </c>
      <c r="F3163" s="114">
        <v>264</v>
      </c>
      <c r="G3163" s="114">
        <v>1</v>
      </c>
      <c r="H3163" s="114">
        <v>5000</v>
      </c>
      <c r="I3163" s="114">
        <v>5000</v>
      </c>
      <c r="J3163" s="114">
        <v>4202</v>
      </c>
      <c r="K3163" s="114">
        <v>798</v>
      </c>
      <c r="L3163" s="114" t="str">
        <f t="shared" si="49"/>
        <v>INSERT INTO DETALLES_DOCUMENTO(NRO_DOCUMENTO,ID_TIPO,ID_PRODUCTO,CANTIDAD,PRECIO,VALOR_BRUTO,VALOR_NETO,VALOR_IVA) VALUES(1504,1,264,1,5000,5000,4202,798);</v>
      </c>
    </row>
    <row r="3164" spans="1:12">
      <c r="A3164" s="114">
        <v>1</v>
      </c>
      <c r="B3164" s="114">
        <v>1504</v>
      </c>
      <c r="C3164" s="139" t="s">
        <v>2414</v>
      </c>
      <c r="D3164" s="114" t="s">
        <v>2090</v>
      </c>
      <c r="E3164" s="114">
        <v>268</v>
      </c>
      <c r="F3164" s="114">
        <v>24</v>
      </c>
      <c r="G3164" s="114">
        <v>1</v>
      </c>
      <c r="H3164" s="114">
        <v>1650</v>
      </c>
      <c r="I3164" s="114">
        <v>1650</v>
      </c>
      <c r="J3164" s="114">
        <v>1387</v>
      </c>
      <c r="K3164" s="114">
        <v>263</v>
      </c>
      <c r="L3164" s="114" t="str">
        <f t="shared" si="49"/>
        <v>INSERT INTO DETALLES_DOCUMENTO(NRO_DOCUMENTO,ID_TIPO,ID_PRODUCTO,CANTIDAD,PRECIO,VALOR_BRUTO,VALOR_NETO,VALOR_IVA) VALUES(1504,1,24,1,1650,1650,1387,263);</v>
      </c>
    </row>
    <row r="3165" spans="1:12">
      <c r="A3165" s="114">
        <v>1</v>
      </c>
      <c r="B3165" s="114">
        <v>1504</v>
      </c>
      <c r="C3165" s="139" t="s">
        <v>2414</v>
      </c>
      <c r="D3165" s="114" t="s">
        <v>2090</v>
      </c>
      <c r="E3165" s="114">
        <v>268</v>
      </c>
      <c r="F3165" s="114">
        <v>25</v>
      </c>
      <c r="G3165" s="114">
        <v>1</v>
      </c>
      <c r="H3165" s="114">
        <v>1800</v>
      </c>
      <c r="I3165" s="114">
        <v>1800</v>
      </c>
      <c r="J3165" s="114">
        <v>1513</v>
      </c>
      <c r="K3165" s="114">
        <v>287</v>
      </c>
      <c r="L3165" s="114" t="str">
        <f t="shared" si="49"/>
        <v>INSERT INTO DETALLES_DOCUMENTO(NRO_DOCUMENTO,ID_TIPO,ID_PRODUCTO,CANTIDAD,PRECIO,VALOR_BRUTO,VALOR_NETO,VALOR_IVA) VALUES(1504,1,25,1,1800,1800,1513,287);</v>
      </c>
    </row>
    <row r="3166" spans="1:12">
      <c r="A3166" s="114">
        <v>1</v>
      </c>
      <c r="B3166" s="114">
        <v>1504</v>
      </c>
      <c r="C3166" s="139" t="s">
        <v>2414</v>
      </c>
      <c r="D3166" s="114" t="s">
        <v>2090</v>
      </c>
      <c r="E3166" s="114">
        <v>268</v>
      </c>
      <c r="F3166" s="114">
        <v>81</v>
      </c>
      <c r="G3166" s="114">
        <v>1</v>
      </c>
      <c r="H3166" s="114">
        <v>1600</v>
      </c>
      <c r="I3166" s="114">
        <v>1600</v>
      </c>
      <c r="J3166" s="114">
        <v>1345</v>
      </c>
      <c r="K3166" s="114">
        <v>255</v>
      </c>
      <c r="L3166" s="114" t="str">
        <f t="shared" si="49"/>
        <v>INSERT INTO DETALLES_DOCUMENTO(NRO_DOCUMENTO,ID_TIPO,ID_PRODUCTO,CANTIDAD,PRECIO,VALOR_BRUTO,VALOR_NETO,VALOR_IVA) VALUES(1504,1,81,1,1600,1600,1345,255);</v>
      </c>
    </row>
    <row r="3167" spans="1:12">
      <c r="A3167" s="114">
        <v>1</v>
      </c>
      <c r="B3167" s="114">
        <v>1505</v>
      </c>
      <c r="C3167" s="139" t="s">
        <v>2414</v>
      </c>
      <c r="D3167" s="114" t="s">
        <v>2090</v>
      </c>
      <c r="E3167" s="114">
        <v>278</v>
      </c>
      <c r="F3167" s="114">
        <v>324</v>
      </c>
      <c r="G3167" s="114">
        <v>2</v>
      </c>
      <c r="H3167" s="114">
        <v>22000</v>
      </c>
      <c r="I3167" s="114">
        <v>44000</v>
      </c>
      <c r="J3167" s="114">
        <v>36975</v>
      </c>
      <c r="K3167" s="114">
        <v>7025</v>
      </c>
      <c r="L3167" s="114" t="str">
        <f t="shared" si="49"/>
        <v>INSERT INTO DETALLES_DOCUMENTO(NRO_DOCUMENTO,ID_TIPO,ID_PRODUCTO,CANTIDAD,PRECIO,VALOR_BRUTO,VALOR_NETO,VALOR_IVA) VALUES(1505,1,324,2,22000,44000,36975,7025);</v>
      </c>
    </row>
    <row r="3168" spans="1:12">
      <c r="A3168" s="114">
        <v>1</v>
      </c>
      <c r="B3168" s="114">
        <v>1505</v>
      </c>
      <c r="C3168" s="139" t="s">
        <v>2414</v>
      </c>
      <c r="D3168" s="114" t="s">
        <v>2090</v>
      </c>
      <c r="E3168" s="114">
        <v>278</v>
      </c>
      <c r="F3168" s="114">
        <v>143</v>
      </c>
      <c r="G3168" s="114">
        <v>1</v>
      </c>
      <c r="H3168" s="114">
        <v>8000</v>
      </c>
      <c r="I3168" s="114">
        <v>8000</v>
      </c>
      <c r="J3168" s="114">
        <v>6723</v>
      </c>
      <c r="K3168" s="114">
        <v>1277</v>
      </c>
      <c r="L3168" s="114" t="str">
        <f t="shared" si="49"/>
        <v>INSERT INTO DETALLES_DOCUMENTO(NRO_DOCUMENTO,ID_TIPO,ID_PRODUCTO,CANTIDAD,PRECIO,VALOR_BRUTO,VALOR_NETO,VALOR_IVA) VALUES(1505,1,143,1,8000,8000,6723,1277);</v>
      </c>
    </row>
    <row r="3169" spans="1:12">
      <c r="A3169" s="114">
        <v>1</v>
      </c>
      <c r="B3169" s="114">
        <v>1505</v>
      </c>
      <c r="C3169" s="139" t="s">
        <v>2414</v>
      </c>
      <c r="D3169" s="114" t="s">
        <v>2090</v>
      </c>
      <c r="E3169" s="114">
        <v>278</v>
      </c>
      <c r="F3169" s="114">
        <v>15</v>
      </c>
      <c r="G3169" s="114">
        <v>1</v>
      </c>
      <c r="H3169" s="114">
        <v>1500</v>
      </c>
      <c r="I3169" s="114">
        <v>1500</v>
      </c>
      <c r="J3169" s="114">
        <v>1261</v>
      </c>
      <c r="K3169" s="114">
        <v>239</v>
      </c>
      <c r="L3169" s="114" t="str">
        <f t="shared" si="49"/>
        <v>INSERT INTO DETALLES_DOCUMENTO(NRO_DOCUMENTO,ID_TIPO,ID_PRODUCTO,CANTIDAD,PRECIO,VALOR_BRUTO,VALOR_NETO,VALOR_IVA) VALUES(1505,1,15,1,1500,1500,1261,239);</v>
      </c>
    </row>
    <row r="3170" spans="1:12">
      <c r="A3170" s="114">
        <v>1</v>
      </c>
      <c r="B3170" s="114">
        <v>1505</v>
      </c>
      <c r="C3170" s="139" t="s">
        <v>2414</v>
      </c>
      <c r="D3170" s="114" t="s">
        <v>2090</v>
      </c>
      <c r="E3170" s="114">
        <v>278</v>
      </c>
      <c r="F3170" s="114">
        <v>31</v>
      </c>
      <c r="G3170" s="114">
        <v>1</v>
      </c>
      <c r="H3170" s="114">
        <v>3400</v>
      </c>
      <c r="I3170" s="114">
        <v>3400</v>
      </c>
      <c r="J3170" s="114">
        <v>2857</v>
      </c>
      <c r="K3170" s="114">
        <v>543</v>
      </c>
      <c r="L3170" s="114" t="str">
        <f t="shared" si="49"/>
        <v>INSERT INTO DETALLES_DOCUMENTO(NRO_DOCUMENTO,ID_TIPO,ID_PRODUCTO,CANTIDAD,PRECIO,VALOR_BRUTO,VALOR_NETO,VALOR_IVA) VALUES(1505,1,31,1,3400,3400,2857,543);</v>
      </c>
    </row>
    <row r="3171" spans="1:12">
      <c r="A3171" s="114">
        <v>1</v>
      </c>
      <c r="B3171" s="114">
        <v>1505</v>
      </c>
      <c r="C3171" s="139" t="s">
        <v>2414</v>
      </c>
      <c r="D3171" s="114" t="s">
        <v>2090</v>
      </c>
      <c r="E3171" s="114">
        <v>278</v>
      </c>
      <c r="F3171" s="114">
        <v>259</v>
      </c>
      <c r="G3171" s="114">
        <v>1</v>
      </c>
      <c r="H3171" s="114">
        <v>4500</v>
      </c>
      <c r="I3171" s="114">
        <v>4500</v>
      </c>
      <c r="J3171" s="114">
        <v>3782</v>
      </c>
      <c r="K3171" s="114">
        <v>718</v>
      </c>
      <c r="L3171" s="114" t="str">
        <f t="shared" si="49"/>
        <v>INSERT INTO DETALLES_DOCUMENTO(NRO_DOCUMENTO,ID_TIPO,ID_PRODUCTO,CANTIDAD,PRECIO,VALOR_BRUTO,VALOR_NETO,VALOR_IVA) VALUES(1505,1,259,1,4500,4500,3782,718);</v>
      </c>
    </row>
    <row r="3172" spans="1:12">
      <c r="A3172" s="114">
        <v>1</v>
      </c>
      <c r="B3172" s="114">
        <v>1505</v>
      </c>
      <c r="C3172" s="139" t="s">
        <v>2414</v>
      </c>
      <c r="D3172" s="114" t="s">
        <v>2090</v>
      </c>
      <c r="E3172" s="114">
        <v>278</v>
      </c>
      <c r="F3172" s="114">
        <v>252</v>
      </c>
      <c r="G3172" s="114">
        <v>1</v>
      </c>
      <c r="H3172" s="114">
        <v>4800</v>
      </c>
      <c r="I3172" s="114">
        <v>4800</v>
      </c>
      <c r="J3172" s="114">
        <v>4034</v>
      </c>
      <c r="K3172" s="114">
        <v>766</v>
      </c>
      <c r="L3172" s="114" t="str">
        <f t="shared" si="49"/>
        <v>INSERT INTO DETALLES_DOCUMENTO(NRO_DOCUMENTO,ID_TIPO,ID_PRODUCTO,CANTIDAD,PRECIO,VALOR_BRUTO,VALOR_NETO,VALOR_IVA) VALUES(1505,1,252,1,4800,4800,4034,766);</v>
      </c>
    </row>
    <row r="3173" spans="1:12">
      <c r="A3173" s="114">
        <v>1</v>
      </c>
      <c r="B3173" s="114">
        <v>1505</v>
      </c>
      <c r="C3173" s="139" t="s">
        <v>2414</v>
      </c>
      <c r="D3173" s="114" t="s">
        <v>2090</v>
      </c>
      <c r="E3173" s="114">
        <v>278</v>
      </c>
      <c r="F3173" s="114">
        <v>99</v>
      </c>
      <c r="G3173" s="114">
        <v>1</v>
      </c>
      <c r="H3173" s="114">
        <v>1700</v>
      </c>
      <c r="I3173" s="114">
        <v>1700</v>
      </c>
      <c r="J3173" s="114">
        <v>1429</v>
      </c>
      <c r="K3173" s="114">
        <v>271</v>
      </c>
      <c r="L3173" s="114" t="str">
        <f t="shared" si="49"/>
        <v>INSERT INTO DETALLES_DOCUMENTO(NRO_DOCUMENTO,ID_TIPO,ID_PRODUCTO,CANTIDAD,PRECIO,VALOR_BRUTO,VALOR_NETO,VALOR_IVA) VALUES(1505,1,99,1,1700,1700,1429,271);</v>
      </c>
    </row>
    <row r="3174" spans="1:12">
      <c r="A3174" s="114">
        <v>1</v>
      </c>
      <c r="B3174" s="114">
        <v>1505</v>
      </c>
      <c r="C3174" s="139" t="s">
        <v>2414</v>
      </c>
      <c r="D3174" s="114" t="s">
        <v>2090</v>
      </c>
      <c r="E3174" s="114">
        <v>278</v>
      </c>
      <c r="F3174" s="114">
        <v>165</v>
      </c>
      <c r="G3174" s="114">
        <v>2</v>
      </c>
      <c r="H3174" s="114">
        <v>4000</v>
      </c>
      <c r="I3174" s="114">
        <v>8000</v>
      </c>
      <c r="J3174" s="114">
        <v>6723</v>
      </c>
      <c r="K3174" s="114">
        <v>1277</v>
      </c>
      <c r="L3174" s="114" t="str">
        <f t="shared" si="49"/>
        <v>INSERT INTO DETALLES_DOCUMENTO(NRO_DOCUMENTO,ID_TIPO,ID_PRODUCTO,CANTIDAD,PRECIO,VALOR_BRUTO,VALOR_NETO,VALOR_IVA) VALUES(1505,1,165,2,4000,8000,6723,1277);</v>
      </c>
    </row>
    <row r="3175" spans="1:12">
      <c r="A3175" s="114">
        <v>1</v>
      </c>
      <c r="B3175" s="114">
        <v>1505</v>
      </c>
      <c r="C3175" s="139" t="s">
        <v>2414</v>
      </c>
      <c r="D3175" s="114" t="s">
        <v>2090</v>
      </c>
      <c r="E3175" s="114">
        <v>278</v>
      </c>
      <c r="F3175" s="114">
        <v>230</v>
      </c>
      <c r="G3175" s="114">
        <v>1</v>
      </c>
      <c r="H3175" s="114">
        <v>16500</v>
      </c>
      <c r="I3175" s="114">
        <v>16500</v>
      </c>
      <c r="J3175" s="114">
        <v>13866</v>
      </c>
      <c r="K3175" s="114">
        <v>2634</v>
      </c>
      <c r="L3175" s="114" t="str">
        <f t="shared" si="49"/>
        <v>INSERT INTO DETALLES_DOCUMENTO(NRO_DOCUMENTO,ID_TIPO,ID_PRODUCTO,CANTIDAD,PRECIO,VALOR_BRUTO,VALOR_NETO,VALOR_IVA) VALUES(1505,1,230,1,16500,16500,13866,2634);</v>
      </c>
    </row>
    <row r="3176" spans="1:12">
      <c r="A3176" s="114">
        <v>1</v>
      </c>
      <c r="B3176" s="114">
        <v>1505</v>
      </c>
      <c r="C3176" s="139" t="s">
        <v>2414</v>
      </c>
      <c r="D3176" s="114" t="s">
        <v>2090</v>
      </c>
      <c r="E3176" s="114">
        <v>278</v>
      </c>
      <c r="F3176" s="114">
        <v>278</v>
      </c>
      <c r="G3176" s="114">
        <v>1</v>
      </c>
      <c r="H3176" s="114">
        <v>11500</v>
      </c>
      <c r="I3176" s="114">
        <v>11500</v>
      </c>
      <c r="J3176" s="114">
        <v>9664</v>
      </c>
      <c r="K3176" s="114">
        <v>1836</v>
      </c>
      <c r="L3176" s="114" t="str">
        <f t="shared" si="49"/>
        <v>INSERT INTO DETALLES_DOCUMENTO(NRO_DOCUMENTO,ID_TIPO,ID_PRODUCTO,CANTIDAD,PRECIO,VALOR_BRUTO,VALOR_NETO,VALOR_IVA) VALUES(1505,1,278,1,11500,11500,9664,1836);</v>
      </c>
    </row>
    <row r="3177" spans="1:12">
      <c r="A3177" s="114">
        <v>1</v>
      </c>
      <c r="B3177" s="114">
        <v>1505</v>
      </c>
      <c r="C3177" s="139" t="s">
        <v>2414</v>
      </c>
      <c r="D3177" s="114" t="s">
        <v>2090</v>
      </c>
      <c r="E3177" s="114">
        <v>278</v>
      </c>
      <c r="F3177" s="114">
        <v>167</v>
      </c>
      <c r="G3177" s="114">
        <v>1</v>
      </c>
      <c r="H3177" s="114">
        <v>8200</v>
      </c>
      <c r="I3177" s="114">
        <v>8200</v>
      </c>
      <c r="J3177" s="114">
        <v>6891</v>
      </c>
      <c r="K3177" s="114">
        <v>1309</v>
      </c>
      <c r="L3177" s="114" t="str">
        <f t="shared" si="49"/>
        <v>INSERT INTO DETALLES_DOCUMENTO(NRO_DOCUMENTO,ID_TIPO,ID_PRODUCTO,CANTIDAD,PRECIO,VALOR_BRUTO,VALOR_NETO,VALOR_IVA) VALUES(1505,1,167,1,8200,8200,6891,1309);</v>
      </c>
    </row>
    <row r="3178" spans="1:12">
      <c r="A3178" s="114">
        <v>1</v>
      </c>
      <c r="B3178" s="114">
        <v>1506</v>
      </c>
      <c r="C3178" s="139" t="s">
        <v>2414</v>
      </c>
      <c r="D3178" s="114" t="s">
        <v>2090</v>
      </c>
      <c r="E3178" s="114">
        <v>476</v>
      </c>
      <c r="F3178" s="114">
        <v>329</v>
      </c>
      <c r="G3178" s="114">
        <v>1</v>
      </c>
      <c r="H3178" s="114">
        <v>6000</v>
      </c>
      <c r="I3178" s="114">
        <v>6000</v>
      </c>
      <c r="J3178" s="114">
        <v>5042</v>
      </c>
      <c r="K3178" s="114">
        <v>958</v>
      </c>
      <c r="L3178" s="114" t="str">
        <f t="shared" si="49"/>
        <v>INSERT INTO DETALLES_DOCUMENTO(NRO_DOCUMENTO,ID_TIPO,ID_PRODUCTO,CANTIDAD,PRECIO,VALOR_BRUTO,VALOR_NETO,VALOR_IVA) VALUES(1506,1,329,1,6000,6000,5042,958);</v>
      </c>
    </row>
    <row r="3179" spans="1:12">
      <c r="A3179" s="114">
        <v>1</v>
      </c>
      <c r="B3179" s="114">
        <v>1507</v>
      </c>
      <c r="C3179" s="139" t="s">
        <v>2415</v>
      </c>
      <c r="D3179" s="114" t="s">
        <v>2090</v>
      </c>
      <c r="E3179" s="114">
        <v>2</v>
      </c>
      <c r="F3179" s="114">
        <v>261</v>
      </c>
      <c r="G3179" s="114">
        <v>1</v>
      </c>
      <c r="H3179" s="114">
        <v>7000</v>
      </c>
      <c r="I3179" s="114">
        <v>7000</v>
      </c>
      <c r="J3179" s="114">
        <v>5882</v>
      </c>
      <c r="K3179" s="114">
        <v>1118</v>
      </c>
      <c r="L3179" s="114" t="str">
        <f t="shared" si="49"/>
        <v>INSERT INTO DETALLES_DOCUMENTO(NRO_DOCUMENTO,ID_TIPO,ID_PRODUCTO,CANTIDAD,PRECIO,VALOR_BRUTO,VALOR_NETO,VALOR_IVA) VALUES(1507,1,261,1,7000,7000,5882,1118);</v>
      </c>
    </row>
    <row r="3180" spans="1:12">
      <c r="A3180" s="114">
        <v>1</v>
      </c>
      <c r="B3180" s="114">
        <v>1507</v>
      </c>
      <c r="C3180" s="139" t="s">
        <v>2415</v>
      </c>
      <c r="D3180" s="114" t="s">
        <v>2090</v>
      </c>
      <c r="E3180" s="114">
        <v>2</v>
      </c>
      <c r="F3180" s="114">
        <v>143</v>
      </c>
      <c r="G3180" s="114">
        <v>1</v>
      </c>
      <c r="H3180" s="114">
        <v>8000</v>
      </c>
      <c r="I3180" s="114">
        <v>8000</v>
      </c>
      <c r="J3180" s="114">
        <v>6723</v>
      </c>
      <c r="K3180" s="114">
        <v>1277</v>
      </c>
      <c r="L3180" s="114" t="str">
        <f t="shared" si="49"/>
        <v>INSERT INTO DETALLES_DOCUMENTO(NRO_DOCUMENTO,ID_TIPO,ID_PRODUCTO,CANTIDAD,PRECIO,VALOR_BRUTO,VALOR_NETO,VALOR_IVA) VALUES(1507,1,143,1,8000,8000,6723,1277);</v>
      </c>
    </row>
    <row r="3181" spans="1:12">
      <c r="A3181" s="114">
        <v>1</v>
      </c>
      <c r="B3181" s="114">
        <v>1508</v>
      </c>
      <c r="C3181" s="139" t="s">
        <v>2415</v>
      </c>
      <c r="D3181" s="114" t="s">
        <v>2090</v>
      </c>
      <c r="E3181" s="114">
        <v>188</v>
      </c>
      <c r="F3181" s="114">
        <v>231</v>
      </c>
      <c r="G3181" s="114">
        <v>1</v>
      </c>
      <c r="H3181" s="114">
        <v>20900</v>
      </c>
      <c r="I3181" s="114">
        <v>20900</v>
      </c>
      <c r="J3181" s="114">
        <v>17563</v>
      </c>
      <c r="K3181" s="114">
        <v>3337</v>
      </c>
      <c r="L3181" s="114" t="str">
        <f t="shared" si="49"/>
        <v>INSERT INTO DETALLES_DOCUMENTO(NRO_DOCUMENTO,ID_TIPO,ID_PRODUCTO,CANTIDAD,PRECIO,VALOR_BRUTO,VALOR_NETO,VALOR_IVA) VALUES(1508,1,231,1,20900,20900,17563,3337);</v>
      </c>
    </row>
    <row r="3182" spans="1:12">
      <c r="A3182" s="114">
        <v>1</v>
      </c>
      <c r="B3182" s="114">
        <v>1509</v>
      </c>
      <c r="C3182" s="139" t="s">
        <v>2415</v>
      </c>
      <c r="D3182" s="114" t="s">
        <v>2090</v>
      </c>
      <c r="E3182" s="114">
        <v>278</v>
      </c>
      <c r="F3182" s="114">
        <v>29</v>
      </c>
      <c r="G3182" s="114">
        <v>1</v>
      </c>
      <c r="H3182" s="114">
        <v>1000</v>
      </c>
      <c r="I3182" s="114">
        <v>1000</v>
      </c>
      <c r="J3182" s="114">
        <v>840</v>
      </c>
      <c r="K3182" s="114">
        <v>160</v>
      </c>
      <c r="L3182" s="114" t="str">
        <f t="shared" si="49"/>
        <v>INSERT INTO DETALLES_DOCUMENTO(NRO_DOCUMENTO,ID_TIPO,ID_PRODUCTO,CANTIDAD,PRECIO,VALOR_BRUTO,VALOR_NETO,VALOR_IVA) VALUES(1509,1,29,1,1000,1000,840,160);</v>
      </c>
    </row>
    <row r="3183" spans="1:12">
      <c r="A3183" s="114">
        <v>1</v>
      </c>
      <c r="B3183" s="114">
        <v>1509</v>
      </c>
      <c r="C3183" s="139" t="s">
        <v>2415</v>
      </c>
      <c r="D3183" s="114" t="s">
        <v>2090</v>
      </c>
      <c r="E3183" s="114">
        <v>278</v>
      </c>
      <c r="F3183" s="114">
        <v>286</v>
      </c>
      <c r="G3183" s="114">
        <v>1</v>
      </c>
      <c r="H3183" s="114">
        <v>1100</v>
      </c>
      <c r="I3183" s="114">
        <v>1100</v>
      </c>
      <c r="J3183" s="114">
        <v>924</v>
      </c>
      <c r="K3183" s="114">
        <v>176</v>
      </c>
      <c r="L3183" s="114" t="str">
        <f t="shared" si="49"/>
        <v>INSERT INTO DETALLES_DOCUMENTO(NRO_DOCUMENTO,ID_TIPO,ID_PRODUCTO,CANTIDAD,PRECIO,VALOR_BRUTO,VALOR_NETO,VALOR_IVA) VALUES(1509,1,286,1,1100,1100,924,176);</v>
      </c>
    </row>
    <row r="3184" spans="1:12">
      <c r="A3184" s="114">
        <v>1</v>
      </c>
      <c r="B3184" s="114">
        <v>1509</v>
      </c>
      <c r="C3184" s="139" t="s">
        <v>2415</v>
      </c>
      <c r="D3184" s="114" t="s">
        <v>2090</v>
      </c>
      <c r="E3184" s="114">
        <v>278</v>
      </c>
      <c r="F3184" s="114">
        <v>360</v>
      </c>
      <c r="G3184" s="114">
        <v>1</v>
      </c>
      <c r="H3184" s="114">
        <v>3000</v>
      </c>
      <c r="I3184" s="114">
        <v>3000</v>
      </c>
      <c r="J3184" s="114">
        <v>2521</v>
      </c>
      <c r="K3184" s="114">
        <v>479</v>
      </c>
      <c r="L3184" s="114" t="str">
        <f t="shared" si="49"/>
        <v>INSERT INTO DETALLES_DOCUMENTO(NRO_DOCUMENTO,ID_TIPO,ID_PRODUCTO,CANTIDAD,PRECIO,VALOR_BRUTO,VALOR_NETO,VALOR_IVA) VALUES(1509,1,360,1,3000,3000,2521,479);</v>
      </c>
    </row>
    <row r="3185" spans="1:12">
      <c r="A3185" s="114">
        <v>1</v>
      </c>
      <c r="B3185" s="114">
        <v>1509</v>
      </c>
      <c r="C3185" s="139" t="s">
        <v>2415</v>
      </c>
      <c r="D3185" s="114" t="s">
        <v>2090</v>
      </c>
      <c r="E3185" s="114">
        <v>278</v>
      </c>
      <c r="F3185" s="114">
        <v>264</v>
      </c>
      <c r="G3185" s="114">
        <v>1</v>
      </c>
      <c r="H3185" s="114">
        <v>5000</v>
      </c>
      <c r="I3185" s="114">
        <v>5000</v>
      </c>
      <c r="J3185" s="114">
        <v>4202</v>
      </c>
      <c r="K3185" s="114">
        <v>798</v>
      </c>
      <c r="L3185" s="114" t="str">
        <f t="shared" si="49"/>
        <v>INSERT INTO DETALLES_DOCUMENTO(NRO_DOCUMENTO,ID_TIPO,ID_PRODUCTO,CANTIDAD,PRECIO,VALOR_BRUTO,VALOR_NETO,VALOR_IVA) VALUES(1509,1,264,1,5000,5000,4202,798);</v>
      </c>
    </row>
    <row r="3186" spans="1:12">
      <c r="A3186" s="114">
        <v>1</v>
      </c>
      <c r="B3186" s="114">
        <v>1509</v>
      </c>
      <c r="C3186" s="139" t="s">
        <v>2415</v>
      </c>
      <c r="D3186" s="114" t="s">
        <v>2090</v>
      </c>
      <c r="E3186" s="114">
        <v>278</v>
      </c>
      <c r="F3186" s="114">
        <v>117</v>
      </c>
      <c r="G3186" s="114">
        <v>1</v>
      </c>
      <c r="H3186" s="114">
        <v>3500</v>
      </c>
      <c r="I3186" s="114">
        <v>3500</v>
      </c>
      <c r="J3186" s="114">
        <v>2941</v>
      </c>
      <c r="K3186" s="114">
        <v>559</v>
      </c>
      <c r="L3186" s="114" t="str">
        <f t="shared" si="49"/>
        <v>INSERT INTO DETALLES_DOCUMENTO(NRO_DOCUMENTO,ID_TIPO,ID_PRODUCTO,CANTIDAD,PRECIO,VALOR_BRUTO,VALOR_NETO,VALOR_IVA) VALUES(1509,1,117,1,3500,3500,2941,559);</v>
      </c>
    </row>
    <row r="3187" spans="1:12">
      <c r="A3187" s="114">
        <v>1</v>
      </c>
      <c r="B3187" s="114">
        <v>1510</v>
      </c>
      <c r="C3187" s="139" t="s">
        <v>2415</v>
      </c>
      <c r="D3187" s="114" t="s">
        <v>2090</v>
      </c>
      <c r="E3187" s="114">
        <v>345</v>
      </c>
      <c r="F3187" s="114">
        <v>143</v>
      </c>
      <c r="G3187" s="114">
        <v>1</v>
      </c>
      <c r="H3187" s="114">
        <v>8000</v>
      </c>
      <c r="I3187" s="114">
        <v>8000</v>
      </c>
      <c r="J3187" s="114">
        <v>6723</v>
      </c>
      <c r="K3187" s="114">
        <v>1277</v>
      </c>
      <c r="L3187" s="114" t="str">
        <f t="shared" si="49"/>
        <v>INSERT INTO DETALLES_DOCUMENTO(NRO_DOCUMENTO,ID_TIPO,ID_PRODUCTO,CANTIDAD,PRECIO,VALOR_BRUTO,VALOR_NETO,VALOR_IVA) VALUES(1510,1,143,1,8000,8000,6723,1277);</v>
      </c>
    </row>
    <row r="3188" spans="1:12">
      <c r="A3188" s="114">
        <v>1</v>
      </c>
      <c r="B3188" s="114">
        <v>1510</v>
      </c>
      <c r="C3188" s="139" t="s">
        <v>2415</v>
      </c>
      <c r="D3188" s="114" t="s">
        <v>2090</v>
      </c>
      <c r="E3188" s="114">
        <v>345</v>
      </c>
      <c r="F3188" s="114">
        <v>329</v>
      </c>
      <c r="G3188" s="114">
        <v>1</v>
      </c>
      <c r="H3188" s="114">
        <v>6000</v>
      </c>
      <c r="I3188" s="114">
        <v>6000</v>
      </c>
      <c r="J3188" s="114">
        <v>5042</v>
      </c>
      <c r="K3188" s="114">
        <v>958</v>
      </c>
      <c r="L3188" s="114" t="str">
        <f t="shared" si="49"/>
        <v>INSERT INTO DETALLES_DOCUMENTO(NRO_DOCUMENTO,ID_TIPO,ID_PRODUCTO,CANTIDAD,PRECIO,VALOR_BRUTO,VALOR_NETO,VALOR_IVA) VALUES(1510,1,329,1,6000,6000,5042,958);</v>
      </c>
    </row>
    <row r="3189" spans="1:12">
      <c r="A3189" s="114">
        <v>1</v>
      </c>
      <c r="B3189" s="114">
        <v>1511</v>
      </c>
      <c r="C3189" s="139" t="s">
        <v>2415</v>
      </c>
      <c r="D3189" s="114" t="s">
        <v>2090</v>
      </c>
      <c r="E3189" s="114">
        <v>363</v>
      </c>
      <c r="F3189" s="114">
        <v>143</v>
      </c>
      <c r="G3189" s="114">
        <v>1</v>
      </c>
      <c r="H3189" s="114">
        <v>8000</v>
      </c>
      <c r="I3189" s="114">
        <v>8000</v>
      </c>
      <c r="J3189" s="114">
        <v>6723</v>
      </c>
      <c r="K3189" s="114">
        <v>1277</v>
      </c>
      <c r="L3189" s="114" t="str">
        <f t="shared" si="49"/>
        <v>INSERT INTO DETALLES_DOCUMENTO(NRO_DOCUMENTO,ID_TIPO,ID_PRODUCTO,CANTIDAD,PRECIO,VALOR_BRUTO,VALOR_NETO,VALOR_IVA) VALUES(1511,1,143,1,8000,8000,6723,1277);</v>
      </c>
    </row>
    <row r="3190" spans="1:12">
      <c r="A3190" s="114">
        <v>1</v>
      </c>
      <c r="B3190" s="114">
        <v>1511</v>
      </c>
      <c r="C3190" s="139" t="s">
        <v>2415</v>
      </c>
      <c r="D3190" s="114" t="s">
        <v>2090</v>
      </c>
      <c r="E3190" s="114">
        <v>363</v>
      </c>
      <c r="F3190" s="114">
        <v>322</v>
      </c>
      <c r="G3190" s="114">
        <v>1</v>
      </c>
      <c r="H3190" s="114">
        <v>9000</v>
      </c>
      <c r="I3190" s="114">
        <v>9000</v>
      </c>
      <c r="J3190" s="114">
        <v>7563</v>
      </c>
      <c r="K3190" s="114">
        <v>1437</v>
      </c>
      <c r="L3190" s="114" t="str">
        <f t="shared" si="49"/>
        <v>INSERT INTO DETALLES_DOCUMENTO(NRO_DOCUMENTO,ID_TIPO,ID_PRODUCTO,CANTIDAD,PRECIO,VALOR_BRUTO,VALOR_NETO,VALOR_IVA) VALUES(1511,1,322,1,9000,9000,7563,1437);</v>
      </c>
    </row>
    <row r="3191" spans="1:12">
      <c r="A3191" s="114">
        <v>1</v>
      </c>
      <c r="B3191" s="114">
        <v>1511</v>
      </c>
      <c r="C3191" s="139" t="s">
        <v>2415</v>
      </c>
      <c r="D3191" s="114" t="s">
        <v>2090</v>
      </c>
      <c r="E3191" s="114">
        <v>363</v>
      </c>
      <c r="F3191" s="114">
        <v>290</v>
      </c>
      <c r="G3191" s="114">
        <v>1</v>
      </c>
      <c r="H3191" s="114">
        <v>1200</v>
      </c>
      <c r="I3191" s="114">
        <v>1200</v>
      </c>
      <c r="J3191" s="114">
        <v>1008</v>
      </c>
      <c r="K3191" s="114">
        <v>192</v>
      </c>
      <c r="L3191" s="114" t="str">
        <f t="shared" si="49"/>
        <v>INSERT INTO DETALLES_DOCUMENTO(NRO_DOCUMENTO,ID_TIPO,ID_PRODUCTO,CANTIDAD,PRECIO,VALOR_BRUTO,VALOR_NETO,VALOR_IVA) VALUES(1511,1,290,1,1200,1200,1008,192);</v>
      </c>
    </row>
    <row r="3192" spans="1:12">
      <c r="A3192" s="114">
        <v>1</v>
      </c>
      <c r="B3192" s="114">
        <v>1511</v>
      </c>
      <c r="C3192" s="139" t="s">
        <v>2415</v>
      </c>
      <c r="D3192" s="114" t="s">
        <v>2090</v>
      </c>
      <c r="E3192" s="114">
        <v>363</v>
      </c>
      <c r="F3192" s="114">
        <v>125</v>
      </c>
      <c r="G3192" s="114">
        <v>1</v>
      </c>
      <c r="H3192" s="114">
        <v>1700</v>
      </c>
      <c r="I3192" s="114">
        <v>1700</v>
      </c>
      <c r="J3192" s="114">
        <v>1429</v>
      </c>
      <c r="K3192" s="114">
        <v>271</v>
      </c>
      <c r="L3192" s="114" t="str">
        <f t="shared" si="49"/>
        <v>INSERT INTO DETALLES_DOCUMENTO(NRO_DOCUMENTO,ID_TIPO,ID_PRODUCTO,CANTIDAD,PRECIO,VALOR_BRUTO,VALOR_NETO,VALOR_IVA) VALUES(1511,1,125,1,1700,1700,1429,271);</v>
      </c>
    </row>
    <row r="3193" spans="1:12">
      <c r="A3193" s="114">
        <v>1</v>
      </c>
      <c r="B3193" s="114">
        <v>1511</v>
      </c>
      <c r="C3193" s="139" t="s">
        <v>2415</v>
      </c>
      <c r="D3193" s="114" t="s">
        <v>2090</v>
      </c>
      <c r="E3193" s="114">
        <v>363</v>
      </c>
      <c r="F3193" s="114">
        <v>354</v>
      </c>
      <c r="G3193" s="114">
        <v>1</v>
      </c>
      <c r="H3193" s="114">
        <v>1800</v>
      </c>
      <c r="I3193" s="114">
        <v>1800</v>
      </c>
      <c r="J3193" s="114">
        <v>1513</v>
      </c>
      <c r="K3193" s="114">
        <v>287</v>
      </c>
      <c r="L3193" s="114" t="str">
        <f t="shared" si="49"/>
        <v>INSERT INTO DETALLES_DOCUMENTO(NRO_DOCUMENTO,ID_TIPO,ID_PRODUCTO,CANTIDAD,PRECIO,VALOR_BRUTO,VALOR_NETO,VALOR_IVA) VALUES(1511,1,354,1,1800,1800,1513,287);</v>
      </c>
    </row>
    <row r="3194" spans="1:12">
      <c r="A3194" s="114">
        <v>1</v>
      </c>
      <c r="B3194" s="114">
        <v>1512</v>
      </c>
      <c r="C3194" s="139" t="s">
        <v>2415</v>
      </c>
      <c r="D3194" s="114" t="s">
        <v>2090</v>
      </c>
      <c r="E3194" s="114">
        <v>387</v>
      </c>
      <c r="F3194" s="114">
        <v>167</v>
      </c>
      <c r="G3194" s="114">
        <v>1</v>
      </c>
      <c r="H3194" s="114">
        <v>8200</v>
      </c>
      <c r="I3194" s="114">
        <v>8200</v>
      </c>
      <c r="J3194" s="114">
        <v>6891</v>
      </c>
      <c r="K3194" s="114">
        <v>1309</v>
      </c>
      <c r="L3194" s="114" t="str">
        <f t="shared" si="49"/>
        <v>INSERT INTO DETALLES_DOCUMENTO(NRO_DOCUMENTO,ID_TIPO,ID_PRODUCTO,CANTIDAD,PRECIO,VALOR_BRUTO,VALOR_NETO,VALOR_IVA) VALUES(1512,1,167,1,8200,8200,6891,1309);</v>
      </c>
    </row>
    <row r="3195" spans="1:12">
      <c r="A3195" s="114">
        <v>1</v>
      </c>
      <c r="B3195" s="114">
        <v>1513</v>
      </c>
      <c r="C3195" s="139" t="s">
        <v>2416</v>
      </c>
      <c r="D3195" s="114" t="s">
        <v>2090</v>
      </c>
      <c r="E3195" s="114">
        <v>230</v>
      </c>
      <c r="F3195" s="114">
        <v>167</v>
      </c>
      <c r="G3195" s="114">
        <v>1</v>
      </c>
      <c r="H3195" s="114">
        <v>8200</v>
      </c>
      <c r="I3195" s="114">
        <v>8200</v>
      </c>
      <c r="J3195" s="114">
        <v>6891</v>
      </c>
      <c r="K3195" s="114">
        <v>1309</v>
      </c>
      <c r="L3195" s="114" t="str">
        <f t="shared" si="49"/>
        <v>INSERT INTO DETALLES_DOCUMENTO(NRO_DOCUMENTO,ID_TIPO,ID_PRODUCTO,CANTIDAD,PRECIO,VALOR_BRUTO,VALOR_NETO,VALOR_IVA) VALUES(1513,1,167,1,8200,8200,6891,1309);</v>
      </c>
    </row>
    <row r="3196" spans="1:12">
      <c r="A3196" s="114">
        <v>1</v>
      </c>
      <c r="B3196" s="114">
        <v>1514</v>
      </c>
      <c r="C3196" s="139" t="s">
        <v>2416</v>
      </c>
      <c r="D3196" s="114" t="s">
        <v>2090</v>
      </c>
      <c r="E3196" s="114">
        <v>339</v>
      </c>
      <c r="F3196" s="114">
        <v>324</v>
      </c>
      <c r="G3196" s="114">
        <v>1</v>
      </c>
      <c r="H3196" s="114">
        <v>11000</v>
      </c>
      <c r="I3196" s="114">
        <v>11000</v>
      </c>
      <c r="J3196" s="114">
        <v>9244</v>
      </c>
      <c r="K3196" s="114">
        <v>1756</v>
      </c>
      <c r="L3196" s="114" t="str">
        <f t="shared" si="49"/>
        <v>INSERT INTO DETALLES_DOCUMENTO(NRO_DOCUMENTO,ID_TIPO,ID_PRODUCTO,CANTIDAD,PRECIO,VALOR_BRUTO,VALOR_NETO,VALOR_IVA) VALUES(1514,1,324,1,11000,11000,9244,1756);</v>
      </c>
    </row>
    <row r="3197" spans="1:12">
      <c r="A3197" s="114">
        <v>1</v>
      </c>
      <c r="B3197" s="114">
        <v>1514</v>
      </c>
      <c r="C3197" s="139" t="s">
        <v>2416</v>
      </c>
      <c r="D3197" s="114" t="s">
        <v>2090</v>
      </c>
      <c r="E3197" s="114">
        <v>339</v>
      </c>
      <c r="F3197" s="114">
        <v>143</v>
      </c>
      <c r="G3197" s="114">
        <v>1</v>
      </c>
      <c r="H3197" s="114">
        <v>8000</v>
      </c>
      <c r="I3197" s="114">
        <v>8000</v>
      </c>
      <c r="J3197" s="114">
        <v>6723</v>
      </c>
      <c r="K3197" s="114">
        <v>1277</v>
      </c>
      <c r="L3197" s="114" t="str">
        <f t="shared" si="49"/>
        <v>INSERT INTO DETALLES_DOCUMENTO(NRO_DOCUMENTO,ID_TIPO,ID_PRODUCTO,CANTIDAD,PRECIO,VALOR_BRUTO,VALOR_NETO,VALOR_IVA) VALUES(1514,1,143,1,8000,8000,6723,1277);</v>
      </c>
    </row>
    <row r="3198" spans="1:12">
      <c r="A3198" s="114">
        <v>1</v>
      </c>
      <c r="B3198" s="114">
        <v>1514</v>
      </c>
      <c r="C3198" s="139" t="s">
        <v>2416</v>
      </c>
      <c r="D3198" s="114" t="s">
        <v>2090</v>
      </c>
      <c r="E3198" s="114">
        <v>339</v>
      </c>
      <c r="F3198" s="114">
        <v>302</v>
      </c>
      <c r="G3198" s="114">
        <v>1</v>
      </c>
      <c r="H3198" s="114">
        <v>8000</v>
      </c>
      <c r="I3198" s="114">
        <v>8000</v>
      </c>
      <c r="J3198" s="114">
        <v>6723</v>
      </c>
      <c r="K3198" s="114">
        <v>1277</v>
      </c>
      <c r="L3198" s="114" t="str">
        <f t="shared" si="49"/>
        <v>INSERT INTO DETALLES_DOCUMENTO(NRO_DOCUMENTO,ID_TIPO,ID_PRODUCTO,CANTIDAD,PRECIO,VALOR_BRUTO,VALOR_NETO,VALOR_IVA) VALUES(1514,1,302,1,8000,8000,6723,1277);</v>
      </c>
    </row>
    <row r="3199" spans="1:12">
      <c r="A3199" s="114">
        <v>1</v>
      </c>
      <c r="B3199" s="114">
        <v>1515</v>
      </c>
      <c r="C3199" s="139" t="s">
        <v>2417</v>
      </c>
      <c r="D3199" s="114" t="s">
        <v>2090</v>
      </c>
      <c r="E3199" s="114">
        <v>2</v>
      </c>
      <c r="F3199" s="114">
        <v>329</v>
      </c>
      <c r="G3199" s="114">
        <v>1</v>
      </c>
      <c r="H3199" s="114">
        <v>6000</v>
      </c>
      <c r="I3199" s="114">
        <v>6000</v>
      </c>
      <c r="J3199" s="114">
        <v>5042</v>
      </c>
      <c r="K3199" s="114">
        <v>958</v>
      </c>
      <c r="L3199" s="114" t="str">
        <f t="shared" si="49"/>
        <v>INSERT INTO DETALLES_DOCUMENTO(NRO_DOCUMENTO,ID_TIPO,ID_PRODUCTO,CANTIDAD,PRECIO,VALOR_BRUTO,VALOR_NETO,VALOR_IVA) VALUES(1515,1,329,1,6000,6000,5042,958);</v>
      </c>
    </row>
    <row r="3200" spans="1:12">
      <c r="A3200" s="114">
        <v>1</v>
      </c>
      <c r="B3200" s="114">
        <v>1515</v>
      </c>
      <c r="C3200" s="139" t="s">
        <v>2417</v>
      </c>
      <c r="D3200" s="114" t="s">
        <v>2090</v>
      </c>
      <c r="E3200" s="114">
        <v>2</v>
      </c>
      <c r="F3200" s="114">
        <v>143</v>
      </c>
      <c r="G3200" s="114">
        <v>2</v>
      </c>
      <c r="H3200" s="114">
        <v>16000</v>
      </c>
      <c r="I3200" s="114">
        <v>32000</v>
      </c>
      <c r="J3200" s="114">
        <v>26891</v>
      </c>
      <c r="K3200" s="114">
        <v>5109</v>
      </c>
      <c r="L3200" s="114" t="str">
        <f t="shared" si="49"/>
        <v>INSERT INTO DETALLES_DOCUMENTO(NRO_DOCUMENTO,ID_TIPO,ID_PRODUCTO,CANTIDAD,PRECIO,VALOR_BRUTO,VALOR_NETO,VALOR_IVA) VALUES(1515,1,143,2,16000,32000,26891,5109);</v>
      </c>
    </row>
    <row r="3201" spans="1:12">
      <c r="A3201" s="114">
        <v>1</v>
      </c>
      <c r="B3201" s="114">
        <v>1516</v>
      </c>
      <c r="C3201" s="139" t="s">
        <v>2417</v>
      </c>
      <c r="D3201" s="114" t="s">
        <v>2090</v>
      </c>
      <c r="E3201" s="114">
        <v>4</v>
      </c>
      <c r="F3201" s="114">
        <v>167</v>
      </c>
      <c r="G3201" s="114">
        <v>1</v>
      </c>
      <c r="H3201" s="114">
        <v>8200</v>
      </c>
      <c r="I3201" s="114">
        <v>8200</v>
      </c>
      <c r="J3201" s="114">
        <v>6891</v>
      </c>
      <c r="K3201" s="114">
        <v>1309</v>
      </c>
      <c r="L3201" s="114" t="str">
        <f t="shared" si="49"/>
        <v>INSERT INTO DETALLES_DOCUMENTO(NRO_DOCUMENTO,ID_TIPO,ID_PRODUCTO,CANTIDAD,PRECIO,VALOR_BRUTO,VALOR_NETO,VALOR_IVA) VALUES(1516,1,167,1,8200,8200,6891,1309);</v>
      </c>
    </row>
    <row r="3202" spans="1:12">
      <c r="A3202" s="114">
        <v>1</v>
      </c>
      <c r="B3202" s="114">
        <v>1517</v>
      </c>
      <c r="C3202" s="139" t="s">
        <v>2417</v>
      </c>
      <c r="D3202" s="114" t="s">
        <v>2090</v>
      </c>
      <c r="E3202" s="114">
        <v>72</v>
      </c>
      <c r="F3202" s="114">
        <v>322</v>
      </c>
      <c r="G3202" s="114">
        <v>1</v>
      </c>
      <c r="H3202" s="114">
        <v>9000</v>
      </c>
      <c r="I3202" s="114">
        <v>9000</v>
      </c>
      <c r="J3202" s="114">
        <v>7563</v>
      </c>
      <c r="K3202" s="114">
        <v>1437</v>
      </c>
      <c r="L3202" s="114" t="str">
        <f t="shared" si="49"/>
        <v>INSERT INTO DETALLES_DOCUMENTO(NRO_DOCUMENTO,ID_TIPO,ID_PRODUCTO,CANTIDAD,PRECIO,VALOR_BRUTO,VALOR_NETO,VALOR_IVA) VALUES(1517,1,322,1,9000,9000,7563,1437);</v>
      </c>
    </row>
    <row r="3203" spans="1:12">
      <c r="A3203" s="114">
        <v>1</v>
      </c>
      <c r="B3203" s="114">
        <v>1518</v>
      </c>
      <c r="C3203" s="139" t="s">
        <v>2417</v>
      </c>
      <c r="D3203" s="114" t="s">
        <v>2090</v>
      </c>
      <c r="E3203" s="114">
        <v>82</v>
      </c>
      <c r="F3203" s="114">
        <v>324</v>
      </c>
      <c r="G3203" s="114">
        <v>1</v>
      </c>
      <c r="H3203" s="114">
        <v>11000</v>
      </c>
      <c r="I3203" s="114">
        <v>11000</v>
      </c>
      <c r="J3203" s="114">
        <v>9244</v>
      </c>
      <c r="K3203" s="114">
        <v>1756</v>
      </c>
      <c r="L3203" s="114" t="str">
        <f t="shared" ref="L3203:L3266" si="50">CONCATENATE("INSERT INTO DETALLES_DOCUMENTO(NRO_DOCUMENTO,ID_TIPO,ID_PRODUCTO,CANTIDAD,PRECIO,VALOR_BRUTO,VALOR_NETO,VALOR_IVA) VALUES(",B3203,",",A3203,",",F3203,",",G3203,",",H3203,",",I3203,",",J3203,",",K3203,");")</f>
        <v>INSERT INTO DETALLES_DOCUMENTO(NRO_DOCUMENTO,ID_TIPO,ID_PRODUCTO,CANTIDAD,PRECIO,VALOR_BRUTO,VALOR_NETO,VALOR_IVA) VALUES(1518,1,324,1,11000,11000,9244,1756);</v>
      </c>
    </row>
    <row r="3204" spans="1:12">
      <c r="A3204" s="114">
        <v>1</v>
      </c>
      <c r="B3204" s="114">
        <v>1519</v>
      </c>
      <c r="C3204" s="139" t="s">
        <v>2417</v>
      </c>
      <c r="D3204" s="114" t="s">
        <v>2090</v>
      </c>
      <c r="E3204" s="114">
        <v>98</v>
      </c>
      <c r="F3204" s="114">
        <v>167</v>
      </c>
      <c r="G3204" s="114">
        <v>1</v>
      </c>
      <c r="H3204" s="114">
        <v>8200</v>
      </c>
      <c r="I3204" s="114">
        <v>8200</v>
      </c>
      <c r="J3204" s="114">
        <v>6891</v>
      </c>
      <c r="K3204" s="114">
        <v>1309</v>
      </c>
      <c r="L3204" s="114" t="str">
        <f t="shared" si="50"/>
        <v>INSERT INTO DETALLES_DOCUMENTO(NRO_DOCUMENTO,ID_TIPO,ID_PRODUCTO,CANTIDAD,PRECIO,VALOR_BRUTO,VALOR_NETO,VALOR_IVA) VALUES(1519,1,167,1,8200,8200,6891,1309);</v>
      </c>
    </row>
    <row r="3205" spans="1:12">
      <c r="A3205" s="114">
        <v>1</v>
      </c>
      <c r="B3205" s="114">
        <v>1519</v>
      </c>
      <c r="C3205" s="139" t="s">
        <v>2417</v>
      </c>
      <c r="D3205" s="114" t="s">
        <v>2090</v>
      </c>
      <c r="E3205" s="114">
        <v>98</v>
      </c>
      <c r="F3205" s="114">
        <v>324</v>
      </c>
      <c r="G3205" s="114">
        <v>1</v>
      </c>
      <c r="H3205" s="114">
        <v>11000</v>
      </c>
      <c r="I3205" s="114">
        <v>11000</v>
      </c>
      <c r="J3205" s="114">
        <v>9244</v>
      </c>
      <c r="K3205" s="114">
        <v>1756</v>
      </c>
      <c r="L3205" s="114" t="str">
        <f t="shared" si="50"/>
        <v>INSERT INTO DETALLES_DOCUMENTO(NRO_DOCUMENTO,ID_TIPO,ID_PRODUCTO,CANTIDAD,PRECIO,VALOR_BRUTO,VALOR_NETO,VALOR_IVA) VALUES(1519,1,324,1,11000,11000,9244,1756);</v>
      </c>
    </row>
    <row r="3206" spans="1:12">
      <c r="A3206" s="114">
        <v>1</v>
      </c>
      <c r="B3206" s="114">
        <v>1519</v>
      </c>
      <c r="C3206" s="139" t="s">
        <v>2417</v>
      </c>
      <c r="D3206" s="114" t="s">
        <v>2090</v>
      </c>
      <c r="E3206" s="114">
        <v>98</v>
      </c>
      <c r="F3206" s="114">
        <v>329</v>
      </c>
      <c r="G3206" s="114">
        <v>1</v>
      </c>
      <c r="H3206" s="114">
        <v>6000</v>
      </c>
      <c r="I3206" s="114">
        <v>6000</v>
      </c>
      <c r="J3206" s="114">
        <v>5042</v>
      </c>
      <c r="K3206" s="114">
        <v>958</v>
      </c>
      <c r="L3206" s="114" t="str">
        <f t="shared" si="50"/>
        <v>INSERT INTO DETALLES_DOCUMENTO(NRO_DOCUMENTO,ID_TIPO,ID_PRODUCTO,CANTIDAD,PRECIO,VALOR_BRUTO,VALOR_NETO,VALOR_IVA) VALUES(1519,1,329,1,6000,6000,5042,958);</v>
      </c>
    </row>
    <row r="3207" spans="1:12">
      <c r="A3207" s="114">
        <v>1</v>
      </c>
      <c r="B3207" s="114">
        <v>1520</v>
      </c>
      <c r="C3207" s="139" t="s">
        <v>2417</v>
      </c>
      <c r="D3207" s="114" t="s">
        <v>2090</v>
      </c>
      <c r="E3207" s="114">
        <v>111</v>
      </c>
      <c r="F3207" s="114">
        <v>230</v>
      </c>
      <c r="G3207" s="114">
        <v>1</v>
      </c>
      <c r="H3207" s="114">
        <v>16500</v>
      </c>
      <c r="I3207" s="114">
        <v>16500</v>
      </c>
      <c r="J3207" s="114">
        <v>13866</v>
      </c>
      <c r="K3207" s="114">
        <v>2634</v>
      </c>
      <c r="L3207" s="114" t="str">
        <f t="shared" si="50"/>
        <v>INSERT INTO DETALLES_DOCUMENTO(NRO_DOCUMENTO,ID_TIPO,ID_PRODUCTO,CANTIDAD,PRECIO,VALOR_BRUTO,VALOR_NETO,VALOR_IVA) VALUES(1520,1,230,1,16500,16500,13866,2634);</v>
      </c>
    </row>
    <row r="3208" spans="1:12">
      <c r="A3208" s="114">
        <v>1</v>
      </c>
      <c r="B3208" s="114">
        <v>1520</v>
      </c>
      <c r="C3208" s="139" t="s">
        <v>2417</v>
      </c>
      <c r="D3208" s="114" t="s">
        <v>2090</v>
      </c>
      <c r="E3208" s="114">
        <v>111</v>
      </c>
      <c r="F3208" s="114">
        <v>14</v>
      </c>
      <c r="G3208" s="114">
        <v>1</v>
      </c>
      <c r="H3208" s="114">
        <v>4600</v>
      </c>
      <c r="I3208" s="114">
        <v>4600</v>
      </c>
      <c r="J3208" s="114">
        <v>3866</v>
      </c>
      <c r="K3208" s="114">
        <v>734</v>
      </c>
      <c r="L3208" s="114" t="str">
        <f t="shared" si="50"/>
        <v>INSERT INTO DETALLES_DOCUMENTO(NRO_DOCUMENTO,ID_TIPO,ID_PRODUCTO,CANTIDAD,PRECIO,VALOR_BRUTO,VALOR_NETO,VALOR_IVA) VALUES(1520,1,14,1,4600,4600,3866,734);</v>
      </c>
    </row>
    <row r="3209" spans="1:12">
      <c r="A3209" s="114">
        <v>1</v>
      </c>
      <c r="B3209" s="114">
        <v>1521</v>
      </c>
      <c r="C3209" s="139" t="s">
        <v>2417</v>
      </c>
      <c r="D3209" s="114" t="s">
        <v>2090</v>
      </c>
      <c r="E3209" s="114">
        <v>198</v>
      </c>
      <c r="F3209" s="114">
        <v>324</v>
      </c>
      <c r="G3209" s="114">
        <v>1</v>
      </c>
      <c r="H3209" s="114">
        <v>11000</v>
      </c>
      <c r="I3209" s="114">
        <v>11000</v>
      </c>
      <c r="J3209" s="114">
        <v>9244</v>
      </c>
      <c r="K3209" s="114">
        <v>1756</v>
      </c>
      <c r="L3209" s="114" t="str">
        <f t="shared" si="50"/>
        <v>INSERT INTO DETALLES_DOCUMENTO(NRO_DOCUMENTO,ID_TIPO,ID_PRODUCTO,CANTIDAD,PRECIO,VALOR_BRUTO,VALOR_NETO,VALOR_IVA) VALUES(1521,1,324,1,11000,11000,9244,1756);</v>
      </c>
    </row>
    <row r="3210" spans="1:12">
      <c r="A3210" s="114">
        <v>1</v>
      </c>
      <c r="B3210" s="114">
        <v>1522</v>
      </c>
      <c r="C3210" s="139" t="s">
        <v>2417</v>
      </c>
      <c r="D3210" s="114" t="s">
        <v>2090</v>
      </c>
      <c r="E3210" s="114">
        <v>200</v>
      </c>
      <c r="F3210" s="114">
        <v>324</v>
      </c>
      <c r="G3210" s="114">
        <v>1</v>
      </c>
      <c r="H3210" s="114">
        <v>11000</v>
      </c>
      <c r="I3210" s="114">
        <v>11000</v>
      </c>
      <c r="J3210" s="114">
        <v>9244</v>
      </c>
      <c r="K3210" s="114">
        <v>1756</v>
      </c>
      <c r="L3210" s="114" t="str">
        <f t="shared" si="50"/>
        <v>INSERT INTO DETALLES_DOCUMENTO(NRO_DOCUMENTO,ID_TIPO,ID_PRODUCTO,CANTIDAD,PRECIO,VALOR_BRUTO,VALOR_NETO,VALOR_IVA) VALUES(1522,1,324,1,11000,11000,9244,1756);</v>
      </c>
    </row>
    <row r="3211" spans="1:12">
      <c r="A3211" s="114">
        <v>1</v>
      </c>
      <c r="B3211" s="114">
        <v>1522</v>
      </c>
      <c r="C3211" s="139" t="s">
        <v>2417</v>
      </c>
      <c r="D3211" s="114" t="s">
        <v>2090</v>
      </c>
      <c r="E3211" s="114">
        <v>200</v>
      </c>
      <c r="F3211" s="114">
        <v>143</v>
      </c>
      <c r="G3211" s="114">
        <v>1</v>
      </c>
      <c r="H3211" s="114">
        <v>8000</v>
      </c>
      <c r="I3211" s="114">
        <v>8000</v>
      </c>
      <c r="J3211" s="114">
        <v>6723</v>
      </c>
      <c r="K3211" s="114">
        <v>1277</v>
      </c>
      <c r="L3211" s="114" t="str">
        <f t="shared" si="50"/>
        <v>INSERT INTO DETALLES_DOCUMENTO(NRO_DOCUMENTO,ID_TIPO,ID_PRODUCTO,CANTIDAD,PRECIO,VALOR_BRUTO,VALOR_NETO,VALOR_IVA) VALUES(1522,1,143,1,8000,8000,6723,1277);</v>
      </c>
    </row>
    <row r="3212" spans="1:12">
      <c r="A3212" s="114">
        <v>1</v>
      </c>
      <c r="B3212" s="114">
        <v>1523</v>
      </c>
      <c r="C3212" s="139" t="s">
        <v>2417</v>
      </c>
      <c r="D3212" s="114" t="s">
        <v>2090</v>
      </c>
      <c r="E3212" s="114">
        <v>202</v>
      </c>
      <c r="F3212" s="114">
        <v>143</v>
      </c>
      <c r="G3212" s="114">
        <v>1</v>
      </c>
      <c r="H3212" s="114">
        <v>8000</v>
      </c>
      <c r="I3212" s="114">
        <v>8000</v>
      </c>
      <c r="J3212" s="114">
        <v>6723</v>
      </c>
      <c r="K3212" s="114">
        <v>1277</v>
      </c>
      <c r="L3212" s="114" t="str">
        <f t="shared" si="50"/>
        <v>INSERT INTO DETALLES_DOCUMENTO(NRO_DOCUMENTO,ID_TIPO,ID_PRODUCTO,CANTIDAD,PRECIO,VALOR_BRUTO,VALOR_NETO,VALOR_IVA) VALUES(1523,1,143,1,8000,8000,6723,1277);</v>
      </c>
    </row>
    <row r="3213" spans="1:12">
      <c r="A3213" s="114">
        <v>1</v>
      </c>
      <c r="B3213" s="114">
        <v>1523</v>
      </c>
      <c r="C3213" s="139" t="s">
        <v>2417</v>
      </c>
      <c r="D3213" s="114" t="s">
        <v>2090</v>
      </c>
      <c r="E3213" s="114">
        <v>202</v>
      </c>
      <c r="F3213" s="114">
        <v>322</v>
      </c>
      <c r="G3213" s="114">
        <v>1</v>
      </c>
      <c r="H3213" s="114">
        <v>9000</v>
      </c>
      <c r="I3213" s="114">
        <v>9000</v>
      </c>
      <c r="J3213" s="114">
        <v>7563</v>
      </c>
      <c r="K3213" s="114">
        <v>1437</v>
      </c>
      <c r="L3213" s="114" t="str">
        <f t="shared" si="50"/>
        <v>INSERT INTO DETALLES_DOCUMENTO(NRO_DOCUMENTO,ID_TIPO,ID_PRODUCTO,CANTIDAD,PRECIO,VALOR_BRUTO,VALOR_NETO,VALOR_IVA) VALUES(1523,1,322,1,9000,9000,7563,1437);</v>
      </c>
    </row>
    <row r="3214" spans="1:12">
      <c r="A3214" s="114">
        <v>1</v>
      </c>
      <c r="B3214" s="114">
        <v>1524</v>
      </c>
      <c r="C3214" s="139" t="s">
        <v>2417</v>
      </c>
      <c r="D3214" s="114" t="s">
        <v>2090</v>
      </c>
      <c r="E3214" s="114">
        <v>254</v>
      </c>
      <c r="F3214" s="114">
        <v>230</v>
      </c>
      <c r="G3214" s="114">
        <v>1</v>
      </c>
      <c r="H3214" s="114">
        <v>16500</v>
      </c>
      <c r="I3214" s="114">
        <v>16500</v>
      </c>
      <c r="J3214" s="114">
        <v>13866</v>
      </c>
      <c r="K3214" s="114">
        <v>2634</v>
      </c>
      <c r="L3214" s="114" t="str">
        <f t="shared" si="50"/>
        <v>INSERT INTO DETALLES_DOCUMENTO(NRO_DOCUMENTO,ID_TIPO,ID_PRODUCTO,CANTIDAD,PRECIO,VALOR_BRUTO,VALOR_NETO,VALOR_IVA) VALUES(1524,1,230,1,16500,16500,13866,2634);</v>
      </c>
    </row>
    <row r="3215" spans="1:12">
      <c r="A3215" s="114">
        <v>1</v>
      </c>
      <c r="B3215" s="114">
        <v>1524</v>
      </c>
      <c r="C3215" s="139" t="s">
        <v>2417</v>
      </c>
      <c r="D3215" s="114" t="s">
        <v>2090</v>
      </c>
      <c r="E3215" s="114">
        <v>254</v>
      </c>
      <c r="F3215" s="114">
        <v>368</v>
      </c>
      <c r="G3215" s="114">
        <v>1</v>
      </c>
      <c r="H3215" s="114">
        <v>3000</v>
      </c>
      <c r="I3215" s="114">
        <v>3000</v>
      </c>
      <c r="J3215" s="114">
        <v>2521</v>
      </c>
      <c r="K3215" s="114">
        <v>479</v>
      </c>
      <c r="L3215" s="114" t="str">
        <f t="shared" si="50"/>
        <v>INSERT INTO DETALLES_DOCUMENTO(NRO_DOCUMENTO,ID_TIPO,ID_PRODUCTO,CANTIDAD,PRECIO,VALOR_BRUTO,VALOR_NETO,VALOR_IVA) VALUES(1524,1,368,1,3000,3000,2521,479);</v>
      </c>
    </row>
    <row r="3216" spans="1:12">
      <c r="A3216" s="114">
        <v>1</v>
      </c>
      <c r="B3216" s="114">
        <v>1524</v>
      </c>
      <c r="C3216" s="139" t="s">
        <v>2417</v>
      </c>
      <c r="D3216" s="114" t="s">
        <v>2090</v>
      </c>
      <c r="E3216" s="114">
        <v>254</v>
      </c>
      <c r="F3216" s="114">
        <v>244</v>
      </c>
      <c r="G3216" s="114">
        <v>1</v>
      </c>
      <c r="H3216" s="114">
        <v>14900</v>
      </c>
      <c r="I3216" s="114">
        <v>14900</v>
      </c>
      <c r="J3216" s="114">
        <v>12521</v>
      </c>
      <c r="K3216" s="114">
        <v>2379</v>
      </c>
      <c r="L3216" s="114" t="str">
        <f t="shared" si="50"/>
        <v>INSERT INTO DETALLES_DOCUMENTO(NRO_DOCUMENTO,ID_TIPO,ID_PRODUCTO,CANTIDAD,PRECIO,VALOR_BRUTO,VALOR_NETO,VALOR_IVA) VALUES(1524,1,244,1,14900,14900,12521,2379);</v>
      </c>
    </row>
    <row r="3217" spans="1:12">
      <c r="A3217" s="114">
        <v>1</v>
      </c>
      <c r="B3217" s="114">
        <v>1524</v>
      </c>
      <c r="C3217" s="139" t="s">
        <v>2417</v>
      </c>
      <c r="D3217" s="114" t="s">
        <v>2090</v>
      </c>
      <c r="E3217" s="114">
        <v>254</v>
      </c>
      <c r="F3217" s="114">
        <v>117</v>
      </c>
      <c r="G3217" s="114">
        <v>1</v>
      </c>
      <c r="H3217" s="114">
        <v>3500</v>
      </c>
      <c r="I3217" s="114">
        <v>3500</v>
      </c>
      <c r="J3217" s="114">
        <v>2941</v>
      </c>
      <c r="K3217" s="114">
        <v>559</v>
      </c>
      <c r="L3217" s="114" t="str">
        <f t="shared" si="50"/>
        <v>INSERT INTO DETALLES_DOCUMENTO(NRO_DOCUMENTO,ID_TIPO,ID_PRODUCTO,CANTIDAD,PRECIO,VALOR_BRUTO,VALOR_NETO,VALOR_IVA) VALUES(1524,1,117,1,3500,3500,2941,559);</v>
      </c>
    </row>
    <row r="3218" spans="1:12">
      <c r="A3218" s="114">
        <v>1</v>
      </c>
      <c r="B3218" s="114">
        <v>1524</v>
      </c>
      <c r="C3218" s="139" t="s">
        <v>2417</v>
      </c>
      <c r="D3218" s="114" t="s">
        <v>2090</v>
      </c>
      <c r="E3218" s="114">
        <v>254</v>
      </c>
      <c r="F3218" s="114">
        <v>165</v>
      </c>
      <c r="G3218" s="114">
        <v>1</v>
      </c>
      <c r="H3218" s="114">
        <v>2000</v>
      </c>
      <c r="I3218" s="114">
        <v>2000</v>
      </c>
      <c r="J3218" s="114">
        <v>1681</v>
      </c>
      <c r="K3218" s="114">
        <v>319</v>
      </c>
      <c r="L3218" s="114" t="str">
        <f t="shared" si="50"/>
        <v>INSERT INTO DETALLES_DOCUMENTO(NRO_DOCUMENTO,ID_TIPO,ID_PRODUCTO,CANTIDAD,PRECIO,VALOR_BRUTO,VALOR_NETO,VALOR_IVA) VALUES(1524,1,165,1,2000,2000,1681,319);</v>
      </c>
    </row>
    <row r="3219" spans="1:12">
      <c r="A3219" s="114">
        <v>1</v>
      </c>
      <c r="B3219" s="114">
        <v>1524</v>
      </c>
      <c r="C3219" s="139" t="s">
        <v>2417</v>
      </c>
      <c r="D3219" s="114" t="s">
        <v>2090</v>
      </c>
      <c r="E3219" s="114">
        <v>254</v>
      </c>
      <c r="F3219" s="114">
        <v>167</v>
      </c>
      <c r="G3219" s="114">
        <v>1</v>
      </c>
      <c r="H3219" s="114">
        <v>8200</v>
      </c>
      <c r="I3219" s="114">
        <v>8200</v>
      </c>
      <c r="J3219" s="114">
        <v>6891</v>
      </c>
      <c r="K3219" s="114">
        <v>1309</v>
      </c>
      <c r="L3219" s="114" t="str">
        <f t="shared" si="50"/>
        <v>INSERT INTO DETALLES_DOCUMENTO(NRO_DOCUMENTO,ID_TIPO,ID_PRODUCTO,CANTIDAD,PRECIO,VALOR_BRUTO,VALOR_NETO,VALOR_IVA) VALUES(1524,1,167,1,8200,8200,6891,1309);</v>
      </c>
    </row>
    <row r="3220" spans="1:12">
      <c r="A3220" s="114">
        <v>1</v>
      </c>
      <c r="B3220" s="114">
        <v>1525</v>
      </c>
      <c r="C3220" s="139" t="s">
        <v>2417</v>
      </c>
      <c r="D3220" s="114" t="s">
        <v>2090</v>
      </c>
      <c r="E3220" s="114">
        <v>276</v>
      </c>
      <c r="F3220" s="114">
        <v>167</v>
      </c>
      <c r="G3220" s="114">
        <v>1</v>
      </c>
      <c r="H3220" s="114">
        <v>8200</v>
      </c>
      <c r="I3220" s="114">
        <v>8200</v>
      </c>
      <c r="J3220" s="114">
        <v>6891</v>
      </c>
      <c r="K3220" s="114">
        <v>1309</v>
      </c>
      <c r="L3220" s="114" t="str">
        <f t="shared" si="50"/>
        <v>INSERT INTO DETALLES_DOCUMENTO(NRO_DOCUMENTO,ID_TIPO,ID_PRODUCTO,CANTIDAD,PRECIO,VALOR_BRUTO,VALOR_NETO,VALOR_IVA) VALUES(1525,1,167,1,8200,8200,6891,1309);</v>
      </c>
    </row>
    <row r="3221" spans="1:12">
      <c r="A3221" s="114">
        <v>1</v>
      </c>
      <c r="B3221" s="114">
        <v>1526</v>
      </c>
      <c r="C3221" s="139" t="s">
        <v>2417</v>
      </c>
      <c r="D3221" s="114" t="s">
        <v>2090</v>
      </c>
      <c r="E3221" s="114">
        <v>315</v>
      </c>
      <c r="F3221" s="114">
        <v>167</v>
      </c>
      <c r="G3221" s="114">
        <v>1</v>
      </c>
      <c r="H3221" s="114">
        <v>8200</v>
      </c>
      <c r="I3221" s="114">
        <v>8200</v>
      </c>
      <c r="J3221" s="114">
        <v>6891</v>
      </c>
      <c r="K3221" s="114">
        <v>1309</v>
      </c>
      <c r="L3221" s="114" t="str">
        <f t="shared" si="50"/>
        <v>INSERT INTO DETALLES_DOCUMENTO(NRO_DOCUMENTO,ID_TIPO,ID_PRODUCTO,CANTIDAD,PRECIO,VALOR_BRUTO,VALOR_NETO,VALOR_IVA) VALUES(1526,1,167,1,8200,8200,6891,1309);</v>
      </c>
    </row>
    <row r="3222" spans="1:12">
      <c r="A3222" s="114">
        <v>1</v>
      </c>
      <c r="B3222" s="114">
        <v>1527</v>
      </c>
      <c r="C3222" s="139" t="s">
        <v>2417</v>
      </c>
      <c r="D3222" s="114" t="s">
        <v>2090</v>
      </c>
      <c r="E3222" s="114">
        <v>374</v>
      </c>
      <c r="F3222" s="114">
        <v>324</v>
      </c>
      <c r="G3222" s="114">
        <v>1</v>
      </c>
      <c r="H3222" s="114">
        <v>11000</v>
      </c>
      <c r="I3222" s="114">
        <v>11000</v>
      </c>
      <c r="J3222" s="114">
        <v>9244</v>
      </c>
      <c r="K3222" s="114">
        <v>1756</v>
      </c>
      <c r="L3222" s="114" t="str">
        <f t="shared" si="50"/>
        <v>INSERT INTO DETALLES_DOCUMENTO(NRO_DOCUMENTO,ID_TIPO,ID_PRODUCTO,CANTIDAD,PRECIO,VALOR_BRUTO,VALOR_NETO,VALOR_IVA) VALUES(1527,1,324,1,11000,11000,9244,1756);</v>
      </c>
    </row>
    <row r="3223" spans="1:12">
      <c r="A3223" s="114">
        <v>1</v>
      </c>
      <c r="B3223" s="114">
        <v>1528</v>
      </c>
      <c r="C3223" s="139" t="s">
        <v>2417</v>
      </c>
      <c r="D3223" s="114" t="s">
        <v>2090</v>
      </c>
      <c r="E3223" s="114">
        <v>382</v>
      </c>
      <c r="F3223" s="114">
        <v>143</v>
      </c>
      <c r="G3223" s="114">
        <v>1</v>
      </c>
      <c r="H3223" s="114">
        <v>8000</v>
      </c>
      <c r="I3223" s="114">
        <v>8000</v>
      </c>
      <c r="J3223" s="114">
        <v>6723</v>
      </c>
      <c r="K3223" s="114">
        <v>1277</v>
      </c>
      <c r="L3223" s="114" t="str">
        <f t="shared" si="50"/>
        <v>INSERT INTO DETALLES_DOCUMENTO(NRO_DOCUMENTO,ID_TIPO,ID_PRODUCTO,CANTIDAD,PRECIO,VALOR_BRUTO,VALOR_NETO,VALOR_IVA) VALUES(1528,1,143,1,8000,8000,6723,1277);</v>
      </c>
    </row>
    <row r="3224" spans="1:12">
      <c r="A3224" s="114">
        <v>1</v>
      </c>
      <c r="B3224" s="114">
        <v>1529</v>
      </c>
      <c r="C3224" s="139" t="s">
        <v>2417</v>
      </c>
      <c r="D3224" s="114" t="s">
        <v>2090</v>
      </c>
      <c r="E3224" s="114">
        <v>402</v>
      </c>
      <c r="F3224" s="114">
        <v>165</v>
      </c>
      <c r="G3224" s="114">
        <v>1</v>
      </c>
      <c r="H3224" s="114">
        <v>2000</v>
      </c>
      <c r="I3224" s="114">
        <v>2000</v>
      </c>
      <c r="J3224" s="114">
        <v>1681</v>
      </c>
      <c r="K3224" s="114">
        <v>319</v>
      </c>
      <c r="L3224" s="114" t="str">
        <f t="shared" si="50"/>
        <v>INSERT INTO DETALLES_DOCUMENTO(NRO_DOCUMENTO,ID_TIPO,ID_PRODUCTO,CANTIDAD,PRECIO,VALOR_BRUTO,VALOR_NETO,VALOR_IVA) VALUES(1529,1,165,1,2000,2000,1681,319);</v>
      </c>
    </row>
    <row r="3225" spans="1:12">
      <c r="A3225" s="114">
        <v>1</v>
      </c>
      <c r="B3225" s="114">
        <v>1529</v>
      </c>
      <c r="C3225" s="139" t="s">
        <v>2417</v>
      </c>
      <c r="D3225" s="114" t="s">
        <v>2090</v>
      </c>
      <c r="E3225" s="114">
        <v>402</v>
      </c>
      <c r="F3225" s="114">
        <v>97</v>
      </c>
      <c r="G3225" s="114">
        <v>1</v>
      </c>
      <c r="H3225" s="114">
        <v>2000</v>
      </c>
      <c r="I3225" s="114">
        <v>2000</v>
      </c>
      <c r="J3225" s="114">
        <v>1681</v>
      </c>
      <c r="K3225" s="114">
        <v>319</v>
      </c>
      <c r="L3225" s="114" t="str">
        <f t="shared" si="50"/>
        <v>INSERT INTO DETALLES_DOCUMENTO(NRO_DOCUMENTO,ID_TIPO,ID_PRODUCTO,CANTIDAD,PRECIO,VALOR_BRUTO,VALOR_NETO,VALOR_IVA) VALUES(1529,1,97,1,2000,2000,1681,319);</v>
      </c>
    </row>
    <row r="3226" spans="1:12">
      <c r="A3226" s="114">
        <v>1</v>
      </c>
      <c r="B3226" s="114">
        <v>1530</v>
      </c>
      <c r="C3226" s="139" t="s">
        <v>2417</v>
      </c>
      <c r="D3226" s="114" t="s">
        <v>2090</v>
      </c>
      <c r="E3226" s="114">
        <v>411</v>
      </c>
      <c r="F3226" s="114">
        <v>322</v>
      </c>
      <c r="G3226" s="114">
        <v>1</v>
      </c>
      <c r="H3226" s="114">
        <v>9000</v>
      </c>
      <c r="I3226" s="114">
        <v>9000</v>
      </c>
      <c r="J3226" s="114">
        <v>7563</v>
      </c>
      <c r="K3226" s="114">
        <v>1437</v>
      </c>
      <c r="L3226" s="114" t="str">
        <f t="shared" si="50"/>
        <v>INSERT INTO DETALLES_DOCUMENTO(NRO_DOCUMENTO,ID_TIPO,ID_PRODUCTO,CANTIDAD,PRECIO,VALOR_BRUTO,VALOR_NETO,VALOR_IVA) VALUES(1530,1,322,1,9000,9000,7563,1437);</v>
      </c>
    </row>
    <row r="3227" spans="1:12">
      <c r="A3227" s="114">
        <v>1</v>
      </c>
      <c r="B3227" s="114">
        <v>1531</v>
      </c>
      <c r="C3227" s="139" t="s">
        <v>2417</v>
      </c>
      <c r="D3227" s="114" t="s">
        <v>2090</v>
      </c>
      <c r="E3227" s="114">
        <v>446</v>
      </c>
      <c r="F3227" s="114">
        <v>322</v>
      </c>
      <c r="G3227" s="114">
        <v>1</v>
      </c>
      <c r="H3227" s="114">
        <v>9000</v>
      </c>
      <c r="I3227" s="114">
        <v>9000</v>
      </c>
      <c r="J3227" s="114">
        <v>7563</v>
      </c>
      <c r="K3227" s="114">
        <v>1437</v>
      </c>
      <c r="L3227" s="114" t="str">
        <f t="shared" si="50"/>
        <v>INSERT INTO DETALLES_DOCUMENTO(NRO_DOCUMENTO,ID_TIPO,ID_PRODUCTO,CANTIDAD,PRECIO,VALOR_BRUTO,VALOR_NETO,VALOR_IVA) VALUES(1531,1,322,1,9000,9000,7563,1437);</v>
      </c>
    </row>
    <row r="3228" spans="1:12">
      <c r="A3228" s="114">
        <v>1</v>
      </c>
      <c r="B3228" s="114">
        <v>1531</v>
      </c>
      <c r="C3228" s="139" t="s">
        <v>2417</v>
      </c>
      <c r="D3228" s="114" t="s">
        <v>2090</v>
      </c>
      <c r="E3228" s="114">
        <v>446</v>
      </c>
      <c r="F3228" s="114">
        <v>368</v>
      </c>
      <c r="G3228" s="114">
        <v>1</v>
      </c>
      <c r="H3228" s="114">
        <v>3000</v>
      </c>
      <c r="I3228" s="114">
        <v>3000</v>
      </c>
      <c r="J3228" s="114">
        <v>2521</v>
      </c>
      <c r="K3228" s="114">
        <v>479</v>
      </c>
      <c r="L3228" s="114" t="str">
        <f t="shared" si="50"/>
        <v>INSERT INTO DETALLES_DOCUMENTO(NRO_DOCUMENTO,ID_TIPO,ID_PRODUCTO,CANTIDAD,PRECIO,VALOR_BRUTO,VALOR_NETO,VALOR_IVA) VALUES(1531,1,368,1,3000,3000,2521,479);</v>
      </c>
    </row>
    <row r="3229" spans="1:12">
      <c r="A3229" s="114">
        <v>1</v>
      </c>
      <c r="B3229" s="114">
        <v>1532</v>
      </c>
      <c r="C3229" s="139" t="s">
        <v>2417</v>
      </c>
      <c r="D3229" s="114" t="s">
        <v>2090</v>
      </c>
      <c r="E3229" s="114">
        <v>475</v>
      </c>
      <c r="F3229" s="114">
        <v>281</v>
      </c>
      <c r="G3229" s="114">
        <v>1</v>
      </c>
      <c r="H3229" s="114">
        <v>13000</v>
      </c>
      <c r="I3229" s="114">
        <v>13000</v>
      </c>
      <c r="J3229" s="114">
        <v>10924</v>
      </c>
      <c r="K3229" s="114">
        <v>2076</v>
      </c>
      <c r="L3229" s="114" t="str">
        <f t="shared" si="50"/>
        <v>INSERT INTO DETALLES_DOCUMENTO(NRO_DOCUMENTO,ID_TIPO,ID_PRODUCTO,CANTIDAD,PRECIO,VALOR_BRUTO,VALOR_NETO,VALOR_IVA) VALUES(1532,1,281,1,13000,13000,10924,2076);</v>
      </c>
    </row>
    <row r="3230" spans="1:12">
      <c r="A3230" s="114">
        <v>1</v>
      </c>
      <c r="B3230" s="114">
        <v>1533</v>
      </c>
      <c r="C3230" s="139" t="s">
        <v>2418</v>
      </c>
      <c r="D3230" s="114" t="s">
        <v>2090</v>
      </c>
      <c r="E3230" s="114">
        <v>3</v>
      </c>
      <c r="F3230" s="114">
        <v>167</v>
      </c>
      <c r="G3230" s="114">
        <v>1</v>
      </c>
      <c r="H3230" s="114">
        <v>8200</v>
      </c>
      <c r="I3230" s="114">
        <v>8200</v>
      </c>
      <c r="J3230" s="114">
        <v>6891</v>
      </c>
      <c r="K3230" s="114">
        <v>1309</v>
      </c>
      <c r="L3230" s="114" t="str">
        <f t="shared" si="50"/>
        <v>INSERT INTO DETALLES_DOCUMENTO(NRO_DOCUMENTO,ID_TIPO,ID_PRODUCTO,CANTIDAD,PRECIO,VALOR_BRUTO,VALOR_NETO,VALOR_IVA) VALUES(1533,1,167,1,8200,8200,6891,1309);</v>
      </c>
    </row>
    <row r="3231" spans="1:12">
      <c r="A3231" s="114">
        <v>1</v>
      </c>
      <c r="B3231" s="114">
        <v>1533</v>
      </c>
      <c r="C3231" s="139" t="s">
        <v>2418</v>
      </c>
      <c r="D3231" s="114" t="s">
        <v>2090</v>
      </c>
      <c r="E3231" s="114">
        <v>3</v>
      </c>
      <c r="F3231" s="114">
        <v>263</v>
      </c>
      <c r="G3231" s="114">
        <v>1</v>
      </c>
      <c r="H3231" s="114">
        <v>8000</v>
      </c>
      <c r="I3231" s="114">
        <v>8000</v>
      </c>
      <c r="J3231" s="114">
        <v>6723</v>
      </c>
      <c r="K3231" s="114">
        <v>1277</v>
      </c>
      <c r="L3231" s="114" t="str">
        <f t="shared" si="50"/>
        <v>INSERT INTO DETALLES_DOCUMENTO(NRO_DOCUMENTO,ID_TIPO,ID_PRODUCTO,CANTIDAD,PRECIO,VALOR_BRUTO,VALOR_NETO,VALOR_IVA) VALUES(1533,1,263,1,8000,8000,6723,1277);</v>
      </c>
    </row>
    <row r="3232" spans="1:12">
      <c r="A3232" s="114">
        <v>1</v>
      </c>
      <c r="B3232" s="114">
        <v>1534</v>
      </c>
      <c r="C3232" s="139" t="s">
        <v>2418</v>
      </c>
      <c r="D3232" s="114" t="s">
        <v>2090</v>
      </c>
      <c r="E3232" s="114">
        <v>166</v>
      </c>
      <c r="F3232" s="114">
        <v>143</v>
      </c>
      <c r="G3232" s="114">
        <v>2</v>
      </c>
      <c r="H3232" s="114">
        <v>16000</v>
      </c>
      <c r="I3232" s="114">
        <v>32000</v>
      </c>
      <c r="J3232" s="114">
        <v>26891</v>
      </c>
      <c r="K3232" s="114">
        <v>5109</v>
      </c>
      <c r="L3232" s="114" t="str">
        <f t="shared" si="50"/>
        <v>INSERT INTO DETALLES_DOCUMENTO(NRO_DOCUMENTO,ID_TIPO,ID_PRODUCTO,CANTIDAD,PRECIO,VALOR_BRUTO,VALOR_NETO,VALOR_IVA) VALUES(1534,1,143,2,16000,32000,26891,5109);</v>
      </c>
    </row>
    <row r="3233" spans="1:12">
      <c r="A3233" s="114">
        <v>1</v>
      </c>
      <c r="B3233" s="114">
        <v>1534</v>
      </c>
      <c r="C3233" s="139" t="s">
        <v>2418</v>
      </c>
      <c r="D3233" s="114" t="s">
        <v>2090</v>
      </c>
      <c r="E3233" s="114">
        <v>166</v>
      </c>
      <c r="F3233" s="114">
        <v>324</v>
      </c>
      <c r="G3233" s="114">
        <v>1</v>
      </c>
      <c r="H3233" s="114">
        <v>11000</v>
      </c>
      <c r="I3233" s="114">
        <v>11000</v>
      </c>
      <c r="J3233" s="114">
        <v>9244</v>
      </c>
      <c r="K3233" s="114">
        <v>1756</v>
      </c>
      <c r="L3233" s="114" t="str">
        <f t="shared" si="50"/>
        <v>INSERT INTO DETALLES_DOCUMENTO(NRO_DOCUMENTO,ID_TIPO,ID_PRODUCTO,CANTIDAD,PRECIO,VALOR_BRUTO,VALOR_NETO,VALOR_IVA) VALUES(1534,1,324,1,11000,11000,9244,1756);</v>
      </c>
    </row>
    <row r="3234" spans="1:12">
      <c r="A3234" s="114">
        <v>1</v>
      </c>
      <c r="B3234" s="114">
        <v>1535</v>
      </c>
      <c r="C3234" s="139" t="s">
        <v>2418</v>
      </c>
      <c r="D3234" s="114" t="s">
        <v>2090</v>
      </c>
      <c r="E3234" s="114">
        <v>319</v>
      </c>
      <c r="F3234" s="114">
        <v>230</v>
      </c>
      <c r="G3234" s="114">
        <v>1</v>
      </c>
      <c r="H3234" s="114">
        <v>16500</v>
      </c>
      <c r="I3234" s="114">
        <v>16500</v>
      </c>
      <c r="J3234" s="114">
        <v>13866</v>
      </c>
      <c r="K3234" s="114">
        <v>2634</v>
      </c>
      <c r="L3234" s="114" t="str">
        <f t="shared" si="50"/>
        <v>INSERT INTO DETALLES_DOCUMENTO(NRO_DOCUMENTO,ID_TIPO,ID_PRODUCTO,CANTIDAD,PRECIO,VALOR_BRUTO,VALOR_NETO,VALOR_IVA) VALUES(1535,1,230,1,16500,16500,13866,2634);</v>
      </c>
    </row>
    <row r="3235" spans="1:12">
      <c r="A3235" s="114">
        <v>1</v>
      </c>
      <c r="B3235" s="114">
        <v>1535</v>
      </c>
      <c r="C3235" s="139" t="s">
        <v>2418</v>
      </c>
      <c r="D3235" s="114" t="s">
        <v>2090</v>
      </c>
      <c r="E3235" s="114">
        <v>319</v>
      </c>
      <c r="F3235" s="114">
        <v>368</v>
      </c>
      <c r="G3235" s="114">
        <v>2</v>
      </c>
      <c r="H3235" s="114">
        <v>6000</v>
      </c>
      <c r="I3235" s="114">
        <v>12000</v>
      </c>
      <c r="J3235" s="114">
        <v>10084</v>
      </c>
      <c r="K3235" s="114">
        <v>1916</v>
      </c>
      <c r="L3235" s="114" t="str">
        <f t="shared" si="50"/>
        <v>INSERT INTO DETALLES_DOCUMENTO(NRO_DOCUMENTO,ID_TIPO,ID_PRODUCTO,CANTIDAD,PRECIO,VALOR_BRUTO,VALOR_NETO,VALOR_IVA) VALUES(1535,1,368,2,6000,12000,10084,1916);</v>
      </c>
    </row>
    <row r="3236" spans="1:12">
      <c r="A3236" s="114">
        <v>1</v>
      </c>
      <c r="B3236" s="114">
        <v>1535</v>
      </c>
      <c r="C3236" s="139" t="s">
        <v>2418</v>
      </c>
      <c r="D3236" s="114" t="s">
        <v>2090</v>
      </c>
      <c r="E3236" s="114">
        <v>319</v>
      </c>
      <c r="F3236" s="114">
        <v>69</v>
      </c>
      <c r="G3236" s="114">
        <v>1</v>
      </c>
      <c r="H3236" s="114">
        <v>3000</v>
      </c>
      <c r="I3236" s="114">
        <v>3000</v>
      </c>
      <c r="J3236" s="114">
        <v>2521</v>
      </c>
      <c r="K3236" s="114">
        <v>479</v>
      </c>
      <c r="L3236" s="114" t="str">
        <f t="shared" si="50"/>
        <v>INSERT INTO DETALLES_DOCUMENTO(NRO_DOCUMENTO,ID_TIPO,ID_PRODUCTO,CANTIDAD,PRECIO,VALOR_BRUTO,VALOR_NETO,VALOR_IVA) VALUES(1535,1,69,1,3000,3000,2521,479);</v>
      </c>
    </row>
    <row r="3237" spans="1:12">
      <c r="A3237" s="114">
        <v>1</v>
      </c>
      <c r="B3237" s="114">
        <v>1536</v>
      </c>
      <c r="C3237" s="139" t="s">
        <v>2418</v>
      </c>
      <c r="D3237" s="114" t="s">
        <v>2090</v>
      </c>
      <c r="E3237" s="114">
        <v>386</v>
      </c>
      <c r="F3237" s="114">
        <v>369</v>
      </c>
      <c r="G3237" s="114">
        <v>1</v>
      </c>
      <c r="H3237" s="114">
        <v>10500</v>
      </c>
      <c r="I3237" s="114">
        <v>10500</v>
      </c>
      <c r="J3237" s="114">
        <v>8824</v>
      </c>
      <c r="K3237" s="114">
        <v>1676</v>
      </c>
      <c r="L3237" s="114" t="str">
        <f t="shared" si="50"/>
        <v>INSERT INTO DETALLES_DOCUMENTO(NRO_DOCUMENTO,ID_TIPO,ID_PRODUCTO,CANTIDAD,PRECIO,VALOR_BRUTO,VALOR_NETO,VALOR_IVA) VALUES(1536,1,369,1,10500,10500,8824,1676);</v>
      </c>
    </row>
    <row r="3238" spans="1:12">
      <c r="A3238" s="114">
        <v>1</v>
      </c>
      <c r="B3238" s="114">
        <v>1536</v>
      </c>
      <c r="C3238" s="139" t="s">
        <v>2418</v>
      </c>
      <c r="D3238" s="114" t="s">
        <v>2090</v>
      </c>
      <c r="E3238" s="114">
        <v>386</v>
      </c>
      <c r="F3238" s="114">
        <v>118</v>
      </c>
      <c r="G3238" s="114">
        <v>1</v>
      </c>
      <c r="H3238" s="114">
        <v>3500</v>
      </c>
      <c r="I3238" s="114">
        <v>3500</v>
      </c>
      <c r="J3238" s="114">
        <v>2941</v>
      </c>
      <c r="K3238" s="114">
        <v>559</v>
      </c>
      <c r="L3238" s="114" t="str">
        <f t="shared" si="50"/>
        <v>INSERT INTO DETALLES_DOCUMENTO(NRO_DOCUMENTO,ID_TIPO,ID_PRODUCTO,CANTIDAD,PRECIO,VALOR_BRUTO,VALOR_NETO,VALOR_IVA) VALUES(1536,1,118,1,3500,3500,2941,559);</v>
      </c>
    </row>
    <row r="3239" spans="1:12">
      <c r="A3239" s="114">
        <v>1</v>
      </c>
      <c r="B3239" s="114">
        <v>1537</v>
      </c>
      <c r="C3239" s="139" t="s">
        <v>2418</v>
      </c>
      <c r="D3239" s="114" t="s">
        <v>2090</v>
      </c>
      <c r="E3239" s="114">
        <v>407</v>
      </c>
      <c r="F3239" s="114">
        <v>277</v>
      </c>
      <c r="G3239" s="114">
        <v>1</v>
      </c>
      <c r="H3239" s="114">
        <v>10000</v>
      </c>
      <c r="I3239" s="114">
        <v>10000</v>
      </c>
      <c r="J3239" s="114">
        <v>8403</v>
      </c>
      <c r="K3239" s="114">
        <v>1597</v>
      </c>
      <c r="L3239" s="114" t="str">
        <f t="shared" si="50"/>
        <v>INSERT INTO DETALLES_DOCUMENTO(NRO_DOCUMENTO,ID_TIPO,ID_PRODUCTO,CANTIDAD,PRECIO,VALOR_BRUTO,VALOR_NETO,VALOR_IVA) VALUES(1537,1,277,1,10000,10000,8403,1597);</v>
      </c>
    </row>
    <row r="3240" spans="1:12">
      <c r="A3240" s="114">
        <v>1</v>
      </c>
      <c r="B3240" s="114">
        <v>1537</v>
      </c>
      <c r="C3240" s="139" t="s">
        <v>2418</v>
      </c>
      <c r="D3240" s="114" t="s">
        <v>2090</v>
      </c>
      <c r="E3240" s="114">
        <v>407</v>
      </c>
      <c r="F3240" s="114">
        <v>143</v>
      </c>
      <c r="G3240" s="114">
        <v>1</v>
      </c>
      <c r="H3240" s="114">
        <v>8000</v>
      </c>
      <c r="I3240" s="114">
        <v>8000</v>
      </c>
      <c r="J3240" s="114">
        <v>6723</v>
      </c>
      <c r="K3240" s="114">
        <v>1277</v>
      </c>
      <c r="L3240" s="114" t="str">
        <f t="shared" si="50"/>
        <v>INSERT INTO DETALLES_DOCUMENTO(NRO_DOCUMENTO,ID_TIPO,ID_PRODUCTO,CANTIDAD,PRECIO,VALOR_BRUTO,VALOR_NETO,VALOR_IVA) VALUES(1537,1,143,1,8000,8000,6723,1277);</v>
      </c>
    </row>
    <row r="3241" spans="1:12">
      <c r="A3241" s="114">
        <v>1</v>
      </c>
      <c r="B3241" s="114">
        <v>1537</v>
      </c>
      <c r="C3241" s="139" t="s">
        <v>2418</v>
      </c>
      <c r="D3241" s="114" t="s">
        <v>2090</v>
      </c>
      <c r="E3241" s="114">
        <v>407</v>
      </c>
      <c r="F3241" s="114">
        <v>97</v>
      </c>
      <c r="G3241" s="114">
        <v>1</v>
      </c>
      <c r="H3241" s="114">
        <v>2000</v>
      </c>
      <c r="I3241" s="114">
        <v>2000</v>
      </c>
      <c r="J3241" s="114">
        <v>1681</v>
      </c>
      <c r="K3241" s="114">
        <v>319</v>
      </c>
      <c r="L3241" s="114" t="str">
        <f t="shared" si="50"/>
        <v>INSERT INTO DETALLES_DOCUMENTO(NRO_DOCUMENTO,ID_TIPO,ID_PRODUCTO,CANTIDAD,PRECIO,VALOR_BRUTO,VALOR_NETO,VALOR_IVA) VALUES(1537,1,97,1,2000,2000,1681,319);</v>
      </c>
    </row>
    <row r="3242" spans="1:12">
      <c r="A3242" s="114">
        <v>1</v>
      </c>
      <c r="B3242" s="114">
        <v>1537</v>
      </c>
      <c r="C3242" s="139" t="s">
        <v>2418</v>
      </c>
      <c r="D3242" s="114" t="s">
        <v>2090</v>
      </c>
      <c r="E3242" s="114">
        <v>407</v>
      </c>
      <c r="F3242" s="114">
        <v>118</v>
      </c>
      <c r="G3242" s="114">
        <v>1</v>
      </c>
      <c r="H3242" s="114">
        <v>3500</v>
      </c>
      <c r="I3242" s="114">
        <v>3500</v>
      </c>
      <c r="J3242" s="114">
        <v>2941</v>
      </c>
      <c r="K3242" s="114">
        <v>559</v>
      </c>
      <c r="L3242" s="114" t="str">
        <f t="shared" si="50"/>
        <v>INSERT INTO DETALLES_DOCUMENTO(NRO_DOCUMENTO,ID_TIPO,ID_PRODUCTO,CANTIDAD,PRECIO,VALOR_BRUTO,VALOR_NETO,VALOR_IVA) VALUES(1537,1,118,1,3500,3500,2941,559);</v>
      </c>
    </row>
    <row r="3243" spans="1:12">
      <c r="A3243" s="114">
        <v>1</v>
      </c>
      <c r="B3243" s="114">
        <v>1538</v>
      </c>
      <c r="C3243" s="139" t="s">
        <v>2418</v>
      </c>
      <c r="D3243" s="114" t="s">
        <v>2090</v>
      </c>
      <c r="E3243" s="114">
        <v>416</v>
      </c>
      <c r="F3243" s="114">
        <v>329</v>
      </c>
      <c r="G3243" s="114">
        <v>1</v>
      </c>
      <c r="H3243" s="114">
        <v>6000</v>
      </c>
      <c r="I3243" s="114">
        <v>6000</v>
      </c>
      <c r="J3243" s="114">
        <v>5042</v>
      </c>
      <c r="K3243" s="114">
        <v>958</v>
      </c>
      <c r="L3243" s="114" t="str">
        <f t="shared" si="50"/>
        <v>INSERT INTO DETALLES_DOCUMENTO(NRO_DOCUMENTO,ID_TIPO,ID_PRODUCTO,CANTIDAD,PRECIO,VALOR_BRUTO,VALOR_NETO,VALOR_IVA) VALUES(1538,1,329,1,6000,6000,5042,958);</v>
      </c>
    </row>
    <row r="3244" spans="1:12">
      <c r="A3244" s="114">
        <v>1</v>
      </c>
      <c r="B3244" s="114">
        <v>1538</v>
      </c>
      <c r="C3244" s="139" t="s">
        <v>2418</v>
      </c>
      <c r="D3244" s="114" t="s">
        <v>2090</v>
      </c>
      <c r="E3244" s="114">
        <v>416</v>
      </c>
      <c r="F3244" s="114">
        <v>29</v>
      </c>
      <c r="G3244" s="114">
        <v>1</v>
      </c>
      <c r="H3244" s="114">
        <v>1000</v>
      </c>
      <c r="I3244" s="114">
        <v>1000</v>
      </c>
      <c r="J3244" s="114">
        <v>840</v>
      </c>
      <c r="K3244" s="114">
        <v>160</v>
      </c>
      <c r="L3244" s="114" t="str">
        <f t="shared" si="50"/>
        <v>INSERT INTO DETALLES_DOCUMENTO(NRO_DOCUMENTO,ID_TIPO,ID_PRODUCTO,CANTIDAD,PRECIO,VALOR_BRUTO,VALOR_NETO,VALOR_IVA) VALUES(1538,1,29,1,1000,1000,840,160);</v>
      </c>
    </row>
    <row r="3245" spans="1:12">
      <c r="A3245" s="114">
        <v>1</v>
      </c>
      <c r="B3245" s="114">
        <v>1538</v>
      </c>
      <c r="C3245" s="139" t="s">
        <v>2418</v>
      </c>
      <c r="D3245" s="114" t="s">
        <v>2090</v>
      </c>
      <c r="E3245" s="114">
        <v>416</v>
      </c>
      <c r="F3245" s="114">
        <v>286</v>
      </c>
      <c r="G3245" s="114">
        <v>1</v>
      </c>
      <c r="H3245" s="114">
        <v>1100</v>
      </c>
      <c r="I3245" s="114">
        <v>1100</v>
      </c>
      <c r="J3245" s="114">
        <v>924</v>
      </c>
      <c r="K3245" s="114">
        <v>176</v>
      </c>
      <c r="L3245" s="114" t="str">
        <f t="shared" si="50"/>
        <v>INSERT INTO DETALLES_DOCUMENTO(NRO_DOCUMENTO,ID_TIPO,ID_PRODUCTO,CANTIDAD,PRECIO,VALOR_BRUTO,VALOR_NETO,VALOR_IVA) VALUES(1538,1,286,1,1100,1100,924,176);</v>
      </c>
    </row>
    <row r="3246" spans="1:12">
      <c r="A3246" s="114">
        <v>1</v>
      </c>
      <c r="B3246" s="114">
        <v>1539</v>
      </c>
      <c r="C3246" s="139" t="s">
        <v>2418</v>
      </c>
      <c r="D3246" s="114" t="s">
        <v>2090</v>
      </c>
      <c r="E3246" s="114">
        <v>476</v>
      </c>
      <c r="F3246" s="114">
        <v>143</v>
      </c>
      <c r="G3246" s="114">
        <v>1</v>
      </c>
      <c r="H3246" s="114">
        <v>8000</v>
      </c>
      <c r="I3246" s="114">
        <v>8000</v>
      </c>
      <c r="J3246" s="114">
        <v>6723</v>
      </c>
      <c r="K3246" s="114">
        <v>1277</v>
      </c>
      <c r="L3246" s="114" t="str">
        <f t="shared" si="50"/>
        <v>INSERT INTO DETALLES_DOCUMENTO(NRO_DOCUMENTO,ID_TIPO,ID_PRODUCTO,CANTIDAD,PRECIO,VALOR_BRUTO,VALOR_NETO,VALOR_IVA) VALUES(1539,1,143,1,8000,8000,6723,1277);</v>
      </c>
    </row>
    <row r="3247" spans="1:12">
      <c r="A3247" s="114">
        <v>1</v>
      </c>
      <c r="B3247" s="114">
        <v>1540</v>
      </c>
      <c r="C3247" s="139" t="s">
        <v>2419</v>
      </c>
      <c r="D3247" s="114" t="s">
        <v>2090</v>
      </c>
      <c r="E3247" s="114">
        <v>8</v>
      </c>
      <c r="F3247" s="114">
        <v>167</v>
      </c>
      <c r="G3247" s="114">
        <v>2</v>
      </c>
      <c r="H3247" s="114">
        <v>16400</v>
      </c>
      <c r="I3247" s="114">
        <v>32800</v>
      </c>
      <c r="J3247" s="114">
        <v>27563</v>
      </c>
      <c r="K3247" s="114">
        <v>5237</v>
      </c>
      <c r="L3247" s="114" t="str">
        <f t="shared" si="50"/>
        <v>INSERT INTO DETALLES_DOCUMENTO(NRO_DOCUMENTO,ID_TIPO,ID_PRODUCTO,CANTIDAD,PRECIO,VALOR_BRUTO,VALOR_NETO,VALOR_IVA) VALUES(1540,1,167,2,16400,32800,27563,5237);</v>
      </c>
    </row>
    <row r="3248" spans="1:12">
      <c r="A3248" s="114">
        <v>1</v>
      </c>
      <c r="B3248" s="114">
        <v>1541</v>
      </c>
      <c r="C3248" s="139" t="s">
        <v>2419</v>
      </c>
      <c r="D3248" s="114" t="s">
        <v>2090</v>
      </c>
      <c r="E3248" s="114">
        <v>21</v>
      </c>
      <c r="F3248" s="114">
        <v>143</v>
      </c>
      <c r="G3248" s="114">
        <v>3</v>
      </c>
      <c r="H3248" s="114">
        <v>24001</v>
      </c>
      <c r="I3248" s="114">
        <v>72003</v>
      </c>
      <c r="J3248" s="114">
        <v>60507</v>
      </c>
      <c r="K3248" s="114">
        <v>11496</v>
      </c>
      <c r="L3248" s="114" t="str">
        <f t="shared" si="50"/>
        <v>INSERT INTO DETALLES_DOCUMENTO(NRO_DOCUMENTO,ID_TIPO,ID_PRODUCTO,CANTIDAD,PRECIO,VALOR_BRUTO,VALOR_NETO,VALOR_IVA) VALUES(1541,1,143,3,24001,72003,60507,11496);</v>
      </c>
    </row>
    <row r="3249" spans="1:12">
      <c r="A3249" s="114">
        <v>1</v>
      </c>
      <c r="B3249" s="114">
        <v>1542</v>
      </c>
      <c r="C3249" s="139" t="s">
        <v>2419</v>
      </c>
      <c r="D3249" s="114" t="s">
        <v>2090</v>
      </c>
      <c r="E3249" s="114">
        <v>48</v>
      </c>
      <c r="F3249" s="114">
        <v>230</v>
      </c>
      <c r="G3249" s="114">
        <v>1</v>
      </c>
      <c r="H3249" s="114">
        <v>16500</v>
      </c>
      <c r="I3249" s="114">
        <v>16500</v>
      </c>
      <c r="J3249" s="114">
        <v>13866</v>
      </c>
      <c r="K3249" s="114">
        <v>2634</v>
      </c>
      <c r="L3249" s="114" t="str">
        <f t="shared" si="50"/>
        <v>INSERT INTO DETALLES_DOCUMENTO(NRO_DOCUMENTO,ID_TIPO,ID_PRODUCTO,CANTIDAD,PRECIO,VALOR_BRUTO,VALOR_NETO,VALOR_IVA) VALUES(1542,1,230,1,16500,16500,13866,2634);</v>
      </c>
    </row>
    <row r="3250" spans="1:12">
      <c r="A3250" s="114">
        <v>1</v>
      </c>
      <c r="B3250" s="114">
        <v>1542</v>
      </c>
      <c r="C3250" s="139" t="s">
        <v>2419</v>
      </c>
      <c r="D3250" s="114" t="s">
        <v>2090</v>
      </c>
      <c r="E3250" s="114">
        <v>48</v>
      </c>
      <c r="F3250" s="114">
        <v>324</v>
      </c>
      <c r="G3250" s="114">
        <v>1</v>
      </c>
      <c r="H3250" s="114">
        <v>11000</v>
      </c>
      <c r="I3250" s="114">
        <v>11000</v>
      </c>
      <c r="J3250" s="114">
        <v>9244</v>
      </c>
      <c r="K3250" s="114">
        <v>1756</v>
      </c>
      <c r="L3250" s="114" t="str">
        <f t="shared" si="50"/>
        <v>INSERT INTO DETALLES_DOCUMENTO(NRO_DOCUMENTO,ID_TIPO,ID_PRODUCTO,CANTIDAD,PRECIO,VALOR_BRUTO,VALOR_NETO,VALOR_IVA) VALUES(1542,1,324,1,11000,11000,9244,1756);</v>
      </c>
    </row>
    <row r="3251" spans="1:12">
      <c r="A3251" s="114">
        <v>1</v>
      </c>
      <c r="B3251" s="114">
        <v>1542</v>
      </c>
      <c r="C3251" s="139" t="s">
        <v>2419</v>
      </c>
      <c r="D3251" s="114" t="s">
        <v>2090</v>
      </c>
      <c r="E3251" s="114">
        <v>48</v>
      </c>
      <c r="F3251" s="114">
        <v>319</v>
      </c>
      <c r="G3251" s="114">
        <v>1</v>
      </c>
      <c r="H3251" s="114">
        <v>3000</v>
      </c>
      <c r="I3251" s="114">
        <v>3000</v>
      </c>
      <c r="J3251" s="114">
        <v>2521</v>
      </c>
      <c r="K3251" s="114">
        <v>479</v>
      </c>
      <c r="L3251" s="114" t="str">
        <f t="shared" si="50"/>
        <v>INSERT INTO DETALLES_DOCUMENTO(NRO_DOCUMENTO,ID_TIPO,ID_PRODUCTO,CANTIDAD,PRECIO,VALOR_BRUTO,VALOR_NETO,VALOR_IVA) VALUES(1542,1,319,1,3000,3000,2521,479);</v>
      </c>
    </row>
    <row r="3252" spans="1:12">
      <c r="A3252" s="114">
        <v>1</v>
      </c>
      <c r="B3252" s="114">
        <v>1542</v>
      </c>
      <c r="C3252" s="139" t="s">
        <v>2419</v>
      </c>
      <c r="D3252" s="114" t="s">
        <v>2090</v>
      </c>
      <c r="E3252" s="114">
        <v>48</v>
      </c>
      <c r="F3252" s="114">
        <v>332</v>
      </c>
      <c r="G3252" s="114">
        <v>1</v>
      </c>
      <c r="H3252" s="114">
        <v>2600</v>
      </c>
      <c r="I3252" s="114">
        <v>2600</v>
      </c>
      <c r="J3252" s="114">
        <v>2185</v>
      </c>
      <c r="K3252" s="114">
        <v>415</v>
      </c>
      <c r="L3252" s="114" t="str">
        <f t="shared" si="50"/>
        <v>INSERT INTO DETALLES_DOCUMENTO(NRO_DOCUMENTO,ID_TIPO,ID_PRODUCTO,CANTIDAD,PRECIO,VALOR_BRUTO,VALOR_NETO,VALOR_IVA) VALUES(1542,1,332,1,2600,2600,2185,415);</v>
      </c>
    </row>
    <row r="3253" spans="1:12">
      <c r="A3253" s="114">
        <v>1</v>
      </c>
      <c r="B3253" s="114">
        <v>1542</v>
      </c>
      <c r="C3253" s="139" t="s">
        <v>2419</v>
      </c>
      <c r="D3253" s="114" t="s">
        <v>2090</v>
      </c>
      <c r="E3253" s="114">
        <v>48</v>
      </c>
      <c r="F3253" s="114">
        <v>68</v>
      </c>
      <c r="G3253" s="114">
        <v>1</v>
      </c>
      <c r="H3253" s="114">
        <v>1200</v>
      </c>
      <c r="I3253" s="114">
        <v>1200</v>
      </c>
      <c r="J3253" s="114">
        <v>1008</v>
      </c>
      <c r="K3253" s="114">
        <v>192</v>
      </c>
      <c r="L3253" s="114" t="str">
        <f t="shared" si="50"/>
        <v>INSERT INTO DETALLES_DOCUMENTO(NRO_DOCUMENTO,ID_TIPO,ID_PRODUCTO,CANTIDAD,PRECIO,VALOR_BRUTO,VALOR_NETO,VALOR_IVA) VALUES(1542,1,68,1,1200,1200,1008,192);</v>
      </c>
    </row>
    <row r="3254" spans="1:12">
      <c r="A3254" s="114">
        <v>1</v>
      </c>
      <c r="B3254" s="114">
        <v>1542</v>
      </c>
      <c r="C3254" s="139" t="s">
        <v>2419</v>
      </c>
      <c r="D3254" s="114" t="s">
        <v>2090</v>
      </c>
      <c r="E3254" s="114">
        <v>48</v>
      </c>
      <c r="F3254" s="114">
        <v>67</v>
      </c>
      <c r="G3254" s="114">
        <v>1</v>
      </c>
      <c r="H3254" s="114">
        <v>650</v>
      </c>
      <c r="I3254" s="114">
        <v>650</v>
      </c>
      <c r="J3254" s="114">
        <v>546</v>
      </c>
      <c r="K3254" s="114">
        <v>104</v>
      </c>
      <c r="L3254" s="114" t="str">
        <f t="shared" si="50"/>
        <v>INSERT INTO DETALLES_DOCUMENTO(NRO_DOCUMENTO,ID_TIPO,ID_PRODUCTO,CANTIDAD,PRECIO,VALOR_BRUTO,VALOR_NETO,VALOR_IVA) VALUES(1542,1,67,1,650,650,546,104);</v>
      </c>
    </row>
    <row r="3255" spans="1:12">
      <c r="A3255" s="114">
        <v>1</v>
      </c>
      <c r="B3255" s="114">
        <v>1542</v>
      </c>
      <c r="C3255" s="139" t="s">
        <v>2419</v>
      </c>
      <c r="D3255" s="114" t="s">
        <v>2090</v>
      </c>
      <c r="E3255" s="114">
        <v>48</v>
      </c>
      <c r="F3255" s="114">
        <v>165</v>
      </c>
      <c r="G3255" s="114">
        <v>1</v>
      </c>
      <c r="H3255" s="114">
        <v>2000</v>
      </c>
      <c r="I3255" s="114">
        <v>2000</v>
      </c>
      <c r="J3255" s="114">
        <v>1681</v>
      </c>
      <c r="K3255" s="114">
        <v>319</v>
      </c>
      <c r="L3255" s="114" t="str">
        <f t="shared" si="50"/>
        <v>INSERT INTO DETALLES_DOCUMENTO(NRO_DOCUMENTO,ID_TIPO,ID_PRODUCTO,CANTIDAD,PRECIO,VALOR_BRUTO,VALOR_NETO,VALOR_IVA) VALUES(1542,1,165,1,2000,2000,1681,319);</v>
      </c>
    </row>
    <row r="3256" spans="1:12">
      <c r="A3256" s="114">
        <v>1</v>
      </c>
      <c r="B3256" s="114">
        <v>1542</v>
      </c>
      <c r="C3256" s="139" t="s">
        <v>2419</v>
      </c>
      <c r="D3256" s="114" t="s">
        <v>2090</v>
      </c>
      <c r="E3256" s="114">
        <v>48</v>
      </c>
      <c r="F3256" s="114">
        <v>116</v>
      </c>
      <c r="G3256" s="114">
        <v>1</v>
      </c>
      <c r="H3256" s="114">
        <v>1600</v>
      </c>
      <c r="I3256" s="114">
        <v>1600</v>
      </c>
      <c r="J3256" s="114">
        <v>1345</v>
      </c>
      <c r="K3256" s="114">
        <v>255</v>
      </c>
      <c r="L3256" s="114" t="str">
        <f t="shared" si="50"/>
        <v>INSERT INTO DETALLES_DOCUMENTO(NRO_DOCUMENTO,ID_TIPO,ID_PRODUCTO,CANTIDAD,PRECIO,VALOR_BRUTO,VALOR_NETO,VALOR_IVA) VALUES(1542,1,116,1,1600,1600,1345,255);</v>
      </c>
    </row>
    <row r="3257" spans="1:12">
      <c r="A3257" s="114">
        <v>1</v>
      </c>
      <c r="B3257" s="114">
        <v>1542</v>
      </c>
      <c r="C3257" s="139" t="s">
        <v>2419</v>
      </c>
      <c r="D3257" s="114" t="s">
        <v>2090</v>
      </c>
      <c r="E3257" s="114">
        <v>48</v>
      </c>
      <c r="F3257" s="114">
        <v>115</v>
      </c>
      <c r="G3257" s="114">
        <v>2</v>
      </c>
      <c r="H3257" s="114">
        <v>3200</v>
      </c>
      <c r="I3257" s="114">
        <v>6400</v>
      </c>
      <c r="J3257" s="114">
        <v>5378</v>
      </c>
      <c r="K3257" s="114">
        <v>1022</v>
      </c>
      <c r="L3257" s="114" t="str">
        <f t="shared" si="50"/>
        <v>INSERT INTO DETALLES_DOCUMENTO(NRO_DOCUMENTO,ID_TIPO,ID_PRODUCTO,CANTIDAD,PRECIO,VALOR_BRUTO,VALOR_NETO,VALOR_IVA) VALUES(1542,1,115,2,3200,6400,5378,1022);</v>
      </c>
    </row>
    <row r="3258" spans="1:12">
      <c r="A3258" s="114">
        <v>1</v>
      </c>
      <c r="B3258" s="114">
        <v>1542</v>
      </c>
      <c r="C3258" s="139" t="s">
        <v>2419</v>
      </c>
      <c r="D3258" s="114" t="s">
        <v>2090</v>
      </c>
      <c r="E3258" s="114">
        <v>48</v>
      </c>
      <c r="F3258" s="114">
        <v>368</v>
      </c>
      <c r="G3258" s="114">
        <v>1</v>
      </c>
      <c r="H3258" s="114">
        <v>3000</v>
      </c>
      <c r="I3258" s="114">
        <v>3000</v>
      </c>
      <c r="J3258" s="114">
        <v>2521</v>
      </c>
      <c r="K3258" s="114">
        <v>479</v>
      </c>
      <c r="L3258" s="114" t="str">
        <f t="shared" si="50"/>
        <v>INSERT INTO DETALLES_DOCUMENTO(NRO_DOCUMENTO,ID_TIPO,ID_PRODUCTO,CANTIDAD,PRECIO,VALOR_BRUTO,VALOR_NETO,VALOR_IVA) VALUES(1542,1,368,1,3000,3000,2521,479);</v>
      </c>
    </row>
    <row r="3259" spans="1:12">
      <c r="A3259" s="114">
        <v>1</v>
      </c>
      <c r="B3259" s="114">
        <v>1542</v>
      </c>
      <c r="C3259" s="139" t="s">
        <v>2419</v>
      </c>
      <c r="D3259" s="114" t="s">
        <v>2090</v>
      </c>
      <c r="E3259" s="114">
        <v>48</v>
      </c>
      <c r="F3259" s="114">
        <v>384</v>
      </c>
      <c r="G3259" s="114">
        <v>2</v>
      </c>
      <c r="H3259" s="114">
        <v>5500</v>
      </c>
      <c r="I3259" s="114">
        <v>11000</v>
      </c>
      <c r="J3259" s="114">
        <v>9244</v>
      </c>
      <c r="K3259" s="114">
        <v>1756</v>
      </c>
      <c r="L3259" s="114" t="str">
        <f t="shared" si="50"/>
        <v>INSERT INTO DETALLES_DOCUMENTO(NRO_DOCUMENTO,ID_TIPO,ID_PRODUCTO,CANTIDAD,PRECIO,VALOR_BRUTO,VALOR_NETO,VALOR_IVA) VALUES(1542,1,384,2,5500,11000,9244,1756);</v>
      </c>
    </row>
    <row r="3260" spans="1:12">
      <c r="A3260" s="114">
        <v>1</v>
      </c>
      <c r="B3260" s="114">
        <v>1542</v>
      </c>
      <c r="C3260" s="139" t="s">
        <v>2419</v>
      </c>
      <c r="D3260" s="114" t="s">
        <v>2090</v>
      </c>
      <c r="E3260" s="114">
        <v>48</v>
      </c>
      <c r="F3260" s="114">
        <v>143</v>
      </c>
      <c r="G3260" s="114">
        <v>1</v>
      </c>
      <c r="H3260" s="114">
        <v>8000</v>
      </c>
      <c r="I3260" s="114">
        <v>8000</v>
      </c>
      <c r="J3260" s="114">
        <v>6723</v>
      </c>
      <c r="K3260" s="114">
        <v>1277</v>
      </c>
      <c r="L3260" s="114" t="str">
        <f t="shared" si="50"/>
        <v>INSERT INTO DETALLES_DOCUMENTO(NRO_DOCUMENTO,ID_TIPO,ID_PRODUCTO,CANTIDAD,PRECIO,VALOR_BRUTO,VALOR_NETO,VALOR_IVA) VALUES(1542,1,143,1,8000,8000,6723,1277);</v>
      </c>
    </row>
    <row r="3261" spans="1:12">
      <c r="A3261" s="114">
        <v>1</v>
      </c>
      <c r="B3261" s="114">
        <v>1543</v>
      </c>
      <c r="C3261" s="139" t="s">
        <v>2419</v>
      </c>
      <c r="D3261" s="114" t="s">
        <v>2090</v>
      </c>
      <c r="E3261" s="114">
        <v>323</v>
      </c>
      <c r="F3261" s="114">
        <v>324</v>
      </c>
      <c r="G3261" s="114">
        <v>1</v>
      </c>
      <c r="H3261" s="114">
        <v>11000</v>
      </c>
      <c r="I3261" s="114">
        <v>11000</v>
      </c>
      <c r="J3261" s="114">
        <v>9244</v>
      </c>
      <c r="K3261" s="114">
        <v>1756</v>
      </c>
      <c r="L3261" s="114" t="str">
        <f t="shared" si="50"/>
        <v>INSERT INTO DETALLES_DOCUMENTO(NRO_DOCUMENTO,ID_TIPO,ID_PRODUCTO,CANTIDAD,PRECIO,VALOR_BRUTO,VALOR_NETO,VALOR_IVA) VALUES(1543,1,324,1,11000,11000,9244,1756);</v>
      </c>
    </row>
    <row r="3262" spans="1:12">
      <c r="A3262" s="114">
        <v>1</v>
      </c>
      <c r="B3262" s="114">
        <v>1543</v>
      </c>
      <c r="C3262" s="139" t="s">
        <v>2419</v>
      </c>
      <c r="D3262" s="114" t="s">
        <v>2090</v>
      </c>
      <c r="E3262" s="114">
        <v>323</v>
      </c>
      <c r="F3262" s="114">
        <v>254</v>
      </c>
      <c r="G3262" s="114">
        <v>2</v>
      </c>
      <c r="H3262" s="114">
        <v>4000</v>
      </c>
      <c r="I3262" s="114">
        <v>8000</v>
      </c>
      <c r="J3262" s="114">
        <v>6723</v>
      </c>
      <c r="K3262" s="114">
        <v>1277</v>
      </c>
      <c r="L3262" s="114" t="str">
        <f t="shared" si="50"/>
        <v>INSERT INTO DETALLES_DOCUMENTO(NRO_DOCUMENTO,ID_TIPO,ID_PRODUCTO,CANTIDAD,PRECIO,VALOR_BRUTO,VALOR_NETO,VALOR_IVA) VALUES(1543,1,254,2,4000,8000,6723,1277);</v>
      </c>
    </row>
    <row r="3263" spans="1:12">
      <c r="A3263" s="114">
        <v>1</v>
      </c>
      <c r="B3263" s="114">
        <v>1543</v>
      </c>
      <c r="C3263" s="139" t="s">
        <v>2419</v>
      </c>
      <c r="D3263" s="114" t="s">
        <v>2090</v>
      </c>
      <c r="E3263" s="114">
        <v>323</v>
      </c>
      <c r="F3263" s="114">
        <v>29</v>
      </c>
      <c r="G3263" s="114">
        <v>2</v>
      </c>
      <c r="H3263" s="114">
        <v>2000</v>
      </c>
      <c r="I3263" s="114">
        <v>4000</v>
      </c>
      <c r="J3263" s="114">
        <v>3361</v>
      </c>
      <c r="K3263" s="114">
        <v>639</v>
      </c>
      <c r="L3263" s="114" t="str">
        <f t="shared" si="50"/>
        <v>INSERT INTO DETALLES_DOCUMENTO(NRO_DOCUMENTO,ID_TIPO,ID_PRODUCTO,CANTIDAD,PRECIO,VALOR_BRUTO,VALOR_NETO,VALOR_IVA) VALUES(1543,1,29,2,2000,4000,3361,639);</v>
      </c>
    </row>
    <row r="3264" spans="1:12">
      <c r="A3264" s="114">
        <v>1</v>
      </c>
      <c r="B3264" s="114">
        <v>1543</v>
      </c>
      <c r="C3264" s="139" t="s">
        <v>2419</v>
      </c>
      <c r="D3264" s="114" t="s">
        <v>2090</v>
      </c>
      <c r="E3264" s="114">
        <v>323</v>
      </c>
      <c r="F3264" s="114">
        <v>231</v>
      </c>
      <c r="G3264" s="114">
        <v>1</v>
      </c>
      <c r="H3264" s="114">
        <v>20900</v>
      </c>
      <c r="I3264" s="114">
        <v>20900</v>
      </c>
      <c r="J3264" s="114">
        <v>17563</v>
      </c>
      <c r="K3264" s="114">
        <v>3337</v>
      </c>
      <c r="L3264" s="114" t="str">
        <f t="shared" si="50"/>
        <v>INSERT INTO DETALLES_DOCUMENTO(NRO_DOCUMENTO,ID_TIPO,ID_PRODUCTO,CANTIDAD,PRECIO,VALOR_BRUTO,VALOR_NETO,VALOR_IVA) VALUES(1543,1,231,1,20900,20900,17563,3337);</v>
      </c>
    </row>
    <row r="3265" spans="1:12">
      <c r="A3265" s="114">
        <v>1</v>
      </c>
      <c r="B3265" s="114">
        <v>1543</v>
      </c>
      <c r="C3265" s="139" t="s">
        <v>2419</v>
      </c>
      <c r="D3265" s="114" t="s">
        <v>2090</v>
      </c>
      <c r="E3265" s="114">
        <v>323</v>
      </c>
      <c r="F3265" s="114">
        <v>15</v>
      </c>
      <c r="G3265" s="114">
        <v>1</v>
      </c>
      <c r="H3265" s="114">
        <v>1500</v>
      </c>
      <c r="I3265" s="114">
        <v>1500</v>
      </c>
      <c r="J3265" s="114">
        <v>1261</v>
      </c>
      <c r="K3265" s="114">
        <v>239</v>
      </c>
      <c r="L3265" s="114" t="str">
        <f t="shared" si="50"/>
        <v>INSERT INTO DETALLES_DOCUMENTO(NRO_DOCUMENTO,ID_TIPO,ID_PRODUCTO,CANTIDAD,PRECIO,VALOR_BRUTO,VALOR_NETO,VALOR_IVA) VALUES(1543,1,15,1,1500,1500,1261,239);</v>
      </c>
    </row>
    <row r="3266" spans="1:12">
      <c r="A3266" s="114">
        <v>1</v>
      </c>
      <c r="B3266" s="114">
        <v>1543</v>
      </c>
      <c r="C3266" s="139" t="s">
        <v>2419</v>
      </c>
      <c r="D3266" s="114" t="s">
        <v>2090</v>
      </c>
      <c r="E3266" s="114">
        <v>323</v>
      </c>
      <c r="F3266" s="114">
        <v>51</v>
      </c>
      <c r="G3266" s="114">
        <v>1</v>
      </c>
      <c r="H3266" s="114">
        <v>4200</v>
      </c>
      <c r="I3266" s="114">
        <v>4200</v>
      </c>
      <c r="J3266" s="114">
        <v>3529</v>
      </c>
      <c r="K3266" s="114">
        <v>671</v>
      </c>
      <c r="L3266" s="114" t="str">
        <f t="shared" si="50"/>
        <v>INSERT INTO DETALLES_DOCUMENTO(NRO_DOCUMENTO,ID_TIPO,ID_PRODUCTO,CANTIDAD,PRECIO,VALOR_BRUTO,VALOR_NETO,VALOR_IVA) VALUES(1543,1,51,1,4200,4200,3529,671);</v>
      </c>
    </row>
    <row r="3267" spans="1:12">
      <c r="A3267" s="114">
        <v>1</v>
      </c>
      <c r="B3267" s="114">
        <v>1543</v>
      </c>
      <c r="C3267" s="139" t="s">
        <v>2419</v>
      </c>
      <c r="D3267" s="114" t="s">
        <v>2090</v>
      </c>
      <c r="E3267" s="114">
        <v>323</v>
      </c>
      <c r="F3267" s="114">
        <v>46</v>
      </c>
      <c r="G3267" s="114">
        <v>1</v>
      </c>
      <c r="H3267" s="114">
        <v>2500</v>
      </c>
      <c r="I3267" s="114">
        <v>2500</v>
      </c>
      <c r="J3267" s="114">
        <v>2101</v>
      </c>
      <c r="K3267" s="114">
        <v>399</v>
      </c>
      <c r="L3267" s="114" t="str">
        <f t="shared" ref="L3267:L3330" si="51">CONCATENATE("INSERT INTO DETALLES_DOCUMENTO(NRO_DOCUMENTO,ID_TIPO,ID_PRODUCTO,CANTIDAD,PRECIO,VALOR_BRUTO,VALOR_NETO,VALOR_IVA) VALUES(",B3267,",",A3267,",",F3267,",",G3267,",",H3267,",",I3267,",",J3267,",",K3267,");")</f>
        <v>INSERT INTO DETALLES_DOCUMENTO(NRO_DOCUMENTO,ID_TIPO,ID_PRODUCTO,CANTIDAD,PRECIO,VALOR_BRUTO,VALOR_NETO,VALOR_IVA) VALUES(1543,1,46,1,2500,2500,2101,399);</v>
      </c>
    </row>
    <row r="3268" spans="1:12">
      <c r="A3268" s="114">
        <v>1</v>
      </c>
      <c r="B3268" s="114">
        <v>1543</v>
      </c>
      <c r="C3268" s="139" t="s">
        <v>2419</v>
      </c>
      <c r="D3268" s="114" t="s">
        <v>2090</v>
      </c>
      <c r="E3268" s="114">
        <v>323</v>
      </c>
      <c r="F3268" s="114">
        <v>26</v>
      </c>
      <c r="G3268" s="114">
        <v>1</v>
      </c>
      <c r="H3268" s="114">
        <v>3400</v>
      </c>
      <c r="I3268" s="114">
        <v>3400</v>
      </c>
      <c r="J3268" s="114">
        <v>2857</v>
      </c>
      <c r="K3268" s="114">
        <v>543</v>
      </c>
      <c r="L3268" s="114" t="str">
        <f t="shared" si="51"/>
        <v>INSERT INTO DETALLES_DOCUMENTO(NRO_DOCUMENTO,ID_TIPO,ID_PRODUCTO,CANTIDAD,PRECIO,VALOR_BRUTO,VALOR_NETO,VALOR_IVA) VALUES(1543,1,26,1,3400,3400,2857,543);</v>
      </c>
    </row>
    <row r="3269" spans="1:12">
      <c r="A3269" s="114">
        <v>1</v>
      </c>
      <c r="B3269" s="114">
        <v>1544</v>
      </c>
      <c r="C3269" s="139" t="s">
        <v>2419</v>
      </c>
      <c r="D3269" s="114" t="s">
        <v>2090</v>
      </c>
      <c r="E3269" s="114">
        <v>425</v>
      </c>
      <c r="F3269" s="114">
        <v>29</v>
      </c>
      <c r="G3269" s="114">
        <v>1</v>
      </c>
      <c r="H3269" s="114">
        <v>1000</v>
      </c>
      <c r="I3269" s="114">
        <v>1000</v>
      </c>
      <c r="J3269" s="114">
        <v>840</v>
      </c>
      <c r="K3269" s="114">
        <v>160</v>
      </c>
      <c r="L3269" s="114" t="str">
        <f t="shared" si="51"/>
        <v>INSERT INTO DETALLES_DOCUMENTO(NRO_DOCUMENTO,ID_TIPO,ID_PRODUCTO,CANTIDAD,PRECIO,VALOR_BRUTO,VALOR_NETO,VALOR_IVA) VALUES(1544,1,29,1,1000,1000,840,160);</v>
      </c>
    </row>
    <row r="3270" spans="1:12">
      <c r="A3270" s="114">
        <v>1</v>
      </c>
      <c r="B3270" s="114">
        <v>1544</v>
      </c>
      <c r="C3270" s="139" t="s">
        <v>2419</v>
      </c>
      <c r="D3270" s="114" t="s">
        <v>2090</v>
      </c>
      <c r="E3270" s="114">
        <v>425</v>
      </c>
      <c r="F3270" s="114">
        <v>155</v>
      </c>
      <c r="G3270" s="114">
        <v>1</v>
      </c>
      <c r="H3270" s="114">
        <v>1650</v>
      </c>
      <c r="I3270" s="114">
        <v>1650</v>
      </c>
      <c r="J3270" s="114">
        <v>1387</v>
      </c>
      <c r="K3270" s="114">
        <v>263</v>
      </c>
      <c r="L3270" s="114" t="str">
        <f t="shared" si="51"/>
        <v>INSERT INTO DETALLES_DOCUMENTO(NRO_DOCUMENTO,ID_TIPO,ID_PRODUCTO,CANTIDAD,PRECIO,VALOR_BRUTO,VALOR_NETO,VALOR_IVA) VALUES(1544,1,155,1,1650,1650,1387,263);</v>
      </c>
    </row>
    <row r="3271" spans="1:12">
      <c r="A3271" s="114">
        <v>1</v>
      </c>
      <c r="B3271" s="114">
        <v>1544</v>
      </c>
      <c r="C3271" s="139" t="s">
        <v>2419</v>
      </c>
      <c r="D3271" s="114" t="s">
        <v>2090</v>
      </c>
      <c r="E3271" s="114">
        <v>425</v>
      </c>
      <c r="F3271" s="114">
        <v>17</v>
      </c>
      <c r="G3271" s="114">
        <v>1</v>
      </c>
      <c r="H3271" s="114">
        <v>3400</v>
      </c>
      <c r="I3271" s="114">
        <v>3400</v>
      </c>
      <c r="J3271" s="114">
        <v>2857</v>
      </c>
      <c r="K3271" s="114">
        <v>543</v>
      </c>
      <c r="L3271" s="114" t="str">
        <f t="shared" si="51"/>
        <v>INSERT INTO DETALLES_DOCUMENTO(NRO_DOCUMENTO,ID_TIPO,ID_PRODUCTO,CANTIDAD,PRECIO,VALOR_BRUTO,VALOR_NETO,VALOR_IVA) VALUES(1544,1,17,1,3400,3400,2857,543);</v>
      </c>
    </row>
    <row r="3272" spans="1:12">
      <c r="A3272" s="114">
        <v>1</v>
      </c>
      <c r="B3272" s="114">
        <v>1545</v>
      </c>
      <c r="C3272" s="139" t="s">
        <v>2419</v>
      </c>
      <c r="D3272" s="114" t="s">
        <v>2090</v>
      </c>
      <c r="E3272" s="114">
        <v>451</v>
      </c>
      <c r="F3272" s="114">
        <v>118</v>
      </c>
      <c r="G3272" s="114">
        <v>1</v>
      </c>
      <c r="H3272" s="114">
        <v>3500</v>
      </c>
      <c r="I3272" s="114">
        <v>3500</v>
      </c>
      <c r="J3272" s="114">
        <v>2941</v>
      </c>
      <c r="K3272" s="114">
        <v>559</v>
      </c>
      <c r="L3272" s="114" t="str">
        <f t="shared" si="51"/>
        <v>INSERT INTO DETALLES_DOCUMENTO(NRO_DOCUMENTO,ID_TIPO,ID_PRODUCTO,CANTIDAD,PRECIO,VALOR_BRUTO,VALOR_NETO,VALOR_IVA) VALUES(1545,1,118,1,3500,3500,2941,559);</v>
      </c>
    </row>
    <row r="3273" spans="1:12">
      <c r="A3273" s="114">
        <v>1</v>
      </c>
      <c r="B3273" s="114">
        <v>1545</v>
      </c>
      <c r="C3273" s="139" t="s">
        <v>2419</v>
      </c>
      <c r="D3273" s="114" t="s">
        <v>2090</v>
      </c>
      <c r="E3273" s="114">
        <v>451</v>
      </c>
      <c r="F3273" s="114">
        <v>165</v>
      </c>
      <c r="G3273" s="114">
        <v>1</v>
      </c>
      <c r="H3273" s="114">
        <v>2000</v>
      </c>
      <c r="I3273" s="114">
        <v>2000</v>
      </c>
      <c r="J3273" s="114">
        <v>1681</v>
      </c>
      <c r="K3273" s="114">
        <v>319</v>
      </c>
      <c r="L3273" s="114" t="str">
        <f t="shared" si="51"/>
        <v>INSERT INTO DETALLES_DOCUMENTO(NRO_DOCUMENTO,ID_TIPO,ID_PRODUCTO,CANTIDAD,PRECIO,VALOR_BRUTO,VALOR_NETO,VALOR_IVA) VALUES(1545,1,165,1,2000,2000,1681,319);</v>
      </c>
    </row>
    <row r="3274" spans="1:12">
      <c r="A3274" s="114">
        <v>1</v>
      </c>
      <c r="B3274" s="114">
        <v>1546</v>
      </c>
      <c r="C3274" s="139" t="s">
        <v>2420</v>
      </c>
      <c r="D3274" s="114" t="s">
        <v>2090</v>
      </c>
      <c r="E3274" s="114">
        <v>100</v>
      </c>
      <c r="F3274" s="114">
        <v>319</v>
      </c>
      <c r="G3274" s="114">
        <v>1</v>
      </c>
      <c r="H3274" s="114">
        <v>3000</v>
      </c>
      <c r="I3274" s="114">
        <v>3000</v>
      </c>
      <c r="J3274" s="114">
        <v>2521</v>
      </c>
      <c r="K3274" s="114">
        <v>479</v>
      </c>
      <c r="L3274" s="114" t="str">
        <f t="shared" si="51"/>
        <v>INSERT INTO DETALLES_DOCUMENTO(NRO_DOCUMENTO,ID_TIPO,ID_PRODUCTO,CANTIDAD,PRECIO,VALOR_BRUTO,VALOR_NETO,VALOR_IVA) VALUES(1546,1,319,1,3000,3000,2521,479);</v>
      </c>
    </row>
    <row r="3275" spans="1:12">
      <c r="A3275" s="114">
        <v>1</v>
      </c>
      <c r="B3275" s="114">
        <v>1546</v>
      </c>
      <c r="C3275" s="139" t="s">
        <v>2420</v>
      </c>
      <c r="D3275" s="114" t="s">
        <v>2090</v>
      </c>
      <c r="E3275" s="114">
        <v>100</v>
      </c>
      <c r="F3275" s="114">
        <v>167</v>
      </c>
      <c r="G3275" s="114">
        <v>1</v>
      </c>
      <c r="H3275" s="114">
        <v>8200</v>
      </c>
      <c r="I3275" s="114">
        <v>8200</v>
      </c>
      <c r="J3275" s="114">
        <v>6891</v>
      </c>
      <c r="K3275" s="114">
        <v>1309</v>
      </c>
      <c r="L3275" s="114" t="str">
        <f t="shared" si="51"/>
        <v>INSERT INTO DETALLES_DOCUMENTO(NRO_DOCUMENTO,ID_TIPO,ID_PRODUCTO,CANTIDAD,PRECIO,VALOR_BRUTO,VALOR_NETO,VALOR_IVA) VALUES(1546,1,167,1,8200,8200,6891,1309);</v>
      </c>
    </row>
    <row r="3276" spans="1:12">
      <c r="A3276" s="114">
        <v>1</v>
      </c>
      <c r="B3276" s="114">
        <v>1546</v>
      </c>
      <c r="C3276" s="139" t="s">
        <v>2420</v>
      </c>
      <c r="D3276" s="114" t="s">
        <v>2090</v>
      </c>
      <c r="E3276" s="114">
        <v>100</v>
      </c>
      <c r="F3276" s="114">
        <v>329</v>
      </c>
      <c r="G3276" s="114">
        <v>1</v>
      </c>
      <c r="H3276" s="114">
        <v>6000</v>
      </c>
      <c r="I3276" s="114">
        <v>6000</v>
      </c>
      <c r="J3276" s="114">
        <v>5042</v>
      </c>
      <c r="K3276" s="114">
        <v>958</v>
      </c>
      <c r="L3276" s="114" t="str">
        <f t="shared" si="51"/>
        <v>INSERT INTO DETALLES_DOCUMENTO(NRO_DOCUMENTO,ID_TIPO,ID_PRODUCTO,CANTIDAD,PRECIO,VALOR_BRUTO,VALOR_NETO,VALOR_IVA) VALUES(1546,1,329,1,6000,6000,5042,958);</v>
      </c>
    </row>
    <row r="3277" spans="1:12">
      <c r="A3277" s="114">
        <v>1</v>
      </c>
      <c r="B3277" s="114">
        <v>1547</v>
      </c>
      <c r="C3277" s="139" t="s">
        <v>2420</v>
      </c>
      <c r="D3277" s="114" t="s">
        <v>2090</v>
      </c>
      <c r="E3277" s="114">
        <v>166</v>
      </c>
      <c r="F3277" s="114">
        <v>135</v>
      </c>
      <c r="G3277" s="114">
        <v>2</v>
      </c>
      <c r="H3277" s="114">
        <v>2000</v>
      </c>
      <c r="I3277" s="114">
        <v>4000</v>
      </c>
      <c r="J3277" s="114">
        <v>3361</v>
      </c>
      <c r="K3277" s="114">
        <v>639</v>
      </c>
      <c r="L3277" s="114" t="str">
        <f t="shared" si="51"/>
        <v>INSERT INTO DETALLES_DOCUMENTO(NRO_DOCUMENTO,ID_TIPO,ID_PRODUCTO,CANTIDAD,PRECIO,VALOR_BRUTO,VALOR_NETO,VALOR_IVA) VALUES(1547,1,135,2,2000,4000,3361,639);</v>
      </c>
    </row>
    <row r="3278" spans="1:12">
      <c r="A3278" s="114">
        <v>1</v>
      </c>
      <c r="B3278" s="114">
        <v>1548</v>
      </c>
      <c r="C3278" s="139" t="s">
        <v>2420</v>
      </c>
      <c r="D3278" s="114" t="s">
        <v>2090</v>
      </c>
      <c r="E3278" s="114">
        <v>198</v>
      </c>
      <c r="F3278" s="114">
        <v>324</v>
      </c>
      <c r="G3278" s="114">
        <v>1</v>
      </c>
      <c r="H3278" s="114">
        <v>11000</v>
      </c>
      <c r="I3278" s="114">
        <v>11000</v>
      </c>
      <c r="J3278" s="114">
        <v>9244</v>
      </c>
      <c r="K3278" s="114">
        <v>1756</v>
      </c>
      <c r="L3278" s="114" t="str">
        <f t="shared" si="51"/>
        <v>INSERT INTO DETALLES_DOCUMENTO(NRO_DOCUMENTO,ID_TIPO,ID_PRODUCTO,CANTIDAD,PRECIO,VALOR_BRUTO,VALOR_NETO,VALOR_IVA) VALUES(1548,1,324,1,11000,11000,9244,1756);</v>
      </c>
    </row>
    <row r="3279" spans="1:12">
      <c r="A3279" s="114">
        <v>1</v>
      </c>
      <c r="B3279" s="114">
        <v>1549</v>
      </c>
      <c r="C3279" s="139" t="s">
        <v>2420</v>
      </c>
      <c r="D3279" s="114" t="s">
        <v>2090</v>
      </c>
      <c r="E3279" s="114">
        <v>231</v>
      </c>
      <c r="F3279" s="114">
        <v>231</v>
      </c>
      <c r="G3279" s="114">
        <v>1</v>
      </c>
      <c r="H3279" s="114">
        <v>20900</v>
      </c>
      <c r="I3279" s="114">
        <v>20900</v>
      </c>
      <c r="J3279" s="114">
        <v>17563</v>
      </c>
      <c r="K3279" s="114">
        <v>3337</v>
      </c>
      <c r="L3279" s="114" t="str">
        <f t="shared" si="51"/>
        <v>INSERT INTO DETALLES_DOCUMENTO(NRO_DOCUMENTO,ID_TIPO,ID_PRODUCTO,CANTIDAD,PRECIO,VALOR_BRUTO,VALOR_NETO,VALOR_IVA) VALUES(1549,1,231,1,20900,20900,17563,3337);</v>
      </c>
    </row>
    <row r="3280" spans="1:12">
      <c r="A3280" s="114">
        <v>1</v>
      </c>
      <c r="B3280" s="114">
        <v>1549</v>
      </c>
      <c r="C3280" s="139" t="s">
        <v>2420</v>
      </c>
      <c r="D3280" s="114" t="s">
        <v>2090</v>
      </c>
      <c r="E3280" s="114">
        <v>231</v>
      </c>
      <c r="F3280" s="114">
        <v>319</v>
      </c>
      <c r="G3280" s="114">
        <v>1</v>
      </c>
      <c r="H3280" s="114">
        <v>3000</v>
      </c>
      <c r="I3280" s="114">
        <v>3000</v>
      </c>
      <c r="J3280" s="114">
        <v>2521</v>
      </c>
      <c r="K3280" s="114">
        <v>479</v>
      </c>
      <c r="L3280" s="114" t="str">
        <f t="shared" si="51"/>
        <v>INSERT INTO DETALLES_DOCUMENTO(NRO_DOCUMENTO,ID_TIPO,ID_PRODUCTO,CANTIDAD,PRECIO,VALOR_BRUTO,VALOR_NETO,VALOR_IVA) VALUES(1549,1,319,1,3000,3000,2521,479);</v>
      </c>
    </row>
    <row r="3281" spans="1:12">
      <c r="A3281" s="114">
        <v>1</v>
      </c>
      <c r="B3281" s="114">
        <v>1550</v>
      </c>
      <c r="C3281" s="139" t="s">
        <v>2420</v>
      </c>
      <c r="D3281" s="114" t="s">
        <v>2090</v>
      </c>
      <c r="E3281" s="114">
        <v>236</v>
      </c>
      <c r="F3281" s="114">
        <v>7</v>
      </c>
      <c r="G3281" s="114">
        <v>1</v>
      </c>
      <c r="H3281" s="114">
        <v>7000</v>
      </c>
      <c r="I3281" s="114">
        <v>7000</v>
      </c>
      <c r="J3281" s="114">
        <v>5882</v>
      </c>
      <c r="K3281" s="114">
        <v>1118</v>
      </c>
      <c r="L3281" s="114" t="str">
        <f t="shared" si="51"/>
        <v>INSERT INTO DETALLES_DOCUMENTO(NRO_DOCUMENTO,ID_TIPO,ID_PRODUCTO,CANTIDAD,PRECIO,VALOR_BRUTO,VALOR_NETO,VALOR_IVA) VALUES(1550,1,7,1,7000,7000,5882,1118);</v>
      </c>
    </row>
    <row r="3282" spans="1:12">
      <c r="A3282" s="114">
        <v>1</v>
      </c>
      <c r="B3282" s="114">
        <v>1550</v>
      </c>
      <c r="C3282" s="139" t="s">
        <v>2420</v>
      </c>
      <c r="D3282" s="114" t="s">
        <v>2090</v>
      </c>
      <c r="E3282" s="114">
        <v>236</v>
      </c>
      <c r="F3282" s="114">
        <v>331</v>
      </c>
      <c r="G3282" s="114">
        <v>1</v>
      </c>
      <c r="H3282" s="114">
        <v>3700</v>
      </c>
      <c r="I3282" s="114">
        <v>3700</v>
      </c>
      <c r="J3282" s="114">
        <v>3109</v>
      </c>
      <c r="K3282" s="114">
        <v>591</v>
      </c>
      <c r="L3282" s="114" t="str">
        <f t="shared" si="51"/>
        <v>INSERT INTO DETALLES_DOCUMENTO(NRO_DOCUMENTO,ID_TIPO,ID_PRODUCTO,CANTIDAD,PRECIO,VALOR_BRUTO,VALOR_NETO,VALOR_IVA) VALUES(1550,1,331,1,3700,3700,3109,591);</v>
      </c>
    </row>
    <row r="3283" spans="1:12">
      <c r="A3283" s="114">
        <v>1</v>
      </c>
      <c r="B3283" s="114">
        <v>1550</v>
      </c>
      <c r="C3283" s="139" t="s">
        <v>2420</v>
      </c>
      <c r="D3283" s="114" t="s">
        <v>2090</v>
      </c>
      <c r="E3283" s="114">
        <v>236</v>
      </c>
      <c r="F3283" s="114">
        <v>324</v>
      </c>
      <c r="G3283" s="114">
        <v>1</v>
      </c>
      <c r="H3283" s="114">
        <v>11000</v>
      </c>
      <c r="I3283" s="114">
        <v>11000</v>
      </c>
      <c r="J3283" s="114">
        <v>9244</v>
      </c>
      <c r="K3283" s="114">
        <v>1756</v>
      </c>
      <c r="L3283" s="114" t="str">
        <f t="shared" si="51"/>
        <v>INSERT INTO DETALLES_DOCUMENTO(NRO_DOCUMENTO,ID_TIPO,ID_PRODUCTO,CANTIDAD,PRECIO,VALOR_BRUTO,VALOR_NETO,VALOR_IVA) VALUES(1550,1,324,1,11000,11000,9244,1756);</v>
      </c>
    </row>
    <row r="3284" spans="1:12">
      <c r="A3284" s="114">
        <v>1</v>
      </c>
      <c r="B3284" s="114">
        <v>1551</v>
      </c>
      <c r="C3284" s="139" t="s">
        <v>2420</v>
      </c>
      <c r="D3284" s="114" t="s">
        <v>2090</v>
      </c>
      <c r="E3284" s="114">
        <v>263</v>
      </c>
      <c r="F3284" s="114">
        <v>143</v>
      </c>
      <c r="G3284" s="114">
        <v>1</v>
      </c>
      <c r="H3284" s="114">
        <v>8000</v>
      </c>
      <c r="I3284" s="114">
        <v>8000</v>
      </c>
      <c r="J3284" s="114">
        <v>6723</v>
      </c>
      <c r="K3284" s="114">
        <v>1277</v>
      </c>
      <c r="L3284" s="114" t="str">
        <f t="shared" si="51"/>
        <v>INSERT INTO DETALLES_DOCUMENTO(NRO_DOCUMENTO,ID_TIPO,ID_PRODUCTO,CANTIDAD,PRECIO,VALOR_BRUTO,VALOR_NETO,VALOR_IVA) VALUES(1551,1,143,1,8000,8000,6723,1277);</v>
      </c>
    </row>
    <row r="3285" spans="1:12">
      <c r="A3285" s="114">
        <v>1</v>
      </c>
      <c r="B3285" s="114">
        <v>1551</v>
      </c>
      <c r="C3285" s="139" t="s">
        <v>2420</v>
      </c>
      <c r="D3285" s="114" t="s">
        <v>2090</v>
      </c>
      <c r="E3285" s="114">
        <v>263</v>
      </c>
      <c r="F3285" s="114">
        <v>261</v>
      </c>
      <c r="G3285" s="114">
        <v>1</v>
      </c>
      <c r="H3285" s="114">
        <v>7000</v>
      </c>
      <c r="I3285" s="114">
        <v>7000</v>
      </c>
      <c r="J3285" s="114">
        <v>5882</v>
      </c>
      <c r="K3285" s="114">
        <v>1118</v>
      </c>
      <c r="L3285" s="114" t="str">
        <f t="shared" si="51"/>
        <v>INSERT INTO DETALLES_DOCUMENTO(NRO_DOCUMENTO,ID_TIPO,ID_PRODUCTO,CANTIDAD,PRECIO,VALOR_BRUTO,VALOR_NETO,VALOR_IVA) VALUES(1551,1,261,1,7000,7000,5882,1118);</v>
      </c>
    </row>
    <row r="3286" spans="1:12">
      <c r="A3286" s="114">
        <v>1</v>
      </c>
      <c r="B3286" s="114">
        <v>1551</v>
      </c>
      <c r="C3286" s="139" t="s">
        <v>2420</v>
      </c>
      <c r="D3286" s="114" t="s">
        <v>2090</v>
      </c>
      <c r="E3286" s="114">
        <v>263</v>
      </c>
      <c r="F3286" s="114">
        <v>167</v>
      </c>
      <c r="G3286" s="114">
        <v>1</v>
      </c>
      <c r="H3286" s="114">
        <v>8200</v>
      </c>
      <c r="I3286" s="114">
        <v>8200</v>
      </c>
      <c r="J3286" s="114">
        <v>6891</v>
      </c>
      <c r="K3286" s="114">
        <v>1309</v>
      </c>
      <c r="L3286" s="114" t="str">
        <f t="shared" si="51"/>
        <v>INSERT INTO DETALLES_DOCUMENTO(NRO_DOCUMENTO,ID_TIPO,ID_PRODUCTO,CANTIDAD,PRECIO,VALOR_BRUTO,VALOR_NETO,VALOR_IVA) VALUES(1551,1,167,1,8200,8200,6891,1309);</v>
      </c>
    </row>
    <row r="3287" spans="1:12">
      <c r="A3287" s="114">
        <v>1</v>
      </c>
      <c r="B3287" s="114">
        <v>1552</v>
      </c>
      <c r="C3287" s="139" t="s">
        <v>2420</v>
      </c>
      <c r="D3287" s="114" t="s">
        <v>2090</v>
      </c>
      <c r="E3287" s="114">
        <v>438</v>
      </c>
      <c r="F3287" s="114">
        <v>167</v>
      </c>
      <c r="G3287" s="114">
        <v>1</v>
      </c>
      <c r="H3287" s="114">
        <v>8200</v>
      </c>
      <c r="I3287" s="114">
        <v>8200</v>
      </c>
      <c r="J3287" s="114">
        <v>6891</v>
      </c>
      <c r="K3287" s="114">
        <v>1309</v>
      </c>
      <c r="L3287" s="114" t="str">
        <f t="shared" si="51"/>
        <v>INSERT INTO DETALLES_DOCUMENTO(NRO_DOCUMENTO,ID_TIPO,ID_PRODUCTO,CANTIDAD,PRECIO,VALOR_BRUTO,VALOR_NETO,VALOR_IVA) VALUES(1552,1,167,1,8200,8200,6891,1309);</v>
      </c>
    </row>
    <row r="3288" spans="1:12">
      <c r="A3288" s="114">
        <v>1</v>
      </c>
      <c r="B3288" s="114">
        <v>1553</v>
      </c>
      <c r="C3288" s="139" t="s">
        <v>2421</v>
      </c>
      <c r="D3288" s="114" t="s">
        <v>2090</v>
      </c>
      <c r="E3288" s="114">
        <v>84</v>
      </c>
      <c r="F3288" s="114">
        <v>143</v>
      </c>
      <c r="G3288" s="114">
        <v>1</v>
      </c>
      <c r="H3288" s="114">
        <v>8000</v>
      </c>
      <c r="I3288" s="114">
        <v>8000</v>
      </c>
      <c r="J3288" s="114">
        <v>6723</v>
      </c>
      <c r="K3288" s="114">
        <v>1277</v>
      </c>
      <c r="L3288" s="114" t="str">
        <f t="shared" si="51"/>
        <v>INSERT INTO DETALLES_DOCUMENTO(NRO_DOCUMENTO,ID_TIPO,ID_PRODUCTO,CANTIDAD,PRECIO,VALOR_BRUTO,VALOR_NETO,VALOR_IVA) VALUES(1553,1,143,1,8000,8000,6723,1277);</v>
      </c>
    </row>
    <row r="3289" spans="1:12">
      <c r="A3289" s="114">
        <v>1</v>
      </c>
      <c r="B3289" s="114">
        <v>1553</v>
      </c>
      <c r="C3289" s="139" t="s">
        <v>2421</v>
      </c>
      <c r="D3289" s="114" t="s">
        <v>2090</v>
      </c>
      <c r="E3289" s="114">
        <v>84</v>
      </c>
      <c r="F3289" s="114">
        <v>329</v>
      </c>
      <c r="G3289" s="114">
        <v>1</v>
      </c>
      <c r="H3289" s="114">
        <v>6000</v>
      </c>
      <c r="I3289" s="114">
        <v>6000</v>
      </c>
      <c r="J3289" s="114">
        <v>5042</v>
      </c>
      <c r="K3289" s="114">
        <v>958</v>
      </c>
      <c r="L3289" s="114" t="str">
        <f t="shared" si="51"/>
        <v>INSERT INTO DETALLES_DOCUMENTO(NRO_DOCUMENTO,ID_TIPO,ID_PRODUCTO,CANTIDAD,PRECIO,VALOR_BRUTO,VALOR_NETO,VALOR_IVA) VALUES(1553,1,329,1,6000,6000,5042,958);</v>
      </c>
    </row>
    <row r="3290" spans="1:12">
      <c r="A3290" s="114">
        <v>1</v>
      </c>
      <c r="B3290" s="114">
        <v>1553</v>
      </c>
      <c r="C3290" s="139" t="s">
        <v>2421</v>
      </c>
      <c r="D3290" s="114" t="s">
        <v>2090</v>
      </c>
      <c r="E3290" s="114">
        <v>84</v>
      </c>
      <c r="F3290" s="114">
        <v>29</v>
      </c>
      <c r="G3290" s="114">
        <v>1</v>
      </c>
      <c r="H3290" s="114">
        <v>1000</v>
      </c>
      <c r="I3290" s="114">
        <v>1000</v>
      </c>
      <c r="J3290" s="114">
        <v>840</v>
      </c>
      <c r="K3290" s="114">
        <v>160</v>
      </c>
      <c r="L3290" s="114" t="str">
        <f t="shared" si="51"/>
        <v>INSERT INTO DETALLES_DOCUMENTO(NRO_DOCUMENTO,ID_TIPO,ID_PRODUCTO,CANTIDAD,PRECIO,VALOR_BRUTO,VALOR_NETO,VALOR_IVA) VALUES(1553,1,29,1,1000,1000,840,160);</v>
      </c>
    </row>
    <row r="3291" spans="1:12">
      <c r="A3291" s="114">
        <v>1</v>
      </c>
      <c r="B3291" s="114">
        <v>1553</v>
      </c>
      <c r="C3291" s="139" t="s">
        <v>2421</v>
      </c>
      <c r="D3291" s="114" t="s">
        <v>2090</v>
      </c>
      <c r="E3291" s="114">
        <v>84</v>
      </c>
      <c r="F3291" s="114">
        <v>259</v>
      </c>
      <c r="G3291" s="114">
        <v>1</v>
      </c>
      <c r="H3291" s="114">
        <v>4500</v>
      </c>
      <c r="I3291" s="114">
        <v>4500</v>
      </c>
      <c r="J3291" s="114">
        <v>3782</v>
      </c>
      <c r="K3291" s="114">
        <v>718</v>
      </c>
      <c r="L3291" s="114" t="str">
        <f t="shared" si="51"/>
        <v>INSERT INTO DETALLES_DOCUMENTO(NRO_DOCUMENTO,ID_TIPO,ID_PRODUCTO,CANTIDAD,PRECIO,VALOR_BRUTO,VALOR_NETO,VALOR_IVA) VALUES(1553,1,259,1,4500,4500,3782,718);</v>
      </c>
    </row>
    <row r="3292" spans="1:12">
      <c r="A3292" s="114">
        <v>1</v>
      </c>
      <c r="B3292" s="114">
        <v>1554</v>
      </c>
      <c r="C3292" s="139" t="s">
        <v>2421</v>
      </c>
      <c r="D3292" s="114" t="s">
        <v>2090</v>
      </c>
      <c r="E3292" s="114">
        <v>179</v>
      </c>
      <c r="F3292" s="114">
        <v>324</v>
      </c>
      <c r="G3292" s="114">
        <v>1</v>
      </c>
      <c r="H3292" s="114">
        <v>11000</v>
      </c>
      <c r="I3292" s="114">
        <v>11000</v>
      </c>
      <c r="J3292" s="114">
        <v>9244</v>
      </c>
      <c r="K3292" s="114">
        <v>1756</v>
      </c>
      <c r="L3292" s="114" t="str">
        <f t="shared" si="51"/>
        <v>INSERT INTO DETALLES_DOCUMENTO(NRO_DOCUMENTO,ID_TIPO,ID_PRODUCTO,CANTIDAD,PRECIO,VALOR_BRUTO,VALOR_NETO,VALOR_IVA) VALUES(1554,1,324,1,11000,11000,9244,1756);</v>
      </c>
    </row>
    <row r="3293" spans="1:12">
      <c r="A3293" s="114">
        <v>1</v>
      </c>
      <c r="B3293" s="114">
        <v>1555</v>
      </c>
      <c r="C3293" s="139" t="s">
        <v>2422</v>
      </c>
      <c r="D3293" s="114" t="s">
        <v>2090</v>
      </c>
      <c r="E3293" s="114">
        <v>166</v>
      </c>
      <c r="F3293" s="114">
        <v>324</v>
      </c>
      <c r="G3293" s="114">
        <v>1</v>
      </c>
      <c r="H3293" s="114">
        <v>11000</v>
      </c>
      <c r="I3293" s="114">
        <v>11000</v>
      </c>
      <c r="J3293" s="114">
        <v>9244</v>
      </c>
      <c r="K3293" s="114">
        <v>1756</v>
      </c>
      <c r="L3293" s="114" t="str">
        <f t="shared" si="51"/>
        <v>INSERT INTO DETALLES_DOCUMENTO(NRO_DOCUMENTO,ID_TIPO,ID_PRODUCTO,CANTIDAD,PRECIO,VALOR_BRUTO,VALOR_NETO,VALOR_IVA) VALUES(1555,1,324,1,11000,11000,9244,1756);</v>
      </c>
    </row>
    <row r="3294" spans="1:12">
      <c r="A3294" s="114">
        <v>2</v>
      </c>
      <c r="B3294" s="114">
        <v>1</v>
      </c>
      <c r="C3294" s="139" t="s">
        <v>2167</v>
      </c>
      <c r="D3294" s="114" t="s">
        <v>2090</v>
      </c>
      <c r="E3294" s="114">
        <v>413</v>
      </c>
      <c r="F3294" s="114">
        <v>371</v>
      </c>
      <c r="G3294" s="114">
        <v>3</v>
      </c>
      <c r="H3294" s="114">
        <v>28500</v>
      </c>
      <c r="I3294" s="114">
        <v>85500</v>
      </c>
      <c r="J3294" s="114">
        <v>71849</v>
      </c>
      <c r="K3294" s="114">
        <v>13651</v>
      </c>
      <c r="L3294" s="114" t="str">
        <f t="shared" si="51"/>
        <v>INSERT INTO DETALLES_DOCUMENTO(NRO_DOCUMENTO,ID_TIPO,ID_PRODUCTO,CANTIDAD,PRECIO,VALOR_BRUTO,VALOR_NETO,VALOR_IVA) VALUES(1,2,371,3,28500,85500,71849,13651);</v>
      </c>
    </row>
    <row r="3295" spans="1:12">
      <c r="A3295" s="114">
        <v>2</v>
      </c>
      <c r="B3295" s="114">
        <v>1</v>
      </c>
      <c r="C3295" s="139" t="s">
        <v>2167</v>
      </c>
      <c r="D3295" s="114" t="s">
        <v>2090</v>
      </c>
      <c r="E3295" s="114">
        <v>413</v>
      </c>
      <c r="F3295" s="114">
        <v>74</v>
      </c>
      <c r="G3295" s="114">
        <v>1</v>
      </c>
      <c r="H3295" s="114">
        <v>11500</v>
      </c>
      <c r="I3295" s="114">
        <v>11500</v>
      </c>
      <c r="J3295" s="114">
        <v>9664</v>
      </c>
      <c r="K3295" s="114">
        <v>1836</v>
      </c>
      <c r="L3295" s="114" t="str">
        <f t="shared" si="51"/>
        <v>INSERT INTO DETALLES_DOCUMENTO(NRO_DOCUMENTO,ID_TIPO,ID_PRODUCTO,CANTIDAD,PRECIO,VALOR_BRUTO,VALOR_NETO,VALOR_IVA) VALUES(1,2,74,1,11500,11500,9664,1836);</v>
      </c>
    </row>
    <row r="3296" spans="1:12">
      <c r="A3296" s="114">
        <v>2</v>
      </c>
      <c r="B3296" s="114">
        <v>1</v>
      </c>
      <c r="C3296" s="139" t="s">
        <v>2167</v>
      </c>
      <c r="D3296" s="114" t="s">
        <v>2090</v>
      </c>
      <c r="E3296" s="114">
        <v>413</v>
      </c>
      <c r="F3296" s="114">
        <v>231</v>
      </c>
      <c r="G3296" s="114">
        <v>1</v>
      </c>
      <c r="H3296" s="114">
        <v>19990</v>
      </c>
      <c r="I3296" s="114">
        <v>19990</v>
      </c>
      <c r="J3296" s="114">
        <v>16798</v>
      </c>
      <c r="K3296" s="114">
        <v>3192</v>
      </c>
      <c r="L3296" s="114" t="str">
        <f t="shared" si="51"/>
        <v>INSERT INTO DETALLES_DOCUMENTO(NRO_DOCUMENTO,ID_TIPO,ID_PRODUCTO,CANTIDAD,PRECIO,VALOR_BRUTO,VALOR_NETO,VALOR_IVA) VALUES(1,2,231,1,19990,19990,16798,3192);</v>
      </c>
    </row>
    <row r="3297" spans="1:12">
      <c r="A3297" s="114">
        <v>2</v>
      </c>
      <c r="B3297" s="114">
        <v>2</v>
      </c>
      <c r="C3297" s="139" t="s">
        <v>2169</v>
      </c>
      <c r="D3297" s="114" t="s">
        <v>2090</v>
      </c>
      <c r="E3297" s="114">
        <v>185</v>
      </c>
      <c r="F3297" s="114">
        <v>276</v>
      </c>
      <c r="G3297" s="114">
        <v>3</v>
      </c>
      <c r="H3297" s="114">
        <v>24000</v>
      </c>
      <c r="I3297" s="114">
        <v>72000</v>
      </c>
      <c r="J3297" s="114">
        <v>60504</v>
      </c>
      <c r="K3297" s="114">
        <v>11496</v>
      </c>
      <c r="L3297" s="114" t="str">
        <f t="shared" si="51"/>
        <v>INSERT INTO DETALLES_DOCUMENTO(NRO_DOCUMENTO,ID_TIPO,ID_PRODUCTO,CANTIDAD,PRECIO,VALOR_BRUTO,VALOR_NETO,VALOR_IVA) VALUES(2,2,276,3,24000,72000,60504,11496);</v>
      </c>
    </row>
    <row r="3298" spans="1:12">
      <c r="A3298" s="114">
        <v>2</v>
      </c>
      <c r="B3298" s="114">
        <v>2</v>
      </c>
      <c r="C3298" s="139" t="s">
        <v>2169</v>
      </c>
      <c r="D3298" s="114" t="s">
        <v>2090</v>
      </c>
      <c r="E3298" s="114">
        <v>185</v>
      </c>
      <c r="F3298" s="114">
        <v>293</v>
      </c>
      <c r="G3298" s="114">
        <v>1</v>
      </c>
      <c r="H3298" s="114">
        <v>9500</v>
      </c>
      <c r="I3298" s="114">
        <v>9500</v>
      </c>
      <c r="J3298" s="114">
        <v>7983</v>
      </c>
      <c r="K3298" s="114">
        <v>1517</v>
      </c>
      <c r="L3298" s="114" t="str">
        <f t="shared" si="51"/>
        <v>INSERT INTO DETALLES_DOCUMENTO(NRO_DOCUMENTO,ID_TIPO,ID_PRODUCTO,CANTIDAD,PRECIO,VALOR_BRUTO,VALOR_NETO,VALOR_IVA) VALUES(2,2,293,1,9500,9500,7983,1517);</v>
      </c>
    </row>
    <row r="3299" spans="1:12">
      <c r="A3299" s="114">
        <v>2</v>
      </c>
      <c r="B3299" s="114">
        <v>2</v>
      </c>
      <c r="C3299" s="139" t="s">
        <v>2169</v>
      </c>
      <c r="D3299" s="114" t="s">
        <v>2090</v>
      </c>
      <c r="E3299" s="114">
        <v>185</v>
      </c>
      <c r="F3299" s="114">
        <v>278</v>
      </c>
      <c r="G3299" s="114">
        <v>1</v>
      </c>
      <c r="H3299" s="114">
        <v>11500</v>
      </c>
      <c r="I3299" s="114">
        <v>11500</v>
      </c>
      <c r="J3299" s="114">
        <v>9664</v>
      </c>
      <c r="K3299" s="114">
        <v>1836</v>
      </c>
      <c r="L3299" s="114" t="str">
        <f t="shared" si="51"/>
        <v>INSERT INTO DETALLES_DOCUMENTO(NRO_DOCUMENTO,ID_TIPO,ID_PRODUCTO,CANTIDAD,PRECIO,VALOR_BRUTO,VALOR_NETO,VALOR_IVA) VALUES(2,2,278,1,11500,11500,9664,1836);</v>
      </c>
    </row>
    <row r="3300" spans="1:12">
      <c r="A3300" s="114">
        <v>2</v>
      </c>
      <c r="B3300" s="114">
        <v>2</v>
      </c>
      <c r="C3300" s="139" t="s">
        <v>2169</v>
      </c>
      <c r="D3300" s="114" t="s">
        <v>2090</v>
      </c>
      <c r="E3300" s="114">
        <v>185</v>
      </c>
      <c r="F3300" s="114">
        <v>369</v>
      </c>
      <c r="G3300" s="114">
        <v>1</v>
      </c>
      <c r="H3300" s="114">
        <v>10500</v>
      </c>
      <c r="I3300" s="114">
        <v>10500</v>
      </c>
      <c r="J3300" s="114">
        <v>8824</v>
      </c>
      <c r="K3300" s="114">
        <v>1676</v>
      </c>
      <c r="L3300" s="114" t="str">
        <f t="shared" si="51"/>
        <v>INSERT INTO DETALLES_DOCUMENTO(NRO_DOCUMENTO,ID_TIPO,ID_PRODUCTO,CANTIDAD,PRECIO,VALOR_BRUTO,VALOR_NETO,VALOR_IVA) VALUES(2,2,369,1,10500,10500,8824,1676);</v>
      </c>
    </row>
    <row r="3301" spans="1:12">
      <c r="A3301" s="114">
        <v>2</v>
      </c>
      <c r="B3301" s="114">
        <v>2</v>
      </c>
      <c r="C3301" s="139" t="s">
        <v>2169</v>
      </c>
      <c r="D3301" s="114" t="s">
        <v>2090</v>
      </c>
      <c r="E3301" s="114">
        <v>185</v>
      </c>
      <c r="F3301" s="114">
        <v>31</v>
      </c>
      <c r="G3301" s="114">
        <v>2</v>
      </c>
      <c r="H3301" s="114">
        <v>6800</v>
      </c>
      <c r="I3301" s="114">
        <v>13600</v>
      </c>
      <c r="J3301" s="114">
        <v>11429</v>
      </c>
      <c r="K3301" s="114">
        <v>2171</v>
      </c>
      <c r="L3301" s="114" t="str">
        <f t="shared" si="51"/>
        <v>INSERT INTO DETALLES_DOCUMENTO(NRO_DOCUMENTO,ID_TIPO,ID_PRODUCTO,CANTIDAD,PRECIO,VALOR_BRUTO,VALOR_NETO,VALOR_IVA) VALUES(2,2,31,2,6800,13600,11429,2171);</v>
      </c>
    </row>
    <row r="3302" spans="1:12">
      <c r="A3302" s="114">
        <v>2</v>
      </c>
      <c r="B3302" s="114">
        <v>3</v>
      </c>
      <c r="C3302" s="139" t="s">
        <v>2171</v>
      </c>
      <c r="D3302" s="114" t="s">
        <v>2090</v>
      </c>
      <c r="E3302" s="114">
        <v>125</v>
      </c>
      <c r="F3302" s="114">
        <v>166</v>
      </c>
      <c r="G3302" s="114">
        <v>1</v>
      </c>
      <c r="H3302" s="114">
        <v>1600</v>
      </c>
      <c r="I3302" s="114">
        <v>1600</v>
      </c>
      <c r="J3302" s="114">
        <v>1345</v>
      </c>
      <c r="K3302" s="114">
        <v>255</v>
      </c>
      <c r="L3302" s="114" t="str">
        <f t="shared" si="51"/>
        <v>INSERT INTO DETALLES_DOCUMENTO(NRO_DOCUMENTO,ID_TIPO,ID_PRODUCTO,CANTIDAD,PRECIO,VALOR_BRUTO,VALOR_NETO,VALOR_IVA) VALUES(3,2,166,1,1600,1600,1345,255);</v>
      </c>
    </row>
    <row r="3303" spans="1:12">
      <c r="A3303" s="114">
        <v>2</v>
      </c>
      <c r="B3303" s="114">
        <v>3</v>
      </c>
      <c r="C3303" s="139" t="s">
        <v>2171</v>
      </c>
      <c r="D3303" s="114" t="s">
        <v>2090</v>
      </c>
      <c r="E3303" s="114">
        <v>125</v>
      </c>
      <c r="F3303" s="114">
        <v>248</v>
      </c>
      <c r="G3303" s="114">
        <v>1</v>
      </c>
      <c r="H3303" s="114">
        <v>4500</v>
      </c>
      <c r="I3303" s="114">
        <v>4500</v>
      </c>
      <c r="J3303" s="114">
        <v>3782</v>
      </c>
      <c r="K3303" s="114">
        <v>718</v>
      </c>
      <c r="L3303" s="114" t="str">
        <f t="shared" si="51"/>
        <v>INSERT INTO DETALLES_DOCUMENTO(NRO_DOCUMENTO,ID_TIPO,ID_PRODUCTO,CANTIDAD,PRECIO,VALOR_BRUTO,VALOR_NETO,VALOR_IVA) VALUES(3,2,248,1,4500,4500,3782,718);</v>
      </c>
    </row>
    <row r="3304" spans="1:12">
      <c r="A3304" s="114">
        <v>2</v>
      </c>
      <c r="B3304" s="114">
        <v>3</v>
      </c>
      <c r="C3304" s="139" t="s">
        <v>2171</v>
      </c>
      <c r="D3304" s="114" t="s">
        <v>2090</v>
      </c>
      <c r="E3304" s="114">
        <v>125</v>
      </c>
      <c r="F3304" s="114">
        <v>157</v>
      </c>
      <c r="G3304" s="114">
        <v>1</v>
      </c>
      <c r="H3304" s="114">
        <v>4300</v>
      </c>
      <c r="I3304" s="114">
        <v>4300</v>
      </c>
      <c r="J3304" s="114">
        <v>3613</v>
      </c>
      <c r="K3304" s="114">
        <v>687</v>
      </c>
      <c r="L3304" s="114" t="str">
        <f t="shared" si="51"/>
        <v>INSERT INTO DETALLES_DOCUMENTO(NRO_DOCUMENTO,ID_TIPO,ID_PRODUCTO,CANTIDAD,PRECIO,VALOR_BRUTO,VALOR_NETO,VALOR_IVA) VALUES(3,2,157,1,4300,4300,3613,687);</v>
      </c>
    </row>
    <row r="3305" spans="1:12">
      <c r="A3305" s="114">
        <v>2</v>
      </c>
      <c r="B3305" s="114">
        <v>3</v>
      </c>
      <c r="C3305" s="139" t="s">
        <v>2171</v>
      </c>
      <c r="D3305" s="114" t="s">
        <v>2090</v>
      </c>
      <c r="E3305" s="114">
        <v>125</v>
      </c>
      <c r="F3305" s="114">
        <v>117</v>
      </c>
      <c r="G3305" s="114">
        <v>1</v>
      </c>
      <c r="H3305" s="114">
        <v>3500</v>
      </c>
      <c r="I3305" s="114">
        <v>3500</v>
      </c>
      <c r="J3305" s="114">
        <v>2941</v>
      </c>
      <c r="K3305" s="114">
        <v>559</v>
      </c>
      <c r="L3305" s="114" t="str">
        <f t="shared" si="51"/>
        <v>INSERT INTO DETALLES_DOCUMENTO(NRO_DOCUMENTO,ID_TIPO,ID_PRODUCTO,CANTIDAD,PRECIO,VALOR_BRUTO,VALOR_NETO,VALOR_IVA) VALUES(3,2,117,1,3500,3500,2941,559);</v>
      </c>
    </row>
    <row r="3306" spans="1:12">
      <c r="A3306" s="114">
        <v>2</v>
      </c>
      <c r="B3306" s="114">
        <v>3</v>
      </c>
      <c r="C3306" s="139" t="s">
        <v>2171</v>
      </c>
      <c r="D3306" s="114" t="s">
        <v>2090</v>
      </c>
      <c r="E3306" s="114">
        <v>125</v>
      </c>
      <c r="F3306" s="114">
        <v>25</v>
      </c>
      <c r="G3306" s="114">
        <v>1</v>
      </c>
      <c r="H3306" s="114">
        <v>1800</v>
      </c>
      <c r="I3306" s="114">
        <v>1800</v>
      </c>
      <c r="J3306" s="114">
        <v>1513</v>
      </c>
      <c r="K3306" s="114">
        <v>287</v>
      </c>
      <c r="L3306" s="114" t="str">
        <f t="shared" si="51"/>
        <v>INSERT INTO DETALLES_DOCUMENTO(NRO_DOCUMENTO,ID_TIPO,ID_PRODUCTO,CANTIDAD,PRECIO,VALOR_BRUTO,VALOR_NETO,VALOR_IVA) VALUES(3,2,25,1,1800,1800,1513,287);</v>
      </c>
    </row>
    <row r="3307" spans="1:12">
      <c r="A3307" s="114">
        <v>2</v>
      </c>
      <c r="B3307" s="114">
        <v>3</v>
      </c>
      <c r="C3307" s="139" t="s">
        <v>2171</v>
      </c>
      <c r="D3307" s="114" t="s">
        <v>2090</v>
      </c>
      <c r="E3307" s="114">
        <v>125</v>
      </c>
      <c r="F3307" s="114">
        <v>67</v>
      </c>
      <c r="G3307" s="114">
        <v>1</v>
      </c>
      <c r="H3307" s="114">
        <v>650</v>
      </c>
      <c r="I3307" s="114">
        <v>650</v>
      </c>
      <c r="J3307" s="114">
        <v>546</v>
      </c>
      <c r="K3307" s="114">
        <v>104</v>
      </c>
      <c r="L3307" s="114" t="str">
        <f t="shared" si="51"/>
        <v>INSERT INTO DETALLES_DOCUMENTO(NRO_DOCUMENTO,ID_TIPO,ID_PRODUCTO,CANTIDAD,PRECIO,VALOR_BRUTO,VALOR_NETO,VALOR_IVA) VALUES(3,2,67,1,650,650,546,104);</v>
      </c>
    </row>
    <row r="3308" spans="1:12">
      <c r="A3308" s="114">
        <v>2</v>
      </c>
      <c r="B3308" s="114">
        <v>3</v>
      </c>
      <c r="C3308" s="139" t="s">
        <v>2171</v>
      </c>
      <c r="D3308" s="114" t="s">
        <v>2090</v>
      </c>
      <c r="E3308" s="114">
        <v>125</v>
      </c>
      <c r="F3308" s="114">
        <v>356</v>
      </c>
      <c r="G3308" s="114">
        <v>1</v>
      </c>
      <c r="H3308" s="114">
        <v>3000</v>
      </c>
      <c r="I3308" s="114">
        <v>3000</v>
      </c>
      <c r="J3308" s="114">
        <v>2521</v>
      </c>
      <c r="K3308" s="114">
        <v>479</v>
      </c>
      <c r="L3308" s="114" t="str">
        <f t="shared" si="51"/>
        <v>INSERT INTO DETALLES_DOCUMENTO(NRO_DOCUMENTO,ID_TIPO,ID_PRODUCTO,CANTIDAD,PRECIO,VALOR_BRUTO,VALOR_NETO,VALOR_IVA) VALUES(3,2,356,1,3000,3000,2521,479);</v>
      </c>
    </row>
    <row r="3309" spans="1:12">
      <c r="A3309" s="114">
        <v>2</v>
      </c>
      <c r="B3309" s="114">
        <v>3</v>
      </c>
      <c r="C3309" s="139" t="s">
        <v>2171</v>
      </c>
      <c r="D3309" s="114" t="s">
        <v>2090</v>
      </c>
      <c r="E3309" s="114">
        <v>125</v>
      </c>
      <c r="F3309" s="114">
        <v>143</v>
      </c>
      <c r="G3309" s="114">
        <v>1</v>
      </c>
      <c r="H3309" s="114">
        <v>6500</v>
      </c>
      <c r="I3309" s="114">
        <v>6500</v>
      </c>
      <c r="J3309" s="114">
        <v>5462</v>
      </c>
      <c r="K3309" s="114">
        <v>1038</v>
      </c>
      <c r="L3309" s="114" t="str">
        <f t="shared" si="51"/>
        <v>INSERT INTO DETALLES_DOCUMENTO(NRO_DOCUMENTO,ID_TIPO,ID_PRODUCTO,CANTIDAD,PRECIO,VALOR_BRUTO,VALOR_NETO,VALOR_IVA) VALUES(3,2,143,1,6500,6500,5462,1038);</v>
      </c>
    </row>
    <row r="3310" spans="1:12">
      <c r="A3310" s="114">
        <v>2</v>
      </c>
      <c r="B3310" s="114">
        <v>3</v>
      </c>
      <c r="C3310" s="139" t="s">
        <v>2171</v>
      </c>
      <c r="D3310" s="114" t="s">
        <v>2090</v>
      </c>
      <c r="E3310" s="114">
        <v>125</v>
      </c>
      <c r="F3310" s="114">
        <v>324</v>
      </c>
      <c r="G3310" s="114">
        <v>1</v>
      </c>
      <c r="H3310" s="114">
        <v>10500</v>
      </c>
      <c r="I3310" s="114">
        <v>10500</v>
      </c>
      <c r="J3310" s="114">
        <v>8824</v>
      </c>
      <c r="K3310" s="114">
        <v>1676</v>
      </c>
      <c r="L3310" s="114" t="str">
        <f t="shared" si="51"/>
        <v>INSERT INTO DETALLES_DOCUMENTO(NRO_DOCUMENTO,ID_TIPO,ID_PRODUCTO,CANTIDAD,PRECIO,VALOR_BRUTO,VALOR_NETO,VALOR_IVA) VALUES(3,2,324,1,10500,10500,8824,1676);</v>
      </c>
    </row>
    <row r="3311" spans="1:12">
      <c r="A3311" s="114">
        <v>2</v>
      </c>
      <c r="B3311" s="114">
        <v>3</v>
      </c>
      <c r="C3311" s="139" t="s">
        <v>2171</v>
      </c>
      <c r="D3311" s="114" t="s">
        <v>2090</v>
      </c>
      <c r="E3311" s="114">
        <v>125</v>
      </c>
      <c r="F3311" s="114">
        <v>297</v>
      </c>
      <c r="G3311" s="114">
        <v>1</v>
      </c>
      <c r="H3311" s="114">
        <v>7000</v>
      </c>
      <c r="I3311" s="114">
        <v>7000</v>
      </c>
      <c r="J3311" s="114">
        <v>5882</v>
      </c>
      <c r="K3311" s="114">
        <v>1118</v>
      </c>
      <c r="L3311" s="114" t="str">
        <f t="shared" si="51"/>
        <v>INSERT INTO DETALLES_DOCUMENTO(NRO_DOCUMENTO,ID_TIPO,ID_PRODUCTO,CANTIDAD,PRECIO,VALOR_BRUTO,VALOR_NETO,VALOR_IVA) VALUES(3,2,297,1,7000,7000,5882,1118);</v>
      </c>
    </row>
    <row r="3312" spans="1:12">
      <c r="A3312" s="114">
        <v>2</v>
      </c>
      <c r="B3312" s="114">
        <v>3</v>
      </c>
      <c r="C3312" s="139" t="s">
        <v>2171</v>
      </c>
      <c r="D3312" s="114" t="s">
        <v>2090</v>
      </c>
      <c r="E3312" s="114">
        <v>125</v>
      </c>
      <c r="F3312" s="114">
        <v>266</v>
      </c>
      <c r="G3312" s="114">
        <v>1</v>
      </c>
      <c r="H3312" s="114">
        <v>9500</v>
      </c>
      <c r="I3312" s="114">
        <v>9500</v>
      </c>
      <c r="J3312" s="114">
        <v>7983</v>
      </c>
      <c r="K3312" s="114">
        <v>1517</v>
      </c>
      <c r="L3312" s="114" t="str">
        <f t="shared" si="51"/>
        <v>INSERT INTO DETALLES_DOCUMENTO(NRO_DOCUMENTO,ID_TIPO,ID_PRODUCTO,CANTIDAD,PRECIO,VALOR_BRUTO,VALOR_NETO,VALOR_IVA) VALUES(3,2,266,1,9500,9500,7983,1517);</v>
      </c>
    </row>
    <row r="3313" spans="1:12">
      <c r="A3313" s="114">
        <v>2</v>
      </c>
      <c r="B3313" s="114">
        <v>3</v>
      </c>
      <c r="C3313" s="139" t="s">
        <v>2171</v>
      </c>
      <c r="D3313" s="114" t="s">
        <v>2090</v>
      </c>
      <c r="E3313" s="114">
        <v>125</v>
      </c>
      <c r="F3313" s="114">
        <v>382</v>
      </c>
      <c r="G3313" s="114">
        <v>1</v>
      </c>
      <c r="H3313" s="114">
        <v>2600</v>
      </c>
      <c r="I3313" s="114">
        <v>2600</v>
      </c>
      <c r="J3313" s="114">
        <v>2185</v>
      </c>
      <c r="K3313" s="114">
        <v>415</v>
      </c>
      <c r="L3313" s="114" t="str">
        <f t="shared" si="51"/>
        <v>INSERT INTO DETALLES_DOCUMENTO(NRO_DOCUMENTO,ID_TIPO,ID_PRODUCTO,CANTIDAD,PRECIO,VALOR_BRUTO,VALOR_NETO,VALOR_IVA) VALUES(3,2,382,1,2600,2600,2185,415);</v>
      </c>
    </row>
    <row r="3314" spans="1:12">
      <c r="A3314" s="114">
        <v>2</v>
      </c>
      <c r="B3314" s="114">
        <v>3</v>
      </c>
      <c r="C3314" s="139" t="s">
        <v>2171</v>
      </c>
      <c r="D3314" s="114" t="s">
        <v>2090</v>
      </c>
      <c r="E3314" s="114">
        <v>125</v>
      </c>
      <c r="F3314" s="114">
        <v>155</v>
      </c>
      <c r="G3314" s="114">
        <v>2</v>
      </c>
      <c r="H3314" s="114">
        <v>3301</v>
      </c>
      <c r="I3314" s="114">
        <v>6602</v>
      </c>
      <c r="J3314" s="114">
        <v>5548</v>
      </c>
      <c r="K3314" s="114">
        <v>1054</v>
      </c>
      <c r="L3314" s="114" t="str">
        <f t="shared" si="51"/>
        <v>INSERT INTO DETALLES_DOCUMENTO(NRO_DOCUMENTO,ID_TIPO,ID_PRODUCTO,CANTIDAD,PRECIO,VALOR_BRUTO,VALOR_NETO,VALOR_IVA) VALUES(3,2,155,2,3301,6602,5548,1054);</v>
      </c>
    </row>
    <row r="3315" spans="1:12">
      <c r="A3315" s="114">
        <v>2</v>
      </c>
      <c r="B3315" s="114">
        <v>3</v>
      </c>
      <c r="C3315" s="139" t="s">
        <v>2171</v>
      </c>
      <c r="D3315" s="114" t="s">
        <v>2090</v>
      </c>
      <c r="E3315" s="114">
        <v>125</v>
      </c>
      <c r="F3315" s="114">
        <v>354</v>
      </c>
      <c r="G3315" s="114">
        <v>1</v>
      </c>
      <c r="H3315" s="114">
        <v>1800</v>
      </c>
      <c r="I3315" s="114">
        <v>1800</v>
      </c>
      <c r="J3315" s="114">
        <v>1513</v>
      </c>
      <c r="K3315" s="114">
        <v>287</v>
      </c>
      <c r="L3315" s="114" t="str">
        <f t="shared" si="51"/>
        <v>INSERT INTO DETALLES_DOCUMENTO(NRO_DOCUMENTO,ID_TIPO,ID_PRODUCTO,CANTIDAD,PRECIO,VALOR_BRUTO,VALOR_NETO,VALOR_IVA) VALUES(3,2,354,1,1800,1800,1513,287);</v>
      </c>
    </row>
    <row r="3316" spans="1:12">
      <c r="A3316" s="114">
        <v>2</v>
      </c>
      <c r="B3316" s="114">
        <v>4</v>
      </c>
      <c r="C3316" s="139" t="s">
        <v>2174</v>
      </c>
      <c r="D3316" s="114" t="s">
        <v>2090</v>
      </c>
      <c r="E3316" s="114">
        <v>203</v>
      </c>
      <c r="F3316" s="114">
        <v>117</v>
      </c>
      <c r="G3316" s="114">
        <v>1</v>
      </c>
      <c r="H3316" s="114">
        <v>3500</v>
      </c>
      <c r="I3316" s="114">
        <v>3500</v>
      </c>
      <c r="J3316" s="114">
        <v>2941</v>
      </c>
      <c r="K3316" s="114">
        <v>559</v>
      </c>
      <c r="L3316" s="114" t="str">
        <f t="shared" si="51"/>
        <v>INSERT INTO DETALLES_DOCUMENTO(NRO_DOCUMENTO,ID_TIPO,ID_PRODUCTO,CANTIDAD,PRECIO,VALOR_BRUTO,VALOR_NETO,VALOR_IVA) VALUES(4,2,117,1,3500,3500,2941,559);</v>
      </c>
    </row>
    <row r="3317" spans="1:12">
      <c r="A3317" s="114">
        <v>2</v>
      </c>
      <c r="B3317" s="114">
        <v>4</v>
      </c>
      <c r="C3317" s="139" t="s">
        <v>2174</v>
      </c>
      <c r="D3317" s="114" t="s">
        <v>2090</v>
      </c>
      <c r="E3317" s="114">
        <v>203</v>
      </c>
      <c r="F3317" s="114">
        <v>359</v>
      </c>
      <c r="G3317" s="114">
        <v>1</v>
      </c>
      <c r="H3317" s="114">
        <v>2500</v>
      </c>
      <c r="I3317" s="114">
        <v>2500</v>
      </c>
      <c r="J3317" s="114">
        <v>2101</v>
      </c>
      <c r="K3317" s="114">
        <v>399</v>
      </c>
      <c r="L3317" s="114" t="str">
        <f t="shared" si="51"/>
        <v>INSERT INTO DETALLES_DOCUMENTO(NRO_DOCUMENTO,ID_TIPO,ID_PRODUCTO,CANTIDAD,PRECIO,VALOR_BRUTO,VALOR_NETO,VALOR_IVA) VALUES(4,2,359,1,2500,2500,2101,399);</v>
      </c>
    </row>
    <row r="3318" spans="1:12">
      <c r="A3318" s="114">
        <v>2</v>
      </c>
      <c r="B3318" s="114">
        <v>5</v>
      </c>
      <c r="C3318" s="139" t="s">
        <v>2178</v>
      </c>
      <c r="D3318" s="114" t="s">
        <v>2090</v>
      </c>
      <c r="E3318" s="114">
        <v>203</v>
      </c>
      <c r="F3318" s="114">
        <v>231</v>
      </c>
      <c r="G3318" s="114">
        <v>1</v>
      </c>
      <c r="H3318" s="114">
        <v>19990</v>
      </c>
      <c r="I3318" s="114">
        <v>19990</v>
      </c>
      <c r="J3318" s="114">
        <v>16798</v>
      </c>
      <c r="K3318" s="114">
        <v>3192</v>
      </c>
      <c r="L3318" s="114" t="str">
        <f t="shared" si="51"/>
        <v>INSERT INTO DETALLES_DOCUMENTO(NRO_DOCUMENTO,ID_TIPO,ID_PRODUCTO,CANTIDAD,PRECIO,VALOR_BRUTO,VALOR_NETO,VALOR_IVA) VALUES(5,2,231,1,19990,19990,16798,3192);</v>
      </c>
    </row>
    <row r="3319" spans="1:12">
      <c r="A3319" s="114">
        <v>2</v>
      </c>
      <c r="B3319" s="114">
        <v>5</v>
      </c>
      <c r="C3319" s="139" t="s">
        <v>2178</v>
      </c>
      <c r="D3319" s="114" t="s">
        <v>2090</v>
      </c>
      <c r="E3319" s="114">
        <v>203</v>
      </c>
      <c r="F3319" s="114">
        <v>277</v>
      </c>
      <c r="G3319" s="114">
        <v>1</v>
      </c>
      <c r="H3319" s="114">
        <v>10000</v>
      </c>
      <c r="I3319" s="114">
        <v>10000</v>
      </c>
      <c r="J3319" s="114">
        <v>8403</v>
      </c>
      <c r="K3319" s="114">
        <v>1597</v>
      </c>
      <c r="L3319" s="114" t="str">
        <f t="shared" si="51"/>
        <v>INSERT INTO DETALLES_DOCUMENTO(NRO_DOCUMENTO,ID_TIPO,ID_PRODUCTO,CANTIDAD,PRECIO,VALOR_BRUTO,VALOR_NETO,VALOR_IVA) VALUES(5,2,277,1,10000,10000,8403,1597);</v>
      </c>
    </row>
    <row r="3320" spans="1:12">
      <c r="A3320" s="114">
        <v>2</v>
      </c>
      <c r="B3320" s="114">
        <v>5</v>
      </c>
      <c r="C3320" s="139" t="s">
        <v>2178</v>
      </c>
      <c r="D3320" s="114" t="s">
        <v>2090</v>
      </c>
      <c r="E3320" s="114">
        <v>203</v>
      </c>
      <c r="F3320" s="114">
        <v>276</v>
      </c>
      <c r="G3320" s="114">
        <v>1</v>
      </c>
      <c r="H3320" s="114">
        <v>8000</v>
      </c>
      <c r="I3320" s="114">
        <v>8000</v>
      </c>
      <c r="J3320" s="114">
        <v>6723</v>
      </c>
      <c r="K3320" s="114">
        <v>1277</v>
      </c>
      <c r="L3320" s="114" t="str">
        <f t="shared" si="51"/>
        <v>INSERT INTO DETALLES_DOCUMENTO(NRO_DOCUMENTO,ID_TIPO,ID_PRODUCTO,CANTIDAD,PRECIO,VALOR_BRUTO,VALOR_NETO,VALOR_IVA) VALUES(5,2,276,1,8000,8000,6723,1277);</v>
      </c>
    </row>
    <row r="3321" spans="1:12">
      <c r="A3321" s="114">
        <v>2</v>
      </c>
      <c r="B3321" s="114">
        <v>5</v>
      </c>
      <c r="C3321" s="139" t="s">
        <v>2178</v>
      </c>
      <c r="D3321" s="114" t="s">
        <v>2090</v>
      </c>
      <c r="E3321" s="114">
        <v>203</v>
      </c>
      <c r="F3321" s="114">
        <v>29</v>
      </c>
      <c r="G3321" s="114">
        <v>1</v>
      </c>
      <c r="H3321" s="114">
        <v>1000</v>
      </c>
      <c r="I3321" s="114">
        <v>1000</v>
      </c>
      <c r="J3321" s="114">
        <v>840</v>
      </c>
      <c r="K3321" s="114">
        <v>160</v>
      </c>
      <c r="L3321" s="114" t="str">
        <f t="shared" si="51"/>
        <v>INSERT INTO DETALLES_DOCUMENTO(NRO_DOCUMENTO,ID_TIPO,ID_PRODUCTO,CANTIDAD,PRECIO,VALOR_BRUTO,VALOR_NETO,VALOR_IVA) VALUES(5,2,29,1,1000,1000,840,160);</v>
      </c>
    </row>
    <row r="3322" spans="1:12">
      <c r="A3322" s="114">
        <v>2</v>
      </c>
      <c r="B3322" s="114">
        <v>6</v>
      </c>
      <c r="C3322" s="139" t="s">
        <v>2183</v>
      </c>
      <c r="D3322" s="114" t="s">
        <v>2090</v>
      </c>
      <c r="E3322" s="114">
        <v>413</v>
      </c>
      <c r="F3322" s="114">
        <v>123</v>
      </c>
      <c r="G3322" s="114">
        <v>1</v>
      </c>
      <c r="H3322" s="114">
        <v>24000</v>
      </c>
      <c r="I3322" s="114">
        <v>24000</v>
      </c>
      <c r="J3322" s="114">
        <v>20168</v>
      </c>
      <c r="K3322" s="114">
        <v>3832</v>
      </c>
      <c r="L3322" s="114" t="str">
        <f t="shared" si="51"/>
        <v>INSERT INTO DETALLES_DOCUMENTO(NRO_DOCUMENTO,ID_TIPO,ID_PRODUCTO,CANTIDAD,PRECIO,VALOR_BRUTO,VALOR_NETO,VALOR_IVA) VALUES(6,2,123,1,24000,24000,20168,3832);</v>
      </c>
    </row>
    <row r="3323" spans="1:12">
      <c r="A3323" s="114">
        <v>2</v>
      </c>
      <c r="B3323" s="114">
        <v>6</v>
      </c>
      <c r="C3323" s="139" t="s">
        <v>2183</v>
      </c>
      <c r="D3323" s="114" t="s">
        <v>2090</v>
      </c>
      <c r="E3323" s="114">
        <v>413</v>
      </c>
      <c r="F3323" s="114">
        <v>112</v>
      </c>
      <c r="G3323" s="114">
        <v>1</v>
      </c>
      <c r="H3323" s="114">
        <v>-500</v>
      </c>
      <c r="I3323" s="114">
        <v>-500</v>
      </c>
      <c r="J3323" s="114">
        <v>-420</v>
      </c>
      <c r="K3323" s="114">
        <v>-80</v>
      </c>
      <c r="L3323" s="114" t="str">
        <f t="shared" si="51"/>
        <v>INSERT INTO DETALLES_DOCUMENTO(NRO_DOCUMENTO,ID_TIPO,ID_PRODUCTO,CANTIDAD,PRECIO,VALOR_BRUTO,VALOR_NETO,VALOR_IVA) VALUES(6,2,112,1,-500,-500,-420,-80);</v>
      </c>
    </row>
    <row r="3324" spans="1:12">
      <c r="A3324" s="114">
        <v>2</v>
      </c>
      <c r="B3324" s="114">
        <v>6</v>
      </c>
      <c r="C3324" s="139" t="s">
        <v>2183</v>
      </c>
      <c r="D3324" s="114" t="s">
        <v>2090</v>
      </c>
      <c r="E3324" s="114">
        <v>413</v>
      </c>
      <c r="F3324" s="114">
        <v>74</v>
      </c>
      <c r="G3324" s="114">
        <v>2</v>
      </c>
      <c r="H3324" s="114">
        <v>23000</v>
      </c>
      <c r="I3324" s="114">
        <v>46000</v>
      </c>
      <c r="J3324" s="114">
        <v>38655</v>
      </c>
      <c r="K3324" s="114">
        <v>7345</v>
      </c>
      <c r="L3324" s="114" t="str">
        <f t="shared" si="51"/>
        <v>INSERT INTO DETALLES_DOCUMENTO(NRO_DOCUMENTO,ID_TIPO,ID_PRODUCTO,CANTIDAD,PRECIO,VALOR_BRUTO,VALOR_NETO,VALOR_IVA) VALUES(6,2,74,2,23000,46000,38655,7345);</v>
      </c>
    </row>
    <row r="3325" spans="1:12">
      <c r="A3325" s="114">
        <v>2</v>
      </c>
      <c r="B3325" s="114">
        <v>6</v>
      </c>
      <c r="C3325" s="139" t="s">
        <v>2183</v>
      </c>
      <c r="D3325" s="114" t="s">
        <v>2090</v>
      </c>
      <c r="E3325" s="114">
        <v>413</v>
      </c>
      <c r="F3325" s="114">
        <v>371</v>
      </c>
      <c r="G3325" s="114">
        <v>2</v>
      </c>
      <c r="H3325" s="114">
        <v>19000</v>
      </c>
      <c r="I3325" s="114">
        <v>38000</v>
      </c>
      <c r="J3325" s="114">
        <v>31933</v>
      </c>
      <c r="K3325" s="114">
        <v>6067</v>
      </c>
      <c r="L3325" s="114" t="str">
        <f t="shared" si="51"/>
        <v>INSERT INTO DETALLES_DOCUMENTO(NRO_DOCUMENTO,ID_TIPO,ID_PRODUCTO,CANTIDAD,PRECIO,VALOR_BRUTO,VALOR_NETO,VALOR_IVA) VALUES(6,2,371,2,19000,38000,31933,6067);</v>
      </c>
    </row>
    <row r="3326" spans="1:12">
      <c r="A3326" s="114">
        <v>2</v>
      </c>
      <c r="B3326" s="114">
        <v>6</v>
      </c>
      <c r="C3326" s="139" t="s">
        <v>2183</v>
      </c>
      <c r="D3326" s="114" t="s">
        <v>2090</v>
      </c>
      <c r="E3326" s="114">
        <v>413</v>
      </c>
      <c r="F3326" s="114">
        <v>236</v>
      </c>
      <c r="G3326" s="114">
        <v>1</v>
      </c>
      <c r="H3326" s="114">
        <v>18990</v>
      </c>
      <c r="I3326" s="114">
        <v>18990</v>
      </c>
      <c r="J3326" s="114">
        <v>15958</v>
      </c>
      <c r="K3326" s="114">
        <v>3032</v>
      </c>
      <c r="L3326" s="114" t="str">
        <f t="shared" si="51"/>
        <v>INSERT INTO DETALLES_DOCUMENTO(NRO_DOCUMENTO,ID_TIPO,ID_PRODUCTO,CANTIDAD,PRECIO,VALOR_BRUTO,VALOR_NETO,VALOR_IVA) VALUES(6,2,236,1,18990,18990,15958,3032);</v>
      </c>
    </row>
    <row r="3327" spans="1:12">
      <c r="A3327" s="114">
        <v>2</v>
      </c>
      <c r="B3327" s="114">
        <v>7</v>
      </c>
      <c r="C3327" s="139" t="s">
        <v>2186</v>
      </c>
      <c r="D3327" s="114" t="s">
        <v>2090</v>
      </c>
      <c r="E3327" s="114">
        <v>203</v>
      </c>
      <c r="F3327" s="114">
        <v>118</v>
      </c>
      <c r="G3327" s="114">
        <v>1</v>
      </c>
      <c r="H3327" s="114">
        <v>3500</v>
      </c>
      <c r="I3327" s="114">
        <v>3500</v>
      </c>
      <c r="J3327" s="114">
        <v>2941</v>
      </c>
      <c r="K3327" s="114">
        <v>559</v>
      </c>
      <c r="L3327" s="114" t="str">
        <f t="shared" si="51"/>
        <v>INSERT INTO DETALLES_DOCUMENTO(NRO_DOCUMENTO,ID_TIPO,ID_PRODUCTO,CANTIDAD,PRECIO,VALOR_BRUTO,VALOR_NETO,VALOR_IVA) VALUES(7,2,118,1,3500,3500,2941,559);</v>
      </c>
    </row>
    <row r="3328" spans="1:12">
      <c r="A3328" s="114">
        <v>2</v>
      </c>
      <c r="B3328" s="114">
        <v>8</v>
      </c>
      <c r="C3328" s="139" t="s">
        <v>2201</v>
      </c>
      <c r="D3328" s="114" t="s">
        <v>2090</v>
      </c>
      <c r="E3328" s="114">
        <v>203</v>
      </c>
      <c r="F3328" s="114">
        <v>277</v>
      </c>
      <c r="G3328" s="114">
        <v>1</v>
      </c>
      <c r="H3328" s="114">
        <v>10000</v>
      </c>
      <c r="I3328" s="114">
        <v>10000</v>
      </c>
      <c r="J3328" s="114">
        <v>8403</v>
      </c>
      <c r="K3328" s="114">
        <v>1597</v>
      </c>
      <c r="L3328" s="114" t="str">
        <f t="shared" si="51"/>
        <v>INSERT INTO DETALLES_DOCUMENTO(NRO_DOCUMENTO,ID_TIPO,ID_PRODUCTO,CANTIDAD,PRECIO,VALOR_BRUTO,VALOR_NETO,VALOR_IVA) VALUES(8,2,277,1,10000,10000,8403,1597);</v>
      </c>
    </row>
    <row r="3329" spans="1:12">
      <c r="A3329" s="114">
        <v>2</v>
      </c>
      <c r="B3329" s="114">
        <v>8</v>
      </c>
      <c r="C3329" s="139" t="s">
        <v>2201</v>
      </c>
      <c r="D3329" s="114" t="s">
        <v>2090</v>
      </c>
      <c r="E3329" s="114">
        <v>203</v>
      </c>
      <c r="F3329" s="114">
        <v>359</v>
      </c>
      <c r="G3329" s="114">
        <v>2</v>
      </c>
      <c r="H3329" s="114">
        <v>5000</v>
      </c>
      <c r="I3329" s="114">
        <v>10000</v>
      </c>
      <c r="J3329" s="114">
        <v>8403</v>
      </c>
      <c r="K3329" s="114">
        <v>1597</v>
      </c>
      <c r="L3329" s="114" t="str">
        <f t="shared" si="51"/>
        <v>INSERT INTO DETALLES_DOCUMENTO(NRO_DOCUMENTO,ID_TIPO,ID_PRODUCTO,CANTIDAD,PRECIO,VALOR_BRUTO,VALOR_NETO,VALOR_IVA) VALUES(8,2,359,2,5000,10000,8403,1597);</v>
      </c>
    </row>
    <row r="3330" spans="1:12">
      <c r="A3330" s="114">
        <v>2</v>
      </c>
      <c r="B3330" s="114">
        <v>8</v>
      </c>
      <c r="C3330" s="139" t="s">
        <v>2201</v>
      </c>
      <c r="D3330" s="114" t="s">
        <v>2090</v>
      </c>
      <c r="E3330" s="114">
        <v>203</v>
      </c>
      <c r="F3330" s="114">
        <v>143</v>
      </c>
      <c r="G3330" s="114">
        <v>1</v>
      </c>
      <c r="H3330" s="114">
        <v>6300</v>
      </c>
      <c r="I3330" s="114">
        <v>6300</v>
      </c>
      <c r="J3330" s="114">
        <v>5294</v>
      </c>
      <c r="K3330" s="114">
        <v>1006</v>
      </c>
      <c r="L3330" s="114" t="str">
        <f t="shared" si="51"/>
        <v>INSERT INTO DETALLES_DOCUMENTO(NRO_DOCUMENTO,ID_TIPO,ID_PRODUCTO,CANTIDAD,PRECIO,VALOR_BRUTO,VALOR_NETO,VALOR_IVA) VALUES(8,2,143,1,6300,6300,5294,1006);</v>
      </c>
    </row>
    <row r="3331" spans="1:12">
      <c r="A3331" s="114">
        <v>2</v>
      </c>
      <c r="B3331" s="114">
        <v>8</v>
      </c>
      <c r="C3331" s="139" t="s">
        <v>2201</v>
      </c>
      <c r="D3331" s="114" t="s">
        <v>2090</v>
      </c>
      <c r="E3331" s="114">
        <v>203</v>
      </c>
      <c r="F3331" s="114">
        <v>264</v>
      </c>
      <c r="G3331" s="114">
        <v>1</v>
      </c>
      <c r="H3331" s="114">
        <v>5000</v>
      </c>
      <c r="I3331" s="114">
        <v>5000</v>
      </c>
      <c r="J3331" s="114">
        <v>4202</v>
      </c>
      <c r="K3331" s="114">
        <v>798</v>
      </c>
      <c r="L3331" s="114" t="str">
        <f t="shared" ref="L3331:L3394" si="52">CONCATENATE("INSERT INTO DETALLES_DOCUMENTO(NRO_DOCUMENTO,ID_TIPO,ID_PRODUCTO,CANTIDAD,PRECIO,VALOR_BRUTO,VALOR_NETO,VALOR_IVA) VALUES(",B3331,",",A3331,",",F3331,",",G3331,",",H3331,",",I3331,",",J3331,",",K3331,");")</f>
        <v>INSERT INTO DETALLES_DOCUMENTO(NRO_DOCUMENTO,ID_TIPO,ID_PRODUCTO,CANTIDAD,PRECIO,VALOR_BRUTO,VALOR_NETO,VALOR_IVA) VALUES(8,2,264,1,5000,5000,4202,798);</v>
      </c>
    </row>
    <row r="3332" spans="1:12">
      <c r="A3332" s="114">
        <v>2</v>
      </c>
      <c r="B3332" s="114">
        <v>9</v>
      </c>
      <c r="C3332" s="139" t="s">
        <v>2203</v>
      </c>
      <c r="D3332" s="114" t="s">
        <v>2090</v>
      </c>
      <c r="E3332" s="114">
        <v>125</v>
      </c>
      <c r="F3332" s="114">
        <v>143</v>
      </c>
      <c r="G3332" s="114">
        <v>1</v>
      </c>
      <c r="H3332" s="114">
        <v>6900</v>
      </c>
      <c r="I3332" s="114">
        <v>6900</v>
      </c>
      <c r="J3332" s="114">
        <v>5798</v>
      </c>
      <c r="K3332" s="114">
        <v>1102</v>
      </c>
      <c r="L3332" s="114" t="str">
        <f t="shared" si="52"/>
        <v>INSERT INTO DETALLES_DOCUMENTO(NRO_DOCUMENTO,ID_TIPO,ID_PRODUCTO,CANTIDAD,PRECIO,VALOR_BRUTO,VALOR_NETO,VALOR_IVA) VALUES(9,2,143,1,6900,6900,5798,1102);</v>
      </c>
    </row>
    <row r="3333" spans="1:12">
      <c r="A3333" s="114">
        <v>2</v>
      </c>
      <c r="B3333" s="114">
        <v>9</v>
      </c>
      <c r="C3333" s="139" t="s">
        <v>2203</v>
      </c>
      <c r="D3333" s="114" t="s">
        <v>2090</v>
      </c>
      <c r="E3333" s="114">
        <v>125</v>
      </c>
      <c r="F3333" s="114">
        <v>324</v>
      </c>
      <c r="G3333" s="114">
        <v>1</v>
      </c>
      <c r="H3333" s="114">
        <v>10500</v>
      </c>
      <c r="I3333" s="114">
        <v>10500</v>
      </c>
      <c r="J3333" s="114">
        <v>8824</v>
      </c>
      <c r="K3333" s="114">
        <v>1676</v>
      </c>
      <c r="L3333" s="114" t="str">
        <f t="shared" si="52"/>
        <v>INSERT INTO DETALLES_DOCUMENTO(NRO_DOCUMENTO,ID_TIPO,ID_PRODUCTO,CANTIDAD,PRECIO,VALOR_BRUTO,VALOR_NETO,VALOR_IVA) VALUES(9,2,324,1,10500,10500,8824,1676);</v>
      </c>
    </row>
    <row r="3334" spans="1:12">
      <c r="A3334" s="114">
        <v>2</v>
      </c>
      <c r="B3334" s="114">
        <v>9</v>
      </c>
      <c r="C3334" s="139" t="s">
        <v>2203</v>
      </c>
      <c r="D3334" s="114" t="s">
        <v>2090</v>
      </c>
      <c r="E3334" s="114">
        <v>125</v>
      </c>
      <c r="F3334" s="114">
        <v>259</v>
      </c>
      <c r="G3334" s="114">
        <v>1</v>
      </c>
      <c r="H3334" s="114">
        <v>4500</v>
      </c>
      <c r="I3334" s="114">
        <v>4500</v>
      </c>
      <c r="J3334" s="114">
        <v>3782</v>
      </c>
      <c r="K3334" s="114">
        <v>718</v>
      </c>
      <c r="L3334" s="114" t="str">
        <f t="shared" si="52"/>
        <v>INSERT INTO DETALLES_DOCUMENTO(NRO_DOCUMENTO,ID_TIPO,ID_PRODUCTO,CANTIDAD,PRECIO,VALOR_BRUTO,VALOR_NETO,VALOR_IVA) VALUES(9,2,259,1,4500,4500,3782,718);</v>
      </c>
    </row>
    <row r="3335" spans="1:12">
      <c r="A3335" s="114">
        <v>2</v>
      </c>
      <c r="B3335" s="114">
        <v>9</v>
      </c>
      <c r="C3335" s="139" t="s">
        <v>2203</v>
      </c>
      <c r="D3335" s="114" t="s">
        <v>2090</v>
      </c>
      <c r="E3335" s="114">
        <v>125</v>
      </c>
      <c r="F3335" s="114">
        <v>25</v>
      </c>
      <c r="G3335" s="114">
        <v>1</v>
      </c>
      <c r="H3335" s="114">
        <v>1800</v>
      </c>
      <c r="I3335" s="114">
        <v>1800</v>
      </c>
      <c r="J3335" s="114">
        <v>1513</v>
      </c>
      <c r="K3335" s="114">
        <v>287</v>
      </c>
      <c r="L3335" s="114" t="str">
        <f t="shared" si="52"/>
        <v>INSERT INTO DETALLES_DOCUMENTO(NRO_DOCUMENTO,ID_TIPO,ID_PRODUCTO,CANTIDAD,PRECIO,VALOR_BRUTO,VALOR_NETO,VALOR_IVA) VALUES(9,2,25,1,1800,1800,1513,287);</v>
      </c>
    </row>
    <row r="3336" spans="1:12">
      <c r="A3336" s="114">
        <v>2</v>
      </c>
      <c r="B3336" s="114">
        <v>9</v>
      </c>
      <c r="C3336" s="139" t="s">
        <v>2203</v>
      </c>
      <c r="D3336" s="114" t="s">
        <v>2090</v>
      </c>
      <c r="E3336" s="114">
        <v>125</v>
      </c>
      <c r="F3336" s="114">
        <v>232</v>
      </c>
      <c r="G3336" s="114">
        <v>1</v>
      </c>
      <c r="H3336" s="114">
        <v>12500</v>
      </c>
      <c r="I3336" s="114">
        <v>12500</v>
      </c>
      <c r="J3336" s="114">
        <v>10504</v>
      </c>
      <c r="K3336" s="114">
        <v>1996</v>
      </c>
      <c r="L3336" s="114" t="str">
        <f t="shared" si="52"/>
        <v>INSERT INTO DETALLES_DOCUMENTO(NRO_DOCUMENTO,ID_TIPO,ID_PRODUCTO,CANTIDAD,PRECIO,VALOR_BRUTO,VALOR_NETO,VALOR_IVA) VALUES(9,2,232,1,12500,12500,10504,1996);</v>
      </c>
    </row>
    <row r="3337" spans="1:12">
      <c r="A3337" s="114">
        <v>2</v>
      </c>
      <c r="B3337" s="114">
        <v>9</v>
      </c>
      <c r="C3337" s="139" t="s">
        <v>2203</v>
      </c>
      <c r="D3337" s="114" t="s">
        <v>2090</v>
      </c>
      <c r="E3337" s="114">
        <v>125</v>
      </c>
      <c r="F3337" s="114">
        <v>266</v>
      </c>
      <c r="G3337" s="114">
        <v>1</v>
      </c>
      <c r="H3337" s="114">
        <v>9500</v>
      </c>
      <c r="I3337" s="114">
        <v>9500</v>
      </c>
      <c r="J3337" s="114">
        <v>7983</v>
      </c>
      <c r="K3337" s="114">
        <v>1517</v>
      </c>
      <c r="L3337" s="114" t="str">
        <f t="shared" si="52"/>
        <v>INSERT INTO DETALLES_DOCUMENTO(NRO_DOCUMENTO,ID_TIPO,ID_PRODUCTO,CANTIDAD,PRECIO,VALOR_BRUTO,VALOR_NETO,VALOR_IVA) VALUES(9,2,266,1,9500,9500,7983,1517);</v>
      </c>
    </row>
    <row r="3338" spans="1:12">
      <c r="A3338" s="114">
        <v>2</v>
      </c>
      <c r="B3338" s="114">
        <v>9</v>
      </c>
      <c r="C3338" s="139" t="s">
        <v>2203</v>
      </c>
      <c r="D3338" s="114" t="s">
        <v>2090</v>
      </c>
      <c r="E3338" s="114">
        <v>125</v>
      </c>
      <c r="F3338" s="114">
        <v>29</v>
      </c>
      <c r="G3338" s="114">
        <v>1</v>
      </c>
      <c r="H3338" s="114">
        <v>1000</v>
      </c>
      <c r="I3338" s="114">
        <v>1000</v>
      </c>
      <c r="J3338" s="114">
        <v>840</v>
      </c>
      <c r="K3338" s="114">
        <v>160</v>
      </c>
      <c r="L3338" s="114" t="str">
        <f t="shared" si="52"/>
        <v>INSERT INTO DETALLES_DOCUMENTO(NRO_DOCUMENTO,ID_TIPO,ID_PRODUCTO,CANTIDAD,PRECIO,VALOR_BRUTO,VALOR_NETO,VALOR_IVA) VALUES(9,2,29,1,1000,1000,840,160);</v>
      </c>
    </row>
    <row r="3339" spans="1:12">
      <c r="A3339" s="114">
        <v>2</v>
      </c>
      <c r="B3339" s="114">
        <v>9</v>
      </c>
      <c r="C3339" s="139" t="s">
        <v>2203</v>
      </c>
      <c r="D3339" s="114" t="s">
        <v>2090</v>
      </c>
      <c r="E3339" s="114">
        <v>125</v>
      </c>
      <c r="F3339" s="114">
        <v>124</v>
      </c>
      <c r="G3339" s="114">
        <v>1</v>
      </c>
      <c r="H3339" s="114">
        <v>4000</v>
      </c>
      <c r="I3339" s="114">
        <v>4000</v>
      </c>
      <c r="J3339" s="114">
        <v>3361</v>
      </c>
      <c r="K3339" s="114">
        <v>639</v>
      </c>
      <c r="L3339" s="114" t="str">
        <f t="shared" si="52"/>
        <v>INSERT INTO DETALLES_DOCUMENTO(NRO_DOCUMENTO,ID_TIPO,ID_PRODUCTO,CANTIDAD,PRECIO,VALOR_BRUTO,VALOR_NETO,VALOR_IVA) VALUES(9,2,124,1,4000,4000,3361,639);</v>
      </c>
    </row>
    <row r="3340" spans="1:12">
      <c r="A3340" s="114">
        <v>2</v>
      </c>
      <c r="B3340" s="114">
        <v>9</v>
      </c>
      <c r="C3340" s="139" t="s">
        <v>2203</v>
      </c>
      <c r="D3340" s="114" t="s">
        <v>2090</v>
      </c>
      <c r="E3340" s="114">
        <v>125</v>
      </c>
      <c r="F3340" s="114">
        <v>371</v>
      </c>
      <c r="G3340" s="114">
        <v>4</v>
      </c>
      <c r="H3340" s="114">
        <v>38000</v>
      </c>
      <c r="I3340" s="114">
        <v>152000</v>
      </c>
      <c r="J3340" s="114">
        <v>127731</v>
      </c>
      <c r="K3340" s="114">
        <v>24269</v>
      </c>
      <c r="L3340" s="114" t="str">
        <f t="shared" si="52"/>
        <v>INSERT INTO DETALLES_DOCUMENTO(NRO_DOCUMENTO,ID_TIPO,ID_PRODUCTO,CANTIDAD,PRECIO,VALOR_BRUTO,VALOR_NETO,VALOR_IVA) VALUES(9,2,371,4,38000,152000,127731,24269);</v>
      </c>
    </row>
    <row r="3341" spans="1:12">
      <c r="A3341" s="114">
        <v>2</v>
      </c>
      <c r="B3341" s="114">
        <v>9</v>
      </c>
      <c r="C3341" s="139" t="s">
        <v>2203</v>
      </c>
      <c r="D3341" s="114" t="s">
        <v>2090</v>
      </c>
      <c r="E3341" s="114">
        <v>125</v>
      </c>
      <c r="F3341" s="114">
        <v>276</v>
      </c>
      <c r="G3341" s="114">
        <v>1</v>
      </c>
      <c r="H3341" s="114">
        <v>8000</v>
      </c>
      <c r="I3341" s="114">
        <v>8000</v>
      </c>
      <c r="J3341" s="114">
        <v>6723</v>
      </c>
      <c r="K3341" s="114">
        <v>1277</v>
      </c>
      <c r="L3341" s="114" t="str">
        <f t="shared" si="52"/>
        <v>INSERT INTO DETALLES_DOCUMENTO(NRO_DOCUMENTO,ID_TIPO,ID_PRODUCTO,CANTIDAD,PRECIO,VALOR_BRUTO,VALOR_NETO,VALOR_IVA) VALUES(9,2,276,1,8000,8000,6723,1277);</v>
      </c>
    </row>
    <row r="3342" spans="1:12">
      <c r="A3342" s="114">
        <v>2</v>
      </c>
      <c r="B3342" s="114">
        <v>9</v>
      </c>
      <c r="C3342" s="139" t="s">
        <v>2203</v>
      </c>
      <c r="D3342" s="114" t="s">
        <v>2090</v>
      </c>
      <c r="E3342" s="114">
        <v>125</v>
      </c>
      <c r="F3342" s="114">
        <v>360</v>
      </c>
      <c r="G3342" s="114">
        <v>2</v>
      </c>
      <c r="H3342" s="114">
        <v>6000</v>
      </c>
      <c r="I3342" s="114">
        <v>12000</v>
      </c>
      <c r="J3342" s="114">
        <v>10084</v>
      </c>
      <c r="K3342" s="114">
        <v>1916</v>
      </c>
      <c r="L3342" s="114" t="str">
        <f t="shared" si="52"/>
        <v>INSERT INTO DETALLES_DOCUMENTO(NRO_DOCUMENTO,ID_TIPO,ID_PRODUCTO,CANTIDAD,PRECIO,VALOR_BRUTO,VALOR_NETO,VALOR_IVA) VALUES(9,2,360,2,6000,12000,10084,1916);</v>
      </c>
    </row>
    <row r="3343" spans="1:12">
      <c r="A3343" s="114">
        <v>2</v>
      </c>
      <c r="B3343" s="114">
        <v>9</v>
      </c>
      <c r="C3343" s="139" t="s">
        <v>2203</v>
      </c>
      <c r="D3343" s="114" t="s">
        <v>2090</v>
      </c>
      <c r="E3343" s="114">
        <v>125</v>
      </c>
      <c r="F3343" s="114">
        <v>379</v>
      </c>
      <c r="G3343" s="114">
        <v>2</v>
      </c>
      <c r="H3343" s="114">
        <v>4000</v>
      </c>
      <c r="I3343" s="114">
        <v>8000</v>
      </c>
      <c r="J3343" s="114">
        <v>6723</v>
      </c>
      <c r="K3343" s="114">
        <v>1277</v>
      </c>
      <c r="L3343" s="114" t="str">
        <f t="shared" si="52"/>
        <v>INSERT INTO DETALLES_DOCUMENTO(NRO_DOCUMENTO,ID_TIPO,ID_PRODUCTO,CANTIDAD,PRECIO,VALOR_BRUTO,VALOR_NETO,VALOR_IVA) VALUES(9,2,379,2,4000,8000,6723,1277);</v>
      </c>
    </row>
    <row r="3344" spans="1:12">
      <c r="A3344" s="114">
        <v>2</v>
      </c>
      <c r="B3344" s="114">
        <v>9</v>
      </c>
      <c r="C3344" s="139" t="s">
        <v>2203</v>
      </c>
      <c r="D3344" s="114" t="s">
        <v>2090</v>
      </c>
      <c r="E3344" s="114">
        <v>125</v>
      </c>
      <c r="F3344" s="114">
        <v>162</v>
      </c>
      <c r="G3344" s="114">
        <v>1</v>
      </c>
      <c r="H3344" s="114">
        <v>1600</v>
      </c>
      <c r="I3344" s="114">
        <v>1600</v>
      </c>
      <c r="J3344" s="114">
        <v>1345</v>
      </c>
      <c r="K3344" s="114">
        <v>255</v>
      </c>
      <c r="L3344" s="114" t="str">
        <f t="shared" si="52"/>
        <v>INSERT INTO DETALLES_DOCUMENTO(NRO_DOCUMENTO,ID_TIPO,ID_PRODUCTO,CANTIDAD,PRECIO,VALOR_BRUTO,VALOR_NETO,VALOR_IVA) VALUES(9,2,162,1,1600,1600,1345,255);</v>
      </c>
    </row>
    <row r="3345" spans="1:12">
      <c r="A3345" s="114">
        <v>2</v>
      </c>
      <c r="B3345" s="114">
        <v>9</v>
      </c>
      <c r="C3345" s="139" t="s">
        <v>2203</v>
      </c>
      <c r="D3345" s="114" t="s">
        <v>2090</v>
      </c>
      <c r="E3345" s="114">
        <v>125</v>
      </c>
      <c r="F3345" s="114">
        <v>166</v>
      </c>
      <c r="G3345" s="114">
        <v>2</v>
      </c>
      <c r="H3345" s="114">
        <v>3200</v>
      </c>
      <c r="I3345" s="114">
        <v>6400</v>
      </c>
      <c r="J3345" s="114">
        <v>5378</v>
      </c>
      <c r="K3345" s="114">
        <v>1022</v>
      </c>
      <c r="L3345" s="114" t="str">
        <f t="shared" si="52"/>
        <v>INSERT INTO DETALLES_DOCUMENTO(NRO_DOCUMENTO,ID_TIPO,ID_PRODUCTO,CANTIDAD,PRECIO,VALOR_BRUTO,VALOR_NETO,VALOR_IVA) VALUES(9,2,166,2,3200,6400,5378,1022);</v>
      </c>
    </row>
    <row r="3346" spans="1:12">
      <c r="A3346" s="114">
        <v>2</v>
      </c>
      <c r="B3346" s="114">
        <v>9</v>
      </c>
      <c r="C3346" s="139" t="s">
        <v>2203</v>
      </c>
      <c r="D3346" s="114" t="s">
        <v>2090</v>
      </c>
      <c r="E3346" s="114">
        <v>125</v>
      </c>
      <c r="F3346" s="114">
        <v>117</v>
      </c>
      <c r="G3346" s="114">
        <v>1</v>
      </c>
      <c r="H3346" s="114">
        <v>3500</v>
      </c>
      <c r="I3346" s="114">
        <v>3500</v>
      </c>
      <c r="J3346" s="114">
        <v>2941</v>
      </c>
      <c r="K3346" s="114">
        <v>559</v>
      </c>
      <c r="L3346" s="114" t="str">
        <f t="shared" si="52"/>
        <v>INSERT INTO DETALLES_DOCUMENTO(NRO_DOCUMENTO,ID_TIPO,ID_PRODUCTO,CANTIDAD,PRECIO,VALOR_BRUTO,VALOR_NETO,VALOR_IVA) VALUES(9,2,117,1,3500,3500,2941,559);</v>
      </c>
    </row>
    <row r="3347" spans="1:12">
      <c r="A3347" s="114">
        <v>2</v>
      </c>
      <c r="B3347" s="114">
        <v>9</v>
      </c>
      <c r="C3347" s="139" t="s">
        <v>2203</v>
      </c>
      <c r="D3347" s="114" t="s">
        <v>2090</v>
      </c>
      <c r="E3347" s="114">
        <v>125</v>
      </c>
      <c r="F3347" s="114">
        <v>356</v>
      </c>
      <c r="G3347" s="114">
        <v>1</v>
      </c>
      <c r="H3347" s="114">
        <v>3000</v>
      </c>
      <c r="I3347" s="114">
        <v>3000</v>
      </c>
      <c r="J3347" s="114">
        <v>2521</v>
      </c>
      <c r="K3347" s="114">
        <v>479</v>
      </c>
      <c r="L3347" s="114" t="str">
        <f t="shared" si="52"/>
        <v>INSERT INTO DETALLES_DOCUMENTO(NRO_DOCUMENTO,ID_TIPO,ID_PRODUCTO,CANTIDAD,PRECIO,VALOR_BRUTO,VALOR_NETO,VALOR_IVA) VALUES(9,2,356,1,3000,3000,2521,479);</v>
      </c>
    </row>
    <row r="3348" spans="1:12">
      <c r="A3348" s="114">
        <v>2</v>
      </c>
      <c r="B3348" s="114">
        <v>10</v>
      </c>
      <c r="C3348" s="139" t="s">
        <v>2206</v>
      </c>
      <c r="D3348" s="114" t="s">
        <v>2090</v>
      </c>
      <c r="E3348" s="114">
        <v>180</v>
      </c>
      <c r="F3348" s="114">
        <v>31</v>
      </c>
      <c r="G3348" s="114">
        <v>1</v>
      </c>
      <c r="H3348" s="114">
        <v>3400</v>
      </c>
      <c r="I3348" s="114">
        <v>3400</v>
      </c>
      <c r="J3348" s="114">
        <v>2857</v>
      </c>
      <c r="K3348" s="114">
        <v>543</v>
      </c>
      <c r="L3348" s="114" t="str">
        <f t="shared" si="52"/>
        <v>INSERT INTO DETALLES_DOCUMENTO(NRO_DOCUMENTO,ID_TIPO,ID_PRODUCTO,CANTIDAD,PRECIO,VALOR_BRUTO,VALOR_NETO,VALOR_IVA) VALUES(10,2,31,1,3400,3400,2857,543);</v>
      </c>
    </row>
    <row r="3349" spans="1:12">
      <c r="A3349" s="114">
        <v>2</v>
      </c>
      <c r="B3349" s="114">
        <v>10</v>
      </c>
      <c r="C3349" s="139" t="s">
        <v>2206</v>
      </c>
      <c r="D3349" s="114" t="s">
        <v>2090</v>
      </c>
      <c r="E3349" s="114">
        <v>180</v>
      </c>
      <c r="F3349" s="114">
        <v>29</v>
      </c>
      <c r="G3349" s="114">
        <v>1</v>
      </c>
      <c r="H3349" s="114">
        <v>1000</v>
      </c>
      <c r="I3349" s="114">
        <v>1000</v>
      </c>
      <c r="J3349" s="114">
        <v>840</v>
      </c>
      <c r="K3349" s="114">
        <v>160</v>
      </c>
      <c r="L3349" s="114" t="str">
        <f t="shared" si="52"/>
        <v>INSERT INTO DETALLES_DOCUMENTO(NRO_DOCUMENTO,ID_TIPO,ID_PRODUCTO,CANTIDAD,PRECIO,VALOR_BRUTO,VALOR_NETO,VALOR_IVA) VALUES(10,2,29,1,1000,1000,840,160);</v>
      </c>
    </row>
    <row r="3350" spans="1:12">
      <c r="A3350" s="114">
        <v>2</v>
      </c>
      <c r="B3350" s="114">
        <v>11</v>
      </c>
      <c r="C3350" s="139" t="s">
        <v>2206</v>
      </c>
      <c r="D3350" s="114" t="s">
        <v>2090</v>
      </c>
      <c r="E3350" s="114">
        <v>413</v>
      </c>
      <c r="F3350" s="114">
        <v>123</v>
      </c>
      <c r="G3350" s="114">
        <v>1</v>
      </c>
      <c r="H3350" s="114">
        <v>24000</v>
      </c>
      <c r="I3350" s="114">
        <v>24000</v>
      </c>
      <c r="J3350" s="114">
        <v>20168</v>
      </c>
      <c r="K3350" s="114">
        <v>3832</v>
      </c>
      <c r="L3350" s="114" t="str">
        <f t="shared" si="52"/>
        <v>INSERT INTO DETALLES_DOCUMENTO(NRO_DOCUMENTO,ID_TIPO,ID_PRODUCTO,CANTIDAD,PRECIO,VALOR_BRUTO,VALOR_NETO,VALOR_IVA) VALUES(11,2,123,1,24000,24000,20168,3832);</v>
      </c>
    </row>
    <row r="3351" spans="1:12">
      <c r="A3351" s="114">
        <v>2</v>
      </c>
      <c r="B3351" s="114">
        <v>11</v>
      </c>
      <c r="C3351" s="139" t="s">
        <v>2206</v>
      </c>
      <c r="D3351" s="114" t="s">
        <v>2090</v>
      </c>
      <c r="E3351" s="114">
        <v>413</v>
      </c>
      <c r="F3351" s="114">
        <v>112</v>
      </c>
      <c r="G3351" s="114">
        <v>1</v>
      </c>
      <c r="H3351" s="114">
        <v>-500</v>
      </c>
      <c r="I3351" s="114">
        <v>-500</v>
      </c>
      <c r="J3351" s="114">
        <v>-420</v>
      </c>
      <c r="K3351" s="114">
        <v>-80</v>
      </c>
      <c r="L3351" s="114" t="str">
        <f t="shared" si="52"/>
        <v>INSERT INTO DETALLES_DOCUMENTO(NRO_DOCUMENTO,ID_TIPO,ID_PRODUCTO,CANTIDAD,PRECIO,VALOR_BRUTO,VALOR_NETO,VALOR_IVA) VALUES(11,2,112,1,-500,-500,-420,-80);</v>
      </c>
    </row>
    <row r="3352" spans="1:12">
      <c r="A3352" s="114">
        <v>2</v>
      </c>
      <c r="B3352" s="114">
        <v>11</v>
      </c>
      <c r="C3352" s="139" t="s">
        <v>2206</v>
      </c>
      <c r="D3352" s="114" t="s">
        <v>2090</v>
      </c>
      <c r="E3352" s="114">
        <v>413</v>
      </c>
      <c r="F3352" s="114">
        <v>74</v>
      </c>
      <c r="G3352" s="114">
        <v>1</v>
      </c>
      <c r="H3352" s="114">
        <v>11500</v>
      </c>
      <c r="I3352" s="114">
        <v>11500</v>
      </c>
      <c r="J3352" s="114">
        <v>9664</v>
      </c>
      <c r="K3352" s="114">
        <v>1836</v>
      </c>
      <c r="L3352" s="114" t="str">
        <f t="shared" si="52"/>
        <v>INSERT INTO DETALLES_DOCUMENTO(NRO_DOCUMENTO,ID_TIPO,ID_PRODUCTO,CANTIDAD,PRECIO,VALOR_BRUTO,VALOR_NETO,VALOR_IVA) VALUES(11,2,74,1,11500,11500,9664,1836);</v>
      </c>
    </row>
    <row r="3353" spans="1:12">
      <c r="A3353" s="114">
        <v>2</v>
      </c>
      <c r="B3353" s="114">
        <v>11</v>
      </c>
      <c r="C3353" s="139" t="s">
        <v>2206</v>
      </c>
      <c r="D3353" s="114" t="s">
        <v>2090</v>
      </c>
      <c r="E3353" s="114">
        <v>413</v>
      </c>
      <c r="F3353" s="114">
        <v>236</v>
      </c>
      <c r="G3353" s="114">
        <v>1</v>
      </c>
      <c r="H3353" s="114">
        <v>18990</v>
      </c>
      <c r="I3353" s="114">
        <v>18990</v>
      </c>
      <c r="J3353" s="114">
        <v>15958</v>
      </c>
      <c r="K3353" s="114">
        <v>3032</v>
      </c>
      <c r="L3353" s="114" t="str">
        <f t="shared" si="52"/>
        <v>INSERT INTO DETALLES_DOCUMENTO(NRO_DOCUMENTO,ID_TIPO,ID_PRODUCTO,CANTIDAD,PRECIO,VALOR_BRUTO,VALOR_NETO,VALOR_IVA) VALUES(11,2,236,1,18990,18990,15958,3032);</v>
      </c>
    </row>
    <row r="3354" spans="1:12">
      <c r="A3354" s="114">
        <v>2</v>
      </c>
      <c r="B3354" s="114">
        <v>11</v>
      </c>
      <c r="C3354" s="139" t="s">
        <v>2206</v>
      </c>
      <c r="D3354" s="114" t="s">
        <v>2090</v>
      </c>
      <c r="E3354" s="114">
        <v>413</v>
      </c>
      <c r="F3354" s="114">
        <v>371</v>
      </c>
      <c r="G3354" s="114">
        <v>2</v>
      </c>
      <c r="H3354" s="114">
        <v>19000</v>
      </c>
      <c r="I3354" s="114">
        <v>38000</v>
      </c>
      <c r="J3354" s="114">
        <v>31933</v>
      </c>
      <c r="K3354" s="114">
        <v>6067</v>
      </c>
      <c r="L3354" s="114" t="str">
        <f t="shared" si="52"/>
        <v>INSERT INTO DETALLES_DOCUMENTO(NRO_DOCUMENTO,ID_TIPO,ID_PRODUCTO,CANTIDAD,PRECIO,VALOR_BRUTO,VALOR_NETO,VALOR_IVA) VALUES(11,2,371,2,19000,38000,31933,6067);</v>
      </c>
    </row>
    <row r="3355" spans="1:12">
      <c r="A3355" s="114">
        <v>2</v>
      </c>
      <c r="B3355" s="114">
        <v>12</v>
      </c>
      <c r="C3355" s="139" t="s">
        <v>2208</v>
      </c>
      <c r="D3355" s="114" t="s">
        <v>2090</v>
      </c>
      <c r="E3355" s="114">
        <v>203</v>
      </c>
      <c r="F3355" s="114">
        <v>276</v>
      </c>
      <c r="G3355" s="114">
        <v>1</v>
      </c>
      <c r="H3355" s="114">
        <v>8000</v>
      </c>
      <c r="I3355" s="114">
        <v>8000</v>
      </c>
      <c r="J3355" s="114">
        <v>6723</v>
      </c>
      <c r="K3355" s="114">
        <v>1277</v>
      </c>
      <c r="L3355" s="114" t="str">
        <f t="shared" si="52"/>
        <v>INSERT INTO DETALLES_DOCUMENTO(NRO_DOCUMENTO,ID_TIPO,ID_PRODUCTO,CANTIDAD,PRECIO,VALOR_BRUTO,VALOR_NETO,VALOR_IVA) VALUES(12,2,276,1,8000,8000,6723,1277);</v>
      </c>
    </row>
    <row r="3356" spans="1:12">
      <c r="A3356" s="114">
        <v>2</v>
      </c>
      <c r="B3356" s="114">
        <v>12</v>
      </c>
      <c r="C3356" s="139" t="s">
        <v>2208</v>
      </c>
      <c r="D3356" s="114" t="s">
        <v>2090</v>
      </c>
      <c r="E3356" s="114">
        <v>203</v>
      </c>
      <c r="F3356" s="114">
        <v>359</v>
      </c>
      <c r="G3356" s="114">
        <v>2</v>
      </c>
      <c r="H3356" s="114">
        <v>5000</v>
      </c>
      <c r="I3356" s="114">
        <v>10000</v>
      </c>
      <c r="J3356" s="114">
        <v>8403</v>
      </c>
      <c r="K3356" s="114">
        <v>1597</v>
      </c>
      <c r="L3356" s="114" t="str">
        <f t="shared" si="52"/>
        <v>INSERT INTO DETALLES_DOCUMENTO(NRO_DOCUMENTO,ID_TIPO,ID_PRODUCTO,CANTIDAD,PRECIO,VALOR_BRUTO,VALOR_NETO,VALOR_IVA) VALUES(12,2,359,2,5000,10000,8403,1597);</v>
      </c>
    </row>
    <row r="3357" spans="1:12">
      <c r="A3357" s="114">
        <v>2</v>
      </c>
      <c r="B3357" s="114">
        <v>12</v>
      </c>
      <c r="C3357" s="139" t="s">
        <v>2208</v>
      </c>
      <c r="D3357" s="114" t="s">
        <v>2090</v>
      </c>
      <c r="E3357" s="114">
        <v>203</v>
      </c>
      <c r="F3357" s="114">
        <v>118</v>
      </c>
      <c r="G3357" s="114">
        <v>1</v>
      </c>
      <c r="H3357" s="114">
        <v>3500</v>
      </c>
      <c r="I3357" s="114">
        <v>3500</v>
      </c>
      <c r="J3357" s="114">
        <v>2941</v>
      </c>
      <c r="K3357" s="114">
        <v>559</v>
      </c>
      <c r="L3357" s="114" t="str">
        <f t="shared" si="52"/>
        <v>INSERT INTO DETALLES_DOCUMENTO(NRO_DOCUMENTO,ID_TIPO,ID_PRODUCTO,CANTIDAD,PRECIO,VALOR_BRUTO,VALOR_NETO,VALOR_IVA) VALUES(12,2,118,1,3500,3500,2941,559);</v>
      </c>
    </row>
    <row r="3358" spans="1:12">
      <c r="A3358" s="114">
        <v>2</v>
      </c>
      <c r="B3358" s="114">
        <v>12</v>
      </c>
      <c r="C3358" s="139" t="s">
        <v>2208</v>
      </c>
      <c r="D3358" s="114" t="s">
        <v>2090</v>
      </c>
      <c r="E3358" s="114">
        <v>203</v>
      </c>
      <c r="F3358" s="114">
        <v>231</v>
      </c>
      <c r="G3358" s="114">
        <v>1</v>
      </c>
      <c r="H3358" s="114">
        <v>19990</v>
      </c>
      <c r="I3358" s="114">
        <v>19990</v>
      </c>
      <c r="J3358" s="114">
        <v>16798</v>
      </c>
      <c r="K3358" s="114">
        <v>3192</v>
      </c>
      <c r="L3358" s="114" t="str">
        <f t="shared" si="52"/>
        <v>INSERT INTO DETALLES_DOCUMENTO(NRO_DOCUMENTO,ID_TIPO,ID_PRODUCTO,CANTIDAD,PRECIO,VALOR_BRUTO,VALOR_NETO,VALOR_IVA) VALUES(12,2,231,1,19990,19990,16798,3192);</v>
      </c>
    </row>
    <row r="3359" spans="1:12">
      <c r="A3359" s="114">
        <v>2</v>
      </c>
      <c r="B3359" s="114">
        <v>12</v>
      </c>
      <c r="C3359" s="139" t="s">
        <v>2208</v>
      </c>
      <c r="D3359" s="114" t="s">
        <v>2090</v>
      </c>
      <c r="E3359" s="114">
        <v>203</v>
      </c>
      <c r="F3359" s="114">
        <v>277</v>
      </c>
      <c r="G3359" s="114">
        <v>1</v>
      </c>
      <c r="H3359" s="114">
        <v>10000</v>
      </c>
      <c r="I3359" s="114">
        <v>10000</v>
      </c>
      <c r="J3359" s="114">
        <v>8403</v>
      </c>
      <c r="K3359" s="114">
        <v>1597</v>
      </c>
      <c r="L3359" s="114" t="str">
        <f t="shared" si="52"/>
        <v>INSERT INTO DETALLES_DOCUMENTO(NRO_DOCUMENTO,ID_TIPO,ID_PRODUCTO,CANTIDAD,PRECIO,VALOR_BRUTO,VALOR_NETO,VALOR_IVA) VALUES(12,2,277,1,10000,10000,8403,1597);</v>
      </c>
    </row>
    <row r="3360" spans="1:12">
      <c r="A3360" s="114">
        <v>2</v>
      </c>
      <c r="B3360" s="114">
        <v>13</v>
      </c>
      <c r="C3360" s="139" t="s">
        <v>2214</v>
      </c>
      <c r="D3360" s="114" t="s">
        <v>2090</v>
      </c>
      <c r="E3360" s="114">
        <v>180</v>
      </c>
      <c r="F3360" s="114">
        <v>247</v>
      </c>
      <c r="G3360" s="114">
        <v>1</v>
      </c>
      <c r="H3360" s="114">
        <v>2800</v>
      </c>
      <c r="I3360" s="114">
        <v>2800</v>
      </c>
      <c r="J3360" s="114">
        <v>2353</v>
      </c>
      <c r="K3360" s="114">
        <v>447</v>
      </c>
      <c r="L3360" s="114" t="str">
        <f t="shared" si="52"/>
        <v>INSERT INTO DETALLES_DOCUMENTO(NRO_DOCUMENTO,ID_TIPO,ID_PRODUCTO,CANTIDAD,PRECIO,VALOR_BRUTO,VALOR_NETO,VALOR_IVA) VALUES(13,2,247,1,2800,2800,2353,447);</v>
      </c>
    </row>
    <row r="3361" spans="1:12">
      <c r="A3361" s="114">
        <v>2</v>
      </c>
      <c r="B3361" s="114">
        <v>13</v>
      </c>
      <c r="C3361" s="139" t="s">
        <v>2214</v>
      </c>
      <c r="D3361" s="114" t="s">
        <v>2090</v>
      </c>
      <c r="E3361" s="114">
        <v>180</v>
      </c>
      <c r="F3361" s="114">
        <v>163</v>
      </c>
      <c r="G3361" s="114">
        <v>1</v>
      </c>
      <c r="H3361" s="114">
        <v>1500</v>
      </c>
      <c r="I3361" s="114">
        <v>1500</v>
      </c>
      <c r="J3361" s="114">
        <v>1261</v>
      </c>
      <c r="K3361" s="114">
        <v>239</v>
      </c>
      <c r="L3361" s="114" t="str">
        <f t="shared" si="52"/>
        <v>INSERT INTO DETALLES_DOCUMENTO(NRO_DOCUMENTO,ID_TIPO,ID_PRODUCTO,CANTIDAD,PRECIO,VALOR_BRUTO,VALOR_NETO,VALOR_IVA) VALUES(13,2,163,1,1500,1500,1261,239);</v>
      </c>
    </row>
    <row r="3362" spans="1:12">
      <c r="A3362" s="114">
        <v>2</v>
      </c>
      <c r="B3362" s="114">
        <v>13</v>
      </c>
      <c r="C3362" s="139" t="s">
        <v>2214</v>
      </c>
      <c r="D3362" s="114" t="s">
        <v>2090</v>
      </c>
      <c r="E3362" s="114">
        <v>180</v>
      </c>
      <c r="F3362" s="114">
        <v>246</v>
      </c>
      <c r="G3362" s="114">
        <v>1</v>
      </c>
      <c r="H3362" s="114">
        <v>3000</v>
      </c>
      <c r="I3362" s="114">
        <v>3000</v>
      </c>
      <c r="J3362" s="114">
        <v>2521</v>
      </c>
      <c r="K3362" s="114">
        <v>479</v>
      </c>
      <c r="L3362" s="114" t="str">
        <f t="shared" si="52"/>
        <v>INSERT INTO DETALLES_DOCUMENTO(NRO_DOCUMENTO,ID_TIPO,ID_PRODUCTO,CANTIDAD,PRECIO,VALOR_BRUTO,VALOR_NETO,VALOR_IVA) VALUES(13,2,246,1,3000,3000,2521,479);</v>
      </c>
    </row>
    <row r="3363" spans="1:12">
      <c r="A3363" s="114">
        <v>2</v>
      </c>
      <c r="B3363" s="114">
        <v>14</v>
      </c>
      <c r="C3363" s="139" t="s">
        <v>2218</v>
      </c>
      <c r="D3363" s="114" t="s">
        <v>2090</v>
      </c>
      <c r="E3363" s="114">
        <v>183</v>
      </c>
      <c r="F3363" s="114">
        <v>118</v>
      </c>
      <c r="G3363" s="114">
        <v>3</v>
      </c>
      <c r="H3363" s="114">
        <v>10500</v>
      </c>
      <c r="I3363" s="114">
        <v>31500</v>
      </c>
      <c r="J3363" s="114">
        <v>26471</v>
      </c>
      <c r="K3363" s="114">
        <v>5029</v>
      </c>
      <c r="L3363" s="114" t="str">
        <f t="shared" si="52"/>
        <v>INSERT INTO DETALLES_DOCUMENTO(NRO_DOCUMENTO,ID_TIPO,ID_PRODUCTO,CANTIDAD,PRECIO,VALOR_BRUTO,VALOR_NETO,VALOR_IVA) VALUES(14,2,118,3,10500,31500,26471,5029);</v>
      </c>
    </row>
    <row r="3364" spans="1:12">
      <c r="A3364" s="114">
        <v>2</v>
      </c>
      <c r="B3364" s="114">
        <v>15</v>
      </c>
      <c r="C3364" s="139" t="s">
        <v>2220</v>
      </c>
      <c r="D3364" s="114" t="s">
        <v>2090</v>
      </c>
      <c r="E3364" s="114">
        <v>203</v>
      </c>
      <c r="F3364" s="114">
        <v>276</v>
      </c>
      <c r="G3364" s="114">
        <v>1</v>
      </c>
      <c r="H3364" s="114">
        <v>8000</v>
      </c>
      <c r="I3364" s="114">
        <v>8000</v>
      </c>
      <c r="J3364" s="114">
        <v>6723</v>
      </c>
      <c r="K3364" s="114">
        <v>1277</v>
      </c>
      <c r="L3364" s="114" t="str">
        <f t="shared" si="52"/>
        <v>INSERT INTO DETALLES_DOCUMENTO(NRO_DOCUMENTO,ID_TIPO,ID_PRODUCTO,CANTIDAD,PRECIO,VALOR_BRUTO,VALOR_NETO,VALOR_IVA) VALUES(15,2,276,1,8000,8000,6723,1277);</v>
      </c>
    </row>
    <row r="3365" spans="1:12">
      <c r="A3365" s="114">
        <v>2</v>
      </c>
      <c r="B3365" s="114">
        <v>16</v>
      </c>
      <c r="C3365" s="139" t="s">
        <v>2225</v>
      </c>
      <c r="D3365" s="114" t="s">
        <v>2090</v>
      </c>
      <c r="E3365" s="114">
        <v>413</v>
      </c>
      <c r="F3365" s="114">
        <v>123</v>
      </c>
      <c r="G3365" s="114">
        <v>1</v>
      </c>
      <c r="H3365" s="114">
        <v>24000</v>
      </c>
      <c r="I3365" s="114">
        <v>24000</v>
      </c>
      <c r="J3365" s="114">
        <v>20168</v>
      </c>
      <c r="K3365" s="114">
        <v>3832</v>
      </c>
      <c r="L3365" s="114" t="str">
        <f t="shared" si="52"/>
        <v>INSERT INTO DETALLES_DOCUMENTO(NRO_DOCUMENTO,ID_TIPO,ID_PRODUCTO,CANTIDAD,PRECIO,VALOR_BRUTO,VALOR_NETO,VALOR_IVA) VALUES(16,2,123,1,24000,24000,20168,3832);</v>
      </c>
    </row>
    <row r="3366" spans="1:12">
      <c r="A3366" s="114">
        <v>2</v>
      </c>
      <c r="B3366" s="114">
        <v>16</v>
      </c>
      <c r="C3366" s="139" t="s">
        <v>2225</v>
      </c>
      <c r="D3366" s="114" t="s">
        <v>2090</v>
      </c>
      <c r="E3366" s="114">
        <v>413</v>
      </c>
      <c r="F3366" s="114">
        <v>112</v>
      </c>
      <c r="G3366" s="114">
        <v>1</v>
      </c>
      <c r="H3366" s="114">
        <v>-500</v>
      </c>
      <c r="I3366" s="114">
        <v>-500</v>
      </c>
      <c r="J3366" s="114">
        <v>-420</v>
      </c>
      <c r="K3366" s="114">
        <v>-80</v>
      </c>
      <c r="L3366" s="114" t="str">
        <f t="shared" si="52"/>
        <v>INSERT INTO DETALLES_DOCUMENTO(NRO_DOCUMENTO,ID_TIPO,ID_PRODUCTO,CANTIDAD,PRECIO,VALOR_BRUTO,VALOR_NETO,VALOR_IVA) VALUES(16,2,112,1,-500,-500,-420,-80);</v>
      </c>
    </row>
    <row r="3367" spans="1:12">
      <c r="A3367" s="114">
        <v>2</v>
      </c>
      <c r="B3367" s="114">
        <v>16</v>
      </c>
      <c r="C3367" s="139" t="s">
        <v>2225</v>
      </c>
      <c r="D3367" s="114" t="s">
        <v>2090</v>
      </c>
      <c r="E3367" s="114">
        <v>413</v>
      </c>
      <c r="F3367" s="114">
        <v>74</v>
      </c>
      <c r="G3367" s="114">
        <v>1</v>
      </c>
      <c r="H3367" s="114">
        <v>11500</v>
      </c>
      <c r="I3367" s="114">
        <v>11500</v>
      </c>
      <c r="J3367" s="114">
        <v>9664</v>
      </c>
      <c r="K3367" s="114">
        <v>1836</v>
      </c>
      <c r="L3367" s="114" t="str">
        <f t="shared" si="52"/>
        <v>INSERT INTO DETALLES_DOCUMENTO(NRO_DOCUMENTO,ID_TIPO,ID_PRODUCTO,CANTIDAD,PRECIO,VALOR_BRUTO,VALOR_NETO,VALOR_IVA) VALUES(16,2,74,1,11500,11500,9664,1836);</v>
      </c>
    </row>
    <row r="3368" spans="1:12">
      <c r="A3368" s="114">
        <v>2</v>
      </c>
      <c r="B3368" s="114">
        <v>16</v>
      </c>
      <c r="C3368" s="139" t="s">
        <v>2225</v>
      </c>
      <c r="D3368" s="114" t="s">
        <v>2090</v>
      </c>
      <c r="E3368" s="114">
        <v>413</v>
      </c>
      <c r="F3368" s="114">
        <v>371</v>
      </c>
      <c r="G3368" s="114">
        <v>1</v>
      </c>
      <c r="H3368" s="114">
        <v>9500</v>
      </c>
      <c r="I3368" s="114">
        <v>9500</v>
      </c>
      <c r="J3368" s="114">
        <v>7983</v>
      </c>
      <c r="K3368" s="114">
        <v>1517</v>
      </c>
      <c r="L3368" s="114" t="str">
        <f t="shared" si="52"/>
        <v>INSERT INTO DETALLES_DOCUMENTO(NRO_DOCUMENTO,ID_TIPO,ID_PRODUCTO,CANTIDAD,PRECIO,VALOR_BRUTO,VALOR_NETO,VALOR_IVA) VALUES(16,2,371,1,9500,9500,7983,1517);</v>
      </c>
    </row>
    <row r="3369" spans="1:12">
      <c r="A3369" s="114">
        <v>2</v>
      </c>
      <c r="B3369" s="114">
        <v>16</v>
      </c>
      <c r="C3369" s="139" t="s">
        <v>2225</v>
      </c>
      <c r="D3369" s="114" t="s">
        <v>2090</v>
      </c>
      <c r="E3369" s="114">
        <v>413</v>
      </c>
      <c r="F3369" s="114">
        <v>236</v>
      </c>
      <c r="G3369" s="114">
        <v>1</v>
      </c>
      <c r="H3369" s="114">
        <v>18990</v>
      </c>
      <c r="I3369" s="114">
        <v>18990</v>
      </c>
      <c r="J3369" s="114">
        <v>15958</v>
      </c>
      <c r="K3369" s="114">
        <v>3032</v>
      </c>
      <c r="L3369" s="114" t="str">
        <f t="shared" si="52"/>
        <v>INSERT INTO DETALLES_DOCUMENTO(NRO_DOCUMENTO,ID_TIPO,ID_PRODUCTO,CANTIDAD,PRECIO,VALOR_BRUTO,VALOR_NETO,VALOR_IVA) VALUES(16,2,236,1,18990,18990,15958,3032);</v>
      </c>
    </row>
    <row r="3370" spans="1:12">
      <c r="A3370" s="114">
        <v>2</v>
      </c>
      <c r="B3370" s="114">
        <v>17</v>
      </c>
      <c r="C3370" s="139" t="s">
        <v>2227</v>
      </c>
      <c r="D3370" s="114" t="s">
        <v>2090</v>
      </c>
      <c r="E3370" s="114">
        <v>185</v>
      </c>
      <c r="F3370" s="114">
        <v>276</v>
      </c>
      <c r="G3370" s="114">
        <v>3</v>
      </c>
      <c r="H3370" s="114">
        <v>24000</v>
      </c>
      <c r="I3370" s="114">
        <v>72000</v>
      </c>
      <c r="J3370" s="114">
        <v>60504</v>
      </c>
      <c r="K3370" s="114">
        <v>11496</v>
      </c>
      <c r="L3370" s="114" t="str">
        <f t="shared" si="52"/>
        <v>INSERT INTO DETALLES_DOCUMENTO(NRO_DOCUMENTO,ID_TIPO,ID_PRODUCTO,CANTIDAD,PRECIO,VALOR_BRUTO,VALOR_NETO,VALOR_IVA) VALUES(17,2,276,3,24000,72000,60504,11496);</v>
      </c>
    </row>
    <row r="3371" spans="1:12">
      <c r="A3371" s="114">
        <v>2</v>
      </c>
      <c r="B3371" s="114">
        <v>17</v>
      </c>
      <c r="C3371" s="139" t="s">
        <v>2227</v>
      </c>
      <c r="D3371" s="114" t="s">
        <v>2090</v>
      </c>
      <c r="E3371" s="114">
        <v>185</v>
      </c>
      <c r="F3371" s="114">
        <v>293</v>
      </c>
      <c r="G3371" s="114">
        <v>1</v>
      </c>
      <c r="H3371" s="114">
        <v>9500</v>
      </c>
      <c r="I3371" s="114">
        <v>9500</v>
      </c>
      <c r="J3371" s="114">
        <v>7983</v>
      </c>
      <c r="K3371" s="114">
        <v>1517</v>
      </c>
      <c r="L3371" s="114" t="str">
        <f t="shared" si="52"/>
        <v>INSERT INTO DETALLES_DOCUMENTO(NRO_DOCUMENTO,ID_TIPO,ID_PRODUCTO,CANTIDAD,PRECIO,VALOR_BRUTO,VALOR_NETO,VALOR_IVA) VALUES(17,2,293,1,9500,9500,7983,1517);</v>
      </c>
    </row>
    <row r="3372" spans="1:12">
      <c r="A3372" s="114">
        <v>2</v>
      </c>
      <c r="B3372" s="114">
        <v>17</v>
      </c>
      <c r="C3372" s="139" t="s">
        <v>2227</v>
      </c>
      <c r="D3372" s="114" t="s">
        <v>2090</v>
      </c>
      <c r="E3372" s="114">
        <v>185</v>
      </c>
      <c r="F3372" s="114">
        <v>278</v>
      </c>
      <c r="G3372" s="114">
        <v>1</v>
      </c>
      <c r="H3372" s="114">
        <v>11500</v>
      </c>
      <c r="I3372" s="114">
        <v>11500</v>
      </c>
      <c r="J3372" s="114">
        <v>9664</v>
      </c>
      <c r="K3372" s="114">
        <v>1836</v>
      </c>
      <c r="L3372" s="114" t="str">
        <f t="shared" si="52"/>
        <v>INSERT INTO DETALLES_DOCUMENTO(NRO_DOCUMENTO,ID_TIPO,ID_PRODUCTO,CANTIDAD,PRECIO,VALOR_BRUTO,VALOR_NETO,VALOR_IVA) VALUES(17,2,278,1,11500,11500,9664,1836);</v>
      </c>
    </row>
    <row r="3373" spans="1:12">
      <c r="A3373" s="114">
        <v>2</v>
      </c>
      <c r="B3373" s="114">
        <v>17</v>
      </c>
      <c r="C3373" s="139" t="s">
        <v>2227</v>
      </c>
      <c r="D3373" s="114" t="s">
        <v>2090</v>
      </c>
      <c r="E3373" s="114">
        <v>185</v>
      </c>
      <c r="F3373" s="114">
        <v>244</v>
      </c>
      <c r="G3373" s="114">
        <v>1</v>
      </c>
      <c r="H3373" s="114">
        <v>14900</v>
      </c>
      <c r="I3373" s="114">
        <v>14900</v>
      </c>
      <c r="J3373" s="114">
        <v>12521</v>
      </c>
      <c r="K3373" s="114">
        <v>2379</v>
      </c>
      <c r="L3373" s="114" t="str">
        <f t="shared" si="52"/>
        <v>INSERT INTO DETALLES_DOCUMENTO(NRO_DOCUMENTO,ID_TIPO,ID_PRODUCTO,CANTIDAD,PRECIO,VALOR_BRUTO,VALOR_NETO,VALOR_IVA) VALUES(17,2,244,1,14900,14900,12521,2379);</v>
      </c>
    </row>
    <row r="3374" spans="1:12">
      <c r="A3374" s="114">
        <v>2</v>
      </c>
      <c r="B3374" s="114">
        <v>17</v>
      </c>
      <c r="C3374" s="139" t="s">
        <v>2227</v>
      </c>
      <c r="D3374" s="114" t="s">
        <v>2090</v>
      </c>
      <c r="E3374" s="114">
        <v>185</v>
      </c>
      <c r="F3374" s="114">
        <v>31</v>
      </c>
      <c r="G3374" s="114">
        <v>1</v>
      </c>
      <c r="H3374" s="114">
        <v>3400</v>
      </c>
      <c r="I3374" s="114">
        <v>3400</v>
      </c>
      <c r="J3374" s="114">
        <v>2857</v>
      </c>
      <c r="K3374" s="114">
        <v>543</v>
      </c>
      <c r="L3374" s="114" t="str">
        <f t="shared" si="52"/>
        <v>INSERT INTO DETALLES_DOCUMENTO(NRO_DOCUMENTO,ID_TIPO,ID_PRODUCTO,CANTIDAD,PRECIO,VALOR_BRUTO,VALOR_NETO,VALOR_IVA) VALUES(17,2,31,1,3400,3400,2857,543);</v>
      </c>
    </row>
    <row r="3375" spans="1:12">
      <c r="A3375" s="114">
        <v>2</v>
      </c>
      <c r="B3375" s="114">
        <v>17</v>
      </c>
      <c r="C3375" s="139" t="s">
        <v>2227</v>
      </c>
      <c r="D3375" s="114" t="s">
        <v>2090</v>
      </c>
      <c r="E3375" s="114">
        <v>185</v>
      </c>
      <c r="F3375" s="114">
        <v>246</v>
      </c>
      <c r="G3375" s="114">
        <v>1</v>
      </c>
      <c r="H3375" s="114">
        <v>3000</v>
      </c>
      <c r="I3375" s="114">
        <v>3000</v>
      </c>
      <c r="J3375" s="114">
        <v>2521</v>
      </c>
      <c r="K3375" s="114">
        <v>479</v>
      </c>
      <c r="L3375" s="114" t="str">
        <f t="shared" si="52"/>
        <v>INSERT INTO DETALLES_DOCUMENTO(NRO_DOCUMENTO,ID_TIPO,ID_PRODUCTO,CANTIDAD,PRECIO,VALOR_BRUTO,VALOR_NETO,VALOR_IVA) VALUES(17,2,246,1,3000,3000,2521,479);</v>
      </c>
    </row>
    <row r="3376" spans="1:12">
      <c r="A3376" s="114">
        <v>2</v>
      </c>
      <c r="B3376" s="114">
        <v>18</v>
      </c>
      <c r="C3376" s="139" t="s">
        <v>2228</v>
      </c>
      <c r="D3376" s="114" t="s">
        <v>2090</v>
      </c>
      <c r="E3376" s="114">
        <v>203</v>
      </c>
      <c r="F3376" s="114">
        <v>231</v>
      </c>
      <c r="G3376" s="114">
        <v>1</v>
      </c>
      <c r="H3376" s="114">
        <v>19990</v>
      </c>
      <c r="I3376" s="114">
        <v>19990</v>
      </c>
      <c r="J3376" s="114">
        <v>16798</v>
      </c>
      <c r="K3376" s="114">
        <v>3192</v>
      </c>
      <c r="L3376" s="114" t="str">
        <f t="shared" si="52"/>
        <v>INSERT INTO DETALLES_DOCUMENTO(NRO_DOCUMENTO,ID_TIPO,ID_PRODUCTO,CANTIDAD,PRECIO,VALOR_BRUTO,VALOR_NETO,VALOR_IVA) VALUES(18,2,231,1,19990,19990,16798,3192);</v>
      </c>
    </row>
    <row r="3377" spans="1:12">
      <c r="A3377" s="114">
        <v>2</v>
      </c>
      <c r="B3377" s="114">
        <v>18</v>
      </c>
      <c r="C3377" s="139" t="s">
        <v>2228</v>
      </c>
      <c r="D3377" s="114" t="s">
        <v>2090</v>
      </c>
      <c r="E3377" s="114">
        <v>203</v>
      </c>
      <c r="F3377" s="114">
        <v>277</v>
      </c>
      <c r="G3377" s="114">
        <v>1</v>
      </c>
      <c r="H3377" s="114">
        <v>10000</v>
      </c>
      <c r="I3377" s="114">
        <v>10000</v>
      </c>
      <c r="J3377" s="114">
        <v>8403</v>
      </c>
      <c r="K3377" s="114">
        <v>1597</v>
      </c>
      <c r="L3377" s="114" t="str">
        <f t="shared" si="52"/>
        <v>INSERT INTO DETALLES_DOCUMENTO(NRO_DOCUMENTO,ID_TIPO,ID_PRODUCTO,CANTIDAD,PRECIO,VALOR_BRUTO,VALOR_NETO,VALOR_IVA) VALUES(18,2,277,1,10000,10000,8403,1597);</v>
      </c>
    </row>
    <row r="3378" spans="1:12">
      <c r="A3378" s="114">
        <v>2</v>
      </c>
      <c r="B3378" s="114">
        <v>18</v>
      </c>
      <c r="C3378" s="139" t="s">
        <v>2228</v>
      </c>
      <c r="D3378" s="114" t="s">
        <v>2090</v>
      </c>
      <c r="E3378" s="114">
        <v>203</v>
      </c>
      <c r="F3378" s="114">
        <v>359</v>
      </c>
      <c r="G3378" s="114">
        <v>2</v>
      </c>
      <c r="H3378" s="114">
        <v>5000</v>
      </c>
      <c r="I3378" s="114">
        <v>10000</v>
      </c>
      <c r="J3378" s="114">
        <v>8403</v>
      </c>
      <c r="K3378" s="114">
        <v>1597</v>
      </c>
      <c r="L3378" s="114" t="str">
        <f t="shared" si="52"/>
        <v>INSERT INTO DETALLES_DOCUMENTO(NRO_DOCUMENTO,ID_TIPO,ID_PRODUCTO,CANTIDAD,PRECIO,VALOR_BRUTO,VALOR_NETO,VALOR_IVA) VALUES(18,2,359,2,5000,10000,8403,1597);</v>
      </c>
    </row>
    <row r="3379" spans="1:12">
      <c r="A3379" s="114">
        <v>2</v>
      </c>
      <c r="B3379" s="114">
        <v>19</v>
      </c>
      <c r="C3379" s="139" t="s">
        <v>2230</v>
      </c>
      <c r="D3379" s="114" t="s">
        <v>2090</v>
      </c>
      <c r="E3379" s="114">
        <v>203</v>
      </c>
      <c r="F3379" s="114">
        <v>163</v>
      </c>
      <c r="G3379" s="114">
        <v>1</v>
      </c>
      <c r="H3379" s="114">
        <v>1500</v>
      </c>
      <c r="I3379" s="114">
        <v>1500</v>
      </c>
      <c r="J3379" s="114">
        <v>1261</v>
      </c>
      <c r="K3379" s="114">
        <v>239</v>
      </c>
      <c r="L3379" s="114" t="str">
        <f t="shared" si="52"/>
        <v>INSERT INTO DETALLES_DOCUMENTO(NRO_DOCUMENTO,ID_TIPO,ID_PRODUCTO,CANTIDAD,PRECIO,VALOR_BRUTO,VALOR_NETO,VALOR_IVA) VALUES(19,2,163,1,1500,1500,1261,239);</v>
      </c>
    </row>
    <row r="3380" spans="1:12">
      <c r="A3380" s="114">
        <v>2</v>
      </c>
      <c r="B3380" s="114">
        <v>20</v>
      </c>
      <c r="C3380" s="139" t="s">
        <v>2232</v>
      </c>
      <c r="D3380" s="114" t="s">
        <v>2090</v>
      </c>
      <c r="E3380" s="114">
        <v>364</v>
      </c>
      <c r="F3380" s="114">
        <v>29</v>
      </c>
      <c r="G3380" s="114">
        <v>4</v>
      </c>
      <c r="H3380" s="114">
        <v>4000</v>
      </c>
      <c r="I3380" s="114">
        <v>16000</v>
      </c>
      <c r="J3380" s="114">
        <v>13445</v>
      </c>
      <c r="K3380" s="114">
        <v>2555</v>
      </c>
      <c r="L3380" s="114" t="str">
        <f t="shared" si="52"/>
        <v>INSERT INTO DETALLES_DOCUMENTO(NRO_DOCUMENTO,ID_TIPO,ID_PRODUCTO,CANTIDAD,PRECIO,VALOR_BRUTO,VALOR_NETO,VALOR_IVA) VALUES(20,2,29,4,4000,16000,13445,2555);</v>
      </c>
    </row>
    <row r="3381" spans="1:12">
      <c r="A3381" s="114">
        <v>2</v>
      </c>
      <c r="B3381" s="114">
        <v>20</v>
      </c>
      <c r="C3381" s="139" t="s">
        <v>2232</v>
      </c>
      <c r="D3381" s="114" t="s">
        <v>2090</v>
      </c>
      <c r="E3381" s="114">
        <v>364</v>
      </c>
      <c r="F3381" s="114">
        <v>275</v>
      </c>
      <c r="G3381" s="114">
        <v>1</v>
      </c>
      <c r="H3381" s="114">
        <v>6900</v>
      </c>
      <c r="I3381" s="114">
        <v>6900</v>
      </c>
      <c r="J3381" s="114">
        <v>5798</v>
      </c>
      <c r="K3381" s="114">
        <v>1102</v>
      </c>
      <c r="L3381" s="114" t="str">
        <f t="shared" si="52"/>
        <v>INSERT INTO DETALLES_DOCUMENTO(NRO_DOCUMENTO,ID_TIPO,ID_PRODUCTO,CANTIDAD,PRECIO,VALOR_BRUTO,VALOR_NETO,VALOR_IVA) VALUES(20,2,275,1,6900,6900,5798,1102);</v>
      </c>
    </row>
    <row r="3382" spans="1:12">
      <c r="A3382" s="114">
        <v>2</v>
      </c>
      <c r="B3382" s="114">
        <v>20</v>
      </c>
      <c r="C3382" s="139" t="s">
        <v>2232</v>
      </c>
      <c r="D3382" s="114" t="s">
        <v>2090</v>
      </c>
      <c r="E3382" s="114">
        <v>364</v>
      </c>
      <c r="F3382" s="114">
        <v>30</v>
      </c>
      <c r="G3382" s="114">
        <v>1</v>
      </c>
      <c r="H3382" s="114">
        <v>3000</v>
      </c>
      <c r="I3382" s="114">
        <v>3000</v>
      </c>
      <c r="J3382" s="114">
        <v>2521</v>
      </c>
      <c r="K3382" s="114">
        <v>479</v>
      </c>
      <c r="L3382" s="114" t="str">
        <f t="shared" si="52"/>
        <v>INSERT INTO DETALLES_DOCUMENTO(NRO_DOCUMENTO,ID_TIPO,ID_PRODUCTO,CANTIDAD,PRECIO,VALOR_BRUTO,VALOR_NETO,VALOR_IVA) VALUES(20,2,30,1,3000,3000,2521,479);</v>
      </c>
    </row>
    <row r="3383" spans="1:12">
      <c r="A3383" s="114">
        <v>2</v>
      </c>
      <c r="B3383" s="114">
        <v>20</v>
      </c>
      <c r="C3383" s="139" t="s">
        <v>2232</v>
      </c>
      <c r="D3383" s="114" t="s">
        <v>2090</v>
      </c>
      <c r="E3383" s="114">
        <v>364</v>
      </c>
      <c r="F3383" s="114">
        <v>226</v>
      </c>
      <c r="G3383" s="114">
        <v>1</v>
      </c>
      <c r="H3383" s="114">
        <v>22500</v>
      </c>
      <c r="I3383" s="114">
        <v>22500</v>
      </c>
      <c r="J3383" s="114">
        <v>18908</v>
      </c>
      <c r="K3383" s="114">
        <v>3592</v>
      </c>
      <c r="L3383" s="114" t="str">
        <f t="shared" si="52"/>
        <v>INSERT INTO DETALLES_DOCUMENTO(NRO_DOCUMENTO,ID_TIPO,ID_PRODUCTO,CANTIDAD,PRECIO,VALOR_BRUTO,VALOR_NETO,VALOR_IVA) VALUES(20,2,226,1,22500,22500,18908,3592);</v>
      </c>
    </row>
    <row r="3384" spans="1:12">
      <c r="A3384" s="114">
        <v>2</v>
      </c>
      <c r="B3384" s="114">
        <v>20</v>
      </c>
      <c r="C3384" s="139" t="s">
        <v>2232</v>
      </c>
      <c r="D3384" s="114" t="s">
        <v>2090</v>
      </c>
      <c r="E3384" s="114">
        <v>364</v>
      </c>
      <c r="F3384" s="114">
        <v>230</v>
      </c>
      <c r="G3384" s="114">
        <v>1</v>
      </c>
      <c r="H3384" s="114">
        <v>15500</v>
      </c>
      <c r="I3384" s="114">
        <v>15500</v>
      </c>
      <c r="J3384" s="114">
        <v>13025</v>
      </c>
      <c r="K3384" s="114">
        <v>2475</v>
      </c>
      <c r="L3384" s="114" t="str">
        <f t="shared" si="52"/>
        <v>INSERT INTO DETALLES_DOCUMENTO(NRO_DOCUMENTO,ID_TIPO,ID_PRODUCTO,CANTIDAD,PRECIO,VALOR_BRUTO,VALOR_NETO,VALOR_IVA) VALUES(20,2,230,1,15500,15500,13025,2475);</v>
      </c>
    </row>
    <row r="3385" spans="1:12">
      <c r="A3385" s="114">
        <v>2</v>
      </c>
      <c r="B3385" s="114">
        <v>21</v>
      </c>
      <c r="C3385" s="139" t="s">
        <v>2233</v>
      </c>
      <c r="D3385" s="114" t="s">
        <v>2090</v>
      </c>
      <c r="E3385" s="114">
        <v>203</v>
      </c>
      <c r="F3385" s="114">
        <v>166</v>
      </c>
      <c r="G3385" s="114">
        <v>2</v>
      </c>
      <c r="H3385" s="114">
        <v>3200</v>
      </c>
      <c r="I3385" s="114">
        <v>6400</v>
      </c>
      <c r="J3385" s="114">
        <v>5378</v>
      </c>
      <c r="K3385" s="114">
        <v>1022</v>
      </c>
      <c r="L3385" s="114" t="str">
        <f t="shared" si="52"/>
        <v>INSERT INTO DETALLES_DOCUMENTO(NRO_DOCUMENTO,ID_TIPO,ID_PRODUCTO,CANTIDAD,PRECIO,VALOR_BRUTO,VALOR_NETO,VALOR_IVA) VALUES(21,2,166,2,3200,6400,5378,1022);</v>
      </c>
    </row>
    <row r="3386" spans="1:12">
      <c r="A3386" s="114">
        <v>2</v>
      </c>
      <c r="B3386" s="114">
        <v>21</v>
      </c>
      <c r="C3386" s="139" t="s">
        <v>2233</v>
      </c>
      <c r="D3386" s="114" t="s">
        <v>2090</v>
      </c>
      <c r="E3386" s="114">
        <v>203</v>
      </c>
      <c r="F3386" s="114">
        <v>95</v>
      </c>
      <c r="G3386" s="114">
        <v>1</v>
      </c>
      <c r="H3386" s="114">
        <v>2400</v>
      </c>
      <c r="I3386" s="114">
        <v>2400</v>
      </c>
      <c r="J3386" s="114">
        <v>2017</v>
      </c>
      <c r="K3386" s="114">
        <v>383</v>
      </c>
      <c r="L3386" s="114" t="str">
        <f t="shared" si="52"/>
        <v>INSERT INTO DETALLES_DOCUMENTO(NRO_DOCUMENTO,ID_TIPO,ID_PRODUCTO,CANTIDAD,PRECIO,VALOR_BRUTO,VALOR_NETO,VALOR_IVA) VALUES(21,2,95,1,2400,2400,2017,383);</v>
      </c>
    </row>
    <row r="3387" spans="1:12">
      <c r="A3387" s="114">
        <v>2</v>
      </c>
      <c r="B3387" s="114">
        <v>21</v>
      </c>
      <c r="C3387" s="139" t="s">
        <v>2233</v>
      </c>
      <c r="D3387" s="114" t="s">
        <v>2090</v>
      </c>
      <c r="E3387" s="114">
        <v>203</v>
      </c>
      <c r="F3387" s="114">
        <v>276</v>
      </c>
      <c r="G3387" s="114">
        <v>1</v>
      </c>
      <c r="H3387" s="114">
        <v>8000</v>
      </c>
      <c r="I3387" s="114">
        <v>8000</v>
      </c>
      <c r="J3387" s="114">
        <v>6723</v>
      </c>
      <c r="K3387" s="114">
        <v>1277</v>
      </c>
      <c r="L3387" s="114" t="str">
        <f t="shared" si="52"/>
        <v>INSERT INTO DETALLES_DOCUMENTO(NRO_DOCUMENTO,ID_TIPO,ID_PRODUCTO,CANTIDAD,PRECIO,VALOR_BRUTO,VALOR_NETO,VALOR_IVA) VALUES(21,2,276,1,8000,8000,6723,1277);</v>
      </c>
    </row>
    <row r="3388" spans="1:12">
      <c r="A3388" s="114">
        <v>2</v>
      </c>
      <c r="B3388" s="114">
        <v>22</v>
      </c>
      <c r="C3388" s="139" t="s">
        <v>2235</v>
      </c>
      <c r="D3388" s="114" t="s">
        <v>2090</v>
      </c>
      <c r="E3388" s="114">
        <v>203</v>
      </c>
      <c r="F3388" s="114">
        <v>261</v>
      </c>
      <c r="G3388" s="114">
        <v>1</v>
      </c>
      <c r="H3388" s="114">
        <v>7000</v>
      </c>
      <c r="I3388" s="114">
        <v>7000</v>
      </c>
      <c r="J3388" s="114">
        <v>5882</v>
      </c>
      <c r="K3388" s="114">
        <v>1118</v>
      </c>
      <c r="L3388" s="114" t="str">
        <f t="shared" si="52"/>
        <v>INSERT INTO DETALLES_DOCUMENTO(NRO_DOCUMENTO,ID_TIPO,ID_PRODUCTO,CANTIDAD,PRECIO,VALOR_BRUTO,VALOR_NETO,VALOR_IVA) VALUES(22,2,261,1,7000,7000,5882,1118);</v>
      </c>
    </row>
    <row r="3389" spans="1:12">
      <c r="A3389" s="114">
        <v>2</v>
      </c>
      <c r="B3389" s="114">
        <v>23</v>
      </c>
      <c r="C3389" s="139" t="s">
        <v>2239</v>
      </c>
      <c r="D3389" s="114" t="s">
        <v>2090</v>
      </c>
      <c r="E3389" s="114">
        <v>203</v>
      </c>
      <c r="F3389" s="114">
        <v>118</v>
      </c>
      <c r="G3389" s="114">
        <v>1</v>
      </c>
      <c r="H3389" s="114">
        <v>3500</v>
      </c>
      <c r="I3389" s="114">
        <v>3500</v>
      </c>
      <c r="J3389" s="114">
        <v>2941</v>
      </c>
      <c r="K3389" s="114">
        <v>559</v>
      </c>
      <c r="L3389" s="114" t="str">
        <f t="shared" si="52"/>
        <v>INSERT INTO DETALLES_DOCUMENTO(NRO_DOCUMENTO,ID_TIPO,ID_PRODUCTO,CANTIDAD,PRECIO,VALOR_BRUTO,VALOR_NETO,VALOR_IVA) VALUES(23,2,118,1,3500,3500,2941,559);</v>
      </c>
    </row>
    <row r="3390" spans="1:12">
      <c r="A3390" s="114">
        <v>2</v>
      </c>
      <c r="B3390" s="114">
        <v>24</v>
      </c>
      <c r="C3390" s="139" t="s">
        <v>2245</v>
      </c>
      <c r="D3390" s="114" t="s">
        <v>2090</v>
      </c>
      <c r="E3390" s="114">
        <v>203</v>
      </c>
      <c r="F3390" s="114">
        <v>264</v>
      </c>
      <c r="G3390" s="114">
        <v>1</v>
      </c>
      <c r="H3390" s="114">
        <v>5000</v>
      </c>
      <c r="I3390" s="114">
        <v>5000</v>
      </c>
      <c r="J3390" s="114">
        <v>4202</v>
      </c>
      <c r="K3390" s="114">
        <v>798</v>
      </c>
      <c r="L3390" s="114" t="str">
        <f t="shared" si="52"/>
        <v>INSERT INTO DETALLES_DOCUMENTO(NRO_DOCUMENTO,ID_TIPO,ID_PRODUCTO,CANTIDAD,PRECIO,VALOR_BRUTO,VALOR_NETO,VALOR_IVA) VALUES(24,2,264,1,5000,5000,4202,798);</v>
      </c>
    </row>
    <row r="3391" spans="1:12">
      <c r="A3391" s="114">
        <v>2</v>
      </c>
      <c r="B3391" s="114">
        <v>24</v>
      </c>
      <c r="C3391" s="139" t="s">
        <v>2245</v>
      </c>
      <c r="D3391" s="114" t="s">
        <v>2090</v>
      </c>
      <c r="E3391" s="114">
        <v>203</v>
      </c>
      <c r="F3391" s="114">
        <v>277</v>
      </c>
      <c r="G3391" s="114">
        <v>1</v>
      </c>
      <c r="H3391" s="114">
        <v>10000</v>
      </c>
      <c r="I3391" s="114">
        <v>10000</v>
      </c>
      <c r="J3391" s="114">
        <v>8403</v>
      </c>
      <c r="K3391" s="114">
        <v>1597</v>
      </c>
      <c r="L3391" s="114" t="str">
        <f t="shared" si="52"/>
        <v>INSERT INTO DETALLES_DOCUMENTO(NRO_DOCUMENTO,ID_TIPO,ID_PRODUCTO,CANTIDAD,PRECIO,VALOR_BRUTO,VALOR_NETO,VALOR_IVA) VALUES(24,2,277,1,10000,10000,8403,1597);</v>
      </c>
    </row>
    <row r="3392" spans="1:12">
      <c r="A3392" s="114">
        <v>2</v>
      </c>
      <c r="B3392" s="114">
        <v>25</v>
      </c>
      <c r="C3392" s="139" t="s">
        <v>2247</v>
      </c>
      <c r="D3392" s="114" t="s">
        <v>2090</v>
      </c>
      <c r="E3392" s="114">
        <v>413</v>
      </c>
      <c r="F3392" s="114">
        <v>371</v>
      </c>
      <c r="G3392" s="114">
        <v>3</v>
      </c>
      <c r="H3392" s="114">
        <v>28500</v>
      </c>
      <c r="I3392" s="114">
        <v>85500</v>
      </c>
      <c r="J3392" s="114">
        <v>71849</v>
      </c>
      <c r="K3392" s="114">
        <v>13651</v>
      </c>
      <c r="L3392" s="114" t="str">
        <f t="shared" si="52"/>
        <v>INSERT INTO DETALLES_DOCUMENTO(NRO_DOCUMENTO,ID_TIPO,ID_PRODUCTO,CANTIDAD,PRECIO,VALOR_BRUTO,VALOR_NETO,VALOR_IVA) VALUES(25,2,371,3,28500,85500,71849,13651);</v>
      </c>
    </row>
    <row r="3393" spans="1:12">
      <c r="A3393" s="114">
        <v>2</v>
      </c>
      <c r="B3393" s="114">
        <v>25</v>
      </c>
      <c r="C3393" s="139" t="s">
        <v>2247</v>
      </c>
      <c r="D3393" s="114" t="s">
        <v>2090</v>
      </c>
      <c r="E3393" s="114">
        <v>413</v>
      </c>
      <c r="F3393" s="114">
        <v>74</v>
      </c>
      <c r="G3393" s="114">
        <v>1</v>
      </c>
      <c r="H3393" s="114">
        <v>11500</v>
      </c>
      <c r="I3393" s="114">
        <v>11500</v>
      </c>
      <c r="J3393" s="114">
        <v>9664</v>
      </c>
      <c r="K3393" s="114">
        <v>1836</v>
      </c>
      <c r="L3393" s="114" t="str">
        <f t="shared" si="52"/>
        <v>INSERT INTO DETALLES_DOCUMENTO(NRO_DOCUMENTO,ID_TIPO,ID_PRODUCTO,CANTIDAD,PRECIO,VALOR_BRUTO,VALOR_NETO,VALOR_IVA) VALUES(25,2,74,1,11500,11500,9664,1836);</v>
      </c>
    </row>
    <row r="3394" spans="1:12">
      <c r="A3394" s="114">
        <v>2</v>
      </c>
      <c r="B3394" s="114">
        <v>25</v>
      </c>
      <c r="C3394" s="139" t="s">
        <v>2247</v>
      </c>
      <c r="D3394" s="114" t="s">
        <v>2090</v>
      </c>
      <c r="E3394" s="114">
        <v>413</v>
      </c>
      <c r="F3394" s="114">
        <v>236</v>
      </c>
      <c r="G3394" s="114">
        <v>1</v>
      </c>
      <c r="H3394" s="114">
        <v>18990</v>
      </c>
      <c r="I3394" s="114">
        <v>18990</v>
      </c>
      <c r="J3394" s="114">
        <v>15958</v>
      </c>
      <c r="K3394" s="114">
        <v>3032</v>
      </c>
      <c r="L3394" s="114" t="str">
        <f t="shared" si="52"/>
        <v>INSERT INTO DETALLES_DOCUMENTO(NRO_DOCUMENTO,ID_TIPO,ID_PRODUCTO,CANTIDAD,PRECIO,VALOR_BRUTO,VALOR_NETO,VALOR_IVA) VALUES(25,2,236,1,18990,18990,15958,3032);</v>
      </c>
    </row>
    <row r="3395" spans="1:12">
      <c r="A3395" s="114">
        <v>2</v>
      </c>
      <c r="B3395" s="114">
        <v>26</v>
      </c>
      <c r="C3395" s="139" t="s">
        <v>2255</v>
      </c>
      <c r="D3395" s="114" t="s">
        <v>2090</v>
      </c>
      <c r="E3395" s="114">
        <v>203</v>
      </c>
      <c r="F3395" s="114">
        <v>231</v>
      </c>
      <c r="G3395" s="114">
        <v>1</v>
      </c>
      <c r="H3395" s="114">
        <v>19990</v>
      </c>
      <c r="I3395" s="114">
        <v>19990</v>
      </c>
      <c r="J3395" s="114">
        <v>16798</v>
      </c>
      <c r="K3395" s="114">
        <v>3192</v>
      </c>
      <c r="L3395" s="114" t="str">
        <f t="shared" ref="L3395:L3458" si="53">CONCATENATE("INSERT INTO DETALLES_DOCUMENTO(NRO_DOCUMENTO,ID_TIPO,ID_PRODUCTO,CANTIDAD,PRECIO,VALOR_BRUTO,VALOR_NETO,VALOR_IVA) VALUES(",B3395,",",A3395,",",F3395,",",G3395,",",H3395,",",I3395,",",J3395,",",K3395,");")</f>
        <v>INSERT INTO DETALLES_DOCUMENTO(NRO_DOCUMENTO,ID_TIPO,ID_PRODUCTO,CANTIDAD,PRECIO,VALOR_BRUTO,VALOR_NETO,VALOR_IVA) VALUES(26,2,231,1,19990,19990,16798,3192);</v>
      </c>
    </row>
    <row r="3396" spans="1:12">
      <c r="A3396" s="114">
        <v>2</v>
      </c>
      <c r="B3396" s="114">
        <v>26</v>
      </c>
      <c r="C3396" s="139" t="s">
        <v>2255</v>
      </c>
      <c r="D3396" s="114" t="s">
        <v>2090</v>
      </c>
      <c r="E3396" s="114">
        <v>203</v>
      </c>
      <c r="F3396" s="114">
        <v>277</v>
      </c>
      <c r="G3396" s="114">
        <v>1</v>
      </c>
      <c r="H3396" s="114">
        <v>10000</v>
      </c>
      <c r="I3396" s="114">
        <v>10000</v>
      </c>
      <c r="J3396" s="114">
        <v>8403</v>
      </c>
      <c r="K3396" s="114">
        <v>1597</v>
      </c>
      <c r="L3396" s="114" t="str">
        <f t="shared" si="53"/>
        <v>INSERT INTO DETALLES_DOCUMENTO(NRO_DOCUMENTO,ID_TIPO,ID_PRODUCTO,CANTIDAD,PRECIO,VALOR_BRUTO,VALOR_NETO,VALOR_IVA) VALUES(26,2,277,1,10000,10000,8403,1597);</v>
      </c>
    </row>
    <row r="3397" spans="1:12">
      <c r="A3397" s="114">
        <v>2</v>
      </c>
      <c r="B3397" s="114">
        <v>26</v>
      </c>
      <c r="C3397" s="139" t="s">
        <v>2255</v>
      </c>
      <c r="D3397" s="114" t="s">
        <v>2090</v>
      </c>
      <c r="E3397" s="114">
        <v>203</v>
      </c>
      <c r="F3397" s="114">
        <v>276</v>
      </c>
      <c r="G3397" s="114">
        <v>1</v>
      </c>
      <c r="H3397" s="114">
        <v>8000</v>
      </c>
      <c r="I3397" s="114">
        <v>8000</v>
      </c>
      <c r="J3397" s="114">
        <v>6723</v>
      </c>
      <c r="K3397" s="114">
        <v>1277</v>
      </c>
      <c r="L3397" s="114" t="str">
        <f t="shared" si="53"/>
        <v>INSERT INTO DETALLES_DOCUMENTO(NRO_DOCUMENTO,ID_TIPO,ID_PRODUCTO,CANTIDAD,PRECIO,VALOR_BRUTO,VALOR_NETO,VALOR_IVA) VALUES(26,2,276,1,8000,8000,6723,1277);</v>
      </c>
    </row>
    <row r="3398" spans="1:12">
      <c r="A3398" s="114">
        <v>2</v>
      </c>
      <c r="B3398" s="114">
        <v>26</v>
      </c>
      <c r="C3398" s="139" t="s">
        <v>2255</v>
      </c>
      <c r="D3398" s="114" t="s">
        <v>2090</v>
      </c>
      <c r="E3398" s="114">
        <v>203</v>
      </c>
      <c r="F3398" s="114">
        <v>118</v>
      </c>
      <c r="G3398" s="114">
        <v>1</v>
      </c>
      <c r="H3398" s="114">
        <v>3500</v>
      </c>
      <c r="I3398" s="114">
        <v>3500</v>
      </c>
      <c r="J3398" s="114">
        <v>2941</v>
      </c>
      <c r="K3398" s="114">
        <v>559</v>
      </c>
      <c r="L3398" s="114" t="str">
        <f t="shared" si="53"/>
        <v>INSERT INTO DETALLES_DOCUMENTO(NRO_DOCUMENTO,ID_TIPO,ID_PRODUCTO,CANTIDAD,PRECIO,VALOR_BRUTO,VALOR_NETO,VALOR_IVA) VALUES(26,2,118,1,3500,3500,2941,559);</v>
      </c>
    </row>
    <row r="3399" spans="1:12">
      <c r="A3399" s="114">
        <v>2</v>
      </c>
      <c r="B3399" s="114">
        <v>26</v>
      </c>
      <c r="C3399" s="139" t="s">
        <v>2255</v>
      </c>
      <c r="D3399" s="114" t="s">
        <v>2090</v>
      </c>
      <c r="E3399" s="114">
        <v>203</v>
      </c>
      <c r="F3399" s="114">
        <v>359</v>
      </c>
      <c r="G3399" s="114">
        <v>2</v>
      </c>
      <c r="H3399" s="114">
        <v>5000</v>
      </c>
      <c r="I3399" s="114">
        <v>10000</v>
      </c>
      <c r="J3399" s="114">
        <v>8403</v>
      </c>
      <c r="K3399" s="114">
        <v>1597</v>
      </c>
      <c r="L3399" s="114" t="str">
        <f t="shared" si="53"/>
        <v>INSERT INTO DETALLES_DOCUMENTO(NRO_DOCUMENTO,ID_TIPO,ID_PRODUCTO,CANTIDAD,PRECIO,VALOR_BRUTO,VALOR_NETO,VALOR_IVA) VALUES(26,2,359,2,5000,10000,8403,1597);</v>
      </c>
    </row>
    <row r="3400" spans="1:12">
      <c r="A3400" s="114">
        <v>2</v>
      </c>
      <c r="B3400" s="114">
        <v>26</v>
      </c>
      <c r="C3400" s="139" t="s">
        <v>2255</v>
      </c>
      <c r="D3400" s="114" t="s">
        <v>2090</v>
      </c>
      <c r="E3400" s="114">
        <v>203</v>
      </c>
      <c r="F3400" s="114">
        <v>53</v>
      </c>
      <c r="G3400" s="114">
        <v>1</v>
      </c>
      <c r="H3400" s="114">
        <v>4200</v>
      </c>
      <c r="I3400" s="114">
        <v>4200</v>
      </c>
      <c r="J3400" s="114">
        <v>3529</v>
      </c>
      <c r="K3400" s="114">
        <v>671</v>
      </c>
      <c r="L3400" s="114" t="str">
        <f t="shared" si="53"/>
        <v>INSERT INTO DETALLES_DOCUMENTO(NRO_DOCUMENTO,ID_TIPO,ID_PRODUCTO,CANTIDAD,PRECIO,VALOR_BRUTO,VALOR_NETO,VALOR_IVA) VALUES(26,2,53,1,4200,4200,3529,671);</v>
      </c>
    </row>
    <row r="3401" spans="1:12">
      <c r="A3401" s="114">
        <v>2</v>
      </c>
      <c r="B3401" s="114">
        <v>26</v>
      </c>
      <c r="C3401" s="139" t="s">
        <v>2255</v>
      </c>
      <c r="D3401" s="114" t="s">
        <v>2090</v>
      </c>
      <c r="E3401" s="114">
        <v>203</v>
      </c>
      <c r="F3401" s="114">
        <v>143</v>
      </c>
      <c r="G3401" s="114">
        <v>1</v>
      </c>
      <c r="H3401" s="114">
        <v>8300</v>
      </c>
      <c r="I3401" s="114">
        <v>8300</v>
      </c>
      <c r="J3401" s="114">
        <v>6975</v>
      </c>
      <c r="K3401" s="114">
        <v>1325</v>
      </c>
      <c r="L3401" s="114" t="str">
        <f t="shared" si="53"/>
        <v>INSERT INTO DETALLES_DOCUMENTO(NRO_DOCUMENTO,ID_TIPO,ID_PRODUCTO,CANTIDAD,PRECIO,VALOR_BRUTO,VALOR_NETO,VALOR_IVA) VALUES(26,2,143,1,8300,8300,6975,1325);</v>
      </c>
    </row>
    <row r="3402" spans="1:12">
      <c r="A3402" s="114">
        <v>2</v>
      </c>
      <c r="B3402" s="114">
        <v>27</v>
      </c>
      <c r="C3402" s="139" t="s">
        <v>2260</v>
      </c>
      <c r="D3402" s="114" t="s">
        <v>2090</v>
      </c>
      <c r="E3402" s="114">
        <v>69</v>
      </c>
      <c r="F3402" s="114">
        <v>49</v>
      </c>
      <c r="G3402" s="114">
        <v>3</v>
      </c>
      <c r="H3402" s="114">
        <v>12600</v>
      </c>
      <c r="I3402" s="114">
        <v>37800</v>
      </c>
      <c r="J3402" s="114">
        <v>31765</v>
      </c>
      <c r="K3402" s="114">
        <v>6035</v>
      </c>
      <c r="L3402" s="114" t="str">
        <f t="shared" si="53"/>
        <v>INSERT INTO DETALLES_DOCUMENTO(NRO_DOCUMENTO,ID_TIPO,ID_PRODUCTO,CANTIDAD,PRECIO,VALOR_BRUTO,VALOR_NETO,VALOR_IVA) VALUES(27,2,49,3,12600,37800,31765,6035);</v>
      </c>
    </row>
    <row r="3403" spans="1:12">
      <c r="A3403" s="114">
        <v>2</v>
      </c>
      <c r="B3403" s="114">
        <v>28</v>
      </c>
      <c r="C3403" s="139" t="s">
        <v>2260</v>
      </c>
      <c r="D3403" s="114" t="s">
        <v>2090</v>
      </c>
      <c r="E3403" s="114">
        <v>327</v>
      </c>
      <c r="F3403" s="114">
        <v>143</v>
      </c>
      <c r="G3403" s="114">
        <v>2</v>
      </c>
      <c r="H3403" s="114">
        <v>16600</v>
      </c>
      <c r="I3403" s="114">
        <v>33200</v>
      </c>
      <c r="J3403" s="114">
        <v>27899</v>
      </c>
      <c r="K3403" s="114">
        <v>5301</v>
      </c>
      <c r="L3403" s="114" t="str">
        <f t="shared" si="53"/>
        <v>INSERT INTO DETALLES_DOCUMENTO(NRO_DOCUMENTO,ID_TIPO,ID_PRODUCTO,CANTIDAD,PRECIO,VALOR_BRUTO,VALOR_NETO,VALOR_IVA) VALUES(28,2,143,2,16600,33200,27899,5301);</v>
      </c>
    </row>
    <row r="3404" spans="1:12">
      <c r="A3404" s="114">
        <v>2</v>
      </c>
      <c r="B3404" s="114">
        <v>28</v>
      </c>
      <c r="C3404" s="139" t="s">
        <v>2260</v>
      </c>
      <c r="D3404" s="114" t="s">
        <v>2090</v>
      </c>
      <c r="E3404" s="114">
        <v>327</v>
      </c>
      <c r="F3404" s="114">
        <v>231</v>
      </c>
      <c r="G3404" s="114">
        <v>1</v>
      </c>
      <c r="H3404" s="114">
        <v>20900</v>
      </c>
      <c r="I3404" s="114">
        <v>20900</v>
      </c>
      <c r="J3404" s="114">
        <v>17563</v>
      </c>
      <c r="K3404" s="114">
        <v>3337</v>
      </c>
      <c r="L3404" s="114" t="str">
        <f t="shared" si="53"/>
        <v>INSERT INTO DETALLES_DOCUMENTO(NRO_DOCUMENTO,ID_TIPO,ID_PRODUCTO,CANTIDAD,PRECIO,VALOR_BRUTO,VALOR_NETO,VALOR_IVA) VALUES(28,2,231,1,20900,20900,17563,3337);</v>
      </c>
    </row>
    <row r="3405" spans="1:12">
      <c r="A3405" s="114">
        <v>2</v>
      </c>
      <c r="B3405" s="114">
        <v>28</v>
      </c>
      <c r="C3405" s="139" t="s">
        <v>2260</v>
      </c>
      <c r="D3405" s="114" t="s">
        <v>2090</v>
      </c>
      <c r="E3405" s="114">
        <v>327</v>
      </c>
      <c r="F3405" s="114">
        <v>157</v>
      </c>
      <c r="G3405" s="114">
        <v>1</v>
      </c>
      <c r="H3405" s="114">
        <v>4300</v>
      </c>
      <c r="I3405" s="114">
        <v>4300</v>
      </c>
      <c r="J3405" s="114">
        <v>3613</v>
      </c>
      <c r="K3405" s="114">
        <v>687</v>
      </c>
      <c r="L3405" s="114" t="str">
        <f t="shared" si="53"/>
        <v>INSERT INTO DETALLES_DOCUMENTO(NRO_DOCUMENTO,ID_TIPO,ID_PRODUCTO,CANTIDAD,PRECIO,VALOR_BRUTO,VALOR_NETO,VALOR_IVA) VALUES(28,2,157,1,4300,4300,3613,687);</v>
      </c>
    </row>
    <row r="3406" spans="1:12">
      <c r="A3406" s="114">
        <v>2</v>
      </c>
      <c r="B3406" s="114">
        <v>28</v>
      </c>
      <c r="C3406" s="139" t="s">
        <v>2260</v>
      </c>
      <c r="D3406" s="114" t="s">
        <v>2090</v>
      </c>
      <c r="E3406" s="114">
        <v>327</v>
      </c>
      <c r="F3406" s="114">
        <v>360</v>
      </c>
      <c r="G3406" s="114">
        <v>1</v>
      </c>
      <c r="H3406" s="114">
        <v>3000</v>
      </c>
      <c r="I3406" s="114">
        <v>3000</v>
      </c>
      <c r="J3406" s="114">
        <v>2521</v>
      </c>
      <c r="K3406" s="114">
        <v>479</v>
      </c>
      <c r="L3406" s="114" t="str">
        <f t="shared" si="53"/>
        <v>INSERT INTO DETALLES_DOCUMENTO(NRO_DOCUMENTO,ID_TIPO,ID_PRODUCTO,CANTIDAD,PRECIO,VALOR_BRUTO,VALOR_NETO,VALOR_IVA) VALUES(28,2,360,1,3000,3000,2521,479);</v>
      </c>
    </row>
    <row r="3407" spans="1:12">
      <c r="A3407" s="114">
        <v>2</v>
      </c>
      <c r="B3407" s="114">
        <v>28</v>
      </c>
      <c r="C3407" s="139" t="s">
        <v>2260</v>
      </c>
      <c r="D3407" s="114" t="s">
        <v>2090</v>
      </c>
      <c r="E3407" s="114">
        <v>327</v>
      </c>
      <c r="F3407" s="114">
        <v>255</v>
      </c>
      <c r="G3407" s="114">
        <v>1</v>
      </c>
      <c r="H3407" s="114">
        <v>4000</v>
      </c>
      <c r="I3407" s="114">
        <v>4000</v>
      </c>
      <c r="J3407" s="114">
        <v>3361</v>
      </c>
      <c r="K3407" s="114">
        <v>639</v>
      </c>
      <c r="L3407" s="114" t="str">
        <f t="shared" si="53"/>
        <v>INSERT INTO DETALLES_DOCUMENTO(NRO_DOCUMENTO,ID_TIPO,ID_PRODUCTO,CANTIDAD,PRECIO,VALOR_BRUTO,VALOR_NETO,VALOR_IVA) VALUES(28,2,255,1,4000,4000,3361,639);</v>
      </c>
    </row>
    <row r="3408" spans="1:12">
      <c r="A3408" s="114">
        <v>2</v>
      </c>
      <c r="B3408" s="114">
        <v>28</v>
      </c>
      <c r="C3408" s="139" t="s">
        <v>2260</v>
      </c>
      <c r="D3408" s="114" t="s">
        <v>2090</v>
      </c>
      <c r="E3408" s="114">
        <v>327</v>
      </c>
      <c r="F3408" s="114">
        <v>31</v>
      </c>
      <c r="G3408" s="114">
        <v>1</v>
      </c>
      <c r="H3408" s="114">
        <v>3400</v>
      </c>
      <c r="I3408" s="114">
        <v>3400</v>
      </c>
      <c r="J3408" s="114">
        <v>2857</v>
      </c>
      <c r="K3408" s="114">
        <v>543</v>
      </c>
      <c r="L3408" s="114" t="str">
        <f t="shared" si="53"/>
        <v>INSERT INTO DETALLES_DOCUMENTO(NRO_DOCUMENTO,ID_TIPO,ID_PRODUCTO,CANTIDAD,PRECIO,VALOR_BRUTO,VALOR_NETO,VALOR_IVA) VALUES(28,2,31,1,3400,3400,2857,543);</v>
      </c>
    </row>
    <row r="3409" spans="1:12">
      <c r="A3409" s="114">
        <v>2</v>
      </c>
      <c r="B3409" s="114">
        <v>28</v>
      </c>
      <c r="C3409" s="139" t="s">
        <v>2260</v>
      </c>
      <c r="D3409" s="114" t="s">
        <v>2090</v>
      </c>
      <c r="E3409" s="114">
        <v>327</v>
      </c>
      <c r="F3409" s="114">
        <v>30</v>
      </c>
      <c r="G3409" s="114">
        <v>1</v>
      </c>
      <c r="H3409" s="114">
        <v>3000</v>
      </c>
      <c r="I3409" s="114">
        <v>3000</v>
      </c>
      <c r="J3409" s="114">
        <v>2521</v>
      </c>
      <c r="K3409" s="114">
        <v>479</v>
      </c>
      <c r="L3409" s="114" t="str">
        <f t="shared" si="53"/>
        <v>INSERT INTO DETALLES_DOCUMENTO(NRO_DOCUMENTO,ID_TIPO,ID_PRODUCTO,CANTIDAD,PRECIO,VALOR_BRUTO,VALOR_NETO,VALOR_IVA) VALUES(28,2,30,1,3000,3000,2521,479);</v>
      </c>
    </row>
    <row r="3410" spans="1:12">
      <c r="A3410" s="114">
        <v>2</v>
      </c>
      <c r="B3410" s="114">
        <v>28</v>
      </c>
      <c r="C3410" s="139" t="s">
        <v>2260</v>
      </c>
      <c r="D3410" s="114" t="s">
        <v>2090</v>
      </c>
      <c r="E3410" s="114">
        <v>327</v>
      </c>
      <c r="F3410" s="114">
        <v>259</v>
      </c>
      <c r="G3410" s="114">
        <v>1</v>
      </c>
      <c r="H3410" s="114">
        <v>4500</v>
      </c>
      <c r="I3410" s="114">
        <v>4500</v>
      </c>
      <c r="J3410" s="114">
        <v>3782</v>
      </c>
      <c r="K3410" s="114">
        <v>718</v>
      </c>
      <c r="L3410" s="114" t="str">
        <f t="shared" si="53"/>
        <v>INSERT INTO DETALLES_DOCUMENTO(NRO_DOCUMENTO,ID_TIPO,ID_PRODUCTO,CANTIDAD,PRECIO,VALOR_BRUTO,VALOR_NETO,VALOR_IVA) VALUES(28,2,259,1,4500,4500,3782,718);</v>
      </c>
    </row>
    <row r="3411" spans="1:12">
      <c r="A3411" s="114">
        <v>2</v>
      </c>
      <c r="B3411" s="114">
        <v>28</v>
      </c>
      <c r="C3411" s="139" t="s">
        <v>2260</v>
      </c>
      <c r="D3411" s="114" t="s">
        <v>2090</v>
      </c>
      <c r="E3411" s="114">
        <v>327</v>
      </c>
      <c r="F3411" s="114">
        <v>29</v>
      </c>
      <c r="G3411" s="114">
        <v>1</v>
      </c>
      <c r="H3411" s="114">
        <v>1000</v>
      </c>
      <c r="I3411" s="114">
        <v>1000</v>
      </c>
      <c r="J3411" s="114">
        <v>840</v>
      </c>
      <c r="K3411" s="114">
        <v>160</v>
      </c>
      <c r="L3411" s="114" t="str">
        <f t="shared" si="53"/>
        <v>INSERT INTO DETALLES_DOCUMENTO(NRO_DOCUMENTO,ID_TIPO,ID_PRODUCTO,CANTIDAD,PRECIO,VALOR_BRUTO,VALOR_NETO,VALOR_IVA) VALUES(28,2,29,1,1000,1000,840,160);</v>
      </c>
    </row>
    <row r="3412" spans="1:12">
      <c r="A3412" s="114">
        <v>2</v>
      </c>
      <c r="B3412" s="114">
        <v>28</v>
      </c>
      <c r="C3412" s="139" t="s">
        <v>2260</v>
      </c>
      <c r="D3412" s="114" t="s">
        <v>2090</v>
      </c>
      <c r="E3412" s="114">
        <v>327</v>
      </c>
      <c r="F3412" s="114">
        <v>166</v>
      </c>
      <c r="G3412" s="114">
        <v>2</v>
      </c>
      <c r="H3412" s="114">
        <v>3200</v>
      </c>
      <c r="I3412" s="114">
        <v>6400</v>
      </c>
      <c r="J3412" s="114">
        <v>5378</v>
      </c>
      <c r="K3412" s="114">
        <v>1022</v>
      </c>
      <c r="L3412" s="114" t="str">
        <f t="shared" si="53"/>
        <v>INSERT INTO DETALLES_DOCUMENTO(NRO_DOCUMENTO,ID_TIPO,ID_PRODUCTO,CANTIDAD,PRECIO,VALOR_BRUTO,VALOR_NETO,VALOR_IVA) VALUES(28,2,166,2,3200,6400,5378,1022);</v>
      </c>
    </row>
    <row r="3413" spans="1:12">
      <c r="A3413" s="114">
        <v>2</v>
      </c>
      <c r="B3413" s="114">
        <v>28</v>
      </c>
      <c r="C3413" s="139" t="s">
        <v>2260</v>
      </c>
      <c r="D3413" s="114" t="s">
        <v>2090</v>
      </c>
      <c r="E3413" s="114">
        <v>327</v>
      </c>
      <c r="F3413" s="114">
        <v>251</v>
      </c>
      <c r="G3413" s="114">
        <v>1</v>
      </c>
      <c r="H3413" s="114">
        <v>7000</v>
      </c>
      <c r="I3413" s="114">
        <v>7000</v>
      </c>
      <c r="J3413" s="114">
        <v>5882</v>
      </c>
      <c r="K3413" s="114">
        <v>1118</v>
      </c>
      <c r="L3413" s="114" t="str">
        <f t="shared" si="53"/>
        <v>INSERT INTO DETALLES_DOCUMENTO(NRO_DOCUMENTO,ID_TIPO,ID_PRODUCTO,CANTIDAD,PRECIO,VALOR_BRUTO,VALOR_NETO,VALOR_IVA) VALUES(28,2,251,1,7000,7000,5882,1118);</v>
      </c>
    </row>
    <row r="3414" spans="1:12">
      <c r="A3414" s="114">
        <v>2</v>
      </c>
      <c r="B3414" s="114">
        <v>28</v>
      </c>
      <c r="C3414" s="139" t="s">
        <v>2260</v>
      </c>
      <c r="D3414" s="114" t="s">
        <v>2090</v>
      </c>
      <c r="E3414" s="114">
        <v>327</v>
      </c>
      <c r="F3414" s="114">
        <v>162</v>
      </c>
      <c r="G3414" s="114">
        <v>2</v>
      </c>
      <c r="H3414" s="114">
        <v>3200</v>
      </c>
      <c r="I3414" s="114">
        <v>6400</v>
      </c>
      <c r="J3414" s="114">
        <v>5378</v>
      </c>
      <c r="K3414" s="114">
        <v>1022</v>
      </c>
      <c r="L3414" s="114" t="str">
        <f t="shared" si="53"/>
        <v>INSERT INTO DETALLES_DOCUMENTO(NRO_DOCUMENTO,ID_TIPO,ID_PRODUCTO,CANTIDAD,PRECIO,VALOR_BRUTO,VALOR_NETO,VALOR_IVA) VALUES(28,2,162,2,3200,6400,5378,1022);</v>
      </c>
    </row>
    <row r="3415" spans="1:12">
      <c r="A3415" s="114">
        <v>2</v>
      </c>
      <c r="B3415" s="114">
        <v>28</v>
      </c>
      <c r="C3415" s="139" t="s">
        <v>2260</v>
      </c>
      <c r="D3415" s="114" t="s">
        <v>2090</v>
      </c>
      <c r="E3415" s="114">
        <v>327</v>
      </c>
      <c r="F3415" s="114">
        <v>164</v>
      </c>
      <c r="G3415" s="114">
        <v>1</v>
      </c>
      <c r="H3415" s="114">
        <v>3200</v>
      </c>
      <c r="I3415" s="114">
        <v>3200</v>
      </c>
      <c r="J3415" s="114">
        <v>2689</v>
      </c>
      <c r="K3415" s="114">
        <v>511</v>
      </c>
      <c r="L3415" s="114" t="str">
        <f t="shared" si="53"/>
        <v>INSERT INTO DETALLES_DOCUMENTO(NRO_DOCUMENTO,ID_TIPO,ID_PRODUCTO,CANTIDAD,PRECIO,VALOR_BRUTO,VALOR_NETO,VALOR_IVA) VALUES(28,2,164,1,3200,3200,2689,511);</v>
      </c>
    </row>
    <row r="3416" spans="1:12">
      <c r="A3416" s="114">
        <v>2</v>
      </c>
      <c r="B3416" s="114">
        <v>28</v>
      </c>
      <c r="C3416" s="139" t="s">
        <v>2260</v>
      </c>
      <c r="D3416" s="114" t="s">
        <v>2090</v>
      </c>
      <c r="E3416" s="114">
        <v>327</v>
      </c>
      <c r="F3416" s="114">
        <v>57</v>
      </c>
      <c r="G3416" s="114">
        <v>1</v>
      </c>
      <c r="H3416" s="114">
        <v>4000</v>
      </c>
      <c r="I3416" s="114">
        <v>4000</v>
      </c>
      <c r="J3416" s="114">
        <v>3361</v>
      </c>
      <c r="K3416" s="114">
        <v>639</v>
      </c>
      <c r="L3416" s="114" t="str">
        <f t="shared" si="53"/>
        <v>INSERT INTO DETALLES_DOCUMENTO(NRO_DOCUMENTO,ID_TIPO,ID_PRODUCTO,CANTIDAD,PRECIO,VALOR_BRUTO,VALOR_NETO,VALOR_IVA) VALUES(28,2,57,1,4000,4000,3361,639);</v>
      </c>
    </row>
    <row r="3417" spans="1:12">
      <c r="A3417" s="114">
        <v>2</v>
      </c>
      <c r="B3417" s="114">
        <v>28</v>
      </c>
      <c r="C3417" s="139" t="s">
        <v>2260</v>
      </c>
      <c r="D3417" s="114" t="s">
        <v>2090</v>
      </c>
      <c r="E3417" s="114">
        <v>327</v>
      </c>
      <c r="F3417" s="114">
        <v>356</v>
      </c>
      <c r="G3417" s="114">
        <v>1</v>
      </c>
      <c r="H3417" s="114">
        <v>3000</v>
      </c>
      <c r="I3417" s="114">
        <v>3000</v>
      </c>
      <c r="J3417" s="114">
        <v>2521</v>
      </c>
      <c r="K3417" s="114">
        <v>479</v>
      </c>
      <c r="L3417" s="114" t="str">
        <f t="shared" si="53"/>
        <v>INSERT INTO DETALLES_DOCUMENTO(NRO_DOCUMENTO,ID_TIPO,ID_PRODUCTO,CANTIDAD,PRECIO,VALOR_BRUTO,VALOR_NETO,VALOR_IVA) VALUES(28,2,356,1,3000,3000,2521,479);</v>
      </c>
    </row>
    <row r="3418" spans="1:12">
      <c r="A3418" s="114">
        <v>2</v>
      </c>
      <c r="B3418" s="114">
        <v>28</v>
      </c>
      <c r="C3418" s="139" t="s">
        <v>2260</v>
      </c>
      <c r="D3418" s="114" t="s">
        <v>2090</v>
      </c>
      <c r="E3418" s="114">
        <v>327</v>
      </c>
      <c r="F3418" s="114">
        <v>49</v>
      </c>
      <c r="G3418" s="114">
        <v>1</v>
      </c>
      <c r="H3418" s="114">
        <v>4200</v>
      </c>
      <c r="I3418" s="114">
        <v>4200</v>
      </c>
      <c r="J3418" s="114">
        <v>3529</v>
      </c>
      <c r="K3418" s="114">
        <v>671</v>
      </c>
      <c r="L3418" s="114" t="str">
        <f t="shared" si="53"/>
        <v>INSERT INTO DETALLES_DOCUMENTO(NRO_DOCUMENTO,ID_TIPO,ID_PRODUCTO,CANTIDAD,PRECIO,VALOR_BRUTO,VALOR_NETO,VALOR_IVA) VALUES(28,2,49,1,4200,4200,3529,671);</v>
      </c>
    </row>
    <row r="3419" spans="1:12">
      <c r="A3419" s="114">
        <v>2</v>
      </c>
      <c r="B3419" s="114">
        <v>29</v>
      </c>
      <c r="C3419" s="139" t="s">
        <v>2270</v>
      </c>
      <c r="D3419" s="114" t="s">
        <v>2090</v>
      </c>
      <c r="E3419" s="114">
        <v>413</v>
      </c>
      <c r="F3419" s="114">
        <v>74</v>
      </c>
      <c r="G3419" s="114">
        <v>1</v>
      </c>
      <c r="H3419" s="114">
        <v>11500</v>
      </c>
      <c r="I3419" s="114">
        <v>11500</v>
      </c>
      <c r="J3419" s="114">
        <v>9664</v>
      </c>
      <c r="K3419" s="114">
        <v>1836</v>
      </c>
      <c r="L3419" s="114" t="str">
        <f t="shared" si="53"/>
        <v>INSERT INTO DETALLES_DOCUMENTO(NRO_DOCUMENTO,ID_TIPO,ID_PRODUCTO,CANTIDAD,PRECIO,VALOR_BRUTO,VALOR_NETO,VALOR_IVA) VALUES(29,2,74,1,11500,11500,9664,1836);</v>
      </c>
    </row>
    <row r="3420" spans="1:12">
      <c r="A3420" s="114">
        <v>2</v>
      </c>
      <c r="B3420" s="114">
        <v>29</v>
      </c>
      <c r="C3420" s="139" t="s">
        <v>2270</v>
      </c>
      <c r="D3420" s="114" t="s">
        <v>2090</v>
      </c>
      <c r="E3420" s="114">
        <v>413</v>
      </c>
      <c r="F3420" s="114">
        <v>123</v>
      </c>
      <c r="G3420" s="114">
        <v>2</v>
      </c>
      <c r="H3420" s="114">
        <v>48000</v>
      </c>
      <c r="I3420" s="114">
        <v>96000</v>
      </c>
      <c r="J3420" s="114">
        <v>80672</v>
      </c>
      <c r="K3420" s="114">
        <v>15328</v>
      </c>
      <c r="L3420" s="114" t="str">
        <f t="shared" si="53"/>
        <v>INSERT INTO DETALLES_DOCUMENTO(NRO_DOCUMENTO,ID_TIPO,ID_PRODUCTO,CANTIDAD,PRECIO,VALOR_BRUTO,VALOR_NETO,VALOR_IVA) VALUES(29,2,123,2,48000,96000,80672,15328);</v>
      </c>
    </row>
    <row r="3421" spans="1:12">
      <c r="A3421" s="114">
        <v>2</v>
      </c>
      <c r="B3421" s="114">
        <v>29</v>
      </c>
      <c r="C3421" s="139" t="s">
        <v>2270</v>
      </c>
      <c r="D3421" s="114" t="s">
        <v>2090</v>
      </c>
      <c r="E3421" s="114">
        <v>413</v>
      </c>
      <c r="F3421" s="114">
        <v>112</v>
      </c>
      <c r="G3421" s="114">
        <v>1</v>
      </c>
      <c r="H3421" s="114">
        <v>-1000</v>
      </c>
      <c r="I3421" s="114">
        <v>-1000</v>
      </c>
      <c r="J3421" s="114">
        <v>-840</v>
      </c>
      <c r="K3421" s="114">
        <v>-160</v>
      </c>
      <c r="L3421" s="114" t="str">
        <f t="shared" si="53"/>
        <v>INSERT INTO DETALLES_DOCUMENTO(NRO_DOCUMENTO,ID_TIPO,ID_PRODUCTO,CANTIDAD,PRECIO,VALOR_BRUTO,VALOR_NETO,VALOR_IVA) VALUES(29,2,112,1,-1000,-1000,-840,-160);</v>
      </c>
    </row>
    <row r="3422" spans="1:12">
      <c r="A3422" s="114">
        <v>2</v>
      </c>
      <c r="B3422" s="114">
        <v>29</v>
      </c>
      <c r="C3422" s="139" t="s">
        <v>2270</v>
      </c>
      <c r="D3422" s="114" t="s">
        <v>2090</v>
      </c>
      <c r="E3422" s="114">
        <v>413</v>
      </c>
      <c r="F3422" s="114">
        <v>236</v>
      </c>
      <c r="G3422" s="114">
        <v>1</v>
      </c>
      <c r="H3422" s="114">
        <v>18990</v>
      </c>
      <c r="I3422" s="114">
        <v>18990</v>
      </c>
      <c r="J3422" s="114">
        <v>15958</v>
      </c>
      <c r="K3422" s="114">
        <v>3032</v>
      </c>
      <c r="L3422" s="114" t="str">
        <f t="shared" si="53"/>
        <v>INSERT INTO DETALLES_DOCUMENTO(NRO_DOCUMENTO,ID_TIPO,ID_PRODUCTO,CANTIDAD,PRECIO,VALOR_BRUTO,VALOR_NETO,VALOR_IVA) VALUES(29,2,236,1,18990,18990,15958,3032);</v>
      </c>
    </row>
    <row r="3423" spans="1:12">
      <c r="A3423" s="114">
        <v>2</v>
      </c>
      <c r="B3423" s="114">
        <v>29</v>
      </c>
      <c r="C3423" s="139" t="s">
        <v>2270</v>
      </c>
      <c r="D3423" s="114" t="s">
        <v>2090</v>
      </c>
      <c r="E3423" s="114">
        <v>413</v>
      </c>
      <c r="F3423" s="114">
        <v>46</v>
      </c>
      <c r="G3423" s="114">
        <v>2</v>
      </c>
      <c r="H3423" s="114">
        <v>5000</v>
      </c>
      <c r="I3423" s="114">
        <v>10000</v>
      </c>
      <c r="J3423" s="114">
        <v>8403</v>
      </c>
      <c r="K3423" s="114">
        <v>1597</v>
      </c>
      <c r="L3423" s="114" t="str">
        <f t="shared" si="53"/>
        <v>INSERT INTO DETALLES_DOCUMENTO(NRO_DOCUMENTO,ID_TIPO,ID_PRODUCTO,CANTIDAD,PRECIO,VALOR_BRUTO,VALOR_NETO,VALOR_IVA) VALUES(29,2,46,2,5000,10000,8403,1597);</v>
      </c>
    </row>
    <row r="3424" spans="1:12">
      <c r="A3424" s="114">
        <v>2</v>
      </c>
      <c r="B3424" s="114">
        <v>30</v>
      </c>
      <c r="C3424" s="139" t="s">
        <v>2274</v>
      </c>
      <c r="D3424" s="114" t="s">
        <v>2090</v>
      </c>
      <c r="E3424" s="114">
        <v>203</v>
      </c>
      <c r="F3424" s="114">
        <v>276</v>
      </c>
      <c r="G3424" s="114">
        <v>1</v>
      </c>
      <c r="H3424" s="114">
        <v>8000</v>
      </c>
      <c r="I3424" s="114">
        <v>8000</v>
      </c>
      <c r="J3424" s="114">
        <v>6723</v>
      </c>
      <c r="K3424" s="114">
        <v>1277</v>
      </c>
      <c r="L3424" s="114" t="str">
        <f t="shared" si="53"/>
        <v>INSERT INTO DETALLES_DOCUMENTO(NRO_DOCUMENTO,ID_TIPO,ID_PRODUCTO,CANTIDAD,PRECIO,VALOR_BRUTO,VALOR_NETO,VALOR_IVA) VALUES(30,2,276,1,8000,8000,6723,1277);</v>
      </c>
    </row>
    <row r="3425" spans="1:12">
      <c r="A3425" s="114">
        <v>2</v>
      </c>
      <c r="B3425" s="114">
        <v>30</v>
      </c>
      <c r="C3425" s="139" t="s">
        <v>2274</v>
      </c>
      <c r="D3425" s="114" t="s">
        <v>2090</v>
      </c>
      <c r="E3425" s="114">
        <v>203</v>
      </c>
      <c r="F3425" s="114">
        <v>99</v>
      </c>
      <c r="G3425" s="114">
        <v>1</v>
      </c>
      <c r="H3425" s="114">
        <v>1500</v>
      </c>
      <c r="I3425" s="114">
        <v>1500</v>
      </c>
      <c r="J3425" s="114">
        <v>1261</v>
      </c>
      <c r="K3425" s="114">
        <v>239</v>
      </c>
      <c r="L3425" s="114" t="str">
        <f t="shared" si="53"/>
        <v>INSERT INTO DETALLES_DOCUMENTO(NRO_DOCUMENTO,ID_TIPO,ID_PRODUCTO,CANTIDAD,PRECIO,VALOR_BRUTO,VALOR_NETO,VALOR_IVA) VALUES(30,2,99,1,1500,1500,1261,239);</v>
      </c>
    </row>
    <row r="3426" spans="1:12">
      <c r="A3426" s="114">
        <v>2</v>
      </c>
      <c r="B3426" s="114">
        <v>31</v>
      </c>
      <c r="C3426" s="139" t="s">
        <v>2278</v>
      </c>
      <c r="D3426" s="114" t="s">
        <v>2090</v>
      </c>
      <c r="E3426" s="114">
        <v>203</v>
      </c>
      <c r="F3426" s="114">
        <v>118</v>
      </c>
      <c r="G3426" s="114">
        <v>1</v>
      </c>
      <c r="H3426" s="114">
        <v>3500</v>
      </c>
      <c r="I3426" s="114">
        <v>3500</v>
      </c>
      <c r="J3426" s="114">
        <v>2941</v>
      </c>
      <c r="K3426" s="114">
        <v>559</v>
      </c>
      <c r="L3426" s="114" t="str">
        <f t="shared" si="53"/>
        <v>INSERT INTO DETALLES_DOCUMENTO(NRO_DOCUMENTO,ID_TIPO,ID_PRODUCTO,CANTIDAD,PRECIO,VALOR_BRUTO,VALOR_NETO,VALOR_IVA) VALUES(31,2,118,1,3500,3500,2941,559);</v>
      </c>
    </row>
    <row r="3427" spans="1:12">
      <c r="A3427" s="114">
        <v>2</v>
      </c>
      <c r="B3427" s="114">
        <v>31</v>
      </c>
      <c r="C3427" s="139" t="s">
        <v>2278</v>
      </c>
      <c r="D3427" s="114" t="s">
        <v>2090</v>
      </c>
      <c r="E3427" s="114">
        <v>203</v>
      </c>
      <c r="F3427" s="114">
        <v>143</v>
      </c>
      <c r="G3427" s="114">
        <v>1</v>
      </c>
      <c r="H3427" s="114">
        <v>8300</v>
      </c>
      <c r="I3427" s="114">
        <v>8300</v>
      </c>
      <c r="J3427" s="114">
        <v>6975</v>
      </c>
      <c r="K3427" s="114">
        <v>1325</v>
      </c>
      <c r="L3427" s="114" t="str">
        <f t="shared" si="53"/>
        <v>INSERT INTO DETALLES_DOCUMENTO(NRO_DOCUMENTO,ID_TIPO,ID_PRODUCTO,CANTIDAD,PRECIO,VALOR_BRUTO,VALOR_NETO,VALOR_IVA) VALUES(31,2,143,1,8300,8300,6975,1325);</v>
      </c>
    </row>
    <row r="3428" spans="1:12">
      <c r="A3428" s="114">
        <v>2</v>
      </c>
      <c r="B3428" s="114">
        <v>32</v>
      </c>
      <c r="C3428" s="139" t="s">
        <v>2282</v>
      </c>
      <c r="D3428" s="114" t="s">
        <v>2090</v>
      </c>
      <c r="E3428" s="114">
        <v>205</v>
      </c>
      <c r="F3428" s="114">
        <v>53</v>
      </c>
      <c r="G3428" s="114">
        <v>1</v>
      </c>
      <c r="H3428" s="114">
        <v>4200</v>
      </c>
      <c r="I3428" s="114">
        <v>4200</v>
      </c>
      <c r="J3428" s="114">
        <v>3529</v>
      </c>
      <c r="K3428" s="114">
        <v>671</v>
      </c>
      <c r="L3428" s="114" t="str">
        <f t="shared" si="53"/>
        <v>INSERT INTO DETALLES_DOCUMENTO(NRO_DOCUMENTO,ID_TIPO,ID_PRODUCTO,CANTIDAD,PRECIO,VALOR_BRUTO,VALOR_NETO,VALOR_IVA) VALUES(32,2,53,1,4200,4200,3529,671);</v>
      </c>
    </row>
    <row r="3429" spans="1:12">
      <c r="A3429" s="114">
        <v>2</v>
      </c>
      <c r="B3429" s="114">
        <v>33</v>
      </c>
      <c r="C3429" s="139" t="s">
        <v>2283</v>
      </c>
      <c r="D3429" s="114" t="s">
        <v>2090</v>
      </c>
      <c r="E3429" s="114">
        <v>203</v>
      </c>
      <c r="F3429" s="114">
        <v>231</v>
      </c>
      <c r="G3429" s="114">
        <v>1</v>
      </c>
      <c r="H3429" s="114">
        <v>20900</v>
      </c>
      <c r="I3429" s="114">
        <v>20900</v>
      </c>
      <c r="J3429" s="114">
        <v>17563</v>
      </c>
      <c r="K3429" s="114">
        <v>3337</v>
      </c>
      <c r="L3429" s="114" t="str">
        <f t="shared" si="53"/>
        <v>INSERT INTO DETALLES_DOCUMENTO(NRO_DOCUMENTO,ID_TIPO,ID_PRODUCTO,CANTIDAD,PRECIO,VALOR_BRUTO,VALOR_NETO,VALOR_IVA) VALUES(33,2,231,1,20900,20900,17563,3337);</v>
      </c>
    </row>
    <row r="3430" spans="1:12">
      <c r="A3430" s="114">
        <v>2</v>
      </c>
      <c r="B3430" s="114">
        <v>33</v>
      </c>
      <c r="C3430" s="139" t="s">
        <v>2283</v>
      </c>
      <c r="D3430" s="114" t="s">
        <v>2090</v>
      </c>
      <c r="E3430" s="114">
        <v>203</v>
      </c>
      <c r="F3430" s="114">
        <v>277</v>
      </c>
      <c r="G3430" s="114">
        <v>1</v>
      </c>
      <c r="H3430" s="114">
        <v>10000</v>
      </c>
      <c r="I3430" s="114">
        <v>10000</v>
      </c>
      <c r="J3430" s="114">
        <v>8403</v>
      </c>
      <c r="K3430" s="114">
        <v>1597</v>
      </c>
      <c r="L3430" s="114" t="str">
        <f t="shared" si="53"/>
        <v>INSERT INTO DETALLES_DOCUMENTO(NRO_DOCUMENTO,ID_TIPO,ID_PRODUCTO,CANTIDAD,PRECIO,VALOR_BRUTO,VALOR_NETO,VALOR_IVA) VALUES(33,2,277,1,10000,10000,8403,1597);</v>
      </c>
    </row>
    <row r="3431" spans="1:12">
      <c r="A3431" s="114">
        <v>2</v>
      </c>
      <c r="B3431" s="114">
        <v>34</v>
      </c>
      <c r="C3431" s="139" t="s">
        <v>2285</v>
      </c>
      <c r="D3431" s="114" t="s">
        <v>2090</v>
      </c>
      <c r="E3431" s="114">
        <v>203</v>
      </c>
      <c r="F3431" s="114">
        <v>332</v>
      </c>
      <c r="G3431" s="114">
        <v>1</v>
      </c>
      <c r="H3431" s="114">
        <v>2600</v>
      </c>
      <c r="I3431" s="114">
        <v>2600</v>
      </c>
      <c r="J3431" s="114">
        <v>2185</v>
      </c>
      <c r="K3431" s="114">
        <v>415</v>
      </c>
      <c r="L3431" s="114" t="str">
        <f t="shared" si="53"/>
        <v>INSERT INTO DETALLES_DOCUMENTO(NRO_DOCUMENTO,ID_TIPO,ID_PRODUCTO,CANTIDAD,PRECIO,VALOR_BRUTO,VALOR_NETO,VALOR_IVA) VALUES(34,2,332,1,2600,2600,2185,415);</v>
      </c>
    </row>
    <row r="3432" spans="1:12">
      <c r="A3432" s="114">
        <v>2</v>
      </c>
      <c r="B3432" s="114">
        <v>35</v>
      </c>
      <c r="C3432" s="139" t="s">
        <v>2294</v>
      </c>
      <c r="D3432" s="114" t="s">
        <v>2090</v>
      </c>
      <c r="E3432" s="114">
        <v>203</v>
      </c>
      <c r="F3432" s="114">
        <v>143</v>
      </c>
      <c r="G3432" s="114">
        <v>1</v>
      </c>
      <c r="H3432" s="114">
        <v>8000</v>
      </c>
      <c r="I3432" s="114">
        <v>8000</v>
      </c>
      <c r="J3432" s="114">
        <v>6723</v>
      </c>
      <c r="K3432" s="114">
        <v>1277</v>
      </c>
      <c r="L3432" s="114" t="str">
        <f t="shared" si="53"/>
        <v>INSERT INTO DETALLES_DOCUMENTO(NRO_DOCUMENTO,ID_TIPO,ID_PRODUCTO,CANTIDAD,PRECIO,VALOR_BRUTO,VALOR_NETO,VALOR_IVA) VALUES(35,2,143,1,8000,8000,6723,1277);</v>
      </c>
    </row>
    <row r="3433" spans="1:12">
      <c r="A3433" s="114">
        <v>2</v>
      </c>
      <c r="B3433" s="114">
        <v>35</v>
      </c>
      <c r="C3433" s="139" t="s">
        <v>2294</v>
      </c>
      <c r="D3433" s="114" t="s">
        <v>2090</v>
      </c>
      <c r="E3433" s="114">
        <v>203</v>
      </c>
      <c r="F3433" s="114">
        <v>29</v>
      </c>
      <c r="G3433" s="114">
        <v>1</v>
      </c>
      <c r="H3433" s="114">
        <v>1000</v>
      </c>
      <c r="I3433" s="114">
        <v>1000</v>
      </c>
      <c r="J3433" s="114">
        <v>840</v>
      </c>
      <c r="K3433" s="114">
        <v>160</v>
      </c>
      <c r="L3433" s="114" t="str">
        <f t="shared" si="53"/>
        <v>INSERT INTO DETALLES_DOCUMENTO(NRO_DOCUMENTO,ID_TIPO,ID_PRODUCTO,CANTIDAD,PRECIO,VALOR_BRUTO,VALOR_NETO,VALOR_IVA) VALUES(35,2,29,1,1000,1000,840,160);</v>
      </c>
    </row>
    <row r="3434" spans="1:12">
      <c r="A3434" s="114">
        <v>2</v>
      </c>
      <c r="B3434" s="114">
        <v>36</v>
      </c>
      <c r="C3434" s="139" t="s">
        <v>2295</v>
      </c>
      <c r="D3434" s="114" t="s">
        <v>2090</v>
      </c>
      <c r="E3434" s="114">
        <v>364</v>
      </c>
      <c r="F3434" s="114">
        <v>30</v>
      </c>
      <c r="G3434" s="114">
        <v>2</v>
      </c>
      <c r="H3434" s="114">
        <v>6001</v>
      </c>
      <c r="I3434" s="114">
        <v>12002</v>
      </c>
      <c r="J3434" s="114">
        <v>10086</v>
      </c>
      <c r="K3434" s="114">
        <v>1916</v>
      </c>
      <c r="L3434" s="114" t="str">
        <f t="shared" si="53"/>
        <v>INSERT INTO DETALLES_DOCUMENTO(NRO_DOCUMENTO,ID_TIPO,ID_PRODUCTO,CANTIDAD,PRECIO,VALOR_BRUTO,VALOR_NETO,VALOR_IVA) VALUES(36,2,30,2,6001,12002,10086,1916);</v>
      </c>
    </row>
    <row r="3435" spans="1:12">
      <c r="A3435" s="114">
        <v>2</v>
      </c>
      <c r="B3435" s="114">
        <v>36</v>
      </c>
      <c r="C3435" s="139" t="s">
        <v>2295</v>
      </c>
      <c r="D3435" s="114" t="s">
        <v>2090</v>
      </c>
      <c r="E3435" s="114">
        <v>364</v>
      </c>
      <c r="F3435" s="114">
        <v>232</v>
      </c>
      <c r="G3435" s="114">
        <v>1</v>
      </c>
      <c r="H3435" s="114">
        <v>12500</v>
      </c>
      <c r="I3435" s="114">
        <v>12500</v>
      </c>
      <c r="J3435" s="114">
        <v>10504</v>
      </c>
      <c r="K3435" s="114">
        <v>1996</v>
      </c>
      <c r="L3435" s="114" t="str">
        <f t="shared" si="53"/>
        <v>INSERT INTO DETALLES_DOCUMENTO(NRO_DOCUMENTO,ID_TIPO,ID_PRODUCTO,CANTIDAD,PRECIO,VALOR_BRUTO,VALOR_NETO,VALOR_IVA) VALUES(36,2,232,1,12500,12500,10504,1996);</v>
      </c>
    </row>
    <row r="3436" spans="1:12">
      <c r="A3436" s="114">
        <v>2</v>
      </c>
      <c r="B3436" s="114">
        <v>36</v>
      </c>
      <c r="C3436" s="139" t="s">
        <v>2295</v>
      </c>
      <c r="D3436" s="114" t="s">
        <v>2090</v>
      </c>
      <c r="E3436" s="114">
        <v>364</v>
      </c>
      <c r="F3436" s="114">
        <v>27</v>
      </c>
      <c r="G3436" s="114">
        <v>1</v>
      </c>
      <c r="H3436" s="114">
        <v>8700</v>
      </c>
      <c r="I3436" s="114">
        <v>8700</v>
      </c>
      <c r="J3436" s="114">
        <v>7311</v>
      </c>
      <c r="K3436" s="114">
        <v>1389</v>
      </c>
      <c r="L3436" s="114" t="str">
        <f t="shared" si="53"/>
        <v>INSERT INTO DETALLES_DOCUMENTO(NRO_DOCUMENTO,ID_TIPO,ID_PRODUCTO,CANTIDAD,PRECIO,VALOR_BRUTO,VALOR_NETO,VALOR_IVA) VALUES(36,2,27,1,8700,8700,7311,1389);</v>
      </c>
    </row>
    <row r="3437" spans="1:12">
      <c r="A3437" s="114">
        <v>2</v>
      </c>
      <c r="B3437" s="114">
        <v>37</v>
      </c>
      <c r="C3437" s="139" t="s">
        <v>2296</v>
      </c>
      <c r="D3437" s="114" t="s">
        <v>2090</v>
      </c>
      <c r="E3437" s="114">
        <v>185</v>
      </c>
      <c r="F3437" s="114">
        <v>278</v>
      </c>
      <c r="G3437" s="114">
        <v>1</v>
      </c>
      <c r="H3437" s="114">
        <v>11500</v>
      </c>
      <c r="I3437" s="114">
        <v>11500</v>
      </c>
      <c r="J3437" s="114">
        <v>9664</v>
      </c>
      <c r="K3437" s="114">
        <v>1836</v>
      </c>
      <c r="L3437" s="114" t="str">
        <f t="shared" si="53"/>
        <v>INSERT INTO DETALLES_DOCUMENTO(NRO_DOCUMENTO,ID_TIPO,ID_PRODUCTO,CANTIDAD,PRECIO,VALOR_BRUTO,VALOR_NETO,VALOR_IVA) VALUES(37,2,278,1,11500,11500,9664,1836);</v>
      </c>
    </row>
    <row r="3438" spans="1:12">
      <c r="A3438" s="114">
        <v>2</v>
      </c>
      <c r="B3438" s="114">
        <v>37</v>
      </c>
      <c r="C3438" s="139" t="s">
        <v>2296</v>
      </c>
      <c r="D3438" s="114" t="s">
        <v>2090</v>
      </c>
      <c r="E3438" s="114">
        <v>185</v>
      </c>
      <c r="F3438" s="114">
        <v>244</v>
      </c>
      <c r="G3438" s="114">
        <v>1</v>
      </c>
      <c r="H3438" s="114">
        <v>14900</v>
      </c>
      <c r="I3438" s="114">
        <v>14900</v>
      </c>
      <c r="J3438" s="114">
        <v>12521</v>
      </c>
      <c r="K3438" s="114">
        <v>2379</v>
      </c>
      <c r="L3438" s="114" t="str">
        <f t="shared" si="53"/>
        <v>INSERT INTO DETALLES_DOCUMENTO(NRO_DOCUMENTO,ID_TIPO,ID_PRODUCTO,CANTIDAD,PRECIO,VALOR_BRUTO,VALOR_NETO,VALOR_IVA) VALUES(37,2,244,1,14900,14900,12521,2379);</v>
      </c>
    </row>
    <row r="3439" spans="1:12">
      <c r="A3439" s="114">
        <v>2</v>
      </c>
      <c r="B3439" s="114">
        <v>37</v>
      </c>
      <c r="C3439" s="139" t="s">
        <v>2296</v>
      </c>
      <c r="D3439" s="114" t="s">
        <v>2090</v>
      </c>
      <c r="E3439" s="114">
        <v>185</v>
      </c>
      <c r="F3439" s="114">
        <v>379</v>
      </c>
      <c r="G3439" s="114">
        <v>3</v>
      </c>
      <c r="H3439" s="114">
        <v>6000</v>
      </c>
      <c r="I3439" s="114">
        <v>18000</v>
      </c>
      <c r="J3439" s="114">
        <v>15126</v>
      </c>
      <c r="K3439" s="114">
        <v>2874</v>
      </c>
      <c r="L3439" s="114" t="str">
        <f t="shared" si="53"/>
        <v>INSERT INTO DETALLES_DOCUMENTO(NRO_DOCUMENTO,ID_TIPO,ID_PRODUCTO,CANTIDAD,PRECIO,VALOR_BRUTO,VALOR_NETO,VALOR_IVA) VALUES(37,2,379,3,6000,18000,15126,2874);</v>
      </c>
    </row>
    <row r="3440" spans="1:12">
      <c r="A3440" s="114">
        <v>2</v>
      </c>
      <c r="B3440" s="114">
        <v>37</v>
      </c>
      <c r="C3440" s="139" t="s">
        <v>2296</v>
      </c>
      <c r="D3440" s="114" t="s">
        <v>2090</v>
      </c>
      <c r="E3440" s="114">
        <v>185</v>
      </c>
      <c r="F3440" s="114">
        <v>276</v>
      </c>
      <c r="G3440" s="114">
        <v>3</v>
      </c>
      <c r="H3440" s="114">
        <v>24000</v>
      </c>
      <c r="I3440" s="114">
        <v>72000</v>
      </c>
      <c r="J3440" s="114">
        <v>60504</v>
      </c>
      <c r="K3440" s="114">
        <v>11496</v>
      </c>
      <c r="L3440" s="114" t="str">
        <f t="shared" si="53"/>
        <v>INSERT INTO DETALLES_DOCUMENTO(NRO_DOCUMENTO,ID_TIPO,ID_PRODUCTO,CANTIDAD,PRECIO,VALOR_BRUTO,VALOR_NETO,VALOR_IVA) VALUES(37,2,276,3,24000,72000,60504,11496);</v>
      </c>
    </row>
    <row r="3441" spans="1:12">
      <c r="A3441" s="114">
        <v>2</v>
      </c>
      <c r="B3441" s="114">
        <v>37</v>
      </c>
      <c r="C3441" s="139" t="s">
        <v>2296</v>
      </c>
      <c r="D3441" s="114" t="s">
        <v>2090</v>
      </c>
      <c r="E3441" s="114">
        <v>185</v>
      </c>
      <c r="F3441" s="114">
        <v>360</v>
      </c>
      <c r="G3441" s="114">
        <v>1</v>
      </c>
      <c r="H3441" s="114">
        <v>3000</v>
      </c>
      <c r="I3441" s="114">
        <v>3000</v>
      </c>
      <c r="J3441" s="114">
        <v>2521</v>
      </c>
      <c r="K3441" s="114">
        <v>479</v>
      </c>
      <c r="L3441" s="114" t="str">
        <f t="shared" si="53"/>
        <v>INSERT INTO DETALLES_DOCUMENTO(NRO_DOCUMENTO,ID_TIPO,ID_PRODUCTO,CANTIDAD,PRECIO,VALOR_BRUTO,VALOR_NETO,VALOR_IVA) VALUES(37,2,360,1,3000,3000,2521,479);</v>
      </c>
    </row>
    <row r="3442" spans="1:12">
      <c r="A3442" s="114">
        <v>2</v>
      </c>
      <c r="B3442" s="114">
        <v>37</v>
      </c>
      <c r="C3442" s="139" t="s">
        <v>2296</v>
      </c>
      <c r="D3442" s="114" t="s">
        <v>2090</v>
      </c>
      <c r="E3442" s="114">
        <v>185</v>
      </c>
      <c r="F3442" s="114">
        <v>293</v>
      </c>
      <c r="G3442" s="114">
        <v>1</v>
      </c>
      <c r="H3442" s="114">
        <v>10000</v>
      </c>
      <c r="I3442" s="114">
        <v>10000</v>
      </c>
      <c r="J3442" s="114">
        <v>8403</v>
      </c>
      <c r="K3442" s="114">
        <v>1597</v>
      </c>
      <c r="L3442" s="114" t="str">
        <f t="shared" si="53"/>
        <v>INSERT INTO DETALLES_DOCUMENTO(NRO_DOCUMENTO,ID_TIPO,ID_PRODUCTO,CANTIDAD,PRECIO,VALOR_BRUTO,VALOR_NETO,VALOR_IVA) VALUES(37,2,293,1,10000,10000,8403,1597);</v>
      </c>
    </row>
    <row r="3443" spans="1:12">
      <c r="A3443" s="114">
        <v>2</v>
      </c>
      <c r="B3443" s="114">
        <v>37</v>
      </c>
      <c r="C3443" s="139" t="s">
        <v>2296</v>
      </c>
      <c r="D3443" s="114" t="s">
        <v>2090</v>
      </c>
      <c r="E3443" s="114">
        <v>185</v>
      </c>
      <c r="F3443" s="114">
        <v>31</v>
      </c>
      <c r="G3443" s="114">
        <v>1</v>
      </c>
      <c r="H3443" s="114">
        <v>3400</v>
      </c>
      <c r="I3443" s="114">
        <v>3400</v>
      </c>
      <c r="J3443" s="114">
        <v>2857</v>
      </c>
      <c r="K3443" s="114">
        <v>543</v>
      </c>
      <c r="L3443" s="114" t="str">
        <f t="shared" si="53"/>
        <v>INSERT INTO DETALLES_DOCUMENTO(NRO_DOCUMENTO,ID_TIPO,ID_PRODUCTO,CANTIDAD,PRECIO,VALOR_BRUTO,VALOR_NETO,VALOR_IVA) VALUES(37,2,31,1,3400,3400,2857,543);</v>
      </c>
    </row>
    <row r="3444" spans="1:12">
      <c r="A3444" s="114">
        <v>2</v>
      </c>
      <c r="B3444" s="114">
        <v>38</v>
      </c>
      <c r="C3444" s="139" t="s">
        <v>2297</v>
      </c>
      <c r="D3444" s="114" t="s">
        <v>2090</v>
      </c>
      <c r="E3444" s="114">
        <v>101</v>
      </c>
      <c r="F3444" s="114">
        <v>120</v>
      </c>
      <c r="G3444" s="114">
        <v>1</v>
      </c>
      <c r="H3444" s="114">
        <v>1700</v>
      </c>
      <c r="I3444" s="114">
        <v>1700</v>
      </c>
      <c r="J3444" s="114">
        <v>1429</v>
      </c>
      <c r="K3444" s="114">
        <v>271</v>
      </c>
      <c r="L3444" s="114" t="str">
        <f t="shared" si="53"/>
        <v>INSERT INTO DETALLES_DOCUMENTO(NRO_DOCUMENTO,ID_TIPO,ID_PRODUCTO,CANTIDAD,PRECIO,VALOR_BRUTO,VALOR_NETO,VALOR_IVA) VALUES(38,2,120,1,1700,1700,1429,271);</v>
      </c>
    </row>
    <row r="3445" spans="1:12">
      <c r="A3445" s="114">
        <v>2</v>
      </c>
      <c r="B3445" s="114">
        <v>38</v>
      </c>
      <c r="C3445" s="139" t="s">
        <v>2297</v>
      </c>
      <c r="D3445" s="114" t="s">
        <v>2090</v>
      </c>
      <c r="E3445" s="114">
        <v>101</v>
      </c>
      <c r="F3445" s="114">
        <v>53</v>
      </c>
      <c r="G3445" s="114">
        <v>1</v>
      </c>
      <c r="H3445" s="114">
        <v>4200</v>
      </c>
      <c r="I3445" s="114">
        <v>4200</v>
      </c>
      <c r="J3445" s="114">
        <v>3529</v>
      </c>
      <c r="K3445" s="114">
        <v>671</v>
      </c>
      <c r="L3445" s="114" t="str">
        <f t="shared" si="53"/>
        <v>INSERT INTO DETALLES_DOCUMENTO(NRO_DOCUMENTO,ID_TIPO,ID_PRODUCTO,CANTIDAD,PRECIO,VALOR_BRUTO,VALOR_NETO,VALOR_IVA) VALUES(38,2,53,1,4200,4200,3529,671);</v>
      </c>
    </row>
    <row r="3446" spans="1:12">
      <c r="A3446" s="114">
        <v>2</v>
      </c>
      <c r="B3446" s="114">
        <v>38</v>
      </c>
      <c r="C3446" s="139" t="s">
        <v>2297</v>
      </c>
      <c r="D3446" s="114" t="s">
        <v>2090</v>
      </c>
      <c r="E3446" s="114">
        <v>101</v>
      </c>
      <c r="F3446" s="114">
        <v>45</v>
      </c>
      <c r="G3446" s="114">
        <v>1</v>
      </c>
      <c r="H3446" s="114">
        <v>1600</v>
      </c>
      <c r="I3446" s="114">
        <v>1600</v>
      </c>
      <c r="J3446" s="114">
        <v>1345</v>
      </c>
      <c r="K3446" s="114">
        <v>255</v>
      </c>
      <c r="L3446" s="114" t="str">
        <f t="shared" si="53"/>
        <v>INSERT INTO DETALLES_DOCUMENTO(NRO_DOCUMENTO,ID_TIPO,ID_PRODUCTO,CANTIDAD,PRECIO,VALOR_BRUTO,VALOR_NETO,VALOR_IVA) VALUES(38,2,45,1,1600,1600,1345,255);</v>
      </c>
    </row>
    <row r="3447" spans="1:12">
      <c r="A3447" s="114">
        <v>2</v>
      </c>
      <c r="B3447" s="114">
        <v>38</v>
      </c>
      <c r="C3447" s="139" t="s">
        <v>2297</v>
      </c>
      <c r="D3447" s="114" t="s">
        <v>2090</v>
      </c>
      <c r="E3447" s="114">
        <v>101</v>
      </c>
      <c r="F3447" s="114">
        <v>378</v>
      </c>
      <c r="G3447" s="114">
        <v>2</v>
      </c>
      <c r="H3447" s="114">
        <v>2400</v>
      </c>
      <c r="I3447" s="114">
        <v>4800</v>
      </c>
      <c r="J3447" s="114">
        <v>4034</v>
      </c>
      <c r="K3447" s="114">
        <v>766</v>
      </c>
      <c r="L3447" s="114" t="str">
        <f t="shared" si="53"/>
        <v>INSERT INTO DETALLES_DOCUMENTO(NRO_DOCUMENTO,ID_TIPO,ID_PRODUCTO,CANTIDAD,PRECIO,VALOR_BRUTO,VALOR_NETO,VALOR_IVA) VALUES(38,2,378,2,2400,4800,4034,766);</v>
      </c>
    </row>
    <row r="3448" spans="1:12">
      <c r="A3448" s="114">
        <v>2</v>
      </c>
      <c r="B3448" s="114">
        <v>38</v>
      </c>
      <c r="C3448" s="139" t="s">
        <v>2297</v>
      </c>
      <c r="D3448" s="114" t="s">
        <v>2090</v>
      </c>
      <c r="E3448" s="114">
        <v>101</v>
      </c>
      <c r="F3448" s="114">
        <v>99</v>
      </c>
      <c r="G3448" s="114">
        <v>1</v>
      </c>
      <c r="H3448" s="114">
        <v>1500</v>
      </c>
      <c r="I3448" s="114">
        <v>1500</v>
      </c>
      <c r="J3448" s="114">
        <v>1261</v>
      </c>
      <c r="K3448" s="114">
        <v>239</v>
      </c>
      <c r="L3448" s="114" t="str">
        <f t="shared" si="53"/>
        <v>INSERT INTO DETALLES_DOCUMENTO(NRO_DOCUMENTO,ID_TIPO,ID_PRODUCTO,CANTIDAD,PRECIO,VALOR_BRUTO,VALOR_NETO,VALOR_IVA) VALUES(38,2,99,1,1500,1500,1261,239);</v>
      </c>
    </row>
    <row r="3449" spans="1:12">
      <c r="A3449" s="114">
        <v>2</v>
      </c>
      <c r="B3449" s="114">
        <v>38</v>
      </c>
      <c r="C3449" s="139" t="s">
        <v>2297</v>
      </c>
      <c r="D3449" s="114" t="s">
        <v>2090</v>
      </c>
      <c r="E3449" s="114">
        <v>101</v>
      </c>
      <c r="F3449" s="114">
        <v>254</v>
      </c>
      <c r="G3449" s="114">
        <v>1</v>
      </c>
      <c r="H3449" s="114">
        <v>2000</v>
      </c>
      <c r="I3449" s="114">
        <v>2000</v>
      </c>
      <c r="J3449" s="114">
        <v>1681</v>
      </c>
      <c r="K3449" s="114">
        <v>319</v>
      </c>
      <c r="L3449" s="114" t="str">
        <f t="shared" si="53"/>
        <v>INSERT INTO DETALLES_DOCUMENTO(NRO_DOCUMENTO,ID_TIPO,ID_PRODUCTO,CANTIDAD,PRECIO,VALOR_BRUTO,VALOR_NETO,VALOR_IVA) VALUES(38,2,254,1,2000,2000,1681,319);</v>
      </c>
    </row>
    <row r="3450" spans="1:12">
      <c r="A3450" s="114">
        <v>2</v>
      </c>
      <c r="B3450" s="114">
        <v>38</v>
      </c>
      <c r="C3450" s="139" t="s">
        <v>2297</v>
      </c>
      <c r="D3450" s="114" t="s">
        <v>2090</v>
      </c>
      <c r="E3450" s="114">
        <v>101</v>
      </c>
      <c r="F3450" s="114">
        <v>29</v>
      </c>
      <c r="G3450" s="114">
        <v>1</v>
      </c>
      <c r="H3450" s="114">
        <v>1000</v>
      </c>
      <c r="I3450" s="114">
        <v>1000</v>
      </c>
      <c r="J3450" s="114">
        <v>840</v>
      </c>
      <c r="K3450" s="114">
        <v>160</v>
      </c>
      <c r="L3450" s="114" t="str">
        <f t="shared" si="53"/>
        <v>INSERT INTO DETALLES_DOCUMENTO(NRO_DOCUMENTO,ID_TIPO,ID_PRODUCTO,CANTIDAD,PRECIO,VALOR_BRUTO,VALOR_NETO,VALOR_IVA) VALUES(38,2,29,1,1000,1000,840,160);</v>
      </c>
    </row>
    <row r="3451" spans="1:12">
      <c r="A3451" s="114">
        <v>2</v>
      </c>
      <c r="B3451" s="114">
        <v>39</v>
      </c>
      <c r="C3451" s="139" t="s">
        <v>2303</v>
      </c>
      <c r="D3451" s="114" t="s">
        <v>2090</v>
      </c>
      <c r="E3451" s="114">
        <v>413</v>
      </c>
      <c r="F3451" s="114">
        <v>123</v>
      </c>
      <c r="G3451" s="114">
        <v>1</v>
      </c>
      <c r="H3451" s="114">
        <v>24000</v>
      </c>
      <c r="I3451" s="114">
        <v>24000</v>
      </c>
      <c r="J3451" s="114">
        <v>20168</v>
      </c>
      <c r="K3451" s="114">
        <v>3832</v>
      </c>
      <c r="L3451" s="114" t="str">
        <f t="shared" si="53"/>
        <v>INSERT INTO DETALLES_DOCUMENTO(NRO_DOCUMENTO,ID_TIPO,ID_PRODUCTO,CANTIDAD,PRECIO,VALOR_BRUTO,VALOR_NETO,VALOR_IVA) VALUES(39,2,123,1,24000,24000,20168,3832);</v>
      </c>
    </row>
    <row r="3452" spans="1:12">
      <c r="A3452" s="114">
        <v>2</v>
      </c>
      <c r="B3452" s="114">
        <v>39</v>
      </c>
      <c r="C3452" s="139" t="s">
        <v>2303</v>
      </c>
      <c r="D3452" s="114" t="s">
        <v>2090</v>
      </c>
      <c r="E3452" s="114">
        <v>413</v>
      </c>
      <c r="F3452" s="114">
        <v>112</v>
      </c>
      <c r="G3452" s="114">
        <v>1</v>
      </c>
      <c r="H3452" s="114">
        <v>-500</v>
      </c>
      <c r="I3452" s="114">
        <v>-500</v>
      </c>
      <c r="J3452" s="114">
        <v>-420</v>
      </c>
      <c r="K3452" s="114">
        <v>-80</v>
      </c>
      <c r="L3452" s="114" t="str">
        <f t="shared" si="53"/>
        <v>INSERT INTO DETALLES_DOCUMENTO(NRO_DOCUMENTO,ID_TIPO,ID_PRODUCTO,CANTIDAD,PRECIO,VALOR_BRUTO,VALOR_NETO,VALOR_IVA) VALUES(39,2,112,1,-500,-500,-420,-80);</v>
      </c>
    </row>
    <row r="3453" spans="1:12">
      <c r="A3453" s="114">
        <v>2</v>
      </c>
      <c r="B3453" s="114">
        <v>39</v>
      </c>
      <c r="C3453" s="139" t="s">
        <v>2303</v>
      </c>
      <c r="D3453" s="114" t="s">
        <v>2090</v>
      </c>
      <c r="E3453" s="114">
        <v>413</v>
      </c>
      <c r="F3453" s="114">
        <v>371</v>
      </c>
      <c r="G3453" s="114">
        <v>1</v>
      </c>
      <c r="H3453" s="114">
        <v>9500</v>
      </c>
      <c r="I3453" s="114">
        <v>9500</v>
      </c>
      <c r="J3453" s="114">
        <v>7983</v>
      </c>
      <c r="K3453" s="114">
        <v>1517</v>
      </c>
      <c r="L3453" s="114" t="str">
        <f t="shared" si="53"/>
        <v>INSERT INTO DETALLES_DOCUMENTO(NRO_DOCUMENTO,ID_TIPO,ID_PRODUCTO,CANTIDAD,PRECIO,VALOR_BRUTO,VALOR_NETO,VALOR_IVA) VALUES(39,2,371,1,9500,9500,7983,1517);</v>
      </c>
    </row>
    <row r="3454" spans="1:12">
      <c r="A3454" s="114">
        <v>2</v>
      </c>
      <c r="B3454" s="114">
        <v>39</v>
      </c>
      <c r="C3454" s="139" t="s">
        <v>2303</v>
      </c>
      <c r="D3454" s="114" t="s">
        <v>2090</v>
      </c>
      <c r="E3454" s="114">
        <v>413</v>
      </c>
      <c r="F3454" s="114">
        <v>74</v>
      </c>
      <c r="G3454" s="114">
        <v>1</v>
      </c>
      <c r="H3454" s="114">
        <v>11500</v>
      </c>
      <c r="I3454" s="114">
        <v>11500</v>
      </c>
      <c r="J3454" s="114">
        <v>9664</v>
      </c>
      <c r="K3454" s="114">
        <v>1836</v>
      </c>
      <c r="L3454" s="114" t="str">
        <f t="shared" si="53"/>
        <v>INSERT INTO DETALLES_DOCUMENTO(NRO_DOCUMENTO,ID_TIPO,ID_PRODUCTO,CANTIDAD,PRECIO,VALOR_BRUTO,VALOR_NETO,VALOR_IVA) VALUES(39,2,74,1,11500,11500,9664,1836);</v>
      </c>
    </row>
    <row r="3455" spans="1:12">
      <c r="A3455" s="114">
        <v>2</v>
      </c>
      <c r="B3455" s="114">
        <v>39</v>
      </c>
      <c r="C3455" s="139" t="s">
        <v>2303</v>
      </c>
      <c r="D3455" s="114" t="s">
        <v>2090</v>
      </c>
      <c r="E3455" s="114">
        <v>413</v>
      </c>
      <c r="F3455" s="114">
        <v>231</v>
      </c>
      <c r="G3455" s="114">
        <v>1</v>
      </c>
      <c r="H3455" s="114">
        <v>20900</v>
      </c>
      <c r="I3455" s="114">
        <v>20900</v>
      </c>
      <c r="J3455" s="114">
        <v>17563</v>
      </c>
      <c r="K3455" s="114">
        <v>3337</v>
      </c>
      <c r="L3455" s="114" t="str">
        <f t="shared" si="53"/>
        <v>INSERT INTO DETALLES_DOCUMENTO(NRO_DOCUMENTO,ID_TIPO,ID_PRODUCTO,CANTIDAD,PRECIO,VALOR_BRUTO,VALOR_NETO,VALOR_IVA) VALUES(39,2,231,1,20900,20900,17563,3337);</v>
      </c>
    </row>
    <row r="3456" spans="1:12">
      <c r="A3456" s="114">
        <v>2</v>
      </c>
      <c r="B3456" s="114">
        <v>40</v>
      </c>
      <c r="C3456" s="139" t="s">
        <v>2306</v>
      </c>
      <c r="D3456" s="114" t="s">
        <v>2090</v>
      </c>
      <c r="E3456" s="114">
        <v>203</v>
      </c>
      <c r="F3456" s="114">
        <v>277</v>
      </c>
      <c r="G3456" s="114">
        <v>1</v>
      </c>
      <c r="H3456" s="114">
        <v>10000</v>
      </c>
      <c r="I3456" s="114">
        <v>10000</v>
      </c>
      <c r="J3456" s="114">
        <v>8403</v>
      </c>
      <c r="K3456" s="114">
        <v>1597</v>
      </c>
      <c r="L3456" s="114" t="str">
        <f t="shared" si="53"/>
        <v>INSERT INTO DETALLES_DOCUMENTO(NRO_DOCUMENTO,ID_TIPO,ID_PRODUCTO,CANTIDAD,PRECIO,VALOR_BRUTO,VALOR_NETO,VALOR_IVA) VALUES(40,2,277,1,10000,10000,8403,1597);</v>
      </c>
    </row>
    <row r="3457" spans="1:12">
      <c r="A3457" s="114">
        <v>2</v>
      </c>
      <c r="B3457" s="114">
        <v>40</v>
      </c>
      <c r="C3457" s="139" t="s">
        <v>2306</v>
      </c>
      <c r="D3457" s="114" t="s">
        <v>2090</v>
      </c>
      <c r="E3457" s="114">
        <v>203</v>
      </c>
      <c r="F3457" s="114">
        <v>163</v>
      </c>
      <c r="G3457" s="114">
        <v>1</v>
      </c>
      <c r="H3457" s="114">
        <v>1500</v>
      </c>
      <c r="I3457" s="114">
        <v>1500</v>
      </c>
      <c r="J3457" s="114">
        <v>1261</v>
      </c>
      <c r="K3457" s="114">
        <v>239</v>
      </c>
      <c r="L3457" s="114" t="str">
        <f t="shared" si="53"/>
        <v>INSERT INTO DETALLES_DOCUMENTO(NRO_DOCUMENTO,ID_TIPO,ID_PRODUCTO,CANTIDAD,PRECIO,VALOR_BRUTO,VALOR_NETO,VALOR_IVA) VALUES(40,2,163,1,1500,1500,1261,239);</v>
      </c>
    </row>
    <row r="3458" spans="1:12">
      <c r="A3458" s="114">
        <v>2</v>
      </c>
      <c r="B3458" s="114">
        <v>40</v>
      </c>
      <c r="C3458" s="139" t="s">
        <v>2306</v>
      </c>
      <c r="D3458" s="114" t="s">
        <v>2090</v>
      </c>
      <c r="E3458" s="114">
        <v>203</v>
      </c>
      <c r="F3458" s="114">
        <v>384</v>
      </c>
      <c r="G3458" s="114">
        <v>2</v>
      </c>
      <c r="H3458" s="114">
        <v>5500</v>
      </c>
      <c r="I3458" s="114">
        <v>11000</v>
      </c>
      <c r="J3458" s="114">
        <v>9244</v>
      </c>
      <c r="K3458" s="114">
        <v>1756</v>
      </c>
      <c r="L3458" s="114" t="str">
        <f t="shared" si="53"/>
        <v>INSERT INTO DETALLES_DOCUMENTO(NRO_DOCUMENTO,ID_TIPO,ID_PRODUCTO,CANTIDAD,PRECIO,VALOR_BRUTO,VALOR_NETO,VALOR_IVA) VALUES(40,2,384,2,5500,11000,9244,1756);</v>
      </c>
    </row>
    <row r="3459" spans="1:12">
      <c r="A3459" s="114">
        <v>2</v>
      </c>
      <c r="B3459" s="114">
        <v>40</v>
      </c>
      <c r="C3459" s="139" t="s">
        <v>2306</v>
      </c>
      <c r="D3459" s="114" t="s">
        <v>2090</v>
      </c>
      <c r="E3459" s="114">
        <v>203</v>
      </c>
      <c r="F3459" s="114">
        <v>118</v>
      </c>
      <c r="G3459" s="114">
        <v>1</v>
      </c>
      <c r="H3459" s="114">
        <v>3500</v>
      </c>
      <c r="I3459" s="114">
        <v>3500</v>
      </c>
      <c r="J3459" s="114">
        <v>2941</v>
      </c>
      <c r="K3459" s="114">
        <v>559</v>
      </c>
      <c r="L3459" s="114" t="str">
        <f t="shared" ref="L3459:L3522" si="54">CONCATENATE("INSERT INTO DETALLES_DOCUMENTO(NRO_DOCUMENTO,ID_TIPO,ID_PRODUCTO,CANTIDAD,PRECIO,VALOR_BRUTO,VALOR_NETO,VALOR_IVA) VALUES(",B3459,",",A3459,",",F3459,",",G3459,",",H3459,",",I3459,",",J3459,",",K3459,");")</f>
        <v>INSERT INTO DETALLES_DOCUMENTO(NRO_DOCUMENTO,ID_TIPO,ID_PRODUCTO,CANTIDAD,PRECIO,VALOR_BRUTO,VALOR_NETO,VALOR_IVA) VALUES(40,2,118,1,3500,3500,2941,559);</v>
      </c>
    </row>
    <row r="3460" spans="1:12">
      <c r="A3460" s="114">
        <v>2</v>
      </c>
      <c r="B3460" s="114">
        <v>40</v>
      </c>
      <c r="C3460" s="139" t="s">
        <v>2306</v>
      </c>
      <c r="D3460" s="114" t="s">
        <v>2090</v>
      </c>
      <c r="E3460" s="114">
        <v>203</v>
      </c>
      <c r="F3460" s="114">
        <v>95</v>
      </c>
      <c r="G3460" s="114">
        <v>1</v>
      </c>
      <c r="H3460" s="114">
        <v>2400</v>
      </c>
      <c r="I3460" s="114">
        <v>2400</v>
      </c>
      <c r="J3460" s="114">
        <v>2017</v>
      </c>
      <c r="K3460" s="114">
        <v>383</v>
      </c>
      <c r="L3460" s="114" t="str">
        <f t="shared" si="54"/>
        <v>INSERT INTO DETALLES_DOCUMENTO(NRO_DOCUMENTO,ID_TIPO,ID_PRODUCTO,CANTIDAD,PRECIO,VALOR_BRUTO,VALOR_NETO,VALOR_IVA) VALUES(40,2,95,1,2400,2400,2017,383);</v>
      </c>
    </row>
    <row r="3461" spans="1:12">
      <c r="A3461" s="114">
        <v>2</v>
      </c>
      <c r="B3461" s="114">
        <v>40</v>
      </c>
      <c r="C3461" s="139" t="s">
        <v>2306</v>
      </c>
      <c r="D3461" s="114" t="s">
        <v>2090</v>
      </c>
      <c r="E3461" s="114">
        <v>203</v>
      </c>
      <c r="F3461" s="114">
        <v>99</v>
      </c>
      <c r="G3461" s="114">
        <v>1</v>
      </c>
      <c r="H3461" s="114">
        <v>1500</v>
      </c>
      <c r="I3461" s="114">
        <v>1500</v>
      </c>
      <c r="J3461" s="114">
        <v>1261</v>
      </c>
      <c r="K3461" s="114">
        <v>239</v>
      </c>
      <c r="L3461" s="114" t="str">
        <f t="shared" si="54"/>
        <v>INSERT INTO DETALLES_DOCUMENTO(NRO_DOCUMENTO,ID_TIPO,ID_PRODUCTO,CANTIDAD,PRECIO,VALOR_BRUTO,VALOR_NETO,VALOR_IVA) VALUES(40,2,99,1,1500,1500,1261,239);</v>
      </c>
    </row>
    <row r="3462" spans="1:12">
      <c r="A3462" s="114">
        <v>2</v>
      </c>
      <c r="B3462" s="114">
        <v>41</v>
      </c>
      <c r="C3462" s="139" t="s">
        <v>2313</v>
      </c>
      <c r="D3462" s="114" t="s">
        <v>2090</v>
      </c>
      <c r="E3462" s="114">
        <v>203</v>
      </c>
      <c r="F3462" s="114">
        <v>359</v>
      </c>
      <c r="G3462" s="114">
        <v>3</v>
      </c>
      <c r="H3462" s="114">
        <v>8101</v>
      </c>
      <c r="I3462" s="114">
        <v>24303</v>
      </c>
      <c r="J3462" s="114">
        <v>20423</v>
      </c>
      <c r="K3462" s="114">
        <v>3880</v>
      </c>
      <c r="L3462" s="114" t="str">
        <f t="shared" si="54"/>
        <v>INSERT INTO DETALLES_DOCUMENTO(NRO_DOCUMENTO,ID_TIPO,ID_PRODUCTO,CANTIDAD,PRECIO,VALOR_BRUTO,VALOR_NETO,VALOR_IVA) VALUES(41,2,359,3,8101,24303,20423,3880);</v>
      </c>
    </row>
    <row r="3463" spans="1:12">
      <c r="A3463" s="114">
        <v>2</v>
      </c>
      <c r="B3463" s="114">
        <v>41</v>
      </c>
      <c r="C3463" s="139" t="s">
        <v>2313</v>
      </c>
      <c r="D3463" s="114" t="s">
        <v>2090</v>
      </c>
      <c r="E3463" s="114">
        <v>203</v>
      </c>
      <c r="F3463" s="114">
        <v>231</v>
      </c>
      <c r="G3463" s="114">
        <v>1</v>
      </c>
      <c r="H3463" s="114">
        <v>20900</v>
      </c>
      <c r="I3463" s="114">
        <v>20900</v>
      </c>
      <c r="J3463" s="114">
        <v>17563</v>
      </c>
      <c r="K3463" s="114">
        <v>3337</v>
      </c>
      <c r="L3463" s="114" t="str">
        <f t="shared" si="54"/>
        <v>INSERT INTO DETALLES_DOCUMENTO(NRO_DOCUMENTO,ID_TIPO,ID_PRODUCTO,CANTIDAD,PRECIO,VALOR_BRUTO,VALOR_NETO,VALOR_IVA) VALUES(41,2,231,1,20900,20900,17563,3337);</v>
      </c>
    </row>
    <row r="3464" spans="1:12">
      <c r="A3464" s="114">
        <v>2</v>
      </c>
      <c r="B3464" s="114">
        <v>41</v>
      </c>
      <c r="C3464" s="139" t="s">
        <v>2313</v>
      </c>
      <c r="D3464" s="114" t="s">
        <v>2090</v>
      </c>
      <c r="E3464" s="114">
        <v>203</v>
      </c>
      <c r="F3464" s="114">
        <v>332</v>
      </c>
      <c r="G3464" s="114">
        <v>1</v>
      </c>
      <c r="H3464" s="114">
        <v>2600</v>
      </c>
      <c r="I3464" s="114">
        <v>2600</v>
      </c>
      <c r="J3464" s="114">
        <v>2185</v>
      </c>
      <c r="K3464" s="114">
        <v>415</v>
      </c>
      <c r="L3464" s="114" t="str">
        <f t="shared" si="54"/>
        <v>INSERT INTO DETALLES_DOCUMENTO(NRO_DOCUMENTO,ID_TIPO,ID_PRODUCTO,CANTIDAD,PRECIO,VALOR_BRUTO,VALOR_NETO,VALOR_IVA) VALUES(41,2,332,1,2600,2600,2185,415);</v>
      </c>
    </row>
    <row r="3465" spans="1:12">
      <c r="A3465" s="114">
        <v>2</v>
      </c>
      <c r="B3465" s="114">
        <v>41</v>
      </c>
      <c r="C3465" s="139" t="s">
        <v>2313</v>
      </c>
      <c r="D3465" s="114" t="s">
        <v>2090</v>
      </c>
      <c r="E3465" s="114">
        <v>203</v>
      </c>
      <c r="F3465" s="114">
        <v>143</v>
      </c>
      <c r="G3465" s="114">
        <v>1</v>
      </c>
      <c r="H3465" s="114">
        <v>8200</v>
      </c>
      <c r="I3465" s="114">
        <v>8200</v>
      </c>
      <c r="J3465" s="114">
        <v>6891</v>
      </c>
      <c r="K3465" s="114">
        <v>1309</v>
      </c>
      <c r="L3465" s="114" t="str">
        <f t="shared" si="54"/>
        <v>INSERT INTO DETALLES_DOCUMENTO(NRO_DOCUMENTO,ID_TIPO,ID_PRODUCTO,CANTIDAD,PRECIO,VALOR_BRUTO,VALOR_NETO,VALOR_IVA) VALUES(41,2,143,1,8200,8200,6891,1309);</v>
      </c>
    </row>
    <row r="3466" spans="1:12">
      <c r="A3466" s="114">
        <v>2</v>
      </c>
      <c r="B3466" s="114">
        <v>42</v>
      </c>
      <c r="C3466" s="139" t="s">
        <v>2321</v>
      </c>
      <c r="D3466" s="114" t="s">
        <v>2095</v>
      </c>
      <c r="E3466" s="114">
        <v>413</v>
      </c>
      <c r="F3466" s="114">
        <v>123</v>
      </c>
      <c r="G3466" s="114">
        <v>1</v>
      </c>
      <c r="H3466" s="114">
        <v>24000</v>
      </c>
      <c r="I3466" s="114">
        <v>24000</v>
      </c>
      <c r="J3466" s="114">
        <v>20168</v>
      </c>
      <c r="K3466" s="114">
        <v>3832</v>
      </c>
      <c r="L3466" s="114" t="str">
        <f t="shared" si="54"/>
        <v>INSERT INTO DETALLES_DOCUMENTO(NRO_DOCUMENTO,ID_TIPO,ID_PRODUCTO,CANTIDAD,PRECIO,VALOR_BRUTO,VALOR_NETO,VALOR_IVA) VALUES(42,2,123,1,24000,24000,20168,3832);</v>
      </c>
    </row>
    <row r="3467" spans="1:12">
      <c r="A3467" s="114">
        <v>2</v>
      </c>
      <c r="B3467" s="114">
        <v>42</v>
      </c>
      <c r="C3467" s="139" t="s">
        <v>2321</v>
      </c>
      <c r="D3467" s="114" t="s">
        <v>2095</v>
      </c>
      <c r="E3467" s="114">
        <v>413</v>
      </c>
      <c r="F3467" s="114">
        <v>112</v>
      </c>
      <c r="G3467" s="114">
        <v>1</v>
      </c>
      <c r="H3467" s="114">
        <v>-500</v>
      </c>
      <c r="I3467" s="114">
        <v>-500</v>
      </c>
      <c r="J3467" s="114">
        <v>-420</v>
      </c>
      <c r="K3467" s="114">
        <v>-80</v>
      </c>
      <c r="L3467" s="114" t="str">
        <f t="shared" si="54"/>
        <v>INSERT INTO DETALLES_DOCUMENTO(NRO_DOCUMENTO,ID_TIPO,ID_PRODUCTO,CANTIDAD,PRECIO,VALOR_BRUTO,VALOR_NETO,VALOR_IVA) VALUES(42,2,112,1,-500,-500,-420,-80);</v>
      </c>
    </row>
    <row r="3468" spans="1:12">
      <c r="A3468" s="114">
        <v>2</v>
      </c>
      <c r="B3468" s="114">
        <v>43</v>
      </c>
      <c r="C3468" s="139" t="s">
        <v>2322</v>
      </c>
      <c r="D3468" s="114" t="s">
        <v>2090</v>
      </c>
      <c r="E3468" s="114">
        <v>364</v>
      </c>
      <c r="F3468" s="114">
        <v>371</v>
      </c>
      <c r="G3468" s="114">
        <v>3</v>
      </c>
      <c r="H3468" s="114">
        <v>28500</v>
      </c>
      <c r="I3468" s="114">
        <v>85500</v>
      </c>
      <c r="J3468" s="114">
        <v>71849</v>
      </c>
      <c r="K3468" s="114">
        <v>13651</v>
      </c>
      <c r="L3468" s="114" t="str">
        <f t="shared" si="54"/>
        <v>INSERT INTO DETALLES_DOCUMENTO(NRO_DOCUMENTO,ID_TIPO,ID_PRODUCTO,CANTIDAD,PRECIO,VALOR_BRUTO,VALOR_NETO,VALOR_IVA) VALUES(43,2,371,3,28500,85500,71849,13651);</v>
      </c>
    </row>
    <row r="3469" spans="1:12">
      <c r="A3469" s="114">
        <v>2</v>
      </c>
      <c r="B3469" s="114">
        <v>44</v>
      </c>
      <c r="C3469" s="139" t="s">
        <v>2326</v>
      </c>
      <c r="D3469" s="114" t="s">
        <v>2090</v>
      </c>
      <c r="E3469" s="114">
        <v>203</v>
      </c>
      <c r="F3469" s="114">
        <v>231</v>
      </c>
      <c r="G3469" s="114">
        <v>1</v>
      </c>
      <c r="H3469" s="114">
        <v>20900</v>
      </c>
      <c r="I3469" s="114">
        <v>20900</v>
      </c>
      <c r="J3469" s="114">
        <v>17563</v>
      </c>
      <c r="K3469" s="114">
        <v>3337</v>
      </c>
      <c r="L3469" s="114" t="str">
        <f t="shared" si="54"/>
        <v>INSERT INTO DETALLES_DOCUMENTO(NRO_DOCUMENTO,ID_TIPO,ID_PRODUCTO,CANTIDAD,PRECIO,VALOR_BRUTO,VALOR_NETO,VALOR_IVA) VALUES(44,2,231,1,20900,20900,17563,3337);</v>
      </c>
    </row>
    <row r="3470" spans="1:12">
      <c r="A3470" s="114">
        <v>2</v>
      </c>
      <c r="B3470" s="114">
        <v>44</v>
      </c>
      <c r="C3470" s="139" t="s">
        <v>2326</v>
      </c>
      <c r="D3470" s="114" t="s">
        <v>2090</v>
      </c>
      <c r="E3470" s="114">
        <v>203</v>
      </c>
      <c r="F3470" s="114">
        <v>277</v>
      </c>
      <c r="G3470" s="114">
        <v>1</v>
      </c>
      <c r="H3470" s="114">
        <v>10000</v>
      </c>
      <c r="I3470" s="114">
        <v>10000</v>
      </c>
      <c r="J3470" s="114">
        <v>8403</v>
      </c>
      <c r="K3470" s="114">
        <v>1597</v>
      </c>
      <c r="L3470" s="114" t="str">
        <f t="shared" si="54"/>
        <v>INSERT INTO DETALLES_DOCUMENTO(NRO_DOCUMENTO,ID_TIPO,ID_PRODUCTO,CANTIDAD,PRECIO,VALOR_BRUTO,VALOR_NETO,VALOR_IVA) VALUES(44,2,277,1,10000,10000,8403,1597);</v>
      </c>
    </row>
    <row r="3471" spans="1:12">
      <c r="A3471" s="114">
        <v>2</v>
      </c>
      <c r="B3471" s="114">
        <v>44</v>
      </c>
      <c r="C3471" s="139" t="s">
        <v>2326</v>
      </c>
      <c r="D3471" s="114" t="s">
        <v>2090</v>
      </c>
      <c r="E3471" s="114">
        <v>203</v>
      </c>
      <c r="F3471" s="114">
        <v>264</v>
      </c>
      <c r="G3471" s="114">
        <v>1</v>
      </c>
      <c r="H3471" s="114">
        <v>5000</v>
      </c>
      <c r="I3471" s="114">
        <v>5000</v>
      </c>
      <c r="J3471" s="114">
        <v>4202</v>
      </c>
      <c r="K3471" s="114">
        <v>798</v>
      </c>
      <c r="L3471" s="114" t="str">
        <f t="shared" si="54"/>
        <v>INSERT INTO DETALLES_DOCUMENTO(NRO_DOCUMENTO,ID_TIPO,ID_PRODUCTO,CANTIDAD,PRECIO,VALOR_BRUTO,VALOR_NETO,VALOR_IVA) VALUES(44,2,264,1,5000,5000,4202,798);</v>
      </c>
    </row>
    <row r="3472" spans="1:12">
      <c r="A3472" s="114">
        <v>2</v>
      </c>
      <c r="B3472" s="114">
        <v>44</v>
      </c>
      <c r="C3472" s="139" t="s">
        <v>2326</v>
      </c>
      <c r="D3472" s="114" t="s">
        <v>2090</v>
      </c>
      <c r="E3472" s="114">
        <v>203</v>
      </c>
      <c r="F3472" s="114">
        <v>118</v>
      </c>
      <c r="G3472" s="114">
        <v>1</v>
      </c>
      <c r="H3472" s="114">
        <v>3500</v>
      </c>
      <c r="I3472" s="114">
        <v>3500</v>
      </c>
      <c r="J3472" s="114">
        <v>2941</v>
      </c>
      <c r="K3472" s="114">
        <v>559</v>
      </c>
      <c r="L3472" s="114" t="str">
        <f t="shared" si="54"/>
        <v>INSERT INTO DETALLES_DOCUMENTO(NRO_DOCUMENTO,ID_TIPO,ID_PRODUCTO,CANTIDAD,PRECIO,VALOR_BRUTO,VALOR_NETO,VALOR_IVA) VALUES(44,2,118,1,3500,3500,2941,559);</v>
      </c>
    </row>
    <row r="3473" spans="1:12">
      <c r="A3473" s="114">
        <v>2</v>
      </c>
      <c r="B3473" s="114">
        <v>44</v>
      </c>
      <c r="C3473" s="139" t="s">
        <v>2326</v>
      </c>
      <c r="D3473" s="114" t="s">
        <v>2090</v>
      </c>
      <c r="E3473" s="114">
        <v>203</v>
      </c>
      <c r="F3473" s="114">
        <v>29</v>
      </c>
      <c r="G3473" s="114">
        <v>1</v>
      </c>
      <c r="H3473" s="114">
        <v>1000</v>
      </c>
      <c r="I3473" s="114">
        <v>1000</v>
      </c>
      <c r="J3473" s="114">
        <v>840</v>
      </c>
      <c r="K3473" s="114">
        <v>160</v>
      </c>
      <c r="L3473" s="114" t="str">
        <f t="shared" si="54"/>
        <v>INSERT INTO DETALLES_DOCUMENTO(NRO_DOCUMENTO,ID_TIPO,ID_PRODUCTO,CANTIDAD,PRECIO,VALOR_BRUTO,VALOR_NETO,VALOR_IVA) VALUES(44,2,29,1,1000,1000,840,160);</v>
      </c>
    </row>
    <row r="3474" spans="1:12">
      <c r="A3474" s="114">
        <v>2</v>
      </c>
      <c r="B3474" s="114">
        <v>44</v>
      </c>
      <c r="C3474" s="139" t="s">
        <v>2326</v>
      </c>
      <c r="D3474" s="114" t="s">
        <v>2090</v>
      </c>
      <c r="E3474" s="114">
        <v>203</v>
      </c>
      <c r="F3474" s="114">
        <v>99</v>
      </c>
      <c r="G3474" s="114">
        <v>1</v>
      </c>
      <c r="H3474" s="114">
        <v>1700</v>
      </c>
      <c r="I3474" s="114">
        <v>1700</v>
      </c>
      <c r="J3474" s="114">
        <v>1429</v>
      </c>
      <c r="K3474" s="114">
        <v>271</v>
      </c>
      <c r="L3474" s="114" t="str">
        <f t="shared" si="54"/>
        <v>INSERT INTO DETALLES_DOCUMENTO(NRO_DOCUMENTO,ID_TIPO,ID_PRODUCTO,CANTIDAD,PRECIO,VALOR_BRUTO,VALOR_NETO,VALOR_IVA) VALUES(44,2,99,1,1700,1700,1429,271);</v>
      </c>
    </row>
    <row r="3475" spans="1:12">
      <c r="A3475" s="114">
        <v>2</v>
      </c>
      <c r="B3475" s="114">
        <v>44</v>
      </c>
      <c r="C3475" s="139" t="s">
        <v>2326</v>
      </c>
      <c r="D3475" s="114" t="s">
        <v>2090</v>
      </c>
      <c r="E3475" s="114">
        <v>203</v>
      </c>
      <c r="F3475" s="114">
        <v>287</v>
      </c>
      <c r="G3475" s="114">
        <v>1</v>
      </c>
      <c r="H3475" s="114">
        <v>3000</v>
      </c>
      <c r="I3475" s="114">
        <v>3000</v>
      </c>
      <c r="J3475" s="114">
        <v>2521</v>
      </c>
      <c r="K3475" s="114">
        <v>479</v>
      </c>
      <c r="L3475" s="114" t="str">
        <f t="shared" si="54"/>
        <v>INSERT INTO DETALLES_DOCUMENTO(NRO_DOCUMENTO,ID_TIPO,ID_PRODUCTO,CANTIDAD,PRECIO,VALOR_BRUTO,VALOR_NETO,VALOR_IVA) VALUES(44,2,287,1,3000,3000,2521,479);</v>
      </c>
    </row>
    <row r="3476" spans="1:12">
      <c r="A3476" s="114">
        <v>2</v>
      </c>
      <c r="B3476" s="114">
        <v>45</v>
      </c>
      <c r="C3476" s="139" t="s">
        <v>2329</v>
      </c>
      <c r="D3476" s="114" t="s">
        <v>2090</v>
      </c>
      <c r="E3476" s="114">
        <v>180</v>
      </c>
      <c r="F3476" s="114">
        <v>169</v>
      </c>
      <c r="G3476" s="114">
        <v>5</v>
      </c>
      <c r="H3476" s="114">
        <v>13500</v>
      </c>
      <c r="I3476" s="114">
        <v>67500</v>
      </c>
      <c r="J3476" s="114">
        <v>56723</v>
      </c>
      <c r="K3476" s="114">
        <v>10777</v>
      </c>
      <c r="L3476" s="114" t="str">
        <f t="shared" si="54"/>
        <v>INSERT INTO DETALLES_DOCUMENTO(NRO_DOCUMENTO,ID_TIPO,ID_PRODUCTO,CANTIDAD,PRECIO,VALOR_BRUTO,VALOR_NETO,VALOR_IVA) VALUES(45,2,169,5,13500,67500,56723,10777);</v>
      </c>
    </row>
    <row r="3477" spans="1:12">
      <c r="A3477" s="114">
        <v>2</v>
      </c>
      <c r="B3477" s="114">
        <v>46</v>
      </c>
      <c r="C3477" s="139" t="s">
        <v>2329</v>
      </c>
      <c r="D3477" s="114" t="s">
        <v>2090</v>
      </c>
      <c r="E3477" s="114">
        <v>413</v>
      </c>
      <c r="F3477" s="114">
        <v>49</v>
      </c>
      <c r="G3477" s="114">
        <v>3</v>
      </c>
      <c r="H3477" s="114">
        <v>12600</v>
      </c>
      <c r="I3477" s="114">
        <v>37800</v>
      </c>
      <c r="J3477" s="114">
        <v>31765</v>
      </c>
      <c r="K3477" s="114">
        <v>6035</v>
      </c>
      <c r="L3477" s="114" t="str">
        <f t="shared" si="54"/>
        <v>INSERT INTO DETALLES_DOCUMENTO(NRO_DOCUMENTO,ID_TIPO,ID_PRODUCTO,CANTIDAD,PRECIO,VALOR_BRUTO,VALOR_NETO,VALOR_IVA) VALUES(46,2,49,3,12600,37800,31765,6035);</v>
      </c>
    </row>
    <row r="3478" spans="1:12">
      <c r="A3478" s="114">
        <v>2</v>
      </c>
      <c r="B3478" s="114">
        <v>46</v>
      </c>
      <c r="C3478" s="139" t="s">
        <v>2329</v>
      </c>
      <c r="D3478" s="114" t="s">
        <v>2090</v>
      </c>
      <c r="E3478" s="114">
        <v>413</v>
      </c>
      <c r="F3478" s="114">
        <v>74</v>
      </c>
      <c r="G3478" s="114">
        <v>1</v>
      </c>
      <c r="H3478" s="114">
        <v>11500</v>
      </c>
      <c r="I3478" s="114">
        <v>11500</v>
      </c>
      <c r="J3478" s="114">
        <v>9664</v>
      </c>
      <c r="K3478" s="114">
        <v>1836</v>
      </c>
      <c r="L3478" s="114" t="str">
        <f t="shared" si="54"/>
        <v>INSERT INTO DETALLES_DOCUMENTO(NRO_DOCUMENTO,ID_TIPO,ID_PRODUCTO,CANTIDAD,PRECIO,VALOR_BRUTO,VALOR_NETO,VALOR_IVA) VALUES(46,2,74,1,11500,11500,9664,1836);</v>
      </c>
    </row>
    <row r="3479" spans="1:12">
      <c r="A3479" s="114">
        <v>2</v>
      </c>
      <c r="B3479" s="114">
        <v>46</v>
      </c>
      <c r="C3479" s="139" t="s">
        <v>2329</v>
      </c>
      <c r="D3479" s="114" t="s">
        <v>2090</v>
      </c>
      <c r="E3479" s="114">
        <v>413</v>
      </c>
      <c r="F3479" s="114">
        <v>231</v>
      </c>
      <c r="G3479" s="114">
        <v>1</v>
      </c>
      <c r="H3479" s="114">
        <v>20900</v>
      </c>
      <c r="I3479" s="114">
        <v>20900</v>
      </c>
      <c r="J3479" s="114">
        <v>17563</v>
      </c>
      <c r="K3479" s="114">
        <v>3337</v>
      </c>
      <c r="L3479" s="114" t="str">
        <f t="shared" si="54"/>
        <v>INSERT INTO DETALLES_DOCUMENTO(NRO_DOCUMENTO,ID_TIPO,ID_PRODUCTO,CANTIDAD,PRECIO,VALOR_BRUTO,VALOR_NETO,VALOR_IVA) VALUES(46,2,231,1,20900,20900,17563,3337);</v>
      </c>
    </row>
    <row r="3480" spans="1:12">
      <c r="A3480" s="114">
        <v>2</v>
      </c>
      <c r="B3480" s="114">
        <v>46</v>
      </c>
      <c r="C3480" s="139" t="s">
        <v>2329</v>
      </c>
      <c r="D3480" s="114" t="s">
        <v>2090</v>
      </c>
      <c r="E3480" s="114">
        <v>413</v>
      </c>
      <c r="F3480" s="114">
        <v>123</v>
      </c>
      <c r="G3480" s="114">
        <v>1</v>
      </c>
      <c r="H3480" s="114">
        <v>24000</v>
      </c>
      <c r="I3480" s="114">
        <v>24000</v>
      </c>
      <c r="J3480" s="114">
        <v>20168</v>
      </c>
      <c r="K3480" s="114">
        <v>3832</v>
      </c>
      <c r="L3480" s="114" t="str">
        <f t="shared" si="54"/>
        <v>INSERT INTO DETALLES_DOCUMENTO(NRO_DOCUMENTO,ID_TIPO,ID_PRODUCTO,CANTIDAD,PRECIO,VALOR_BRUTO,VALOR_NETO,VALOR_IVA) VALUES(46,2,123,1,24000,24000,20168,3832);</v>
      </c>
    </row>
    <row r="3481" spans="1:12">
      <c r="A3481" s="114">
        <v>2</v>
      </c>
      <c r="B3481" s="114">
        <v>46</v>
      </c>
      <c r="C3481" s="139" t="s">
        <v>2329</v>
      </c>
      <c r="D3481" s="114" t="s">
        <v>2090</v>
      </c>
      <c r="E3481" s="114">
        <v>413</v>
      </c>
      <c r="F3481" s="114">
        <v>112</v>
      </c>
      <c r="G3481" s="114">
        <v>1</v>
      </c>
      <c r="H3481" s="114">
        <v>-500</v>
      </c>
      <c r="I3481" s="114">
        <v>-500</v>
      </c>
      <c r="J3481" s="114">
        <v>-420</v>
      </c>
      <c r="K3481" s="114">
        <v>-80</v>
      </c>
      <c r="L3481" s="114" t="str">
        <f t="shared" si="54"/>
        <v>INSERT INTO DETALLES_DOCUMENTO(NRO_DOCUMENTO,ID_TIPO,ID_PRODUCTO,CANTIDAD,PRECIO,VALOR_BRUTO,VALOR_NETO,VALOR_IVA) VALUES(46,2,112,1,-500,-500,-420,-80);</v>
      </c>
    </row>
    <row r="3482" spans="1:12">
      <c r="A3482" s="114">
        <v>2</v>
      </c>
      <c r="B3482" s="114">
        <v>46</v>
      </c>
      <c r="C3482" s="139" t="s">
        <v>2329</v>
      </c>
      <c r="D3482" s="114" t="s">
        <v>2090</v>
      </c>
      <c r="E3482" s="114">
        <v>413</v>
      </c>
      <c r="F3482" s="114">
        <v>371</v>
      </c>
      <c r="G3482" s="114">
        <v>2</v>
      </c>
      <c r="H3482" s="114">
        <v>19000</v>
      </c>
      <c r="I3482" s="114">
        <v>38000</v>
      </c>
      <c r="J3482" s="114">
        <v>31933</v>
      </c>
      <c r="K3482" s="114">
        <v>6067</v>
      </c>
      <c r="L3482" s="114" t="str">
        <f t="shared" si="54"/>
        <v>INSERT INTO DETALLES_DOCUMENTO(NRO_DOCUMENTO,ID_TIPO,ID_PRODUCTO,CANTIDAD,PRECIO,VALOR_BRUTO,VALOR_NETO,VALOR_IVA) VALUES(46,2,371,2,19000,38000,31933,6067);</v>
      </c>
    </row>
    <row r="3483" spans="1:12">
      <c r="A3483" s="114">
        <v>2</v>
      </c>
      <c r="B3483" s="114">
        <v>47</v>
      </c>
      <c r="C3483" s="139" t="s">
        <v>2331</v>
      </c>
      <c r="D3483" s="114" t="s">
        <v>2095</v>
      </c>
      <c r="E3483" s="114">
        <v>488</v>
      </c>
      <c r="F3483" s="114">
        <v>165</v>
      </c>
      <c r="G3483" s="114">
        <v>1</v>
      </c>
      <c r="H3483" s="114">
        <v>2000</v>
      </c>
      <c r="I3483" s="114">
        <v>2000</v>
      </c>
      <c r="J3483" s="114">
        <v>1681</v>
      </c>
      <c r="K3483" s="114">
        <v>319</v>
      </c>
      <c r="L3483" s="114" t="str">
        <f t="shared" si="54"/>
        <v>INSERT INTO DETALLES_DOCUMENTO(NRO_DOCUMENTO,ID_TIPO,ID_PRODUCTO,CANTIDAD,PRECIO,VALOR_BRUTO,VALOR_NETO,VALOR_IVA) VALUES(47,2,165,1,2000,2000,1681,319);</v>
      </c>
    </row>
    <row r="3484" spans="1:12">
      <c r="A3484" s="114">
        <v>2</v>
      </c>
      <c r="B3484" s="114">
        <v>47</v>
      </c>
      <c r="C3484" s="139" t="s">
        <v>2331</v>
      </c>
      <c r="D3484" s="114" t="s">
        <v>2095</v>
      </c>
      <c r="E3484" s="114">
        <v>488</v>
      </c>
      <c r="F3484" s="114">
        <v>157</v>
      </c>
      <c r="G3484" s="114">
        <v>1</v>
      </c>
      <c r="H3484" s="114">
        <v>4300</v>
      </c>
      <c r="I3484" s="114">
        <v>4300</v>
      </c>
      <c r="J3484" s="114">
        <v>3613</v>
      </c>
      <c r="K3484" s="114">
        <v>687</v>
      </c>
      <c r="L3484" s="114" t="str">
        <f t="shared" si="54"/>
        <v>INSERT INTO DETALLES_DOCUMENTO(NRO_DOCUMENTO,ID_TIPO,ID_PRODUCTO,CANTIDAD,PRECIO,VALOR_BRUTO,VALOR_NETO,VALOR_IVA) VALUES(47,2,157,1,4300,4300,3613,687);</v>
      </c>
    </row>
    <row r="3485" spans="1:12">
      <c r="A3485" s="114">
        <v>2</v>
      </c>
      <c r="B3485" s="114">
        <v>47</v>
      </c>
      <c r="C3485" s="139" t="s">
        <v>2331</v>
      </c>
      <c r="D3485" s="114" t="s">
        <v>2095</v>
      </c>
      <c r="E3485" s="114">
        <v>488</v>
      </c>
      <c r="F3485" s="114">
        <v>53</v>
      </c>
      <c r="G3485" s="114">
        <v>1</v>
      </c>
      <c r="H3485" s="114">
        <v>4200</v>
      </c>
      <c r="I3485" s="114">
        <v>4200</v>
      </c>
      <c r="J3485" s="114">
        <v>3529</v>
      </c>
      <c r="K3485" s="114">
        <v>671</v>
      </c>
      <c r="L3485" s="114" t="str">
        <f t="shared" si="54"/>
        <v>INSERT INTO DETALLES_DOCUMENTO(NRO_DOCUMENTO,ID_TIPO,ID_PRODUCTO,CANTIDAD,PRECIO,VALOR_BRUTO,VALOR_NETO,VALOR_IVA) VALUES(47,2,53,1,4200,4200,3529,671);</v>
      </c>
    </row>
    <row r="3486" spans="1:12">
      <c r="A3486" s="114">
        <v>2</v>
      </c>
      <c r="B3486" s="114">
        <v>48</v>
      </c>
      <c r="C3486" s="139" t="s">
        <v>2333</v>
      </c>
      <c r="D3486" s="114" t="s">
        <v>2095</v>
      </c>
      <c r="E3486" s="114">
        <v>203</v>
      </c>
      <c r="F3486" s="114">
        <v>143</v>
      </c>
      <c r="G3486" s="114">
        <v>1</v>
      </c>
      <c r="H3486" s="114">
        <v>8200</v>
      </c>
      <c r="I3486" s="114">
        <v>8200</v>
      </c>
      <c r="J3486" s="114">
        <v>6891</v>
      </c>
      <c r="K3486" s="114">
        <v>1309</v>
      </c>
      <c r="L3486" s="114" t="str">
        <f t="shared" si="54"/>
        <v>INSERT INTO DETALLES_DOCUMENTO(NRO_DOCUMENTO,ID_TIPO,ID_PRODUCTO,CANTIDAD,PRECIO,VALOR_BRUTO,VALOR_NETO,VALOR_IVA) VALUES(48,2,143,1,8200,8200,6891,1309);</v>
      </c>
    </row>
    <row r="3487" spans="1:12">
      <c r="A3487" s="114">
        <v>2</v>
      </c>
      <c r="B3487" s="114">
        <v>49</v>
      </c>
      <c r="C3487" s="139" t="s">
        <v>2345</v>
      </c>
      <c r="D3487" s="114" t="s">
        <v>2090</v>
      </c>
      <c r="E3487" s="114">
        <v>185</v>
      </c>
      <c r="F3487" s="114">
        <v>276</v>
      </c>
      <c r="G3487" s="114">
        <v>3</v>
      </c>
      <c r="H3487" s="114">
        <v>24000</v>
      </c>
      <c r="I3487" s="114">
        <v>72000</v>
      </c>
      <c r="J3487" s="114">
        <v>60504</v>
      </c>
      <c r="K3487" s="114">
        <v>11496</v>
      </c>
      <c r="L3487" s="114" t="str">
        <f t="shared" si="54"/>
        <v>INSERT INTO DETALLES_DOCUMENTO(NRO_DOCUMENTO,ID_TIPO,ID_PRODUCTO,CANTIDAD,PRECIO,VALOR_BRUTO,VALOR_NETO,VALOR_IVA) VALUES(49,2,276,3,24000,72000,60504,11496);</v>
      </c>
    </row>
    <row r="3488" spans="1:12">
      <c r="A3488" s="114">
        <v>2</v>
      </c>
      <c r="B3488" s="114">
        <v>49</v>
      </c>
      <c r="C3488" s="139" t="s">
        <v>2345</v>
      </c>
      <c r="D3488" s="114" t="s">
        <v>2090</v>
      </c>
      <c r="E3488" s="114">
        <v>185</v>
      </c>
      <c r="F3488" s="114">
        <v>31</v>
      </c>
      <c r="G3488" s="114">
        <v>2</v>
      </c>
      <c r="H3488" s="114">
        <v>6800</v>
      </c>
      <c r="I3488" s="114">
        <v>13600</v>
      </c>
      <c r="J3488" s="114">
        <v>11429</v>
      </c>
      <c r="K3488" s="114">
        <v>2171</v>
      </c>
      <c r="L3488" s="114" t="str">
        <f t="shared" si="54"/>
        <v>INSERT INTO DETALLES_DOCUMENTO(NRO_DOCUMENTO,ID_TIPO,ID_PRODUCTO,CANTIDAD,PRECIO,VALOR_BRUTO,VALOR_NETO,VALOR_IVA) VALUES(49,2,31,2,6800,13600,11429,2171);</v>
      </c>
    </row>
    <row r="3489" spans="1:12">
      <c r="A3489" s="114">
        <v>2</v>
      </c>
      <c r="B3489" s="114">
        <v>49</v>
      </c>
      <c r="C3489" s="139" t="s">
        <v>2345</v>
      </c>
      <c r="D3489" s="114" t="s">
        <v>2090</v>
      </c>
      <c r="E3489" s="114">
        <v>185</v>
      </c>
      <c r="F3489" s="114">
        <v>265</v>
      </c>
      <c r="G3489" s="114">
        <v>1</v>
      </c>
      <c r="H3489" s="114">
        <v>10000</v>
      </c>
      <c r="I3489" s="114">
        <v>10000</v>
      </c>
      <c r="J3489" s="114">
        <v>8403</v>
      </c>
      <c r="K3489" s="114">
        <v>1597</v>
      </c>
      <c r="L3489" s="114" t="str">
        <f t="shared" si="54"/>
        <v>INSERT INTO DETALLES_DOCUMENTO(NRO_DOCUMENTO,ID_TIPO,ID_PRODUCTO,CANTIDAD,PRECIO,VALOR_BRUTO,VALOR_NETO,VALOR_IVA) VALUES(49,2,265,1,10000,10000,8403,1597);</v>
      </c>
    </row>
    <row r="3490" spans="1:12">
      <c r="A3490" s="114">
        <v>2</v>
      </c>
      <c r="B3490" s="114">
        <v>50</v>
      </c>
      <c r="C3490" s="139" t="s">
        <v>2349</v>
      </c>
      <c r="D3490" s="114" t="s">
        <v>2090</v>
      </c>
      <c r="E3490" s="114">
        <v>203</v>
      </c>
      <c r="F3490" s="114">
        <v>118</v>
      </c>
      <c r="G3490" s="114">
        <v>1</v>
      </c>
      <c r="H3490" s="114">
        <v>3500</v>
      </c>
      <c r="I3490" s="114">
        <v>3500</v>
      </c>
      <c r="J3490" s="114">
        <v>2941</v>
      </c>
      <c r="K3490" s="114">
        <v>559</v>
      </c>
      <c r="L3490" s="114" t="str">
        <f t="shared" si="54"/>
        <v>INSERT INTO DETALLES_DOCUMENTO(NRO_DOCUMENTO,ID_TIPO,ID_PRODUCTO,CANTIDAD,PRECIO,VALOR_BRUTO,VALOR_NETO,VALOR_IVA) VALUES(50,2,118,1,3500,3500,2941,559);</v>
      </c>
    </row>
    <row r="3491" spans="1:12">
      <c r="A3491" s="114">
        <v>2</v>
      </c>
      <c r="B3491" s="114">
        <v>50</v>
      </c>
      <c r="C3491" s="139" t="s">
        <v>2349</v>
      </c>
      <c r="D3491" s="114" t="s">
        <v>2090</v>
      </c>
      <c r="E3491" s="114">
        <v>203</v>
      </c>
      <c r="F3491" s="114">
        <v>277</v>
      </c>
      <c r="G3491" s="114">
        <v>1</v>
      </c>
      <c r="H3491" s="114">
        <v>10000</v>
      </c>
      <c r="I3491" s="114">
        <v>10000</v>
      </c>
      <c r="J3491" s="114">
        <v>8403</v>
      </c>
      <c r="K3491" s="114">
        <v>1597</v>
      </c>
      <c r="L3491" s="114" t="str">
        <f t="shared" si="54"/>
        <v>INSERT INTO DETALLES_DOCUMENTO(NRO_DOCUMENTO,ID_TIPO,ID_PRODUCTO,CANTIDAD,PRECIO,VALOR_BRUTO,VALOR_NETO,VALOR_IVA) VALUES(50,2,277,1,10000,10000,8403,1597);</v>
      </c>
    </row>
    <row r="3492" spans="1:12">
      <c r="A3492" s="114">
        <v>2</v>
      </c>
      <c r="B3492" s="114">
        <v>50</v>
      </c>
      <c r="C3492" s="139" t="s">
        <v>2349</v>
      </c>
      <c r="D3492" s="114" t="s">
        <v>2090</v>
      </c>
      <c r="E3492" s="114">
        <v>203</v>
      </c>
      <c r="F3492" s="114">
        <v>384</v>
      </c>
      <c r="G3492" s="114">
        <v>2</v>
      </c>
      <c r="H3492" s="114">
        <v>5500</v>
      </c>
      <c r="I3492" s="114">
        <v>11000</v>
      </c>
      <c r="J3492" s="114">
        <v>9244</v>
      </c>
      <c r="K3492" s="114">
        <v>1756</v>
      </c>
      <c r="L3492" s="114" t="str">
        <f t="shared" si="54"/>
        <v>INSERT INTO DETALLES_DOCUMENTO(NRO_DOCUMENTO,ID_TIPO,ID_PRODUCTO,CANTIDAD,PRECIO,VALOR_BRUTO,VALOR_NETO,VALOR_IVA) VALUES(50,2,384,2,5500,11000,9244,1756);</v>
      </c>
    </row>
    <row r="3493" spans="1:12">
      <c r="A3493" s="114">
        <v>2</v>
      </c>
      <c r="B3493" s="114">
        <v>50</v>
      </c>
      <c r="C3493" s="139" t="s">
        <v>2349</v>
      </c>
      <c r="D3493" s="114" t="s">
        <v>2090</v>
      </c>
      <c r="E3493" s="114">
        <v>203</v>
      </c>
      <c r="F3493" s="114">
        <v>359</v>
      </c>
      <c r="G3493" s="114">
        <v>2</v>
      </c>
      <c r="H3493" s="114">
        <v>5400</v>
      </c>
      <c r="I3493" s="114">
        <v>10800</v>
      </c>
      <c r="J3493" s="114">
        <v>9076</v>
      </c>
      <c r="K3493" s="114">
        <v>1724</v>
      </c>
      <c r="L3493" s="114" t="str">
        <f t="shared" si="54"/>
        <v>INSERT INTO DETALLES_DOCUMENTO(NRO_DOCUMENTO,ID_TIPO,ID_PRODUCTO,CANTIDAD,PRECIO,VALOR_BRUTO,VALOR_NETO,VALOR_IVA) VALUES(50,2,359,2,5400,10800,9076,1724);</v>
      </c>
    </row>
    <row r="3494" spans="1:12">
      <c r="A3494" s="114">
        <v>2</v>
      </c>
      <c r="B3494" s="114">
        <v>50</v>
      </c>
      <c r="C3494" s="139" t="s">
        <v>2349</v>
      </c>
      <c r="D3494" s="114" t="s">
        <v>2090</v>
      </c>
      <c r="E3494" s="114">
        <v>203</v>
      </c>
      <c r="F3494" s="114">
        <v>53</v>
      </c>
      <c r="G3494" s="114">
        <v>1</v>
      </c>
      <c r="H3494" s="114">
        <v>4200</v>
      </c>
      <c r="I3494" s="114">
        <v>4200</v>
      </c>
      <c r="J3494" s="114">
        <v>3529</v>
      </c>
      <c r="K3494" s="114">
        <v>671</v>
      </c>
      <c r="L3494" s="114" t="str">
        <f t="shared" si="54"/>
        <v>INSERT INTO DETALLES_DOCUMENTO(NRO_DOCUMENTO,ID_TIPO,ID_PRODUCTO,CANTIDAD,PRECIO,VALOR_BRUTO,VALOR_NETO,VALOR_IVA) VALUES(50,2,53,1,4200,4200,3529,671);</v>
      </c>
    </row>
    <row r="3495" spans="1:12">
      <c r="A3495" s="114">
        <v>2</v>
      </c>
      <c r="B3495" s="114">
        <v>51</v>
      </c>
      <c r="C3495" s="139" t="s">
        <v>2353</v>
      </c>
      <c r="D3495" s="114" t="s">
        <v>2090</v>
      </c>
      <c r="E3495" s="114">
        <v>413</v>
      </c>
      <c r="F3495" s="114">
        <v>123</v>
      </c>
      <c r="G3495" s="114">
        <v>2</v>
      </c>
      <c r="H3495" s="114">
        <v>48000</v>
      </c>
      <c r="I3495" s="114">
        <v>96000</v>
      </c>
      <c r="J3495" s="114">
        <v>80672</v>
      </c>
      <c r="K3495" s="114">
        <v>15328</v>
      </c>
      <c r="L3495" s="114" t="str">
        <f t="shared" si="54"/>
        <v>INSERT INTO DETALLES_DOCUMENTO(NRO_DOCUMENTO,ID_TIPO,ID_PRODUCTO,CANTIDAD,PRECIO,VALOR_BRUTO,VALOR_NETO,VALOR_IVA) VALUES(51,2,123,2,48000,96000,80672,15328);</v>
      </c>
    </row>
    <row r="3496" spans="1:12">
      <c r="A3496" s="114">
        <v>2</v>
      </c>
      <c r="B3496" s="114">
        <v>51</v>
      </c>
      <c r="C3496" s="139" t="s">
        <v>2353</v>
      </c>
      <c r="D3496" s="114" t="s">
        <v>2090</v>
      </c>
      <c r="E3496" s="114">
        <v>413</v>
      </c>
      <c r="F3496" s="114">
        <v>112</v>
      </c>
      <c r="G3496" s="114">
        <v>1</v>
      </c>
      <c r="H3496" s="114">
        <v>-1000</v>
      </c>
      <c r="I3496" s="114">
        <v>-1000</v>
      </c>
      <c r="J3496" s="114">
        <v>-840</v>
      </c>
      <c r="K3496" s="114">
        <v>-160</v>
      </c>
      <c r="L3496" s="114" t="str">
        <f t="shared" si="54"/>
        <v>INSERT INTO DETALLES_DOCUMENTO(NRO_DOCUMENTO,ID_TIPO,ID_PRODUCTO,CANTIDAD,PRECIO,VALOR_BRUTO,VALOR_NETO,VALOR_IVA) VALUES(51,2,112,1,-1000,-1000,-840,-160);</v>
      </c>
    </row>
    <row r="3497" spans="1:12">
      <c r="A3497" s="114">
        <v>2</v>
      </c>
      <c r="B3497" s="114">
        <v>52</v>
      </c>
      <c r="C3497" s="139" t="s">
        <v>2358</v>
      </c>
      <c r="D3497" s="114" t="s">
        <v>2090</v>
      </c>
      <c r="E3497" s="114">
        <v>22</v>
      </c>
      <c r="F3497" s="114">
        <v>98</v>
      </c>
      <c r="G3497" s="114">
        <v>1</v>
      </c>
      <c r="H3497" s="114">
        <v>3500</v>
      </c>
      <c r="I3497" s="114">
        <v>3500</v>
      </c>
      <c r="J3497" s="114">
        <v>2941</v>
      </c>
      <c r="K3497" s="114">
        <v>559</v>
      </c>
      <c r="L3497" s="114" t="str">
        <f t="shared" si="54"/>
        <v>INSERT INTO DETALLES_DOCUMENTO(NRO_DOCUMENTO,ID_TIPO,ID_PRODUCTO,CANTIDAD,PRECIO,VALOR_BRUTO,VALOR_NETO,VALOR_IVA) VALUES(52,2,98,1,3500,3500,2941,559);</v>
      </c>
    </row>
    <row r="3498" spans="1:12">
      <c r="A3498" s="114">
        <v>2</v>
      </c>
      <c r="B3498" s="114">
        <v>52</v>
      </c>
      <c r="C3498" s="139" t="s">
        <v>2358</v>
      </c>
      <c r="D3498" s="114" t="s">
        <v>2090</v>
      </c>
      <c r="E3498" s="114">
        <v>22</v>
      </c>
      <c r="F3498" s="114">
        <v>156</v>
      </c>
      <c r="G3498" s="114">
        <v>1</v>
      </c>
      <c r="H3498" s="114">
        <v>1400</v>
      </c>
      <c r="I3498" s="114">
        <v>1400</v>
      </c>
      <c r="J3498" s="114">
        <v>1176</v>
      </c>
      <c r="K3498" s="114">
        <v>224</v>
      </c>
      <c r="L3498" s="114" t="str">
        <f t="shared" si="54"/>
        <v>INSERT INTO DETALLES_DOCUMENTO(NRO_DOCUMENTO,ID_TIPO,ID_PRODUCTO,CANTIDAD,PRECIO,VALOR_BRUTO,VALOR_NETO,VALOR_IVA) VALUES(52,2,156,1,1400,1400,1176,224);</v>
      </c>
    </row>
    <row r="3499" spans="1:12">
      <c r="A3499" s="114">
        <v>2</v>
      </c>
      <c r="B3499" s="114">
        <v>52</v>
      </c>
      <c r="C3499" s="139" t="s">
        <v>2358</v>
      </c>
      <c r="D3499" s="114" t="s">
        <v>2090</v>
      </c>
      <c r="E3499" s="114">
        <v>22</v>
      </c>
      <c r="F3499" s="114">
        <v>379</v>
      </c>
      <c r="G3499" s="114">
        <v>2</v>
      </c>
      <c r="H3499" s="114">
        <v>4000</v>
      </c>
      <c r="I3499" s="114">
        <v>8000</v>
      </c>
      <c r="J3499" s="114">
        <v>6723</v>
      </c>
      <c r="K3499" s="114">
        <v>1277</v>
      </c>
      <c r="L3499" s="114" t="str">
        <f t="shared" si="54"/>
        <v>INSERT INTO DETALLES_DOCUMENTO(NRO_DOCUMENTO,ID_TIPO,ID_PRODUCTO,CANTIDAD,PRECIO,VALOR_BRUTO,VALOR_NETO,VALOR_IVA) VALUES(52,2,379,2,4000,8000,6723,1277);</v>
      </c>
    </row>
    <row r="3500" spans="1:12">
      <c r="A3500" s="114">
        <v>2</v>
      </c>
      <c r="B3500" s="114">
        <v>52</v>
      </c>
      <c r="C3500" s="139" t="s">
        <v>2358</v>
      </c>
      <c r="D3500" s="114" t="s">
        <v>2090</v>
      </c>
      <c r="E3500" s="114">
        <v>22</v>
      </c>
      <c r="F3500" s="114">
        <v>31</v>
      </c>
      <c r="G3500" s="114">
        <v>1</v>
      </c>
      <c r="H3500" s="114">
        <v>3400</v>
      </c>
      <c r="I3500" s="114">
        <v>3400</v>
      </c>
      <c r="J3500" s="114">
        <v>2857</v>
      </c>
      <c r="K3500" s="114">
        <v>543</v>
      </c>
      <c r="L3500" s="114" t="str">
        <f t="shared" si="54"/>
        <v>INSERT INTO DETALLES_DOCUMENTO(NRO_DOCUMENTO,ID_TIPO,ID_PRODUCTO,CANTIDAD,PRECIO,VALOR_BRUTO,VALOR_NETO,VALOR_IVA) VALUES(52,2,31,1,3400,3400,2857,543);</v>
      </c>
    </row>
    <row r="3501" spans="1:12">
      <c r="A3501" s="114">
        <v>2</v>
      </c>
      <c r="B3501" s="114">
        <v>53</v>
      </c>
      <c r="C3501" s="139" t="s">
        <v>2364</v>
      </c>
      <c r="D3501" s="114" t="s">
        <v>2090</v>
      </c>
      <c r="E3501" s="114">
        <v>203</v>
      </c>
      <c r="F3501" s="114">
        <v>97</v>
      </c>
      <c r="G3501" s="114">
        <v>1</v>
      </c>
      <c r="H3501" s="114">
        <v>2000</v>
      </c>
      <c r="I3501" s="114">
        <v>2000</v>
      </c>
      <c r="J3501" s="114">
        <v>1681</v>
      </c>
      <c r="K3501" s="114">
        <v>319</v>
      </c>
      <c r="L3501" s="114" t="str">
        <f t="shared" si="54"/>
        <v>INSERT INTO DETALLES_DOCUMENTO(NRO_DOCUMENTO,ID_TIPO,ID_PRODUCTO,CANTIDAD,PRECIO,VALOR_BRUTO,VALOR_NETO,VALOR_IVA) VALUES(53,2,97,1,2000,2000,1681,319);</v>
      </c>
    </row>
    <row r="3502" spans="1:12">
      <c r="A3502" s="114">
        <v>2</v>
      </c>
      <c r="B3502" s="114">
        <v>53</v>
      </c>
      <c r="C3502" s="139" t="s">
        <v>2364</v>
      </c>
      <c r="D3502" s="114" t="s">
        <v>2090</v>
      </c>
      <c r="E3502" s="114">
        <v>203</v>
      </c>
      <c r="F3502" s="114">
        <v>99</v>
      </c>
      <c r="G3502" s="114">
        <v>1</v>
      </c>
      <c r="H3502" s="114">
        <v>1700</v>
      </c>
      <c r="I3502" s="114">
        <v>1700</v>
      </c>
      <c r="J3502" s="114">
        <v>1429</v>
      </c>
      <c r="K3502" s="114">
        <v>271</v>
      </c>
      <c r="L3502" s="114" t="str">
        <f t="shared" si="54"/>
        <v>INSERT INTO DETALLES_DOCUMENTO(NRO_DOCUMENTO,ID_TIPO,ID_PRODUCTO,CANTIDAD,PRECIO,VALOR_BRUTO,VALOR_NETO,VALOR_IVA) VALUES(53,2,99,1,1700,1700,1429,271);</v>
      </c>
    </row>
    <row r="3503" spans="1:12">
      <c r="A3503" s="114">
        <v>2</v>
      </c>
      <c r="B3503" s="114">
        <v>53</v>
      </c>
      <c r="C3503" s="139" t="s">
        <v>2364</v>
      </c>
      <c r="D3503" s="114" t="s">
        <v>2090</v>
      </c>
      <c r="E3503" s="114">
        <v>203</v>
      </c>
      <c r="F3503" s="114">
        <v>384</v>
      </c>
      <c r="G3503" s="114">
        <v>2</v>
      </c>
      <c r="H3503" s="114">
        <v>5500</v>
      </c>
      <c r="I3503" s="114">
        <v>11000</v>
      </c>
      <c r="J3503" s="114">
        <v>9244</v>
      </c>
      <c r="K3503" s="114">
        <v>1756</v>
      </c>
      <c r="L3503" s="114" t="str">
        <f t="shared" si="54"/>
        <v>INSERT INTO DETALLES_DOCUMENTO(NRO_DOCUMENTO,ID_TIPO,ID_PRODUCTO,CANTIDAD,PRECIO,VALOR_BRUTO,VALOR_NETO,VALOR_IVA) VALUES(53,2,384,2,5500,11000,9244,1756);</v>
      </c>
    </row>
    <row r="3504" spans="1:12">
      <c r="A3504" s="114">
        <v>2</v>
      </c>
      <c r="B3504" s="114">
        <v>54</v>
      </c>
      <c r="C3504" s="139" t="s">
        <v>2365</v>
      </c>
      <c r="D3504" s="114" t="s">
        <v>2090</v>
      </c>
      <c r="E3504" s="114">
        <v>125</v>
      </c>
      <c r="F3504" s="114">
        <v>120</v>
      </c>
      <c r="G3504" s="114">
        <v>3</v>
      </c>
      <c r="H3504" s="114">
        <v>5700</v>
      </c>
      <c r="I3504" s="114">
        <v>17100</v>
      </c>
      <c r="J3504" s="114">
        <v>14370</v>
      </c>
      <c r="K3504" s="114">
        <v>2730</v>
      </c>
      <c r="L3504" s="114" t="str">
        <f t="shared" si="54"/>
        <v>INSERT INTO DETALLES_DOCUMENTO(NRO_DOCUMENTO,ID_TIPO,ID_PRODUCTO,CANTIDAD,PRECIO,VALOR_BRUTO,VALOR_NETO,VALOR_IVA) VALUES(54,2,120,3,5700,17100,14370,2730);</v>
      </c>
    </row>
    <row r="3505" spans="1:12">
      <c r="A3505" s="114">
        <v>2</v>
      </c>
      <c r="B3505" s="114">
        <v>54</v>
      </c>
      <c r="C3505" s="139" t="s">
        <v>2365</v>
      </c>
      <c r="D3505" s="114" t="s">
        <v>2090</v>
      </c>
      <c r="E3505" s="114">
        <v>125</v>
      </c>
      <c r="F3505" s="114">
        <v>379</v>
      </c>
      <c r="G3505" s="114">
        <v>2</v>
      </c>
      <c r="H3505" s="114">
        <v>4000</v>
      </c>
      <c r="I3505" s="114">
        <v>8000</v>
      </c>
      <c r="J3505" s="114">
        <v>6723</v>
      </c>
      <c r="K3505" s="114">
        <v>1277</v>
      </c>
      <c r="L3505" s="114" t="str">
        <f t="shared" si="54"/>
        <v>INSERT INTO DETALLES_DOCUMENTO(NRO_DOCUMENTO,ID_TIPO,ID_PRODUCTO,CANTIDAD,PRECIO,VALOR_BRUTO,VALOR_NETO,VALOR_IVA) VALUES(54,2,379,2,4000,8000,6723,1277);</v>
      </c>
    </row>
    <row r="3506" spans="1:12">
      <c r="A3506" s="114">
        <v>2</v>
      </c>
      <c r="B3506" s="114">
        <v>54</v>
      </c>
      <c r="C3506" s="139" t="s">
        <v>2365</v>
      </c>
      <c r="D3506" s="114" t="s">
        <v>2090</v>
      </c>
      <c r="E3506" s="114">
        <v>125</v>
      </c>
      <c r="F3506" s="114">
        <v>233</v>
      </c>
      <c r="G3506" s="114">
        <v>3</v>
      </c>
      <c r="H3506" s="114">
        <v>47970</v>
      </c>
      <c r="I3506" s="114">
        <v>143910</v>
      </c>
      <c r="J3506" s="114">
        <v>120933</v>
      </c>
      <c r="K3506" s="114">
        <v>22977</v>
      </c>
      <c r="L3506" s="114" t="str">
        <f t="shared" si="54"/>
        <v>INSERT INTO DETALLES_DOCUMENTO(NRO_DOCUMENTO,ID_TIPO,ID_PRODUCTO,CANTIDAD,PRECIO,VALOR_BRUTO,VALOR_NETO,VALOR_IVA) VALUES(54,2,233,3,47970,143910,120933,22977);</v>
      </c>
    </row>
    <row r="3507" spans="1:12">
      <c r="A3507" s="114">
        <v>2</v>
      </c>
      <c r="B3507" s="114">
        <v>54</v>
      </c>
      <c r="C3507" s="139" t="s">
        <v>2365</v>
      </c>
      <c r="D3507" s="114" t="s">
        <v>2090</v>
      </c>
      <c r="E3507" s="114">
        <v>125</v>
      </c>
      <c r="F3507" s="114">
        <v>297</v>
      </c>
      <c r="G3507" s="114">
        <v>1</v>
      </c>
      <c r="H3507" s="114">
        <v>7000</v>
      </c>
      <c r="I3507" s="114">
        <v>7000</v>
      </c>
      <c r="J3507" s="114">
        <v>5882</v>
      </c>
      <c r="K3507" s="114">
        <v>1118</v>
      </c>
      <c r="L3507" s="114" t="str">
        <f t="shared" si="54"/>
        <v>INSERT INTO DETALLES_DOCUMENTO(NRO_DOCUMENTO,ID_TIPO,ID_PRODUCTO,CANTIDAD,PRECIO,VALOR_BRUTO,VALOR_NETO,VALOR_IVA) VALUES(54,2,297,1,7000,7000,5882,1118);</v>
      </c>
    </row>
    <row r="3508" spans="1:12">
      <c r="A3508" s="114">
        <v>2</v>
      </c>
      <c r="B3508" s="114">
        <v>54</v>
      </c>
      <c r="C3508" s="139" t="s">
        <v>2365</v>
      </c>
      <c r="D3508" s="114" t="s">
        <v>2090</v>
      </c>
      <c r="E3508" s="114">
        <v>125</v>
      </c>
      <c r="F3508" s="114">
        <v>371</v>
      </c>
      <c r="G3508" s="114">
        <v>6</v>
      </c>
      <c r="H3508" s="114">
        <v>57000</v>
      </c>
      <c r="I3508" s="114">
        <v>342000</v>
      </c>
      <c r="J3508" s="114">
        <v>287395</v>
      </c>
      <c r="K3508" s="114">
        <v>54605</v>
      </c>
      <c r="L3508" s="114" t="str">
        <f t="shared" si="54"/>
        <v>INSERT INTO DETALLES_DOCUMENTO(NRO_DOCUMENTO,ID_TIPO,ID_PRODUCTO,CANTIDAD,PRECIO,VALOR_BRUTO,VALOR_NETO,VALOR_IVA) VALUES(54,2,371,6,57000,342000,287395,54605);</v>
      </c>
    </row>
    <row r="3509" spans="1:12">
      <c r="A3509" s="114">
        <v>2</v>
      </c>
      <c r="B3509" s="114">
        <v>54</v>
      </c>
      <c r="C3509" s="139" t="s">
        <v>2365</v>
      </c>
      <c r="D3509" s="114" t="s">
        <v>2090</v>
      </c>
      <c r="E3509" s="114">
        <v>125</v>
      </c>
      <c r="F3509" s="114">
        <v>267</v>
      </c>
      <c r="G3509" s="114">
        <v>2</v>
      </c>
      <c r="H3509" s="114">
        <v>3200</v>
      </c>
      <c r="I3509" s="114">
        <v>6400</v>
      </c>
      <c r="J3509" s="114">
        <v>5378</v>
      </c>
      <c r="K3509" s="114">
        <v>1022</v>
      </c>
      <c r="L3509" s="114" t="str">
        <f t="shared" si="54"/>
        <v>INSERT INTO DETALLES_DOCUMENTO(NRO_DOCUMENTO,ID_TIPO,ID_PRODUCTO,CANTIDAD,PRECIO,VALOR_BRUTO,VALOR_NETO,VALOR_IVA) VALUES(54,2,267,2,3200,6400,5378,1022);</v>
      </c>
    </row>
    <row r="3510" spans="1:12">
      <c r="A3510" s="114">
        <v>2</v>
      </c>
      <c r="B3510" s="114">
        <v>54</v>
      </c>
      <c r="C3510" s="139" t="s">
        <v>2365</v>
      </c>
      <c r="D3510" s="114" t="s">
        <v>2090</v>
      </c>
      <c r="E3510" s="114">
        <v>125</v>
      </c>
      <c r="F3510" s="114">
        <v>12</v>
      </c>
      <c r="G3510" s="114">
        <v>2</v>
      </c>
      <c r="H3510" s="114">
        <v>1400</v>
      </c>
      <c r="I3510" s="114">
        <v>2800</v>
      </c>
      <c r="J3510" s="114">
        <v>2353</v>
      </c>
      <c r="K3510" s="114">
        <v>447</v>
      </c>
      <c r="L3510" s="114" t="str">
        <f t="shared" si="54"/>
        <v>INSERT INTO DETALLES_DOCUMENTO(NRO_DOCUMENTO,ID_TIPO,ID_PRODUCTO,CANTIDAD,PRECIO,VALOR_BRUTO,VALOR_NETO,VALOR_IVA) VALUES(54,2,12,2,1400,2800,2353,447);</v>
      </c>
    </row>
    <row r="3511" spans="1:12">
      <c r="A3511" s="114">
        <v>2</v>
      </c>
      <c r="B3511" s="114">
        <v>54</v>
      </c>
      <c r="C3511" s="139" t="s">
        <v>2365</v>
      </c>
      <c r="D3511" s="114" t="s">
        <v>2090</v>
      </c>
      <c r="E3511" s="114">
        <v>125</v>
      </c>
      <c r="F3511" s="114">
        <v>16</v>
      </c>
      <c r="G3511" s="114">
        <v>1</v>
      </c>
      <c r="H3511" s="114">
        <v>4200</v>
      </c>
      <c r="I3511" s="114">
        <v>4200</v>
      </c>
      <c r="J3511" s="114">
        <v>3529</v>
      </c>
      <c r="K3511" s="114">
        <v>671</v>
      </c>
      <c r="L3511" s="114" t="str">
        <f t="shared" si="54"/>
        <v>INSERT INTO DETALLES_DOCUMENTO(NRO_DOCUMENTO,ID_TIPO,ID_PRODUCTO,CANTIDAD,PRECIO,VALOR_BRUTO,VALOR_NETO,VALOR_IVA) VALUES(54,2,16,1,4200,4200,3529,671);</v>
      </c>
    </row>
    <row r="3512" spans="1:12">
      <c r="A3512" s="114">
        <v>2</v>
      </c>
      <c r="B3512" s="114">
        <v>54</v>
      </c>
      <c r="C3512" s="139" t="s">
        <v>2365</v>
      </c>
      <c r="D3512" s="114" t="s">
        <v>2090</v>
      </c>
      <c r="E3512" s="114">
        <v>125</v>
      </c>
      <c r="F3512" s="114">
        <v>254</v>
      </c>
      <c r="G3512" s="114">
        <v>1</v>
      </c>
      <c r="H3512" s="114">
        <v>2000</v>
      </c>
      <c r="I3512" s="114">
        <v>2000</v>
      </c>
      <c r="J3512" s="114">
        <v>1681</v>
      </c>
      <c r="K3512" s="114">
        <v>319</v>
      </c>
      <c r="L3512" s="114" t="str">
        <f t="shared" si="54"/>
        <v>INSERT INTO DETALLES_DOCUMENTO(NRO_DOCUMENTO,ID_TIPO,ID_PRODUCTO,CANTIDAD,PRECIO,VALOR_BRUTO,VALOR_NETO,VALOR_IVA) VALUES(54,2,254,1,2000,2000,1681,319);</v>
      </c>
    </row>
    <row r="3513" spans="1:12">
      <c r="A3513" s="114">
        <v>2</v>
      </c>
      <c r="B3513" s="114">
        <v>54</v>
      </c>
      <c r="C3513" s="139" t="s">
        <v>2365</v>
      </c>
      <c r="D3513" s="114" t="s">
        <v>2090</v>
      </c>
      <c r="E3513" s="114">
        <v>125</v>
      </c>
      <c r="F3513" s="114">
        <v>368</v>
      </c>
      <c r="G3513" s="114">
        <v>1</v>
      </c>
      <c r="H3513" s="114">
        <v>3000</v>
      </c>
      <c r="I3513" s="114">
        <v>3000</v>
      </c>
      <c r="J3513" s="114">
        <v>2521</v>
      </c>
      <c r="K3513" s="114">
        <v>479</v>
      </c>
      <c r="L3513" s="114" t="str">
        <f t="shared" si="54"/>
        <v>INSERT INTO DETALLES_DOCUMENTO(NRO_DOCUMENTO,ID_TIPO,ID_PRODUCTO,CANTIDAD,PRECIO,VALOR_BRUTO,VALOR_NETO,VALOR_IVA) VALUES(54,2,368,1,3000,3000,2521,479);</v>
      </c>
    </row>
    <row r="3514" spans="1:12">
      <c r="A3514" s="114">
        <v>2</v>
      </c>
      <c r="B3514" s="114">
        <v>54</v>
      </c>
      <c r="C3514" s="139" t="s">
        <v>2365</v>
      </c>
      <c r="D3514" s="114" t="s">
        <v>2090</v>
      </c>
      <c r="E3514" s="114">
        <v>125</v>
      </c>
      <c r="F3514" s="114">
        <v>354</v>
      </c>
      <c r="G3514" s="114">
        <v>1</v>
      </c>
      <c r="H3514" s="114">
        <v>1800</v>
      </c>
      <c r="I3514" s="114">
        <v>1800</v>
      </c>
      <c r="J3514" s="114">
        <v>1513</v>
      </c>
      <c r="K3514" s="114">
        <v>287</v>
      </c>
      <c r="L3514" s="114" t="str">
        <f t="shared" si="54"/>
        <v>INSERT INTO DETALLES_DOCUMENTO(NRO_DOCUMENTO,ID_TIPO,ID_PRODUCTO,CANTIDAD,PRECIO,VALOR_BRUTO,VALOR_NETO,VALOR_IVA) VALUES(54,2,354,1,1800,1800,1513,287);</v>
      </c>
    </row>
    <row r="3515" spans="1:12">
      <c r="A3515" s="114">
        <v>2</v>
      </c>
      <c r="B3515" s="114">
        <v>54</v>
      </c>
      <c r="C3515" s="139" t="s">
        <v>2365</v>
      </c>
      <c r="D3515" s="114" t="s">
        <v>2090</v>
      </c>
      <c r="E3515" s="114">
        <v>125</v>
      </c>
      <c r="F3515" s="114">
        <v>95</v>
      </c>
      <c r="G3515" s="114">
        <v>1</v>
      </c>
      <c r="H3515" s="114">
        <v>2400</v>
      </c>
      <c r="I3515" s="114">
        <v>2400</v>
      </c>
      <c r="J3515" s="114">
        <v>2017</v>
      </c>
      <c r="K3515" s="114">
        <v>383</v>
      </c>
      <c r="L3515" s="114" t="str">
        <f t="shared" si="54"/>
        <v>INSERT INTO DETALLES_DOCUMENTO(NRO_DOCUMENTO,ID_TIPO,ID_PRODUCTO,CANTIDAD,PRECIO,VALOR_BRUTO,VALOR_NETO,VALOR_IVA) VALUES(54,2,95,1,2400,2400,2017,383);</v>
      </c>
    </row>
    <row r="3516" spans="1:12">
      <c r="A3516" s="114">
        <v>2</v>
      </c>
      <c r="B3516" s="114">
        <v>54</v>
      </c>
      <c r="C3516" s="139" t="s">
        <v>2365</v>
      </c>
      <c r="D3516" s="114" t="s">
        <v>2090</v>
      </c>
      <c r="E3516" s="114">
        <v>125</v>
      </c>
      <c r="F3516" s="114">
        <v>164</v>
      </c>
      <c r="G3516" s="114">
        <v>1</v>
      </c>
      <c r="H3516" s="114">
        <v>3200</v>
      </c>
      <c r="I3516" s="114">
        <v>3200</v>
      </c>
      <c r="J3516" s="114">
        <v>2689</v>
      </c>
      <c r="K3516" s="114">
        <v>511</v>
      </c>
      <c r="L3516" s="114" t="str">
        <f t="shared" si="54"/>
        <v>INSERT INTO DETALLES_DOCUMENTO(NRO_DOCUMENTO,ID_TIPO,ID_PRODUCTO,CANTIDAD,PRECIO,VALOR_BRUTO,VALOR_NETO,VALOR_IVA) VALUES(54,2,164,1,3200,3200,2689,511);</v>
      </c>
    </row>
    <row r="3517" spans="1:12">
      <c r="A3517" s="114">
        <v>2</v>
      </c>
      <c r="B3517" s="114">
        <v>54</v>
      </c>
      <c r="C3517" s="139" t="s">
        <v>2365</v>
      </c>
      <c r="D3517" s="114" t="s">
        <v>2090</v>
      </c>
      <c r="E3517" s="114">
        <v>125</v>
      </c>
      <c r="F3517" s="114">
        <v>117</v>
      </c>
      <c r="G3517" s="114">
        <v>1</v>
      </c>
      <c r="H3517" s="114">
        <v>3500</v>
      </c>
      <c r="I3517" s="114">
        <v>3500</v>
      </c>
      <c r="J3517" s="114">
        <v>2941</v>
      </c>
      <c r="K3517" s="114">
        <v>559</v>
      </c>
      <c r="L3517" s="114" t="str">
        <f t="shared" si="54"/>
        <v>INSERT INTO DETALLES_DOCUMENTO(NRO_DOCUMENTO,ID_TIPO,ID_PRODUCTO,CANTIDAD,PRECIO,VALOR_BRUTO,VALOR_NETO,VALOR_IVA) VALUES(54,2,117,1,3500,3500,2941,559);</v>
      </c>
    </row>
    <row r="3518" spans="1:12">
      <c r="A3518" s="114">
        <v>2</v>
      </c>
      <c r="B3518" s="114">
        <v>54</v>
      </c>
      <c r="C3518" s="139" t="s">
        <v>2365</v>
      </c>
      <c r="D3518" s="114" t="s">
        <v>2090</v>
      </c>
      <c r="E3518" s="114">
        <v>125</v>
      </c>
      <c r="F3518" s="114">
        <v>356</v>
      </c>
      <c r="G3518" s="114">
        <v>1</v>
      </c>
      <c r="H3518" s="114">
        <v>3000</v>
      </c>
      <c r="I3518" s="114">
        <v>3000</v>
      </c>
      <c r="J3518" s="114">
        <v>2521</v>
      </c>
      <c r="K3518" s="114">
        <v>479</v>
      </c>
      <c r="L3518" s="114" t="str">
        <f t="shared" si="54"/>
        <v>INSERT INTO DETALLES_DOCUMENTO(NRO_DOCUMENTO,ID_TIPO,ID_PRODUCTO,CANTIDAD,PRECIO,VALOR_BRUTO,VALOR_NETO,VALOR_IVA) VALUES(54,2,356,1,3000,3000,2521,479);</v>
      </c>
    </row>
    <row r="3519" spans="1:12">
      <c r="A3519" s="114">
        <v>2</v>
      </c>
      <c r="B3519" s="114">
        <v>54</v>
      </c>
      <c r="C3519" s="139" t="s">
        <v>2365</v>
      </c>
      <c r="D3519" s="114" t="s">
        <v>2090</v>
      </c>
      <c r="E3519" s="114">
        <v>125</v>
      </c>
      <c r="F3519" s="114">
        <v>98</v>
      </c>
      <c r="G3519" s="114">
        <v>1</v>
      </c>
      <c r="H3519" s="114">
        <v>3500</v>
      </c>
      <c r="I3519" s="114">
        <v>3500</v>
      </c>
      <c r="J3519" s="114">
        <v>2941</v>
      </c>
      <c r="K3519" s="114">
        <v>559</v>
      </c>
      <c r="L3519" s="114" t="str">
        <f t="shared" si="54"/>
        <v>INSERT INTO DETALLES_DOCUMENTO(NRO_DOCUMENTO,ID_TIPO,ID_PRODUCTO,CANTIDAD,PRECIO,VALOR_BRUTO,VALOR_NETO,VALOR_IVA) VALUES(54,2,98,1,3500,3500,2941,559);</v>
      </c>
    </row>
    <row r="3520" spans="1:12">
      <c r="A3520" s="114">
        <v>2</v>
      </c>
      <c r="B3520" s="114">
        <v>54</v>
      </c>
      <c r="C3520" s="139" t="s">
        <v>2365</v>
      </c>
      <c r="D3520" s="114" t="s">
        <v>2090</v>
      </c>
      <c r="E3520" s="114">
        <v>125</v>
      </c>
      <c r="F3520" s="114">
        <v>268</v>
      </c>
      <c r="G3520" s="114">
        <v>1</v>
      </c>
      <c r="H3520" s="114">
        <v>600</v>
      </c>
      <c r="I3520" s="114">
        <v>600</v>
      </c>
      <c r="J3520" s="114">
        <v>504</v>
      </c>
      <c r="K3520" s="114">
        <v>96</v>
      </c>
      <c r="L3520" s="114" t="str">
        <f t="shared" si="54"/>
        <v>INSERT INTO DETALLES_DOCUMENTO(NRO_DOCUMENTO,ID_TIPO,ID_PRODUCTO,CANTIDAD,PRECIO,VALOR_BRUTO,VALOR_NETO,VALOR_IVA) VALUES(54,2,268,1,600,600,504,96);</v>
      </c>
    </row>
    <row r="3521" spans="1:12">
      <c r="A3521" s="114">
        <v>2</v>
      </c>
      <c r="B3521" s="114">
        <v>54</v>
      </c>
      <c r="C3521" s="139" t="s">
        <v>2365</v>
      </c>
      <c r="D3521" s="114" t="s">
        <v>2090</v>
      </c>
      <c r="E3521" s="114">
        <v>125</v>
      </c>
      <c r="F3521" s="114">
        <v>29</v>
      </c>
      <c r="G3521" s="114">
        <v>1</v>
      </c>
      <c r="H3521" s="114">
        <v>1000</v>
      </c>
      <c r="I3521" s="114">
        <v>1000</v>
      </c>
      <c r="J3521" s="114">
        <v>840</v>
      </c>
      <c r="K3521" s="114">
        <v>160</v>
      </c>
      <c r="L3521" s="114" t="str">
        <f t="shared" si="54"/>
        <v>INSERT INTO DETALLES_DOCUMENTO(NRO_DOCUMENTO,ID_TIPO,ID_PRODUCTO,CANTIDAD,PRECIO,VALOR_BRUTO,VALOR_NETO,VALOR_IVA) VALUES(54,2,29,1,1000,1000,840,160);</v>
      </c>
    </row>
    <row r="3522" spans="1:12">
      <c r="A3522" s="114">
        <v>2</v>
      </c>
      <c r="B3522" s="114">
        <v>54</v>
      </c>
      <c r="C3522" s="139" t="s">
        <v>2365</v>
      </c>
      <c r="D3522" s="114" t="s">
        <v>2090</v>
      </c>
      <c r="E3522" s="114">
        <v>125</v>
      </c>
      <c r="F3522" s="114">
        <v>20</v>
      </c>
      <c r="G3522" s="114">
        <v>1</v>
      </c>
      <c r="H3522" s="114">
        <v>1200</v>
      </c>
      <c r="I3522" s="114">
        <v>1200</v>
      </c>
      <c r="J3522" s="114">
        <v>1008</v>
      </c>
      <c r="K3522" s="114">
        <v>192</v>
      </c>
      <c r="L3522" s="114" t="str">
        <f t="shared" si="54"/>
        <v>INSERT INTO DETALLES_DOCUMENTO(NRO_DOCUMENTO,ID_TIPO,ID_PRODUCTO,CANTIDAD,PRECIO,VALOR_BRUTO,VALOR_NETO,VALOR_IVA) VALUES(54,2,20,1,1200,1200,1008,192);</v>
      </c>
    </row>
    <row r="3523" spans="1:12">
      <c r="A3523" s="114">
        <v>2</v>
      </c>
      <c r="B3523" s="114">
        <v>54</v>
      </c>
      <c r="C3523" s="139" t="s">
        <v>2365</v>
      </c>
      <c r="D3523" s="114" t="s">
        <v>2090</v>
      </c>
      <c r="E3523" s="114">
        <v>125</v>
      </c>
      <c r="F3523" s="114">
        <v>25</v>
      </c>
      <c r="G3523" s="114">
        <v>1</v>
      </c>
      <c r="H3523" s="114">
        <v>1800</v>
      </c>
      <c r="I3523" s="114">
        <v>1800</v>
      </c>
      <c r="J3523" s="114">
        <v>1513</v>
      </c>
      <c r="K3523" s="114">
        <v>287</v>
      </c>
      <c r="L3523" s="114" t="str">
        <f t="shared" ref="L3523:L3586" si="55">CONCATENATE("INSERT INTO DETALLES_DOCUMENTO(NRO_DOCUMENTO,ID_TIPO,ID_PRODUCTO,CANTIDAD,PRECIO,VALOR_BRUTO,VALOR_NETO,VALOR_IVA) VALUES(",B3523,",",A3523,",",F3523,",",G3523,",",H3523,",",I3523,",",J3523,",",K3523,");")</f>
        <v>INSERT INTO DETALLES_DOCUMENTO(NRO_DOCUMENTO,ID_TIPO,ID_PRODUCTO,CANTIDAD,PRECIO,VALOR_BRUTO,VALOR_NETO,VALOR_IVA) VALUES(54,2,25,1,1800,1800,1513,287);</v>
      </c>
    </row>
    <row r="3524" spans="1:12">
      <c r="A3524" s="114">
        <v>2</v>
      </c>
      <c r="B3524" s="114">
        <v>55</v>
      </c>
      <c r="C3524" s="139" t="s">
        <v>2368</v>
      </c>
      <c r="D3524" s="114" t="s">
        <v>2090</v>
      </c>
      <c r="E3524" s="114">
        <v>203</v>
      </c>
      <c r="F3524" s="114">
        <v>359</v>
      </c>
      <c r="G3524" s="114">
        <v>2</v>
      </c>
      <c r="H3524" s="114">
        <v>5400</v>
      </c>
      <c r="I3524" s="114">
        <v>10800</v>
      </c>
      <c r="J3524" s="114">
        <v>9076</v>
      </c>
      <c r="K3524" s="114">
        <v>1724</v>
      </c>
      <c r="L3524" s="114" t="str">
        <f t="shared" si="55"/>
        <v>INSERT INTO DETALLES_DOCUMENTO(NRO_DOCUMENTO,ID_TIPO,ID_PRODUCTO,CANTIDAD,PRECIO,VALOR_BRUTO,VALOR_NETO,VALOR_IVA) VALUES(55,2,359,2,5400,10800,9076,1724);</v>
      </c>
    </row>
    <row r="3525" spans="1:12">
      <c r="A3525" s="114">
        <v>2</v>
      </c>
      <c r="B3525" s="114">
        <v>56</v>
      </c>
      <c r="C3525" s="139" t="s">
        <v>2369</v>
      </c>
      <c r="D3525" s="114" t="s">
        <v>2090</v>
      </c>
      <c r="E3525" s="114">
        <v>203</v>
      </c>
      <c r="F3525" s="114">
        <v>231</v>
      </c>
      <c r="G3525" s="114">
        <v>1</v>
      </c>
      <c r="H3525" s="114">
        <v>20900</v>
      </c>
      <c r="I3525" s="114">
        <v>20900</v>
      </c>
      <c r="J3525" s="114">
        <v>17563</v>
      </c>
      <c r="K3525" s="114">
        <v>3337</v>
      </c>
      <c r="L3525" s="114" t="str">
        <f t="shared" si="55"/>
        <v>INSERT INTO DETALLES_DOCUMENTO(NRO_DOCUMENTO,ID_TIPO,ID_PRODUCTO,CANTIDAD,PRECIO,VALOR_BRUTO,VALOR_NETO,VALOR_IVA) VALUES(56,2,231,1,20900,20900,17563,3337);</v>
      </c>
    </row>
    <row r="3526" spans="1:12">
      <c r="A3526" s="114">
        <v>2</v>
      </c>
      <c r="B3526" s="114">
        <v>56</v>
      </c>
      <c r="C3526" s="139" t="s">
        <v>2369</v>
      </c>
      <c r="D3526" s="114" t="s">
        <v>2090</v>
      </c>
      <c r="E3526" s="114">
        <v>203</v>
      </c>
      <c r="F3526" s="114">
        <v>277</v>
      </c>
      <c r="G3526" s="114">
        <v>1</v>
      </c>
      <c r="H3526" s="114">
        <v>10000</v>
      </c>
      <c r="I3526" s="114">
        <v>10000</v>
      </c>
      <c r="J3526" s="114">
        <v>8403</v>
      </c>
      <c r="K3526" s="114">
        <v>1597</v>
      </c>
      <c r="L3526" s="114" t="str">
        <f t="shared" si="55"/>
        <v>INSERT INTO DETALLES_DOCUMENTO(NRO_DOCUMENTO,ID_TIPO,ID_PRODUCTO,CANTIDAD,PRECIO,VALOR_BRUTO,VALOR_NETO,VALOR_IVA) VALUES(56,2,277,1,10000,10000,8403,1597);</v>
      </c>
    </row>
    <row r="3527" spans="1:12">
      <c r="A3527" s="114">
        <v>2</v>
      </c>
      <c r="B3527" s="114">
        <v>56</v>
      </c>
      <c r="C3527" s="139" t="s">
        <v>2369</v>
      </c>
      <c r="D3527" s="114" t="s">
        <v>2090</v>
      </c>
      <c r="E3527" s="114">
        <v>203</v>
      </c>
      <c r="F3527" s="114">
        <v>118</v>
      </c>
      <c r="G3527" s="114">
        <v>1</v>
      </c>
      <c r="H3527" s="114">
        <v>3500</v>
      </c>
      <c r="I3527" s="114">
        <v>3500</v>
      </c>
      <c r="J3527" s="114">
        <v>2941</v>
      </c>
      <c r="K3527" s="114">
        <v>559</v>
      </c>
      <c r="L3527" s="114" t="str">
        <f t="shared" si="55"/>
        <v>INSERT INTO DETALLES_DOCUMENTO(NRO_DOCUMENTO,ID_TIPO,ID_PRODUCTO,CANTIDAD,PRECIO,VALOR_BRUTO,VALOR_NETO,VALOR_IVA) VALUES(56,2,118,1,3500,3500,2941,559);</v>
      </c>
    </row>
    <row r="3528" spans="1:12">
      <c r="A3528" s="114">
        <v>2</v>
      </c>
      <c r="B3528" s="114">
        <v>57</v>
      </c>
      <c r="C3528" s="139" t="s">
        <v>2372</v>
      </c>
      <c r="D3528" s="114" t="s">
        <v>2090</v>
      </c>
      <c r="E3528" s="114">
        <v>22</v>
      </c>
      <c r="F3528" s="114">
        <v>293</v>
      </c>
      <c r="G3528" s="114">
        <v>1</v>
      </c>
      <c r="H3528" s="114">
        <v>10000</v>
      </c>
      <c r="I3528" s="114">
        <v>10000</v>
      </c>
      <c r="J3528" s="114">
        <v>8403</v>
      </c>
      <c r="K3528" s="114">
        <v>1597</v>
      </c>
      <c r="L3528" s="114" t="str">
        <f t="shared" si="55"/>
        <v>INSERT INTO DETALLES_DOCUMENTO(NRO_DOCUMENTO,ID_TIPO,ID_PRODUCTO,CANTIDAD,PRECIO,VALOR_BRUTO,VALOR_NETO,VALOR_IVA) VALUES(57,2,293,1,10000,10000,8403,1597);</v>
      </c>
    </row>
    <row r="3529" spans="1:12">
      <c r="A3529" s="114">
        <v>2</v>
      </c>
      <c r="B3529" s="114">
        <v>57</v>
      </c>
      <c r="C3529" s="139" t="s">
        <v>2372</v>
      </c>
      <c r="D3529" s="114" t="s">
        <v>2090</v>
      </c>
      <c r="E3529" s="114">
        <v>22</v>
      </c>
      <c r="F3529" s="114">
        <v>368</v>
      </c>
      <c r="G3529" s="114">
        <v>3</v>
      </c>
      <c r="H3529" s="114">
        <v>9000</v>
      </c>
      <c r="I3529" s="114">
        <v>27000</v>
      </c>
      <c r="J3529" s="114">
        <v>22689</v>
      </c>
      <c r="K3529" s="114">
        <v>4311</v>
      </c>
      <c r="L3529" s="114" t="str">
        <f t="shared" si="55"/>
        <v>INSERT INTO DETALLES_DOCUMENTO(NRO_DOCUMENTO,ID_TIPO,ID_PRODUCTO,CANTIDAD,PRECIO,VALOR_BRUTO,VALOR_NETO,VALOR_IVA) VALUES(57,2,368,3,9000,27000,22689,4311);</v>
      </c>
    </row>
    <row r="3530" spans="1:12">
      <c r="A3530" s="114">
        <v>2</v>
      </c>
      <c r="B3530" s="114">
        <v>57</v>
      </c>
      <c r="C3530" s="139" t="s">
        <v>2372</v>
      </c>
      <c r="D3530" s="114" t="s">
        <v>2090</v>
      </c>
      <c r="E3530" s="114">
        <v>22</v>
      </c>
      <c r="F3530" s="114">
        <v>25</v>
      </c>
      <c r="G3530" s="114">
        <v>1</v>
      </c>
      <c r="H3530" s="114">
        <v>1800</v>
      </c>
      <c r="I3530" s="114">
        <v>1800</v>
      </c>
      <c r="J3530" s="114">
        <v>1513</v>
      </c>
      <c r="K3530" s="114">
        <v>287</v>
      </c>
      <c r="L3530" s="114" t="str">
        <f t="shared" si="55"/>
        <v>INSERT INTO DETALLES_DOCUMENTO(NRO_DOCUMENTO,ID_TIPO,ID_PRODUCTO,CANTIDAD,PRECIO,VALOR_BRUTO,VALOR_NETO,VALOR_IVA) VALUES(57,2,25,1,1800,1800,1513,287);</v>
      </c>
    </row>
    <row r="3531" spans="1:12">
      <c r="A3531" s="114">
        <v>2</v>
      </c>
      <c r="B3531" s="114">
        <v>57</v>
      </c>
      <c r="C3531" s="139" t="s">
        <v>2372</v>
      </c>
      <c r="D3531" s="114" t="s">
        <v>2090</v>
      </c>
      <c r="E3531" s="114">
        <v>22</v>
      </c>
      <c r="F3531" s="114">
        <v>67</v>
      </c>
      <c r="G3531" s="114">
        <v>1</v>
      </c>
      <c r="H3531" s="114">
        <v>650</v>
      </c>
      <c r="I3531" s="114">
        <v>650</v>
      </c>
      <c r="J3531" s="114">
        <v>546</v>
      </c>
      <c r="K3531" s="114">
        <v>104</v>
      </c>
      <c r="L3531" s="114" t="str">
        <f t="shared" si="55"/>
        <v>INSERT INTO DETALLES_DOCUMENTO(NRO_DOCUMENTO,ID_TIPO,ID_PRODUCTO,CANTIDAD,PRECIO,VALOR_BRUTO,VALOR_NETO,VALOR_IVA) VALUES(57,2,67,1,650,650,546,104);</v>
      </c>
    </row>
    <row r="3532" spans="1:12">
      <c r="A3532" s="114">
        <v>2</v>
      </c>
      <c r="B3532" s="114">
        <v>57</v>
      </c>
      <c r="C3532" s="139" t="s">
        <v>2372</v>
      </c>
      <c r="D3532" s="114" t="s">
        <v>2090</v>
      </c>
      <c r="E3532" s="114">
        <v>22</v>
      </c>
      <c r="F3532" s="114">
        <v>165</v>
      </c>
      <c r="G3532" s="114">
        <v>1</v>
      </c>
      <c r="H3532" s="114">
        <v>2000</v>
      </c>
      <c r="I3532" s="114">
        <v>2000</v>
      </c>
      <c r="J3532" s="114">
        <v>1681</v>
      </c>
      <c r="K3532" s="114">
        <v>319</v>
      </c>
      <c r="L3532" s="114" t="str">
        <f t="shared" si="55"/>
        <v>INSERT INTO DETALLES_DOCUMENTO(NRO_DOCUMENTO,ID_TIPO,ID_PRODUCTO,CANTIDAD,PRECIO,VALOR_BRUTO,VALOR_NETO,VALOR_IVA) VALUES(57,2,165,1,2000,2000,1681,319);</v>
      </c>
    </row>
    <row r="3533" spans="1:12">
      <c r="A3533" s="114">
        <v>2</v>
      </c>
      <c r="B3533" s="114">
        <v>57</v>
      </c>
      <c r="C3533" s="139" t="s">
        <v>2372</v>
      </c>
      <c r="D3533" s="114" t="s">
        <v>2090</v>
      </c>
      <c r="E3533" s="114">
        <v>22</v>
      </c>
      <c r="F3533" s="114">
        <v>274</v>
      </c>
      <c r="G3533" s="114">
        <v>1</v>
      </c>
      <c r="H3533" s="114">
        <v>7500</v>
      </c>
      <c r="I3533" s="114">
        <v>7500</v>
      </c>
      <c r="J3533" s="114">
        <v>6303</v>
      </c>
      <c r="K3533" s="114">
        <v>1197</v>
      </c>
      <c r="L3533" s="114" t="str">
        <f t="shared" si="55"/>
        <v>INSERT INTO DETALLES_DOCUMENTO(NRO_DOCUMENTO,ID_TIPO,ID_PRODUCTO,CANTIDAD,PRECIO,VALOR_BRUTO,VALOR_NETO,VALOR_IVA) VALUES(57,2,274,1,7500,7500,6303,1197);</v>
      </c>
    </row>
    <row r="3534" spans="1:12">
      <c r="A3534" s="114">
        <v>2</v>
      </c>
      <c r="B3534" s="114">
        <v>58</v>
      </c>
      <c r="C3534" s="139" t="s">
        <v>2372</v>
      </c>
      <c r="D3534" s="114" t="s">
        <v>2090</v>
      </c>
      <c r="E3534" s="114">
        <v>364</v>
      </c>
      <c r="F3534" s="114">
        <v>231</v>
      </c>
      <c r="G3534" s="114">
        <v>1</v>
      </c>
      <c r="H3534" s="114">
        <v>20900</v>
      </c>
      <c r="I3534" s="114">
        <v>20900</v>
      </c>
      <c r="J3534" s="114">
        <v>17563</v>
      </c>
      <c r="K3534" s="114">
        <v>3337</v>
      </c>
      <c r="L3534" s="114" t="str">
        <f t="shared" si="55"/>
        <v>INSERT INTO DETALLES_DOCUMENTO(NRO_DOCUMENTO,ID_TIPO,ID_PRODUCTO,CANTIDAD,PRECIO,VALOR_BRUTO,VALOR_NETO,VALOR_IVA) VALUES(58,2,231,1,20900,20900,17563,3337);</v>
      </c>
    </row>
    <row r="3535" spans="1:12">
      <c r="A3535" s="114">
        <v>2</v>
      </c>
      <c r="B3535" s="114">
        <v>58</v>
      </c>
      <c r="C3535" s="139" t="s">
        <v>2372</v>
      </c>
      <c r="D3535" s="114" t="s">
        <v>2090</v>
      </c>
      <c r="E3535" s="114">
        <v>364</v>
      </c>
      <c r="F3535" s="114">
        <v>371</v>
      </c>
      <c r="G3535" s="114">
        <v>3</v>
      </c>
      <c r="H3535" s="114">
        <v>28500</v>
      </c>
      <c r="I3535" s="114">
        <v>85500</v>
      </c>
      <c r="J3535" s="114">
        <v>71849</v>
      </c>
      <c r="K3535" s="114">
        <v>13651</v>
      </c>
      <c r="L3535" s="114" t="str">
        <f t="shared" si="55"/>
        <v>INSERT INTO DETALLES_DOCUMENTO(NRO_DOCUMENTO,ID_TIPO,ID_PRODUCTO,CANTIDAD,PRECIO,VALOR_BRUTO,VALOR_NETO,VALOR_IVA) VALUES(58,2,371,3,28500,85500,71849,13651);</v>
      </c>
    </row>
    <row r="3536" spans="1:12">
      <c r="A3536" s="114">
        <v>2</v>
      </c>
      <c r="B3536" s="114">
        <v>59</v>
      </c>
      <c r="C3536" s="139" t="s">
        <v>2373</v>
      </c>
      <c r="D3536" s="114" t="s">
        <v>2090</v>
      </c>
      <c r="E3536" s="114">
        <v>180</v>
      </c>
      <c r="F3536" s="114">
        <v>387</v>
      </c>
      <c r="G3536" s="114">
        <v>2</v>
      </c>
      <c r="H3536" s="114">
        <v>3000</v>
      </c>
      <c r="I3536" s="114">
        <v>6000</v>
      </c>
      <c r="J3536" s="114">
        <v>5042</v>
      </c>
      <c r="K3536" s="114">
        <v>958</v>
      </c>
      <c r="L3536" s="114" t="str">
        <f t="shared" si="55"/>
        <v>INSERT INTO DETALLES_DOCUMENTO(NRO_DOCUMENTO,ID_TIPO,ID_PRODUCTO,CANTIDAD,PRECIO,VALOR_BRUTO,VALOR_NETO,VALOR_IVA) VALUES(59,2,387,2,3000,6000,5042,958);</v>
      </c>
    </row>
    <row r="3537" spans="1:12">
      <c r="A3537" s="114">
        <v>2</v>
      </c>
      <c r="B3537" s="114">
        <v>59</v>
      </c>
      <c r="C3537" s="139" t="s">
        <v>2373</v>
      </c>
      <c r="D3537" s="114" t="s">
        <v>2090</v>
      </c>
      <c r="E3537" s="114">
        <v>180</v>
      </c>
      <c r="F3537" s="114">
        <v>249</v>
      </c>
      <c r="G3537" s="114">
        <v>2</v>
      </c>
      <c r="H3537" s="114">
        <v>8000</v>
      </c>
      <c r="I3537" s="114">
        <v>16000</v>
      </c>
      <c r="J3537" s="114">
        <v>13445</v>
      </c>
      <c r="K3537" s="114">
        <v>2555</v>
      </c>
      <c r="L3537" s="114" t="str">
        <f t="shared" si="55"/>
        <v>INSERT INTO DETALLES_DOCUMENTO(NRO_DOCUMENTO,ID_TIPO,ID_PRODUCTO,CANTIDAD,PRECIO,VALOR_BRUTO,VALOR_NETO,VALOR_IVA) VALUES(59,2,249,2,8000,16000,13445,2555);</v>
      </c>
    </row>
    <row r="3538" spans="1:12">
      <c r="A3538" s="114">
        <v>2</v>
      </c>
      <c r="B3538" s="114">
        <v>60</v>
      </c>
      <c r="C3538" s="139" t="s">
        <v>2374</v>
      </c>
      <c r="D3538" s="114" t="s">
        <v>2090</v>
      </c>
      <c r="E3538" s="114">
        <v>327</v>
      </c>
      <c r="F3538" s="114">
        <v>143</v>
      </c>
      <c r="G3538" s="114">
        <v>1</v>
      </c>
      <c r="H3538" s="114">
        <v>8000</v>
      </c>
      <c r="I3538" s="114">
        <v>8000</v>
      </c>
      <c r="J3538" s="114">
        <v>6723</v>
      </c>
      <c r="K3538" s="114">
        <v>1277</v>
      </c>
      <c r="L3538" s="114" t="str">
        <f t="shared" si="55"/>
        <v>INSERT INTO DETALLES_DOCUMENTO(NRO_DOCUMENTO,ID_TIPO,ID_PRODUCTO,CANTIDAD,PRECIO,VALOR_BRUTO,VALOR_NETO,VALOR_IVA) VALUES(60,2,143,1,8000,8000,6723,1277);</v>
      </c>
    </row>
    <row r="3539" spans="1:12">
      <c r="A3539" s="114">
        <v>2</v>
      </c>
      <c r="B3539" s="114">
        <v>60</v>
      </c>
      <c r="C3539" s="139" t="s">
        <v>2374</v>
      </c>
      <c r="D3539" s="114" t="s">
        <v>2090</v>
      </c>
      <c r="E3539" s="114">
        <v>327</v>
      </c>
      <c r="F3539" s="114">
        <v>261</v>
      </c>
      <c r="G3539" s="114">
        <v>1</v>
      </c>
      <c r="H3539" s="114">
        <v>7000</v>
      </c>
      <c r="I3539" s="114">
        <v>7000</v>
      </c>
      <c r="J3539" s="114">
        <v>5882</v>
      </c>
      <c r="K3539" s="114">
        <v>1118</v>
      </c>
      <c r="L3539" s="114" t="str">
        <f t="shared" si="55"/>
        <v>INSERT INTO DETALLES_DOCUMENTO(NRO_DOCUMENTO,ID_TIPO,ID_PRODUCTO,CANTIDAD,PRECIO,VALOR_BRUTO,VALOR_NETO,VALOR_IVA) VALUES(60,2,261,1,7000,7000,5882,1118);</v>
      </c>
    </row>
    <row r="3540" spans="1:12">
      <c r="A3540" s="114">
        <v>2</v>
      </c>
      <c r="B3540" s="114">
        <v>60</v>
      </c>
      <c r="C3540" s="139" t="s">
        <v>2374</v>
      </c>
      <c r="D3540" s="114" t="s">
        <v>2090</v>
      </c>
      <c r="E3540" s="114">
        <v>327</v>
      </c>
      <c r="F3540" s="114">
        <v>256</v>
      </c>
      <c r="G3540" s="114">
        <v>1</v>
      </c>
      <c r="H3540" s="114">
        <v>3000</v>
      </c>
      <c r="I3540" s="114">
        <v>3000</v>
      </c>
      <c r="J3540" s="114">
        <v>2521</v>
      </c>
      <c r="K3540" s="114">
        <v>479</v>
      </c>
      <c r="L3540" s="114" t="str">
        <f t="shared" si="55"/>
        <v>INSERT INTO DETALLES_DOCUMENTO(NRO_DOCUMENTO,ID_TIPO,ID_PRODUCTO,CANTIDAD,PRECIO,VALOR_BRUTO,VALOR_NETO,VALOR_IVA) VALUES(60,2,256,1,3000,3000,2521,479);</v>
      </c>
    </row>
    <row r="3541" spans="1:12">
      <c r="A3541" s="114">
        <v>2</v>
      </c>
      <c r="B3541" s="114">
        <v>60</v>
      </c>
      <c r="C3541" s="139" t="s">
        <v>2374</v>
      </c>
      <c r="D3541" s="114" t="s">
        <v>2090</v>
      </c>
      <c r="E3541" s="114">
        <v>327</v>
      </c>
      <c r="F3541" s="114">
        <v>245</v>
      </c>
      <c r="G3541" s="114">
        <v>1</v>
      </c>
      <c r="H3541" s="114">
        <v>1800</v>
      </c>
      <c r="I3541" s="114">
        <v>1800</v>
      </c>
      <c r="J3541" s="114">
        <v>1513</v>
      </c>
      <c r="K3541" s="114">
        <v>287</v>
      </c>
      <c r="L3541" s="114" t="str">
        <f t="shared" si="55"/>
        <v>INSERT INTO DETALLES_DOCUMENTO(NRO_DOCUMENTO,ID_TIPO,ID_PRODUCTO,CANTIDAD,PRECIO,VALOR_BRUTO,VALOR_NETO,VALOR_IVA) VALUES(60,2,245,1,1800,1800,1513,287);</v>
      </c>
    </row>
    <row r="3542" spans="1:12">
      <c r="A3542" s="114">
        <v>2</v>
      </c>
      <c r="B3542" s="114">
        <v>60</v>
      </c>
      <c r="C3542" s="139" t="s">
        <v>2374</v>
      </c>
      <c r="D3542" s="114" t="s">
        <v>2090</v>
      </c>
      <c r="E3542" s="114">
        <v>327</v>
      </c>
      <c r="F3542" s="114">
        <v>98</v>
      </c>
      <c r="G3542" s="114">
        <v>1</v>
      </c>
      <c r="H3542" s="114">
        <v>3500</v>
      </c>
      <c r="I3542" s="114">
        <v>3500</v>
      </c>
      <c r="J3542" s="114">
        <v>2941</v>
      </c>
      <c r="K3542" s="114">
        <v>559</v>
      </c>
      <c r="L3542" s="114" t="str">
        <f t="shared" si="55"/>
        <v>INSERT INTO DETALLES_DOCUMENTO(NRO_DOCUMENTO,ID_TIPO,ID_PRODUCTO,CANTIDAD,PRECIO,VALOR_BRUTO,VALOR_NETO,VALOR_IVA) VALUES(60,2,98,1,3500,3500,2941,559);</v>
      </c>
    </row>
    <row r="3543" spans="1:12">
      <c r="A3543" s="114">
        <v>2</v>
      </c>
      <c r="B3543" s="114">
        <v>60</v>
      </c>
      <c r="C3543" s="139" t="s">
        <v>2374</v>
      </c>
      <c r="D3543" s="114" t="s">
        <v>2090</v>
      </c>
      <c r="E3543" s="114">
        <v>327</v>
      </c>
      <c r="F3543" s="114">
        <v>57</v>
      </c>
      <c r="G3543" s="114">
        <v>1</v>
      </c>
      <c r="H3543" s="114">
        <v>4000</v>
      </c>
      <c r="I3543" s="114">
        <v>4000</v>
      </c>
      <c r="J3543" s="114">
        <v>3361</v>
      </c>
      <c r="K3543" s="114">
        <v>639</v>
      </c>
      <c r="L3543" s="114" t="str">
        <f t="shared" si="55"/>
        <v>INSERT INTO DETALLES_DOCUMENTO(NRO_DOCUMENTO,ID_TIPO,ID_PRODUCTO,CANTIDAD,PRECIO,VALOR_BRUTO,VALOR_NETO,VALOR_IVA) VALUES(60,2,57,1,4000,4000,3361,639);</v>
      </c>
    </row>
    <row r="3544" spans="1:12">
      <c r="A3544" s="114">
        <v>2</v>
      </c>
      <c r="B3544" s="114">
        <v>60</v>
      </c>
      <c r="C3544" s="139" t="s">
        <v>2374</v>
      </c>
      <c r="D3544" s="114" t="s">
        <v>2090</v>
      </c>
      <c r="E3544" s="114">
        <v>327</v>
      </c>
      <c r="F3544" s="114">
        <v>118</v>
      </c>
      <c r="G3544" s="114">
        <v>1</v>
      </c>
      <c r="H3544" s="114">
        <v>3500</v>
      </c>
      <c r="I3544" s="114">
        <v>3500</v>
      </c>
      <c r="J3544" s="114">
        <v>2941</v>
      </c>
      <c r="K3544" s="114">
        <v>559</v>
      </c>
      <c r="L3544" s="114" t="str">
        <f t="shared" si="55"/>
        <v>INSERT INTO DETALLES_DOCUMENTO(NRO_DOCUMENTO,ID_TIPO,ID_PRODUCTO,CANTIDAD,PRECIO,VALOR_BRUTO,VALOR_NETO,VALOR_IVA) VALUES(60,2,118,1,3500,3500,2941,559);</v>
      </c>
    </row>
    <row r="3545" spans="1:12">
      <c r="A3545" s="114">
        <v>2</v>
      </c>
      <c r="B3545" s="114">
        <v>60</v>
      </c>
      <c r="C3545" s="139" t="s">
        <v>2374</v>
      </c>
      <c r="D3545" s="114" t="s">
        <v>2090</v>
      </c>
      <c r="E3545" s="114">
        <v>327</v>
      </c>
      <c r="F3545" s="114">
        <v>231</v>
      </c>
      <c r="G3545" s="114">
        <v>1</v>
      </c>
      <c r="H3545" s="114">
        <v>20900</v>
      </c>
      <c r="I3545" s="114">
        <v>20900</v>
      </c>
      <c r="J3545" s="114">
        <v>17563</v>
      </c>
      <c r="K3545" s="114">
        <v>3337</v>
      </c>
      <c r="L3545" s="114" t="str">
        <f t="shared" si="55"/>
        <v>INSERT INTO DETALLES_DOCUMENTO(NRO_DOCUMENTO,ID_TIPO,ID_PRODUCTO,CANTIDAD,PRECIO,VALOR_BRUTO,VALOR_NETO,VALOR_IVA) VALUES(60,2,231,1,20900,20900,17563,3337);</v>
      </c>
    </row>
    <row r="3546" spans="1:12">
      <c r="A3546" s="114">
        <v>2</v>
      </c>
      <c r="B3546" s="114">
        <v>61</v>
      </c>
      <c r="C3546" s="139" t="s">
        <v>2375</v>
      </c>
      <c r="D3546" s="114" t="s">
        <v>2090</v>
      </c>
      <c r="E3546" s="114">
        <v>203</v>
      </c>
      <c r="F3546" s="114">
        <v>67</v>
      </c>
      <c r="G3546" s="114">
        <v>1</v>
      </c>
      <c r="H3546" s="114">
        <v>650</v>
      </c>
      <c r="I3546" s="114">
        <v>650</v>
      </c>
      <c r="J3546" s="114">
        <v>546</v>
      </c>
      <c r="K3546" s="114">
        <v>104</v>
      </c>
      <c r="L3546" s="114" t="str">
        <f t="shared" si="55"/>
        <v>INSERT INTO DETALLES_DOCUMENTO(NRO_DOCUMENTO,ID_TIPO,ID_PRODUCTO,CANTIDAD,PRECIO,VALOR_BRUTO,VALOR_NETO,VALOR_IVA) VALUES(61,2,67,1,650,650,546,104);</v>
      </c>
    </row>
    <row r="3547" spans="1:12">
      <c r="A3547" s="114">
        <v>2</v>
      </c>
      <c r="B3547" s="114">
        <v>62</v>
      </c>
      <c r="C3547" s="139" t="s">
        <v>2377</v>
      </c>
      <c r="D3547" s="114" t="s">
        <v>2090</v>
      </c>
      <c r="E3547" s="114">
        <v>20</v>
      </c>
      <c r="F3547" s="114">
        <v>289</v>
      </c>
      <c r="G3547" s="114">
        <v>1</v>
      </c>
      <c r="H3547" s="114">
        <v>19500</v>
      </c>
      <c r="I3547" s="114">
        <v>19500</v>
      </c>
      <c r="J3547" s="114">
        <v>16387</v>
      </c>
      <c r="K3547" s="114">
        <v>3113</v>
      </c>
      <c r="L3547" s="114" t="str">
        <f t="shared" si="55"/>
        <v>INSERT INTO DETALLES_DOCUMENTO(NRO_DOCUMENTO,ID_TIPO,ID_PRODUCTO,CANTIDAD,PRECIO,VALOR_BRUTO,VALOR_NETO,VALOR_IVA) VALUES(62,2,289,1,19500,19500,16387,3113);</v>
      </c>
    </row>
    <row r="3548" spans="1:12">
      <c r="A3548" s="114">
        <v>2</v>
      </c>
      <c r="B3548" s="114">
        <v>63</v>
      </c>
      <c r="C3548" s="139" t="s">
        <v>2378</v>
      </c>
      <c r="D3548" s="114" t="s">
        <v>2090</v>
      </c>
      <c r="E3548" s="114">
        <v>180</v>
      </c>
      <c r="F3548" s="114">
        <v>123</v>
      </c>
      <c r="G3548" s="114">
        <v>1</v>
      </c>
      <c r="H3548" s="114">
        <v>24000</v>
      </c>
      <c r="I3548" s="114">
        <v>24000</v>
      </c>
      <c r="J3548" s="114">
        <v>20168</v>
      </c>
      <c r="K3548" s="114">
        <v>3832</v>
      </c>
      <c r="L3548" s="114" t="str">
        <f t="shared" si="55"/>
        <v>INSERT INTO DETALLES_DOCUMENTO(NRO_DOCUMENTO,ID_TIPO,ID_PRODUCTO,CANTIDAD,PRECIO,VALOR_BRUTO,VALOR_NETO,VALOR_IVA) VALUES(63,2,123,1,24000,24000,20168,3832);</v>
      </c>
    </row>
    <row r="3549" spans="1:12">
      <c r="A3549" s="114">
        <v>2</v>
      </c>
      <c r="B3549" s="114">
        <v>64</v>
      </c>
      <c r="C3549" s="139" t="s">
        <v>2379</v>
      </c>
      <c r="D3549" s="114" t="s">
        <v>2090</v>
      </c>
      <c r="E3549" s="114">
        <v>413</v>
      </c>
      <c r="F3549" s="114">
        <v>123</v>
      </c>
      <c r="G3549" s="114">
        <v>2</v>
      </c>
      <c r="H3549" s="114">
        <v>48000</v>
      </c>
      <c r="I3549" s="114">
        <v>96000</v>
      </c>
      <c r="J3549" s="114">
        <v>80672</v>
      </c>
      <c r="K3549" s="114">
        <v>15328</v>
      </c>
      <c r="L3549" s="114" t="str">
        <f t="shared" si="55"/>
        <v>INSERT INTO DETALLES_DOCUMENTO(NRO_DOCUMENTO,ID_TIPO,ID_PRODUCTO,CANTIDAD,PRECIO,VALOR_BRUTO,VALOR_NETO,VALOR_IVA) VALUES(64,2,123,2,48000,96000,80672,15328);</v>
      </c>
    </row>
    <row r="3550" spans="1:12">
      <c r="A3550" s="114">
        <v>2</v>
      </c>
      <c r="B3550" s="114">
        <v>64</v>
      </c>
      <c r="C3550" s="139" t="s">
        <v>2379</v>
      </c>
      <c r="D3550" s="114" t="s">
        <v>2090</v>
      </c>
      <c r="E3550" s="114">
        <v>413</v>
      </c>
      <c r="F3550" s="114">
        <v>49</v>
      </c>
      <c r="G3550" s="114">
        <v>2</v>
      </c>
      <c r="H3550" s="114">
        <v>8400</v>
      </c>
      <c r="I3550" s="114">
        <v>16800</v>
      </c>
      <c r="J3550" s="114">
        <v>14118</v>
      </c>
      <c r="K3550" s="114">
        <v>2682</v>
      </c>
      <c r="L3550" s="114" t="str">
        <f t="shared" si="55"/>
        <v>INSERT INTO DETALLES_DOCUMENTO(NRO_DOCUMENTO,ID_TIPO,ID_PRODUCTO,CANTIDAD,PRECIO,VALOR_BRUTO,VALOR_NETO,VALOR_IVA) VALUES(64,2,49,2,8400,16800,14118,2682);</v>
      </c>
    </row>
    <row r="3551" spans="1:12">
      <c r="A3551" s="114">
        <v>2</v>
      </c>
      <c r="B3551" s="114">
        <v>64</v>
      </c>
      <c r="C3551" s="139" t="s">
        <v>2379</v>
      </c>
      <c r="D3551" s="114" t="s">
        <v>2090</v>
      </c>
      <c r="E3551" s="114">
        <v>413</v>
      </c>
      <c r="F3551" s="114">
        <v>112</v>
      </c>
      <c r="G3551" s="114">
        <v>1</v>
      </c>
      <c r="H3551" s="114">
        <v>-1000</v>
      </c>
      <c r="I3551" s="114">
        <v>-1000</v>
      </c>
      <c r="J3551" s="114">
        <v>-840</v>
      </c>
      <c r="K3551" s="114">
        <v>-160</v>
      </c>
      <c r="L3551" s="114" t="str">
        <f t="shared" si="55"/>
        <v>INSERT INTO DETALLES_DOCUMENTO(NRO_DOCUMENTO,ID_TIPO,ID_PRODUCTO,CANTIDAD,PRECIO,VALOR_BRUTO,VALOR_NETO,VALOR_IVA) VALUES(64,2,112,1,-1000,-1000,-840,-160);</v>
      </c>
    </row>
    <row r="3552" spans="1:12">
      <c r="A3552" s="114">
        <v>2</v>
      </c>
      <c r="B3552" s="114">
        <v>65</v>
      </c>
      <c r="C3552" s="139" t="s">
        <v>2386</v>
      </c>
      <c r="D3552" s="114" t="s">
        <v>2090</v>
      </c>
      <c r="E3552" s="114">
        <v>185</v>
      </c>
      <c r="F3552" s="114">
        <v>229</v>
      </c>
      <c r="G3552" s="114">
        <v>1</v>
      </c>
      <c r="H3552" s="114">
        <v>18500</v>
      </c>
      <c r="I3552" s="114">
        <v>18500</v>
      </c>
      <c r="J3552" s="114">
        <v>15546</v>
      </c>
      <c r="K3552" s="114">
        <v>2954</v>
      </c>
      <c r="L3552" s="114" t="str">
        <f t="shared" si="55"/>
        <v>INSERT INTO DETALLES_DOCUMENTO(NRO_DOCUMENTO,ID_TIPO,ID_PRODUCTO,CANTIDAD,PRECIO,VALOR_BRUTO,VALOR_NETO,VALOR_IVA) VALUES(65,2,229,1,18500,18500,15546,2954);</v>
      </c>
    </row>
    <row r="3553" spans="1:12">
      <c r="A3553" s="114">
        <v>2</v>
      </c>
      <c r="B3553" s="114">
        <v>65</v>
      </c>
      <c r="C3553" s="139" t="s">
        <v>2386</v>
      </c>
      <c r="D3553" s="114" t="s">
        <v>2090</v>
      </c>
      <c r="E3553" s="114">
        <v>185</v>
      </c>
      <c r="F3553" s="114">
        <v>155</v>
      </c>
      <c r="G3553" s="114">
        <v>1</v>
      </c>
      <c r="H3553" s="114">
        <v>1650</v>
      </c>
      <c r="I3553" s="114">
        <v>1650</v>
      </c>
      <c r="J3553" s="114">
        <v>1387</v>
      </c>
      <c r="K3553" s="114">
        <v>263</v>
      </c>
      <c r="L3553" s="114" t="str">
        <f t="shared" si="55"/>
        <v>INSERT INTO DETALLES_DOCUMENTO(NRO_DOCUMENTO,ID_TIPO,ID_PRODUCTO,CANTIDAD,PRECIO,VALOR_BRUTO,VALOR_NETO,VALOR_IVA) VALUES(65,2,155,1,1650,1650,1387,263);</v>
      </c>
    </row>
    <row r="3554" spans="1:12">
      <c r="A3554" s="114">
        <v>2</v>
      </c>
      <c r="B3554" s="114">
        <v>65</v>
      </c>
      <c r="C3554" s="139" t="s">
        <v>2386</v>
      </c>
      <c r="D3554" s="114" t="s">
        <v>2090</v>
      </c>
      <c r="E3554" s="114">
        <v>185</v>
      </c>
      <c r="F3554" s="114">
        <v>251</v>
      </c>
      <c r="G3554" s="114">
        <v>1</v>
      </c>
      <c r="H3554" s="114">
        <v>7000</v>
      </c>
      <c r="I3554" s="114">
        <v>7000</v>
      </c>
      <c r="J3554" s="114">
        <v>5882</v>
      </c>
      <c r="K3554" s="114">
        <v>1118</v>
      </c>
      <c r="L3554" s="114" t="str">
        <f t="shared" si="55"/>
        <v>INSERT INTO DETALLES_DOCUMENTO(NRO_DOCUMENTO,ID_TIPO,ID_PRODUCTO,CANTIDAD,PRECIO,VALOR_BRUTO,VALOR_NETO,VALOR_IVA) VALUES(65,2,251,1,7000,7000,5882,1118);</v>
      </c>
    </row>
    <row r="3555" spans="1:12">
      <c r="A3555" s="114">
        <v>2</v>
      </c>
      <c r="B3555" s="114">
        <v>65</v>
      </c>
      <c r="C3555" s="139" t="s">
        <v>2386</v>
      </c>
      <c r="D3555" s="114" t="s">
        <v>2090</v>
      </c>
      <c r="E3555" s="114">
        <v>185</v>
      </c>
      <c r="F3555" s="114">
        <v>276</v>
      </c>
      <c r="G3555" s="114">
        <v>4</v>
      </c>
      <c r="H3555" s="114">
        <v>32000</v>
      </c>
      <c r="I3555" s="114">
        <v>128000</v>
      </c>
      <c r="J3555" s="114">
        <v>107563</v>
      </c>
      <c r="K3555" s="114">
        <v>20437</v>
      </c>
      <c r="L3555" s="114" t="str">
        <f t="shared" si="55"/>
        <v>INSERT INTO DETALLES_DOCUMENTO(NRO_DOCUMENTO,ID_TIPO,ID_PRODUCTO,CANTIDAD,PRECIO,VALOR_BRUTO,VALOR_NETO,VALOR_IVA) VALUES(65,2,276,4,32000,128000,107563,20437);</v>
      </c>
    </row>
    <row r="3556" spans="1:12">
      <c r="A3556" s="114">
        <v>2</v>
      </c>
      <c r="B3556" s="114">
        <v>65</v>
      </c>
      <c r="C3556" s="139" t="s">
        <v>2386</v>
      </c>
      <c r="D3556" s="114" t="s">
        <v>2090</v>
      </c>
      <c r="E3556" s="114">
        <v>185</v>
      </c>
      <c r="F3556" s="114">
        <v>31</v>
      </c>
      <c r="G3556" s="114">
        <v>2</v>
      </c>
      <c r="H3556" s="114">
        <v>6800</v>
      </c>
      <c r="I3556" s="114">
        <v>13600</v>
      </c>
      <c r="J3556" s="114">
        <v>11429</v>
      </c>
      <c r="K3556" s="114">
        <v>2171</v>
      </c>
      <c r="L3556" s="114" t="str">
        <f t="shared" si="55"/>
        <v>INSERT INTO DETALLES_DOCUMENTO(NRO_DOCUMENTO,ID_TIPO,ID_PRODUCTO,CANTIDAD,PRECIO,VALOR_BRUTO,VALOR_NETO,VALOR_IVA) VALUES(65,2,31,2,6800,13600,11429,2171);</v>
      </c>
    </row>
    <row r="3557" spans="1:12">
      <c r="A3557" s="114">
        <v>2</v>
      </c>
      <c r="B3557" s="114">
        <v>65</v>
      </c>
      <c r="C3557" s="139" t="s">
        <v>2386</v>
      </c>
      <c r="D3557" s="114" t="s">
        <v>2090</v>
      </c>
      <c r="E3557" s="114">
        <v>185</v>
      </c>
      <c r="F3557" s="114">
        <v>231</v>
      </c>
      <c r="G3557" s="114">
        <v>1</v>
      </c>
      <c r="H3557" s="114">
        <v>20900</v>
      </c>
      <c r="I3557" s="114">
        <v>20900</v>
      </c>
      <c r="J3557" s="114">
        <v>17563</v>
      </c>
      <c r="K3557" s="114">
        <v>3337</v>
      </c>
      <c r="L3557" s="114" t="str">
        <f t="shared" si="55"/>
        <v>INSERT INTO DETALLES_DOCUMENTO(NRO_DOCUMENTO,ID_TIPO,ID_PRODUCTO,CANTIDAD,PRECIO,VALOR_BRUTO,VALOR_NETO,VALOR_IVA) VALUES(65,2,231,1,20900,20900,17563,3337);</v>
      </c>
    </row>
    <row r="3558" spans="1:12">
      <c r="A3558" s="114">
        <v>2</v>
      </c>
      <c r="B3558" s="114">
        <v>65</v>
      </c>
      <c r="C3558" s="139" t="s">
        <v>2386</v>
      </c>
      <c r="D3558" s="114" t="s">
        <v>2090</v>
      </c>
      <c r="E3558" s="114">
        <v>185</v>
      </c>
      <c r="F3558" s="114">
        <v>125</v>
      </c>
      <c r="G3558" s="114">
        <v>1</v>
      </c>
      <c r="H3558" s="114">
        <v>1700</v>
      </c>
      <c r="I3558" s="114">
        <v>1700</v>
      </c>
      <c r="J3558" s="114">
        <v>1429</v>
      </c>
      <c r="K3558" s="114">
        <v>271</v>
      </c>
      <c r="L3558" s="114" t="str">
        <f t="shared" si="55"/>
        <v>INSERT INTO DETALLES_DOCUMENTO(NRO_DOCUMENTO,ID_TIPO,ID_PRODUCTO,CANTIDAD,PRECIO,VALOR_BRUTO,VALOR_NETO,VALOR_IVA) VALUES(65,2,125,1,1700,1700,1429,271);</v>
      </c>
    </row>
    <row r="3559" spans="1:12">
      <c r="A3559" s="114">
        <v>2</v>
      </c>
      <c r="B3559" s="114">
        <v>65</v>
      </c>
      <c r="C3559" s="139" t="s">
        <v>2386</v>
      </c>
      <c r="D3559" s="114" t="s">
        <v>2090</v>
      </c>
      <c r="E3559" s="114">
        <v>185</v>
      </c>
      <c r="F3559" s="114">
        <v>290</v>
      </c>
      <c r="G3559" s="114">
        <v>1</v>
      </c>
      <c r="H3559" s="114">
        <v>1200</v>
      </c>
      <c r="I3559" s="114">
        <v>1200</v>
      </c>
      <c r="J3559" s="114">
        <v>1008</v>
      </c>
      <c r="K3559" s="114">
        <v>192</v>
      </c>
      <c r="L3559" s="114" t="str">
        <f t="shared" si="55"/>
        <v>INSERT INTO DETALLES_DOCUMENTO(NRO_DOCUMENTO,ID_TIPO,ID_PRODUCTO,CANTIDAD,PRECIO,VALOR_BRUTO,VALOR_NETO,VALOR_IVA) VALUES(65,2,290,1,1200,1200,1008,192);</v>
      </c>
    </row>
    <row r="3560" spans="1:12">
      <c r="A3560" s="114">
        <v>2</v>
      </c>
      <c r="B3560" s="114">
        <v>65</v>
      </c>
      <c r="C3560" s="139" t="s">
        <v>2386</v>
      </c>
      <c r="D3560" s="114" t="s">
        <v>2090</v>
      </c>
      <c r="E3560" s="114">
        <v>185</v>
      </c>
      <c r="F3560" s="114">
        <v>283</v>
      </c>
      <c r="G3560" s="114">
        <v>1</v>
      </c>
      <c r="H3560" s="114">
        <v>7600</v>
      </c>
      <c r="I3560" s="114">
        <v>7600</v>
      </c>
      <c r="J3560" s="114">
        <v>6387</v>
      </c>
      <c r="K3560" s="114">
        <v>1213</v>
      </c>
      <c r="L3560" s="114" t="str">
        <f t="shared" si="55"/>
        <v>INSERT INTO DETALLES_DOCUMENTO(NRO_DOCUMENTO,ID_TIPO,ID_PRODUCTO,CANTIDAD,PRECIO,VALOR_BRUTO,VALOR_NETO,VALOR_IVA) VALUES(65,2,283,1,7600,7600,6387,1213);</v>
      </c>
    </row>
    <row r="3561" spans="1:12">
      <c r="A3561" s="114">
        <v>2</v>
      </c>
      <c r="B3561" s="114">
        <v>66</v>
      </c>
      <c r="C3561" s="139" t="s">
        <v>2390</v>
      </c>
      <c r="D3561" s="114" t="s">
        <v>2090</v>
      </c>
      <c r="E3561" s="114">
        <v>203</v>
      </c>
      <c r="F3561" s="114">
        <v>53</v>
      </c>
      <c r="G3561" s="114">
        <v>2</v>
      </c>
      <c r="H3561" s="114">
        <v>8400</v>
      </c>
      <c r="I3561" s="114">
        <v>16800</v>
      </c>
      <c r="J3561" s="114">
        <v>14118</v>
      </c>
      <c r="K3561" s="114">
        <v>2682</v>
      </c>
      <c r="L3561" s="114" t="str">
        <f t="shared" si="55"/>
        <v>INSERT INTO DETALLES_DOCUMENTO(NRO_DOCUMENTO,ID_TIPO,ID_PRODUCTO,CANTIDAD,PRECIO,VALOR_BRUTO,VALOR_NETO,VALOR_IVA) VALUES(66,2,53,2,8400,16800,14118,2682);</v>
      </c>
    </row>
    <row r="3562" spans="1:12">
      <c r="A3562" s="114">
        <v>2</v>
      </c>
      <c r="B3562" s="114">
        <v>66</v>
      </c>
      <c r="C3562" s="139" t="s">
        <v>2390</v>
      </c>
      <c r="D3562" s="114" t="s">
        <v>2090</v>
      </c>
      <c r="E3562" s="114">
        <v>203</v>
      </c>
      <c r="F3562" s="114">
        <v>359</v>
      </c>
      <c r="G3562" s="114">
        <v>2</v>
      </c>
      <c r="H3562" s="114">
        <v>5400</v>
      </c>
      <c r="I3562" s="114">
        <v>10800</v>
      </c>
      <c r="J3562" s="114">
        <v>9076</v>
      </c>
      <c r="K3562" s="114">
        <v>1724</v>
      </c>
      <c r="L3562" s="114" t="str">
        <f t="shared" si="55"/>
        <v>INSERT INTO DETALLES_DOCUMENTO(NRO_DOCUMENTO,ID_TIPO,ID_PRODUCTO,CANTIDAD,PRECIO,VALOR_BRUTO,VALOR_NETO,VALOR_IVA) VALUES(66,2,359,2,5400,10800,9076,1724);</v>
      </c>
    </row>
    <row r="3563" spans="1:12">
      <c r="A3563" s="114">
        <v>2</v>
      </c>
      <c r="B3563" s="114">
        <v>66</v>
      </c>
      <c r="C3563" s="139" t="s">
        <v>2390</v>
      </c>
      <c r="D3563" s="114" t="s">
        <v>2090</v>
      </c>
      <c r="E3563" s="114">
        <v>203</v>
      </c>
      <c r="F3563" s="114">
        <v>226</v>
      </c>
      <c r="G3563" s="114">
        <v>1</v>
      </c>
      <c r="H3563" s="114">
        <v>22500</v>
      </c>
      <c r="I3563" s="114">
        <v>22500</v>
      </c>
      <c r="J3563" s="114">
        <v>18908</v>
      </c>
      <c r="K3563" s="114">
        <v>3592</v>
      </c>
      <c r="L3563" s="114" t="str">
        <f t="shared" si="55"/>
        <v>INSERT INTO DETALLES_DOCUMENTO(NRO_DOCUMENTO,ID_TIPO,ID_PRODUCTO,CANTIDAD,PRECIO,VALOR_BRUTO,VALOR_NETO,VALOR_IVA) VALUES(66,2,226,1,22500,22500,18908,3592);</v>
      </c>
    </row>
    <row r="3564" spans="1:12">
      <c r="A3564" s="114">
        <v>2</v>
      </c>
      <c r="B3564" s="114">
        <v>66</v>
      </c>
      <c r="C3564" s="139" t="s">
        <v>2390</v>
      </c>
      <c r="D3564" s="114" t="s">
        <v>2090</v>
      </c>
      <c r="E3564" s="114">
        <v>203</v>
      </c>
      <c r="F3564" s="114">
        <v>231</v>
      </c>
      <c r="G3564" s="114">
        <v>1</v>
      </c>
      <c r="H3564" s="114">
        <v>20900</v>
      </c>
      <c r="I3564" s="114">
        <v>20900</v>
      </c>
      <c r="J3564" s="114">
        <v>17563</v>
      </c>
      <c r="K3564" s="114">
        <v>3337</v>
      </c>
      <c r="L3564" s="114" t="str">
        <f t="shared" si="55"/>
        <v>INSERT INTO DETALLES_DOCUMENTO(NRO_DOCUMENTO,ID_TIPO,ID_PRODUCTO,CANTIDAD,PRECIO,VALOR_BRUTO,VALOR_NETO,VALOR_IVA) VALUES(66,2,231,1,20900,20900,17563,3337);</v>
      </c>
    </row>
    <row r="3565" spans="1:12">
      <c r="A3565" s="114">
        <v>2</v>
      </c>
      <c r="B3565" s="114">
        <v>66</v>
      </c>
      <c r="C3565" s="139" t="s">
        <v>2390</v>
      </c>
      <c r="D3565" s="114" t="s">
        <v>2090</v>
      </c>
      <c r="E3565" s="114">
        <v>203</v>
      </c>
      <c r="F3565" s="114">
        <v>118</v>
      </c>
      <c r="G3565" s="114">
        <v>1</v>
      </c>
      <c r="H3565" s="114">
        <v>3500</v>
      </c>
      <c r="I3565" s="114">
        <v>3500</v>
      </c>
      <c r="J3565" s="114">
        <v>2941</v>
      </c>
      <c r="K3565" s="114">
        <v>559</v>
      </c>
      <c r="L3565" s="114" t="str">
        <f t="shared" si="55"/>
        <v>INSERT INTO DETALLES_DOCUMENTO(NRO_DOCUMENTO,ID_TIPO,ID_PRODUCTO,CANTIDAD,PRECIO,VALOR_BRUTO,VALOR_NETO,VALOR_IVA) VALUES(66,2,118,1,3500,3500,2941,559);</v>
      </c>
    </row>
    <row r="3566" spans="1:12">
      <c r="A3566" s="114">
        <v>2</v>
      </c>
      <c r="B3566" s="114">
        <v>66</v>
      </c>
      <c r="C3566" s="139" t="s">
        <v>2390</v>
      </c>
      <c r="D3566" s="114" t="s">
        <v>2090</v>
      </c>
      <c r="E3566" s="114">
        <v>203</v>
      </c>
      <c r="F3566" s="114">
        <v>143</v>
      </c>
      <c r="G3566" s="114">
        <v>1</v>
      </c>
      <c r="H3566" s="114">
        <v>8000</v>
      </c>
      <c r="I3566" s="114">
        <v>8000</v>
      </c>
      <c r="J3566" s="114">
        <v>6723</v>
      </c>
      <c r="K3566" s="114">
        <v>1277</v>
      </c>
      <c r="L3566" s="114" t="str">
        <f t="shared" si="55"/>
        <v>INSERT INTO DETALLES_DOCUMENTO(NRO_DOCUMENTO,ID_TIPO,ID_PRODUCTO,CANTIDAD,PRECIO,VALOR_BRUTO,VALOR_NETO,VALOR_IVA) VALUES(66,2,143,1,8000,8000,6723,1277);</v>
      </c>
    </row>
    <row r="3567" spans="1:12">
      <c r="A3567" s="114">
        <v>2</v>
      </c>
      <c r="B3567" s="114">
        <v>66</v>
      </c>
      <c r="C3567" s="139" t="s">
        <v>2390</v>
      </c>
      <c r="D3567" s="114" t="s">
        <v>2090</v>
      </c>
      <c r="E3567" s="114">
        <v>203</v>
      </c>
      <c r="F3567" s="114">
        <v>276</v>
      </c>
      <c r="G3567" s="114">
        <v>1</v>
      </c>
      <c r="H3567" s="114">
        <v>8000</v>
      </c>
      <c r="I3567" s="114">
        <v>8000</v>
      </c>
      <c r="J3567" s="114">
        <v>6723</v>
      </c>
      <c r="K3567" s="114">
        <v>1277</v>
      </c>
      <c r="L3567" s="114" t="str">
        <f t="shared" si="55"/>
        <v>INSERT INTO DETALLES_DOCUMENTO(NRO_DOCUMENTO,ID_TIPO,ID_PRODUCTO,CANTIDAD,PRECIO,VALOR_BRUTO,VALOR_NETO,VALOR_IVA) VALUES(66,2,276,1,8000,8000,6723,1277);</v>
      </c>
    </row>
    <row r="3568" spans="1:12">
      <c r="A3568" s="114">
        <v>2</v>
      </c>
      <c r="B3568" s="114">
        <v>66</v>
      </c>
      <c r="C3568" s="139" t="s">
        <v>2390</v>
      </c>
      <c r="D3568" s="114" t="s">
        <v>2090</v>
      </c>
      <c r="E3568" s="114">
        <v>203</v>
      </c>
      <c r="F3568" s="114">
        <v>264</v>
      </c>
      <c r="G3568" s="114">
        <v>1</v>
      </c>
      <c r="H3568" s="114">
        <v>5000</v>
      </c>
      <c r="I3568" s="114">
        <v>5000</v>
      </c>
      <c r="J3568" s="114">
        <v>4202</v>
      </c>
      <c r="K3568" s="114">
        <v>798</v>
      </c>
      <c r="L3568" s="114" t="str">
        <f t="shared" si="55"/>
        <v>INSERT INTO DETALLES_DOCUMENTO(NRO_DOCUMENTO,ID_TIPO,ID_PRODUCTO,CANTIDAD,PRECIO,VALOR_BRUTO,VALOR_NETO,VALOR_IVA) VALUES(66,2,264,1,5000,5000,4202,798);</v>
      </c>
    </row>
    <row r="3569" spans="1:12">
      <c r="A3569" s="114">
        <v>2</v>
      </c>
      <c r="B3569" s="114">
        <v>66</v>
      </c>
      <c r="C3569" s="139" t="s">
        <v>2390</v>
      </c>
      <c r="D3569" s="114" t="s">
        <v>2090</v>
      </c>
      <c r="E3569" s="114">
        <v>203</v>
      </c>
      <c r="F3569" s="114">
        <v>286</v>
      </c>
      <c r="G3569" s="114">
        <v>1</v>
      </c>
      <c r="H3569" s="114">
        <v>1100</v>
      </c>
      <c r="I3569" s="114">
        <v>1100</v>
      </c>
      <c r="J3569" s="114">
        <v>924</v>
      </c>
      <c r="K3569" s="114">
        <v>176</v>
      </c>
      <c r="L3569" s="114" t="str">
        <f t="shared" si="55"/>
        <v>INSERT INTO DETALLES_DOCUMENTO(NRO_DOCUMENTO,ID_TIPO,ID_PRODUCTO,CANTIDAD,PRECIO,VALOR_BRUTO,VALOR_NETO,VALOR_IVA) VALUES(66,2,286,1,1100,1100,924,176);</v>
      </c>
    </row>
    <row r="3570" spans="1:12">
      <c r="A3570" s="114">
        <v>2</v>
      </c>
      <c r="B3570" s="114">
        <v>66</v>
      </c>
      <c r="C3570" s="139" t="s">
        <v>2390</v>
      </c>
      <c r="D3570" s="114" t="s">
        <v>2090</v>
      </c>
      <c r="E3570" s="114">
        <v>203</v>
      </c>
      <c r="F3570" s="114">
        <v>332</v>
      </c>
      <c r="G3570" s="114">
        <v>1</v>
      </c>
      <c r="H3570" s="114">
        <v>2600</v>
      </c>
      <c r="I3570" s="114">
        <v>2600</v>
      </c>
      <c r="J3570" s="114">
        <v>2185</v>
      </c>
      <c r="K3570" s="114">
        <v>415</v>
      </c>
      <c r="L3570" s="114" t="str">
        <f t="shared" si="55"/>
        <v>INSERT INTO DETALLES_DOCUMENTO(NRO_DOCUMENTO,ID_TIPO,ID_PRODUCTO,CANTIDAD,PRECIO,VALOR_BRUTO,VALOR_NETO,VALOR_IVA) VALUES(66,2,332,1,2600,2600,2185,415);</v>
      </c>
    </row>
    <row r="3571" spans="1:12">
      <c r="A3571" s="114">
        <v>2</v>
      </c>
      <c r="B3571" s="114">
        <v>66</v>
      </c>
      <c r="C3571" s="139" t="s">
        <v>2390</v>
      </c>
      <c r="D3571" s="114" t="s">
        <v>2090</v>
      </c>
      <c r="E3571" s="114">
        <v>203</v>
      </c>
      <c r="F3571" s="114">
        <v>95</v>
      </c>
      <c r="G3571" s="114">
        <v>1</v>
      </c>
      <c r="H3571" s="114">
        <v>2400</v>
      </c>
      <c r="I3571" s="114">
        <v>2400</v>
      </c>
      <c r="J3571" s="114">
        <v>2017</v>
      </c>
      <c r="K3571" s="114">
        <v>383</v>
      </c>
      <c r="L3571" s="114" t="str">
        <f t="shared" si="55"/>
        <v>INSERT INTO DETALLES_DOCUMENTO(NRO_DOCUMENTO,ID_TIPO,ID_PRODUCTO,CANTIDAD,PRECIO,VALOR_BRUTO,VALOR_NETO,VALOR_IVA) VALUES(66,2,95,1,2400,2400,2017,383);</v>
      </c>
    </row>
    <row r="3572" spans="1:12">
      <c r="A3572" s="114">
        <v>2</v>
      </c>
      <c r="B3572" s="114">
        <v>66</v>
      </c>
      <c r="C3572" s="139" t="s">
        <v>2390</v>
      </c>
      <c r="D3572" s="114" t="s">
        <v>2090</v>
      </c>
      <c r="E3572" s="114">
        <v>203</v>
      </c>
      <c r="F3572" s="114">
        <v>99</v>
      </c>
      <c r="G3572" s="114">
        <v>1</v>
      </c>
      <c r="H3572" s="114">
        <v>1700</v>
      </c>
      <c r="I3572" s="114">
        <v>1700</v>
      </c>
      <c r="J3572" s="114">
        <v>1429</v>
      </c>
      <c r="K3572" s="114">
        <v>271</v>
      </c>
      <c r="L3572" s="114" t="str">
        <f t="shared" si="55"/>
        <v>INSERT INTO DETALLES_DOCUMENTO(NRO_DOCUMENTO,ID_TIPO,ID_PRODUCTO,CANTIDAD,PRECIO,VALOR_BRUTO,VALOR_NETO,VALOR_IVA) VALUES(66,2,99,1,1700,1700,1429,271);</v>
      </c>
    </row>
    <row r="3573" spans="1:12">
      <c r="A3573" s="114">
        <v>2</v>
      </c>
      <c r="B3573" s="114">
        <v>67</v>
      </c>
      <c r="C3573" s="139" t="s">
        <v>2391</v>
      </c>
      <c r="D3573" s="114" t="s">
        <v>2090</v>
      </c>
      <c r="E3573" s="114">
        <v>22</v>
      </c>
      <c r="F3573" s="114">
        <v>233</v>
      </c>
      <c r="G3573" s="114">
        <v>1</v>
      </c>
      <c r="H3573" s="114">
        <v>16000</v>
      </c>
      <c r="I3573" s="114">
        <v>16000</v>
      </c>
      <c r="J3573" s="114">
        <v>13445</v>
      </c>
      <c r="K3573" s="114">
        <v>2555</v>
      </c>
      <c r="L3573" s="114" t="str">
        <f t="shared" si="55"/>
        <v>INSERT INTO DETALLES_DOCUMENTO(NRO_DOCUMENTO,ID_TIPO,ID_PRODUCTO,CANTIDAD,PRECIO,VALOR_BRUTO,VALOR_NETO,VALOR_IVA) VALUES(67,2,233,1,16000,16000,13445,2555);</v>
      </c>
    </row>
    <row r="3574" spans="1:12">
      <c r="A3574" s="114">
        <v>2</v>
      </c>
      <c r="B3574" s="114">
        <v>67</v>
      </c>
      <c r="C3574" s="139" t="s">
        <v>2391</v>
      </c>
      <c r="D3574" s="114" t="s">
        <v>2090</v>
      </c>
      <c r="E3574" s="114">
        <v>22</v>
      </c>
      <c r="F3574" s="114">
        <v>97</v>
      </c>
      <c r="G3574" s="114">
        <v>1</v>
      </c>
      <c r="H3574" s="114">
        <v>2000</v>
      </c>
      <c r="I3574" s="114">
        <v>2000</v>
      </c>
      <c r="J3574" s="114">
        <v>1681</v>
      </c>
      <c r="K3574" s="114">
        <v>319</v>
      </c>
      <c r="L3574" s="114" t="str">
        <f t="shared" si="55"/>
        <v>INSERT INTO DETALLES_DOCUMENTO(NRO_DOCUMENTO,ID_TIPO,ID_PRODUCTO,CANTIDAD,PRECIO,VALOR_BRUTO,VALOR_NETO,VALOR_IVA) VALUES(67,2,97,1,2000,2000,1681,319);</v>
      </c>
    </row>
    <row r="3575" spans="1:12">
      <c r="A3575" s="114">
        <v>2</v>
      </c>
      <c r="B3575" s="114">
        <v>68</v>
      </c>
      <c r="C3575" s="139" t="s">
        <v>2392</v>
      </c>
      <c r="D3575" s="114" t="s">
        <v>2090</v>
      </c>
      <c r="E3575" s="114">
        <v>413</v>
      </c>
      <c r="F3575" s="114">
        <v>123</v>
      </c>
      <c r="G3575" s="114">
        <v>1</v>
      </c>
      <c r="H3575" s="114">
        <v>24000</v>
      </c>
      <c r="I3575" s="114">
        <v>24000</v>
      </c>
      <c r="J3575" s="114">
        <v>20168</v>
      </c>
      <c r="K3575" s="114">
        <v>3832</v>
      </c>
      <c r="L3575" s="114" t="str">
        <f t="shared" si="55"/>
        <v>INSERT INTO DETALLES_DOCUMENTO(NRO_DOCUMENTO,ID_TIPO,ID_PRODUCTO,CANTIDAD,PRECIO,VALOR_BRUTO,VALOR_NETO,VALOR_IVA) VALUES(68,2,123,1,24000,24000,20168,3832);</v>
      </c>
    </row>
    <row r="3576" spans="1:12">
      <c r="A3576" s="114">
        <v>2</v>
      </c>
      <c r="B3576" s="114">
        <v>68</v>
      </c>
      <c r="C3576" s="139" t="s">
        <v>2392</v>
      </c>
      <c r="D3576" s="114" t="s">
        <v>2090</v>
      </c>
      <c r="E3576" s="114">
        <v>413</v>
      </c>
      <c r="F3576" s="114">
        <v>112</v>
      </c>
      <c r="G3576" s="114">
        <v>1</v>
      </c>
      <c r="H3576" s="114">
        <v>-500</v>
      </c>
      <c r="I3576" s="114">
        <v>-500</v>
      </c>
      <c r="J3576" s="114">
        <v>-420</v>
      </c>
      <c r="K3576" s="114">
        <v>-80</v>
      </c>
      <c r="L3576" s="114" t="str">
        <f t="shared" si="55"/>
        <v>INSERT INTO DETALLES_DOCUMENTO(NRO_DOCUMENTO,ID_TIPO,ID_PRODUCTO,CANTIDAD,PRECIO,VALOR_BRUTO,VALOR_NETO,VALOR_IVA) VALUES(68,2,112,1,-500,-500,-420,-80);</v>
      </c>
    </row>
    <row r="3577" spans="1:12">
      <c r="A3577" s="114">
        <v>2</v>
      </c>
      <c r="B3577" s="114">
        <v>68</v>
      </c>
      <c r="C3577" s="139" t="s">
        <v>2392</v>
      </c>
      <c r="D3577" s="114" t="s">
        <v>2090</v>
      </c>
      <c r="E3577" s="114">
        <v>413</v>
      </c>
      <c r="F3577" s="114">
        <v>49</v>
      </c>
      <c r="G3577" s="114">
        <v>3</v>
      </c>
      <c r="H3577" s="114">
        <v>12600</v>
      </c>
      <c r="I3577" s="114">
        <v>37800</v>
      </c>
      <c r="J3577" s="114">
        <v>31765</v>
      </c>
      <c r="K3577" s="114">
        <v>6035</v>
      </c>
      <c r="L3577" s="114" t="str">
        <f t="shared" si="55"/>
        <v>INSERT INTO DETALLES_DOCUMENTO(NRO_DOCUMENTO,ID_TIPO,ID_PRODUCTO,CANTIDAD,PRECIO,VALOR_BRUTO,VALOR_NETO,VALOR_IVA) VALUES(68,2,49,3,12600,37800,31765,6035);</v>
      </c>
    </row>
    <row r="3578" spans="1:12">
      <c r="A3578" s="114">
        <v>2</v>
      </c>
      <c r="B3578" s="114">
        <v>68</v>
      </c>
      <c r="C3578" s="139" t="s">
        <v>2392</v>
      </c>
      <c r="D3578" s="114" t="s">
        <v>2090</v>
      </c>
      <c r="E3578" s="114">
        <v>413</v>
      </c>
      <c r="F3578" s="114">
        <v>371</v>
      </c>
      <c r="G3578" s="114">
        <v>3</v>
      </c>
      <c r="H3578" s="114">
        <v>28500</v>
      </c>
      <c r="I3578" s="114">
        <v>85500</v>
      </c>
      <c r="J3578" s="114">
        <v>71849</v>
      </c>
      <c r="K3578" s="114">
        <v>13651</v>
      </c>
      <c r="L3578" s="114" t="str">
        <f t="shared" si="55"/>
        <v>INSERT INTO DETALLES_DOCUMENTO(NRO_DOCUMENTO,ID_TIPO,ID_PRODUCTO,CANTIDAD,PRECIO,VALOR_BRUTO,VALOR_NETO,VALOR_IVA) VALUES(68,2,371,3,28500,85500,71849,13651);</v>
      </c>
    </row>
    <row r="3579" spans="1:12">
      <c r="A3579" s="114">
        <v>2</v>
      </c>
      <c r="B3579" s="114">
        <v>69</v>
      </c>
      <c r="C3579" s="139" t="s">
        <v>2408</v>
      </c>
      <c r="D3579" s="114" t="s">
        <v>2090</v>
      </c>
      <c r="E3579" s="114">
        <v>180</v>
      </c>
      <c r="F3579" s="114">
        <v>168</v>
      </c>
      <c r="G3579" s="114">
        <v>2</v>
      </c>
      <c r="H3579" s="114">
        <v>3000</v>
      </c>
      <c r="I3579" s="114">
        <v>6000</v>
      </c>
      <c r="J3579" s="114">
        <v>5042</v>
      </c>
      <c r="K3579" s="114">
        <v>958</v>
      </c>
      <c r="L3579" s="114" t="str">
        <f t="shared" si="55"/>
        <v>INSERT INTO DETALLES_DOCUMENTO(NRO_DOCUMENTO,ID_TIPO,ID_PRODUCTO,CANTIDAD,PRECIO,VALOR_BRUTO,VALOR_NETO,VALOR_IVA) VALUES(69,2,168,2,3000,6000,5042,958);</v>
      </c>
    </row>
    <row r="3580" spans="1:12">
      <c r="A3580" s="114">
        <v>2</v>
      </c>
      <c r="B3580" s="114">
        <v>69</v>
      </c>
      <c r="C3580" s="139" t="s">
        <v>2408</v>
      </c>
      <c r="D3580" s="114" t="s">
        <v>2090</v>
      </c>
      <c r="E3580" s="114">
        <v>180</v>
      </c>
      <c r="F3580" s="114">
        <v>163</v>
      </c>
      <c r="G3580" s="114">
        <v>2</v>
      </c>
      <c r="H3580" s="114">
        <v>3000</v>
      </c>
      <c r="I3580" s="114">
        <v>6000</v>
      </c>
      <c r="J3580" s="114">
        <v>5042</v>
      </c>
      <c r="K3580" s="114">
        <v>958</v>
      </c>
      <c r="L3580" s="114" t="str">
        <f t="shared" si="55"/>
        <v>INSERT INTO DETALLES_DOCUMENTO(NRO_DOCUMENTO,ID_TIPO,ID_PRODUCTO,CANTIDAD,PRECIO,VALOR_BRUTO,VALOR_NETO,VALOR_IVA) VALUES(69,2,163,2,3000,6000,5042,958);</v>
      </c>
    </row>
    <row r="3581" spans="1:12">
      <c r="A3581" s="114">
        <v>2</v>
      </c>
      <c r="B3581" s="114">
        <v>69</v>
      </c>
      <c r="C3581" s="139" t="s">
        <v>2408</v>
      </c>
      <c r="D3581" s="114" t="s">
        <v>2090</v>
      </c>
      <c r="E3581" s="114">
        <v>180</v>
      </c>
      <c r="F3581" s="114">
        <v>264</v>
      </c>
      <c r="G3581" s="114">
        <v>1</v>
      </c>
      <c r="H3581" s="114">
        <v>5000</v>
      </c>
      <c r="I3581" s="114">
        <v>5000</v>
      </c>
      <c r="J3581" s="114">
        <v>4202</v>
      </c>
      <c r="K3581" s="114">
        <v>798</v>
      </c>
      <c r="L3581" s="114" t="str">
        <f t="shared" si="55"/>
        <v>INSERT INTO DETALLES_DOCUMENTO(NRO_DOCUMENTO,ID_TIPO,ID_PRODUCTO,CANTIDAD,PRECIO,VALOR_BRUTO,VALOR_NETO,VALOR_IVA) VALUES(69,2,264,1,5000,5000,4202,798);</v>
      </c>
    </row>
    <row r="3582" spans="1:12">
      <c r="A3582" s="114">
        <v>2</v>
      </c>
      <c r="B3582" s="114">
        <v>70</v>
      </c>
      <c r="C3582" s="139" t="s">
        <v>2409</v>
      </c>
      <c r="D3582" s="114" t="s">
        <v>2090</v>
      </c>
      <c r="E3582" s="114">
        <v>180</v>
      </c>
      <c r="F3582" s="114">
        <v>359</v>
      </c>
      <c r="G3582" s="114">
        <v>4</v>
      </c>
      <c r="H3582" s="114">
        <v>10800</v>
      </c>
      <c r="I3582" s="114">
        <v>43200</v>
      </c>
      <c r="J3582" s="114">
        <v>36303</v>
      </c>
      <c r="K3582" s="114">
        <v>6897</v>
      </c>
      <c r="L3582" s="114" t="str">
        <f t="shared" si="55"/>
        <v>INSERT INTO DETALLES_DOCUMENTO(NRO_DOCUMENTO,ID_TIPO,ID_PRODUCTO,CANTIDAD,PRECIO,VALOR_BRUTO,VALOR_NETO,VALOR_IVA) VALUES(70,2,359,4,10800,43200,36303,6897);</v>
      </c>
    </row>
    <row r="3583" spans="1:12">
      <c r="A3583" s="114">
        <v>2</v>
      </c>
      <c r="B3583" s="114">
        <v>71</v>
      </c>
      <c r="C3583" s="139" t="s">
        <v>2410</v>
      </c>
      <c r="D3583" s="114" t="s">
        <v>2090</v>
      </c>
      <c r="E3583" s="114">
        <v>9</v>
      </c>
      <c r="F3583" s="114">
        <v>245</v>
      </c>
      <c r="G3583" s="114">
        <v>2</v>
      </c>
      <c r="H3583" s="114">
        <v>3600</v>
      </c>
      <c r="I3583" s="114">
        <v>7200</v>
      </c>
      <c r="J3583" s="114">
        <v>6050</v>
      </c>
      <c r="K3583" s="114">
        <v>1150</v>
      </c>
      <c r="L3583" s="114" t="str">
        <f t="shared" si="55"/>
        <v>INSERT INTO DETALLES_DOCUMENTO(NRO_DOCUMENTO,ID_TIPO,ID_PRODUCTO,CANTIDAD,PRECIO,VALOR_BRUTO,VALOR_NETO,VALOR_IVA) VALUES(71,2,245,2,3600,7200,6050,1150);</v>
      </c>
    </row>
    <row r="3584" spans="1:12">
      <c r="A3584" s="114">
        <v>2</v>
      </c>
      <c r="B3584" s="114">
        <v>71</v>
      </c>
      <c r="C3584" s="139" t="s">
        <v>2410</v>
      </c>
      <c r="D3584" s="114" t="s">
        <v>2090</v>
      </c>
      <c r="E3584" s="114">
        <v>9</v>
      </c>
      <c r="F3584" s="114">
        <v>360</v>
      </c>
      <c r="G3584" s="114">
        <v>1</v>
      </c>
      <c r="H3584" s="114">
        <v>3000</v>
      </c>
      <c r="I3584" s="114">
        <v>3000</v>
      </c>
      <c r="J3584" s="114">
        <v>2521</v>
      </c>
      <c r="K3584" s="114">
        <v>479</v>
      </c>
      <c r="L3584" s="114" t="str">
        <f t="shared" si="55"/>
        <v>INSERT INTO DETALLES_DOCUMENTO(NRO_DOCUMENTO,ID_TIPO,ID_PRODUCTO,CANTIDAD,PRECIO,VALOR_BRUTO,VALOR_NETO,VALOR_IVA) VALUES(71,2,360,1,3000,3000,2521,479);</v>
      </c>
    </row>
    <row r="3585" spans="1:12">
      <c r="A3585" s="114">
        <v>2</v>
      </c>
      <c r="B3585" s="114">
        <v>71</v>
      </c>
      <c r="C3585" s="139" t="s">
        <v>2410</v>
      </c>
      <c r="D3585" s="114" t="s">
        <v>2090</v>
      </c>
      <c r="E3585" s="114">
        <v>9</v>
      </c>
      <c r="F3585" s="114">
        <v>155</v>
      </c>
      <c r="G3585" s="114">
        <v>1</v>
      </c>
      <c r="H3585" s="114">
        <v>1650</v>
      </c>
      <c r="I3585" s="114">
        <v>1650</v>
      </c>
      <c r="J3585" s="114">
        <v>1387</v>
      </c>
      <c r="K3585" s="114">
        <v>263</v>
      </c>
      <c r="L3585" s="114" t="str">
        <f t="shared" si="55"/>
        <v>INSERT INTO DETALLES_DOCUMENTO(NRO_DOCUMENTO,ID_TIPO,ID_PRODUCTO,CANTIDAD,PRECIO,VALOR_BRUTO,VALOR_NETO,VALOR_IVA) VALUES(71,2,155,1,1650,1650,1387,263);</v>
      </c>
    </row>
    <row r="3586" spans="1:12">
      <c r="A3586" s="114">
        <v>2</v>
      </c>
      <c r="B3586" s="114">
        <v>71</v>
      </c>
      <c r="C3586" s="139" t="s">
        <v>2410</v>
      </c>
      <c r="D3586" s="114" t="s">
        <v>2090</v>
      </c>
      <c r="E3586" s="114">
        <v>9</v>
      </c>
      <c r="F3586" s="114">
        <v>387</v>
      </c>
      <c r="G3586" s="114">
        <v>1</v>
      </c>
      <c r="H3586" s="114">
        <v>1500</v>
      </c>
      <c r="I3586" s="114">
        <v>1500</v>
      </c>
      <c r="J3586" s="114">
        <v>1261</v>
      </c>
      <c r="K3586" s="114">
        <v>239</v>
      </c>
      <c r="L3586" s="114" t="str">
        <f t="shared" si="55"/>
        <v>INSERT INTO DETALLES_DOCUMENTO(NRO_DOCUMENTO,ID_TIPO,ID_PRODUCTO,CANTIDAD,PRECIO,VALOR_BRUTO,VALOR_NETO,VALOR_IVA) VALUES(71,2,387,1,1500,1500,1261,239);</v>
      </c>
    </row>
    <row r="3587" spans="1:12">
      <c r="A3587" s="114">
        <v>2</v>
      </c>
      <c r="B3587" s="114">
        <v>71</v>
      </c>
      <c r="C3587" s="139" t="s">
        <v>2410</v>
      </c>
      <c r="D3587" s="114" t="s">
        <v>2090</v>
      </c>
      <c r="E3587" s="114">
        <v>9</v>
      </c>
      <c r="F3587" s="114">
        <v>100</v>
      </c>
      <c r="G3587" s="114">
        <v>1</v>
      </c>
      <c r="H3587" s="114">
        <v>1500</v>
      </c>
      <c r="I3587" s="114">
        <v>1500</v>
      </c>
      <c r="J3587" s="114">
        <v>1261</v>
      </c>
      <c r="K3587" s="114">
        <v>239</v>
      </c>
      <c r="L3587" s="114" t="str">
        <f t="shared" ref="L3587:L3618" si="56">CONCATENATE("INSERT INTO DETALLES_DOCUMENTO(NRO_DOCUMENTO,ID_TIPO,ID_PRODUCTO,CANTIDAD,PRECIO,VALOR_BRUTO,VALOR_NETO,VALOR_IVA) VALUES(",B3587,",",A3587,",",F3587,",",G3587,",",H3587,",",I3587,",",J3587,",",K3587,");")</f>
        <v>INSERT INTO DETALLES_DOCUMENTO(NRO_DOCUMENTO,ID_TIPO,ID_PRODUCTO,CANTIDAD,PRECIO,VALOR_BRUTO,VALOR_NETO,VALOR_IVA) VALUES(71,2,100,1,1500,1500,1261,239);</v>
      </c>
    </row>
    <row r="3588" spans="1:12">
      <c r="A3588" s="114">
        <v>2</v>
      </c>
      <c r="B3588" s="114">
        <v>71</v>
      </c>
      <c r="C3588" s="139" t="s">
        <v>2410</v>
      </c>
      <c r="D3588" s="114" t="s">
        <v>2090</v>
      </c>
      <c r="E3588" s="114">
        <v>9</v>
      </c>
      <c r="F3588" s="114">
        <v>293</v>
      </c>
      <c r="G3588" s="114">
        <v>1</v>
      </c>
      <c r="H3588" s="114">
        <v>10000</v>
      </c>
      <c r="I3588" s="114">
        <v>10000</v>
      </c>
      <c r="J3588" s="114">
        <v>8403</v>
      </c>
      <c r="K3588" s="114">
        <v>1597</v>
      </c>
      <c r="L3588" s="114" t="str">
        <f t="shared" si="56"/>
        <v>INSERT INTO DETALLES_DOCUMENTO(NRO_DOCUMENTO,ID_TIPO,ID_PRODUCTO,CANTIDAD,PRECIO,VALOR_BRUTO,VALOR_NETO,VALOR_IVA) VALUES(71,2,293,1,10000,10000,8403,1597);</v>
      </c>
    </row>
    <row r="3589" spans="1:12">
      <c r="A3589" s="114">
        <v>2</v>
      </c>
      <c r="B3589" s="114">
        <v>71</v>
      </c>
      <c r="C3589" s="139" t="s">
        <v>2410</v>
      </c>
      <c r="D3589" s="114" t="s">
        <v>2090</v>
      </c>
      <c r="E3589" s="114">
        <v>9</v>
      </c>
      <c r="F3589" s="114">
        <v>354</v>
      </c>
      <c r="G3589" s="114">
        <v>1</v>
      </c>
      <c r="H3589" s="114">
        <v>1800</v>
      </c>
      <c r="I3589" s="114">
        <v>1800</v>
      </c>
      <c r="J3589" s="114">
        <v>1513</v>
      </c>
      <c r="K3589" s="114">
        <v>287</v>
      </c>
      <c r="L3589" s="114" t="str">
        <f t="shared" si="56"/>
        <v>INSERT INTO DETALLES_DOCUMENTO(NRO_DOCUMENTO,ID_TIPO,ID_PRODUCTO,CANTIDAD,PRECIO,VALOR_BRUTO,VALOR_NETO,VALOR_IVA) VALUES(71,2,354,1,1800,1800,1513,287);</v>
      </c>
    </row>
    <row r="3590" spans="1:12">
      <c r="A3590" s="114">
        <v>2</v>
      </c>
      <c r="B3590" s="114">
        <v>71</v>
      </c>
      <c r="C3590" s="139" t="s">
        <v>2410</v>
      </c>
      <c r="D3590" s="114" t="s">
        <v>2090</v>
      </c>
      <c r="E3590" s="114">
        <v>9</v>
      </c>
      <c r="F3590" s="114">
        <v>378</v>
      </c>
      <c r="G3590" s="114">
        <v>1</v>
      </c>
      <c r="H3590" s="114">
        <v>1200</v>
      </c>
      <c r="I3590" s="114">
        <v>1200</v>
      </c>
      <c r="J3590" s="114">
        <v>1008</v>
      </c>
      <c r="K3590" s="114">
        <v>192</v>
      </c>
      <c r="L3590" s="114" t="str">
        <f t="shared" si="56"/>
        <v>INSERT INTO DETALLES_DOCUMENTO(NRO_DOCUMENTO,ID_TIPO,ID_PRODUCTO,CANTIDAD,PRECIO,VALOR_BRUTO,VALOR_NETO,VALOR_IVA) VALUES(71,2,378,1,1200,1200,1008,192);</v>
      </c>
    </row>
    <row r="3591" spans="1:12">
      <c r="A3591" s="114">
        <v>2</v>
      </c>
      <c r="B3591" s="114">
        <v>71</v>
      </c>
      <c r="C3591" s="139" t="s">
        <v>2410</v>
      </c>
      <c r="D3591" s="114" t="s">
        <v>2090</v>
      </c>
      <c r="E3591" s="114">
        <v>9</v>
      </c>
      <c r="F3591" s="114">
        <v>284</v>
      </c>
      <c r="G3591" s="114">
        <v>1</v>
      </c>
      <c r="H3591" s="114">
        <v>1100</v>
      </c>
      <c r="I3591" s="114">
        <v>1100</v>
      </c>
      <c r="J3591" s="114">
        <v>924</v>
      </c>
      <c r="K3591" s="114">
        <v>176</v>
      </c>
      <c r="L3591" s="114" t="str">
        <f t="shared" si="56"/>
        <v>INSERT INTO DETALLES_DOCUMENTO(NRO_DOCUMENTO,ID_TIPO,ID_PRODUCTO,CANTIDAD,PRECIO,VALOR_BRUTO,VALOR_NETO,VALOR_IVA) VALUES(71,2,284,1,1100,1100,924,176);</v>
      </c>
    </row>
    <row r="3592" spans="1:12">
      <c r="A3592" s="114">
        <v>2</v>
      </c>
      <c r="B3592" s="114">
        <v>71</v>
      </c>
      <c r="C3592" s="139" t="s">
        <v>2410</v>
      </c>
      <c r="D3592" s="114" t="s">
        <v>2090</v>
      </c>
      <c r="E3592" s="114">
        <v>9</v>
      </c>
      <c r="F3592" s="114">
        <v>15</v>
      </c>
      <c r="G3592" s="114">
        <v>1</v>
      </c>
      <c r="H3592" s="114">
        <v>1500</v>
      </c>
      <c r="I3592" s="114">
        <v>1500</v>
      </c>
      <c r="J3592" s="114">
        <v>1261</v>
      </c>
      <c r="K3592" s="114">
        <v>239</v>
      </c>
      <c r="L3592" s="114" t="str">
        <f t="shared" si="56"/>
        <v>INSERT INTO DETALLES_DOCUMENTO(NRO_DOCUMENTO,ID_TIPO,ID_PRODUCTO,CANTIDAD,PRECIO,VALOR_BRUTO,VALOR_NETO,VALOR_IVA) VALUES(71,2,15,1,1500,1500,1261,239);</v>
      </c>
    </row>
    <row r="3593" spans="1:12">
      <c r="A3593" s="114">
        <v>2</v>
      </c>
      <c r="B3593" s="114">
        <v>71</v>
      </c>
      <c r="C3593" s="139" t="s">
        <v>2410</v>
      </c>
      <c r="D3593" s="114" t="s">
        <v>2090</v>
      </c>
      <c r="E3593" s="114">
        <v>9</v>
      </c>
      <c r="F3593" s="114">
        <v>11</v>
      </c>
      <c r="G3593" s="114">
        <v>1</v>
      </c>
      <c r="H3593" s="114">
        <v>2500</v>
      </c>
      <c r="I3593" s="114">
        <v>2500</v>
      </c>
      <c r="J3593" s="114">
        <v>2101</v>
      </c>
      <c r="K3593" s="114">
        <v>399</v>
      </c>
      <c r="L3593" s="114" t="str">
        <f t="shared" si="56"/>
        <v>INSERT INTO DETALLES_DOCUMENTO(NRO_DOCUMENTO,ID_TIPO,ID_PRODUCTO,CANTIDAD,PRECIO,VALOR_BRUTO,VALOR_NETO,VALOR_IVA) VALUES(71,2,11,1,2500,2500,2101,399);</v>
      </c>
    </row>
    <row r="3594" spans="1:12">
      <c r="A3594" s="114">
        <v>2</v>
      </c>
      <c r="B3594" s="114">
        <v>71</v>
      </c>
      <c r="C3594" s="139" t="s">
        <v>2410</v>
      </c>
      <c r="D3594" s="114" t="s">
        <v>2090</v>
      </c>
      <c r="E3594" s="114">
        <v>9</v>
      </c>
      <c r="F3594" s="114">
        <v>12</v>
      </c>
      <c r="G3594" s="114">
        <v>1</v>
      </c>
      <c r="H3594" s="114">
        <v>700</v>
      </c>
      <c r="I3594" s="114">
        <v>700</v>
      </c>
      <c r="J3594" s="114">
        <v>588</v>
      </c>
      <c r="K3594" s="114">
        <v>112</v>
      </c>
      <c r="L3594" s="114" t="str">
        <f t="shared" si="56"/>
        <v>INSERT INTO DETALLES_DOCUMENTO(NRO_DOCUMENTO,ID_TIPO,ID_PRODUCTO,CANTIDAD,PRECIO,VALOR_BRUTO,VALOR_NETO,VALOR_IVA) VALUES(71,2,12,1,700,700,588,112);</v>
      </c>
    </row>
    <row r="3595" spans="1:12">
      <c r="A3595" s="114">
        <v>2</v>
      </c>
      <c r="B3595" s="114">
        <v>71</v>
      </c>
      <c r="C3595" s="139" t="s">
        <v>2410</v>
      </c>
      <c r="D3595" s="114" t="s">
        <v>2090</v>
      </c>
      <c r="E3595" s="114">
        <v>9</v>
      </c>
      <c r="F3595" s="114">
        <v>2</v>
      </c>
      <c r="G3595" s="114">
        <v>1</v>
      </c>
      <c r="H3595" s="114">
        <v>5000</v>
      </c>
      <c r="I3595" s="114">
        <v>5000</v>
      </c>
      <c r="J3595" s="114">
        <v>4202</v>
      </c>
      <c r="K3595" s="114">
        <v>798</v>
      </c>
      <c r="L3595" s="114" t="str">
        <f t="shared" si="56"/>
        <v>INSERT INTO DETALLES_DOCUMENTO(NRO_DOCUMENTO,ID_TIPO,ID_PRODUCTO,CANTIDAD,PRECIO,VALOR_BRUTO,VALOR_NETO,VALOR_IVA) VALUES(71,2,2,1,5000,5000,4202,798);</v>
      </c>
    </row>
    <row r="3596" spans="1:12">
      <c r="A3596" s="114">
        <v>2</v>
      </c>
      <c r="B3596" s="114">
        <v>71</v>
      </c>
      <c r="C3596" s="139" t="s">
        <v>2410</v>
      </c>
      <c r="D3596" s="114" t="s">
        <v>2090</v>
      </c>
      <c r="E3596" s="114">
        <v>9</v>
      </c>
      <c r="F3596" s="114">
        <v>3</v>
      </c>
      <c r="G3596" s="114">
        <v>1</v>
      </c>
      <c r="H3596" s="114">
        <v>2300</v>
      </c>
      <c r="I3596" s="114">
        <v>2300</v>
      </c>
      <c r="J3596" s="114">
        <v>1933</v>
      </c>
      <c r="K3596" s="114">
        <v>367</v>
      </c>
      <c r="L3596" s="114" t="str">
        <f t="shared" si="56"/>
        <v>INSERT INTO DETALLES_DOCUMENTO(NRO_DOCUMENTO,ID_TIPO,ID_PRODUCTO,CANTIDAD,PRECIO,VALOR_BRUTO,VALOR_NETO,VALOR_IVA) VALUES(71,2,3,1,2300,2300,1933,367);</v>
      </c>
    </row>
    <row r="3597" spans="1:12">
      <c r="A3597" s="114">
        <v>2</v>
      </c>
      <c r="B3597" s="114">
        <v>71</v>
      </c>
      <c r="C3597" s="139" t="s">
        <v>2410</v>
      </c>
      <c r="D3597" s="114" t="s">
        <v>2090</v>
      </c>
      <c r="E3597" s="114">
        <v>9</v>
      </c>
      <c r="F3597" s="114">
        <v>4</v>
      </c>
      <c r="G3597" s="114">
        <v>1</v>
      </c>
      <c r="H3597" s="114">
        <v>5000</v>
      </c>
      <c r="I3597" s="114">
        <v>5000</v>
      </c>
      <c r="J3597" s="114">
        <v>4202</v>
      </c>
      <c r="K3597" s="114">
        <v>798</v>
      </c>
      <c r="L3597" s="114" t="str">
        <f t="shared" si="56"/>
        <v>INSERT INTO DETALLES_DOCUMENTO(NRO_DOCUMENTO,ID_TIPO,ID_PRODUCTO,CANTIDAD,PRECIO,VALOR_BRUTO,VALOR_NETO,VALOR_IVA) VALUES(71,2,4,1,5000,5000,4202,798);</v>
      </c>
    </row>
    <row r="3598" spans="1:12">
      <c r="A3598" s="114">
        <v>2</v>
      </c>
      <c r="B3598" s="114">
        <v>71</v>
      </c>
      <c r="C3598" s="139" t="s">
        <v>2410</v>
      </c>
      <c r="D3598" s="114" t="s">
        <v>2090</v>
      </c>
      <c r="E3598" s="114">
        <v>9</v>
      </c>
      <c r="F3598" s="114">
        <v>111</v>
      </c>
      <c r="G3598" s="114">
        <v>1</v>
      </c>
      <c r="H3598" s="114">
        <v>1500</v>
      </c>
      <c r="I3598" s="114">
        <v>1500</v>
      </c>
      <c r="J3598" s="114">
        <v>1261</v>
      </c>
      <c r="K3598" s="114">
        <v>239</v>
      </c>
      <c r="L3598" s="114" t="str">
        <f t="shared" si="56"/>
        <v>INSERT INTO DETALLES_DOCUMENTO(NRO_DOCUMENTO,ID_TIPO,ID_PRODUCTO,CANTIDAD,PRECIO,VALOR_BRUTO,VALOR_NETO,VALOR_IVA) VALUES(71,2,111,1,1500,1500,1261,239);</v>
      </c>
    </row>
    <row r="3599" spans="1:12">
      <c r="A3599" s="114">
        <v>2</v>
      </c>
      <c r="B3599" s="114">
        <v>72</v>
      </c>
      <c r="C3599" s="139" t="s">
        <v>2412</v>
      </c>
      <c r="D3599" s="114" t="s">
        <v>2090</v>
      </c>
      <c r="E3599" s="114">
        <v>203</v>
      </c>
      <c r="F3599" s="114">
        <v>384</v>
      </c>
      <c r="G3599" s="114">
        <v>1</v>
      </c>
      <c r="H3599" s="114">
        <v>2750</v>
      </c>
      <c r="I3599" s="114">
        <v>2750</v>
      </c>
      <c r="J3599" s="114">
        <v>2311</v>
      </c>
      <c r="K3599" s="114">
        <v>439</v>
      </c>
      <c r="L3599" s="114" t="str">
        <f t="shared" si="56"/>
        <v>INSERT INTO DETALLES_DOCUMENTO(NRO_DOCUMENTO,ID_TIPO,ID_PRODUCTO,CANTIDAD,PRECIO,VALOR_BRUTO,VALOR_NETO,VALOR_IVA) VALUES(72,2,384,1,2750,2750,2311,439);</v>
      </c>
    </row>
    <row r="3600" spans="1:12">
      <c r="A3600" s="114">
        <v>2</v>
      </c>
      <c r="B3600" s="114">
        <v>72</v>
      </c>
      <c r="C3600" s="139" t="s">
        <v>2412</v>
      </c>
      <c r="D3600" s="114" t="s">
        <v>2090</v>
      </c>
      <c r="E3600" s="114">
        <v>203</v>
      </c>
      <c r="F3600" s="114">
        <v>359</v>
      </c>
      <c r="G3600" s="114">
        <v>1</v>
      </c>
      <c r="H3600" s="114">
        <v>2700</v>
      </c>
      <c r="I3600" s="114">
        <v>2700</v>
      </c>
      <c r="J3600" s="114">
        <v>2269</v>
      </c>
      <c r="K3600" s="114">
        <v>431</v>
      </c>
      <c r="L3600" s="114" t="str">
        <f t="shared" si="56"/>
        <v>INSERT INTO DETALLES_DOCUMENTO(NRO_DOCUMENTO,ID_TIPO,ID_PRODUCTO,CANTIDAD,PRECIO,VALOR_BRUTO,VALOR_NETO,VALOR_IVA) VALUES(72,2,359,1,2700,2700,2269,431);</v>
      </c>
    </row>
    <row r="3601" spans="1:12">
      <c r="A3601" s="114">
        <v>2</v>
      </c>
      <c r="B3601" s="114">
        <v>72</v>
      </c>
      <c r="C3601" s="139" t="s">
        <v>2412</v>
      </c>
      <c r="D3601" s="114" t="s">
        <v>2090</v>
      </c>
      <c r="E3601" s="114">
        <v>203</v>
      </c>
      <c r="F3601" s="114">
        <v>25</v>
      </c>
      <c r="G3601" s="114">
        <v>1</v>
      </c>
      <c r="H3601" s="114">
        <v>1800</v>
      </c>
      <c r="I3601" s="114">
        <v>1800</v>
      </c>
      <c r="J3601" s="114">
        <v>1513</v>
      </c>
      <c r="K3601" s="114">
        <v>287</v>
      </c>
      <c r="L3601" s="114" t="str">
        <f t="shared" si="56"/>
        <v>INSERT INTO DETALLES_DOCUMENTO(NRO_DOCUMENTO,ID_TIPO,ID_PRODUCTO,CANTIDAD,PRECIO,VALOR_BRUTO,VALOR_NETO,VALOR_IVA) VALUES(72,2,25,1,1800,1800,1513,287);</v>
      </c>
    </row>
    <row r="3602" spans="1:12">
      <c r="A3602" s="114">
        <v>2</v>
      </c>
      <c r="B3602" s="114">
        <v>72</v>
      </c>
      <c r="C3602" s="139" t="s">
        <v>2412</v>
      </c>
      <c r="D3602" s="114" t="s">
        <v>2090</v>
      </c>
      <c r="E3602" s="114">
        <v>203</v>
      </c>
      <c r="F3602" s="114">
        <v>118</v>
      </c>
      <c r="G3602" s="114">
        <v>1</v>
      </c>
      <c r="H3602" s="114">
        <v>3500</v>
      </c>
      <c r="I3602" s="114">
        <v>3500</v>
      </c>
      <c r="J3602" s="114">
        <v>2941</v>
      </c>
      <c r="K3602" s="114">
        <v>559</v>
      </c>
      <c r="L3602" s="114" t="str">
        <f t="shared" si="56"/>
        <v>INSERT INTO DETALLES_DOCUMENTO(NRO_DOCUMENTO,ID_TIPO,ID_PRODUCTO,CANTIDAD,PRECIO,VALOR_BRUTO,VALOR_NETO,VALOR_IVA) VALUES(72,2,118,1,3500,3500,2941,559);</v>
      </c>
    </row>
    <row r="3603" spans="1:12">
      <c r="A3603" s="114">
        <v>2</v>
      </c>
      <c r="B3603" s="114">
        <v>73</v>
      </c>
      <c r="C3603" s="139" t="s">
        <v>2414</v>
      </c>
      <c r="D3603" s="114" t="s">
        <v>2090</v>
      </c>
      <c r="E3603" s="114">
        <v>413</v>
      </c>
      <c r="F3603" s="114">
        <v>123</v>
      </c>
      <c r="G3603" s="114">
        <v>2</v>
      </c>
      <c r="H3603" s="114">
        <v>48000</v>
      </c>
      <c r="I3603" s="114">
        <v>96000</v>
      </c>
      <c r="J3603" s="114">
        <v>80672</v>
      </c>
      <c r="K3603" s="114">
        <v>15328</v>
      </c>
      <c r="L3603" s="114" t="str">
        <f t="shared" si="56"/>
        <v>INSERT INTO DETALLES_DOCUMENTO(NRO_DOCUMENTO,ID_TIPO,ID_PRODUCTO,CANTIDAD,PRECIO,VALOR_BRUTO,VALOR_NETO,VALOR_IVA) VALUES(73,2,123,2,48000,96000,80672,15328);</v>
      </c>
    </row>
    <row r="3604" spans="1:12">
      <c r="A3604" s="114">
        <v>2</v>
      </c>
      <c r="B3604" s="114">
        <v>73</v>
      </c>
      <c r="C3604" s="139" t="s">
        <v>2414</v>
      </c>
      <c r="D3604" s="114" t="s">
        <v>2090</v>
      </c>
      <c r="E3604" s="114">
        <v>413</v>
      </c>
      <c r="F3604" s="114">
        <v>112</v>
      </c>
      <c r="G3604" s="114">
        <v>1</v>
      </c>
      <c r="H3604" s="114">
        <v>-1000</v>
      </c>
      <c r="I3604" s="114">
        <v>-1000</v>
      </c>
      <c r="J3604" s="114">
        <v>-840</v>
      </c>
      <c r="K3604" s="114">
        <v>-160</v>
      </c>
      <c r="L3604" s="114" t="str">
        <f t="shared" si="56"/>
        <v>INSERT INTO DETALLES_DOCUMENTO(NRO_DOCUMENTO,ID_TIPO,ID_PRODUCTO,CANTIDAD,PRECIO,VALOR_BRUTO,VALOR_NETO,VALOR_IVA) VALUES(73,2,112,1,-1000,-1000,-840,-160);</v>
      </c>
    </row>
    <row r="3605" spans="1:12">
      <c r="A3605" s="114">
        <v>2</v>
      </c>
      <c r="B3605" s="114">
        <v>73</v>
      </c>
      <c r="C3605" s="139" t="s">
        <v>2414</v>
      </c>
      <c r="D3605" s="114" t="s">
        <v>2090</v>
      </c>
      <c r="E3605" s="114">
        <v>413</v>
      </c>
      <c r="F3605" s="114">
        <v>49</v>
      </c>
      <c r="G3605" s="114">
        <v>2</v>
      </c>
      <c r="H3605" s="114">
        <v>8400</v>
      </c>
      <c r="I3605" s="114">
        <v>16800</v>
      </c>
      <c r="J3605" s="114">
        <v>14118</v>
      </c>
      <c r="K3605" s="114">
        <v>2682</v>
      </c>
      <c r="L3605" s="114" t="str">
        <f t="shared" si="56"/>
        <v>INSERT INTO DETALLES_DOCUMENTO(NRO_DOCUMENTO,ID_TIPO,ID_PRODUCTO,CANTIDAD,PRECIO,VALOR_BRUTO,VALOR_NETO,VALOR_IVA) VALUES(73,2,49,2,8400,16800,14118,2682);</v>
      </c>
    </row>
    <row r="3606" spans="1:12">
      <c r="A3606" s="114">
        <v>2</v>
      </c>
      <c r="B3606" s="114">
        <v>73</v>
      </c>
      <c r="C3606" s="139" t="s">
        <v>2414</v>
      </c>
      <c r="D3606" s="114" t="s">
        <v>2090</v>
      </c>
      <c r="E3606" s="114">
        <v>413</v>
      </c>
      <c r="F3606" s="114">
        <v>371</v>
      </c>
      <c r="G3606" s="114">
        <v>3</v>
      </c>
      <c r="H3606" s="114">
        <v>28500</v>
      </c>
      <c r="I3606" s="114">
        <v>85500</v>
      </c>
      <c r="J3606" s="114">
        <v>71849</v>
      </c>
      <c r="K3606" s="114">
        <v>13651</v>
      </c>
      <c r="L3606" s="114" t="str">
        <f t="shared" si="56"/>
        <v>INSERT INTO DETALLES_DOCUMENTO(NRO_DOCUMENTO,ID_TIPO,ID_PRODUCTO,CANTIDAD,PRECIO,VALOR_BRUTO,VALOR_NETO,VALOR_IVA) VALUES(73,2,371,3,28500,85500,71849,13651);</v>
      </c>
    </row>
    <row r="3607" spans="1:12">
      <c r="A3607" s="114">
        <v>2</v>
      </c>
      <c r="B3607" s="114">
        <v>73</v>
      </c>
      <c r="C3607" s="139" t="s">
        <v>2414</v>
      </c>
      <c r="D3607" s="114" t="s">
        <v>2090</v>
      </c>
      <c r="E3607" s="114">
        <v>413</v>
      </c>
      <c r="F3607" s="114">
        <v>236</v>
      </c>
      <c r="G3607" s="114">
        <v>1</v>
      </c>
      <c r="H3607" s="114">
        <v>19900</v>
      </c>
      <c r="I3607" s="114">
        <v>19900</v>
      </c>
      <c r="J3607" s="114">
        <v>16723</v>
      </c>
      <c r="K3607" s="114">
        <v>3177</v>
      </c>
      <c r="L3607" s="114" t="str">
        <f t="shared" si="56"/>
        <v>INSERT INTO DETALLES_DOCUMENTO(NRO_DOCUMENTO,ID_TIPO,ID_PRODUCTO,CANTIDAD,PRECIO,VALOR_BRUTO,VALOR_NETO,VALOR_IVA) VALUES(73,2,236,1,19900,19900,16723,3177);</v>
      </c>
    </row>
    <row r="3608" spans="1:12">
      <c r="A3608" s="114">
        <v>2</v>
      </c>
      <c r="B3608" s="114">
        <v>74</v>
      </c>
      <c r="C3608" s="139" t="s">
        <v>2419</v>
      </c>
      <c r="D3608" s="114" t="s">
        <v>2090</v>
      </c>
      <c r="E3608" s="114">
        <v>364</v>
      </c>
      <c r="F3608" s="114">
        <v>30</v>
      </c>
      <c r="G3608" s="114">
        <v>2</v>
      </c>
      <c r="H3608" s="114">
        <v>6001</v>
      </c>
      <c r="I3608" s="114">
        <v>12002</v>
      </c>
      <c r="J3608" s="114">
        <v>10086</v>
      </c>
      <c r="K3608" s="114">
        <v>1916</v>
      </c>
      <c r="L3608" s="114" t="str">
        <f t="shared" si="56"/>
        <v>INSERT INTO DETALLES_DOCUMENTO(NRO_DOCUMENTO,ID_TIPO,ID_PRODUCTO,CANTIDAD,PRECIO,VALOR_BRUTO,VALOR_NETO,VALOR_IVA) VALUES(74,2,30,2,6001,12002,10086,1916);</v>
      </c>
    </row>
    <row r="3609" spans="1:12">
      <c r="A3609" s="114">
        <v>2</v>
      </c>
      <c r="B3609" s="114">
        <v>75</v>
      </c>
      <c r="C3609" s="139" t="s">
        <v>2420</v>
      </c>
      <c r="D3609" s="114" t="s">
        <v>2090</v>
      </c>
      <c r="E3609" s="114">
        <v>203</v>
      </c>
      <c r="F3609" s="114">
        <v>368</v>
      </c>
      <c r="G3609" s="114">
        <v>2</v>
      </c>
      <c r="H3609" s="114">
        <v>6000</v>
      </c>
      <c r="I3609" s="114">
        <v>12000</v>
      </c>
      <c r="J3609" s="114">
        <v>10084</v>
      </c>
      <c r="K3609" s="114">
        <v>1916</v>
      </c>
      <c r="L3609" s="114" t="str">
        <f t="shared" si="56"/>
        <v>INSERT INTO DETALLES_DOCUMENTO(NRO_DOCUMENTO,ID_TIPO,ID_PRODUCTO,CANTIDAD,PRECIO,VALOR_BRUTO,VALOR_NETO,VALOR_IVA) VALUES(75,2,368,2,6000,12000,10084,1916);</v>
      </c>
    </row>
    <row r="3610" spans="1:12">
      <c r="A3610" s="114">
        <v>2</v>
      </c>
      <c r="B3610" s="114">
        <v>75</v>
      </c>
      <c r="C3610" s="139" t="s">
        <v>2420</v>
      </c>
      <c r="D3610" s="114" t="s">
        <v>2090</v>
      </c>
      <c r="E3610" s="114">
        <v>203</v>
      </c>
      <c r="F3610" s="114">
        <v>231</v>
      </c>
      <c r="G3610" s="114">
        <v>1</v>
      </c>
      <c r="H3610" s="114">
        <v>20900</v>
      </c>
      <c r="I3610" s="114">
        <v>20900</v>
      </c>
      <c r="J3610" s="114">
        <v>17563</v>
      </c>
      <c r="K3610" s="114">
        <v>3337</v>
      </c>
      <c r="L3610" s="114" t="str">
        <f t="shared" si="56"/>
        <v>INSERT INTO DETALLES_DOCUMENTO(NRO_DOCUMENTO,ID_TIPO,ID_PRODUCTO,CANTIDAD,PRECIO,VALOR_BRUTO,VALOR_NETO,VALOR_IVA) VALUES(75,2,231,1,20900,20900,17563,3337);</v>
      </c>
    </row>
    <row r="3611" spans="1:12">
      <c r="A3611" s="114">
        <v>2</v>
      </c>
      <c r="B3611" s="114">
        <v>75</v>
      </c>
      <c r="C3611" s="139" t="s">
        <v>2420</v>
      </c>
      <c r="D3611" s="114" t="s">
        <v>2090</v>
      </c>
      <c r="E3611" s="114">
        <v>203</v>
      </c>
      <c r="F3611" s="114">
        <v>264</v>
      </c>
      <c r="G3611" s="114">
        <v>1</v>
      </c>
      <c r="H3611" s="114">
        <v>5000</v>
      </c>
      <c r="I3611" s="114">
        <v>5000</v>
      </c>
      <c r="J3611" s="114">
        <v>4202</v>
      </c>
      <c r="K3611" s="114">
        <v>798</v>
      </c>
      <c r="L3611" s="114" t="str">
        <f t="shared" si="56"/>
        <v>INSERT INTO DETALLES_DOCUMENTO(NRO_DOCUMENTO,ID_TIPO,ID_PRODUCTO,CANTIDAD,PRECIO,VALOR_BRUTO,VALOR_NETO,VALOR_IVA) VALUES(75,2,264,1,5000,5000,4202,798);</v>
      </c>
    </row>
    <row r="3612" spans="1:12">
      <c r="A3612" s="114">
        <v>2</v>
      </c>
      <c r="B3612" s="114">
        <v>75</v>
      </c>
      <c r="C3612" s="139" t="s">
        <v>2420</v>
      </c>
      <c r="D3612" s="114" t="s">
        <v>2090</v>
      </c>
      <c r="E3612" s="114">
        <v>203</v>
      </c>
      <c r="F3612" s="114">
        <v>359</v>
      </c>
      <c r="G3612" s="114">
        <v>1</v>
      </c>
      <c r="H3612" s="114">
        <v>2700</v>
      </c>
      <c r="I3612" s="114">
        <v>2700</v>
      </c>
      <c r="J3612" s="114">
        <v>2269</v>
      </c>
      <c r="K3612" s="114">
        <v>431</v>
      </c>
      <c r="L3612" s="114" t="str">
        <f t="shared" si="56"/>
        <v>INSERT INTO DETALLES_DOCUMENTO(NRO_DOCUMENTO,ID_TIPO,ID_PRODUCTO,CANTIDAD,PRECIO,VALOR_BRUTO,VALOR_NETO,VALOR_IVA) VALUES(75,2,359,1,2700,2700,2269,431);</v>
      </c>
    </row>
    <row r="3613" spans="1:12">
      <c r="A3613" s="114">
        <v>2</v>
      </c>
      <c r="B3613" s="114">
        <v>75</v>
      </c>
      <c r="C3613" s="139" t="s">
        <v>2420</v>
      </c>
      <c r="D3613" s="114" t="s">
        <v>2090</v>
      </c>
      <c r="E3613" s="114">
        <v>203</v>
      </c>
      <c r="F3613" s="114">
        <v>384</v>
      </c>
      <c r="G3613" s="114">
        <v>2</v>
      </c>
      <c r="H3613" s="114">
        <v>5500</v>
      </c>
      <c r="I3613" s="114">
        <v>11000</v>
      </c>
      <c r="J3613" s="114">
        <v>9244</v>
      </c>
      <c r="K3613" s="114">
        <v>1756</v>
      </c>
      <c r="L3613" s="114" t="str">
        <f t="shared" si="56"/>
        <v>INSERT INTO DETALLES_DOCUMENTO(NRO_DOCUMENTO,ID_TIPO,ID_PRODUCTO,CANTIDAD,PRECIO,VALOR_BRUTO,VALOR_NETO,VALOR_IVA) VALUES(75,2,384,2,5500,11000,9244,1756);</v>
      </c>
    </row>
    <row r="3614" spans="1:12">
      <c r="A3614" s="114">
        <v>2</v>
      </c>
      <c r="B3614" s="114">
        <v>75</v>
      </c>
      <c r="C3614" s="139" t="s">
        <v>2420</v>
      </c>
      <c r="D3614" s="114" t="s">
        <v>2090</v>
      </c>
      <c r="E3614" s="114">
        <v>203</v>
      </c>
      <c r="F3614" s="114">
        <v>53</v>
      </c>
      <c r="G3614" s="114">
        <v>1</v>
      </c>
      <c r="H3614" s="114">
        <v>4200</v>
      </c>
      <c r="I3614" s="114">
        <v>4200</v>
      </c>
      <c r="J3614" s="114">
        <v>3529</v>
      </c>
      <c r="K3614" s="114">
        <v>671</v>
      </c>
      <c r="L3614" s="114" t="str">
        <f t="shared" si="56"/>
        <v>INSERT INTO DETALLES_DOCUMENTO(NRO_DOCUMENTO,ID_TIPO,ID_PRODUCTO,CANTIDAD,PRECIO,VALOR_BRUTO,VALOR_NETO,VALOR_IVA) VALUES(75,2,53,1,4200,4200,3529,671);</v>
      </c>
    </row>
    <row r="3615" spans="1:12">
      <c r="A3615" s="114">
        <v>2</v>
      </c>
      <c r="B3615" s="114">
        <v>75</v>
      </c>
      <c r="C3615" s="139" t="s">
        <v>2420</v>
      </c>
      <c r="D3615" s="114" t="s">
        <v>2090</v>
      </c>
      <c r="E3615" s="114">
        <v>203</v>
      </c>
      <c r="F3615" s="114">
        <v>121</v>
      </c>
      <c r="G3615" s="114">
        <v>3</v>
      </c>
      <c r="H3615" s="114">
        <v>750</v>
      </c>
      <c r="I3615" s="114">
        <v>2250</v>
      </c>
      <c r="J3615" s="114">
        <v>1891</v>
      </c>
      <c r="K3615" s="114">
        <v>359</v>
      </c>
      <c r="L3615" s="114" t="str">
        <f t="shared" si="56"/>
        <v>INSERT INTO DETALLES_DOCUMENTO(NRO_DOCUMENTO,ID_TIPO,ID_PRODUCTO,CANTIDAD,PRECIO,VALOR_BRUTO,VALOR_NETO,VALOR_IVA) VALUES(75,2,121,3,750,2250,1891,359);</v>
      </c>
    </row>
    <row r="3616" spans="1:12">
      <c r="A3616" s="114">
        <v>2</v>
      </c>
      <c r="B3616" s="114">
        <v>75</v>
      </c>
      <c r="C3616" s="139" t="s">
        <v>2420</v>
      </c>
      <c r="D3616" s="114" t="s">
        <v>2090</v>
      </c>
      <c r="E3616" s="114">
        <v>203</v>
      </c>
      <c r="F3616" s="114">
        <v>99</v>
      </c>
      <c r="G3616" s="114">
        <v>1</v>
      </c>
      <c r="H3616" s="114">
        <v>1700</v>
      </c>
      <c r="I3616" s="114">
        <v>1700</v>
      </c>
      <c r="J3616" s="114">
        <v>1429</v>
      </c>
      <c r="K3616" s="114">
        <v>271</v>
      </c>
      <c r="L3616" s="114" t="str">
        <f t="shared" si="56"/>
        <v>INSERT INTO DETALLES_DOCUMENTO(NRO_DOCUMENTO,ID_TIPO,ID_PRODUCTO,CANTIDAD,PRECIO,VALOR_BRUTO,VALOR_NETO,VALOR_IVA) VALUES(75,2,99,1,1700,1700,1429,271);</v>
      </c>
    </row>
    <row r="3617" spans="1:12">
      <c r="A3617" s="114">
        <v>2</v>
      </c>
      <c r="B3617" s="114">
        <v>75</v>
      </c>
      <c r="C3617" s="139" t="s">
        <v>2420</v>
      </c>
      <c r="D3617" s="114" t="s">
        <v>2090</v>
      </c>
      <c r="E3617" s="114">
        <v>203</v>
      </c>
      <c r="F3617" s="114">
        <v>171</v>
      </c>
      <c r="G3617" s="114">
        <v>1</v>
      </c>
      <c r="H3617" s="114">
        <v>3700</v>
      </c>
      <c r="I3617" s="114">
        <v>3700</v>
      </c>
      <c r="J3617" s="114">
        <v>3109</v>
      </c>
      <c r="K3617" s="114">
        <v>591</v>
      </c>
      <c r="L3617" s="114" t="str">
        <f t="shared" si="56"/>
        <v>INSERT INTO DETALLES_DOCUMENTO(NRO_DOCUMENTO,ID_TIPO,ID_PRODUCTO,CANTIDAD,PRECIO,VALOR_BRUTO,VALOR_NETO,VALOR_IVA) VALUES(75,2,171,1,3700,3700,3109,591);</v>
      </c>
    </row>
    <row r="3618" spans="1:12">
      <c r="L3618" s="115" t="s">
        <v>2052</v>
      </c>
    </row>
  </sheetData>
  <sortState ref="A2:K3631">
    <sortCondition ref="A2:A3631"/>
    <sortCondition ref="C2:C3631"/>
    <sortCondition ref="E2:E3631"/>
  </sortState>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V4344"/>
  <sheetViews>
    <sheetView workbookViewId="0">
      <selection activeCell="E14" sqref="E14"/>
    </sheetView>
  </sheetViews>
  <sheetFormatPr baseColWidth="10" defaultColWidth="12.6640625" defaultRowHeight="15.75" customHeight="1"/>
  <cols>
    <col min="1" max="1" width="21.109375" customWidth="1"/>
    <col min="2" max="2" width="17.6640625" customWidth="1"/>
    <col min="3" max="3" width="10.6640625" bestFit="1" customWidth="1"/>
    <col min="4" max="4" width="35.44140625" customWidth="1"/>
    <col min="5" max="5" width="45.33203125" customWidth="1"/>
    <col min="6" max="6" width="10.6640625" customWidth="1"/>
    <col min="7" max="8" width="9.88671875" customWidth="1"/>
    <col min="9" max="9" width="16.6640625" customWidth="1"/>
    <col min="10" max="10" width="13.33203125" customWidth="1"/>
    <col min="11" max="12" width="11.88671875" customWidth="1"/>
    <col min="13" max="14" width="10.21875" customWidth="1"/>
    <col min="15" max="15" width="6.109375" customWidth="1"/>
    <col min="16" max="16" width="24.33203125" customWidth="1"/>
    <col min="17" max="17" width="7.21875" customWidth="1"/>
    <col min="18" max="18" width="10.44140625" bestFit="1" customWidth="1"/>
    <col min="19" max="19" width="21.6640625" customWidth="1"/>
    <col min="20" max="20" width="15.88671875" customWidth="1"/>
    <col min="21" max="21" width="6" customWidth="1"/>
    <col min="26" max="26" width="8.44140625" customWidth="1"/>
    <col min="27" max="29" width="24.6640625" customWidth="1"/>
    <col min="30" max="30" width="17.44140625" customWidth="1"/>
    <col min="31" max="31" width="18.33203125" customWidth="1"/>
    <col min="35" max="35" width="17.33203125" customWidth="1"/>
    <col min="36" max="36" width="33.77734375" customWidth="1"/>
  </cols>
  <sheetData>
    <row r="1" spans="1:48" ht="39.6">
      <c r="A1" s="1" t="s">
        <v>0</v>
      </c>
      <c r="B1" s="2" t="s">
        <v>1</v>
      </c>
      <c r="C1" s="3" t="s">
        <v>2</v>
      </c>
      <c r="D1" s="2" t="s">
        <v>3</v>
      </c>
      <c r="E1" s="2" t="s">
        <v>4</v>
      </c>
      <c r="F1" s="2" t="s">
        <v>5</v>
      </c>
      <c r="G1" s="4" t="s">
        <v>6</v>
      </c>
      <c r="H1" s="4" t="s">
        <v>7</v>
      </c>
      <c r="I1" s="5" t="s">
        <v>8</v>
      </c>
      <c r="J1" s="5" t="s">
        <v>9</v>
      </c>
      <c r="K1" s="4" t="s">
        <v>10</v>
      </c>
      <c r="L1" s="4" t="s">
        <v>11</v>
      </c>
      <c r="M1" s="4" t="s">
        <v>12</v>
      </c>
      <c r="N1" s="4" t="s">
        <v>13</v>
      </c>
      <c r="O1" s="6" t="s">
        <v>14</v>
      </c>
      <c r="P1" s="5" t="s">
        <v>15</v>
      </c>
      <c r="Q1" s="2" t="s">
        <v>16</v>
      </c>
      <c r="R1" s="7" t="s">
        <v>17</v>
      </c>
      <c r="S1" s="2" t="s">
        <v>18</v>
      </c>
      <c r="T1" s="2" t="s">
        <v>19</v>
      </c>
      <c r="U1" s="8" t="s">
        <v>20</v>
      </c>
      <c r="V1" s="5" t="s">
        <v>21</v>
      </c>
      <c r="W1" s="5" t="s">
        <v>22</v>
      </c>
      <c r="X1" s="5" t="s">
        <v>23</v>
      </c>
      <c r="Y1" s="5" t="s">
        <v>24</v>
      </c>
      <c r="Z1" s="5" t="s">
        <v>25</v>
      </c>
      <c r="AA1" s="6" t="s">
        <v>26</v>
      </c>
      <c r="AB1" s="6" t="s">
        <v>27</v>
      </c>
      <c r="AC1" s="5" t="s">
        <v>28</v>
      </c>
      <c r="AD1" s="9" t="s">
        <v>29</v>
      </c>
      <c r="AE1" s="9" t="s">
        <v>30</v>
      </c>
      <c r="AF1" s="10" t="s">
        <v>31</v>
      </c>
      <c r="AG1" s="10" t="s">
        <v>32</v>
      </c>
      <c r="AH1" s="10" t="s">
        <v>33</v>
      </c>
      <c r="AI1" s="10" t="s">
        <v>0</v>
      </c>
      <c r="AJ1" s="10" t="s">
        <v>34</v>
      </c>
      <c r="AK1" s="10" t="s">
        <v>5</v>
      </c>
    </row>
    <row r="2" spans="1:48" s="104" customFormat="1" ht="15.75" customHeight="1">
      <c r="A2" s="96" t="s">
        <v>35</v>
      </c>
      <c r="B2" s="97" t="s">
        <v>1692</v>
      </c>
      <c r="C2" s="98">
        <v>45918</v>
      </c>
      <c r="D2" s="97" t="s">
        <v>915</v>
      </c>
      <c r="E2" s="97" t="s">
        <v>37</v>
      </c>
      <c r="F2" s="96">
        <v>1</v>
      </c>
      <c r="G2" s="99">
        <f>VLOOKUP(E2,Precios!B$2:N$941,12,FALSE)</f>
        <v>11000.014358944907</v>
      </c>
      <c r="H2" s="99">
        <f t="shared" ref="H2:H810" si="0">G2*F2</f>
        <v>11000.014358944907</v>
      </c>
      <c r="I2" s="97" t="s">
        <v>38</v>
      </c>
      <c r="J2" s="97" t="s">
        <v>38</v>
      </c>
      <c r="K2" s="24" t="s">
        <v>177</v>
      </c>
      <c r="L2" s="100"/>
      <c r="M2" s="99">
        <f t="shared" ref="M2:N2" si="1">G2/1.19</f>
        <v>9243.7095453318543</v>
      </c>
      <c r="N2" s="99">
        <f t="shared" si="1"/>
        <v>9243.7095453318543</v>
      </c>
      <c r="O2" s="99">
        <f t="shared" ref="O2:O810" si="2">H2-N2</f>
        <v>1756.3048136130528</v>
      </c>
      <c r="P2" s="97"/>
      <c r="Q2" s="96">
        <f t="shared" ref="Q2:Q810" si="3">YEAR(C2)</f>
        <v>2025</v>
      </c>
      <c r="R2" s="101">
        <f>VLOOKUP(MONTH(C2),'Datos Maestros'!M$2:N$14,2,FALSE)</f>
        <v>45536</v>
      </c>
      <c r="S2" s="100" t="str">
        <f>VLOOKUP(E2,Precios!B$2:W$941,3,FALSE)</f>
        <v>Queso Mantecoso</v>
      </c>
      <c r="T2" s="96">
        <f>VLOOKUP(E2,Precios!B$2:N$941,4,FALSE)*F2</f>
        <v>1000</v>
      </c>
      <c r="U2" s="97"/>
      <c r="V2" s="99">
        <f>VLOOKUP(E2,Precios!B$2:N$941,13,FALSE)*F2</f>
        <v>2806.1129066763915</v>
      </c>
      <c r="W2" s="99">
        <f t="shared" ref="W2:W810" si="4">V2-X2</f>
        <v>2806.1129066763915</v>
      </c>
      <c r="X2" s="99">
        <f>VLOOKUP(B2,'Datos Maestros'!$C$2:$D$7,2,FALSE)*V2</f>
        <v>0</v>
      </c>
      <c r="Y2" s="102">
        <f t="shared" ref="Y2:Y810" si="5">C2-WEEKDAY(C2)+ IF(WEEKDAY(C2)=1,-5,2)</f>
        <v>45915</v>
      </c>
      <c r="Z2" s="97" t="s">
        <v>39</v>
      </c>
      <c r="AA2" s="103" t="str">
        <f>VLOOKUP(D2,Clientes!$A$2:$J$486,9,FALSE)</f>
        <v>Regular</v>
      </c>
      <c r="AB2" s="97" t="str">
        <f>VLOOKUP(D2,Clientes!$A$2:$K$486,11,FALSE)</f>
        <v>Persona Natural</v>
      </c>
      <c r="AC2" s="97" t="str">
        <f>VLOOKUP(D2,Clientes!$A$2:$B$486,2,FALSE)</f>
        <v>Jardin del Eden</v>
      </c>
      <c r="AD2" s="97"/>
      <c r="AE2" s="97"/>
      <c r="AF2" s="97" t="s">
        <v>40</v>
      </c>
      <c r="AG2" s="101">
        <f t="shared" ref="AG2:AG810" si="6">R2</f>
        <v>45536</v>
      </c>
      <c r="AH2" s="97" t="s">
        <v>41</v>
      </c>
      <c r="AI2" s="97" t="str">
        <f t="shared" ref="AI2:AI810" si="7">A2</f>
        <v>Quesos</v>
      </c>
      <c r="AJ2" s="97" t="str">
        <f>VLOOKUP(E2,Precios!Z$2:AA$941,2,FALSE)</f>
        <v>Queso RUNCA Mantecoso</v>
      </c>
      <c r="AK2" s="96">
        <f>VLOOKUP(E2,Precios!Z$2:BB$941,3,FALSE)*F2</f>
        <v>-1</v>
      </c>
      <c r="AL2" s="97"/>
      <c r="AM2" s="97"/>
      <c r="AN2" s="97"/>
      <c r="AO2" s="97"/>
      <c r="AP2" s="97"/>
      <c r="AQ2" s="97"/>
      <c r="AR2" s="97"/>
      <c r="AS2" s="97"/>
      <c r="AT2" s="97"/>
      <c r="AU2" s="97"/>
      <c r="AV2" s="97"/>
    </row>
    <row r="3" spans="1:48" s="104" customFormat="1" ht="15.75" customHeight="1">
      <c r="A3" s="96" t="s">
        <v>35</v>
      </c>
      <c r="B3" s="23" t="s">
        <v>1692</v>
      </c>
      <c r="C3" s="98">
        <v>45917</v>
      </c>
      <c r="D3" s="97" t="s">
        <v>42</v>
      </c>
      <c r="E3" s="97" t="s">
        <v>37</v>
      </c>
      <c r="F3" s="96">
        <v>1</v>
      </c>
      <c r="G3" s="99">
        <f>VLOOKUP(E3,Precios!B$2:N$941,12,FALSE)</f>
        <v>11000.014358944907</v>
      </c>
      <c r="H3" s="99">
        <f t="shared" si="0"/>
        <v>11000.014358944907</v>
      </c>
      <c r="I3" s="97" t="s">
        <v>38</v>
      </c>
      <c r="J3" s="97" t="s">
        <v>38</v>
      </c>
      <c r="K3" s="24" t="s">
        <v>177</v>
      </c>
      <c r="L3" s="100"/>
      <c r="M3" s="99">
        <f t="shared" ref="M3:N3" si="8">G3/1.19</f>
        <v>9243.7095453318543</v>
      </c>
      <c r="N3" s="99">
        <f t="shared" si="8"/>
        <v>9243.7095453318543</v>
      </c>
      <c r="O3" s="99">
        <f t="shared" si="2"/>
        <v>1756.3048136130528</v>
      </c>
      <c r="P3" s="97"/>
      <c r="Q3" s="96">
        <f t="shared" si="3"/>
        <v>2025</v>
      </c>
      <c r="R3" s="101">
        <f>VLOOKUP(MONTH(C3),'Datos Maestros'!M$2:N$14,2,FALSE)</f>
        <v>45536</v>
      </c>
      <c r="S3" s="100" t="str">
        <f>VLOOKUP(E3,Precios!B$2:W$941,3,FALSE)</f>
        <v>Queso Mantecoso</v>
      </c>
      <c r="T3" s="96">
        <f>VLOOKUP(E3,Precios!B$2:N$941,4,FALSE)*F3</f>
        <v>1000</v>
      </c>
      <c r="U3" s="97"/>
      <c r="V3" s="99">
        <f>VLOOKUP(E3,Precios!B$2:N$941,13,FALSE)*F3</f>
        <v>2806.1129066763915</v>
      </c>
      <c r="W3" s="99">
        <f t="shared" si="4"/>
        <v>2806.1129066763915</v>
      </c>
      <c r="X3" s="99">
        <f>VLOOKUP(B3,'Datos Maestros'!$C$2:$D$7,2,FALSE)*V3</f>
        <v>0</v>
      </c>
      <c r="Y3" s="102">
        <f t="shared" si="5"/>
        <v>45915</v>
      </c>
      <c r="Z3" s="97" t="s">
        <v>39</v>
      </c>
      <c r="AA3" s="103" t="str">
        <f>VLOOKUP(D3,Clientes!$A$2:$J$486,9,FALSE)</f>
        <v>Frecuente</v>
      </c>
      <c r="AB3" s="97" t="str">
        <f>VLOOKUP(D3,Clientes!$A$2:$K$486,11,FALSE)</f>
        <v>Persona Natural</v>
      </c>
      <c r="AC3" s="97" t="str">
        <f>VLOOKUP(D3,Clientes!$A$2:$B$486,2,FALSE)</f>
        <v>Sector Diego Portales</v>
      </c>
      <c r="AD3" s="97"/>
      <c r="AE3" s="97"/>
      <c r="AF3" s="97" t="s">
        <v>40</v>
      </c>
      <c r="AG3" s="101">
        <f t="shared" si="6"/>
        <v>45536</v>
      </c>
      <c r="AH3" s="97" t="s">
        <v>41</v>
      </c>
      <c r="AI3" s="97" t="str">
        <f t="shared" si="7"/>
        <v>Quesos</v>
      </c>
      <c r="AJ3" s="97" t="str">
        <f>VLOOKUP(E3,Precios!Z$2:AA$941,2,FALSE)</f>
        <v>Queso RUNCA Mantecoso</v>
      </c>
      <c r="AK3" s="96">
        <f>VLOOKUP(E3,Precios!Z$2:BB$941,3,FALSE)*F3</f>
        <v>-1</v>
      </c>
      <c r="AL3" s="97"/>
      <c r="AM3" s="97"/>
      <c r="AN3" s="97"/>
      <c r="AO3" s="97"/>
      <c r="AP3" s="97"/>
      <c r="AQ3" s="97"/>
      <c r="AR3" s="97"/>
      <c r="AS3" s="97"/>
      <c r="AT3" s="97"/>
      <c r="AU3" s="97"/>
      <c r="AV3" s="97"/>
    </row>
    <row r="4" spans="1:48" s="104" customFormat="1" ht="15.75" customHeight="1">
      <c r="A4" s="96" t="s">
        <v>43</v>
      </c>
      <c r="B4" s="23" t="s">
        <v>1692</v>
      </c>
      <c r="C4" s="98">
        <v>45917</v>
      </c>
      <c r="D4" s="97" t="s">
        <v>44</v>
      </c>
      <c r="E4" s="97" t="s">
        <v>45</v>
      </c>
      <c r="F4" s="96">
        <v>1</v>
      </c>
      <c r="G4" s="99">
        <f>VLOOKUP(E4,Precios!B$2:N$941,12,FALSE)</f>
        <v>8000.1831784723063</v>
      </c>
      <c r="H4" s="99">
        <f t="shared" si="0"/>
        <v>8000.1831784723063</v>
      </c>
      <c r="I4" s="97" t="s">
        <v>38</v>
      </c>
      <c r="J4" s="97" t="s">
        <v>38</v>
      </c>
      <c r="K4" s="24" t="s">
        <v>177</v>
      </c>
      <c r="L4" s="100"/>
      <c r="M4" s="99">
        <f t="shared" ref="M4:N4" si="9">G4/1.19</f>
        <v>6722.8430071195853</v>
      </c>
      <c r="N4" s="99">
        <f t="shared" si="9"/>
        <v>6722.8430071195853</v>
      </c>
      <c r="O4" s="99">
        <f t="shared" si="2"/>
        <v>1277.340171352721</v>
      </c>
      <c r="P4" s="97"/>
      <c r="Q4" s="96">
        <f t="shared" si="3"/>
        <v>2025</v>
      </c>
      <c r="R4" s="101">
        <f>VLOOKUP(MONTH(C4),'Datos Maestros'!M$2:N$14,2,FALSE)</f>
        <v>45536</v>
      </c>
      <c r="S4" s="100" t="str">
        <f>VLOOKUP(E4,Precios!B$2:W$941,3,FALSE)</f>
        <v>Huevos EXTRA</v>
      </c>
      <c r="T4" s="96">
        <f>VLOOKUP(E4,Precios!B$2:N$941,4,FALSE)*F4</f>
        <v>0</v>
      </c>
      <c r="U4" s="97"/>
      <c r="V4" s="99">
        <f>VLOOKUP(E4,Precios!B$2:N$941,13,FALSE)*F4</f>
        <v>1151.6230071195851</v>
      </c>
      <c r="W4" s="99">
        <f t="shared" si="4"/>
        <v>1151.6230071195851</v>
      </c>
      <c r="X4" s="99">
        <f>VLOOKUP(B4,'Datos Maestros'!$C$2:$D$7,2,FALSE)*V4</f>
        <v>0</v>
      </c>
      <c r="Y4" s="102">
        <f t="shared" si="5"/>
        <v>45915</v>
      </c>
      <c r="Z4" s="97" t="s">
        <v>39</v>
      </c>
      <c r="AA4" s="103" t="str">
        <f>VLOOKUP(D4,Clientes!$A$2:$J$486,9,FALSE)</f>
        <v>Frecuente</v>
      </c>
      <c r="AB4" s="97" t="str">
        <f>VLOOKUP(D4,Clientes!$A$2:$K$486,11,FALSE)</f>
        <v>Persona Natural</v>
      </c>
      <c r="AC4" s="97" t="str">
        <f>VLOOKUP(D4,Clientes!$A$2:$B$486,2,FALSE)</f>
        <v>Sector Colombia</v>
      </c>
      <c r="AD4" s="97"/>
      <c r="AE4" s="97"/>
      <c r="AF4" s="97" t="s">
        <v>40</v>
      </c>
      <c r="AG4" s="101">
        <f t="shared" si="6"/>
        <v>45536</v>
      </c>
      <c r="AH4" s="97" t="s">
        <v>41</v>
      </c>
      <c r="AI4" s="97" t="str">
        <f t="shared" si="7"/>
        <v>Huevos</v>
      </c>
      <c r="AJ4" s="97" t="str">
        <f>VLOOKUP(E4,Precios!Z$2:AA$941,2,FALSE)</f>
        <v>Bandeja Huevos EXTRA</v>
      </c>
      <c r="AK4" s="96">
        <f>VLOOKUP(E4,Precios!Z$2:BB$941,3,FALSE)*F4</f>
        <v>-1</v>
      </c>
      <c r="AL4" s="97"/>
      <c r="AM4" s="97"/>
      <c r="AN4" s="97"/>
      <c r="AO4" s="97"/>
      <c r="AP4" s="97"/>
      <c r="AQ4" s="97"/>
      <c r="AR4" s="97"/>
      <c r="AS4" s="97"/>
      <c r="AT4" s="97"/>
      <c r="AU4" s="97"/>
      <c r="AV4" s="97"/>
    </row>
    <row r="5" spans="1:48" s="104" customFormat="1" ht="15.75" customHeight="1">
      <c r="A5" s="96" t="s">
        <v>35</v>
      </c>
      <c r="B5" s="23" t="s">
        <v>1692</v>
      </c>
      <c r="C5" s="98">
        <v>45917</v>
      </c>
      <c r="D5" s="97" t="s">
        <v>44</v>
      </c>
      <c r="E5" s="97" t="s">
        <v>46</v>
      </c>
      <c r="F5" s="96">
        <v>1</v>
      </c>
      <c r="G5" s="99">
        <f>VLOOKUP(E5,Precios!B$2:N$941,12,FALSE)</f>
        <v>6000.1548227279782</v>
      </c>
      <c r="H5" s="99">
        <f t="shared" si="0"/>
        <v>6000.1548227279782</v>
      </c>
      <c r="I5" s="97" t="s">
        <v>38</v>
      </c>
      <c r="J5" s="97" t="s">
        <v>38</v>
      </c>
      <c r="K5" s="24" t="s">
        <v>177</v>
      </c>
      <c r="L5" s="100"/>
      <c r="M5" s="99">
        <f t="shared" ref="M5:N5" si="10">G5/1.19</f>
        <v>5042.1469098554444</v>
      </c>
      <c r="N5" s="99">
        <f t="shared" si="10"/>
        <v>5042.1469098554444</v>
      </c>
      <c r="O5" s="99">
        <f t="shared" si="2"/>
        <v>958.00791287253378</v>
      </c>
      <c r="P5" s="97"/>
      <c r="Q5" s="96">
        <f t="shared" si="3"/>
        <v>2025</v>
      </c>
      <c r="R5" s="101">
        <f>VLOOKUP(MONTH(C5),'Datos Maestros'!M$2:N$14,2,FALSE)</f>
        <v>45536</v>
      </c>
      <c r="S5" s="100" t="str">
        <f>VLOOKUP(E5,Precios!B$2:W$941,3,FALSE)</f>
        <v>Queso Mantecoso</v>
      </c>
      <c r="T5" s="96">
        <f>VLOOKUP(E5,Precios!B$2:N$941,4,FALSE)*F5</f>
        <v>500</v>
      </c>
      <c r="U5" s="97"/>
      <c r="V5" s="99">
        <f>VLOOKUP(E5,Precios!B$2:N$941,13,FALSE)*F5</f>
        <v>1785.4242207798129</v>
      </c>
      <c r="W5" s="99">
        <f t="shared" si="4"/>
        <v>1785.4242207798129</v>
      </c>
      <c r="X5" s="99">
        <f>VLOOKUP(B5,'Datos Maestros'!$C$2:$D$7,2,FALSE)*V5</f>
        <v>0</v>
      </c>
      <c r="Y5" s="102">
        <f t="shared" si="5"/>
        <v>45915</v>
      </c>
      <c r="Z5" s="97" t="s">
        <v>39</v>
      </c>
      <c r="AA5" s="103" t="str">
        <f>VLOOKUP(D5,Clientes!$A$2:$J$486,9,FALSE)</f>
        <v>Frecuente</v>
      </c>
      <c r="AB5" s="97" t="str">
        <f>VLOOKUP(D5,Clientes!$A$2:$K$486,11,FALSE)</f>
        <v>Persona Natural</v>
      </c>
      <c r="AC5" s="97" t="str">
        <f>VLOOKUP(D5,Clientes!$A$2:$B$486,2,FALSE)</f>
        <v>Sector Colombia</v>
      </c>
      <c r="AD5" s="97"/>
      <c r="AE5" s="97"/>
      <c r="AF5" s="97" t="s">
        <v>40</v>
      </c>
      <c r="AG5" s="101">
        <f t="shared" si="6"/>
        <v>45536</v>
      </c>
      <c r="AH5" s="97" t="s">
        <v>41</v>
      </c>
      <c r="AI5" s="97" t="str">
        <f t="shared" si="7"/>
        <v>Quesos</v>
      </c>
      <c r="AJ5" s="97" t="str">
        <f>VLOOKUP(E5,Precios!Z$2:AA$941,2,FALSE)</f>
        <v>Queso RUNCA Mantecoso</v>
      </c>
      <c r="AK5" s="96">
        <f>VLOOKUP(E5,Precios!Z$2:BB$941,3,FALSE)*F5</f>
        <v>-0.5</v>
      </c>
      <c r="AL5" s="97"/>
      <c r="AM5" s="97"/>
      <c r="AN5" s="97"/>
      <c r="AO5" s="97"/>
      <c r="AP5" s="97"/>
      <c r="AQ5" s="97"/>
      <c r="AR5" s="97"/>
      <c r="AS5" s="97"/>
      <c r="AT5" s="97"/>
      <c r="AU5" s="97"/>
      <c r="AV5" s="97"/>
    </row>
    <row r="6" spans="1:48" s="104" customFormat="1" ht="15.75" customHeight="1">
      <c r="A6" s="96" t="s">
        <v>47</v>
      </c>
      <c r="B6" s="23" t="s">
        <v>1692</v>
      </c>
      <c r="C6" s="98">
        <v>45917</v>
      </c>
      <c r="D6" s="97" t="s">
        <v>44</v>
      </c>
      <c r="E6" s="97" t="s">
        <v>48</v>
      </c>
      <c r="F6" s="96">
        <v>1</v>
      </c>
      <c r="G6" s="99">
        <f>VLOOKUP(E6,Precios!B$2:N$941,12,FALSE)</f>
        <v>1000</v>
      </c>
      <c r="H6" s="99">
        <f t="shared" si="0"/>
        <v>1000</v>
      </c>
      <c r="I6" s="97" t="s">
        <v>38</v>
      </c>
      <c r="J6" s="97" t="s">
        <v>38</v>
      </c>
      <c r="K6" s="24" t="s">
        <v>177</v>
      </c>
      <c r="L6" s="100"/>
      <c r="M6" s="99">
        <f t="shared" ref="M6:N6" si="11">G6/1.19</f>
        <v>840.3361344537816</v>
      </c>
      <c r="N6" s="99">
        <f t="shared" si="11"/>
        <v>840.3361344537816</v>
      </c>
      <c r="O6" s="99">
        <f t="shared" si="2"/>
        <v>159.6638655462184</v>
      </c>
      <c r="P6" s="97"/>
      <c r="Q6" s="96">
        <f t="shared" si="3"/>
        <v>2025</v>
      </c>
      <c r="R6" s="101">
        <f>VLOOKUP(MONTH(C6),'Datos Maestros'!M$2:N$14,2,FALSE)</f>
        <v>45536</v>
      </c>
      <c r="S6" s="100" t="str">
        <f>VLOOKUP(E6,Precios!B$2:W$941,3,FALSE)</f>
        <v>Esponjas</v>
      </c>
      <c r="T6" s="96">
        <f>VLOOKUP(E6,Precios!B$2:N$941,4,FALSE)*F6</f>
        <v>0</v>
      </c>
      <c r="U6" s="97"/>
      <c r="V6" s="99">
        <f>VLOOKUP(E6,Precios!B$2:N$941,13,FALSE)*F6</f>
        <v>330.33613445378148</v>
      </c>
      <c r="W6" s="99">
        <f t="shared" si="4"/>
        <v>330.33613445378148</v>
      </c>
      <c r="X6" s="99">
        <f>VLOOKUP(B6,'Datos Maestros'!$C$2:$D$7,2,FALSE)*V6</f>
        <v>0</v>
      </c>
      <c r="Y6" s="102">
        <f t="shared" si="5"/>
        <v>45915</v>
      </c>
      <c r="Z6" s="97" t="s">
        <v>39</v>
      </c>
      <c r="AA6" s="103" t="str">
        <f>VLOOKUP(D6,Clientes!$A$2:$J$486,9,FALSE)</f>
        <v>Frecuente</v>
      </c>
      <c r="AB6" s="97" t="str">
        <f>VLOOKUP(D6,Clientes!$A$2:$K$486,11,FALSE)</f>
        <v>Persona Natural</v>
      </c>
      <c r="AC6" s="97" t="str">
        <f>VLOOKUP(D6,Clientes!$A$2:$B$486,2,FALSE)</f>
        <v>Sector Colombia</v>
      </c>
      <c r="AD6" s="97"/>
      <c r="AE6" s="97"/>
      <c r="AF6" s="97" t="s">
        <v>40</v>
      </c>
      <c r="AG6" s="101">
        <f t="shared" si="6"/>
        <v>45536</v>
      </c>
      <c r="AH6" s="97" t="s">
        <v>41</v>
      </c>
      <c r="AI6" s="97" t="str">
        <f t="shared" si="7"/>
        <v>Articulos de Aseo</v>
      </c>
      <c r="AJ6" s="97" t="str">
        <f>VLOOKUP(E6,Precios!Z$2:AA$941,2,FALSE)</f>
        <v>Esponja Acanalada TEDDY</v>
      </c>
      <c r="AK6" s="96">
        <f>VLOOKUP(E6,Precios!Z$2:BB$941,3,FALSE)*F6</f>
        <v>-5</v>
      </c>
      <c r="AL6" s="97"/>
      <c r="AM6" s="97"/>
      <c r="AN6" s="97"/>
      <c r="AO6" s="97"/>
      <c r="AP6" s="97"/>
      <c r="AQ6" s="97"/>
      <c r="AR6" s="97"/>
      <c r="AS6" s="97"/>
      <c r="AT6" s="97"/>
      <c r="AU6" s="97"/>
      <c r="AV6" s="97"/>
    </row>
    <row r="7" spans="1:48" s="104" customFormat="1" ht="15.75" customHeight="1">
      <c r="A7" s="96" t="s">
        <v>47</v>
      </c>
      <c r="B7" s="23" t="s">
        <v>1692</v>
      </c>
      <c r="C7" s="98">
        <v>45917</v>
      </c>
      <c r="D7" s="97" t="s">
        <v>44</v>
      </c>
      <c r="E7" s="97" t="s">
        <v>49</v>
      </c>
      <c r="F7" s="96">
        <v>1</v>
      </c>
      <c r="G7" s="99">
        <f>VLOOKUP(E7,Precios!B$2:N$941,12,FALSE)</f>
        <v>4500.0000000000009</v>
      </c>
      <c r="H7" s="99">
        <f t="shared" si="0"/>
        <v>4500.0000000000009</v>
      </c>
      <c r="I7" s="97" t="s">
        <v>38</v>
      </c>
      <c r="J7" s="97" t="s">
        <v>38</v>
      </c>
      <c r="K7" s="24" t="s">
        <v>177</v>
      </c>
      <c r="L7" s="100"/>
      <c r="M7" s="99">
        <f t="shared" ref="M7:N7" si="12">G7/1.19</f>
        <v>3781.5126050420176</v>
      </c>
      <c r="N7" s="99">
        <f t="shared" si="12"/>
        <v>3781.5126050420176</v>
      </c>
      <c r="O7" s="99">
        <f t="shared" si="2"/>
        <v>718.48739495798327</v>
      </c>
      <c r="P7" s="97"/>
      <c r="Q7" s="96">
        <f t="shared" si="3"/>
        <v>2025</v>
      </c>
      <c r="R7" s="101">
        <f>VLOOKUP(MONTH(C7),'Datos Maestros'!M$2:N$14,2,FALSE)</f>
        <v>45536</v>
      </c>
      <c r="S7" s="100" t="str">
        <f>VLOOKUP(E7,Precios!B$2:W$941,3,FALSE)</f>
        <v>Jabon Liquido</v>
      </c>
      <c r="T7" s="96">
        <f>VLOOKUP(E7,Precios!B$2:N$941,4,FALSE)*F7</f>
        <v>0</v>
      </c>
      <c r="U7" s="97"/>
      <c r="V7" s="99">
        <f>VLOOKUP(E7,Precios!B$2:N$941,13,FALSE)*F7</f>
        <v>988.23529411764775</v>
      </c>
      <c r="W7" s="99">
        <f t="shared" si="4"/>
        <v>988.23529411764775</v>
      </c>
      <c r="X7" s="99">
        <f>VLOOKUP(B7,'Datos Maestros'!$C$2:$D$7,2,FALSE)*V7</f>
        <v>0</v>
      </c>
      <c r="Y7" s="102">
        <f t="shared" si="5"/>
        <v>45915</v>
      </c>
      <c r="Z7" s="97" t="s">
        <v>39</v>
      </c>
      <c r="AA7" s="103" t="str">
        <f>VLOOKUP(D7,Clientes!$A$2:$J$486,9,FALSE)</f>
        <v>Frecuente</v>
      </c>
      <c r="AB7" s="97" t="str">
        <f>VLOOKUP(D7,Clientes!$A$2:$K$486,11,FALSE)</f>
        <v>Persona Natural</v>
      </c>
      <c r="AC7" s="97" t="str">
        <f>VLOOKUP(D7,Clientes!$A$2:$B$486,2,FALSE)</f>
        <v>Sector Colombia</v>
      </c>
      <c r="AD7" s="97"/>
      <c r="AE7" s="97"/>
      <c r="AF7" s="97" t="s">
        <v>40</v>
      </c>
      <c r="AG7" s="101">
        <f t="shared" si="6"/>
        <v>45536</v>
      </c>
      <c r="AH7" s="97" t="s">
        <v>41</v>
      </c>
      <c r="AI7" s="97" t="str">
        <f t="shared" si="7"/>
        <v>Articulos de Aseo</v>
      </c>
      <c r="AJ7" s="97" t="str">
        <f>VLOOKUP(E7,Precios!Z$2:AA$941,2,FALSE)</f>
        <v>Jabón Lìquido BALLERINA</v>
      </c>
      <c r="AK7" s="96">
        <f>VLOOKUP(E7,Precios!Z$2:BB$941,3,FALSE)*F7</f>
        <v>-3</v>
      </c>
      <c r="AL7" s="97"/>
      <c r="AM7" s="97"/>
      <c r="AN7" s="97"/>
      <c r="AO7" s="97"/>
      <c r="AP7" s="97"/>
      <c r="AQ7" s="97"/>
      <c r="AR7" s="97"/>
      <c r="AS7" s="97"/>
      <c r="AT7" s="97"/>
      <c r="AU7" s="97"/>
      <c r="AV7" s="97"/>
    </row>
    <row r="8" spans="1:48" ht="15.75" customHeight="1">
      <c r="A8" s="21" t="s">
        <v>50</v>
      </c>
      <c r="B8" s="23" t="s">
        <v>1692</v>
      </c>
      <c r="C8" s="22">
        <v>45916</v>
      </c>
      <c r="D8" s="23" t="s">
        <v>915</v>
      </c>
      <c r="E8" s="23" t="s">
        <v>51</v>
      </c>
      <c r="F8" s="21">
        <v>2</v>
      </c>
      <c r="G8" s="12">
        <f>VLOOKUP(E8,Precios!B$2:N$941,12,FALSE)</f>
        <v>1000.0000000000001</v>
      </c>
      <c r="H8" s="12">
        <f t="shared" si="0"/>
        <v>2000.0000000000002</v>
      </c>
      <c r="I8" s="23" t="s">
        <v>52</v>
      </c>
      <c r="J8" s="13" t="s">
        <v>38</v>
      </c>
      <c r="K8" s="24" t="s">
        <v>177</v>
      </c>
      <c r="L8" s="11"/>
      <c r="M8" s="12">
        <f t="shared" ref="M8:N8" si="13">G8/1.19</f>
        <v>840.3361344537816</v>
      </c>
      <c r="N8" s="12">
        <f t="shared" si="13"/>
        <v>1680.6722689075632</v>
      </c>
      <c r="O8" s="12">
        <f t="shared" si="2"/>
        <v>319.32773109243703</v>
      </c>
      <c r="P8" s="13"/>
      <c r="Q8" s="14">
        <f t="shared" si="3"/>
        <v>2025</v>
      </c>
      <c r="R8" s="15">
        <f>VLOOKUP(MONTH(C8),'Datos Maestros'!M$2:N$14,2,FALSE)</f>
        <v>45536</v>
      </c>
      <c r="S8" s="11" t="str">
        <f>VLOOKUP(E8,Precios!B$2:W$941,3,FALSE)</f>
        <v>Hielo 1 Kilo</v>
      </c>
      <c r="T8" s="16">
        <f>VLOOKUP(E8,Precios!B$2:N$941,4,FALSE)*F8</f>
        <v>0</v>
      </c>
      <c r="U8" s="17"/>
      <c r="V8" s="12">
        <f>VLOOKUP(E8,Precios!B$2:N$941,13,FALSE)*F8</f>
        <v>880.67226890756319</v>
      </c>
      <c r="W8" s="12">
        <f t="shared" si="4"/>
        <v>880.67226890756319</v>
      </c>
      <c r="X8" s="12">
        <f>VLOOKUP(B8,'Datos Maestros'!$C$2:$D$7,2,FALSE)*V8</f>
        <v>0</v>
      </c>
      <c r="Y8" s="18">
        <f t="shared" si="5"/>
        <v>45915</v>
      </c>
      <c r="Z8" s="13" t="s">
        <v>39</v>
      </c>
      <c r="AA8" s="19" t="str">
        <f>VLOOKUP(D8,Clientes!$A$2:$J$486,9,FALSE)</f>
        <v>Regular</v>
      </c>
      <c r="AB8" s="13" t="str">
        <f>VLOOKUP(D8,Clientes!$A$2:$K$486,11,FALSE)</f>
        <v>Persona Natural</v>
      </c>
      <c r="AC8" s="13" t="str">
        <f>VLOOKUP(D8,Clientes!$A$2:$B$486,2,FALSE)</f>
        <v>Jardin del Eden</v>
      </c>
      <c r="AD8" s="20"/>
      <c r="AE8" s="20"/>
      <c r="AF8" s="13" t="s">
        <v>40</v>
      </c>
      <c r="AG8" s="15">
        <f t="shared" si="6"/>
        <v>45536</v>
      </c>
      <c r="AH8" s="13" t="s">
        <v>41</v>
      </c>
      <c r="AI8" s="13" t="str">
        <f t="shared" si="7"/>
        <v>Licores</v>
      </c>
      <c r="AJ8" s="13" t="str">
        <f>VLOOKUP(E8,Precios!Z$2:AA$941,2,FALSE)</f>
        <v>Hielo 1 Kilo</v>
      </c>
      <c r="AK8" s="14">
        <f>VLOOKUP(E8,Precios!Z$2:BB$941,3,FALSE)*F8</f>
        <v>-2</v>
      </c>
      <c r="AL8" s="17"/>
      <c r="AM8" s="17"/>
      <c r="AN8" s="17"/>
      <c r="AO8" s="17"/>
      <c r="AP8" s="17"/>
      <c r="AQ8" s="17"/>
      <c r="AR8" s="17"/>
      <c r="AS8" s="17"/>
      <c r="AT8" s="17"/>
      <c r="AU8" s="17"/>
      <c r="AV8" s="17"/>
    </row>
    <row r="9" spans="1:48" ht="15.75" customHeight="1">
      <c r="A9" s="21" t="s">
        <v>53</v>
      </c>
      <c r="B9" s="23" t="s">
        <v>1692</v>
      </c>
      <c r="C9" s="22">
        <v>45916</v>
      </c>
      <c r="D9" s="23" t="s">
        <v>54</v>
      </c>
      <c r="E9" s="23" t="s">
        <v>55</v>
      </c>
      <c r="F9" s="21">
        <v>1</v>
      </c>
      <c r="G9" s="12">
        <f>VLOOKUP(E9,Precios!B$2:N$941,12,FALSE)</f>
        <v>20899.91124296327</v>
      </c>
      <c r="H9" s="12">
        <f t="shared" si="0"/>
        <v>20899.91124296327</v>
      </c>
      <c r="I9" s="23" t="s">
        <v>38</v>
      </c>
      <c r="J9" s="13" t="s">
        <v>38</v>
      </c>
      <c r="K9" s="24" t="s">
        <v>177</v>
      </c>
      <c r="L9" s="11"/>
      <c r="M9" s="12">
        <f t="shared" ref="M9:N9" si="14">G9/1.19</f>
        <v>17562.950624338882</v>
      </c>
      <c r="N9" s="12">
        <f t="shared" si="14"/>
        <v>17562.950624338882</v>
      </c>
      <c r="O9" s="12">
        <f t="shared" si="2"/>
        <v>3336.9606186243873</v>
      </c>
      <c r="P9" s="13"/>
      <c r="Q9" s="14">
        <f t="shared" si="3"/>
        <v>2025</v>
      </c>
      <c r="R9" s="15">
        <f>VLOOKUP(MONTH(C9),'Datos Maestros'!M$2:N$14,2,FALSE)</f>
        <v>45536</v>
      </c>
      <c r="S9" s="11" t="str">
        <f>VLOOKUP(E9,Precios!B$2:W$941,3,FALSE)</f>
        <v>Papel Higiénico ELITE</v>
      </c>
      <c r="T9" s="16">
        <f>VLOOKUP(E9,Precios!B$2:N$941,4,FALSE)*F9</f>
        <v>0</v>
      </c>
      <c r="U9" s="17"/>
      <c r="V9" s="12">
        <f>VLOOKUP(E9,Precios!B$2:N$941,13,FALSE)*F9</f>
        <v>3117.9506243388823</v>
      </c>
      <c r="W9" s="12">
        <f t="shared" si="4"/>
        <v>3117.9506243388823</v>
      </c>
      <c r="X9" s="12">
        <f>VLOOKUP(B9,'Datos Maestros'!$C$2:$D$7,2,FALSE)*V9</f>
        <v>0</v>
      </c>
      <c r="Y9" s="18">
        <f t="shared" si="5"/>
        <v>45915</v>
      </c>
      <c r="Z9" s="13" t="s">
        <v>39</v>
      </c>
      <c r="AA9" s="19" t="str">
        <f>VLOOKUP(D9,Clientes!$A$2:$J$486,9,FALSE)</f>
        <v>Ocacional</v>
      </c>
      <c r="AB9" s="13" t="str">
        <f>VLOOKUP(D9,Clientes!$A$2:$K$486,11,FALSE)</f>
        <v>Persona Natural</v>
      </c>
      <c r="AC9" s="13" t="str">
        <f>VLOOKUP(D9,Clientes!$A$2:$B$486,2,FALSE)</f>
        <v>Sector Santa Delia</v>
      </c>
      <c r="AD9" s="20"/>
      <c r="AE9" s="20"/>
      <c r="AF9" s="13" t="s">
        <v>40</v>
      </c>
      <c r="AG9" s="15">
        <f t="shared" si="6"/>
        <v>45536</v>
      </c>
      <c r="AH9" s="13" t="s">
        <v>41</v>
      </c>
      <c r="AI9" s="13" t="str">
        <f t="shared" si="7"/>
        <v>Papeleria</v>
      </c>
      <c r="AJ9" s="13" t="str">
        <f>VLOOKUP(E9,Precios!Z$2:AA$941,2,FALSE)</f>
        <v>Papel Higienico ELITE 50 metros</v>
      </c>
      <c r="AK9" s="14">
        <f>VLOOKUP(E9,Precios!Z$2:BB$941,3,FALSE)*F9</f>
        <v>-8</v>
      </c>
      <c r="AL9" s="17"/>
      <c r="AM9" s="17"/>
      <c r="AN9" s="17"/>
      <c r="AO9" s="17"/>
      <c r="AP9" s="17"/>
      <c r="AQ9" s="17"/>
      <c r="AR9" s="17"/>
      <c r="AS9" s="17"/>
      <c r="AT9" s="17"/>
      <c r="AU9" s="17"/>
      <c r="AV9" s="17"/>
    </row>
    <row r="10" spans="1:48" ht="15.75" customHeight="1">
      <c r="A10" s="21" t="s">
        <v>56</v>
      </c>
      <c r="B10" s="23" t="s">
        <v>1692</v>
      </c>
      <c r="C10" s="22">
        <v>45916</v>
      </c>
      <c r="D10" s="23" t="s">
        <v>54</v>
      </c>
      <c r="E10" s="23" t="s">
        <v>57</v>
      </c>
      <c r="F10" s="21">
        <v>1</v>
      </c>
      <c r="G10" s="12">
        <f>VLOOKUP(E10,Precios!B$2:N$941,12,FALSE)</f>
        <v>2999.6253023129066</v>
      </c>
      <c r="H10" s="12">
        <f t="shared" si="0"/>
        <v>2999.6253023129066</v>
      </c>
      <c r="I10" s="23" t="s">
        <v>38</v>
      </c>
      <c r="J10" s="13" t="s">
        <v>38</v>
      </c>
      <c r="K10" s="24" t="s">
        <v>177</v>
      </c>
      <c r="L10" s="11"/>
      <c r="M10" s="12">
        <f t="shared" ref="M10:N10" si="15">G10/1.19</f>
        <v>2520.6935313553836</v>
      </c>
      <c r="N10" s="12">
        <f t="shared" si="15"/>
        <v>2520.6935313553836</v>
      </c>
      <c r="O10" s="12">
        <f t="shared" si="2"/>
        <v>478.93177095752299</v>
      </c>
      <c r="P10" s="13"/>
      <c r="Q10" s="14">
        <f t="shared" si="3"/>
        <v>2025</v>
      </c>
      <c r="R10" s="15">
        <f>VLOOKUP(MONTH(C10),'Datos Maestros'!M$2:N$14,2,FALSE)</f>
        <v>45536</v>
      </c>
      <c r="S10" s="11" t="str">
        <f>VLOOKUP(E10,Precios!B$2:W$941,3,FALSE)</f>
        <v>Provoleta</v>
      </c>
      <c r="T10" s="16">
        <f>VLOOKUP(E10,Precios!B$2:N$941,4,FALSE)*F10</f>
        <v>135</v>
      </c>
      <c r="U10" s="17"/>
      <c r="V10" s="12">
        <f>VLOOKUP(E10,Precios!B$2:N$941,13,FALSE)*F10</f>
        <v>1040.6935313553836</v>
      </c>
      <c r="W10" s="12">
        <f t="shared" si="4"/>
        <v>1040.6935313553836</v>
      </c>
      <c r="X10" s="12">
        <f>VLOOKUP(B10,'Datos Maestros'!$C$2:$D$7,2,FALSE)*V10</f>
        <v>0</v>
      </c>
      <c r="Y10" s="18">
        <f t="shared" si="5"/>
        <v>45915</v>
      </c>
      <c r="Z10" s="13" t="s">
        <v>39</v>
      </c>
      <c r="AA10" s="19" t="str">
        <f>VLOOKUP(D10,Clientes!$A$2:$J$486,9,FALSE)</f>
        <v>Ocacional</v>
      </c>
      <c r="AB10" s="13" t="str">
        <f>VLOOKUP(D10,Clientes!$A$2:$K$486,11,FALSE)</f>
        <v>Persona Natural</v>
      </c>
      <c r="AC10" s="13" t="str">
        <f>VLOOKUP(D10,Clientes!$A$2:$B$486,2,FALSE)</f>
        <v>Sector Santa Delia</v>
      </c>
      <c r="AD10" s="20"/>
      <c r="AE10" s="20"/>
      <c r="AF10" s="13" t="s">
        <v>40</v>
      </c>
      <c r="AG10" s="15">
        <f t="shared" si="6"/>
        <v>45536</v>
      </c>
      <c r="AH10" s="13" t="s">
        <v>41</v>
      </c>
      <c r="AI10" s="13" t="str">
        <f t="shared" si="7"/>
        <v>Derivados</v>
      </c>
      <c r="AJ10" s="13" t="str">
        <f>VLOOKUP(E10,Precios!Z$2:AA$941,2,FALSE)</f>
        <v>Provoleta Parrillera</v>
      </c>
      <c r="AK10" s="14">
        <f>VLOOKUP(E10,Precios!Z$2:BB$941,3,FALSE)*F10</f>
        <v>-1</v>
      </c>
      <c r="AL10" s="17"/>
      <c r="AM10" s="17"/>
      <c r="AN10" s="17"/>
      <c r="AO10" s="17"/>
      <c r="AP10" s="17"/>
      <c r="AQ10" s="17"/>
      <c r="AR10" s="17"/>
      <c r="AS10" s="17"/>
      <c r="AT10" s="17"/>
      <c r="AU10" s="17"/>
      <c r="AV10" s="17"/>
    </row>
    <row r="11" spans="1:48" ht="15.75" customHeight="1">
      <c r="A11" s="21" t="s">
        <v>35</v>
      </c>
      <c r="B11" s="23" t="s">
        <v>1692</v>
      </c>
      <c r="C11" s="22">
        <v>45916</v>
      </c>
      <c r="D11" s="23" t="s">
        <v>58</v>
      </c>
      <c r="E11" s="23" t="s">
        <v>37</v>
      </c>
      <c r="F11" s="21">
        <v>1</v>
      </c>
      <c r="G11" s="12">
        <f>VLOOKUP(E11,Precios!B$2:N$941,12,FALSE)</f>
        <v>11000.014358944907</v>
      </c>
      <c r="H11" s="12">
        <f t="shared" si="0"/>
        <v>11000.014358944907</v>
      </c>
      <c r="I11" s="23" t="s">
        <v>38</v>
      </c>
      <c r="J11" s="23" t="s">
        <v>38</v>
      </c>
      <c r="K11" s="24" t="s">
        <v>177</v>
      </c>
      <c r="L11" s="11"/>
      <c r="M11" s="12">
        <f t="shared" ref="M11:N11" si="16">G11/1.19</f>
        <v>9243.7095453318543</v>
      </c>
      <c r="N11" s="12">
        <f t="shared" si="16"/>
        <v>9243.7095453318543</v>
      </c>
      <c r="O11" s="12">
        <f t="shared" si="2"/>
        <v>1756.3048136130528</v>
      </c>
      <c r="P11" s="13"/>
      <c r="Q11" s="14">
        <f t="shared" si="3"/>
        <v>2025</v>
      </c>
      <c r="R11" s="15">
        <f>VLOOKUP(MONTH(C11),'Datos Maestros'!M$2:N$14,2,FALSE)</f>
        <v>45536</v>
      </c>
      <c r="S11" s="11" t="str">
        <f>VLOOKUP(E11,Precios!B$2:W$941,3,FALSE)</f>
        <v>Queso Mantecoso</v>
      </c>
      <c r="T11" s="16">
        <f>VLOOKUP(E11,Precios!B$2:N$941,4,FALSE)*F11</f>
        <v>1000</v>
      </c>
      <c r="U11" s="17"/>
      <c r="V11" s="12">
        <f>VLOOKUP(E11,Precios!B$2:N$941,13,FALSE)*F11</f>
        <v>2806.1129066763915</v>
      </c>
      <c r="W11" s="12">
        <f t="shared" si="4"/>
        <v>2806.1129066763915</v>
      </c>
      <c r="X11" s="12">
        <f>VLOOKUP(B11,'Datos Maestros'!$C$2:$D$7,2,FALSE)*V11</f>
        <v>0</v>
      </c>
      <c r="Y11" s="18">
        <f t="shared" si="5"/>
        <v>45915</v>
      </c>
      <c r="Z11" s="13" t="s">
        <v>39</v>
      </c>
      <c r="AA11" s="19" t="str">
        <f>VLOOKUP(D11,Clientes!$A$2:$J$486,9,FALSE)</f>
        <v>Regular</v>
      </c>
      <c r="AB11" s="13" t="str">
        <f>VLOOKUP(D11,Clientes!$A$2:$K$486,11,FALSE)</f>
        <v>Persona Natural</v>
      </c>
      <c r="AC11" s="13" t="str">
        <f>VLOOKUP(D11,Clientes!$A$2:$B$486,2,FALSE)</f>
        <v>Jardines de la Viña</v>
      </c>
      <c r="AD11" s="20"/>
      <c r="AE11" s="20"/>
      <c r="AF11" s="13" t="s">
        <v>40</v>
      </c>
      <c r="AG11" s="15">
        <f t="shared" si="6"/>
        <v>45536</v>
      </c>
      <c r="AH11" s="13" t="s">
        <v>41</v>
      </c>
      <c r="AI11" s="13" t="str">
        <f t="shared" si="7"/>
        <v>Quesos</v>
      </c>
      <c r="AJ11" s="13" t="str">
        <f>VLOOKUP(E11,Precios!Z$2:AA$941,2,FALSE)</f>
        <v>Queso RUNCA Mantecoso</v>
      </c>
      <c r="AK11" s="14">
        <f>VLOOKUP(E11,Precios!Z$2:BB$941,3,FALSE)*F11</f>
        <v>-1</v>
      </c>
      <c r="AL11" s="17"/>
      <c r="AM11" s="17"/>
      <c r="AN11" s="17"/>
      <c r="AO11" s="17"/>
      <c r="AP11" s="17"/>
      <c r="AQ11" s="17"/>
      <c r="AR11" s="17"/>
      <c r="AS11" s="17"/>
      <c r="AT11" s="17"/>
      <c r="AU11" s="17"/>
      <c r="AV11" s="17"/>
    </row>
    <row r="12" spans="1:48" ht="15.75" customHeight="1">
      <c r="A12" s="21" t="s">
        <v>56</v>
      </c>
      <c r="B12" s="23" t="s">
        <v>1692</v>
      </c>
      <c r="C12" s="22">
        <v>45916</v>
      </c>
      <c r="D12" s="23" t="s">
        <v>59</v>
      </c>
      <c r="E12" s="23" t="s">
        <v>60</v>
      </c>
      <c r="F12" s="21">
        <v>1</v>
      </c>
      <c r="G12" s="12">
        <f>VLOOKUP(E12,Precios!B$2:N$941,12,FALSE)</f>
        <v>7000.0000000000018</v>
      </c>
      <c r="H12" s="12">
        <f t="shared" si="0"/>
        <v>7000.0000000000018</v>
      </c>
      <c r="I12" s="23" t="s">
        <v>52</v>
      </c>
      <c r="J12" s="23" t="s">
        <v>61</v>
      </c>
      <c r="K12" s="24" t="s">
        <v>177</v>
      </c>
      <c r="L12" s="11"/>
      <c r="M12" s="12">
        <f t="shared" ref="M12:N12" si="17">G12/1.19</f>
        <v>5882.3529411764721</v>
      </c>
      <c r="N12" s="12">
        <f t="shared" si="17"/>
        <v>5882.3529411764721</v>
      </c>
      <c r="O12" s="12">
        <f t="shared" si="2"/>
        <v>1117.6470588235297</v>
      </c>
      <c r="P12" s="13"/>
      <c r="Q12" s="14">
        <f t="shared" si="3"/>
        <v>2025</v>
      </c>
      <c r="R12" s="15">
        <f>VLOOKUP(MONTH(C12),'Datos Maestros'!M$2:N$14,2,FALSE)</f>
        <v>45536</v>
      </c>
      <c r="S12" s="11" t="str">
        <f>VLOOKUP(E12,Precios!B$2:W$941,3,FALSE)</f>
        <v xml:space="preserve">Queso Rueda Sabores </v>
      </c>
      <c r="T12" s="16">
        <f>VLOOKUP(E12,Precios!B$2:N$941,4,FALSE)*F12</f>
        <v>200</v>
      </c>
      <c r="U12" s="17"/>
      <c r="V12" s="12">
        <f>VLOOKUP(E12,Precios!B$2:N$941,13,FALSE)*F12</f>
        <v>2080.6722689075641</v>
      </c>
      <c r="W12" s="12">
        <f t="shared" si="4"/>
        <v>2080.6722689075641</v>
      </c>
      <c r="X12" s="12">
        <f>VLOOKUP(B12,'Datos Maestros'!$C$2:$D$7,2,FALSE)*V12</f>
        <v>0</v>
      </c>
      <c r="Y12" s="18">
        <f t="shared" si="5"/>
        <v>45915</v>
      </c>
      <c r="Z12" s="13" t="s">
        <v>39</v>
      </c>
      <c r="AA12" s="19" t="str">
        <f>VLOOKUP(D12,Clientes!$A$2:$J$486,9,FALSE)</f>
        <v>Ocacional</v>
      </c>
      <c r="AB12" s="13" t="str">
        <f>VLOOKUP(D12,Clientes!$A$2:$K$486,11,FALSE)</f>
        <v>Persona Natural</v>
      </c>
      <c r="AC12" s="13" t="str">
        <f>VLOOKUP(D12,Clientes!$A$2:$B$486,2,FALSE)</f>
        <v>Sector Santa Delia</v>
      </c>
      <c r="AD12" s="20"/>
      <c r="AE12" s="20"/>
      <c r="AF12" s="13" t="s">
        <v>40</v>
      </c>
      <c r="AG12" s="15">
        <f t="shared" si="6"/>
        <v>45536</v>
      </c>
      <c r="AH12" s="13" t="s">
        <v>41</v>
      </c>
      <c r="AI12" s="13" t="str">
        <f t="shared" si="7"/>
        <v>Derivados</v>
      </c>
      <c r="AJ12" s="13" t="str">
        <f>VLOOKUP(E12,Precios!Z$2:AA$941,2,FALSE)</f>
        <v>Queso Sabores</v>
      </c>
      <c r="AK12" s="14">
        <f>VLOOKUP(E12,Precios!Z$2:BB$941,3,FALSE)*F12</f>
        <v>-2</v>
      </c>
      <c r="AL12" s="17"/>
      <c r="AM12" s="17"/>
      <c r="AN12" s="17"/>
      <c r="AO12" s="17"/>
      <c r="AP12" s="17"/>
      <c r="AQ12" s="17"/>
      <c r="AR12" s="17"/>
      <c r="AS12" s="17"/>
      <c r="AT12" s="17"/>
      <c r="AU12" s="17"/>
      <c r="AV12" s="17"/>
    </row>
    <row r="13" spans="1:48" ht="15.75" customHeight="1">
      <c r="A13" s="21" t="s">
        <v>56</v>
      </c>
      <c r="B13" s="23" t="s">
        <v>1692</v>
      </c>
      <c r="C13" s="22">
        <v>45916</v>
      </c>
      <c r="D13" s="23" t="s">
        <v>59</v>
      </c>
      <c r="E13" s="23" t="s">
        <v>62</v>
      </c>
      <c r="F13" s="21">
        <v>1</v>
      </c>
      <c r="G13" s="12">
        <f>VLOOKUP(E13,Precios!B$2:N$941,12,FALSE)</f>
        <v>3700</v>
      </c>
      <c r="H13" s="12">
        <f t="shared" si="0"/>
        <v>3700</v>
      </c>
      <c r="I13" s="23" t="s">
        <v>52</v>
      </c>
      <c r="J13" s="23" t="s">
        <v>61</v>
      </c>
      <c r="K13" s="24" t="s">
        <v>177</v>
      </c>
      <c r="L13" s="11"/>
      <c r="M13" s="12">
        <f t="shared" ref="M13:N13" si="18">G13/1.19</f>
        <v>3109.2436974789916</v>
      </c>
      <c r="N13" s="12">
        <f t="shared" si="18"/>
        <v>3109.2436974789916</v>
      </c>
      <c r="O13" s="12">
        <f t="shared" si="2"/>
        <v>590.75630252100837</v>
      </c>
      <c r="P13" s="13"/>
      <c r="Q13" s="14">
        <f t="shared" si="3"/>
        <v>2025</v>
      </c>
      <c r="R13" s="15">
        <f>VLOOKUP(MONTH(C13),'Datos Maestros'!M$2:N$14,2,FALSE)</f>
        <v>45536</v>
      </c>
      <c r="S13" s="11" t="str">
        <f>VLOOKUP(E13,Precios!B$2:W$941,3,FALSE)</f>
        <v xml:space="preserve">Queso Rueda Sabores </v>
      </c>
      <c r="T13" s="16">
        <f>VLOOKUP(E13,Precios!B$2:N$941,4,FALSE)*F13</f>
        <v>200</v>
      </c>
      <c r="U13" s="17"/>
      <c r="V13" s="12">
        <f>VLOOKUP(E13,Precios!B$2:N$941,13,FALSE)*F13</f>
        <v>1199.159663865546</v>
      </c>
      <c r="W13" s="12">
        <f t="shared" si="4"/>
        <v>1199.159663865546</v>
      </c>
      <c r="X13" s="12">
        <f>VLOOKUP(B13,'Datos Maestros'!$C$2:$D$7,2,FALSE)*V13</f>
        <v>0</v>
      </c>
      <c r="Y13" s="18">
        <f t="shared" si="5"/>
        <v>45915</v>
      </c>
      <c r="Z13" s="13" t="s">
        <v>39</v>
      </c>
      <c r="AA13" s="19" t="str">
        <f>VLOOKUP(D13,Clientes!$A$2:$J$486,9,FALSE)</f>
        <v>Ocacional</v>
      </c>
      <c r="AB13" s="13" t="str">
        <f>VLOOKUP(D13,Clientes!$A$2:$K$486,11,FALSE)</f>
        <v>Persona Natural</v>
      </c>
      <c r="AC13" s="13" t="str">
        <f>VLOOKUP(D13,Clientes!$A$2:$B$486,2,FALSE)</f>
        <v>Sector Santa Delia</v>
      </c>
      <c r="AD13" s="20"/>
      <c r="AE13" s="20"/>
      <c r="AF13" s="13" t="s">
        <v>40</v>
      </c>
      <c r="AG13" s="15">
        <f t="shared" si="6"/>
        <v>45536</v>
      </c>
      <c r="AH13" s="13" t="s">
        <v>41</v>
      </c>
      <c r="AI13" s="13" t="str">
        <f t="shared" si="7"/>
        <v>Derivados</v>
      </c>
      <c r="AJ13" s="13" t="str">
        <f>VLOOKUP(E13,Precios!Z$2:AA$941,2,FALSE)</f>
        <v>Queso Sabores</v>
      </c>
      <c r="AK13" s="14">
        <f>VLOOKUP(E13,Precios!Z$2:BB$941,3,FALSE)*F13</f>
        <v>-1</v>
      </c>
      <c r="AL13" s="17"/>
      <c r="AM13" s="17"/>
      <c r="AN13" s="17"/>
      <c r="AO13" s="17"/>
      <c r="AP13" s="17"/>
      <c r="AQ13" s="17"/>
      <c r="AR13" s="17"/>
      <c r="AS13" s="17"/>
      <c r="AT13" s="17"/>
      <c r="AU13" s="17"/>
      <c r="AV13" s="17"/>
    </row>
    <row r="14" spans="1:48" ht="15.75" customHeight="1">
      <c r="A14" s="21" t="s">
        <v>35</v>
      </c>
      <c r="B14" s="23" t="s">
        <v>1692</v>
      </c>
      <c r="C14" s="22">
        <v>45916</v>
      </c>
      <c r="D14" s="23" t="s">
        <v>59</v>
      </c>
      <c r="E14" s="23" t="s">
        <v>37</v>
      </c>
      <c r="F14" s="21">
        <v>1</v>
      </c>
      <c r="G14" s="12">
        <f>VLOOKUP(E14,Precios!B$2:N$941,12,FALSE)</f>
        <v>11000.014358944907</v>
      </c>
      <c r="H14" s="12">
        <f t="shared" si="0"/>
        <v>11000.014358944907</v>
      </c>
      <c r="I14" s="23" t="s">
        <v>52</v>
      </c>
      <c r="J14" s="23" t="s">
        <v>61</v>
      </c>
      <c r="K14" s="24" t="s">
        <v>177</v>
      </c>
      <c r="L14" s="11"/>
      <c r="M14" s="12">
        <f t="shared" ref="M14:N14" si="19">G14/1.19</f>
        <v>9243.7095453318543</v>
      </c>
      <c r="N14" s="12">
        <f t="shared" si="19"/>
        <v>9243.7095453318543</v>
      </c>
      <c r="O14" s="12">
        <f t="shared" si="2"/>
        <v>1756.3048136130528</v>
      </c>
      <c r="P14" s="13"/>
      <c r="Q14" s="14">
        <f t="shared" si="3"/>
        <v>2025</v>
      </c>
      <c r="R14" s="15">
        <f>VLOOKUP(MONTH(C14),'Datos Maestros'!M$2:N$14,2,FALSE)</f>
        <v>45536</v>
      </c>
      <c r="S14" s="11" t="str">
        <f>VLOOKUP(E14,Precios!B$2:W$941,3,FALSE)</f>
        <v>Queso Mantecoso</v>
      </c>
      <c r="T14" s="16">
        <f>VLOOKUP(E14,Precios!B$2:N$941,4,FALSE)*F14</f>
        <v>1000</v>
      </c>
      <c r="U14" s="17"/>
      <c r="V14" s="12">
        <f>VLOOKUP(E14,Precios!B$2:N$941,13,FALSE)*F14</f>
        <v>2806.1129066763915</v>
      </c>
      <c r="W14" s="12">
        <f t="shared" si="4"/>
        <v>2806.1129066763915</v>
      </c>
      <c r="X14" s="12">
        <f>VLOOKUP(B14,'Datos Maestros'!$C$2:$D$7,2,FALSE)*V14</f>
        <v>0</v>
      </c>
      <c r="Y14" s="18">
        <f t="shared" si="5"/>
        <v>45915</v>
      </c>
      <c r="Z14" s="13" t="s">
        <v>39</v>
      </c>
      <c r="AA14" s="19" t="str">
        <f>VLOOKUP(D14,Clientes!$A$2:$J$486,9,FALSE)</f>
        <v>Ocacional</v>
      </c>
      <c r="AB14" s="13" t="str">
        <f>VLOOKUP(D14,Clientes!$A$2:$K$486,11,FALSE)</f>
        <v>Persona Natural</v>
      </c>
      <c r="AC14" s="13" t="str">
        <f>VLOOKUP(D14,Clientes!$A$2:$B$486,2,FALSE)</f>
        <v>Sector Santa Delia</v>
      </c>
      <c r="AD14" s="20"/>
      <c r="AE14" s="20"/>
      <c r="AF14" s="13" t="s">
        <v>40</v>
      </c>
      <c r="AG14" s="15">
        <f t="shared" si="6"/>
        <v>45536</v>
      </c>
      <c r="AH14" s="13" t="s">
        <v>41</v>
      </c>
      <c r="AI14" s="13" t="str">
        <f t="shared" si="7"/>
        <v>Quesos</v>
      </c>
      <c r="AJ14" s="13" t="str">
        <f>VLOOKUP(E14,Precios!Z$2:AA$941,2,FALSE)</f>
        <v>Queso RUNCA Mantecoso</v>
      </c>
      <c r="AK14" s="14">
        <f>VLOOKUP(E14,Precios!Z$2:BB$941,3,FALSE)*F14</f>
        <v>-1</v>
      </c>
      <c r="AL14" s="17"/>
      <c r="AM14" s="17"/>
      <c r="AN14" s="17"/>
      <c r="AO14" s="17"/>
      <c r="AP14" s="17"/>
      <c r="AQ14" s="17"/>
      <c r="AR14" s="17"/>
      <c r="AS14" s="17"/>
      <c r="AT14" s="17"/>
      <c r="AU14" s="17"/>
      <c r="AV14" s="17"/>
    </row>
    <row r="15" spans="1:48" ht="15.75" customHeight="1">
      <c r="A15" s="21" t="s">
        <v>56</v>
      </c>
      <c r="B15" s="23" t="s">
        <v>1692</v>
      </c>
      <c r="C15" s="22">
        <v>45916</v>
      </c>
      <c r="D15" s="23" t="s">
        <v>63</v>
      </c>
      <c r="E15" s="23" t="s">
        <v>57</v>
      </c>
      <c r="F15" s="21">
        <v>1</v>
      </c>
      <c r="G15" s="12">
        <f>VLOOKUP(E15,Precios!B$2:N$941,12,FALSE)</f>
        <v>2999.6253023129066</v>
      </c>
      <c r="H15" s="12">
        <f t="shared" si="0"/>
        <v>2999.6253023129066</v>
      </c>
      <c r="I15" s="23" t="s">
        <v>38</v>
      </c>
      <c r="J15" s="13" t="s">
        <v>38</v>
      </c>
      <c r="K15" s="24" t="s">
        <v>177</v>
      </c>
      <c r="L15" s="11"/>
      <c r="M15" s="12">
        <f t="shared" ref="M15:N15" si="20">G15/1.19</f>
        <v>2520.6935313553836</v>
      </c>
      <c r="N15" s="12">
        <f t="shared" si="20"/>
        <v>2520.6935313553836</v>
      </c>
      <c r="O15" s="12">
        <f t="shared" si="2"/>
        <v>478.93177095752299</v>
      </c>
      <c r="P15" s="13"/>
      <c r="Q15" s="14">
        <f t="shared" si="3"/>
        <v>2025</v>
      </c>
      <c r="R15" s="15">
        <f>VLOOKUP(MONTH(C15),'Datos Maestros'!M$2:N$14,2,FALSE)</f>
        <v>45536</v>
      </c>
      <c r="S15" s="11" t="str">
        <f>VLOOKUP(E15,Precios!B$2:W$941,3,FALSE)</f>
        <v>Provoleta</v>
      </c>
      <c r="T15" s="16">
        <f>VLOOKUP(E15,Precios!B$2:N$941,4,FALSE)*F15</f>
        <v>135</v>
      </c>
      <c r="U15" s="17"/>
      <c r="V15" s="12">
        <f>VLOOKUP(E15,Precios!B$2:N$941,13,FALSE)*F15</f>
        <v>1040.6935313553836</v>
      </c>
      <c r="W15" s="12">
        <f t="shared" si="4"/>
        <v>1040.6935313553836</v>
      </c>
      <c r="X15" s="12">
        <f>VLOOKUP(B15,'Datos Maestros'!$C$2:$D$7,2,FALSE)*V15</f>
        <v>0</v>
      </c>
      <c r="Y15" s="18">
        <f t="shared" si="5"/>
        <v>45915</v>
      </c>
      <c r="Z15" s="13" t="s">
        <v>39</v>
      </c>
      <c r="AA15" s="19" t="str">
        <f>VLOOKUP(D15,Clientes!$A$2:$J$486,9,FALSE)</f>
        <v>Ocacional</v>
      </c>
      <c r="AB15" s="13" t="str">
        <f>VLOOKUP(D15,Clientes!$A$2:$K$486,11,FALSE)</f>
        <v>Persona Natural</v>
      </c>
      <c r="AC15" s="13" t="str">
        <f>VLOOKUP(D15,Clientes!$A$2:$B$486,2,FALSE)</f>
        <v>Mexico con rojas magallanes</v>
      </c>
      <c r="AD15" s="20"/>
      <c r="AE15" s="20"/>
      <c r="AF15" s="13" t="s">
        <v>40</v>
      </c>
      <c r="AG15" s="15">
        <f t="shared" si="6"/>
        <v>45536</v>
      </c>
      <c r="AH15" s="13" t="s">
        <v>41</v>
      </c>
      <c r="AI15" s="13" t="str">
        <f t="shared" si="7"/>
        <v>Derivados</v>
      </c>
      <c r="AJ15" s="13" t="str">
        <f>VLOOKUP(E15,Precios!Z$2:AA$941,2,FALSE)</f>
        <v>Provoleta Parrillera</v>
      </c>
      <c r="AK15" s="14">
        <f>VLOOKUP(E15,Precios!Z$2:BB$941,3,FALSE)*F15</f>
        <v>-1</v>
      </c>
      <c r="AL15" s="17"/>
      <c r="AM15" s="17"/>
      <c r="AN15" s="17"/>
      <c r="AO15" s="17"/>
      <c r="AP15" s="17"/>
      <c r="AQ15" s="17"/>
      <c r="AR15" s="17"/>
      <c r="AS15" s="17"/>
      <c r="AT15" s="17"/>
      <c r="AU15" s="17"/>
      <c r="AV15" s="17"/>
    </row>
    <row r="16" spans="1:48" ht="15.75" customHeight="1">
      <c r="A16" s="21" t="s">
        <v>64</v>
      </c>
      <c r="B16" s="23" t="s">
        <v>1692</v>
      </c>
      <c r="C16" s="22">
        <v>45916</v>
      </c>
      <c r="D16" s="23" t="s">
        <v>63</v>
      </c>
      <c r="E16" s="23" t="s">
        <v>65</v>
      </c>
      <c r="F16" s="21">
        <v>1</v>
      </c>
      <c r="G16" s="12">
        <f>VLOOKUP(E16,Precios!B$2:N$941,12,FALSE)</f>
        <v>8200.2358799633075</v>
      </c>
      <c r="H16" s="12">
        <f t="shared" si="0"/>
        <v>8200.2358799633075</v>
      </c>
      <c r="I16" s="23" t="s">
        <v>38</v>
      </c>
      <c r="J16" s="13" t="s">
        <v>38</v>
      </c>
      <c r="K16" s="24" t="s">
        <v>177</v>
      </c>
      <c r="L16" s="11"/>
      <c r="M16" s="12">
        <f t="shared" ref="M16:N16" si="21">G16/1.19</f>
        <v>6890.9545209775697</v>
      </c>
      <c r="N16" s="12">
        <f t="shared" si="21"/>
        <v>6890.9545209775697</v>
      </c>
      <c r="O16" s="12">
        <f t="shared" si="2"/>
        <v>1309.2813589857378</v>
      </c>
      <c r="P16" s="13"/>
      <c r="Q16" s="14">
        <f t="shared" si="3"/>
        <v>2025</v>
      </c>
      <c r="R16" s="15">
        <f>VLOOKUP(MONTH(C16),'Datos Maestros'!M$2:N$14,2,FALSE)</f>
        <v>45536</v>
      </c>
      <c r="S16" s="11" t="str">
        <f>VLOOKUP(E16,Precios!B$2:W$941,3,FALSE)</f>
        <v>Longanizas</v>
      </c>
      <c r="T16" s="16">
        <f>VLOOKUP(E16,Precios!B$2:N$941,4,FALSE)*F16</f>
        <v>1</v>
      </c>
      <c r="U16" s="17"/>
      <c r="V16" s="12">
        <f>VLOOKUP(E16,Precios!B$2:N$941,13,FALSE)*F16</f>
        <v>1632.4671260195864</v>
      </c>
      <c r="W16" s="12">
        <f t="shared" si="4"/>
        <v>1632.4671260195864</v>
      </c>
      <c r="X16" s="12">
        <f>VLOOKUP(B16,'Datos Maestros'!$C$2:$D$7,2,FALSE)*V16</f>
        <v>0</v>
      </c>
      <c r="Y16" s="18">
        <f t="shared" si="5"/>
        <v>45915</v>
      </c>
      <c r="Z16" s="13" t="s">
        <v>39</v>
      </c>
      <c r="AA16" s="19" t="str">
        <f>VLOOKUP(D16,Clientes!$A$2:$J$486,9,FALSE)</f>
        <v>Ocacional</v>
      </c>
      <c r="AB16" s="13" t="str">
        <f>VLOOKUP(D16,Clientes!$A$2:$K$486,11,FALSE)</f>
        <v>Persona Natural</v>
      </c>
      <c r="AC16" s="13" t="str">
        <f>VLOOKUP(D16,Clientes!$A$2:$B$486,2,FALSE)</f>
        <v>Mexico con rojas magallanes</v>
      </c>
      <c r="AD16" s="20"/>
      <c r="AE16" s="20"/>
      <c r="AF16" s="13" t="s">
        <v>40</v>
      </c>
      <c r="AG16" s="15">
        <f t="shared" si="6"/>
        <v>45536</v>
      </c>
      <c r="AH16" s="13" t="s">
        <v>41</v>
      </c>
      <c r="AI16" s="13" t="str">
        <f t="shared" si="7"/>
        <v>Longanizas</v>
      </c>
      <c r="AJ16" s="13" t="str">
        <f>VLOOKUP(E16,Precios!Z$2:AA$941,2,FALSE)</f>
        <v>Longanizas VILLABLANCA</v>
      </c>
      <c r="AK16" s="14">
        <f>VLOOKUP(E16,Precios!Z$2:BB$941,3,FALSE)*F16</f>
        <v>-1</v>
      </c>
      <c r="AL16" s="17"/>
      <c r="AM16" s="17"/>
      <c r="AN16" s="17"/>
      <c r="AO16" s="17"/>
      <c r="AP16" s="17"/>
      <c r="AQ16" s="17"/>
      <c r="AR16" s="17"/>
      <c r="AS16" s="17"/>
      <c r="AT16" s="17"/>
      <c r="AU16" s="17"/>
      <c r="AV16" s="17"/>
    </row>
    <row r="17" spans="1:48" ht="15.75" customHeight="1">
      <c r="A17" s="21" t="s">
        <v>35</v>
      </c>
      <c r="B17" s="23" t="s">
        <v>1692</v>
      </c>
      <c r="C17" s="22">
        <v>45916</v>
      </c>
      <c r="D17" s="23" t="s">
        <v>63</v>
      </c>
      <c r="E17" s="23" t="s">
        <v>46</v>
      </c>
      <c r="F17" s="21">
        <v>1</v>
      </c>
      <c r="G17" s="12">
        <f>VLOOKUP(E17,Precios!B$2:N$941,12,FALSE)</f>
        <v>6000.1548227279782</v>
      </c>
      <c r="H17" s="12">
        <f t="shared" si="0"/>
        <v>6000.1548227279782</v>
      </c>
      <c r="I17" s="23" t="s">
        <v>38</v>
      </c>
      <c r="J17" s="13" t="s">
        <v>38</v>
      </c>
      <c r="K17" s="24" t="s">
        <v>177</v>
      </c>
      <c r="L17" s="11"/>
      <c r="M17" s="12">
        <f t="shared" ref="M17:N17" si="22">G17/1.19</f>
        <v>5042.1469098554444</v>
      </c>
      <c r="N17" s="12">
        <f t="shared" si="22"/>
        <v>5042.1469098554444</v>
      </c>
      <c r="O17" s="12">
        <f t="shared" si="2"/>
        <v>958.00791287253378</v>
      </c>
      <c r="P17" s="13"/>
      <c r="Q17" s="14">
        <f t="shared" si="3"/>
        <v>2025</v>
      </c>
      <c r="R17" s="15">
        <f>VLOOKUP(MONTH(C17),'Datos Maestros'!M$2:N$14,2,FALSE)</f>
        <v>45536</v>
      </c>
      <c r="S17" s="11" t="str">
        <f>VLOOKUP(E17,Precios!B$2:W$941,3,FALSE)</f>
        <v>Queso Mantecoso</v>
      </c>
      <c r="T17" s="16">
        <f>VLOOKUP(E17,Precios!B$2:N$941,4,FALSE)*F17</f>
        <v>500</v>
      </c>
      <c r="U17" s="17"/>
      <c r="V17" s="12">
        <f>VLOOKUP(E17,Precios!B$2:N$941,13,FALSE)*F17</f>
        <v>1785.4242207798129</v>
      </c>
      <c r="W17" s="12">
        <f t="shared" si="4"/>
        <v>1785.4242207798129</v>
      </c>
      <c r="X17" s="12">
        <f>VLOOKUP(B17,'Datos Maestros'!$C$2:$D$7,2,FALSE)*V17</f>
        <v>0</v>
      </c>
      <c r="Y17" s="18">
        <f t="shared" si="5"/>
        <v>45915</v>
      </c>
      <c r="Z17" s="13" t="s">
        <v>39</v>
      </c>
      <c r="AA17" s="19" t="str">
        <f>VLOOKUP(D17,Clientes!$A$2:$J$486,9,FALSE)</f>
        <v>Ocacional</v>
      </c>
      <c r="AB17" s="13" t="str">
        <f>VLOOKUP(D17,Clientes!$A$2:$K$486,11,FALSE)</f>
        <v>Persona Natural</v>
      </c>
      <c r="AC17" s="13" t="str">
        <f>VLOOKUP(D17,Clientes!$A$2:$B$486,2,FALSE)</f>
        <v>Mexico con rojas magallanes</v>
      </c>
      <c r="AD17" s="20"/>
      <c r="AE17" s="20"/>
      <c r="AF17" s="13" t="s">
        <v>40</v>
      </c>
      <c r="AG17" s="15">
        <f t="shared" si="6"/>
        <v>45536</v>
      </c>
      <c r="AH17" s="13" t="s">
        <v>41</v>
      </c>
      <c r="AI17" s="13" t="str">
        <f t="shared" si="7"/>
        <v>Quesos</v>
      </c>
      <c r="AJ17" s="13" t="str">
        <f>VLOOKUP(E17,Precios!Z$2:AA$941,2,FALSE)</f>
        <v>Queso RUNCA Mantecoso</v>
      </c>
      <c r="AK17" s="14">
        <f>VLOOKUP(E17,Precios!Z$2:BB$941,3,FALSE)*F17</f>
        <v>-0.5</v>
      </c>
      <c r="AL17" s="17"/>
      <c r="AM17" s="17"/>
      <c r="AN17" s="17"/>
      <c r="AO17" s="17"/>
      <c r="AP17" s="17"/>
      <c r="AQ17" s="17"/>
      <c r="AR17" s="17"/>
      <c r="AS17" s="17"/>
      <c r="AT17" s="17"/>
      <c r="AU17" s="17"/>
      <c r="AV17" s="17"/>
    </row>
    <row r="18" spans="1:48" ht="15.75" customHeight="1">
      <c r="A18" s="21" t="s">
        <v>43</v>
      </c>
      <c r="B18" s="23" t="s">
        <v>1692</v>
      </c>
      <c r="C18" s="22">
        <v>45916</v>
      </c>
      <c r="D18" s="23" t="s">
        <v>66</v>
      </c>
      <c r="E18" s="23" t="s">
        <v>45</v>
      </c>
      <c r="F18" s="21">
        <v>1</v>
      </c>
      <c r="G18" s="12">
        <f>VLOOKUP(E18,Precios!B$2:N$941,12,FALSE)</f>
        <v>8000.1831784723063</v>
      </c>
      <c r="H18" s="12">
        <f t="shared" si="0"/>
        <v>8000.1831784723063</v>
      </c>
      <c r="I18" s="23" t="s">
        <v>52</v>
      </c>
      <c r="J18" s="13" t="s">
        <v>38</v>
      </c>
      <c r="K18" s="24" t="s">
        <v>177</v>
      </c>
      <c r="L18" s="11"/>
      <c r="M18" s="12">
        <f t="shared" ref="M18:N18" si="23">G18/1.19</f>
        <v>6722.8430071195853</v>
      </c>
      <c r="N18" s="12">
        <f t="shared" si="23"/>
        <v>6722.8430071195853</v>
      </c>
      <c r="O18" s="12">
        <f t="shared" si="2"/>
        <v>1277.340171352721</v>
      </c>
      <c r="P18" s="13"/>
      <c r="Q18" s="14">
        <f t="shared" si="3"/>
        <v>2025</v>
      </c>
      <c r="R18" s="15">
        <f>VLOOKUP(MONTH(C18),'Datos Maestros'!M$2:N$14,2,FALSE)</f>
        <v>45536</v>
      </c>
      <c r="S18" s="11" t="str">
        <f>VLOOKUP(E18,Precios!B$2:W$941,3,FALSE)</f>
        <v>Huevos EXTRA</v>
      </c>
      <c r="T18" s="16">
        <f>VLOOKUP(E18,Precios!B$2:N$941,4,FALSE)*F18</f>
        <v>0</v>
      </c>
      <c r="U18" s="17"/>
      <c r="V18" s="12">
        <f>VLOOKUP(E18,Precios!B$2:N$941,13,FALSE)*F18</f>
        <v>1151.6230071195851</v>
      </c>
      <c r="W18" s="12">
        <f t="shared" si="4"/>
        <v>1151.6230071195851</v>
      </c>
      <c r="X18" s="12">
        <f>VLOOKUP(B18,'Datos Maestros'!$C$2:$D$7,2,FALSE)*V18</f>
        <v>0</v>
      </c>
      <c r="Y18" s="18">
        <f t="shared" si="5"/>
        <v>45915</v>
      </c>
      <c r="Z18" s="13" t="s">
        <v>39</v>
      </c>
      <c r="AA18" s="19" t="str">
        <f>VLOOKUP(D18,Clientes!$A$2:$J$486,9,FALSE)</f>
        <v>Ocacional</v>
      </c>
      <c r="AB18" s="13" t="str">
        <f>VLOOKUP(D18,Clientes!$A$2:$K$486,11,FALSE)</f>
        <v>Persona Natural</v>
      </c>
      <c r="AC18" s="13" t="str">
        <f>VLOOKUP(D18,Clientes!$A$2:$B$486,2,FALSE)</f>
        <v>Jardin Alto</v>
      </c>
      <c r="AD18" s="20"/>
      <c r="AE18" s="20"/>
      <c r="AF18" s="13" t="s">
        <v>40</v>
      </c>
      <c r="AG18" s="15">
        <f t="shared" si="6"/>
        <v>45536</v>
      </c>
      <c r="AH18" s="13" t="s">
        <v>41</v>
      </c>
      <c r="AI18" s="13" t="str">
        <f t="shared" si="7"/>
        <v>Huevos</v>
      </c>
      <c r="AJ18" s="13" t="str">
        <f>VLOOKUP(E18,Precios!Z$2:AA$941,2,FALSE)</f>
        <v>Bandeja Huevos EXTRA</v>
      </c>
      <c r="AK18" s="14">
        <f>VLOOKUP(E18,Precios!Z$2:BB$941,3,FALSE)*F18</f>
        <v>-1</v>
      </c>
      <c r="AL18" s="17"/>
      <c r="AM18" s="17"/>
      <c r="AN18" s="17"/>
      <c r="AO18" s="17"/>
      <c r="AP18" s="17"/>
      <c r="AQ18" s="17"/>
      <c r="AR18" s="17"/>
      <c r="AS18" s="17"/>
      <c r="AT18" s="17"/>
      <c r="AU18" s="17"/>
      <c r="AV18" s="17"/>
    </row>
    <row r="19" spans="1:48" ht="15.75" customHeight="1">
      <c r="A19" s="21" t="s">
        <v>56</v>
      </c>
      <c r="B19" s="23" t="s">
        <v>1692</v>
      </c>
      <c r="C19" s="22">
        <v>45916</v>
      </c>
      <c r="D19" s="23" t="s">
        <v>66</v>
      </c>
      <c r="E19" s="23" t="s">
        <v>67</v>
      </c>
      <c r="F19" s="21">
        <v>1</v>
      </c>
      <c r="G19" s="12">
        <f>VLOOKUP(E19,Precios!B$2:N$941,12,FALSE)</f>
        <v>7000.0000000000009</v>
      </c>
      <c r="H19" s="12">
        <f t="shared" si="0"/>
        <v>7000.0000000000009</v>
      </c>
      <c r="I19" s="23" t="s">
        <v>52</v>
      </c>
      <c r="J19" s="13" t="s">
        <v>38</v>
      </c>
      <c r="K19" s="24" t="s">
        <v>177</v>
      </c>
      <c r="L19" s="11"/>
      <c r="M19" s="12">
        <f t="shared" ref="M19:N19" si="24">G19/1.19</f>
        <v>5882.3529411764712</v>
      </c>
      <c r="N19" s="12">
        <f t="shared" si="24"/>
        <v>5882.3529411764712</v>
      </c>
      <c r="O19" s="12">
        <f t="shared" si="2"/>
        <v>1117.6470588235297</v>
      </c>
      <c r="P19" s="13"/>
      <c r="Q19" s="14">
        <f t="shared" si="3"/>
        <v>2025</v>
      </c>
      <c r="R19" s="15">
        <f>VLOOKUP(MONTH(C19),'Datos Maestros'!M$2:N$14,2,FALSE)</f>
        <v>45536</v>
      </c>
      <c r="S19" s="11" t="str">
        <f>VLOOKUP(E19,Precios!B$2:W$941,3,FALSE)</f>
        <v>Mantequilla</v>
      </c>
      <c r="T19" s="16">
        <f>VLOOKUP(E19,Precios!B$2:N$941,4,FALSE)*F19</f>
        <v>200</v>
      </c>
      <c r="U19" s="17"/>
      <c r="V19" s="12">
        <f>VLOOKUP(E19,Precios!B$2:N$941,13,FALSE)*F19</f>
        <v>1512.6050420168067</v>
      </c>
      <c r="W19" s="12">
        <f t="shared" si="4"/>
        <v>1512.6050420168067</v>
      </c>
      <c r="X19" s="12">
        <f>VLOOKUP(B19,'Datos Maestros'!$C$2:$D$7,2,FALSE)*V19</f>
        <v>0</v>
      </c>
      <c r="Y19" s="18">
        <f t="shared" si="5"/>
        <v>45915</v>
      </c>
      <c r="Z19" s="13" t="s">
        <v>39</v>
      </c>
      <c r="AA19" s="19" t="str">
        <f>VLOOKUP(D19,Clientes!$A$2:$J$486,9,FALSE)</f>
        <v>Ocacional</v>
      </c>
      <c r="AB19" s="13" t="str">
        <f>VLOOKUP(D19,Clientes!$A$2:$K$486,11,FALSE)</f>
        <v>Persona Natural</v>
      </c>
      <c r="AC19" s="13" t="str">
        <f>VLOOKUP(D19,Clientes!$A$2:$B$486,2,FALSE)</f>
        <v>Jardin Alto</v>
      </c>
      <c r="AD19" s="20"/>
      <c r="AE19" s="20"/>
      <c r="AF19" s="13" t="s">
        <v>40</v>
      </c>
      <c r="AG19" s="15">
        <f t="shared" si="6"/>
        <v>45536</v>
      </c>
      <c r="AH19" s="13" t="s">
        <v>41</v>
      </c>
      <c r="AI19" s="13" t="str">
        <f t="shared" si="7"/>
        <v>Derivados</v>
      </c>
      <c r="AJ19" s="13" t="str">
        <f>VLOOKUP(E19,Precios!Z$2:AA$941,2,FALSE)</f>
        <v>Mantequilla RUMAY</v>
      </c>
      <c r="AK19" s="14">
        <f>VLOOKUP(E19,Precios!Z$2:BB$941,3,FALSE)*F19</f>
        <v>-3</v>
      </c>
      <c r="AL19" s="17"/>
      <c r="AM19" s="17"/>
      <c r="AN19" s="17"/>
      <c r="AO19" s="17"/>
      <c r="AP19" s="17"/>
      <c r="AQ19" s="17"/>
      <c r="AR19" s="17"/>
      <c r="AS19" s="17"/>
      <c r="AT19" s="17"/>
      <c r="AU19" s="17"/>
      <c r="AV19" s="17"/>
    </row>
    <row r="20" spans="1:48" ht="15.75" customHeight="1">
      <c r="A20" s="21" t="s">
        <v>64</v>
      </c>
      <c r="B20" s="23" t="s">
        <v>1692</v>
      </c>
      <c r="C20" s="22">
        <v>45916</v>
      </c>
      <c r="D20" s="23" t="s">
        <v>66</v>
      </c>
      <c r="E20" s="23" t="s">
        <v>65</v>
      </c>
      <c r="F20" s="21">
        <v>1</v>
      </c>
      <c r="G20" s="12">
        <f>VLOOKUP(E20,Precios!B$2:N$941,12,FALSE)</f>
        <v>8200.2358799633075</v>
      </c>
      <c r="H20" s="12">
        <f t="shared" si="0"/>
        <v>8200.2358799633075</v>
      </c>
      <c r="I20" s="23" t="s">
        <v>52</v>
      </c>
      <c r="J20" s="13" t="s">
        <v>38</v>
      </c>
      <c r="K20" s="11" t="s">
        <v>177</v>
      </c>
      <c r="L20" s="11"/>
      <c r="M20" s="12">
        <f t="shared" ref="M20:N20" si="25">G20/1.19</f>
        <v>6890.9545209775697</v>
      </c>
      <c r="N20" s="12">
        <f t="shared" si="25"/>
        <v>6890.9545209775697</v>
      </c>
      <c r="O20" s="12">
        <f t="shared" si="2"/>
        <v>1309.2813589857378</v>
      </c>
      <c r="P20" s="13"/>
      <c r="Q20" s="14">
        <f t="shared" si="3"/>
        <v>2025</v>
      </c>
      <c r="R20" s="15">
        <f>VLOOKUP(MONTH(C20),'Datos Maestros'!M$2:N$14,2,FALSE)</f>
        <v>45536</v>
      </c>
      <c r="S20" s="11" t="str">
        <f>VLOOKUP(E20,Precios!B$2:W$941,3,FALSE)</f>
        <v>Longanizas</v>
      </c>
      <c r="T20" s="16">
        <f>VLOOKUP(E20,Precios!B$2:N$941,4,FALSE)*F20</f>
        <v>1</v>
      </c>
      <c r="U20" s="17"/>
      <c r="V20" s="12">
        <f>VLOOKUP(E20,Precios!B$2:N$941,13,FALSE)*F20</f>
        <v>1632.4671260195864</v>
      </c>
      <c r="W20" s="12">
        <f t="shared" si="4"/>
        <v>1632.4671260195864</v>
      </c>
      <c r="X20" s="12">
        <f>VLOOKUP(B20,'Datos Maestros'!$C$2:$D$7,2,FALSE)*V20</f>
        <v>0</v>
      </c>
      <c r="Y20" s="18">
        <f t="shared" si="5"/>
        <v>45915</v>
      </c>
      <c r="Z20" s="13" t="s">
        <v>39</v>
      </c>
      <c r="AA20" s="19" t="str">
        <f>VLOOKUP(D20,Clientes!$A$2:$J$486,9,FALSE)</f>
        <v>Ocacional</v>
      </c>
      <c r="AB20" s="13" t="str">
        <f>VLOOKUP(D20,Clientes!$A$2:$K$486,11,FALSE)</f>
        <v>Persona Natural</v>
      </c>
      <c r="AC20" s="13" t="str">
        <f>VLOOKUP(D20,Clientes!$A$2:$B$486,2,FALSE)</f>
        <v>Jardin Alto</v>
      </c>
      <c r="AD20" s="20"/>
      <c r="AE20" s="20"/>
      <c r="AF20" s="13" t="s">
        <v>40</v>
      </c>
      <c r="AG20" s="15">
        <f t="shared" si="6"/>
        <v>45536</v>
      </c>
      <c r="AH20" s="13" t="s">
        <v>41</v>
      </c>
      <c r="AI20" s="13" t="str">
        <f t="shared" si="7"/>
        <v>Longanizas</v>
      </c>
      <c r="AJ20" s="13" t="str">
        <f>VLOOKUP(E20,Precios!Z$2:AA$941,2,FALSE)</f>
        <v>Longanizas VILLABLANCA</v>
      </c>
      <c r="AK20" s="14">
        <f>VLOOKUP(E20,Precios!Z$2:BB$941,3,FALSE)*F20</f>
        <v>-1</v>
      </c>
      <c r="AL20" s="17"/>
      <c r="AM20" s="17"/>
      <c r="AN20" s="17"/>
      <c r="AO20" s="17"/>
      <c r="AP20" s="17"/>
      <c r="AQ20" s="17"/>
      <c r="AR20" s="17"/>
      <c r="AS20" s="17"/>
      <c r="AT20" s="17"/>
      <c r="AU20" s="17"/>
      <c r="AV20" s="17"/>
    </row>
    <row r="21" spans="1:48" ht="15.75" customHeight="1">
      <c r="A21" s="21" t="s">
        <v>53</v>
      </c>
      <c r="B21" s="23" t="s">
        <v>1692</v>
      </c>
      <c r="C21" s="22">
        <v>45916</v>
      </c>
      <c r="D21" s="23" t="s">
        <v>68</v>
      </c>
      <c r="E21" s="23" t="s">
        <v>69</v>
      </c>
      <c r="F21" s="21">
        <v>2</v>
      </c>
      <c r="G21" s="12">
        <f>VLOOKUP(E21,Precios!B$2:N$941,12,FALSE)</f>
        <v>2999.9553810458683</v>
      </c>
      <c r="H21" s="12">
        <f t="shared" si="0"/>
        <v>5999.9107620917366</v>
      </c>
      <c r="I21" s="23" t="s">
        <v>52</v>
      </c>
      <c r="J21" s="13" t="s">
        <v>38</v>
      </c>
      <c r="K21" s="11" t="s">
        <v>86</v>
      </c>
      <c r="L21" s="11"/>
      <c r="M21" s="12">
        <f t="shared" ref="M21:N21" si="26">G21/1.19</f>
        <v>2520.9709084419064</v>
      </c>
      <c r="N21" s="12">
        <f t="shared" si="26"/>
        <v>5041.9418168838129</v>
      </c>
      <c r="O21" s="12">
        <f t="shared" si="2"/>
        <v>957.96894520792375</v>
      </c>
      <c r="P21" s="13"/>
      <c r="Q21" s="14">
        <f t="shared" si="3"/>
        <v>2025</v>
      </c>
      <c r="R21" s="15">
        <f>VLOOKUP(MONTH(C21),'Datos Maestros'!M$2:N$14,2,FALSE)</f>
        <v>45536</v>
      </c>
      <c r="S21" s="11" t="str">
        <f>VLOOKUP(E21,Precios!B$2:W$941,3,FALSE)</f>
        <v>Toalla Nova 70 mts</v>
      </c>
      <c r="T21" s="16">
        <f>VLOOKUP(E21,Precios!B$2:N$941,4,FALSE)*F21</f>
        <v>0</v>
      </c>
      <c r="U21" s="17"/>
      <c r="V21" s="12">
        <f>VLOOKUP(E21,Precios!B$2:N$941,13,FALSE)*F21</f>
        <v>1651.941816883812</v>
      </c>
      <c r="W21" s="12">
        <f t="shared" si="4"/>
        <v>1651.941816883812</v>
      </c>
      <c r="X21" s="12">
        <f>VLOOKUP(B21,'Datos Maestros'!$C$2:$D$7,2,FALSE)*V21</f>
        <v>0</v>
      </c>
      <c r="Y21" s="18">
        <f t="shared" si="5"/>
        <v>45915</v>
      </c>
      <c r="Z21" s="13" t="s">
        <v>39</v>
      </c>
      <c r="AA21" s="19" t="str">
        <f>VLOOKUP(D21,Clientes!$A$2:$J$486,9,FALSE)</f>
        <v>Frecuente</v>
      </c>
      <c r="AB21" s="13" t="str">
        <f>VLOOKUP(D21,Clientes!$A$2:$K$486,11,FALSE)</f>
        <v>Empresa</v>
      </c>
      <c r="AC21" s="13" t="str">
        <f>VLOOKUP(D21,Clientes!$A$2:$B$486,2,FALSE)</f>
        <v>Jardines de la viña</v>
      </c>
      <c r="AD21" s="20"/>
      <c r="AE21" s="20"/>
      <c r="AF21" s="13" t="s">
        <v>40</v>
      </c>
      <c r="AG21" s="15">
        <f t="shared" si="6"/>
        <v>45536</v>
      </c>
      <c r="AH21" s="13" t="s">
        <v>41</v>
      </c>
      <c r="AI21" s="13" t="str">
        <f t="shared" si="7"/>
        <v>Papeleria</v>
      </c>
      <c r="AJ21" s="13" t="str">
        <f>VLOOKUP(E21,Precios!Z$2:AA$941,2,FALSE)</f>
        <v>Toalla Papel NOVA 70 metros</v>
      </c>
      <c r="AK21" s="14">
        <f>VLOOKUP(E21,Precios!Z$2:BB$941,3,FALSE)*F21</f>
        <v>-2</v>
      </c>
      <c r="AL21" s="17"/>
      <c r="AM21" s="17"/>
      <c r="AN21" s="17"/>
      <c r="AO21" s="17"/>
      <c r="AP21" s="17"/>
      <c r="AQ21" s="17"/>
      <c r="AR21" s="17"/>
      <c r="AS21" s="17"/>
      <c r="AT21" s="17"/>
      <c r="AU21" s="17"/>
      <c r="AV21" s="17"/>
    </row>
    <row r="22" spans="1:48" ht="15.75" customHeight="1">
      <c r="A22" s="21" t="s">
        <v>53</v>
      </c>
      <c r="B22" s="23" t="s">
        <v>1692</v>
      </c>
      <c r="C22" s="22">
        <v>45916</v>
      </c>
      <c r="D22" s="23" t="s">
        <v>68</v>
      </c>
      <c r="E22" s="23" t="s">
        <v>55</v>
      </c>
      <c r="F22" s="21">
        <v>1</v>
      </c>
      <c r="G22" s="12">
        <f>VLOOKUP(E22,Precios!B$2:N$941,12,FALSE)</f>
        <v>20899.91124296327</v>
      </c>
      <c r="H22" s="12">
        <f t="shared" si="0"/>
        <v>20899.91124296327</v>
      </c>
      <c r="I22" s="23" t="s">
        <v>52</v>
      </c>
      <c r="J22" s="13" t="s">
        <v>38</v>
      </c>
      <c r="K22" s="24" t="s">
        <v>86</v>
      </c>
      <c r="L22" s="11"/>
      <c r="M22" s="12">
        <f t="shared" ref="M22:N22" si="27">G22/1.19</f>
        <v>17562.950624338882</v>
      </c>
      <c r="N22" s="12">
        <f t="shared" si="27"/>
        <v>17562.950624338882</v>
      </c>
      <c r="O22" s="12">
        <f t="shared" si="2"/>
        <v>3336.9606186243873</v>
      </c>
      <c r="P22" s="13"/>
      <c r="Q22" s="14">
        <f t="shared" si="3"/>
        <v>2025</v>
      </c>
      <c r="R22" s="15">
        <f>VLOOKUP(MONTH(C22),'Datos Maestros'!M$2:N$14,2,FALSE)</f>
        <v>45536</v>
      </c>
      <c r="S22" s="11" t="str">
        <f>VLOOKUP(E22,Precios!B$2:W$941,3,FALSE)</f>
        <v>Papel Higiénico ELITE</v>
      </c>
      <c r="T22" s="16">
        <f>VLOOKUP(E22,Precios!B$2:N$941,4,FALSE)*F22</f>
        <v>0</v>
      </c>
      <c r="U22" s="17"/>
      <c r="V22" s="12">
        <f>VLOOKUP(E22,Precios!B$2:N$941,13,FALSE)*F22</f>
        <v>3117.9506243388823</v>
      </c>
      <c r="W22" s="12">
        <f t="shared" si="4"/>
        <v>3117.9506243388823</v>
      </c>
      <c r="X22" s="12">
        <f>VLOOKUP(B22,'Datos Maestros'!$C$2:$D$7,2,FALSE)*V22</f>
        <v>0</v>
      </c>
      <c r="Y22" s="18">
        <f t="shared" si="5"/>
        <v>45915</v>
      </c>
      <c r="Z22" s="13" t="s">
        <v>39</v>
      </c>
      <c r="AA22" s="19" t="str">
        <f>VLOOKUP(D22,Clientes!$A$2:$J$486,9,FALSE)</f>
        <v>Frecuente</v>
      </c>
      <c r="AB22" s="13" t="str">
        <f>VLOOKUP(D22,Clientes!$A$2:$K$486,11,FALSE)</f>
        <v>Empresa</v>
      </c>
      <c r="AC22" s="13" t="str">
        <f>VLOOKUP(D22,Clientes!$A$2:$B$486,2,FALSE)</f>
        <v>Jardines de la viña</v>
      </c>
      <c r="AD22" s="20"/>
      <c r="AE22" s="20"/>
      <c r="AF22" s="13" t="s">
        <v>40</v>
      </c>
      <c r="AG22" s="15">
        <f t="shared" si="6"/>
        <v>45536</v>
      </c>
      <c r="AH22" s="13" t="s">
        <v>41</v>
      </c>
      <c r="AI22" s="13" t="str">
        <f t="shared" si="7"/>
        <v>Papeleria</v>
      </c>
      <c r="AJ22" s="13" t="str">
        <f>VLOOKUP(E22,Precios!Z$2:AA$941,2,FALSE)</f>
        <v>Papel Higienico ELITE 50 metros</v>
      </c>
      <c r="AK22" s="14">
        <f>VLOOKUP(E22,Precios!Z$2:BB$941,3,FALSE)*F22</f>
        <v>-8</v>
      </c>
      <c r="AL22" s="17"/>
      <c r="AM22" s="17"/>
      <c r="AN22" s="17"/>
      <c r="AO22" s="17"/>
      <c r="AP22" s="17"/>
      <c r="AQ22" s="17"/>
      <c r="AR22" s="17"/>
      <c r="AS22" s="17"/>
      <c r="AT22" s="17"/>
      <c r="AU22" s="17"/>
      <c r="AV22" s="17"/>
    </row>
    <row r="23" spans="1:48" ht="15.75" customHeight="1">
      <c r="A23" s="21" t="s">
        <v>53</v>
      </c>
      <c r="B23" s="23" t="s">
        <v>1692</v>
      </c>
      <c r="C23" s="22">
        <v>45916</v>
      </c>
      <c r="D23" s="23" t="s">
        <v>68</v>
      </c>
      <c r="E23" s="23" t="s">
        <v>70</v>
      </c>
      <c r="F23" s="21">
        <v>1</v>
      </c>
      <c r="G23" s="12">
        <f>VLOOKUP(E23,Precios!B$2:N$941,12,FALSE)</f>
        <v>5000.3257328990221</v>
      </c>
      <c r="H23" s="12">
        <f t="shared" si="0"/>
        <v>5000.3257328990221</v>
      </c>
      <c r="I23" s="23" t="s">
        <v>52</v>
      </c>
      <c r="J23" s="13" t="s">
        <v>38</v>
      </c>
      <c r="K23" s="24" t="s">
        <v>86</v>
      </c>
      <c r="L23" s="11"/>
      <c r="M23" s="12">
        <f t="shared" ref="M23:N23" si="28">G23/1.19</f>
        <v>4201.9543973941363</v>
      </c>
      <c r="N23" s="12">
        <f t="shared" si="28"/>
        <v>4201.9543973941363</v>
      </c>
      <c r="O23" s="12">
        <f t="shared" si="2"/>
        <v>798.37133550488579</v>
      </c>
      <c r="P23" s="13"/>
      <c r="Q23" s="14">
        <f t="shared" si="3"/>
        <v>2025</v>
      </c>
      <c r="R23" s="15">
        <f>VLOOKUP(MONTH(C23),'Datos Maestros'!M$2:N$14,2,FALSE)</f>
        <v>45536</v>
      </c>
      <c r="S23" s="11" t="str">
        <f>VLOOKUP(E23,Precios!B$2:W$941,3,FALSE)</f>
        <v>Servilletas</v>
      </c>
      <c r="T23" s="16">
        <f>VLOOKUP(E23,Precios!B$2:N$941,4,FALSE)*F23</f>
        <v>300</v>
      </c>
      <c r="U23" s="17"/>
      <c r="V23" s="12">
        <f>VLOOKUP(E23,Precios!B$2:N$941,13,FALSE)*F23</f>
        <v>2008.9543973941363</v>
      </c>
      <c r="W23" s="12">
        <f t="shared" si="4"/>
        <v>2008.9543973941363</v>
      </c>
      <c r="X23" s="12">
        <f>VLOOKUP(B23,'Datos Maestros'!$C$2:$D$7,2,FALSE)*V23</f>
        <v>0</v>
      </c>
      <c r="Y23" s="18">
        <f t="shared" si="5"/>
        <v>45915</v>
      </c>
      <c r="Z23" s="13" t="s">
        <v>39</v>
      </c>
      <c r="AA23" s="19" t="str">
        <f>VLOOKUP(D23,Clientes!$A$2:$J$486,9,FALSE)</f>
        <v>Frecuente</v>
      </c>
      <c r="AB23" s="13" t="str">
        <f>VLOOKUP(D23,Clientes!$A$2:$K$486,11,FALSE)</f>
        <v>Empresa</v>
      </c>
      <c r="AC23" s="13" t="str">
        <f>VLOOKUP(D23,Clientes!$A$2:$B$486,2,FALSE)</f>
        <v>Jardines de la viña</v>
      </c>
      <c r="AD23" s="20"/>
      <c r="AE23" s="20"/>
      <c r="AF23" s="13" t="s">
        <v>40</v>
      </c>
      <c r="AG23" s="15">
        <f t="shared" si="6"/>
        <v>45536</v>
      </c>
      <c r="AH23" s="13" t="s">
        <v>41</v>
      </c>
      <c r="AI23" s="13" t="str">
        <f t="shared" si="7"/>
        <v>Papeleria</v>
      </c>
      <c r="AJ23" s="13" t="str">
        <f>VLOOKUP(E23,Precios!Z$2:AA$941,2,FALSE)</f>
        <v>Servilletas SOFTQUALITY 300 unidades</v>
      </c>
      <c r="AK23" s="14">
        <f>VLOOKUP(E23,Precios!Z$2:BB$941,3,FALSE)*F23</f>
        <v>-3</v>
      </c>
      <c r="AL23" s="17"/>
      <c r="AM23" s="17"/>
      <c r="AN23" s="17"/>
      <c r="AO23" s="17"/>
      <c r="AP23" s="17"/>
      <c r="AQ23" s="17"/>
      <c r="AR23" s="17"/>
      <c r="AS23" s="17"/>
      <c r="AT23" s="17"/>
      <c r="AU23" s="17"/>
      <c r="AV23" s="17"/>
    </row>
    <row r="24" spans="1:48" ht="15.75" customHeight="1">
      <c r="A24" s="21" t="s">
        <v>47</v>
      </c>
      <c r="B24" s="23" t="s">
        <v>1692</v>
      </c>
      <c r="C24" s="22">
        <v>45916</v>
      </c>
      <c r="D24" s="23" t="s">
        <v>68</v>
      </c>
      <c r="E24" s="23" t="s">
        <v>71</v>
      </c>
      <c r="F24" s="21">
        <v>1</v>
      </c>
      <c r="G24" s="12">
        <f>VLOOKUP(E24,Precios!B$2:N$941,12,FALSE)</f>
        <v>2700.007670476336</v>
      </c>
      <c r="H24" s="12">
        <f t="shared" si="0"/>
        <v>2700.007670476336</v>
      </c>
      <c r="I24" s="23" t="s">
        <v>52</v>
      </c>
      <c r="J24" s="13" t="s">
        <v>38</v>
      </c>
      <c r="K24" s="24" t="s">
        <v>86</v>
      </c>
      <c r="L24" s="11"/>
      <c r="M24" s="12">
        <f t="shared" ref="M24:N24" si="29">G24/1.19</f>
        <v>2268.9140088036438</v>
      </c>
      <c r="N24" s="12">
        <f t="shared" si="29"/>
        <v>2268.9140088036438</v>
      </c>
      <c r="O24" s="12">
        <f t="shared" si="2"/>
        <v>431.09366167269218</v>
      </c>
      <c r="P24" s="13"/>
      <c r="Q24" s="14">
        <f t="shared" si="3"/>
        <v>2025</v>
      </c>
      <c r="R24" s="15">
        <f>VLOOKUP(MONTH(C24),'Datos Maestros'!M$2:N$14,2,FALSE)</f>
        <v>45536</v>
      </c>
      <c r="S24" s="11" t="str">
        <f>VLOOKUP(E24,Precios!B$2:W$941,3,FALSE)</f>
        <v>Toalla desinfectantes</v>
      </c>
      <c r="T24" s="16">
        <f>VLOOKUP(E24,Precios!B$2:N$941,4,FALSE)*F24</f>
        <v>0</v>
      </c>
      <c r="U24" s="17"/>
      <c r="V24" s="12">
        <f>VLOOKUP(E24,Precios!B$2:N$941,13,FALSE)*F24</f>
        <v>789.92241216498837</v>
      </c>
      <c r="W24" s="12">
        <f t="shared" si="4"/>
        <v>789.92241216498837</v>
      </c>
      <c r="X24" s="12">
        <f>VLOOKUP(B24,'Datos Maestros'!$C$2:$D$7,2,FALSE)*V24</f>
        <v>0</v>
      </c>
      <c r="Y24" s="18">
        <f t="shared" si="5"/>
        <v>45915</v>
      </c>
      <c r="Z24" s="13" t="s">
        <v>39</v>
      </c>
      <c r="AA24" s="19" t="str">
        <f>VLOOKUP(D24,Clientes!$A$2:$J$486,9,FALSE)</f>
        <v>Frecuente</v>
      </c>
      <c r="AB24" s="13" t="str">
        <f>VLOOKUP(D24,Clientes!$A$2:$K$486,11,FALSE)</f>
        <v>Empresa</v>
      </c>
      <c r="AC24" s="13" t="str">
        <f>VLOOKUP(D24,Clientes!$A$2:$B$486,2,FALSE)</f>
        <v>Jardines de la viña</v>
      </c>
      <c r="AD24" s="20"/>
      <c r="AE24" s="20"/>
      <c r="AF24" s="13" t="s">
        <v>40</v>
      </c>
      <c r="AG24" s="15">
        <f t="shared" si="6"/>
        <v>45536</v>
      </c>
      <c r="AH24" s="13" t="s">
        <v>41</v>
      </c>
      <c r="AI24" s="13" t="str">
        <f t="shared" si="7"/>
        <v>Articulos de Aseo</v>
      </c>
      <c r="AJ24" s="13" t="str">
        <f>VLOOKUP(E24,Precios!Z$2:AA$941,2,FALSE)</f>
        <v>Toalla desinfectante IGENIX 50 unidades</v>
      </c>
      <c r="AK24" s="14">
        <f>VLOOKUP(E24,Precios!Z$2:BB$941,3,FALSE)*F24</f>
        <v>-1</v>
      </c>
      <c r="AL24" s="17"/>
      <c r="AM24" s="17"/>
      <c r="AN24" s="17"/>
      <c r="AO24" s="17"/>
      <c r="AP24" s="17"/>
      <c r="AQ24" s="17"/>
      <c r="AR24" s="17"/>
      <c r="AS24" s="17"/>
      <c r="AT24" s="17"/>
      <c r="AU24" s="17"/>
      <c r="AV24" s="17"/>
    </row>
    <row r="25" spans="1:48" ht="15.75" customHeight="1">
      <c r="A25" s="21" t="s">
        <v>47</v>
      </c>
      <c r="B25" s="23" t="s">
        <v>1692</v>
      </c>
      <c r="C25" s="22">
        <v>45916</v>
      </c>
      <c r="D25" s="23" t="s">
        <v>68</v>
      </c>
      <c r="E25" s="23" t="s">
        <v>72</v>
      </c>
      <c r="F25" s="21">
        <v>2</v>
      </c>
      <c r="G25" s="12">
        <f>VLOOKUP(E25,Precios!B$2:N$941,12,FALSE)</f>
        <v>2750</v>
      </c>
      <c r="H25" s="12">
        <f t="shared" si="0"/>
        <v>5500</v>
      </c>
      <c r="I25" s="23" t="s">
        <v>52</v>
      </c>
      <c r="J25" s="13" t="s">
        <v>38</v>
      </c>
      <c r="K25" s="24" t="s">
        <v>86</v>
      </c>
      <c r="L25" s="11"/>
      <c r="M25" s="12">
        <f t="shared" ref="M25:N25" si="30">G25/1.19</f>
        <v>2310.9243697478992</v>
      </c>
      <c r="N25" s="12">
        <f t="shared" si="30"/>
        <v>4621.8487394957983</v>
      </c>
      <c r="O25" s="12">
        <f t="shared" si="2"/>
        <v>878.15126050420167</v>
      </c>
      <c r="P25" s="13"/>
      <c r="Q25" s="14">
        <f t="shared" si="3"/>
        <v>2025</v>
      </c>
      <c r="R25" s="15">
        <f>VLOOKUP(MONTH(C25),'Datos Maestros'!M$2:N$14,2,FALSE)</f>
        <v>45536</v>
      </c>
      <c r="S25" s="11" t="str">
        <f>VLOOKUP(E25,Precios!B$2:W$941,3,FALSE)</f>
        <v>Trapero Húmedo</v>
      </c>
      <c r="T25" s="16">
        <f>VLOOKUP(E25,Precios!B$2:N$941,4,FALSE)*F25</f>
        <v>0</v>
      </c>
      <c r="U25" s="17"/>
      <c r="V25" s="12">
        <f>VLOOKUP(E25,Precios!B$2:N$941,13,FALSE)*F25</f>
        <v>1327.7310924369744</v>
      </c>
      <c r="W25" s="12">
        <f t="shared" si="4"/>
        <v>1327.7310924369744</v>
      </c>
      <c r="X25" s="12">
        <f>VLOOKUP(B25,'Datos Maestros'!$C$2:$D$7,2,FALSE)*V25</f>
        <v>0</v>
      </c>
      <c r="Y25" s="18">
        <f t="shared" si="5"/>
        <v>45915</v>
      </c>
      <c r="Z25" s="13" t="s">
        <v>39</v>
      </c>
      <c r="AA25" s="19" t="str">
        <f>VLOOKUP(D25,Clientes!$A$2:$J$486,9,FALSE)</f>
        <v>Frecuente</v>
      </c>
      <c r="AB25" s="13" t="str">
        <f>VLOOKUP(D25,Clientes!$A$2:$K$486,11,FALSE)</f>
        <v>Empresa</v>
      </c>
      <c r="AC25" s="13" t="str">
        <f>VLOOKUP(D25,Clientes!$A$2:$B$486,2,FALSE)</f>
        <v>Jardines de la viña</v>
      </c>
      <c r="AD25" s="20"/>
      <c r="AE25" s="20"/>
      <c r="AF25" s="13" t="s">
        <v>40</v>
      </c>
      <c r="AG25" s="15">
        <f t="shared" si="6"/>
        <v>45536</v>
      </c>
      <c r="AH25" s="13" t="s">
        <v>41</v>
      </c>
      <c r="AI25" s="13" t="str">
        <f t="shared" si="7"/>
        <v>Articulos de Aseo</v>
      </c>
      <c r="AJ25" s="13" t="str">
        <f>VLOOKUP(E25,Precios!Z$2:AA$941,2,FALSE)</f>
        <v>Traperos Humedos VIRGINIA</v>
      </c>
      <c r="AK25" s="14">
        <f>VLOOKUP(E25,Precios!Z$2:BB$941,3,FALSE)*F25</f>
        <v>-2</v>
      </c>
      <c r="AL25" s="17"/>
      <c r="AM25" s="17"/>
      <c r="AN25" s="17"/>
      <c r="AO25" s="17"/>
      <c r="AP25" s="17"/>
      <c r="AQ25" s="17"/>
      <c r="AR25" s="17"/>
      <c r="AS25" s="17"/>
      <c r="AT25" s="17"/>
      <c r="AU25" s="17"/>
      <c r="AV25" s="17"/>
    </row>
    <row r="26" spans="1:48" ht="15.75" customHeight="1">
      <c r="A26" s="21" t="s">
        <v>73</v>
      </c>
      <c r="B26" s="23" t="s">
        <v>1692</v>
      </c>
      <c r="C26" s="22">
        <v>45916</v>
      </c>
      <c r="D26" s="23" t="s">
        <v>68</v>
      </c>
      <c r="E26" s="23" t="s">
        <v>74</v>
      </c>
      <c r="F26" s="21">
        <v>1</v>
      </c>
      <c r="G26" s="12">
        <f>VLOOKUP(E26,Precios!B$2:N$941,12,FALSE)</f>
        <v>4199.9020019599611</v>
      </c>
      <c r="H26" s="12">
        <f t="shared" si="0"/>
        <v>4199.9020019599611</v>
      </c>
      <c r="I26" s="23" t="s">
        <v>52</v>
      </c>
      <c r="J26" s="13" t="s">
        <v>38</v>
      </c>
      <c r="K26" s="24" t="s">
        <v>86</v>
      </c>
      <c r="L26" s="11"/>
      <c r="M26" s="12">
        <f t="shared" ref="M26:N26" si="31">G26/1.19</f>
        <v>3529.3294134117323</v>
      </c>
      <c r="N26" s="12">
        <f t="shared" si="31"/>
        <v>3529.3294134117323</v>
      </c>
      <c r="O26" s="12">
        <f t="shared" si="2"/>
        <v>670.57258854822885</v>
      </c>
      <c r="P26" s="13"/>
      <c r="Q26" s="14">
        <f t="shared" si="3"/>
        <v>2025</v>
      </c>
      <c r="R26" s="15">
        <f>VLOOKUP(MONTH(C26),'Datos Maestros'!M$2:N$14,2,FALSE)</f>
        <v>45536</v>
      </c>
      <c r="S26" s="11" t="str">
        <f>VLOOKUP(E26,Precios!B$2:W$941,3,FALSE)</f>
        <v>Guantes NITRILO</v>
      </c>
      <c r="T26" s="16">
        <f>VLOOKUP(E26,Precios!B$2:N$941,4,FALSE)*F26</f>
        <v>0</v>
      </c>
      <c r="U26" s="17"/>
      <c r="V26" s="12">
        <f>VLOOKUP(E26,Precios!B$2:N$941,13,FALSE)*F26</f>
        <v>1008.3294134117323</v>
      </c>
      <c r="W26" s="12">
        <f t="shared" si="4"/>
        <v>1008.3294134117323</v>
      </c>
      <c r="X26" s="12">
        <f>VLOOKUP(B26,'Datos Maestros'!$C$2:$D$7,2,FALSE)*V26</f>
        <v>0</v>
      </c>
      <c r="Y26" s="18">
        <f t="shared" si="5"/>
        <v>45915</v>
      </c>
      <c r="Z26" s="13" t="s">
        <v>39</v>
      </c>
      <c r="AA26" s="19" t="str">
        <f>VLOOKUP(D26,Clientes!$A$2:$J$486,9,FALSE)</f>
        <v>Frecuente</v>
      </c>
      <c r="AB26" s="13" t="str">
        <f>VLOOKUP(D26,Clientes!$A$2:$K$486,11,FALSE)</f>
        <v>Empresa</v>
      </c>
      <c r="AC26" s="13" t="str">
        <f>VLOOKUP(D26,Clientes!$A$2:$B$486,2,FALSE)</f>
        <v>Jardines de la viña</v>
      </c>
      <c r="AD26" s="20"/>
      <c r="AE26" s="20"/>
      <c r="AF26" s="13" t="s">
        <v>40</v>
      </c>
      <c r="AG26" s="15">
        <f t="shared" si="6"/>
        <v>45536</v>
      </c>
      <c r="AH26" s="13" t="s">
        <v>41</v>
      </c>
      <c r="AI26" s="13" t="str">
        <f t="shared" si="7"/>
        <v>Articulos de Sanidad</v>
      </c>
      <c r="AJ26" s="13" t="str">
        <f>VLOOKUP(E26,Precios!Z$2:AA$941,2,FALSE)</f>
        <v>Guante NITRILO Talla S</v>
      </c>
      <c r="AK26" s="14">
        <f>VLOOKUP(E26,Precios!Z$2:BB$941,3,FALSE)*F26</f>
        <v>-1</v>
      </c>
      <c r="AL26" s="17"/>
      <c r="AM26" s="17"/>
      <c r="AN26" s="17"/>
      <c r="AO26" s="17"/>
      <c r="AP26" s="17"/>
      <c r="AQ26" s="17"/>
      <c r="AR26" s="17"/>
      <c r="AS26" s="17"/>
      <c r="AT26" s="17"/>
      <c r="AU26" s="17"/>
      <c r="AV26" s="17"/>
    </row>
    <row r="27" spans="1:48" ht="15.75" customHeight="1">
      <c r="A27" s="21" t="s">
        <v>47</v>
      </c>
      <c r="B27" s="23" t="s">
        <v>1692</v>
      </c>
      <c r="C27" s="22">
        <v>45916</v>
      </c>
      <c r="D27" s="23" t="s">
        <v>68</v>
      </c>
      <c r="E27" s="23" t="s">
        <v>75</v>
      </c>
      <c r="F27" s="21">
        <v>3</v>
      </c>
      <c r="G27" s="12">
        <f>VLOOKUP(E27,Precios!B$2:N$941,12,FALSE)</f>
        <v>250.16488046166529</v>
      </c>
      <c r="H27" s="12">
        <f t="shared" si="0"/>
        <v>750.49464138499593</v>
      </c>
      <c r="I27" s="23" t="s">
        <v>52</v>
      </c>
      <c r="J27" s="13" t="s">
        <v>38</v>
      </c>
      <c r="K27" s="24" t="s">
        <v>86</v>
      </c>
      <c r="L27" s="11"/>
      <c r="M27" s="12">
        <f t="shared" ref="M27:N27" si="32">G27/1.19</f>
        <v>210.22258862324816</v>
      </c>
      <c r="N27" s="12">
        <f t="shared" si="32"/>
        <v>630.66776586974447</v>
      </c>
      <c r="O27" s="12">
        <f t="shared" si="2"/>
        <v>119.82687551525146</v>
      </c>
      <c r="P27" s="13"/>
      <c r="Q27" s="14">
        <f t="shared" si="3"/>
        <v>2025</v>
      </c>
      <c r="R27" s="15">
        <f>VLOOKUP(MONTH(C27),'Datos Maestros'!M$2:N$14,2,FALSE)</f>
        <v>45536</v>
      </c>
      <c r="S27" s="11" t="str">
        <f>VLOOKUP(E27,Precios!B$2:W$941,3,FALSE)</f>
        <v>Esponjas</v>
      </c>
      <c r="T27" s="16">
        <f>VLOOKUP(E27,Precios!B$2:N$941,4,FALSE)*F27</f>
        <v>0</v>
      </c>
      <c r="U27" s="17"/>
      <c r="V27" s="12">
        <f>VLOOKUP(E27,Precios!B$2:N$941,13,FALSE)*F27</f>
        <v>324.66776586974447</v>
      </c>
      <c r="W27" s="12">
        <f t="shared" si="4"/>
        <v>324.66776586974447</v>
      </c>
      <c r="X27" s="12">
        <f>VLOOKUP(B27,'Datos Maestros'!$C$2:$D$7,2,FALSE)*V27</f>
        <v>0</v>
      </c>
      <c r="Y27" s="18">
        <f t="shared" si="5"/>
        <v>45915</v>
      </c>
      <c r="Z27" s="13" t="s">
        <v>39</v>
      </c>
      <c r="AA27" s="19" t="str">
        <f>VLOOKUP(D27,Clientes!$A$2:$J$486,9,FALSE)</f>
        <v>Frecuente</v>
      </c>
      <c r="AB27" s="13" t="str">
        <f>VLOOKUP(D27,Clientes!$A$2:$K$486,11,FALSE)</f>
        <v>Empresa</v>
      </c>
      <c r="AC27" s="13" t="str">
        <f>VLOOKUP(D27,Clientes!$A$2:$B$486,2,FALSE)</f>
        <v>Jardines de la viña</v>
      </c>
      <c r="AD27" s="20"/>
      <c r="AE27" s="20"/>
      <c r="AF27" s="13" t="s">
        <v>40</v>
      </c>
      <c r="AG27" s="15">
        <f t="shared" si="6"/>
        <v>45536</v>
      </c>
      <c r="AH27" s="13" t="s">
        <v>41</v>
      </c>
      <c r="AI27" s="13" t="str">
        <f t="shared" si="7"/>
        <v>Articulos de Aseo</v>
      </c>
      <c r="AJ27" s="13" t="str">
        <f>VLOOKUP(E27,Precios!Z$2:AA$941,2,FALSE)</f>
        <v>Esponja Acanalada TEDDY</v>
      </c>
      <c r="AK27" s="14">
        <f>VLOOKUP(E27,Precios!Z$2:BB$941,3,FALSE)*F27</f>
        <v>-3</v>
      </c>
      <c r="AL27" s="17"/>
      <c r="AM27" s="17"/>
      <c r="AN27" s="17"/>
      <c r="AO27" s="17"/>
      <c r="AP27" s="17"/>
      <c r="AQ27" s="17"/>
      <c r="AR27" s="17"/>
      <c r="AS27" s="17"/>
      <c r="AT27" s="17"/>
      <c r="AU27" s="17"/>
      <c r="AV27" s="17"/>
    </row>
    <row r="28" spans="1:48" ht="15.75" customHeight="1">
      <c r="A28" s="21" t="s">
        <v>76</v>
      </c>
      <c r="B28" s="23" t="s">
        <v>1692</v>
      </c>
      <c r="C28" s="22">
        <v>45916</v>
      </c>
      <c r="D28" s="23" t="s">
        <v>68</v>
      </c>
      <c r="E28" s="23" t="s">
        <v>77</v>
      </c>
      <c r="F28" s="21">
        <v>1</v>
      </c>
      <c r="G28" s="12">
        <f>VLOOKUP(E28,Precios!B$2:N$941,12,FALSE)</f>
        <v>1700.1361470388019</v>
      </c>
      <c r="H28" s="12">
        <f t="shared" si="0"/>
        <v>1700.1361470388019</v>
      </c>
      <c r="I28" s="23" t="s">
        <v>52</v>
      </c>
      <c r="J28" s="13" t="s">
        <v>38</v>
      </c>
      <c r="K28" s="24" t="s">
        <v>86</v>
      </c>
      <c r="L28" s="11"/>
      <c r="M28" s="12">
        <f t="shared" ref="M28:N28" si="33">G28/1.19</f>
        <v>1428.6858378477327</v>
      </c>
      <c r="N28" s="12">
        <f t="shared" si="33"/>
        <v>1428.6858378477327</v>
      </c>
      <c r="O28" s="12">
        <f t="shared" si="2"/>
        <v>271.45030919106921</v>
      </c>
      <c r="P28" s="13"/>
      <c r="Q28" s="14">
        <f t="shared" si="3"/>
        <v>2025</v>
      </c>
      <c r="R28" s="15">
        <f>VLOOKUP(MONTH(C28),'Datos Maestros'!M$2:N$14,2,FALSE)</f>
        <v>45536</v>
      </c>
      <c r="S28" s="11" t="str">
        <f>VLOOKUP(E28,Precios!B$2:W$941,3,FALSE)</f>
        <v>Cloro Gel</v>
      </c>
      <c r="T28" s="16">
        <f>VLOOKUP(E28,Precios!B$2:N$941,4,FALSE)*F28</f>
        <v>0</v>
      </c>
      <c r="U28" s="17"/>
      <c r="V28" s="12">
        <f>VLOOKUP(E28,Precios!B$2:N$941,13,FALSE)*F28</f>
        <v>589.19003952840501</v>
      </c>
      <c r="W28" s="12">
        <f t="shared" si="4"/>
        <v>589.19003952840501</v>
      </c>
      <c r="X28" s="12">
        <f>VLOOKUP(B28,'Datos Maestros'!$C$2:$D$7,2,FALSE)*V28</f>
        <v>0</v>
      </c>
      <c r="Y28" s="18">
        <f t="shared" si="5"/>
        <v>45915</v>
      </c>
      <c r="Z28" s="13" t="s">
        <v>39</v>
      </c>
      <c r="AA28" s="19" t="str">
        <f>VLOOKUP(D28,Clientes!$A$2:$J$486,9,FALSE)</f>
        <v>Frecuente</v>
      </c>
      <c r="AB28" s="13" t="str">
        <f>VLOOKUP(D28,Clientes!$A$2:$K$486,11,FALSE)</f>
        <v>Empresa</v>
      </c>
      <c r="AC28" s="13" t="str">
        <f>VLOOKUP(D28,Clientes!$A$2:$B$486,2,FALSE)</f>
        <v>Jardines de la viña</v>
      </c>
      <c r="AD28" s="20"/>
      <c r="AE28" s="20"/>
      <c r="AF28" s="13" t="s">
        <v>40</v>
      </c>
      <c r="AG28" s="15">
        <f t="shared" si="6"/>
        <v>45536</v>
      </c>
      <c r="AH28" s="13" t="s">
        <v>41</v>
      </c>
      <c r="AI28" s="13" t="str">
        <f t="shared" si="7"/>
        <v>Detergentes</v>
      </c>
      <c r="AJ28" s="13" t="str">
        <f>VLOOKUP(E28,Precios!Z$2:AA$941,2,FALSE)</f>
        <v>Cloro GEL IGENIX 900ml</v>
      </c>
      <c r="AK28" s="14">
        <f>VLOOKUP(E28,Precios!Z$2:BB$941,3,FALSE)*F28</f>
        <v>-1</v>
      </c>
      <c r="AL28" s="17"/>
      <c r="AM28" s="17"/>
      <c r="AN28" s="17"/>
      <c r="AO28" s="17"/>
      <c r="AP28" s="17"/>
      <c r="AQ28" s="17"/>
      <c r="AR28" s="17"/>
      <c r="AS28" s="17"/>
      <c r="AT28" s="17"/>
      <c r="AU28" s="17"/>
      <c r="AV28" s="17"/>
    </row>
    <row r="29" spans="1:48" ht="15.75" customHeight="1">
      <c r="A29" s="21" t="s">
        <v>76</v>
      </c>
      <c r="B29" s="23" t="s">
        <v>1692</v>
      </c>
      <c r="C29" s="22">
        <v>45916</v>
      </c>
      <c r="D29" s="23" t="s">
        <v>68</v>
      </c>
      <c r="E29" s="23" t="s">
        <v>78</v>
      </c>
      <c r="F29" s="21">
        <v>1</v>
      </c>
      <c r="G29" s="12">
        <f>VLOOKUP(E29,Precios!B$2:N$941,12,FALSE)</f>
        <v>3699.7285326475212</v>
      </c>
      <c r="H29" s="12">
        <f t="shared" si="0"/>
        <v>3699.7285326475212</v>
      </c>
      <c r="I29" s="23" t="s">
        <v>52</v>
      </c>
      <c r="J29" s="13" t="s">
        <v>38</v>
      </c>
      <c r="K29" s="24" t="s">
        <v>86</v>
      </c>
      <c r="L29" s="11"/>
      <c r="M29" s="12">
        <f t="shared" ref="M29:N29" si="34">G29/1.19</f>
        <v>3109.0155736533793</v>
      </c>
      <c r="N29" s="12">
        <f t="shared" si="34"/>
        <v>3109.0155736533793</v>
      </c>
      <c r="O29" s="12">
        <f t="shared" si="2"/>
        <v>590.7129589941419</v>
      </c>
      <c r="P29" s="13"/>
      <c r="Q29" s="14">
        <f t="shared" si="3"/>
        <v>2025</v>
      </c>
      <c r="R29" s="15">
        <f>VLOOKUP(MONTH(C29),'Datos Maestros'!M$2:N$14,2,FALSE)</f>
        <v>45536</v>
      </c>
      <c r="S29" s="11" t="str">
        <f>VLOOKUP(E29,Precios!B$2:W$941,3,FALSE)</f>
        <v>Lavaloza</v>
      </c>
      <c r="T29" s="16">
        <f>VLOOKUP(E29,Precios!B$2:N$941,4,FALSE)*F29</f>
        <v>0</v>
      </c>
      <c r="U29" s="17"/>
      <c r="V29" s="12">
        <f>VLOOKUP(E29,Precios!B$2:N$941,13,FALSE)*F29</f>
        <v>933.01557365337931</v>
      </c>
      <c r="W29" s="12">
        <f t="shared" si="4"/>
        <v>933.01557365337931</v>
      </c>
      <c r="X29" s="12">
        <f>VLOOKUP(B29,'Datos Maestros'!$C$2:$D$7,2,FALSE)*V29</f>
        <v>0</v>
      </c>
      <c r="Y29" s="18">
        <f t="shared" si="5"/>
        <v>45915</v>
      </c>
      <c r="Z29" s="13" t="s">
        <v>39</v>
      </c>
      <c r="AA29" s="19" t="str">
        <f>VLOOKUP(D29,Clientes!$A$2:$J$486,9,FALSE)</f>
        <v>Frecuente</v>
      </c>
      <c r="AB29" s="13" t="str">
        <f>VLOOKUP(D29,Clientes!$A$2:$K$486,11,FALSE)</f>
        <v>Empresa</v>
      </c>
      <c r="AC29" s="13" t="str">
        <f>VLOOKUP(D29,Clientes!$A$2:$B$486,2,FALSE)</f>
        <v>Jardines de la viña</v>
      </c>
      <c r="AD29" s="20"/>
      <c r="AE29" s="20"/>
      <c r="AF29" s="13" t="s">
        <v>40</v>
      </c>
      <c r="AG29" s="15">
        <f t="shared" si="6"/>
        <v>45536</v>
      </c>
      <c r="AH29" s="13" t="s">
        <v>41</v>
      </c>
      <c r="AI29" s="13" t="str">
        <f t="shared" si="7"/>
        <v>Detergentes</v>
      </c>
      <c r="AJ29" s="13" t="str">
        <f>VLOOKUP(E29,Precios!Z$2:AA$941,2,FALSE)</f>
        <v>Lavaloza MAGISTRAL 500 ml</v>
      </c>
      <c r="AK29" s="14">
        <f>VLOOKUP(E29,Precios!Z$2:BB$941,3,FALSE)*F29</f>
        <v>-1</v>
      </c>
      <c r="AL29" s="17"/>
      <c r="AM29" s="17"/>
      <c r="AN29" s="17"/>
      <c r="AO29" s="17"/>
      <c r="AP29" s="17"/>
      <c r="AQ29" s="17"/>
      <c r="AR29" s="17"/>
      <c r="AS29" s="17"/>
      <c r="AT29" s="17"/>
      <c r="AU29" s="17"/>
      <c r="AV29" s="17"/>
    </row>
    <row r="30" spans="1:48" ht="15.75" customHeight="1">
      <c r="A30" s="21" t="s">
        <v>64</v>
      </c>
      <c r="B30" s="23" t="s">
        <v>1692</v>
      </c>
      <c r="C30" s="22">
        <v>45916</v>
      </c>
      <c r="D30" s="23" t="s">
        <v>79</v>
      </c>
      <c r="E30" s="23" t="s">
        <v>65</v>
      </c>
      <c r="F30" s="21">
        <v>1</v>
      </c>
      <c r="G30" s="12">
        <f>VLOOKUP(E30,Precios!B$2:N$941,12,FALSE)</f>
        <v>8200.2358799633075</v>
      </c>
      <c r="H30" s="12">
        <f t="shared" si="0"/>
        <v>8200.2358799633075</v>
      </c>
      <c r="I30" s="23" t="s">
        <v>52</v>
      </c>
      <c r="J30" s="23" t="s">
        <v>61</v>
      </c>
      <c r="K30" s="11" t="s">
        <v>177</v>
      </c>
      <c r="L30" s="11"/>
      <c r="M30" s="12">
        <f t="shared" ref="M30:N30" si="35">G30/1.19</f>
        <v>6890.9545209775697</v>
      </c>
      <c r="N30" s="12">
        <f t="shared" si="35"/>
        <v>6890.9545209775697</v>
      </c>
      <c r="O30" s="12">
        <f t="shared" si="2"/>
        <v>1309.2813589857378</v>
      </c>
      <c r="P30" s="13"/>
      <c r="Q30" s="14">
        <f t="shared" si="3"/>
        <v>2025</v>
      </c>
      <c r="R30" s="15">
        <f>VLOOKUP(MONTH(C30),'Datos Maestros'!M$2:N$14,2,FALSE)</f>
        <v>45536</v>
      </c>
      <c r="S30" s="11" t="str">
        <f>VLOOKUP(E30,Precios!B$2:W$941,3,FALSE)</f>
        <v>Longanizas</v>
      </c>
      <c r="T30" s="16">
        <f>VLOOKUP(E30,Precios!B$2:N$941,4,FALSE)*F30</f>
        <v>1</v>
      </c>
      <c r="U30" s="17"/>
      <c r="V30" s="12">
        <f>VLOOKUP(E30,Precios!B$2:N$941,13,FALSE)*F30</f>
        <v>1632.4671260195864</v>
      </c>
      <c r="W30" s="12">
        <f t="shared" si="4"/>
        <v>1632.4671260195864</v>
      </c>
      <c r="X30" s="12">
        <f>VLOOKUP(B30,'Datos Maestros'!$C$2:$D$7,2,FALSE)*V30</f>
        <v>0</v>
      </c>
      <c r="Y30" s="18">
        <f t="shared" si="5"/>
        <v>45915</v>
      </c>
      <c r="Z30" s="13" t="s">
        <v>39</v>
      </c>
      <c r="AA30" s="19" t="str">
        <f>VLOOKUP(D30,Clientes!$A$2:$J$486,9,FALSE)</f>
        <v>Ocacional</v>
      </c>
      <c r="AB30" s="13" t="str">
        <f>VLOOKUP(D30,Clientes!$A$2:$K$486,11,FALSE)</f>
        <v>Persona Natural</v>
      </c>
      <c r="AC30" s="13" t="str">
        <f>VLOOKUP(D30,Clientes!$A$2:$B$486,2,FALSE)</f>
        <v>Jardines de la viña</v>
      </c>
      <c r="AD30" s="20"/>
      <c r="AE30" s="20"/>
      <c r="AF30" s="13" t="s">
        <v>40</v>
      </c>
      <c r="AG30" s="15">
        <f t="shared" si="6"/>
        <v>45536</v>
      </c>
      <c r="AH30" s="13" t="s">
        <v>41</v>
      </c>
      <c r="AI30" s="13" t="str">
        <f t="shared" si="7"/>
        <v>Longanizas</v>
      </c>
      <c r="AJ30" s="13" t="str">
        <f>VLOOKUP(E30,Precios!Z$2:AA$941,2,FALSE)</f>
        <v>Longanizas VILLABLANCA</v>
      </c>
      <c r="AK30" s="14">
        <f>VLOOKUP(E30,Precios!Z$2:BB$941,3,FALSE)*F30</f>
        <v>-1</v>
      </c>
      <c r="AL30" s="17"/>
      <c r="AM30" s="17"/>
      <c r="AN30" s="17"/>
      <c r="AO30" s="17"/>
      <c r="AP30" s="17"/>
      <c r="AQ30" s="17"/>
      <c r="AR30" s="17"/>
      <c r="AS30" s="17"/>
      <c r="AT30" s="17"/>
      <c r="AU30" s="17"/>
      <c r="AV30" s="17"/>
    </row>
    <row r="31" spans="1:48" ht="15.75" customHeight="1">
      <c r="A31" s="21" t="s">
        <v>76</v>
      </c>
      <c r="B31" s="23" t="s">
        <v>1692</v>
      </c>
      <c r="C31" s="22">
        <v>45915</v>
      </c>
      <c r="D31" s="23" t="s">
        <v>80</v>
      </c>
      <c r="E31" s="23" t="s">
        <v>81</v>
      </c>
      <c r="F31" s="21">
        <v>1</v>
      </c>
      <c r="G31" s="12">
        <f>VLOOKUP(E31,Precios!B$2:N$941,12,FALSE)</f>
        <v>3500.0000000000005</v>
      </c>
      <c r="H31" s="12">
        <f t="shared" si="0"/>
        <v>3500.0000000000005</v>
      </c>
      <c r="I31" s="23" t="s">
        <v>52</v>
      </c>
      <c r="J31" s="23" t="s">
        <v>61</v>
      </c>
      <c r="K31" s="24" t="s">
        <v>177</v>
      </c>
      <c r="L31" s="11"/>
      <c r="M31" s="12">
        <f t="shared" ref="M31:N31" si="36">G31/1.19</f>
        <v>2941.1764705882356</v>
      </c>
      <c r="N31" s="12">
        <f t="shared" si="36"/>
        <v>2941.1764705882356</v>
      </c>
      <c r="O31" s="12">
        <f t="shared" si="2"/>
        <v>558.82352941176487</v>
      </c>
      <c r="P31" s="13"/>
      <c r="Q31" s="14">
        <f t="shared" si="3"/>
        <v>2025</v>
      </c>
      <c r="R31" s="15">
        <f>VLOOKUP(MONTH(C31),'Datos Maestros'!M$2:N$14,2,FALSE)</f>
        <v>45536</v>
      </c>
      <c r="S31" s="11" t="str">
        <f>VLOOKUP(E31,Precios!B$2:W$941,3,FALSE)</f>
        <v>Detergente Premium</v>
      </c>
      <c r="T31" s="16">
        <f>VLOOKUP(E31,Precios!B$2:N$941,4,FALSE)*F31</f>
        <v>5</v>
      </c>
      <c r="U31" s="17"/>
      <c r="V31" s="12">
        <f>VLOOKUP(E31,Precios!B$2:N$941,13,FALSE)*F31</f>
        <v>764.70588235294144</v>
      </c>
      <c r="W31" s="12">
        <f t="shared" si="4"/>
        <v>764.70588235294144</v>
      </c>
      <c r="X31" s="12">
        <f>VLOOKUP(B31,'Datos Maestros'!$C$2:$D$7,2,FALSE)*V31</f>
        <v>0</v>
      </c>
      <c r="Y31" s="18">
        <f t="shared" si="5"/>
        <v>45915</v>
      </c>
      <c r="Z31" s="13" t="s">
        <v>39</v>
      </c>
      <c r="AA31" s="19" t="str">
        <f>VLOOKUP(D31,Clientes!$A$2:$J$486,9,FALSE)</f>
        <v>Frecuente</v>
      </c>
      <c r="AB31" s="13" t="str">
        <f>VLOOKUP(D31,Clientes!$A$2:$K$486,11,FALSE)</f>
        <v>Persona Natural</v>
      </c>
      <c r="AC31" s="13" t="str">
        <f>VLOOKUP(D31,Clientes!$A$2:$B$486,2,FALSE)</f>
        <v>Jardines de la Viña</v>
      </c>
      <c r="AD31" s="20"/>
      <c r="AE31" s="20"/>
      <c r="AF31" s="13" t="s">
        <v>40</v>
      </c>
      <c r="AG31" s="15">
        <f t="shared" si="6"/>
        <v>45536</v>
      </c>
      <c r="AH31" s="13" t="s">
        <v>41</v>
      </c>
      <c r="AI31" s="13" t="str">
        <f t="shared" si="7"/>
        <v>Detergentes</v>
      </c>
      <c r="AJ31" s="13" t="str">
        <f>VLOOKUP(E31,Precios!Z$2:AA$941,2,FALSE)</f>
        <v>Detergente SPUM 5 Litros (Verde)</v>
      </c>
      <c r="AK31" s="14">
        <f>VLOOKUP(E31,Precios!Z$2:BB$941,3,FALSE)*F31</f>
        <v>-1</v>
      </c>
      <c r="AL31" s="17"/>
      <c r="AM31" s="17"/>
      <c r="AN31" s="17"/>
      <c r="AO31" s="17"/>
      <c r="AP31" s="17"/>
      <c r="AQ31" s="17"/>
      <c r="AR31" s="17"/>
      <c r="AS31" s="17"/>
      <c r="AT31" s="17"/>
      <c r="AU31" s="17"/>
      <c r="AV31" s="17"/>
    </row>
    <row r="32" spans="1:48" ht="15.75" customHeight="1">
      <c r="A32" s="21" t="s">
        <v>76</v>
      </c>
      <c r="B32" s="23" t="s">
        <v>1692</v>
      </c>
      <c r="C32" s="22">
        <v>45915</v>
      </c>
      <c r="D32" s="23" t="s">
        <v>80</v>
      </c>
      <c r="E32" s="23" t="s">
        <v>82</v>
      </c>
      <c r="F32" s="21">
        <v>1</v>
      </c>
      <c r="G32" s="12">
        <f>VLOOKUP(E32,Precios!B$2:N$941,12,FALSE)</f>
        <v>2000.0000000000002</v>
      </c>
      <c r="H32" s="12">
        <f t="shared" si="0"/>
        <v>2000.0000000000002</v>
      </c>
      <c r="I32" s="23" t="s">
        <v>52</v>
      </c>
      <c r="J32" s="23" t="s">
        <v>61</v>
      </c>
      <c r="K32" s="24" t="s">
        <v>177</v>
      </c>
      <c r="L32" s="11"/>
      <c r="M32" s="12">
        <f t="shared" ref="M32:N32" si="37">G32/1.19</f>
        <v>1680.6722689075632</v>
      </c>
      <c r="N32" s="12">
        <f t="shared" si="37"/>
        <v>1680.6722689075632</v>
      </c>
      <c r="O32" s="12">
        <f t="shared" si="2"/>
        <v>319.32773109243703</v>
      </c>
      <c r="P32" s="13"/>
      <c r="Q32" s="14">
        <f t="shared" si="3"/>
        <v>2025</v>
      </c>
      <c r="R32" s="15">
        <f>VLOOKUP(MONTH(C32),'Datos Maestros'!M$2:N$14,2,FALSE)</f>
        <v>45536</v>
      </c>
      <c r="S32" s="11" t="str">
        <f>VLOOKUP(E32,Precios!B$2:W$941,3,FALSE)</f>
        <v>Limpiapiso</v>
      </c>
      <c r="T32" s="16">
        <f>VLOOKUP(E32,Precios!B$2:N$941,4,FALSE)*F32</f>
        <v>5</v>
      </c>
      <c r="U32" s="17"/>
      <c r="V32" s="12">
        <f>VLOOKUP(E32,Precios!B$2:N$941,13,FALSE)*F32</f>
        <v>680.67226890756319</v>
      </c>
      <c r="W32" s="12">
        <f t="shared" si="4"/>
        <v>680.67226890756319</v>
      </c>
      <c r="X32" s="12">
        <f>VLOOKUP(B32,'Datos Maestros'!$C$2:$D$7,2,FALSE)*V32</f>
        <v>0</v>
      </c>
      <c r="Y32" s="18">
        <f t="shared" si="5"/>
        <v>45915</v>
      </c>
      <c r="Z32" s="13" t="s">
        <v>39</v>
      </c>
      <c r="AA32" s="19" t="str">
        <f>VLOOKUP(D32,Clientes!$A$2:$J$486,9,FALSE)</f>
        <v>Frecuente</v>
      </c>
      <c r="AB32" s="13" t="str">
        <f>VLOOKUP(D32,Clientes!$A$2:$K$486,11,FALSE)</f>
        <v>Persona Natural</v>
      </c>
      <c r="AC32" s="13" t="str">
        <f>VLOOKUP(D32,Clientes!$A$2:$B$486,2,FALSE)</f>
        <v>Jardines de la Viña</v>
      </c>
      <c r="AD32" s="20"/>
      <c r="AE32" s="20"/>
      <c r="AF32" s="13" t="s">
        <v>40</v>
      </c>
      <c r="AG32" s="15">
        <f t="shared" si="6"/>
        <v>45536</v>
      </c>
      <c r="AH32" s="13" t="s">
        <v>41</v>
      </c>
      <c r="AI32" s="13" t="str">
        <f t="shared" si="7"/>
        <v>Detergentes</v>
      </c>
      <c r="AJ32" s="13" t="str">
        <f>VLOOKUP(E32,Precios!Z$2:AA$941,2,FALSE)</f>
        <v>Limpiapiso SPUM 5 Litros</v>
      </c>
      <c r="AK32" s="14">
        <f>VLOOKUP(E32,Precios!Z$2:BB$941,3,FALSE)*F32</f>
        <v>-1</v>
      </c>
      <c r="AL32" s="17"/>
      <c r="AM32" s="17"/>
      <c r="AN32" s="17"/>
      <c r="AO32" s="17"/>
      <c r="AP32" s="17"/>
      <c r="AQ32" s="17"/>
      <c r="AR32" s="17"/>
      <c r="AS32" s="17"/>
      <c r="AT32" s="17"/>
      <c r="AU32" s="17"/>
      <c r="AV32" s="17"/>
    </row>
    <row r="33" spans="1:48" ht="15.75" customHeight="1">
      <c r="A33" s="21" t="s">
        <v>43</v>
      </c>
      <c r="B33" s="23" t="s">
        <v>1692</v>
      </c>
      <c r="C33" s="22">
        <v>45915</v>
      </c>
      <c r="D33" s="23" t="s">
        <v>83</v>
      </c>
      <c r="E33" s="23" t="s">
        <v>45</v>
      </c>
      <c r="F33" s="21">
        <v>3</v>
      </c>
      <c r="G33" s="12">
        <f>VLOOKUP(E33,Precios!B$2:N$941,12,FALSE)</f>
        <v>8000.1831784723063</v>
      </c>
      <c r="H33" s="12">
        <f t="shared" si="0"/>
        <v>24000.549535416918</v>
      </c>
      <c r="I33" s="23" t="s">
        <v>52</v>
      </c>
      <c r="J33" s="23" t="s">
        <v>61</v>
      </c>
      <c r="K33" s="24" t="s">
        <v>177</v>
      </c>
      <c r="L33" s="11"/>
      <c r="M33" s="12">
        <f t="shared" ref="M33:N33" si="38">G33/1.19</f>
        <v>6722.8430071195853</v>
      </c>
      <c r="N33" s="12">
        <f t="shared" si="38"/>
        <v>20168.529021358754</v>
      </c>
      <c r="O33" s="12">
        <f t="shared" si="2"/>
        <v>3832.0205140581638</v>
      </c>
      <c r="P33" s="13"/>
      <c r="Q33" s="14">
        <f t="shared" si="3"/>
        <v>2025</v>
      </c>
      <c r="R33" s="15">
        <f>VLOOKUP(MONTH(C33),'Datos Maestros'!M$2:N$14,2,FALSE)</f>
        <v>45536</v>
      </c>
      <c r="S33" s="11" t="str">
        <f>VLOOKUP(E33,Precios!B$2:W$941,3,FALSE)</f>
        <v>Huevos EXTRA</v>
      </c>
      <c r="T33" s="16">
        <f>VLOOKUP(E33,Precios!B$2:N$941,4,FALSE)*F33</f>
        <v>0</v>
      </c>
      <c r="U33" s="17"/>
      <c r="V33" s="12">
        <f>VLOOKUP(E33,Precios!B$2:N$941,13,FALSE)*F33</f>
        <v>3454.8690213587552</v>
      </c>
      <c r="W33" s="12">
        <f t="shared" si="4"/>
        <v>3454.8690213587552</v>
      </c>
      <c r="X33" s="12">
        <f>VLOOKUP(B33,'Datos Maestros'!$C$2:$D$7,2,FALSE)*V33</f>
        <v>0</v>
      </c>
      <c r="Y33" s="18">
        <f t="shared" si="5"/>
        <v>45915</v>
      </c>
      <c r="Z33" s="13" t="s">
        <v>39</v>
      </c>
      <c r="AA33" s="19" t="str">
        <f>VLOOKUP(D33,Clientes!$A$2:$J$486,9,FALSE)</f>
        <v>Ocacional</v>
      </c>
      <c r="AB33" s="13" t="str">
        <f>VLOOKUP(D33,Clientes!$A$2:$K$486,11,FALSE)</f>
        <v>Persona Natural</v>
      </c>
      <c r="AC33" s="13" t="str">
        <f>VLOOKUP(D33,Clientes!$A$2:$B$486,2,FALSE)</f>
        <v>Vicuña Mackena</v>
      </c>
      <c r="AD33" s="20"/>
      <c r="AE33" s="20"/>
      <c r="AF33" s="13" t="s">
        <v>40</v>
      </c>
      <c r="AG33" s="15">
        <f t="shared" si="6"/>
        <v>45536</v>
      </c>
      <c r="AH33" s="13" t="s">
        <v>41</v>
      </c>
      <c r="AI33" s="13" t="str">
        <f t="shared" si="7"/>
        <v>Huevos</v>
      </c>
      <c r="AJ33" s="13" t="str">
        <f>VLOOKUP(E33,Precios!Z$2:AA$941,2,FALSE)</f>
        <v>Bandeja Huevos EXTRA</v>
      </c>
      <c r="AK33" s="14">
        <f>VLOOKUP(E33,Precios!Z$2:BB$941,3,FALSE)*F33</f>
        <v>-3</v>
      </c>
      <c r="AL33" s="17"/>
      <c r="AM33" s="17"/>
      <c r="AN33" s="17"/>
      <c r="AO33" s="17"/>
      <c r="AP33" s="17"/>
      <c r="AQ33" s="17"/>
      <c r="AR33" s="17"/>
      <c r="AS33" s="17"/>
      <c r="AT33" s="17"/>
      <c r="AU33" s="17"/>
      <c r="AV33" s="17"/>
    </row>
    <row r="34" spans="1:48" ht="15.75" customHeight="1">
      <c r="A34" s="21" t="s">
        <v>47</v>
      </c>
      <c r="B34" s="23" t="s">
        <v>1692</v>
      </c>
      <c r="C34" s="22">
        <v>45915</v>
      </c>
      <c r="D34" s="23" t="s">
        <v>84</v>
      </c>
      <c r="E34" s="23" t="s">
        <v>85</v>
      </c>
      <c r="F34" s="21">
        <v>2</v>
      </c>
      <c r="G34" s="12">
        <f>VLOOKUP(E34,Precios!B$2:N$941,12,FALSE)</f>
        <v>3000.268216361198</v>
      </c>
      <c r="H34" s="12">
        <f t="shared" si="0"/>
        <v>6000.5364327223961</v>
      </c>
      <c r="I34" s="23" t="s">
        <v>52</v>
      </c>
      <c r="J34" s="23" t="s">
        <v>38</v>
      </c>
      <c r="K34" s="24" t="s">
        <v>86</v>
      </c>
      <c r="L34" s="24">
        <v>111</v>
      </c>
      <c r="M34" s="12">
        <f t="shared" ref="M34:N34" si="39">G34/1.19</f>
        <v>2521.2337952615112</v>
      </c>
      <c r="N34" s="12">
        <f t="shared" si="39"/>
        <v>5042.4675905230224</v>
      </c>
      <c r="O34" s="12">
        <f t="shared" si="2"/>
        <v>958.06884219937365</v>
      </c>
      <c r="P34" s="13"/>
      <c r="Q34" s="14">
        <f t="shared" si="3"/>
        <v>2025</v>
      </c>
      <c r="R34" s="15">
        <f>VLOOKUP(MONTH(C34),'Datos Maestros'!M$2:N$14,2,FALSE)</f>
        <v>45536</v>
      </c>
      <c r="S34" s="11" t="str">
        <f>VLOOKUP(E34,Precios!B$2:W$941,3,FALSE)</f>
        <v>Bolsa Basura</v>
      </c>
      <c r="T34" s="16">
        <f>VLOOKUP(E34,Precios!B$2:N$941,4,FALSE)*F34</f>
        <v>0</v>
      </c>
      <c r="U34" s="17"/>
      <c r="V34" s="12">
        <f>VLOOKUP(E34,Precios!B$2:N$941,13,FALSE)*F34</f>
        <v>1658.4675905230215</v>
      </c>
      <c r="W34" s="12">
        <f t="shared" si="4"/>
        <v>1658.4675905230215</v>
      </c>
      <c r="X34" s="12">
        <f>VLOOKUP(B34,'Datos Maestros'!$C$2:$D$7,2,FALSE)*V34</f>
        <v>0</v>
      </c>
      <c r="Y34" s="18">
        <f t="shared" si="5"/>
        <v>45915</v>
      </c>
      <c r="Z34" s="13" t="s">
        <v>39</v>
      </c>
      <c r="AA34" s="19" t="str">
        <f>VLOOKUP(D34,Clientes!$A$2:$J$486,9,FALSE)</f>
        <v>regular</v>
      </c>
      <c r="AB34" s="13" t="str">
        <f>VLOOKUP(D34,Clientes!$A$2:$K$486,11,FALSE)</f>
        <v>Empresa</v>
      </c>
      <c r="AC34" s="13" t="str">
        <f>VLOOKUP(D34,Clientes!$A$2:$B$486,2,FALSE)</f>
        <v>Araucania</v>
      </c>
      <c r="AD34" s="20"/>
      <c r="AE34" s="20"/>
      <c r="AF34" s="13" t="s">
        <v>40</v>
      </c>
      <c r="AG34" s="15">
        <f t="shared" si="6"/>
        <v>45536</v>
      </c>
      <c r="AH34" s="13" t="s">
        <v>41</v>
      </c>
      <c r="AI34" s="13" t="str">
        <f t="shared" si="7"/>
        <v>Articulos de Aseo</v>
      </c>
      <c r="AJ34" s="13" t="str">
        <f>VLOOKUP(E34,Precios!Z$2:AA$941,2,FALSE)</f>
        <v xml:space="preserve">Bolsas Basura TEDDY 45x55 con Asas </v>
      </c>
      <c r="AK34" s="14">
        <f>VLOOKUP(E34,Precios!Z$2:BB$941,3,FALSE)*F34</f>
        <v>-12</v>
      </c>
      <c r="AL34" s="17"/>
      <c r="AM34" s="17"/>
      <c r="AN34" s="17"/>
      <c r="AO34" s="17"/>
      <c r="AP34" s="17"/>
      <c r="AQ34" s="17"/>
      <c r="AR34" s="17"/>
      <c r="AS34" s="17"/>
      <c r="AT34" s="17"/>
      <c r="AU34" s="17"/>
      <c r="AV34" s="17"/>
    </row>
    <row r="35" spans="1:48" ht="15.75" customHeight="1">
      <c r="A35" s="21" t="s">
        <v>35</v>
      </c>
      <c r="B35" s="23" t="s">
        <v>1692</v>
      </c>
      <c r="C35" s="22">
        <v>45915</v>
      </c>
      <c r="D35" s="23" t="s">
        <v>87</v>
      </c>
      <c r="E35" s="23" t="s">
        <v>37</v>
      </c>
      <c r="F35" s="21">
        <v>1</v>
      </c>
      <c r="G35" s="12">
        <f>VLOOKUP(E35,Precios!B$2:N$941,12,FALSE)</f>
        <v>11000.014358944907</v>
      </c>
      <c r="H35" s="12">
        <f t="shared" si="0"/>
        <v>11000.014358944907</v>
      </c>
      <c r="I35" s="23" t="s">
        <v>52</v>
      </c>
      <c r="J35" s="23" t="s">
        <v>61</v>
      </c>
      <c r="K35" s="24" t="s">
        <v>177</v>
      </c>
      <c r="L35" s="11"/>
      <c r="M35" s="12">
        <f t="shared" ref="M35:N35" si="40">G35/1.19</f>
        <v>9243.7095453318543</v>
      </c>
      <c r="N35" s="12">
        <f t="shared" si="40"/>
        <v>9243.7095453318543</v>
      </c>
      <c r="O35" s="12">
        <f t="shared" si="2"/>
        <v>1756.3048136130528</v>
      </c>
      <c r="P35" s="13"/>
      <c r="Q35" s="14">
        <f t="shared" si="3"/>
        <v>2025</v>
      </c>
      <c r="R35" s="15">
        <f>VLOOKUP(MONTH(C35),'Datos Maestros'!M$2:N$14,2,FALSE)</f>
        <v>45536</v>
      </c>
      <c r="S35" s="11" t="str">
        <f>VLOOKUP(E35,Precios!B$2:W$941,3,FALSE)</f>
        <v>Queso Mantecoso</v>
      </c>
      <c r="T35" s="16">
        <f>VLOOKUP(E35,Precios!B$2:N$941,4,FALSE)*F35</f>
        <v>1000</v>
      </c>
      <c r="U35" s="17"/>
      <c r="V35" s="12">
        <f>VLOOKUP(E35,Precios!B$2:N$941,13,FALSE)*F35</f>
        <v>2806.1129066763915</v>
      </c>
      <c r="W35" s="12">
        <f t="shared" si="4"/>
        <v>2806.1129066763915</v>
      </c>
      <c r="X35" s="12">
        <f>VLOOKUP(B35,'Datos Maestros'!$C$2:$D$7,2,FALSE)*V35</f>
        <v>0</v>
      </c>
      <c r="Y35" s="18">
        <f t="shared" si="5"/>
        <v>45915</v>
      </c>
      <c r="Z35" s="13" t="s">
        <v>39</v>
      </c>
      <c r="AA35" s="19" t="str">
        <f>VLOOKUP(D35,Clientes!$A$2:$J$486,9,FALSE)</f>
        <v>Frecuente</v>
      </c>
      <c r="AB35" s="13" t="str">
        <f>VLOOKUP(D35,Clientes!$A$2:$K$486,11,FALSE)</f>
        <v>Persona Natural</v>
      </c>
      <c r="AC35" s="13" t="str">
        <f>VLOOKUP(D35,Clientes!$A$2:$B$486,2,FALSE)</f>
        <v>Jardines de la viña</v>
      </c>
      <c r="AD35" s="20"/>
      <c r="AE35" s="20"/>
      <c r="AF35" s="13" t="s">
        <v>40</v>
      </c>
      <c r="AG35" s="15">
        <f t="shared" si="6"/>
        <v>45536</v>
      </c>
      <c r="AH35" s="13" t="s">
        <v>41</v>
      </c>
      <c r="AI35" s="13" t="str">
        <f t="shared" si="7"/>
        <v>Quesos</v>
      </c>
      <c r="AJ35" s="13" t="str">
        <f>VLOOKUP(E35,Precios!Z$2:AA$941,2,FALSE)</f>
        <v>Queso RUNCA Mantecoso</v>
      </c>
      <c r="AK35" s="14">
        <f>VLOOKUP(E35,Precios!Z$2:BB$941,3,FALSE)*F35</f>
        <v>-1</v>
      </c>
      <c r="AL35" s="17"/>
      <c r="AM35" s="17"/>
      <c r="AN35" s="17"/>
      <c r="AO35" s="17"/>
      <c r="AP35" s="17"/>
      <c r="AQ35" s="17"/>
      <c r="AR35" s="17"/>
      <c r="AS35" s="17"/>
      <c r="AT35" s="17"/>
      <c r="AU35" s="17"/>
      <c r="AV35" s="17"/>
    </row>
    <row r="36" spans="1:48" ht="15.75" customHeight="1">
      <c r="A36" s="21" t="s">
        <v>53</v>
      </c>
      <c r="B36" s="23" t="s">
        <v>1692</v>
      </c>
      <c r="C36" s="22">
        <v>45915</v>
      </c>
      <c r="D36" s="23" t="s">
        <v>87</v>
      </c>
      <c r="E36" s="23" t="s">
        <v>88</v>
      </c>
      <c r="F36" s="21">
        <v>2</v>
      </c>
      <c r="G36" s="12">
        <f>VLOOKUP(E36,Precios!B$2:N$941,12,FALSE)</f>
        <v>1999.9551032624961</v>
      </c>
      <c r="H36" s="12">
        <f t="shared" si="0"/>
        <v>3999.9102065249922</v>
      </c>
      <c r="I36" s="23" t="s">
        <v>52</v>
      </c>
      <c r="J36" s="23" t="s">
        <v>61</v>
      </c>
      <c r="K36" s="24" t="s">
        <v>177</v>
      </c>
      <c r="L36" s="11"/>
      <c r="M36" s="12">
        <f t="shared" ref="M36:N36" si="41">G36/1.19</f>
        <v>1680.6345405567195</v>
      </c>
      <c r="N36" s="12">
        <f t="shared" si="41"/>
        <v>3361.2690811134389</v>
      </c>
      <c r="O36" s="12">
        <f t="shared" si="2"/>
        <v>638.64112541155328</v>
      </c>
      <c r="P36" s="13"/>
      <c r="Q36" s="14">
        <f t="shared" si="3"/>
        <v>2025</v>
      </c>
      <c r="R36" s="15">
        <f>VLOOKUP(MONTH(C36),'Datos Maestros'!M$2:N$14,2,FALSE)</f>
        <v>45536</v>
      </c>
      <c r="S36" s="11" t="str">
        <f>VLOOKUP(E36,Precios!B$2:W$941,3,FALSE)</f>
        <v>Toalla Nova 26 mts</v>
      </c>
      <c r="T36" s="16">
        <f>VLOOKUP(E36,Precios!B$2:N$941,4,FALSE)*F36</f>
        <v>0</v>
      </c>
      <c r="U36" s="17"/>
      <c r="V36" s="12">
        <f>VLOOKUP(E36,Precios!B$2:N$941,13,FALSE)*F36</f>
        <v>1115.2690811134389</v>
      </c>
      <c r="W36" s="12">
        <f t="shared" si="4"/>
        <v>1115.2690811134389</v>
      </c>
      <c r="X36" s="12">
        <f>VLOOKUP(B36,'Datos Maestros'!$C$2:$D$7,2,FALSE)*V36</f>
        <v>0</v>
      </c>
      <c r="Y36" s="18">
        <f t="shared" si="5"/>
        <v>45915</v>
      </c>
      <c r="Z36" s="13" t="s">
        <v>39</v>
      </c>
      <c r="AA36" s="19" t="str">
        <f>VLOOKUP(D36,Clientes!$A$2:$J$486,9,FALSE)</f>
        <v>Frecuente</v>
      </c>
      <c r="AB36" s="13" t="str">
        <f>VLOOKUP(D36,Clientes!$A$2:$K$486,11,FALSE)</f>
        <v>Persona Natural</v>
      </c>
      <c r="AC36" s="13" t="str">
        <f>VLOOKUP(D36,Clientes!$A$2:$B$486,2,FALSE)</f>
        <v>Jardines de la viña</v>
      </c>
      <c r="AD36" s="20"/>
      <c r="AE36" s="20"/>
      <c r="AF36" s="13" t="s">
        <v>40</v>
      </c>
      <c r="AG36" s="15">
        <f t="shared" si="6"/>
        <v>45536</v>
      </c>
      <c r="AH36" s="13" t="s">
        <v>41</v>
      </c>
      <c r="AI36" s="13" t="str">
        <f t="shared" si="7"/>
        <v>Papeleria</v>
      </c>
      <c r="AJ36" s="13" t="str">
        <f>VLOOKUP(E36,Precios!Z$2:AA$941,2,FALSE)</f>
        <v>Toalla Papel NOVA 26 metros</v>
      </c>
      <c r="AK36" s="14">
        <f>VLOOKUP(E36,Precios!Z$2:BB$941,3,FALSE)*F36</f>
        <v>-2</v>
      </c>
      <c r="AL36" s="17"/>
      <c r="AM36" s="17"/>
      <c r="AN36" s="17"/>
      <c r="AO36" s="17"/>
      <c r="AP36" s="17"/>
      <c r="AQ36" s="17"/>
      <c r="AR36" s="17"/>
      <c r="AS36" s="17"/>
      <c r="AT36" s="17"/>
      <c r="AU36" s="17"/>
      <c r="AV36" s="17"/>
    </row>
    <row r="37" spans="1:48" ht="15.75" customHeight="1">
      <c r="A37" s="21" t="s">
        <v>47</v>
      </c>
      <c r="B37" s="23" t="s">
        <v>1692</v>
      </c>
      <c r="C37" s="22">
        <v>45915</v>
      </c>
      <c r="D37" s="23" t="s">
        <v>87</v>
      </c>
      <c r="E37" s="23" t="s">
        <v>48</v>
      </c>
      <c r="F37" s="21">
        <v>2</v>
      </c>
      <c r="G37" s="12">
        <f>VLOOKUP(E37,Precios!B$2:N$941,12,FALSE)</f>
        <v>1000</v>
      </c>
      <c r="H37" s="12">
        <f t="shared" si="0"/>
        <v>2000</v>
      </c>
      <c r="I37" s="23" t="s">
        <v>52</v>
      </c>
      <c r="J37" s="23" t="s">
        <v>61</v>
      </c>
      <c r="K37" s="24" t="s">
        <v>177</v>
      </c>
      <c r="L37" s="11"/>
      <c r="M37" s="12">
        <f t="shared" ref="M37:N37" si="42">G37/1.19</f>
        <v>840.3361344537816</v>
      </c>
      <c r="N37" s="12">
        <f t="shared" si="42"/>
        <v>1680.6722689075632</v>
      </c>
      <c r="O37" s="12">
        <f t="shared" si="2"/>
        <v>319.32773109243681</v>
      </c>
      <c r="P37" s="13"/>
      <c r="Q37" s="14">
        <f t="shared" si="3"/>
        <v>2025</v>
      </c>
      <c r="R37" s="15">
        <f>VLOOKUP(MONTH(C37),'Datos Maestros'!M$2:N$14,2,FALSE)</f>
        <v>45536</v>
      </c>
      <c r="S37" s="11" t="str">
        <f>VLOOKUP(E37,Precios!B$2:W$941,3,FALSE)</f>
        <v>Esponjas</v>
      </c>
      <c r="T37" s="16">
        <f>VLOOKUP(E37,Precios!B$2:N$941,4,FALSE)*F37</f>
        <v>0</v>
      </c>
      <c r="U37" s="17"/>
      <c r="V37" s="12">
        <f>VLOOKUP(E37,Precios!B$2:N$941,13,FALSE)*F37</f>
        <v>660.67226890756297</v>
      </c>
      <c r="W37" s="12">
        <f t="shared" si="4"/>
        <v>660.67226890756297</v>
      </c>
      <c r="X37" s="12">
        <f>VLOOKUP(B37,'Datos Maestros'!$C$2:$D$7,2,FALSE)*V37</f>
        <v>0</v>
      </c>
      <c r="Y37" s="18">
        <f t="shared" si="5"/>
        <v>45915</v>
      </c>
      <c r="Z37" s="13" t="s">
        <v>39</v>
      </c>
      <c r="AA37" s="19" t="str">
        <f>VLOOKUP(D37,Clientes!$A$2:$J$486,9,FALSE)</f>
        <v>Frecuente</v>
      </c>
      <c r="AB37" s="13" t="str">
        <f>VLOOKUP(D37,Clientes!$A$2:$K$486,11,FALSE)</f>
        <v>Persona Natural</v>
      </c>
      <c r="AC37" s="13" t="str">
        <f>VLOOKUP(D37,Clientes!$A$2:$B$486,2,FALSE)</f>
        <v>Jardines de la viña</v>
      </c>
      <c r="AD37" s="20"/>
      <c r="AE37" s="20"/>
      <c r="AF37" s="13" t="s">
        <v>40</v>
      </c>
      <c r="AG37" s="15">
        <f t="shared" si="6"/>
        <v>45536</v>
      </c>
      <c r="AH37" s="13" t="s">
        <v>41</v>
      </c>
      <c r="AI37" s="13" t="str">
        <f t="shared" si="7"/>
        <v>Articulos de Aseo</v>
      </c>
      <c r="AJ37" s="13" t="str">
        <f>VLOOKUP(E37,Precios!Z$2:AA$941,2,FALSE)</f>
        <v>Esponja Acanalada TEDDY</v>
      </c>
      <c r="AK37" s="14">
        <f>VLOOKUP(E37,Precios!Z$2:BB$941,3,FALSE)*F37</f>
        <v>-10</v>
      </c>
      <c r="AL37" s="17"/>
      <c r="AM37" s="17"/>
      <c r="AN37" s="17"/>
      <c r="AO37" s="17"/>
      <c r="AP37" s="17"/>
      <c r="AQ37" s="17"/>
      <c r="AR37" s="17"/>
      <c r="AS37" s="17"/>
      <c r="AT37" s="17"/>
      <c r="AU37" s="17"/>
      <c r="AV37" s="17"/>
    </row>
    <row r="38" spans="1:48" ht="15.75" customHeight="1">
      <c r="A38" s="21" t="s">
        <v>53</v>
      </c>
      <c r="B38" s="23" t="s">
        <v>1692</v>
      </c>
      <c r="C38" s="22">
        <v>45915</v>
      </c>
      <c r="D38" s="23" t="s">
        <v>87</v>
      </c>
      <c r="E38" s="23" t="s">
        <v>55</v>
      </c>
      <c r="F38" s="21">
        <v>1</v>
      </c>
      <c r="G38" s="12">
        <f>VLOOKUP(E38,Precios!B$2:N$941,12,FALSE)</f>
        <v>20899.91124296327</v>
      </c>
      <c r="H38" s="12">
        <f t="shared" si="0"/>
        <v>20899.91124296327</v>
      </c>
      <c r="I38" s="23" t="s">
        <v>52</v>
      </c>
      <c r="J38" s="23" t="s">
        <v>61</v>
      </c>
      <c r="K38" s="24" t="s">
        <v>177</v>
      </c>
      <c r="L38" s="11"/>
      <c r="M38" s="12">
        <f t="shared" ref="M38:N38" si="43">G38/1.19</f>
        <v>17562.950624338882</v>
      </c>
      <c r="N38" s="12">
        <f t="shared" si="43"/>
        <v>17562.950624338882</v>
      </c>
      <c r="O38" s="12">
        <f t="shared" si="2"/>
        <v>3336.9606186243873</v>
      </c>
      <c r="P38" s="13"/>
      <c r="Q38" s="14">
        <f t="shared" si="3"/>
        <v>2025</v>
      </c>
      <c r="R38" s="15">
        <f>VLOOKUP(MONTH(C38),'Datos Maestros'!M$2:N$14,2,FALSE)</f>
        <v>45536</v>
      </c>
      <c r="S38" s="11" t="str">
        <f>VLOOKUP(E38,Precios!B$2:W$941,3,FALSE)</f>
        <v>Papel Higiénico ELITE</v>
      </c>
      <c r="T38" s="16">
        <f>VLOOKUP(E38,Precios!B$2:N$941,4,FALSE)*F38</f>
        <v>0</v>
      </c>
      <c r="U38" s="17"/>
      <c r="V38" s="12">
        <f>VLOOKUP(E38,Precios!B$2:N$941,13,FALSE)*F38</f>
        <v>3117.9506243388823</v>
      </c>
      <c r="W38" s="12">
        <f t="shared" si="4"/>
        <v>3117.9506243388823</v>
      </c>
      <c r="X38" s="12">
        <f>VLOOKUP(B38,'Datos Maestros'!$C$2:$D$7,2,FALSE)*V38</f>
        <v>0</v>
      </c>
      <c r="Y38" s="18">
        <f t="shared" si="5"/>
        <v>45915</v>
      </c>
      <c r="Z38" s="13" t="s">
        <v>39</v>
      </c>
      <c r="AA38" s="19" t="str">
        <f>VLOOKUP(D38,Clientes!$A$2:$J$486,9,FALSE)</f>
        <v>Frecuente</v>
      </c>
      <c r="AB38" s="13" t="str">
        <f>VLOOKUP(D38,Clientes!$A$2:$K$486,11,FALSE)</f>
        <v>Persona Natural</v>
      </c>
      <c r="AC38" s="13" t="str">
        <f>VLOOKUP(D38,Clientes!$A$2:$B$486,2,FALSE)</f>
        <v>Jardines de la viña</v>
      </c>
      <c r="AD38" s="20"/>
      <c r="AE38" s="20"/>
      <c r="AF38" s="13" t="s">
        <v>40</v>
      </c>
      <c r="AG38" s="15">
        <f t="shared" si="6"/>
        <v>45536</v>
      </c>
      <c r="AH38" s="13" t="s">
        <v>41</v>
      </c>
      <c r="AI38" s="13" t="str">
        <f t="shared" si="7"/>
        <v>Papeleria</v>
      </c>
      <c r="AJ38" s="13" t="str">
        <f>VLOOKUP(E38,Precios!Z$2:AA$941,2,FALSE)</f>
        <v>Papel Higienico ELITE 50 metros</v>
      </c>
      <c r="AK38" s="14">
        <f>VLOOKUP(E38,Precios!Z$2:BB$941,3,FALSE)*F38</f>
        <v>-8</v>
      </c>
      <c r="AL38" s="17"/>
      <c r="AM38" s="17"/>
      <c r="AN38" s="17"/>
      <c r="AO38" s="17"/>
      <c r="AP38" s="17"/>
      <c r="AQ38" s="17"/>
      <c r="AR38" s="17"/>
      <c r="AS38" s="17"/>
      <c r="AT38" s="17"/>
      <c r="AU38" s="17"/>
      <c r="AV38" s="17"/>
    </row>
    <row r="39" spans="1:48" ht="15.75" customHeight="1">
      <c r="A39" s="21" t="s">
        <v>47</v>
      </c>
      <c r="B39" s="23" t="s">
        <v>1692</v>
      </c>
      <c r="C39" s="22">
        <v>45915</v>
      </c>
      <c r="D39" s="23" t="s">
        <v>87</v>
      </c>
      <c r="E39" s="23" t="s">
        <v>89</v>
      </c>
      <c r="F39" s="21">
        <v>1</v>
      </c>
      <c r="G39" s="12">
        <f>VLOOKUP(E39,Precios!B$2:N$941,12,FALSE)</f>
        <v>1500.3973988439307</v>
      </c>
      <c r="H39" s="12">
        <f t="shared" si="0"/>
        <v>1500.3973988439307</v>
      </c>
      <c r="I39" s="23" t="s">
        <v>52</v>
      </c>
      <c r="J39" s="23" t="s">
        <v>61</v>
      </c>
      <c r="K39" s="24" t="s">
        <v>177</v>
      </c>
      <c r="L39" s="11"/>
      <c r="M39" s="12">
        <f t="shared" ref="M39:N39" si="44">G39/1.19</f>
        <v>1260.8381502890174</v>
      </c>
      <c r="N39" s="12">
        <f t="shared" si="44"/>
        <v>1260.8381502890174</v>
      </c>
      <c r="O39" s="12">
        <f t="shared" si="2"/>
        <v>239.55924855491321</v>
      </c>
      <c r="P39" s="13"/>
      <c r="Q39" s="14">
        <f t="shared" si="3"/>
        <v>2025</v>
      </c>
      <c r="R39" s="15">
        <f>VLOOKUP(MONTH(C39),'Datos Maestros'!M$2:N$14,2,FALSE)</f>
        <v>45536</v>
      </c>
      <c r="S39" s="11" t="str">
        <f>VLOOKUP(E39,Precios!B$2:W$941,3,FALSE)</f>
        <v>WC</v>
      </c>
      <c r="T39" s="16">
        <f>VLOOKUP(E39,Precios!B$2:N$941,4,FALSE)*F39</f>
        <v>0</v>
      </c>
      <c r="U39" s="17"/>
      <c r="V39" s="12">
        <f>VLOOKUP(E39,Precios!B$2:N$941,13,FALSE)*F39</f>
        <v>562.83815028901745</v>
      </c>
      <c r="W39" s="12">
        <f t="shared" si="4"/>
        <v>562.83815028901745</v>
      </c>
      <c r="X39" s="12">
        <f>VLOOKUP(B39,'Datos Maestros'!$C$2:$D$7,2,FALSE)*V39</f>
        <v>0</v>
      </c>
      <c r="Y39" s="18">
        <f t="shared" si="5"/>
        <v>45915</v>
      </c>
      <c r="Z39" s="13" t="s">
        <v>39</v>
      </c>
      <c r="AA39" s="19" t="str">
        <f>VLOOKUP(D39,Clientes!$A$2:$J$486,9,FALSE)</f>
        <v>Frecuente</v>
      </c>
      <c r="AB39" s="13" t="str">
        <f>VLOOKUP(D39,Clientes!$A$2:$K$486,11,FALSE)</f>
        <v>Persona Natural</v>
      </c>
      <c r="AC39" s="13" t="str">
        <f>VLOOKUP(D39,Clientes!$A$2:$B$486,2,FALSE)</f>
        <v>Jardines de la viña</v>
      </c>
      <c r="AD39" s="20"/>
      <c r="AE39" s="20"/>
      <c r="AF39" s="13" t="s">
        <v>40</v>
      </c>
      <c r="AG39" s="15">
        <f t="shared" si="6"/>
        <v>45536</v>
      </c>
      <c r="AH39" s="13" t="s">
        <v>41</v>
      </c>
      <c r="AI39" s="13" t="str">
        <f t="shared" si="7"/>
        <v>Articulos de Aseo</v>
      </c>
      <c r="AJ39" s="13" t="str">
        <f>VLOOKUP(E39,Precios!Z$2:AA$941,2,FALSE)</f>
        <v>Pastilla para estanque WC</v>
      </c>
      <c r="AK39" s="14">
        <f>VLOOKUP(E39,Precios!Z$2:BB$941,3,FALSE)*F39</f>
        <v>-1</v>
      </c>
      <c r="AL39" s="17"/>
      <c r="AM39" s="17"/>
      <c r="AN39" s="17"/>
      <c r="AO39" s="17"/>
      <c r="AP39" s="17"/>
      <c r="AQ39" s="17"/>
      <c r="AR39" s="17"/>
      <c r="AS39" s="17"/>
      <c r="AT39" s="17"/>
      <c r="AU39" s="17"/>
      <c r="AV39" s="17"/>
    </row>
    <row r="40" spans="1:48" ht="15.75" customHeight="1">
      <c r="A40" s="21" t="s">
        <v>73</v>
      </c>
      <c r="B40" s="23" t="s">
        <v>1692</v>
      </c>
      <c r="C40" s="22">
        <v>45915</v>
      </c>
      <c r="D40" s="23" t="s">
        <v>87</v>
      </c>
      <c r="E40" s="23" t="s">
        <v>90</v>
      </c>
      <c r="F40" s="21">
        <v>1</v>
      </c>
      <c r="G40" s="12">
        <f>VLOOKUP(E40,Precios!B$2:N$941,12,FALSE)</f>
        <v>4199.9020019599611</v>
      </c>
      <c r="H40" s="12">
        <f t="shared" si="0"/>
        <v>4199.9020019599611</v>
      </c>
      <c r="I40" s="23" t="s">
        <v>52</v>
      </c>
      <c r="J40" s="23" t="s">
        <v>61</v>
      </c>
      <c r="K40" s="24" t="s">
        <v>177</v>
      </c>
      <c r="L40" s="11"/>
      <c r="M40" s="12">
        <f t="shared" ref="M40:N40" si="45">G40/1.19</f>
        <v>3529.3294134117323</v>
      </c>
      <c r="N40" s="12">
        <f t="shared" si="45"/>
        <v>3529.3294134117323</v>
      </c>
      <c r="O40" s="12">
        <f t="shared" si="2"/>
        <v>670.57258854822885</v>
      </c>
      <c r="P40" s="13"/>
      <c r="Q40" s="14">
        <f t="shared" si="3"/>
        <v>2025</v>
      </c>
      <c r="R40" s="15">
        <f>VLOOKUP(MONTH(C40),'Datos Maestros'!M$2:N$14,2,FALSE)</f>
        <v>45536</v>
      </c>
      <c r="S40" s="11" t="str">
        <f>VLOOKUP(E40,Precios!B$2:W$941,3,FALSE)</f>
        <v>Guantes NITRILO</v>
      </c>
      <c r="T40" s="16">
        <f>VLOOKUP(E40,Precios!B$2:N$941,4,FALSE)*F40</f>
        <v>0</v>
      </c>
      <c r="U40" s="17"/>
      <c r="V40" s="12">
        <f>VLOOKUP(E40,Precios!B$2:N$941,13,FALSE)*F40</f>
        <v>1008.3294134117323</v>
      </c>
      <c r="W40" s="12">
        <f t="shared" si="4"/>
        <v>1008.3294134117323</v>
      </c>
      <c r="X40" s="12">
        <f>VLOOKUP(B40,'Datos Maestros'!$C$2:$D$7,2,FALSE)*V40</f>
        <v>0</v>
      </c>
      <c r="Y40" s="18">
        <f t="shared" si="5"/>
        <v>45915</v>
      </c>
      <c r="Z40" s="13" t="s">
        <v>39</v>
      </c>
      <c r="AA40" s="19" t="str">
        <f>VLOOKUP(D40,Clientes!$A$2:$J$486,9,FALSE)</f>
        <v>Frecuente</v>
      </c>
      <c r="AB40" s="13" t="str">
        <f>VLOOKUP(D40,Clientes!$A$2:$K$486,11,FALSE)</f>
        <v>Persona Natural</v>
      </c>
      <c r="AC40" s="13" t="str">
        <f>VLOOKUP(D40,Clientes!$A$2:$B$486,2,FALSE)</f>
        <v>Jardines de la viña</v>
      </c>
      <c r="AD40" s="20"/>
      <c r="AE40" s="20"/>
      <c r="AF40" s="13" t="s">
        <v>40</v>
      </c>
      <c r="AG40" s="15">
        <f t="shared" si="6"/>
        <v>45536</v>
      </c>
      <c r="AH40" s="13" t="s">
        <v>41</v>
      </c>
      <c r="AI40" s="13" t="str">
        <f t="shared" si="7"/>
        <v>Articulos de Sanidad</v>
      </c>
      <c r="AJ40" s="13" t="str">
        <f>VLOOKUP(E40,Precios!Z$2:AA$941,2,FALSE)</f>
        <v>Guante NITRILO Talla M</v>
      </c>
      <c r="AK40" s="14">
        <f>VLOOKUP(E40,Precios!Z$2:BB$941,3,FALSE)*F40</f>
        <v>-1</v>
      </c>
      <c r="AL40" s="17"/>
      <c r="AM40" s="17"/>
      <c r="AN40" s="17"/>
      <c r="AO40" s="17"/>
      <c r="AP40" s="17"/>
      <c r="AQ40" s="17"/>
      <c r="AR40" s="17"/>
      <c r="AS40" s="17"/>
      <c r="AT40" s="17"/>
      <c r="AU40" s="17"/>
      <c r="AV40" s="17"/>
    </row>
    <row r="41" spans="1:48" ht="15.75" customHeight="1">
      <c r="A41" s="21" t="s">
        <v>73</v>
      </c>
      <c r="B41" s="23" t="s">
        <v>1692</v>
      </c>
      <c r="C41" s="22">
        <v>45915</v>
      </c>
      <c r="D41" s="23" t="s">
        <v>87</v>
      </c>
      <c r="E41" s="23" t="s">
        <v>91</v>
      </c>
      <c r="F41" s="21">
        <v>1</v>
      </c>
      <c r="G41" s="12">
        <f>VLOOKUP(E41,Precios!B$2:N$941,12,FALSE)</f>
        <v>2499.9999999999995</v>
      </c>
      <c r="H41" s="12">
        <f t="shared" si="0"/>
        <v>2499.9999999999995</v>
      </c>
      <c r="I41" s="23" t="s">
        <v>52</v>
      </c>
      <c r="J41" s="23" t="s">
        <v>61</v>
      </c>
      <c r="K41" s="24" t="s">
        <v>177</v>
      </c>
      <c r="L41" s="11"/>
      <c r="M41" s="12">
        <f t="shared" ref="M41:N41" si="46">G41/1.19</f>
        <v>2100.8403361344535</v>
      </c>
      <c r="N41" s="12">
        <f t="shared" si="46"/>
        <v>2100.8403361344535</v>
      </c>
      <c r="O41" s="12">
        <f t="shared" si="2"/>
        <v>399.15966386554601</v>
      </c>
      <c r="P41" s="13"/>
      <c r="Q41" s="14">
        <f t="shared" si="3"/>
        <v>2025</v>
      </c>
      <c r="R41" s="15">
        <f>VLOOKUP(MONTH(C41),'Datos Maestros'!M$2:N$14,2,FALSE)</f>
        <v>45536</v>
      </c>
      <c r="S41" s="11" t="str">
        <f>VLOOKUP(E41,Precios!B$2:W$941,3,FALSE)</f>
        <v>Cofias</v>
      </c>
      <c r="T41" s="16">
        <f>VLOOKUP(E41,Precios!B$2:N$941,4,FALSE)*F41</f>
        <v>0</v>
      </c>
      <c r="U41" s="17"/>
      <c r="V41" s="12">
        <f>VLOOKUP(E41,Precios!B$2:N$941,13,FALSE)*F41</f>
        <v>999.99999999999977</v>
      </c>
      <c r="W41" s="12">
        <f t="shared" si="4"/>
        <v>999.99999999999977</v>
      </c>
      <c r="X41" s="12">
        <f>VLOOKUP(B41,'Datos Maestros'!$C$2:$D$7,2,FALSE)*V41</f>
        <v>0</v>
      </c>
      <c r="Y41" s="18">
        <f t="shared" si="5"/>
        <v>45915</v>
      </c>
      <c r="Z41" s="13" t="s">
        <v>39</v>
      </c>
      <c r="AA41" s="19" t="str">
        <f>VLOOKUP(D41,Clientes!$A$2:$J$486,9,FALSE)</f>
        <v>Frecuente</v>
      </c>
      <c r="AB41" s="13" t="str">
        <f>VLOOKUP(D41,Clientes!$A$2:$K$486,11,FALSE)</f>
        <v>Persona Natural</v>
      </c>
      <c r="AC41" s="13" t="str">
        <f>VLOOKUP(D41,Clientes!$A$2:$B$486,2,FALSE)</f>
        <v>Jardines de la viña</v>
      </c>
      <c r="AD41" s="20"/>
      <c r="AE41" s="20"/>
      <c r="AF41" s="13" t="s">
        <v>40</v>
      </c>
      <c r="AG41" s="15">
        <f t="shared" si="6"/>
        <v>45536</v>
      </c>
      <c r="AH41" s="13" t="s">
        <v>41</v>
      </c>
      <c r="AI41" s="13" t="str">
        <f t="shared" si="7"/>
        <v>Articulos de Sanidad</v>
      </c>
      <c r="AJ41" s="13" t="str">
        <f>VLOOKUP(E41,Precios!Z$2:AA$941,2,FALSE)</f>
        <v>Cofias</v>
      </c>
      <c r="AK41" s="14">
        <f>VLOOKUP(E41,Precios!Z$2:BB$941,3,FALSE)*F41</f>
        <v>-1</v>
      </c>
      <c r="AL41" s="17"/>
      <c r="AM41" s="17"/>
      <c r="AN41" s="17"/>
      <c r="AO41" s="17"/>
      <c r="AP41" s="17"/>
      <c r="AQ41" s="17"/>
      <c r="AR41" s="17"/>
      <c r="AS41" s="17"/>
      <c r="AT41" s="17"/>
      <c r="AU41" s="17"/>
      <c r="AV41" s="17"/>
    </row>
    <row r="42" spans="1:48" ht="15.75" customHeight="1">
      <c r="A42" s="21" t="s">
        <v>47</v>
      </c>
      <c r="B42" s="23" t="s">
        <v>1692</v>
      </c>
      <c r="C42" s="22">
        <v>45915</v>
      </c>
      <c r="D42" s="23" t="s">
        <v>87</v>
      </c>
      <c r="E42" s="23" t="s">
        <v>92</v>
      </c>
      <c r="F42" s="21">
        <v>1</v>
      </c>
      <c r="G42" s="12">
        <f>VLOOKUP(E42,Precios!B$2:N$941,12,FALSE)</f>
        <v>3400.2970989164628</v>
      </c>
      <c r="H42" s="12">
        <f t="shared" si="0"/>
        <v>3400.2970989164628</v>
      </c>
      <c r="I42" s="23" t="s">
        <v>52</v>
      </c>
      <c r="J42" s="23" t="s">
        <v>61</v>
      </c>
      <c r="K42" s="24" t="s">
        <v>177</v>
      </c>
      <c r="L42" s="11"/>
      <c r="M42" s="12">
        <f t="shared" ref="M42:N42" si="47">G42/1.19</f>
        <v>2857.3925200978679</v>
      </c>
      <c r="N42" s="12">
        <f t="shared" si="47"/>
        <v>2857.3925200978679</v>
      </c>
      <c r="O42" s="12">
        <f t="shared" si="2"/>
        <v>542.90457881859493</v>
      </c>
      <c r="P42" s="13"/>
      <c r="Q42" s="14">
        <f t="shared" si="3"/>
        <v>2025</v>
      </c>
      <c r="R42" s="15">
        <f>VLOOKUP(MONTH(C42),'Datos Maestros'!M$2:N$14,2,FALSE)</f>
        <v>45536</v>
      </c>
      <c r="S42" s="11" t="str">
        <f>VLOOKUP(E42,Precios!B$2:W$941,3,FALSE)</f>
        <v>Bolsa Basura</v>
      </c>
      <c r="T42" s="16">
        <f>VLOOKUP(E42,Precios!B$2:N$941,4,FALSE)*F42</f>
        <v>0</v>
      </c>
      <c r="U42" s="17"/>
      <c r="V42" s="12">
        <f>VLOOKUP(E42,Precios!B$2:N$941,13,FALSE)*F42</f>
        <v>1222.3925200978679</v>
      </c>
      <c r="W42" s="12">
        <f t="shared" si="4"/>
        <v>1222.3925200978679</v>
      </c>
      <c r="X42" s="12">
        <f>VLOOKUP(B42,'Datos Maestros'!$C$2:$D$7,2,FALSE)*V42</f>
        <v>0</v>
      </c>
      <c r="Y42" s="18">
        <f t="shared" si="5"/>
        <v>45915</v>
      </c>
      <c r="Z42" s="13" t="s">
        <v>39</v>
      </c>
      <c r="AA42" s="19" t="str">
        <f>VLOOKUP(D42,Clientes!$A$2:$J$486,9,FALSE)</f>
        <v>Frecuente</v>
      </c>
      <c r="AB42" s="13" t="str">
        <f>VLOOKUP(D42,Clientes!$A$2:$K$486,11,FALSE)</f>
        <v>Persona Natural</v>
      </c>
      <c r="AC42" s="13" t="str">
        <f>VLOOKUP(D42,Clientes!$A$2:$B$486,2,FALSE)</f>
        <v>Jardines de la viña</v>
      </c>
      <c r="AD42" s="20"/>
      <c r="AE42" s="20"/>
      <c r="AF42" s="13" t="s">
        <v>40</v>
      </c>
      <c r="AG42" s="15">
        <f t="shared" si="6"/>
        <v>45536</v>
      </c>
      <c r="AH42" s="13" t="s">
        <v>41</v>
      </c>
      <c r="AI42" s="13" t="str">
        <f t="shared" si="7"/>
        <v>Articulos de Aseo</v>
      </c>
      <c r="AJ42" s="13" t="str">
        <f>VLOOKUP(E42,Precios!Z$2:AA$941,2,FALSE)</f>
        <v xml:space="preserve">Bolsas Basura TEDDY 70x90 </v>
      </c>
      <c r="AK42" s="14">
        <f>VLOOKUP(E42,Precios!Z$2:BB$941,3,FALSE)*F42</f>
        <v>-3</v>
      </c>
      <c r="AL42" s="17"/>
      <c r="AM42" s="17"/>
      <c r="AN42" s="17"/>
      <c r="AO42" s="17"/>
      <c r="AP42" s="17"/>
      <c r="AQ42" s="17"/>
      <c r="AR42" s="17"/>
      <c r="AS42" s="17"/>
      <c r="AT42" s="17"/>
      <c r="AU42" s="17"/>
      <c r="AV42" s="17"/>
    </row>
    <row r="43" spans="1:48" ht="15.75" customHeight="1">
      <c r="A43" s="21" t="s">
        <v>47</v>
      </c>
      <c r="B43" s="23" t="s">
        <v>1692</v>
      </c>
      <c r="C43" s="22">
        <v>45915</v>
      </c>
      <c r="D43" s="23" t="s">
        <v>93</v>
      </c>
      <c r="E43" s="23" t="s">
        <v>48</v>
      </c>
      <c r="F43" s="21">
        <v>1</v>
      </c>
      <c r="G43" s="12">
        <f>VLOOKUP(E43,Precios!B$2:N$941,12,FALSE)</f>
        <v>1000</v>
      </c>
      <c r="H43" s="12">
        <f t="shared" si="0"/>
        <v>1000</v>
      </c>
      <c r="I43" s="23" t="s">
        <v>52</v>
      </c>
      <c r="J43" s="23" t="s">
        <v>61</v>
      </c>
      <c r="K43" s="24" t="s">
        <v>177</v>
      </c>
      <c r="L43" s="11"/>
      <c r="M43" s="12">
        <f t="shared" ref="M43:N43" si="48">G43/1.19</f>
        <v>840.3361344537816</v>
      </c>
      <c r="N43" s="12">
        <f t="shared" si="48"/>
        <v>840.3361344537816</v>
      </c>
      <c r="O43" s="12">
        <f t="shared" si="2"/>
        <v>159.6638655462184</v>
      </c>
      <c r="P43" s="13"/>
      <c r="Q43" s="14">
        <f t="shared" si="3"/>
        <v>2025</v>
      </c>
      <c r="R43" s="15">
        <f>VLOOKUP(MONTH(C43),'Datos Maestros'!M$2:N$14,2,FALSE)</f>
        <v>45536</v>
      </c>
      <c r="S43" s="11" t="str">
        <f>VLOOKUP(E43,Precios!B$2:W$941,3,FALSE)</f>
        <v>Esponjas</v>
      </c>
      <c r="T43" s="16">
        <f>VLOOKUP(E43,Precios!B$2:N$941,4,FALSE)*F43</f>
        <v>0</v>
      </c>
      <c r="U43" s="17"/>
      <c r="V43" s="12">
        <f>VLOOKUP(E43,Precios!B$2:N$941,13,FALSE)*F43</f>
        <v>330.33613445378148</v>
      </c>
      <c r="W43" s="12">
        <f t="shared" si="4"/>
        <v>330.33613445378148</v>
      </c>
      <c r="X43" s="12">
        <f>VLOOKUP(B43,'Datos Maestros'!$C$2:$D$7,2,FALSE)*V43</f>
        <v>0</v>
      </c>
      <c r="Y43" s="18">
        <f t="shared" si="5"/>
        <v>45915</v>
      </c>
      <c r="Z43" s="13" t="s">
        <v>39</v>
      </c>
      <c r="AA43" s="19" t="str">
        <f>VLOOKUP(D43,Clientes!$A$2:$J$486,9,FALSE)</f>
        <v>Ocacional</v>
      </c>
      <c r="AB43" s="13" t="str">
        <f>VLOOKUP(D43,Clientes!$A$2:$K$486,11,FALSE)</f>
        <v>Persona Natural</v>
      </c>
      <c r="AC43" s="13" t="str">
        <f>VLOOKUP(D43,Clientes!$A$2:$B$486,2,FALSE)</f>
        <v>Amigos Claudia Herrera</v>
      </c>
      <c r="AD43" s="20"/>
      <c r="AE43" s="20"/>
      <c r="AF43" s="13" t="s">
        <v>40</v>
      </c>
      <c r="AG43" s="15">
        <f t="shared" si="6"/>
        <v>45536</v>
      </c>
      <c r="AH43" s="13" t="s">
        <v>41</v>
      </c>
      <c r="AI43" s="13" t="str">
        <f t="shared" si="7"/>
        <v>Articulos de Aseo</v>
      </c>
      <c r="AJ43" s="13" t="str">
        <f>VLOOKUP(E43,Precios!Z$2:AA$941,2,FALSE)</f>
        <v>Esponja Acanalada TEDDY</v>
      </c>
      <c r="AK43" s="14">
        <f>VLOOKUP(E43,Precios!Z$2:BB$941,3,FALSE)*F43</f>
        <v>-5</v>
      </c>
      <c r="AL43" s="17"/>
      <c r="AM43" s="17"/>
      <c r="AN43" s="17"/>
      <c r="AO43" s="17"/>
      <c r="AP43" s="17"/>
      <c r="AQ43" s="17"/>
      <c r="AR43" s="17"/>
      <c r="AS43" s="17"/>
      <c r="AT43" s="17"/>
      <c r="AU43" s="17"/>
      <c r="AV43" s="17"/>
    </row>
    <row r="44" spans="1:48" ht="15.75" customHeight="1">
      <c r="A44" s="21" t="s">
        <v>47</v>
      </c>
      <c r="B44" s="23" t="s">
        <v>1692</v>
      </c>
      <c r="C44" s="22">
        <v>45915</v>
      </c>
      <c r="D44" s="23" t="s">
        <v>93</v>
      </c>
      <c r="E44" s="23" t="s">
        <v>94</v>
      </c>
      <c r="F44" s="14">
        <v>1</v>
      </c>
      <c r="G44" s="12">
        <f>VLOOKUP(E44,Precios!B$2:N$941,12,FALSE)</f>
        <v>1650.3649635036495</v>
      </c>
      <c r="H44" s="12">
        <f t="shared" si="0"/>
        <v>1650.3649635036495</v>
      </c>
      <c r="I44" s="23" t="s">
        <v>52</v>
      </c>
      <c r="J44" s="23" t="s">
        <v>61</v>
      </c>
      <c r="K44" s="24" t="s">
        <v>177</v>
      </c>
      <c r="L44" s="11"/>
      <c r="M44" s="12">
        <f t="shared" ref="M44:N44" si="49">G44/1.19</f>
        <v>1386.861313868613</v>
      </c>
      <c r="N44" s="12">
        <f t="shared" si="49"/>
        <v>1386.861313868613</v>
      </c>
      <c r="O44" s="12">
        <f t="shared" si="2"/>
        <v>263.50364963503648</v>
      </c>
      <c r="P44" s="13"/>
      <c r="Q44" s="14">
        <f t="shared" si="3"/>
        <v>2025</v>
      </c>
      <c r="R44" s="15">
        <f>VLOOKUP(MONTH(C44),'Datos Maestros'!M$2:N$14,2,FALSE)</f>
        <v>45536</v>
      </c>
      <c r="S44" s="11" t="str">
        <f>VLOOKUP(E44,Precios!B$2:W$941,3,FALSE)</f>
        <v>Jabon Liquido</v>
      </c>
      <c r="T44" s="16">
        <f>VLOOKUP(E44,Precios!B$2:N$941,4,FALSE)*F44</f>
        <v>0</v>
      </c>
      <c r="U44" s="17"/>
      <c r="V44" s="12">
        <f>VLOOKUP(E44,Precios!B$2:N$941,13,FALSE)*F44</f>
        <v>436.86131386861302</v>
      </c>
      <c r="W44" s="12">
        <f t="shared" si="4"/>
        <v>436.86131386861302</v>
      </c>
      <c r="X44" s="12">
        <f>VLOOKUP(B44,'Datos Maestros'!$C$2:$D$7,2,FALSE)*V44</f>
        <v>0</v>
      </c>
      <c r="Y44" s="18">
        <f t="shared" si="5"/>
        <v>45915</v>
      </c>
      <c r="Z44" s="13" t="s">
        <v>39</v>
      </c>
      <c r="AA44" s="19" t="str">
        <f>VLOOKUP(D44,Clientes!$A$2:$J$486,9,FALSE)</f>
        <v>Ocacional</v>
      </c>
      <c r="AB44" s="13" t="str">
        <f>VLOOKUP(D44,Clientes!$A$2:$K$486,11,FALSE)</f>
        <v>Persona Natural</v>
      </c>
      <c r="AC44" s="13" t="str">
        <f>VLOOKUP(D44,Clientes!$A$2:$B$486,2,FALSE)</f>
        <v>Amigos Claudia Herrera</v>
      </c>
      <c r="AD44" s="20"/>
      <c r="AE44" s="20"/>
      <c r="AF44" s="13" t="s">
        <v>40</v>
      </c>
      <c r="AG44" s="15">
        <f t="shared" si="6"/>
        <v>45536</v>
      </c>
      <c r="AH44" s="13" t="s">
        <v>41</v>
      </c>
      <c r="AI44" s="13" t="str">
        <f t="shared" si="7"/>
        <v>Articulos de Aseo</v>
      </c>
      <c r="AJ44" s="13" t="str">
        <f>VLOOKUP(E44,Precios!Z$2:AA$941,2,FALSE)</f>
        <v>Jabón Lìquido BALLERINA</v>
      </c>
      <c r="AK44" s="14">
        <f>VLOOKUP(E44,Precios!Z$2:BB$941,3,FALSE)*F44</f>
        <v>-3</v>
      </c>
      <c r="AL44" s="17"/>
      <c r="AM44" s="17"/>
      <c r="AN44" s="17"/>
      <c r="AO44" s="17"/>
      <c r="AP44" s="17"/>
      <c r="AQ44" s="17"/>
      <c r="AR44" s="17"/>
      <c r="AS44" s="17"/>
      <c r="AT44" s="17"/>
      <c r="AU44" s="17"/>
      <c r="AV44" s="17"/>
    </row>
    <row r="45" spans="1:48" ht="15.75" customHeight="1">
      <c r="A45" s="21" t="s">
        <v>47</v>
      </c>
      <c r="B45" s="23" t="s">
        <v>1692</v>
      </c>
      <c r="C45" s="22">
        <v>45915</v>
      </c>
      <c r="D45" s="23" t="s">
        <v>93</v>
      </c>
      <c r="E45" s="23" t="s">
        <v>95</v>
      </c>
      <c r="F45" s="14">
        <v>1</v>
      </c>
      <c r="G45" s="12">
        <f>VLOOKUP(E45,Precios!B$2:N$941,12,FALSE)</f>
        <v>3399.9999999999995</v>
      </c>
      <c r="H45" s="12">
        <f t="shared" si="0"/>
        <v>3399.9999999999995</v>
      </c>
      <c r="I45" s="23" t="s">
        <v>52</v>
      </c>
      <c r="J45" s="23" t="s">
        <v>61</v>
      </c>
      <c r="K45" s="24" t="s">
        <v>177</v>
      </c>
      <c r="L45" s="11"/>
      <c r="M45" s="12">
        <f t="shared" ref="M45:N45" si="50">G45/1.19</f>
        <v>2857.1428571428569</v>
      </c>
      <c r="N45" s="12">
        <f t="shared" si="50"/>
        <v>2857.1428571428569</v>
      </c>
      <c r="O45" s="12">
        <f t="shared" si="2"/>
        <v>542.85714285714266</v>
      </c>
      <c r="P45" s="13"/>
      <c r="Q45" s="14">
        <f t="shared" si="3"/>
        <v>2025</v>
      </c>
      <c r="R45" s="15">
        <f>VLOOKUP(MONTH(C45),'Datos Maestros'!M$2:N$14,2,FALSE)</f>
        <v>45536</v>
      </c>
      <c r="S45" s="11" t="str">
        <f>VLOOKUP(E45,Precios!B$2:W$941,3,FALSE)</f>
        <v>Pasta de dientes</v>
      </c>
      <c r="T45" s="16">
        <f>VLOOKUP(E45,Precios!B$2:N$941,4,FALSE)*F45</f>
        <v>0</v>
      </c>
      <c r="U45" s="17"/>
      <c r="V45" s="12">
        <f>VLOOKUP(E45,Precios!B$2:N$941,13,FALSE)*F45</f>
        <v>571.4285714285711</v>
      </c>
      <c r="W45" s="12">
        <f t="shared" si="4"/>
        <v>571.4285714285711</v>
      </c>
      <c r="X45" s="12">
        <f>VLOOKUP(B45,'Datos Maestros'!$C$2:$D$7,2,FALSE)*V45</f>
        <v>0</v>
      </c>
      <c r="Y45" s="18">
        <f t="shared" si="5"/>
        <v>45915</v>
      </c>
      <c r="Z45" s="13" t="s">
        <v>39</v>
      </c>
      <c r="AA45" s="19" t="str">
        <f>VLOOKUP(D45,Clientes!$A$2:$J$486,9,FALSE)</f>
        <v>Ocacional</v>
      </c>
      <c r="AB45" s="13" t="str">
        <f>VLOOKUP(D45,Clientes!$A$2:$K$486,11,FALSE)</f>
        <v>Persona Natural</v>
      </c>
      <c r="AC45" s="13" t="str">
        <f>VLOOKUP(D45,Clientes!$A$2:$B$486,2,FALSE)</f>
        <v>Amigos Claudia Herrera</v>
      </c>
      <c r="AD45" s="20"/>
      <c r="AE45" s="20"/>
      <c r="AF45" s="13" t="s">
        <v>40</v>
      </c>
      <c r="AG45" s="15">
        <f t="shared" si="6"/>
        <v>45536</v>
      </c>
      <c r="AH45" s="13" t="s">
        <v>41</v>
      </c>
      <c r="AI45" s="13" t="str">
        <f t="shared" si="7"/>
        <v>Articulos de Aseo</v>
      </c>
      <c r="AJ45" s="13" t="str">
        <f>VLOOKUP(E45,Precios!Z$2:AA$941,2,FALSE)</f>
        <v>Pasta de Dientes</v>
      </c>
      <c r="AK45" s="14">
        <f>VLOOKUP(E45,Precios!Z$2:BB$941,3,FALSE)*F45</f>
        <v>-1</v>
      </c>
      <c r="AL45" s="17"/>
      <c r="AM45" s="17"/>
      <c r="AN45" s="17"/>
      <c r="AO45" s="17"/>
      <c r="AP45" s="17"/>
      <c r="AQ45" s="17"/>
      <c r="AR45" s="17"/>
      <c r="AS45" s="17"/>
      <c r="AT45" s="17"/>
      <c r="AU45" s="17"/>
      <c r="AV45" s="17"/>
    </row>
    <row r="46" spans="1:48" ht="15.75" customHeight="1">
      <c r="A46" s="14" t="s">
        <v>53</v>
      </c>
      <c r="B46" s="23" t="s">
        <v>1692</v>
      </c>
      <c r="C46" s="22">
        <v>45915</v>
      </c>
      <c r="D46" s="23" t="s">
        <v>96</v>
      </c>
      <c r="E46" s="23" t="s">
        <v>97</v>
      </c>
      <c r="F46" s="14">
        <v>1</v>
      </c>
      <c r="G46" s="12">
        <f>VLOOKUP(E46,Precios!B$2:N$941,12,FALSE)</f>
        <v>16500.236769693482</v>
      </c>
      <c r="H46" s="12">
        <f t="shared" si="0"/>
        <v>16500.236769693482</v>
      </c>
      <c r="I46" s="23" t="s">
        <v>52</v>
      </c>
      <c r="J46" s="13" t="s">
        <v>38</v>
      </c>
      <c r="K46" s="24" t="s">
        <v>177</v>
      </c>
      <c r="L46" s="11"/>
      <c r="M46" s="12">
        <f t="shared" ref="M46:N46" si="51">G46/1.19</f>
        <v>13865.745184616371</v>
      </c>
      <c r="N46" s="12">
        <f t="shared" si="51"/>
        <v>13865.745184616371</v>
      </c>
      <c r="O46" s="12">
        <f t="shared" si="2"/>
        <v>2634.4915850771104</v>
      </c>
      <c r="P46" s="13"/>
      <c r="Q46" s="14">
        <f t="shared" si="3"/>
        <v>2025</v>
      </c>
      <c r="R46" s="15">
        <f>VLOOKUP(MONTH(C46),'Datos Maestros'!M$2:N$14,2,FALSE)</f>
        <v>45536</v>
      </c>
      <c r="S46" s="11" t="str">
        <f>VLOOKUP(E46,Precios!B$2:W$941,3,FALSE)</f>
        <v>Papel Higiénico ELITE</v>
      </c>
      <c r="T46" s="16">
        <f>VLOOKUP(E46,Precios!B$2:N$941,4,FALSE)*F46</f>
        <v>0</v>
      </c>
      <c r="U46" s="17"/>
      <c r="V46" s="12">
        <f>VLOOKUP(E46,Precios!B$2:N$941,13,FALSE)*F46</f>
        <v>3031.7451846163694</v>
      </c>
      <c r="W46" s="12">
        <f t="shared" si="4"/>
        <v>3031.7451846163694</v>
      </c>
      <c r="X46" s="12">
        <f>VLOOKUP(B46,'Datos Maestros'!$C$2:$D$7,2,FALSE)*V46</f>
        <v>0</v>
      </c>
      <c r="Y46" s="18">
        <f t="shared" si="5"/>
        <v>45915</v>
      </c>
      <c r="Z46" s="13" t="s">
        <v>39</v>
      </c>
      <c r="AA46" s="19" t="str">
        <f>VLOOKUP(D46,Clientes!$A$2:$J$486,9,FALSE)</f>
        <v>Ocacional</v>
      </c>
      <c r="AB46" s="13" t="str">
        <f>VLOOKUP(D46,Clientes!$A$2:$K$486,11,FALSE)</f>
        <v>Persona Natural</v>
      </c>
      <c r="AC46" s="13" t="str">
        <f>VLOOKUP(D46,Clientes!$A$2:$B$486,2,FALSE)</f>
        <v>Jardin del eden</v>
      </c>
      <c r="AD46" s="20"/>
      <c r="AE46" s="20"/>
      <c r="AF46" s="13" t="s">
        <v>40</v>
      </c>
      <c r="AG46" s="15">
        <f t="shared" si="6"/>
        <v>45536</v>
      </c>
      <c r="AH46" s="13" t="s">
        <v>41</v>
      </c>
      <c r="AI46" s="13" t="str">
        <f t="shared" si="7"/>
        <v>Papeleria</v>
      </c>
      <c r="AJ46" s="13" t="str">
        <f>VLOOKUP(E46,Precios!Z$2:AA$941,2,FALSE)</f>
        <v>Papel Higienico ELITE 50 metros</v>
      </c>
      <c r="AK46" s="14">
        <f>VLOOKUP(E46,Precios!Z$2:BB$941,3,FALSE)*F46</f>
        <v>-6</v>
      </c>
      <c r="AL46" s="17"/>
      <c r="AM46" s="17"/>
      <c r="AN46" s="17"/>
      <c r="AO46" s="17"/>
      <c r="AP46" s="17"/>
      <c r="AQ46" s="17"/>
      <c r="AR46" s="17"/>
      <c r="AS46" s="17"/>
      <c r="AT46" s="17"/>
      <c r="AU46" s="17"/>
      <c r="AV46" s="17"/>
    </row>
    <row r="47" spans="1:48" ht="15.75" customHeight="1">
      <c r="A47" s="21" t="s">
        <v>35</v>
      </c>
      <c r="B47" s="23" t="s">
        <v>1692</v>
      </c>
      <c r="C47" s="22">
        <v>45915</v>
      </c>
      <c r="D47" s="23" t="s">
        <v>96</v>
      </c>
      <c r="E47" s="23" t="s">
        <v>37</v>
      </c>
      <c r="F47" s="14">
        <v>1</v>
      </c>
      <c r="G47" s="12">
        <f>VLOOKUP(E47,Precios!B$2:N$941,12,FALSE)</f>
        <v>11000.014358944907</v>
      </c>
      <c r="H47" s="12">
        <f t="shared" si="0"/>
        <v>11000.014358944907</v>
      </c>
      <c r="I47" s="23" t="s">
        <v>52</v>
      </c>
      <c r="J47" s="13" t="s">
        <v>38</v>
      </c>
      <c r="K47" s="24" t="s">
        <v>177</v>
      </c>
      <c r="L47" s="11"/>
      <c r="M47" s="12">
        <f t="shared" ref="M47:N47" si="52">G47/1.19</f>
        <v>9243.7095453318543</v>
      </c>
      <c r="N47" s="12">
        <f t="shared" si="52"/>
        <v>9243.7095453318543</v>
      </c>
      <c r="O47" s="12">
        <f t="shared" si="2"/>
        <v>1756.3048136130528</v>
      </c>
      <c r="P47" s="13"/>
      <c r="Q47" s="14">
        <f t="shared" si="3"/>
        <v>2025</v>
      </c>
      <c r="R47" s="15">
        <f>VLOOKUP(MONTH(C47),'Datos Maestros'!M$2:N$14,2,FALSE)</f>
        <v>45536</v>
      </c>
      <c r="S47" s="11" t="str">
        <f>VLOOKUP(E47,Precios!B$2:W$941,3,FALSE)</f>
        <v>Queso Mantecoso</v>
      </c>
      <c r="T47" s="16">
        <f>VLOOKUP(E47,Precios!B$2:N$941,4,FALSE)*F47</f>
        <v>1000</v>
      </c>
      <c r="U47" s="17"/>
      <c r="V47" s="12">
        <f>VLOOKUP(E47,Precios!B$2:N$941,13,FALSE)*F47</f>
        <v>2806.1129066763915</v>
      </c>
      <c r="W47" s="12">
        <f t="shared" si="4"/>
        <v>2806.1129066763915</v>
      </c>
      <c r="X47" s="12">
        <f>VLOOKUP(B47,'Datos Maestros'!$C$2:$D$7,2,FALSE)*V47</f>
        <v>0</v>
      </c>
      <c r="Y47" s="18">
        <f t="shared" si="5"/>
        <v>45915</v>
      </c>
      <c r="Z47" s="13" t="s">
        <v>39</v>
      </c>
      <c r="AA47" s="19" t="str">
        <f>VLOOKUP(D47,Clientes!$A$2:$J$486,9,FALSE)</f>
        <v>Ocacional</v>
      </c>
      <c r="AB47" s="13" t="str">
        <f>VLOOKUP(D47,Clientes!$A$2:$K$486,11,FALSE)</f>
        <v>Persona Natural</v>
      </c>
      <c r="AC47" s="13" t="str">
        <f>VLOOKUP(D47,Clientes!$A$2:$B$486,2,FALSE)</f>
        <v>Jardin del eden</v>
      </c>
      <c r="AD47" s="20"/>
      <c r="AE47" s="20"/>
      <c r="AF47" s="13" t="s">
        <v>40</v>
      </c>
      <c r="AG47" s="15">
        <f t="shared" si="6"/>
        <v>45536</v>
      </c>
      <c r="AH47" s="13" t="s">
        <v>41</v>
      </c>
      <c r="AI47" s="13" t="str">
        <f t="shared" si="7"/>
        <v>Quesos</v>
      </c>
      <c r="AJ47" s="13" t="str">
        <f>VLOOKUP(E47,Precios!Z$2:AA$941,2,FALSE)</f>
        <v>Queso RUNCA Mantecoso</v>
      </c>
      <c r="AK47" s="14">
        <f>VLOOKUP(E47,Precios!Z$2:BB$941,3,FALSE)*F47</f>
        <v>-1</v>
      </c>
      <c r="AL47" s="17"/>
      <c r="AM47" s="17"/>
      <c r="AN47" s="17"/>
      <c r="AO47" s="17"/>
      <c r="AP47" s="17"/>
      <c r="AQ47" s="17"/>
      <c r="AR47" s="17"/>
      <c r="AS47" s="17"/>
      <c r="AT47" s="17"/>
      <c r="AU47" s="17"/>
      <c r="AV47" s="17"/>
    </row>
    <row r="48" spans="1:48" ht="15.75" customHeight="1">
      <c r="A48" s="21" t="s">
        <v>56</v>
      </c>
      <c r="B48" s="23" t="s">
        <v>1692</v>
      </c>
      <c r="C48" s="22">
        <v>45915</v>
      </c>
      <c r="D48" s="23" t="s">
        <v>96</v>
      </c>
      <c r="E48" s="23" t="s">
        <v>57</v>
      </c>
      <c r="F48" s="14">
        <v>1</v>
      </c>
      <c r="G48" s="12">
        <f>VLOOKUP(E48,Precios!B$2:N$941,12,FALSE)</f>
        <v>2999.6253023129066</v>
      </c>
      <c r="H48" s="12">
        <f t="shared" si="0"/>
        <v>2999.6253023129066</v>
      </c>
      <c r="I48" s="23" t="s">
        <v>52</v>
      </c>
      <c r="J48" s="13" t="s">
        <v>38</v>
      </c>
      <c r="K48" s="24" t="s">
        <v>177</v>
      </c>
      <c r="L48" s="11"/>
      <c r="M48" s="12">
        <f t="shared" ref="M48:N48" si="53">G48/1.19</f>
        <v>2520.6935313553836</v>
      </c>
      <c r="N48" s="12">
        <f t="shared" si="53"/>
        <v>2520.6935313553836</v>
      </c>
      <c r="O48" s="12">
        <f t="shared" si="2"/>
        <v>478.93177095752299</v>
      </c>
      <c r="P48" s="13"/>
      <c r="Q48" s="14">
        <f t="shared" si="3"/>
        <v>2025</v>
      </c>
      <c r="R48" s="15">
        <f>VLOOKUP(MONTH(C48),'Datos Maestros'!M$2:N$14,2,FALSE)</f>
        <v>45536</v>
      </c>
      <c r="S48" s="11" t="str">
        <f>VLOOKUP(E48,Precios!B$2:W$941,3,FALSE)</f>
        <v>Provoleta</v>
      </c>
      <c r="T48" s="16">
        <f>VLOOKUP(E48,Precios!B$2:N$941,4,FALSE)*F48</f>
        <v>135</v>
      </c>
      <c r="U48" s="17"/>
      <c r="V48" s="12">
        <f>VLOOKUP(E48,Precios!B$2:N$941,13,FALSE)*F48</f>
        <v>1040.6935313553836</v>
      </c>
      <c r="W48" s="12">
        <f t="shared" si="4"/>
        <v>1040.6935313553836</v>
      </c>
      <c r="X48" s="12">
        <f>VLOOKUP(B48,'Datos Maestros'!$C$2:$D$7,2,FALSE)*V48</f>
        <v>0</v>
      </c>
      <c r="Y48" s="18">
        <f t="shared" si="5"/>
        <v>45915</v>
      </c>
      <c r="Z48" s="13" t="s">
        <v>39</v>
      </c>
      <c r="AA48" s="19" t="str">
        <f>VLOOKUP(D48,Clientes!$A$2:$J$486,9,FALSE)</f>
        <v>Ocacional</v>
      </c>
      <c r="AB48" s="13" t="str">
        <f>VLOOKUP(D48,Clientes!$A$2:$K$486,11,FALSE)</f>
        <v>Persona Natural</v>
      </c>
      <c r="AC48" s="13" t="str">
        <f>VLOOKUP(D48,Clientes!$A$2:$B$486,2,FALSE)</f>
        <v>Jardin del eden</v>
      </c>
      <c r="AD48" s="20"/>
      <c r="AE48" s="20"/>
      <c r="AF48" s="13" t="s">
        <v>40</v>
      </c>
      <c r="AG48" s="15">
        <f t="shared" si="6"/>
        <v>45536</v>
      </c>
      <c r="AH48" s="13" t="s">
        <v>41</v>
      </c>
      <c r="AI48" s="13" t="str">
        <f t="shared" si="7"/>
        <v>Derivados</v>
      </c>
      <c r="AJ48" s="13" t="str">
        <f>VLOOKUP(E48,Precios!Z$2:AA$941,2,FALSE)</f>
        <v>Provoleta Parrillera</v>
      </c>
      <c r="AK48" s="14">
        <f>VLOOKUP(E48,Precios!Z$2:BB$941,3,FALSE)*F48</f>
        <v>-1</v>
      </c>
      <c r="AL48" s="17"/>
      <c r="AM48" s="17"/>
      <c r="AN48" s="17"/>
      <c r="AO48" s="17"/>
      <c r="AP48" s="17"/>
      <c r="AQ48" s="17"/>
      <c r="AR48" s="17"/>
      <c r="AS48" s="17"/>
      <c r="AT48" s="17"/>
      <c r="AU48" s="17"/>
      <c r="AV48" s="17"/>
    </row>
    <row r="49" spans="1:48" ht="15.75" customHeight="1">
      <c r="A49" s="21" t="s">
        <v>76</v>
      </c>
      <c r="B49" s="23" t="s">
        <v>1692</v>
      </c>
      <c r="C49" s="22">
        <v>45915</v>
      </c>
      <c r="D49" s="23" t="s">
        <v>96</v>
      </c>
      <c r="E49" s="23" t="s">
        <v>98</v>
      </c>
      <c r="F49" s="14">
        <v>1</v>
      </c>
      <c r="G49" s="12">
        <f>VLOOKUP(E49,Precios!B$2:N$941,12,FALSE)</f>
        <v>2600.0000000000005</v>
      </c>
      <c r="H49" s="12">
        <f t="shared" si="0"/>
        <v>2600.0000000000005</v>
      </c>
      <c r="I49" s="23" t="s">
        <v>52</v>
      </c>
      <c r="J49" s="13" t="s">
        <v>38</v>
      </c>
      <c r="K49" s="24" t="s">
        <v>177</v>
      </c>
      <c r="L49" s="11"/>
      <c r="M49" s="12">
        <f t="shared" ref="M49:N49" si="54">G49/1.19</f>
        <v>2184.8739495798322</v>
      </c>
      <c r="N49" s="12">
        <f t="shared" si="54"/>
        <v>2184.8739495798322</v>
      </c>
      <c r="O49" s="12">
        <f t="shared" si="2"/>
        <v>415.12605042016821</v>
      </c>
      <c r="P49" s="13"/>
      <c r="Q49" s="14">
        <f t="shared" si="3"/>
        <v>2025</v>
      </c>
      <c r="R49" s="15">
        <f>VLOOKUP(MONTH(C49),'Datos Maestros'!M$2:N$14,2,FALSE)</f>
        <v>45536</v>
      </c>
      <c r="S49" s="11" t="str">
        <f>VLOOKUP(E49,Precios!B$2:W$941,3,FALSE)</f>
        <v>Lavaloza</v>
      </c>
      <c r="T49" s="16">
        <f>VLOOKUP(E49,Precios!B$2:N$941,4,FALSE)*F49</f>
        <v>0</v>
      </c>
      <c r="U49" s="17"/>
      <c r="V49" s="12">
        <f>VLOOKUP(E49,Precios!B$2:N$941,13,FALSE)*F49</f>
        <v>1052.1008403361348</v>
      </c>
      <c r="W49" s="12">
        <f t="shared" si="4"/>
        <v>1052.1008403361348</v>
      </c>
      <c r="X49" s="12">
        <f>VLOOKUP(B49,'Datos Maestros'!$C$2:$D$7,2,FALSE)*V49</f>
        <v>0</v>
      </c>
      <c r="Y49" s="18">
        <f t="shared" si="5"/>
        <v>45915</v>
      </c>
      <c r="Z49" s="13" t="s">
        <v>39</v>
      </c>
      <c r="AA49" s="19" t="str">
        <f>VLOOKUP(D49,Clientes!$A$2:$J$486,9,FALSE)</f>
        <v>Ocacional</v>
      </c>
      <c r="AB49" s="13" t="str">
        <f>VLOOKUP(D49,Clientes!$A$2:$K$486,11,FALSE)</f>
        <v>Persona Natural</v>
      </c>
      <c r="AC49" s="13" t="str">
        <f>VLOOKUP(D49,Clientes!$A$2:$B$486,2,FALSE)</f>
        <v>Jardin del eden</v>
      </c>
      <c r="AD49" s="20"/>
      <c r="AE49" s="20"/>
      <c r="AF49" s="13" t="s">
        <v>40</v>
      </c>
      <c r="AG49" s="15">
        <f t="shared" si="6"/>
        <v>45536</v>
      </c>
      <c r="AH49" s="13" t="s">
        <v>41</v>
      </c>
      <c r="AI49" s="13" t="str">
        <f t="shared" si="7"/>
        <v>Detergentes</v>
      </c>
      <c r="AJ49" s="13" t="str">
        <f>VLOOKUP(E49,Precios!Z$2:AA$941,2,FALSE)</f>
        <v>Lavaloza QUIX 750 cc</v>
      </c>
      <c r="AK49" s="14">
        <f>VLOOKUP(E49,Precios!Z$2:BB$941,3,FALSE)*F49</f>
        <v>-1</v>
      </c>
      <c r="AL49" s="17"/>
      <c r="AM49" s="17"/>
      <c r="AN49" s="17"/>
      <c r="AO49" s="17"/>
      <c r="AP49" s="17"/>
      <c r="AQ49" s="17"/>
      <c r="AR49" s="17"/>
      <c r="AS49" s="17"/>
      <c r="AT49" s="17"/>
      <c r="AU49" s="17"/>
      <c r="AV49" s="17"/>
    </row>
    <row r="50" spans="1:48" ht="15.75" customHeight="1">
      <c r="A50" s="21" t="s">
        <v>47</v>
      </c>
      <c r="B50" s="23" t="s">
        <v>1692</v>
      </c>
      <c r="C50" s="22">
        <v>45915</v>
      </c>
      <c r="D50" s="23" t="s">
        <v>96</v>
      </c>
      <c r="E50" s="23" t="s">
        <v>99</v>
      </c>
      <c r="F50" s="14">
        <v>1</v>
      </c>
      <c r="G50" s="12">
        <f>VLOOKUP(E50,Precios!B$2:N$941,12,FALSE)</f>
        <v>1200</v>
      </c>
      <c r="H50" s="12">
        <f t="shared" si="0"/>
        <v>1200</v>
      </c>
      <c r="I50" s="23" t="s">
        <v>52</v>
      </c>
      <c r="J50" s="13" t="s">
        <v>38</v>
      </c>
      <c r="K50" s="24" t="s">
        <v>177</v>
      </c>
      <c r="L50" s="11"/>
      <c r="M50" s="12">
        <f t="shared" ref="M50:N50" si="55">G50/1.19</f>
        <v>1008.4033613445379</v>
      </c>
      <c r="N50" s="12">
        <f t="shared" si="55"/>
        <v>1008.4033613445379</v>
      </c>
      <c r="O50" s="12">
        <f t="shared" si="2"/>
        <v>191.59663865546213</v>
      </c>
      <c r="P50" s="13"/>
      <c r="Q50" s="14">
        <f t="shared" si="3"/>
        <v>2025</v>
      </c>
      <c r="R50" s="15">
        <f>VLOOKUP(MONTH(C50),'Datos Maestros'!M$2:N$14,2,FALSE)</f>
        <v>45536</v>
      </c>
      <c r="S50" s="11" t="str">
        <f>VLOOKUP(E50,Precios!B$2:W$941,3,FALSE)</f>
        <v>Bolsa Basura</v>
      </c>
      <c r="T50" s="16">
        <f>VLOOKUP(E50,Precios!B$2:N$941,4,FALSE)*F50</f>
        <v>0</v>
      </c>
      <c r="U50" s="17"/>
      <c r="V50" s="12">
        <f>VLOOKUP(E50,Precios!B$2:N$941,13,FALSE)*F50</f>
        <v>294.11764705882354</v>
      </c>
      <c r="W50" s="12">
        <f t="shared" si="4"/>
        <v>294.11764705882354</v>
      </c>
      <c r="X50" s="12">
        <f>VLOOKUP(B50,'Datos Maestros'!$C$2:$D$7,2,FALSE)*V50</f>
        <v>0</v>
      </c>
      <c r="Y50" s="18">
        <f t="shared" si="5"/>
        <v>45915</v>
      </c>
      <c r="Z50" s="13" t="s">
        <v>39</v>
      </c>
      <c r="AA50" s="19" t="str">
        <f>VLOOKUP(D50,Clientes!$A$2:$J$486,9,FALSE)</f>
        <v>Ocacional</v>
      </c>
      <c r="AB50" s="13" t="str">
        <f>VLOOKUP(D50,Clientes!$A$2:$K$486,11,FALSE)</f>
        <v>Persona Natural</v>
      </c>
      <c r="AC50" s="13" t="str">
        <f>VLOOKUP(D50,Clientes!$A$2:$B$486,2,FALSE)</f>
        <v>Jardin del eden</v>
      </c>
      <c r="AD50" s="20"/>
      <c r="AE50" s="20"/>
      <c r="AF50" s="13" t="s">
        <v>40</v>
      </c>
      <c r="AG50" s="15">
        <f t="shared" si="6"/>
        <v>45536</v>
      </c>
      <c r="AH50" s="13" t="s">
        <v>41</v>
      </c>
      <c r="AI50" s="13" t="str">
        <f t="shared" si="7"/>
        <v>Articulos de Aseo</v>
      </c>
      <c r="AJ50" s="13" t="str">
        <f>VLOOKUP(E50,Precios!Z$2:AA$941,2,FALSE)</f>
        <v xml:space="preserve">Bolsas Basura TEDDY 70x90 </v>
      </c>
      <c r="AK50" s="14">
        <f>VLOOKUP(E50,Precios!Z$2:BB$941,3,FALSE)*F50</f>
        <v>-1</v>
      </c>
      <c r="AL50" s="17"/>
      <c r="AM50" s="17"/>
      <c r="AN50" s="17"/>
      <c r="AO50" s="17"/>
      <c r="AP50" s="17"/>
      <c r="AQ50" s="17"/>
      <c r="AR50" s="17"/>
      <c r="AS50" s="17"/>
      <c r="AT50" s="17"/>
      <c r="AU50" s="17"/>
      <c r="AV50" s="17"/>
    </row>
    <row r="51" spans="1:48" ht="15.75" customHeight="1">
      <c r="A51" s="21" t="s">
        <v>47</v>
      </c>
      <c r="B51" s="23" t="s">
        <v>1692</v>
      </c>
      <c r="C51" s="22">
        <v>45915</v>
      </c>
      <c r="D51" s="23" t="s">
        <v>96</v>
      </c>
      <c r="E51" s="23" t="s">
        <v>100</v>
      </c>
      <c r="F51" s="14">
        <v>1</v>
      </c>
      <c r="G51" s="12">
        <f>VLOOKUP(E51,Precios!B$2:N$941,12,FALSE)</f>
        <v>650.00000000000011</v>
      </c>
      <c r="H51" s="12">
        <f t="shared" si="0"/>
        <v>650.00000000000011</v>
      </c>
      <c r="I51" s="23" t="s">
        <v>52</v>
      </c>
      <c r="J51" s="13" t="s">
        <v>38</v>
      </c>
      <c r="K51" s="24" t="s">
        <v>177</v>
      </c>
      <c r="L51" s="11"/>
      <c r="M51" s="12">
        <f t="shared" ref="M51:N51" si="56">G51/1.19</f>
        <v>546.21848739495806</v>
      </c>
      <c r="N51" s="12">
        <f t="shared" si="56"/>
        <v>546.21848739495806</v>
      </c>
      <c r="O51" s="12">
        <f t="shared" si="2"/>
        <v>103.78151260504205</v>
      </c>
      <c r="P51" s="13"/>
      <c r="Q51" s="14">
        <f t="shared" si="3"/>
        <v>2025</v>
      </c>
      <c r="R51" s="15">
        <f>VLOOKUP(MONTH(C51),'Datos Maestros'!M$2:N$14,2,FALSE)</f>
        <v>45536</v>
      </c>
      <c r="S51" s="11" t="str">
        <f>VLOOKUP(E51,Precios!B$2:W$941,3,FALSE)</f>
        <v>Bolsa Basura</v>
      </c>
      <c r="T51" s="16">
        <f>VLOOKUP(E51,Precios!B$2:N$941,4,FALSE)*F51</f>
        <v>0</v>
      </c>
      <c r="U51" s="17"/>
      <c r="V51" s="12">
        <f>VLOOKUP(E51,Precios!B$2:N$941,13,FALSE)*F51</f>
        <v>231.09243697478996</v>
      </c>
      <c r="W51" s="12">
        <f t="shared" si="4"/>
        <v>231.09243697478996</v>
      </c>
      <c r="X51" s="12">
        <f>VLOOKUP(B51,'Datos Maestros'!$C$2:$D$7,2,FALSE)*V51</f>
        <v>0</v>
      </c>
      <c r="Y51" s="18">
        <f t="shared" si="5"/>
        <v>45915</v>
      </c>
      <c r="Z51" s="13" t="s">
        <v>39</v>
      </c>
      <c r="AA51" s="19" t="str">
        <f>VLOOKUP(D51,Clientes!$A$2:$J$486,9,FALSE)</f>
        <v>Ocacional</v>
      </c>
      <c r="AB51" s="13" t="str">
        <f>VLOOKUP(D51,Clientes!$A$2:$K$486,11,FALSE)</f>
        <v>Persona Natural</v>
      </c>
      <c r="AC51" s="13" t="str">
        <f>VLOOKUP(D51,Clientes!$A$2:$B$486,2,FALSE)</f>
        <v>Jardin del eden</v>
      </c>
      <c r="AD51" s="20"/>
      <c r="AE51" s="20"/>
      <c r="AF51" s="13" t="s">
        <v>40</v>
      </c>
      <c r="AG51" s="15">
        <f t="shared" si="6"/>
        <v>45536</v>
      </c>
      <c r="AH51" s="13" t="s">
        <v>41</v>
      </c>
      <c r="AI51" s="13" t="str">
        <f t="shared" si="7"/>
        <v>Articulos de Aseo</v>
      </c>
      <c r="AJ51" s="13" t="str">
        <f>VLOOKUP(E51,Precios!Z$2:AA$941,2,FALSE)</f>
        <v xml:space="preserve">Bolsas Basura TEDDY 50x70 </v>
      </c>
      <c r="AK51" s="14">
        <f>VLOOKUP(E51,Precios!Z$2:BB$941,3,FALSE)*F51</f>
        <v>-1</v>
      </c>
      <c r="AL51" s="17"/>
      <c r="AM51" s="17"/>
      <c r="AN51" s="17"/>
      <c r="AO51" s="17"/>
      <c r="AP51" s="17"/>
      <c r="AQ51" s="17"/>
      <c r="AR51" s="17"/>
      <c r="AS51" s="17"/>
      <c r="AT51" s="17"/>
      <c r="AU51" s="17"/>
      <c r="AV51" s="17"/>
    </row>
    <row r="52" spans="1:48" ht="15.75" customHeight="1">
      <c r="A52" s="21" t="s">
        <v>76</v>
      </c>
      <c r="B52" s="23" t="s">
        <v>1692</v>
      </c>
      <c r="C52" s="22">
        <v>45915</v>
      </c>
      <c r="D52" s="23" t="s">
        <v>96</v>
      </c>
      <c r="E52" s="23" t="s">
        <v>82</v>
      </c>
      <c r="F52" s="14">
        <v>1</v>
      </c>
      <c r="G52" s="12">
        <f>VLOOKUP(E52,Precios!B$2:N$941,12,FALSE)</f>
        <v>2000.0000000000002</v>
      </c>
      <c r="H52" s="12">
        <f t="shared" si="0"/>
        <v>2000.0000000000002</v>
      </c>
      <c r="I52" s="23" t="s">
        <v>52</v>
      </c>
      <c r="J52" s="13" t="s">
        <v>38</v>
      </c>
      <c r="K52" s="24" t="s">
        <v>177</v>
      </c>
      <c r="L52" s="11"/>
      <c r="M52" s="12">
        <f t="shared" ref="M52:N52" si="57">G52/1.19</f>
        <v>1680.6722689075632</v>
      </c>
      <c r="N52" s="12">
        <f t="shared" si="57"/>
        <v>1680.6722689075632</v>
      </c>
      <c r="O52" s="12">
        <f t="shared" si="2"/>
        <v>319.32773109243703</v>
      </c>
      <c r="P52" s="13"/>
      <c r="Q52" s="14">
        <f t="shared" si="3"/>
        <v>2025</v>
      </c>
      <c r="R52" s="15">
        <f>VLOOKUP(MONTH(C52),'Datos Maestros'!M$2:N$14,2,FALSE)</f>
        <v>45536</v>
      </c>
      <c r="S52" s="11" t="str">
        <f>VLOOKUP(E52,Precios!B$2:W$941,3,FALSE)</f>
        <v>Limpiapiso</v>
      </c>
      <c r="T52" s="16">
        <f>VLOOKUP(E52,Precios!B$2:N$941,4,FALSE)*F52</f>
        <v>5</v>
      </c>
      <c r="U52" s="17"/>
      <c r="V52" s="12">
        <f>VLOOKUP(E52,Precios!B$2:N$941,13,FALSE)*F52</f>
        <v>680.67226890756319</v>
      </c>
      <c r="W52" s="12">
        <f t="shared" si="4"/>
        <v>680.67226890756319</v>
      </c>
      <c r="X52" s="12">
        <f>VLOOKUP(B52,'Datos Maestros'!$C$2:$D$7,2,FALSE)*V52</f>
        <v>0</v>
      </c>
      <c r="Y52" s="18">
        <f t="shared" si="5"/>
        <v>45915</v>
      </c>
      <c r="Z52" s="13" t="s">
        <v>39</v>
      </c>
      <c r="AA52" s="19" t="str">
        <f>VLOOKUP(D52,Clientes!$A$2:$J$486,9,FALSE)</f>
        <v>Ocacional</v>
      </c>
      <c r="AB52" s="13" t="str">
        <f>VLOOKUP(D52,Clientes!$A$2:$K$486,11,FALSE)</f>
        <v>Persona Natural</v>
      </c>
      <c r="AC52" s="13" t="str">
        <f>VLOOKUP(D52,Clientes!$A$2:$B$486,2,FALSE)</f>
        <v>Jardin del eden</v>
      </c>
      <c r="AD52" s="20"/>
      <c r="AE52" s="20"/>
      <c r="AF52" s="13" t="s">
        <v>40</v>
      </c>
      <c r="AG52" s="15">
        <f t="shared" si="6"/>
        <v>45536</v>
      </c>
      <c r="AH52" s="13" t="s">
        <v>41</v>
      </c>
      <c r="AI52" s="13" t="str">
        <f t="shared" si="7"/>
        <v>Detergentes</v>
      </c>
      <c r="AJ52" s="13" t="str">
        <f>VLOOKUP(E52,Precios!Z$2:AA$941,2,FALSE)</f>
        <v>Limpiapiso SPUM 5 Litros</v>
      </c>
      <c r="AK52" s="14">
        <f>VLOOKUP(E52,Precios!Z$2:BB$941,3,FALSE)*F52</f>
        <v>-1</v>
      </c>
      <c r="AL52" s="17"/>
      <c r="AM52" s="17"/>
      <c r="AN52" s="17"/>
      <c r="AO52" s="17"/>
      <c r="AP52" s="17"/>
      <c r="AQ52" s="17"/>
      <c r="AR52" s="17"/>
      <c r="AS52" s="17"/>
      <c r="AT52" s="17"/>
      <c r="AU52" s="17"/>
      <c r="AV52" s="17"/>
    </row>
    <row r="53" spans="1:48" ht="15.75" customHeight="1">
      <c r="A53" s="21" t="s">
        <v>76</v>
      </c>
      <c r="B53" s="23" t="s">
        <v>1692</v>
      </c>
      <c r="C53" s="22">
        <v>45915</v>
      </c>
      <c r="D53" s="23" t="s">
        <v>96</v>
      </c>
      <c r="E53" s="23" t="s">
        <v>101</v>
      </c>
      <c r="F53" s="14">
        <v>1</v>
      </c>
      <c r="G53" s="12">
        <f>VLOOKUP(E53,Precios!B$2:N$941,12,FALSE)</f>
        <v>1599.969512195122</v>
      </c>
      <c r="H53" s="12">
        <f t="shared" si="0"/>
        <v>1599.969512195122</v>
      </c>
      <c r="I53" s="23" t="s">
        <v>52</v>
      </c>
      <c r="J53" s="13" t="s">
        <v>38</v>
      </c>
      <c r="K53" s="24" t="s">
        <v>177</v>
      </c>
      <c r="L53" s="11"/>
      <c r="M53" s="12">
        <f t="shared" ref="M53:N53" si="58">G53/1.19</f>
        <v>1344.5121951219512</v>
      </c>
      <c r="N53" s="12">
        <f t="shared" si="58"/>
        <v>1344.5121951219512</v>
      </c>
      <c r="O53" s="12">
        <f t="shared" si="2"/>
        <v>255.45731707317077</v>
      </c>
      <c r="P53" s="13"/>
      <c r="Q53" s="14">
        <f t="shared" si="3"/>
        <v>2025</v>
      </c>
      <c r="R53" s="15">
        <f>VLOOKUP(MONTH(C53),'Datos Maestros'!M$2:N$14,2,FALSE)</f>
        <v>45536</v>
      </c>
      <c r="S53" s="11" t="str">
        <f>VLOOKUP(E53,Precios!B$2:W$941,3,FALSE)</f>
        <v>Detergente en Polvo</v>
      </c>
      <c r="T53" s="16">
        <f>VLOOKUP(E53,Precios!B$2:N$941,4,FALSE)*F53</f>
        <v>800</v>
      </c>
      <c r="U53" s="17"/>
      <c r="V53" s="12">
        <f>VLOOKUP(E53,Precios!B$2:N$941,13,FALSE)*F53</f>
        <v>462.51219512195121</v>
      </c>
      <c r="W53" s="12">
        <f t="shared" si="4"/>
        <v>462.51219512195121</v>
      </c>
      <c r="X53" s="12">
        <f>VLOOKUP(B53,'Datos Maestros'!$C$2:$D$7,2,FALSE)*V53</f>
        <v>0</v>
      </c>
      <c r="Y53" s="18">
        <f t="shared" si="5"/>
        <v>45915</v>
      </c>
      <c r="Z53" s="13" t="s">
        <v>39</v>
      </c>
      <c r="AA53" s="19" t="str">
        <f>VLOOKUP(D53,Clientes!$A$2:$J$486,9,FALSE)</f>
        <v>Ocacional</v>
      </c>
      <c r="AB53" s="13" t="str">
        <f>VLOOKUP(D53,Clientes!$A$2:$K$486,11,FALSE)</f>
        <v>Persona Natural</v>
      </c>
      <c r="AC53" s="13" t="str">
        <f>VLOOKUP(D53,Clientes!$A$2:$B$486,2,FALSE)</f>
        <v>Jardin del eden</v>
      </c>
      <c r="AD53" s="20"/>
      <c r="AE53" s="20"/>
      <c r="AF53" s="13" t="s">
        <v>40</v>
      </c>
      <c r="AG53" s="15">
        <f t="shared" si="6"/>
        <v>45536</v>
      </c>
      <c r="AH53" s="13" t="s">
        <v>41</v>
      </c>
      <c r="AI53" s="13" t="str">
        <f t="shared" si="7"/>
        <v>Detergentes</v>
      </c>
      <c r="AJ53" s="13" t="str">
        <f>VLOOKUP(E53,Precios!Z$2:AA$941,2,FALSE)</f>
        <v>Detergente BIO FRESCURA Desierto Florido (Naranjo)</v>
      </c>
      <c r="AK53" s="14">
        <f>VLOOKUP(E53,Precios!Z$2:BB$941,3,FALSE)*F53</f>
        <v>-1</v>
      </c>
      <c r="AL53" s="17"/>
      <c r="AM53" s="17"/>
      <c r="AN53" s="17"/>
      <c r="AO53" s="17"/>
      <c r="AP53" s="17"/>
      <c r="AQ53" s="17"/>
      <c r="AR53" s="17"/>
      <c r="AS53" s="17"/>
      <c r="AT53" s="17"/>
      <c r="AU53" s="17"/>
      <c r="AV53" s="17"/>
    </row>
    <row r="54" spans="1:48" ht="15.75" customHeight="1">
      <c r="A54" s="21" t="s">
        <v>76</v>
      </c>
      <c r="B54" s="23" t="s">
        <v>1692</v>
      </c>
      <c r="C54" s="22">
        <v>45915</v>
      </c>
      <c r="D54" s="23" t="s">
        <v>96</v>
      </c>
      <c r="E54" s="23" t="s">
        <v>102</v>
      </c>
      <c r="F54" s="21">
        <v>2</v>
      </c>
      <c r="G54" s="12">
        <f>VLOOKUP(E54,Precios!B$2:N$941,12,FALSE)</f>
        <v>1599.969512195122</v>
      </c>
      <c r="H54" s="12">
        <f t="shared" si="0"/>
        <v>3199.939024390244</v>
      </c>
      <c r="I54" s="23" t="s">
        <v>52</v>
      </c>
      <c r="J54" s="13" t="s">
        <v>38</v>
      </c>
      <c r="K54" s="24" t="s">
        <v>177</v>
      </c>
      <c r="L54" s="11"/>
      <c r="M54" s="12">
        <f t="shared" ref="M54:N54" si="59">G54/1.19</f>
        <v>1344.5121951219512</v>
      </c>
      <c r="N54" s="12">
        <f t="shared" si="59"/>
        <v>2689.0243902439024</v>
      </c>
      <c r="O54" s="12">
        <f t="shared" si="2"/>
        <v>510.91463414634154</v>
      </c>
      <c r="P54" s="13"/>
      <c r="Q54" s="14">
        <f t="shared" si="3"/>
        <v>2025</v>
      </c>
      <c r="R54" s="15">
        <f>VLOOKUP(MONTH(C54),'Datos Maestros'!M$2:N$14,2,FALSE)</f>
        <v>45536</v>
      </c>
      <c r="S54" s="11" t="str">
        <f>VLOOKUP(E54,Precios!B$2:W$941,3,FALSE)</f>
        <v>Detergente en Polvo</v>
      </c>
      <c r="T54" s="16">
        <f>VLOOKUP(E54,Precios!B$2:N$941,4,FALSE)*F54</f>
        <v>1600</v>
      </c>
      <c r="U54" s="17"/>
      <c r="V54" s="12">
        <f>VLOOKUP(E54,Precios!B$2:N$941,13,FALSE)*F54</f>
        <v>925.02439024390242</v>
      </c>
      <c r="W54" s="12">
        <f t="shared" si="4"/>
        <v>925.02439024390242</v>
      </c>
      <c r="X54" s="12">
        <f>VLOOKUP(B54,'Datos Maestros'!$C$2:$D$7,2,FALSE)*V54</f>
        <v>0</v>
      </c>
      <c r="Y54" s="18">
        <f t="shared" si="5"/>
        <v>45915</v>
      </c>
      <c r="Z54" s="13" t="s">
        <v>39</v>
      </c>
      <c r="AA54" s="19" t="str">
        <f>VLOOKUP(D54,Clientes!$A$2:$J$486,9,FALSE)</f>
        <v>Ocacional</v>
      </c>
      <c r="AB54" s="13" t="str">
        <f>VLOOKUP(D54,Clientes!$A$2:$K$486,11,FALSE)</f>
        <v>Persona Natural</v>
      </c>
      <c r="AC54" s="13" t="str">
        <f>VLOOKUP(D54,Clientes!$A$2:$B$486,2,FALSE)</f>
        <v>Jardin del eden</v>
      </c>
      <c r="AD54" s="20"/>
      <c r="AE54" s="20"/>
      <c r="AF54" s="13" t="s">
        <v>40</v>
      </c>
      <c r="AG54" s="15">
        <f t="shared" si="6"/>
        <v>45536</v>
      </c>
      <c r="AH54" s="13" t="s">
        <v>41</v>
      </c>
      <c r="AI54" s="13" t="str">
        <f t="shared" si="7"/>
        <v>Detergentes</v>
      </c>
      <c r="AJ54" s="13" t="str">
        <f>VLOOKUP(E54,Precios!Z$2:AA$941,2,FALSE)</f>
        <v>Detergente BIO FRESCURA Campos de Hielo (Azul)</v>
      </c>
      <c r="AK54" s="14">
        <f>VLOOKUP(E54,Precios!Z$2:BB$941,3,FALSE)*F54</f>
        <v>-2</v>
      </c>
      <c r="AL54" s="17"/>
      <c r="AM54" s="17"/>
      <c r="AN54" s="17"/>
      <c r="AO54" s="17"/>
      <c r="AP54" s="17"/>
      <c r="AQ54" s="17"/>
      <c r="AR54" s="17"/>
      <c r="AS54" s="17"/>
      <c r="AT54" s="17"/>
      <c r="AU54" s="17"/>
      <c r="AV54" s="17"/>
    </row>
    <row r="55" spans="1:48" ht="15.75" customHeight="1">
      <c r="A55" s="21" t="s">
        <v>53</v>
      </c>
      <c r="B55" s="23" t="s">
        <v>1692</v>
      </c>
      <c r="C55" s="22">
        <v>45915</v>
      </c>
      <c r="D55" s="23" t="s">
        <v>96</v>
      </c>
      <c r="E55" s="23" t="s">
        <v>69</v>
      </c>
      <c r="F55" s="14">
        <v>1</v>
      </c>
      <c r="G55" s="12">
        <f>VLOOKUP(E55,Precios!B$2:N$941,12,FALSE)</f>
        <v>2999.9553810458683</v>
      </c>
      <c r="H55" s="12">
        <f t="shared" si="0"/>
        <v>2999.9553810458683</v>
      </c>
      <c r="I55" s="23" t="s">
        <v>52</v>
      </c>
      <c r="J55" s="13" t="s">
        <v>38</v>
      </c>
      <c r="K55" s="24" t="s">
        <v>177</v>
      </c>
      <c r="L55" s="11"/>
      <c r="M55" s="12">
        <f t="shared" ref="M55:N55" si="60">G55/1.19</f>
        <v>2520.9709084419064</v>
      </c>
      <c r="N55" s="12">
        <f t="shared" si="60"/>
        <v>2520.9709084419064</v>
      </c>
      <c r="O55" s="12">
        <f t="shared" si="2"/>
        <v>478.98447260396188</v>
      </c>
      <c r="P55" s="13"/>
      <c r="Q55" s="14">
        <f t="shared" si="3"/>
        <v>2025</v>
      </c>
      <c r="R55" s="15">
        <f>VLOOKUP(MONTH(C55),'Datos Maestros'!M$2:N$14,2,FALSE)</f>
        <v>45536</v>
      </c>
      <c r="S55" s="11" t="str">
        <f>VLOOKUP(E55,Precios!B$2:W$941,3,FALSE)</f>
        <v>Toalla Nova 70 mts</v>
      </c>
      <c r="T55" s="16">
        <f>VLOOKUP(E55,Precios!B$2:N$941,4,FALSE)*F55</f>
        <v>0</v>
      </c>
      <c r="U55" s="17"/>
      <c r="V55" s="12">
        <f>VLOOKUP(E55,Precios!B$2:N$941,13,FALSE)*F55</f>
        <v>825.97090844190598</v>
      </c>
      <c r="W55" s="12">
        <f t="shared" si="4"/>
        <v>825.97090844190598</v>
      </c>
      <c r="X55" s="12">
        <f>VLOOKUP(B55,'Datos Maestros'!$C$2:$D$7,2,FALSE)*V55</f>
        <v>0</v>
      </c>
      <c r="Y55" s="18">
        <f t="shared" si="5"/>
        <v>45915</v>
      </c>
      <c r="Z55" s="13" t="s">
        <v>39</v>
      </c>
      <c r="AA55" s="19" t="str">
        <f>VLOOKUP(D55,Clientes!$A$2:$J$486,9,FALSE)</f>
        <v>Ocacional</v>
      </c>
      <c r="AB55" s="13" t="str">
        <f>VLOOKUP(D55,Clientes!$A$2:$K$486,11,FALSE)</f>
        <v>Persona Natural</v>
      </c>
      <c r="AC55" s="13" t="str">
        <f>VLOOKUP(D55,Clientes!$A$2:$B$486,2,FALSE)</f>
        <v>Jardin del eden</v>
      </c>
      <c r="AD55" s="20"/>
      <c r="AE55" s="20"/>
      <c r="AF55" s="13" t="s">
        <v>40</v>
      </c>
      <c r="AG55" s="15">
        <f t="shared" si="6"/>
        <v>45536</v>
      </c>
      <c r="AH55" s="13" t="s">
        <v>41</v>
      </c>
      <c r="AI55" s="13" t="str">
        <f t="shared" si="7"/>
        <v>Papeleria</v>
      </c>
      <c r="AJ55" s="13" t="str">
        <f>VLOOKUP(E55,Precios!Z$2:AA$941,2,FALSE)</f>
        <v>Toalla Papel NOVA 70 metros</v>
      </c>
      <c r="AK55" s="14">
        <f>VLOOKUP(E55,Precios!Z$2:BB$941,3,FALSE)*F55</f>
        <v>-1</v>
      </c>
      <c r="AL55" s="17"/>
      <c r="AM55" s="17"/>
      <c r="AN55" s="17"/>
      <c r="AO55" s="17"/>
      <c r="AP55" s="17"/>
      <c r="AQ55" s="17"/>
      <c r="AR55" s="17"/>
      <c r="AS55" s="17"/>
      <c r="AT55" s="17"/>
      <c r="AU55" s="17"/>
      <c r="AV55" s="17"/>
    </row>
    <row r="56" spans="1:48" ht="15.75" customHeight="1">
      <c r="A56" s="21" t="s">
        <v>47</v>
      </c>
      <c r="B56" s="23" t="s">
        <v>1692</v>
      </c>
      <c r="C56" s="22">
        <v>45915</v>
      </c>
      <c r="D56" s="23" t="s">
        <v>96</v>
      </c>
      <c r="E56" s="23" t="s">
        <v>72</v>
      </c>
      <c r="F56" s="21">
        <v>2</v>
      </c>
      <c r="G56" s="12">
        <f>VLOOKUP(E56,Precios!B$2:N$941,12,FALSE)</f>
        <v>2750</v>
      </c>
      <c r="H56" s="12">
        <f t="shared" si="0"/>
        <v>5500</v>
      </c>
      <c r="I56" s="23" t="s">
        <v>52</v>
      </c>
      <c r="J56" s="13" t="s">
        <v>38</v>
      </c>
      <c r="K56" s="24" t="s">
        <v>177</v>
      </c>
      <c r="L56" s="11"/>
      <c r="M56" s="12">
        <f t="shared" ref="M56:N56" si="61">G56/1.19</f>
        <v>2310.9243697478992</v>
      </c>
      <c r="N56" s="12">
        <f t="shared" si="61"/>
        <v>4621.8487394957983</v>
      </c>
      <c r="O56" s="12">
        <f t="shared" si="2"/>
        <v>878.15126050420167</v>
      </c>
      <c r="P56" s="13"/>
      <c r="Q56" s="14">
        <f t="shared" si="3"/>
        <v>2025</v>
      </c>
      <c r="R56" s="15">
        <f>VLOOKUP(MONTH(C56),'Datos Maestros'!M$2:N$14,2,FALSE)</f>
        <v>45536</v>
      </c>
      <c r="S56" s="11" t="str">
        <f>VLOOKUP(E56,Precios!B$2:W$941,3,FALSE)</f>
        <v>Trapero Húmedo</v>
      </c>
      <c r="T56" s="16">
        <f>VLOOKUP(E56,Precios!B$2:N$941,4,FALSE)*F56</f>
        <v>0</v>
      </c>
      <c r="U56" s="17"/>
      <c r="V56" s="12">
        <f>VLOOKUP(E56,Precios!B$2:N$941,13,FALSE)*F56</f>
        <v>1327.7310924369744</v>
      </c>
      <c r="W56" s="12">
        <f t="shared" si="4"/>
        <v>1327.7310924369744</v>
      </c>
      <c r="X56" s="12">
        <f>VLOOKUP(B56,'Datos Maestros'!$C$2:$D$7,2,FALSE)*V56</f>
        <v>0</v>
      </c>
      <c r="Y56" s="18">
        <f t="shared" si="5"/>
        <v>45915</v>
      </c>
      <c r="Z56" s="13" t="s">
        <v>39</v>
      </c>
      <c r="AA56" s="19" t="str">
        <f>VLOOKUP(D56,Clientes!$A$2:$J$486,9,FALSE)</f>
        <v>Ocacional</v>
      </c>
      <c r="AB56" s="13" t="str">
        <f>VLOOKUP(D56,Clientes!$A$2:$K$486,11,FALSE)</f>
        <v>Persona Natural</v>
      </c>
      <c r="AC56" s="13" t="str">
        <f>VLOOKUP(D56,Clientes!$A$2:$B$486,2,FALSE)</f>
        <v>Jardin del eden</v>
      </c>
      <c r="AD56" s="20"/>
      <c r="AE56" s="20"/>
      <c r="AF56" s="13" t="s">
        <v>40</v>
      </c>
      <c r="AG56" s="15">
        <f t="shared" si="6"/>
        <v>45536</v>
      </c>
      <c r="AH56" s="13" t="s">
        <v>41</v>
      </c>
      <c r="AI56" s="13" t="str">
        <f t="shared" si="7"/>
        <v>Articulos de Aseo</v>
      </c>
      <c r="AJ56" s="13" t="str">
        <f>VLOOKUP(E56,Precios!Z$2:AA$941,2,FALSE)</f>
        <v>Traperos Humedos VIRGINIA</v>
      </c>
      <c r="AK56" s="14">
        <f>VLOOKUP(E56,Precios!Z$2:BB$941,3,FALSE)*F56</f>
        <v>-2</v>
      </c>
      <c r="AL56" s="17"/>
      <c r="AM56" s="17"/>
      <c r="AN56" s="17"/>
      <c r="AO56" s="17"/>
      <c r="AP56" s="17"/>
      <c r="AQ56" s="17"/>
      <c r="AR56" s="17"/>
      <c r="AS56" s="17"/>
      <c r="AT56" s="17"/>
      <c r="AU56" s="17"/>
      <c r="AV56" s="17"/>
    </row>
    <row r="57" spans="1:48" ht="15.75" customHeight="1">
      <c r="A57" s="21" t="s">
        <v>43</v>
      </c>
      <c r="B57" s="23" t="s">
        <v>1692</v>
      </c>
      <c r="C57" s="22">
        <v>45915</v>
      </c>
      <c r="D57" s="23" t="s">
        <v>96</v>
      </c>
      <c r="E57" s="23" t="s">
        <v>45</v>
      </c>
      <c r="F57" s="21">
        <v>1</v>
      </c>
      <c r="G57" s="12">
        <f>VLOOKUP(E57,Precios!B$2:N$941,12,FALSE)</f>
        <v>8000.1831784723063</v>
      </c>
      <c r="H57" s="12">
        <f t="shared" si="0"/>
        <v>8000.1831784723063</v>
      </c>
      <c r="I57" s="23" t="s">
        <v>52</v>
      </c>
      <c r="J57" s="13" t="s">
        <v>38</v>
      </c>
      <c r="K57" s="24" t="s">
        <v>177</v>
      </c>
      <c r="L57" s="11"/>
      <c r="M57" s="12">
        <f t="shared" ref="M57:N57" si="62">G57/1.19</f>
        <v>6722.8430071195853</v>
      </c>
      <c r="N57" s="12">
        <f t="shared" si="62"/>
        <v>6722.8430071195853</v>
      </c>
      <c r="O57" s="12">
        <f t="shared" si="2"/>
        <v>1277.340171352721</v>
      </c>
      <c r="P57" s="13"/>
      <c r="Q57" s="14">
        <f t="shared" si="3"/>
        <v>2025</v>
      </c>
      <c r="R57" s="15">
        <f>VLOOKUP(MONTH(C57),'Datos Maestros'!M$2:N$14,2,FALSE)</f>
        <v>45536</v>
      </c>
      <c r="S57" s="11" t="str">
        <f>VLOOKUP(E57,Precios!B$2:W$941,3,FALSE)</f>
        <v>Huevos EXTRA</v>
      </c>
      <c r="T57" s="16">
        <f>VLOOKUP(E57,Precios!B$2:N$941,4,FALSE)*F57</f>
        <v>0</v>
      </c>
      <c r="U57" s="17"/>
      <c r="V57" s="12">
        <f>VLOOKUP(E57,Precios!B$2:N$941,13,FALSE)*F57</f>
        <v>1151.6230071195851</v>
      </c>
      <c r="W57" s="12">
        <f t="shared" si="4"/>
        <v>1151.6230071195851</v>
      </c>
      <c r="X57" s="12">
        <f>VLOOKUP(B57,'Datos Maestros'!$C$2:$D$7,2,FALSE)*V57</f>
        <v>0</v>
      </c>
      <c r="Y57" s="18">
        <f t="shared" si="5"/>
        <v>45915</v>
      </c>
      <c r="Z57" s="13" t="s">
        <v>39</v>
      </c>
      <c r="AA57" s="19" t="str">
        <f>VLOOKUP(D57,Clientes!$A$2:$J$486,9,FALSE)</f>
        <v>Ocacional</v>
      </c>
      <c r="AB57" s="13" t="str">
        <f>VLOOKUP(D57,Clientes!$A$2:$K$486,11,FALSE)</f>
        <v>Persona Natural</v>
      </c>
      <c r="AC57" s="13" t="str">
        <f>VLOOKUP(D57,Clientes!$A$2:$B$486,2,FALSE)</f>
        <v>Jardin del eden</v>
      </c>
      <c r="AD57" s="20"/>
      <c r="AE57" s="20"/>
      <c r="AF57" s="13" t="s">
        <v>40</v>
      </c>
      <c r="AG57" s="15">
        <f t="shared" si="6"/>
        <v>45536</v>
      </c>
      <c r="AH57" s="13" t="s">
        <v>41</v>
      </c>
      <c r="AI57" s="13" t="str">
        <f t="shared" si="7"/>
        <v>Huevos</v>
      </c>
      <c r="AJ57" s="13" t="str">
        <f>VLOOKUP(E57,Precios!Z$2:AA$941,2,FALSE)</f>
        <v>Bandeja Huevos EXTRA</v>
      </c>
      <c r="AK57" s="14">
        <f>VLOOKUP(E57,Precios!Z$2:BB$941,3,FALSE)*F57</f>
        <v>-1</v>
      </c>
      <c r="AL57" s="17"/>
      <c r="AM57" s="17"/>
      <c r="AN57" s="17"/>
      <c r="AO57" s="17"/>
      <c r="AP57" s="17"/>
      <c r="AQ57" s="17"/>
      <c r="AR57" s="17"/>
      <c r="AS57" s="17"/>
      <c r="AT57" s="17"/>
      <c r="AU57" s="17"/>
      <c r="AV57" s="17"/>
    </row>
    <row r="58" spans="1:48" ht="15.75" customHeight="1">
      <c r="A58" s="21" t="s">
        <v>64</v>
      </c>
      <c r="B58" s="23" t="s">
        <v>1692</v>
      </c>
      <c r="C58" s="22">
        <v>45915</v>
      </c>
      <c r="D58" s="23" t="s">
        <v>103</v>
      </c>
      <c r="E58" s="23" t="s">
        <v>65</v>
      </c>
      <c r="F58" s="21">
        <v>2</v>
      </c>
      <c r="G58" s="12">
        <f>VLOOKUP(E58,Precios!B$2:N$941,12,FALSE)</f>
        <v>8200.2358799633075</v>
      </c>
      <c r="H58" s="12">
        <f t="shared" si="0"/>
        <v>16400.471759926615</v>
      </c>
      <c r="I58" s="23" t="s">
        <v>52</v>
      </c>
      <c r="J58" s="23" t="s">
        <v>61</v>
      </c>
      <c r="K58" s="24" t="s">
        <v>177</v>
      </c>
      <c r="L58" s="11"/>
      <c r="M58" s="12">
        <f t="shared" ref="M58:N58" si="63">G58/1.19</f>
        <v>6890.9545209775697</v>
      </c>
      <c r="N58" s="12">
        <f t="shared" si="63"/>
        <v>13781.909041955139</v>
      </c>
      <c r="O58" s="12">
        <f t="shared" si="2"/>
        <v>2618.5627179714756</v>
      </c>
      <c r="P58" s="13"/>
      <c r="Q58" s="14">
        <f t="shared" si="3"/>
        <v>2025</v>
      </c>
      <c r="R58" s="15">
        <f>VLOOKUP(MONTH(C58),'Datos Maestros'!M$2:N$14,2,FALSE)</f>
        <v>45536</v>
      </c>
      <c r="S58" s="11" t="str">
        <f>VLOOKUP(E58,Precios!B$2:W$941,3,FALSE)</f>
        <v>Longanizas</v>
      </c>
      <c r="T58" s="16">
        <f>VLOOKUP(E58,Precios!B$2:N$941,4,FALSE)*F58</f>
        <v>2</v>
      </c>
      <c r="U58" s="17"/>
      <c r="V58" s="12">
        <f>VLOOKUP(E58,Precios!B$2:N$941,13,FALSE)*F58</f>
        <v>3264.9342520391729</v>
      </c>
      <c r="W58" s="12">
        <f t="shared" si="4"/>
        <v>3264.9342520391729</v>
      </c>
      <c r="X58" s="12">
        <f>VLOOKUP(B58,'Datos Maestros'!$C$2:$D$7,2,FALSE)*V58</f>
        <v>0</v>
      </c>
      <c r="Y58" s="18">
        <f t="shared" si="5"/>
        <v>45915</v>
      </c>
      <c r="Z58" s="13" t="s">
        <v>39</v>
      </c>
      <c r="AA58" s="19" t="str">
        <f>VLOOKUP(D58,Clientes!$A$2:$J$486,9,FALSE)</f>
        <v>Ocacional</v>
      </c>
      <c r="AB58" s="13" t="str">
        <f>VLOOKUP(D58,Clientes!$A$2:$K$486,11,FALSE)</f>
        <v>Persona Natural</v>
      </c>
      <c r="AC58" s="13" t="str">
        <f>VLOOKUP(D58,Clientes!$A$2:$B$486,2,FALSE)</f>
        <v>Geronimo Alderete</v>
      </c>
      <c r="AD58" s="20"/>
      <c r="AE58" s="20"/>
      <c r="AF58" s="13" t="s">
        <v>40</v>
      </c>
      <c r="AG58" s="15">
        <f t="shared" si="6"/>
        <v>45536</v>
      </c>
      <c r="AH58" s="13" t="s">
        <v>41</v>
      </c>
      <c r="AI58" s="13" t="str">
        <f t="shared" si="7"/>
        <v>Longanizas</v>
      </c>
      <c r="AJ58" s="13" t="str">
        <f>VLOOKUP(E58,Precios!Z$2:AA$941,2,FALSE)</f>
        <v>Longanizas VILLABLANCA</v>
      </c>
      <c r="AK58" s="14">
        <f>VLOOKUP(E58,Precios!Z$2:BB$941,3,FALSE)*F58</f>
        <v>-2</v>
      </c>
      <c r="AL58" s="17"/>
      <c r="AM58" s="17"/>
      <c r="AN58" s="17"/>
      <c r="AO58" s="17"/>
      <c r="AP58" s="17"/>
      <c r="AQ58" s="17"/>
      <c r="AR58" s="17"/>
      <c r="AS58" s="17"/>
      <c r="AT58" s="17"/>
      <c r="AU58" s="17"/>
      <c r="AV58" s="17"/>
    </row>
    <row r="59" spans="1:48" ht="15.75" customHeight="1">
      <c r="A59" s="21" t="s">
        <v>35</v>
      </c>
      <c r="B59" s="23" t="s">
        <v>1692</v>
      </c>
      <c r="C59" s="25">
        <v>45914</v>
      </c>
      <c r="D59" s="23" t="s">
        <v>104</v>
      </c>
      <c r="E59" s="23" t="s">
        <v>46</v>
      </c>
      <c r="F59" s="21">
        <v>1</v>
      </c>
      <c r="G59" s="12">
        <f>VLOOKUP(E59,Precios!B$2:N$941,12,FALSE)</f>
        <v>6000.1548227279782</v>
      </c>
      <c r="H59" s="12">
        <f t="shared" si="0"/>
        <v>6000.1548227279782</v>
      </c>
      <c r="I59" s="23" t="s">
        <v>52</v>
      </c>
      <c r="J59" s="23" t="s">
        <v>61</v>
      </c>
      <c r="K59" s="24" t="s">
        <v>177</v>
      </c>
      <c r="L59" s="11"/>
      <c r="M59" s="12">
        <f t="shared" ref="M59:N59" si="64">G59/1.19</f>
        <v>5042.1469098554444</v>
      </c>
      <c r="N59" s="12">
        <f t="shared" si="64"/>
        <v>5042.1469098554444</v>
      </c>
      <c r="O59" s="12">
        <f t="shared" si="2"/>
        <v>958.00791287253378</v>
      </c>
      <c r="P59" s="13"/>
      <c r="Q59" s="14">
        <f t="shared" si="3"/>
        <v>2025</v>
      </c>
      <c r="R59" s="15">
        <f>VLOOKUP(MONTH(C59),'Datos Maestros'!M$2:N$14,2,FALSE)</f>
        <v>45536</v>
      </c>
      <c r="S59" s="11" t="str">
        <f>VLOOKUP(E59,Precios!B$2:W$941,3,FALSE)</f>
        <v>Queso Mantecoso</v>
      </c>
      <c r="T59" s="16">
        <f>VLOOKUP(E59,Precios!B$2:N$941,4,FALSE)*F59</f>
        <v>500</v>
      </c>
      <c r="U59" s="17"/>
      <c r="V59" s="12">
        <f>VLOOKUP(E59,Precios!B$2:N$941,13,FALSE)*F59</f>
        <v>1785.4242207798129</v>
      </c>
      <c r="W59" s="12">
        <f t="shared" si="4"/>
        <v>1785.4242207798129</v>
      </c>
      <c r="X59" s="12">
        <f>VLOOKUP(B59,'Datos Maestros'!$C$2:$D$7,2,FALSE)*V59</f>
        <v>0</v>
      </c>
      <c r="Y59" s="18">
        <f t="shared" si="5"/>
        <v>45908</v>
      </c>
      <c r="Z59" s="13" t="s">
        <v>39</v>
      </c>
      <c r="AA59" s="19" t="str">
        <f>VLOOKUP(D59,Clientes!$A$2:$J$486,9,FALSE)</f>
        <v>Ocacional</v>
      </c>
      <c r="AB59" s="13" t="str">
        <f>VLOOKUP(D59,Clientes!$A$2:$K$486,11,FALSE)</f>
        <v>Persona Natural</v>
      </c>
      <c r="AC59" s="13" t="str">
        <f>VLOOKUP(D59,Clientes!$A$2:$B$486,2,FALSE)</f>
        <v>Jardines de la viña</v>
      </c>
      <c r="AD59" s="20"/>
      <c r="AE59" s="20"/>
      <c r="AF59" s="13" t="s">
        <v>40</v>
      </c>
      <c r="AG59" s="15">
        <f t="shared" si="6"/>
        <v>45536</v>
      </c>
      <c r="AH59" s="13" t="s">
        <v>41</v>
      </c>
      <c r="AI59" s="13" t="str">
        <f t="shared" si="7"/>
        <v>Quesos</v>
      </c>
      <c r="AJ59" s="13" t="str">
        <f>VLOOKUP(E59,Precios!Z$2:AA$941,2,FALSE)</f>
        <v>Queso RUNCA Mantecoso</v>
      </c>
      <c r="AK59" s="14">
        <f>VLOOKUP(E59,Precios!Z$2:BB$941,3,FALSE)*F59</f>
        <v>-0.5</v>
      </c>
      <c r="AL59" s="17"/>
      <c r="AM59" s="17"/>
      <c r="AN59" s="17"/>
      <c r="AO59" s="17"/>
      <c r="AP59" s="17"/>
      <c r="AQ59" s="17"/>
      <c r="AR59" s="17"/>
      <c r="AS59" s="17"/>
      <c r="AT59" s="17"/>
      <c r="AU59" s="17"/>
      <c r="AV59" s="17"/>
    </row>
    <row r="60" spans="1:48" ht="15.75" customHeight="1">
      <c r="A60" s="21" t="s">
        <v>47</v>
      </c>
      <c r="B60" s="23" t="s">
        <v>1692</v>
      </c>
      <c r="C60" s="25">
        <v>45914</v>
      </c>
      <c r="D60" s="23" t="s">
        <v>104</v>
      </c>
      <c r="E60" s="23" t="s">
        <v>48</v>
      </c>
      <c r="F60" s="21">
        <v>1</v>
      </c>
      <c r="G60" s="12">
        <f>VLOOKUP(E60,Precios!B$2:N$941,12,FALSE)</f>
        <v>1000</v>
      </c>
      <c r="H60" s="12">
        <f t="shared" si="0"/>
        <v>1000</v>
      </c>
      <c r="I60" s="23" t="s">
        <v>52</v>
      </c>
      <c r="J60" s="23" t="s">
        <v>61</v>
      </c>
      <c r="K60" s="24" t="s">
        <v>177</v>
      </c>
      <c r="L60" s="11"/>
      <c r="M60" s="12">
        <f t="shared" ref="M60:N60" si="65">G60/1.19</f>
        <v>840.3361344537816</v>
      </c>
      <c r="N60" s="12">
        <f t="shared" si="65"/>
        <v>840.3361344537816</v>
      </c>
      <c r="O60" s="12">
        <f t="shared" si="2"/>
        <v>159.6638655462184</v>
      </c>
      <c r="P60" s="13"/>
      <c r="Q60" s="14">
        <f t="shared" si="3"/>
        <v>2025</v>
      </c>
      <c r="R60" s="15">
        <f>VLOOKUP(MONTH(C60),'Datos Maestros'!M$2:N$14,2,FALSE)</f>
        <v>45536</v>
      </c>
      <c r="S60" s="11" t="str">
        <f>VLOOKUP(E60,Precios!B$2:W$941,3,FALSE)</f>
        <v>Esponjas</v>
      </c>
      <c r="T60" s="16">
        <f>VLOOKUP(E60,Precios!B$2:N$941,4,FALSE)*F60</f>
        <v>0</v>
      </c>
      <c r="U60" s="17"/>
      <c r="V60" s="12">
        <f>VLOOKUP(E60,Precios!B$2:N$941,13,FALSE)*F60</f>
        <v>330.33613445378148</v>
      </c>
      <c r="W60" s="12">
        <f t="shared" si="4"/>
        <v>330.33613445378148</v>
      </c>
      <c r="X60" s="12">
        <f>VLOOKUP(B60,'Datos Maestros'!$C$2:$D$7,2,FALSE)*V60</f>
        <v>0</v>
      </c>
      <c r="Y60" s="18">
        <f t="shared" si="5"/>
        <v>45908</v>
      </c>
      <c r="Z60" s="13" t="s">
        <v>39</v>
      </c>
      <c r="AA60" s="19" t="str">
        <f>VLOOKUP(D60,Clientes!$A$2:$J$486,9,FALSE)</f>
        <v>Ocacional</v>
      </c>
      <c r="AB60" s="13" t="str">
        <f>VLOOKUP(D60,Clientes!$A$2:$K$486,11,FALSE)</f>
        <v>Persona Natural</v>
      </c>
      <c r="AC60" s="13" t="str">
        <f>VLOOKUP(D60,Clientes!$A$2:$B$486,2,FALSE)</f>
        <v>Jardines de la viña</v>
      </c>
      <c r="AD60" s="20"/>
      <c r="AE60" s="20"/>
      <c r="AF60" s="13" t="s">
        <v>40</v>
      </c>
      <c r="AG60" s="15">
        <f t="shared" si="6"/>
        <v>45536</v>
      </c>
      <c r="AH60" s="13" t="s">
        <v>41</v>
      </c>
      <c r="AI60" s="13" t="str">
        <f t="shared" si="7"/>
        <v>Articulos de Aseo</v>
      </c>
      <c r="AJ60" s="13" t="str">
        <f>VLOOKUP(E60,Precios!Z$2:AA$941,2,FALSE)</f>
        <v>Esponja Acanalada TEDDY</v>
      </c>
      <c r="AK60" s="14">
        <f>VLOOKUP(E60,Precios!Z$2:BB$941,3,FALSE)*F60</f>
        <v>-5</v>
      </c>
      <c r="AL60" s="17"/>
      <c r="AM60" s="17"/>
      <c r="AN60" s="17"/>
      <c r="AO60" s="17"/>
      <c r="AP60" s="17"/>
      <c r="AQ60" s="17"/>
      <c r="AR60" s="17"/>
      <c r="AS60" s="17"/>
      <c r="AT60" s="17"/>
      <c r="AU60" s="17"/>
      <c r="AV60" s="17"/>
    </row>
    <row r="61" spans="1:48" ht="15.75" customHeight="1">
      <c r="A61" s="21" t="s">
        <v>47</v>
      </c>
      <c r="B61" s="23" t="s">
        <v>1692</v>
      </c>
      <c r="C61" s="25">
        <v>45914</v>
      </c>
      <c r="D61" s="23" t="s">
        <v>104</v>
      </c>
      <c r="E61" s="23" t="s">
        <v>105</v>
      </c>
      <c r="F61" s="21">
        <v>1</v>
      </c>
      <c r="G61" s="12">
        <f>VLOOKUP(E61,Precios!B$2:N$941,12,FALSE)</f>
        <v>1100.0000000000002</v>
      </c>
      <c r="H61" s="12">
        <f t="shared" si="0"/>
        <v>1100.0000000000002</v>
      </c>
      <c r="I61" s="23" t="s">
        <v>52</v>
      </c>
      <c r="J61" s="23" t="s">
        <v>61</v>
      </c>
      <c r="K61" s="24" t="s">
        <v>177</v>
      </c>
      <c r="L61" s="11"/>
      <c r="M61" s="12">
        <f t="shared" ref="M61:N61" si="66">G61/1.19</f>
        <v>924.36974789915985</v>
      </c>
      <c r="N61" s="12">
        <f t="shared" si="66"/>
        <v>924.36974789915985</v>
      </c>
      <c r="O61" s="12">
        <f t="shared" si="2"/>
        <v>175.63025210084038</v>
      </c>
      <c r="P61" s="13"/>
      <c r="Q61" s="14">
        <f t="shared" si="3"/>
        <v>2025</v>
      </c>
      <c r="R61" s="15">
        <f>VLOOKUP(MONTH(C61),'Datos Maestros'!M$2:N$14,2,FALSE)</f>
        <v>45536</v>
      </c>
      <c r="S61" s="11" t="str">
        <f>VLOOKUP(E61,Precios!B$2:W$941,3,FALSE)</f>
        <v>Paños esponja Teddy (3)</v>
      </c>
      <c r="T61" s="16">
        <f>VLOOKUP(E61,Precios!B$2:N$941,4,FALSE)*F61</f>
        <v>0</v>
      </c>
      <c r="U61" s="17"/>
      <c r="V61" s="12">
        <f>VLOOKUP(E61,Precios!B$2:N$941,13,FALSE)*F61</f>
        <v>342.857142857143</v>
      </c>
      <c r="W61" s="12">
        <f t="shared" si="4"/>
        <v>342.857142857143</v>
      </c>
      <c r="X61" s="12">
        <f>VLOOKUP(B61,'Datos Maestros'!$C$2:$D$7,2,FALSE)*V61</f>
        <v>0</v>
      </c>
      <c r="Y61" s="18">
        <f t="shared" si="5"/>
        <v>45908</v>
      </c>
      <c r="Z61" s="13" t="s">
        <v>39</v>
      </c>
      <c r="AA61" s="19" t="str">
        <f>VLOOKUP(D61,Clientes!$A$2:$J$486,9,FALSE)</f>
        <v>Ocacional</v>
      </c>
      <c r="AB61" s="13" t="str">
        <f>VLOOKUP(D61,Clientes!$A$2:$K$486,11,FALSE)</f>
        <v>Persona Natural</v>
      </c>
      <c r="AC61" s="13" t="str">
        <f>VLOOKUP(D61,Clientes!$A$2:$B$486,2,FALSE)</f>
        <v>Jardines de la viña</v>
      </c>
      <c r="AD61" s="20"/>
      <c r="AE61" s="20"/>
      <c r="AF61" s="13" t="s">
        <v>40</v>
      </c>
      <c r="AG61" s="15">
        <f t="shared" si="6"/>
        <v>45536</v>
      </c>
      <c r="AH61" s="13" t="s">
        <v>41</v>
      </c>
      <c r="AI61" s="13" t="str">
        <f t="shared" si="7"/>
        <v>Articulos de Aseo</v>
      </c>
      <c r="AJ61" s="13" t="str">
        <f>VLOOKUP(E61,Precios!Z$2:AA$941,2,FALSE)</f>
        <v>Paños Esponja TEDDY</v>
      </c>
      <c r="AK61" s="14">
        <f>VLOOKUP(E61,Precios!Z$2:BB$941,3,FALSE)*F61</f>
        <v>-1</v>
      </c>
      <c r="AL61" s="17"/>
      <c r="AM61" s="17"/>
      <c r="AN61" s="17"/>
      <c r="AO61" s="17"/>
      <c r="AP61" s="17"/>
      <c r="AQ61" s="17"/>
      <c r="AR61" s="17"/>
      <c r="AS61" s="17"/>
      <c r="AT61" s="17"/>
      <c r="AU61" s="17"/>
      <c r="AV61" s="17"/>
    </row>
    <row r="62" spans="1:48" ht="15.75" customHeight="1">
      <c r="A62" s="14" t="s">
        <v>53</v>
      </c>
      <c r="B62" s="23" t="s">
        <v>1692</v>
      </c>
      <c r="C62" s="25">
        <v>45914</v>
      </c>
      <c r="D62" s="23" t="s">
        <v>106</v>
      </c>
      <c r="E62" s="23" t="s">
        <v>97</v>
      </c>
      <c r="F62" s="14">
        <v>1</v>
      </c>
      <c r="G62" s="12">
        <f>VLOOKUP(E62,Precios!B$2:N$941,12,FALSE)</f>
        <v>16500.236769693482</v>
      </c>
      <c r="H62" s="12">
        <f t="shared" si="0"/>
        <v>16500.236769693482</v>
      </c>
      <c r="I62" s="13" t="s">
        <v>52</v>
      </c>
      <c r="J62" s="23" t="s">
        <v>61</v>
      </c>
      <c r="K62" s="24" t="s">
        <v>177</v>
      </c>
      <c r="L62" s="11"/>
      <c r="M62" s="12">
        <f t="shared" ref="M62:N62" si="67">G62/1.19</f>
        <v>13865.745184616371</v>
      </c>
      <c r="N62" s="12">
        <f t="shared" si="67"/>
        <v>13865.745184616371</v>
      </c>
      <c r="O62" s="12">
        <f t="shared" si="2"/>
        <v>2634.4915850771104</v>
      </c>
      <c r="P62" s="13"/>
      <c r="Q62" s="14">
        <f t="shared" si="3"/>
        <v>2025</v>
      </c>
      <c r="R62" s="15">
        <f>VLOOKUP(MONTH(C62),'Datos Maestros'!M$2:N$14,2,FALSE)</f>
        <v>45536</v>
      </c>
      <c r="S62" s="11" t="str">
        <f>VLOOKUP(E62,Precios!B$2:W$941,3,FALSE)</f>
        <v>Papel Higiénico ELITE</v>
      </c>
      <c r="T62" s="16">
        <f>VLOOKUP(E62,Precios!B$2:N$941,4,FALSE)*F62</f>
        <v>0</v>
      </c>
      <c r="U62" s="17"/>
      <c r="V62" s="12">
        <f>VLOOKUP(E62,Precios!B$2:N$941,13,FALSE)*F62</f>
        <v>3031.7451846163694</v>
      </c>
      <c r="W62" s="12">
        <f t="shared" si="4"/>
        <v>3031.7451846163694</v>
      </c>
      <c r="X62" s="12">
        <f>VLOOKUP(B62,'Datos Maestros'!$C$2:$D$7,2,FALSE)*V62</f>
        <v>0</v>
      </c>
      <c r="Y62" s="18">
        <f t="shared" si="5"/>
        <v>45908</v>
      </c>
      <c r="Z62" s="13" t="s">
        <v>39</v>
      </c>
      <c r="AA62" s="19" t="str">
        <f>VLOOKUP(D62,Clientes!$A$2:$J$486,9,FALSE)</f>
        <v>Frecuente</v>
      </c>
      <c r="AB62" s="13" t="str">
        <f>VLOOKUP(D62,Clientes!$A$2:$K$486,11,FALSE)</f>
        <v>Persona Natural</v>
      </c>
      <c r="AC62" s="13" t="str">
        <f>VLOOKUP(D62,Clientes!$A$2:$B$486,2,FALSE)</f>
        <v>Jardines de la viña</v>
      </c>
      <c r="AD62" s="20"/>
      <c r="AE62" s="20"/>
      <c r="AF62" s="13" t="s">
        <v>40</v>
      </c>
      <c r="AG62" s="15">
        <f t="shared" si="6"/>
        <v>45536</v>
      </c>
      <c r="AH62" s="13" t="s">
        <v>41</v>
      </c>
      <c r="AI62" s="13" t="str">
        <f t="shared" si="7"/>
        <v>Papeleria</v>
      </c>
      <c r="AJ62" s="13" t="str">
        <f>VLOOKUP(E62,Precios!Z$2:AA$941,2,FALSE)</f>
        <v>Papel Higienico ELITE 50 metros</v>
      </c>
      <c r="AK62" s="14">
        <f>VLOOKUP(E62,Precios!Z$2:BB$941,3,FALSE)*F62</f>
        <v>-6</v>
      </c>
      <c r="AL62" s="17"/>
      <c r="AM62" s="17"/>
      <c r="AN62" s="17"/>
      <c r="AO62" s="17"/>
      <c r="AP62" s="17"/>
      <c r="AQ62" s="17"/>
      <c r="AR62" s="17"/>
      <c r="AS62" s="17"/>
      <c r="AT62" s="17"/>
      <c r="AU62" s="17"/>
      <c r="AV62" s="17"/>
    </row>
    <row r="63" spans="1:48" ht="15.75" customHeight="1">
      <c r="A63" s="14" t="s">
        <v>53</v>
      </c>
      <c r="B63" s="23" t="s">
        <v>1692</v>
      </c>
      <c r="C63" s="25">
        <v>45914</v>
      </c>
      <c r="D63" s="23" t="s">
        <v>106</v>
      </c>
      <c r="E63" s="23" t="s">
        <v>69</v>
      </c>
      <c r="F63" s="21">
        <v>2</v>
      </c>
      <c r="G63" s="12">
        <f>VLOOKUP(E63,Precios!B$2:N$941,12,FALSE)</f>
        <v>2999.9553810458683</v>
      </c>
      <c r="H63" s="12">
        <f t="shared" si="0"/>
        <v>5999.9107620917366</v>
      </c>
      <c r="I63" s="13" t="s">
        <v>52</v>
      </c>
      <c r="J63" s="23" t="s">
        <v>61</v>
      </c>
      <c r="K63" s="24" t="s">
        <v>177</v>
      </c>
      <c r="L63" s="11"/>
      <c r="M63" s="12">
        <f t="shared" ref="M63:N63" si="68">G63/1.19</f>
        <v>2520.9709084419064</v>
      </c>
      <c r="N63" s="12">
        <f t="shared" si="68"/>
        <v>5041.9418168838129</v>
      </c>
      <c r="O63" s="12">
        <f t="shared" si="2"/>
        <v>957.96894520792375</v>
      </c>
      <c r="P63" s="13"/>
      <c r="Q63" s="14">
        <f t="shared" si="3"/>
        <v>2025</v>
      </c>
      <c r="R63" s="15">
        <f>VLOOKUP(MONTH(C63),'Datos Maestros'!M$2:N$14,2,FALSE)</f>
        <v>45536</v>
      </c>
      <c r="S63" s="11" t="str">
        <f>VLOOKUP(E63,Precios!B$2:W$941,3,FALSE)</f>
        <v>Toalla Nova 70 mts</v>
      </c>
      <c r="T63" s="16">
        <f>VLOOKUP(E63,Precios!B$2:N$941,4,FALSE)*F63</f>
        <v>0</v>
      </c>
      <c r="U63" s="17"/>
      <c r="V63" s="12">
        <f>VLOOKUP(E63,Precios!B$2:N$941,13,FALSE)*F63</f>
        <v>1651.941816883812</v>
      </c>
      <c r="W63" s="12">
        <f t="shared" si="4"/>
        <v>1651.941816883812</v>
      </c>
      <c r="X63" s="12">
        <f>VLOOKUP(B63,'Datos Maestros'!$C$2:$D$7,2,FALSE)*V63</f>
        <v>0</v>
      </c>
      <c r="Y63" s="18">
        <f t="shared" si="5"/>
        <v>45908</v>
      </c>
      <c r="Z63" s="13" t="s">
        <v>39</v>
      </c>
      <c r="AA63" s="19" t="str">
        <f>VLOOKUP(D63,Clientes!$A$2:$J$486,9,FALSE)</f>
        <v>Frecuente</v>
      </c>
      <c r="AB63" s="13" t="str">
        <f>VLOOKUP(D63,Clientes!$A$2:$K$486,11,FALSE)</f>
        <v>Persona Natural</v>
      </c>
      <c r="AC63" s="13" t="str">
        <f>VLOOKUP(D63,Clientes!$A$2:$B$486,2,FALSE)</f>
        <v>Jardines de la viña</v>
      </c>
      <c r="AD63" s="20"/>
      <c r="AE63" s="20"/>
      <c r="AF63" s="13" t="s">
        <v>40</v>
      </c>
      <c r="AG63" s="15">
        <f t="shared" si="6"/>
        <v>45536</v>
      </c>
      <c r="AH63" s="13" t="s">
        <v>41</v>
      </c>
      <c r="AI63" s="13" t="str">
        <f t="shared" si="7"/>
        <v>Papeleria</v>
      </c>
      <c r="AJ63" s="13" t="str">
        <f>VLOOKUP(E63,Precios!Z$2:AA$941,2,FALSE)</f>
        <v>Toalla Papel NOVA 70 metros</v>
      </c>
      <c r="AK63" s="14">
        <f>VLOOKUP(E63,Precios!Z$2:BB$941,3,FALSE)*F63</f>
        <v>-2</v>
      </c>
      <c r="AL63" s="17"/>
      <c r="AM63" s="17"/>
      <c r="AN63" s="17"/>
      <c r="AO63" s="17"/>
      <c r="AP63" s="17"/>
      <c r="AQ63" s="17"/>
      <c r="AR63" s="17"/>
      <c r="AS63" s="17"/>
      <c r="AT63" s="17"/>
      <c r="AU63" s="17"/>
      <c r="AV63" s="17"/>
    </row>
    <row r="64" spans="1:48" ht="15.75" customHeight="1">
      <c r="A64" s="21" t="s">
        <v>47</v>
      </c>
      <c r="B64" s="23" t="s">
        <v>1692</v>
      </c>
      <c r="C64" s="25">
        <v>45914</v>
      </c>
      <c r="D64" s="23" t="s">
        <v>106</v>
      </c>
      <c r="E64" s="23" t="s">
        <v>107</v>
      </c>
      <c r="F64" s="21">
        <v>1</v>
      </c>
      <c r="G64" s="12">
        <f>VLOOKUP(E64,Precios!B$2:N$941,12,FALSE)</f>
        <v>3000.0000000000005</v>
      </c>
      <c r="H64" s="12">
        <f t="shared" si="0"/>
        <v>3000.0000000000005</v>
      </c>
      <c r="I64" s="13" t="s">
        <v>52</v>
      </c>
      <c r="J64" s="23" t="s">
        <v>61</v>
      </c>
      <c r="K64" s="24" t="s">
        <v>177</v>
      </c>
      <c r="L64" s="11"/>
      <c r="M64" s="12">
        <f t="shared" ref="M64:N64" si="69">G64/1.19</f>
        <v>2521.0084033613452</v>
      </c>
      <c r="N64" s="12">
        <f t="shared" si="69"/>
        <v>2521.0084033613452</v>
      </c>
      <c r="O64" s="12">
        <f t="shared" si="2"/>
        <v>478.99159663865521</v>
      </c>
      <c r="P64" s="13"/>
      <c r="Q64" s="14">
        <f t="shared" si="3"/>
        <v>2025</v>
      </c>
      <c r="R64" s="15">
        <f>VLOOKUP(MONTH(C64),'Datos Maestros'!M$2:N$14,2,FALSE)</f>
        <v>45536</v>
      </c>
      <c r="S64" s="11" t="str">
        <f>VLOOKUP(E64,Precios!B$2:W$941,3,FALSE)</f>
        <v>Bolsa Basura</v>
      </c>
      <c r="T64" s="16">
        <f>VLOOKUP(E64,Precios!B$2:N$941,4,FALSE)*F64</f>
        <v>0</v>
      </c>
      <c r="U64" s="17"/>
      <c r="V64" s="12">
        <f>VLOOKUP(E64,Precios!B$2:N$941,13,FALSE)*F64</f>
        <v>758.82352941176487</v>
      </c>
      <c r="W64" s="12">
        <f t="shared" si="4"/>
        <v>758.82352941176487</v>
      </c>
      <c r="X64" s="12">
        <f>VLOOKUP(B64,'Datos Maestros'!$C$2:$D$7,2,FALSE)*V64</f>
        <v>0</v>
      </c>
      <c r="Y64" s="18">
        <f t="shared" si="5"/>
        <v>45908</v>
      </c>
      <c r="Z64" s="13" t="s">
        <v>39</v>
      </c>
      <c r="AA64" s="19" t="str">
        <f>VLOOKUP(D64,Clientes!$A$2:$J$486,9,FALSE)</f>
        <v>Frecuente</v>
      </c>
      <c r="AB64" s="13" t="str">
        <f>VLOOKUP(D64,Clientes!$A$2:$K$486,11,FALSE)</f>
        <v>Persona Natural</v>
      </c>
      <c r="AC64" s="13" t="str">
        <f>VLOOKUP(D64,Clientes!$A$2:$B$486,2,FALSE)</f>
        <v>Jardines de la viña</v>
      </c>
      <c r="AD64" s="20"/>
      <c r="AE64" s="20"/>
      <c r="AF64" s="13" t="s">
        <v>40</v>
      </c>
      <c r="AG64" s="15">
        <f t="shared" si="6"/>
        <v>45536</v>
      </c>
      <c r="AH64" s="13" t="s">
        <v>41</v>
      </c>
      <c r="AI64" s="13" t="str">
        <f t="shared" si="7"/>
        <v>Articulos de Aseo</v>
      </c>
      <c r="AJ64" s="13" t="str">
        <f>VLOOKUP(E64,Precios!Z$2:AA$941,2,FALSE)</f>
        <v xml:space="preserve">Bolsas Basura TEDDY 90x120 </v>
      </c>
      <c r="AK64" s="14">
        <f>VLOOKUP(E64,Precios!Z$2:BB$941,3,FALSE)*F64</f>
        <v>-1</v>
      </c>
      <c r="AL64" s="17"/>
      <c r="AM64" s="17"/>
      <c r="AN64" s="17"/>
      <c r="AO64" s="17"/>
      <c r="AP64" s="17"/>
      <c r="AQ64" s="17"/>
      <c r="AR64" s="17"/>
      <c r="AS64" s="17"/>
      <c r="AT64" s="17"/>
      <c r="AU64" s="17"/>
      <c r="AV64" s="17"/>
    </row>
    <row r="65" spans="1:48" ht="15.75" customHeight="1">
      <c r="A65" s="21" t="s">
        <v>53</v>
      </c>
      <c r="B65" s="23" t="s">
        <v>1692</v>
      </c>
      <c r="C65" s="22">
        <v>45914</v>
      </c>
      <c r="D65" s="23" t="s">
        <v>108</v>
      </c>
      <c r="E65" s="23" t="s">
        <v>109</v>
      </c>
      <c r="F65" s="21">
        <v>1</v>
      </c>
      <c r="G65" s="12">
        <f>VLOOKUP(E65,Precios!B$2:N$941,12,FALSE)</f>
        <v>10000</v>
      </c>
      <c r="H65" s="12">
        <f t="shared" si="0"/>
        <v>10000</v>
      </c>
      <c r="I65" s="23" t="s">
        <v>52</v>
      </c>
      <c r="J65" s="23" t="s">
        <v>38</v>
      </c>
      <c r="K65" s="24" t="s">
        <v>177</v>
      </c>
      <c r="L65" s="11"/>
      <c r="M65" s="12">
        <f t="shared" ref="M65:N65" si="70">G65/1.19</f>
        <v>8403.361344537816</v>
      </c>
      <c r="N65" s="12">
        <f t="shared" si="70"/>
        <v>8403.361344537816</v>
      </c>
      <c r="O65" s="12">
        <f t="shared" si="2"/>
        <v>1596.638655462184</v>
      </c>
      <c r="P65" s="13"/>
      <c r="Q65" s="14">
        <f t="shared" si="3"/>
        <v>2025</v>
      </c>
      <c r="R65" s="15">
        <f>VLOOKUP(MONTH(C65),'Datos Maestros'!M$2:N$14,2,FALSE)</f>
        <v>45536</v>
      </c>
      <c r="S65" s="11" t="str">
        <f>VLOOKUP(E65,Precios!B$2:W$941,3,FALSE)</f>
        <v>Toalla Jumbo D/H</v>
      </c>
      <c r="T65" s="16">
        <f>VLOOKUP(E65,Precios!B$2:N$941,4,FALSE)*F65</f>
        <v>400</v>
      </c>
      <c r="U65" s="17"/>
      <c r="V65" s="12">
        <f>VLOOKUP(E65,Precios!B$2:N$941,13,FALSE)*F65</f>
        <v>2100.8403361344544</v>
      </c>
      <c r="W65" s="12">
        <f t="shared" si="4"/>
        <v>2100.8403361344544</v>
      </c>
      <c r="X65" s="12">
        <f>VLOOKUP(B65,'Datos Maestros'!$C$2:$D$7,2,FALSE)*V65</f>
        <v>0</v>
      </c>
      <c r="Y65" s="18">
        <f t="shared" si="5"/>
        <v>45908</v>
      </c>
      <c r="Z65" s="13" t="s">
        <v>39</v>
      </c>
      <c r="AA65" s="19" t="str">
        <f>VLOOKUP(D65,Clientes!$A$2:$J$486,9,FALSE)</f>
        <v>Frecuente</v>
      </c>
      <c r="AB65" s="13" t="str">
        <f>VLOOKUP(D65,Clientes!$A$2:$K$486,11,FALSE)</f>
        <v>Persona Natural</v>
      </c>
      <c r="AC65" s="13" t="str">
        <f>VLOOKUP(D65,Clientes!$A$2:$B$486,2,FALSE)</f>
        <v>Jardines de la Viña</v>
      </c>
      <c r="AD65" s="20"/>
      <c r="AE65" s="20"/>
      <c r="AF65" s="13" t="s">
        <v>40</v>
      </c>
      <c r="AG65" s="15">
        <f t="shared" si="6"/>
        <v>45536</v>
      </c>
      <c r="AH65" s="13" t="s">
        <v>41</v>
      </c>
      <c r="AI65" s="13" t="str">
        <f t="shared" si="7"/>
        <v>Papeleria</v>
      </c>
      <c r="AJ65" s="13" t="str">
        <f>VLOOKUP(E65,Precios!Z$2:AA$941,2,FALSE)</f>
        <v>Toalla Papel SPUM D/H 100 metros</v>
      </c>
      <c r="AK65" s="14">
        <f>VLOOKUP(E65,Precios!Z$2:BB$941,3,FALSE)*F65</f>
        <v>-4</v>
      </c>
      <c r="AL65" s="17"/>
      <c r="AM65" s="17"/>
      <c r="AN65" s="17"/>
      <c r="AO65" s="17"/>
      <c r="AP65" s="17"/>
      <c r="AQ65" s="17"/>
      <c r="AR65" s="17"/>
      <c r="AS65" s="17"/>
      <c r="AT65" s="17"/>
      <c r="AU65" s="17"/>
      <c r="AV65" s="17"/>
    </row>
    <row r="66" spans="1:48" ht="15.75" customHeight="1">
      <c r="A66" s="21" t="s">
        <v>43</v>
      </c>
      <c r="B66" s="23" t="s">
        <v>1692</v>
      </c>
      <c r="C66" s="22">
        <v>45914</v>
      </c>
      <c r="D66" s="23" t="s">
        <v>108</v>
      </c>
      <c r="E66" s="23" t="s">
        <v>45</v>
      </c>
      <c r="F66" s="21">
        <v>1</v>
      </c>
      <c r="G66" s="12">
        <f>VLOOKUP(E66,Precios!B$2:N$941,12,FALSE)</f>
        <v>8000.1831784723063</v>
      </c>
      <c r="H66" s="12">
        <f t="shared" si="0"/>
        <v>8000.1831784723063</v>
      </c>
      <c r="I66" s="23" t="s">
        <v>52</v>
      </c>
      <c r="J66" s="23" t="s">
        <v>38</v>
      </c>
      <c r="K66" s="24" t="s">
        <v>177</v>
      </c>
      <c r="L66" s="11"/>
      <c r="M66" s="12">
        <f t="shared" ref="M66:N66" si="71">G66/1.19</f>
        <v>6722.8430071195853</v>
      </c>
      <c r="N66" s="12">
        <f t="shared" si="71"/>
        <v>6722.8430071195853</v>
      </c>
      <c r="O66" s="12">
        <f t="shared" si="2"/>
        <v>1277.340171352721</v>
      </c>
      <c r="P66" s="13"/>
      <c r="Q66" s="14">
        <f t="shared" si="3"/>
        <v>2025</v>
      </c>
      <c r="R66" s="15">
        <f>VLOOKUP(MONTH(C66),'Datos Maestros'!M$2:N$14,2,FALSE)</f>
        <v>45536</v>
      </c>
      <c r="S66" s="11" t="str">
        <f>VLOOKUP(E66,Precios!B$2:W$941,3,FALSE)</f>
        <v>Huevos EXTRA</v>
      </c>
      <c r="T66" s="16">
        <f>VLOOKUP(E66,Precios!B$2:N$941,4,FALSE)*F66</f>
        <v>0</v>
      </c>
      <c r="U66" s="17"/>
      <c r="V66" s="12">
        <f>VLOOKUP(E66,Precios!B$2:N$941,13,FALSE)*F66</f>
        <v>1151.6230071195851</v>
      </c>
      <c r="W66" s="12">
        <f t="shared" si="4"/>
        <v>1151.6230071195851</v>
      </c>
      <c r="X66" s="12">
        <f>VLOOKUP(B66,'Datos Maestros'!$C$2:$D$7,2,FALSE)*V66</f>
        <v>0</v>
      </c>
      <c r="Y66" s="18">
        <f t="shared" si="5"/>
        <v>45908</v>
      </c>
      <c r="Z66" s="13" t="s">
        <v>39</v>
      </c>
      <c r="AA66" s="19" t="str">
        <f>VLOOKUP(D66,Clientes!$A$2:$J$486,9,FALSE)</f>
        <v>Frecuente</v>
      </c>
      <c r="AB66" s="13" t="str">
        <f>VLOOKUP(D66,Clientes!$A$2:$K$486,11,FALSE)</f>
        <v>Persona Natural</v>
      </c>
      <c r="AC66" s="13" t="str">
        <f>VLOOKUP(D66,Clientes!$A$2:$B$486,2,FALSE)</f>
        <v>Jardines de la Viña</v>
      </c>
      <c r="AD66" s="20"/>
      <c r="AE66" s="20"/>
      <c r="AF66" s="13" t="s">
        <v>40</v>
      </c>
      <c r="AG66" s="15">
        <f t="shared" si="6"/>
        <v>45536</v>
      </c>
      <c r="AH66" s="13" t="s">
        <v>41</v>
      </c>
      <c r="AI66" s="13" t="str">
        <f t="shared" si="7"/>
        <v>Huevos</v>
      </c>
      <c r="AJ66" s="13" t="str">
        <f>VLOOKUP(E66,Precios!Z$2:AA$941,2,FALSE)</f>
        <v>Bandeja Huevos EXTRA</v>
      </c>
      <c r="AK66" s="14">
        <f>VLOOKUP(E66,Precios!Z$2:BB$941,3,FALSE)*F66</f>
        <v>-1</v>
      </c>
      <c r="AL66" s="17"/>
      <c r="AM66" s="17"/>
      <c r="AN66" s="17"/>
      <c r="AO66" s="17"/>
      <c r="AP66" s="17"/>
      <c r="AQ66" s="17"/>
      <c r="AR66" s="17"/>
      <c r="AS66" s="17"/>
      <c r="AT66" s="17"/>
      <c r="AU66" s="17"/>
      <c r="AV66" s="17"/>
    </row>
    <row r="67" spans="1:48" ht="15.75" customHeight="1">
      <c r="A67" s="21" t="s">
        <v>76</v>
      </c>
      <c r="B67" s="23" t="s">
        <v>1692</v>
      </c>
      <c r="C67" s="22">
        <v>45914</v>
      </c>
      <c r="D67" s="23" t="s">
        <v>108</v>
      </c>
      <c r="E67" s="23" t="s">
        <v>110</v>
      </c>
      <c r="F67" s="21">
        <v>1</v>
      </c>
      <c r="G67" s="12">
        <f>VLOOKUP(E67,Precios!B$2:N$941,12,FALSE)</f>
        <v>2000.0000000000005</v>
      </c>
      <c r="H67" s="12">
        <f t="shared" si="0"/>
        <v>2000.0000000000005</v>
      </c>
      <c r="I67" s="23" t="s">
        <v>52</v>
      </c>
      <c r="J67" s="23" t="s">
        <v>38</v>
      </c>
      <c r="K67" s="24" t="s">
        <v>177</v>
      </c>
      <c r="L67" s="11"/>
      <c r="M67" s="12">
        <f t="shared" ref="M67:N67" si="72">G67/1.19</f>
        <v>1680.6722689075634</v>
      </c>
      <c r="N67" s="12">
        <f t="shared" si="72"/>
        <v>1680.6722689075634</v>
      </c>
      <c r="O67" s="12">
        <f t="shared" si="2"/>
        <v>319.32773109243703</v>
      </c>
      <c r="P67" s="13"/>
      <c r="Q67" s="14">
        <f t="shared" si="3"/>
        <v>2025</v>
      </c>
      <c r="R67" s="15">
        <f>VLOOKUP(MONTH(C67),'Datos Maestros'!M$2:N$14,2,FALSE)</f>
        <v>45536</v>
      </c>
      <c r="S67" s="11" t="str">
        <f>VLOOKUP(E67,Precios!B$2:W$941,3,FALSE)</f>
        <v>Cloro</v>
      </c>
      <c r="T67" s="16">
        <f>VLOOKUP(E67,Precios!B$2:N$941,4,FALSE)*F67</f>
        <v>5</v>
      </c>
      <c r="U67" s="17"/>
      <c r="V67" s="12">
        <f>VLOOKUP(E67,Precios!B$2:N$941,13,FALSE)*F67</f>
        <v>756.30252100840369</v>
      </c>
      <c r="W67" s="12">
        <f t="shared" si="4"/>
        <v>756.30252100840369</v>
      </c>
      <c r="X67" s="12">
        <f>VLOOKUP(B67,'Datos Maestros'!$C$2:$D$7,2,FALSE)*V67</f>
        <v>0</v>
      </c>
      <c r="Y67" s="18">
        <f t="shared" si="5"/>
        <v>45908</v>
      </c>
      <c r="Z67" s="13" t="s">
        <v>39</v>
      </c>
      <c r="AA67" s="19" t="str">
        <f>VLOOKUP(D67,Clientes!$A$2:$J$486,9,FALSE)</f>
        <v>Frecuente</v>
      </c>
      <c r="AB67" s="13" t="str">
        <f>VLOOKUP(D67,Clientes!$A$2:$K$486,11,FALSE)</f>
        <v>Persona Natural</v>
      </c>
      <c r="AC67" s="13" t="str">
        <f>VLOOKUP(D67,Clientes!$A$2:$B$486,2,FALSE)</f>
        <v>Jardines de la Viña</v>
      </c>
      <c r="AD67" s="20"/>
      <c r="AE67" s="20"/>
      <c r="AF67" s="13" t="s">
        <v>40</v>
      </c>
      <c r="AG67" s="15">
        <f t="shared" si="6"/>
        <v>45536</v>
      </c>
      <c r="AH67" s="13" t="s">
        <v>41</v>
      </c>
      <c r="AI67" s="13" t="str">
        <f t="shared" si="7"/>
        <v>Detergentes</v>
      </c>
      <c r="AJ67" s="13" t="str">
        <f>VLOOKUP(E67,Precios!Z$2:AA$941,2,FALSE)</f>
        <v>Cloro SPUM 5 Litros</v>
      </c>
      <c r="AK67" s="14">
        <f>VLOOKUP(E67,Precios!Z$2:BB$941,3,FALSE)*F67</f>
        <v>-1</v>
      </c>
      <c r="AL67" s="17"/>
      <c r="AM67" s="17"/>
      <c r="AN67" s="17"/>
      <c r="AO67" s="17"/>
      <c r="AP67" s="17"/>
      <c r="AQ67" s="17"/>
      <c r="AR67" s="17"/>
      <c r="AS67" s="17"/>
      <c r="AT67" s="17"/>
      <c r="AU67" s="17"/>
      <c r="AV67" s="17"/>
    </row>
    <row r="68" spans="1:48" ht="15.75" customHeight="1">
      <c r="A68" s="21" t="s">
        <v>76</v>
      </c>
      <c r="B68" s="23" t="s">
        <v>1692</v>
      </c>
      <c r="C68" s="22">
        <v>45914</v>
      </c>
      <c r="D68" s="23" t="s">
        <v>108</v>
      </c>
      <c r="E68" s="23" t="s">
        <v>81</v>
      </c>
      <c r="F68" s="21">
        <v>1</v>
      </c>
      <c r="G68" s="12">
        <f>VLOOKUP(E68,Precios!B$2:N$941,12,FALSE)</f>
        <v>3500.0000000000005</v>
      </c>
      <c r="H68" s="12">
        <f t="shared" si="0"/>
        <v>3500.0000000000005</v>
      </c>
      <c r="I68" s="23" t="s">
        <v>52</v>
      </c>
      <c r="J68" s="23" t="s">
        <v>38</v>
      </c>
      <c r="K68" s="24" t="s">
        <v>177</v>
      </c>
      <c r="L68" s="11"/>
      <c r="M68" s="12">
        <f t="shared" ref="M68:N68" si="73">G68/1.19</f>
        <v>2941.1764705882356</v>
      </c>
      <c r="N68" s="12">
        <f t="shared" si="73"/>
        <v>2941.1764705882356</v>
      </c>
      <c r="O68" s="12">
        <f t="shared" si="2"/>
        <v>558.82352941176487</v>
      </c>
      <c r="P68" s="13"/>
      <c r="Q68" s="14">
        <f t="shared" si="3"/>
        <v>2025</v>
      </c>
      <c r="R68" s="15">
        <f>VLOOKUP(MONTH(C68),'Datos Maestros'!M$2:N$14,2,FALSE)</f>
        <v>45536</v>
      </c>
      <c r="S68" s="11" t="str">
        <f>VLOOKUP(E68,Precios!B$2:W$941,3,FALSE)</f>
        <v>Detergente Premium</v>
      </c>
      <c r="T68" s="16">
        <f>VLOOKUP(E68,Precios!B$2:N$941,4,FALSE)*F68</f>
        <v>5</v>
      </c>
      <c r="U68" s="17"/>
      <c r="V68" s="12">
        <f>VLOOKUP(E68,Precios!B$2:N$941,13,FALSE)*F68</f>
        <v>764.70588235294144</v>
      </c>
      <c r="W68" s="12">
        <f t="shared" si="4"/>
        <v>764.70588235294144</v>
      </c>
      <c r="X68" s="12">
        <f>VLOOKUP(B68,'Datos Maestros'!$C$2:$D$7,2,FALSE)*V68</f>
        <v>0</v>
      </c>
      <c r="Y68" s="18">
        <f t="shared" si="5"/>
        <v>45908</v>
      </c>
      <c r="Z68" s="13" t="s">
        <v>39</v>
      </c>
      <c r="AA68" s="19" t="str">
        <f>VLOOKUP(D68,Clientes!$A$2:$J$486,9,FALSE)</f>
        <v>Frecuente</v>
      </c>
      <c r="AB68" s="13" t="str">
        <f>VLOOKUP(D68,Clientes!$A$2:$K$486,11,FALSE)</f>
        <v>Persona Natural</v>
      </c>
      <c r="AC68" s="13" t="str">
        <f>VLOOKUP(D68,Clientes!$A$2:$B$486,2,FALSE)</f>
        <v>Jardines de la Viña</v>
      </c>
      <c r="AD68" s="20"/>
      <c r="AE68" s="20"/>
      <c r="AF68" s="13" t="s">
        <v>40</v>
      </c>
      <c r="AG68" s="15">
        <f t="shared" si="6"/>
        <v>45536</v>
      </c>
      <c r="AH68" s="13" t="s">
        <v>41</v>
      </c>
      <c r="AI68" s="13" t="str">
        <f t="shared" si="7"/>
        <v>Detergentes</v>
      </c>
      <c r="AJ68" s="13" t="str">
        <f>VLOOKUP(E68,Precios!Z$2:AA$941,2,FALSE)</f>
        <v>Detergente SPUM 5 Litros (Verde)</v>
      </c>
      <c r="AK68" s="14">
        <f>VLOOKUP(E68,Precios!Z$2:BB$941,3,FALSE)*F68</f>
        <v>-1</v>
      </c>
      <c r="AL68" s="17"/>
      <c r="AM68" s="17"/>
      <c r="AN68" s="17"/>
      <c r="AO68" s="17"/>
      <c r="AP68" s="17"/>
      <c r="AQ68" s="17"/>
      <c r="AR68" s="17"/>
      <c r="AS68" s="17"/>
      <c r="AT68" s="17"/>
      <c r="AU68" s="17"/>
      <c r="AV68" s="17"/>
    </row>
    <row r="69" spans="1:48" ht="15.75" customHeight="1">
      <c r="A69" s="21" t="s">
        <v>64</v>
      </c>
      <c r="B69" s="23" t="s">
        <v>1692</v>
      </c>
      <c r="C69" s="22">
        <v>45914</v>
      </c>
      <c r="D69" s="23" t="s">
        <v>111</v>
      </c>
      <c r="E69" s="23" t="s">
        <v>65</v>
      </c>
      <c r="F69" s="21">
        <v>1</v>
      </c>
      <c r="G69" s="12">
        <f>VLOOKUP(E69,Precios!B$2:N$941,12,FALSE)</f>
        <v>8200.2358799633075</v>
      </c>
      <c r="H69" s="12">
        <f t="shared" si="0"/>
        <v>8200.2358799633075</v>
      </c>
      <c r="I69" s="23" t="s">
        <v>52</v>
      </c>
      <c r="J69" s="23" t="s">
        <v>61</v>
      </c>
      <c r="K69" s="24" t="s">
        <v>177</v>
      </c>
      <c r="L69" s="11"/>
      <c r="M69" s="12">
        <f t="shared" ref="M69:N69" si="74">G69/1.19</f>
        <v>6890.9545209775697</v>
      </c>
      <c r="N69" s="12">
        <f t="shared" si="74"/>
        <v>6890.9545209775697</v>
      </c>
      <c r="O69" s="12">
        <f t="shared" si="2"/>
        <v>1309.2813589857378</v>
      </c>
      <c r="P69" s="13"/>
      <c r="Q69" s="14">
        <f t="shared" si="3"/>
        <v>2025</v>
      </c>
      <c r="R69" s="15">
        <f>VLOOKUP(MONTH(C69),'Datos Maestros'!M$2:N$14,2,FALSE)</f>
        <v>45536</v>
      </c>
      <c r="S69" s="11" t="str">
        <f>VLOOKUP(E69,Precios!B$2:W$941,3,FALSE)</f>
        <v>Longanizas</v>
      </c>
      <c r="T69" s="16">
        <f>VLOOKUP(E69,Precios!B$2:N$941,4,FALSE)*F69</f>
        <v>1</v>
      </c>
      <c r="U69" s="17"/>
      <c r="V69" s="12">
        <f>VLOOKUP(E69,Precios!B$2:N$941,13,FALSE)*F69</f>
        <v>1632.4671260195864</v>
      </c>
      <c r="W69" s="12">
        <f t="shared" si="4"/>
        <v>1632.4671260195864</v>
      </c>
      <c r="X69" s="12">
        <f>VLOOKUP(B69,'Datos Maestros'!$C$2:$D$7,2,FALSE)*V69</f>
        <v>0</v>
      </c>
      <c r="Y69" s="18">
        <f t="shared" si="5"/>
        <v>45908</v>
      </c>
      <c r="Z69" s="13" t="s">
        <v>39</v>
      </c>
      <c r="AA69" s="19" t="str">
        <f>VLOOKUP(D69,Clientes!$A$2:$J$486,9,FALSE)</f>
        <v>Ocacional</v>
      </c>
      <c r="AB69" s="13" t="str">
        <f>VLOOKUP(D69,Clientes!$A$2:$K$486,11,FALSE)</f>
        <v>Persona Natural</v>
      </c>
      <c r="AC69" s="13" t="str">
        <f>VLOOKUP(D69,Clientes!$A$2:$B$486,2,FALSE)</f>
        <v>Araucana</v>
      </c>
      <c r="AD69" s="20"/>
      <c r="AE69" s="20"/>
      <c r="AF69" s="13" t="s">
        <v>40</v>
      </c>
      <c r="AG69" s="15">
        <f t="shared" si="6"/>
        <v>45536</v>
      </c>
      <c r="AH69" s="13" t="s">
        <v>41</v>
      </c>
      <c r="AI69" s="13" t="str">
        <f t="shared" si="7"/>
        <v>Longanizas</v>
      </c>
      <c r="AJ69" s="13" t="str">
        <f>VLOOKUP(E69,Precios!Z$2:AA$941,2,FALSE)</f>
        <v>Longanizas VILLABLANCA</v>
      </c>
      <c r="AK69" s="14">
        <f>VLOOKUP(E69,Precios!Z$2:BB$941,3,FALSE)*F69</f>
        <v>-1</v>
      </c>
      <c r="AL69" s="17"/>
      <c r="AM69" s="17"/>
      <c r="AN69" s="17"/>
      <c r="AO69" s="17"/>
      <c r="AP69" s="17"/>
      <c r="AQ69" s="17"/>
      <c r="AR69" s="17"/>
      <c r="AS69" s="17"/>
      <c r="AT69" s="17"/>
      <c r="AU69" s="17"/>
      <c r="AV69" s="17"/>
    </row>
    <row r="70" spans="1:48" ht="15.75" customHeight="1">
      <c r="A70" s="21" t="s">
        <v>56</v>
      </c>
      <c r="B70" s="23" t="s">
        <v>1692</v>
      </c>
      <c r="C70" s="22">
        <v>45914</v>
      </c>
      <c r="D70" s="23" t="s">
        <v>111</v>
      </c>
      <c r="E70" s="23" t="s">
        <v>112</v>
      </c>
      <c r="F70" s="21">
        <v>1</v>
      </c>
      <c r="G70" s="12">
        <f>VLOOKUP(E70,Precios!B$2:N$941,12,FALSE)</f>
        <v>8000.2136915210258</v>
      </c>
      <c r="H70" s="12">
        <f t="shared" si="0"/>
        <v>8000.2136915210258</v>
      </c>
      <c r="I70" s="23" t="s">
        <v>52</v>
      </c>
      <c r="J70" s="23" t="s">
        <v>61</v>
      </c>
      <c r="K70" s="24" t="s">
        <v>177</v>
      </c>
      <c r="L70" s="11"/>
      <c r="M70" s="12">
        <f t="shared" ref="M70:N70" si="75">G70/1.19</f>
        <v>6722.8686483369966</v>
      </c>
      <c r="N70" s="12">
        <f t="shared" si="75"/>
        <v>6722.8686483369966</v>
      </c>
      <c r="O70" s="12">
        <f t="shared" si="2"/>
        <v>1277.3450431840292</v>
      </c>
      <c r="P70" s="13"/>
      <c r="Q70" s="14">
        <f t="shared" si="3"/>
        <v>2025</v>
      </c>
      <c r="R70" s="15">
        <f>VLOOKUP(MONTH(C70),'Datos Maestros'!M$2:N$14,2,FALSE)</f>
        <v>45536</v>
      </c>
      <c r="S70" s="11" t="str">
        <f>VLOOKUP(E70,Precios!B$2:W$941,3,FALSE)</f>
        <v>Provoleta</v>
      </c>
      <c r="T70" s="16">
        <f>VLOOKUP(E70,Precios!B$2:N$941,4,FALSE)*F70</f>
        <v>135</v>
      </c>
      <c r="U70" s="17"/>
      <c r="V70" s="12">
        <f>VLOOKUP(E70,Precios!B$2:N$941,13,FALSE)*F70</f>
        <v>2318.3812533790133</v>
      </c>
      <c r="W70" s="12">
        <f t="shared" si="4"/>
        <v>2318.3812533790133</v>
      </c>
      <c r="X70" s="12">
        <f>VLOOKUP(B70,'Datos Maestros'!$C$2:$D$7,2,FALSE)*V70</f>
        <v>0</v>
      </c>
      <c r="Y70" s="18">
        <f t="shared" si="5"/>
        <v>45908</v>
      </c>
      <c r="Z70" s="13" t="s">
        <v>39</v>
      </c>
      <c r="AA70" s="19" t="str">
        <f>VLOOKUP(D70,Clientes!$A$2:$J$486,9,FALSE)</f>
        <v>Ocacional</v>
      </c>
      <c r="AB70" s="13" t="str">
        <f>VLOOKUP(D70,Clientes!$A$2:$K$486,11,FALSE)</f>
        <v>Persona Natural</v>
      </c>
      <c r="AC70" s="13" t="str">
        <f>VLOOKUP(D70,Clientes!$A$2:$B$486,2,FALSE)</f>
        <v>Araucana</v>
      </c>
      <c r="AD70" s="20"/>
      <c r="AE70" s="20"/>
      <c r="AF70" s="13" t="s">
        <v>40</v>
      </c>
      <c r="AG70" s="15">
        <f t="shared" si="6"/>
        <v>45536</v>
      </c>
      <c r="AH70" s="13" t="s">
        <v>41</v>
      </c>
      <c r="AI70" s="13" t="str">
        <f t="shared" si="7"/>
        <v>Derivados</v>
      </c>
      <c r="AJ70" s="13" t="str">
        <f>VLOOKUP(E70,Precios!Z$2:AA$941,2,FALSE)</f>
        <v>Provoleta Parrillera</v>
      </c>
      <c r="AK70" s="14">
        <f>VLOOKUP(E70,Precios!Z$2:BB$941,3,FALSE)*F70</f>
        <v>-3</v>
      </c>
      <c r="AL70" s="17"/>
      <c r="AM70" s="17"/>
      <c r="AN70" s="17"/>
      <c r="AO70" s="17"/>
      <c r="AP70" s="17"/>
      <c r="AQ70" s="17"/>
      <c r="AR70" s="17"/>
      <c r="AS70" s="17"/>
      <c r="AT70" s="17"/>
      <c r="AU70" s="17"/>
      <c r="AV70" s="17"/>
    </row>
    <row r="71" spans="1:48" ht="15.75" customHeight="1">
      <c r="A71" s="21" t="s">
        <v>53</v>
      </c>
      <c r="B71" s="23" t="s">
        <v>1692</v>
      </c>
      <c r="C71" s="22">
        <v>45914</v>
      </c>
      <c r="D71" s="23" t="s">
        <v>113</v>
      </c>
      <c r="E71" s="23" t="s">
        <v>114</v>
      </c>
      <c r="F71" s="21">
        <v>1</v>
      </c>
      <c r="G71" s="12">
        <f>VLOOKUP(E71,Precios!B$2:N$941,12,FALSE)</f>
        <v>10500</v>
      </c>
      <c r="H71" s="12">
        <f t="shared" si="0"/>
        <v>10500</v>
      </c>
      <c r="I71" s="13" t="s">
        <v>52</v>
      </c>
      <c r="J71" s="23" t="s">
        <v>61</v>
      </c>
      <c r="K71" s="24" t="s">
        <v>177</v>
      </c>
      <c r="L71" s="11"/>
      <c r="M71" s="12">
        <f t="shared" ref="M71:N71" si="76">G71/1.19</f>
        <v>8823.5294117647063</v>
      </c>
      <c r="N71" s="12">
        <f t="shared" si="76"/>
        <v>8823.5294117647063</v>
      </c>
      <c r="O71" s="12">
        <f t="shared" si="2"/>
        <v>1676.4705882352937</v>
      </c>
      <c r="P71" s="13"/>
      <c r="Q71" s="14">
        <f t="shared" si="3"/>
        <v>2025</v>
      </c>
      <c r="R71" s="15">
        <f>VLOOKUP(MONTH(C71),'Datos Maestros'!M$2:N$14,2,FALSE)</f>
        <v>45536</v>
      </c>
      <c r="S71" s="11" t="str">
        <f>VLOOKUP(E71,Precios!B$2:W$941,3,FALSE)</f>
        <v>Toalla Nova 3 rollos</v>
      </c>
      <c r="T71" s="16">
        <f>VLOOKUP(E71,Precios!B$2:N$941,4,FALSE)*F71</f>
        <v>0</v>
      </c>
      <c r="U71" s="17"/>
      <c r="V71" s="12">
        <f>VLOOKUP(E71,Precios!B$2:N$941,13,FALSE)*F71</f>
        <v>2403.3613445378151</v>
      </c>
      <c r="W71" s="12">
        <f t="shared" si="4"/>
        <v>2403.3613445378151</v>
      </c>
      <c r="X71" s="12">
        <f>VLOOKUP(B71,'Datos Maestros'!$C$2:$D$7,2,FALSE)*V71</f>
        <v>0</v>
      </c>
      <c r="Y71" s="18">
        <f t="shared" si="5"/>
        <v>45908</v>
      </c>
      <c r="Z71" s="13" t="s">
        <v>39</v>
      </c>
      <c r="AA71" s="19" t="str">
        <f>VLOOKUP(D71,Clientes!$A$2:$J$486,9,FALSE)</f>
        <v>Ocacional</v>
      </c>
      <c r="AB71" s="13" t="str">
        <f>VLOOKUP(D71,Clientes!$A$2:$K$486,11,FALSE)</f>
        <v>Persona Natural</v>
      </c>
      <c r="AC71" s="13" t="str">
        <f>VLOOKUP(D71,Clientes!$A$2:$B$486,2,FALSE)</f>
        <v>Jardines de la viña</v>
      </c>
      <c r="AD71" s="20"/>
      <c r="AE71" s="20"/>
      <c r="AF71" s="13" t="s">
        <v>40</v>
      </c>
      <c r="AG71" s="15">
        <f t="shared" si="6"/>
        <v>45536</v>
      </c>
      <c r="AH71" s="13" t="s">
        <v>41</v>
      </c>
      <c r="AI71" s="13" t="str">
        <f t="shared" si="7"/>
        <v>Papeleria</v>
      </c>
      <c r="AJ71" s="13" t="str">
        <f>VLOOKUP(E71,Precios!Z$2:AA$941,2,FALSE)</f>
        <v>Toalla Papel NOVA 12 metros</v>
      </c>
      <c r="AK71" s="14">
        <f>VLOOKUP(E71,Precios!Z$2:BB$941,3,FALSE)*F71</f>
        <v>-8</v>
      </c>
      <c r="AL71" s="17"/>
      <c r="AM71" s="17"/>
      <c r="AN71" s="17"/>
      <c r="AO71" s="17"/>
      <c r="AP71" s="17"/>
      <c r="AQ71" s="17"/>
      <c r="AR71" s="17"/>
      <c r="AS71" s="17"/>
      <c r="AT71" s="17"/>
      <c r="AU71" s="17"/>
      <c r="AV71" s="17"/>
    </row>
    <row r="72" spans="1:48" ht="15.75" customHeight="1">
      <c r="A72" s="21" t="s">
        <v>76</v>
      </c>
      <c r="B72" s="23" t="s">
        <v>1692</v>
      </c>
      <c r="C72" s="22">
        <v>45914</v>
      </c>
      <c r="D72" s="23" t="s">
        <v>113</v>
      </c>
      <c r="E72" s="23" t="s">
        <v>81</v>
      </c>
      <c r="F72" s="21">
        <v>1</v>
      </c>
      <c r="G72" s="12">
        <f>VLOOKUP(E72,Precios!B$2:N$941,12,FALSE)</f>
        <v>3500.0000000000005</v>
      </c>
      <c r="H72" s="12">
        <f t="shared" si="0"/>
        <v>3500.0000000000005</v>
      </c>
      <c r="I72" s="13" t="s">
        <v>52</v>
      </c>
      <c r="J72" s="23" t="s">
        <v>61</v>
      </c>
      <c r="K72" s="24" t="s">
        <v>177</v>
      </c>
      <c r="L72" s="11"/>
      <c r="M72" s="12">
        <f t="shared" ref="M72:N72" si="77">G72/1.19</f>
        <v>2941.1764705882356</v>
      </c>
      <c r="N72" s="12">
        <f t="shared" si="77"/>
        <v>2941.1764705882356</v>
      </c>
      <c r="O72" s="12">
        <f t="shared" si="2"/>
        <v>558.82352941176487</v>
      </c>
      <c r="P72" s="13"/>
      <c r="Q72" s="14">
        <f t="shared" si="3"/>
        <v>2025</v>
      </c>
      <c r="R72" s="15">
        <f>VLOOKUP(MONTH(C72),'Datos Maestros'!M$2:N$14,2,FALSE)</f>
        <v>45536</v>
      </c>
      <c r="S72" s="11" t="str">
        <f>VLOOKUP(E72,Precios!B$2:W$941,3,FALSE)</f>
        <v>Detergente Premium</v>
      </c>
      <c r="T72" s="16">
        <f>VLOOKUP(E72,Precios!B$2:N$941,4,FALSE)*F72</f>
        <v>5</v>
      </c>
      <c r="U72" s="17"/>
      <c r="V72" s="12">
        <f>VLOOKUP(E72,Precios!B$2:N$941,13,FALSE)*F72</f>
        <v>764.70588235294144</v>
      </c>
      <c r="W72" s="12">
        <f t="shared" si="4"/>
        <v>764.70588235294144</v>
      </c>
      <c r="X72" s="12">
        <f>VLOOKUP(B72,'Datos Maestros'!$C$2:$D$7,2,FALSE)*V72</f>
        <v>0</v>
      </c>
      <c r="Y72" s="18">
        <f t="shared" si="5"/>
        <v>45908</v>
      </c>
      <c r="Z72" s="13" t="s">
        <v>39</v>
      </c>
      <c r="AA72" s="19" t="str">
        <f>VLOOKUP(D72,Clientes!$A$2:$J$486,9,FALSE)</f>
        <v>Ocacional</v>
      </c>
      <c r="AB72" s="13" t="str">
        <f>VLOOKUP(D72,Clientes!$A$2:$K$486,11,FALSE)</f>
        <v>Persona Natural</v>
      </c>
      <c r="AC72" s="13" t="str">
        <f>VLOOKUP(D72,Clientes!$A$2:$B$486,2,FALSE)</f>
        <v>Jardines de la viña</v>
      </c>
      <c r="AD72" s="20"/>
      <c r="AE72" s="20"/>
      <c r="AF72" s="13" t="s">
        <v>40</v>
      </c>
      <c r="AG72" s="15">
        <f t="shared" si="6"/>
        <v>45536</v>
      </c>
      <c r="AH72" s="13" t="s">
        <v>41</v>
      </c>
      <c r="AI72" s="13" t="str">
        <f t="shared" si="7"/>
        <v>Detergentes</v>
      </c>
      <c r="AJ72" s="13" t="str">
        <f>VLOOKUP(E72,Precios!Z$2:AA$941,2,FALSE)</f>
        <v>Detergente SPUM 5 Litros (Verde)</v>
      </c>
      <c r="AK72" s="14">
        <f>VLOOKUP(E72,Precios!Z$2:BB$941,3,FALSE)*F72</f>
        <v>-1</v>
      </c>
      <c r="AL72" s="17"/>
      <c r="AM72" s="17"/>
      <c r="AN72" s="17"/>
      <c r="AO72" s="17"/>
      <c r="AP72" s="17"/>
      <c r="AQ72" s="17"/>
      <c r="AR72" s="17"/>
      <c r="AS72" s="17"/>
      <c r="AT72" s="17"/>
      <c r="AU72" s="17"/>
      <c r="AV72" s="17"/>
    </row>
    <row r="73" spans="1:48" ht="15.75" customHeight="1">
      <c r="A73" s="21" t="s">
        <v>43</v>
      </c>
      <c r="B73" s="23" t="s">
        <v>1692</v>
      </c>
      <c r="C73" s="22">
        <v>45914</v>
      </c>
      <c r="D73" s="23" t="s">
        <v>115</v>
      </c>
      <c r="E73" s="23" t="s">
        <v>45</v>
      </c>
      <c r="F73" s="21">
        <v>1</v>
      </c>
      <c r="G73" s="12">
        <f>VLOOKUP(E73,Precios!B$2:N$941,12,FALSE)</f>
        <v>8000.1831784723063</v>
      </c>
      <c r="H73" s="12">
        <f t="shared" si="0"/>
        <v>8000.1831784723063</v>
      </c>
      <c r="I73" s="13" t="s">
        <v>52</v>
      </c>
      <c r="J73" s="13" t="s">
        <v>38</v>
      </c>
      <c r="K73" s="24" t="s">
        <v>177</v>
      </c>
      <c r="L73" s="11"/>
      <c r="M73" s="12">
        <f t="shared" ref="M73:N73" si="78">G73/1.19</f>
        <v>6722.8430071195853</v>
      </c>
      <c r="N73" s="12">
        <f t="shared" si="78"/>
        <v>6722.8430071195853</v>
      </c>
      <c r="O73" s="12">
        <f t="shared" si="2"/>
        <v>1277.340171352721</v>
      </c>
      <c r="P73" s="13"/>
      <c r="Q73" s="14">
        <f t="shared" si="3"/>
        <v>2025</v>
      </c>
      <c r="R73" s="15">
        <f>VLOOKUP(MONTH(C73),'Datos Maestros'!M$2:N$14,2,FALSE)</f>
        <v>45536</v>
      </c>
      <c r="S73" s="11" t="str">
        <f>VLOOKUP(E73,Precios!B$2:W$941,3,FALSE)</f>
        <v>Huevos EXTRA</v>
      </c>
      <c r="T73" s="16">
        <f>VLOOKUP(E73,Precios!B$2:N$941,4,FALSE)*F73</f>
        <v>0</v>
      </c>
      <c r="U73" s="17"/>
      <c r="V73" s="12">
        <f>VLOOKUP(E73,Precios!B$2:N$941,13,FALSE)*F73</f>
        <v>1151.6230071195851</v>
      </c>
      <c r="W73" s="12">
        <f t="shared" si="4"/>
        <v>1151.6230071195851</v>
      </c>
      <c r="X73" s="12">
        <f>VLOOKUP(B73,'Datos Maestros'!$C$2:$D$7,2,FALSE)*V73</f>
        <v>0</v>
      </c>
      <c r="Y73" s="18">
        <f t="shared" si="5"/>
        <v>45908</v>
      </c>
      <c r="Z73" s="13" t="s">
        <v>39</v>
      </c>
      <c r="AA73" s="19" t="str">
        <f>VLOOKUP(D73,Clientes!$A$2:$J$486,9,FALSE)</f>
        <v>Ocacional</v>
      </c>
      <c r="AB73" s="13" t="str">
        <f>VLOOKUP(D73,Clientes!$A$2:$K$486,11,FALSE)</f>
        <v>Persona Natural</v>
      </c>
      <c r="AC73" s="13" t="str">
        <f>VLOOKUP(D73,Clientes!$A$2:$B$486,2,FALSE)</f>
        <v>Jardines de la viña</v>
      </c>
      <c r="AD73" s="20"/>
      <c r="AE73" s="20"/>
      <c r="AF73" s="13" t="s">
        <v>40</v>
      </c>
      <c r="AG73" s="15">
        <f t="shared" si="6"/>
        <v>45536</v>
      </c>
      <c r="AH73" s="13" t="s">
        <v>41</v>
      </c>
      <c r="AI73" s="13" t="str">
        <f t="shared" si="7"/>
        <v>Huevos</v>
      </c>
      <c r="AJ73" s="13" t="str">
        <f>VLOOKUP(E73,Precios!Z$2:AA$941,2,FALSE)</f>
        <v>Bandeja Huevos EXTRA</v>
      </c>
      <c r="AK73" s="14">
        <f>VLOOKUP(E73,Precios!Z$2:BB$941,3,FALSE)*F73</f>
        <v>-1</v>
      </c>
      <c r="AL73" s="17"/>
      <c r="AM73" s="17"/>
      <c r="AN73" s="17"/>
      <c r="AO73" s="17"/>
      <c r="AP73" s="17"/>
      <c r="AQ73" s="17"/>
      <c r="AR73" s="17"/>
      <c r="AS73" s="17"/>
      <c r="AT73" s="17"/>
      <c r="AU73" s="17"/>
      <c r="AV73" s="17"/>
    </row>
    <row r="74" spans="1:48" ht="15.75" customHeight="1">
      <c r="A74" s="21" t="s">
        <v>43</v>
      </c>
      <c r="B74" s="23" t="s">
        <v>1692</v>
      </c>
      <c r="C74" s="22">
        <v>45914</v>
      </c>
      <c r="D74" s="23" t="s">
        <v>915</v>
      </c>
      <c r="E74" s="23" t="s">
        <v>45</v>
      </c>
      <c r="F74" s="21">
        <v>2</v>
      </c>
      <c r="G74" s="12">
        <f>VLOOKUP(E74,Precios!B$2:N$941,12,FALSE)</f>
        <v>8000.1831784723063</v>
      </c>
      <c r="H74" s="12">
        <f t="shared" si="0"/>
        <v>16000.366356944613</v>
      </c>
      <c r="I74" s="13" t="s">
        <v>52</v>
      </c>
      <c r="J74" s="13" t="s">
        <v>38</v>
      </c>
      <c r="K74" s="24" t="s">
        <v>177</v>
      </c>
      <c r="L74" s="11"/>
      <c r="M74" s="12">
        <f t="shared" ref="M74:N74" si="79">G74/1.19</f>
        <v>6722.8430071195853</v>
      </c>
      <c r="N74" s="12">
        <f t="shared" si="79"/>
        <v>13445.686014239171</v>
      </c>
      <c r="O74" s="12">
        <f t="shared" si="2"/>
        <v>2554.6803427054419</v>
      </c>
      <c r="P74" s="13"/>
      <c r="Q74" s="14">
        <f t="shared" si="3"/>
        <v>2025</v>
      </c>
      <c r="R74" s="15">
        <f>VLOOKUP(MONTH(C74),'Datos Maestros'!M$2:N$14,2,FALSE)</f>
        <v>45536</v>
      </c>
      <c r="S74" s="11" t="str">
        <f>VLOOKUP(E74,Precios!B$2:W$941,3,FALSE)</f>
        <v>Huevos EXTRA</v>
      </c>
      <c r="T74" s="16">
        <f>VLOOKUP(E74,Precios!B$2:N$941,4,FALSE)*F74</f>
        <v>0</v>
      </c>
      <c r="U74" s="17"/>
      <c r="V74" s="12">
        <f>VLOOKUP(E74,Precios!B$2:N$941,13,FALSE)*F74</f>
        <v>2303.2460142391701</v>
      </c>
      <c r="W74" s="12">
        <f t="shared" si="4"/>
        <v>2303.2460142391701</v>
      </c>
      <c r="X74" s="12">
        <f>VLOOKUP(B74,'Datos Maestros'!$C$2:$D$7,2,FALSE)*V74</f>
        <v>0</v>
      </c>
      <c r="Y74" s="18">
        <f t="shared" si="5"/>
        <v>45908</v>
      </c>
      <c r="Z74" s="13" t="s">
        <v>39</v>
      </c>
      <c r="AA74" s="19" t="str">
        <f>VLOOKUP(D74,Clientes!$A$2:$J$486,9,FALSE)</f>
        <v>Regular</v>
      </c>
      <c r="AB74" s="13" t="str">
        <f>VLOOKUP(D74,Clientes!$A$2:$K$486,11,FALSE)</f>
        <v>Persona Natural</v>
      </c>
      <c r="AC74" s="13" t="str">
        <f>VLOOKUP(D74,Clientes!$A$2:$B$486,2,FALSE)</f>
        <v>Jardin del Eden</v>
      </c>
      <c r="AD74" s="20"/>
      <c r="AE74" s="20"/>
      <c r="AF74" s="13" t="s">
        <v>40</v>
      </c>
      <c r="AG74" s="15">
        <f t="shared" si="6"/>
        <v>45536</v>
      </c>
      <c r="AH74" s="13" t="s">
        <v>41</v>
      </c>
      <c r="AI74" s="13" t="str">
        <f t="shared" si="7"/>
        <v>Huevos</v>
      </c>
      <c r="AJ74" s="13" t="str">
        <f>VLOOKUP(E74,Precios!Z$2:AA$941,2,FALSE)</f>
        <v>Bandeja Huevos EXTRA</v>
      </c>
      <c r="AK74" s="14">
        <f>VLOOKUP(E74,Precios!Z$2:BB$941,3,FALSE)*F74</f>
        <v>-2</v>
      </c>
      <c r="AL74" s="17"/>
      <c r="AM74" s="17"/>
      <c r="AN74" s="17"/>
      <c r="AO74" s="17"/>
      <c r="AP74" s="17"/>
      <c r="AQ74" s="17"/>
      <c r="AR74" s="17"/>
      <c r="AS74" s="17"/>
      <c r="AT74" s="17"/>
      <c r="AU74" s="17"/>
      <c r="AV74" s="17"/>
    </row>
    <row r="75" spans="1:48" ht="15.75" customHeight="1">
      <c r="A75" s="14" t="s">
        <v>35</v>
      </c>
      <c r="B75" s="23" t="s">
        <v>1692</v>
      </c>
      <c r="C75" s="22">
        <v>45914</v>
      </c>
      <c r="D75" s="23" t="s">
        <v>915</v>
      </c>
      <c r="E75" s="23" t="s">
        <v>37</v>
      </c>
      <c r="F75" s="14">
        <v>1</v>
      </c>
      <c r="G75" s="12">
        <f>VLOOKUP(E75,Precios!B$2:N$941,12,FALSE)</f>
        <v>11000.014358944907</v>
      </c>
      <c r="H75" s="12">
        <f t="shared" si="0"/>
        <v>11000.014358944907</v>
      </c>
      <c r="I75" s="13" t="s">
        <v>52</v>
      </c>
      <c r="J75" s="13" t="s">
        <v>38</v>
      </c>
      <c r="K75" s="24" t="s">
        <v>177</v>
      </c>
      <c r="L75" s="11"/>
      <c r="M75" s="12">
        <f t="shared" ref="M75:N75" si="80">G75/1.19</f>
        <v>9243.7095453318543</v>
      </c>
      <c r="N75" s="12">
        <f t="shared" si="80"/>
        <v>9243.7095453318543</v>
      </c>
      <c r="O75" s="12">
        <f t="shared" si="2"/>
        <v>1756.3048136130528</v>
      </c>
      <c r="P75" s="13"/>
      <c r="Q75" s="14">
        <f t="shared" si="3"/>
        <v>2025</v>
      </c>
      <c r="R75" s="15">
        <f>VLOOKUP(MONTH(C75),'Datos Maestros'!M$2:N$14,2,FALSE)</f>
        <v>45536</v>
      </c>
      <c r="S75" s="11" t="str">
        <f>VLOOKUP(E75,Precios!B$2:W$941,3,FALSE)</f>
        <v>Queso Mantecoso</v>
      </c>
      <c r="T75" s="16">
        <f>VLOOKUP(E75,Precios!B$2:N$941,4,FALSE)*F75</f>
        <v>1000</v>
      </c>
      <c r="U75" s="17"/>
      <c r="V75" s="12">
        <f>VLOOKUP(E75,Precios!B$2:N$941,13,FALSE)*F75</f>
        <v>2806.1129066763915</v>
      </c>
      <c r="W75" s="12">
        <f t="shared" si="4"/>
        <v>2806.1129066763915</v>
      </c>
      <c r="X75" s="12">
        <f>VLOOKUP(B75,'Datos Maestros'!$C$2:$D$7,2,FALSE)*V75</f>
        <v>0</v>
      </c>
      <c r="Y75" s="18">
        <f t="shared" si="5"/>
        <v>45908</v>
      </c>
      <c r="Z75" s="13" t="s">
        <v>39</v>
      </c>
      <c r="AA75" s="19" t="str">
        <f>VLOOKUP(D75,Clientes!$A$2:$J$486,9,FALSE)</f>
        <v>Regular</v>
      </c>
      <c r="AB75" s="13" t="str">
        <f>VLOOKUP(D75,Clientes!$A$2:$K$486,11,FALSE)</f>
        <v>Persona Natural</v>
      </c>
      <c r="AC75" s="13" t="str">
        <f>VLOOKUP(D75,Clientes!$A$2:$B$486,2,FALSE)</f>
        <v>Jardin del Eden</v>
      </c>
      <c r="AD75" s="20"/>
      <c r="AE75" s="20"/>
      <c r="AF75" s="13" t="s">
        <v>40</v>
      </c>
      <c r="AG75" s="15">
        <f t="shared" si="6"/>
        <v>45536</v>
      </c>
      <c r="AH75" s="13" t="s">
        <v>41</v>
      </c>
      <c r="AI75" s="13" t="str">
        <f t="shared" si="7"/>
        <v>Quesos</v>
      </c>
      <c r="AJ75" s="13" t="str">
        <f>VLOOKUP(E75,Precios!Z$2:AA$941,2,FALSE)</f>
        <v>Queso RUNCA Mantecoso</v>
      </c>
      <c r="AK75" s="14">
        <f>VLOOKUP(E75,Precios!Z$2:BB$941,3,FALSE)*F75</f>
        <v>-1</v>
      </c>
      <c r="AL75" s="17"/>
      <c r="AM75" s="17"/>
      <c r="AN75" s="17"/>
      <c r="AO75" s="17"/>
      <c r="AP75" s="17"/>
      <c r="AQ75" s="17"/>
      <c r="AR75" s="17"/>
      <c r="AS75" s="17"/>
      <c r="AT75" s="17"/>
      <c r="AU75" s="17"/>
      <c r="AV75" s="17"/>
    </row>
    <row r="76" spans="1:48" ht="15.75" customHeight="1">
      <c r="A76" s="21" t="s">
        <v>35</v>
      </c>
      <c r="B76" s="23" t="s">
        <v>1692</v>
      </c>
      <c r="C76" s="22">
        <v>45913</v>
      </c>
      <c r="D76" s="23" t="s">
        <v>116</v>
      </c>
      <c r="E76" s="23" t="s">
        <v>117</v>
      </c>
      <c r="F76" s="21">
        <v>1</v>
      </c>
      <c r="G76" s="12">
        <f>VLOOKUP(E76,Precios!B$2:N$941,12,FALSE)</f>
        <v>8999.8271341726922</v>
      </c>
      <c r="H76" s="12">
        <f t="shared" si="0"/>
        <v>8999.8271341726922</v>
      </c>
      <c r="I76" s="23" t="s">
        <v>52</v>
      </c>
      <c r="J76" s="13" t="s">
        <v>38</v>
      </c>
      <c r="K76" s="24" t="s">
        <v>177</v>
      </c>
      <c r="L76" s="11"/>
      <c r="M76" s="12">
        <f t="shared" ref="M76:N76" si="81">G76/1.19</f>
        <v>7562.8799446829353</v>
      </c>
      <c r="N76" s="12">
        <f t="shared" si="81"/>
        <v>7562.8799446829353</v>
      </c>
      <c r="O76" s="12">
        <f t="shared" si="2"/>
        <v>1436.947189489757</v>
      </c>
      <c r="P76" s="13"/>
      <c r="Q76" s="14">
        <f t="shared" si="3"/>
        <v>2025</v>
      </c>
      <c r="R76" s="15">
        <f>VLOOKUP(MONTH(C76),'Datos Maestros'!M$2:N$14,2,FALSE)</f>
        <v>45536</v>
      </c>
      <c r="S76" s="11" t="str">
        <f>VLOOKUP(E76,Precios!B$2:W$941,3,FALSE)</f>
        <v>Queso Mantecoso</v>
      </c>
      <c r="T76" s="16">
        <f>VLOOKUP(E76,Precios!B$2:N$941,4,FALSE)*F76</f>
        <v>750</v>
      </c>
      <c r="U76" s="17"/>
      <c r="V76" s="12">
        <f>VLOOKUP(E76,Precios!B$2:N$941,13,FALSE)*F76</f>
        <v>2312.8799446829353</v>
      </c>
      <c r="W76" s="12">
        <f t="shared" si="4"/>
        <v>2312.8799446829353</v>
      </c>
      <c r="X76" s="12">
        <f>VLOOKUP(B76,'Datos Maestros'!$C$2:$D$7,2,FALSE)*V76</f>
        <v>0</v>
      </c>
      <c r="Y76" s="18">
        <f t="shared" si="5"/>
        <v>45908</v>
      </c>
      <c r="Z76" s="13" t="s">
        <v>39</v>
      </c>
      <c r="AA76" s="19" t="str">
        <f>VLOOKUP(D76,Clientes!$A$2:$J$486,9,FALSE)</f>
        <v>Ocacional</v>
      </c>
      <c r="AB76" s="13" t="str">
        <f>VLOOKUP(D76,Clientes!$A$2:$K$486,11,FALSE)</f>
        <v>Persona Natural</v>
      </c>
      <c r="AC76" s="13">
        <f>VLOOKUP(D76,Clientes!$A$2:$B$486,2,FALSE)</f>
        <v>0</v>
      </c>
      <c r="AD76" s="20"/>
      <c r="AE76" s="20"/>
      <c r="AF76" s="13" t="s">
        <v>40</v>
      </c>
      <c r="AG76" s="15">
        <f t="shared" si="6"/>
        <v>45536</v>
      </c>
      <c r="AH76" s="13" t="s">
        <v>41</v>
      </c>
      <c r="AI76" s="13" t="str">
        <f t="shared" si="7"/>
        <v>Quesos</v>
      </c>
      <c r="AJ76" s="13" t="str">
        <f>VLOOKUP(E76,Precios!Z$2:AA$941,2,FALSE)</f>
        <v>Queso RUNCA Laminado Mantecoso</v>
      </c>
      <c r="AK76" s="14">
        <f>VLOOKUP(E76,Precios!Z$2:BB$941,3,FALSE)*F76</f>
        <v>-0.75</v>
      </c>
      <c r="AL76" s="17"/>
      <c r="AM76" s="17"/>
      <c r="AN76" s="17"/>
      <c r="AO76" s="17"/>
      <c r="AP76" s="17"/>
      <c r="AQ76" s="17"/>
      <c r="AR76" s="17"/>
      <c r="AS76" s="17"/>
      <c r="AT76" s="17"/>
      <c r="AU76" s="17"/>
      <c r="AV76" s="17"/>
    </row>
    <row r="77" spans="1:48" ht="15.75" customHeight="1">
      <c r="A77" s="21" t="s">
        <v>35</v>
      </c>
      <c r="B77" s="23" t="s">
        <v>1692</v>
      </c>
      <c r="C77" s="22">
        <v>45913</v>
      </c>
      <c r="D77" s="23" t="s">
        <v>118</v>
      </c>
      <c r="E77" s="23" t="s">
        <v>46</v>
      </c>
      <c r="F77" s="21">
        <v>1</v>
      </c>
      <c r="G77" s="12">
        <f>VLOOKUP(E77,Precios!B$2:N$941,12,FALSE)</f>
        <v>6000.1548227279782</v>
      </c>
      <c r="H77" s="12">
        <f t="shared" si="0"/>
        <v>6000.1548227279782</v>
      </c>
      <c r="I77" s="23" t="s">
        <v>52</v>
      </c>
      <c r="J77" s="23" t="s">
        <v>61</v>
      </c>
      <c r="K77" s="24" t="s">
        <v>177</v>
      </c>
      <c r="L77" s="11"/>
      <c r="M77" s="12">
        <f t="shared" ref="M77:N77" si="82">G77/1.19</f>
        <v>5042.1469098554444</v>
      </c>
      <c r="N77" s="12">
        <f t="shared" si="82"/>
        <v>5042.1469098554444</v>
      </c>
      <c r="O77" s="12">
        <f t="shared" si="2"/>
        <v>958.00791287253378</v>
      </c>
      <c r="P77" s="13"/>
      <c r="Q77" s="14">
        <f t="shared" si="3"/>
        <v>2025</v>
      </c>
      <c r="R77" s="15">
        <f>VLOOKUP(MONTH(C77),'Datos Maestros'!M$2:N$14,2,FALSE)</f>
        <v>45536</v>
      </c>
      <c r="S77" s="11" t="str">
        <f>VLOOKUP(E77,Precios!B$2:W$941,3,FALSE)</f>
        <v>Queso Mantecoso</v>
      </c>
      <c r="T77" s="16">
        <f>VLOOKUP(E77,Precios!B$2:N$941,4,FALSE)*F77</f>
        <v>500</v>
      </c>
      <c r="U77" s="17"/>
      <c r="V77" s="12">
        <f>VLOOKUP(E77,Precios!B$2:N$941,13,FALSE)*F77</f>
        <v>1785.4242207798129</v>
      </c>
      <c r="W77" s="12">
        <f t="shared" si="4"/>
        <v>1785.4242207798129</v>
      </c>
      <c r="X77" s="12">
        <f>VLOOKUP(B77,'Datos Maestros'!$C$2:$D$7,2,FALSE)*V77</f>
        <v>0</v>
      </c>
      <c r="Y77" s="18">
        <f t="shared" si="5"/>
        <v>45908</v>
      </c>
      <c r="Z77" s="13" t="s">
        <v>39</v>
      </c>
      <c r="AA77" s="19" t="str">
        <f>VLOOKUP(D77,Clientes!$A$2:$J$486,9,FALSE)</f>
        <v>Ocacional</v>
      </c>
      <c r="AB77" s="13" t="str">
        <f>VLOOKUP(D77,Clientes!$A$2:$K$486,11,FALSE)</f>
        <v>Persona Natural</v>
      </c>
      <c r="AC77" s="13" t="str">
        <f>VLOOKUP(D77,Clientes!$A$2:$B$486,2,FALSE)</f>
        <v>Geronimo Alderete</v>
      </c>
      <c r="AD77" s="20"/>
      <c r="AE77" s="20"/>
      <c r="AF77" s="13" t="s">
        <v>40</v>
      </c>
      <c r="AG77" s="15">
        <f t="shared" si="6"/>
        <v>45536</v>
      </c>
      <c r="AH77" s="13" t="s">
        <v>41</v>
      </c>
      <c r="AI77" s="13" t="str">
        <f t="shared" si="7"/>
        <v>Quesos</v>
      </c>
      <c r="AJ77" s="13" t="str">
        <f>VLOOKUP(E77,Precios!Z$2:AA$941,2,FALSE)</f>
        <v>Queso RUNCA Mantecoso</v>
      </c>
      <c r="AK77" s="14">
        <f>VLOOKUP(E77,Precios!Z$2:BB$941,3,FALSE)*F77</f>
        <v>-0.5</v>
      </c>
      <c r="AL77" s="17"/>
      <c r="AM77" s="17"/>
      <c r="AN77" s="17"/>
      <c r="AO77" s="17"/>
      <c r="AP77" s="17"/>
      <c r="AQ77" s="17"/>
      <c r="AR77" s="17"/>
      <c r="AS77" s="17"/>
      <c r="AT77" s="17"/>
      <c r="AU77" s="17"/>
      <c r="AV77" s="17"/>
    </row>
    <row r="78" spans="1:48" ht="15.75" customHeight="1">
      <c r="A78" s="21" t="s">
        <v>43</v>
      </c>
      <c r="B78" s="23" t="s">
        <v>1692</v>
      </c>
      <c r="C78" s="22">
        <v>45913</v>
      </c>
      <c r="D78" s="23" t="s">
        <v>118</v>
      </c>
      <c r="E78" s="23" t="s">
        <v>45</v>
      </c>
      <c r="F78" s="21">
        <v>2</v>
      </c>
      <c r="G78" s="12">
        <f>VLOOKUP(E78,Precios!B$2:N$941,12,FALSE)</f>
        <v>8000.1831784723063</v>
      </c>
      <c r="H78" s="12">
        <f t="shared" si="0"/>
        <v>16000.366356944613</v>
      </c>
      <c r="I78" s="23" t="s">
        <v>52</v>
      </c>
      <c r="J78" s="23" t="s">
        <v>61</v>
      </c>
      <c r="K78" s="24" t="s">
        <v>177</v>
      </c>
      <c r="L78" s="11"/>
      <c r="M78" s="12">
        <f t="shared" ref="M78:N78" si="83">G78/1.19</f>
        <v>6722.8430071195853</v>
      </c>
      <c r="N78" s="12">
        <f t="shared" si="83"/>
        <v>13445.686014239171</v>
      </c>
      <c r="O78" s="12">
        <f t="shared" si="2"/>
        <v>2554.6803427054419</v>
      </c>
      <c r="P78" s="13"/>
      <c r="Q78" s="14">
        <f t="shared" si="3"/>
        <v>2025</v>
      </c>
      <c r="R78" s="15">
        <f>VLOOKUP(MONTH(C78),'Datos Maestros'!M$2:N$14,2,FALSE)</f>
        <v>45536</v>
      </c>
      <c r="S78" s="11" t="str">
        <f>VLOOKUP(E78,Precios!B$2:W$941,3,FALSE)</f>
        <v>Huevos EXTRA</v>
      </c>
      <c r="T78" s="16">
        <f>VLOOKUP(E78,Precios!B$2:N$941,4,FALSE)*F78</f>
        <v>0</v>
      </c>
      <c r="U78" s="17"/>
      <c r="V78" s="12">
        <f>VLOOKUP(E78,Precios!B$2:N$941,13,FALSE)*F78</f>
        <v>2303.2460142391701</v>
      </c>
      <c r="W78" s="12">
        <f t="shared" si="4"/>
        <v>2303.2460142391701</v>
      </c>
      <c r="X78" s="12">
        <f>VLOOKUP(B78,'Datos Maestros'!$C$2:$D$7,2,FALSE)*V78</f>
        <v>0</v>
      </c>
      <c r="Y78" s="18">
        <f t="shared" si="5"/>
        <v>45908</v>
      </c>
      <c r="Z78" s="13" t="s">
        <v>39</v>
      </c>
      <c r="AA78" s="19" t="str">
        <f>VLOOKUP(D78,Clientes!$A$2:$J$486,9,FALSE)</f>
        <v>Ocacional</v>
      </c>
      <c r="AB78" s="13" t="str">
        <f>VLOOKUP(D78,Clientes!$A$2:$K$486,11,FALSE)</f>
        <v>Persona Natural</v>
      </c>
      <c r="AC78" s="13" t="str">
        <f>VLOOKUP(D78,Clientes!$A$2:$B$486,2,FALSE)</f>
        <v>Geronimo Alderete</v>
      </c>
      <c r="AD78" s="20"/>
      <c r="AE78" s="20"/>
      <c r="AF78" s="13" t="s">
        <v>40</v>
      </c>
      <c r="AG78" s="15">
        <f t="shared" si="6"/>
        <v>45536</v>
      </c>
      <c r="AH78" s="13" t="s">
        <v>41</v>
      </c>
      <c r="AI78" s="13" t="str">
        <f t="shared" si="7"/>
        <v>Huevos</v>
      </c>
      <c r="AJ78" s="13" t="str">
        <f>VLOOKUP(E78,Precios!Z$2:AA$941,2,FALSE)</f>
        <v>Bandeja Huevos EXTRA</v>
      </c>
      <c r="AK78" s="14">
        <f>VLOOKUP(E78,Precios!Z$2:BB$941,3,FALSE)*F78</f>
        <v>-2</v>
      </c>
      <c r="AL78" s="17"/>
      <c r="AM78" s="17"/>
      <c r="AN78" s="17"/>
      <c r="AO78" s="17"/>
      <c r="AP78" s="17"/>
      <c r="AQ78" s="17"/>
      <c r="AR78" s="17"/>
      <c r="AS78" s="17"/>
      <c r="AT78" s="17"/>
      <c r="AU78" s="17"/>
      <c r="AV78" s="17"/>
    </row>
    <row r="79" spans="1:48" ht="15.75" customHeight="1">
      <c r="A79" s="21" t="s">
        <v>64</v>
      </c>
      <c r="B79" s="23" t="s">
        <v>1692</v>
      </c>
      <c r="C79" s="22">
        <v>45913</v>
      </c>
      <c r="D79" s="23" t="s">
        <v>119</v>
      </c>
      <c r="E79" s="23" t="s">
        <v>65</v>
      </c>
      <c r="F79" s="21">
        <v>1</v>
      </c>
      <c r="G79" s="12">
        <f>VLOOKUP(E79,Precios!B$2:N$941,12,FALSE)</f>
        <v>8200.2358799633075</v>
      </c>
      <c r="H79" s="12">
        <f t="shared" si="0"/>
        <v>8200.2358799633075</v>
      </c>
      <c r="I79" s="23" t="s">
        <v>52</v>
      </c>
      <c r="J79" s="23" t="s">
        <v>61</v>
      </c>
      <c r="K79" s="24" t="s">
        <v>177</v>
      </c>
      <c r="L79" s="11"/>
      <c r="M79" s="12">
        <f t="shared" ref="M79:N79" si="84">G79/1.19</f>
        <v>6890.9545209775697</v>
      </c>
      <c r="N79" s="12">
        <f t="shared" si="84"/>
        <v>6890.9545209775697</v>
      </c>
      <c r="O79" s="12">
        <f t="shared" si="2"/>
        <v>1309.2813589857378</v>
      </c>
      <c r="P79" s="13"/>
      <c r="Q79" s="14">
        <f t="shared" si="3"/>
        <v>2025</v>
      </c>
      <c r="R79" s="15">
        <f>VLOOKUP(MONTH(C79),'Datos Maestros'!M$2:N$14,2,FALSE)</f>
        <v>45536</v>
      </c>
      <c r="S79" s="11" t="str">
        <f>VLOOKUP(E79,Precios!B$2:W$941,3,FALSE)</f>
        <v>Longanizas</v>
      </c>
      <c r="T79" s="16">
        <f>VLOOKUP(E79,Precios!B$2:N$941,4,FALSE)*F79</f>
        <v>1</v>
      </c>
      <c r="U79" s="17"/>
      <c r="V79" s="12">
        <f>VLOOKUP(E79,Precios!B$2:N$941,13,FALSE)*F79</f>
        <v>1632.4671260195864</v>
      </c>
      <c r="W79" s="12">
        <f t="shared" si="4"/>
        <v>1632.4671260195864</v>
      </c>
      <c r="X79" s="12">
        <f>VLOOKUP(B79,'Datos Maestros'!$C$2:$D$7,2,FALSE)*V79</f>
        <v>0</v>
      </c>
      <c r="Y79" s="18">
        <f t="shared" si="5"/>
        <v>45908</v>
      </c>
      <c r="Z79" s="13" t="s">
        <v>39</v>
      </c>
      <c r="AA79" s="19" t="str">
        <f>VLOOKUP(D79,Clientes!$A$2:$J$486,9,FALSE)</f>
        <v>Ocacional</v>
      </c>
      <c r="AB79" s="13" t="str">
        <f>VLOOKUP(D79,Clientes!$A$2:$K$486,11,FALSE)</f>
        <v>Persona Natural</v>
      </c>
      <c r="AC79" s="13" t="str">
        <f>VLOOKUP(D79,Clientes!$A$2:$B$486,2,FALSE)</f>
        <v>Conjunto Ingles</v>
      </c>
      <c r="AD79" s="20"/>
      <c r="AE79" s="20"/>
      <c r="AF79" s="13" t="s">
        <v>40</v>
      </c>
      <c r="AG79" s="15">
        <f t="shared" si="6"/>
        <v>45536</v>
      </c>
      <c r="AH79" s="13" t="s">
        <v>41</v>
      </c>
      <c r="AI79" s="13" t="str">
        <f t="shared" si="7"/>
        <v>Longanizas</v>
      </c>
      <c r="AJ79" s="13" t="str">
        <f>VLOOKUP(E79,Precios!Z$2:AA$941,2,FALSE)</f>
        <v>Longanizas VILLABLANCA</v>
      </c>
      <c r="AK79" s="14">
        <f>VLOOKUP(E79,Precios!Z$2:BB$941,3,FALSE)*F79</f>
        <v>-1</v>
      </c>
      <c r="AL79" s="17"/>
      <c r="AM79" s="17"/>
      <c r="AN79" s="17"/>
      <c r="AO79" s="17"/>
      <c r="AP79" s="17"/>
      <c r="AQ79" s="17"/>
      <c r="AR79" s="17"/>
      <c r="AS79" s="17"/>
      <c r="AT79" s="17"/>
      <c r="AU79" s="17"/>
      <c r="AV79" s="17"/>
    </row>
    <row r="80" spans="1:48" ht="15.75" customHeight="1">
      <c r="A80" s="21" t="s">
        <v>76</v>
      </c>
      <c r="B80" s="23" t="s">
        <v>1692</v>
      </c>
      <c r="C80" s="22">
        <v>45913</v>
      </c>
      <c r="D80" s="23" t="s">
        <v>120</v>
      </c>
      <c r="E80" s="23" t="s">
        <v>82</v>
      </c>
      <c r="F80" s="21">
        <v>1</v>
      </c>
      <c r="G80" s="12">
        <f>VLOOKUP(E80,Precios!B$2:N$941,12,FALSE)</f>
        <v>2000.0000000000002</v>
      </c>
      <c r="H80" s="12">
        <f t="shared" si="0"/>
        <v>2000.0000000000002</v>
      </c>
      <c r="I80" s="23" t="s">
        <v>52</v>
      </c>
      <c r="J80" s="13" t="s">
        <v>38</v>
      </c>
      <c r="K80" s="24" t="s">
        <v>177</v>
      </c>
      <c r="L80" s="11"/>
      <c r="M80" s="12">
        <f t="shared" ref="M80:N80" si="85">G80/1.19</f>
        <v>1680.6722689075632</v>
      </c>
      <c r="N80" s="12">
        <f t="shared" si="85"/>
        <v>1680.6722689075632</v>
      </c>
      <c r="O80" s="12">
        <f t="shared" si="2"/>
        <v>319.32773109243703</v>
      </c>
      <c r="P80" s="13"/>
      <c r="Q80" s="14">
        <f t="shared" si="3"/>
        <v>2025</v>
      </c>
      <c r="R80" s="15">
        <f>VLOOKUP(MONTH(C80),'Datos Maestros'!M$2:N$14,2,FALSE)</f>
        <v>45536</v>
      </c>
      <c r="S80" s="11" t="str">
        <f>VLOOKUP(E80,Precios!B$2:W$941,3,FALSE)</f>
        <v>Limpiapiso</v>
      </c>
      <c r="T80" s="16">
        <f>VLOOKUP(E80,Precios!B$2:N$941,4,FALSE)*F80</f>
        <v>5</v>
      </c>
      <c r="U80" s="17"/>
      <c r="V80" s="12">
        <f>VLOOKUP(E80,Precios!B$2:N$941,13,FALSE)*F80</f>
        <v>680.67226890756319</v>
      </c>
      <c r="W80" s="12">
        <f t="shared" si="4"/>
        <v>680.67226890756319</v>
      </c>
      <c r="X80" s="12">
        <f>VLOOKUP(B80,'Datos Maestros'!$C$2:$D$7,2,FALSE)*V80</f>
        <v>0</v>
      </c>
      <c r="Y80" s="18">
        <f t="shared" si="5"/>
        <v>45908</v>
      </c>
      <c r="Z80" s="13" t="s">
        <v>39</v>
      </c>
      <c r="AA80" s="19" t="str">
        <f>VLOOKUP(D80,Clientes!$A$2:$J$486,9,FALSE)</f>
        <v>Ocacional</v>
      </c>
      <c r="AB80" s="13" t="str">
        <f>VLOOKUP(D80,Clientes!$A$2:$K$486,11,FALSE)</f>
        <v>Persona Natural</v>
      </c>
      <c r="AC80" s="13" t="str">
        <f>VLOOKUP(D80,Clientes!$A$2:$B$486,2,FALSE)</f>
        <v>Jardines de la viña</v>
      </c>
      <c r="AD80" s="20"/>
      <c r="AE80" s="20"/>
      <c r="AF80" s="13" t="s">
        <v>40</v>
      </c>
      <c r="AG80" s="15">
        <f t="shared" si="6"/>
        <v>45536</v>
      </c>
      <c r="AH80" s="13" t="s">
        <v>41</v>
      </c>
      <c r="AI80" s="13" t="str">
        <f t="shared" si="7"/>
        <v>Detergentes</v>
      </c>
      <c r="AJ80" s="13" t="str">
        <f>VLOOKUP(E80,Precios!Z$2:AA$941,2,FALSE)</f>
        <v>Limpiapiso SPUM 5 Litros</v>
      </c>
      <c r="AK80" s="14">
        <f>VLOOKUP(E80,Precios!Z$2:BB$941,3,FALSE)*F80</f>
        <v>-1</v>
      </c>
      <c r="AL80" s="17"/>
      <c r="AM80" s="17"/>
      <c r="AN80" s="17"/>
      <c r="AO80" s="17"/>
      <c r="AP80" s="17"/>
      <c r="AQ80" s="17"/>
      <c r="AR80" s="17"/>
      <c r="AS80" s="17"/>
      <c r="AT80" s="17"/>
      <c r="AU80" s="17"/>
      <c r="AV80" s="17"/>
    </row>
    <row r="81" spans="1:48" ht="15.75" customHeight="1">
      <c r="A81" s="21" t="s">
        <v>76</v>
      </c>
      <c r="B81" s="23" t="s">
        <v>1692</v>
      </c>
      <c r="C81" s="22">
        <v>45913</v>
      </c>
      <c r="D81" s="23" t="s">
        <v>120</v>
      </c>
      <c r="E81" s="23" t="s">
        <v>110</v>
      </c>
      <c r="F81" s="21">
        <v>1</v>
      </c>
      <c r="G81" s="12">
        <f>VLOOKUP(E81,Precios!B$2:N$941,12,FALSE)</f>
        <v>2000.0000000000005</v>
      </c>
      <c r="H81" s="12">
        <f t="shared" si="0"/>
        <v>2000.0000000000005</v>
      </c>
      <c r="I81" s="23" t="s">
        <v>52</v>
      </c>
      <c r="J81" s="13" t="s">
        <v>38</v>
      </c>
      <c r="K81" s="24" t="s">
        <v>177</v>
      </c>
      <c r="L81" s="11"/>
      <c r="M81" s="12">
        <f t="shared" ref="M81:N81" si="86">G81/1.19</f>
        <v>1680.6722689075634</v>
      </c>
      <c r="N81" s="12">
        <f t="shared" si="86"/>
        <v>1680.6722689075634</v>
      </c>
      <c r="O81" s="12">
        <f t="shared" si="2"/>
        <v>319.32773109243703</v>
      </c>
      <c r="P81" s="13"/>
      <c r="Q81" s="14">
        <f t="shared" si="3"/>
        <v>2025</v>
      </c>
      <c r="R81" s="15">
        <f>VLOOKUP(MONTH(C81),'Datos Maestros'!M$2:N$14,2,FALSE)</f>
        <v>45536</v>
      </c>
      <c r="S81" s="11" t="str">
        <f>VLOOKUP(E81,Precios!B$2:W$941,3,FALSE)</f>
        <v>Cloro</v>
      </c>
      <c r="T81" s="16">
        <f>VLOOKUP(E81,Precios!B$2:N$941,4,FALSE)*F81</f>
        <v>5</v>
      </c>
      <c r="U81" s="17"/>
      <c r="V81" s="12">
        <f>VLOOKUP(E81,Precios!B$2:N$941,13,FALSE)*F81</f>
        <v>756.30252100840369</v>
      </c>
      <c r="W81" s="12">
        <f t="shared" si="4"/>
        <v>756.30252100840369</v>
      </c>
      <c r="X81" s="12">
        <f>VLOOKUP(B81,'Datos Maestros'!$C$2:$D$7,2,FALSE)*V81</f>
        <v>0</v>
      </c>
      <c r="Y81" s="18">
        <f t="shared" si="5"/>
        <v>45908</v>
      </c>
      <c r="Z81" s="13" t="s">
        <v>39</v>
      </c>
      <c r="AA81" s="19" t="str">
        <f>VLOOKUP(D81,Clientes!$A$2:$J$486,9,FALSE)</f>
        <v>Ocacional</v>
      </c>
      <c r="AB81" s="13" t="str">
        <f>VLOOKUP(D81,Clientes!$A$2:$K$486,11,FALSE)</f>
        <v>Persona Natural</v>
      </c>
      <c r="AC81" s="13" t="str">
        <f>VLOOKUP(D81,Clientes!$A$2:$B$486,2,FALSE)</f>
        <v>Jardines de la viña</v>
      </c>
      <c r="AD81" s="20"/>
      <c r="AE81" s="20"/>
      <c r="AF81" s="13" t="s">
        <v>40</v>
      </c>
      <c r="AG81" s="15">
        <f t="shared" si="6"/>
        <v>45536</v>
      </c>
      <c r="AH81" s="13" t="s">
        <v>41</v>
      </c>
      <c r="AI81" s="13" t="str">
        <f t="shared" si="7"/>
        <v>Detergentes</v>
      </c>
      <c r="AJ81" s="13" t="str">
        <f>VLOOKUP(E81,Precios!Z$2:AA$941,2,FALSE)</f>
        <v>Cloro SPUM 5 Litros</v>
      </c>
      <c r="AK81" s="14">
        <f>VLOOKUP(E81,Precios!Z$2:BB$941,3,FALSE)*F81</f>
        <v>-1</v>
      </c>
      <c r="AL81" s="17"/>
      <c r="AM81" s="17"/>
      <c r="AN81" s="17"/>
      <c r="AO81" s="17"/>
      <c r="AP81" s="17"/>
      <c r="AQ81" s="17"/>
      <c r="AR81" s="17"/>
      <c r="AS81" s="17"/>
      <c r="AT81" s="17"/>
      <c r="AU81" s="17"/>
      <c r="AV81" s="17"/>
    </row>
    <row r="82" spans="1:48" ht="15.75" customHeight="1">
      <c r="A82" s="21" t="s">
        <v>35</v>
      </c>
      <c r="B82" s="23" t="s">
        <v>1692</v>
      </c>
      <c r="C82" s="22">
        <v>45913</v>
      </c>
      <c r="D82" s="23" t="s">
        <v>58</v>
      </c>
      <c r="E82" s="23" t="s">
        <v>37</v>
      </c>
      <c r="F82" s="21">
        <v>1</v>
      </c>
      <c r="G82" s="12">
        <f>VLOOKUP(E82,Precios!B$2:N$941,12,FALSE)</f>
        <v>11000.014358944907</v>
      </c>
      <c r="H82" s="12">
        <f t="shared" si="0"/>
        <v>11000.014358944907</v>
      </c>
      <c r="I82" s="23" t="s">
        <v>52</v>
      </c>
      <c r="J82" s="23" t="s">
        <v>61</v>
      </c>
      <c r="K82" s="24" t="s">
        <v>177</v>
      </c>
      <c r="L82" s="11"/>
      <c r="M82" s="12">
        <f t="shared" ref="M82:N82" si="87">G82/1.19</f>
        <v>9243.7095453318543</v>
      </c>
      <c r="N82" s="12">
        <f t="shared" si="87"/>
        <v>9243.7095453318543</v>
      </c>
      <c r="O82" s="12">
        <f t="shared" si="2"/>
        <v>1756.3048136130528</v>
      </c>
      <c r="P82" s="13"/>
      <c r="Q82" s="14">
        <f t="shared" si="3"/>
        <v>2025</v>
      </c>
      <c r="R82" s="15">
        <f>VLOOKUP(MONTH(C82),'Datos Maestros'!M$2:N$14,2,FALSE)</f>
        <v>45536</v>
      </c>
      <c r="S82" s="11" t="str">
        <f>VLOOKUP(E82,Precios!B$2:W$941,3,FALSE)</f>
        <v>Queso Mantecoso</v>
      </c>
      <c r="T82" s="16">
        <f>VLOOKUP(E82,Precios!B$2:N$941,4,FALSE)*F82</f>
        <v>1000</v>
      </c>
      <c r="U82" s="17"/>
      <c r="V82" s="12">
        <f>VLOOKUP(E82,Precios!B$2:N$941,13,FALSE)*F82</f>
        <v>2806.1129066763915</v>
      </c>
      <c r="W82" s="12">
        <f t="shared" si="4"/>
        <v>2806.1129066763915</v>
      </c>
      <c r="X82" s="12">
        <f>VLOOKUP(B82,'Datos Maestros'!$C$2:$D$7,2,FALSE)*V82</f>
        <v>0</v>
      </c>
      <c r="Y82" s="18">
        <f t="shared" si="5"/>
        <v>45908</v>
      </c>
      <c r="Z82" s="13" t="s">
        <v>39</v>
      </c>
      <c r="AA82" s="19" t="str">
        <f>VLOOKUP(D82,Clientes!$A$2:$J$486,9,FALSE)</f>
        <v>Regular</v>
      </c>
      <c r="AB82" s="13" t="str">
        <f>VLOOKUP(D82,Clientes!$A$2:$K$486,11,FALSE)</f>
        <v>Persona Natural</v>
      </c>
      <c r="AC82" s="13" t="str">
        <f>VLOOKUP(D82,Clientes!$A$2:$B$486,2,FALSE)</f>
        <v>Jardines de la Viña</v>
      </c>
      <c r="AD82" s="20"/>
      <c r="AE82" s="20"/>
      <c r="AF82" s="13" t="s">
        <v>40</v>
      </c>
      <c r="AG82" s="15">
        <f t="shared" si="6"/>
        <v>45536</v>
      </c>
      <c r="AH82" s="13" t="s">
        <v>41</v>
      </c>
      <c r="AI82" s="13" t="str">
        <f t="shared" si="7"/>
        <v>Quesos</v>
      </c>
      <c r="AJ82" s="13" t="str">
        <f>VLOOKUP(E82,Precios!Z$2:AA$941,2,FALSE)</f>
        <v>Queso RUNCA Mantecoso</v>
      </c>
      <c r="AK82" s="14">
        <f>VLOOKUP(E82,Precios!Z$2:BB$941,3,FALSE)*F82</f>
        <v>-1</v>
      </c>
      <c r="AL82" s="17"/>
      <c r="AM82" s="17"/>
      <c r="AN82" s="17"/>
      <c r="AO82" s="17"/>
      <c r="AP82" s="17"/>
      <c r="AQ82" s="17"/>
      <c r="AR82" s="17"/>
      <c r="AS82" s="17"/>
      <c r="AT82" s="17"/>
      <c r="AU82" s="17"/>
      <c r="AV82" s="17"/>
    </row>
    <row r="83" spans="1:48" ht="15.75" customHeight="1">
      <c r="A83" s="21" t="s">
        <v>35</v>
      </c>
      <c r="B83" s="23" t="s">
        <v>1692</v>
      </c>
      <c r="C83" s="22">
        <v>45913</v>
      </c>
      <c r="D83" s="23" t="s">
        <v>121</v>
      </c>
      <c r="E83" s="23" t="s">
        <v>37</v>
      </c>
      <c r="F83" s="21">
        <v>1</v>
      </c>
      <c r="G83" s="12">
        <f>VLOOKUP(E83,Precios!B$2:N$941,12,FALSE)</f>
        <v>11000.014358944907</v>
      </c>
      <c r="H83" s="12">
        <f t="shared" si="0"/>
        <v>11000.014358944907</v>
      </c>
      <c r="I83" s="23" t="s">
        <v>52</v>
      </c>
      <c r="J83" s="13" t="s">
        <v>38</v>
      </c>
      <c r="K83" s="24" t="s">
        <v>177</v>
      </c>
      <c r="L83" s="11"/>
      <c r="M83" s="12">
        <f t="shared" ref="M83:N83" si="88">G83/1.19</f>
        <v>9243.7095453318543</v>
      </c>
      <c r="N83" s="12">
        <f t="shared" si="88"/>
        <v>9243.7095453318543</v>
      </c>
      <c r="O83" s="12">
        <f t="shared" si="2"/>
        <v>1756.3048136130528</v>
      </c>
      <c r="P83" s="13"/>
      <c r="Q83" s="14">
        <f t="shared" si="3"/>
        <v>2025</v>
      </c>
      <c r="R83" s="15">
        <f>VLOOKUP(MONTH(C83),'Datos Maestros'!M$2:N$14,2,FALSE)</f>
        <v>45536</v>
      </c>
      <c r="S83" s="11" t="str">
        <f>VLOOKUP(E83,Precios!B$2:W$941,3,FALSE)</f>
        <v>Queso Mantecoso</v>
      </c>
      <c r="T83" s="16">
        <f>VLOOKUP(E83,Precios!B$2:N$941,4,FALSE)*F83</f>
        <v>1000</v>
      </c>
      <c r="U83" s="17"/>
      <c r="V83" s="12">
        <f>VLOOKUP(E83,Precios!B$2:N$941,13,FALSE)*F83</f>
        <v>2806.1129066763915</v>
      </c>
      <c r="W83" s="12">
        <f t="shared" si="4"/>
        <v>2806.1129066763915</v>
      </c>
      <c r="X83" s="12">
        <f>VLOOKUP(B83,'Datos Maestros'!$C$2:$D$7,2,FALSE)*V83</f>
        <v>0</v>
      </c>
      <c r="Y83" s="18">
        <f t="shared" si="5"/>
        <v>45908</v>
      </c>
      <c r="Z83" s="13" t="s">
        <v>39</v>
      </c>
      <c r="AA83" s="19" t="str">
        <f>VLOOKUP(D83,Clientes!$A$2:$J$486,9,FALSE)</f>
        <v>Ocacional</v>
      </c>
      <c r="AB83" s="13" t="str">
        <f>VLOOKUP(D83,Clientes!$A$2:$K$486,11,FALSE)</f>
        <v>Persona Natural</v>
      </c>
      <c r="AC83" s="13" t="str">
        <f>VLOOKUP(D83,Clientes!$A$2:$B$486,2,FALSE)</f>
        <v>Sector Las Clarisas</v>
      </c>
      <c r="AD83" s="20"/>
      <c r="AE83" s="20"/>
      <c r="AF83" s="13" t="s">
        <v>40</v>
      </c>
      <c r="AG83" s="15">
        <f t="shared" si="6"/>
        <v>45536</v>
      </c>
      <c r="AH83" s="13" t="s">
        <v>41</v>
      </c>
      <c r="AI83" s="13" t="str">
        <f t="shared" si="7"/>
        <v>Quesos</v>
      </c>
      <c r="AJ83" s="13" t="str">
        <f>VLOOKUP(E83,Precios!Z$2:AA$941,2,FALSE)</f>
        <v>Queso RUNCA Mantecoso</v>
      </c>
      <c r="AK83" s="14">
        <f>VLOOKUP(E83,Precios!Z$2:BB$941,3,FALSE)*F83</f>
        <v>-1</v>
      </c>
      <c r="AL83" s="17"/>
      <c r="AM83" s="17"/>
      <c r="AN83" s="17"/>
      <c r="AO83" s="17"/>
      <c r="AP83" s="17"/>
      <c r="AQ83" s="17"/>
      <c r="AR83" s="17"/>
      <c r="AS83" s="17"/>
      <c r="AT83" s="17"/>
      <c r="AU83" s="17"/>
      <c r="AV83" s="17"/>
    </row>
    <row r="84" spans="1:48" ht="15.75" customHeight="1">
      <c r="A84" s="21" t="s">
        <v>43</v>
      </c>
      <c r="B84" s="23" t="s">
        <v>1692</v>
      </c>
      <c r="C84" s="22">
        <v>45913</v>
      </c>
      <c r="D84" s="23" t="s">
        <v>121</v>
      </c>
      <c r="E84" s="23" t="s">
        <v>45</v>
      </c>
      <c r="F84" s="21">
        <v>1</v>
      </c>
      <c r="G84" s="12">
        <f>VLOOKUP(E84,Precios!B$2:N$941,12,FALSE)</f>
        <v>8000.1831784723063</v>
      </c>
      <c r="H84" s="12">
        <f t="shared" si="0"/>
        <v>8000.1831784723063</v>
      </c>
      <c r="I84" s="23" t="s">
        <v>52</v>
      </c>
      <c r="J84" s="13" t="s">
        <v>38</v>
      </c>
      <c r="K84" s="24" t="s">
        <v>177</v>
      </c>
      <c r="L84" s="11"/>
      <c r="M84" s="12">
        <f t="shared" ref="M84:N84" si="89">G84/1.19</f>
        <v>6722.8430071195853</v>
      </c>
      <c r="N84" s="12">
        <f t="shared" si="89"/>
        <v>6722.8430071195853</v>
      </c>
      <c r="O84" s="12">
        <f t="shared" si="2"/>
        <v>1277.340171352721</v>
      </c>
      <c r="P84" s="13"/>
      <c r="Q84" s="14">
        <f t="shared" si="3"/>
        <v>2025</v>
      </c>
      <c r="R84" s="15">
        <f>VLOOKUP(MONTH(C84),'Datos Maestros'!M$2:N$14,2,FALSE)</f>
        <v>45536</v>
      </c>
      <c r="S84" s="11" t="str">
        <f>VLOOKUP(E84,Precios!B$2:W$941,3,FALSE)</f>
        <v>Huevos EXTRA</v>
      </c>
      <c r="T84" s="16">
        <f>VLOOKUP(E84,Precios!B$2:N$941,4,FALSE)*F84</f>
        <v>0</v>
      </c>
      <c r="U84" s="17"/>
      <c r="V84" s="12">
        <f>VLOOKUP(E84,Precios!B$2:N$941,13,FALSE)*F84</f>
        <v>1151.6230071195851</v>
      </c>
      <c r="W84" s="12">
        <f t="shared" si="4"/>
        <v>1151.6230071195851</v>
      </c>
      <c r="X84" s="12">
        <f>VLOOKUP(B84,'Datos Maestros'!$C$2:$D$7,2,FALSE)*V84</f>
        <v>0</v>
      </c>
      <c r="Y84" s="18">
        <f t="shared" si="5"/>
        <v>45908</v>
      </c>
      <c r="Z84" s="13" t="s">
        <v>39</v>
      </c>
      <c r="AA84" s="19" t="str">
        <f>VLOOKUP(D84,Clientes!$A$2:$J$486,9,FALSE)</f>
        <v>Ocacional</v>
      </c>
      <c r="AB84" s="13" t="str">
        <f>VLOOKUP(D84,Clientes!$A$2:$K$486,11,FALSE)</f>
        <v>Persona Natural</v>
      </c>
      <c r="AC84" s="13" t="str">
        <f>VLOOKUP(D84,Clientes!$A$2:$B$486,2,FALSE)</f>
        <v>Sector Las Clarisas</v>
      </c>
      <c r="AD84" s="20"/>
      <c r="AE84" s="20"/>
      <c r="AF84" s="13" t="s">
        <v>40</v>
      </c>
      <c r="AG84" s="15">
        <f t="shared" si="6"/>
        <v>45536</v>
      </c>
      <c r="AH84" s="13" t="s">
        <v>41</v>
      </c>
      <c r="AI84" s="13" t="str">
        <f t="shared" si="7"/>
        <v>Huevos</v>
      </c>
      <c r="AJ84" s="13" t="str">
        <f>VLOOKUP(E84,Precios!Z$2:AA$941,2,FALSE)</f>
        <v>Bandeja Huevos EXTRA</v>
      </c>
      <c r="AK84" s="14">
        <f>VLOOKUP(E84,Precios!Z$2:BB$941,3,FALSE)*F84</f>
        <v>-1</v>
      </c>
      <c r="AL84" s="17"/>
      <c r="AM84" s="17"/>
      <c r="AN84" s="17"/>
      <c r="AO84" s="17"/>
      <c r="AP84" s="17"/>
      <c r="AQ84" s="17"/>
      <c r="AR84" s="17"/>
      <c r="AS84" s="17"/>
      <c r="AT84" s="17"/>
      <c r="AU84" s="17"/>
      <c r="AV84" s="17"/>
    </row>
    <row r="85" spans="1:48" ht="15.75" customHeight="1">
      <c r="A85" s="21" t="s">
        <v>35</v>
      </c>
      <c r="B85" s="23" t="s">
        <v>1692</v>
      </c>
      <c r="C85" s="22">
        <v>45913</v>
      </c>
      <c r="D85" s="23" t="s">
        <v>122</v>
      </c>
      <c r="E85" s="23" t="s">
        <v>37</v>
      </c>
      <c r="F85" s="21">
        <v>1</v>
      </c>
      <c r="G85" s="12">
        <f>VLOOKUP(E85,Precios!B$2:N$941,12,FALSE)</f>
        <v>11000.014358944907</v>
      </c>
      <c r="H85" s="12">
        <f t="shared" si="0"/>
        <v>11000.014358944907</v>
      </c>
      <c r="I85" s="23" t="s">
        <v>52</v>
      </c>
      <c r="J85" s="23" t="s">
        <v>61</v>
      </c>
      <c r="K85" s="24" t="s">
        <v>177</v>
      </c>
      <c r="L85" s="11"/>
      <c r="M85" s="12">
        <f t="shared" ref="M85:N85" si="90">G85/1.19</f>
        <v>9243.7095453318543</v>
      </c>
      <c r="N85" s="12">
        <f t="shared" si="90"/>
        <v>9243.7095453318543</v>
      </c>
      <c r="O85" s="12">
        <f t="shared" si="2"/>
        <v>1756.3048136130528</v>
      </c>
      <c r="P85" s="13"/>
      <c r="Q85" s="14">
        <f t="shared" si="3"/>
        <v>2025</v>
      </c>
      <c r="R85" s="15">
        <f>VLOOKUP(MONTH(C85),'Datos Maestros'!M$2:N$14,2,FALSE)</f>
        <v>45536</v>
      </c>
      <c r="S85" s="11" t="str">
        <f>VLOOKUP(E85,Precios!B$2:W$941,3,FALSE)</f>
        <v>Queso Mantecoso</v>
      </c>
      <c r="T85" s="16">
        <f>VLOOKUP(E85,Precios!B$2:N$941,4,FALSE)*F85</f>
        <v>1000</v>
      </c>
      <c r="U85" s="17"/>
      <c r="V85" s="12">
        <f>VLOOKUP(E85,Precios!B$2:N$941,13,FALSE)*F85</f>
        <v>2806.1129066763915</v>
      </c>
      <c r="W85" s="12">
        <f t="shared" si="4"/>
        <v>2806.1129066763915</v>
      </c>
      <c r="X85" s="12">
        <f>VLOOKUP(B85,'Datos Maestros'!$C$2:$D$7,2,FALSE)*V85</f>
        <v>0</v>
      </c>
      <c r="Y85" s="18">
        <f t="shared" si="5"/>
        <v>45908</v>
      </c>
      <c r="Z85" s="13" t="s">
        <v>39</v>
      </c>
      <c r="AA85" s="19" t="str">
        <f>VLOOKUP(D85,Clientes!$A$2:$J$486,9,FALSE)</f>
        <v>Frecuente</v>
      </c>
      <c r="AB85" s="13" t="str">
        <f>VLOOKUP(D85,Clientes!$A$2:$K$486,11,FALSE)</f>
        <v>Persona Natural</v>
      </c>
      <c r="AC85" s="13" t="str">
        <f>VLOOKUP(D85,Clientes!$A$2:$B$486,2,FALSE)</f>
        <v>Jardines de la Viña</v>
      </c>
      <c r="AD85" s="20"/>
      <c r="AE85" s="20"/>
      <c r="AF85" s="13" t="s">
        <v>40</v>
      </c>
      <c r="AG85" s="15">
        <f t="shared" si="6"/>
        <v>45536</v>
      </c>
      <c r="AH85" s="13" t="s">
        <v>41</v>
      </c>
      <c r="AI85" s="13" t="str">
        <f t="shared" si="7"/>
        <v>Quesos</v>
      </c>
      <c r="AJ85" s="13" t="str">
        <f>VLOOKUP(E85,Precios!Z$2:AA$941,2,FALSE)</f>
        <v>Queso RUNCA Mantecoso</v>
      </c>
      <c r="AK85" s="14">
        <f>VLOOKUP(E85,Precios!Z$2:BB$941,3,FALSE)*F85</f>
        <v>-1</v>
      </c>
      <c r="AL85" s="17"/>
      <c r="AM85" s="17"/>
      <c r="AN85" s="17"/>
      <c r="AO85" s="17"/>
      <c r="AP85" s="17"/>
      <c r="AQ85" s="17"/>
      <c r="AR85" s="17"/>
      <c r="AS85" s="17"/>
      <c r="AT85" s="17"/>
      <c r="AU85" s="17"/>
      <c r="AV85" s="17"/>
    </row>
    <row r="86" spans="1:48" ht="15.75" customHeight="1">
      <c r="A86" s="21" t="s">
        <v>35</v>
      </c>
      <c r="B86" s="23" t="s">
        <v>1692</v>
      </c>
      <c r="C86" s="22">
        <v>45913</v>
      </c>
      <c r="D86" s="23" t="s">
        <v>123</v>
      </c>
      <c r="E86" s="23" t="s">
        <v>117</v>
      </c>
      <c r="F86" s="21">
        <v>1</v>
      </c>
      <c r="G86" s="12">
        <f>VLOOKUP(E86,Precios!B$2:N$941,12,FALSE)</f>
        <v>8999.8271341726922</v>
      </c>
      <c r="H86" s="12">
        <f t="shared" si="0"/>
        <v>8999.8271341726922</v>
      </c>
      <c r="I86" s="23" t="s">
        <v>52</v>
      </c>
      <c r="J86" s="23" t="s">
        <v>61</v>
      </c>
      <c r="K86" s="24" t="s">
        <v>177</v>
      </c>
      <c r="L86" s="11"/>
      <c r="M86" s="12">
        <f t="shared" ref="M86:N86" si="91">G86/1.19</f>
        <v>7562.8799446829353</v>
      </c>
      <c r="N86" s="12">
        <f t="shared" si="91"/>
        <v>7562.8799446829353</v>
      </c>
      <c r="O86" s="12">
        <f t="shared" si="2"/>
        <v>1436.947189489757</v>
      </c>
      <c r="P86" s="13"/>
      <c r="Q86" s="14">
        <f t="shared" si="3"/>
        <v>2025</v>
      </c>
      <c r="R86" s="15">
        <f>VLOOKUP(MONTH(C86),'Datos Maestros'!M$2:N$14,2,FALSE)</f>
        <v>45536</v>
      </c>
      <c r="S86" s="11" t="str">
        <f>VLOOKUP(E86,Precios!B$2:W$941,3,FALSE)</f>
        <v>Queso Mantecoso</v>
      </c>
      <c r="T86" s="16">
        <f>VLOOKUP(E86,Precios!B$2:N$941,4,FALSE)*F86</f>
        <v>750</v>
      </c>
      <c r="U86" s="17"/>
      <c r="V86" s="12">
        <f>VLOOKUP(E86,Precios!B$2:N$941,13,FALSE)*F86</f>
        <v>2312.8799446829353</v>
      </c>
      <c r="W86" s="12">
        <f t="shared" si="4"/>
        <v>2312.8799446829353</v>
      </c>
      <c r="X86" s="12">
        <f>VLOOKUP(B86,'Datos Maestros'!$C$2:$D$7,2,FALSE)*V86</f>
        <v>0</v>
      </c>
      <c r="Y86" s="18">
        <f t="shared" si="5"/>
        <v>45908</v>
      </c>
      <c r="Z86" s="13" t="s">
        <v>39</v>
      </c>
      <c r="AA86" s="19" t="str">
        <f>VLOOKUP(D86,Clientes!$A$2:$J$486,9,FALSE)</f>
        <v>Ocacional</v>
      </c>
      <c r="AB86" s="13" t="str">
        <f>VLOOKUP(D86,Clientes!$A$2:$K$486,11,FALSE)</f>
        <v>Persona Natural</v>
      </c>
      <c r="AC86" s="13" t="str">
        <f>VLOOKUP(D86,Clientes!$A$2:$B$486,2,FALSE)</f>
        <v>Jardines de la viña</v>
      </c>
      <c r="AD86" s="20"/>
      <c r="AE86" s="20"/>
      <c r="AF86" s="13" t="s">
        <v>40</v>
      </c>
      <c r="AG86" s="15">
        <f t="shared" si="6"/>
        <v>45536</v>
      </c>
      <c r="AH86" s="13" t="s">
        <v>41</v>
      </c>
      <c r="AI86" s="13" t="str">
        <f t="shared" si="7"/>
        <v>Quesos</v>
      </c>
      <c r="AJ86" s="13" t="str">
        <f>VLOOKUP(E86,Precios!Z$2:AA$941,2,FALSE)</f>
        <v>Queso RUNCA Laminado Mantecoso</v>
      </c>
      <c r="AK86" s="14">
        <f>VLOOKUP(E86,Precios!Z$2:BB$941,3,FALSE)*F86</f>
        <v>-0.75</v>
      </c>
      <c r="AL86" s="17"/>
      <c r="AM86" s="17"/>
      <c r="AN86" s="17"/>
      <c r="AO86" s="17"/>
      <c r="AP86" s="17"/>
      <c r="AQ86" s="17"/>
      <c r="AR86" s="17"/>
      <c r="AS86" s="17"/>
      <c r="AT86" s="17"/>
      <c r="AU86" s="17"/>
      <c r="AV86" s="17"/>
    </row>
    <row r="87" spans="1:48" ht="15.75" customHeight="1">
      <c r="A87" s="21" t="s">
        <v>43</v>
      </c>
      <c r="B87" s="23" t="s">
        <v>1692</v>
      </c>
      <c r="C87" s="22">
        <v>45913</v>
      </c>
      <c r="D87" s="23" t="s">
        <v>124</v>
      </c>
      <c r="E87" s="23" t="s">
        <v>45</v>
      </c>
      <c r="F87" s="21">
        <v>1</v>
      </c>
      <c r="G87" s="12">
        <f>VLOOKUP(E87,Precios!B$2:N$941,12,FALSE)</f>
        <v>8000.1831784723063</v>
      </c>
      <c r="H87" s="12">
        <f t="shared" si="0"/>
        <v>8000.1831784723063</v>
      </c>
      <c r="I87" s="23" t="s">
        <v>52</v>
      </c>
      <c r="J87" s="23" t="s">
        <v>61</v>
      </c>
      <c r="K87" s="24" t="s">
        <v>177</v>
      </c>
      <c r="L87" s="11"/>
      <c r="M87" s="12">
        <f t="shared" ref="M87:N87" si="92">G87/1.19</f>
        <v>6722.8430071195853</v>
      </c>
      <c r="N87" s="12">
        <f t="shared" si="92"/>
        <v>6722.8430071195853</v>
      </c>
      <c r="O87" s="12">
        <f t="shared" si="2"/>
        <v>1277.340171352721</v>
      </c>
      <c r="P87" s="13"/>
      <c r="Q87" s="14">
        <f t="shared" si="3"/>
        <v>2025</v>
      </c>
      <c r="R87" s="15">
        <f>VLOOKUP(MONTH(C87),'Datos Maestros'!M$2:N$14,2,FALSE)</f>
        <v>45536</v>
      </c>
      <c r="S87" s="11" t="str">
        <f>VLOOKUP(E87,Precios!B$2:W$941,3,FALSE)</f>
        <v>Huevos EXTRA</v>
      </c>
      <c r="T87" s="16">
        <f>VLOOKUP(E87,Precios!B$2:N$941,4,FALSE)*F87</f>
        <v>0</v>
      </c>
      <c r="U87" s="17"/>
      <c r="V87" s="12">
        <f>VLOOKUP(E87,Precios!B$2:N$941,13,FALSE)*F87</f>
        <v>1151.6230071195851</v>
      </c>
      <c r="W87" s="12">
        <f t="shared" si="4"/>
        <v>1151.6230071195851</v>
      </c>
      <c r="X87" s="12">
        <f>VLOOKUP(B87,'Datos Maestros'!$C$2:$D$7,2,FALSE)*V87</f>
        <v>0</v>
      </c>
      <c r="Y87" s="18">
        <f t="shared" si="5"/>
        <v>45908</v>
      </c>
      <c r="Z87" s="13" t="s">
        <v>39</v>
      </c>
      <c r="AA87" s="19" t="str">
        <f>VLOOKUP(D87,Clientes!$A$2:$J$486,9,FALSE)</f>
        <v>Regular</v>
      </c>
      <c r="AB87" s="13" t="str">
        <f>VLOOKUP(D87,Clientes!$A$2:$K$486,11,FALSE)</f>
        <v>Persona Natural</v>
      </c>
      <c r="AC87" s="13" t="str">
        <f>VLOOKUP(D87,Clientes!$A$2:$B$486,2,FALSE)</f>
        <v>Jardines de la viña</v>
      </c>
      <c r="AD87" s="20"/>
      <c r="AE87" s="20"/>
      <c r="AF87" s="13" t="s">
        <v>40</v>
      </c>
      <c r="AG87" s="15">
        <f t="shared" si="6"/>
        <v>45536</v>
      </c>
      <c r="AH87" s="13" t="s">
        <v>41</v>
      </c>
      <c r="AI87" s="13" t="str">
        <f t="shared" si="7"/>
        <v>Huevos</v>
      </c>
      <c r="AJ87" s="13" t="str">
        <f>VLOOKUP(E87,Precios!Z$2:AA$941,2,FALSE)</f>
        <v>Bandeja Huevos EXTRA</v>
      </c>
      <c r="AK87" s="14">
        <f>VLOOKUP(E87,Precios!Z$2:BB$941,3,FALSE)*F87</f>
        <v>-1</v>
      </c>
      <c r="AL87" s="17"/>
      <c r="AM87" s="17"/>
      <c r="AN87" s="17"/>
      <c r="AO87" s="17"/>
      <c r="AP87" s="17"/>
      <c r="AQ87" s="17"/>
      <c r="AR87" s="17"/>
      <c r="AS87" s="17"/>
      <c r="AT87" s="17"/>
      <c r="AU87" s="17"/>
      <c r="AV87" s="17"/>
    </row>
    <row r="88" spans="1:48" ht="15.75" customHeight="1">
      <c r="A88" s="21" t="s">
        <v>35</v>
      </c>
      <c r="B88" s="23" t="s">
        <v>1692</v>
      </c>
      <c r="C88" s="22">
        <v>45913</v>
      </c>
      <c r="D88" s="23" t="s">
        <v>124</v>
      </c>
      <c r="E88" s="23" t="s">
        <v>117</v>
      </c>
      <c r="F88" s="21">
        <v>1</v>
      </c>
      <c r="G88" s="12">
        <f>VLOOKUP(E88,Precios!B$2:N$941,12,FALSE)</f>
        <v>8999.8271341726922</v>
      </c>
      <c r="H88" s="12">
        <f t="shared" si="0"/>
        <v>8999.8271341726922</v>
      </c>
      <c r="I88" s="23" t="s">
        <v>52</v>
      </c>
      <c r="J88" s="23" t="s">
        <v>61</v>
      </c>
      <c r="K88" s="24" t="s">
        <v>177</v>
      </c>
      <c r="L88" s="11"/>
      <c r="M88" s="12">
        <f t="shared" ref="M88:N88" si="93">G88/1.19</f>
        <v>7562.8799446829353</v>
      </c>
      <c r="N88" s="12">
        <f t="shared" si="93"/>
        <v>7562.8799446829353</v>
      </c>
      <c r="O88" s="12">
        <f t="shared" si="2"/>
        <v>1436.947189489757</v>
      </c>
      <c r="P88" s="13"/>
      <c r="Q88" s="14">
        <f t="shared" si="3"/>
        <v>2025</v>
      </c>
      <c r="R88" s="15">
        <f>VLOOKUP(MONTH(C88),'Datos Maestros'!M$2:N$14,2,FALSE)</f>
        <v>45536</v>
      </c>
      <c r="S88" s="11" t="str">
        <f>VLOOKUP(E88,Precios!B$2:W$941,3,FALSE)</f>
        <v>Queso Mantecoso</v>
      </c>
      <c r="T88" s="16">
        <f>VLOOKUP(E88,Precios!B$2:N$941,4,FALSE)*F88</f>
        <v>750</v>
      </c>
      <c r="U88" s="17"/>
      <c r="V88" s="12">
        <f>VLOOKUP(E88,Precios!B$2:N$941,13,FALSE)*F88</f>
        <v>2312.8799446829353</v>
      </c>
      <c r="W88" s="12">
        <f t="shared" si="4"/>
        <v>2312.8799446829353</v>
      </c>
      <c r="X88" s="12">
        <f>VLOOKUP(B88,'Datos Maestros'!$C$2:$D$7,2,FALSE)*V88</f>
        <v>0</v>
      </c>
      <c r="Y88" s="18">
        <f t="shared" si="5"/>
        <v>45908</v>
      </c>
      <c r="Z88" s="13" t="s">
        <v>39</v>
      </c>
      <c r="AA88" s="19" t="str">
        <f>VLOOKUP(D88,Clientes!$A$2:$J$486,9,FALSE)</f>
        <v>Regular</v>
      </c>
      <c r="AB88" s="13" t="str">
        <f>VLOOKUP(D88,Clientes!$A$2:$K$486,11,FALSE)</f>
        <v>Persona Natural</v>
      </c>
      <c r="AC88" s="13" t="str">
        <f>VLOOKUP(D88,Clientes!$A$2:$B$486,2,FALSE)</f>
        <v>Jardines de la viña</v>
      </c>
      <c r="AD88" s="20"/>
      <c r="AE88" s="20"/>
      <c r="AF88" s="13" t="s">
        <v>40</v>
      </c>
      <c r="AG88" s="15">
        <f t="shared" si="6"/>
        <v>45536</v>
      </c>
      <c r="AH88" s="13" t="s">
        <v>41</v>
      </c>
      <c r="AI88" s="13" t="str">
        <f t="shared" si="7"/>
        <v>Quesos</v>
      </c>
      <c r="AJ88" s="13" t="str">
        <f>VLOOKUP(E88,Precios!Z$2:AA$941,2,FALSE)</f>
        <v>Queso RUNCA Laminado Mantecoso</v>
      </c>
      <c r="AK88" s="14">
        <f>VLOOKUP(E88,Precios!Z$2:BB$941,3,FALSE)*F88</f>
        <v>-0.75</v>
      </c>
      <c r="AL88" s="17"/>
      <c r="AM88" s="17"/>
      <c r="AN88" s="17"/>
      <c r="AO88" s="17"/>
      <c r="AP88" s="17"/>
      <c r="AQ88" s="17"/>
      <c r="AR88" s="17"/>
      <c r="AS88" s="17"/>
      <c r="AT88" s="17"/>
      <c r="AU88" s="17"/>
      <c r="AV88" s="17"/>
    </row>
    <row r="89" spans="1:48" ht="15.75" customHeight="1">
      <c r="A89" s="21" t="s">
        <v>35</v>
      </c>
      <c r="B89" s="23" t="s">
        <v>1692</v>
      </c>
      <c r="C89" s="22">
        <v>45913</v>
      </c>
      <c r="D89" s="23" t="s">
        <v>125</v>
      </c>
      <c r="E89" s="23" t="s">
        <v>117</v>
      </c>
      <c r="F89" s="21">
        <v>1</v>
      </c>
      <c r="G89" s="12">
        <f>VLOOKUP(E89,Precios!B$2:N$941,12,FALSE)</f>
        <v>8999.8271341726922</v>
      </c>
      <c r="H89" s="12">
        <f t="shared" si="0"/>
        <v>8999.8271341726922</v>
      </c>
      <c r="I89" s="23" t="s">
        <v>52</v>
      </c>
      <c r="J89" s="23" t="s">
        <v>61</v>
      </c>
      <c r="K89" s="24" t="s">
        <v>177</v>
      </c>
      <c r="L89" s="11"/>
      <c r="M89" s="12">
        <f t="shared" ref="M89:N89" si="94">G89/1.19</f>
        <v>7562.8799446829353</v>
      </c>
      <c r="N89" s="12">
        <f t="shared" si="94"/>
        <v>7562.8799446829353</v>
      </c>
      <c r="O89" s="12">
        <f t="shared" si="2"/>
        <v>1436.947189489757</v>
      </c>
      <c r="P89" s="13"/>
      <c r="Q89" s="14">
        <f t="shared" si="3"/>
        <v>2025</v>
      </c>
      <c r="R89" s="15">
        <f>VLOOKUP(MONTH(C89),'Datos Maestros'!M$2:N$14,2,FALSE)</f>
        <v>45536</v>
      </c>
      <c r="S89" s="11" t="str">
        <f>VLOOKUP(E89,Precios!B$2:W$941,3,FALSE)</f>
        <v>Queso Mantecoso</v>
      </c>
      <c r="T89" s="16">
        <f>VLOOKUP(E89,Precios!B$2:N$941,4,FALSE)*F89</f>
        <v>750</v>
      </c>
      <c r="U89" s="17"/>
      <c r="V89" s="12">
        <f>VLOOKUP(E89,Precios!B$2:N$941,13,FALSE)*F89</f>
        <v>2312.8799446829353</v>
      </c>
      <c r="W89" s="12">
        <f t="shared" si="4"/>
        <v>2312.8799446829353</v>
      </c>
      <c r="X89" s="12">
        <f>VLOOKUP(B89,'Datos Maestros'!$C$2:$D$7,2,FALSE)*V89</f>
        <v>0</v>
      </c>
      <c r="Y89" s="18">
        <f t="shared" si="5"/>
        <v>45908</v>
      </c>
      <c r="Z89" s="13" t="s">
        <v>39</v>
      </c>
      <c r="AA89" s="19" t="str">
        <f>VLOOKUP(D89,Clientes!$A$2:$J$486,9,FALSE)</f>
        <v>Frecuente</v>
      </c>
      <c r="AB89" s="13" t="str">
        <f>VLOOKUP(D89,Clientes!$A$2:$K$486,11,FALSE)</f>
        <v>Persona Natural</v>
      </c>
      <c r="AC89" s="13" t="str">
        <f>VLOOKUP(D89,Clientes!$A$2:$B$486,2,FALSE)</f>
        <v>Jardines de la Viña</v>
      </c>
      <c r="AD89" s="20"/>
      <c r="AE89" s="20"/>
      <c r="AF89" s="13" t="s">
        <v>40</v>
      </c>
      <c r="AG89" s="15">
        <f t="shared" si="6"/>
        <v>45536</v>
      </c>
      <c r="AH89" s="13" t="s">
        <v>41</v>
      </c>
      <c r="AI89" s="13" t="str">
        <f t="shared" si="7"/>
        <v>Quesos</v>
      </c>
      <c r="AJ89" s="13" t="str">
        <f>VLOOKUP(E89,Precios!Z$2:AA$941,2,FALSE)</f>
        <v>Queso RUNCA Laminado Mantecoso</v>
      </c>
      <c r="AK89" s="14">
        <f>VLOOKUP(E89,Precios!Z$2:BB$941,3,FALSE)*F89</f>
        <v>-0.75</v>
      </c>
      <c r="AL89" s="17"/>
      <c r="AM89" s="17"/>
      <c r="AN89" s="17"/>
      <c r="AO89" s="17"/>
      <c r="AP89" s="17"/>
      <c r="AQ89" s="17"/>
      <c r="AR89" s="17"/>
      <c r="AS89" s="17"/>
      <c r="AT89" s="17"/>
      <c r="AU89" s="17"/>
      <c r="AV89" s="17"/>
    </row>
    <row r="90" spans="1:48" ht="15.75" customHeight="1">
      <c r="A90" s="21" t="s">
        <v>53</v>
      </c>
      <c r="B90" s="23" t="s">
        <v>1692</v>
      </c>
      <c r="C90" s="22">
        <v>45913</v>
      </c>
      <c r="D90" s="23" t="s">
        <v>125</v>
      </c>
      <c r="E90" s="23" t="s">
        <v>69</v>
      </c>
      <c r="F90" s="21">
        <v>1</v>
      </c>
      <c r="G90" s="12">
        <f>VLOOKUP(E90,Precios!B$2:N$941,12,FALSE)</f>
        <v>2999.9553810458683</v>
      </c>
      <c r="H90" s="12">
        <f t="shared" si="0"/>
        <v>2999.9553810458683</v>
      </c>
      <c r="I90" s="23" t="s">
        <v>52</v>
      </c>
      <c r="J90" s="23" t="s">
        <v>61</v>
      </c>
      <c r="K90" s="24" t="s">
        <v>177</v>
      </c>
      <c r="L90" s="11"/>
      <c r="M90" s="12">
        <f t="shared" ref="M90:N90" si="95">G90/1.19</f>
        <v>2520.9709084419064</v>
      </c>
      <c r="N90" s="12">
        <f t="shared" si="95"/>
        <v>2520.9709084419064</v>
      </c>
      <c r="O90" s="12">
        <f t="shared" si="2"/>
        <v>478.98447260396188</v>
      </c>
      <c r="P90" s="13"/>
      <c r="Q90" s="14">
        <f t="shared" si="3"/>
        <v>2025</v>
      </c>
      <c r="R90" s="15">
        <f>VLOOKUP(MONTH(C90),'Datos Maestros'!M$2:N$14,2,FALSE)</f>
        <v>45536</v>
      </c>
      <c r="S90" s="11" t="str">
        <f>VLOOKUP(E90,Precios!B$2:W$941,3,FALSE)</f>
        <v>Toalla Nova 70 mts</v>
      </c>
      <c r="T90" s="16">
        <f>VLOOKUP(E90,Precios!B$2:N$941,4,FALSE)*F90</f>
        <v>0</v>
      </c>
      <c r="U90" s="17"/>
      <c r="V90" s="12">
        <f>VLOOKUP(E90,Precios!B$2:N$941,13,FALSE)*F90</f>
        <v>825.97090844190598</v>
      </c>
      <c r="W90" s="12">
        <f t="shared" si="4"/>
        <v>825.97090844190598</v>
      </c>
      <c r="X90" s="12">
        <f>VLOOKUP(B90,'Datos Maestros'!$C$2:$D$7,2,FALSE)*V90</f>
        <v>0</v>
      </c>
      <c r="Y90" s="18">
        <f t="shared" si="5"/>
        <v>45908</v>
      </c>
      <c r="Z90" s="13" t="s">
        <v>39</v>
      </c>
      <c r="AA90" s="19" t="str">
        <f>VLOOKUP(D90,Clientes!$A$2:$J$486,9,FALSE)</f>
        <v>Frecuente</v>
      </c>
      <c r="AB90" s="13" t="str">
        <f>VLOOKUP(D90,Clientes!$A$2:$K$486,11,FALSE)</f>
        <v>Persona Natural</v>
      </c>
      <c r="AC90" s="13" t="str">
        <f>VLOOKUP(D90,Clientes!$A$2:$B$486,2,FALSE)</f>
        <v>Jardines de la Viña</v>
      </c>
      <c r="AD90" s="20"/>
      <c r="AE90" s="20"/>
      <c r="AF90" s="13" t="s">
        <v>40</v>
      </c>
      <c r="AG90" s="15">
        <f t="shared" si="6"/>
        <v>45536</v>
      </c>
      <c r="AH90" s="13" t="s">
        <v>41</v>
      </c>
      <c r="AI90" s="13" t="str">
        <f t="shared" si="7"/>
        <v>Papeleria</v>
      </c>
      <c r="AJ90" s="13" t="str">
        <f>VLOOKUP(E90,Precios!Z$2:AA$941,2,FALSE)</f>
        <v>Toalla Papel NOVA 70 metros</v>
      </c>
      <c r="AK90" s="14">
        <f>VLOOKUP(E90,Precios!Z$2:BB$941,3,FALSE)*F90</f>
        <v>-1</v>
      </c>
      <c r="AL90" s="17"/>
      <c r="AM90" s="17"/>
      <c r="AN90" s="17"/>
      <c r="AO90" s="17"/>
      <c r="AP90" s="17"/>
      <c r="AQ90" s="17"/>
      <c r="AR90" s="17"/>
      <c r="AS90" s="17"/>
      <c r="AT90" s="17"/>
      <c r="AU90" s="17"/>
      <c r="AV90" s="17"/>
    </row>
    <row r="91" spans="1:48" ht="15.75" customHeight="1">
      <c r="A91" s="21" t="s">
        <v>64</v>
      </c>
      <c r="B91" s="23" t="s">
        <v>1692</v>
      </c>
      <c r="C91" s="22">
        <v>45913</v>
      </c>
      <c r="D91" s="23" t="s">
        <v>126</v>
      </c>
      <c r="E91" s="23" t="s">
        <v>65</v>
      </c>
      <c r="F91" s="21">
        <v>1</v>
      </c>
      <c r="G91" s="12">
        <f>VLOOKUP(E91,Precios!B$2:N$941,12,FALSE)</f>
        <v>8200.2358799633075</v>
      </c>
      <c r="H91" s="12">
        <f t="shared" si="0"/>
        <v>8200.2358799633075</v>
      </c>
      <c r="I91" s="23" t="s">
        <v>52</v>
      </c>
      <c r="J91" s="13" t="s">
        <v>38</v>
      </c>
      <c r="K91" s="24" t="s">
        <v>177</v>
      </c>
      <c r="L91" s="11"/>
      <c r="M91" s="12">
        <f t="shared" ref="M91:N91" si="96">G91/1.19</f>
        <v>6890.9545209775697</v>
      </c>
      <c r="N91" s="12">
        <f t="shared" si="96"/>
        <v>6890.9545209775697</v>
      </c>
      <c r="O91" s="12">
        <f t="shared" si="2"/>
        <v>1309.2813589857378</v>
      </c>
      <c r="P91" s="13"/>
      <c r="Q91" s="14">
        <f t="shared" si="3"/>
        <v>2025</v>
      </c>
      <c r="R91" s="15">
        <f>VLOOKUP(MONTH(C91),'Datos Maestros'!M$2:N$14,2,FALSE)</f>
        <v>45536</v>
      </c>
      <c r="S91" s="11" t="str">
        <f>VLOOKUP(E91,Precios!B$2:W$941,3,FALSE)</f>
        <v>Longanizas</v>
      </c>
      <c r="T91" s="16">
        <f>VLOOKUP(E91,Precios!B$2:N$941,4,FALSE)*F91</f>
        <v>1</v>
      </c>
      <c r="U91" s="17"/>
      <c r="V91" s="12">
        <f>VLOOKUP(E91,Precios!B$2:N$941,13,FALSE)*F91</f>
        <v>1632.4671260195864</v>
      </c>
      <c r="W91" s="12">
        <f t="shared" si="4"/>
        <v>1632.4671260195864</v>
      </c>
      <c r="X91" s="12">
        <f>VLOOKUP(B91,'Datos Maestros'!$C$2:$D$7,2,FALSE)*V91</f>
        <v>0</v>
      </c>
      <c r="Y91" s="18">
        <f t="shared" si="5"/>
        <v>45908</v>
      </c>
      <c r="Z91" s="13" t="s">
        <v>39</v>
      </c>
      <c r="AA91" s="19" t="str">
        <f>VLOOKUP(D91,Clientes!$A$2:$J$486,9,FALSE)</f>
        <v>Frecuente</v>
      </c>
      <c r="AB91" s="13" t="str">
        <f>VLOOKUP(D91,Clientes!$A$2:$K$486,11,FALSE)</f>
        <v>Persona Natural</v>
      </c>
      <c r="AC91" s="13" t="str">
        <f>VLOOKUP(D91,Clientes!$A$2:$B$486,2,FALSE)</f>
        <v>Jardines de la Viña</v>
      </c>
      <c r="AD91" s="20"/>
      <c r="AE91" s="20"/>
      <c r="AF91" s="13" t="s">
        <v>40</v>
      </c>
      <c r="AG91" s="15">
        <f t="shared" si="6"/>
        <v>45536</v>
      </c>
      <c r="AH91" s="13" t="s">
        <v>41</v>
      </c>
      <c r="AI91" s="13" t="str">
        <f t="shared" si="7"/>
        <v>Longanizas</v>
      </c>
      <c r="AJ91" s="13" t="str">
        <f>VLOOKUP(E91,Precios!Z$2:AA$941,2,FALSE)</f>
        <v>Longanizas VILLABLANCA</v>
      </c>
      <c r="AK91" s="14">
        <f>VLOOKUP(E91,Precios!Z$2:BB$941,3,FALSE)*F91</f>
        <v>-1</v>
      </c>
      <c r="AL91" s="17"/>
      <c r="AM91" s="17"/>
      <c r="AN91" s="17"/>
      <c r="AO91" s="17"/>
      <c r="AP91" s="17"/>
      <c r="AQ91" s="17"/>
      <c r="AR91" s="17"/>
      <c r="AS91" s="17"/>
      <c r="AT91" s="17"/>
      <c r="AU91" s="17"/>
      <c r="AV91" s="17"/>
    </row>
    <row r="92" spans="1:48" ht="15.75" customHeight="1">
      <c r="A92" s="21" t="s">
        <v>64</v>
      </c>
      <c r="B92" s="23" t="s">
        <v>1692</v>
      </c>
      <c r="C92" s="22">
        <v>45913</v>
      </c>
      <c r="D92" s="23" t="s">
        <v>127</v>
      </c>
      <c r="E92" s="23" t="s">
        <v>65</v>
      </c>
      <c r="F92" s="21">
        <v>1</v>
      </c>
      <c r="G92" s="12">
        <f>VLOOKUP(E92,Precios!B$2:N$941,12,FALSE)</f>
        <v>8200.2358799633075</v>
      </c>
      <c r="H92" s="12">
        <f t="shared" si="0"/>
        <v>8200.2358799633075</v>
      </c>
      <c r="I92" s="23" t="s">
        <v>52</v>
      </c>
      <c r="J92" s="13" t="s">
        <v>38</v>
      </c>
      <c r="K92" s="24" t="s">
        <v>177</v>
      </c>
      <c r="L92" s="11"/>
      <c r="M92" s="12">
        <f t="shared" ref="M92:N92" si="97">G92/1.19</f>
        <v>6890.9545209775697</v>
      </c>
      <c r="N92" s="12">
        <f t="shared" si="97"/>
        <v>6890.9545209775697</v>
      </c>
      <c r="O92" s="12">
        <f t="shared" si="2"/>
        <v>1309.2813589857378</v>
      </c>
      <c r="P92" s="13"/>
      <c r="Q92" s="14">
        <f t="shared" si="3"/>
        <v>2025</v>
      </c>
      <c r="R92" s="15">
        <f>VLOOKUP(MONTH(C92),'Datos Maestros'!M$2:N$14,2,FALSE)</f>
        <v>45536</v>
      </c>
      <c r="S92" s="11" t="str">
        <f>VLOOKUP(E92,Precios!B$2:W$941,3,FALSE)</f>
        <v>Longanizas</v>
      </c>
      <c r="T92" s="16">
        <f>VLOOKUP(E92,Precios!B$2:N$941,4,FALSE)*F92</f>
        <v>1</v>
      </c>
      <c r="U92" s="17"/>
      <c r="V92" s="12">
        <f>VLOOKUP(E92,Precios!B$2:N$941,13,FALSE)*F92</f>
        <v>1632.4671260195864</v>
      </c>
      <c r="W92" s="12">
        <f t="shared" si="4"/>
        <v>1632.4671260195864</v>
      </c>
      <c r="X92" s="12">
        <f>VLOOKUP(B92,'Datos Maestros'!$C$2:$D$7,2,FALSE)*V92</f>
        <v>0</v>
      </c>
      <c r="Y92" s="18">
        <f t="shared" si="5"/>
        <v>45908</v>
      </c>
      <c r="Z92" s="13" t="s">
        <v>39</v>
      </c>
      <c r="AA92" s="19" t="str">
        <f>VLOOKUP(D92,Clientes!$A$2:$J$486,9,FALSE)</f>
        <v>Ocacional</v>
      </c>
      <c r="AB92" s="13" t="str">
        <f>VLOOKUP(D92,Clientes!$A$2:$K$486,11,FALSE)</f>
        <v>Persona Natural</v>
      </c>
      <c r="AC92" s="13" t="str">
        <f>VLOOKUP(D92,Clientes!$A$2:$B$486,2,FALSE)</f>
        <v>Palena</v>
      </c>
      <c r="AD92" s="20"/>
      <c r="AE92" s="20"/>
      <c r="AF92" s="13" t="s">
        <v>40</v>
      </c>
      <c r="AG92" s="15">
        <f t="shared" si="6"/>
        <v>45536</v>
      </c>
      <c r="AH92" s="13" t="s">
        <v>41</v>
      </c>
      <c r="AI92" s="13" t="str">
        <f t="shared" si="7"/>
        <v>Longanizas</v>
      </c>
      <c r="AJ92" s="13" t="str">
        <f>VLOOKUP(E92,Precios!Z$2:AA$941,2,FALSE)</f>
        <v>Longanizas VILLABLANCA</v>
      </c>
      <c r="AK92" s="14">
        <f>VLOOKUP(E92,Precios!Z$2:BB$941,3,FALSE)*F92</f>
        <v>-1</v>
      </c>
      <c r="AL92" s="17"/>
      <c r="AM92" s="17"/>
      <c r="AN92" s="17"/>
      <c r="AO92" s="17"/>
      <c r="AP92" s="17"/>
      <c r="AQ92" s="17"/>
      <c r="AR92" s="17"/>
      <c r="AS92" s="17"/>
      <c r="AT92" s="17"/>
      <c r="AU92" s="17"/>
      <c r="AV92" s="17"/>
    </row>
    <row r="93" spans="1:48" ht="15.75" customHeight="1">
      <c r="A93" s="21" t="s">
        <v>35</v>
      </c>
      <c r="B93" s="23" t="s">
        <v>1692</v>
      </c>
      <c r="C93" s="22">
        <v>45913</v>
      </c>
      <c r="D93" s="23" t="s">
        <v>128</v>
      </c>
      <c r="E93" s="23" t="s">
        <v>37</v>
      </c>
      <c r="F93" s="21">
        <v>1</v>
      </c>
      <c r="G93" s="12">
        <f>VLOOKUP(E93,Precios!B$2:N$941,12,FALSE)</f>
        <v>11000.014358944907</v>
      </c>
      <c r="H93" s="12">
        <f t="shared" si="0"/>
        <v>11000.014358944907</v>
      </c>
      <c r="I93" s="23" t="s">
        <v>52</v>
      </c>
      <c r="J93" s="13" t="s">
        <v>38</v>
      </c>
      <c r="K93" s="24" t="s">
        <v>177</v>
      </c>
      <c r="L93" s="11"/>
      <c r="M93" s="12">
        <f t="shared" ref="M93:N93" si="98">G93/1.19</f>
        <v>9243.7095453318543</v>
      </c>
      <c r="N93" s="12">
        <f t="shared" si="98"/>
        <v>9243.7095453318543</v>
      </c>
      <c r="O93" s="12">
        <f t="shared" si="2"/>
        <v>1756.3048136130528</v>
      </c>
      <c r="P93" s="13"/>
      <c r="Q93" s="14">
        <f t="shared" si="3"/>
        <v>2025</v>
      </c>
      <c r="R93" s="15">
        <f>VLOOKUP(MONTH(C93),'Datos Maestros'!M$2:N$14,2,FALSE)</f>
        <v>45536</v>
      </c>
      <c r="S93" s="11" t="str">
        <f>VLOOKUP(E93,Precios!B$2:W$941,3,FALSE)</f>
        <v>Queso Mantecoso</v>
      </c>
      <c r="T93" s="16">
        <f>VLOOKUP(E93,Precios!B$2:N$941,4,FALSE)*F93</f>
        <v>1000</v>
      </c>
      <c r="U93" s="17"/>
      <c r="V93" s="12">
        <f>VLOOKUP(E93,Precios!B$2:N$941,13,FALSE)*F93</f>
        <v>2806.1129066763915</v>
      </c>
      <c r="W93" s="12">
        <f t="shared" si="4"/>
        <v>2806.1129066763915</v>
      </c>
      <c r="X93" s="12">
        <f>VLOOKUP(B93,'Datos Maestros'!$C$2:$D$7,2,FALSE)*V93</f>
        <v>0</v>
      </c>
      <c r="Y93" s="18">
        <f t="shared" si="5"/>
        <v>45908</v>
      </c>
      <c r="Z93" s="13" t="s">
        <v>39</v>
      </c>
      <c r="AA93" s="19" t="str">
        <f>VLOOKUP(D93,Clientes!$A$2:$J$486,9,FALSE)</f>
        <v>Ocacional</v>
      </c>
      <c r="AB93" s="13" t="str">
        <f>VLOOKUP(D93,Clientes!$A$2:$K$486,11,FALSE)</f>
        <v>Persona Natural</v>
      </c>
      <c r="AC93" s="13" t="str">
        <f>VLOOKUP(D93,Clientes!$A$2:$B$486,2,FALSE)</f>
        <v>Jardin del Eden</v>
      </c>
      <c r="AD93" s="20"/>
      <c r="AE93" s="20"/>
      <c r="AF93" s="13" t="s">
        <v>40</v>
      </c>
      <c r="AG93" s="15">
        <f t="shared" si="6"/>
        <v>45536</v>
      </c>
      <c r="AH93" s="13" t="s">
        <v>41</v>
      </c>
      <c r="AI93" s="13" t="str">
        <f t="shared" si="7"/>
        <v>Quesos</v>
      </c>
      <c r="AJ93" s="13" t="str">
        <f>VLOOKUP(E93,Precios!Z$2:AA$941,2,FALSE)</f>
        <v>Queso RUNCA Mantecoso</v>
      </c>
      <c r="AK93" s="14">
        <f>VLOOKUP(E93,Precios!Z$2:BB$941,3,FALSE)*F93</f>
        <v>-1</v>
      </c>
      <c r="AL93" s="17"/>
      <c r="AM93" s="17"/>
      <c r="AN93" s="17"/>
      <c r="AO93" s="17"/>
      <c r="AP93" s="17"/>
      <c r="AQ93" s="17"/>
      <c r="AR93" s="17"/>
      <c r="AS93" s="17"/>
      <c r="AT93" s="17"/>
      <c r="AU93" s="17"/>
      <c r="AV93" s="17"/>
    </row>
    <row r="94" spans="1:48" ht="15.75" customHeight="1">
      <c r="A94" s="21" t="s">
        <v>56</v>
      </c>
      <c r="B94" s="23" t="s">
        <v>1692</v>
      </c>
      <c r="C94" s="22">
        <v>45913</v>
      </c>
      <c r="D94" s="23" t="s">
        <v>129</v>
      </c>
      <c r="E94" s="23" t="s">
        <v>130</v>
      </c>
      <c r="F94" s="21">
        <v>1</v>
      </c>
      <c r="G94" s="12">
        <f>VLOOKUP(E94,Precios!B$2:N$941,12,FALSE)</f>
        <v>13000.163975970067</v>
      </c>
      <c r="H94" s="12">
        <f t="shared" si="0"/>
        <v>13000.163975970067</v>
      </c>
      <c r="I94" s="23" t="s">
        <v>52</v>
      </c>
      <c r="J94" s="13" t="s">
        <v>38</v>
      </c>
      <c r="K94" s="24" t="s">
        <v>177</v>
      </c>
      <c r="L94" s="11"/>
      <c r="M94" s="12">
        <f t="shared" ref="M94:N94" si="99">G94/1.19</f>
        <v>10924.507542831989</v>
      </c>
      <c r="N94" s="12">
        <f t="shared" si="99"/>
        <v>10924.507542831989</v>
      </c>
      <c r="O94" s="12">
        <f t="shared" si="2"/>
        <v>2075.6564331380778</v>
      </c>
      <c r="P94" s="13"/>
      <c r="Q94" s="14">
        <f t="shared" si="3"/>
        <v>2025</v>
      </c>
      <c r="R94" s="15">
        <f>VLOOKUP(MONTH(C94),'Datos Maestros'!M$2:N$14,2,FALSE)</f>
        <v>45536</v>
      </c>
      <c r="S94" s="11" t="str">
        <f>VLOOKUP(E94,Precios!B$2:W$941,3,FALSE)</f>
        <v>Provoleta</v>
      </c>
      <c r="T94" s="16">
        <f>VLOOKUP(E94,Precios!B$2:N$941,4,FALSE)*F94</f>
        <v>135</v>
      </c>
      <c r="U94" s="17"/>
      <c r="V94" s="12">
        <f>VLOOKUP(E94,Precios!B$2:N$941,13,FALSE)*F94</f>
        <v>3596.0201478740055</v>
      </c>
      <c r="W94" s="12">
        <f t="shared" si="4"/>
        <v>3596.0201478740055</v>
      </c>
      <c r="X94" s="12">
        <f>VLOOKUP(B94,'Datos Maestros'!$C$2:$D$7,2,FALSE)*V94</f>
        <v>0</v>
      </c>
      <c r="Y94" s="18">
        <f t="shared" si="5"/>
        <v>45908</v>
      </c>
      <c r="Z94" s="13" t="s">
        <v>39</v>
      </c>
      <c r="AA94" s="19" t="str">
        <f>VLOOKUP(D94,Clientes!$A$2:$J$486,9,FALSE)</f>
        <v>Ocacional</v>
      </c>
      <c r="AB94" s="13" t="str">
        <f>VLOOKUP(D94,Clientes!$A$2:$K$486,11,FALSE)</f>
        <v>Persona Natural</v>
      </c>
      <c r="AC94" s="13" t="str">
        <f>VLOOKUP(D94,Clientes!$A$2:$B$486,2,FALSE)</f>
        <v>Palena</v>
      </c>
      <c r="AD94" s="20"/>
      <c r="AE94" s="20"/>
      <c r="AF94" s="13" t="s">
        <v>40</v>
      </c>
      <c r="AG94" s="15">
        <f t="shared" si="6"/>
        <v>45536</v>
      </c>
      <c r="AH94" s="13" t="s">
        <v>41</v>
      </c>
      <c r="AI94" s="13" t="str">
        <f t="shared" si="7"/>
        <v>Derivados</v>
      </c>
      <c r="AJ94" s="13" t="str">
        <f>VLOOKUP(E94,Precios!Z$2:AA$941,2,FALSE)</f>
        <v>Provoleta Parrillera</v>
      </c>
      <c r="AK94" s="14">
        <f>VLOOKUP(E94,Precios!Z$2:BB$941,3,FALSE)*F94</f>
        <v>-5</v>
      </c>
      <c r="AL94" s="17"/>
      <c r="AM94" s="17"/>
      <c r="AN94" s="17"/>
      <c r="AO94" s="17"/>
      <c r="AP94" s="17"/>
      <c r="AQ94" s="17"/>
      <c r="AR94" s="17"/>
      <c r="AS94" s="17"/>
      <c r="AT94" s="17"/>
      <c r="AU94" s="17"/>
      <c r="AV94" s="17"/>
    </row>
    <row r="95" spans="1:48" ht="15.75" customHeight="1">
      <c r="A95" s="21" t="s">
        <v>43</v>
      </c>
      <c r="B95" s="23" t="s">
        <v>1692</v>
      </c>
      <c r="C95" s="22">
        <v>45913</v>
      </c>
      <c r="D95" s="23" t="s">
        <v>131</v>
      </c>
      <c r="E95" s="23" t="s">
        <v>45</v>
      </c>
      <c r="F95" s="21">
        <v>1</v>
      </c>
      <c r="G95" s="12">
        <f>VLOOKUP(E95,Precios!B$2:N$941,12,FALSE)</f>
        <v>8000.1831784723063</v>
      </c>
      <c r="H95" s="12">
        <f t="shared" si="0"/>
        <v>8000.1831784723063</v>
      </c>
      <c r="I95" s="23" t="s">
        <v>52</v>
      </c>
      <c r="J95" s="23" t="s">
        <v>61</v>
      </c>
      <c r="K95" s="24" t="s">
        <v>177</v>
      </c>
      <c r="L95" s="11"/>
      <c r="M95" s="12">
        <f t="shared" ref="M95:N95" si="100">G95/1.19</f>
        <v>6722.8430071195853</v>
      </c>
      <c r="N95" s="12">
        <f t="shared" si="100"/>
        <v>6722.8430071195853</v>
      </c>
      <c r="O95" s="12">
        <f t="shared" si="2"/>
        <v>1277.340171352721</v>
      </c>
      <c r="P95" s="13"/>
      <c r="Q95" s="14">
        <f t="shared" si="3"/>
        <v>2025</v>
      </c>
      <c r="R95" s="15">
        <f>VLOOKUP(MONTH(C95),'Datos Maestros'!M$2:N$14,2,FALSE)</f>
        <v>45536</v>
      </c>
      <c r="S95" s="11" t="str">
        <f>VLOOKUP(E95,Precios!B$2:W$941,3,FALSE)</f>
        <v>Huevos EXTRA</v>
      </c>
      <c r="T95" s="16">
        <f>VLOOKUP(E95,Precios!B$2:N$941,4,FALSE)*F95</f>
        <v>0</v>
      </c>
      <c r="U95" s="17"/>
      <c r="V95" s="12">
        <f>VLOOKUP(E95,Precios!B$2:N$941,13,FALSE)*F95</f>
        <v>1151.6230071195851</v>
      </c>
      <c r="W95" s="12">
        <f t="shared" si="4"/>
        <v>1151.6230071195851</v>
      </c>
      <c r="X95" s="12">
        <f>VLOOKUP(B95,'Datos Maestros'!$C$2:$D$7,2,FALSE)*V95</f>
        <v>0</v>
      </c>
      <c r="Y95" s="18">
        <f t="shared" si="5"/>
        <v>45908</v>
      </c>
      <c r="Z95" s="13" t="s">
        <v>39</v>
      </c>
      <c r="AA95" s="19" t="str">
        <f>VLOOKUP(D95,Clientes!$A$2:$J$486,9,FALSE)</f>
        <v>Frecuente</v>
      </c>
      <c r="AB95" s="13" t="str">
        <f>VLOOKUP(D95,Clientes!$A$2:$K$486,11,FALSE)</f>
        <v>Persona Natural</v>
      </c>
      <c r="AC95" s="13" t="str">
        <f>VLOOKUP(D95,Clientes!$A$2:$B$486,2,FALSE)</f>
        <v>Jardines de la viña</v>
      </c>
      <c r="AD95" s="20"/>
      <c r="AE95" s="20"/>
      <c r="AF95" s="13" t="s">
        <v>40</v>
      </c>
      <c r="AG95" s="15">
        <f t="shared" si="6"/>
        <v>45536</v>
      </c>
      <c r="AH95" s="13" t="s">
        <v>41</v>
      </c>
      <c r="AI95" s="13" t="str">
        <f t="shared" si="7"/>
        <v>Huevos</v>
      </c>
      <c r="AJ95" s="13" t="str">
        <f>VLOOKUP(E95,Precios!Z$2:AA$941,2,FALSE)</f>
        <v>Bandeja Huevos EXTRA</v>
      </c>
      <c r="AK95" s="14">
        <f>VLOOKUP(E95,Precios!Z$2:BB$941,3,FALSE)*F95</f>
        <v>-1</v>
      </c>
      <c r="AL95" s="17"/>
      <c r="AM95" s="17"/>
      <c r="AN95" s="17"/>
      <c r="AO95" s="17"/>
      <c r="AP95" s="17"/>
      <c r="AQ95" s="17"/>
      <c r="AR95" s="17"/>
      <c r="AS95" s="17"/>
      <c r="AT95" s="17"/>
      <c r="AU95" s="17"/>
      <c r="AV95" s="17"/>
    </row>
    <row r="96" spans="1:48" ht="15.75" customHeight="1">
      <c r="A96" s="21" t="s">
        <v>64</v>
      </c>
      <c r="B96" s="23" t="s">
        <v>1692</v>
      </c>
      <c r="C96" s="22">
        <v>45913</v>
      </c>
      <c r="D96" s="23" t="s">
        <v>132</v>
      </c>
      <c r="E96" s="23" t="s">
        <v>65</v>
      </c>
      <c r="F96" s="21">
        <v>1</v>
      </c>
      <c r="G96" s="12">
        <f>VLOOKUP(E96,Precios!B$2:N$941,12,FALSE)</f>
        <v>8200.2358799633075</v>
      </c>
      <c r="H96" s="12">
        <f t="shared" si="0"/>
        <v>8200.2358799633075</v>
      </c>
      <c r="I96" s="23" t="s">
        <v>52</v>
      </c>
      <c r="J96" s="13" t="s">
        <v>38</v>
      </c>
      <c r="K96" s="24" t="s">
        <v>177</v>
      </c>
      <c r="L96" s="11"/>
      <c r="M96" s="12">
        <f t="shared" ref="M96:N96" si="101">G96/1.19</f>
        <v>6890.9545209775697</v>
      </c>
      <c r="N96" s="12">
        <f t="shared" si="101"/>
        <v>6890.9545209775697</v>
      </c>
      <c r="O96" s="12">
        <f t="shared" si="2"/>
        <v>1309.2813589857378</v>
      </c>
      <c r="P96" s="13"/>
      <c r="Q96" s="14">
        <f t="shared" si="3"/>
        <v>2025</v>
      </c>
      <c r="R96" s="15">
        <f>VLOOKUP(MONTH(C96),'Datos Maestros'!M$2:N$14,2,FALSE)</f>
        <v>45536</v>
      </c>
      <c r="S96" s="11" t="str">
        <f>VLOOKUP(E96,Precios!B$2:W$941,3,FALSE)</f>
        <v>Longanizas</v>
      </c>
      <c r="T96" s="16">
        <f>VLOOKUP(E96,Precios!B$2:N$941,4,FALSE)*F96</f>
        <v>1</v>
      </c>
      <c r="U96" s="17"/>
      <c r="V96" s="12">
        <f>VLOOKUP(E96,Precios!B$2:N$941,13,FALSE)*F96</f>
        <v>1632.4671260195864</v>
      </c>
      <c r="W96" s="12">
        <f t="shared" si="4"/>
        <v>1632.4671260195864</v>
      </c>
      <c r="X96" s="12">
        <f>VLOOKUP(B96,'Datos Maestros'!$C$2:$D$7,2,FALSE)*V96</f>
        <v>0</v>
      </c>
      <c r="Y96" s="18">
        <f t="shared" si="5"/>
        <v>45908</v>
      </c>
      <c r="Z96" s="13" t="s">
        <v>39</v>
      </c>
      <c r="AA96" s="19" t="str">
        <f>VLOOKUP(D96,Clientes!$A$2:$J$486,9,FALSE)</f>
        <v>Ocacional</v>
      </c>
      <c r="AB96" s="13" t="str">
        <f>VLOOKUP(D96,Clientes!$A$2:$K$486,11,FALSE)</f>
        <v>Persona Natural</v>
      </c>
      <c r="AC96" s="13" t="str">
        <f>VLOOKUP(D96,Clientes!$A$2:$B$486,2,FALSE)</f>
        <v>Walker Martinez</v>
      </c>
      <c r="AD96" s="20"/>
      <c r="AE96" s="20"/>
      <c r="AF96" s="13" t="s">
        <v>40</v>
      </c>
      <c r="AG96" s="15">
        <f t="shared" si="6"/>
        <v>45536</v>
      </c>
      <c r="AH96" s="13" t="s">
        <v>41</v>
      </c>
      <c r="AI96" s="13" t="str">
        <f t="shared" si="7"/>
        <v>Longanizas</v>
      </c>
      <c r="AJ96" s="13" t="str">
        <f>VLOOKUP(E96,Precios!Z$2:AA$941,2,FALSE)</f>
        <v>Longanizas VILLABLANCA</v>
      </c>
      <c r="AK96" s="14">
        <f>VLOOKUP(E96,Precios!Z$2:BB$941,3,FALSE)*F96</f>
        <v>-1</v>
      </c>
      <c r="AL96" s="17"/>
      <c r="AM96" s="17"/>
      <c r="AN96" s="17"/>
      <c r="AO96" s="17"/>
      <c r="AP96" s="17"/>
      <c r="AQ96" s="17"/>
      <c r="AR96" s="17"/>
      <c r="AS96" s="17"/>
      <c r="AT96" s="17"/>
      <c r="AU96" s="17"/>
      <c r="AV96" s="17"/>
    </row>
    <row r="97" spans="1:48" ht="15.75" customHeight="1">
      <c r="A97" s="21" t="s">
        <v>35</v>
      </c>
      <c r="B97" s="23" t="s">
        <v>1692</v>
      </c>
      <c r="C97" s="22">
        <v>45913</v>
      </c>
      <c r="D97" s="23" t="s">
        <v>132</v>
      </c>
      <c r="E97" s="23" t="s">
        <v>37</v>
      </c>
      <c r="F97" s="21">
        <v>1</v>
      </c>
      <c r="G97" s="12">
        <f>VLOOKUP(E97,Precios!B$2:N$941,12,FALSE)</f>
        <v>11000.014358944907</v>
      </c>
      <c r="H97" s="12">
        <f t="shared" si="0"/>
        <v>11000.014358944907</v>
      </c>
      <c r="I97" s="23" t="s">
        <v>52</v>
      </c>
      <c r="J97" s="13" t="s">
        <v>38</v>
      </c>
      <c r="K97" s="24" t="s">
        <v>177</v>
      </c>
      <c r="L97" s="11"/>
      <c r="M97" s="12">
        <f t="shared" ref="M97:N97" si="102">G97/1.19</f>
        <v>9243.7095453318543</v>
      </c>
      <c r="N97" s="12">
        <f t="shared" si="102"/>
        <v>9243.7095453318543</v>
      </c>
      <c r="O97" s="12">
        <f t="shared" si="2"/>
        <v>1756.3048136130528</v>
      </c>
      <c r="P97" s="13"/>
      <c r="Q97" s="14">
        <f t="shared" si="3"/>
        <v>2025</v>
      </c>
      <c r="R97" s="15">
        <f>VLOOKUP(MONTH(C97),'Datos Maestros'!M$2:N$14,2,FALSE)</f>
        <v>45536</v>
      </c>
      <c r="S97" s="11" t="str">
        <f>VLOOKUP(E97,Precios!B$2:W$941,3,FALSE)</f>
        <v>Queso Mantecoso</v>
      </c>
      <c r="T97" s="16">
        <f>VLOOKUP(E97,Precios!B$2:N$941,4,FALSE)*F97</f>
        <v>1000</v>
      </c>
      <c r="U97" s="17"/>
      <c r="V97" s="12">
        <f>VLOOKUP(E97,Precios!B$2:N$941,13,FALSE)*F97</f>
        <v>2806.1129066763915</v>
      </c>
      <c r="W97" s="12">
        <f t="shared" si="4"/>
        <v>2806.1129066763915</v>
      </c>
      <c r="X97" s="12">
        <f>VLOOKUP(B97,'Datos Maestros'!$C$2:$D$7,2,FALSE)*V97</f>
        <v>0</v>
      </c>
      <c r="Y97" s="18">
        <f t="shared" si="5"/>
        <v>45908</v>
      </c>
      <c r="Z97" s="13" t="s">
        <v>39</v>
      </c>
      <c r="AA97" s="19" t="str">
        <f>VLOOKUP(D97,Clientes!$A$2:$J$486,9,FALSE)</f>
        <v>Ocacional</v>
      </c>
      <c r="AB97" s="13" t="str">
        <f>VLOOKUP(D97,Clientes!$A$2:$K$486,11,FALSE)</f>
        <v>Persona Natural</v>
      </c>
      <c r="AC97" s="13" t="str">
        <f>VLOOKUP(D97,Clientes!$A$2:$B$486,2,FALSE)</f>
        <v>Walker Martinez</v>
      </c>
      <c r="AD97" s="20"/>
      <c r="AE97" s="20"/>
      <c r="AF97" s="13" t="s">
        <v>40</v>
      </c>
      <c r="AG97" s="15">
        <f t="shared" si="6"/>
        <v>45536</v>
      </c>
      <c r="AH97" s="13" t="s">
        <v>41</v>
      </c>
      <c r="AI97" s="13" t="str">
        <f t="shared" si="7"/>
        <v>Quesos</v>
      </c>
      <c r="AJ97" s="13" t="str">
        <f>VLOOKUP(E97,Precios!Z$2:AA$941,2,FALSE)</f>
        <v>Queso RUNCA Mantecoso</v>
      </c>
      <c r="AK97" s="14">
        <f>VLOOKUP(E97,Precios!Z$2:BB$941,3,FALSE)*F97</f>
        <v>-1</v>
      </c>
      <c r="AL97" s="17"/>
      <c r="AM97" s="17"/>
      <c r="AN97" s="17"/>
      <c r="AO97" s="17"/>
      <c r="AP97" s="17"/>
      <c r="AQ97" s="17"/>
      <c r="AR97" s="17"/>
      <c r="AS97" s="17"/>
      <c r="AT97" s="17"/>
      <c r="AU97" s="17"/>
      <c r="AV97" s="17"/>
    </row>
    <row r="98" spans="1:48" ht="15.75" customHeight="1">
      <c r="A98" s="21" t="s">
        <v>35</v>
      </c>
      <c r="B98" s="23" t="s">
        <v>1692</v>
      </c>
      <c r="C98" s="22">
        <v>45913</v>
      </c>
      <c r="D98" s="23" t="s">
        <v>132</v>
      </c>
      <c r="E98" s="23" t="s">
        <v>46</v>
      </c>
      <c r="F98" s="21">
        <v>1</v>
      </c>
      <c r="G98" s="12">
        <f>VLOOKUP(E98,Precios!B$2:N$941,12,FALSE)</f>
        <v>6000.1548227279782</v>
      </c>
      <c r="H98" s="12">
        <f t="shared" si="0"/>
        <v>6000.1548227279782</v>
      </c>
      <c r="I98" s="23" t="s">
        <v>52</v>
      </c>
      <c r="J98" s="13" t="s">
        <v>38</v>
      </c>
      <c r="K98" s="24" t="s">
        <v>177</v>
      </c>
      <c r="L98" s="11"/>
      <c r="M98" s="12">
        <f t="shared" ref="M98:N98" si="103">G98/1.19</f>
        <v>5042.1469098554444</v>
      </c>
      <c r="N98" s="12">
        <f t="shared" si="103"/>
        <v>5042.1469098554444</v>
      </c>
      <c r="O98" s="12">
        <f t="shared" si="2"/>
        <v>958.00791287253378</v>
      </c>
      <c r="P98" s="13"/>
      <c r="Q98" s="14">
        <f t="shared" si="3"/>
        <v>2025</v>
      </c>
      <c r="R98" s="15">
        <f>VLOOKUP(MONTH(C98),'Datos Maestros'!M$2:N$14,2,FALSE)</f>
        <v>45536</v>
      </c>
      <c r="S98" s="11" t="str">
        <f>VLOOKUP(E98,Precios!B$2:W$941,3,FALSE)</f>
        <v>Queso Mantecoso</v>
      </c>
      <c r="T98" s="16">
        <f>VLOOKUP(E98,Precios!B$2:N$941,4,FALSE)*F98</f>
        <v>500</v>
      </c>
      <c r="U98" s="17"/>
      <c r="V98" s="12">
        <f>VLOOKUP(E98,Precios!B$2:N$941,13,FALSE)*F98</f>
        <v>1785.4242207798129</v>
      </c>
      <c r="W98" s="12">
        <f t="shared" si="4"/>
        <v>1785.4242207798129</v>
      </c>
      <c r="X98" s="12">
        <f>VLOOKUP(B98,'Datos Maestros'!$C$2:$D$7,2,FALSE)*V98</f>
        <v>0</v>
      </c>
      <c r="Y98" s="18">
        <f t="shared" si="5"/>
        <v>45908</v>
      </c>
      <c r="Z98" s="13" t="s">
        <v>39</v>
      </c>
      <c r="AA98" s="19" t="str">
        <f>VLOOKUP(D98,Clientes!$A$2:$J$486,9,FALSE)</f>
        <v>Ocacional</v>
      </c>
      <c r="AB98" s="13" t="str">
        <f>VLOOKUP(D98,Clientes!$A$2:$K$486,11,FALSE)</f>
        <v>Persona Natural</v>
      </c>
      <c r="AC98" s="13" t="str">
        <f>VLOOKUP(D98,Clientes!$A$2:$B$486,2,FALSE)</f>
        <v>Walker Martinez</v>
      </c>
      <c r="AD98" s="20"/>
      <c r="AE98" s="20"/>
      <c r="AF98" s="13" t="s">
        <v>40</v>
      </c>
      <c r="AG98" s="15">
        <f t="shared" si="6"/>
        <v>45536</v>
      </c>
      <c r="AH98" s="13" t="s">
        <v>41</v>
      </c>
      <c r="AI98" s="13" t="str">
        <f t="shared" si="7"/>
        <v>Quesos</v>
      </c>
      <c r="AJ98" s="13" t="str">
        <f>VLOOKUP(E98,Precios!Z$2:AA$941,2,FALSE)</f>
        <v>Queso RUNCA Mantecoso</v>
      </c>
      <c r="AK98" s="14">
        <f>VLOOKUP(E98,Precios!Z$2:BB$941,3,FALSE)*F98</f>
        <v>-0.5</v>
      </c>
      <c r="AL98" s="17"/>
      <c r="AM98" s="17"/>
      <c r="AN98" s="17"/>
      <c r="AO98" s="17"/>
      <c r="AP98" s="17"/>
      <c r="AQ98" s="17"/>
      <c r="AR98" s="17"/>
      <c r="AS98" s="17"/>
      <c r="AT98" s="17"/>
      <c r="AU98" s="17"/>
      <c r="AV98" s="17"/>
    </row>
    <row r="99" spans="1:48" ht="15.75" customHeight="1">
      <c r="A99" s="21" t="s">
        <v>53</v>
      </c>
      <c r="B99" s="23" t="s">
        <v>1692</v>
      </c>
      <c r="C99" s="22">
        <v>45913</v>
      </c>
      <c r="D99" s="23" t="s">
        <v>133</v>
      </c>
      <c r="E99" s="23" t="s">
        <v>97</v>
      </c>
      <c r="F99" s="21">
        <v>1</v>
      </c>
      <c r="G99" s="12">
        <f>VLOOKUP(E99,Precios!B$2:N$941,12,FALSE)</f>
        <v>16500.236769693482</v>
      </c>
      <c r="H99" s="12">
        <f t="shared" si="0"/>
        <v>16500.236769693482</v>
      </c>
      <c r="I99" s="23" t="s">
        <v>52</v>
      </c>
      <c r="J99" s="23" t="s">
        <v>61</v>
      </c>
      <c r="K99" s="24" t="s">
        <v>177</v>
      </c>
      <c r="L99" s="11"/>
      <c r="M99" s="12">
        <f t="shared" ref="M99:N99" si="104">G99/1.19</f>
        <v>13865.745184616371</v>
      </c>
      <c r="N99" s="12">
        <f t="shared" si="104"/>
        <v>13865.745184616371</v>
      </c>
      <c r="O99" s="12">
        <f t="shared" si="2"/>
        <v>2634.4915850771104</v>
      </c>
      <c r="P99" s="13"/>
      <c r="Q99" s="14">
        <f t="shared" si="3"/>
        <v>2025</v>
      </c>
      <c r="R99" s="15">
        <f>VLOOKUP(MONTH(C99),'Datos Maestros'!M$2:N$14,2,FALSE)</f>
        <v>45536</v>
      </c>
      <c r="S99" s="11" t="str">
        <f>VLOOKUP(E99,Precios!B$2:W$941,3,FALSE)</f>
        <v>Papel Higiénico ELITE</v>
      </c>
      <c r="T99" s="16">
        <f>VLOOKUP(E99,Precios!B$2:N$941,4,FALSE)*F99</f>
        <v>0</v>
      </c>
      <c r="U99" s="17"/>
      <c r="V99" s="12">
        <f>VLOOKUP(E99,Precios!B$2:N$941,13,FALSE)*F99</f>
        <v>3031.7451846163694</v>
      </c>
      <c r="W99" s="12">
        <f t="shared" si="4"/>
        <v>3031.7451846163694</v>
      </c>
      <c r="X99" s="12">
        <f>VLOOKUP(B99,'Datos Maestros'!$C$2:$D$7,2,FALSE)*V99</f>
        <v>0</v>
      </c>
      <c r="Y99" s="18">
        <f t="shared" si="5"/>
        <v>45908</v>
      </c>
      <c r="Z99" s="13" t="s">
        <v>39</v>
      </c>
      <c r="AA99" s="19" t="str">
        <f>VLOOKUP(D99,Clientes!$A$2:$J$486,9,FALSE)</f>
        <v>Frecuente</v>
      </c>
      <c r="AB99" s="13" t="str">
        <f>VLOOKUP(D99,Clientes!$A$2:$K$486,11,FALSE)</f>
        <v>Persona Natural</v>
      </c>
      <c r="AC99" s="13" t="str">
        <f>VLOOKUP(D99,Clientes!$A$2:$B$486,2,FALSE)</f>
        <v>Jardines de la Viña</v>
      </c>
      <c r="AD99" s="20"/>
      <c r="AE99" s="20"/>
      <c r="AF99" s="13" t="s">
        <v>40</v>
      </c>
      <c r="AG99" s="15">
        <f t="shared" si="6"/>
        <v>45536</v>
      </c>
      <c r="AH99" s="13" t="s">
        <v>41</v>
      </c>
      <c r="AI99" s="13" t="str">
        <f t="shared" si="7"/>
        <v>Papeleria</v>
      </c>
      <c r="AJ99" s="13" t="str">
        <f>VLOOKUP(E99,Precios!Z$2:AA$941,2,FALSE)</f>
        <v>Papel Higienico ELITE 50 metros</v>
      </c>
      <c r="AK99" s="14">
        <f>VLOOKUP(E99,Precios!Z$2:BB$941,3,FALSE)*F99</f>
        <v>-6</v>
      </c>
      <c r="AL99" s="17"/>
      <c r="AM99" s="17"/>
      <c r="AN99" s="17"/>
      <c r="AO99" s="17"/>
      <c r="AP99" s="17"/>
      <c r="AQ99" s="17"/>
      <c r="AR99" s="17"/>
      <c r="AS99" s="17"/>
      <c r="AT99" s="17"/>
      <c r="AU99" s="17"/>
      <c r="AV99" s="17"/>
    </row>
    <row r="100" spans="1:48" ht="15.75" customHeight="1">
      <c r="A100" s="21" t="s">
        <v>76</v>
      </c>
      <c r="B100" s="23" t="s">
        <v>1692</v>
      </c>
      <c r="C100" s="22">
        <v>45913</v>
      </c>
      <c r="D100" s="23" t="s">
        <v>133</v>
      </c>
      <c r="E100" s="23" t="s">
        <v>134</v>
      </c>
      <c r="F100" s="21">
        <v>1</v>
      </c>
      <c r="G100" s="12">
        <f>VLOOKUP(E100,Precios!B$2:N$941,12,FALSE)</f>
        <v>4600.0050735667173</v>
      </c>
      <c r="H100" s="12">
        <f t="shared" si="0"/>
        <v>4600.0050735667173</v>
      </c>
      <c r="I100" s="23" t="s">
        <v>52</v>
      </c>
      <c r="J100" s="23" t="s">
        <v>61</v>
      </c>
      <c r="K100" s="24" t="s">
        <v>177</v>
      </c>
      <c r="L100" s="11"/>
      <c r="M100" s="12">
        <f t="shared" ref="M100:N100" si="105">G100/1.19</f>
        <v>3865.5504819888383</v>
      </c>
      <c r="N100" s="12">
        <f t="shared" si="105"/>
        <v>3865.5504819888383</v>
      </c>
      <c r="O100" s="12">
        <f t="shared" si="2"/>
        <v>734.454591577879</v>
      </c>
      <c r="P100" s="13"/>
      <c r="Q100" s="14">
        <f t="shared" si="3"/>
        <v>2025</v>
      </c>
      <c r="R100" s="15">
        <f>VLOOKUP(MONTH(C100),'Datos Maestros'!M$2:N$14,2,FALSE)</f>
        <v>45536</v>
      </c>
      <c r="S100" s="11" t="str">
        <f>VLOOKUP(E100,Precios!B$2:W$941,3,FALSE)</f>
        <v>Tableta Cloro</v>
      </c>
      <c r="T100" s="16">
        <f>VLOOKUP(E100,Precios!B$2:N$941,4,FALSE)*F100</f>
        <v>0</v>
      </c>
      <c r="U100" s="17"/>
      <c r="V100" s="12">
        <f>VLOOKUP(E100,Precios!B$2:N$941,13,FALSE)*F100</f>
        <v>1579.8504819888385</v>
      </c>
      <c r="W100" s="12">
        <f t="shared" si="4"/>
        <v>1579.8504819888385</v>
      </c>
      <c r="X100" s="12">
        <f>VLOOKUP(B100,'Datos Maestros'!$C$2:$D$7,2,FALSE)*V100</f>
        <v>0</v>
      </c>
      <c r="Y100" s="18">
        <f t="shared" si="5"/>
        <v>45908</v>
      </c>
      <c r="Z100" s="13" t="s">
        <v>39</v>
      </c>
      <c r="AA100" s="19" t="str">
        <f>VLOOKUP(D100,Clientes!$A$2:$J$486,9,FALSE)</f>
        <v>Frecuente</v>
      </c>
      <c r="AB100" s="13" t="str">
        <f>VLOOKUP(D100,Clientes!$A$2:$K$486,11,FALSE)</f>
        <v>Persona Natural</v>
      </c>
      <c r="AC100" s="13" t="str">
        <f>VLOOKUP(D100,Clientes!$A$2:$B$486,2,FALSE)</f>
        <v>Jardines de la Viña</v>
      </c>
      <c r="AD100" s="20"/>
      <c r="AE100" s="20"/>
      <c r="AF100" s="13" t="s">
        <v>40</v>
      </c>
      <c r="AG100" s="15">
        <f t="shared" si="6"/>
        <v>45536</v>
      </c>
      <c r="AH100" s="13" t="s">
        <v>41</v>
      </c>
      <c r="AI100" s="13" t="str">
        <f t="shared" si="7"/>
        <v>Detergentes</v>
      </c>
      <c r="AJ100" s="13" t="str">
        <f>VLOOKUP(E100,Precios!Z$2:AA$941,2,FALSE)</f>
        <v>Pastilla Cloro 200 gr</v>
      </c>
      <c r="AK100" s="14">
        <f>VLOOKUP(E100,Precios!Z$2:BB$941,3,FALSE)*F100</f>
        <v>-1</v>
      </c>
      <c r="AL100" s="17"/>
      <c r="AM100" s="17"/>
      <c r="AN100" s="17"/>
      <c r="AO100" s="17"/>
      <c r="AP100" s="17"/>
      <c r="AQ100" s="17"/>
      <c r="AR100" s="17"/>
      <c r="AS100" s="17"/>
      <c r="AT100" s="17"/>
      <c r="AU100" s="17"/>
      <c r="AV100" s="17"/>
    </row>
    <row r="101" spans="1:48" ht="15.75" customHeight="1">
      <c r="A101" s="21" t="s">
        <v>53</v>
      </c>
      <c r="B101" s="23" t="s">
        <v>1692</v>
      </c>
      <c r="C101" s="22">
        <v>45913</v>
      </c>
      <c r="D101" s="23" t="s">
        <v>135</v>
      </c>
      <c r="E101" s="23" t="s">
        <v>97</v>
      </c>
      <c r="F101" s="21">
        <v>1</v>
      </c>
      <c r="G101" s="12">
        <f>VLOOKUP(E101,Precios!B$2:N$941,12,FALSE)</f>
        <v>16500.236769693482</v>
      </c>
      <c r="H101" s="12">
        <f t="shared" si="0"/>
        <v>16500.236769693482</v>
      </c>
      <c r="I101" s="23" t="s">
        <v>52</v>
      </c>
      <c r="J101" s="13" t="s">
        <v>38</v>
      </c>
      <c r="K101" s="24" t="s">
        <v>177</v>
      </c>
      <c r="L101" s="11"/>
      <c r="M101" s="12">
        <f t="shared" ref="M101:N101" si="106">G101/1.19</f>
        <v>13865.745184616371</v>
      </c>
      <c r="N101" s="12">
        <f t="shared" si="106"/>
        <v>13865.745184616371</v>
      </c>
      <c r="O101" s="12">
        <f t="shared" si="2"/>
        <v>2634.4915850771104</v>
      </c>
      <c r="P101" s="13"/>
      <c r="Q101" s="14">
        <f t="shared" si="3"/>
        <v>2025</v>
      </c>
      <c r="R101" s="15">
        <f>VLOOKUP(MONTH(C101),'Datos Maestros'!M$2:N$14,2,FALSE)</f>
        <v>45536</v>
      </c>
      <c r="S101" s="11" t="str">
        <f>VLOOKUP(E101,Precios!B$2:W$941,3,FALSE)</f>
        <v>Papel Higiénico ELITE</v>
      </c>
      <c r="T101" s="16">
        <f>VLOOKUP(E101,Precios!B$2:N$941,4,FALSE)*F101</f>
        <v>0</v>
      </c>
      <c r="U101" s="17"/>
      <c r="V101" s="12">
        <f>VLOOKUP(E101,Precios!B$2:N$941,13,FALSE)*F101</f>
        <v>3031.7451846163694</v>
      </c>
      <c r="W101" s="12">
        <f t="shared" si="4"/>
        <v>3031.7451846163694</v>
      </c>
      <c r="X101" s="12">
        <f>VLOOKUP(B101,'Datos Maestros'!$C$2:$D$7,2,FALSE)*V101</f>
        <v>0</v>
      </c>
      <c r="Y101" s="18">
        <f t="shared" si="5"/>
        <v>45908</v>
      </c>
      <c r="Z101" s="13" t="s">
        <v>39</v>
      </c>
      <c r="AA101" s="19" t="str">
        <f>VLOOKUP(D101,Clientes!$A$2:$J$486,9,FALSE)</f>
        <v>Frecuente</v>
      </c>
      <c r="AB101" s="13" t="str">
        <f>VLOOKUP(D101,Clientes!$A$2:$K$486,11,FALSE)</f>
        <v>Persona Natural</v>
      </c>
      <c r="AC101" s="13" t="str">
        <f>VLOOKUP(D101,Clientes!$A$2:$B$486,2,FALSE)</f>
        <v>Ex 4to Antilhue</v>
      </c>
      <c r="AD101" s="20"/>
      <c r="AE101" s="20"/>
      <c r="AF101" s="13" t="s">
        <v>40</v>
      </c>
      <c r="AG101" s="15">
        <f t="shared" si="6"/>
        <v>45536</v>
      </c>
      <c r="AH101" s="13" t="s">
        <v>41</v>
      </c>
      <c r="AI101" s="13" t="str">
        <f t="shared" si="7"/>
        <v>Papeleria</v>
      </c>
      <c r="AJ101" s="13" t="str">
        <f>VLOOKUP(E101,Precios!Z$2:AA$941,2,FALSE)</f>
        <v>Papel Higienico ELITE 50 metros</v>
      </c>
      <c r="AK101" s="14">
        <f>VLOOKUP(E101,Precios!Z$2:BB$941,3,FALSE)*F101</f>
        <v>-6</v>
      </c>
      <c r="AL101" s="17"/>
      <c r="AM101" s="17"/>
      <c r="AN101" s="17"/>
      <c r="AO101" s="17"/>
      <c r="AP101" s="17"/>
      <c r="AQ101" s="17"/>
      <c r="AR101" s="17"/>
      <c r="AS101" s="17"/>
      <c r="AT101" s="17"/>
      <c r="AU101" s="17"/>
      <c r="AV101" s="17"/>
    </row>
    <row r="102" spans="1:48" ht="15.75" customHeight="1">
      <c r="A102" s="21" t="s">
        <v>53</v>
      </c>
      <c r="B102" s="23" t="s">
        <v>1692</v>
      </c>
      <c r="C102" s="22">
        <v>45913</v>
      </c>
      <c r="D102" s="23" t="s">
        <v>135</v>
      </c>
      <c r="E102" s="23" t="s">
        <v>69</v>
      </c>
      <c r="F102" s="21">
        <v>1</v>
      </c>
      <c r="G102" s="12">
        <f>VLOOKUP(E102,Precios!B$2:N$941,12,FALSE)</f>
        <v>2999.9553810458683</v>
      </c>
      <c r="H102" s="12">
        <f t="shared" si="0"/>
        <v>2999.9553810458683</v>
      </c>
      <c r="I102" s="23" t="s">
        <v>52</v>
      </c>
      <c r="J102" s="13" t="s">
        <v>38</v>
      </c>
      <c r="K102" s="24" t="s">
        <v>177</v>
      </c>
      <c r="L102" s="11"/>
      <c r="M102" s="12">
        <f t="shared" ref="M102:N102" si="107">G102/1.19</f>
        <v>2520.9709084419064</v>
      </c>
      <c r="N102" s="12">
        <f t="shared" si="107"/>
        <v>2520.9709084419064</v>
      </c>
      <c r="O102" s="12">
        <f t="shared" si="2"/>
        <v>478.98447260396188</v>
      </c>
      <c r="P102" s="13"/>
      <c r="Q102" s="14">
        <f t="shared" si="3"/>
        <v>2025</v>
      </c>
      <c r="R102" s="15">
        <f>VLOOKUP(MONTH(C102),'Datos Maestros'!M$2:N$14,2,FALSE)</f>
        <v>45536</v>
      </c>
      <c r="S102" s="11" t="str">
        <f>VLOOKUP(E102,Precios!B$2:W$941,3,FALSE)</f>
        <v>Toalla Nova 70 mts</v>
      </c>
      <c r="T102" s="16">
        <f>VLOOKUP(E102,Precios!B$2:N$941,4,FALSE)*F102</f>
        <v>0</v>
      </c>
      <c r="U102" s="17"/>
      <c r="V102" s="12">
        <f>VLOOKUP(E102,Precios!B$2:N$941,13,FALSE)*F102</f>
        <v>825.97090844190598</v>
      </c>
      <c r="W102" s="12">
        <f t="shared" si="4"/>
        <v>825.97090844190598</v>
      </c>
      <c r="X102" s="12">
        <f>VLOOKUP(B102,'Datos Maestros'!$C$2:$D$7,2,FALSE)*V102</f>
        <v>0</v>
      </c>
      <c r="Y102" s="18">
        <f t="shared" si="5"/>
        <v>45908</v>
      </c>
      <c r="Z102" s="13" t="s">
        <v>39</v>
      </c>
      <c r="AA102" s="19" t="str">
        <f>VLOOKUP(D102,Clientes!$A$2:$J$486,9,FALSE)</f>
        <v>Frecuente</v>
      </c>
      <c r="AB102" s="13" t="str">
        <f>VLOOKUP(D102,Clientes!$A$2:$K$486,11,FALSE)</f>
        <v>Persona Natural</v>
      </c>
      <c r="AC102" s="13" t="str">
        <f>VLOOKUP(D102,Clientes!$A$2:$B$486,2,FALSE)</f>
        <v>Ex 4to Antilhue</v>
      </c>
      <c r="AD102" s="20"/>
      <c r="AE102" s="20"/>
      <c r="AF102" s="13" t="s">
        <v>40</v>
      </c>
      <c r="AG102" s="15">
        <f t="shared" si="6"/>
        <v>45536</v>
      </c>
      <c r="AH102" s="13" t="s">
        <v>41</v>
      </c>
      <c r="AI102" s="13" t="str">
        <f t="shared" si="7"/>
        <v>Papeleria</v>
      </c>
      <c r="AJ102" s="13" t="str">
        <f>VLOOKUP(E102,Precios!Z$2:AA$941,2,FALSE)</f>
        <v>Toalla Papel NOVA 70 metros</v>
      </c>
      <c r="AK102" s="14">
        <f>VLOOKUP(E102,Precios!Z$2:BB$941,3,FALSE)*F102</f>
        <v>-1</v>
      </c>
      <c r="AL102" s="17"/>
      <c r="AM102" s="17"/>
      <c r="AN102" s="17"/>
      <c r="AO102" s="17"/>
      <c r="AP102" s="17"/>
      <c r="AQ102" s="17"/>
      <c r="AR102" s="17"/>
      <c r="AS102" s="17"/>
      <c r="AT102" s="17"/>
      <c r="AU102" s="17"/>
      <c r="AV102" s="17"/>
    </row>
    <row r="103" spans="1:48" ht="15.75" customHeight="1">
      <c r="A103" s="21" t="s">
        <v>53</v>
      </c>
      <c r="B103" s="23" t="s">
        <v>1692</v>
      </c>
      <c r="C103" s="22">
        <v>45913</v>
      </c>
      <c r="D103" s="23" t="s">
        <v>135</v>
      </c>
      <c r="E103" s="23" t="s">
        <v>136</v>
      </c>
      <c r="F103" s="21">
        <v>1</v>
      </c>
      <c r="G103" s="12">
        <f>VLOOKUP(E103,Precios!B$2:N$941,12,FALSE)</f>
        <v>14900.292682926829</v>
      </c>
      <c r="H103" s="12">
        <f t="shared" si="0"/>
        <v>14900.292682926829</v>
      </c>
      <c r="I103" s="23" t="s">
        <v>52</v>
      </c>
      <c r="J103" s="13" t="s">
        <v>38</v>
      </c>
      <c r="K103" s="24" t="s">
        <v>177</v>
      </c>
      <c r="L103" s="11"/>
      <c r="M103" s="12">
        <f t="shared" ref="M103:N103" si="108">G103/1.19</f>
        <v>12521.254355400697</v>
      </c>
      <c r="N103" s="12">
        <f t="shared" si="108"/>
        <v>12521.254355400697</v>
      </c>
      <c r="O103" s="12">
        <f t="shared" si="2"/>
        <v>2379.038327526132</v>
      </c>
      <c r="P103" s="13"/>
      <c r="Q103" s="14">
        <f t="shared" si="3"/>
        <v>2025</v>
      </c>
      <c r="R103" s="15">
        <f>VLOOKUP(MONTH(C103),'Datos Maestros'!M$2:N$14,2,FALSE)</f>
        <v>45536</v>
      </c>
      <c r="S103" s="11" t="str">
        <f>VLOOKUP(E103,Precios!B$2:W$941,3,FALSE)</f>
        <v>Toalla Nova 26 mts</v>
      </c>
      <c r="T103" s="16">
        <f>VLOOKUP(E103,Precios!B$2:N$941,4,FALSE)*F103</f>
        <v>0</v>
      </c>
      <c r="U103" s="17"/>
      <c r="V103" s="12">
        <f>VLOOKUP(E103,Precios!B$2:N$941,13,FALSE)*F103</f>
        <v>3537.254355400697</v>
      </c>
      <c r="W103" s="12">
        <f t="shared" si="4"/>
        <v>3537.254355400697</v>
      </c>
      <c r="X103" s="12">
        <f>VLOOKUP(B103,'Datos Maestros'!$C$2:$D$7,2,FALSE)*V103</f>
        <v>0</v>
      </c>
      <c r="Y103" s="18">
        <f t="shared" si="5"/>
        <v>45908</v>
      </c>
      <c r="Z103" s="13" t="s">
        <v>39</v>
      </c>
      <c r="AA103" s="19" t="str">
        <f>VLOOKUP(D103,Clientes!$A$2:$J$486,9,FALSE)</f>
        <v>Frecuente</v>
      </c>
      <c r="AB103" s="13" t="str">
        <f>VLOOKUP(D103,Clientes!$A$2:$K$486,11,FALSE)</f>
        <v>Persona Natural</v>
      </c>
      <c r="AC103" s="13" t="str">
        <f>VLOOKUP(D103,Clientes!$A$2:$B$486,2,FALSE)</f>
        <v>Ex 4to Antilhue</v>
      </c>
      <c r="AD103" s="20"/>
      <c r="AE103" s="20"/>
      <c r="AF103" s="13" t="s">
        <v>40</v>
      </c>
      <c r="AG103" s="15">
        <f t="shared" si="6"/>
        <v>45536</v>
      </c>
      <c r="AH103" s="13" t="s">
        <v>41</v>
      </c>
      <c r="AI103" s="13" t="str">
        <f t="shared" si="7"/>
        <v>Papeleria</v>
      </c>
      <c r="AJ103" s="13" t="str">
        <f>VLOOKUP(E103,Precios!Z$2:AA$941,2,FALSE)</f>
        <v>Toalla Papel NOVA 26 metros</v>
      </c>
      <c r="AK103" s="14">
        <f>VLOOKUP(E103,Precios!Z$2:BB$941,3,FALSE)*F103</f>
        <v>-8</v>
      </c>
      <c r="AL103" s="17"/>
      <c r="AM103" s="17"/>
      <c r="AN103" s="17"/>
      <c r="AO103" s="17"/>
      <c r="AP103" s="17"/>
      <c r="AQ103" s="17"/>
      <c r="AR103" s="17"/>
      <c r="AS103" s="17"/>
      <c r="AT103" s="17"/>
      <c r="AU103" s="17"/>
      <c r="AV103" s="17"/>
    </row>
    <row r="104" spans="1:48" ht="15.75" customHeight="1">
      <c r="A104" s="21" t="s">
        <v>76</v>
      </c>
      <c r="B104" s="23" t="s">
        <v>1692</v>
      </c>
      <c r="C104" s="22">
        <v>45913</v>
      </c>
      <c r="D104" s="23" t="s">
        <v>135</v>
      </c>
      <c r="E104" s="23" t="s">
        <v>137</v>
      </c>
      <c r="F104" s="21">
        <v>1</v>
      </c>
      <c r="G104" s="12">
        <f>VLOOKUP(E104,Precios!B$2:N$941,12,FALSE)</f>
        <v>3500.0000000000005</v>
      </c>
      <c r="H104" s="12">
        <f t="shared" si="0"/>
        <v>3500.0000000000005</v>
      </c>
      <c r="I104" s="23" t="s">
        <v>52</v>
      </c>
      <c r="J104" s="13" t="s">
        <v>38</v>
      </c>
      <c r="K104" s="24" t="s">
        <v>177</v>
      </c>
      <c r="L104" s="11"/>
      <c r="M104" s="12">
        <f t="shared" ref="M104:N104" si="109">G104/1.19</f>
        <v>2941.1764705882356</v>
      </c>
      <c r="N104" s="12">
        <f t="shared" si="109"/>
        <v>2941.1764705882356</v>
      </c>
      <c r="O104" s="12">
        <f t="shared" si="2"/>
        <v>558.82352941176487</v>
      </c>
      <c r="P104" s="13"/>
      <c r="Q104" s="14">
        <f t="shared" si="3"/>
        <v>2025</v>
      </c>
      <c r="R104" s="15">
        <f>VLOOKUP(MONTH(C104),'Datos Maestros'!M$2:N$14,2,FALSE)</f>
        <v>45536</v>
      </c>
      <c r="S104" s="11" t="str">
        <f>VLOOKUP(E104,Precios!B$2:W$941,3,FALSE)</f>
        <v>Detergente Piel Sensible</v>
      </c>
      <c r="T104" s="16">
        <f>VLOOKUP(E104,Precios!B$2:N$941,4,FALSE)*F104</f>
        <v>5</v>
      </c>
      <c r="U104" s="17"/>
      <c r="V104" s="12">
        <f>VLOOKUP(E104,Precios!B$2:N$941,13,FALSE)*F104</f>
        <v>848.73949579831969</v>
      </c>
      <c r="W104" s="12">
        <f t="shared" si="4"/>
        <v>848.73949579831969</v>
      </c>
      <c r="X104" s="12">
        <f>VLOOKUP(B104,'Datos Maestros'!$C$2:$D$7,2,FALSE)*V104</f>
        <v>0</v>
      </c>
      <c r="Y104" s="18">
        <f t="shared" si="5"/>
        <v>45908</v>
      </c>
      <c r="Z104" s="13" t="s">
        <v>39</v>
      </c>
      <c r="AA104" s="19" t="str">
        <f>VLOOKUP(D104,Clientes!$A$2:$J$486,9,FALSE)</f>
        <v>Frecuente</v>
      </c>
      <c r="AB104" s="13" t="str">
        <f>VLOOKUP(D104,Clientes!$A$2:$K$486,11,FALSE)</f>
        <v>Persona Natural</v>
      </c>
      <c r="AC104" s="13" t="str">
        <f>VLOOKUP(D104,Clientes!$A$2:$B$486,2,FALSE)</f>
        <v>Ex 4to Antilhue</v>
      </c>
      <c r="AD104" s="20"/>
      <c r="AE104" s="20"/>
      <c r="AF104" s="13" t="s">
        <v>40</v>
      </c>
      <c r="AG104" s="15">
        <f t="shared" si="6"/>
        <v>45536</v>
      </c>
      <c r="AH104" s="13" t="s">
        <v>41</v>
      </c>
      <c r="AI104" s="13" t="str">
        <f t="shared" si="7"/>
        <v>Detergentes</v>
      </c>
      <c r="AJ104" s="13" t="str">
        <f>VLOOKUP(E104,Precios!Z$2:AA$941,2,FALSE)</f>
        <v>Detergente SPUM 5 Litros (Blanco)</v>
      </c>
      <c r="AK104" s="14">
        <f>VLOOKUP(E104,Precios!Z$2:BB$941,3,FALSE)*F104</f>
        <v>-1</v>
      </c>
      <c r="AL104" s="17"/>
      <c r="AM104" s="17"/>
      <c r="AN104" s="17"/>
      <c r="AO104" s="17"/>
      <c r="AP104" s="17"/>
      <c r="AQ104" s="17"/>
      <c r="AR104" s="17"/>
      <c r="AS104" s="17"/>
      <c r="AT104" s="17"/>
      <c r="AU104" s="17"/>
      <c r="AV104" s="17"/>
    </row>
    <row r="105" spans="1:48" ht="15.75" customHeight="1">
      <c r="A105" s="21" t="s">
        <v>76</v>
      </c>
      <c r="B105" s="23" t="s">
        <v>1692</v>
      </c>
      <c r="C105" s="22">
        <v>45913</v>
      </c>
      <c r="D105" s="23" t="s">
        <v>135</v>
      </c>
      <c r="E105" s="23" t="s">
        <v>82</v>
      </c>
      <c r="F105" s="21">
        <v>1</v>
      </c>
      <c r="G105" s="12">
        <f>VLOOKUP(E105,Precios!B$2:N$941,12,FALSE)</f>
        <v>2000.0000000000002</v>
      </c>
      <c r="H105" s="12">
        <f t="shared" si="0"/>
        <v>2000.0000000000002</v>
      </c>
      <c r="I105" s="23" t="s">
        <v>52</v>
      </c>
      <c r="J105" s="13" t="s">
        <v>38</v>
      </c>
      <c r="K105" s="24" t="s">
        <v>177</v>
      </c>
      <c r="L105" s="11"/>
      <c r="M105" s="12">
        <f t="shared" ref="M105:N105" si="110">G105/1.19</f>
        <v>1680.6722689075632</v>
      </c>
      <c r="N105" s="12">
        <f t="shared" si="110"/>
        <v>1680.6722689075632</v>
      </c>
      <c r="O105" s="12">
        <f t="shared" si="2"/>
        <v>319.32773109243703</v>
      </c>
      <c r="P105" s="13"/>
      <c r="Q105" s="14">
        <f t="shared" si="3"/>
        <v>2025</v>
      </c>
      <c r="R105" s="15">
        <f>VLOOKUP(MONTH(C105),'Datos Maestros'!M$2:N$14,2,FALSE)</f>
        <v>45536</v>
      </c>
      <c r="S105" s="11" t="str">
        <f>VLOOKUP(E105,Precios!B$2:W$941,3,FALSE)</f>
        <v>Limpiapiso</v>
      </c>
      <c r="T105" s="16">
        <f>VLOOKUP(E105,Precios!B$2:N$941,4,FALSE)*F105</f>
        <v>5</v>
      </c>
      <c r="U105" s="17"/>
      <c r="V105" s="12">
        <f>VLOOKUP(E105,Precios!B$2:N$941,13,FALSE)*F105</f>
        <v>680.67226890756319</v>
      </c>
      <c r="W105" s="12">
        <f t="shared" si="4"/>
        <v>680.67226890756319</v>
      </c>
      <c r="X105" s="12">
        <f>VLOOKUP(B105,'Datos Maestros'!$C$2:$D$7,2,FALSE)*V105</f>
        <v>0</v>
      </c>
      <c r="Y105" s="18">
        <f t="shared" si="5"/>
        <v>45908</v>
      </c>
      <c r="Z105" s="13" t="s">
        <v>39</v>
      </c>
      <c r="AA105" s="19" t="str">
        <f>VLOOKUP(D105,Clientes!$A$2:$J$486,9,FALSE)</f>
        <v>Frecuente</v>
      </c>
      <c r="AB105" s="13" t="str">
        <f>VLOOKUP(D105,Clientes!$A$2:$K$486,11,FALSE)</f>
        <v>Persona Natural</v>
      </c>
      <c r="AC105" s="13" t="str">
        <f>VLOOKUP(D105,Clientes!$A$2:$B$486,2,FALSE)</f>
        <v>Ex 4to Antilhue</v>
      </c>
      <c r="AD105" s="20"/>
      <c r="AE105" s="20"/>
      <c r="AF105" s="13" t="s">
        <v>40</v>
      </c>
      <c r="AG105" s="15">
        <f t="shared" si="6"/>
        <v>45536</v>
      </c>
      <c r="AH105" s="13" t="s">
        <v>41</v>
      </c>
      <c r="AI105" s="13" t="str">
        <f t="shared" si="7"/>
        <v>Detergentes</v>
      </c>
      <c r="AJ105" s="13" t="str">
        <f>VLOOKUP(E105,Precios!Z$2:AA$941,2,FALSE)</f>
        <v>Limpiapiso SPUM 5 Litros</v>
      </c>
      <c r="AK105" s="14">
        <f>VLOOKUP(E105,Precios!Z$2:BB$941,3,FALSE)*F105</f>
        <v>-1</v>
      </c>
      <c r="AL105" s="17"/>
      <c r="AM105" s="17"/>
      <c r="AN105" s="17"/>
      <c r="AO105" s="17"/>
      <c r="AP105" s="17"/>
      <c r="AQ105" s="17"/>
      <c r="AR105" s="17"/>
      <c r="AS105" s="17"/>
      <c r="AT105" s="17"/>
      <c r="AU105" s="17"/>
      <c r="AV105" s="17"/>
    </row>
    <row r="106" spans="1:48" ht="15.75" customHeight="1">
      <c r="A106" s="21" t="s">
        <v>64</v>
      </c>
      <c r="B106" s="23" t="s">
        <v>1692</v>
      </c>
      <c r="C106" s="22">
        <v>45913</v>
      </c>
      <c r="D106" s="23" t="s">
        <v>135</v>
      </c>
      <c r="E106" s="23" t="s">
        <v>65</v>
      </c>
      <c r="F106" s="21">
        <v>1</v>
      </c>
      <c r="G106" s="12">
        <f>VLOOKUP(E106,Precios!B$2:N$941,12,FALSE)</f>
        <v>8200.2358799633075</v>
      </c>
      <c r="H106" s="12">
        <f t="shared" si="0"/>
        <v>8200.2358799633075</v>
      </c>
      <c r="I106" s="23" t="s">
        <v>52</v>
      </c>
      <c r="J106" s="13" t="s">
        <v>38</v>
      </c>
      <c r="K106" s="24" t="s">
        <v>177</v>
      </c>
      <c r="L106" s="11"/>
      <c r="M106" s="12">
        <f t="shared" ref="M106:N106" si="111">G106/1.19</f>
        <v>6890.9545209775697</v>
      </c>
      <c r="N106" s="12">
        <f t="shared" si="111"/>
        <v>6890.9545209775697</v>
      </c>
      <c r="O106" s="12">
        <f t="shared" si="2"/>
        <v>1309.2813589857378</v>
      </c>
      <c r="P106" s="13"/>
      <c r="Q106" s="14">
        <f t="shared" si="3"/>
        <v>2025</v>
      </c>
      <c r="R106" s="15">
        <f>VLOOKUP(MONTH(C106),'Datos Maestros'!M$2:N$14,2,FALSE)</f>
        <v>45536</v>
      </c>
      <c r="S106" s="11" t="str">
        <f>VLOOKUP(E106,Precios!B$2:W$941,3,FALSE)</f>
        <v>Longanizas</v>
      </c>
      <c r="T106" s="16">
        <f>VLOOKUP(E106,Precios!B$2:N$941,4,FALSE)*F106</f>
        <v>1</v>
      </c>
      <c r="U106" s="17"/>
      <c r="V106" s="12">
        <f>VLOOKUP(E106,Precios!B$2:N$941,13,FALSE)*F106</f>
        <v>1632.4671260195864</v>
      </c>
      <c r="W106" s="12">
        <f t="shared" si="4"/>
        <v>1632.4671260195864</v>
      </c>
      <c r="X106" s="12">
        <f>VLOOKUP(B106,'Datos Maestros'!$C$2:$D$7,2,FALSE)*V106</f>
        <v>0</v>
      </c>
      <c r="Y106" s="18">
        <f t="shared" si="5"/>
        <v>45908</v>
      </c>
      <c r="Z106" s="13" t="s">
        <v>39</v>
      </c>
      <c r="AA106" s="19" t="str">
        <f>VLOOKUP(D106,Clientes!$A$2:$J$486,9,FALSE)</f>
        <v>Frecuente</v>
      </c>
      <c r="AB106" s="13" t="str">
        <f>VLOOKUP(D106,Clientes!$A$2:$K$486,11,FALSE)</f>
        <v>Persona Natural</v>
      </c>
      <c r="AC106" s="13" t="str">
        <f>VLOOKUP(D106,Clientes!$A$2:$B$486,2,FALSE)</f>
        <v>Ex 4to Antilhue</v>
      </c>
      <c r="AD106" s="20"/>
      <c r="AE106" s="20"/>
      <c r="AF106" s="13" t="s">
        <v>40</v>
      </c>
      <c r="AG106" s="15">
        <f t="shared" si="6"/>
        <v>45536</v>
      </c>
      <c r="AH106" s="13" t="s">
        <v>41</v>
      </c>
      <c r="AI106" s="13" t="str">
        <f t="shared" si="7"/>
        <v>Longanizas</v>
      </c>
      <c r="AJ106" s="13" t="str">
        <f>VLOOKUP(E106,Precios!Z$2:AA$941,2,FALSE)</f>
        <v>Longanizas VILLABLANCA</v>
      </c>
      <c r="AK106" s="14">
        <f>VLOOKUP(E106,Precios!Z$2:BB$941,3,FALSE)*F106</f>
        <v>-1</v>
      </c>
      <c r="AL106" s="17"/>
      <c r="AM106" s="17"/>
      <c r="AN106" s="17"/>
      <c r="AO106" s="17"/>
      <c r="AP106" s="17"/>
      <c r="AQ106" s="17"/>
      <c r="AR106" s="17"/>
      <c r="AS106" s="17"/>
      <c r="AT106" s="17"/>
      <c r="AU106" s="17"/>
      <c r="AV106" s="17"/>
    </row>
    <row r="107" spans="1:48" ht="15.75" customHeight="1">
      <c r="A107" s="21" t="s">
        <v>35</v>
      </c>
      <c r="B107" s="23" t="s">
        <v>1692</v>
      </c>
      <c r="C107" s="22">
        <v>45912</v>
      </c>
      <c r="D107" s="23" t="s">
        <v>138</v>
      </c>
      <c r="E107" s="23" t="s">
        <v>37</v>
      </c>
      <c r="F107" s="21">
        <v>1</v>
      </c>
      <c r="G107" s="12">
        <f>VLOOKUP(E107,Precios!B$2:N$941,12,FALSE)</f>
        <v>11000.014358944907</v>
      </c>
      <c r="H107" s="12">
        <f t="shared" si="0"/>
        <v>11000.014358944907</v>
      </c>
      <c r="I107" s="23" t="s">
        <v>52</v>
      </c>
      <c r="J107" s="23" t="s">
        <v>61</v>
      </c>
      <c r="K107" s="24" t="s">
        <v>177</v>
      </c>
      <c r="L107" s="11"/>
      <c r="M107" s="12">
        <f t="shared" ref="M107:N107" si="112">G107/1.19</f>
        <v>9243.7095453318543</v>
      </c>
      <c r="N107" s="12">
        <f t="shared" si="112"/>
        <v>9243.7095453318543</v>
      </c>
      <c r="O107" s="12">
        <f t="shared" si="2"/>
        <v>1756.3048136130528</v>
      </c>
      <c r="P107" s="13"/>
      <c r="Q107" s="14">
        <f t="shared" si="3"/>
        <v>2025</v>
      </c>
      <c r="R107" s="15">
        <f>VLOOKUP(MONTH(C107),'Datos Maestros'!M$2:N$14,2,FALSE)</f>
        <v>45536</v>
      </c>
      <c r="S107" s="11" t="str">
        <f>VLOOKUP(E107,Precios!B$2:W$941,3,FALSE)</f>
        <v>Queso Mantecoso</v>
      </c>
      <c r="T107" s="16">
        <f>VLOOKUP(E107,Precios!B$2:N$941,4,FALSE)*F107</f>
        <v>1000</v>
      </c>
      <c r="U107" s="17"/>
      <c r="V107" s="12">
        <f>VLOOKUP(E107,Precios!B$2:N$941,13,FALSE)*F107</f>
        <v>2806.1129066763915</v>
      </c>
      <c r="W107" s="12">
        <f t="shared" si="4"/>
        <v>2806.1129066763915</v>
      </c>
      <c r="X107" s="12">
        <f>VLOOKUP(B107,'Datos Maestros'!$C$2:$D$7,2,FALSE)*V107</f>
        <v>0</v>
      </c>
      <c r="Y107" s="18">
        <f t="shared" si="5"/>
        <v>45908</v>
      </c>
      <c r="Z107" s="13" t="s">
        <v>39</v>
      </c>
      <c r="AA107" s="19" t="str">
        <f>VLOOKUP(D107,Clientes!$A$2:$J$486,9,FALSE)</f>
        <v>Regular</v>
      </c>
      <c r="AB107" s="13" t="str">
        <f>VLOOKUP(D107,Clientes!$A$2:$K$486,11,FALSE)</f>
        <v>Persona Natural</v>
      </c>
      <c r="AC107" s="13" t="str">
        <f>VLOOKUP(D107,Clientes!$A$2:$B$486,2,FALSE)</f>
        <v>Familiar</v>
      </c>
      <c r="AD107" s="20"/>
      <c r="AE107" s="20"/>
      <c r="AF107" s="13" t="s">
        <v>40</v>
      </c>
      <c r="AG107" s="15">
        <f t="shared" si="6"/>
        <v>45536</v>
      </c>
      <c r="AH107" s="13" t="s">
        <v>41</v>
      </c>
      <c r="AI107" s="13" t="str">
        <f t="shared" si="7"/>
        <v>Quesos</v>
      </c>
      <c r="AJ107" s="13" t="str">
        <f>VLOOKUP(E107,Precios!Z$2:AA$941,2,FALSE)</f>
        <v>Queso RUNCA Mantecoso</v>
      </c>
      <c r="AK107" s="14">
        <f>VLOOKUP(E107,Precios!Z$2:BB$941,3,FALSE)*F107</f>
        <v>-1</v>
      </c>
      <c r="AL107" s="17"/>
      <c r="AM107" s="17"/>
      <c r="AN107" s="17"/>
      <c r="AO107" s="17"/>
      <c r="AP107" s="17"/>
      <c r="AQ107" s="17"/>
      <c r="AR107" s="17"/>
      <c r="AS107" s="17"/>
      <c r="AT107" s="17"/>
      <c r="AU107" s="17"/>
      <c r="AV107" s="17"/>
    </row>
    <row r="108" spans="1:48" ht="15.75" customHeight="1">
      <c r="A108" s="21" t="s">
        <v>43</v>
      </c>
      <c r="B108" s="23" t="s">
        <v>1692</v>
      </c>
      <c r="C108" s="22">
        <v>45912</v>
      </c>
      <c r="D108" s="23" t="s">
        <v>138</v>
      </c>
      <c r="E108" s="23" t="s">
        <v>45</v>
      </c>
      <c r="F108" s="21">
        <v>1</v>
      </c>
      <c r="G108" s="12">
        <f>VLOOKUP(E108,Precios!B$2:N$941,12,FALSE)</f>
        <v>8000.1831784723063</v>
      </c>
      <c r="H108" s="12">
        <f t="shared" si="0"/>
        <v>8000.1831784723063</v>
      </c>
      <c r="I108" s="23" t="s">
        <v>52</v>
      </c>
      <c r="J108" s="23" t="s">
        <v>61</v>
      </c>
      <c r="K108" s="24" t="s">
        <v>177</v>
      </c>
      <c r="L108" s="11"/>
      <c r="M108" s="12">
        <f t="shared" ref="M108:N108" si="113">G108/1.19</f>
        <v>6722.8430071195853</v>
      </c>
      <c r="N108" s="12">
        <f t="shared" si="113"/>
        <v>6722.8430071195853</v>
      </c>
      <c r="O108" s="12">
        <f t="shared" si="2"/>
        <v>1277.340171352721</v>
      </c>
      <c r="P108" s="13"/>
      <c r="Q108" s="14">
        <f t="shared" si="3"/>
        <v>2025</v>
      </c>
      <c r="R108" s="15">
        <f>VLOOKUP(MONTH(C108),'Datos Maestros'!M$2:N$14,2,FALSE)</f>
        <v>45536</v>
      </c>
      <c r="S108" s="11" t="str">
        <f>VLOOKUP(E108,Precios!B$2:W$941,3,FALSE)</f>
        <v>Huevos EXTRA</v>
      </c>
      <c r="T108" s="16">
        <f>VLOOKUP(E108,Precios!B$2:N$941,4,FALSE)*F108</f>
        <v>0</v>
      </c>
      <c r="U108" s="17"/>
      <c r="V108" s="12">
        <f>VLOOKUP(E108,Precios!B$2:N$941,13,FALSE)*F108</f>
        <v>1151.6230071195851</v>
      </c>
      <c r="W108" s="12">
        <f t="shared" si="4"/>
        <v>1151.6230071195851</v>
      </c>
      <c r="X108" s="12">
        <f>VLOOKUP(B108,'Datos Maestros'!$C$2:$D$7,2,FALSE)*V108</f>
        <v>0</v>
      </c>
      <c r="Y108" s="18">
        <f t="shared" si="5"/>
        <v>45908</v>
      </c>
      <c r="Z108" s="13" t="s">
        <v>39</v>
      </c>
      <c r="AA108" s="19" t="str">
        <f>VLOOKUP(D108,Clientes!$A$2:$J$486,9,FALSE)</f>
        <v>Regular</v>
      </c>
      <c r="AB108" s="13" t="str">
        <f>VLOOKUP(D108,Clientes!$A$2:$K$486,11,FALSE)</f>
        <v>Persona Natural</v>
      </c>
      <c r="AC108" s="13" t="str">
        <f>VLOOKUP(D108,Clientes!$A$2:$B$486,2,FALSE)</f>
        <v>Familiar</v>
      </c>
      <c r="AD108" s="20"/>
      <c r="AE108" s="20"/>
      <c r="AF108" s="13" t="s">
        <v>40</v>
      </c>
      <c r="AG108" s="15">
        <f t="shared" si="6"/>
        <v>45536</v>
      </c>
      <c r="AH108" s="13" t="s">
        <v>41</v>
      </c>
      <c r="AI108" s="13" t="str">
        <f t="shared" si="7"/>
        <v>Huevos</v>
      </c>
      <c r="AJ108" s="13" t="str">
        <f>VLOOKUP(E108,Precios!Z$2:AA$941,2,FALSE)</f>
        <v>Bandeja Huevos EXTRA</v>
      </c>
      <c r="AK108" s="14">
        <f>VLOOKUP(E108,Precios!Z$2:BB$941,3,FALSE)*F108</f>
        <v>-1</v>
      </c>
      <c r="AL108" s="17"/>
      <c r="AM108" s="17"/>
      <c r="AN108" s="17"/>
      <c r="AO108" s="17"/>
      <c r="AP108" s="17"/>
      <c r="AQ108" s="17"/>
      <c r="AR108" s="17"/>
      <c r="AS108" s="17"/>
      <c r="AT108" s="17"/>
      <c r="AU108" s="17"/>
      <c r="AV108" s="17"/>
    </row>
    <row r="109" spans="1:48" ht="15.75" customHeight="1">
      <c r="A109" s="21" t="s">
        <v>139</v>
      </c>
      <c r="B109" s="23" t="s">
        <v>1692</v>
      </c>
      <c r="C109" s="22">
        <v>45912</v>
      </c>
      <c r="D109" s="23" t="s">
        <v>138</v>
      </c>
      <c r="E109" s="23" t="s">
        <v>140</v>
      </c>
      <c r="F109" s="21">
        <v>1</v>
      </c>
      <c r="G109" s="12">
        <f>VLOOKUP(E109,Precios!B$2:N$941,12,FALSE)</f>
        <v>8000.2960331557133</v>
      </c>
      <c r="H109" s="12">
        <f t="shared" si="0"/>
        <v>8000.2960331557133</v>
      </c>
      <c r="I109" s="23" t="s">
        <v>52</v>
      </c>
      <c r="J109" s="23" t="s">
        <v>61</v>
      </c>
      <c r="K109" s="24" t="s">
        <v>177</v>
      </c>
      <c r="L109" s="11"/>
      <c r="M109" s="12">
        <f t="shared" ref="M109:N109" si="114">G109/1.19</f>
        <v>6722.9378429879944</v>
      </c>
      <c r="N109" s="12">
        <f t="shared" si="114"/>
        <v>6722.9378429879944</v>
      </c>
      <c r="O109" s="12">
        <f t="shared" si="2"/>
        <v>1277.3581901677189</v>
      </c>
      <c r="P109" s="13"/>
      <c r="Q109" s="14">
        <f t="shared" si="3"/>
        <v>2025</v>
      </c>
      <c r="R109" s="15">
        <f>VLOOKUP(MONTH(C109),'Datos Maestros'!M$2:N$14,2,FALSE)</f>
        <v>45536</v>
      </c>
      <c r="S109" s="11" t="str">
        <f>VLOOKUP(E109,Precios!B$2:W$941,3,FALSE)</f>
        <v>Pasas Rubias</v>
      </c>
      <c r="T109" s="16">
        <f>VLOOKUP(E109,Precios!B$2:N$941,4,FALSE)*F109</f>
        <v>1000</v>
      </c>
      <c r="U109" s="17"/>
      <c r="V109" s="12">
        <f>VLOOKUP(E109,Precios!B$2:N$941,13,FALSE)*F109</f>
        <v>2180.9210362653057</v>
      </c>
      <c r="W109" s="12">
        <f t="shared" si="4"/>
        <v>2180.9210362653057</v>
      </c>
      <c r="X109" s="12">
        <f>VLOOKUP(B109,'Datos Maestros'!$C$2:$D$7,2,FALSE)*V109</f>
        <v>0</v>
      </c>
      <c r="Y109" s="18">
        <f t="shared" si="5"/>
        <v>45908</v>
      </c>
      <c r="Z109" s="13" t="s">
        <v>39</v>
      </c>
      <c r="AA109" s="19" t="str">
        <f>VLOOKUP(D109,Clientes!$A$2:$J$486,9,FALSE)</f>
        <v>Regular</v>
      </c>
      <c r="AB109" s="13" t="str">
        <f>VLOOKUP(D109,Clientes!$A$2:$K$486,11,FALSE)</f>
        <v>Persona Natural</v>
      </c>
      <c r="AC109" s="13" t="str">
        <f>VLOOKUP(D109,Clientes!$A$2:$B$486,2,FALSE)</f>
        <v>Familiar</v>
      </c>
      <c r="AD109" s="20"/>
      <c r="AE109" s="20"/>
      <c r="AF109" s="13" t="s">
        <v>40</v>
      </c>
      <c r="AG109" s="15">
        <f t="shared" si="6"/>
        <v>45536</v>
      </c>
      <c r="AH109" s="13" t="s">
        <v>41</v>
      </c>
      <c r="AI109" s="13" t="str">
        <f t="shared" si="7"/>
        <v>Frutos Secos</v>
      </c>
      <c r="AJ109" s="13">
        <f>VLOOKUP(E109,Precios!Z$2:AA$941,2,FALSE)</f>
        <v>0</v>
      </c>
      <c r="AK109" s="14">
        <f>VLOOKUP(E109,Precios!Z$2:BB$941,3,FALSE)*F109</f>
        <v>0</v>
      </c>
      <c r="AL109" s="17"/>
      <c r="AM109" s="17"/>
      <c r="AN109" s="17"/>
      <c r="AO109" s="17"/>
      <c r="AP109" s="17"/>
      <c r="AQ109" s="17"/>
      <c r="AR109" s="17"/>
      <c r="AS109" s="17"/>
      <c r="AT109" s="17"/>
      <c r="AU109" s="17"/>
      <c r="AV109" s="17"/>
    </row>
    <row r="110" spans="1:48" ht="15.75" customHeight="1">
      <c r="A110" s="21" t="s">
        <v>64</v>
      </c>
      <c r="B110" s="23" t="s">
        <v>1692</v>
      </c>
      <c r="C110" s="22">
        <v>45912</v>
      </c>
      <c r="D110" s="23" t="s">
        <v>141</v>
      </c>
      <c r="E110" s="23" t="s">
        <v>65</v>
      </c>
      <c r="F110" s="21">
        <v>1</v>
      </c>
      <c r="G110" s="12">
        <f>VLOOKUP(E110,Precios!B$2:N$941,12,FALSE)</f>
        <v>8200.2358799633075</v>
      </c>
      <c r="H110" s="12">
        <f t="shared" si="0"/>
        <v>8200.2358799633075</v>
      </c>
      <c r="I110" s="23" t="s">
        <v>52</v>
      </c>
      <c r="J110" s="23" t="s">
        <v>61</v>
      </c>
      <c r="K110" s="24" t="s">
        <v>177</v>
      </c>
      <c r="L110" s="11"/>
      <c r="M110" s="12">
        <f t="shared" ref="M110:N110" si="115">G110/1.19</f>
        <v>6890.9545209775697</v>
      </c>
      <c r="N110" s="12">
        <f t="shared" si="115"/>
        <v>6890.9545209775697</v>
      </c>
      <c r="O110" s="12">
        <f t="shared" si="2"/>
        <v>1309.2813589857378</v>
      </c>
      <c r="P110" s="13"/>
      <c r="Q110" s="14">
        <f t="shared" si="3"/>
        <v>2025</v>
      </c>
      <c r="R110" s="15">
        <f>VLOOKUP(MONTH(C110),'Datos Maestros'!M$2:N$14,2,FALSE)</f>
        <v>45536</v>
      </c>
      <c r="S110" s="11" t="str">
        <f>VLOOKUP(E110,Precios!B$2:W$941,3,FALSE)</f>
        <v>Longanizas</v>
      </c>
      <c r="T110" s="16">
        <f>VLOOKUP(E110,Precios!B$2:N$941,4,FALSE)*F110</f>
        <v>1</v>
      </c>
      <c r="U110" s="17"/>
      <c r="V110" s="12">
        <f>VLOOKUP(E110,Precios!B$2:N$941,13,FALSE)*F110</f>
        <v>1632.4671260195864</v>
      </c>
      <c r="W110" s="12">
        <f t="shared" si="4"/>
        <v>1632.4671260195864</v>
      </c>
      <c r="X110" s="12">
        <f>VLOOKUP(B110,'Datos Maestros'!$C$2:$D$7,2,FALSE)*V110</f>
        <v>0</v>
      </c>
      <c r="Y110" s="18">
        <f t="shared" si="5"/>
        <v>45908</v>
      </c>
      <c r="Z110" s="13" t="s">
        <v>39</v>
      </c>
      <c r="AA110" s="19" t="str">
        <f>VLOOKUP(D110,Clientes!$A$2:$J$486,9,FALSE)</f>
        <v>Familiar</v>
      </c>
      <c r="AB110" s="13" t="str">
        <f>VLOOKUP(D110,Clientes!$A$2:$K$486,11,FALSE)</f>
        <v>Persona Natural</v>
      </c>
      <c r="AC110" s="13" t="str">
        <f>VLOOKUP(D110,Clientes!$A$2:$B$486,2,FALSE)</f>
        <v>Familiar</v>
      </c>
      <c r="AD110" s="20"/>
      <c r="AE110" s="20"/>
      <c r="AF110" s="13" t="s">
        <v>40</v>
      </c>
      <c r="AG110" s="15">
        <f t="shared" si="6"/>
        <v>45536</v>
      </c>
      <c r="AH110" s="13" t="s">
        <v>41</v>
      </c>
      <c r="AI110" s="13" t="str">
        <f t="shared" si="7"/>
        <v>Longanizas</v>
      </c>
      <c r="AJ110" s="13" t="str">
        <f>VLOOKUP(E110,Precios!Z$2:AA$941,2,FALSE)</f>
        <v>Longanizas VILLABLANCA</v>
      </c>
      <c r="AK110" s="14">
        <f>VLOOKUP(E110,Precios!Z$2:BB$941,3,FALSE)*F110</f>
        <v>-1</v>
      </c>
      <c r="AL110" s="17"/>
      <c r="AM110" s="17"/>
      <c r="AN110" s="17"/>
      <c r="AO110" s="17"/>
      <c r="AP110" s="17"/>
      <c r="AQ110" s="17"/>
      <c r="AR110" s="17"/>
      <c r="AS110" s="17"/>
      <c r="AT110" s="17"/>
      <c r="AU110" s="17"/>
      <c r="AV110" s="17"/>
    </row>
    <row r="111" spans="1:48" ht="15.75" customHeight="1">
      <c r="A111" s="21" t="s">
        <v>47</v>
      </c>
      <c r="B111" s="23" t="s">
        <v>1692</v>
      </c>
      <c r="C111" s="22">
        <v>45910</v>
      </c>
      <c r="D111" s="23" t="s">
        <v>142</v>
      </c>
      <c r="E111" s="23" t="s">
        <v>48</v>
      </c>
      <c r="F111" s="21">
        <v>1</v>
      </c>
      <c r="G111" s="12">
        <f>VLOOKUP(E111,Precios!B$2:N$941,12,FALSE)</f>
        <v>1000</v>
      </c>
      <c r="H111" s="12">
        <f t="shared" si="0"/>
        <v>1000</v>
      </c>
      <c r="I111" s="23" t="s">
        <v>52</v>
      </c>
      <c r="J111" s="23" t="s">
        <v>61</v>
      </c>
      <c r="K111" s="24" t="s">
        <v>177</v>
      </c>
      <c r="L111" s="11"/>
      <c r="M111" s="12">
        <f t="shared" ref="M111:N111" si="116">G111/1.19</f>
        <v>840.3361344537816</v>
      </c>
      <c r="N111" s="12">
        <f t="shared" si="116"/>
        <v>840.3361344537816</v>
      </c>
      <c r="O111" s="12">
        <f t="shared" si="2"/>
        <v>159.6638655462184</v>
      </c>
      <c r="P111" s="13"/>
      <c r="Q111" s="14">
        <f t="shared" si="3"/>
        <v>2025</v>
      </c>
      <c r="R111" s="15">
        <f>VLOOKUP(MONTH(C111),'Datos Maestros'!M$2:N$14,2,FALSE)</f>
        <v>45536</v>
      </c>
      <c r="S111" s="11" t="str">
        <f>VLOOKUP(E111,Precios!B$2:W$941,3,FALSE)</f>
        <v>Esponjas</v>
      </c>
      <c r="T111" s="16">
        <f>VLOOKUP(E111,Precios!B$2:N$941,4,FALSE)*F111</f>
        <v>0</v>
      </c>
      <c r="U111" s="17"/>
      <c r="V111" s="12">
        <f>VLOOKUP(E111,Precios!B$2:N$941,13,FALSE)*F111</f>
        <v>330.33613445378148</v>
      </c>
      <c r="W111" s="12">
        <f t="shared" si="4"/>
        <v>330.33613445378148</v>
      </c>
      <c r="X111" s="12">
        <f>VLOOKUP(B111,'Datos Maestros'!$C$2:$D$7,2,FALSE)*V111</f>
        <v>0</v>
      </c>
      <c r="Y111" s="18">
        <f t="shared" si="5"/>
        <v>45908</v>
      </c>
      <c r="Z111" s="13" t="s">
        <v>39</v>
      </c>
      <c r="AA111" s="19" t="str">
        <f>VLOOKUP(D111,Clientes!$A$2:$J$486,9,FALSE)</f>
        <v>Frecuente</v>
      </c>
      <c r="AB111" s="13" t="str">
        <f>VLOOKUP(D111,Clientes!$A$2:$K$486,11,FALSE)</f>
        <v>Persona Natural</v>
      </c>
      <c r="AC111" s="13" t="str">
        <f>VLOOKUP(D111,Clientes!$A$2:$B$486,2,FALSE)</f>
        <v>Curso Amalia</v>
      </c>
      <c r="AD111" s="20"/>
      <c r="AE111" s="20"/>
      <c r="AF111" s="13" t="s">
        <v>40</v>
      </c>
      <c r="AG111" s="15">
        <f t="shared" si="6"/>
        <v>45536</v>
      </c>
      <c r="AH111" s="13" t="s">
        <v>41</v>
      </c>
      <c r="AI111" s="13" t="str">
        <f t="shared" si="7"/>
        <v>Articulos de Aseo</v>
      </c>
      <c r="AJ111" s="13" t="str">
        <f>VLOOKUP(E111,Precios!Z$2:AA$941,2,FALSE)</f>
        <v>Esponja Acanalada TEDDY</v>
      </c>
      <c r="AK111" s="14">
        <f>VLOOKUP(E111,Precios!Z$2:BB$941,3,FALSE)*F111</f>
        <v>-5</v>
      </c>
      <c r="AL111" s="17"/>
      <c r="AM111" s="17"/>
      <c r="AN111" s="17"/>
      <c r="AO111" s="17"/>
      <c r="AP111" s="17"/>
      <c r="AQ111" s="17"/>
      <c r="AR111" s="17"/>
      <c r="AS111" s="17"/>
      <c r="AT111" s="17"/>
      <c r="AU111" s="17"/>
      <c r="AV111" s="17"/>
    </row>
    <row r="112" spans="1:48" ht="15.75" customHeight="1">
      <c r="A112" s="21" t="s">
        <v>47</v>
      </c>
      <c r="B112" s="23" t="s">
        <v>1692</v>
      </c>
      <c r="C112" s="22">
        <v>45910</v>
      </c>
      <c r="D112" s="23" t="s">
        <v>142</v>
      </c>
      <c r="E112" s="23" t="s">
        <v>105</v>
      </c>
      <c r="F112" s="21">
        <v>1</v>
      </c>
      <c r="G112" s="12">
        <f>VLOOKUP(E112,Precios!B$2:N$941,12,FALSE)</f>
        <v>1100.0000000000002</v>
      </c>
      <c r="H112" s="12">
        <f t="shared" si="0"/>
        <v>1100.0000000000002</v>
      </c>
      <c r="I112" s="23" t="s">
        <v>52</v>
      </c>
      <c r="J112" s="23" t="s">
        <v>61</v>
      </c>
      <c r="K112" s="24" t="s">
        <v>177</v>
      </c>
      <c r="L112" s="11"/>
      <c r="M112" s="12">
        <f t="shared" ref="M112:N112" si="117">G112/1.19</f>
        <v>924.36974789915985</v>
      </c>
      <c r="N112" s="12">
        <f t="shared" si="117"/>
        <v>924.36974789915985</v>
      </c>
      <c r="O112" s="12">
        <f t="shared" si="2"/>
        <v>175.63025210084038</v>
      </c>
      <c r="P112" s="13"/>
      <c r="Q112" s="14">
        <f t="shared" si="3"/>
        <v>2025</v>
      </c>
      <c r="R112" s="15">
        <f>VLOOKUP(MONTH(C112),'Datos Maestros'!M$2:N$14,2,FALSE)</f>
        <v>45536</v>
      </c>
      <c r="S112" s="11" t="str">
        <f>VLOOKUP(E112,Precios!B$2:W$941,3,FALSE)</f>
        <v>Paños esponja Teddy (3)</v>
      </c>
      <c r="T112" s="16">
        <f>VLOOKUP(E112,Precios!B$2:N$941,4,FALSE)*F112</f>
        <v>0</v>
      </c>
      <c r="U112" s="17"/>
      <c r="V112" s="12">
        <f>VLOOKUP(E112,Precios!B$2:N$941,13,FALSE)*F112</f>
        <v>342.857142857143</v>
      </c>
      <c r="W112" s="12">
        <f t="shared" si="4"/>
        <v>342.857142857143</v>
      </c>
      <c r="X112" s="12">
        <f>VLOOKUP(B112,'Datos Maestros'!$C$2:$D$7,2,FALSE)*V112</f>
        <v>0</v>
      </c>
      <c r="Y112" s="18">
        <f t="shared" si="5"/>
        <v>45908</v>
      </c>
      <c r="Z112" s="13" t="s">
        <v>39</v>
      </c>
      <c r="AA112" s="19" t="str">
        <f>VLOOKUP(D112,Clientes!$A$2:$J$486,9,FALSE)</f>
        <v>Frecuente</v>
      </c>
      <c r="AB112" s="13" t="str">
        <f>VLOOKUP(D112,Clientes!$A$2:$K$486,11,FALSE)</f>
        <v>Persona Natural</v>
      </c>
      <c r="AC112" s="13" t="str">
        <f>VLOOKUP(D112,Clientes!$A$2:$B$486,2,FALSE)</f>
        <v>Curso Amalia</v>
      </c>
      <c r="AD112" s="20"/>
      <c r="AE112" s="20"/>
      <c r="AF112" s="13" t="s">
        <v>40</v>
      </c>
      <c r="AG112" s="15">
        <f t="shared" si="6"/>
        <v>45536</v>
      </c>
      <c r="AH112" s="13" t="s">
        <v>41</v>
      </c>
      <c r="AI112" s="13" t="str">
        <f t="shared" si="7"/>
        <v>Articulos de Aseo</v>
      </c>
      <c r="AJ112" s="13" t="str">
        <f>VLOOKUP(E112,Precios!Z$2:AA$941,2,FALSE)</f>
        <v>Paños Esponja TEDDY</v>
      </c>
      <c r="AK112" s="14">
        <f>VLOOKUP(E112,Precios!Z$2:BB$941,3,FALSE)*F112</f>
        <v>-1</v>
      </c>
      <c r="AL112" s="17"/>
      <c r="AM112" s="17"/>
      <c r="AN112" s="17"/>
      <c r="AO112" s="17"/>
      <c r="AP112" s="17"/>
      <c r="AQ112" s="17"/>
      <c r="AR112" s="17"/>
      <c r="AS112" s="17"/>
      <c r="AT112" s="17"/>
      <c r="AU112" s="17"/>
      <c r="AV112" s="17"/>
    </row>
    <row r="113" spans="1:48" ht="15.75" customHeight="1">
      <c r="A113" s="21" t="s">
        <v>47</v>
      </c>
      <c r="B113" s="23" t="s">
        <v>1692</v>
      </c>
      <c r="C113" s="22">
        <v>45910</v>
      </c>
      <c r="D113" s="23" t="s">
        <v>142</v>
      </c>
      <c r="E113" s="23" t="s">
        <v>143</v>
      </c>
      <c r="F113" s="21">
        <v>1</v>
      </c>
      <c r="G113" s="12">
        <f>VLOOKUP(E113,Precios!B$2:N$941,12,FALSE)</f>
        <v>2999.9379074821477</v>
      </c>
      <c r="H113" s="12">
        <f t="shared" si="0"/>
        <v>2999.9379074821477</v>
      </c>
      <c r="I113" s="23" t="s">
        <v>52</v>
      </c>
      <c r="J113" s="23" t="s">
        <v>61</v>
      </c>
      <c r="K113" s="24" t="s">
        <v>177</v>
      </c>
      <c r="L113" s="11"/>
      <c r="M113" s="12">
        <f t="shared" ref="M113:N113" si="118">G113/1.19</f>
        <v>2520.9562247749141</v>
      </c>
      <c r="N113" s="12">
        <f t="shared" si="118"/>
        <v>2520.9562247749141</v>
      </c>
      <c r="O113" s="12">
        <f t="shared" si="2"/>
        <v>478.98168270723363</v>
      </c>
      <c r="P113" s="13"/>
      <c r="Q113" s="14">
        <f t="shared" si="3"/>
        <v>2025</v>
      </c>
      <c r="R113" s="15">
        <f>VLOOKUP(MONTH(C113),'Datos Maestros'!M$2:N$14,2,FALSE)</f>
        <v>45536</v>
      </c>
      <c r="S113" s="11" t="str">
        <f>VLOOKUP(E113,Precios!B$2:W$941,3,FALSE)</f>
        <v>Toalla desinfectantes</v>
      </c>
      <c r="T113" s="16">
        <f>VLOOKUP(E113,Precios!B$2:N$941,4,FALSE)*F113</f>
        <v>0</v>
      </c>
      <c r="U113" s="17"/>
      <c r="V113" s="12">
        <f>VLOOKUP(E113,Precios!B$2:N$941,13,FALSE)*F113</f>
        <v>1708.9562247749141</v>
      </c>
      <c r="W113" s="12">
        <f t="shared" si="4"/>
        <v>1708.9562247749141</v>
      </c>
      <c r="X113" s="12">
        <f>VLOOKUP(B113,'Datos Maestros'!$C$2:$D$7,2,FALSE)*V113</f>
        <v>0</v>
      </c>
      <c r="Y113" s="18">
        <f t="shared" si="5"/>
        <v>45908</v>
      </c>
      <c r="Z113" s="13" t="s">
        <v>39</v>
      </c>
      <c r="AA113" s="19" t="str">
        <f>VLOOKUP(D113,Clientes!$A$2:$J$486,9,FALSE)</f>
        <v>Frecuente</v>
      </c>
      <c r="AB113" s="13" t="str">
        <f>VLOOKUP(D113,Clientes!$A$2:$K$486,11,FALSE)</f>
        <v>Persona Natural</v>
      </c>
      <c r="AC113" s="13" t="str">
        <f>VLOOKUP(D113,Clientes!$A$2:$B$486,2,FALSE)</f>
        <v>Curso Amalia</v>
      </c>
      <c r="AD113" s="20"/>
      <c r="AE113" s="20"/>
      <c r="AF113" s="13" t="s">
        <v>40</v>
      </c>
      <c r="AG113" s="15">
        <f t="shared" si="6"/>
        <v>45536</v>
      </c>
      <c r="AH113" s="13" t="s">
        <v>41</v>
      </c>
      <c r="AI113" s="13" t="str">
        <f t="shared" si="7"/>
        <v>Articulos de Aseo</v>
      </c>
      <c r="AJ113" s="13" t="str">
        <f>VLOOKUP(E113,Precios!Z$2:AA$941,2,FALSE)</f>
        <v>Toalla desinfectante TEDDY 80 unidades</v>
      </c>
      <c r="AK113" s="14">
        <f>VLOOKUP(E113,Precios!Z$2:BB$941,3,FALSE)*F113</f>
        <v>-1</v>
      </c>
      <c r="AL113" s="17"/>
      <c r="AM113" s="17"/>
      <c r="AN113" s="17"/>
      <c r="AO113" s="17"/>
      <c r="AP113" s="17"/>
      <c r="AQ113" s="17"/>
      <c r="AR113" s="17"/>
      <c r="AS113" s="17"/>
      <c r="AT113" s="17"/>
      <c r="AU113" s="17"/>
      <c r="AV113" s="17"/>
    </row>
    <row r="114" spans="1:48" ht="15.75" customHeight="1">
      <c r="A114" s="21" t="s">
        <v>53</v>
      </c>
      <c r="B114" s="23" t="s">
        <v>1692</v>
      </c>
      <c r="C114" s="22">
        <v>45910</v>
      </c>
      <c r="D114" s="23" t="s">
        <v>142</v>
      </c>
      <c r="E114" s="23" t="s">
        <v>70</v>
      </c>
      <c r="F114" s="21">
        <v>1</v>
      </c>
      <c r="G114" s="12">
        <f>VLOOKUP(E114,Precios!B$2:N$941,12,FALSE)</f>
        <v>5000.3257328990221</v>
      </c>
      <c r="H114" s="12">
        <f t="shared" si="0"/>
        <v>5000.3257328990221</v>
      </c>
      <c r="I114" s="23" t="s">
        <v>52</v>
      </c>
      <c r="J114" s="23" t="s">
        <v>61</v>
      </c>
      <c r="K114" s="24" t="s">
        <v>177</v>
      </c>
      <c r="L114" s="11"/>
      <c r="M114" s="12">
        <f t="shared" ref="M114:N114" si="119">G114/1.19</f>
        <v>4201.9543973941363</v>
      </c>
      <c r="N114" s="12">
        <f t="shared" si="119"/>
        <v>4201.9543973941363</v>
      </c>
      <c r="O114" s="12">
        <f t="shared" si="2"/>
        <v>798.37133550488579</v>
      </c>
      <c r="P114" s="13"/>
      <c r="Q114" s="14">
        <f t="shared" si="3"/>
        <v>2025</v>
      </c>
      <c r="R114" s="15">
        <f>VLOOKUP(MONTH(C114),'Datos Maestros'!M$2:N$14,2,FALSE)</f>
        <v>45536</v>
      </c>
      <c r="S114" s="11" t="str">
        <f>VLOOKUP(E114,Precios!B$2:W$941,3,FALSE)</f>
        <v>Servilletas</v>
      </c>
      <c r="T114" s="16">
        <f>VLOOKUP(E114,Precios!B$2:N$941,4,FALSE)*F114</f>
        <v>300</v>
      </c>
      <c r="U114" s="17"/>
      <c r="V114" s="12">
        <f>VLOOKUP(E114,Precios!B$2:N$941,13,FALSE)*F114</f>
        <v>2008.9543973941363</v>
      </c>
      <c r="W114" s="12">
        <f t="shared" si="4"/>
        <v>2008.9543973941363</v>
      </c>
      <c r="X114" s="12">
        <f>VLOOKUP(B114,'Datos Maestros'!$C$2:$D$7,2,FALSE)*V114</f>
        <v>0</v>
      </c>
      <c r="Y114" s="18">
        <f t="shared" si="5"/>
        <v>45908</v>
      </c>
      <c r="Z114" s="13" t="s">
        <v>39</v>
      </c>
      <c r="AA114" s="19" t="str">
        <f>VLOOKUP(D114,Clientes!$A$2:$J$486,9,FALSE)</f>
        <v>Frecuente</v>
      </c>
      <c r="AB114" s="13" t="str">
        <f>VLOOKUP(D114,Clientes!$A$2:$K$486,11,FALSE)</f>
        <v>Persona Natural</v>
      </c>
      <c r="AC114" s="13" t="str">
        <f>VLOOKUP(D114,Clientes!$A$2:$B$486,2,FALSE)</f>
        <v>Curso Amalia</v>
      </c>
      <c r="AD114" s="20"/>
      <c r="AE114" s="20"/>
      <c r="AF114" s="13" t="s">
        <v>40</v>
      </c>
      <c r="AG114" s="15">
        <f t="shared" si="6"/>
        <v>45536</v>
      </c>
      <c r="AH114" s="13" t="s">
        <v>41</v>
      </c>
      <c r="AI114" s="13" t="str">
        <f t="shared" si="7"/>
        <v>Papeleria</v>
      </c>
      <c r="AJ114" s="13" t="str">
        <f>VLOOKUP(E114,Precios!Z$2:AA$941,2,FALSE)</f>
        <v>Servilletas SOFTQUALITY 300 unidades</v>
      </c>
      <c r="AK114" s="14">
        <f>VLOOKUP(E114,Precios!Z$2:BB$941,3,FALSE)*F114</f>
        <v>-3</v>
      </c>
      <c r="AL114" s="17"/>
      <c r="AM114" s="17"/>
      <c r="AN114" s="17"/>
      <c r="AO114" s="17"/>
      <c r="AP114" s="17"/>
      <c r="AQ114" s="17"/>
      <c r="AR114" s="17"/>
      <c r="AS114" s="17"/>
      <c r="AT114" s="17"/>
      <c r="AU114" s="17"/>
      <c r="AV114" s="17"/>
    </row>
    <row r="115" spans="1:48" ht="15.75" customHeight="1">
      <c r="A115" s="21" t="s">
        <v>76</v>
      </c>
      <c r="B115" s="23" t="s">
        <v>1692</v>
      </c>
      <c r="C115" s="22">
        <v>45910</v>
      </c>
      <c r="D115" s="23" t="s">
        <v>142</v>
      </c>
      <c r="E115" s="23" t="s">
        <v>137</v>
      </c>
      <c r="F115" s="21">
        <v>1</v>
      </c>
      <c r="G115" s="12">
        <f>VLOOKUP(E115,Precios!B$2:N$941,12,FALSE)</f>
        <v>3500.0000000000005</v>
      </c>
      <c r="H115" s="12">
        <f t="shared" si="0"/>
        <v>3500.0000000000005</v>
      </c>
      <c r="I115" s="23" t="s">
        <v>52</v>
      </c>
      <c r="J115" s="23" t="s">
        <v>61</v>
      </c>
      <c r="K115" s="24" t="s">
        <v>177</v>
      </c>
      <c r="L115" s="11"/>
      <c r="M115" s="12">
        <f t="shared" ref="M115:N115" si="120">G115/1.19</f>
        <v>2941.1764705882356</v>
      </c>
      <c r="N115" s="12">
        <f t="shared" si="120"/>
        <v>2941.1764705882356</v>
      </c>
      <c r="O115" s="12">
        <f t="shared" si="2"/>
        <v>558.82352941176487</v>
      </c>
      <c r="P115" s="13"/>
      <c r="Q115" s="14">
        <f t="shared" si="3"/>
        <v>2025</v>
      </c>
      <c r="R115" s="15">
        <f>VLOOKUP(MONTH(C115),'Datos Maestros'!M$2:N$14,2,FALSE)</f>
        <v>45536</v>
      </c>
      <c r="S115" s="11" t="str">
        <f>VLOOKUP(E115,Precios!B$2:W$941,3,FALSE)</f>
        <v>Detergente Piel Sensible</v>
      </c>
      <c r="T115" s="16">
        <f>VLOOKUP(E115,Precios!B$2:N$941,4,FALSE)*F115</f>
        <v>5</v>
      </c>
      <c r="U115" s="17"/>
      <c r="V115" s="12">
        <f>VLOOKUP(E115,Precios!B$2:N$941,13,FALSE)*F115</f>
        <v>848.73949579831969</v>
      </c>
      <c r="W115" s="12">
        <f t="shared" si="4"/>
        <v>848.73949579831969</v>
      </c>
      <c r="X115" s="12">
        <f>VLOOKUP(B115,'Datos Maestros'!$C$2:$D$7,2,FALSE)*V115</f>
        <v>0</v>
      </c>
      <c r="Y115" s="18">
        <f t="shared" si="5"/>
        <v>45908</v>
      </c>
      <c r="Z115" s="13" t="s">
        <v>39</v>
      </c>
      <c r="AA115" s="19" t="str">
        <f>VLOOKUP(D115,Clientes!$A$2:$J$486,9,FALSE)</f>
        <v>Frecuente</v>
      </c>
      <c r="AB115" s="13" t="str">
        <f>VLOOKUP(D115,Clientes!$A$2:$K$486,11,FALSE)</f>
        <v>Persona Natural</v>
      </c>
      <c r="AC115" s="13" t="str">
        <f>VLOOKUP(D115,Clientes!$A$2:$B$486,2,FALSE)</f>
        <v>Curso Amalia</v>
      </c>
      <c r="AD115" s="20"/>
      <c r="AE115" s="20"/>
      <c r="AF115" s="13" t="s">
        <v>40</v>
      </c>
      <c r="AG115" s="15">
        <f t="shared" si="6"/>
        <v>45536</v>
      </c>
      <c r="AH115" s="13" t="s">
        <v>41</v>
      </c>
      <c r="AI115" s="13" t="str">
        <f t="shared" si="7"/>
        <v>Detergentes</v>
      </c>
      <c r="AJ115" s="13" t="str">
        <f>VLOOKUP(E115,Precios!Z$2:AA$941,2,FALSE)</f>
        <v>Detergente SPUM 5 Litros (Blanco)</v>
      </c>
      <c r="AK115" s="14">
        <f>VLOOKUP(E115,Precios!Z$2:BB$941,3,FALSE)*F115</f>
        <v>-1</v>
      </c>
      <c r="AL115" s="17"/>
      <c r="AM115" s="17"/>
      <c r="AN115" s="17"/>
      <c r="AO115" s="17"/>
      <c r="AP115" s="17"/>
      <c r="AQ115" s="17"/>
      <c r="AR115" s="17"/>
      <c r="AS115" s="17"/>
      <c r="AT115" s="17"/>
      <c r="AU115" s="17"/>
      <c r="AV115" s="17"/>
    </row>
    <row r="116" spans="1:48" ht="15.75" customHeight="1">
      <c r="A116" s="21" t="s">
        <v>64</v>
      </c>
      <c r="B116" s="23" t="s">
        <v>1692</v>
      </c>
      <c r="C116" s="22">
        <v>45910</v>
      </c>
      <c r="D116" s="23" t="s">
        <v>144</v>
      </c>
      <c r="E116" s="23" t="s">
        <v>65</v>
      </c>
      <c r="F116" s="21">
        <v>1</v>
      </c>
      <c r="G116" s="12">
        <f>VLOOKUP(E116,Precios!B$2:N$941,12,FALSE)</f>
        <v>8200.2358799633075</v>
      </c>
      <c r="H116" s="12">
        <f t="shared" si="0"/>
        <v>8200.2358799633075</v>
      </c>
      <c r="I116" s="23" t="s">
        <v>52</v>
      </c>
      <c r="J116" s="23" t="s">
        <v>61</v>
      </c>
      <c r="K116" s="24" t="s">
        <v>177</v>
      </c>
      <c r="L116" s="11"/>
      <c r="M116" s="12">
        <f t="shared" ref="M116:N116" si="121">G116/1.19</f>
        <v>6890.9545209775697</v>
      </c>
      <c r="N116" s="12">
        <f t="shared" si="121"/>
        <v>6890.9545209775697</v>
      </c>
      <c r="O116" s="12">
        <f t="shared" si="2"/>
        <v>1309.2813589857378</v>
      </c>
      <c r="P116" s="13"/>
      <c r="Q116" s="14">
        <f t="shared" si="3"/>
        <v>2025</v>
      </c>
      <c r="R116" s="15">
        <f>VLOOKUP(MONTH(C116),'Datos Maestros'!M$2:N$14,2,FALSE)</f>
        <v>45536</v>
      </c>
      <c r="S116" s="11" t="str">
        <f>VLOOKUP(E116,Precios!B$2:W$941,3,FALSE)</f>
        <v>Longanizas</v>
      </c>
      <c r="T116" s="16">
        <f>VLOOKUP(E116,Precios!B$2:N$941,4,FALSE)*F116</f>
        <v>1</v>
      </c>
      <c r="U116" s="17"/>
      <c r="V116" s="12">
        <f>VLOOKUP(E116,Precios!B$2:N$941,13,FALSE)*F116</f>
        <v>1632.4671260195864</v>
      </c>
      <c r="W116" s="12">
        <f t="shared" si="4"/>
        <v>1632.4671260195864</v>
      </c>
      <c r="X116" s="12">
        <f>VLOOKUP(B116,'Datos Maestros'!$C$2:$D$7,2,FALSE)*V116</f>
        <v>0</v>
      </c>
      <c r="Y116" s="18">
        <f t="shared" si="5"/>
        <v>45908</v>
      </c>
      <c r="Z116" s="13" t="s">
        <v>39</v>
      </c>
      <c r="AA116" s="19" t="str">
        <f>VLOOKUP(D116,Clientes!$A$2:$J$486,9,FALSE)</f>
        <v>Ocacional</v>
      </c>
      <c r="AB116" s="13" t="str">
        <f>VLOOKUP(D116,Clientes!$A$2:$K$486,11,FALSE)</f>
        <v>Persona Natural</v>
      </c>
      <c r="AC116" s="13" t="str">
        <f>VLOOKUP(D116,Clientes!$A$2:$B$486,2,FALSE)</f>
        <v>Alicachue</v>
      </c>
      <c r="AD116" s="20"/>
      <c r="AE116" s="20"/>
      <c r="AF116" s="13" t="s">
        <v>40</v>
      </c>
      <c r="AG116" s="15">
        <f t="shared" si="6"/>
        <v>45536</v>
      </c>
      <c r="AH116" s="13" t="s">
        <v>41</v>
      </c>
      <c r="AI116" s="13" t="str">
        <f t="shared" si="7"/>
        <v>Longanizas</v>
      </c>
      <c r="AJ116" s="13" t="str">
        <f>VLOOKUP(E116,Precios!Z$2:AA$941,2,FALSE)</f>
        <v>Longanizas VILLABLANCA</v>
      </c>
      <c r="AK116" s="14">
        <f>VLOOKUP(E116,Precios!Z$2:BB$941,3,FALSE)*F116</f>
        <v>-1</v>
      </c>
      <c r="AL116" s="17"/>
      <c r="AM116" s="17"/>
      <c r="AN116" s="17"/>
      <c r="AO116" s="17"/>
      <c r="AP116" s="17"/>
      <c r="AQ116" s="17"/>
      <c r="AR116" s="17"/>
      <c r="AS116" s="17"/>
      <c r="AT116" s="17"/>
      <c r="AU116" s="17"/>
      <c r="AV116" s="17"/>
    </row>
    <row r="117" spans="1:48" ht="15.75" customHeight="1">
      <c r="A117" s="21" t="s">
        <v>53</v>
      </c>
      <c r="B117" s="23" t="s">
        <v>1692</v>
      </c>
      <c r="C117" s="22">
        <v>45910</v>
      </c>
      <c r="D117" s="23" t="s">
        <v>145</v>
      </c>
      <c r="E117" s="23" t="s">
        <v>55</v>
      </c>
      <c r="F117" s="21">
        <v>1</v>
      </c>
      <c r="G117" s="12">
        <f>VLOOKUP(E117,Precios!B$2:N$941,12,FALSE)</f>
        <v>20899.91124296327</v>
      </c>
      <c r="H117" s="12">
        <f t="shared" si="0"/>
        <v>20899.91124296327</v>
      </c>
      <c r="I117" s="23" t="s">
        <v>52</v>
      </c>
      <c r="J117" s="23" t="s">
        <v>38</v>
      </c>
      <c r="K117" s="24" t="s">
        <v>177</v>
      </c>
      <c r="L117" s="11"/>
      <c r="M117" s="12">
        <f t="shared" ref="M117:N117" si="122">G117/1.19</f>
        <v>17562.950624338882</v>
      </c>
      <c r="N117" s="12">
        <f t="shared" si="122"/>
        <v>17562.950624338882</v>
      </c>
      <c r="O117" s="12">
        <f t="shared" si="2"/>
        <v>3336.9606186243873</v>
      </c>
      <c r="P117" s="13"/>
      <c r="Q117" s="14">
        <f t="shared" si="3"/>
        <v>2025</v>
      </c>
      <c r="R117" s="15">
        <f>VLOOKUP(MONTH(C117),'Datos Maestros'!M$2:N$14,2,FALSE)</f>
        <v>45536</v>
      </c>
      <c r="S117" s="11" t="str">
        <f>VLOOKUP(E117,Precios!B$2:W$941,3,FALSE)</f>
        <v>Papel Higiénico ELITE</v>
      </c>
      <c r="T117" s="16">
        <f>VLOOKUP(E117,Precios!B$2:N$941,4,FALSE)*F117</f>
        <v>0</v>
      </c>
      <c r="U117" s="17"/>
      <c r="V117" s="12">
        <f>VLOOKUP(E117,Precios!B$2:N$941,13,FALSE)*F117</f>
        <v>3117.9506243388823</v>
      </c>
      <c r="W117" s="12">
        <f t="shared" si="4"/>
        <v>3117.9506243388823</v>
      </c>
      <c r="X117" s="12">
        <f>VLOOKUP(B117,'Datos Maestros'!$C$2:$D$7,2,FALSE)*V117</f>
        <v>0</v>
      </c>
      <c r="Y117" s="18">
        <f t="shared" si="5"/>
        <v>45908</v>
      </c>
      <c r="Z117" s="13" t="s">
        <v>39</v>
      </c>
      <c r="AA117" s="19" t="str">
        <f>VLOOKUP(D117,Clientes!$A$2:$J$486,9,FALSE)</f>
        <v>Ocacional</v>
      </c>
      <c r="AB117" s="13" t="str">
        <f>VLOOKUP(D117,Clientes!$A$2:$K$486,11,FALSE)</f>
        <v>Persona Natural</v>
      </c>
      <c r="AC117" s="13" t="str">
        <f>VLOOKUP(D117,Clientes!$A$2:$B$486,2,FALSE)</f>
        <v>Sector Santa Delia</v>
      </c>
      <c r="AD117" s="20"/>
      <c r="AE117" s="20"/>
      <c r="AF117" s="13" t="s">
        <v>40</v>
      </c>
      <c r="AG117" s="15">
        <f t="shared" si="6"/>
        <v>45536</v>
      </c>
      <c r="AH117" s="13" t="s">
        <v>41</v>
      </c>
      <c r="AI117" s="13" t="str">
        <f t="shared" si="7"/>
        <v>Papeleria</v>
      </c>
      <c r="AJ117" s="13" t="str">
        <f>VLOOKUP(E117,Precios!Z$2:AA$941,2,FALSE)</f>
        <v>Papel Higienico ELITE 50 metros</v>
      </c>
      <c r="AK117" s="14">
        <f>VLOOKUP(E117,Precios!Z$2:BB$941,3,FALSE)*F117</f>
        <v>-8</v>
      </c>
      <c r="AL117" s="17"/>
      <c r="AM117" s="17"/>
      <c r="AN117" s="17"/>
      <c r="AO117" s="17"/>
      <c r="AP117" s="17"/>
      <c r="AQ117" s="17"/>
      <c r="AR117" s="17"/>
      <c r="AS117" s="17"/>
      <c r="AT117" s="17"/>
      <c r="AU117" s="17"/>
      <c r="AV117" s="17"/>
    </row>
    <row r="118" spans="1:48" ht="15.75" customHeight="1">
      <c r="A118" s="21" t="s">
        <v>56</v>
      </c>
      <c r="B118" s="23" t="s">
        <v>1692</v>
      </c>
      <c r="C118" s="22">
        <v>45910</v>
      </c>
      <c r="D118" s="23" t="s">
        <v>118</v>
      </c>
      <c r="E118" s="23" t="s">
        <v>67</v>
      </c>
      <c r="F118" s="21">
        <v>1</v>
      </c>
      <c r="G118" s="12">
        <f>VLOOKUP(E118,Precios!B$2:N$941,12,FALSE)</f>
        <v>7000.0000000000009</v>
      </c>
      <c r="H118" s="12">
        <f t="shared" si="0"/>
        <v>7000.0000000000009</v>
      </c>
      <c r="I118" s="23" t="s">
        <v>52</v>
      </c>
      <c r="J118" s="23" t="s">
        <v>61</v>
      </c>
      <c r="K118" s="24" t="s">
        <v>177</v>
      </c>
      <c r="L118" s="11"/>
      <c r="M118" s="12">
        <f t="shared" ref="M118:N118" si="123">G118/1.19</f>
        <v>5882.3529411764712</v>
      </c>
      <c r="N118" s="12">
        <f t="shared" si="123"/>
        <v>5882.3529411764712</v>
      </c>
      <c r="O118" s="12">
        <f t="shared" si="2"/>
        <v>1117.6470588235297</v>
      </c>
      <c r="P118" s="13"/>
      <c r="Q118" s="14">
        <f t="shared" si="3"/>
        <v>2025</v>
      </c>
      <c r="R118" s="15">
        <f>VLOOKUP(MONTH(C118),'Datos Maestros'!M$2:N$14,2,FALSE)</f>
        <v>45536</v>
      </c>
      <c r="S118" s="11" t="str">
        <f>VLOOKUP(E118,Precios!B$2:W$941,3,FALSE)</f>
        <v>Mantequilla</v>
      </c>
      <c r="T118" s="16">
        <f>VLOOKUP(E118,Precios!B$2:N$941,4,FALSE)*F118</f>
        <v>200</v>
      </c>
      <c r="U118" s="17"/>
      <c r="V118" s="12">
        <f>VLOOKUP(E118,Precios!B$2:N$941,13,FALSE)*F118</f>
        <v>1512.6050420168067</v>
      </c>
      <c r="W118" s="12">
        <f t="shared" si="4"/>
        <v>1512.6050420168067</v>
      </c>
      <c r="X118" s="12">
        <f>VLOOKUP(B118,'Datos Maestros'!$C$2:$D$7,2,FALSE)*V118</f>
        <v>0</v>
      </c>
      <c r="Y118" s="18">
        <f t="shared" si="5"/>
        <v>45908</v>
      </c>
      <c r="Z118" s="13" t="s">
        <v>39</v>
      </c>
      <c r="AA118" s="19" t="str">
        <f>VLOOKUP(D118,Clientes!$A$2:$J$486,9,FALSE)</f>
        <v>Ocacional</v>
      </c>
      <c r="AB118" s="13" t="str">
        <f>VLOOKUP(D118,Clientes!$A$2:$K$486,11,FALSE)</f>
        <v>Persona Natural</v>
      </c>
      <c r="AC118" s="13" t="str">
        <f>VLOOKUP(D118,Clientes!$A$2:$B$486,2,FALSE)</f>
        <v>Geronimo Alderete</v>
      </c>
      <c r="AD118" s="20"/>
      <c r="AE118" s="20"/>
      <c r="AF118" s="13" t="s">
        <v>40</v>
      </c>
      <c r="AG118" s="15">
        <f t="shared" si="6"/>
        <v>45536</v>
      </c>
      <c r="AH118" s="13" t="s">
        <v>41</v>
      </c>
      <c r="AI118" s="13" t="str">
        <f t="shared" si="7"/>
        <v>Derivados</v>
      </c>
      <c r="AJ118" s="13" t="str">
        <f>VLOOKUP(E118,Precios!Z$2:AA$941,2,FALSE)</f>
        <v>Mantequilla RUMAY</v>
      </c>
      <c r="AK118" s="14">
        <f>VLOOKUP(E118,Precios!Z$2:BB$941,3,FALSE)*F118</f>
        <v>-3</v>
      </c>
      <c r="AL118" s="17"/>
      <c r="AM118" s="17"/>
      <c r="AN118" s="17"/>
      <c r="AO118" s="17"/>
      <c r="AP118" s="17"/>
      <c r="AQ118" s="17"/>
      <c r="AR118" s="17"/>
      <c r="AS118" s="17"/>
      <c r="AT118" s="17"/>
      <c r="AU118" s="17"/>
      <c r="AV118" s="17"/>
    </row>
    <row r="119" spans="1:48" ht="15.75" customHeight="1">
      <c r="A119" s="21" t="s">
        <v>43</v>
      </c>
      <c r="B119" s="23" t="s">
        <v>1692</v>
      </c>
      <c r="C119" s="22">
        <v>45910</v>
      </c>
      <c r="D119" s="23" t="s">
        <v>118</v>
      </c>
      <c r="E119" s="23" t="s">
        <v>45</v>
      </c>
      <c r="F119" s="21">
        <v>1</v>
      </c>
      <c r="G119" s="12">
        <f>VLOOKUP(E119,Precios!B$2:N$941,12,FALSE)</f>
        <v>8000.1831784723063</v>
      </c>
      <c r="H119" s="12">
        <f t="shared" si="0"/>
        <v>8000.1831784723063</v>
      </c>
      <c r="I119" s="23" t="s">
        <v>52</v>
      </c>
      <c r="J119" s="23" t="s">
        <v>61</v>
      </c>
      <c r="K119" s="24" t="s">
        <v>177</v>
      </c>
      <c r="L119" s="11"/>
      <c r="M119" s="12">
        <f t="shared" ref="M119:N119" si="124">G119/1.19</f>
        <v>6722.8430071195853</v>
      </c>
      <c r="N119" s="12">
        <f t="shared" si="124"/>
        <v>6722.8430071195853</v>
      </c>
      <c r="O119" s="12">
        <f t="shared" si="2"/>
        <v>1277.340171352721</v>
      </c>
      <c r="P119" s="13"/>
      <c r="Q119" s="14">
        <f t="shared" si="3"/>
        <v>2025</v>
      </c>
      <c r="R119" s="15">
        <f>VLOOKUP(MONTH(C119),'Datos Maestros'!M$2:N$14,2,FALSE)</f>
        <v>45536</v>
      </c>
      <c r="S119" s="11" t="str">
        <f>VLOOKUP(E119,Precios!B$2:W$941,3,FALSE)</f>
        <v>Huevos EXTRA</v>
      </c>
      <c r="T119" s="16">
        <f>VLOOKUP(E119,Precios!B$2:N$941,4,FALSE)*F119</f>
        <v>0</v>
      </c>
      <c r="U119" s="17"/>
      <c r="V119" s="12">
        <f>VLOOKUP(E119,Precios!B$2:N$941,13,FALSE)*F119</f>
        <v>1151.6230071195851</v>
      </c>
      <c r="W119" s="12">
        <f t="shared" si="4"/>
        <v>1151.6230071195851</v>
      </c>
      <c r="X119" s="12">
        <f>VLOOKUP(B119,'Datos Maestros'!$C$2:$D$7,2,FALSE)*V119</f>
        <v>0</v>
      </c>
      <c r="Y119" s="18">
        <f t="shared" si="5"/>
        <v>45908</v>
      </c>
      <c r="Z119" s="13" t="s">
        <v>39</v>
      </c>
      <c r="AA119" s="19" t="str">
        <f>VLOOKUP(D119,Clientes!$A$2:$J$486,9,FALSE)</f>
        <v>Ocacional</v>
      </c>
      <c r="AB119" s="13" t="str">
        <f>VLOOKUP(D119,Clientes!$A$2:$K$486,11,FALSE)</f>
        <v>Persona Natural</v>
      </c>
      <c r="AC119" s="13" t="str">
        <f>VLOOKUP(D119,Clientes!$A$2:$B$486,2,FALSE)</f>
        <v>Geronimo Alderete</v>
      </c>
      <c r="AD119" s="20"/>
      <c r="AE119" s="20"/>
      <c r="AF119" s="13" t="s">
        <v>40</v>
      </c>
      <c r="AG119" s="15">
        <f t="shared" si="6"/>
        <v>45536</v>
      </c>
      <c r="AH119" s="13" t="s">
        <v>41</v>
      </c>
      <c r="AI119" s="13" t="str">
        <f t="shared" si="7"/>
        <v>Huevos</v>
      </c>
      <c r="AJ119" s="13" t="str">
        <f>VLOOKUP(E119,Precios!Z$2:AA$941,2,FALSE)</f>
        <v>Bandeja Huevos EXTRA</v>
      </c>
      <c r="AK119" s="14">
        <f>VLOOKUP(E119,Precios!Z$2:BB$941,3,FALSE)*F119</f>
        <v>-1</v>
      </c>
      <c r="AL119" s="17"/>
      <c r="AM119" s="17"/>
      <c r="AN119" s="17"/>
      <c r="AO119" s="17"/>
      <c r="AP119" s="17"/>
      <c r="AQ119" s="17"/>
      <c r="AR119" s="17"/>
      <c r="AS119" s="17"/>
      <c r="AT119" s="17"/>
      <c r="AU119" s="17"/>
      <c r="AV119" s="17"/>
    </row>
    <row r="120" spans="1:48" ht="15.75" customHeight="1">
      <c r="A120" s="21" t="s">
        <v>43</v>
      </c>
      <c r="B120" s="23" t="s">
        <v>1692</v>
      </c>
      <c r="C120" s="22">
        <v>45910</v>
      </c>
      <c r="D120" s="23" t="s">
        <v>146</v>
      </c>
      <c r="E120" s="23" t="s">
        <v>45</v>
      </c>
      <c r="F120" s="21">
        <v>1</v>
      </c>
      <c r="G120" s="12">
        <f>VLOOKUP(E120,Precios!B$2:N$941,12,FALSE)</f>
        <v>8000.1831784723063</v>
      </c>
      <c r="H120" s="12">
        <f t="shared" si="0"/>
        <v>8000.1831784723063</v>
      </c>
      <c r="I120" s="23" t="s">
        <v>52</v>
      </c>
      <c r="J120" s="23" t="s">
        <v>61</v>
      </c>
      <c r="K120" s="24" t="s">
        <v>177</v>
      </c>
      <c r="L120" s="11"/>
      <c r="M120" s="12">
        <f t="shared" ref="M120:N120" si="125">G120/1.19</f>
        <v>6722.8430071195853</v>
      </c>
      <c r="N120" s="12">
        <f t="shared" si="125"/>
        <v>6722.8430071195853</v>
      </c>
      <c r="O120" s="12">
        <f t="shared" si="2"/>
        <v>1277.340171352721</v>
      </c>
      <c r="P120" s="13"/>
      <c r="Q120" s="14">
        <f t="shared" si="3"/>
        <v>2025</v>
      </c>
      <c r="R120" s="15">
        <f>VLOOKUP(MONTH(C120),'Datos Maestros'!M$2:N$14,2,FALSE)</f>
        <v>45536</v>
      </c>
      <c r="S120" s="11" t="str">
        <f>VLOOKUP(E120,Precios!B$2:W$941,3,FALSE)</f>
        <v>Huevos EXTRA</v>
      </c>
      <c r="T120" s="16">
        <f>VLOOKUP(E120,Precios!B$2:N$941,4,FALSE)*F120</f>
        <v>0</v>
      </c>
      <c r="U120" s="17"/>
      <c r="V120" s="12">
        <f>VLOOKUP(E120,Precios!B$2:N$941,13,FALSE)*F120</f>
        <v>1151.6230071195851</v>
      </c>
      <c r="W120" s="12">
        <f t="shared" si="4"/>
        <v>1151.6230071195851</v>
      </c>
      <c r="X120" s="12">
        <f>VLOOKUP(B120,'Datos Maestros'!$C$2:$D$7,2,FALSE)*V120</f>
        <v>0</v>
      </c>
      <c r="Y120" s="18">
        <f t="shared" si="5"/>
        <v>45908</v>
      </c>
      <c r="Z120" s="13" t="s">
        <v>39</v>
      </c>
      <c r="AA120" s="19" t="str">
        <f>VLOOKUP(D120,Clientes!$A$2:$J$486,9,FALSE)</f>
        <v>Ocacional</v>
      </c>
      <c r="AB120" s="13" t="str">
        <f>VLOOKUP(D120,Clientes!$A$2:$K$486,11,FALSE)</f>
        <v>Persona Natural</v>
      </c>
      <c r="AC120" s="13" t="str">
        <f>VLOOKUP(D120,Clientes!$A$2:$B$486,2,FALSE)</f>
        <v>Jardin del eden</v>
      </c>
      <c r="AD120" s="20"/>
      <c r="AE120" s="20"/>
      <c r="AF120" s="13" t="s">
        <v>40</v>
      </c>
      <c r="AG120" s="15">
        <f t="shared" si="6"/>
        <v>45536</v>
      </c>
      <c r="AH120" s="13" t="s">
        <v>41</v>
      </c>
      <c r="AI120" s="13" t="str">
        <f t="shared" si="7"/>
        <v>Huevos</v>
      </c>
      <c r="AJ120" s="13" t="str">
        <f>VLOOKUP(E120,Precios!Z$2:AA$941,2,FALSE)</f>
        <v>Bandeja Huevos EXTRA</v>
      </c>
      <c r="AK120" s="14">
        <f>VLOOKUP(E120,Precios!Z$2:BB$941,3,FALSE)*F120</f>
        <v>-1</v>
      </c>
      <c r="AL120" s="17"/>
      <c r="AM120" s="17"/>
      <c r="AN120" s="17"/>
      <c r="AO120" s="17"/>
      <c r="AP120" s="17"/>
      <c r="AQ120" s="17"/>
      <c r="AR120" s="17"/>
      <c r="AS120" s="17"/>
      <c r="AT120" s="17"/>
      <c r="AU120" s="17"/>
      <c r="AV120" s="17"/>
    </row>
    <row r="121" spans="1:48" ht="15.75" customHeight="1">
      <c r="A121" s="21" t="s">
        <v>35</v>
      </c>
      <c r="B121" s="23" t="s">
        <v>1692</v>
      </c>
      <c r="C121" s="22">
        <v>45910</v>
      </c>
      <c r="D121" s="23" t="s">
        <v>146</v>
      </c>
      <c r="E121" s="23" t="s">
        <v>117</v>
      </c>
      <c r="F121" s="21">
        <v>1</v>
      </c>
      <c r="G121" s="12">
        <f>VLOOKUP(E121,Precios!B$2:N$941,12,FALSE)</f>
        <v>8999.8271341726922</v>
      </c>
      <c r="H121" s="12">
        <f t="shared" si="0"/>
        <v>8999.8271341726922</v>
      </c>
      <c r="I121" s="23" t="s">
        <v>52</v>
      </c>
      <c r="J121" s="23" t="s">
        <v>61</v>
      </c>
      <c r="K121" s="24" t="s">
        <v>177</v>
      </c>
      <c r="L121" s="11"/>
      <c r="M121" s="12">
        <f t="shared" ref="M121:N121" si="126">G121/1.19</f>
        <v>7562.8799446829353</v>
      </c>
      <c r="N121" s="12">
        <f t="shared" si="126"/>
        <v>7562.8799446829353</v>
      </c>
      <c r="O121" s="12">
        <f t="shared" si="2"/>
        <v>1436.947189489757</v>
      </c>
      <c r="P121" s="13"/>
      <c r="Q121" s="14">
        <f t="shared" si="3"/>
        <v>2025</v>
      </c>
      <c r="R121" s="15">
        <f>VLOOKUP(MONTH(C121),'Datos Maestros'!M$2:N$14,2,FALSE)</f>
        <v>45536</v>
      </c>
      <c r="S121" s="11" t="str">
        <f>VLOOKUP(E121,Precios!B$2:W$941,3,FALSE)</f>
        <v>Queso Mantecoso</v>
      </c>
      <c r="T121" s="16">
        <f>VLOOKUP(E121,Precios!B$2:N$941,4,FALSE)*F121</f>
        <v>750</v>
      </c>
      <c r="U121" s="17"/>
      <c r="V121" s="12">
        <f>VLOOKUP(E121,Precios!B$2:N$941,13,FALSE)*F121</f>
        <v>2312.8799446829353</v>
      </c>
      <c r="W121" s="12">
        <f t="shared" si="4"/>
        <v>2312.8799446829353</v>
      </c>
      <c r="X121" s="12">
        <f>VLOOKUP(B121,'Datos Maestros'!$C$2:$D$7,2,FALSE)*V121</f>
        <v>0</v>
      </c>
      <c r="Y121" s="18">
        <f t="shared" si="5"/>
        <v>45908</v>
      </c>
      <c r="Z121" s="13" t="s">
        <v>39</v>
      </c>
      <c r="AA121" s="19" t="str">
        <f>VLOOKUP(D121,Clientes!$A$2:$J$486,9,FALSE)</f>
        <v>Ocacional</v>
      </c>
      <c r="AB121" s="13" t="str">
        <f>VLOOKUP(D121,Clientes!$A$2:$K$486,11,FALSE)</f>
        <v>Persona Natural</v>
      </c>
      <c r="AC121" s="13" t="str">
        <f>VLOOKUP(D121,Clientes!$A$2:$B$486,2,FALSE)</f>
        <v>Jardin del eden</v>
      </c>
      <c r="AD121" s="20"/>
      <c r="AE121" s="20"/>
      <c r="AF121" s="13" t="s">
        <v>40</v>
      </c>
      <c r="AG121" s="15">
        <f t="shared" si="6"/>
        <v>45536</v>
      </c>
      <c r="AH121" s="13" t="s">
        <v>41</v>
      </c>
      <c r="AI121" s="13" t="str">
        <f t="shared" si="7"/>
        <v>Quesos</v>
      </c>
      <c r="AJ121" s="13" t="str">
        <f>VLOOKUP(E121,Precios!Z$2:AA$941,2,FALSE)</f>
        <v>Queso RUNCA Laminado Mantecoso</v>
      </c>
      <c r="AK121" s="14">
        <f>VLOOKUP(E121,Precios!Z$2:BB$941,3,FALSE)*F121</f>
        <v>-0.75</v>
      </c>
      <c r="AL121" s="17"/>
      <c r="AM121" s="17"/>
      <c r="AN121" s="17"/>
      <c r="AO121" s="17"/>
      <c r="AP121" s="17"/>
      <c r="AQ121" s="17"/>
      <c r="AR121" s="17"/>
      <c r="AS121" s="17"/>
      <c r="AT121" s="17"/>
      <c r="AU121" s="17"/>
      <c r="AV121" s="17"/>
    </row>
    <row r="122" spans="1:48" ht="15.75" customHeight="1">
      <c r="A122" s="21" t="s">
        <v>147</v>
      </c>
      <c r="B122" s="23" t="s">
        <v>1692</v>
      </c>
      <c r="C122" s="22">
        <v>45910</v>
      </c>
      <c r="D122" s="23" t="s">
        <v>146</v>
      </c>
      <c r="E122" s="23" t="s">
        <v>148</v>
      </c>
      <c r="F122" s="21">
        <v>1</v>
      </c>
      <c r="G122" s="12">
        <f>VLOOKUP(E122,Precios!B$2:N$941,12,FALSE)</f>
        <v>1200.0000000000002</v>
      </c>
      <c r="H122" s="12">
        <f t="shared" si="0"/>
        <v>1200.0000000000002</v>
      </c>
      <c r="I122" s="23" t="s">
        <v>52</v>
      </c>
      <c r="J122" s="23" t="s">
        <v>61</v>
      </c>
      <c r="K122" s="24" t="s">
        <v>177</v>
      </c>
      <c r="L122" s="11"/>
      <c r="M122" s="12">
        <f t="shared" ref="M122:N122" si="127">G122/1.19</f>
        <v>1008.4033613445381</v>
      </c>
      <c r="N122" s="12">
        <f t="shared" si="127"/>
        <v>1008.4033613445381</v>
      </c>
      <c r="O122" s="12">
        <f t="shared" si="2"/>
        <v>191.59663865546213</v>
      </c>
      <c r="P122" s="13"/>
      <c r="Q122" s="14">
        <f t="shared" si="3"/>
        <v>2025</v>
      </c>
      <c r="R122" s="15">
        <f>VLOOKUP(MONTH(C122),'Datos Maestros'!M$2:N$14,2,FALSE)</f>
        <v>45536</v>
      </c>
      <c r="S122" s="11" t="str">
        <f>VLOOKUP(E122,Precios!B$2:W$941,3,FALSE)</f>
        <v>Papel Aluminio</v>
      </c>
      <c r="T122" s="16">
        <f>VLOOKUP(E122,Precios!B$2:N$941,4,FALSE)*F122</f>
        <v>0</v>
      </c>
      <c r="U122" s="17"/>
      <c r="V122" s="12">
        <f>VLOOKUP(E122,Precios!B$2:N$941,13,FALSE)*F122</f>
        <v>357.9831932773111</v>
      </c>
      <c r="W122" s="12">
        <f t="shared" si="4"/>
        <v>357.9831932773111</v>
      </c>
      <c r="X122" s="12">
        <f>VLOOKUP(B122,'Datos Maestros'!$C$2:$D$7,2,FALSE)*V122</f>
        <v>0</v>
      </c>
      <c r="Y122" s="18">
        <f t="shared" si="5"/>
        <v>45908</v>
      </c>
      <c r="Z122" s="13" t="s">
        <v>39</v>
      </c>
      <c r="AA122" s="19" t="str">
        <f>VLOOKUP(D122,Clientes!$A$2:$J$486,9,FALSE)</f>
        <v>Ocacional</v>
      </c>
      <c r="AB122" s="13" t="str">
        <f>VLOOKUP(D122,Clientes!$A$2:$K$486,11,FALSE)</f>
        <v>Persona Natural</v>
      </c>
      <c r="AC122" s="13" t="str">
        <f>VLOOKUP(D122,Clientes!$A$2:$B$486,2,FALSE)</f>
        <v>Jardin del eden</v>
      </c>
      <c r="AD122" s="20"/>
      <c r="AE122" s="20"/>
      <c r="AF122" s="13" t="s">
        <v>40</v>
      </c>
      <c r="AG122" s="15">
        <f t="shared" si="6"/>
        <v>45536</v>
      </c>
      <c r="AH122" s="13" t="s">
        <v>41</v>
      </c>
      <c r="AI122" s="13" t="str">
        <f t="shared" si="7"/>
        <v>Film Plastico-Aluminio</v>
      </c>
      <c r="AJ122" s="13" t="str">
        <f>VLOOKUP(E122,Precios!Z$2:AA$941,2,FALSE)</f>
        <v>Papel Aluminio 7.5 metros</v>
      </c>
      <c r="AK122" s="14">
        <f>VLOOKUP(E122,Precios!Z$2:BB$941,3,FALSE)*F122</f>
        <v>-1</v>
      </c>
      <c r="AL122" s="17"/>
      <c r="AM122" s="17"/>
      <c r="AN122" s="17"/>
      <c r="AO122" s="17"/>
      <c r="AP122" s="17"/>
      <c r="AQ122" s="17"/>
      <c r="AR122" s="17"/>
      <c r="AS122" s="17"/>
      <c r="AT122" s="17"/>
      <c r="AU122" s="17"/>
      <c r="AV122" s="17"/>
    </row>
    <row r="123" spans="1:48" ht="15.75" customHeight="1">
      <c r="A123" s="21" t="s">
        <v>147</v>
      </c>
      <c r="B123" s="23" t="s">
        <v>1692</v>
      </c>
      <c r="C123" s="22">
        <v>45910</v>
      </c>
      <c r="D123" s="23" t="s">
        <v>146</v>
      </c>
      <c r="E123" s="23" t="s">
        <v>149</v>
      </c>
      <c r="F123" s="21">
        <v>1</v>
      </c>
      <c r="G123" s="12">
        <f>VLOOKUP(E123,Precios!B$2:N$941,12,FALSE)</f>
        <v>1700</v>
      </c>
      <c r="H123" s="12">
        <f t="shared" si="0"/>
        <v>1700</v>
      </c>
      <c r="I123" s="23" t="s">
        <v>52</v>
      </c>
      <c r="J123" s="23" t="s">
        <v>61</v>
      </c>
      <c r="K123" s="24" t="s">
        <v>177</v>
      </c>
      <c r="L123" s="11"/>
      <c r="M123" s="12">
        <f t="shared" ref="M123:N123" si="128">G123/1.19</f>
        <v>1428.5714285714287</v>
      </c>
      <c r="N123" s="12">
        <f t="shared" si="128"/>
        <v>1428.5714285714287</v>
      </c>
      <c r="O123" s="12">
        <f t="shared" si="2"/>
        <v>271.42857142857133</v>
      </c>
      <c r="P123" s="13"/>
      <c r="Q123" s="14">
        <f t="shared" si="3"/>
        <v>2025</v>
      </c>
      <c r="R123" s="15">
        <f>VLOOKUP(MONTH(C123),'Datos Maestros'!M$2:N$14,2,FALSE)</f>
        <v>45536</v>
      </c>
      <c r="S123" s="11" t="str">
        <f>VLOOKUP(E123,Precios!B$2:W$941,3,FALSE)</f>
        <v>Film Plastico</v>
      </c>
      <c r="T123" s="16">
        <f>VLOOKUP(E123,Precios!B$2:N$941,4,FALSE)*F123</f>
        <v>0</v>
      </c>
      <c r="U123" s="17"/>
      <c r="V123" s="12">
        <f>VLOOKUP(E123,Precios!B$2:N$941,13,FALSE)*F123</f>
        <v>774.78991596638662</v>
      </c>
      <c r="W123" s="12">
        <f t="shared" si="4"/>
        <v>774.78991596638662</v>
      </c>
      <c r="X123" s="12">
        <f>VLOOKUP(B123,'Datos Maestros'!$C$2:$D$7,2,FALSE)*V123</f>
        <v>0</v>
      </c>
      <c r="Y123" s="18">
        <f t="shared" si="5"/>
        <v>45908</v>
      </c>
      <c r="Z123" s="13" t="s">
        <v>39</v>
      </c>
      <c r="AA123" s="19" t="str">
        <f>VLOOKUP(D123,Clientes!$A$2:$J$486,9,FALSE)</f>
        <v>Ocacional</v>
      </c>
      <c r="AB123" s="13" t="str">
        <f>VLOOKUP(D123,Clientes!$A$2:$K$486,11,FALSE)</f>
        <v>Persona Natural</v>
      </c>
      <c r="AC123" s="13" t="str">
        <f>VLOOKUP(D123,Clientes!$A$2:$B$486,2,FALSE)</f>
        <v>Jardin del eden</v>
      </c>
      <c r="AD123" s="20"/>
      <c r="AE123" s="20"/>
      <c r="AF123" s="13" t="s">
        <v>40</v>
      </c>
      <c r="AG123" s="15">
        <f t="shared" si="6"/>
        <v>45536</v>
      </c>
      <c r="AH123" s="13" t="s">
        <v>41</v>
      </c>
      <c r="AI123" s="13" t="str">
        <f t="shared" si="7"/>
        <v>Film Plastico-Aluminio</v>
      </c>
      <c r="AJ123" s="13" t="str">
        <f>VLOOKUP(E123,Precios!Z$2:AA$941,2,FALSE)</f>
        <v>Film Plástico 30 metros</v>
      </c>
      <c r="AK123" s="14">
        <f>VLOOKUP(E123,Precios!Z$2:BB$941,3,FALSE)*F123</f>
        <v>-1</v>
      </c>
      <c r="AL123" s="17"/>
      <c r="AM123" s="17"/>
      <c r="AN123" s="17"/>
      <c r="AO123" s="17"/>
      <c r="AP123" s="17"/>
      <c r="AQ123" s="17"/>
      <c r="AR123" s="17"/>
      <c r="AS123" s="17"/>
      <c r="AT123" s="17"/>
      <c r="AU123" s="17"/>
      <c r="AV123" s="17"/>
    </row>
    <row r="124" spans="1:48" ht="15.75" customHeight="1">
      <c r="A124" s="21" t="s">
        <v>53</v>
      </c>
      <c r="B124" s="23" t="s">
        <v>1692</v>
      </c>
      <c r="C124" s="22">
        <v>45910</v>
      </c>
      <c r="D124" s="23" t="s">
        <v>146</v>
      </c>
      <c r="E124" s="23" t="s">
        <v>150</v>
      </c>
      <c r="F124" s="21">
        <v>1</v>
      </c>
      <c r="G124" s="12">
        <f>VLOOKUP(E124,Precios!B$2:N$941,12,FALSE)</f>
        <v>1799.8965445892823</v>
      </c>
      <c r="H124" s="12">
        <f t="shared" si="0"/>
        <v>1799.8965445892823</v>
      </c>
      <c r="I124" s="23" t="s">
        <v>52</v>
      </c>
      <c r="J124" s="23" t="s">
        <v>61</v>
      </c>
      <c r="K124" s="24" t="s">
        <v>177</v>
      </c>
      <c r="L124" s="11"/>
      <c r="M124" s="12">
        <f t="shared" ref="M124:N124" si="129">G124/1.19</f>
        <v>1512.518104696876</v>
      </c>
      <c r="N124" s="12">
        <f t="shared" si="129"/>
        <v>1512.518104696876</v>
      </c>
      <c r="O124" s="12">
        <f t="shared" si="2"/>
        <v>287.37843989240628</v>
      </c>
      <c r="P124" s="13"/>
      <c r="Q124" s="14">
        <f t="shared" si="3"/>
        <v>2025</v>
      </c>
      <c r="R124" s="15">
        <f>VLOOKUP(MONTH(C124),'Datos Maestros'!M$2:N$14,2,FALSE)</f>
        <v>45536</v>
      </c>
      <c r="S124" s="11" t="str">
        <f>VLOOKUP(E124,Precios!B$2:W$941,3,FALSE)</f>
        <v>Servilletas</v>
      </c>
      <c r="T124" s="16">
        <f>VLOOKUP(E124,Precios!B$2:N$941,4,FALSE)*F124</f>
        <v>300</v>
      </c>
      <c r="U124" s="17"/>
      <c r="V124" s="12">
        <f>VLOOKUP(E124,Precios!B$2:N$941,13,FALSE)*F124</f>
        <v>781.51810469687575</v>
      </c>
      <c r="W124" s="12">
        <f t="shared" si="4"/>
        <v>781.51810469687575</v>
      </c>
      <c r="X124" s="12">
        <f>VLOOKUP(B124,'Datos Maestros'!$C$2:$D$7,2,FALSE)*V124</f>
        <v>0</v>
      </c>
      <c r="Y124" s="18">
        <f t="shared" si="5"/>
        <v>45908</v>
      </c>
      <c r="Z124" s="13" t="s">
        <v>39</v>
      </c>
      <c r="AA124" s="19" t="str">
        <f>VLOOKUP(D124,Clientes!$A$2:$J$486,9,FALSE)</f>
        <v>Ocacional</v>
      </c>
      <c r="AB124" s="13" t="str">
        <f>VLOOKUP(D124,Clientes!$A$2:$K$486,11,FALSE)</f>
        <v>Persona Natural</v>
      </c>
      <c r="AC124" s="13" t="str">
        <f>VLOOKUP(D124,Clientes!$A$2:$B$486,2,FALSE)</f>
        <v>Jardin del eden</v>
      </c>
      <c r="AD124" s="20"/>
      <c r="AE124" s="20"/>
      <c r="AF124" s="13" t="s">
        <v>40</v>
      </c>
      <c r="AG124" s="15">
        <f t="shared" si="6"/>
        <v>45536</v>
      </c>
      <c r="AH124" s="13" t="s">
        <v>41</v>
      </c>
      <c r="AI124" s="13" t="str">
        <f t="shared" si="7"/>
        <v>Papeleria</v>
      </c>
      <c r="AJ124" s="13" t="str">
        <f>VLOOKUP(E124,Precios!Z$2:AA$941,2,FALSE)</f>
        <v>Servilletas SOFTQUALITY 300 unidades</v>
      </c>
      <c r="AK124" s="14">
        <f>VLOOKUP(E124,Precios!Z$2:BB$941,3,FALSE)*F124</f>
        <v>-1</v>
      </c>
      <c r="AL124" s="17"/>
      <c r="AM124" s="17"/>
      <c r="AN124" s="17"/>
      <c r="AO124" s="17"/>
      <c r="AP124" s="17"/>
      <c r="AQ124" s="17"/>
      <c r="AR124" s="17"/>
      <c r="AS124" s="17"/>
      <c r="AT124" s="17"/>
      <c r="AU124" s="17"/>
      <c r="AV124" s="17"/>
    </row>
    <row r="125" spans="1:48" ht="15.75" customHeight="1">
      <c r="A125" s="21" t="s">
        <v>43</v>
      </c>
      <c r="B125" s="23" t="s">
        <v>1692</v>
      </c>
      <c r="C125" s="22">
        <v>45910</v>
      </c>
      <c r="D125" s="23" t="s">
        <v>151</v>
      </c>
      <c r="E125" s="23" t="s">
        <v>45</v>
      </c>
      <c r="F125" s="21">
        <v>1</v>
      </c>
      <c r="G125" s="12">
        <f>VLOOKUP(E125,Precios!B$2:N$941,12,FALSE)</f>
        <v>8000.1831784723063</v>
      </c>
      <c r="H125" s="12">
        <f t="shared" si="0"/>
        <v>8000.1831784723063</v>
      </c>
      <c r="I125" s="23" t="s">
        <v>52</v>
      </c>
      <c r="J125" s="23" t="s">
        <v>61</v>
      </c>
      <c r="K125" s="24" t="s">
        <v>177</v>
      </c>
      <c r="L125" s="11"/>
      <c r="M125" s="12">
        <f t="shared" ref="M125:N125" si="130">G125/1.19</f>
        <v>6722.8430071195853</v>
      </c>
      <c r="N125" s="12">
        <f t="shared" si="130"/>
        <v>6722.8430071195853</v>
      </c>
      <c r="O125" s="12">
        <f t="shared" si="2"/>
        <v>1277.340171352721</v>
      </c>
      <c r="P125" s="13"/>
      <c r="Q125" s="14">
        <f t="shared" si="3"/>
        <v>2025</v>
      </c>
      <c r="R125" s="15">
        <f>VLOOKUP(MONTH(C125),'Datos Maestros'!M$2:N$14,2,FALSE)</f>
        <v>45536</v>
      </c>
      <c r="S125" s="11" t="str">
        <f>VLOOKUP(E125,Precios!B$2:W$941,3,FALSE)</f>
        <v>Huevos EXTRA</v>
      </c>
      <c r="T125" s="16">
        <f>VLOOKUP(E125,Precios!B$2:N$941,4,FALSE)*F125</f>
        <v>0</v>
      </c>
      <c r="U125" s="17"/>
      <c r="V125" s="12">
        <f>VLOOKUP(E125,Precios!B$2:N$941,13,FALSE)*F125</f>
        <v>1151.6230071195851</v>
      </c>
      <c r="W125" s="12">
        <f t="shared" si="4"/>
        <v>1151.6230071195851</v>
      </c>
      <c r="X125" s="12">
        <f>VLOOKUP(B125,'Datos Maestros'!$C$2:$D$7,2,FALSE)*V125</f>
        <v>0</v>
      </c>
      <c r="Y125" s="18">
        <f t="shared" si="5"/>
        <v>45908</v>
      </c>
      <c r="Z125" s="13" t="s">
        <v>39</v>
      </c>
      <c r="AA125" s="19" t="str">
        <f>VLOOKUP(D125,Clientes!$A$2:$J$486,9,FALSE)</f>
        <v>Ocacional</v>
      </c>
      <c r="AB125" s="13" t="str">
        <f>VLOOKUP(D125,Clientes!$A$2:$K$486,11,FALSE)</f>
        <v>Persona Natural</v>
      </c>
      <c r="AC125" s="13" t="str">
        <f>VLOOKUP(D125,Clientes!$A$2:$B$486,2,FALSE)</f>
        <v>El Domo</v>
      </c>
      <c r="AD125" s="20"/>
      <c r="AE125" s="20"/>
      <c r="AF125" s="13" t="s">
        <v>40</v>
      </c>
      <c r="AG125" s="15">
        <f t="shared" si="6"/>
        <v>45536</v>
      </c>
      <c r="AH125" s="13" t="s">
        <v>41</v>
      </c>
      <c r="AI125" s="13" t="str">
        <f t="shared" si="7"/>
        <v>Huevos</v>
      </c>
      <c r="AJ125" s="13" t="str">
        <f>VLOOKUP(E125,Precios!Z$2:AA$941,2,FALSE)</f>
        <v>Bandeja Huevos EXTRA</v>
      </c>
      <c r="AK125" s="14">
        <f>VLOOKUP(E125,Precios!Z$2:BB$941,3,FALSE)*F125</f>
        <v>-1</v>
      </c>
      <c r="AL125" s="17"/>
      <c r="AM125" s="17"/>
      <c r="AN125" s="17"/>
      <c r="AO125" s="17"/>
      <c r="AP125" s="17"/>
      <c r="AQ125" s="17"/>
      <c r="AR125" s="17"/>
      <c r="AS125" s="17"/>
      <c r="AT125" s="17"/>
      <c r="AU125" s="17"/>
      <c r="AV125" s="17"/>
    </row>
    <row r="126" spans="1:48" ht="15.75" customHeight="1">
      <c r="A126" s="21" t="s">
        <v>35</v>
      </c>
      <c r="B126" s="23" t="s">
        <v>1692</v>
      </c>
      <c r="C126" s="22">
        <v>45910</v>
      </c>
      <c r="D126" s="23" t="s">
        <v>151</v>
      </c>
      <c r="E126" s="23" t="s">
        <v>46</v>
      </c>
      <c r="F126" s="21">
        <v>1</v>
      </c>
      <c r="G126" s="12">
        <f>VLOOKUP(E126,Precios!B$2:N$941,12,FALSE)</f>
        <v>6000.1548227279782</v>
      </c>
      <c r="H126" s="12">
        <f t="shared" si="0"/>
        <v>6000.1548227279782</v>
      </c>
      <c r="I126" s="23" t="s">
        <v>52</v>
      </c>
      <c r="J126" s="23" t="s">
        <v>38</v>
      </c>
      <c r="K126" s="24" t="s">
        <v>177</v>
      </c>
      <c r="L126" s="11"/>
      <c r="M126" s="12">
        <f t="shared" ref="M126:N126" si="131">G126/1.19</f>
        <v>5042.1469098554444</v>
      </c>
      <c r="N126" s="12">
        <f t="shared" si="131"/>
        <v>5042.1469098554444</v>
      </c>
      <c r="O126" s="12">
        <f t="shared" si="2"/>
        <v>958.00791287253378</v>
      </c>
      <c r="P126" s="13"/>
      <c r="Q126" s="14">
        <f t="shared" si="3"/>
        <v>2025</v>
      </c>
      <c r="R126" s="15">
        <f>VLOOKUP(MONTH(C126),'Datos Maestros'!M$2:N$14,2,FALSE)</f>
        <v>45536</v>
      </c>
      <c r="S126" s="11" t="str">
        <f>VLOOKUP(E126,Precios!B$2:W$941,3,FALSE)</f>
        <v>Queso Mantecoso</v>
      </c>
      <c r="T126" s="16">
        <f>VLOOKUP(E126,Precios!B$2:N$941,4,FALSE)*F126</f>
        <v>500</v>
      </c>
      <c r="U126" s="17"/>
      <c r="V126" s="12">
        <f>VLOOKUP(E126,Precios!B$2:N$941,13,FALSE)*F126</f>
        <v>1785.4242207798129</v>
      </c>
      <c r="W126" s="12">
        <f t="shared" si="4"/>
        <v>1785.4242207798129</v>
      </c>
      <c r="X126" s="12">
        <f>VLOOKUP(B126,'Datos Maestros'!$C$2:$D$7,2,FALSE)*V126</f>
        <v>0</v>
      </c>
      <c r="Y126" s="18">
        <f t="shared" si="5"/>
        <v>45908</v>
      </c>
      <c r="Z126" s="13" t="s">
        <v>39</v>
      </c>
      <c r="AA126" s="19" t="str">
        <f>VLOOKUP(D126,Clientes!$A$2:$J$486,9,FALSE)</f>
        <v>Ocacional</v>
      </c>
      <c r="AB126" s="13" t="str">
        <f>VLOOKUP(D126,Clientes!$A$2:$K$486,11,FALSE)</f>
        <v>Persona Natural</v>
      </c>
      <c r="AC126" s="13" t="str">
        <f>VLOOKUP(D126,Clientes!$A$2:$B$486,2,FALSE)</f>
        <v>El Domo</v>
      </c>
      <c r="AD126" s="20"/>
      <c r="AE126" s="20"/>
      <c r="AF126" s="13" t="s">
        <v>40</v>
      </c>
      <c r="AG126" s="15">
        <f t="shared" si="6"/>
        <v>45536</v>
      </c>
      <c r="AH126" s="13" t="s">
        <v>41</v>
      </c>
      <c r="AI126" s="13" t="str">
        <f t="shared" si="7"/>
        <v>Quesos</v>
      </c>
      <c r="AJ126" s="13" t="str">
        <f>VLOOKUP(E126,Precios!Z$2:AA$941,2,FALSE)</f>
        <v>Queso RUNCA Mantecoso</v>
      </c>
      <c r="AK126" s="14">
        <f>VLOOKUP(E126,Precios!Z$2:BB$941,3,FALSE)*F126</f>
        <v>-0.5</v>
      </c>
      <c r="AL126" s="17"/>
      <c r="AM126" s="17"/>
      <c r="AN126" s="17"/>
      <c r="AO126" s="17"/>
      <c r="AP126" s="17"/>
      <c r="AQ126" s="17"/>
      <c r="AR126" s="17"/>
      <c r="AS126" s="17"/>
      <c r="AT126" s="17"/>
      <c r="AU126" s="17"/>
      <c r="AV126" s="17"/>
    </row>
    <row r="127" spans="1:48" ht="15.75" customHeight="1">
      <c r="A127" s="21" t="s">
        <v>76</v>
      </c>
      <c r="B127" s="23" t="s">
        <v>1692</v>
      </c>
      <c r="C127" s="25">
        <v>45909</v>
      </c>
      <c r="D127" s="23" t="s">
        <v>152</v>
      </c>
      <c r="E127" s="23" t="s">
        <v>81</v>
      </c>
      <c r="F127" s="21">
        <v>1</v>
      </c>
      <c r="G127" s="12">
        <f>VLOOKUP(E127,Precios!B$2:N$941,12,FALSE)</f>
        <v>3500.0000000000005</v>
      </c>
      <c r="H127" s="12">
        <f t="shared" si="0"/>
        <v>3500.0000000000005</v>
      </c>
      <c r="I127" s="23" t="s">
        <v>52</v>
      </c>
      <c r="J127" s="23" t="s">
        <v>61</v>
      </c>
      <c r="K127" s="24" t="s">
        <v>177</v>
      </c>
      <c r="L127" s="11"/>
      <c r="M127" s="12">
        <f t="shared" ref="M127:N127" si="132">G127/1.19</f>
        <v>2941.1764705882356</v>
      </c>
      <c r="N127" s="12">
        <f t="shared" si="132"/>
        <v>2941.1764705882356</v>
      </c>
      <c r="O127" s="12">
        <f t="shared" si="2"/>
        <v>558.82352941176487</v>
      </c>
      <c r="P127" s="13"/>
      <c r="Q127" s="14">
        <f t="shared" si="3"/>
        <v>2025</v>
      </c>
      <c r="R127" s="15">
        <f>VLOOKUP(MONTH(C127),'Datos Maestros'!M$2:N$14,2,FALSE)</f>
        <v>45536</v>
      </c>
      <c r="S127" s="11" t="str">
        <f>VLOOKUP(E127,Precios!B$2:W$941,3,FALSE)</f>
        <v>Detergente Premium</v>
      </c>
      <c r="T127" s="16">
        <f>VLOOKUP(E127,Precios!B$2:N$941,4,FALSE)*F127</f>
        <v>5</v>
      </c>
      <c r="U127" s="17"/>
      <c r="V127" s="12">
        <f>VLOOKUP(E127,Precios!B$2:N$941,13,FALSE)*F127</f>
        <v>764.70588235294144</v>
      </c>
      <c r="W127" s="12">
        <f t="shared" si="4"/>
        <v>764.70588235294144</v>
      </c>
      <c r="X127" s="12">
        <f>VLOOKUP(B127,'Datos Maestros'!$C$2:$D$7,2,FALSE)*V127</f>
        <v>0</v>
      </c>
      <c r="Y127" s="18">
        <f t="shared" si="5"/>
        <v>45908</v>
      </c>
      <c r="Z127" s="13" t="s">
        <v>39</v>
      </c>
      <c r="AA127" s="19" t="str">
        <f>VLOOKUP(D127,Clientes!$A$2:$J$486,9,FALSE)</f>
        <v>Ocacional</v>
      </c>
      <c r="AB127" s="13" t="str">
        <f>VLOOKUP(D127,Clientes!$A$2:$K$486,11,FALSE)</f>
        <v>Persona Natural</v>
      </c>
      <c r="AC127" s="13" t="str">
        <f>VLOOKUP(D127,Clientes!$A$2:$B$486,2,FALSE)</f>
        <v>Jardines de la viña</v>
      </c>
      <c r="AD127" s="20"/>
      <c r="AE127" s="20"/>
      <c r="AF127" s="13" t="s">
        <v>40</v>
      </c>
      <c r="AG127" s="15">
        <f t="shared" si="6"/>
        <v>45536</v>
      </c>
      <c r="AH127" s="13" t="s">
        <v>41</v>
      </c>
      <c r="AI127" s="13" t="str">
        <f t="shared" si="7"/>
        <v>Detergentes</v>
      </c>
      <c r="AJ127" s="13" t="str">
        <f>VLOOKUP(E127,Precios!Z$2:AA$941,2,FALSE)</f>
        <v>Detergente SPUM 5 Litros (Verde)</v>
      </c>
      <c r="AK127" s="14">
        <f>VLOOKUP(E127,Precios!Z$2:BB$941,3,FALSE)*F127</f>
        <v>-1</v>
      </c>
      <c r="AL127" s="17"/>
      <c r="AM127" s="17"/>
      <c r="AN127" s="17"/>
      <c r="AO127" s="17"/>
      <c r="AP127" s="17"/>
      <c r="AQ127" s="17"/>
      <c r="AR127" s="17"/>
      <c r="AS127" s="17"/>
      <c r="AT127" s="17"/>
      <c r="AU127" s="17"/>
      <c r="AV127" s="17"/>
    </row>
    <row r="128" spans="1:48" ht="15.75" customHeight="1">
      <c r="A128" s="21" t="s">
        <v>53</v>
      </c>
      <c r="B128" s="23" t="s">
        <v>1692</v>
      </c>
      <c r="C128" s="25">
        <v>45909</v>
      </c>
      <c r="D128" s="23" t="s">
        <v>915</v>
      </c>
      <c r="E128" s="23" t="s">
        <v>109</v>
      </c>
      <c r="F128" s="21">
        <v>1</v>
      </c>
      <c r="G128" s="12">
        <f>VLOOKUP(E128,Precios!B$2:N$941,12,FALSE)</f>
        <v>10000</v>
      </c>
      <c r="H128" s="12">
        <f t="shared" si="0"/>
        <v>10000</v>
      </c>
      <c r="I128" s="23" t="s">
        <v>52</v>
      </c>
      <c r="J128" s="13" t="s">
        <v>38</v>
      </c>
      <c r="K128" s="24" t="s">
        <v>177</v>
      </c>
      <c r="L128" s="11"/>
      <c r="M128" s="12">
        <f t="shared" ref="M128:N128" si="133">G128/1.19</f>
        <v>8403.361344537816</v>
      </c>
      <c r="N128" s="12">
        <f t="shared" si="133"/>
        <v>8403.361344537816</v>
      </c>
      <c r="O128" s="12">
        <f t="shared" si="2"/>
        <v>1596.638655462184</v>
      </c>
      <c r="P128" s="13"/>
      <c r="Q128" s="14">
        <f t="shared" si="3"/>
        <v>2025</v>
      </c>
      <c r="R128" s="15">
        <f>VLOOKUP(MONTH(C128),'Datos Maestros'!M$2:N$14,2,FALSE)</f>
        <v>45536</v>
      </c>
      <c r="S128" s="11" t="str">
        <f>VLOOKUP(E128,Precios!B$2:W$941,3,FALSE)</f>
        <v>Toalla Jumbo D/H</v>
      </c>
      <c r="T128" s="16">
        <f>VLOOKUP(E128,Precios!B$2:N$941,4,FALSE)*F128</f>
        <v>400</v>
      </c>
      <c r="U128" s="17"/>
      <c r="V128" s="12">
        <f>VLOOKUP(E128,Precios!B$2:N$941,13,FALSE)*F128</f>
        <v>2100.8403361344544</v>
      </c>
      <c r="W128" s="12">
        <f t="shared" si="4"/>
        <v>2100.8403361344544</v>
      </c>
      <c r="X128" s="12">
        <f>VLOOKUP(B128,'Datos Maestros'!$C$2:$D$7,2,FALSE)*V128</f>
        <v>0</v>
      </c>
      <c r="Y128" s="18">
        <f t="shared" si="5"/>
        <v>45908</v>
      </c>
      <c r="Z128" s="13" t="s">
        <v>39</v>
      </c>
      <c r="AA128" s="19" t="str">
        <f>VLOOKUP(D128,Clientes!$A$2:$J$486,9,FALSE)</f>
        <v>Regular</v>
      </c>
      <c r="AB128" s="13" t="str">
        <f>VLOOKUP(D128,Clientes!$A$2:$K$486,11,FALSE)</f>
        <v>Persona Natural</v>
      </c>
      <c r="AC128" s="13" t="str">
        <f>VLOOKUP(D128,Clientes!$A$2:$B$486,2,FALSE)</f>
        <v>Jardin del Eden</v>
      </c>
      <c r="AD128" s="20"/>
      <c r="AE128" s="20"/>
      <c r="AF128" s="13" t="s">
        <v>40</v>
      </c>
      <c r="AG128" s="15">
        <f t="shared" si="6"/>
        <v>45536</v>
      </c>
      <c r="AH128" s="13" t="s">
        <v>41</v>
      </c>
      <c r="AI128" s="13" t="str">
        <f t="shared" si="7"/>
        <v>Papeleria</v>
      </c>
      <c r="AJ128" s="13" t="str">
        <f>VLOOKUP(E128,Precios!Z$2:AA$941,2,FALSE)</f>
        <v>Toalla Papel SPUM D/H 100 metros</v>
      </c>
      <c r="AK128" s="14">
        <f>VLOOKUP(E128,Precios!Z$2:BB$941,3,FALSE)*F128</f>
        <v>-4</v>
      </c>
      <c r="AL128" s="17"/>
      <c r="AM128" s="17"/>
      <c r="AN128" s="17"/>
      <c r="AO128" s="17"/>
      <c r="AP128" s="17"/>
      <c r="AQ128" s="17"/>
      <c r="AR128" s="17"/>
      <c r="AS128" s="17"/>
      <c r="AT128" s="17"/>
      <c r="AU128" s="17"/>
      <c r="AV128" s="17"/>
    </row>
    <row r="129" spans="1:48" ht="15.75" customHeight="1">
      <c r="A129" s="21" t="s">
        <v>76</v>
      </c>
      <c r="B129" s="23" t="s">
        <v>1692</v>
      </c>
      <c r="C129" s="25">
        <v>45909</v>
      </c>
      <c r="D129" s="23" t="s">
        <v>915</v>
      </c>
      <c r="E129" s="23" t="s">
        <v>137</v>
      </c>
      <c r="F129" s="21">
        <v>1</v>
      </c>
      <c r="G129" s="12">
        <f>VLOOKUP(E129,Precios!B$2:N$941,12,FALSE)</f>
        <v>3500.0000000000005</v>
      </c>
      <c r="H129" s="12">
        <f t="shared" si="0"/>
        <v>3500.0000000000005</v>
      </c>
      <c r="I129" s="23" t="s">
        <v>52</v>
      </c>
      <c r="J129" s="13" t="s">
        <v>38</v>
      </c>
      <c r="K129" s="24" t="s">
        <v>177</v>
      </c>
      <c r="L129" s="11"/>
      <c r="M129" s="12">
        <f t="shared" ref="M129:N129" si="134">G129/1.19</f>
        <v>2941.1764705882356</v>
      </c>
      <c r="N129" s="12">
        <f t="shared" si="134"/>
        <v>2941.1764705882356</v>
      </c>
      <c r="O129" s="12">
        <f t="shared" si="2"/>
        <v>558.82352941176487</v>
      </c>
      <c r="P129" s="13"/>
      <c r="Q129" s="14">
        <f t="shared" si="3"/>
        <v>2025</v>
      </c>
      <c r="R129" s="15">
        <f>VLOOKUP(MONTH(C129),'Datos Maestros'!M$2:N$14,2,FALSE)</f>
        <v>45536</v>
      </c>
      <c r="S129" s="11" t="str">
        <f>VLOOKUP(E129,Precios!B$2:W$941,3,FALSE)</f>
        <v>Detergente Piel Sensible</v>
      </c>
      <c r="T129" s="16">
        <f>VLOOKUP(E129,Precios!B$2:N$941,4,FALSE)*F129</f>
        <v>5</v>
      </c>
      <c r="U129" s="17"/>
      <c r="V129" s="12">
        <f>VLOOKUP(E129,Precios!B$2:N$941,13,FALSE)*F129</f>
        <v>848.73949579831969</v>
      </c>
      <c r="W129" s="12">
        <f t="shared" si="4"/>
        <v>848.73949579831969</v>
      </c>
      <c r="X129" s="12">
        <f>VLOOKUP(B129,'Datos Maestros'!$C$2:$D$7,2,FALSE)*V129</f>
        <v>0</v>
      </c>
      <c r="Y129" s="18">
        <f t="shared" si="5"/>
        <v>45908</v>
      </c>
      <c r="Z129" s="13" t="s">
        <v>39</v>
      </c>
      <c r="AA129" s="19" t="str">
        <f>VLOOKUP(D129,Clientes!$A$2:$J$486,9,FALSE)</f>
        <v>Regular</v>
      </c>
      <c r="AB129" s="13" t="str">
        <f>VLOOKUP(D129,Clientes!$A$2:$K$486,11,FALSE)</f>
        <v>Persona Natural</v>
      </c>
      <c r="AC129" s="13" t="str">
        <f>VLOOKUP(D129,Clientes!$A$2:$B$486,2,FALSE)</f>
        <v>Jardin del Eden</v>
      </c>
      <c r="AD129" s="20"/>
      <c r="AE129" s="20"/>
      <c r="AF129" s="13" t="s">
        <v>40</v>
      </c>
      <c r="AG129" s="15">
        <f t="shared" si="6"/>
        <v>45536</v>
      </c>
      <c r="AH129" s="13" t="s">
        <v>41</v>
      </c>
      <c r="AI129" s="13" t="str">
        <f t="shared" si="7"/>
        <v>Detergentes</v>
      </c>
      <c r="AJ129" s="13" t="str">
        <f>VLOOKUP(E129,Precios!Z$2:AA$941,2,FALSE)</f>
        <v>Detergente SPUM 5 Litros (Blanco)</v>
      </c>
      <c r="AK129" s="14">
        <f>VLOOKUP(E129,Precios!Z$2:BB$941,3,FALSE)*F129</f>
        <v>-1</v>
      </c>
      <c r="AL129" s="17"/>
      <c r="AM129" s="17"/>
      <c r="AN129" s="17"/>
      <c r="AO129" s="17"/>
      <c r="AP129" s="17"/>
      <c r="AQ129" s="17"/>
      <c r="AR129" s="17"/>
      <c r="AS129" s="17"/>
      <c r="AT129" s="17"/>
      <c r="AU129" s="17"/>
      <c r="AV129" s="17"/>
    </row>
    <row r="130" spans="1:48" ht="15.75" customHeight="1">
      <c r="A130" s="21" t="s">
        <v>76</v>
      </c>
      <c r="B130" s="23" t="s">
        <v>1692</v>
      </c>
      <c r="C130" s="25">
        <v>45909</v>
      </c>
      <c r="D130" s="23" t="s">
        <v>915</v>
      </c>
      <c r="E130" s="23" t="s">
        <v>81</v>
      </c>
      <c r="F130" s="21">
        <v>2</v>
      </c>
      <c r="G130" s="12">
        <f>VLOOKUP(E130,Precios!B$2:N$941,12,FALSE)</f>
        <v>3500.0000000000005</v>
      </c>
      <c r="H130" s="12">
        <f t="shared" si="0"/>
        <v>7000.0000000000009</v>
      </c>
      <c r="I130" s="23" t="s">
        <v>52</v>
      </c>
      <c r="J130" s="13" t="s">
        <v>38</v>
      </c>
      <c r="K130" s="24" t="s">
        <v>177</v>
      </c>
      <c r="L130" s="11"/>
      <c r="M130" s="12">
        <f t="shared" ref="M130:N130" si="135">G130/1.19</f>
        <v>2941.1764705882356</v>
      </c>
      <c r="N130" s="12">
        <f t="shared" si="135"/>
        <v>5882.3529411764712</v>
      </c>
      <c r="O130" s="12">
        <f t="shared" si="2"/>
        <v>1117.6470588235297</v>
      </c>
      <c r="P130" s="13"/>
      <c r="Q130" s="14">
        <f t="shared" si="3"/>
        <v>2025</v>
      </c>
      <c r="R130" s="15">
        <f>VLOOKUP(MONTH(C130),'Datos Maestros'!M$2:N$14,2,FALSE)</f>
        <v>45536</v>
      </c>
      <c r="S130" s="11" t="str">
        <f>VLOOKUP(E130,Precios!B$2:W$941,3,FALSE)</f>
        <v>Detergente Premium</v>
      </c>
      <c r="T130" s="16">
        <f>VLOOKUP(E130,Precios!B$2:N$941,4,FALSE)*F130</f>
        <v>10</v>
      </c>
      <c r="U130" s="17"/>
      <c r="V130" s="12">
        <f>VLOOKUP(E130,Precios!B$2:N$941,13,FALSE)*F130</f>
        <v>1529.4117647058829</v>
      </c>
      <c r="W130" s="12">
        <f t="shared" si="4"/>
        <v>1529.4117647058829</v>
      </c>
      <c r="X130" s="12">
        <f>VLOOKUP(B130,'Datos Maestros'!$C$2:$D$7,2,FALSE)*V130</f>
        <v>0</v>
      </c>
      <c r="Y130" s="18">
        <f t="shared" si="5"/>
        <v>45908</v>
      </c>
      <c r="Z130" s="13" t="s">
        <v>39</v>
      </c>
      <c r="AA130" s="19" t="str">
        <f>VLOOKUP(D130,Clientes!$A$2:$J$486,9,FALSE)</f>
        <v>Regular</v>
      </c>
      <c r="AB130" s="13" t="str">
        <f>VLOOKUP(D130,Clientes!$A$2:$K$486,11,FALSE)</f>
        <v>Persona Natural</v>
      </c>
      <c r="AC130" s="13" t="str">
        <f>VLOOKUP(D130,Clientes!$A$2:$B$486,2,FALSE)</f>
        <v>Jardin del Eden</v>
      </c>
      <c r="AD130" s="20"/>
      <c r="AE130" s="20"/>
      <c r="AF130" s="13" t="s">
        <v>40</v>
      </c>
      <c r="AG130" s="15">
        <f t="shared" si="6"/>
        <v>45536</v>
      </c>
      <c r="AH130" s="13" t="s">
        <v>41</v>
      </c>
      <c r="AI130" s="13" t="str">
        <f t="shared" si="7"/>
        <v>Detergentes</v>
      </c>
      <c r="AJ130" s="13" t="str">
        <f>VLOOKUP(E130,Precios!Z$2:AA$941,2,FALSE)</f>
        <v>Detergente SPUM 5 Litros (Verde)</v>
      </c>
      <c r="AK130" s="14">
        <f>VLOOKUP(E130,Precios!Z$2:BB$941,3,FALSE)*F130</f>
        <v>-2</v>
      </c>
      <c r="AL130" s="17"/>
      <c r="AM130" s="17"/>
      <c r="AN130" s="17"/>
      <c r="AO130" s="17"/>
      <c r="AP130" s="17"/>
      <c r="AQ130" s="17"/>
      <c r="AR130" s="17"/>
      <c r="AS130" s="17"/>
      <c r="AT130" s="17"/>
      <c r="AU130" s="17"/>
      <c r="AV130" s="17"/>
    </row>
    <row r="131" spans="1:48" ht="15.75" customHeight="1">
      <c r="A131" s="21" t="s">
        <v>47</v>
      </c>
      <c r="B131" s="23" t="s">
        <v>1692</v>
      </c>
      <c r="C131" s="25">
        <v>45909</v>
      </c>
      <c r="D131" s="23" t="s">
        <v>915</v>
      </c>
      <c r="E131" s="23" t="s">
        <v>92</v>
      </c>
      <c r="F131" s="21">
        <v>1</v>
      </c>
      <c r="G131" s="12">
        <f>VLOOKUP(E131,Precios!B$2:N$941,12,FALSE)</f>
        <v>3400.2970989164628</v>
      </c>
      <c r="H131" s="12">
        <f t="shared" si="0"/>
        <v>3400.2970989164628</v>
      </c>
      <c r="I131" s="23" t="s">
        <v>52</v>
      </c>
      <c r="J131" s="13" t="s">
        <v>38</v>
      </c>
      <c r="K131" s="24" t="s">
        <v>177</v>
      </c>
      <c r="L131" s="11"/>
      <c r="M131" s="12">
        <f t="shared" ref="M131:N131" si="136">G131/1.19</f>
        <v>2857.3925200978679</v>
      </c>
      <c r="N131" s="12">
        <f t="shared" si="136"/>
        <v>2857.3925200978679</v>
      </c>
      <c r="O131" s="12">
        <f t="shared" si="2"/>
        <v>542.90457881859493</v>
      </c>
      <c r="P131" s="13"/>
      <c r="Q131" s="14">
        <f t="shared" si="3"/>
        <v>2025</v>
      </c>
      <c r="R131" s="15">
        <f>VLOOKUP(MONTH(C131),'Datos Maestros'!M$2:N$14,2,FALSE)</f>
        <v>45536</v>
      </c>
      <c r="S131" s="11" t="str">
        <f>VLOOKUP(E131,Precios!B$2:W$941,3,FALSE)</f>
        <v>Bolsa Basura</v>
      </c>
      <c r="T131" s="16">
        <f>VLOOKUP(E131,Precios!B$2:N$941,4,FALSE)*F131</f>
        <v>0</v>
      </c>
      <c r="U131" s="17"/>
      <c r="V131" s="12">
        <f>VLOOKUP(E131,Precios!B$2:N$941,13,FALSE)*F131</f>
        <v>1222.3925200978679</v>
      </c>
      <c r="W131" s="12">
        <f t="shared" si="4"/>
        <v>1222.3925200978679</v>
      </c>
      <c r="X131" s="12">
        <f>VLOOKUP(B131,'Datos Maestros'!$C$2:$D$7,2,FALSE)*V131</f>
        <v>0</v>
      </c>
      <c r="Y131" s="18">
        <f t="shared" si="5"/>
        <v>45908</v>
      </c>
      <c r="Z131" s="13" t="s">
        <v>39</v>
      </c>
      <c r="AA131" s="19" t="str">
        <f>VLOOKUP(D131,Clientes!$A$2:$J$486,9,FALSE)</f>
        <v>Regular</v>
      </c>
      <c r="AB131" s="13" t="str">
        <f>VLOOKUP(D131,Clientes!$A$2:$K$486,11,FALSE)</f>
        <v>Persona Natural</v>
      </c>
      <c r="AC131" s="13" t="str">
        <f>VLOOKUP(D131,Clientes!$A$2:$B$486,2,FALSE)</f>
        <v>Jardin del Eden</v>
      </c>
      <c r="AD131" s="20"/>
      <c r="AE131" s="20"/>
      <c r="AF131" s="13" t="s">
        <v>40</v>
      </c>
      <c r="AG131" s="15">
        <f t="shared" si="6"/>
        <v>45536</v>
      </c>
      <c r="AH131" s="13" t="s">
        <v>41</v>
      </c>
      <c r="AI131" s="13" t="str">
        <f t="shared" si="7"/>
        <v>Articulos de Aseo</v>
      </c>
      <c r="AJ131" s="13" t="str">
        <f>VLOOKUP(E131,Precios!Z$2:AA$941,2,FALSE)</f>
        <v xml:space="preserve">Bolsas Basura TEDDY 70x90 </v>
      </c>
      <c r="AK131" s="14">
        <f>VLOOKUP(E131,Precios!Z$2:BB$941,3,FALSE)*F131</f>
        <v>-3</v>
      </c>
      <c r="AL131" s="17"/>
      <c r="AM131" s="17"/>
      <c r="AN131" s="17"/>
      <c r="AO131" s="17"/>
      <c r="AP131" s="17"/>
      <c r="AQ131" s="17"/>
      <c r="AR131" s="17"/>
      <c r="AS131" s="17"/>
      <c r="AT131" s="17"/>
      <c r="AU131" s="17"/>
      <c r="AV131" s="17"/>
    </row>
    <row r="132" spans="1:48" ht="15.75" customHeight="1">
      <c r="A132" s="21" t="s">
        <v>47</v>
      </c>
      <c r="B132" s="23" t="s">
        <v>1692</v>
      </c>
      <c r="C132" s="25">
        <v>45909</v>
      </c>
      <c r="D132" s="23" t="s">
        <v>915</v>
      </c>
      <c r="E132" s="23" t="s">
        <v>48</v>
      </c>
      <c r="F132" s="21">
        <v>1</v>
      </c>
      <c r="G132" s="12">
        <f>VLOOKUP(E132,Precios!B$2:N$941,12,FALSE)</f>
        <v>1000</v>
      </c>
      <c r="H132" s="12">
        <f t="shared" si="0"/>
        <v>1000</v>
      </c>
      <c r="I132" s="23" t="s">
        <v>52</v>
      </c>
      <c r="J132" s="13" t="s">
        <v>38</v>
      </c>
      <c r="K132" s="24" t="s">
        <v>177</v>
      </c>
      <c r="L132" s="11"/>
      <c r="M132" s="12">
        <f t="shared" ref="M132:N132" si="137">G132/1.19</f>
        <v>840.3361344537816</v>
      </c>
      <c r="N132" s="12">
        <f t="shared" si="137"/>
        <v>840.3361344537816</v>
      </c>
      <c r="O132" s="12">
        <f t="shared" si="2"/>
        <v>159.6638655462184</v>
      </c>
      <c r="P132" s="13"/>
      <c r="Q132" s="14">
        <f t="shared" si="3"/>
        <v>2025</v>
      </c>
      <c r="R132" s="15">
        <f>VLOOKUP(MONTH(C132),'Datos Maestros'!M$2:N$14,2,FALSE)</f>
        <v>45536</v>
      </c>
      <c r="S132" s="11" t="str">
        <f>VLOOKUP(E132,Precios!B$2:W$941,3,FALSE)</f>
        <v>Esponjas</v>
      </c>
      <c r="T132" s="16">
        <f>VLOOKUP(E132,Precios!B$2:N$941,4,FALSE)*F132</f>
        <v>0</v>
      </c>
      <c r="U132" s="17"/>
      <c r="V132" s="12">
        <f>VLOOKUP(E132,Precios!B$2:N$941,13,FALSE)*F132</f>
        <v>330.33613445378148</v>
      </c>
      <c r="W132" s="12">
        <f t="shared" si="4"/>
        <v>330.33613445378148</v>
      </c>
      <c r="X132" s="12">
        <f>VLOOKUP(B132,'Datos Maestros'!$C$2:$D$7,2,FALSE)*V132</f>
        <v>0</v>
      </c>
      <c r="Y132" s="18">
        <f t="shared" si="5"/>
        <v>45908</v>
      </c>
      <c r="Z132" s="13" t="s">
        <v>39</v>
      </c>
      <c r="AA132" s="19" t="str">
        <f>VLOOKUP(D132,Clientes!$A$2:$J$486,9,FALSE)</f>
        <v>Regular</v>
      </c>
      <c r="AB132" s="13" t="str">
        <f>VLOOKUP(D132,Clientes!$A$2:$K$486,11,FALSE)</f>
        <v>Persona Natural</v>
      </c>
      <c r="AC132" s="13" t="str">
        <f>VLOOKUP(D132,Clientes!$A$2:$B$486,2,FALSE)</f>
        <v>Jardin del Eden</v>
      </c>
      <c r="AD132" s="20"/>
      <c r="AE132" s="20"/>
      <c r="AF132" s="13" t="s">
        <v>40</v>
      </c>
      <c r="AG132" s="15">
        <f t="shared" si="6"/>
        <v>45536</v>
      </c>
      <c r="AH132" s="13" t="s">
        <v>41</v>
      </c>
      <c r="AI132" s="13" t="str">
        <f t="shared" si="7"/>
        <v>Articulos de Aseo</v>
      </c>
      <c r="AJ132" s="13" t="str">
        <f>VLOOKUP(E132,Precios!Z$2:AA$941,2,FALSE)</f>
        <v>Esponja Acanalada TEDDY</v>
      </c>
      <c r="AK132" s="14">
        <f>VLOOKUP(E132,Precios!Z$2:BB$941,3,FALSE)*F132</f>
        <v>-5</v>
      </c>
      <c r="AL132" s="17"/>
      <c r="AM132" s="17"/>
      <c r="AN132" s="17"/>
      <c r="AO132" s="17"/>
      <c r="AP132" s="17"/>
      <c r="AQ132" s="17"/>
      <c r="AR132" s="17"/>
      <c r="AS132" s="17"/>
      <c r="AT132" s="17"/>
      <c r="AU132" s="17"/>
      <c r="AV132" s="17"/>
    </row>
    <row r="133" spans="1:48" ht="15.75" customHeight="1">
      <c r="A133" s="21" t="s">
        <v>47</v>
      </c>
      <c r="B133" s="23" t="s">
        <v>1692</v>
      </c>
      <c r="C133" s="25">
        <v>45909</v>
      </c>
      <c r="D133" s="23" t="s">
        <v>915</v>
      </c>
      <c r="E133" s="23" t="s">
        <v>49</v>
      </c>
      <c r="F133" s="21">
        <v>1</v>
      </c>
      <c r="G133" s="12">
        <f>VLOOKUP(E133,Precios!B$2:N$941,12,FALSE)</f>
        <v>4500.0000000000009</v>
      </c>
      <c r="H133" s="12">
        <f t="shared" si="0"/>
        <v>4500.0000000000009</v>
      </c>
      <c r="I133" s="23" t="s">
        <v>52</v>
      </c>
      <c r="J133" s="13" t="s">
        <v>38</v>
      </c>
      <c r="K133" s="24" t="s">
        <v>177</v>
      </c>
      <c r="L133" s="11"/>
      <c r="M133" s="12">
        <f t="shared" ref="M133:N133" si="138">G133/1.19</f>
        <v>3781.5126050420176</v>
      </c>
      <c r="N133" s="12">
        <f t="shared" si="138"/>
        <v>3781.5126050420176</v>
      </c>
      <c r="O133" s="12">
        <f t="shared" si="2"/>
        <v>718.48739495798327</v>
      </c>
      <c r="P133" s="13"/>
      <c r="Q133" s="14">
        <f t="shared" si="3"/>
        <v>2025</v>
      </c>
      <c r="R133" s="15">
        <f>VLOOKUP(MONTH(C133),'Datos Maestros'!M$2:N$14,2,FALSE)</f>
        <v>45536</v>
      </c>
      <c r="S133" s="11" t="str">
        <f>VLOOKUP(E133,Precios!B$2:W$941,3,FALSE)</f>
        <v>Jabon Liquido</v>
      </c>
      <c r="T133" s="16">
        <f>VLOOKUP(E133,Precios!B$2:N$941,4,FALSE)*F133</f>
        <v>0</v>
      </c>
      <c r="U133" s="17"/>
      <c r="V133" s="12">
        <f>VLOOKUP(E133,Precios!B$2:N$941,13,FALSE)*F133</f>
        <v>988.23529411764775</v>
      </c>
      <c r="W133" s="12">
        <f t="shared" si="4"/>
        <v>988.23529411764775</v>
      </c>
      <c r="X133" s="12">
        <f>VLOOKUP(B133,'Datos Maestros'!$C$2:$D$7,2,FALSE)*V133</f>
        <v>0</v>
      </c>
      <c r="Y133" s="18">
        <f t="shared" si="5"/>
        <v>45908</v>
      </c>
      <c r="Z133" s="13" t="s">
        <v>39</v>
      </c>
      <c r="AA133" s="19" t="str">
        <f>VLOOKUP(D133,Clientes!$A$2:$J$486,9,FALSE)</f>
        <v>Regular</v>
      </c>
      <c r="AB133" s="13" t="str">
        <f>VLOOKUP(D133,Clientes!$A$2:$K$486,11,FALSE)</f>
        <v>Persona Natural</v>
      </c>
      <c r="AC133" s="13" t="str">
        <f>VLOOKUP(D133,Clientes!$A$2:$B$486,2,FALSE)</f>
        <v>Jardin del Eden</v>
      </c>
      <c r="AD133" s="20"/>
      <c r="AE133" s="20"/>
      <c r="AF133" s="13" t="s">
        <v>40</v>
      </c>
      <c r="AG133" s="15">
        <f t="shared" si="6"/>
        <v>45536</v>
      </c>
      <c r="AH133" s="13" t="s">
        <v>41</v>
      </c>
      <c r="AI133" s="13" t="str">
        <f t="shared" si="7"/>
        <v>Articulos de Aseo</v>
      </c>
      <c r="AJ133" s="13" t="str">
        <f>VLOOKUP(E133,Precios!Z$2:AA$941,2,FALSE)</f>
        <v>Jabón Lìquido BALLERINA</v>
      </c>
      <c r="AK133" s="14">
        <f>VLOOKUP(E133,Precios!Z$2:BB$941,3,FALSE)*F133</f>
        <v>-3</v>
      </c>
      <c r="AL133" s="17"/>
      <c r="AM133" s="17"/>
      <c r="AN133" s="17"/>
      <c r="AO133" s="17"/>
      <c r="AP133" s="17"/>
      <c r="AQ133" s="17"/>
      <c r="AR133" s="17"/>
      <c r="AS133" s="17"/>
      <c r="AT133" s="17"/>
      <c r="AU133" s="17"/>
      <c r="AV133" s="17"/>
    </row>
    <row r="134" spans="1:48" ht="15.75" customHeight="1">
      <c r="A134" s="21" t="s">
        <v>47</v>
      </c>
      <c r="B134" s="23" t="s">
        <v>1692</v>
      </c>
      <c r="C134" s="25">
        <v>45909</v>
      </c>
      <c r="D134" s="23" t="s">
        <v>915</v>
      </c>
      <c r="E134" s="23" t="s">
        <v>153</v>
      </c>
      <c r="F134" s="21">
        <v>1</v>
      </c>
      <c r="G134" s="12">
        <f>VLOOKUP(E134,Precios!B$2:N$941,12,FALSE)</f>
        <v>1900.0533862111042</v>
      </c>
      <c r="H134" s="12">
        <f t="shared" si="0"/>
        <v>1900.0533862111042</v>
      </c>
      <c r="I134" s="23" t="s">
        <v>52</v>
      </c>
      <c r="J134" s="13" t="s">
        <v>38</v>
      </c>
      <c r="K134" s="24" t="s">
        <v>177</v>
      </c>
      <c r="L134" s="11"/>
      <c r="M134" s="12">
        <f t="shared" ref="M134:N134" si="139">G134/1.19</f>
        <v>1596.6835178244573</v>
      </c>
      <c r="N134" s="12">
        <f t="shared" si="139"/>
        <v>1596.6835178244573</v>
      </c>
      <c r="O134" s="12">
        <f t="shared" si="2"/>
        <v>303.36986838664689</v>
      </c>
      <c r="P134" s="13"/>
      <c r="Q134" s="14">
        <f t="shared" si="3"/>
        <v>2025</v>
      </c>
      <c r="R134" s="15">
        <f>VLOOKUP(MONTH(C134),'Datos Maestros'!M$2:N$14,2,FALSE)</f>
        <v>45536</v>
      </c>
      <c r="S134" s="11" t="str">
        <f>VLOOKUP(E134,Precios!B$2:W$941,3,FALSE)</f>
        <v>Escobillon</v>
      </c>
      <c r="T134" s="16">
        <f>VLOOKUP(E134,Precios!B$2:N$941,4,FALSE)*F134</f>
        <v>0</v>
      </c>
      <c r="U134" s="17"/>
      <c r="V134" s="12">
        <f>VLOOKUP(E134,Precios!B$2:N$941,13,FALSE)*F134</f>
        <v>680.74601782445734</v>
      </c>
      <c r="W134" s="12">
        <f t="shared" si="4"/>
        <v>680.74601782445734</v>
      </c>
      <c r="X134" s="12">
        <f>VLOOKUP(B134,'Datos Maestros'!$C$2:$D$7,2,FALSE)*V134</f>
        <v>0</v>
      </c>
      <c r="Y134" s="18">
        <f t="shared" si="5"/>
        <v>45908</v>
      </c>
      <c r="Z134" s="13" t="s">
        <v>39</v>
      </c>
      <c r="AA134" s="19" t="str">
        <f>VLOOKUP(D134,Clientes!$A$2:$J$486,9,FALSE)</f>
        <v>Regular</v>
      </c>
      <c r="AB134" s="13" t="str">
        <f>VLOOKUP(D134,Clientes!$A$2:$K$486,11,FALSE)</f>
        <v>Persona Natural</v>
      </c>
      <c r="AC134" s="13" t="str">
        <f>VLOOKUP(D134,Clientes!$A$2:$B$486,2,FALSE)</f>
        <v>Jardin del Eden</v>
      </c>
      <c r="AD134" s="20"/>
      <c r="AE134" s="20"/>
      <c r="AF134" s="13" t="s">
        <v>40</v>
      </c>
      <c r="AG134" s="15">
        <f t="shared" si="6"/>
        <v>45536</v>
      </c>
      <c r="AH134" s="13" t="s">
        <v>41</v>
      </c>
      <c r="AI134" s="13" t="str">
        <f t="shared" si="7"/>
        <v>Articulos de Aseo</v>
      </c>
      <c r="AJ134" s="13" t="str">
        <f>VLOOKUP(E134,Precios!Z$2:AA$941,2,FALSE)</f>
        <v>Escobillon TEDDY</v>
      </c>
      <c r="AK134" s="14">
        <f>VLOOKUP(E134,Precios!Z$2:BB$941,3,FALSE)*F134</f>
        <v>-1</v>
      </c>
      <c r="AL134" s="17"/>
      <c r="AM134" s="17"/>
      <c r="AN134" s="17"/>
      <c r="AO134" s="17"/>
      <c r="AP134" s="17"/>
      <c r="AQ134" s="17"/>
      <c r="AR134" s="17"/>
      <c r="AS134" s="17"/>
      <c r="AT134" s="17"/>
      <c r="AU134" s="17"/>
      <c r="AV134" s="17"/>
    </row>
    <row r="135" spans="1:48" ht="15.75" customHeight="1">
      <c r="A135" s="21" t="s">
        <v>76</v>
      </c>
      <c r="B135" s="23" t="s">
        <v>1692</v>
      </c>
      <c r="C135" s="25">
        <v>45909</v>
      </c>
      <c r="D135" s="23" t="s">
        <v>915</v>
      </c>
      <c r="E135" s="23" t="s">
        <v>77</v>
      </c>
      <c r="F135" s="21">
        <v>1</v>
      </c>
      <c r="G135" s="12">
        <f>VLOOKUP(E135,Precios!B$2:N$941,12,FALSE)</f>
        <v>1700.1361470388019</v>
      </c>
      <c r="H135" s="12">
        <f t="shared" si="0"/>
        <v>1700.1361470388019</v>
      </c>
      <c r="I135" s="23" t="s">
        <v>52</v>
      </c>
      <c r="J135" s="13" t="s">
        <v>38</v>
      </c>
      <c r="K135" s="24" t="s">
        <v>177</v>
      </c>
      <c r="L135" s="11"/>
      <c r="M135" s="12">
        <f t="shared" ref="M135:N135" si="140">G135/1.19</f>
        <v>1428.6858378477327</v>
      </c>
      <c r="N135" s="12">
        <f t="shared" si="140"/>
        <v>1428.6858378477327</v>
      </c>
      <c r="O135" s="12">
        <f t="shared" si="2"/>
        <v>271.45030919106921</v>
      </c>
      <c r="P135" s="13"/>
      <c r="Q135" s="14">
        <f t="shared" si="3"/>
        <v>2025</v>
      </c>
      <c r="R135" s="15">
        <f>VLOOKUP(MONTH(C135),'Datos Maestros'!M$2:N$14,2,FALSE)</f>
        <v>45536</v>
      </c>
      <c r="S135" s="11" t="str">
        <f>VLOOKUP(E135,Precios!B$2:W$941,3,FALSE)</f>
        <v>Cloro Gel</v>
      </c>
      <c r="T135" s="16">
        <f>VLOOKUP(E135,Precios!B$2:N$941,4,FALSE)*F135</f>
        <v>0</v>
      </c>
      <c r="U135" s="17"/>
      <c r="V135" s="12">
        <f>VLOOKUP(E135,Precios!B$2:N$941,13,FALSE)*F135</f>
        <v>589.19003952840501</v>
      </c>
      <c r="W135" s="12">
        <f t="shared" si="4"/>
        <v>589.19003952840501</v>
      </c>
      <c r="X135" s="12">
        <f>VLOOKUP(B135,'Datos Maestros'!$C$2:$D$7,2,FALSE)*V135</f>
        <v>0</v>
      </c>
      <c r="Y135" s="18">
        <f t="shared" si="5"/>
        <v>45908</v>
      </c>
      <c r="Z135" s="13" t="s">
        <v>39</v>
      </c>
      <c r="AA135" s="19" t="str">
        <f>VLOOKUP(D135,Clientes!$A$2:$J$486,9,FALSE)</f>
        <v>Regular</v>
      </c>
      <c r="AB135" s="13" t="str">
        <f>VLOOKUP(D135,Clientes!$A$2:$K$486,11,FALSE)</f>
        <v>Persona Natural</v>
      </c>
      <c r="AC135" s="13" t="str">
        <f>VLOOKUP(D135,Clientes!$A$2:$B$486,2,FALSE)</f>
        <v>Jardin del Eden</v>
      </c>
      <c r="AD135" s="20"/>
      <c r="AE135" s="20"/>
      <c r="AF135" s="13" t="s">
        <v>40</v>
      </c>
      <c r="AG135" s="15">
        <f t="shared" si="6"/>
        <v>45536</v>
      </c>
      <c r="AH135" s="13" t="s">
        <v>41</v>
      </c>
      <c r="AI135" s="13" t="str">
        <f t="shared" si="7"/>
        <v>Detergentes</v>
      </c>
      <c r="AJ135" s="13" t="str">
        <f>VLOOKUP(E135,Precios!Z$2:AA$941,2,FALSE)</f>
        <v>Cloro GEL IGENIX 900ml</v>
      </c>
      <c r="AK135" s="14">
        <f>VLOOKUP(E135,Precios!Z$2:BB$941,3,FALSE)*F135</f>
        <v>-1</v>
      </c>
      <c r="AL135" s="17"/>
      <c r="AM135" s="17"/>
      <c r="AN135" s="17"/>
      <c r="AO135" s="17"/>
      <c r="AP135" s="17"/>
      <c r="AQ135" s="17"/>
      <c r="AR135" s="17"/>
      <c r="AS135" s="17"/>
      <c r="AT135" s="17"/>
      <c r="AU135" s="17"/>
      <c r="AV135" s="17"/>
    </row>
    <row r="136" spans="1:48" ht="15.75" customHeight="1">
      <c r="A136" s="21" t="s">
        <v>47</v>
      </c>
      <c r="B136" s="23" t="s">
        <v>1692</v>
      </c>
      <c r="C136" s="25">
        <v>45909</v>
      </c>
      <c r="D136" s="23" t="s">
        <v>915</v>
      </c>
      <c r="E136" s="23" t="s">
        <v>154</v>
      </c>
      <c r="F136" s="21">
        <v>1</v>
      </c>
      <c r="G136" s="12">
        <f>VLOOKUP(E136,Precios!B$2:N$941,12,FALSE)</f>
        <v>4000.0936329588012</v>
      </c>
      <c r="H136" s="12">
        <f t="shared" si="0"/>
        <v>4000.0936329588012</v>
      </c>
      <c r="I136" s="23" t="s">
        <v>52</v>
      </c>
      <c r="J136" s="13" t="s">
        <v>38</v>
      </c>
      <c r="K136" s="24" t="s">
        <v>177</v>
      </c>
      <c r="L136" s="11"/>
      <c r="M136" s="12">
        <f t="shared" ref="M136:N136" si="141">G136/1.19</f>
        <v>3361.4232209737825</v>
      </c>
      <c r="N136" s="12">
        <f t="shared" si="141"/>
        <v>3361.4232209737825</v>
      </c>
      <c r="O136" s="12">
        <f t="shared" si="2"/>
        <v>638.67041198501875</v>
      </c>
      <c r="P136" s="13"/>
      <c r="Q136" s="14">
        <f t="shared" si="3"/>
        <v>2025</v>
      </c>
      <c r="R136" s="15">
        <f>VLOOKUP(MONTH(C136),'Datos Maestros'!M$2:N$14,2,FALSE)</f>
        <v>45536</v>
      </c>
      <c r="S136" s="11" t="str">
        <f>VLOOKUP(E136,Precios!B$2:W$941,3,FALSE)</f>
        <v>Desinfectantes</v>
      </c>
      <c r="T136" s="16">
        <f>VLOOKUP(E136,Precios!B$2:N$941,4,FALSE)*F136</f>
        <v>0</v>
      </c>
      <c r="U136" s="17"/>
      <c r="V136" s="12">
        <f>VLOOKUP(E136,Precios!B$2:N$941,13,FALSE)*F136</f>
        <v>848.42322097378246</v>
      </c>
      <c r="W136" s="12">
        <f t="shared" si="4"/>
        <v>848.42322097378246</v>
      </c>
      <c r="X136" s="12">
        <f>VLOOKUP(B136,'Datos Maestros'!$C$2:$D$7,2,FALSE)*V136</f>
        <v>0</v>
      </c>
      <c r="Y136" s="18">
        <f t="shared" si="5"/>
        <v>45908</v>
      </c>
      <c r="Z136" s="13" t="s">
        <v>39</v>
      </c>
      <c r="AA136" s="19" t="str">
        <f>VLOOKUP(D136,Clientes!$A$2:$J$486,9,FALSE)</f>
        <v>Regular</v>
      </c>
      <c r="AB136" s="13" t="str">
        <f>VLOOKUP(D136,Clientes!$A$2:$K$486,11,FALSE)</f>
        <v>Persona Natural</v>
      </c>
      <c r="AC136" s="13" t="str">
        <f>VLOOKUP(D136,Clientes!$A$2:$B$486,2,FALSE)</f>
        <v>Jardin del Eden</v>
      </c>
      <c r="AD136" s="20"/>
      <c r="AE136" s="20"/>
      <c r="AF136" s="13" t="s">
        <v>40</v>
      </c>
      <c r="AG136" s="15">
        <f t="shared" si="6"/>
        <v>45536</v>
      </c>
      <c r="AH136" s="13" t="s">
        <v>41</v>
      </c>
      <c r="AI136" s="13" t="str">
        <f t="shared" si="7"/>
        <v>Articulos de Aseo</v>
      </c>
      <c r="AJ136" s="13" t="str">
        <f>VLOOKUP(E136,Precios!Z$2:AA$941,2,FALSE)</f>
        <v>Lysoform 360 cc</v>
      </c>
      <c r="AK136" s="14">
        <f>VLOOKUP(E136,Precios!Z$2:BB$941,3,FALSE)*F136</f>
        <v>-1</v>
      </c>
      <c r="AL136" s="17"/>
      <c r="AM136" s="17"/>
      <c r="AN136" s="17"/>
      <c r="AO136" s="17"/>
      <c r="AP136" s="17"/>
      <c r="AQ136" s="17"/>
      <c r="AR136" s="17"/>
      <c r="AS136" s="17"/>
      <c r="AT136" s="17"/>
      <c r="AU136" s="17"/>
      <c r="AV136" s="17"/>
    </row>
    <row r="137" spans="1:48" ht="15.75" customHeight="1">
      <c r="A137" s="21" t="s">
        <v>35</v>
      </c>
      <c r="B137" s="23" t="s">
        <v>1692</v>
      </c>
      <c r="C137" s="25">
        <v>45909</v>
      </c>
      <c r="D137" s="23" t="s">
        <v>142</v>
      </c>
      <c r="E137" s="23" t="s">
        <v>37</v>
      </c>
      <c r="F137" s="21">
        <v>2</v>
      </c>
      <c r="G137" s="12">
        <f>VLOOKUP(E137,Precios!B$2:N$941,12,FALSE)</f>
        <v>11000.014358944907</v>
      </c>
      <c r="H137" s="12">
        <f t="shared" si="0"/>
        <v>22000.028717889814</v>
      </c>
      <c r="I137" s="23" t="s">
        <v>52</v>
      </c>
      <c r="J137" s="23" t="s">
        <v>61</v>
      </c>
      <c r="K137" s="24" t="s">
        <v>177</v>
      </c>
      <c r="L137" s="11"/>
      <c r="M137" s="12">
        <f t="shared" ref="M137:N137" si="142">G137/1.19</f>
        <v>9243.7095453318543</v>
      </c>
      <c r="N137" s="12">
        <f t="shared" si="142"/>
        <v>18487.419090663709</v>
      </c>
      <c r="O137" s="12">
        <f t="shared" si="2"/>
        <v>3512.6096272261057</v>
      </c>
      <c r="P137" s="13"/>
      <c r="Q137" s="14">
        <f t="shared" si="3"/>
        <v>2025</v>
      </c>
      <c r="R137" s="15">
        <f>VLOOKUP(MONTH(C137),'Datos Maestros'!M$2:N$14,2,FALSE)</f>
        <v>45536</v>
      </c>
      <c r="S137" s="11" t="str">
        <f>VLOOKUP(E137,Precios!B$2:W$941,3,FALSE)</f>
        <v>Queso Mantecoso</v>
      </c>
      <c r="T137" s="16">
        <f>VLOOKUP(E137,Precios!B$2:N$941,4,FALSE)*F137</f>
        <v>2000</v>
      </c>
      <c r="U137" s="17"/>
      <c r="V137" s="12">
        <f>VLOOKUP(E137,Precios!B$2:N$941,13,FALSE)*F137</f>
        <v>5612.225813352783</v>
      </c>
      <c r="W137" s="12">
        <f t="shared" si="4"/>
        <v>5612.225813352783</v>
      </c>
      <c r="X137" s="12">
        <f>VLOOKUP(B137,'Datos Maestros'!$C$2:$D$7,2,FALSE)*V137</f>
        <v>0</v>
      </c>
      <c r="Y137" s="18">
        <f t="shared" si="5"/>
        <v>45908</v>
      </c>
      <c r="Z137" s="13" t="s">
        <v>39</v>
      </c>
      <c r="AA137" s="19" t="str">
        <f>VLOOKUP(D137,Clientes!$A$2:$J$486,9,FALSE)</f>
        <v>Frecuente</v>
      </c>
      <c r="AB137" s="13" t="str">
        <f>VLOOKUP(D137,Clientes!$A$2:$K$486,11,FALSE)</f>
        <v>Persona Natural</v>
      </c>
      <c r="AC137" s="13" t="str">
        <f>VLOOKUP(D137,Clientes!$A$2:$B$486,2,FALSE)</f>
        <v>Curso Amalia</v>
      </c>
      <c r="AD137" s="20"/>
      <c r="AE137" s="20"/>
      <c r="AF137" s="13" t="s">
        <v>40</v>
      </c>
      <c r="AG137" s="15">
        <f t="shared" si="6"/>
        <v>45536</v>
      </c>
      <c r="AH137" s="13" t="s">
        <v>41</v>
      </c>
      <c r="AI137" s="13" t="str">
        <f t="shared" si="7"/>
        <v>Quesos</v>
      </c>
      <c r="AJ137" s="13" t="str">
        <f>VLOOKUP(E137,Precios!Z$2:AA$941,2,FALSE)</f>
        <v>Queso RUNCA Mantecoso</v>
      </c>
      <c r="AK137" s="14">
        <f>VLOOKUP(E137,Precios!Z$2:BB$941,3,FALSE)*F137</f>
        <v>-2</v>
      </c>
      <c r="AL137" s="17"/>
      <c r="AM137" s="17"/>
      <c r="AN137" s="17"/>
      <c r="AO137" s="17"/>
      <c r="AP137" s="17"/>
      <c r="AQ137" s="17"/>
      <c r="AR137" s="17"/>
      <c r="AS137" s="17"/>
      <c r="AT137" s="17"/>
      <c r="AU137" s="17"/>
      <c r="AV137" s="17"/>
    </row>
    <row r="138" spans="1:48" ht="15.75" customHeight="1">
      <c r="A138" s="21" t="s">
        <v>43</v>
      </c>
      <c r="B138" s="23" t="s">
        <v>1692</v>
      </c>
      <c r="C138" s="25">
        <v>45909</v>
      </c>
      <c r="D138" s="23" t="s">
        <v>142</v>
      </c>
      <c r="E138" s="23" t="s">
        <v>45</v>
      </c>
      <c r="F138" s="21">
        <v>1</v>
      </c>
      <c r="G138" s="12">
        <f>VLOOKUP(E138,Precios!B$2:N$941,12,FALSE)</f>
        <v>8000.1831784723063</v>
      </c>
      <c r="H138" s="12">
        <f t="shared" si="0"/>
        <v>8000.1831784723063</v>
      </c>
      <c r="I138" s="23" t="s">
        <v>52</v>
      </c>
      <c r="J138" s="23" t="s">
        <v>61</v>
      </c>
      <c r="K138" s="24" t="s">
        <v>177</v>
      </c>
      <c r="L138" s="11"/>
      <c r="M138" s="12">
        <f t="shared" ref="M138:N138" si="143">G138/1.19</f>
        <v>6722.8430071195853</v>
      </c>
      <c r="N138" s="12">
        <f t="shared" si="143"/>
        <v>6722.8430071195853</v>
      </c>
      <c r="O138" s="12">
        <f t="shared" si="2"/>
        <v>1277.340171352721</v>
      </c>
      <c r="P138" s="13"/>
      <c r="Q138" s="14">
        <f t="shared" si="3"/>
        <v>2025</v>
      </c>
      <c r="R138" s="15">
        <f>VLOOKUP(MONTH(C138),'Datos Maestros'!M$2:N$14,2,FALSE)</f>
        <v>45536</v>
      </c>
      <c r="S138" s="11" t="str">
        <f>VLOOKUP(E138,Precios!B$2:W$941,3,FALSE)</f>
        <v>Huevos EXTRA</v>
      </c>
      <c r="T138" s="16">
        <f>VLOOKUP(E138,Precios!B$2:N$941,4,FALSE)*F138</f>
        <v>0</v>
      </c>
      <c r="U138" s="17"/>
      <c r="V138" s="12">
        <f>VLOOKUP(E138,Precios!B$2:N$941,13,FALSE)*F138</f>
        <v>1151.6230071195851</v>
      </c>
      <c r="W138" s="12">
        <f t="shared" si="4"/>
        <v>1151.6230071195851</v>
      </c>
      <c r="X138" s="12">
        <f>VLOOKUP(B138,'Datos Maestros'!$C$2:$D$7,2,FALSE)*V138</f>
        <v>0</v>
      </c>
      <c r="Y138" s="18">
        <f t="shared" si="5"/>
        <v>45908</v>
      </c>
      <c r="Z138" s="13" t="s">
        <v>39</v>
      </c>
      <c r="AA138" s="19" t="str">
        <f>VLOOKUP(D138,Clientes!$A$2:$J$486,9,FALSE)</f>
        <v>Frecuente</v>
      </c>
      <c r="AB138" s="13" t="str">
        <f>VLOOKUP(D138,Clientes!$A$2:$K$486,11,FALSE)</f>
        <v>Persona Natural</v>
      </c>
      <c r="AC138" s="13" t="str">
        <f>VLOOKUP(D138,Clientes!$A$2:$B$486,2,FALSE)</f>
        <v>Curso Amalia</v>
      </c>
      <c r="AD138" s="20"/>
      <c r="AE138" s="20"/>
      <c r="AF138" s="13" t="s">
        <v>40</v>
      </c>
      <c r="AG138" s="15">
        <f t="shared" si="6"/>
        <v>45536</v>
      </c>
      <c r="AH138" s="13" t="s">
        <v>41</v>
      </c>
      <c r="AI138" s="13" t="str">
        <f t="shared" si="7"/>
        <v>Huevos</v>
      </c>
      <c r="AJ138" s="13" t="str">
        <f>VLOOKUP(E138,Precios!Z$2:AA$941,2,FALSE)</f>
        <v>Bandeja Huevos EXTRA</v>
      </c>
      <c r="AK138" s="14">
        <f>VLOOKUP(E138,Precios!Z$2:BB$941,3,FALSE)*F138</f>
        <v>-1</v>
      </c>
      <c r="AL138" s="17"/>
      <c r="AM138" s="17"/>
      <c r="AN138" s="17"/>
      <c r="AO138" s="17"/>
      <c r="AP138" s="17"/>
      <c r="AQ138" s="17"/>
      <c r="AR138" s="17"/>
      <c r="AS138" s="17"/>
      <c r="AT138" s="17"/>
      <c r="AU138" s="17"/>
      <c r="AV138" s="17"/>
    </row>
    <row r="139" spans="1:48" ht="15.75" customHeight="1">
      <c r="A139" s="21" t="s">
        <v>47</v>
      </c>
      <c r="B139" s="23" t="s">
        <v>1692</v>
      </c>
      <c r="C139" s="25">
        <v>45909</v>
      </c>
      <c r="D139" s="23" t="s">
        <v>142</v>
      </c>
      <c r="E139" s="23" t="s">
        <v>89</v>
      </c>
      <c r="F139" s="21">
        <v>1</v>
      </c>
      <c r="G139" s="12">
        <f>VLOOKUP(E139,Precios!B$2:N$941,12,FALSE)</f>
        <v>1500.3973988439307</v>
      </c>
      <c r="H139" s="12">
        <f t="shared" si="0"/>
        <v>1500.3973988439307</v>
      </c>
      <c r="I139" s="23" t="s">
        <v>52</v>
      </c>
      <c r="J139" s="23" t="s">
        <v>61</v>
      </c>
      <c r="K139" s="24" t="s">
        <v>177</v>
      </c>
      <c r="L139" s="11"/>
      <c r="M139" s="12">
        <f t="shared" ref="M139:N139" si="144">G139/1.19</f>
        <v>1260.8381502890174</v>
      </c>
      <c r="N139" s="12">
        <f t="shared" si="144"/>
        <v>1260.8381502890174</v>
      </c>
      <c r="O139" s="12">
        <f t="shared" si="2"/>
        <v>239.55924855491321</v>
      </c>
      <c r="P139" s="13"/>
      <c r="Q139" s="14">
        <f t="shared" si="3"/>
        <v>2025</v>
      </c>
      <c r="R139" s="15">
        <f>VLOOKUP(MONTH(C139),'Datos Maestros'!M$2:N$14,2,FALSE)</f>
        <v>45536</v>
      </c>
      <c r="S139" s="11" t="str">
        <f>VLOOKUP(E139,Precios!B$2:W$941,3,FALSE)</f>
        <v>WC</v>
      </c>
      <c r="T139" s="16">
        <f>VLOOKUP(E139,Precios!B$2:N$941,4,FALSE)*F139</f>
        <v>0</v>
      </c>
      <c r="U139" s="17"/>
      <c r="V139" s="12">
        <f>VLOOKUP(E139,Precios!B$2:N$941,13,FALSE)*F139</f>
        <v>562.83815028901745</v>
      </c>
      <c r="W139" s="12">
        <f t="shared" si="4"/>
        <v>562.83815028901745</v>
      </c>
      <c r="X139" s="12">
        <f>VLOOKUP(B139,'Datos Maestros'!$C$2:$D$7,2,FALSE)*V139</f>
        <v>0</v>
      </c>
      <c r="Y139" s="18">
        <f t="shared" si="5"/>
        <v>45908</v>
      </c>
      <c r="Z139" s="13" t="s">
        <v>39</v>
      </c>
      <c r="AA139" s="19" t="str">
        <f>VLOOKUP(D139,Clientes!$A$2:$J$486,9,FALSE)</f>
        <v>Frecuente</v>
      </c>
      <c r="AB139" s="13" t="str">
        <f>VLOOKUP(D139,Clientes!$A$2:$K$486,11,FALSE)</f>
        <v>Persona Natural</v>
      </c>
      <c r="AC139" s="13" t="str">
        <f>VLOOKUP(D139,Clientes!$A$2:$B$486,2,FALSE)</f>
        <v>Curso Amalia</v>
      </c>
      <c r="AD139" s="20"/>
      <c r="AE139" s="20"/>
      <c r="AF139" s="13" t="s">
        <v>40</v>
      </c>
      <c r="AG139" s="15">
        <f t="shared" si="6"/>
        <v>45536</v>
      </c>
      <c r="AH139" s="13" t="s">
        <v>41</v>
      </c>
      <c r="AI139" s="13" t="str">
        <f t="shared" si="7"/>
        <v>Articulos de Aseo</v>
      </c>
      <c r="AJ139" s="13" t="str">
        <f>VLOOKUP(E139,Precios!Z$2:AA$941,2,FALSE)</f>
        <v>Pastilla para estanque WC</v>
      </c>
      <c r="AK139" s="14">
        <f>VLOOKUP(E139,Precios!Z$2:BB$941,3,FALSE)*F139</f>
        <v>-1</v>
      </c>
      <c r="AL139" s="17"/>
      <c r="AM139" s="17"/>
      <c r="AN139" s="17"/>
      <c r="AO139" s="17"/>
      <c r="AP139" s="17"/>
      <c r="AQ139" s="17"/>
      <c r="AR139" s="17"/>
      <c r="AS139" s="17"/>
      <c r="AT139" s="17"/>
      <c r="AU139" s="17"/>
      <c r="AV139" s="17"/>
    </row>
    <row r="140" spans="1:48" ht="15.75" customHeight="1">
      <c r="A140" s="21" t="s">
        <v>47</v>
      </c>
      <c r="B140" s="23" t="s">
        <v>1692</v>
      </c>
      <c r="C140" s="25">
        <v>45909</v>
      </c>
      <c r="D140" s="23" t="s">
        <v>142</v>
      </c>
      <c r="E140" s="23" t="s">
        <v>155</v>
      </c>
      <c r="F140" s="21">
        <v>1</v>
      </c>
      <c r="G140" s="12">
        <f>VLOOKUP(E140,Precios!B$2:N$941,12,FALSE)</f>
        <v>3400</v>
      </c>
      <c r="H140" s="12">
        <f t="shared" si="0"/>
        <v>3400</v>
      </c>
      <c r="I140" s="23" t="s">
        <v>52</v>
      </c>
      <c r="J140" s="23" t="s">
        <v>61</v>
      </c>
      <c r="K140" s="24" t="s">
        <v>177</v>
      </c>
      <c r="L140" s="11"/>
      <c r="M140" s="12">
        <f t="shared" ref="M140:N140" si="145">G140/1.19</f>
        <v>2857.1428571428573</v>
      </c>
      <c r="N140" s="12">
        <f t="shared" si="145"/>
        <v>2857.1428571428573</v>
      </c>
      <c r="O140" s="12">
        <f t="shared" si="2"/>
        <v>542.85714285714266</v>
      </c>
      <c r="P140" s="13"/>
      <c r="Q140" s="14">
        <f t="shared" si="3"/>
        <v>2025</v>
      </c>
      <c r="R140" s="15">
        <f>VLOOKUP(MONTH(C140),'Datos Maestros'!M$2:N$14,2,FALSE)</f>
        <v>45536</v>
      </c>
      <c r="S140" s="11" t="str">
        <f>VLOOKUP(E140,Precios!B$2:W$941,3,FALSE)</f>
        <v>Bolsa Basura</v>
      </c>
      <c r="T140" s="16">
        <f>VLOOKUP(E140,Precios!B$2:N$941,4,FALSE)*F140</f>
        <v>0</v>
      </c>
      <c r="U140" s="17"/>
      <c r="V140" s="12">
        <f>VLOOKUP(E140,Precios!B$2:N$941,13,FALSE)*F140</f>
        <v>1255.1428571428573</v>
      </c>
      <c r="W140" s="12">
        <f t="shared" si="4"/>
        <v>1255.1428571428573</v>
      </c>
      <c r="X140" s="12">
        <f>VLOOKUP(B140,'Datos Maestros'!$C$2:$D$7,2,FALSE)*V140</f>
        <v>0</v>
      </c>
      <c r="Y140" s="18">
        <f t="shared" si="5"/>
        <v>45908</v>
      </c>
      <c r="Z140" s="13" t="s">
        <v>39</v>
      </c>
      <c r="AA140" s="19" t="str">
        <f>VLOOKUP(D140,Clientes!$A$2:$J$486,9,FALSE)</f>
        <v>Frecuente</v>
      </c>
      <c r="AB140" s="13" t="str">
        <f>VLOOKUP(D140,Clientes!$A$2:$K$486,11,FALSE)</f>
        <v>Persona Natural</v>
      </c>
      <c r="AC140" s="13" t="str">
        <f>VLOOKUP(D140,Clientes!$A$2:$B$486,2,FALSE)</f>
        <v>Curso Amalia</v>
      </c>
      <c r="AD140" s="20"/>
      <c r="AE140" s="20"/>
      <c r="AF140" s="13" t="s">
        <v>40</v>
      </c>
      <c r="AG140" s="15">
        <f t="shared" si="6"/>
        <v>45536</v>
      </c>
      <c r="AH140" s="13" t="s">
        <v>41</v>
      </c>
      <c r="AI140" s="13" t="str">
        <f t="shared" si="7"/>
        <v>Articulos de Aseo</v>
      </c>
      <c r="AJ140" s="13" t="str">
        <f>VLOOKUP(E140,Precios!Z$2:AA$941,2,FALSE)</f>
        <v xml:space="preserve">Bolsas Basura TEDDY 50x70 </v>
      </c>
      <c r="AK140" s="14">
        <f>VLOOKUP(E140,Precios!Z$2:BB$941,3,FALSE)*F140</f>
        <v>-6</v>
      </c>
      <c r="AL140" s="17"/>
      <c r="AM140" s="17"/>
      <c r="AN140" s="17"/>
      <c r="AO140" s="17"/>
      <c r="AP140" s="17"/>
      <c r="AQ140" s="17"/>
      <c r="AR140" s="17"/>
      <c r="AS140" s="17"/>
      <c r="AT140" s="17"/>
      <c r="AU140" s="17"/>
      <c r="AV140" s="17"/>
    </row>
    <row r="141" spans="1:48" ht="15.75" customHeight="1">
      <c r="A141" s="21" t="s">
        <v>47</v>
      </c>
      <c r="B141" s="23" t="s">
        <v>1692</v>
      </c>
      <c r="C141" s="25">
        <v>45909</v>
      </c>
      <c r="D141" s="23" t="s">
        <v>142</v>
      </c>
      <c r="E141" s="23" t="s">
        <v>49</v>
      </c>
      <c r="F141" s="21">
        <v>1</v>
      </c>
      <c r="G141" s="12">
        <f>VLOOKUP(E141,Precios!B$2:N$941,12,FALSE)</f>
        <v>4500.0000000000009</v>
      </c>
      <c r="H141" s="12">
        <f t="shared" si="0"/>
        <v>4500.0000000000009</v>
      </c>
      <c r="I141" s="23" t="s">
        <v>52</v>
      </c>
      <c r="J141" s="23" t="s">
        <v>61</v>
      </c>
      <c r="K141" s="24" t="s">
        <v>177</v>
      </c>
      <c r="L141" s="11"/>
      <c r="M141" s="12">
        <f t="shared" ref="M141:N141" si="146">G141/1.19</f>
        <v>3781.5126050420176</v>
      </c>
      <c r="N141" s="12">
        <f t="shared" si="146"/>
        <v>3781.5126050420176</v>
      </c>
      <c r="O141" s="12">
        <f t="shared" si="2"/>
        <v>718.48739495798327</v>
      </c>
      <c r="P141" s="13"/>
      <c r="Q141" s="14">
        <f t="shared" si="3"/>
        <v>2025</v>
      </c>
      <c r="R141" s="15">
        <f>VLOOKUP(MONTH(C141),'Datos Maestros'!M$2:N$14,2,FALSE)</f>
        <v>45536</v>
      </c>
      <c r="S141" s="11" t="str">
        <f>VLOOKUP(E141,Precios!B$2:W$941,3,FALSE)</f>
        <v>Jabon Liquido</v>
      </c>
      <c r="T141" s="16">
        <f>VLOOKUP(E141,Precios!B$2:N$941,4,FALSE)*F141</f>
        <v>0</v>
      </c>
      <c r="U141" s="17"/>
      <c r="V141" s="12">
        <f>VLOOKUP(E141,Precios!B$2:N$941,13,FALSE)*F141</f>
        <v>988.23529411764775</v>
      </c>
      <c r="W141" s="12">
        <f t="shared" si="4"/>
        <v>988.23529411764775</v>
      </c>
      <c r="X141" s="12">
        <f>VLOOKUP(B141,'Datos Maestros'!$C$2:$D$7,2,FALSE)*V141</f>
        <v>0</v>
      </c>
      <c r="Y141" s="18">
        <f t="shared" si="5"/>
        <v>45908</v>
      </c>
      <c r="Z141" s="13" t="s">
        <v>39</v>
      </c>
      <c r="AA141" s="19" t="str">
        <f>VLOOKUP(D141,Clientes!$A$2:$J$486,9,FALSE)</f>
        <v>Frecuente</v>
      </c>
      <c r="AB141" s="13" t="str">
        <f>VLOOKUP(D141,Clientes!$A$2:$K$486,11,FALSE)</f>
        <v>Persona Natural</v>
      </c>
      <c r="AC141" s="13" t="str">
        <f>VLOOKUP(D141,Clientes!$A$2:$B$486,2,FALSE)</f>
        <v>Curso Amalia</v>
      </c>
      <c r="AD141" s="20"/>
      <c r="AE141" s="20"/>
      <c r="AF141" s="13" t="s">
        <v>40</v>
      </c>
      <c r="AG141" s="15">
        <f t="shared" si="6"/>
        <v>45536</v>
      </c>
      <c r="AH141" s="13" t="s">
        <v>41</v>
      </c>
      <c r="AI141" s="13" t="str">
        <f t="shared" si="7"/>
        <v>Articulos de Aseo</v>
      </c>
      <c r="AJ141" s="13" t="str">
        <f>VLOOKUP(E141,Precios!Z$2:AA$941,2,FALSE)</f>
        <v>Jabón Lìquido BALLERINA</v>
      </c>
      <c r="AK141" s="14">
        <f>VLOOKUP(E141,Precios!Z$2:BB$941,3,FALSE)*F141</f>
        <v>-3</v>
      </c>
      <c r="AL141" s="17"/>
      <c r="AM141" s="17"/>
      <c r="AN141" s="17"/>
      <c r="AO141" s="17"/>
      <c r="AP141" s="17"/>
      <c r="AQ141" s="17"/>
      <c r="AR141" s="17"/>
      <c r="AS141" s="17"/>
      <c r="AT141" s="17"/>
      <c r="AU141" s="17"/>
      <c r="AV141" s="17"/>
    </row>
    <row r="142" spans="1:48" ht="15.75" customHeight="1">
      <c r="A142" s="21" t="s">
        <v>76</v>
      </c>
      <c r="B142" s="23" t="s">
        <v>1692</v>
      </c>
      <c r="C142" s="25">
        <v>45909</v>
      </c>
      <c r="D142" s="23" t="s">
        <v>142</v>
      </c>
      <c r="E142" s="23" t="s">
        <v>156</v>
      </c>
      <c r="F142" s="21">
        <v>1</v>
      </c>
      <c r="G142" s="12">
        <f>VLOOKUP(E142,Precios!B$2:N$941,12,FALSE)</f>
        <v>4800</v>
      </c>
      <c r="H142" s="12">
        <f t="shared" si="0"/>
        <v>4800</v>
      </c>
      <c r="I142" s="23" t="s">
        <v>52</v>
      </c>
      <c r="J142" s="23" t="s">
        <v>61</v>
      </c>
      <c r="K142" s="24" t="s">
        <v>177</v>
      </c>
      <c r="L142" s="11"/>
      <c r="M142" s="12">
        <f t="shared" ref="M142:N142" si="147">G142/1.19</f>
        <v>4033.6134453781515</v>
      </c>
      <c r="N142" s="12">
        <f t="shared" si="147"/>
        <v>4033.6134453781515</v>
      </c>
      <c r="O142" s="12">
        <f t="shared" si="2"/>
        <v>766.38655462184852</v>
      </c>
      <c r="P142" s="13"/>
      <c r="Q142" s="14">
        <f t="shared" si="3"/>
        <v>2025</v>
      </c>
      <c r="R142" s="15">
        <f>VLOOKUP(MONTH(C142),'Datos Maestros'!M$2:N$14,2,FALSE)</f>
        <v>45536</v>
      </c>
      <c r="S142" s="11" t="str">
        <f>VLOOKUP(E142,Precios!B$2:W$941,3,FALSE)</f>
        <v>Lavaloza</v>
      </c>
      <c r="T142" s="16">
        <f>VLOOKUP(E142,Precios!B$2:N$941,4,FALSE)*F142</f>
        <v>0</v>
      </c>
      <c r="U142" s="17"/>
      <c r="V142" s="12">
        <f>VLOOKUP(E142,Precios!B$2:N$941,13,FALSE)*F142</f>
        <v>1768.0672268907565</v>
      </c>
      <c r="W142" s="12">
        <f t="shared" si="4"/>
        <v>1768.0672268907565</v>
      </c>
      <c r="X142" s="12">
        <f>VLOOKUP(B142,'Datos Maestros'!$C$2:$D$7,2,FALSE)*V142</f>
        <v>0</v>
      </c>
      <c r="Y142" s="18">
        <f t="shared" si="5"/>
        <v>45908</v>
      </c>
      <c r="Z142" s="13" t="s">
        <v>39</v>
      </c>
      <c r="AA142" s="19" t="str">
        <f>VLOOKUP(D142,Clientes!$A$2:$J$486,9,FALSE)</f>
        <v>Frecuente</v>
      </c>
      <c r="AB142" s="13" t="str">
        <f>VLOOKUP(D142,Clientes!$A$2:$K$486,11,FALSE)</f>
        <v>Persona Natural</v>
      </c>
      <c r="AC142" s="13" t="str">
        <f>VLOOKUP(D142,Clientes!$A$2:$B$486,2,FALSE)</f>
        <v>Curso Amalia</v>
      </c>
      <c r="AD142" s="20"/>
      <c r="AE142" s="20"/>
      <c r="AF142" s="13" t="s">
        <v>40</v>
      </c>
      <c r="AG142" s="15">
        <f t="shared" si="6"/>
        <v>45536</v>
      </c>
      <c r="AH142" s="13" t="s">
        <v>41</v>
      </c>
      <c r="AI142" s="13" t="str">
        <f t="shared" si="7"/>
        <v>Detergentes</v>
      </c>
      <c r="AJ142" s="13" t="str">
        <f>VLOOKUP(E142,Precios!Z$2:AA$941,2,FALSE)</f>
        <v>Lavaloza QUIX 750 cc</v>
      </c>
      <c r="AK142" s="14">
        <f>VLOOKUP(E142,Precios!Z$2:BB$941,3,FALSE)*F142</f>
        <v>-2</v>
      </c>
      <c r="AL142" s="17"/>
      <c r="AM142" s="17"/>
      <c r="AN142" s="17"/>
      <c r="AO142" s="17"/>
      <c r="AP142" s="17"/>
      <c r="AQ142" s="17"/>
      <c r="AR142" s="17"/>
      <c r="AS142" s="17"/>
      <c r="AT142" s="17"/>
      <c r="AU142" s="17"/>
      <c r="AV142" s="17"/>
    </row>
    <row r="143" spans="1:48" ht="15.75" customHeight="1">
      <c r="A143" s="21" t="s">
        <v>76</v>
      </c>
      <c r="B143" s="23" t="s">
        <v>1692</v>
      </c>
      <c r="C143" s="25">
        <v>45909</v>
      </c>
      <c r="D143" s="23" t="s">
        <v>142</v>
      </c>
      <c r="E143" s="23" t="s">
        <v>77</v>
      </c>
      <c r="F143" s="21">
        <v>1</v>
      </c>
      <c r="G143" s="12">
        <f>VLOOKUP(E143,Precios!B$2:N$941,12,FALSE)</f>
        <v>1700.1361470388019</v>
      </c>
      <c r="H143" s="12">
        <f t="shared" si="0"/>
        <v>1700.1361470388019</v>
      </c>
      <c r="I143" s="23" t="s">
        <v>52</v>
      </c>
      <c r="J143" s="23" t="s">
        <v>61</v>
      </c>
      <c r="K143" s="24" t="s">
        <v>177</v>
      </c>
      <c r="L143" s="11"/>
      <c r="M143" s="12">
        <f t="shared" ref="M143:N143" si="148">G143/1.19</f>
        <v>1428.6858378477327</v>
      </c>
      <c r="N143" s="12">
        <f t="shared" si="148"/>
        <v>1428.6858378477327</v>
      </c>
      <c r="O143" s="12">
        <f t="shared" si="2"/>
        <v>271.45030919106921</v>
      </c>
      <c r="P143" s="13"/>
      <c r="Q143" s="14">
        <f t="shared" si="3"/>
        <v>2025</v>
      </c>
      <c r="R143" s="15">
        <f>VLOOKUP(MONTH(C143),'Datos Maestros'!M$2:N$14,2,FALSE)</f>
        <v>45536</v>
      </c>
      <c r="S143" s="11" t="str">
        <f>VLOOKUP(E143,Precios!B$2:W$941,3,FALSE)</f>
        <v>Cloro Gel</v>
      </c>
      <c r="T143" s="16">
        <f>VLOOKUP(E143,Precios!B$2:N$941,4,FALSE)*F143</f>
        <v>0</v>
      </c>
      <c r="U143" s="17"/>
      <c r="V143" s="12">
        <f>VLOOKUP(E143,Precios!B$2:N$941,13,FALSE)*F143</f>
        <v>589.19003952840501</v>
      </c>
      <c r="W143" s="12">
        <f t="shared" si="4"/>
        <v>589.19003952840501</v>
      </c>
      <c r="X143" s="12">
        <f>VLOOKUP(B143,'Datos Maestros'!$C$2:$D$7,2,FALSE)*V143</f>
        <v>0</v>
      </c>
      <c r="Y143" s="18">
        <f t="shared" si="5"/>
        <v>45908</v>
      </c>
      <c r="Z143" s="13" t="s">
        <v>39</v>
      </c>
      <c r="AA143" s="19" t="str">
        <f>VLOOKUP(D143,Clientes!$A$2:$J$486,9,FALSE)</f>
        <v>Frecuente</v>
      </c>
      <c r="AB143" s="13" t="str">
        <f>VLOOKUP(D143,Clientes!$A$2:$K$486,11,FALSE)</f>
        <v>Persona Natural</v>
      </c>
      <c r="AC143" s="13" t="str">
        <f>VLOOKUP(D143,Clientes!$A$2:$B$486,2,FALSE)</f>
        <v>Curso Amalia</v>
      </c>
      <c r="AD143" s="20"/>
      <c r="AE143" s="20"/>
      <c r="AF143" s="13" t="s">
        <v>40</v>
      </c>
      <c r="AG143" s="15">
        <f t="shared" si="6"/>
        <v>45536</v>
      </c>
      <c r="AH143" s="13" t="s">
        <v>41</v>
      </c>
      <c r="AI143" s="13" t="str">
        <f t="shared" si="7"/>
        <v>Detergentes</v>
      </c>
      <c r="AJ143" s="13" t="str">
        <f>VLOOKUP(E143,Precios!Z$2:AA$941,2,FALSE)</f>
        <v>Cloro GEL IGENIX 900ml</v>
      </c>
      <c r="AK143" s="14">
        <f>VLOOKUP(E143,Precios!Z$2:BB$941,3,FALSE)*F143</f>
        <v>-1</v>
      </c>
      <c r="AL143" s="17"/>
      <c r="AM143" s="17"/>
      <c r="AN143" s="17"/>
      <c r="AO143" s="17"/>
      <c r="AP143" s="17"/>
      <c r="AQ143" s="17"/>
      <c r="AR143" s="17"/>
      <c r="AS143" s="17"/>
      <c r="AT143" s="17"/>
      <c r="AU143" s="17"/>
      <c r="AV143" s="17"/>
    </row>
    <row r="144" spans="1:48" ht="15.75" customHeight="1">
      <c r="A144" s="21" t="s">
        <v>76</v>
      </c>
      <c r="B144" s="23" t="s">
        <v>1692</v>
      </c>
      <c r="C144" s="25">
        <v>45909</v>
      </c>
      <c r="D144" s="23" t="s">
        <v>142</v>
      </c>
      <c r="E144" s="23" t="s">
        <v>82</v>
      </c>
      <c r="F144" s="21">
        <v>2</v>
      </c>
      <c r="G144" s="12">
        <f>VLOOKUP(E144,Precios!B$2:N$941,12,FALSE)</f>
        <v>2000.0000000000002</v>
      </c>
      <c r="H144" s="12">
        <f t="shared" si="0"/>
        <v>4000.0000000000005</v>
      </c>
      <c r="I144" s="23" t="s">
        <v>52</v>
      </c>
      <c r="J144" s="23" t="s">
        <v>61</v>
      </c>
      <c r="K144" s="24" t="s">
        <v>177</v>
      </c>
      <c r="L144" s="11"/>
      <c r="M144" s="12">
        <f t="shared" ref="M144:N144" si="149">G144/1.19</f>
        <v>1680.6722689075632</v>
      </c>
      <c r="N144" s="12">
        <f t="shared" si="149"/>
        <v>3361.3445378151264</v>
      </c>
      <c r="O144" s="12">
        <f t="shared" si="2"/>
        <v>638.65546218487407</v>
      </c>
      <c r="P144" s="13"/>
      <c r="Q144" s="14">
        <f t="shared" si="3"/>
        <v>2025</v>
      </c>
      <c r="R144" s="15">
        <f>VLOOKUP(MONTH(C144),'Datos Maestros'!M$2:N$14,2,FALSE)</f>
        <v>45536</v>
      </c>
      <c r="S144" s="11" t="str">
        <f>VLOOKUP(E144,Precios!B$2:W$941,3,FALSE)</f>
        <v>Limpiapiso</v>
      </c>
      <c r="T144" s="16">
        <f>VLOOKUP(E144,Precios!B$2:N$941,4,FALSE)*F144</f>
        <v>10</v>
      </c>
      <c r="U144" s="17"/>
      <c r="V144" s="12">
        <f>VLOOKUP(E144,Precios!B$2:N$941,13,FALSE)*F144</f>
        <v>1361.3445378151264</v>
      </c>
      <c r="W144" s="12">
        <f t="shared" si="4"/>
        <v>1361.3445378151264</v>
      </c>
      <c r="X144" s="12">
        <f>VLOOKUP(B144,'Datos Maestros'!$C$2:$D$7,2,FALSE)*V144</f>
        <v>0</v>
      </c>
      <c r="Y144" s="18">
        <f t="shared" si="5"/>
        <v>45908</v>
      </c>
      <c r="Z144" s="13" t="s">
        <v>39</v>
      </c>
      <c r="AA144" s="19" t="str">
        <f>VLOOKUP(D144,Clientes!$A$2:$J$486,9,FALSE)</f>
        <v>Frecuente</v>
      </c>
      <c r="AB144" s="13" t="str">
        <f>VLOOKUP(D144,Clientes!$A$2:$K$486,11,FALSE)</f>
        <v>Persona Natural</v>
      </c>
      <c r="AC144" s="13" t="str">
        <f>VLOOKUP(D144,Clientes!$A$2:$B$486,2,FALSE)</f>
        <v>Curso Amalia</v>
      </c>
      <c r="AD144" s="20"/>
      <c r="AE144" s="20"/>
      <c r="AF144" s="13" t="s">
        <v>40</v>
      </c>
      <c r="AG144" s="15">
        <f t="shared" si="6"/>
        <v>45536</v>
      </c>
      <c r="AH144" s="13" t="s">
        <v>41</v>
      </c>
      <c r="AI144" s="13" t="str">
        <f t="shared" si="7"/>
        <v>Detergentes</v>
      </c>
      <c r="AJ144" s="13" t="str">
        <f>VLOOKUP(E144,Precios!Z$2:AA$941,2,FALSE)</f>
        <v>Limpiapiso SPUM 5 Litros</v>
      </c>
      <c r="AK144" s="14">
        <f>VLOOKUP(E144,Precios!Z$2:BB$941,3,FALSE)*F144</f>
        <v>-2</v>
      </c>
      <c r="AL144" s="17"/>
      <c r="AM144" s="17"/>
      <c r="AN144" s="17"/>
      <c r="AO144" s="17"/>
      <c r="AP144" s="17"/>
      <c r="AQ144" s="17"/>
      <c r="AR144" s="17"/>
      <c r="AS144" s="17"/>
      <c r="AT144" s="17"/>
      <c r="AU144" s="17"/>
      <c r="AV144" s="17"/>
    </row>
    <row r="145" spans="1:48" ht="15.75" customHeight="1">
      <c r="A145" s="21" t="s">
        <v>53</v>
      </c>
      <c r="B145" s="23" t="s">
        <v>1692</v>
      </c>
      <c r="C145" s="25">
        <v>45909</v>
      </c>
      <c r="D145" s="23" t="s">
        <v>142</v>
      </c>
      <c r="E145" s="23" t="s">
        <v>97</v>
      </c>
      <c r="F145" s="21">
        <v>1</v>
      </c>
      <c r="G145" s="12">
        <f>VLOOKUP(E145,Precios!B$2:N$941,12,FALSE)</f>
        <v>16500.236769693482</v>
      </c>
      <c r="H145" s="12">
        <f t="shared" si="0"/>
        <v>16500.236769693482</v>
      </c>
      <c r="I145" s="23" t="s">
        <v>52</v>
      </c>
      <c r="J145" s="23" t="s">
        <v>61</v>
      </c>
      <c r="K145" s="24" t="s">
        <v>177</v>
      </c>
      <c r="L145" s="11"/>
      <c r="M145" s="12">
        <f t="shared" ref="M145:N145" si="150">G145/1.19</f>
        <v>13865.745184616371</v>
      </c>
      <c r="N145" s="12">
        <f t="shared" si="150"/>
        <v>13865.745184616371</v>
      </c>
      <c r="O145" s="12">
        <f t="shared" si="2"/>
        <v>2634.4915850771104</v>
      </c>
      <c r="P145" s="13"/>
      <c r="Q145" s="14">
        <f t="shared" si="3"/>
        <v>2025</v>
      </c>
      <c r="R145" s="15">
        <f>VLOOKUP(MONTH(C145),'Datos Maestros'!M$2:N$14,2,FALSE)</f>
        <v>45536</v>
      </c>
      <c r="S145" s="11" t="str">
        <f>VLOOKUP(E145,Precios!B$2:W$941,3,FALSE)</f>
        <v>Papel Higiénico ELITE</v>
      </c>
      <c r="T145" s="16">
        <f>VLOOKUP(E145,Precios!B$2:N$941,4,FALSE)*F145</f>
        <v>0</v>
      </c>
      <c r="U145" s="17"/>
      <c r="V145" s="12">
        <f>VLOOKUP(E145,Precios!B$2:N$941,13,FALSE)*F145</f>
        <v>3031.7451846163694</v>
      </c>
      <c r="W145" s="12">
        <f t="shared" si="4"/>
        <v>3031.7451846163694</v>
      </c>
      <c r="X145" s="12">
        <f>VLOOKUP(B145,'Datos Maestros'!$C$2:$D$7,2,FALSE)*V145</f>
        <v>0</v>
      </c>
      <c r="Y145" s="18">
        <f t="shared" si="5"/>
        <v>45908</v>
      </c>
      <c r="Z145" s="13" t="s">
        <v>39</v>
      </c>
      <c r="AA145" s="19" t="str">
        <f>VLOOKUP(D145,Clientes!$A$2:$J$486,9,FALSE)</f>
        <v>Frecuente</v>
      </c>
      <c r="AB145" s="13" t="str">
        <f>VLOOKUP(D145,Clientes!$A$2:$K$486,11,FALSE)</f>
        <v>Persona Natural</v>
      </c>
      <c r="AC145" s="13" t="str">
        <f>VLOOKUP(D145,Clientes!$A$2:$B$486,2,FALSE)</f>
        <v>Curso Amalia</v>
      </c>
      <c r="AD145" s="20"/>
      <c r="AE145" s="20"/>
      <c r="AF145" s="13" t="s">
        <v>40</v>
      </c>
      <c r="AG145" s="15">
        <f t="shared" si="6"/>
        <v>45536</v>
      </c>
      <c r="AH145" s="13" t="s">
        <v>41</v>
      </c>
      <c r="AI145" s="13" t="str">
        <f t="shared" si="7"/>
        <v>Papeleria</v>
      </c>
      <c r="AJ145" s="13" t="str">
        <f>VLOOKUP(E145,Precios!Z$2:AA$941,2,FALSE)</f>
        <v>Papel Higienico ELITE 50 metros</v>
      </c>
      <c r="AK145" s="14">
        <f>VLOOKUP(E145,Precios!Z$2:BB$941,3,FALSE)*F145</f>
        <v>-6</v>
      </c>
      <c r="AL145" s="17"/>
      <c r="AM145" s="17"/>
      <c r="AN145" s="17"/>
      <c r="AO145" s="17"/>
      <c r="AP145" s="17"/>
      <c r="AQ145" s="17"/>
      <c r="AR145" s="17"/>
      <c r="AS145" s="17"/>
      <c r="AT145" s="17"/>
      <c r="AU145" s="17"/>
      <c r="AV145" s="17"/>
    </row>
    <row r="146" spans="1:48" ht="15.75" customHeight="1">
      <c r="A146" s="21" t="s">
        <v>53</v>
      </c>
      <c r="B146" s="23" t="s">
        <v>1692</v>
      </c>
      <c r="C146" s="25">
        <v>45909</v>
      </c>
      <c r="D146" s="23" t="s">
        <v>142</v>
      </c>
      <c r="E146" s="23" t="s">
        <v>157</v>
      </c>
      <c r="F146" s="21">
        <v>1</v>
      </c>
      <c r="G146" s="12">
        <f>VLOOKUP(E146,Precios!B$2:N$941,12,FALSE)</f>
        <v>11499.714937286204</v>
      </c>
      <c r="H146" s="12">
        <f t="shared" si="0"/>
        <v>11499.714937286204</v>
      </c>
      <c r="I146" s="23" t="s">
        <v>52</v>
      </c>
      <c r="J146" s="23" t="s">
        <v>61</v>
      </c>
      <c r="K146" s="24" t="s">
        <v>177</v>
      </c>
      <c r="L146" s="11"/>
      <c r="M146" s="12">
        <f t="shared" ref="M146:N146" si="151">G146/1.19</f>
        <v>9663.6259977195004</v>
      </c>
      <c r="N146" s="12">
        <f t="shared" si="151"/>
        <v>9663.6259977195004</v>
      </c>
      <c r="O146" s="12">
        <f t="shared" si="2"/>
        <v>1836.0889395667036</v>
      </c>
      <c r="P146" s="13"/>
      <c r="Q146" s="14">
        <f t="shared" si="3"/>
        <v>2025</v>
      </c>
      <c r="R146" s="15">
        <f>VLOOKUP(MONTH(C146),'Datos Maestros'!M$2:N$14,2,FALSE)</f>
        <v>45536</v>
      </c>
      <c r="S146" s="11" t="str">
        <f>VLOOKUP(E146,Precios!B$2:W$941,3,FALSE)</f>
        <v>Toalla Nova 70 mts</v>
      </c>
      <c r="T146" s="16">
        <f>VLOOKUP(E146,Precios!B$2:N$941,4,FALSE)*F146</f>
        <v>0</v>
      </c>
      <c r="U146" s="17"/>
      <c r="V146" s="12">
        <f>VLOOKUP(E146,Precios!B$2:N$941,13,FALSE)*F146</f>
        <v>2883.6259977194986</v>
      </c>
      <c r="W146" s="12">
        <f t="shared" si="4"/>
        <v>2883.6259977194986</v>
      </c>
      <c r="X146" s="12">
        <f>VLOOKUP(B146,'Datos Maestros'!$C$2:$D$7,2,FALSE)*V146</f>
        <v>0</v>
      </c>
      <c r="Y146" s="18">
        <f t="shared" si="5"/>
        <v>45908</v>
      </c>
      <c r="Z146" s="13" t="s">
        <v>39</v>
      </c>
      <c r="AA146" s="19" t="str">
        <f>VLOOKUP(D146,Clientes!$A$2:$J$486,9,FALSE)</f>
        <v>Frecuente</v>
      </c>
      <c r="AB146" s="13" t="str">
        <f>VLOOKUP(D146,Clientes!$A$2:$K$486,11,FALSE)</f>
        <v>Persona Natural</v>
      </c>
      <c r="AC146" s="13" t="str">
        <f>VLOOKUP(D146,Clientes!$A$2:$B$486,2,FALSE)</f>
        <v>Curso Amalia</v>
      </c>
      <c r="AD146" s="20"/>
      <c r="AE146" s="20"/>
      <c r="AF146" s="13" t="s">
        <v>40</v>
      </c>
      <c r="AG146" s="15">
        <f t="shared" si="6"/>
        <v>45536</v>
      </c>
      <c r="AH146" s="13" t="s">
        <v>41</v>
      </c>
      <c r="AI146" s="13" t="str">
        <f t="shared" si="7"/>
        <v>Papeleria</v>
      </c>
      <c r="AJ146" s="13" t="str">
        <f>VLOOKUP(E146,Precios!Z$2:AA$941,2,FALSE)</f>
        <v>Toalla Papel NOVA 70 metros</v>
      </c>
      <c r="AK146" s="14">
        <f>VLOOKUP(E146,Precios!Z$2:BB$941,3,FALSE)*F146</f>
        <v>-4</v>
      </c>
      <c r="AL146" s="17"/>
      <c r="AM146" s="17"/>
      <c r="AN146" s="17"/>
      <c r="AO146" s="17"/>
      <c r="AP146" s="17"/>
      <c r="AQ146" s="17"/>
      <c r="AR146" s="17"/>
      <c r="AS146" s="17"/>
      <c r="AT146" s="17"/>
      <c r="AU146" s="17"/>
      <c r="AV146" s="17"/>
    </row>
    <row r="147" spans="1:48" ht="15.75" customHeight="1">
      <c r="A147" s="21" t="s">
        <v>64</v>
      </c>
      <c r="B147" s="23" t="s">
        <v>1692</v>
      </c>
      <c r="C147" s="25">
        <v>45909</v>
      </c>
      <c r="D147" s="23" t="s">
        <v>142</v>
      </c>
      <c r="E147" s="23" t="s">
        <v>65</v>
      </c>
      <c r="F147" s="21">
        <v>1</v>
      </c>
      <c r="G147" s="12">
        <f>VLOOKUP(E147,Precios!B$2:N$941,12,FALSE)</f>
        <v>8200.2358799633075</v>
      </c>
      <c r="H147" s="12">
        <f t="shared" si="0"/>
        <v>8200.2358799633075</v>
      </c>
      <c r="I147" s="23" t="s">
        <v>52</v>
      </c>
      <c r="J147" s="23" t="s">
        <v>61</v>
      </c>
      <c r="K147" s="24" t="s">
        <v>177</v>
      </c>
      <c r="L147" s="11"/>
      <c r="M147" s="12">
        <f t="shared" ref="M147:N147" si="152">G147/1.19</f>
        <v>6890.9545209775697</v>
      </c>
      <c r="N147" s="12">
        <f t="shared" si="152"/>
        <v>6890.9545209775697</v>
      </c>
      <c r="O147" s="12">
        <f t="shared" si="2"/>
        <v>1309.2813589857378</v>
      </c>
      <c r="P147" s="13"/>
      <c r="Q147" s="14">
        <f t="shared" si="3"/>
        <v>2025</v>
      </c>
      <c r="R147" s="15">
        <f>VLOOKUP(MONTH(C147),'Datos Maestros'!M$2:N$14,2,FALSE)</f>
        <v>45536</v>
      </c>
      <c r="S147" s="11" t="str">
        <f>VLOOKUP(E147,Precios!B$2:W$941,3,FALSE)</f>
        <v>Longanizas</v>
      </c>
      <c r="T147" s="16">
        <f>VLOOKUP(E147,Precios!B$2:N$941,4,FALSE)*F147</f>
        <v>1</v>
      </c>
      <c r="U147" s="17"/>
      <c r="V147" s="12">
        <f>VLOOKUP(E147,Precios!B$2:N$941,13,FALSE)*F147</f>
        <v>1632.4671260195864</v>
      </c>
      <c r="W147" s="12">
        <f t="shared" si="4"/>
        <v>1632.4671260195864</v>
      </c>
      <c r="X147" s="12">
        <f>VLOOKUP(B147,'Datos Maestros'!$C$2:$D$7,2,FALSE)*V147</f>
        <v>0</v>
      </c>
      <c r="Y147" s="18">
        <f t="shared" si="5"/>
        <v>45908</v>
      </c>
      <c r="Z147" s="13" t="s">
        <v>39</v>
      </c>
      <c r="AA147" s="19" t="str">
        <f>VLOOKUP(D147,Clientes!$A$2:$J$486,9,FALSE)</f>
        <v>Frecuente</v>
      </c>
      <c r="AB147" s="13" t="str">
        <f>VLOOKUP(D147,Clientes!$A$2:$K$486,11,FALSE)</f>
        <v>Persona Natural</v>
      </c>
      <c r="AC147" s="13" t="str">
        <f>VLOOKUP(D147,Clientes!$A$2:$B$486,2,FALSE)</f>
        <v>Curso Amalia</v>
      </c>
      <c r="AD147" s="20"/>
      <c r="AE147" s="20"/>
      <c r="AF147" s="13" t="s">
        <v>40</v>
      </c>
      <c r="AG147" s="15">
        <f t="shared" si="6"/>
        <v>45536</v>
      </c>
      <c r="AH147" s="13" t="s">
        <v>41</v>
      </c>
      <c r="AI147" s="13" t="str">
        <f t="shared" si="7"/>
        <v>Longanizas</v>
      </c>
      <c r="AJ147" s="13" t="str">
        <f>VLOOKUP(E147,Precios!Z$2:AA$941,2,FALSE)</f>
        <v>Longanizas VILLABLANCA</v>
      </c>
      <c r="AK147" s="14">
        <f>VLOOKUP(E147,Precios!Z$2:BB$941,3,FALSE)*F147</f>
        <v>-1</v>
      </c>
      <c r="AL147" s="17"/>
      <c r="AM147" s="17"/>
      <c r="AN147" s="17"/>
      <c r="AO147" s="17"/>
      <c r="AP147" s="17"/>
      <c r="AQ147" s="17"/>
      <c r="AR147" s="17"/>
      <c r="AS147" s="17"/>
      <c r="AT147" s="17"/>
      <c r="AU147" s="17"/>
      <c r="AV147" s="17"/>
    </row>
    <row r="148" spans="1:48" ht="15.75" customHeight="1">
      <c r="A148" s="21" t="s">
        <v>147</v>
      </c>
      <c r="B148" s="23" t="s">
        <v>1692</v>
      </c>
      <c r="C148" s="25">
        <v>45909</v>
      </c>
      <c r="D148" s="23" t="s">
        <v>158</v>
      </c>
      <c r="E148" s="23" t="s">
        <v>159</v>
      </c>
      <c r="F148" s="21">
        <v>2</v>
      </c>
      <c r="G148" s="12">
        <f>VLOOKUP(E148,Precios!B$2:N$941,12,FALSE)</f>
        <v>24000.000000000004</v>
      </c>
      <c r="H148" s="12">
        <f t="shared" si="0"/>
        <v>48000.000000000007</v>
      </c>
      <c r="I148" s="23" t="s">
        <v>52</v>
      </c>
      <c r="J148" s="13" t="s">
        <v>38</v>
      </c>
      <c r="K148" s="24" t="s">
        <v>86</v>
      </c>
      <c r="L148" s="24">
        <v>110</v>
      </c>
      <c r="M148" s="12">
        <f t="shared" ref="M148:N148" si="153">G148/1.19</f>
        <v>20168.067226890762</v>
      </c>
      <c r="N148" s="12">
        <f t="shared" si="153"/>
        <v>40336.134453781524</v>
      </c>
      <c r="O148" s="12">
        <f t="shared" si="2"/>
        <v>7663.8655462184834</v>
      </c>
      <c r="P148" s="13"/>
      <c r="Q148" s="14">
        <f t="shared" si="3"/>
        <v>2025</v>
      </c>
      <c r="R148" s="15">
        <f>VLOOKUP(MONTH(C148),'Datos Maestros'!M$2:N$14,2,FALSE)</f>
        <v>45536</v>
      </c>
      <c r="S148" s="11" t="str">
        <f>VLOOKUP(E148,Precios!B$2:W$941,3,FALSE)</f>
        <v>Film Plastico</v>
      </c>
      <c r="T148" s="16">
        <f>VLOOKUP(E148,Precios!B$2:N$941,4,FALSE)*F148</f>
        <v>0</v>
      </c>
      <c r="U148" s="17"/>
      <c r="V148" s="12">
        <f>VLOOKUP(E148,Precios!B$2:N$941,13,FALSE)*F148</f>
        <v>13722.689075630256</v>
      </c>
      <c r="W148" s="12">
        <f t="shared" si="4"/>
        <v>13722.689075630256</v>
      </c>
      <c r="X148" s="12">
        <f>VLOOKUP(B148,'Datos Maestros'!$C$2:$D$7,2,FALSE)*V148</f>
        <v>0</v>
      </c>
      <c r="Y148" s="18">
        <f t="shared" si="5"/>
        <v>45908</v>
      </c>
      <c r="Z148" s="13" t="s">
        <v>39</v>
      </c>
      <c r="AA148" s="19" t="str">
        <f>VLOOKUP(D148,Clientes!$A$2:$J$486,9,FALSE)</f>
        <v>Frecuente</v>
      </c>
      <c r="AB148" s="13" t="str">
        <f>VLOOKUP(D148,Clientes!$A$2:$K$486,11,FALSE)</f>
        <v>Empresa</v>
      </c>
      <c r="AC148" s="13" t="str">
        <f>VLOOKUP(D148,Clientes!$A$2:$B$486,2,FALSE)</f>
        <v>Departamental</v>
      </c>
      <c r="AD148" s="20"/>
      <c r="AE148" s="20"/>
      <c r="AF148" s="13" t="s">
        <v>40</v>
      </c>
      <c r="AG148" s="15">
        <f t="shared" si="6"/>
        <v>45536</v>
      </c>
      <c r="AH148" s="13" t="s">
        <v>41</v>
      </c>
      <c r="AI148" s="13" t="str">
        <f t="shared" si="7"/>
        <v>Film Plastico-Aluminio</v>
      </c>
      <c r="AJ148" s="13" t="str">
        <f>VLOOKUP(E148,Precios!Z$2:AA$941,2,FALSE)</f>
        <v>Film Plástico 1400 metros</v>
      </c>
      <c r="AK148" s="14">
        <f>VLOOKUP(E148,Precios!Z$2:BB$941,3,FALSE)*F148</f>
        <v>-2</v>
      </c>
      <c r="AL148" s="17"/>
      <c r="AM148" s="17"/>
      <c r="AN148" s="17"/>
      <c r="AO148" s="17"/>
      <c r="AP148" s="17"/>
      <c r="AQ148" s="17"/>
      <c r="AR148" s="17"/>
      <c r="AS148" s="17"/>
      <c r="AT148" s="17"/>
      <c r="AU148" s="17"/>
      <c r="AV148" s="17"/>
    </row>
    <row r="149" spans="1:48" ht="15.75" customHeight="1">
      <c r="A149" s="21" t="s">
        <v>147</v>
      </c>
      <c r="B149" s="23" t="s">
        <v>1692</v>
      </c>
      <c r="C149" s="25">
        <v>45909</v>
      </c>
      <c r="D149" s="23" t="s">
        <v>158</v>
      </c>
      <c r="E149" s="23" t="s">
        <v>160</v>
      </c>
      <c r="F149" s="21">
        <v>1</v>
      </c>
      <c r="G149" s="26">
        <v>-1000</v>
      </c>
      <c r="H149" s="12">
        <f t="shared" si="0"/>
        <v>-1000</v>
      </c>
      <c r="I149" s="23" t="s">
        <v>52</v>
      </c>
      <c r="J149" s="13" t="s">
        <v>38</v>
      </c>
      <c r="K149" s="24" t="s">
        <v>86</v>
      </c>
      <c r="L149" s="24">
        <v>110</v>
      </c>
      <c r="M149" s="12">
        <f t="shared" ref="M149:N149" si="154">G149/1.19</f>
        <v>-840.3361344537816</v>
      </c>
      <c r="N149" s="12">
        <f t="shared" si="154"/>
        <v>-840.3361344537816</v>
      </c>
      <c r="O149" s="12">
        <f t="shared" si="2"/>
        <v>-159.6638655462184</v>
      </c>
      <c r="P149" s="13"/>
      <c r="Q149" s="14">
        <f t="shared" si="3"/>
        <v>2025</v>
      </c>
      <c r="R149" s="15">
        <f>VLOOKUP(MONTH(C149),'Datos Maestros'!M$2:N$14,2,FALSE)</f>
        <v>45536</v>
      </c>
      <c r="S149" s="11" t="str">
        <f>VLOOKUP(E149,Precios!B$2:W$941,3,FALSE)</f>
        <v>Descuentos</v>
      </c>
      <c r="T149" s="16">
        <f>VLOOKUP(E149,Precios!B$2:N$941,4,FALSE)*F149</f>
        <v>1000</v>
      </c>
      <c r="U149" s="17"/>
      <c r="V149" s="26">
        <v>-1000</v>
      </c>
      <c r="W149" s="12">
        <f t="shared" si="4"/>
        <v>-1000</v>
      </c>
      <c r="X149" s="12">
        <f>VLOOKUP(B149,'Datos Maestros'!$C$2:$D$7,2,FALSE)*V149</f>
        <v>0</v>
      </c>
      <c r="Y149" s="18">
        <f t="shared" si="5"/>
        <v>45908</v>
      </c>
      <c r="Z149" s="13" t="s">
        <v>39</v>
      </c>
      <c r="AA149" s="19" t="str">
        <f>VLOOKUP(D149,Clientes!$A$2:$J$486,9,FALSE)</f>
        <v>Frecuente</v>
      </c>
      <c r="AB149" s="13" t="str">
        <f>VLOOKUP(D149,Clientes!$A$2:$K$486,11,FALSE)</f>
        <v>Empresa</v>
      </c>
      <c r="AC149" s="13" t="str">
        <f>VLOOKUP(D149,Clientes!$A$2:$B$486,2,FALSE)</f>
        <v>Departamental</v>
      </c>
      <c r="AD149" s="20"/>
      <c r="AE149" s="20"/>
      <c r="AF149" s="13" t="s">
        <v>40</v>
      </c>
      <c r="AG149" s="15">
        <f t="shared" si="6"/>
        <v>45536</v>
      </c>
      <c r="AH149" s="13" t="s">
        <v>41</v>
      </c>
      <c r="AI149" s="13" t="str">
        <f t="shared" si="7"/>
        <v>Film Plastico-Aluminio</v>
      </c>
      <c r="AJ149" s="13" t="str">
        <f>VLOOKUP(E149,Precios!Z$2:AA$941,2,FALSE)</f>
        <v>Descuentos</v>
      </c>
      <c r="AK149" s="14">
        <f>VLOOKUP(E149,Precios!Z$2:BB$941,3,FALSE)*F149</f>
        <v>-1</v>
      </c>
      <c r="AL149" s="17"/>
      <c r="AM149" s="17"/>
      <c r="AN149" s="17"/>
      <c r="AO149" s="17"/>
      <c r="AP149" s="17"/>
      <c r="AQ149" s="17"/>
      <c r="AR149" s="17"/>
      <c r="AS149" s="17"/>
      <c r="AT149" s="17"/>
      <c r="AU149" s="17"/>
      <c r="AV149" s="17"/>
    </row>
    <row r="150" spans="1:48" ht="15.75" customHeight="1">
      <c r="A150" s="21" t="s">
        <v>73</v>
      </c>
      <c r="B150" s="23" t="s">
        <v>1692</v>
      </c>
      <c r="C150" s="25">
        <v>45909</v>
      </c>
      <c r="D150" s="23" t="s">
        <v>158</v>
      </c>
      <c r="E150" s="23" t="s">
        <v>161</v>
      </c>
      <c r="F150" s="21">
        <v>2</v>
      </c>
      <c r="G150" s="12">
        <f>VLOOKUP(E150,Precios!B$2:N$941,12,FALSE)</f>
        <v>4199.9020019599611</v>
      </c>
      <c r="H150" s="12">
        <f t="shared" si="0"/>
        <v>8399.8040039199223</v>
      </c>
      <c r="I150" s="23" t="s">
        <v>52</v>
      </c>
      <c r="J150" s="13" t="s">
        <v>38</v>
      </c>
      <c r="K150" s="24" t="s">
        <v>86</v>
      </c>
      <c r="L150" s="24">
        <v>110</v>
      </c>
      <c r="M150" s="12">
        <f t="shared" ref="M150:N150" si="155">G150/1.19</f>
        <v>3529.3294134117323</v>
      </c>
      <c r="N150" s="12">
        <f t="shared" si="155"/>
        <v>7058.6588268234646</v>
      </c>
      <c r="O150" s="12">
        <f t="shared" si="2"/>
        <v>1341.1451770964577</v>
      </c>
      <c r="P150" s="13"/>
      <c r="Q150" s="14">
        <f t="shared" si="3"/>
        <v>2025</v>
      </c>
      <c r="R150" s="15">
        <f>VLOOKUP(MONTH(C150),'Datos Maestros'!M$2:N$14,2,FALSE)</f>
        <v>45536</v>
      </c>
      <c r="S150" s="11" t="str">
        <f>VLOOKUP(E150,Precios!B$2:W$941,3,FALSE)</f>
        <v>Guantes NITRILO</v>
      </c>
      <c r="T150" s="16">
        <f>VLOOKUP(E150,Precios!B$2:N$941,4,FALSE)*F150</f>
        <v>0</v>
      </c>
      <c r="U150" s="17"/>
      <c r="V150" s="12">
        <f>VLOOKUP(E150,Precios!B$2:N$941,13,FALSE)*F150</f>
        <v>2016.6588268234646</v>
      </c>
      <c r="W150" s="12">
        <f t="shared" si="4"/>
        <v>2016.6588268234646</v>
      </c>
      <c r="X150" s="12">
        <f>VLOOKUP(B150,'Datos Maestros'!$C$2:$D$7,2,FALSE)*V150</f>
        <v>0</v>
      </c>
      <c r="Y150" s="18">
        <f t="shared" si="5"/>
        <v>45908</v>
      </c>
      <c r="Z150" s="13" t="s">
        <v>39</v>
      </c>
      <c r="AA150" s="19" t="str">
        <f>VLOOKUP(D150,Clientes!$A$2:$J$486,9,FALSE)</f>
        <v>Frecuente</v>
      </c>
      <c r="AB150" s="13" t="str">
        <f>VLOOKUP(D150,Clientes!$A$2:$K$486,11,FALSE)</f>
        <v>Empresa</v>
      </c>
      <c r="AC150" s="13" t="str">
        <f>VLOOKUP(D150,Clientes!$A$2:$B$486,2,FALSE)</f>
        <v>Departamental</v>
      </c>
      <c r="AD150" s="20"/>
      <c r="AE150" s="20"/>
      <c r="AF150" s="13" t="s">
        <v>40</v>
      </c>
      <c r="AG150" s="15">
        <f t="shared" si="6"/>
        <v>45536</v>
      </c>
      <c r="AH150" s="13" t="s">
        <v>41</v>
      </c>
      <c r="AI150" s="13" t="str">
        <f t="shared" si="7"/>
        <v>Articulos de Sanidad</v>
      </c>
      <c r="AJ150" s="13" t="str">
        <f>VLOOKUP(E150,Precios!Z$2:AA$941,2,FALSE)</f>
        <v>Guante NITRILO Talla L</v>
      </c>
      <c r="AK150" s="14">
        <f>VLOOKUP(E150,Precios!Z$2:BB$941,3,FALSE)*F150</f>
        <v>-2</v>
      </c>
      <c r="AL150" s="17"/>
      <c r="AM150" s="17"/>
      <c r="AN150" s="17"/>
      <c r="AO150" s="17"/>
      <c r="AP150" s="17"/>
      <c r="AQ150" s="17"/>
      <c r="AR150" s="17"/>
      <c r="AS150" s="17"/>
      <c r="AT150" s="17"/>
      <c r="AU150" s="17"/>
      <c r="AV150" s="17"/>
    </row>
    <row r="151" spans="1:48" ht="15.75" customHeight="1">
      <c r="A151" s="21" t="s">
        <v>53</v>
      </c>
      <c r="B151" s="23" t="s">
        <v>1692</v>
      </c>
      <c r="C151" s="25">
        <v>45909</v>
      </c>
      <c r="D151" s="23" t="s">
        <v>158</v>
      </c>
      <c r="E151" s="23" t="s">
        <v>162</v>
      </c>
      <c r="F151" s="21">
        <v>3</v>
      </c>
      <c r="G151" s="12">
        <f>VLOOKUP(E151,Precios!B$2:N$941,12,FALSE)</f>
        <v>9500.0304006809747</v>
      </c>
      <c r="H151" s="12">
        <f t="shared" si="0"/>
        <v>28500.091202042924</v>
      </c>
      <c r="I151" s="23" t="s">
        <v>52</v>
      </c>
      <c r="J151" s="13" t="s">
        <v>38</v>
      </c>
      <c r="K151" s="24" t="s">
        <v>86</v>
      </c>
      <c r="L151" s="24">
        <v>110</v>
      </c>
      <c r="M151" s="12">
        <f t="shared" ref="M151:N151" si="156">G151/1.19</f>
        <v>7983.2188241016602</v>
      </c>
      <c r="N151" s="12">
        <f t="shared" si="156"/>
        <v>23949.656472304978</v>
      </c>
      <c r="O151" s="12">
        <f t="shared" si="2"/>
        <v>4550.4347297379463</v>
      </c>
      <c r="P151" s="13"/>
      <c r="Q151" s="14">
        <f t="shared" si="3"/>
        <v>2025</v>
      </c>
      <c r="R151" s="15">
        <f>VLOOKUP(MONTH(C151),'Datos Maestros'!M$2:N$14,2,FALSE)</f>
        <v>45536</v>
      </c>
      <c r="S151" s="11" t="str">
        <f>VLOOKUP(E151,Precios!B$2:W$941,3,FALSE)</f>
        <v>Toalla Papel Soft Quality</v>
      </c>
      <c r="T151" s="16">
        <f>VLOOKUP(E151,Precios!B$2:N$941,4,FALSE)*F151</f>
        <v>0</v>
      </c>
      <c r="U151" s="17"/>
      <c r="V151" s="12">
        <f>VLOOKUP(E151,Precios!B$2:N$941,13,FALSE)*F151</f>
        <v>8193.6564723049778</v>
      </c>
      <c r="W151" s="12">
        <f t="shared" si="4"/>
        <v>8193.6564723049778</v>
      </c>
      <c r="X151" s="12">
        <f>VLOOKUP(B151,'Datos Maestros'!$C$2:$D$7,2,FALSE)*V151</f>
        <v>0</v>
      </c>
      <c r="Y151" s="18">
        <f t="shared" si="5"/>
        <v>45908</v>
      </c>
      <c r="Z151" s="13" t="s">
        <v>39</v>
      </c>
      <c r="AA151" s="19" t="str">
        <f>VLOOKUP(D151,Clientes!$A$2:$J$486,9,FALSE)</f>
        <v>Frecuente</v>
      </c>
      <c r="AB151" s="13" t="str">
        <f>VLOOKUP(D151,Clientes!$A$2:$K$486,11,FALSE)</f>
        <v>Empresa</v>
      </c>
      <c r="AC151" s="13" t="str">
        <f>VLOOKUP(D151,Clientes!$A$2:$B$486,2,FALSE)</f>
        <v>Departamental</v>
      </c>
      <c r="AD151" s="20"/>
      <c r="AE151" s="20"/>
      <c r="AF151" s="13" t="s">
        <v>40</v>
      </c>
      <c r="AG151" s="15">
        <f t="shared" si="6"/>
        <v>45536</v>
      </c>
      <c r="AH151" s="13" t="s">
        <v>41</v>
      </c>
      <c r="AI151" s="13" t="str">
        <f t="shared" si="7"/>
        <v>Papeleria</v>
      </c>
      <c r="AJ151" s="13" t="str">
        <f>VLOOKUP(E151,Precios!Z$2:AA$941,2,FALSE)</f>
        <v>Toalla Papel 250 metros dipensador</v>
      </c>
      <c r="AK151" s="14">
        <f>VLOOKUP(E151,Precios!Z$2:BB$941,3,FALSE)*F151</f>
        <v>-3</v>
      </c>
      <c r="AL151" s="17"/>
      <c r="AM151" s="17"/>
      <c r="AN151" s="17"/>
      <c r="AO151" s="17"/>
      <c r="AP151" s="17"/>
      <c r="AQ151" s="17"/>
      <c r="AR151" s="17"/>
      <c r="AS151" s="17"/>
      <c r="AT151" s="17"/>
      <c r="AU151" s="17"/>
      <c r="AV151" s="17"/>
    </row>
    <row r="152" spans="1:48" ht="15.75" customHeight="1">
      <c r="A152" s="21" t="s">
        <v>53</v>
      </c>
      <c r="B152" s="23" t="s">
        <v>1692</v>
      </c>
      <c r="C152" s="25">
        <v>45909</v>
      </c>
      <c r="D152" s="23" t="s">
        <v>158</v>
      </c>
      <c r="E152" s="23" t="s">
        <v>163</v>
      </c>
      <c r="F152" s="21">
        <v>1</v>
      </c>
      <c r="G152" s="12">
        <f>VLOOKUP(E152,Precios!B$2:N$941,12,FALSE)</f>
        <v>19900.217268850087</v>
      </c>
      <c r="H152" s="12">
        <f t="shared" si="0"/>
        <v>19900.217268850087</v>
      </c>
      <c r="I152" s="23" t="s">
        <v>52</v>
      </c>
      <c r="J152" s="13" t="s">
        <v>38</v>
      </c>
      <c r="K152" s="24" t="s">
        <v>86</v>
      </c>
      <c r="L152" s="24">
        <v>110</v>
      </c>
      <c r="M152" s="12">
        <f t="shared" ref="M152:N152" si="157">G152/1.19</f>
        <v>16722.871654495873</v>
      </c>
      <c r="N152" s="12">
        <f t="shared" si="157"/>
        <v>16722.871654495873</v>
      </c>
      <c r="O152" s="12">
        <f t="shared" si="2"/>
        <v>3177.3456143542135</v>
      </c>
      <c r="P152" s="13"/>
      <c r="Q152" s="14">
        <f t="shared" si="3"/>
        <v>2025</v>
      </c>
      <c r="R152" s="15">
        <f>VLOOKUP(MONTH(C152),'Datos Maestros'!M$2:N$14,2,FALSE)</f>
        <v>45536</v>
      </c>
      <c r="S152" s="11" t="str">
        <f>VLOOKUP(E152,Precios!B$2:W$941,3,FALSE)</f>
        <v>Papel Higiénico SWAN</v>
      </c>
      <c r="T152" s="16">
        <f>VLOOKUP(E152,Precios!B$2:N$941,4,FALSE)*F152</f>
        <v>0</v>
      </c>
      <c r="U152" s="17"/>
      <c r="V152" s="12">
        <f>VLOOKUP(E152,Precios!B$2:N$941,13,FALSE)*F152</f>
        <v>4253.9640914706597</v>
      </c>
      <c r="W152" s="12">
        <f t="shared" si="4"/>
        <v>4253.9640914706597</v>
      </c>
      <c r="X152" s="12">
        <f>VLOOKUP(B152,'Datos Maestros'!$C$2:$D$7,2,FALSE)*V152</f>
        <v>0</v>
      </c>
      <c r="Y152" s="18">
        <f t="shared" si="5"/>
        <v>45908</v>
      </c>
      <c r="Z152" s="13" t="s">
        <v>39</v>
      </c>
      <c r="AA152" s="19" t="str">
        <f>VLOOKUP(D152,Clientes!$A$2:$J$486,9,FALSE)</f>
        <v>Frecuente</v>
      </c>
      <c r="AB152" s="13" t="str">
        <f>VLOOKUP(D152,Clientes!$A$2:$K$486,11,FALSE)</f>
        <v>Empresa</v>
      </c>
      <c r="AC152" s="13" t="str">
        <f>VLOOKUP(D152,Clientes!$A$2:$B$486,2,FALSE)</f>
        <v>Departamental</v>
      </c>
      <c r="AD152" s="20"/>
      <c r="AE152" s="20"/>
      <c r="AF152" s="13" t="s">
        <v>40</v>
      </c>
      <c r="AG152" s="15">
        <f t="shared" si="6"/>
        <v>45536</v>
      </c>
      <c r="AH152" s="13" t="s">
        <v>41</v>
      </c>
      <c r="AI152" s="13" t="str">
        <f t="shared" si="7"/>
        <v>Papeleria</v>
      </c>
      <c r="AJ152" s="13" t="str">
        <f>VLOOKUP(E152,Precios!Z$2:AA$941,2,FALSE)</f>
        <v>Papel Higienico SWAN 50 metros</v>
      </c>
      <c r="AK152" s="14">
        <f>VLOOKUP(E152,Precios!Z$2:BB$941,3,FALSE)*F152</f>
        <v>-8</v>
      </c>
      <c r="AL152" s="17"/>
      <c r="AM152" s="17"/>
      <c r="AN152" s="17"/>
      <c r="AO152" s="17"/>
      <c r="AP152" s="17"/>
      <c r="AQ152" s="17"/>
      <c r="AR152" s="17"/>
      <c r="AS152" s="17"/>
      <c r="AT152" s="17"/>
      <c r="AU152" s="17"/>
      <c r="AV152" s="17"/>
    </row>
    <row r="153" spans="1:48" ht="15.75" customHeight="1">
      <c r="A153" s="21" t="s">
        <v>47</v>
      </c>
      <c r="B153" s="23" t="s">
        <v>1692</v>
      </c>
      <c r="C153" s="25">
        <v>45909</v>
      </c>
      <c r="D153" s="23" t="s">
        <v>164</v>
      </c>
      <c r="E153" s="23" t="s">
        <v>49</v>
      </c>
      <c r="F153" s="21">
        <v>1</v>
      </c>
      <c r="G153" s="12">
        <f>VLOOKUP(E153,Precios!B$2:N$941,12,FALSE)</f>
        <v>4500.0000000000009</v>
      </c>
      <c r="H153" s="12">
        <f t="shared" si="0"/>
        <v>4500.0000000000009</v>
      </c>
      <c r="I153" s="23" t="s">
        <v>52</v>
      </c>
      <c r="J153" s="23" t="s">
        <v>61</v>
      </c>
      <c r="K153" s="24" t="s">
        <v>177</v>
      </c>
      <c r="L153" s="11"/>
      <c r="M153" s="12">
        <f t="shared" ref="M153:N153" si="158">G153/1.19</f>
        <v>3781.5126050420176</v>
      </c>
      <c r="N153" s="12">
        <f t="shared" si="158"/>
        <v>3781.5126050420176</v>
      </c>
      <c r="O153" s="12">
        <f t="shared" si="2"/>
        <v>718.48739495798327</v>
      </c>
      <c r="P153" s="13"/>
      <c r="Q153" s="14">
        <f t="shared" si="3"/>
        <v>2025</v>
      </c>
      <c r="R153" s="15">
        <f>VLOOKUP(MONTH(C153),'Datos Maestros'!M$2:N$14,2,FALSE)</f>
        <v>45536</v>
      </c>
      <c r="S153" s="11" t="str">
        <f>VLOOKUP(E153,Precios!B$2:W$941,3,FALSE)</f>
        <v>Jabon Liquido</v>
      </c>
      <c r="T153" s="16">
        <f>VLOOKUP(E153,Precios!B$2:N$941,4,FALSE)*F153</f>
        <v>0</v>
      </c>
      <c r="U153" s="17"/>
      <c r="V153" s="12">
        <f>VLOOKUP(E153,Precios!B$2:N$941,13,FALSE)*F153</f>
        <v>988.23529411764775</v>
      </c>
      <c r="W153" s="12">
        <f t="shared" si="4"/>
        <v>988.23529411764775</v>
      </c>
      <c r="X153" s="12">
        <f>VLOOKUP(B153,'Datos Maestros'!$C$2:$D$7,2,FALSE)*V153</f>
        <v>0</v>
      </c>
      <c r="Y153" s="18">
        <f t="shared" si="5"/>
        <v>45908</v>
      </c>
      <c r="Z153" s="13" t="s">
        <v>39</v>
      </c>
      <c r="AA153" s="19" t="str">
        <f>VLOOKUP(D153,Clientes!$A$2:$J$486,9,FALSE)</f>
        <v>Ocacional</v>
      </c>
      <c r="AB153" s="13" t="str">
        <f>VLOOKUP(D153,Clientes!$A$2:$K$486,11,FALSE)</f>
        <v>Persona Natural</v>
      </c>
      <c r="AC153" s="13" t="str">
        <f>VLOOKUP(D153,Clientes!$A$2:$B$486,2,FALSE)</f>
        <v>Santa Amalia</v>
      </c>
      <c r="AD153" s="20"/>
      <c r="AE153" s="20"/>
      <c r="AF153" s="13" t="s">
        <v>40</v>
      </c>
      <c r="AG153" s="15">
        <f t="shared" si="6"/>
        <v>45536</v>
      </c>
      <c r="AH153" s="13" t="s">
        <v>41</v>
      </c>
      <c r="AI153" s="13" t="str">
        <f t="shared" si="7"/>
        <v>Articulos de Aseo</v>
      </c>
      <c r="AJ153" s="13" t="str">
        <f>VLOOKUP(E153,Precios!Z$2:AA$941,2,FALSE)</f>
        <v>Jabón Lìquido BALLERINA</v>
      </c>
      <c r="AK153" s="14">
        <f>VLOOKUP(E153,Precios!Z$2:BB$941,3,FALSE)*F153</f>
        <v>-3</v>
      </c>
      <c r="AL153" s="17"/>
      <c r="AM153" s="17"/>
      <c r="AN153" s="17"/>
      <c r="AO153" s="17"/>
      <c r="AP153" s="17"/>
      <c r="AQ153" s="17"/>
      <c r="AR153" s="17"/>
      <c r="AS153" s="17"/>
      <c r="AT153" s="17"/>
      <c r="AU153" s="17"/>
      <c r="AV153" s="17"/>
    </row>
    <row r="154" spans="1:48" ht="15.75" customHeight="1">
      <c r="A154" s="21" t="s">
        <v>47</v>
      </c>
      <c r="B154" s="23" t="s">
        <v>1692</v>
      </c>
      <c r="C154" s="25">
        <v>45909</v>
      </c>
      <c r="D154" s="23" t="s">
        <v>164</v>
      </c>
      <c r="E154" s="23" t="s">
        <v>165</v>
      </c>
      <c r="F154" s="21">
        <v>1</v>
      </c>
      <c r="G154" s="12">
        <f>VLOOKUP(E154,Precios!B$2:N$941,12,FALSE)</f>
        <v>1200.1375515818431</v>
      </c>
      <c r="H154" s="12">
        <f t="shared" si="0"/>
        <v>1200.1375515818431</v>
      </c>
      <c r="I154" s="23" t="s">
        <v>52</v>
      </c>
      <c r="J154" s="23" t="s">
        <v>61</v>
      </c>
      <c r="K154" s="24" t="s">
        <v>177</v>
      </c>
      <c r="L154" s="11"/>
      <c r="M154" s="12">
        <f t="shared" ref="M154:N154" si="159">G154/1.19</f>
        <v>1008.5189509091119</v>
      </c>
      <c r="N154" s="12">
        <f t="shared" si="159"/>
        <v>1008.5189509091119</v>
      </c>
      <c r="O154" s="12">
        <f t="shared" si="2"/>
        <v>191.61860067273119</v>
      </c>
      <c r="P154" s="13"/>
      <c r="Q154" s="14">
        <f t="shared" si="3"/>
        <v>2025</v>
      </c>
      <c r="R154" s="15">
        <f>VLOOKUP(MONTH(C154),'Datos Maestros'!M$2:N$14,2,FALSE)</f>
        <v>45536</v>
      </c>
      <c r="S154" s="11" t="str">
        <f>VLOOKUP(E154,Precios!B$2:W$941,3,FALSE)</f>
        <v>Jabon POPEYE</v>
      </c>
      <c r="T154" s="16">
        <f>VLOOKUP(E154,Precios!B$2:N$941,4,FALSE)*F154</f>
        <v>0</v>
      </c>
      <c r="U154" s="17"/>
      <c r="V154" s="12">
        <f>VLOOKUP(E154,Precios!B$2:N$941,13,FALSE)*F154</f>
        <v>275.32567359818756</v>
      </c>
      <c r="W154" s="12">
        <f t="shared" si="4"/>
        <v>275.32567359818756</v>
      </c>
      <c r="X154" s="12">
        <f>VLOOKUP(B154,'Datos Maestros'!$C$2:$D$7,2,FALSE)*V154</f>
        <v>0</v>
      </c>
      <c r="Y154" s="18">
        <f t="shared" si="5"/>
        <v>45908</v>
      </c>
      <c r="Z154" s="13" t="s">
        <v>39</v>
      </c>
      <c r="AA154" s="19" t="str">
        <f>VLOOKUP(D154,Clientes!$A$2:$J$486,9,FALSE)</f>
        <v>Ocacional</v>
      </c>
      <c r="AB154" s="13" t="str">
        <f>VLOOKUP(D154,Clientes!$A$2:$K$486,11,FALSE)</f>
        <v>Persona Natural</v>
      </c>
      <c r="AC154" s="13" t="str">
        <f>VLOOKUP(D154,Clientes!$A$2:$B$486,2,FALSE)</f>
        <v>Santa Amalia</v>
      </c>
      <c r="AD154" s="20"/>
      <c r="AE154" s="20"/>
      <c r="AF154" s="13" t="s">
        <v>40</v>
      </c>
      <c r="AG154" s="15">
        <f t="shared" si="6"/>
        <v>45536</v>
      </c>
      <c r="AH154" s="13" t="s">
        <v>41</v>
      </c>
      <c r="AI154" s="13" t="str">
        <f t="shared" si="7"/>
        <v>Articulos de Aseo</v>
      </c>
      <c r="AJ154" s="13" t="str">
        <f>VLOOKUP(E154,Precios!Z$2:AA$941,2,FALSE)</f>
        <v>Jabón Lìquido BALLERINA</v>
      </c>
      <c r="AK154" s="14">
        <f>VLOOKUP(E154,Precios!Z$2:BB$941,3,FALSE)*F154</f>
        <v>-1</v>
      </c>
      <c r="AL154" s="17"/>
      <c r="AM154" s="17"/>
      <c r="AN154" s="17"/>
      <c r="AO154" s="17"/>
      <c r="AP154" s="17"/>
      <c r="AQ154" s="17"/>
      <c r="AR154" s="17"/>
      <c r="AS154" s="17"/>
      <c r="AT154" s="17"/>
      <c r="AU154" s="17"/>
      <c r="AV154" s="17"/>
    </row>
    <row r="155" spans="1:48" ht="15.75" customHeight="1">
      <c r="A155" s="21" t="s">
        <v>76</v>
      </c>
      <c r="B155" s="23" t="s">
        <v>1692</v>
      </c>
      <c r="C155" s="25">
        <v>45909</v>
      </c>
      <c r="D155" s="23" t="s">
        <v>164</v>
      </c>
      <c r="E155" s="23" t="s">
        <v>166</v>
      </c>
      <c r="F155" s="21">
        <v>1</v>
      </c>
      <c r="G155" s="12">
        <f>VLOOKUP(E155,Precios!B$2:N$941,12,FALSE)</f>
        <v>3500.0000000000005</v>
      </c>
      <c r="H155" s="12">
        <f t="shared" si="0"/>
        <v>3500.0000000000005</v>
      </c>
      <c r="I155" s="23" t="s">
        <v>52</v>
      </c>
      <c r="J155" s="23" t="s">
        <v>61</v>
      </c>
      <c r="K155" s="24" t="s">
        <v>177</v>
      </c>
      <c r="L155" s="11"/>
      <c r="M155" s="12">
        <f t="shared" ref="M155:N155" si="160">G155/1.19</f>
        <v>2941.1764705882356</v>
      </c>
      <c r="N155" s="12">
        <f t="shared" si="160"/>
        <v>2941.1764705882356</v>
      </c>
      <c r="O155" s="12">
        <f t="shared" si="2"/>
        <v>558.82352941176487</v>
      </c>
      <c r="P155" s="13"/>
      <c r="Q155" s="14">
        <f t="shared" si="3"/>
        <v>2025</v>
      </c>
      <c r="R155" s="15">
        <f>VLOOKUP(MONTH(C155),'Datos Maestros'!M$2:N$14,2,FALSE)</f>
        <v>45536</v>
      </c>
      <c r="S155" s="11" t="str">
        <f>VLOOKUP(E155,Precios!B$2:W$941,3,FALSE)</f>
        <v>Cloro Gel</v>
      </c>
      <c r="T155" s="16">
        <f>VLOOKUP(E155,Precios!B$2:N$941,4,FALSE)*F155</f>
        <v>5</v>
      </c>
      <c r="U155" s="17"/>
      <c r="V155" s="12">
        <f>VLOOKUP(E155,Precios!B$2:N$941,13,FALSE)*F155</f>
        <v>1016.8067226890757</v>
      </c>
      <c r="W155" s="12">
        <f t="shared" si="4"/>
        <v>1016.8067226890757</v>
      </c>
      <c r="X155" s="12">
        <f>VLOOKUP(B155,'Datos Maestros'!$C$2:$D$7,2,FALSE)*V155</f>
        <v>0</v>
      </c>
      <c r="Y155" s="18">
        <f t="shared" si="5"/>
        <v>45908</v>
      </c>
      <c r="Z155" s="13" t="s">
        <v>39</v>
      </c>
      <c r="AA155" s="19" t="str">
        <f>VLOOKUP(D155,Clientes!$A$2:$J$486,9,FALSE)</f>
        <v>Ocacional</v>
      </c>
      <c r="AB155" s="13" t="str">
        <f>VLOOKUP(D155,Clientes!$A$2:$K$486,11,FALSE)</f>
        <v>Persona Natural</v>
      </c>
      <c r="AC155" s="13" t="str">
        <f>VLOOKUP(D155,Clientes!$A$2:$B$486,2,FALSE)</f>
        <v>Santa Amalia</v>
      </c>
      <c r="AD155" s="20"/>
      <c r="AE155" s="20"/>
      <c r="AF155" s="13" t="s">
        <v>40</v>
      </c>
      <c r="AG155" s="15">
        <f t="shared" si="6"/>
        <v>45536</v>
      </c>
      <c r="AH155" s="13" t="s">
        <v>41</v>
      </c>
      <c r="AI155" s="13" t="str">
        <f t="shared" si="7"/>
        <v>Detergentes</v>
      </c>
      <c r="AJ155" s="13" t="str">
        <f>VLOOKUP(E155,Precios!Z$2:AA$941,2,FALSE)</f>
        <v>Cloro GEL SPUM 5 Litros</v>
      </c>
      <c r="AK155" s="14">
        <f>VLOOKUP(E155,Precios!Z$2:BB$941,3,FALSE)*F155</f>
        <v>-1</v>
      </c>
      <c r="AL155" s="17"/>
      <c r="AM155" s="17"/>
      <c r="AN155" s="17"/>
      <c r="AO155" s="17"/>
      <c r="AP155" s="17"/>
      <c r="AQ155" s="17"/>
      <c r="AR155" s="17"/>
      <c r="AS155" s="17"/>
      <c r="AT155" s="17"/>
      <c r="AU155" s="17"/>
      <c r="AV155" s="17"/>
    </row>
    <row r="156" spans="1:48" ht="15.75" customHeight="1">
      <c r="A156" s="21" t="s">
        <v>76</v>
      </c>
      <c r="B156" s="23" t="s">
        <v>1692</v>
      </c>
      <c r="C156" s="25">
        <v>45909</v>
      </c>
      <c r="D156" s="23" t="s">
        <v>164</v>
      </c>
      <c r="E156" s="23" t="s">
        <v>110</v>
      </c>
      <c r="F156" s="21">
        <v>1</v>
      </c>
      <c r="G156" s="12">
        <f>VLOOKUP(E156,Precios!B$2:N$941,12,FALSE)</f>
        <v>2000.0000000000005</v>
      </c>
      <c r="H156" s="12">
        <f t="shared" si="0"/>
        <v>2000.0000000000005</v>
      </c>
      <c r="I156" s="23" t="s">
        <v>52</v>
      </c>
      <c r="J156" s="23" t="s">
        <v>61</v>
      </c>
      <c r="K156" s="24" t="s">
        <v>177</v>
      </c>
      <c r="L156" s="11"/>
      <c r="M156" s="12">
        <f t="shared" ref="M156:N156" si="161">G156/1.19</f>
        <v>1680.6722689075634</v>
      </c>
      <c r="N156" s="12">
        <f t="shared" si="161"/>
        <v>1680.6722689075634</v>
      </c>
      <c r="O156" s="12">
        <f t="shared" si="2"/>
        <v>319.32773109243703</v>
      </c>
      <c r="P156" s="13"/>
      <c r="Q156" s="14">
        <f t="shared" si="3"/>
        <v>2025</v>
      </c>
      <c r="R156" s="15">
        <f>VLOOKUP(MONTH(C156),'Datos Maestros'!M$2:N$14,2,FALSE)</f>
        <v>45536</v>
      </c>
      <c r="S156" s="11" t="str">
        <f>VLOOKUP(E156,Precios!B$2:W$941,3,FALSE)</f>
        <v>Cloro</v>
      </c>
      <c r="T156" s="16">
        <f>VLOOKUP(E156,Precios!B$2:N$941,4,FALSE)*F156</f>
        <v>5</v>
      </c>
      <c r="U156" s="17"/>
      <c r="V156" s="12">
        <f>VLOOKUP(E156,Precios!B$2:N$941,13,FALSE)*F156</f>
        <v>756.30252100840369</v>
      </c>
      <c r="W156" s="12">
        <f t="shared" si="4"/>
        <v>756.30252100840369</v>
      </c>
      <c r="X156" s="12">
        <f>VLOOKUP(B156,'Datos Maestros'!$C$2:$D$7,2,FALSE)*V156</f>
        <v>0</v>
      </c>
      <c r="Y156" s="18">
        <f t="shared" si="5"/>
        <v>45908</v>
      </c>
      <c r="Z156" s="13" t="s">
        <v>39</v>
      </c>
      <c r="AA156" s="19" t="str">
        <f>VLOOKUP(D156,Clientes!$A$2:$J$486,9,FALSE)</f>
        <v>Ocacional</v>
      </c>
      <c r="AB156" s="13" t="str">
        <f>VLOOKUP(D156,Clientes!$A$2:$K$486,11,FALSE)</f>
        <v>Persona Natural</v>
      </c>
      <c r="AC156" s="13" t="str">
        <f>VLOOKUP(D156,Clientes!$A$2:$B$486,2,FALSE)</f>
        <v>Santa Amalia</v>
      </c>
      <c r="AD156" s="20"/>
      <c r="AE156" s="20"/>
      <c r="AF156" s="13" t="s">
        <v>40</v>
      </c>
      <c r="AG156" s="15">
        <f t="shared" si="6"/>
        <v>45536</v>
      </c>
      <c r="AH156" s="13" t="s">
        <v>41</v>
      </c>
      <c r="AI156" s="13" t="str">
        <f t="shared" si="7"/>
        <v>Detergentes</v>
      </c>
      <c r="AJ156" s="13" t="str">
        <f>VLOOKUP(E156,Precios!Z$2:AA$941,2,FALSE)</f>
        <v>Cloro SPUM 5 Litros</v>
      </c>
      <c r="AK156" s="14">
        <f>VLOOKUP(E156,Precios!Z$2:BB$941,3,FALSE)*F156</f>
        <v>-1</v>
      </c>
      <c r="AL156" s="17"/>
      <c r="AM156" s="17"/>
      <c r="AN156" s="17"/>
      <c r="AO156" s="17"/>
      <c r="AP156" s="17"/>
      <c r="AQ156" s="17"/>
      <c r="AR156" s="17"/>
      <c r="AS156" s="17"/>
      <c r="AT156" s="17"/>
      <c r="AU156" s="17"/>
      <c r="AV156" s="17"/>
    </row>
    <row r="157" spans="1:48" ht="15.75" customHeight="1">
      <c r="A157" s="21" t="s">
        <v>76</v>
      </c>
      <c r="B157" s="23" t="s">
        <v>1692</v>
      </c>
      <c r="C157" s="25">
        <v>45909</v>
      </c>
      <c r="D157" s="23" t="s">
        <v>164</v>
      </c>
      <c r="E157" s="23" t="s">
        <v>81</v>
      </c>
      <c r="F157" s="21">
        <v>1</v>
      </c>
      <c r="G157" s="12">
        <f>VLOOKUP(E157,Precios!B$2:N$941,12,FALSE)</f>
        <v>3500.0000000000005</v>
      </c>
      <c r="H157" s="12">
        <f t="shared" si="0"/>
        <v>3500.0000000000005</v>
      </c>
      <c r="I157" s="23" t="s">
        <v>52</v>
      </c>
      <c r="J157" s="23" t="s">
        <v>61</v>
      </c>
      <c r="K157" s="24" t="s">
        <v>177</v>
      </c>
      <c r="L157" s="11"/>
      <c r="M157" s="12">
        <f t="shared" ref="M157:N157" si="162">G157/1.19</f>
        <v>2941.1764705882356</v>
      </c>
      <c r="N157" s="12">
        <f t="shared" si="162"/>
        <v>2941.1764705882356</v>
      </c>
      <c r="O157" s="12">
        <f t="shared" si="2"/>
        <v>558.82352941176487</v>
      </c>
      <c r="P157" s="13"/>
      <c r="Q157" s="14">
        <f t="shared" si="3"/>
        <v>2025</v>
      </c>
      <c r="R157" s="15">
        <f>VLOOKUP(MONTH(C157),'Datos Maestros'!M$2:N$14,2,FALSE)</f>
        <v>45536</v>
      </c>
      <c r="S157" s="11" t="str">
        <f>VLOOKUP(E157,Precios!B$2:W$941,3,FALSE)</f>
        <v>Detergente Premium</v>
      </c>
      <c r="T157" s="16">
        <f>VLOOKUP(E157,Precios!B$2:N$941,4,FALSE)*F157</f>
        <v>5</v>
      </c>
      <c r="U157" s="17"/>
      <c r="V157" s="12">
        <f>VLOOKUP(E157,Precios!B$2:N$941,13,FALSE)*F157</f>
        <v>764.70588235294144</v>
      </c>
      <c r="W157" s="12">
        <f t="shared" si="4"/>
        <v>764.70588235294144</v>
      </c>
      <c r="X157" s="12">
        <f>VLOOKUP(B157,'Datos Maestros'!$C$2:$D$7,2,FALSE)*V157</f>
        <v>0</v>
      </c>
      <c r="Y157" s="18">
        <f t="shared" si="5"/>
        <v>45908</v>
      </c>
      <c r="Z157" s="13" t="s">
        <v>39</v>
      </c>
      <c r="AA157" s="19" t="str">
        <f>VLOOKUP(D157,Clientes!$A$2:$J$486,9,FALSE)</f>
        <v>Ocacional</v>
      </c>
      <c r="AB157" s="13" t="str">
        <f>VLOOKUP(D157,Clientes!$A$2:$K$486,11,FALSE)</f>
        <v>Persona Natural</v>
      </c>
      <c r="AC157" s="13" t="str">
        <f>VLOOKUP(D157,Clientes!$A$2:$B$486,2,FALSE)</f>
        <v>Santa Amalia</v>
      </c>
      <c r="AD157" s="20"/>
      <c r="AE157" s="20"/>
      <c r="AF157" s="13" t="s">
        <v>40</v>
      </c>
      <c r="AG157" s="15">
        <f t="shared" si="6"/>
        <v>45536</v>
      </c>
      <c r="AH157" s="13" t="s">
        <v>41</v>
      </c>
      <c r="AI157" s="13" t="str">
        <f t="shared" si="7"/>
        <v>Detergentes</v>
      </c>
      <c r="AJ157" s="13" t="str">
        <f>VLOOKUP(E157,Precios!Z$2:AA$941,2,FALSE)</f>
        <v>Detergente SPUM 5 Litros (Verde)</v>
      </c>
      <c r="AK157" s="14">
        <f>VLOOKUP(E157,Precios!Z$2:BB$941,3,FALSE)*F157</f>
        <v>-1</v>
      </c>
      <c r="AL157" s="17"/>
      <c r="AM157" s="17"/>
      <c r="AN157" s="17"/>
      <c r="AO157" s="17"/>
      <c r="AP157" s="17"/>
      <c r="AQ157" s="17"/>
      <c r="AR157" s="17"/>
      <c r="AS157" s="17"/>
      <c r="AT157" s="17"/>
      <c r="AU157" s="17"/>
      <c r="AV157" s="17"/>
    </row>
    <row r="158" spans="1:48" ht="15.75" customHeight="1">
      <c r="A158" s="21" t="s">
        <v>53</v>
      </c>
      <c r="B158" s="23" t="s">
        <v>1692</v>
      </c>
      <c r="C158" s="25">
        <v>45909</v>
      </c>
      <c r="D158" s="23" t="s">
        <v>164</v>
      </c>
      <c r="E158" s="23" t="s">
        <v>167</v>
      </c>
      <c r="F158" s="21">
        <v>1</v>
      </c>
      <c r="G158" s="12">
        <f>VLOOKUP(E158,Precios!B$2:N$941,12,FALSE)</f>
        <v>9499.8792270531412</v>
      </c>
      <c r="H158" s="12">
        <f t="shared" si="0"/>
        <v>9499.8792270531412</v>
      </c>
      <c r="I158" s="23" t="s">
        <v>52</v>
      </c>
      <c r="J158" s="23" t="s">
        <v>61</v>
      </c>
      <c r="K158" s="24" t="s">
        <v>177</v>
      </c>
      <c r="L158" s="11"/>
      <c r="M158" s="12">
        <f t="shared" ref="M158:N158" si="163">G158/1.19</f>
        <v>7983.0917874396146</v>
      </c>
      <c r="N158" s="12">
        <f t="shared" si="163"/>
        <v>7983.0917874396146</v>
      </c>
      <c r="O158" s="12">
        <f t="shared" si="2"/>
        <v>1516.7874396135267</v>
      </c>
      <c r="P158" s="13"/>
      <c r="Q158" s="14">
        <f t="shared" si="3"/>
        <v>2025</v>
      </c>
      <c r="R158" s="15">
        <f>VLOOKUP(MONTH(C158),'Datos Maestros'!M$2:N$14,2,FALSE)</f>
        <v>45536</v>
      </c>
      <c r="S158" s="11" t="str">
        <f>VLOOKUP(E158,Precios!B$2:W$941,3,FALSE)</f>
        <v>Toalla Papel SWAN</v>
      </c>
      <c r="T158" s="16">
        <f>VLOOKUP(E158,Precios!B$2:N$941,4,FALSE)*F158</f>
        <v>100</v>
      </c>
      <c r="U158" s="17"/>
      <c r="V158" s="12">
        <f>VLOOKUP(E158,Precios!B$2:N$941,13,FALSE)*F158</f>
        <v>2695.0917874396137</v>
      </c>
      <c r="W158" s="12">
        <f t="shared" si="4"/>
        <v>2695.0917874396137</v>
      </c>
      <c r="X158" s="12">
        <f>VLOOKUP(B158,'Datos Maestros'!$C$2:$D$7,2,FALSE)*V158</f>
        <v>0</v>
      </c>
      <c r="Y158" s="18">
        <f t="shared" si="5"/>
        <v>45908</v>
      </c>
      <c r="Z158" s="13" t="s">
        <v>39</v>
      </c>
      <c r="AA158" s="19" t="str">
        <f>VLOOKUP(D158,Clientes!$A$2:$J$486,9,FALSE)</f>
        <v>Ocacional</v>
      </c>
      <c r="AB158" s="13" t="str">
        <f>VLOOKUP(D158,Clientes!$A$2:$K$486,11,FALSE)</f>
        <v>Persona Natural</v>
      </c>
      <c r="AC158" s="13" t="str">
        <f>VLOOKUP(D158,Clientes!$A$2:$B$486,2,FALSE)</f>
        <v>Santa Amalia</v>
      </c>
      <c r="AD158" s="20"/>
      <c r="AE158" s="20"/>
      <c r="AF158" s="13" t="s">
        <v>40</v>
      </c>
      <c r="AG158" s="15">
        <f t="shared" si="6"/>
        <v>45536</v>
      </c>
      <c r="AH158" s="13" t="s">
        <v>41</v>
      </c>
      <c r="AI158" s="13" t="str">
        <f t="shared" si="7"/>
        <v>Papeleria</v>
      </c>
      <c r="AJ158" s="13" t="str">
        <f>VLOOKUP(E158,Precios!Z$2:AA$941,2,FALSE)</f>
        <v>Toalla Papel SWAN D/H NARANJA 100 metros</v>
      </c>
      <c r="AK158" s="14">
        <f>VLOOKUP(E158,Precios!Z$2:BB$941,3,FALSE)*F158</f>
        <v>-3</v>
      </c>
      <c r="AL158" s="17"/>
      <c r="AM158" s="17"/>
      <c r="AN158" s="17"/>
      <c r="AO158" s="17"/>
      <c r="AP158" s="17"/>
      <c r="AQ158" s="17"/>
      <c r="AR158" s="17"/>
      <c r="AS158" s="17"/>
      <c r="AT158" s="17"/>
      <c r="AU158" s="17"/>
      <c r="AV158" s="17"/>
    </row>
    <row r="159" spans="1:48" ht="15.75" customHeight="1">
      <c r="A159" s="21" t="s">
        <v>53</v>
      </c>
      <c r="B159" s="23" t="s">
        <v>1692</v>
      </c>
      <c r="C159" s="25">
        <v>45909</v>
      </c>
      <c r="D159" s="23" t="s">
        <v>164</v>
      </c>
      <c r="E159" s="23" t="s">
        <v>88</v>
      </c>
      <c r="F159" s="21">
        <v>3</v>
      </c>
      <c r="G159" s="12">
        <f>VLOOKUP(E159,Precios!B$2:N$941,12,FALSE)</f>
        <v>1999.9551032624961</v>
      </c>
      <c r="H159" s="12">
        <f t="shared" si="0"/>
        <v>5999.8653097874885</v>
      </c>
      <c r="I159" s="23" t="s">
        <v>52</v>
      </c>
      <c r="J159" s="23" t="s">
        <v>61</v>
      </c>
      <c r="K159" s="24" t="s">
        <v>177</v>
      </c>
      <c r="L159" s="11"/>
      <c r="M159" s="12">
        <f t="shared" ref="M159:N159" si="164">G159/1.19</f>
        <v>1680.6345405567195</v>
      </c>
      <c r="N159" s="12">
        <f t="shared" si="164"/>
        <v>5041.9036216701588</v>
      </c>
      <c r="O159" s="12">
        <f t="shared" si="2"/>
        <v>957.96168811732969</v>
      </c>
      <c r="P159" s="13"/>
      <c r="Q159" s="14">
        <f t="shared" si="3"/>
        <v>2025</v>
      </c>
      <c r="R159" s="15">
        <f>VLOOKUP(MONTH(C159),'Datos Maestros'!M$2:N$14,2,FALSE)</f>
        <v>45536</v>
      </c>
      <c r="S159" s="11" t="str">
        <f>VLOOKUP(E159,Precios!B$2:W$941,3,FALSE)</f>
        <v>Toalla Nova 26 mts</v>
      </c>
      <c r="T159" s="16">
        <f>VLOOKUP(E159,Precios!B$2:N$941,4,FALSE)*F159</f>
        <v>0</v>
      </c>
      <c r="U159" s="17"/>
      <c r="V159" s="12">
        <f>VLOOKUP(E159,Precios!B$2:N$941,13,FALSE)*F159</f>
        <v>1672.9036216701584</v>
      </c>
      <c r="W159" s="12">
        <f t="shared" si="4"/>
        <v>1672.9036216701584</v>
      </c>
      <c r="X159" s="12">
        <f>VLOOKUP(B159,'Datos Maestros'!$C$2:$D$7,2,FALSE)*V159</f>
        <v>0</v>
      </c>
      <c r="Y159" s="18">
        <f t="shared" si="5"/>
        <v>45908</v>
      </c>
      <c r="Z159" s="13" t="s">
        <v>39</v>
      </c>
      <c r="AA159" s="19" t="str">
        <f>VLOOKUP(D159,Clientes!$A$2:$J$486,9,FALSE)</f>
        <v>Ocacional</v>
      </c>
      <c r="AB159" s="13" t="str">
        <f>VLOOKUP(D159,Clientes!$A$2:$K$486,11,FALSE)</f>
        <v>Persona Natural</v>
      </c>
      <c r="AC159" s="13" t="str">
        <f>VLOOKUP(D159,Clientes!$A$2:$B$486,2,FALSE)</f>
        <v>Santa Amalia</v>
      </c>
      <c r="AD159" s="20"/>
      <c r="AE159" s="20"/>
      <c r="AF159" s="13" t="s">
        <v>40</v>
      </c>
      <c r="AG159" s="15">
        <f t="shared" si="6"/>
        <v>45536</v>
      </c>
      <c r="AH159" s="13" t="s">
        <v>41</v>
      </c>
      <c r="AI159" s="13" t="str">
        <f t="shared" si="7"/>
        <v>Papeleria</v>
      </c>
      <c r="AJ159" s="13" t="str">
        <f>VLOOKUP(E159,Precios!Z$2:AA$941,2,FALSE)</f>
        <v>Toalla Papel NOVA 26 metros</v>
      </c>
      <c r="AK159" s="14">
        <f>VLOOKUP(E159,Precios!Z$2:BB$941,3,FALSE)*F159</f>
        <v>-3</v>
      </c>
      <c r="AL159" s="17"/>
      <c r="AM159" s="17"/>
      <c r="AN159" s="17"/>
      <c r="AO159" s="17"/>
      <c r="AP159" s="17"/>
      <c r="AQ159" s="17"/>
      <c r="AR159" s="17"/>
      <c r="AS159" s="17"/>
      <c r="AT159" s="17"/>
      <c r="AU159" s="17"/>
      <c r="AV159" s="17"/>
    </row>
    <row r="160" spans="1:48" ht="15.75" customHeight="1">
      <c r="A160" s="21" t="s">
        <v>53</v>
      </c>
      <c r="B160" s="23" t="s">
        <v>1692</v>
      </c>
      <c r="C160" s="25">
        <v>45909</v>
      </c>
      <c r="D160" s="23" t="s">
        <v>168</v>
      </c>
      <c r="E160" s="23" t="s">
        <v>55</v>
      </c>
      <c r="F160" s="21">
        <v>1</v>
      </c>
      <c r="G160" s="12">
        <f>VLOOKUP(E160,Precios!B$2:N$941,12,FALSE)</f>
        <v>20899.91124296327</v>
      </c>
      <c r="H160" s="12">
        <f t="shared" si="0"/>
        <v>20899.91124296327</v>
      </c>
      <c r="I160" s="23" t="s">
        <v>52</v>
      </c>
      <c r="J160" s="23" t="s">
        <v>61</v>
      </c>
      <c r="K160" s="24" t="s">
        <v>177</v>
      </c>
      <c r="L160" s="11"/>
      <c r="M160" s="12">
        <f t="shared" ref="M160:N160" si="165">G160/1.19</f>
        <v>17562.950624338882</v>
      </c>
      <c r="N160" s="12">
        <f t="shared" si="165"/>
        <v>17562.950624338882</v>
      </c>
      <c r="O160" s="12">
        <f t="shared" si="2"/>
        <v>3336.9606186243873</v>
      </c>
      <c r="P160" s="13"/>
      <c r="Q160" s="14">
        <f t="shared" si="3"/>
        <v>2025</v>
      </c>
      <c r="R160" s="15">
        <f>VLOOKUP(MONTH(C160),'Datos Maestros'!M$2:N$14,2,FALSE)</f>
        <v>45536</v>
      </c>
      <c r="S160" s="11" t="str">
        <f>VLOOKUP(E160,Precios!B$2:W$941,3,FALSE)</f>
        <v>Papel Higiénico ELITE</v>
      </c>
      <c r="T160" s="16">
        <f>VLOOKUP(E160,Precios!B$2:N$941,4,FALSE)*F160</f>
        <v>0</v>
      </c>
      <c r="U160" s="17"/>
      <c r="V160" s="12">
        <f>VLOOKUP(E160,Precios!B$2:N$941,13,FALSE)*F160</f>
        <v>3117.9506243388823</v>
      </c>
      <c r="W160" s="12">
        <f t="shared" si="4"/>
        <v>3117.9506243388823</v>
      </c>
      <c r="X160" s="12">
        <f>VLOOKUP(B160,'Datos Maestros'!$C$2:$D$7,2,FALSE)*V160</f>
        <v>0</v>
      </c>
      <c r="Y160" s="18">
        <f t="shared" si="5"/>
        <v>45908</v>
      </c>
      <c r="Z160" s="13" t="s">
        <v>39</v>
      </c>
      <c r="AA160" s="19" t="str">
        <f>VLOOKUP(D160,Clientes!$A$2:$J$486,9,FALSE)</f>
        <v>Frecuente</v>
      </c>
      <c r="AB160" s="13" t="str">
        <f>VLOOKUP(D160,Clientes!$A$2:$K$486,11,FALSE)</f>
        <v>Persona Natural</v>
      </c>
      <c r="AC160" s="13" t="str">
        <f>VLOOKUP(D160,Clientes!$A$2:$B$486,2,FALSE)</f>
        <v>Jardin del Eden</v>
      </c>
      <c r="AD160" s="20"/>
      <c r="AE160" s="20"/>
      <c r="AF160" s="13" t="s">
        <v>40</v>
      </c>
      <c r="AG160" s="15">
        <f t="shared" si="6"/>
        <v>45536</v>
      </c>
      <c r="AH160" s="13" t="s">
        <v>41</v>
      </c>
      <c r="AI160" s="13" t="str">
        <f t="shared" si="7"/>
        <v>Papeleria</v>
      </c>
      <c r="AJ160" s="13" t="str">
        <f>VLOOKUP(E160,Precios!Z$2:AA$941,2,FALSE)</f>
        <v>Papel Higienico ELITE 50 metros</v>
      </c>
      <c r="AK160" s="14">
        <f>VLOOKUP(E160,Precios!Z$2:BB$941,3,FALSE)*F160</f>
        <v>-8</v>
      </c>
      <c r="AL160" s="17"/>
      <c r="AM160" s="17"/>
      <c r="AN160" s="17"/>
      <c r="AO160" s="17"/>
      <c r="AP160" s="17"/>
      <c r="AQ160" s="17"/>
      <c r="AR160" s="17"/>
      <c r="AS160" s="17"/>
      <c r="AT160" s="17"/>
      <c r="AU160" s="17"/>
      <c r="AV160" s="17"/>
    </row>
    <row r="161" spans="1:48" ht="15.75" customHeight="1">
      <c r="A161" s="21" t="s">
        <v>53</v>
      </c>
      <c r="B161" s="23" t="s">
        <v>1692</v>
      </c>
      <c r="C161" s="25">
        <v>45909</v>
      </c>
      <c r="D161" s="23" t="s">
        <v>168</v>
      </c>
      <c r="E161" s="23" t="s">
        <v>157</v>
      </c>
      <c r="F161" s="21">
        <v>1</v>
      </c>
      <c r="G161" s="12">
        <f>VLOOKUP(E161,Precios!B$2:N$941,12,FALSE)</f>
        <v>11499.714937286204</v>
      </c>
      <c r="H161" s="12">
        <f t="shared" si="0"/>
        <v>11499.714937286204</v>
      </c>
      <c r="I161" s="23" t="s">
        <v>52</v>
      </c>
      <c r="J161" s="23" t="s">
        <v>61</v>
      </c>
      <c r="K161" s="24" t="s">
        <v>177</v>
      </c>
      <c r="L161" s="11"/>
      <c r="M161" s="12">
        <f t="shared" ref="M161:N161" si="166">G161/1.19</f>
        <v>9663.6259977195004</v>
      </c>
      <c r="N161" s="12">
        <f t="shared" si="166"/>
        <v>9663.6259977195004</v>
      </c>
      <c r="O161" s="12">
        <f t="shared" si="2"/>
        <v>1836.0889395667036</v>
      </c>
      <c r="P161" s="13"/>
      <c r="Q161" s="14">
        <f t="shared" si="3"/>
        <v>2025</v>
      </c>
      <c r="R161" s="15">
        <f>VLOOKUP(MONTH(C161),'Datos Maestros'!M$2:N$14,2,FALSE)</f>
        <v>45536</v>
      </c>
      <c r="S161" s="11" t="str">
        <f>VLOOKUP(E161,Precios!B$2:W$941,3,FALSE)</f>
        <v>Toalla Nova 70 mts</v>
      </c>
      <c r="T161" s="16">
        <f>VLOOKUP(E161,Precios!B$2:N$941,4,FALSE)*F161</f>
        <v>0</v>
      </c>
      <c r="U161" s="17"/>
      <c r="V161" s="12">
        <f>VLOOKUP(E161,Precios!B$2:N$941,13,FALSE)*F161</f>
        <v>2883.6259977194986</v>
      </c>
      <c r="W161" s="12">
        <f t="shared" si="4"/>
        <v>2883.6259977194986</v>
      </c>
      <c r="X161" s="12">
        <f>VLOOKUP(B161,'Datos Maestros'!$C$2:$D$7,2,FALSE)*V161</f>
        <v>0</v>
      </c>
      <c r="Y161" s="18">
        <f t="shared" si="5"/>
        <v>45908</v>
      </c>
      <c r="Z161" s="13" t="s">
        <v>39</v>
      </c>
      <c r="AA161" s="19" t="str">
        <f>VLOOKUP(D161,Clientes!$A$2:$J$486,9,FALSE)</f>
        <v>Frecuente</v>
      </c>
      <c r="AB161" s="13" t="str">
        <f>VLOOKUP(D161,Clientes!$A$2:$K$486,11,FALSE)</f>
        <v>Persona Natural</v>
      </c>
      <c r="AC161" s="13" t="str">
        <f>VLOOKUP(D161,Clientes!$A$2:$B$486,2,FALSE)</f>
        <v>Jardin del Eden</v>
      </c>
      <c r="AD161" s="20"/>
      <c r="AE161" s="20"/>
      <c r="AF161" s="13" t="s">
        <v>40</v>
      </c>
      <c r="AG161" s="15">
        <f t="shared" si="6"/>
        <v>45536</v>
      </c>
      <c r="AH161" s="13" t="s">
        <v>41</v>
      </c>
      <c r="AI161" s="13" t="str">
        <f t="shared" si="7"/>
        <v>Papeleria</v>
      </c>
      <c r="AJ161" s="13" t="str">
        <f>VLOOKUP(E161,Precios!Z$2:AA$941,2,FALSE)</f>
        <v>Toalla Papel NOVA 70 metros</v>
      </c>
      <c r="AK161" s="14">
        <f>VLOOKUP(E161,Precios!Z$2:BB$941,3,FALSE)*F161</f>
        <v>-4</v>
      </c>
      <c r="AL161" s="17"/>
      <c r="AM161" s="17"/>
      <c r="AN161" s="17"/>
      <c r="AO161" s="17"/>
      <c r="AP161" s="17"/>
      <c r="AQ161" s="17"/>
      <c r="AR161" s="17"/>
      <c r="AS161" s="17"/>
      <c r="AT161" s="17"/>
      <c r="AU161" s="17"/>
      <c r="AV161" s="17"/>
    </row>
    <row r="162" spans="1:48" ht="15.75" customHeight="1">
      <c r="A162" s="21" t="s">
        <v>47</v>
      </c>
      <c r="B162" s="23" t="s">
        <v>1692</v>
      </c>
      <c r="C162" s="25">
        <v>45909</v>
      </c>
      <c r="D162" s="23" t="s">
        <v>168</v>
      </c>
      <c r="E162" s="23" t="s">
        <v>71</v>
      </c>
      <c r="F162" s="21">
        <v>4</v>
      </c>
      <c r="G162" s="12">
        <f>VLOOKUP(E162,Precios!B$2:N$941,12,FALSE)</f>
        <v>2700.007670476336</v>
      </c>
      <c r="H162" s="12">
        <f t="shared" si="0"/>
        <v>10800.030681905344</v>
      </c>
      <c r="I162" s="23" t="s">
        <v>52</v>
      </c>
      <c r="J162" s="23" t="s">
        <v>61</v>
      </c>
      <c r="K162" s="24" t="s">
        <v>177</v>
      </c>
      <c r="L162" s="11"/>
      <c r="M162" s="12">
        <f t="shared" ref="M162:N162" si="167">G162/1.19</f>
        <v>2268.9140088036438</v>
      </c>
      <c r="N162" s="12">
        <f t="shared" si="167"/>
        <v>9075.6560352145752</v>
      </c>
      <c r="O162" s="12">
        <f t="shared" si="2"/>
        <v>1724.3746466907687</v>
      </c>
      <c r="P162" s="13"/>
      <c r="Q162" s="14">
        <f t="shared" si="3"/>
        <v>2025</v>
      </c>
      <c r="R162" s="15">
        <f>VLOOKUP(MONTH(C162),'Datos Maestros'!M$2:N$14,2,FALSE)</f>
        <v>45536</v>
      </c>
      <c r="S162" s="11" t="str">
        <f>VLOOKUP(E162,Precios!B$2:W$941,3,FALSE)</f>
        <v>Toalla desinfectantes</v>
      </c>
      <c r="T162" s="16">
        <f>VLOOKUP(E162,Precios!B$2:N$941,4,FALSE)*F162</f>
        <v>0</v>
      </c>
      <c r="U162" s="17"/>
      <c r="V162" s="12">
        <f>VLOOKUP(E162,Precios!B$2:N$941,13,FALSE)*F162</f>
        <v>3159.6896486599535</v>
      </c>
      <c r="W162" s="12">
        <f t="shared" si="4"/>
        <v>3159.6896486599535</v>
      </c>
      <c r="X162" s="12">
        <f>VLOOKUP(B162,'Datos Maestros'!$C$2:$D$7,2,FALSE)*V162</f>
        <v>0</v>
      </c>
      <c r="Y162" s="18">
        <f t="shared" si="5"/>
        <v>45908</v>
      </c>
      <c r="Z162" s="13" t="s">
        <v>39</v>
      </c>
      <c r="AA162" s="19" t="str">
        <f>VLOOKUP(D162,Clientes!$A$2:$J$486,9,FALSE)</f>
        <v>Frecuente</v>
      </c>
      <c r="AB162" s="13" t="str">
        <f>VLOOKUP(D162,Clientes!$A$2:$K$486,11,FALSE)</f>
        <v>Persona Natural</v>
      </c>
      <c r="AC162" s="13" t="str">
        <f>VLOOKUP(D162,Clientes!$A$2:$B$486,2,FALSE)</f>
        <v>Jardin del Eden</v>
      </c>
      <c r="AD162" s="20"/>
      <c r="AE162" s="20"/>
      <c r="AF162" s="13" t="s">
        <v>40</v>
      </c>
      <c r="AG162" s="15">
        <f t="shared" si="6"/>
        <v>45536</v>
      </c>
      <c r="AH162" s="13" t="s">
        <v>41</v>
      </c>
      <c r="AI162" s="13" t="str">
        <f t="shared" si="7"/>
        <v>Articulos de Aseo</v>
      </c>
      <c r="AJ162" s="13" t="str">
        <f>VLOOKUP(E162,Precios!Z$2:AA$941,2,FALSE)</f>
        <v>Toalla desinfectante IGENIX 50 unidades</v>
      </c>
      <c r="AK162" s="14">
        <f>VLOOKUP(E162,Precios!Z$2:BB$941,3,FALSE)*F162</f>
        <v>-4</v>
      </c>
      <c r="AL162" s="17"/>
      <c r="AM162" s="17"/>
      <c r="AN162" s="17"/>
      <c r="AO162" s="17"/>
      <c r="AP162" s="17"/>
      <c r="AQ162" s="17"/>
      <c r="AR162" s="17"/>
      <c r="AS162" s="17"/>
      <c r="AT162" s="17"/>
      <c r="AU162" s="17"/>
      <c r="AV162" s="17"/>
    </row>
    <row r="163" spans="1:48" ht="15.75" customHeight="1">
      <c r="A163" s="21" t="s">
        <v>53</v>
      </c>
      <c r="B163" s="23" t="s">
        <v>1692</v>
      </c>
      <c r="C163" s="25">
        <v>45909</v>
      </c>
      <c r="D163" s="23" t="s">
        <v>168</v>
      </c>
      <c r="E163" s="23" t="s">
        <v>70</v>
      </c>
      <c r="F163" s="21">
        <v>1</v>
      </c>
      <c r="G163" s="12">
        <f>VLOOKUP(E163,Precios!B$2:N$941,12,FALSE)</f>
        <v>5000.3257328990221</v>
      </c>
      <c r="H163" s="12">
        <f t="shared" si="0"/>
        <v>5000.3257328990221</v>
      </c>
      <c r="I163" s="23" t="s">
        <v>52</v>
      </c>
      <c r="J163" s="23" t="s">
        <v>61</v>
      </c>
      <c r="K163" s="24" t="s">
        <v>177</v>
      </c>
      <c r="L163" s="11"/>
      <c r="M163" s="12">
        <f t="shared" ref="M163:N163" si="168">G163/1.19</f>
        <v>4201.9543973941363</v>
      </c>
      <c r="N163" s="12">
        <f t="shared" si="168"/>
        <v>4201.9543973941363</v>
      </c>
      <c r="O163" s="12">
        <f t="shared" si="2"/>
        <v>798.37133550488579</v>
      </c>
      <c r="P163" s="13"/>
      <c r="Q163" s="14">
        <f t="shared" si="3"/>
        <v>2025</v>
      </c>
      <c r="R163" s="15">
        <f>VLOOKUP(MONTH(C163),'Datos Maestros'!M$2:N$14,2,FALSE)</f>
        <v>45536</v>
      </c>
      <c r="S163" s="11" t="str">
        <f>VLOOKUP(E163,Precios!B$2:W$941,3,FALSE)</f>
        <v>Servilletas</v>
      </c>
      <c r="T163" s="16">
        <f>VLOOKUP(E163,Precios!B$2:N$941,4,FALSE)*F163</f>
        <v>300</v>
      </c>
      <c r="U163" s="17"/>
      <c r="V163" s="12">
        <f>VLOOKUP(E163,Precios!B$2:N$941,13,FALSE)*F163</f>
        <v>2008.9543973941363</v>
      </c>
      <c r="W163" s="12">
        <f t="shared" si="4"/>
        <v>2008.9543973941363</v>
      </c>
      <c r="X163" s="12">
        <f>VLOOKUP(B163,'Datos Maestros'!$C$2:$D$7,2,FALSE)*V163</f>
        <v>0</v>
      </c>
      <c r="Y163" s="18">
        <f t="shared" si="5"/>
        <v>45908</v>
      </c>
      <c r="Z163" s="13" t="s">
        <v>39</v>
      </c>
      <c r="AA163" s="19" t="str">
        <f>VLOOKUP(D163,Clientes!$A$2:$J$486,9,FALSE)</f>
        <v>Frecuente</v>
      </c>
      <c r="AB163" s="13" t="str">
        <f>VLOOKUP(D163,Clientes!$A$2:$K$486,11,FALSE)</f>
        <v>Persona Natural</v>
      </c>
      <c r="AC163" s="13" t="str">
        <f>VLOOKUP(D163,Clientes!$A$2:$B$486,2,FALSE)</f>
        <v>Jardin del Eden</v>
      </c>
      <c r="AD163" s="20"/>
      <c r="AE163" s="20"/>
      <c r="AF163" s="13" t="s">
        <v>40</v>
      </c>
      <c r="AG163" s="15">
        <f t="shared" si="6"/>
        <v>45536</v>
      </c>
      <c r="AH163" s="13" t="s">
        <v>41</v>
      </c>
      <c r="AI163" s="13" t="str">
        <f t="shared" si="7"/>
        <v>Papeleria</v>
      </c>
      <c r="AJ163" s="13" t="str">
        <f>VLOOKUP(E163,Precios!Z$2:AA$941,2,FALSE)</f>
        <v>Servilletas SOFTQUALITY 300 unidades</v>
      </c>
      <c r="AK163" s="14">
        <f>VLOOKUP(E163,Precios!Z$2:BB$941,3,FALSE)*F163</f>
        <v>-3</v>
      </c>
      <c r="AL163" s="17"/>
      <c r="AM163" s="17"/>
      <c r="AN163" s="17"/>
      <c r="AO163" s="17"/>
      <c r="AP163" s="17"/>
      <c r="AQ163" s="17"/>
      <c r="AR163" s="17"/>
      <c r="AS163" s="17"/>
      <c r="AT163" s="17"/>
      <c r="AU163" s="17"/>
      <c r="AV163" s="17"/>
    </row>
    <row r="164" spans="1:48" ht="15.75" customHeight="1">
      <c r="A164" s="21" t="s">
        <v>47</v>
      </c>
      <c r="B164" s="23" t="s">
        <v>1692</v>
      </c>
      <c r="C164" s="25">
        <v>45909</v>
      </c>
      <c r="D164" s="23" t="s">
        <v>168</v>
      </c>
      <c r="E164" s="23" t="s">
        <v>169</v>
      </c>
      <c r="F164" s="21">
        <v>1</v>
      </c>
      <c r="G164" s="12">
        <f>VLOOKUP(E164,Precios!B$2:N$941,12,FALSE)</f>
        <v>1650.3934426229507</v>
      </c>
      <c r="H164" s="12">
        <f t="shared" si="0"/>
        <v>1650.3934426229507</v>
      </c>
      <c r="I164" s="23" t="s">
        <v>52</v>
      </c>
      <c r="J164" s="23" t="s">
        <v>61</v>
      </c>
      <c r="K164" s="24" t="s">
        <v>177</v>
      </c>
      <c r="L164" s="11"/>
      <c r="M164" s="12">
        <f t="shared" ref="M164:N164" si="169">G164/1.19</f>
        <v>1386.8852459016393</v>
      </c>
      <c r="N164" s="12">
        <f t="shared" si="169"/>
        <v>1386.8852459016393</v>
      </c>
      <c r="O164" s="12">
        <f t="shared" si="2"/>
        <v>263.50819672131138</v>
      </c>
      <c r="P164" s="13"/>
      <c r="Q164" s="14">
        <f t="shared" si="3"/>
        <v>2025</v>
      </c>
      <c r="R164" s="15">
        <f>VLOOKUP(MONTH(C164),'Datos Maestros'!M$2:N$14,2,FALSE)</f>
        <v>45536</v>
      </c>
      <c r="S164" s="11" t="str">
        <f>VLOOKUP(E164,Precios!B$2:W$941,3,FALSE)</f>
        <v>Bolsa Basura</v>
      </c>
      <c r="T164" s="16">
        <f>VLOOKUP(E164,Precios!B$2:N$941,4,FALSE)*F164</f>
        <v>0</v>
      </c>
      <c r="U164" s="17"/>
      <c r="V164" s="12">
        <f>VLOOKUP(E164,Precios!B$2:N$941,13,FALSE)*F164</f>
        <v>540.88524590163934</v>
      </c>
      <c r="W164" s="12">
        <f t="shared" si="4"/>
        <v>540.88524590163934</v>
      </c>
      <c r="X164" s="12">
        <f>VLOOKUP(B164,'Datos Maestros'!$C$2:$D$7,2,FALSE)*V164</f>
        <v>0</v>
      </c>
      <c r="Y164" s="18">
        <f t="shared" si="5"/>
        <v>45908</v>
      </c>
      <c r="Z164" s="13" t="s">
        <v>39</v>
      </c>
      <c r="AA164" s="19" t="str">
        <f>VLOOKUP(D164,Clientes!$A$2:$J$486,9,FALSE)</f>
        <v>Frecuente</v>
      </c>
      <c r="AB164" s="13" t="str">
        <f>VLOOKUP(D164,Clientes!$A$2:$K$486,11,FALSE)</f>
        <v>Persona Natural</v>
      </c>
      <c r="AC164" s="13" t="str">
        <f>VLOOKUP(D164,Clientes!$A$2:$B$486,2,FALSE)</f>
        <v>Jardin del Eden</v>
      </c>
      <c r="AD164" s="20"/>
      <c r="AE164" s="20"/>
      <c r="AF164" s="13" t="s">
        <v>40</v>
      </c>
      <c r="AG164" s="15">
        <f t="shared" si="6"/>
        <v>45536</v>
      </c>
      <c r="AH164" s="13" t="s">
        <v>41</v>
      </c>
      <c r="AI164" s="13" t="str">
        <f t="shared" si="7"/>
        <v>Articulos de Aseo</v>
      </c>
      <c r="AJ164" s="13" t="str">
        <f>VLOOKUP(E164,Precios!Z$2:AA$941,2,FALSE)</f>
        <v xml:space="preserve">Bolsas Basura TEDDY 45x55 con Asas </v>
      </c>
      <c r="AK164" s="14">
        <f>VLOOKUP(E164,Precios!Z$2:BB$941,3,FALSE)*F164</f>
        <v>-3</v>
      </c>
      <c r="AL164" s="17"/>
      <c r="AM164" s="17"/>
      <c r="AN164" s="17"/>
      <c r="AO164" s="17"/>
      <c r="AP164" s="17"/>
      <c r="AQ164" s="17"/>
      <c r="AR164" s="17"/>
      <c r="AS164" s="17"/>
      <c r="AT164" s="17"/>
      <c r="AU164" s="17"/>
      <c r="AV164" s="17"/>
    </row>
    <row r="165" spans="1:48" ht="15.75" customHeight="1">
      <c r="A165" s="21" t="s">
        <v>47</v>
      </c>
      <c r="B165" s="23" t="s">
        <v>1692</v>
      </c>
      <c r="C165" s="25">
        <v>45909</v>
      </c>
      <c r="D165" s="23" t="s">
        <v>168</v>
      </c>
      <c r="E165" s="23" t="s">
        <v>170</v>
      </c>
      <c r="F165" s="21">
        <v>1</v>
      </c>
      <c r="G165" s="12">
        <f>VLOOKUP(E165,Precios!B$2:N$941,12,FALSE)</f>
        <v>1800.1699716713879</v>
      </c>
      <c r="H165" s="12">
        <f t="shared" si="0"/>
        <v>1800.1699716713879</v>
      </c>
      <c r="I165" s="23" t="s">
        <v>52</v>
      </c>
      <c r="J165" s="23" t="s">
        <v>61</v>
      </c>
      <c r="K165" s="24" t="s">
        <v>177</v>
      </c>
      <c r="L165" s="11"/>
      <c r="M165" s="12">
        <f t="shared" ref="M165:N165" si="170">G165/1.19</f>
        <v>1512.7478753541075</v>
      </c>
      <c r="N165" s="12">
        <f t="shared" si="170"/>
        <v>1512.7478753541075</v>
      </c>
      <c r="O165" s="12">
        <f t="shared" si="2"/>
        <v>287.42209631728042</v>
      </c>
      <c r="P165" s="13"/>
      <c r="Q165" s="14">
        <f t="shared" si="3"/>
        <v>2025</v>
      </c>
      <c r="R165" s="15">
        <f>VLOOKUP(MONTH(C165),'Datos Maestros'!M$2:N$14,2,FALSE)</f>
        <v>45536</v>
      </c>
      <c r="S165" s="11" t="str">
        <f>VLOOKUP(E165,Precios!B$2:W$941,3,FALSE)</f>
        <v>Bolsa Basura</v>
      </c>
      <c r="T165" s="16">
        <f>VLOOKUP(E165,Precios!B$2:N$941,4,FALSE)*F165</f>
        <v>0</v>
      </c>
      <c r="U165" s="17"/>
      <c r="V165" s="12">
        <f>VLOOKUP(E165,Precios!B$2:N$941,13,FALSE)*F165</f>
        <v>711.74787535410746</v>
      </c>
      <c r="W165" s="12">
        <f t="shared" si="4"/>
        <v>711.74787535410746</v>
      </c>
      <c r="X165" s="12">
        <f>VLOOKUP(B165,'Datos Maestros'!$C$2:$D$7,2,FALSE)*V165</f>
        <v>0</v>
      </c>
      <c r="Y165" s="18">
        <f t="shared" si="5"/>
        <v>45908</v>
      </c>
      <c r="Z165" s="13" t="s">
        <v>39</v>
      </c>
      <c r="AA165" s="19" t="str">
        <f>VLOOKUP(D165,Clientes!$A$2:$J$486,9,FALSE)</f>
        <v>Frecuente</v>
      </c>
      <c r="AB165" s="13" t="str">
        <f>VLOOKUP(D165,Clientes!$A$2:$K$486,11,FALSE)</f>
        <v>Persona Natural</v>
      </c>
      <c r="AC165" s="13" t="str">
        <f>VLOOKUP(D165,Clientes!$A$2:$B$486,2,FALSE)</f>
        <v>Jardin del Eden</v>
      </c>
      <c r="AD165" s="20"/>
      <c r="AE165" s="20"/>
      <c r="AF165" s="13" t="s">
        <v>40</v>
      </c>
      <c r="AG165" s="15">
        <f t="shared" si="6"/>
        <v>45536</v>
      </c>
      <c r="AH165" s="13" t="s">
        <v>41</v>
      </c>
      <c r="AI165" s="13" t="str">
        <f t="shared" si="7"/>
        <v>Articulos de Aseo</v>
      </c>
      <c r="AJ165" s="13" t="str">
        <f>VLOOKUP(E165,Precios!Z$2:AA$941,2,FALSE)</f>
        <v xml:space="preserve">Bolsas Basura TEDDY 50x70 </v>
      </c>
      <c r="AK165" s="14">
        <f>VLOOKUP(E165,Precios!Z$2:BB$941,3,FALSE)*F165</f>
        <v>-3</v>
      </c>
      <c r="AL165" s="17"/>
      <c r="AM165" s="17"/>
      <c r="AN165" s="17"/>
      <c r="AO165" s="17"/>
      <c r="AP165" s="17"/>
      <c r="AQ165" s="17"/>
      <c r="AR165" s="17"/>
      <c r="AS165" s="17"/>
      <c r="AT165" s="17"/>
      <c r="AU165" s="17"/>
      <c r="AV165" s="17"/>
    </row>
    <row r="166" spans="1:48" ht="15.75" customHeight="1">
      <c r="A166" s="21" t="s">
        <v>47</v>
      </c>
      <c r="B166" s="23" t="s">
        <v>1692</v>
      </c>
      <c r="C166" s="25">
        <v>45909</v>
      </c>
      <c r="D166" s="23" t="s">
        <v>168</v>
      </c>
      <c r="E166" s="23" t="s">
        <v>171</v>
      </c>
      <c r="F166" s="21">
        <v>1</v>
      </c>
      <c r="G166" s="12">
        <f>VLOOKUP(E166,Precios!B$2:N$941,12,FALSE)</f>
        <v>1599.7931747673217</v>
      </c>
      <c r="H166" s="12">
        <f t="shared" si="0"/>
        <v>1599.7931747673217</v>
      </c>
      <c r="I166" s="23" t="s">
        <v>52</v>
      </c>
      <c r="J166" s="23" t="s">
        <v>61</v>
      </c>
      <c r="K166" s="24" t="s">
        <v>177</v>
      </c>
      <c r="L166" s="11"/>
      <c r="M166" s="12">
        <f t="shared" ref="M166:N166" si="171">G166/1.19</f>
        <v>1344.3640124095141</v>
      </c>
      <c r="N166" s="12">
        <f t="shared" si="171"/>
        <v>1344.3640124095141</v>
      </c>
      <c r="O166" s="12">
        <f t="shared" si="2"/>
        <v>255.42916235780763</v>
      </c>
      <c r="P166" s="13"/>
      <c r="Q166" s="14">
        <f t="shared" si="3"/>
        <v>2025</v>
      </c>
      <c r="R166" s="15">
        <f>VLOOKUP(MONTH(C166),'Datos Maestros'!M$2:N$14,2,FALSE)</f>
        <v>45536</v>
      </c>
      <c r="S166" s="11" t="str">
        <f>VLOOKUP(E166,Precios!B$2:W$941,3,FALSE)</f>
        <v>Cera</v>
      </c>
      <c r="T166" s="16">
        <f>VLOOKUP(E166,Precios!B$2:N$941,4,FALSE)*F166</f>
        <v>0</v>
      </c>
      <c r="U166" s="17"/>
      <c r="V166" s="12">
        <f>VLOOKUP(E166,Precios!B$2:N$941,13,FALSE)*F166</f>
        <v>369.36401240951409</v>
      </c>
      <c r="W166" s="12">
        <f t="shared" si="4"/>
        <v>369.36401240951409</v>
      </c>
      <c r="X166" s="12">
        <f>VLOOKUP(B166,'Datos Maestros'!$C$2:$D$7,2,FALSE)*V166</f>
        <v>0</v>
      </c>
      <c r="Y166" s="18">
        <f t="shared" si="5"/>
        <v>45908</v>
      </c>
      <c r="Z166" s="13" t="s">
        <v>39</v>
      </c>
      <c r="AA166" s="19" t="str">
        <f>VLOOKUP(D166,Clientes!$A$2:$J$486,9,FALSE)</f>
        <v>Frecuente</v>
      </c>
      <c r="AB166" s="13" t="str">
        <f>VLOOKUP(D166,Clientes!$A$2:$K$486,11,FALSE)</f>
        <v>Persona Natural</v>
      </c>
      <c r="AC166" s="13" t="str">
        <f>VLOOKUP(D166,Clientes!$A$2:$B$486,2,FALSE)</f>
        <v>Jardin del Eden</v>
      </c>
      <c r="AD166" s="20"/>
      <c r="AE166" s="20"/>
      <c r="AF166" s="13" t="s">
        <v>40</v>
      </c>
      <c r="AG166" s="15">
        <f t="shared" si="6"/>
        <v>45536</v>
      </c>
      <c r="AH166" s="13" t="s">
        <v>41</v>
      </c>
      <c r="AI166" s="13" t="str">
        <f t="shared" si="7"/>
        <v>Articulos de Aseo</v>
      </c>
      <c r="AJ166" s="13" t="str">
        <f>VLOOKUP(E166,Precios!Z$2:AA$941,2,FALSE)</f>
        <v>Cera Tierra Color Brillina</v>
      </c>
      <c r="AK166" s="14">
        <f>VLOOKUP(E166,Precios!Z$2:BB$941,3,FALSE)*F166</f>
        <v>-1</v>
      </c>
      <c r="AL166" s="17"/>
      <c r="AM166" s="17"/>
      <c r="AN166" s="17"/>
      <c r="AO166" s="17"/>
      <c r="AP166" s="17"/>
      <c r="AQ166" s="17"/>
      <c r="AR166" s="17"/>
      <c r="AS166" s="17"/>
      <c r="AT166" s="17"/>
      <c r="AU166" s="17"/>
      <c r="AV166" s="17"/>
    </row>
    <row r="167" spans="1:48" ht="15.75" customHeight="1">
      <c r="A167" s="21" t="s">
        <v>53</v>
      </c>
      <c r="B167" s="23" t="s">
        <v>1692</v>
      </c>
      <c r="C167" s="25">
        <v>45909</v>
      </c>
      <c r="D167" s="23" t="s">
        <v>172</v>
      </c>
      <c r="E167" s="23" t="s">
        <v>69</v>
      </c>
      <c r="F167" s="21">
        <v>3</v>
      </c>
      <c r="G167" s="12">
        <f>VLOOKUP(E167,Precios!B$2:N$941,12,FALSE)</f>
        <v>2999.9553810458683</v>
      </c>
      <c r="H167" s="12">
        <f t="shared" si="0"/>
        <v>8999.8661431376058</v>
      </c>
      <c r="I167" s="23" t="s">
        <v>52</v>
      </c>
      <c r="J167" s="13" t="s">
        <v>38</v>
      </c>
      <c r="K167" s="24" t="s">
        <v>177</v>
      </c>
      <c r="L167" s="11"/>
      <c r="M167" s="12">
        <f t="shared" ref="M167:N167" si="172">G167/1.19</f>
        <v>2520.9709084419064</v>
      </c>
      <c r="N167" s="12">
        <f t="shared" si="172"/>
        <v>7562.9127253257193</v>
      </c>
      <c r="O167" s="12">
        <f t="shared" si="2"/>
        <v>1436.9534178118865</v>
      </c>
      <c r="P167" s="13"/>
      <c r="Q167" s="14">
        <f t="shared" si="3"/>
        <v>2025</v>
      </c>
      <c r="R167" s="15">
        <f>VLOOKUP(MONTH(C167),'Datos Maestros'!M$2:N$14,2,FALSE)</f>
        <v>45536</v>
      </c>
      <c r="S167" s="11" t="str">
        <f>VLOOKUP(E167,Precios!B$2:W$941,3,FALSE)</f>
        <v>Toalla Nova 70 mts</v>
      </c>
      <c r="T167" s="16">
        <f>VLOOKUP(E167,Precios!B$2:N$941,4,FALSE)*F167</f>
        <v>0</v>
      </c>
      <c r="U167" s="17"/>
      <c r="V167" s="12">
        <f>VLOOKUP(E167,Precios!B$2:N$941,13,FALSE)*F167</f>
        <v>2477.9127253257179</v>
      </c>
      <c r="W167" s="12">
        <f t="shared" si="4"/>
        <v>2477.9127253257179</v>
      </c>
      <c r="X167" s="12">
        <f>VLOOKUP(B167,'Datos Maestros'!$C$2:$D$7,2,FALSE)*V167</f>
        <v>0</v>
      </c>
      <c r="Y167" s="18">
        <f t="shared" si="5"/>
        <v>45908</v>
      </c>
      <c r="Z167" s="13" t="s">
        <v>39</v>
      </c>
      <c r="AA167" s="19" t="str">
        <f>VLOOKUP(D167,Clientes!$A$2:$J$486,9,FALSE)</f>
        <v>Frecuente</v>
      </c>
      <c r="AB167" s="13" t="str">
        <f>VLOOKUP(D167,Clientes!$A$2:$K$486,11,FALSE)</f>
        <v>Persona Natural</v>
      </c>
      <c r="AC167" s="13" t="str">
        <f>VLOOKUP(D167,Clientes!$A$2:$B$486,2,FALSE)</f>
        <v>Jardin del Eden</v>
      </c>
      <c r="AD167" s="20"/>
      <c r="AE167" s="20"/>
      <c r="AF167" s="13" t="s">
        <v>40</v>
      </c>
      <c r="AG167" s="15">
        <f t="shared" si="6"/>
        <v>45536</v>
      </c>
      <c r="AH167" s="13" t="s">
        <v>41</v>
      </c>
      <c r="AI167" s="13" t="str">
        <f t="shared" si="7"/>
        <v>Papeleria</v>
      </c>
      <c r="AJ167" s="13" t="str">
        <f>VLOOKUP(E167,Precios!Z$2:AA$941,2,FALSE)</f>
        <v>Toalla Papel NOVA 70 metros</v>
      </c>
      <c r="AK167" s="14">
        <f>VLOOKUP(E167,Precios!Z$2:BB$941,3,FALSE)*F167</f>
        <v>-3</v>
      </c>
      <c r="AL167" s="17"/>
      <c r="AM167" s="17"/>
      <c r="AN167" s="17"/>
      <c r="AO167" s="17"/>
      <c r="AP167" s="17"/>
      <c r="AQ167" s="17"/>
      <c r="AR167" s="17"/>
      <c r="AS167" s="17"/>
      <c r="AT167" s="17"/>
      <c r="AU167" s="17"/>
      <c r="AV167" s="17"/>
    </row>
    <row r="168" spans="1:48" ht="15.75" customHeight="1">
      <c r="A168" s="21" t="s">
        <v>64</v>
      </c>
      <c r="B168" s="23" t="s">
        <v>1692</v>
      </c>
      <c r="C168" s="25">
        <v>45909</v>
      </c>
      <c r="D168" s="23" t="s">
        <v>172</v>
      </c>
      <c r="E168" s="23" t="s">
        <v>65</v>
      </c>
      <c r="F168" s="21">
        <v>1</v>
      </c>
      <c r="G168" s="12">
        <f>VLOOKUP(E168,Precios!B$2:N$941,12,FALSE)</f>
        <v>8200.2358799633075</v>
      </c>
      <c r="H168" s="12">
        <f t="shared" si="0"/>
        <v>8200.2358799633075</v>
      </c>
      <c r="I168" s="23" t="s">
        <v>52</v>
      </c>
      <c r="J168" s="13" t="s">
        <v>38</v>
      </c>
      <c r="K168" s="24" t="s">
        <v>177</v>
      </c>
      <c r="L168" s="11"/>
      <c r="M168" s="12">
        <f t="shared" ref="M168:N168" si="173">G168/1.19</f>
        <v>6890.9545209775697</v>
      </c>
      <c r="N168" s="12">
        <f t="shared" si="173"/>
        <v>6890.9545209775697</v>
      </c>
      <c r="O168" s="12">
        <f t="shared" si="2"/>
        <v>1309.2813589857378</v>
      </c>
      <c r="P168" s="13"/>
      <c r="Q168" s="14">
        <f t="shared" si="3"/>
        <v>2025</v>
      </c>
      <c r="R168" s="15">
        <f>VLOOKUP(MONTH(C168),'Datos Maestros'!M$2:N$14,2,FALSE)</f>
        <v>45536</v>
      </c>
      <c r="S168" s="11" t="str">
        <f>VLOOKUP(E168,Precios!B$2:W$941,3,FALSE)</f>
        <v>Longanizas</v>
      </c>
      <c r="T168" s="16">
        <f>VLOOKUP(E168,Precios!B$2:N$941,4,FALSE)*F168</f>
        <v>1</v>
      </c>
      <c r="U168" s="17"/>
      <c r="V168" s="12">
        <f>VLOOKUP(E168,Precios!B$2:N$941,13,FALSE)*F168</f>
        <v>1632.4671260195864</v>
      </c>
      <c r="W168" s="12">
        <f t="shared" si="4"/>
        <v>1632.4671260195864</v>
      </c>
      <c r="X168" s="12">
        <f>VLOOKUP(B168,'Datos Maestros'!$C$2:$D$7,2,FALSE)*V168</f>
        <v>0</v>
      </c>
      <c r="Y168" s="18">
        <f t="shared" si="5"/>
        <v>45908</v>
      </c>
      <c r="Z168" s="13" t="s">
        <v>39</v>
      </c>
      <c r="AA168" s="19" t="str">
        <f>VLOOKUP(D168,Clientes!$A$2:$J$486,9,FALSE)</f>
        <v>Frecuente</v>
      </c>
      <c r="AB168" s="13" t="str">
        <f>VLOOKUP(D168,Clientes!$A$2:$K$486,11,FALSE)</f>
        <v>Persona Natural</v>
      </c>
      <c r="AC168" s="13" t="str">
        <f>VLOOKUP(D168,Clientes!$A$2:$B$486,2,FALSE)</f>
        <v>Jardin del Eden</v>
      </c>
      <c r="AD168" s="20"/>
      <c r="AE168" s="20"/>
      <c r="AF168" s="13" t="s">
        <v>40</v>
      </c>
      <c r="AG168" s="15">
        <f t="shared" si="6"/>
        <v>45536</v>
      </c>
      <c r="AH168" s="13" t="s">
        <v>41</v>
      </c>
      <c r="AI168" s="13" t="str">
        <f t="shared" si="7"/>
        <v>Longanizas</v>
      </c>
      <c r="AJ168" s="13" t="str">
        <f>VLOOKUP(E168,Precios!Z$2:AA$941,2,FALSE)</f>
        <v>Longanizas VILLABLANCA</v>
      </c>
      <c r="AK168" s="14">
        <f>VLOOKUP(E168,Precios!Z$2:BB$941,3,FALSE)*F168</f>
        <v>-1</v>
      </c>
      <c r="AL168" s="17"/>
      <c r="AM168" s="17"/>
      <c r="AN168" s="17"/>
      <c r="AO168" s="17"/>
      <c r="AP168" s="17"/>
      <c r="AQ168" s="17"/>
      <c r="AR168" s="17"/>
      <c r="AS168" s="17"/>
      <c r="AT168" s="17"/>
      <c r="AU168" s="17"/>
      <c r="AV168" s="17"/>
    </row>
    <row r="169" spans="1:48" ht="15.75" customHeight="1">
      <c r="A169" s="21" t="s">
        <v>64</v>
      </c>
      <c r="B169" s="23" t="s">
        <v>1692</v>
      </c>
      <c r="C169" s="25">
        <v>45909</v>
      </c>
      <c r="D169" s="23" t="s">
        <v>172</v>
      </c>
      <c r="E169" s="23" t="s">
        <v>173</v>
      </c>
      <c r="F169" s="21">
        <v>-1</v>
      </c>
      <c r="G169" s="12">
        <f>VLOOKUP(E169,Precios!B$2:N$941,12,FALSE)</f>
        <v>23999.589943360927</v>
      </c>
      <c r="H169" s="12">
        <f t="shared" si="0"/>
        <v>-23999.589943360927</v>
      </c>
      <c r="I169" s="23" t="s">
        <v>52</v>
      </c>
      <c r="J169" s="13" t="s">
        <v>38</v>
      </c>
      <c r="K169" s="24" t="s">
        <v>177</v>
      </c>
      <c r="L169" s="11"/>
      <c r="M169" s="12">
        <f t="shared" ref="M169:N169" si="174">G169/1.19</f>
        <v>20167.72264147977</v>
      </c>
      <c r="N169" s="12">
        <f t="shared" si="174"/>
        <v>-20167.72264147977</v>
      </c>
      <c r="O169" s="12">
        <f t="shared" si="2"/>
        <v>-3831.8673018811569</v>
      </c>
      <c r="P169" s="13"/>
      <c r="Q169" s="14">
        <f t="shared" si="3"/>
        <v>2025</v>
      </c>
      <c r="R169" s="15">
        <f>VLOOKUP(MONTH(C169),'Datos Maestros'!M$2:N$14,2,FALSE)</f>
        <v>45536</v>
      </c>
      <c r="S169" s="11" t="str">
        <f>VLOOKUP(E169,Precios!B$2:W$941,3,FALSE)</f>
        <v>Longanizas</v>
      </c>
      <c r="T169" s="16">
        <f>VLOOKUP(E169,Precios!B$2:N$941,4,FALSE)*F169</f>
        <v>-3</v>
      </c>
      <c r="U169" s="17"/>
      <c r="V169" s="12">
        <f>VLOOKUP(E169,Precios!B$2:N$941,13,FALSE)*F169</f>
        <v>-4429.2352465217864</v>
      </c>
      <c r="W169" s="12">
        <f t="shared" si="4"/>
        <v>-4429.2352465217864</v>
      </c>
      <c r="X169" s="12">
        <f>VLOOKUP(B169,'Datos Maestros'!$C$2:$D$7,2,FALSE)*V169</f>
        <v>0</v>
      </c>
      <c r="Y169" s="18">
        <f t="shared" si="5"/>
        <v>45908</v>
      </c>
      <c r="Z169" s="13" t="s">
        <v>39</v>
      </c>
      <c r="AA169" s="19" t="str">
        <f>VLOOKUP(D169,Clientes!$A$2:$J$486,9,FALSE)</f>
        <v>Frecuente</v>
      </c>
      <c r="AB169" s="13" t="str">
        <f>VLOOKUP(D169,Clientes!$A$2:$K$486,11,FALSE)</f>
        <v>Persona Natural</v>
      </c>
      <c r="AC169" s="13" t="str">
        <f>VLOOKUP(D169,Clientes!$A$2:$B$486,2,FALSE)</f>
        <v>Jardin del Eden</v>
      </c>
      <c r="AD169" s="20"/>
      <c r="AE169" s="20"/>
      <c r="AF169" s="13" t="s">
        <v>40</v>
      </c>
      <c r="AG169" s="15">
        <f t="shared" si="6"/>
        <v>45536</v>
      </c>
      <c r="AH169" s="13" t="s">
        <v>41</v>
      </c>
      <c r="AI169" s="13" t="str">
        <f t="shared" si="7"/>
        <v>Longanizas</v>
      </c>
      <c r="AJ169" s="13" t="str">
        <f>VLOOKUP(E169,Precios!Z$2:AA$941,2,FALSE)</f>
        <v>Longanizas VILLABLANCA</v>
      </c>
      <c r="AK169" s="14">
        <f>VLOOKUP(E169,Precios!Z$2:BB$941,3,FALSE)*F169</f>
        <v>3</v>
      </c>
      <c r="AL169" s="17"/>
      <c r="AM169" s="17"/>
      <c r="AN169" s="17"/>
      <c r="AO169" s="17"/>
      <c r="AP169" s="17"/>
      <c r="AQ169" s="17"/>
      <c r="AR169" s="17"/>
      <c r="AS169" s="17"/>
      <c r="AT169" s="17"/>
      <c r="AU169" s="17"/>
      <c r="AV169" s="17"/>
    </row>
    <row r="170" spans="1:48" ht="15.75" customHeight="1">
      <c r="A170" s="21" t="s">
        <v>35</v>
      </c>
      <c r="B170" s="23" t="s">
        <v>1692</v>
      </c>
      <c r="C170" s="25">
        <v>45909</v>
      </c>
      <c r="D170" s="23" t="s">
        <v>115</v>
      </c>
      <c r="E170" s="23" t="s">
        <v>46</v>
      </c>
      <c r="F170" s="14">
        <v>1</v>
      </c>
      <c r="G170" s="12">
        <f>VLOOKUP(E170,Precios!B$2:N$941,12,FALSE)</f>
        <v>6000.1548227279782</v>
      </c>
      <c r="H170" s="12">
        <f t="shared" si="0"/>
        <v>6000.1548227279782</v>
      </c>
      <c r="I170" s="23" t="s">
        <v>52</v>
      </c>
      <c r="J170" s="13" t="s">
        <v>38</v>
      </c>
      <c r="K170" s="24" t="s">
        <v>177</v>
      </c>
      <c r="L170" s="11"/>
      <c r="M170" s="12">
        <f t="shared" ref="M170:N170" si="175">G170/1.19</f>
        <v>5042.1469098554444</v>
      </c>
      <c r="N170" s="12">
        <f t="shared" si="175"/>
        <v>5042.1469098554444</v>
      </c>
      <c r="O170" s="12">
        <f t="shared" si="2"/>
        <v>958.00791287253378</v>
      </c>
      <c r="P170" s="13"/>
      <c r="Q170" s="14">
        <f t="shared" si="3"/>
        <v>2025</v>
      </c>
      <c r="R170" s="15">
        <f>VLOOKUP(MONTH(C170),'Datos Maestros'!M$2:N$14,2,FALSE)</f>
        <v>45536</v>
      </c>
      <c r="S170" s="11" t="str">
        <f>VLOOKUP(E170,Precios!B$2:W$941,3,FALSE)</f>
        <v>Queso Mantecoso</v>
      </c>
      <c r="T170" s="16">
        <f>VLOOKUP(E170,Precios!B$2:N$941,4,FALSE)*F170</f>
        <v>500</v>
      </c>
      <c r="U170" s="17"/>
      <c r="V170" s="12">
        <f>VLOOKUP(E170,Precios!B$2:N$941,13,FALSE)*F170</f>
        <v>1785.4242207798129</v>
      </c>
      <c r="W170" s="12">
        <f t="shared" si="4"/>
        <v>1785.4242207798129</v>
      </c>
      <c r="X170" s="12">
        <f>VLOOKUP(B170,'Datos Maestros'!$C$2:$D$7,2,FALSE)*V170</f>
        <v>0</v>
      </c>
      <c r="Y170" s="18">
        <f t="shared" si="5"/>
        <v>45908</v>
      </c>
      <c r="Z170" s="13" t="s">
        <v>39</v>
      </c>
      <c r="AA170" s="19" t="str">
        <f>VLOOKUP(D170,Clientes!$A$2:$J$486,9,FALSE)</f>
        <v>Ocacional</v>
      </c>
      <c r="AB170" s="13" t="str">
        <f>VLOOKUP(D170,Clientes!$A$2:$K$486,11,FALSE)</f>
        <v>Persona Natural</v>
      </c>
      <c r="AC170" s="13" t="str">
        <f>VLOOKUP(D170,Clientes!$A$2:$B$486,2,FALSE)</f>
        <v>Jardines de la viña</v>
      </c>
      <c r="AD170" s="20"/>
      <c r="AE170" s="20"/>
      <c r="AF170" s="13" t="s">
        <v>40</v>
      </c>
      <c r="AG170" s="15">
        <f t="shared" si="6"/>
        <v>45536</v>
      </c>
      <c r="AH170" s="13" t="s">
        <v>41</v>
      </c>
      <c r="AI170" s="13" t="str">
        <f t="shared" si="7"/>
        <v>Quesos</v>
      </c>
      <c r="AJ170" s="13" t="str">
        <f>VLOOKUP(E170,Precios!Z$2:AA$941,2,FALSE)</f>
        <v>Queso RUNCA Mantecoso</v>
      </c>
      <c r="AK170" s="14">
        <f>VLOOKUP(E170,Precios!Z$2:BB$941,3,FALSE)*F170</f>
        <v>-0.5</v>
      </c>
      <c r="AL170" s="17"/>
      <c r="AM170" s="17"/>
      <c r="AN170" s="17"/>
      <c r="AO170" s="17"/>
      <c r="AP170" s="17"/>
      <c r="AQ170" s="17"/>
      <c r="AR170" s="17"/>
      <c r="AS170" s="17"/>
      <c r="AT170" s="17"/>
      <c r="AU170" s="17"/>
      <c r="AV170" s="17"/>
    </row>
    <row r="171" spans="1:48" ht="15.75" customHeight="1">
      <c r="A171" s="21" t="s">
        <v>35</v>
      </c>
      <c r="B171" s="23" t="s">
        <v>1692</v>
      </c>
      <c r="C171" s="25">
        <v>45908</v>
      </c>
      <c r="D171" s="23" t="s">
        <v>44</v>
      </c>
      <c r="E171" s="23" t="s">
        <v>117</v>
      </c>
      <c r="F171" s="14">
        <v>1</v>
      </c>
      <c r="G171" s="12">
        <f>VLOOKUP(E171,Precios!B$2:N$941,12,FALSE)</f>
        <v>8999.8271341726922</v>
      </c>
      <c r="H171" s="12">
        <f t="shared" si="0"/>
        <v>8999.8271341726922</v>
      </c>
      <c r="I171" s="23" t="s">
        <v>52</v>
      </c>
      <c r="J171" s="23" t="s">
        <v>61</v>
      </c>
      <c r="K171" s="24" t="s">
        <v>177</v>
      </c>
      <c r="L171" s="11"/>
      <c r="M171" s="12">
        <f t="shared" ref="M171:N171" si="176">G171/1.19</f>
        <v>7562.8799446829353</v>
      </c>
      <c r="N171" s="12">
        <f t="shared" si="176"/>
        <v>7562.8799446829353</v>
      </c>
      <c r="O171" s="12">
        <f t="shared" si="2"/>
        <v>1436.947189489757</v>
      </c>
      <c r="P171" s="13"/>
      <c r="Q171" s="14">
        <f t="shared" si="3"/>
        <v>2025</v>
      </c>
      <c r="R171" s="15">
        <f>VLOOKUP(MONTH(C171),'Datos Maestros'!M$2:N$14,2,FALSE)</f>
        <v>45536</v>
      </c>
      <c r="S171" s="11" t="str">
        <f>VLOOKUP(E171,Precios!B$2:W$941,3,FALSE)</f>
        <v>Queso Mantecoso</v>
      </c>
      <c r="T171" s="16">
        <f>VLOOKUP(E171,Precios!B$2:N$941,4,FALSE)*F171</f>
        <v>750</v>
      </c>
      <c r="U171" s="17"/>
      <c r="V171" s="12">
        <f>VLOOKUP(E171,Precios!B$2:N$941,13,FALSE)*F171</f>
        <v>2312.8799446829353</v>
      </c>
      <c r="W171" s="12">
        <f t="shared" si="4"/>
        <v>2312.8799446829353</v>
      </c>
      <c r="X171" s="12">
        <f>VLOOKUP(B171,'Datos Maestros'!$C$2:$D$7,2,FALSE)*V171</f>
        <v>0</v>
      </c>
      <c r="Y171" s="18">
        <f t="shared" si="5"/>
        <v>45908</v>
      </c>
      <c r="Z171" s="13" t="s">
        <v>39</v>
      </c>
      <c r="AA171" s="19" t="str">
        <f>VLOOKUP(D171,Clientes!$A$2:$J$486,9,FALSE)</f>
        <v>Frecuente</v>
      </c>
      <c r="AB171" s="13" t="str">
        <f>VLOOKUP(D171,Clientes!$A$2:$K$486,11,FALSE)</f>
        <v>Persona Natural</v>
      </c>
      <c r="AC171" s="13" t="str">
        <f>VLOOKUP(D171,Clientes!$A$2:$B$486,2,FALSE)</f>
        <v>Sector Colombia</v>
      </c>
      <c r="AD171" s="20"/>
      <c r="AE171" s="20"/>
      <c r="AF171" s="13" t="s">
        <v>40</v>
      </c>
      <c r="AG171" s="15">
        <f t="shared" si="6"/>
        <v>45536</v>
      </c>
      <c r="AH171" s="13" t="s">
        <v>41</v>
      </c>
      <c r="AI171" s="13" t="str">
        <f t="shared" si="7"/>
        <v>Quesos</v>
      </c>
      <c r="AJ171" s="13" t="str">
        <f>VLOOKUP(E171,Precios!Z$2:AA$941,2,FALSE)</f>
        <v>Queso RUNCA Laminado Mantecoso</v>
      </c>
      <c r="AK171" s="14">
        <f>VLOOKUP(E171,Precios!Z$2:BB$941,3,FALSE)*F171</f>
        <v>-0.75</v>
      </c>
      <c r="AL171" s="17"/>
      <c r="AM171" s="17"/>
      <c r="AN171" s="17"/>
      <c r="AO171" s="17"/>
      <c r="AP171" s="17"/>
      <c r="AQ171" s="17"/>
      <c r="AR171" s="17"/>
      <c r="AS171" s="17"/>
      <c r="AT171" s="17"/>
      <c r="AU171" s="17"/>
      <c r="AV171" s="17"/>
    </row>
    <row r="172" spans="1:48" ht="15.75" customHeight="1">
      <c r="A172" s="21" t="s">
        <v>43</v>
      </c>
      <c r="B172" s="23" t="s">
        <v>1692</v>
      </c>
      <c r="C172" s="22">
        <v>45908</v>
      </c>
      <c r="D172" s="23" t="s">
        <v>174</v>
      </c>
      <c r="E172" s="23" t="s">
        <v>45</v>
      </c>
      <c r="F172" s="21">
        <v>1</v>
      </c>
      <c r="G172" s="12">
        <f>VLOOKUP(E172,Precios!B$2:N$941,12,FALSE)</f>
        <v>8000.1831784723063</v>
      </c>
      <c r="H172" s="12">
        <f t="shared" si="0"/>
        <v>8000.1831784723063</v>
      </c>
      <c r="I172" s="23" t="s">
        <v>52</v>
      </c>
      <c r="J172" s="23" t="s">
        <v>61</v>
      </c>
      <c r="K172" s="24" t="s">
        <v>177</v>
      </c>
      <c r="L172" s="11"/>
      <c r="M172" s="12">
        <f t="shared" ref="M172:N172" si="177">G172/1.19</f>
        <v>6722.8430071195853</v>
      </c>
      <c r="N172" s="12">
        <f t="shared" si="177"/>
        <v>6722.8430071195853</v>
      </c>
      <c r="O172" s="12">
        <f t="shared" si="2"/>
        <v>1277.340171352721</v>
      </c>
      <c r="P172" s="13"/>
      <c r="Q172" s="14">
        <f t="shared" si="3"/>
        <v>2025</v>
      </c>
      <c r="R172" s="15">
        <f>VLOOKUP(MONTH(C172),'Datos Maestros'!M$2:N$14,2,FALSE)</f>
        <v>45536</v>
      </c>
      <c r="S172" s="11" t="str">
        <f>VLOOKUP(E172,Precios!B$2:W$941,3,FALSE)</f>
        <v>Huevos EXTRA</v>
      </c>
      <c r="T172" s="16">
        <f>VLOOKUP(E172,Precios!B$2:N$941,4,FALSE)*F172</f>
        <v>0</v>
      </c>
      <c r="U172" s="17"/>
      <c r="V172" s="12">
        <f>VLOOKUP(E172,Precios!B$2:N$941,13,FALSE)*F172</f>
        <v>1151.6230071195851</v>
      </c>
      <c r="W172" s="12">
        <f t="shared" si="4"/>
        <v>1151.6230071195851</v>
      </c>
      <c r="X172" s="12">
        <f>VLOOKUP(B172,'Datos Maestros'!$C$2:$D$7,2,FALSE)*V172</f>
        <v>0</v>
      </c>
      <c r="Y172" s="18">
        <f t="shared" si="5"/>
        <v>45908</v>
      </c>
      <c r="Z172" s="13" t="s">
        <v>39</v>
      </c>
      <c r="AA172" s="19" t="str">
        <f>VLOOKUP(D172,Clientes!$A$2:$J$486,9,FALSE)</f>
        <v>Ocacional</v>
      </c>
      <c r="AB172" s="13" t="str">
        <f>VLOOKUP(D172,Clientes!$A$2:$K$486,11,FALSE)</f>
        <v>Persona Natural</v>
      </c>
      <c r="AC172" s="13" t="str">
        <f>VLOOKUP(D172,Clientes!$A$2:$B$486,2,FALSE)</f>
        <v>Palena</v>
      </c>
      <c r="AD172" s="20"/>
      <c r="AE172" s="20"/>
      <c r="AF172" s="13" t="s">
        <v>40</v>
      </c>
      <c r="AG172" s="15">
        <f t="shared" si="6"/>
        <v>45536</v>
      </c>
      <c r="AH172" s="13" t="s">
        <v>41</v>
      </c>
      <c r="AI172" s="13" t="str">
        <f t="shared" si="7"/>
        <v>Huevos</v>
      </c>
      <c r="AJ172" s="13" t="str">
        <f>VLOOKUP(E172,Precios!Z$2:AA$941,2,FALSE)</f>
        <v>Bandeja Huevos EXTRA</v>
      </c>
      <c r="AK172" s="14">
        <f>VLOOKUP(E172,Precios!Z$2:BB$941,3,FALSE)*F172</f>
        <v>-1</v>
      </c>
      <c r="AL172" s="17"/>
      <c r="AM172" s="17"/>
      <c r="AN172" s="17"/>
      <c r="AO172" s="17"/>
      <c r="AP172" s="17"/>
      <c r="AQ172" s="17"/>
      <c r="AR172" s="17"/>
      <c r="AS172" s="17"/>
      <c r="AT172" s="17"/>
      <c r="AU172" s="17"/>
      <c r="AV172" s="17"/>
    </row>
    <row r="173" spans="1:48" ht="15.75" customHeight="1">
      <c r="A173" s="21" t="s">
        <v>64</v>
      </c>
      <c r="B173" s="23" t="s">
        <v>1692</v>
      </c>
      <c r="C173" s="22">
        <v>45908</v>
      </c>
      <c r="D173" s="23" t="s">
        <v>175</v>
      </c>
      <c r="E173" s="23" t="s">
        <v>65</v>
      </c>
      <c r="F173" s="21">
        <v>1</v>
      </c>
      <c r="G173" s="12">
        <f>VLOOKUP(E173,Precios!B$2:N$941,12,FALSE)</f>
        <v>8200.2358799633075</v>
      </c>
      <c r="H173" s="12">
        <f t="shared" si="0"/>
        <v>8200.2358799633075</v>
      </c>
      <c r="I173" s="23" t="s">
        <v>52</v>
      </c>
      <c r="J173" s="23" t="s">
        <v>61</v>
      </c>
      <c r="K173" s="24" t="s">
        <v>177</v>
      </c>
      <c r="L173" s="11"/>
      <c r="M173" s="12">
        <f t="shared" ref="M173:N173" si="178">G173/1.19</f>
        <v>6890.9545209775697</v>
      </c>
      <c r="N173" s="12">
        <f t="shared" si="178"/>
        <v>6890.9545209775697</v>
      </c>
      <c r="O173" s="12">
        <f t="shared" si="2"/>
        <v>1309.2813589857378</v>
      </c>
      <c r="P173" s="13"/>
      <c r="Q173" s="14">
        <f t="shared" si="3"/>
        <v>2025</v>
      </c>
      <c r="R173" s="15">
        <f>VLOOKUP(MONTH(C173),'Datos Maestros'!M$2:N$14,2,FALSE)</f>
        <v>45536</v>
      </c>
      <c r="S173" s="11" t="str">
        <f>VLOOKUP(E173,Precios!B$2:W$941,3,FALSE)</f>
        <v>Longanizas</v>
      </c>
      <c r="T173" s="16">
        <f>VLOOKUP(E173,Precios!B$2:N$941,4,FALSE)*F173</f>
        <v>1</v>
      </c>
      <c r="U173" s="17"/>
      <c r="V173" s="12">
        <f>VLOOKUP(E173,Precios!B$2:N$941,13,FALSE)*F173</f>
        <v>1632.4671260195864</v>
      </c>
      <c r="W173" s="12">
        <f t="shared" si="4"/>
        <v>1632.4671260195864</v>
      </c>
      <c r="X173" s="12">
        <f>VLOOKUP(B173,'Datos Maestros'!$C$2:$D$7,2,FALSE)*V173</f>
        <v>0</v>
      </c>
      <c r="Y173" s="18">
        <f t="shared" si="5"/>
        <v>45908</v>
      </c>
      <c r="Z173" s="13" t="s">
        <v>39</v>
      </c>
      <c r="AA173" s="19" t="str">
        <f>VLOOKUP(D173,Clientes!$A$2:$J$486,9,FALSE)</f>
        <v>Ocacional</v>
      </c>
      <c r="AB173" s="13" t="str">
        <f>VLOOKUP(D173,Clientes!$A$2:$K$486,11,FALSE)</f>
        <v>Persona Natural</v>
      </c>
      <c r="AC173" s="13" t="str">
        <f>VLOOKUP(D173,Clientes!$A$2:$B$486,2,FALSE)</f>
        <v>Palena</v>
      </c>
      <c r="AD173" s="20"/>
      <c r="AE173" s="20"/>
      <c r="AF173" s="13" t="s">
        <v>40</v>
      </c>
      <c r="AG173" s="15">
        <f t="shared" si="6"/>
        <v>45536</v>
      </c>
      <c r="AH173" s="13" t="s">
        <v>41</v>
      </c>
      <c r="AI173" s="13" t="str">
        <f t="shared" si="7"/>
        <v>Longanizas</v>
      </c>
      <c r="AJ173" s="13" t="str">
        <f>VLOOKUP(E173,Precios!Z$2:AA$941,2,FALSE)</f>
        <v>Longanizas VILLABLANCA</v>
      </c>
      <c r="AK173" s="14">
        <f>VLOOKUP(E173,Precios!Z$2:BB$941,3,FALSE)*F173</f>
        <v>-1</v>
      </c>
      <c r="AL173" s="17"/>
      <c r="AM173" s="17"/>
      <c r="AN173" s="17"/>
      <c r="AO173" s="17"/>
      <c r="AP173" s="17"/>
      <c r="AQ173" s="17"/>
      <c r="AR173" s="17"/>
      <c r="AS173" s="17"/>
      <c r="AT173" s="17"/>
      <c r="AU173" s="17"/>
      <c r="AV173" s="17"/>
    </row>
    <row r="174" spans="1:48" ht="15.75" customHeight="1">
      <c r="A174" s="21" t="s">
        <v>43</v>
      </c>
      <c r="B174" s="23" t="s">
        <v>1692</v>
      </c>
      <c r="C174" s="22">
        <v>45908</v>
      </c>
      <c r="D174" s="23" t="s">
        <v>176</v>
      </c>
      <c r="E174" s="23" t="s">
        <v>45</v>
      </c>
      <c r="F174" s="21">
        <v>1</v>
      </c>
      <c r="G174" s="12">
        <f>VLOOKUP(E174,Precios!B$2:N$941,12,FALSE)</f>
        <v>8000.1831784723063</v>
      </c>
      <c r="H174" s="12">
        <f t="shared" si="0"/>
        <v>8000.1831784723063</v>
      </c>
      <c r="I174" s="23" t="s">
        <v>52</v>
      </c>
      <c r="J174" s="23" t="s">
        <v>61</v>
      </c>
      <c r="K174" s="24" t="s">
        <v>177</v>
      </c>
      <c r="L174" s="11"/>
      <c r="M174" s="12">
        <f t="shared" ref="M174:N174" si="179">G174/1.19</f>
        <v>6722.8430071195853</v>
      </c>
      <c r="N174" s="12">
        <f t="shared" si="179"/>
        <v>6722.8430071195853</v>
      </c>
      <c r="O174" s="12">
        <f t="shared" si="2"/>
        <v>1277.340171352721</v>
      </c>
      <c r="P174" s="13"/>
      <c r="Q174" s="14">
        <f t="shared" si="3"/>
        <v>2025</v>
      </c>
      <c r="R174" s="15">
        <f>VLOOKUP(MONTH(C174),'Datos Maestros'!M$2:N$14,2,FALSE)</f>
        <v>45536</v>
      </c>
      <c r="S174" s="11" t="str">
        <f>VLOOKUP(E174,Precios!B$2:W$941,3,FALSE)</f>
        <v>Huevos EXTRA</v>
      </c>
      <c r="T174" s="16">
        <f>VLOOKUP(E174,Precios!B$2:N$941,4,FALSE)*F174</f>
        <v>0</v>
      </c>
      <c r="U174" s="17"/>
      <c r="V174" s="12">
        <f>VLOOKUP(E174,Precios!B$2:N$941,13,FALSE)*F174</f>
        <v>1151.6230071195851</v>
      </c>
      <c r="W174" s="12">
        <f t="shared" si="4"/>
        <v>1151.6230071195851</v>
      </c>
      <c r="X174" s="12">
        <f>VLOOKUP(B174,'Datos Maestros'!$C$2:$D$7,2,FALSE)*V174</f>
        <v>0</v>
      </c>
      <c r="Y174" s="18">
        <f t="shared" si="5"/>
        <v>45908</v>
      </c>
      <c r="Z174" s="13" t="s">
        <v>39</v>
      </c>
      <c r="AA174" s="19" t="str">
        <f>VLOOKUP(D174,Clientes!$A$2:$J$486,9,FALSE)</f>
        <v>Ocacional</v>
      </c>
      <c r="AB174" s="13" t="str">
        <f>VLOOKUP(D174,Clientes!$A$2:$K$486,11,FALSE)</f>
        <v>Persona Natural</v>
      </c>
      <c r="AC174" s="13" t="str">
        <f>VLOOKUP(D174,Clientes!$A$2:$B$486,2,FALSE)</f>
        <v>Jardines de la viña</v>
      </c>
      <c r="AD174" s="20"/>
      <c r="AE174" s="20"/>
      <c r="AF174" s="13" t="s">
        <v>40</v>
      </c>
      <c r="AG174" s="15">
        <f t="shared" si="6"/>
        <v>45536</v>
      </c>
      <c r="AH174" s="13" t="s">
        <v>41</v>
      </c>
      <c r="AI174" s="13" t="str">
        <f t="shared" si="7"/>
        <v>Huevos</v>
      </c>
      <c r="AJ174" s="13" t="str">
        <f>VLOOKUP(E174,Precios!Z$2:AA$941,2,FALSE)</f>
        <v>Bandeja Huevos EXTRA</v>
      </c>
      <c r="AK174" s="14">
        <f>VLOOKUP(E174,Precios!Z$2:BB$941,3,FALSE)*F174</f>
        <v>-1</v>
      </c>
      <c r="AL174" s="17"/>
      <c r="AM174" s="17"/>
      <c r="AN174" s="17"/>
      <c r="AO174" s="17"/>
      <c r="AP174" s="17"/>
      <c r="AQ174" s="17"/>
      <c r="AR174" s="17"/>
      <c r="AS174" s="17"/>
      <c r="AT174" s="17"/>
      <c r="AU174" s="17"/>
      <c r="AV174" s="17"/>
    </row>
    <row r="175" spans="1:48" ht="15.75" customHeight="1">
      <c r="A175" s="21" t="s">
        <v>64</v>
      </c>
      <c r="B175" s="23" t="s">
        <v>1692</v>
      </c>
      <c r="C175" s="22">
        <v>45908</v>
      </c>
      <c r="D175" s="23" t="s">
        <v>176</v>
      </c>
      <c r="E175" s="23" t="s">
        <v>65</v>
      </c>
      <c r="F175" s="21">
        <v>1</v>
      </c>
      <c r="G175" s="12">
        <f>VLOOKUP(E175,Precios!B$2:N$941,12,FALSE)</f>
        <v>8200.2358799633075</v>
      </c>
      <c r="H175" s="12">
        <f t="shared" si="0"/>
        <v>8200.2358799633075</v>
      </c>
      <c r="I175" s="23" t="s">
        <v>52</v>
      </c>
      <c r="J175" s="23" t="s">
        <v>61</v>
      </c>
      <c r="K175" s="24" t="s">
        <v>177</v>
      </c>
      <c r="L175" s="11"/>
      <c r="M175" s="12">
        <f t="shared" ref="M175:N175" si="180">G175/1.19</f>
        <v>6890.9545209775697</v>
      </c>
      <c r="N175" s="12">
        <f t="shared" si="180"/>
        <v>6890.9545209775697</v>
      </c>
      <c r="O175" s="12">
        <f t="shared" si="2"/>
        <v>1309.2813589857378</v>
      </c>
      <c r="P175" s="13"/>
      <c r="Q175" s="14">
        <f t="shared" si="3"/>
        <v>2025</v>
      </c>
      <c r="R175" s="15">
        <f>VLOOKUP(MONTH(C175),'Datos Maestros'!M$2:N$14,2,FALSE)</f>
        <v>45536</v>
      </c>
      <c r="S175" s="11" t="str">
        <f>VLOOKUP(E175,Precios!B$2:W$941,3,FALSE)</f>
        <v>Longanizas</v>
      </c>
      <c r="T175" s="16">
        <f>VLOOKUP(E175,Precios!B$2:N$941,4,FALSE)*F175</f>
        <v>1</v>
      </c>
      <c r="U175" s="17"/>
      <c r="V175" s="12">
        <f>VLOOKUP(E175,Precios!B$2:N$941,13,FALSE)*F175</f>
        <v>1632.4671260195864</v>
      </c>
      <c r="W175" s="12">
        <f t="shared" si="4"/>
        <v>1632.4671260195864</v>
      </c>
      <c r="X175" s="12">
        <f>VLOOKUP(B175,'Datos Maestros'!$C$2:$D$7,2,FALSE)*V175</f>
        <v>0</v>
      </c>
      <c r="Y175" s="18">
        <f t="shared" si="5"/>
        <v>45908</v>
      </c>
      <c r="Z175" s="13" t="s">
        <v>39</v>
      </c>
      <c r="AA175" s="19" t="str">
        <f>VLOOKUP(D175,Clientes!$A$2:$J$486,9,FALSE)</f>
        <v>Ocacional</v>
      </c>
      <c r="AB175" s="13" t="str">
        <f>VLOOKUP(D175,Clientes!$A$2:$K$486,11,FALSE)</f>
        <v>Persona Natural</v>
      </c>
      <c r="AC175" s="13" t="str">
        <f>VLOOKUP(D175,Clientes!$A$2:$B$486,2,FALSE)</f>
        <v>Jardines de la viña</v>
      </c>
      <c r="AD175" s="20"/>
      <c r="AE175" s="20"/>
      <c r="AF175" s="13" t="s">
        <v>40</v>
      </c>
      <c r="AG175" s="15">
        <f t="shared" si="6"/>
        <v>45536</v>
      </c>
      <c r="AH175" s="13" t="s">
        <v>41</v>
      </c>
      <c r="AI175" s="13" t="str">
        <f t="shared" si="7"/>
        <v>Longanizas</v>
      </c>
      <c r="AJ175" s="13" t="str">
        <f>VLOOKUP(E175,Precios!Z$2:AA$941,2,FALSE)</f>
        <v>Longanizas VILLABLANCA</v>
      </c>
      <c r="AK175" s="14">
        <f>VLOOKUP(E175,Precios!Z$2:BB$941,3,FALSE)*F175</f>
        <v>-1</v>
      </c>
      <c r="AL175" s="17"/>
      <c r="AM175" s="17"/>
      <c r="AN175" s="17"/>
      <c r="AO175" s="17"/>
      <c r="AP175" s="17"/>
      <c r="AQ175" s="17"/>
      <c r="AR175" s="17"/>
      <c r="AS175" s="17"/>
      <c r="AT175" s="17"/>
      <c r="AU175" s="17"/>
      <c r="AV175" s="17"/>
    </row>
    <row r="176" spans="1:48" ht="15.75" customHeight="1">
      <c r="A176" s="21" t="s">
        <v>35</v>
      </c>
      <c r="B176" s="23" t="s">
        <v>1692</v>
      </c>
      <c r="C176" s="22">
        <v>45908</v>
      </c>
      <c r="D176" s="23" t="s">
        <v>176</v>
      </c>
      <c r="E176" s="23" t="s">
        <v>37</v>
      </c>
      <c r="F176" s="21">
        <v>1</v>
      </c>
      <c r="G176" s="12">
        <f>VLOOKUP(E176,Precios!B$2:N$941,12,FALSE)</f>
        <v>11000.014358944907</v>
      </c>
      <c r="H176" s="12">
        <f t="shared" si="0"/>
        <v>11000.014358944907</v>
      </c>
      <c r="I176" s="23" t="s">
        <v>52</v>
      </c>
      <c r="J176" s="23" t="s">
        <v>61</v>
      </c>
      <c r="K176" s="24" t="s">
        <v>177</v>
      </c>
      <c r="L176" s="11"/>
      <c r="M176" s="12">
        <f t="shared" ref="M176:N176" si="181">G176/1.19</f>
        <v>9243.7095453318543</v>
      </c>
      <c r="N176" s="12">
        <f t="shared" si="181"/>
        <v>9243.7095453318543</v>
      </c>
      <c r="O176" s="12">
        <f t="shared" si="2"/>
        <v>1756.3048136130528</v>
      </c>
      <c r="P176" s="13"/>
      <c r="Q176" s="14">
        <f t="shared" si="3"/>
        <v>2025</v>
      </c>
      <c r="R176" s="15">
        <f>VLOOKUP(MONTH(C176),'Datos Maestros'!M$2:N$14,2,FALSE)</f>
        <v>45536</v>
      </c>
      <c r="S176" s="11" t="str">
        <f>VLOOKUP(E176,Precios!B$2:W$941,3,FALSE)</f>
        <v>Queso Mantecoso</v>
      </c>
      <c r="T176" s="16">
        <f>VLOOKUP(E176,Precios!B$2:N$941,4,FALSE)*F176</f>
        <v>1000</v>
      </c>
      <c r="U176" s="17"/>
      <c r="V176" s="12">
        <f>VLOOKUP(E176,Precios!B$2:N$941,13,FALSE)*F176</f>
        <v>2806.1129066763915</v>
      </c>
      <c r="W176" s="12">
        <f t="shared" si="4"/>
        <v>2806.1129066763915</v>
      </c>
      <c r="X176" s="12">
        <f>VLOOKUP(B176,'Datos Maestros'!$C$2:$D$7,2,FALSE)*V176</f>
        <v>0</v>
      </c>
      <c r="Y176" s="18">
        <f t="shared" si="5"/>
        <v>45908</v>
      </c>
      <c r="Z176" s="13" t="s">
        <v>39</v>
      </c>
      <c r="AA176" s="19" t="str">
        <f>VLOOKUP(D176,Clientes!$A$2:$J$486,9,FALSE)</f>
        <v>Ocacional</v>
      </c>
      <c r="AB176" s="13" t="str">
        <f>VLOOKUP(D176,Clientes!$A$2:$K$486,11,FALSE)</f>
        <v>Persona Natural</v>
      </c>
      <c r="AC176" s="13" t="str">
        <f>VLOOKUP(D176,Clientes!$A$2:$B$486,2,FALSE)</f>
        <v>Jardines de la viña</v>
      </c>
      <c r="AD176" s="20"/>
      <c r="AE176" s="20"/>
      <c r="AF176" s="13" t="s">
        <v>40</v>
      </c>
      <c r="AG176" s="15">
        <f t="shared" si="6"/>
        <v>45536</v>
      </c>
      <c r="AH176" s="13" t="s">
        <v>41</v>
      </c>
      <c r="AI176" s="13" t="str">
        <f t="shared" si="7"/>
        <v>Quesos</v>
      </c>
      <c r="AJ176" s="13" t="str">
        <f>VLOOKUP(E176,Precios!Z$2:AA$941,2,FALSE)</f>
        <v>Queso RUNCA Mantecoso</v>
      </c>
      <c r="AK176" s="14">
        <f>VLOOKUP(E176,Precios!Z$2:BB$941,3,FALSE)*F176</f>
        <v>-1</v>
      </c>
      <c r="AL176" s="17"/>
      <c r="AM176" s="17"/>
      <c r="AN176" s="17"/>
      <c r="AO176" s="17"/>
      <c r="AP176" s="17"/>
      <c r="AQ176" s="17"/>
      <c r="AR176" s="17"/>
      <c r="AS176" s="17"/>
      <c r="AT176" s="17"/>
      <c r="AU176" s="17"/>
      <c r="AV176" s="17"/>
    </row>
    <row r="177" spans="1:48" ht="15.75" customHeight="1">
      <c r="A177" s="21" t="s">
        <v>43</v>
      </c>
      <c r="B177" s="23" t="s">
        <v>1692</v>
      </c>
      <c r="C177" s="22">
        <v>45907</v>
      </c>
      <c r="D177" s="23" t="s">
        <v>126</v>
      </c>
      <c r="E177" s="23" t="s">
        <v>45</v>
      </c>
      <c r="F177" s="21">
        <v>1</v>
      </c>
      <c r="G177" s="12">
        <f>VLOOKUP(E177,Precios!B$2:N$941,12,FALSE)</f>
        <v>8000.1831784723063</v>
      </c>
      <c r="H177" s="12">
        <f t="shared" si="0"/>
        <v>8000.1831784723063</v>
      </c>
      <c r="I177" s="23" t="s">
        <v>52</v>
      </c>
      <c r="J177" s="23" t="s">
        <v>61</v>
      </c>
      <c r="K177" s="24" t="s">
        <v>177</v>
      </c>
      <c r="L177" s="24">
        <v>182</v>
      </c>
      <c r="M177" s="12">
        <f t="shared" ref="M177:N177" si="182">G177/1.19</f>
        <v>6722.8430071195853</v>
      </c>
      <c r="N177" s="12">
        <f t="shared" si="182"/>
        <v>6722.8430071195853</v>
      </c>
      <c r="O177" s="12">
        <f t="shared" si="2"/>
        <v>1277.340171352721</v>
      </c>
      <c r="P177" s="13"/>
      <c r="Q177" s="14">
        <f t="shared" si="3"/>
        <v>2025</v>
      </c>
      <c r="R177" s="15">
        <f>VLOOKUP(MONTH(C177),'Datos Maestros'!M$2:N$14,2,FALSE)</f>
        <v>45536</v>
      </c>
      <c r="S177" s="11" t="str">
        <f>VLOOKUP(E177,Precios!B$2:W$941,3,FALSE)</f>
        <v>Huevos EXTRA</v>
      </c>
      <c r="T177" s="16">
        <f>VLOOKUP(E177,Precios!B$2:N$941,4,FALSE)*F177</f>
        <v>0</v>
      </c>
      <c r="U177" s="17"/>
      <c r="V177" s="12">
        <f>VLOOKUP(E177,Precios!B$2:N$941,13,FALSE)*F177</f>
        <v>1151.6230071195851</v>
      </c>
      <c r="W177" s="12">
        <f t="shared" si="4"/>
        <v>1151.6230071195851</v>
      </c>
      <c r="X177" s="12">
        <f>VLOOKUP(B177,'Datos Maestros'!$C$2:$D$7,2,FALSE)*V177</f>
        <v>0</v>
      </c>
      <c r="Y177" s="18">
        <f t="shared" si="5"/>
        <v>45901</v>
      </c>
      <c r="Z177" s="13" t="s">
        <v>39</v>
      </c>
      <c r="AA177" s="19" t="str">
        <f>VLOOKUP(D177,Clientes!$A$2:$J$486,9,FALSE)</f>
        <v>Frecuente</v>
      </c>
      <c r="AB177" s="13" t="str">
        <f>VLOOKUP(D177,Clientes!$A$2:$K$486,11,FALSE)</f>
        <v>Persona Natural</v>
      </c>
      <c r="AC177" s="13" t="str">
        <f>VLOOKUP(D177,Clientes!$A$2:$B$486,2,FALSE)</f>
        <v>Jardines de la Viña</v>
      </c>
      <c r="AD177" s="20"/>
      <c r="AE177" s="20"/>
      <c r="AF177" s="13" t="s">
        <v>40</v>
      </c>
      <c r="AG177" s="15">
        <f t="shared" si="6"/>
        <v>45536</v>
      </c>
      <c r="AH177" s="13" t="s">
        <v>41</v>
      </c>
      <c r="AI177" s="13" t="str">
        <f t="shared" si="7"/>
        <v>Huevos</v>
      </c>
      <c r="AJ177" s="13" t="str">
        <f>VLOOKUP(E177,Precios!Z$2:AA$941,2,FALSE)</f>
        <v>Bandeja Huevos EXTRA</v>
      </c>
      <c r="AK177" s="14">
        <f>VLOOKUP(E177,Precios!Z$2:BB$941,3,FALSE)*F177</f>
        <v>-1</v>
      </c>
      <c r="AL177" s="17"/>
      <c r="AM177" s="17"/>
      <c r="AN177" s="17"/>
      <c r="AO177" s="17"/>
      <c r="AP177" s="17"/>
      <c r="AQ177" s="17"/>
      <c r="AR177" s="17"/>
      <c r="AS177" s="17"/>
      <c r="AT177" s="17"/>
      <c r="AU177" s="17"/>
      <c r="AV177" s="17"/>
    </row>
    <row r="178" spans="1:48" ht="15.75" customHeight="1">
      <c r="A178" s="21" t="s">
        <v>47</v>
      </c>
      <c r="B178" s="23" t="s">
        <v>1692</v>
      </c>
      <c r="C178" s="22">
        <v>45907</v>
      </c>
      <c r="D178" s="23" t="s">
        <v>68</v>
      </c>
      <c r="E178" s="23" t="s">
        <v>72</v>
      </c>
      <c r="F178" s="21">
        <v>1</v>
      </c>
      <c r="G178" s="12">
        <f>VLOOKUP(E178,Precios!B$2:N$941,12,FALSE)</f>
        <v>2750</v>
      </c>
      <c r="H178" s="12">
        <f t="shared" si="0"/>
        <v>2750</v>
      </c>
      <c r="I178" s="23" t="s">
        <v>52</v>
      </c>
      <c r="J178" s="23" t="s">
        <v>38</v>
      </c>
      <c r="K178" s="24" t="s">
        <v>86</v>
      </c>
      <c r="L178" s="11"/>
      <c r="M178" s="12">
        <f t="shared" ref="M178:N178" si="183">G178/1.19</f>
        <v>2310.9243697478992</v>
      </c>
      <c r="N178" s="12">
        <f t="shared" si="183"/>
        <v>2310.9243697478992</v>
      </c>
      <c r="O178" s="12">
        <f t="shared" si="2"/>
        <v>439.07563025210084</v>
      </c>
      <c r="P178" s="13"/>
      <c r="Q178" s="14">
        <f t="shared" si="3"/>
        <v>2025</v>
      </c>
      <c r="R178" s="15">
        <f>VLOOKUP(MONTH(C178),'Datos Maestros'!M$2:N$14,2,FALSE)</f>
        <v>45536</v>
      </c>
      <c r="S178" s="11" t="str">
        <f>VLOOKUP(E178,Precios!B$2:W$941,3,FALSE)</f>
        <v>Trapero Húmedo</v>
      </c>
      <c r="T178" s="16">
        <f>VLOOKUP(E178,Precios!B$2:N$941,4,FALSE)*F178</f>
        <v>0</v>
      </c>
      <c r="U178" s="17"/>
      <c r="V178" s="12">
        <f>VLOOKUP(E178,Precios!B$2:N$941,13,FALSE)*F178</f>
        <v>663.86554621848722</v>
      </c>
      <c r="W178" s="12">
        <f t="shared" si="4"/>
        <v>663.86554621848722</v>
      </c>
      <c r="X178" s="12">
        <f>VLOOKUP(B178,'Datos Maestros'!$C$2:$D$7,2,FALSE)*V178</f>
        <v>0</v>
      </c>
      <c r="Y178" s="18">
        <f t="shared" si="5"/>
        <v>45901</v>
      </c>
      <c r="Z178" s="13" t="s">
        <v>39</v>
      </c>
      <c r="AA178" s="19" t="str">
        <f>VLOOKUP(D178,Clientes!$A$2:$J$486,9,FALSE)</f>
        <v>Frecuente</v>
      </c>
      <c r="AB178" s="13" t="str">
        <f>VLOOKUP(D178,Clientes!$A$2:$K$486,11,FALSE)</f>
        <v>Empresa</v>
      </c>
      <c r="AC178" s="13" t="str">
        <f>VLOOKUP(D178,Clientes!$A$2:$B$486,2,FALSE)</f>
        <v>Jardines de la viña</v>
      </c>
      <c r="AD178" s="20"/>
      <c r="AE178" s="20"/>
      <c r="AF178" s="13" t="s">
        <v>40</v>
      </c>
      <c r="AG178" s="15">
        <f t="shared" si="6"/>
        <v>45536</v>
      </c>
      <c r="AH178" s="13" t="s">
        <v>41</v>
      </c>
      <c r="AI178" s="13" t="str">
        <f t="shared" si="7"/>
        <v>Articulos de Aseo</v>
      </c>
      <c r="AJ178" s="13" t="str">
        <f>VLOOKUP(E178,Precios!Z$2:AA$941,2,FALSE)</f>
        <v>Traperos Humedos VIRGINIA</v>
      </c>
      <c r="AK178" s="14">
        <f>VLOOKUP(E178,Precios!Z$2:BB$941,3,FALSE)*F178</f>
        <v>-1</v>
      </c>
      <c r="AL178" s="17"/>
      <c r="AM178" s="17"/>
      <c r="AN178" s="17"/>
      <c r="AO178" s="17"/>
      <c r="AP178" s="17"/>
      <c r="AQ178" s="17"/>
      <c r="AR178" s="17"/>
      <c r="AS178" s="17"/>
      <c r="AT178" s="17"/>
      <c r="AU178" s="17"/>
      <c r="AV178" s="17"/>
    </row>
    <row r="179" spans="1:48" ht="15.75" customHeight="1">
      <c r="A179" s="21" t="s">
        <v>47</v>
      </c>
      <c r="B179" s="23" t="s">
        <v>1692</v>
      </c>
      <c r="C179" s="22">
        <v>45907</v>
      </c>
      <c r="D179" s="23" t="s">
        <v>68</v>
      </c>
      <c r="E179" s="23" t="s">
        <v>71</v>
      </c>
      <c r="F179" s="21">
        <v>1</v>
      </c>
      <c r="G179" s="12">
        <f>VLOOKUP(E179,Precios!B$2:N$941,12,FALSE)</f>
        <v>2700.007670476336</v>
      </c>
      <c r="H179" s="12">
        <f t="shared" si="0"/>
        <v>2700.007670476336</v>
      </c>
      <c r="I179" s="23" t="s">
        <v>52</v>
      </c>
      <c r="J179" s="23" t="s">
        <v>38</v>
      </c>
      <c r="K179" s="24" t="s">
        <v>86</v>
      </c>
      <c r="L179" s="11"/>
      <c r="M179" s="12">
        <f t="shared" ref="M179:N179" si="184">G179/1.19</f>
        <v>2268.9140088036438</v>
      </c>
      <c r="N179" s="12">
        <f t="shared" si="184"/>
        <v>2268.9140088036438</v>
      </c>
      <c r="O179" s="12">
        <f t="shared" si="2"/>
        <v>431.09366167269218</v>
      </c>
      <c r="P179" s="13"/>
      <c r="Q179" s="14">
        <f t="shared" si="3"/>
        <v>2025</v>
      </c>
      <c r="R179" s="15">
        <f>VLOOKUP(MONTH(C179),'Datos Maestros'!M$2:N$14,2,FALSE)</f>
        <v>45536</v>
      </c>
      <c r="S179" s="11" t="str">
        <f>VLOOKUP(E179,Precios!B$2:W$941,3,FALSE)</f>
        <v>Toalla desinfectantes</v>
      </c>
      <c r="T179" s="16">
        <f>VLOOKUP(E179,Precios!B$2:N$941,4,FALSE)*F179</f>
        <v>0</v>
      </c>
      <c r="U179" s="17"/>
      <c r="V179" s="12">
        <f>VLOOKUP(E179,Precios!B$2:N$941,13,FALSE)*F179</f>
        <v>789.92241216498837</v>
      </c>
      <c r="W179" s="12">
        <f t="shared" si="4"/>
        <v>789.92241216498837</v>
      </c>
      <c r="X179" s="12">
        <f>VLOOKUP(B179,'Datos Maestros'!$C$2:$D$7,2,FALSE)*V179</f>
        <v>0</v>
      </c>
      <c r="Y179" s="18">
        <f t="shared" si="5"/>
        <v>45901</v>
      </c>
      <c r="Z179" s="13" t="s">
        <v>39</v>
      </c>
      <c r="AA179" s="19" t="str">
        <f>VLOOKUP(D179,Clientes!$A$2:$J$486,9,FALSE)</f>
        <v>Frecuente</v>
      </c>
      <c r="AB179" s="13" t="str">
        <f>VLOOKUP(D179,Clientes!$A$2:$K$486,11,FALSE)</f>
        <v>Empresa</v>
      </c>
      <c r="AC179" s="13" t="str">
        <f>VLOOKUP(D179,Clientes!$A$2:$B$486,2,FALSE)</f>
        <v>Jardines de la viña</v>
      </c>
      <c r="AD179" s="20"/>
      <c r="AE179" s="20"/>
      <c r="AF179" s="13" t="s">
        <v>40</v>
      </c>
      <c r="AG179" s="15">
        <f t="shared" si="6"/>
        <v>45536</v>
      </c>
      <c r="AH179" s="13" t="s">
        <v>41</v>
      </c>
      <c r="AI179" s="13" t="str">
        <f t="shared" si="7"/>
        <v>Articulos de Aseo</v>
      </c>
      <c r="AJ179" s="13" t="str">
        <f>VLOOKUP(E179,Precios!Z$2:AA$941,2,FALSE)</f>
        <v>Toalla desinfectante IGENIX 50 unidades</v>
      </c>
      <c r="AK179" s="14">
        <f>VLOOKUP(E179,Precios!Z$2:BB$941,3,FALSE)*F179</f>
        <v>-1</v>
      </c>
      <c r="AL179" s="17"/>
      <c r="AM179" s="17"/>
      <c r="AN179" s="17"/>
      <c r="AO179" s="17"/>
      <c r="AP179" s="17"/>
      <c r="AQ179" s="17"/>
      <c r="AR179" s="17"/>
      <c r="AS179" s="17"/>
      <c r="AT179" s="17"/>
      <c r="AU179" s="17"/>
      <c r="AV179" s="17"/>
    </row>
    <row r="180" spans="1:48" ht="15.75" customHeight="1">
      <c r="A180" s="21" t="s">
        <v>47</v>
      </c>
      <c r="B180" s="23" t="s">
        <v>1692</v>
      </c>
      <c r="C180" s="22">
        <v>45907</v>
      </c>
      <c r="D180" s="23" t="s">
        <v>68</v>
      </c>
      <c r="E180" s="23" t="s">
        <v>170</v>
      </c>
      <c r="F180" s="21">
        <v>1</v>
      </c>
      <c r="G180" s="12">
        <f>VLOOKUP(E180,Precios!B$2:N$941,12,FALSE)</f>
        <v>1800.1699716713879</v>
      </c>
      <c r="H180" s="12">
        <f t="shared" si="0"/>
        <v>1800.1699716713879</v>
      </c>
      <c r="I180" s="23" t="s">
        <v>52</v>
      </c>
      <c r="J180" s="23" t="s">
        <v>38</v>
      </c>
      <c r="K180" s="24" t="s">
        <v>86</v>
      </c>
      <c r="L180" s="11"/>
      <c r="M180" s="12">
        <f t="shared" ref="M180:N180" si="185">G180/1.19</f>
        <v>1512.7478753541075</v>
      </c>
      <c r="N180" s="12">
        <f t="shared" si="185"/>
        <v>1512.7478753541075</v>
      </c>
      <c r="O180" s="12">
        <f t="shared" si="2"/>
        <v>287.42209631728042</v>
      </c>
      <c r="P180" s="13"/>
      <c r="Q180" s="14">
        <f t="shared" si="3"/>
        <v>2025</v>
      </c>
      <c r="R180" s="15">
        <f>VLOOKUP(MONTH(C180),'Datos Maestros'!M$2:N$14,2,FALSE)</f>
        <v>45536</v>
      </c>
      <c r="S180" s="11" t="str">
        <f>VLOOKUP(E180,Precios!B$2:W$941,3,FALSE)</f>
        <v>Bolsa Basura</v>
      </c>
      <c r="T180" s="16">
        <f>VLOOKUP(E180,Precios!B$2:N$941,4,FALSE)*F180</f>
        <v>0</v>
      </c>
      <c r="U180" s="17"/>
      <c r="V180" s="12">
        <f>VLOOKUP(E180,Precios!B$2:N$941,13,FALSE)*F180</f>
        <v>711.74787535410746</v>
      </c>
      <c r="W180" s="12">
        <f t="shared" si="4"/>
        <v>711.74787535410746</v>
      </c>
      <c r="X180" s="12">
        <f>VLOOKUP(B180,'Datos Maestros'!$C$2:$D$7,2,FALSE)*V180</f>
        <v>0</v>
      </c>
      <c r="Y180" s="18">
        <f t="shared" si="5"/>
        <v>45901</v>
      </c>
      <c r="Z180" s="13" t="s">
        <v>39</v>
      </c>
      <c r="AA180" s="19" t="str">
        <f>VLOOKUP(D180,Clientes!$A$2:$J$486,9,FALSE)</f>
        <v>Frecuente</v>
      </c>
      <c r="AB180" s="13" t="str">
        <f>VLOOKUP(D180,Clientes!$A$2:$K$486,11,FALSE)</f>
        <v>Empresa</v>
      </c>
      <c r="AC180" s="13" t="str">
        <f>VLOOKUP(D180,Clientes!$A$2:$B$486,2,FALSE)</f>
        <v>Jardines de la viña</v>
      </c>
      <c r="AD180" s="20"/>
      <c r="AE180" s="20"/>
      <c r="AF180" s="13" t="s">
        <v>40</v>
      </c>
      <c r="AG180" s="15">
        <f t="shared" si="6"/>
        <v>45536</v>
      </c>
      <c r="AH180" s="13" t="s">
        <v>41</v>
      </c>
      <c r="AI180" s="13" t="str">
        <f t="shared" si="7"/>
        <v>Articulos de Aseo</v>
      </c>
      <c r="AJ180" s="13" t="str">
        <f>VLOOKUP(E180,Precios!Z$2:AA$941,2,FALSE)</f>
        <v xml:space="preserve">Bolsas Basura TEDDY 50x70 </v>
      </c>
      <c r="AK180" s="14">
        <f>VLOOKUP(E180,Precios!Z$2:BB$941,3,FALSE)*F180</f>
        <v>-3</v>
      </c>
      <c r="AL180" s="17"/>
      <c r="AM180" s="17"/>
      <c r="AN180" s="17"/>
      <c r="AO180" s="17"/>
      <c r="AP180" s="17"/>
      <c r="AQ180" s="17"/>
      <c r="AR180" s="17"/>
      <c r="AS180" s="17"/>
      <c r="AT180" s="17"/>
      <c r="AU180" s="17"/>
      <c r="AV180" s="17"/>
    </row>
    <row r="181" spans="1:48" ht="15.75" customHeight="1">
      <c r="A181" s="21" t="s">
        <v>76</v>
      </c>
      <c r="B181" s="23" t="s">
        <v>1692</v>
      </c>
      <c r="C181" s="22">
        <v>45907</v>
      </c>
      <c r="D181" s="23" t="s">
        <v>68</v>
      </c>
      <c r="E181" s="23" t="s">
        <v>81</v>
      </c>
      <c r="F181" s="21">
        <v>1</v>
      </c>
      <c r="G181" s="12">
        <f>VLOOKUP(E181,Precios!B$2:N$941,12,FALSE)</f>
        <v>3500.0000000000005</v>
      </c>
      <c r="H181" s="12">
        <f t="shared" si="0"/>
        <v>3500.0000000000005</v>
      </c>
      <c r="I181" s="23" t="s">
        <v>52</v>
      </c>
      <c r="J181" s="23" t="s">
        <v>38</v>
      </c>
      <c r="K181" s="24" t="s">
        <v>86</v>
      </c>
      <c r="L181" s="11"/>
      <c r="M181" s="12">
        <f t="shared" ref="M181:N181" si="186">G181/1.19</f>
        <v>2941.1764705882356</v>
      </c>
      <c r="N181" s="12">
        <f t="shared" si="186"/>
        <v>2941.1764705882356</v>
      </c>
      <c r="O181" s="12">
        <f t="shared" si="2"/>
        <v>558.82352941176487</v>
      </c>
      <c r="P181" s="13"/>
      <c r="Q181" s="14">
        <f t="shared" si="3"/>
        <v>2025</v>
      </c>
      <c r="R181" s="15">
        <f>VLOOKUP(MONTH(C181),'Datos Maestros'!M$2:N$14,2,FALSE)</f>
        <v>45536</v>
      </c>
      <c r="S181" s="11" t="str">
        <f>VLOOKUP(E181,Precios!B$2:W$941,3,FALSE)</f>
        <v>Detergente Premium</v>
      </c>
      <c r="T181" s="16">
        <f>VLOOKUP(E181,Precios!B$2:N$941,4,FALSE)*F181</f>
        <v>5</v>
      </c>
      <c r="U181" s="17"/>
      <c r="V181" s="12">
        <f>VLOOKUP(E181,Precios!B$2:N$941,13,FALSE)*F181</f>
        <v>764.70588235294144</v>
      </c>
      <c r="W181" s="12">
        <f t="shared" si="4"/>
        <v>764.70588235294144</v>
      </c>
      <c r="X181" s="12">
        <f>VLOOKUP(B181,'Datos Maestros'!$C$2:$D$7,2,FALSE)*V181</f>
        <v>0</v>
      </c>
      <c r="Y181" s="18">
        <f t="shared" si="5"/>
        <v>45901</v>
      </c>
      <c r="Z181" s="13" t="s">
        <v>39</v>
      </c>
      <c r="AA181" s="19" t="str">
        <f>VLOOKUP(D181,Clientes!$A$2:$J$486,9,FALSE)</f>
        <v>Frecuente</v>
      </c>
      <c r="AB181" s="13" t="str">
        <f>VLOOKUP(D181,Clientes!$A$2:$K$486,11,FALSE)</f>
        <v>Empresa</v>
      </c>
      <c r="AC181" s="13" t="str">
        <f>VLOOKUP(D181,Clientes!$A$2:$B$486,2,FALSE)</f>
        <v>Jardines de la viña</v>
      </c>
      <c r="AD181" s="20"/>
      <c r="AE181" s="20"/>
      <c r="AF181" s="13" t="s">
        <v>40</v>
      </c>
      <c r="AG181" s="15">
        <f t="shared" si="6"/>
        <v>45536</v>
      </c>
      <c r="AH181" s="13" t="s">
        <v>41</v>
      </c>
      <c r="AI181" s="13" t="str">
        <f t="shared" si="7"/>
        <v>Detergentes</v>
      </c>
      <c r="AJ181" s="13" t="str">
        <f>VLOOKUP(E181,Precios!Z$2:AA$941,2,FALSE)</f>
        <v>Detergente SPUM 5 Litros (Verde)</v>
      </c>
      <c r="AK181" s="14">
        <f>VLOOKUP(E181,Precios!Z$2:BB$941,3,FALSE)*F181</f>
        <v>-1</v>
      </c>
      <c r="AL181" s="17"/>
      <c r="AM181" s="17"/>
      <c r="AN181" s="17"/>
      <c r="AO181" s="17"/>
      <c r="AP181" s="17"/>
      <c r="AQ181" s="17"/>
      <c r="AR181" s="17"/>
      <c r="AS181" s="17"/>
      <c r="AT181" s="17"/>
      <c r="AU181" s="17"/>
      <c r="AV181" s="17"/>
    </row>
    <row r="182" spans="1:48" ht="15.75" customHeight="1">
      <c r="A182" s="21" t="s">
        <v>43</v>
      </c>
      <c r="B182" s="23" t="s">
        <v>1692</v>
      </c>
      <c r="C182" s="22">
        <v>45907</v>
      </c>
      <c r="D182" s="23" t="s">
        <v>178</v>
      </c>
      <c r="E182" s="23" t="s">
        <v>45</v>
      </c>
      <c r="F182" s="21">
        <v>1</v>
      </c>
      <c r="G182" s="12">
        <f>VLOOKUP(E182,Precios!B$2:N$941,12,FALSE)</f>
        <v>8000.1831784723063</v>
      </c>
      <c r="H182" s="12">
        <f t="shared" si="0"/>
        <v>8000.1831784723063</v>
      </c>
      <c r="I182" s="23" t="s">
        <v>52</v>
      </c>
      <c r="J182" s="23" t="s">
        <v>61</v>
      </c>
      <c r="K182" s="24" t="s">
        <v>177</v>
      </c>
      <c r="L182" s="24">
        <v>182</v>
      </c>
      <c r="M182" s="12">
        <f t="shared" ref="M182:N182" si="187">G182/1.19</f>
        <v>6722.8430071195853</v>
      </c>
      <c r="N182" s="12">
        <f t="shared" si="187"/>
        <v>6722.8430071195853</v>
      </c>
      <c r="O182" s="12">
        <f t="shared" si="2"/>
        <v>1277.340171352721</v>
      </c>
      <c r="P182" s="13"/>
      <c r="Q182" s="14">
        <f t="shared" si="3"/>
        <v>2025</v>
      </c>
      <c r="R182" s="15">
        <f>VLOOKUP(MONTH(C182),'Datos Maestros'!M$2:N$14,2,FALSE)</f>
        <v>45536</v>
      </c>
      <c r="S182" s="11" t="str">
        <f>VLOOKUP(E182,Precios!B$2:W$941,3,FALSE)</f>
        <v>Huevos EXTRA</v>
      </c>
      <c r="T182" s="16">
        <f>VLOOKUP(E182,Precios!B$2:N$941,4,FALSE)*F182</f>
        <v>0</v>
      </c>
      <c r="U182" s="17"/>
      <c r="V182" s="12">
        <f>VLOOKUP(E182,Precios!B$2:N$941,13,FALSE)*F182</f>
        <v>1151.6230071195851</v>
      </c>
      <c r="W182" s="12">
        <f t="shared" si="4"/>
        <v>1151.6230071195851</v>
      </c>
      <c r="X182" s="12">
        <f>VLOOKUP(B182,'Datos Maestros'!$C$2:$D$7,2,FALSE)*V182</f>
        <v>0</v>
      </c>
      <c r="Y182" s="18">
        <f t="shared" si="5"/>
        <v>45901</v>
      </c>
      <c r="Z182" s="13" t="s">
        <v>39</v>
      </c>
      <c r="AA182" s="19" t="str">
        <f>VLOOKUP(D182,Clientes!$A$2:$J$486,9,FALSE)</f>
        <v>Ocacional</v>
      </c>
      <c r="AB182" s="13" t="str">
        <f>VLOOKUP(D182,Clientes!$A$2:$K$486,11,FALSE)</f>
        <v>Persona Natural</v>
      </c>
      <c r="AC182" s="13" t="str">
        <f>VLOOKUP(D182,Clientes!$A$2:$B$486,2,FALSE)</f>
        <v>Jardin del eden</v>
      </c>
      <c r="AD182" s="20"/>
      <c r="AE182" s="20"/>
      <c r="AF182" s="13" t="s">
        <v>40</v>
      </c>
      <c r="AG182" s="15">
        <f t="shared" si="6"/>
        <v>45536</v>
      </c>
      <c r="AH182" s="13" t="s">
        <v>41</v>
      </c>
      <c r="AI182" s="13" t="str">
        <f t="shared" si="7"/>
        <v>Huevos</v>
      </c>
      <c r="AJ182" s="13" t="str">
        <f>VLOOKUP(E182,Precios!Z$2:AA$941,2,FALSE)</f>
        <v>Bandeja Huevos EXTRA</v>
      </c>
      <c r="AK182" s="14">
        <f>VLOOKUP(E182,Precios!Z$2:BB$941,3,FALSE)*F182</f>
        <v>-1</v>
      </c>
      <c r="AL182" s="17"/>
      <c r="AM182" s="17"/>
      <c r="AN182" s="17"/>
      <c r="AO182" s="17"/>
      <c r="AP182" s="17"/>
      <c r="AQ182" s="17"/>
      <c r="AR182" s="17"/>
      <c r="AS182" s="17"/>
      <c r="AT182" s="17"/>
      <c r="AU182" s="17"/>
      <c r="AV182" s="17"/>
    </row>
    <row r="183" spans="1:48" ht="15.75" customHeight="1">
      <c r="A183" s="21" t="s">
        <v>64</v>
      </c>
      <c r="B183" s="23" t="s">
        <v>1692</v>
      </c>
      <c r="C183" s="22">
        <v>45907</v>
      </c>
      <c r="D183" s="23" t="s">
        <v>179</v>
      </c>
      <c r="E183" s="23" t="s">
        <v>65</v>
      </c>
      <c r="F183" s="21">
        <v>1</v>
      </c>
      <c r="G183" s="12">
        <f>VLOOKUP(E183,Precios!B$2:N$941,12,FALSE)</f>
        <v>8200.2358799633075</v>
      </c>
      <c r="H183" s="12">
        <f t="shared" si="0"/>
        <v>8200.2358799633075</v>
      </c>
      <c r="I183" s="23" t="s">
        <v>52</v>
      </c>
      <c r="J183" s="23" t="s">
        <v>61</v>
      </c>
      <c r="K183" s="24" t="s">
        <v>177</v>
      </c>
      <c r="L183" s="24">
        <v>182</v>
      </c>
      <c r="M183" s="12">
        <f t="shared" ref="M183:N183" si="188">G183/1.19</f>
        <v>6890.9545209775697</v>
      </c>
      <c r="N183" s="12">
        <f t="shared" si="188"/>
        <v>6890.9545209775697</v>
      </c>
      <c r="O183" s="12">
        <f t="shared" si="2"/>
        <v>1309.2813589857378</v>
      </c>
      <c r="P183" s="13"/>
      <c r="Q183" s="14">
        <f t="shared" si="3"/>
        <v>2025</v>
      </c>
      <c r="R183" s="15">
        <f>VLOOKUP(MONTH(C183),'Datos Maestros'!M$2:N$14,2,FALSE)</f>
        <v>45536</v>
      </c>
      <c r="S183" s="11" t="str">
        <f>VLOOKUP(E183,Precios!B$2:W$941,3,FALSE)</f>
        <v>Longanizas</v>
      </c>
      <c r="T183" s="16">
        <f>VLOOKUP(E183,Precios!B$2:N$941,4,FALSE)*F183</f>
        <v>1</v>
      </c>
      <c r="U183" s="17"/>
      <c r="V183" s="12">
        <f>VLOOKUP(E183,Precios!B$2:N$941,13,FALSE)*F183</f>
        <v>1632.4671260195864</v>
      </c>
      <c r="W183" s="12">
        <f t="shared" si="4"/>
        <v>1632.4671260195864</v>
      </c>
      <c r="X183" s="12">
        <f>VLOOKUP(B183,'Datos Maestros'!$C$2:$D$7,2,FALSE)*V183</f>
        <v>0</v>
      </c>
      <c r="Y183" s="18">
        <f t="shared" si="5"/>
        <v>45901</v>
      </c>
      <c r="Z183" s="13" t="s">
        <v>39</v>
      </c>
      <c r="AA183" s="19" t="str">
        <f>VLOOKUP(D183,Clientes!$A$2:$J$486,9,FALSE)</f>
        <v>Frecuente</v>
      </c>
      <c r="AB183" s="13" t="str">
        <f>VLOOKUP(D183,Clientes!$A$2:$K$486,11,FALSE)</f>
        <v>Persona Natural</v>
      </c>
      <c r="AC183" s="13" t="str">
        <f>VLOOKUP(D183,Clientes!$A$2:$B$486,2,FALSE)</f>
        <v>Araucania</v>
      </c>
      <c r="AD183" s="20"/>
      <c r="AE183" s="20"/>
      <c r="AF183" s="13" t="s">
        <v>40</v>
      </c>
      <c r="AG183" s="15">
        <f t="shared" si="6"/>
        <v>45536</v>
      </c>
      <c r="AH183" s="13" t="s">
        <v>41</v>
      </c>
      <c r="AI183" s="13" t="str">
        <f t="shared" si="7"/>
        <v>Longanizas</v>
      </c>
      <c r="AJ183" s="13" t="str">
        <f>VLOOKUP(E183,Precios!Z$2:AA$941,2,FALSE)</f>
        <v>Longanizas VILLABLANCA</v>
      </c>
      <c r="AK183" s="14">
        <f>VLOOKUP(E183,Precios!Z$2:BB$941,3,FALSE)*F183</f>
        <v>-1</v>
      </c>
      <c r="AL183" s="17"/>
      <c r="AM183" s="17"/>
      <c r="AN183" s="17"/>
      <c r="AO183" s="17"/>
      <c r="AP183" s="17"/>
      <c r="AQ183" s="17"/>
      <c r="AR183" s="17"/>
      <c r="AS183" s="17"/>
      <c r="AT183" s="17"/>
      <c r="AU183" s="17"/>
      <c r="AV183" s="17"/>
    </row>
    <row r="184" spans="1:48" ht="15.75" customHeight="1">
      <c r="A184" s="21" t="s">
        <v>64</v>
      </c>
      <c r="B184" s="23" t="s">
        <v>1692</v>
      </c>
      <c r="C184" s="22">
        <v>45907</v>
      </c>
      <c r="D184" s="23" t="s">
        <v>144</v>
      </c>
      <c r="E184" s="23" t="s">
        <v>65</v>
      </c>
      <c r="F184" s="21">
        <v>2</v>
      </c>
      <c r="G184" s="12">
        <f>VLOOKUP(E184,Precios!B$2:N$941,12,FALSE)</f>
        <v>8200.2358799633075</v>
      </c>
      <c r="H184" s="12">
        <f t="shared" si="0"/>
        <v>16400.471759926615</v>
      </c>
      <c r="I184" s="23" t="s">
        <v>52</v>
      </c>
      <c r="J184" s="23" t="s">
        <v>61</v>
      </c>
      <c r="K184" s="24" t="s">
        <v>177</v>
      </c>
      <c r="L184" s="24">
        <v>182</v>
      </c>
      <c r="M184" s="12">
        <f t="shared" ref="M184:N184" si="189">G184/1.19</f>
        <v>6890.9545209775697</v>
      </c>
      <c r="N184" s="12">
        <f t="shared" si="189"/>
        <v>13781.909041955139</v>
      </c>
      <c r="O184" s="12">
        <f t="shared" si="2"/>
        <v>2618.5627179714756</v>
      </c>
      <c r="P184" s="13"/>
      <c r="Q184" s="14">
        <f t="shared" si="3"/>
        <v>2025</v>
      </c>
      <c r="R184" s="15">
        <f>VLOOKUP(MONTH(C184),'Datos Maestros'!M$2:N$14,2,FALSE)</f>
        <v>45536</v>
      </c>
      <c r="S184" s="11" t="str">
        <f>VLOOKUP(E184,Precios!B$2:W$941,3,FALSE)</f>
        <v>Longanizas</v>
      </c>
      <c r="T184" s="16">
        <f>VLOOKUP(E184,Precios!B$2:N$941,4,FALSE)*F184</f>
        <v>2</v>
      </c>
      <c r="U184" s="17"/>
      <c r="V184" s="12">
        <f>VLOOKUP(E184,Precios!B$2:N$941,13,FALSE)*F184</f>
        <v>3264.9342520391729</v>
      </c>
      <c r="W184" s="12">
        <f t="shared" si="4"/>
        <v>3264.9342520391729</v>
      </c>
      <c r="X184" s="12">
        <f>VLOOKUP(B184,'Datos Maestros'!$C$2:$D$7,2,FALSE)*V184</f>
        <v>0</v>
      </c>
      <c r="Y184" s="18">
        <f t="shared" si="5"/>
        <v>45901</v>
      </c>
      <c r="Z184" s="13" t="s">
        <v>39</v>
      </c>
      <c r="AA184" s="19" t="str">
        <f>VLOOKUP(D184,Clientes!$A$2:$J$486,9,FALSE)</f>
        <v>Ocacional</v>
      </c>
      <c r="AB184" s="13" t="str">
        <f>VLOOKUP(D184,Clientes!$A$2:$K$486,11,FALSE)</f>
        <v>Persona Natural</v>
      </c>
      <c r="AC184" s="13" t="str">
        <f>VLOOKUP(D184,Clientes!$A$2:$B$486,2,FALSE)</f>
        <v>Alicachue</v>
      </c>
      <c r="AD184" s="20"/>
      <c r="AE184" s="20"/>
      <c r="AF184" s="13" t="s">
        <v>40</v>
      </c>
      <c r="AG184" s="15">
        <f t="shared" si="6"/>
        <v>45536</v>
      </c>
      <c r="AH184" s="13" t="s">
        <v>41</v>
      </c>
      <c r="AI184" s="13" t="str">
        <f t="shared" si="7"/>
        <v>Longanizas</v>
      </c>
      <c r="AJ184" s="13" t="str">
        <f>VLOOKUP(E184,Precios!Z$2:AA$941,2,FALSE)</f>
        <v>Longanizas VILLABLANCA</v>
      </c>
      <c r="AK184" s="14">
        <f>VLOOKUP(E184,Precios!Z$2:BB$941,3,FALSE)*F184</f>
        <v>-2</v>
      </c>
      <c r="AL184" s="17"/>
      <c r="AM184" s="17"/>
      <c r="AN184" s="17"/>
      <c r="AO184" s="17"/>
      <c r="AP184" s="17"/>
      <c r="AQ184" s="17"/>
      <c r="AR184" s="17"/>
      <c r="AS184" s="17"/>
      <c r="AT184" s="17"/>
      <c r="AU184" s="17"/>
      <c r="AV184" s="17"/>
    </row>
    <row r="185" spans="1:48" ht="15.75" customHeight="1">
      <c r="A185" s="21" t="s">
        <v>35</v>
      </c>
      <c r="B185" s="23" t="s">
        <v>1692</v>
      </c>
      <c r="C185" s="22">
        <v>45906</v>
      </c>
      <c r="D185" s="23" t="s">
        <v>132</v>
      </c>
      <c r="E185" s="23" t="s">
        <v>46</v>
      </c>
      <c r="F185" s="21">
        <v>1</v>
      </c>
      <c r="G185" s="12">
        <f>VLOOKUP(E185,Precios!B$2:N$941,12,FALSE)</f>
        <v>6000.1548227279782</v>
      </c>
      <c r="H185" s="12">
        <f t="shared" si="0"/>
        <v>6000.1548227279782</v>
      </c>
      <c r="I185" s="23" t="s">
        <v>52</v>
      </c>
      <c r="J185" s="23" t="s">
        <v>38</v>
      </c>
      <c r="K185" s="24" t="s">
        <v>177</v>
      </c>
      <c r="L185" s="24">
        <v>182</v>
      </c>
      <c r="M185" s="12">
        <f t="shared" ref="M185:N185" si="190">G185/1.19</f>
        <v>5042.1469098554444</v>
      </c>
      <c r="N185" s="12">
        <f t="shared" si="190"/>
        <v>5042.1469098554444</v>
      </c>
      <c r="O185" s="12">
        <f t="shared" si="2"/>
        <v>958.00791287253378</v>
      </c>
      <c r="P185" s="13"/>
      <c r="Q185" s="14">
        <f t="shared" si="3"/>
        <v>2025</v>
      </c>
      <c r="R185" s="15">
        <f>VLOOKUP(MONTH(C185),'Datos Maestros'!M$2:N$14,2,FALSE)</f>
        <v>45536</v>
      </c>
      <c r="S185" s="11" t="str">
        <f>VLOOKUP(E185,Precios!B$2:W$941,3,FALSE)</f>
        <v>Queso Mantecoso</v>
      </c>
      <c r="T185" s="16">
        <f>VLOOKUP(E185,Precios!B$2:N$941,4,FALSE)*F185</f>
        <v>500</v>
      </c>
      <c r="U185" s="17"/>
      <c r="V185" s="12">
        <f>VLOOKUP(E185,Precios!B$2:N$941,13,FALSE)*F185</f>
        <v>1785.4242207798129</v>
      </c>
      <c r="W185" s="12">
        <f t="shared" si="4"/>
        <v>1785.4242207798129</v>
      </c>
      <c r="X185" s="12">
        <f>VLOOKUP(B185,'Datos Maestros'!$C$2:$D$7,2,FALSE)*V185</f>
        <v>0</v>
      </c>
      <c r="Y185" s="18">
        <f t="shared" si="5"/>
        <v>45901</v>
      </c>
      <c r="Z185" s="13" t="s">
        <v>39</v>
      </c>
      <c r="AA185" s="19" t="str">
        <f>VLOOKUP(D185,Clientes!$A$2:$J$486,9,FALSE)</f>
        <v>Ocacional</v>
      </c>
      <c r="AB185" s="13" t="str">
        <f>VLOOKUP(D185,Clientes!$A$2:$K$486,11,FALSE)</f>
        <v>Persona Natural</v>
      </c>
      <c r="AC185" s="13" t="str">
        <f>VLOOKUP(D185,Clientes!$A$2:$B$486,2,FALSE)</f>
        <v>Walker Martinez</v>
      </c>
      <c r="AD185" s="20"/>
      <c r="AE185" s="20"/>
      <c r="AF185" s="13" t="s">
        <v>40</v>
      </c>
      <c r="AG185" s="15">
        <f t="shared" si="6"/>
        <v>45536</v>
      </c>
      <c r="AH185" s="13" t="s">
        <v>41</v>
      </c>
      <c r="AI185" s="13" t="str">
        <f t="shared" si="7"/>
        <v>Quesos</v>
      </c>
      <c r="AJ185" s="13" t="str">
        <f>VLOOKUP(E185,Precios!Z$2:AA$941,2,FALSE)</f>
        <v>Queso RUNCA Mantecoso</v>
      </c>
      <c r="AK185" s="14">
        <f>VLOOKUP(E185,Precios!Z$2:BB$941,3,FALSE)*F185</f>
        <v>-0.5</v>
      </c>
      <c r="AL185" s="17"/>
      <c r="AM185" s="17"/>
      <c r="AN185" s="17"/>
      <c r="AO185" s="17"/>
      <c r="AP185" s="17"/>
      <c r="AQ185" s="17"/>
      <c r="AR185" s="17"/>
      <c r="AS185" s="17"/>
      <c r="AT185" s="17"/>
      <c r="AU185" s="17"/>
      <c r="AV185" s="17"/>
    </row>
    <row r="186" spans="1:48" ht="15.75" customHeight="1">
      <c r="A186" s="21" t="s">
        <v>47</v>
      </c>
      <c r="B186" s="23" t="s">
        <v>1692</v>
      </c>
      <c r="C186" s="22">
        <v>45906</v>
      </c>
      <c r="D186" s="23" t="s">
        <v>180</v>
      </c>
      <c r="E186" s="23" t="s">
        <v>92</v>
      </c>
      <c r="F186" s="21">
        <v>1</v>
      </c>
      <c r="G186" s="12">
        <f>VLOOKUP(E186,Precios!B$2:N$941,12,FALSE)</f>
        <v>3400.2970989164628</v>
      </c>
      <c r="H186" s="12">
        <f t="shared" si="0"/>
        <v>3400.2970989164628</v>
      </c>
      <c r="I186" s="23" t="s">
        <v>52</v>
      </c>
      <c r="J186" s="23" t="s">
        <v>38</v>
      </c>
      <c r="K186" s="24" t="s">
        <v>177</v>
      </c>
      <c r="L186" s="24">
        <v>182</v>
      </c>
      <c r="M186" s="12">
        <f t="shared" ref="M186:N186" si="191">G186/1.19</f>
        <v>2857.3925200978679</v>
      </c>
      <c r="N186" s="12">
        <f t="shared" si="191"/>
        <v>2857.3925200978679</v>
      </c>
      <c r="O186" s="12">
        <f t="shared" si="2"/>
        <v>542.90457881859493</v>
      </c>
      <c r="P186" s="13"/>
      <c r="Q186" s="14">
        <f t="shared" si="3"/>
        <v>2025</v>
      </c>
      <c r="R186" s="15">
        <f>VLOOKUP(MONTH(C186),'Datos Maestros'!M$2:N$14,2,FALSE)</f>
        <v>45536</v>
      </c>
      <c r="S186" s="11" t="str">
        <f>VLOOKUP(E186,Precios!B$2:W$941,3,FALSE)</f>
        <v>Bolsa Basura</v>
      </c>
      <c r="T186" s="16">
        <f>VLOOKUP(E186,Precios!B$2:N$941,4,FALSE)*F186</f>
        <v>0</v>
      </c>
      <c r="U186" s="17"/>
      <c r="V186" s="12">
        <f>VLOOKUP(E186,Precios!B$2:N$941,13,FALSE)*F186</f>
        <v>1222.3925200978679</v>
      </c>
      <c r="W186" s="12">
        <f t="shared" si="4"/>
        <v>1222.3925200978679</v>
      </c>
      <c r="X186" s="12">
        <f>VLOOKUP(B186,'Datos Maestros'!$C$2:$D$7,2,FALSE)*V186</f>
        <v>0</v>
      </c>
      <c r="Y186" s="18">
        <f t="shared" si="5"/>
        <v>45901</v>
      </c>
      <c r="Z186" s="13" t="s">
        <v>39</v>
      </c>
      <c r="AA186" s="19" t="str">
        <f>VLOOKUP(D186,Clientes!$A$2:$J$486,9,FALSE)</f>
        <v>Familiar</v>
      </c>
      <c r="AB186" s="13" t="str">
        <f>VLOOKUP(D186,Clientes!$A$2:$K$486,11,FALSE)</f>
        <v>Persona Natural</v>
      </c>
      <c r="AC186" s="13" t="str">
        <f>VLOOKUP(D186,Clientes!$A$2:$B$486,2,FALSE)</f>
        <v>Familiar</v>
      </c>
      <c r="AD186" s="20"/>
      <c r="AE186" s="20"/>
      <c r="AF186" s="13" t="s">
        <v>40</v>
      </c>
      <c r="AG186" s="15">
        <f t="shared" si="6"/>
        <v>45536</v>
      </c>
      <c r="AH186" s="13" t="s">
        <v>41</v>
      </c>
      <c r="AI186" s="13" t="str">
        <f t="shared" si="7"/>
        <v>Articulos de Aseo</v>
      </c>
      <c r="AJ186" s="13" t="str">
        <f>VLOOKUP(E186,Precios!Z$2:AA$941,2,FALSE)</f>
        <v xml:space="preserve">Bolsas Basura TEDDY 70x90 </v>
      </c>
      <c r="AK186" s="14">
        <f>VLOOKUP(E186,Precios!Z$2:BB$941,3,FALSE)*F186</f>
        <v>-3</v>
      </c>
      <c r="AL186" s="17"/>
      <c r="AM186" s="17"/>
      <c r="AN186" s="17"/>
      <c r="AO186" s="17"/>
      <c r="AP186" s="17"/>
      <c r="AQ186" s="17"/>
      <c r="AR186" s="17"/>
      <c r="AS186" s="17"/>
      <c r="AT186" s="17"/>
      <c r="AU186" s="17"/>
      <c r="AV186" s="17"/>
    </row>
    <row r="187" spans="1:48" ht="15.75" customHeight="1">
      <c r="A187" s="21" t="s">
        <v>50</v>
      </c>
      <c r="B187" s="23" t="s">
        <v>1692</v>
      </c>
      <c r="C187" s="22">
        <v>45906</v>
      </c>
      <c r="D187" s="23" t="s">
        <v>180</v>
      </c>
      <c r="E187" s="23" t="s">
        <v>51</v>
      </c>
      <c r="F187" s="21">
        <v>2</v>
      </c>
      <c r="G187" s="12">
        <f>VLOOKUP(E187,Precios!B$2:N$941,12,FALSE)</f>
        <v>1000.0000000000001</v>
      </c>
      <c r="H187" s="12">
        <f t="shared" si="0"/>
        <v>2000.0000000000002</v>
      </c>
      <c r="I187" s="23" t="s">
        <v>52</v>
      </c>
      <c r="J187" s="23" t="s">
        <v>38</v>
      </c>
      <c r="K187" s="24" t="s">
        <v>177</v>
      </c>
      <c r="L187" s="24">
        <v>182</v>
      </c>
      <c r="M187" s="12">
        <f t="shared" ref="M187:N187" si="192">G187/1.19</f>
        <v>840.3361344537816</v>
      </c>
      <c r="N187" s="12">
        <f t="shared" si="192"/>
        <v>1680.6722689075632</v>
      </c>
      <c r="O187" s="12">
        <f t="shared" si="2"/>
        <v>319.32773109243703</v>
      </c>
      <c r="P187" s="13"/>
      <c r="Q187" s="14">
        <f t="shared" si="3"/>
        <v>2025</v>
      </c>
      <c r="R187" s="15">
        <f>VLOOKUP(MONTH(C187),'Datos Maestros'!M$2:N$14,2,FALSE)</f>
        <v>45536</v>
      </c>
      <c r="S187" s="11" t="str">
        <f>VLOOKUP(E187,Precios!B$2:W$941,3,FALSE)</f>
        <v>Hielo 1 Kilo</v>
      </c>
      <c r="T187" s="16">
        <f>VLOOKUP(E187,Precios!B$2:N$941,4,FALSE)*F187</f>
        <v>0</v>
      </c>
      <c r="U187" s="17"/>
      <c r="V187" s="12">
        <f>VLOOKUP(E187,Precios!B$2:N$941,13,FALSE)*F187</f>
        <v>880.67226890756319</v>
      </c>
      <c r="W187" s="12">
        <f t="shared" si="4"/>
        <v>880.67226890756319</v>
      </c>
      <c r="X187" s="12">
        <f>VLOOKUP(B187,'Datos Maestros'!$C$2:$D$7,2,FALSE)*V187</f>
        <v>0</v>
      </c>
      <c r="Y187" s="18">
        <f t="shared" si="5"/>
        <v>45901</v>
      </c>
      <c r="Z187" s="13" t="s">
        <v>39</v>
      </c>
      <c r="AA187" s="19" t="str">
        <f>VLOOKUP(D187,Clientes!$A$2:$J$486,9,FALSE)</f>
        <v>Familiar</v>
      </c>
      <c r="AB187" s="13" t="str">
        <f>VLOOKUP(D187,Clientes!$A$2:$K$486,11,FALSE)</f>
        <v>Persona Natural</v>
      </c>
      <c r="AC187" s="13" t="str">
        <f>VLOOKUP(D187,Clientes!$A$2:$B$486,2,FALSE)</f>
        <v>Familiar</v>
      </c>
      <c r="AD187" s="20"/>
      <c r="AE187" s="20"/>
      <c r="AF187" s="13" t="s">
        <v>40</v>
      </c>
      <c r="AG187" s="15">
        <f t="shared" si="6"/>
        <v>45536</v>
      </c>
      <c r="AH187" s="13" t="s">
        <v>41</v>
      </c>
      <c r="AI187" s="13" t="str">
        <f t="shared" si="7"/>
        <v>Licores</v>
      </c>
      <c r="AJ187" s="13" t="str">
        <f>VLOOKUP(E187,Precios!Z$2:AA$941,2,FALSE)</f>
        <v>Hielo 1 Kilo</v>
      </c>
      <c r="AK187" s="14">
        <f>VLOOKUP(E187,Precios!Z$2:BB$941,3,FALSE)*F187</f>
        <v>-2</v>
      </c>
      <c r="AL187" s="17"/>
      <c r="AM187" s="17"/>
      <c r="AN187" s="17"/>
      <c r="AO187" s="17"/>
      <c r="AP187" s="17"/>
      <c r="AQ187" s="17"/>
      <c r="AR187" s="17"/>
      <c r="AS187" s="17"/>
      <c r="AT187" s="17"/>
      <c r="AU187" s="17"/>
      <c r="AV187" s="17"/>
    </row>
    <row r="188" spans="1:48" ht="15.75" customHeight="1">
      <c r="A188" s="21" t="s">
        <v>47</v>
      </c>
      <c r="B188" s="23" t="s">
        <v>1692</v>
      </c>
      <c r="C188" s="22">
        <v>45906</v>
      </c>
      <c r="D188" s="23" t="s">
        <v>180</v>
      </c>
      <c r="E188" s="23" t="s">
        <v>181</v>
      </c>
      <c r="F188" s="21">
        <v>1</v>
      </c>
      <c r="G188" s="12">
        <f>VLOOKUP(E188,Precios!B$2:N$941,12,FALSE)</f>
        <v>2999.8783639957433</v>
      </c>
      <c r="H188" s="12">
        <f t="shared" si="0"/>
        <v>2999.8783639957433</v>
      </c>
      <c r="I188" s="23" t="s">
        <v>52</v>
      </c>
      <c r="J188" s="23" t="s">
        <v>38</v>
      </c>
      <c r="K188" s="24" t="s">
        <v>177</v>
      </c>
      <c r="L188" s="24">
        <v>182</v>
      </c>
      <c r="M188" s="12">
        <f t="shared" ref="M188:N188" si="193">G188/1.19</f>
        <v>2520.9061882317174</v>
      </c>
      <c r="N188" s="12">
        <f t="shared" si="193"/>
        <v>2520.9061882317174</v>
      </c>
      <c r="O188" s="12">
        <f t="shared" si="2"/>
        <v>478.97217576402591</v>
      </c>
      <c r="P188" s="13"/>
      <c r="Q188" s="14">
        <f t="shared" si="3"/>
        <v>2025</v>
      </c>
      <c r="R188" s="15">
        <f>VLOOKUP(MONTH(C188),'Datos Maestros'!M$2:N$14,2,FALSE)</f>
        <v>45536</v>
      </c>
      <c r="S188" s="11" t="str">
        <f>VLOOKUP(E188,Precios!B$2:W$941,3,FALSE)</f>
        <v>Ambiental</v>
      </c>
      <c r="T188" s="16">
        <f>VLOOKUP(E188,Precios!B$2:N$941,4,FALSE)*F188</f>
        <v>0</v>
      </c>
      <c r="U188" s="17"/>
      <c r="V188" s="12">
        <f>VLOOKUP(E188,Precios!B$2:N$941,13,FALSE)*F188</f>
        <v>862.9061882317169</v>
      </c>
      <c r="W188" s="12">
        <f t="shared" si="4"/>
        <v>862.9061882317169</v>
      </c>
      <c r="X188" s="12">
        <f>VLOOKUP(B188,'Datos Maestros'!$C$2:$D$7,2,FALSE)*V188</f>
        <v>0</v>
      </c>
      <c r="Y188" s="18">
        <f t="shared" si="5"/>
        <v>45901</v>
      </c>
      <c r="Z188" s="13" t="s">
        <v>39</v>
      </c>
      <c r="AA188" s="19" t="str">
        <f>VLOOKUP(D188,Clientes!$A$2:$J$486,9,FALSE)</f>
        <v>Familiar</v>
      </c>
      <c r="AB188" s="13" t="str">
        <f>VLOOKUP(D188,Clientes!$A$2:$K$486,11,FALSE)</f>
        <v>Persona Natural</v>
      </c>
      <c r="AC188" s="13" t="str">
        <f>VLOOKUP(D188,Clientes!$A$2:$B$486,2,FALSE)</f>
        <v>Familiar</v>
      </c>
      <c r="AD188" s="20"/>
      <c r="AE188" s="20"/>
      <c r="AF188" s="13" t="s">
        <v>40</v>
      </c>
      <c r="AG188" s="15">
        <f t="shared" si="6"/>
        <v>45536</v>
      </c>
      <c r="AH188" s="13" t="s">
        <v>41</v>
      </c>
      <c r="AI188" s="13" t="str">
        <f t="shared" si="7"/>
        <v>Articulos de Aseo</v>
      </c>
      <c r="AJ188" s="13" t="str">
        <f>VLOOKUP(E188,Precios!Z$2:AA$941,2,FALSE)</f>
        <v>Aromatizante Cono TEDDY Gel LAVANDA</v>
      </c>
      <c r="AK188" s="14">
        <f>VLOOKUP(E188,Precios!Z$2:BB$941,3,FALSE)*F188</f>
        <v>-2</v>
      </c>
      <c r="AL188" s="17"/>
      <c r="AM188" s="17"/>
      <c r="AN188" s="17"/>
      <c r="AO188" s="17"/>
      <c r="AP188" s="17"/>
      <c r="AQ188" s="17"/>
      <c r="AR188" s="17"/>
      <c r="AS188" s="17"/>
      <c r="AT188" s="17"/>
      <c r="AU188" s="17"/>
      <c r="AV188" s="17"/>
    </row>
    <row r="189" spans="1:48" ht="15.75" customHeight="1">
      <c r="A189" s="21" t="s">
        <v>47</v>
      </c>
      <c r="B189" s="23" t="s">
        <v>1692</v>
      </c>
      <c r="C189" s="22">
        <v>45906</v>
      </c>
      <c r="D189" s="23" t="s">
        <v>180</v>
      </c>
      <c r="E189" s="23" t="s">
        <v>182</v>
      </c>
      <c r="F189" s="21">
        <v>1</v>
      </c>
      <c r="G189" s="12">
        <f>VLOOKUP(E189,Precios!B$2:N$941,12,FALSE)</f>
        <v>1599.9189101524487</v>
      </c>
      <c r="H189" s="12">
        <f t="shared" si="0"/>
        <v>1599.9189101524487</v>
      </c>
      <c r="I189" s="23" t="s">
        <v>52</v>
      </c>
      <c r="J189" s="23" t="s">
        <v>38</v>
      </c>
      <c r="K189" s="24" t="s">
        <v>177</v>
      </c>
      <c r="L189" s="24">
        <v>182</v>
      </c>
      <c r="M189" s="12">
        <f t="shared" ref="M189:N189" si="194">G189/1.19</f>
        <v>1344.4696723970158</v>
      </c>
      <c r="N189" s="12">
        <f t="shared" si="194"/>
        <v>1344.4696723970158</v>
      </c>
      <c r="O189" s="12">
        <f t="shared" si="2"/>
        <v>255.44923775543293</v>
      </c>
      <c r="P189" s="13"/>
      <c r="Q189" s="14">
        <f t="shared" si="3"/>
        <v>2025</v>
      </c>
      <c r="R189" s="15">
        <f>VLOOKUP(MONTH(C189),'Datos Maestros'!M$2:N$14,2,FALSE)</f>
        <v>45536</v>
      </c>
      <c r="S189" s="11" t="str">
        <f>VLOOKUP(E189,Precios!B$2:W$941,3,FALSE)</f>
        <v>Ambiental</v>
      </c>
      <c r="T189" s="16">
        <f>VLOOKUP(E189,Precios!B$2:N$941,4,FALSE)*F189</f>
        <v>0</v>
      </c>
      <c r="U189" s="17"/>
      <c r="V189" s="12">
        <f>VLOOKUP(E189,Precios!B$2:N$941,13,FALSE)*F189</f>
        <v>515.46967239701576</v>
      </c>
      <c r="W189" s="12">
        <f t="shared" si="4"/>
        <v>515.46967239701576</v>
      </c>
      <c r="X189" s="12">
        <f>VLOOKUP(B189,'Datos Maestros'!$C$2:$D$7,2,FALSE)*V189</f>
        <v>0</v>
      </c>
      <c r="Y189" s="18">
        <f t="shared" si="5"/>
        <v>45901</v>
      </c>
      <c r="Z189" s="13" t="s">
        <v>39</v>
      </c>
      <c r="AA189" s="19" t="str">
        <f>VLOOKUP(D189,Clientes!$A$2:$J$486,9,FALSE)</f>
        <v>Familiar</v>
      </c>
      <c r="AB189" s="13" t="str">
        <f>VLOOKUP(D189,Clientes!$A$2:$K$486,11,FALSE)</f>
        <v>Persona Natural</v>
      </c>
      <c r="AC189" s="13" t="str">
        <f>VLOOKUP(D189,Clientes!$A$2:$B$486,2,FALSE)</f>
        <v>Familiar</v>
      </c>
      <c r="AD189" s="20"/>
      <c r="AE189" s="20"/>
      <c r="AF189" s="13" t="s">
        <v>40</v>
      </c>
      <c r="AG189" s="15">
        <f t="shared" si="6"/>
        <v>45536</v>
      </c>
      <c r="AH189" s="13" t="s">
        <v>41</v>
      </c>
      <c r="AI189" s="13" t="str">
        <f t="shared" si="7"/>
        <v>Articulos de Aseo</v>
      </c>
      <c r="AJ189" s="13" t="str">
        <f>VLOOKUP(E189,Precios!Z$2:AA$941,2,FALSE)</f>
        <v>Aromatizante Cono TEDDY Gel LAVANDA</v>
      </c>
      <c r="AK189" s="14">
        <f>VLOOKUP(E189,Precios!Z$2:BB$941,3,FALSE)*F189</f>
        <v>-1</v>
      </c>
      <c r="AL189" s="17"/>
      <c r="AM189" s="17"/>
      <c r="AN189" s="17"/>
      <c r="AO189" s="17"/>
      <c r="AP189" s="17"/>
      <c r="AQ189" s="17"/>
      <c r="AR189" s="17"/>
      <c r="AS189" s="17"/>
      <c r="AT189" s="17"/>
      <c r="AU189" s="17"/>
      <c r="AV189" s="17"/>
    </row>
    <row r="190" spans="1:48" ht="15.75" customHeight="1">
      <c r="A190" s="21" t="s">
        <v>139</v>
      </c>
      <c r="B190" s="23" t="s">
        <v>1692</v>
      </c>
      <c r="C190" s="22">
        <v>45906</v>
      </c>
      <c r="D190" s="23" t="s">
        <v>180</v>
      </c>
      <c r="E190" s="23" t="s">
        <v>183</v>
      </c>
      <c r="F190" s="21">
        <v>1</v>
      </c>
      <c r="G190" s="12">
        <f>VLOOKUP(E190,Precios!B$2:N$941,12,FALSE)</f>
        <v>4500</v>
      </c>
      <c r="H190" s="12">
        <f t="shared" si="0"/>
        <v>4500</v>
      </c>
      <c r="I190" s="23" t="s">
        <v>52</v>
      </c>
      <c r="J190" s="23" t="s">
        <v>38</v>
      </c>
      <c r="K190" s="24" t="s">
        <v>177</v>
      </c>
      <c r="L190" s="24">
        <v>182</v>
      </c>
      <c r="M190" s="12">
        <f t="shared" ref="M190:N190" si="195">G190/1.19</f>
        <v>3781.5126050420172</v>
      </c>
      <c r="N190" s="12">
        <f t="shared" si="195"/>
        <v>3781.5126050420172</v>
      </c>
      <c r="O190" s="12">
        <f t="shared" si="2"/>
        <v>718.48739495798281</v>
      </c>
      <c r="P190" s="13"/>
      <c r="Q190" s="14">
        <f t="shared" si="3"/>
        <v>2025</v>
      </c>
      <c r="R190" s="15">
        <f>VLOOKUP(MONTH(C190),'Datos Maestros'!M$2:N$14,2,FALSE)</f>
        <v>45536</v>
      </c>
      <c r="S190" s="11" t="str">
        <f>VLOOKUP(E190,Precios!B$2:W$941,3,FALSE)</f>
        <v>CranBerry</v>
      </c>
      <c r="T190" s="16">
        <f>VLOOKUP(E190,Precios!B$2:N$941,4,FALSE)*F190</f>
        <v>500</v>
      </c>
      <c r="U190" s="17"/>
      <c r="V190" s="12">
        <f>VLOOKUP(E190,Precios!B$2:N$941,13,FALSE)*F190</f>
        <v>1039.4957983193281</v>
      </c>
      <c r="W190" s="12">
        <f t="shared" si="4"/>
        <v>1039.4957983193281</v>
      </c>
      <c r="X190" s="12">
        <f>VLOOKUP(B190,'Datos Maestros'!$C$2:$D$7,2,FALSE)*V190</f>
        <v>0</v>
      </c>
      <c r="Y190" s="18">
        <f t="shared" si="5"/>
        <v>45901</v>
      </c>
      <c r="Z190" s="13" t="s">
        <v>39</v>
      </c>
      <c r="AA190" s="19" t="str">
        <f>VLOOKUP(D190,Clientes!$A$2:$J$486,9,FALSE)</f>
        <v>Familiar</v>
      </c>
      <c r="AB190" s="13" t="str">
        <f>VLOOKUP(D190,Clientes!$A$2:$K$486,11,FALSE)</f>
        <v>Persona Natural</v>
      </c>
      <c r="AC190" s="13" t="str">
        <f>VLOOKUP(D190,Clientes!$A$2:$B$486,2,FALSE)</f>
        <v>Familiar</v>
      </c>
      <c r="AD190" s="20"/>
      <c r="AE190" s="20"/>
      <c r="AF190" s="13" t="s">
        <v>40</v>
      </c>
      <c r="AG190" s="15">
        <f t="shared" si="6"/>
        <v>45536</v>
      </c>
      <c r="AH190" s="13" t="s">
        <v>41</v>
      </c>
      <c r="AI190" s="13" t="str">
        <f t="shared" si="7"/>
        <v>Frutos Secos</v>
      </c>
      <c r="AJ190" s="13">
        <f>VLOOKUP(E190,Precios!Z$2:AA$941,2,FALSE)</f>
        <v>0</v>
      </c>
      <c r="AK190" s="14">
        <f>VLOOKUP(E190,Precios!Z$2:BB$941,3,FALSE)*F190</f>
        <v>0</v>
      </c>
      <c r="AL190" s="17"/>
      <c r="AM190" s="17"/>
      <c r="AN190" s="17"/>
      <c r="AO190" s="17"/>
      <c r="AP190" s="17"/>
      <c r="AQ190" s="17"/>
      <c r="AR190" s="17"/>
      <c r="AS190" s="17"/>
      <c r="AT190" s="17"/>
      <c r="AU190" s="17"/>
      <c r="AV190" s="17"/>
    </row>
    <row r="191" spans="1:48" ht="15.75" customHeight="1">
      <c r="A191" s="21" t="s">
        <v>64</v>
      </c>
      <c r="B191" s="23" t="s">
        <v>1692</v>
      </c>
      <c r="C191" s="22">
        <v>45906</v>
      </c>
      <c r="D191" s="23" t="s">
        <v>103</v>
      </c>
      <c r="E191" s="23" t="s">
        <v>65</v>
      </c>
      <c r="F191" s="21">
        <v>1</v>
      </c>
      <c r="G191" s="12">
        <f>VLOOKUP(E191,Precios!B$2:N$941,12,FALSE)</f>
        <v>8200.2358799633075</v>
      </c>
      <c r="H191" s="12">
        <f t="shared" si="0"/>
        <v>8200.2358799633075</v>
      </c>
      <c r="I191" s="23" t="s">
        <v>52</v>
      </c>
      <c r="J191" s="23" t="s">
        <v>61</v>
      </c>
      <c r="K191" s="24" t="s">
        <v>177</v>
      </c>
      <c r="L191" s="24">
        <v>182</v>
      </c>
      <c r="M191" s="12">
        <f t="shared" ref="M191:N191" si="196">G191/1.19</f>
        <v>6890.9545209775697</v>
      </c>
      <c r="N191" s="12">
        <f t="shared" si="196"/>
        <v>6890.9545209775697</v>
      </c>
      <c r="O191" s="12">
        <f t="shared" si="2"/>
        <v>1309.2813589857378</v>
      </c>
      <c r="P191" s="13"/>
      <c r="Q191" s="14">
        <f t="shared" si="3"/>
        <v>2025</v>
      </c>
      <c r="R191" s="15">
        <f>VLOOKUP(MONTH(C191),'Datos Maestros'!M$2:N$14,2,FALSE)</f>
        <v>45536</v>
      </c>
      <c r="S191" s="11" t="str">
        <f>VLOOKUP(E191,Precios!B$2:W$941,3,FALSE)</f>
        <v>Longanizas</v>
      </c>
      <c r="T191" s="16">
        <f>VLOOKUP(E191,Precios!B$2:N$941,4,FALSE)*F191</f>
        <v>1</v>
      </c>
      <c r="U191" s="17"/>
      <c r="V191" s="12">
        <f>VLOOKUP(E191,Precios!B$2:N$941,13,FALSE)*F191</f>
        <v>1632.4671260195864</v>
      </c>
      <c r="W191" s="12">
        <f t="shared" si="4"/>
        <v>1632.4671260195864</v>
      </c>
      <c r="X191" s="12">
        <f>VLOOKUP(B191,'Datos Maestros'!$C$2:$D$7,2,FALSE)*V191</f>
        <v>0</v>
      </c>
      <c r="Y191" s="18">
        <f t="shared" si="5"/>
        <v>45901</v>
      </c>
      <c r="Z191" s="13" t="s">
        <v>39</v>
      </c>
      <c r="AA191" s="19" t="str">
        <f>VLOOKUP(D191,Clientes!$A$2:$J$486,9,FALSE)</f>
        <v>Ocacional</v>
      </c>
      <c r="AB191" s="13" t="str">
        <f>VLOOKUP(D191,Clientes!$A$2:$K$486,11,FALSE)</f>
        <v>Persona Natural</v>
      </c>
      <c r="AC191" s="13" t="str">
        <f>VLOOKUP(D191,Clientes!$A$2:$B$486,2,FALSE)</f>
        <v>Geronimo Alderete</v>
      </c>
      <c r="AD191" s="20"/>
      <c r="AE191" s="20"/>
      <c r="AF191" s="13" t="s">
        <v>40</v>
      </c>
      <c r="AG191" s="15">
        <f t="shared" si="6"/>
        <v>45536</v>
      </c>
      <c r="AH191" s="13" t="s">
        <v>41</v>
      </c>
      <c r="AI191" s="13" t="str">
        <f t="shared" si="7"/>
        <v>Longanizas</v>
      </c>
      <c r="AJ191" s="13" t="str">
        <f>VLOOKUP(E191,Precios!Z$2:AA$941,2,FALSE)</f>
        <v>Longanizas VILLABLANCA</v>
      </c>
      <c r="AK191" s="14">
        <f>VLOOKUP(E191,Precios!Z$2:BB$941,3,FALSE)*F191</f>
        <v>-1</v>
      </c>
      <c r="AL191" s="17"/>
      <c r="AM191" s="17"/>
      <c r="AN191" s="17"/>
      <c r="AO191" s="17"/>
      <c r="AP191" s="17"/>
      <c r="AQ191" s="17"/>
      <c r="AR191" s="17"/>
      <c r="AS191" s="17"/>
      <c r="AT191" s="17"/>
      <c r="AU191" s="17"/>
      <c r="AV191" s="17"/>
    </row>
    <row r="192" spans="1:48" ht="15.75" customHeight="1">
      <c r="A192" s="21" t="s">
        <v>76</v>
      </c>
      <c r="B192" s="23" t="s">
        <v>1692</v>
      </c>
      <c r="C192" s="22">
        <v>45906</v>
      </c>
      <c r="D192" s="23" t="s">
        <v>184</v>
      </c>
      <c r="E192" s="23" t="s">
        <v>137</v>
      </c>
      <c r="F192" s="21">
        <v>3</v>
      </c>
      <c r="G192" s="12">
        <f>VLOOKUP(E192,Precios!B$2:N$941,12,FALSE)</f>
        <v>3500.0000000000005</v>
      </c>
      <c r="H192" s="12">
        <f t="shared" si="0"/>
        <v>10500.000000000002</v>
      </c>
      <c r="I192" s="23" t="s">
        <v>52</v>
      </c>
      <c r="J192" s="23" t="s">
        <v>61</v>
      </c>
      <c r="K192" s="24" t="s">
        <v>177</v>
      </c>
      <c r="L192" s="24">
        <v>182</v>
      </c>
      <c r="M192" s="12">
        <f t="shared" ref="M192:N192" si="197">G192/1.19</f>
        <v>2941.1764705882356</v>
      </c>
      <c r="N192" s="12">
        <f t="shared" si="197"/>
        <v>8823.5294117647081</v>
      </c>
      <c r="O192" s="12">
        <f t="shared" si="2"/>
        <v>1676.4705882352937</v>
      </c>
      <c r="P192" s="13"/>
      <c r="Q192" s="14">
        <f t="shared" si="3"/>
        <v>2025</v>
      </c>
      <c r="R192" s="15">
        <f>VLOOKUP(MONTH(C192),'Datos Maestros'!M$2:N$14,2,FALSE)</f>
        <v>45536</v>
      </c>
      <c r="S192" s="11" t="str">
        <f>VLOOKUP(E192,Precios!B$2:W$941,3,FALSE)</f>
        <v>Detergente Piel Sensible</v>
      </c>
      <c r="T192" s="16">
        <f>VLOOKUP(E192,Precios!B$2:N$941,4,FALSE)*F192</f>
        <v>15</v>
      </c>
      <c r="U192" s="17"/>
      <c r="V192" s="12">
        <f>VLOOKUP(E192,Precios!B$2:N$941,13,FALSE)*F192</f>
        <v>2546.2184873949591</v>
      </c>
      <c r="W192" s="12">
        <f t="shared" si="4"/>
        <v>2546.2184873949591</v>
      </c>
      <c r="X192" s="12">
        <f>VLOOKUP(B192,'Datos Maestros'!$C$2:$D$7,2,FALSE)*V192</f>
        <v>0</v>
      </c>
      <c r="Y192" s="18">
        <f t="shared" si="5"/>
        <v>45901</v>
      </c>
      <c r="Z192" s="13" t="s">
        <v>39</v>
      </c>
      <c r="AA192" s="19" t="str">
        <f>VLOOKUP(D192,Clientes!$A$2:$J$486,9,FALSE)</f>
        <v>Frecuente</v>
      </c>
      <c r="AB192" s="13" t="str">
        <f>VLOOKUP(D192,Clientes!$A$2:$K$486,11,FALSE)</f>
        <v>Persona Natural</v>
      </c>
      <c r="AC192" s="13" t="str">
        <f>VLOOKUP(D192,Clientes!$A$2:$B$486,2,FALSE)</f>
        <v>Jardin del Eden</v>
      </c>
      <c r="AD192" s="20"/>
      <c r="AE192" s="20"/>
      <c r="AF192" s="13" t="s">
        <v>40</v>
      </c>
      <c r="AG192" s="15">
        <f t="shared" si="6"/>
        <v>45536</v>
      </c>
      <c r="AH192" s="13" t="s">
        <v>41</v>
      </c>
      <c r="AI192" s="13" t="str">
        <f t="shared" si="7"/>
        <v>Detergentes</v>
      </c>
      <c r="AJ192" s="13" t="str">
        <f>VLOOKUP(E192,Precios!Z$2:AA$941,2,FALSE)</f>
        <v>Detergente SPUM 5 Litros (Blanco)</v>
      </c>
      <c r="AK192" s="14">
        <f>VLOOKUP(E192,Precios!Z$2:BB$941,3,FALSE)*F192</f>
        <v>-3</v>
      </c>
      <c r="AL192" s="17"/>
      <c r="AM192" s="17"/>
      <c r="AN192" s="17"/>
      <c r="AO192" s="17"/>
      <c r="AP192" s="17"/>
      <c r="AQ192" s="17"/>
      <c r="AR192" s="17"/>
      <c r="AS192" s="17"/>
      <c r="AT192" s="17"/>
      <c r="AU192" s="17"/>
      <c r="AV192" s="17"/>
    </row>
    <row r="193" spans="1:48" ht="15.75" customHeight="1">
      <c r="A193" s="21" t="s">
        <v>76</v>
      </c>
      <c r="B193" s="23" t="s">
        <v>1692</v>
      </c>
      <c r="C193" s="22">
        <v>45906</v>
      </c>
      <c r="D193" s="23" t="s">
        <v>184</v>
      </c>
      <c r="E193" s="23" t="s">
        <v>166</v>
      </c>
      <c r="F193" s="21">
        <v>1</v>
      </c>
      <c r="G193" s="12">
        <f>VLOOKUP(E193,Precios!B$2:N$941,12,FALSE)</f>
        <v>3500.0000000000005</v>
      </c>
      <c r="H193" s="12">
        <f t="shared" si="0"/>
        <v>3500.0000000000005</v>
      </c>
      <c r="I193" s="23" t="s">
        <v>52</v>
      </c>
      <c r="J193" s="23" t="s">
        <v>61</v>
      </c>
      <c r="K193" s="24" t="s">
        <v>177</v>
      </c>
      <c r="L193" s="24">
        <v>182</v>
      </c>
      <c r="M193" s="12">
        <f t="shared" ref="M193:N193" si="198">G193/1.19</f>
        <v>2941.1764705882356</v>
      </c>
      <c r="N193" s="12">
        <f t="shared" si="198"/>
        <v>2941.1764705882356</v>
      </c>
      <c r="O193" s="12">
        <f t="shared" si="2"/>
        <v>558.82352941176487</v>
      </c>
      <c r="P193" s="13"/>
      <c r="Q193" s="14">
        <f t="shared" si="3"/>
        <v>2025</v>
      </c>
      <c r="R193" s="15">
        <f>VLOOKUP(MONTH(C193),'Datos Maestros'!M$2:N$14,2,FALSE)</f>
        <v>45536</v>
      </c>
      <c r="S193" s="11" t="str">
        <f>VLOOKUP(E193,Precios!B$2:W$941,3,FALSE)</f>
        <v>Cloro Gel</v>
      </c>
      <c r="T193" s="16">
        <f>VLOOKUP(E193,Precios!B$2:N$941,4,FALSE)*F193</f>
        <v>5</v>
      </c>
      <c r="U193" s="17"/>
      <c r="V193" s="12">
        <f>VLOOKUP(E193,Precios!B$2:N$941,13,FALSE)*F193</f>
        <v>1016.8067226890757</v>
      </c>
      <c r="W193" s="12">
        <f t="shared" si="4"/>
        <v>1016.8067226890757</v>
      </c>
      <c r="X193" s="12">
        <f>VLOOKUP(B193,'Datos Maestros'!$C$2:$D$7,2,FALSE)*V193</f>
        <v>0</v>
      </c>
      <c r="Y193" s="18">
        <f t="shared" si="5"/>
        <v>45901</v>
      </c>
      <c r="Z193" s="13" t="s">
        <v>39</v>
      </c>
      <c r="AA193" s="19" t="str">
        <f>VLOOKUP(D193,Clientes!$A$2:$J$486,9,FALSE)</f>
        <v>Frecuente</v>
      </c>
      <c r="AB193" s="13" t="str">
        <f>VLOOKUP(D193,Clientes!$A$2:$K$486,11,FALSE)</f>
        <v>Persona Natural</v>
      </c>
      <c r="AC193" s="13" t="str">
        <f>VLOOKUP(D193,Clientes!$A$2:$B$486,2,FALSE)</f>
        <v>Jardin del Eden</v>
      </c>
      <c r="AD193" s="20"/>
      <c r="AE193" s="20"/>
      <c r="AF193" s="13" t="s">
        <v>40</v>
      </c>
      <c r="AG193" s="15">
        <f t="shared" si="6"/>
        <v>45536</v>
      </c>
      <c r="AH193" s="13" t="s">
        <v>41</v>
      </c>
      <c r="AI193" s="13" t="str">
        <f t="shared" si="7"/>
        <v>Detergentes</v>
      </c>
      <c r="AJ193" s="13" t="str">
        <f>VLOOKUP(E193,Precios!Z$2:AA$941,2,FALSE)</f>
        <v>Cloro GEL SPUM 5 Litros</v>
      </c>
      <c r="AK193" s="14">
        <f>VLOOKUP(E193,Precios!Z$2:BB$941,3,FALSE)*F193</f>
        <v>-1</v>
      </c>
      <c r="AL193" s="17"/>
      <c r="AM193" s="17"/>
      <c r="AN193" s="17"/>
      <c r="AO193" s="17"/>
      <c r="AP193" s="17"/>
      <c r="AQ193" s="17"/>
      <c r="AR193" s="17"/>
      <c r="AS193" s="17"/>
      <c r="AT193" s="17"/>
      <c r="AU193" s="17"/>
      <c r="AV193" s="17"/>
    </row>
    <row r="194" spans="1:48" ht="15.75" customHeight="1">
      <c r="A194" s="21" t="s">
        <v>76</v>
      </c>
      <c r="B194" s="23" t="s">
        <v>1692</v>
      </c>
      <c r="C194" s="22">
        <v>45906</v>
      </c>
      <c r="D194" s="23" t="s">
        <v>184</v>
      </c>
      <c r="E194" s="23" t="s">
        <v>185</v>
      </c>
      <c r="F194" s="21">
        <v>1</v>
      </c>
      <c r="G194" s="12">
        <f>VLOOKUP(E194,Precios!B$2:N$941,12,FALSE)</f>
        <v>3200.1383843625663</v>
      </c>
      <c r="H194" s="12">
        <f t="shared" si="0"/>
        <v>3200.1383843625663</v>
      </c>
      <c r="I194" s="23" t="s">
        <v>52</v>
      </c>
      <c r="J194" s="23" t="s">
        <v>61</v>
      </c>
      <c r="K194" s="24" t="s">
        <v>177</v>
      </c>
      <c r="L194" s="24">
        <v>182</v>
      </c>
      <c r="M194" s="12">
        <f t="shared" ref="M194:N194" si="199">G194/1.19</f>
        <v>2689.1919196324088</v>
      </c>
      <c r="N194" s="12">
        <f t="shared" si="199"/>
        <v>2689.1919196324088</v>
      </c>
      <c r="O194" s="12">
        <f t="shared" si="2"/>
        <v>510.94646473015746</v>
      </c>
      <c r="P194" s="13"/>
      <c r="Q194" s="14">
        <f t="shared" si="3"/>
        <v>2025</v>
      </c>
      <c r="R194" s="15">
        <f>VLOOKUP(MONTH(C194),'Datos Maestros'!M$2:N$14,2,FALSE)</f>
        <v>45536</v>
      </c>
      <c r="S194" s="11" t="str">
        <f>VLOOKUP(E194,Precios!B$2:W$941,3,FALSE)</f>
        <v>LImpia Vidrio</v>
      </c>
      <c r="T194" s="16">
        <f>VLOOKUP(E194,Precios!B$2:N$941,4,FALSE)*F194</f>
        <v>5</v>
      </c>
      <c r="U194" s="17"/>
      <c r="V194" s="12">
        <f>VLOOKUP(E194,Precios!B$2:N$941,13,FALSE)*F194</f>
        <v>1134.570070892913</v>
      </c>
      <c r="W194" s="12">
        <f t="shared" si="4"/>
        <v>1134.570070892913</v>
      </c>
      <c r="X194" s="12">
        <f>VLOOKUP(B194,'Datos Maestros'!$C$2:$D$7,2,FALSE)*V194</f>
        <v>0</v>
      </c>
      <c r="Y194" s="18">
        <f t="shared" si="5"/>
        <v>45901</v>
      </c>
      <c r="Z194" s="13" t="s">
        <v>39</v>
      </c>
      <c r="AA194" s="19" t="str">
        <f>VLOOKUP(D194,Clientes!$A$2:$J$486,9,FALSE)</f>
        <v>Frecuente</v>
      </c>
      <c r="AB194" s="13" t="str">
        <f>VLOOKUP(D194,Clientes!$A$2:$K$486,11,FALSE)</f>
        <v>Persona Natural</v>
      </c>
      <c r="AC194" s="13" t="str">
        <f>VLOOKUP(D194,Clientes!$A$2:$B$486,2,FALSE)</f>
        <v>Jardin del Eden</v>
      </c>
      <c r="AD194" s="20"/>
      <c r="AE194" s="20"/>
      <c r="AF194" s="13" t="s">
        <v>40</v>
      </c>
      <c r="AG194" s="15">
        <f t="shared" si="6"/>
        <v>45536</v>
      </c>
      <c r="AH194" s="13" t="s">
        <v>41</v>
      </c>
      <c r="AI194" s="13" t="str">
        <f t="shared" si="7"/>
        <v>Detergentes</v>
      </c>
      <c r="AJ194" s="13" t="str">
        <f>VLOOKUP(E194,Precios!Z$2:AA$941,2,FALSE)</f>
        <v>Limpia Vidrio SPUM 5 litros</v>
      </c>
      <c r="AK194" s="14">
        <f>VLOOKUP(E194,Precios!Z$2:BB$941,3,FALSE)*F194</f>
        <v>-1</v>
      </c>
      <c r="AL194" s="17"/>
      <c r="AM194" s="17"/>
      <c r="AN194" s="17"/>
      <c r="AO194" s="17"/>
      <c r="AP194" s="17"/>
      <c r="AQ194" s="17"/>
      <c r="AR194" s="17"/>
      <c r="AS194" s="17"/>
      <c r="AT194" s="17"/>
      <c r="AU194" s="17"/>
      <c r="AV194" s="17"/>
    </row>
    <row r="195" spans="1:48" ht="15.75" customHeight="1">
      <c r="A195" s="21" t="s">
        <v>47</v>
      </c>
      <c r="B195" s="23" t="s">
        <v>1692</v>
      </c>
      <c r="C195" s="22">
        <v>45906</v>
      </c>
      <c r="D195" s="23" t="s">
        <v>184</v>
      </c>
      <c r="E195" s="23" t="s">
        <v>169</v>
      </c>
      <c r="F195" s="21">
        <v>1</v>
      </c>
      <c r="G195" s="12">
        <f>VLOOKUP(E195,Precios!B$2:N$941,12,FALSE)</f>
        <v>1650.3934426229507</v>
      </c>
      <c r="H195" s="12">
        <f t="shared" si="0"/>
        <v>1650.3934426229507</v>
      </c>
      <c r="I195" s="23" t="s">
        <v>52</v>
      </c>
      <c r="J195" s="23" t="s">
        <v>61</v>
      </c>
      <c r="K195" s="24" t="s">
        <v>177</v>
      </c>
      <c r="L195" s="24">
        <v>182</v>
      </c>
      <c r="M195" s="12">
        <f t="shared" ref="M195:N195" si="200">G195/1.19</f>
        <v>1386.8852459016393</v>
      </c>
      <c r="N195" s="12">
        <f t="shared" si="200"/>
        <v>1386.8852459016393</v>
      </c>
      <c r="O195" s="12">
        <f t="shared" si="2"/>
        <v>263.50819672131138</v>
      </c>
      <c r="P195" s="13"/>
      <c r="Q195" s="14">
        <f t="shared" si="3"/>
        <v>2025</v>
      </c>
      <c r="R195" s="15">
        <f>VLOOKUP(MONTH(C195),'Datos Maestros'!M$2:N$14,2,FALSE)</f>
        <v>45536</v>
      </c>
      <c r="S195" s="11" t="str">
        <f>VLOOKUP(E195,Precios!B$2:W$941,3,FALSE)</f>
        <v>Bolsa Basura</v>
      </c>
      <c r="T195" s="16">
        <f>VLOOKUP(E195,Precios!B$2:N$941,4,FALSE)*F195</f>
        <v>0</v>
      </c>
      <c r="U195" s="17"/>
      <c r="V195" s="12">
        <f>VLOOKUP(E195,Precios!B$2:N$941,13,FALSE)*F195</f>
        <v>540.88524590163934</v>
      </c>
      <c r="W195" s="12">
        <f t="shared" si="4"/>
        <v>540.88524590163934</v>
      </c>
      <c r="X195" s="12">
        <f>VLOOKUP(B195,'Datos Maestros'!$C$2:$D$7,2,FALSE)*V195</f>
        <v>0</v>
      </c>
      <c r="Y195" s="18">
        <f t="shared" si="5"/>
        <v>45901</v>
      </c>
      <c r="Z195" s="13" t="s">
        <v>39</v>
      </c>
      <c r="AA195" s="19" t="str">
        <f>VLOOKUP(D195,Clientes!$A$2:$J$486,9,FALSE)</f>
        <v>Frecuente</v>
      </c>
      <c r="AB195" s="13" t="str">
        <f>VLOOKUP(D195,Clientes!$A$2:$K$486,11,FALSE)</f>
        <v>Persona Natural</v>
      </c>
      <c r="AC195" s="13" t="str">
        <f>VLOOKUP(D195,Clientes!$A$2:$B$486,2,FALSE)</f>
        <v>Jardin del Eden</v>
      </c>
      <c r="AD195" s="20"/>
      <c r="AE195" s="20"/>
      <c r="AF195" s="13" t="s">
        <v>40</v>
      </c>
      <c r="AG195" s="15">
        <f t="shared" si="6"/>
        <v>45536</v>
      </c>
      <c r="AH195" s="13" t="s">
        <v>41</v>
      </c>
      <c r="AI195" s="13" t="str">
        <f t="shared" si="7"/>
        <v>Articulos de Aseo</v>
      </c>
      <c r="AJ195" s="13" t="str">
        <f>VLOOKUP(E195,Precios!Z$2:AA$941,2,FALSE)</f>
        <v xml:space="preserve">Bolsas Basura TEDDY 45x55 con Asas </v>
      </c>
      <c r="AK195" s="14">
        <f>VLOOKUP(E195,Precios!Z$2:BB$941,3,FALSE)*F195</f>
        <v>-3</v>
      </c>
      <c r="AL195" s="17"/>
      <c r="AM195" s="17"/>
      <c r="AN195" s="17"/>
      <c r="AO195" s="17"/>
      <c r="AP195" s="17"/>
      <c r="AQ195" s="17"/>
      <c r="AR195" s="17"/>
      <c r="AS195" s="17"/>
      <c r="AT195" s="17"/>
      <c r="AU195" s="17"/>
      <c r="AV195" s="17"/>
    </row>
    <row r="196" spans="1:48" ht="15.75" customHeight="1">
      <c r="A196" s="21" t="s">
        <v>35</v>
      </c>
      <c r="B196" s="23" t="s">
        <v>1692</v>
      </c>
      <c r="C196" s="22">
        <v>45906</v>
      </c>
      <c r="D196" s="23" t="s">
        <v>180</v>
      </c>
      <c r="E196" s="23" t="s">
        <v>37</v>
      </c>
      <c r="F196" s="21">
        <v>1</v>
      </c>
      <c r="G196" s="12">
        <f>VLOOKUP(E196,Precios!B$2:N$941,12,FALSE)</f>
        <v>11000.014358944907</v>
      </c>
      <c r="H196" s="12">
        <f t="shared" si="0"/>
        <v>11000.014358944907</v>
      </c>
      <c r="I196" s="23" t="s">
        <v>52</v>
      </c>
      <c r="J196" s="23" t="s">
        <v>38</v>
      </c>
      <c r="K196" s="24" t="s">
        <v>177</v>
      </c>
      <c r="L196" s="24">
        <v>182</v>
      </c>
      <c r="M196" s="12">
        <f t="shared" ref="M196:N196" si="201">G196/1.19</f>
        <v>9243.7095453318543</v>
      </c>
      <c r="N196" s="12">
        <f t="shared" si="201"/>
        <v>9243.7095453318543</v>
      </c>
      <c r="O196" s="12">
        <f t="shared" si="2"/>
        <v>1756.3048136130528</v>
      </c>
      <c r="P196" s="13"/>
      <c r="Q196" s="14">
        <f t="shared" si="3"/>
        <v>2025</v>
      </c>
      <c r="R196" s="15">
        <f>VLOOKUP(MONTH(C196),'Datos Maestros'!M$2:N$14,2,FALSE)</f>
        <v>45536</v>
      </c>
      <c r="S196" s="11" t="str">
        <f>VLOOKUP(E196,Precios!B$2:W$941,3,FALSE)</f>
        <v>Queso Mantecoso</v>
      </c>
      <c r="T196" s="16">
        <f>VLOOKUP(E196,Precios!B$2:N$941,4,FALSE)*F196</f>
        <v>1000</v>
      </c>
      <c r="U196" s="17"/>
      <c r="V196" s="12">
        <f>VLOOKUP(E196,Precios!B$2:N$941,13,FALSE)*F196</f>
        <v>2806.1129066763915</v>
      </c>
      <c r="W196" s="12">
        <f t="shared" si="4"/>
        <v>2806.1129066763915</v>
      </c>
      <c r="X196" s="12">
        <f>VLOOKUP(B196,'Datos Maestros'!$C$2:$D$7,2,FALSE)*V196</f>
        <v>0</v>
      </c>
      <c r="Y196" s="18">
        <f t="shared" si="5"/>
        <v>45901</v>
      </c>
      <c r="Z196" s="13" t="s">
        <v>39</v>
      </c>
      <c r="AA196" s="19" t="str">
        <f>VLOOKUP(D196,Clientes!$A$2:$J$486,9,FALSE)</f>
        <v>Familiar</v>
      </c>
      <c r="AB196" s="13" t="str">
        <f>VLOOKUP(D196,Clientes!$A$2:$K$486,11,FALSE)</f>
        <v>Persona Natural</v>
      </c>
      <c r="AC196" s="13" t="str">
        <f>VLOOKUP(D196,Clientes!$A$2:$B$486,2,FALSE)</f>
        <v>Familiar</v>
      </c>
      <c r="AD196" s="20"/>
      <c r="AE196" s="20"/>
      <c r="AF196" s="13" t="s">
        <v>40</v>
      </c>
      <c r="AG196" s="15">
        <f t="shared" si="6"/>
        <v>45536</v>
      </c>
      <c r="AH196" s="13" t="s">
        <v>41</v>
      </c>
      <c r="AI196" s="13" t="str">
        <f t="shared" si="7"/>
        <v>Quesos</v>
      </c>
      <c r="AJ196" s="13" t="str">
        <f>VLOOKUP(E196,Precios!Z$2:AA$941,2,FALSE)</f>
        <v>Queso RUNCA Mantecoso</v>
      </c>
      <c r="AK196" s="14">
        <f>VLOOKUP(E196,Precios!Z$2:BB$941,3,FALSE)*F196</f>
        <v>-1</v>
      </c>
      <c r="AL196" s="17"/>
      <c r="AM196" s="17"/>
      <c r="AN196" s="17"/>
      <c r="AO196" s="17"/>
      <c r="AP196" s="17"/>
      <c r="AQ196" s="17"/>
      <c r="AR196" s="17"/>
      <c r="AS196" s="17"/>
      <c r="AT196" s="17"/>
      <c r="AU196" s="17"/>
      <c r="AV196" s="17"/>
    </row>
    <row r="197" spans="1:48" ht="15.75" customHeight="1">
      <c r="A197" s="21" t="s">
        <v>56</v>
      </c>
      <c r="B197" s="23" t="s">
        <v>1692</v>
      </c>
      <c r="C197" s="22">
        <v>45906</v>
      </c>
      <c r="D197" s="23" t="s">
        <v>180</v>
      </c>
      <c r="E197" s="23" t="s">
        <v>60</v>
      </c>
      <c r="F197" s="21">
        <v>1</v>
      </c>
      <c r="G197" s="12">
        <f>VLOOKUP(E197,Precios!B$2:N$941,12,FALSE)</f>
        <v>7000.0000000000018</v>
      </c>
      <c r="H197" s="12">
        <f t="shared" si="0"/>
        <v>7000.0000000000018</v>
      </c>
      <c r="I197" s="23" t="s">
        <v>52</v>
      </c>
      <c r="J197" s="23" t="s">
        <v>38</v>
      </c>
      <c r="K197" s="24" t="s">
        <v>177</v>
      </c>
      <c r="L197" s="24">
        <v>182</v>
      </c>
      <c r="M197" s="12">
        <f t="shared" ref="M197:N197" si="202">G197/1.19</f>
        <v>5882.3529411764721</v>
      </c>
      <c r="N197" s="12">
        <f t="shared" si="202"/>
        <v>5882.3529411764721</v>
      </c>
      <c r="O197" s="12">
        <f t="shared" si="2"/>
        <v>1117.6470588235297</v>
      </c>
      <c r="P197" s="13"/>
      <c r="Q197" s="14">
        <f t="shared" si="3"/>
        <v>2025</v>
      </c>
      <c r="R197" s="15">
        <f>VLOOKUP(MONTH(C197),'Datos Maestros'!M$2:N$14,2,FALSE)</f>
        <v>45536</v>
      </c>
      <c r="S197" s="11" t="str">
        <f>VLOOKUP(E197,Precios!B$2:W$941,3,FALSE)</f>
        <v xml:space="preserve">Queso Rueda Sabores </v>
      </c>
      <c r="T197" s="16">
        <f>VLOOKUP(E197,Precios!B$2:N$941,4,FALSE)*F197</f>
        <v>200</v>
      </c>
      <c r="U197" s="17"/>
      <c r="V197" s="12">
        <f>VLOOKUP(E197,Precios!B$2:N$941,13,FALSE)*F197</f>
        <v>2080.6722689075641</v>
      </c>
      <c r="W197" s="12">
        <f t="shared" si="4"/>
        <v>2080.6722689075641</v>
      </c>
      <c r="X197" s="12">
        <f>VLOOKUP(B197,'Datos Maestros'!$C$2:$D$7,2,FALSE)*V197</f>
        <v>0</v>
      </c>
      <c r="Y197" s="18">
        <f t="shared" si="5"/>
        <v>45901</v>
      </c>
      <c r="Z197" s="13" t="s">
        <v>39</v>
      </c>
      <c r="AA197" s="19" t="str">
        <f>VLOOKUP(D197,Clientes!$A$2:$J$486,9,FALSE)</f>
        <v>Familiar</v>
      </c>
      <c r="AB197" s="13" t="str">
        <f>VLOOKUP(D197,Clientes!$A$2:$K$486,11,FALSE)</f>
        <v>Persona Natural</v>
      </c>
      <c r="AC197" s="13" t="str">
        <f>VLOOKUP(D197,Clientes!$A$2:$B$486,2,FALSE)</f>
        <v>Familiar</v>
      </c>
      <c r="AD197" s="20"/>
      <c r="AE197" s="20"/>
      <c r="AF197" s="13" t="s">
        <v>40</v>
      </c>
      <c r="AG197" s="15">
        <f t="shared" si="6"/>
        <v>45536</v>
      </c>
      <c r="AH197" s="13" t="s">
        <v>41</v>
      </c>
      <c r="AI197" s="13" t="str">
        <f t="shared" si="7"/>
        <v>Derivados</v>
      </c>
      <c r="AJ197" s="13" t="str">
        <f>VLOOKUP(E197,Precios!Z$2:AA$941,2,FALSE)</f>
        <v>Queso Sabores</v>
      </c>
      <c r="AK197" s="14">
        <f>VLOOKUP(E197,Precios!Z$2:BB$941,3,FALSE)*F197</f>
        <v>-2</v>
      </c>
      <c r="AL197" s="17"/>
      <c r="AM197" s="17"/>
      <c r="AN197" s="17"/>
      <c r="AO197" s="17"/>
      <c r="AP197" s="17"/>
      <c r="AQ197" s="17"/>
      <c r="AR197" s="17"/>
      <c r="AS197" s="17"/>
      <c r="AT197" s="17"/>
      <c r="AU197" s="17"/>
      <c r="AV197" s="17"/>
    </row>
    <row r="198" spans="1:48" ht="15.75" customHeight="1">
      <c r="A198" s="21" t="s">
        <v>56</v>
      </c>
      <c r="B198" s="23" t="s">
        <v>1692</v>
      </c>
      <c r="C198" s="22">
        <v>45906</v>
      </c>
      <c r="D198" s="23" t="s">
        <v>180</v>
      </c>
      <c r="E198" s="23" t="s">
        <v>67</v>
      </c>
      <c r="F198" s="21">
        <v>1</v>
      </c>
      <c r="G198" s="12">
        <f>VLOOKUP(E198,Precios!B$2:N$941,12,FALSE)</f>
        <v>7000.0000000000009</v>
      </c>
      <c r="H198" s="12">
        <f t="shared" si="0"/>
        <v>7000.0000000000009</v>
      </c>
      <c r="I198" s="23" t="s">
        <v>52</v>
      </c>
      <c r="J198" s="23" t="s">
        <v>38</v>
      </c>
      <c r="K198" s="24" t="s">
        <v>177</v>
      </c>
      <c r="L198" s="24">
        <v>182</v>
      </c>
      <c r="M198" s="12">
        <f t="shared" ref="M198:N198" si="203">G198/1.19</f>
        <v>5882.3529411764712</v>
      </c>
      <c r="N198" s="12">
        <f t="shared" si="203"/>
        <v>5882.3529411764712</v>
      </c>
      <c r="O198" s="12">
        <f t="shared" si="2"/>
        <v>1117.6470588235297</v>
      </c>
      <c r="P198" s="13"/>
      <c r="Q198" s="14">
        <f t="shared" si="3"/>
        <v>2025</v>
      </c>
      <c r="R198" s="15">
        <f>VLOOKUP(MONTH(C198),'Datos Maestros'!M$2:N$14,2,FALSE)</f>
        <v>45536</v>
      </c>
      <c r="S198" s="11" t="str">
        <f>VLOOKUP(E198,Precios!B$2:W$941,3,FALSE)</f>
        <v>Mantequilla</v>
      </c>
      <c r="T198" s="16">
        <f>VLOOKUP(E198,Precios!B$2:N$941,4,FALSE)*F198</f>
        <v>200</v>
      </c>
      <c r="U198" s="17"/>
      <c r="V198" s="12">
        <f>VLOOKUP(E198,Precios!B$2:N$941,13,FALSE)*F198</f>
        <v>1512.6050420168067</v>
      </c>
      <c r="W198" s="12">
        <f t="shared" si="4"/>
        <v>1512.6050420168067</v>
      </c>
      <c r="X198" s="12">
        <f>VLOOKUP(B198,'Datos Maestros'!$C$2:$D$7,2,FALSE)*V198</f>
        <v>0</v>
      </c>
      <c r="Y198" s="18">
        <f t="shared" si="5"/>
        <v>45901</v>
      </c>
      <c r="Z198" s="13" t="s">
        <v>39</v>
      </c>
      <c r="AA198" s="19" t="str">
        <f>VLOOKUP(D198,Clientes!$A$2:$J$486,9,FALSE)</f>
        <v>Familiar</v>
      </c>
      <c r="AB198" s="13" t="str">
        <f>VLOOKUP(D198,Clientes!$A$2:$K$486,11,FALSE)</f>
        <v>Persona Natural</v>
      </c>
      <c r="AC198" s="13" t="str">
        <f>VLOOKUP(D198,Clientes!$A$2:$B$486,2,FALSE)</f>
        <v>Familiar</v>
      </c>
      <c r="AD198" s="20"/>
      <c r="AE198" s="20"/>
      <c r="AF198" s="13" t="s">
        <v>40</v>
      </c>
      <c r="AG198" s="15">
        <f t="shared" si="6"/>
        <v>45536</v>
      </c>
      <c r="AH198" s="13" t="s">
        <v>41</v>
      </c>
      <c r="AI198" s="13" t="str">
        <f t="shared" si="7"/>
        <v>Derivados</v>
      </c>
      <c r="AJ198" s="13" t="str">
        <f>VLOOKUP(E198,Precios!Z$2:AA$941,2,FALSE)</f>
        <v>Mantequilla RUMAY</v>
      </c>
      <c r="AK198" s="14">
        <f>VLOOKUP(E198,Precios!Z$2:BB$941,3,FALSE)*F198</f>
        <v>-3</v>
      </c>
      <c r="AL198" s="17"/>
      <c r="AM198" s="17"/>
      <c r="AN198" s="17"/>
      <c r="AO198" s="17"/>
      <c r="AP198" s="17"/>
      <c r="AQ198" s="17"/>
      <c r="AR198" s="17"/>
      <c r="AS198" s="17"/>
      <c r="AT198" s="17"/>
      <c r="AU198" s="17"/>
      <c r="AV198" s="17"/>
    </row>
    <row r="199" spans="1:48" ht="15.75" customHeight="1">
      <c r="A199" s="21" t="s">
        <v>53</v>
      </c>
      <c r="B199" s="23" t="s">
        <v>1692</v>
      </c>
      <c r="C199" s="22">
        <v>45906</v>
      </c>
      <c r="D199" s="23" t="s">
        <v>186</v>
      </c>
      <c r="E199" s="23" t="s">
        <v>55</v>
      </c>
      <c r="F199" s="21">
        <v>1</v>
      </c>
      <c r="G199" s="12">
        <f>VLOOKUP(E199,Precios!B$2:N$941,12,FALSE)</f>
        <v>20899.91124296327</v>
      </c>
      <c r="H199" s="12">
        <f t="shared" si="0"/>
        <v>20899.91124296327</v>
      </c>
      <c r="I199" s="23" t="s">
        <v>52</v>
      </c>
      <c r="J199" s="23" t="s">
        <v>61</v>
      </c>
      <c r="K199" s="24" t="s">
        <v>177</v>
      </c>
      <c r="L199" s="24">
        <v>182</v>
      </c>
      <c r="M199" s="12">
        <f t="shared" ref="M199:N199" si="204">G199/1.19</f>
        <v>17562.950624338882</v>
      </c>
      <c r="N199" s="12">
        <f t="shared" si="204"/>
        <v>17562.950624338882</v>
      </c>
      <c r="O199" s="12">
        <f t="shared" si="2"/>
        <v>3336.9606186243873</v>
      </c>
      <c r="P199" s="13"/>
      <c r="Q199" s="14">
        <f t="shared" si="3"/>
        <v>2025</v>
      </c>
      <c r="R199" s="15">
        <f>VLOOKUP(MONTH(C199),'Datos Maestros'!M$2:N$14,2,FALSE)</f>
        <v>45536</v>
      </c>
      <c r="S199" s="11" t="str">
        <f>VLOOKUP(E199,Precios!B$2:W$941,3,FALSE)</f>
        <v>Papel Higiénico ELITE</v>
      </c>
      <c r="T199" s="16">
        <f>VLOOKUP(E199,Precios!B$2:N$941,4,FALSE)*F199</f>
        <v>0</v>
      </c>
      <c r="U199" s="17"/>
      <c r="V199" s="12">
        <f>VLOOKUP(E199,Precios!B$2:N$941,13,FALSE)*F199</f>
        <v>3117.9506243388823</v>
      </c>
      <c r="W199" s="12">
        <f t="shared" si="4"/>
        <v>3117.9506243388823</v>
      </c>
      <c r="X199" s="12">
        <f>VLOOKUP(B199,'Datos Maestros'!$C$2:$D$7,2,FALSE)*V199</f>
        <v>0</v>
      </c>
      <c r="Y199" s="18">
        <f t="shared" si="5"/>
        <v>45901</v>
      </c>
      <c r="Z199" s="13" t="s">
        <v>39</v>
      </c>
      <c r="AA199" s="19" t="str">
        <f>VLOOKUP(D199,Clientes!$A$2:$J$486,9,FALSE)</f>
        <v>Ocacional</v>
      </c>
      <c r="AB199" s="13" t="str">
        <f>VLOOKUP(D199,Clientes!$A$2:$K$486,11,FALSE)</f>
        <v>Persona Natural</v>
      </c>
      <c r="AC199" s="13" t="str">
        <f>VLOOKUP(D199,Clientes!$A$2:$B$486,2,FALSE)</f>
        <v>Palena</v>
      </c>
      <c r="AD199" s="20"/>
      <c r="AE199" s="20"/>
      <c r="AF199" s="13" t="s">
        <v>40</v>
      </c>
      <c r="AG199" s="15">
        <f t="shared" si="6"/>
        <v>45536</v>
      </c>
      <c r="AH199" s="13" t="s">
        <v>41</v>
      </c>
      <c r="AI199" s="13" t="str">
        <f t="shared" si="7"/>
        <v>Papeleria</v>
      </c>
      <c r="AJ199" s="13" t="str">
        <f>VLOOKUP(E199,Precios!Z$2:AA$941,2,FALSE)</f>
        <v>Papel Higienico ELITE 50 metros</v>
      </c>
      <c r="AK199" s="14">
        <f>VLOOKUP(E199,Precios!Z$2:BB$941,3,FALSE)*F199</f>
        <v>-8</v>
      </c>
      <c r="AL199" s="17"/>
      <c r="AM199" s="17"/>
      <c r="AN199" s="17"/>
      <c r="AO199" s="17"/>
      <c r="AP199" s="17"/>
      <c r="AQ199" s="17"/>
      <c r="AR199" s="17"/>
      <c r="AS199" s="17"/>
      <c r="AT199" s="17"/>
      <c r="AU199" s="17"/>
      <c r="AV199" s="17"/>
    </row>
    <row r="200" spans="1:48" ht="15.75" customHeight="1">
      <c r="A200" s="21" t="s">
        <v>76</v>
      </c>
      <c r="B200" s="23" t="s">
        <v>1692</v>
      </c>
      <c r="C200" s="22">
        <v>45906</v>
      </c>
      <c r="D200" s="23" t="s">
        <v>186</v>
      </c>
      <c r="E200" s="23" t="s">
        <v>166</v>
      </c>
      <c r="F200" s="21">
        <v>1</v>
      </c>
      <c r="G200" s="12">
        <f>VLOOKUP(E200,Precios!B$2:N$941,12,FALSE)</f>
        <v>3500.0000000000005</v>
      </c>
      <c r="H200" s="12">
        <f t="shared" si="0"/>
        <v>3500.0000000000005</v>
      </c>
      <c r="I200" s="23" t="s">
        <v>52</v>
      </c>
      <c r="J200" s="23" t="s">
        <v>61</v>
      </c>
      <c r="K200" s="24" t="s">
        <v>177</v>
      </c>
      <c r="L200" s="24">
        <v>182</v>
      </c>
      <c r="M200" s="12">
        <f t="shared" ref="M200:N200" si="205">G200/1.19</f>
        <v>2941.1764705882356</v>
      </c>
      <c r="N200" s="12">
        <f t="shared" si="205"/>
        <v>2941.1764705882356</v>
      </c>
      <c r="O200" s="12">
        <f t="shared" si="2"/>
        <v>558.82352941176487</v>
      </c>
      <c r="P200" s="13"/>
      <c r="Q200" s="14">
        <f t="shared" si="3"/>
        <v>2025</v>
      </c>
      <c r="R200" s="15">
        <f>VLOOKUP(MONTH(C200),'Datos Maestros'!M$2:N$14,2,FALSE)</f>
        <v>45536</v>
      </c>
      <c r="S200" s="11" t="str">
        <f>VLOOKUP(E200,Precios!B$2:W$941,3,FALSE)</f>
        <v>Cloro Gel</v>
      </c>
      <c r="T200" s="16">
        <f>VLOOKUP(E200,Precios!B$2:N$941,4,FALSE)*F200</f>
        <v>5</v>
      </c>
      <c r="U200" s="17"/>
      <c r="V200" s="12">
        <f>VLOOKUP(E200,Precios!B$2:N$941,13,FALSE)*F200</f>
        <v>1016.8067226890757</v>
      </c>
      <c r="W200" s="12">
        <f t="shared" si="4"/>
        <v>1016.8067226890757</v>
      </c>
      <c r="X200" s="12">
        <f>VLOOKUP(B200,'Datos Maestros'!$C$2:$D$7,2,FALSE)*V200</f>
        <v>0</v>
      </c>
      <c r="Y200" s="18">
        <f t="shared" si="5"/>
        <v>45901</v>
      </c>
      <c r="Z200" s="13" t="s">
        <v>39</v>
      </c>
      <c r="AA200" s="19" t="str">
        <f>VLOOKUP(D200,Clientes!$A$2:$J$486,9,FALSE)</f>
        <v>Ocacional</v>
      </c>
      <c r="AB200" s="13" t="str">
        <f>VLOOKUP(D200,Clientes!$A$2:$K$486,11,FALSE)</f>
        <v>Persona Natural</v>
      </c>
      <c r="AC200" s="13" t="str">
        <f>VLOOKUP(D200,Clientes!$A$2:$B$486,2,FALSE)</f>
        <v>Palena</v>
      </c>
      <c r="AD200" s="20"/>
      <c r="AE200" s="20"/>
      <c r="AF200" s="13" t="s">
        <v>40</v>
      </c>
      <c r="AG200" s="15">
        <f t="shared" si="6"/>
        <v>45536</v>
      </c>
      <c r="AH200" s="13" t="s">
        <v>41</v>
      </c>
      <c r="AI200" s="13" t="str">
        <f t="shared" si="7"/>
        <v>Detergentes</v>
      </c>
      <c r="AJ200" s="13" t="str">
        <f>VLOOKUP(E200,Precios!Z$2:AA$941,2,FALSE)</f>
        <v>Cloro GEL SPUM 5 Litros</v>
      </c>
      <c r="AK200" s="14">
        <f>VLOOKUP(E200,Precios!Z$2:BB$941,3,FALSE)*F200</f>
        <v>-1</v>
      </c>
      <c r="AL200" s="17"/>
      <c r="AM200" s="17"/>
      <c r="AN200" s="17"/>
      <c r="AO200" s="17"/>
      <c r="AP200" s="17"/>
      <c r="AQ200" s="17"/>
      <c r="AR200" s="17"/>
      <c r="AS200" s="17"/>
      <c r="AT200" s="17"/>
      <c r="AU200" s="17"/>
      <c r="AV200" s="17"/>
    </row>
    <row r="201" spans="1:48" ht="15.75" customHeight="1">
      <c r="A201" s="21" t="s">
        <v>76</v>
      </c>
      <c r="B201" s="23" t="s">
        <v>1692</v>
      </c>
      <c r="C201" s="22">
        <v>45906</v>
      </c>
      <c r="D201" s="23" t="s">
        <v>186</v>
      </c>
      <c r="E201" s="23" t="s">
        <v>187</v>
      </c>
      <c r="F201" s="21">
        <v>1</v>
      </c>
      <c r="G201" s="12">
        <f>VLOOKUP(E201,Precios!B$2:N$941,12,FALSE)</f>
        <v>2699.9280057595392</v>
      </c>
      <c r="H201" s="12">
        <f t="shared" si="0"/>
        <v>2699.9280057595392</v>
      </c>
      <c r="I201" s="23" t="s">
        <v>52</v>
      </c>
      <c r="J201" s="23" t="s">
        <v>61</v>
      </c>
      <c r="K201" s="24" t="s">
        <v>177</v>
      </c>
      <c r="L201" s="24">
        <v>182</v>
      </c>
      <c r="M201" s="12">
        <f t="shared" ref="M201:N201" si="206">G201/1.19</f>
        <v>2268.8470636634784</v>
      </c>
      <c r="N201" s="12">
        <f t="shared" si="206"/>
        <v>2268.8470636634784</v>
      </c>
      <c r="O201" s="12">
        <f t="shared" si="2"/>
        <v>431.08094209606088</v>
      </c>
      <c r="P201" s="13"/>
      <c r="Q201" s="14">
        <f t="shared" si="3"/>
        <v>2025</v>
      </c>
      <c r="R201" s="15">
        <f>VLOOKUP(MONTH(C201),'Datos Maestros'!M$2:N$14,2,FALSE)</f>
        <v>45536</v>
      </c>
      <c r="S201" s="11" t="str">
        <f>VLOOKUP(E201,Precios!B$2:W$941,3,FALSE)</f>
        <v>Lavaloza</v>
      </c>
      <c r="T201" s="16">
        <f>VLOOKUP(E201,Precios!B$2:N$941,4,FALSE)*F201</f>
        <v>0</v>
      </c>
      <c r="U201" s="17"/>
      <c r="V201" s="12">
        <f>VLOOKUP(E201,Precios!B$2:N$941,13,FALSE)*F201</f>
        <v>798.18039699681162</v>
      </c>
      <c r="W201" s="12">
        <f t="shared" si="4"/>
        <v>798.18039699681162</v>
      </c>
      <c r="X201" s="12">
        <f>VLOOKUP(B201,'Datos Maestros'!$C$2:$D$7,2,FALSE)*V201</f>
        <v>0</v>
      </c>
      <c r="Y201" s="18">
        <f t="shared" si="5"/>
        <v>45901</v>
      </c>
      <c r="Z201" s="13" t="s">
        <v>39</v>
      </c>
      <c r="AA201" s="19" t="str">
        <f>VLOOKUP(D201,Clientes!$A$2:$J$486,9,FALSE)</f>
        <v>Ocacional</v>
      </c>
      <c r="AB201" s="13" t="str">
        <f>VLOOKUP(D201,Clientes!$A$2:$K$486,11,FALSE)</f>
        <v>Persona Natural</v>
      </c>
      <c r="AC201" s="13" t="str">
        <f>VLOOKUP(D201,Clientes!$A$2:$B$486,2,FALSE)</f>
        <v>Palena</v>
      </c>
      <c r="AD201" s="20"/>
      <c r="AE201" s="20"/>
      <c r="AF201" s="13" t="s">
        <v>40</v>
      </c>
      <c r="AG201" s="15">
        <f t="shared" si="6"/>
        <v>45536</v>
      </c>
      <c r="AH201" s="13" t="s">
        <v>41</v>
      </c>
      <c r="AI201" s="13" t="str">
        <f t="shared" si="7"/>
        <v>Detergentes</v>
      </c>
      <c r="AJ201" s="13" t="str">
        <f>VLOOKUP(E201,Precios!Z$2:AA$941,2,FALSE)</f>
        <v>Lavaloza WYN 1.5 Litros (recarga)</v>
      </c>
      <c r="AK201" s="14">
        <f>VLOOKUP(E201,Precios!Z$2:BB$941,3,FALSE)*F201</f>
        <v>-1</v>
      </c>
      <c r="AL201" s="17"/>
      <c r="AM201" s="17"/>
      <c r="AN201" s="17"/>
      <c r="AO201" s="17"/>
      <c r="AP201" s="17"/>
      <c r="AQ201" s="17"/>
      <c r="AR201" s="17"/>
      <c r="AS201" s="17"/>
      <c r="AT201" s="17"/>
      <c r="AU201" s="17"/>
      <c r="AV201" s="17"/>
    </row>
    <row r="202" spans="1:48" ht="15.75" customHeight="1">
      <c r="A202" s="21" t="s">
        <v>76</v>
      </c>
      <c r="B202" s="23" t="s">
        <v>1692</v>
      </c>
      <c r="C202" s="22">
        <v>45906</v>
      </c>
      <c r="D202" s="23" t="s">
        <v>186</v>
      </c>
      <c r="E202" s="23" t="s">
        <v>154</v>
      </c>
      <c r="F202" s="21">
        <v>1</v>
      </c>
      <c r="G202" s="12">
        <f>VLOOKUP(E202,Precios!B$2:N$941,12,FALSE)</f>
        <v>4000.0936329588012</v>
      </c>
      <c r="H202" s="12">
        <f t="shared" si="0"/>
        <v>4000.0936329588012</v>
      </c>
      <c r="I202" s="23" t="s">
        <v>52</v>
      </c>
      <c r="J202" s="23" t="s">
        <v>61</v>
      </c>
      <c r="K202" s="24" t="s">
        <v>177</v>
      </c>
      <c r="L202" s="24">
        <v>182</v>
      </c>
      <c r="M202" s="12">
        <f t="shared" ref="M202:N202" si="207">G202/1.19</f>
        <v>3361.4232209737825</v>
      </c>
      <c r="N202" s="12">
        <f t="shared" si="207"/>
        <v>3361.4232209737825</v>
      </c>
      <c r="O202" s="12">
        <f t="shared" si="2"/>
        <v>638.67041198501875</v>
      </c>
      <c r="P202" s="13"/>
      <c r="Q202" s="14">
        <f t="shared" si="3"/>
        <v>2025</v>
      </c>
      <c r="R202" s="15">
        <f>VLOOKUP(MONTH(C202),'Datos Maestros'!M$2:N$14,2,FALSE)</f>
        <v>45536</v>
      </c>
      <c r="S202" s="11" t="str">
        <f>VLOOKUP(E202,Precios!B$2:W$941,3,FALSE)</f>
        <v>Desinfectantes</v>
      </c>
      <c r="T202" s="16">
        <f>VLOOKUP(E202,Precios!B$2:N$941,4,FALSE)*F202</f>
        <v>0</v>
      </c>
      <c r="U202" s="17"/>
      <c r="V202" s="12">
        <f>VLOOKUP(E202,Precios!B$2:N$941,13,FALSE)*F202</f>
        <v>848.42322097378246</v>
      </c>
      <c r="W202" s="12">
        <f t="shared" si="4"/>
        <v>848.42322097378246</v>
      </c>
      <c r="X202" s="12">
        <f>VLOOKUP(B202,'Datos Maestros'!$C$2:$D$7,2,FALSE)*V202</f>
        <v>0</v>
      </c>
      <c r="Y202" s="18">
        <f t="shared" si="5"/>
        <v>45901</v>
      </c>
      <c r="Z202" s="13" t="s">
        <v>39</v>
      </c>
      <c r="AA202" s="19" t="str">
        <f>VLOOKUP(D202,Clientes!$A$2:$J$486,9,FALSE)</f>
        <v>Ocacional</v>
      </c>
      <c r="AB202" s="13" t="str">
        <f>VLOOKUP(D202,Clientes!$A$2:$K$486,11,FALSE)</f>
        <v>Persona Natural</v>
      </c>
      <c r="AC202" s="13" t="str">
        <f>VLOOKUP(D202,Clientes!$A$2:$B$486,2,FALSE)</f>
        <v>Palena</v>
      </c>
      <c r="AD202" s="20"/>
      <c r="AE202" s="20"/>
      <c r="AF202" s="13" t="s">
        <v>40</v>
      </c>
      <c r="AG202" s="15">
        <f t="shared" si="6"/>
        <v>45536</v>
      </c>
      <c r="AH202" s="13" t="s">
        <v>41</v>
      </c>
      <c r="AI202" s="13" t="str">
        <f t="shared" si="7"/>
        <v>Detergentes</v>
      </c>
      <c r="AJ202" s="13" t="str">
        <f>VLOOKUP(E202,Precios!Z$2:AA$941,2,FALSE)</f>
        <v>Lysoform 360 cc</v>
      </c>
      <c r="AK202" s="14">
        <f>VLOOKUP(E202,Precios!Z$2:BB$941,3,FALSE)*F202</f>
        <v>-1</v>
      </c>
      <c r="AL202" s="17"/>
      <c r="AM202" s="17"/>
      <c r="AN202" s="17"/>
      <c r="AO202" s="17"/>
      <c r="AP202" s="17"/>
      <c r="AQ202" s="17"/>
      <c r="AR202" s="17"/>
      <c r="AS202" s="17"/>
      <c r="AT202" s="17"/>
      <c r="AU202" s="17"/>
      <c r="AV202" s="17"/>
    </row>
    <row r="203" spans="1:48" ht="15.75" customHeight="1">
      <c r="A203" s="21" t="s">
        <v>47</v>
      </c>
      <c r="B203" s="23" t="s">
        <v>1692</v>
      </c>
      <c r="C203" s="22">
        <v>45906</v>
      </c>
      <c r="D203" s="23" t="s">
        <v>186</v>
      </c>
      <c r="E203" s="23" t="s">
        <v>143</v>
      </c>
      <c r="F203" s="21">
        <v>1</v>
      </c>
      <c r="G203" s="12">
        <f>VLOOKUP(E203,Precios!B$2:N$941,12,FALSE)</f>
        <v>2999.9379074821477</v>
      </c>
      <c r="H203" s="12">
        <f t="shared" si="0"/>
        <v>2999.9379074821477</v>
      </c>
      <c r="I203" s="23" t="s">
        <v>52</v>
      </c>
      <c r="J203" s="23" t="s">
        <v>61</v>
      </c>
      <c r="K203" s="24" t="s">
        <v>177</v>
      </c>
      <c r="L203" s="24">
        <v>182</v>
      </c>
      <c r="M203" s="12">
        <f t="shared" ref="M203:N203" si="208">G203/1.19</f>
        <v>2520.9562247749141</v>
      </c>
      <c r="N203" s="12">
        <f t="shared" si="208"/>
        <v>2520.9562247749141</v>
      </c>
      <c r="O203" s="12">
        <f t="shared" si="2"/>
        <v>478.98168270723363</v>
      </c>
      <c r="P203" s="13"/>
      <c r="Q203" s="14">
        <f t="shared" si="3"/>
        <v>2025</v>
      </c>
      <c r="R203" s="15">
        <f>VLOOKUP(MONTH(C203),'Datos Maestros'!M$2:N$14,2,FALSE)</f>
        <v>45536</v>
      </c>
      <c r="S203" s="11" t="str">
        <f>VLOOKUP(E203,Precios!B$2:W$941,3,FALSE)</f>
        <v>Toalla desinfectantes</v>
      </c>
      <c r="T203" s="16">
        <f>VLOOKUP(E203,Precios!B$2:N$941,4,FALSE)*F203</f>
        <v>0</v>
      </c>
      <c r="U203" s="17"/>
      <c r="V203" s="12">
        <f>VLOOKUP(E203,Precios!B$2:N$941,13,FALSE)*F203</f>
        <v>1708.9562247749141</v>
      </c>
      <c r="W203" s="12">
        <f t="shared" si="4"/>
        <v>1708.9562247749141</v>
      </c>
      <c r="X203" s="12">
        <f>VLOOKUP(B203,'Datos Maestros'!$C$2:$D$7,2,FALSE)*V203</f>
        <v>0</v>
      </c>
      <c r="Y203" s="18">
        <f t="shared" si="5"/>
        <v>45901</v>
      </c>
      <c r="Z203" s="13" t="s">
        <v>39</v>
      </c>
      <c r="AA203" s="19" t="str">
        <f>VLOOKUP(D203,Clientes!$A$2:$J$486,9,FALSE)</f>
        <v>Ocacional</v>
      </c>
      <c r="AB203" s="13" t="str">
        <f>VLOOKUP(D203,Clientes!$A$2:$K$486,11,FALSE)</f>
        <v>Persona Natural</v>
      </c>
      <c r="AC203" s="13" t="str">
        <f>VLOOKUP(D203,Clientes!$A$2:$B$486,2,FALSE)</f>
        <v>Palena</v>
      </c>
      <c r="AD203" s="20"/>
      <c r="AE203" s="20"/>
      <c r="AF203" s="13" t="s">
        <v>40</v>
      </c>
      <c r="AG203" s="15">
        <f t="shared" si="6"/>
        <v>45536</v>
      </c>
      <c r="AH203" s="13" t="s">
        <v>41</v>
      </c>
      <c r="AI203" s="13" t="str">
        <f t="shared" si="7"/>
        <v>Articulos de Aseo</v>
      </c>
      <c r="AJ203" s="13" t="str">
        <f>VLOOKUP(E203,Precios!Z$2:AA$941,2,FALSE)</f>
        <v>Toalla desinfectante TEDDY 80 unidades</v>
      </c>
      <c r="AK203" s="14">
        <f>VLOOKUP(E203,Precios!Z$2:BB$941,3,FALSE)*F203</f>
        <v>-1</v>
      </c>
      <c r="AL203" s="17"/>
      <c r="AM203" s="17"/>
      <c r="AN203" s="17"/>
      <c r="AO203" s="17"/>
      <c r="AP203" s="17"/>
      <c r="AQ203" s="17"/>
      <c r="AR203" s="17"/>
      <c r="AS203" s="17"/>
      <c r="AT203" s="17"/>
      <c r="AU203" s="17"/>
      <c r="AV203" s="17"/>
    </row>
    <row r="204" spans="1:48" ht="15.75" customHeight="1">
      <c r="A204" s="21" t="s">
        <v>53</v>
      </c>
      <c r="B204" s="23" t="s">
        <v>1692</v>
      </c>
      <c r="C204" s="22">
        <v>45906</v>
      </c>
      <c r="D204" s="23" t="s">
        <v>188</v>
      </c>
      <c r="E204" s="23" t="s">
        <v>55</v>
      </c>
      <c r="F204" s="21">
        <v>1</v>
      </c>
      <c r="G204" s="12">
        <f>VLOOKUP(E204,Precios!B$2:N$941,12,FALSE)</f>
        <v>20899.91124296327</v>
      </c>
      <c r="H204" s="12">
        <f t="shared" si="0"/>
        <v>20899.91124296327</v>
      </c>
      <c r="I204" s="23" t="s">
        <v>52</v>
      </c>
      <c r="J204" s="23" t="s">
        <v>61</v>
      </c>
      <c r="K204" s="24" t="s">
        <v>177</v>
      </c>
      <c r="L204" s="24">
        <v>182</v>
      </c>
      <c r="M204" s="12">
        <f t="shared" ref="M204:N204" si="209">G204/1.19</f>
        <v>17562.950624338882</v>
      </c>
      <c r="N204" s="12">
        <f t="shared" si="209"/>
        <v>17562.950624338882</v>
      </c>
      <c r="O204" s="12">
        <f t="shared" si="2"/>
        <v>3336.9606186243873</v>
      </c>
      <c r="P204" s="13"/>
      <c r="Q204" s="14">
        <f t="shared" si="3"/>
        <v>2025</v>
      </c>
      <c r="R204" s="15">
        <f>VLOOKUP(MONTH(C204),'Datos Maestros'!M$2:N$14,2,FALSE)</f>
        <v>45536</v>
      </c>
      <c r="S204" s="11" t="str">
        <f>VLOOKUP(E204,Precios!B$2:W$941,3,FALSE)</f>
        <v>Papel Higiénico ELITE</v>
      </c>
      <c r="T204" s="16">
        <f>VLOOKUP(E204,Precios!B$2:N$941,4,FALSE)*F204</f>
        <v>0</v>
      </c>
      <c r="U204" s="17"/>
      <c r="V204" s="12">
        <f>VLOOKUP(E204,Precios!B$2:N$941,13,FALSE)*F204</f>
        <v>3117.9506243388823</v>
      </c>
      <c r="W204" s="12">
        <f t="shared" si="4"/>
        <v>3117.9506243388823</v>
      </c>
      <c r="X204" s="12">
        <f>VLOOKUP(B204,'Datos Maestros'!$C$2:$D$7,2,FALSE)*V204</f>
        <v>0</v>
      </c>
      <c r="Y204" s="18">
        <f t="shared" si="5"/>
        <v>45901</v>
      </c>
      <c r="Z204" s="13" t="s">
        <v>39</v>
      </c>
      <c r="AA204" s="19" t="str">
        <f>VLOOKUP(D204,Clientes!$A$2:$J$486,9,FALSE)</f>
        <v>Ocacional</v>
      </c>
      <c r="AB204" s="13" t="str">
        <f>VLOOKUP(D204,Clientes!$A$2:$K$486,11,FALSE)</f>
        <v>Persona Natural</v>
      </c>
      <c r="AC204" s="13" t="str">
        <f>VLOOKUP(D204,Clientes!$A$2:$B$486,2,FALSE)</f>
        <v>Sector Santa Delia</v>
      </c>
      <c r="AD204" s="20"/>
      <c r="AE204" s="20"/>
      <c r="AF204" s="13" t="s">
        <v>40</v>
      </c>
      <c r="AG204" s="15">
        <f t="shared" si="6"/>
        <v>45536</v>
      </c>
      <c r="AH204" s="13" t="s">
        <v>41</v>
      </c>
      <c r="AI204" s="13" t="str">
        <f t="shared" si="7"/>
        <v>Papeleria</v>
      </c>
      <c r="AJ204" s="13" t="str">
        <f>VLOOKUP(E204,Precios!Z$2:AA$941,2,FALSE)</f>
        <v>Papel Higienico ELITE 50 metros</v>
      </c>
      <c r="AK204" s="14">
        <f>VLOOKUP(E204,Precios!Z$2:BB$941,3,FALSE)*F204</f>
        <v>-8</v>
      </c>
      <c r="AL204" s="17"/>
      <c r="AM204" s="17"/>
      <c r="AN204" s="17"/>
      <c r="AO204" s="17"/>
      <c r="AP204" s="17"/>
      <c r="AQ204" s="17"/>
      <c r="AR204" s="17"/>
      <c r="AS204" s="17"/>
      <c r="AT204" s="17"/>
      <c r="AU204" s="17"/>
      <c r="AV204" s="17"/>
    </row>
    <row r="205" spans="1:48" ht="15.75" customHeight="1">
      <c r="A205" s="14" t="s">
        <v>35</v>
      </c>
      <c r="B205" s="23" t="s">
        <v>1692</v>
      </c>
      <c r="C205" s="22">
        <v>45906</v>
      </c>
      <c r="D205" s="23" t="s">
        <v>189</v>
      </c>
      <c r="E205" s="23" t="s">
        <v>46</v>
      </c>
      <c r="F205" s="14">
        <v>1</v>
      </c>
      <c r="G205" s="12">
        <f>VLOOKUP(E205,Precios!B$2:N$941,12,FALSE)</f>
        <v>6000.1548227279782</v>
      </c>
      <c r="H205" s="12">
        <f t="shared" si="0"/>
        <v>6000.1548227279782</v>
      </c>
      <c r="I205" s="23" t="s">
        <v>52</v>
      </c>
      <c r="J205" s="13" t="s">
        <v>61</v>
      </c>
      <c r="K205" s="24" t="s">
        <v>177</v>
      </c>
      <c r="L205" s="24">
        <v>182</v>
      </c>
      <c r="M205" s="12">
        <f t="shared" ref="M205:N205" si="210">G205/1.19</f>
        <v>5042.1469098554444</v>
      </c>
      <c r="N205" s="12">
        <f t="shared" si="210"/>
        <v>5042.1469098554444</v>
      </c>
      <c r="O205" s="12">
        <f t="shared" si="2"/>
        <v>958.00791287253378</v>
      </c>
      <c r="P205" s="13"/>
      <c r="Q205" s="14">
        <f t="shared" si="3"/>
        <v>2025</v>
      </c>
      <c r="R205" s="15">
        <f>VLOOKUP(MONTH(C205),'Datos Maestros'!M$2:N$14,2,FALSE)</f>
        <v>45536</v>
      </c>
      <c r="S205" s="11" t="str">
        <f>VLOOKUP(E205,Precios!B$2:W$941,3,FALSE)</f>
        <v>Queso Mantecoso</v>
      </c>
      <c r="T205" s="16">
        <f>VLOOKUP(E205,Precios!B$2:N$941,4,FALSE)*F205</f>
        <v>500</v>
      </c>
      <c r="U205" s="17"/>
      <c r="V205" s="12">
        <f>VLOOKUP(E205,Precios!B$2:N$941,13,FALSE)*F205</f>
        <v>1785.4242207798129</v>
      </c>
      <c r="W205" s="12">
        <f t="shared" si="4"/>
        <v>1785.4242207798129</v>
      </c>
      <c r="X205" s="12">
        <f>VLOOKUP(B205,'Datos Maestros'!$C$2:$D$7,2,FALSE)*V205</f>
        <v>0</v>
      </c>
      <c r="Y205" s="18">
        <f t="shared" si="5"/>
        <v>45901</v>
      </c>
      <c r="Z205" s="13" t="s">
        <v>39</v>
      </c>
      <c r="AA205" s="19" t="str">
        <f>VLOOKUP(D205,Clientes!$A$2:$J$486,9,FALSE)</f>
        <v>Frecuente</v>
      </c>
      <c r="AB205" s="13" t="str">
        <f>VLOOKUP(D205,Clientes!$A$2:$K$486,11,FALSE)</f>
        <v>Persona Natural</v>
      </c>
      <c r="AC205" s="13" t="str">
        <f>VLOOKUP(D205,Clientes!$A$2:$B$486,2,FALSE)</f>
        <v>Jardines de la Viña</v>
      </c>
      <c r="AD205" s="20"/>
      <c r="AE205" s="20"/>
      <c r="AF205" s="13" t="s">
        <v>40</v>
      </c>
      <c r="AG205" s="15">
        <f t="shared" si="6"/>
        <v>45536</v>
      </c>
      <c r="AH205" s="13" t="s">
        <v>41</v>
      </c>
      <c r="AI205" s="13" t="str">
        <f t="shared" si="7"/>
        <v>Quesos</v>
      </c>
      <c r="AJ205" s="13" t="str">
        <f>VLOOKUP(E205,Precios!Z$2:AA$941,2,FALSE)</f>
        <v>Queso RUNCA Mantecoso</v>
      </c>
      <c r="AK205" s="14">
        <f>VLOOKUP(E205,Precios!Z$2:BB$941,3,FALSE)*F205</f>
        <v>-0.5</v>
      </c>
      <c r="AL205" s="17"/>
      <c r="AM205" s="17"/>
      <c r="AN205" s="17"/>
      <c r="AO205" s="17"/>
      <c r="AP205" s="17"/>
      <c r="AQ205" s="17"/>
      <c r="AR205" s="17"/>
      <c r="AS205" s="17"/>
      <c r="AT205" s="17"/>
      <c r="AU205" s="17"/>
      <c r="AV205" s="17"/>
    </row>
    <row r="206" spans="1:48" ht="15.75" customHeight="1">
      <c r="A206" s="21" t="s">
        <v>64</v>
      </c>
      <c r="B206" s="23" t="s">
        <v>1692</v>
      </c>
      <c r="C206" s="22">
        <v>45906</v>
      </c>
      <c r="D206" s="23" t="s">
        <v>189</v>
      </c>
      <c r="E206" s="23" t="s">
        <v>65</v>
      </c>
      <c r="F206" s="14">
        <v>1</v>
      </c>
      <c r="G206" s="12">
        <f>VLOOKUP(E206,Precios!B$2:N$941,12,FALSE)</f>
        <v>8200.2358799633075</v>
      </c>
      <c r="H206" s="12">
        <f t="shared" si="0"/>
        <v>8200.2358799633075</v>
      </c>
      <c r="I206" s="23" t="s">
        <v>52</v>
      </c>
      <c r="J206" s="13" t="s">
        <v>61</v>
      </c>
      <c r="K206" s="24" t="s">
        <v>177</v>
      </c>
      <c r="L206" s="24">
        <v>182</v>
      </c>
      <c r="M206" s="12">
        <f t="shared" ref="M206:N206" si="211">G206/1.19</f>
        <v>6890.9545209775697</v>
      </c>
      <c r="N206" s="12">
        <f t="shared" si="211"/>
        <v>6890.9545209775697</v>
      </c>
      <c r="O206" s="12">
        <f t="shared" si="2"/>
        <v>1309.2813589857378</v>
      </c>
      <c r="P206" s="13"/>
      <c r="Q206" s="14">
        <f t="shared" si="3"/>
        <v>2025</v>
      </c>
      <c r="R206" s="15">
        <f>VLOOKUP(MONTH(C206),'Datos Maestros'!M$2:N$14,2,FALSE)</f>
        <v>45536</v>
      </c>
      <c r="S206" s="11" t="str">
        <f>VLOOKUP(E206,Precios!B$2:W$941,3,FALSE)</f>
        <v>Longanizas</v>
      </c>
      <c r="T206" s="16">
        <f>VLOOKUP(E206,Precios!B$2:N$941,4,FALSE)*F206</f>
        <v>1</v>
      </c>
      <c r="U206" s="17"/>
      <c r="V206" s="12">
        <f>VLOOKUP(E206,Precios!B$2:N$941,13,FALSE)*F206</f>
        <v>1632.4671260195864</v>
      </c>
      <c r="W206" s="12">
        <f t="shared" si="4"/>
        <v>1632.4671260195864</v>
      </c>
      <c r="X206" s="12">
        <f>VLOOKUP(B206,'Datos Maestros'!$C$2:$D$7,2,FALSE)*V206</f>
        <v>0</v>
      </c>
      <c r="Y206" s="18">
        <f t="shared" si="5"/>
        <v>45901</v>
      </c>
      <c r="Z206" s="13" t="s">
        <v>39</v>
      </c>
      <c r="AA206" s="19" t="str">
        <f>VLOOKUP(D206,Clientes!$A$2:$J$486,9,FALSE)</f>
        <v>Frecuente</v>
      </c>
      <c r="AB206" s="13" t="str">
        <f>VLOOKUP(D206,Clientes!$A$2:$K$486,11,FALSE)</f>
        <v>Persona Natural</v>
      </c>
      <c r="AC206" s="13" t="str">
        <f>VLOOKUP(D206,Clientes!$A$2:$B$486,2,FALSE)</f>
        <v>Jardines de la Viña</v>
      </c>
      <c r="AD206" s="20"/>
      <c r="AE206" s="20"/>
      <c r="AF206" s="13" t="s">
        <v>40</v>
      </c>
      <c r="AG206" s="15">
        <f t="shared" si="6"/>
        <v>45536</v>
      </c>
      <c r="AH206" s="13" t="s">
        <v>41</v>
      </c>
      <c r="AI206" s="13" t="str">
        <f t="shared" si="7"/>
        <v>Longanizas</v>
      </c>
      <c r="AJ206" s="13" t="str">
        <f>VLOOKUP(E206,Precios!Z$2:AA$941,2,FALSE)</f>
        <v>Longanizas VILLABLANCA</v>
      </c>
      <c r="AK206" s="14">
        <f>VLOOKUP(E206,Precios!Z$2:BB$941,3,FALSE)*F206</f>
        <v>-1</v>
      </c>
      <c r="AL206" s="17"/>
      <c r="AM206" s="17"/>
      <c r="AN206" s="17"/>
      <c r="AO206" s="17"/>
      <c r="AP206" s="17"/>
      <c r="AQ206" s="17"/>
      <c r="AR206" s="17"/>
      <c r="AS206" s="17"/>
      <c r="AT206" s="17"/>
      <c r="AU206" s="17"/>
      <c r="AV206" s="17"/>
    </row>
    <row r="207" spans="1:48" ht="15.75" customHeight="1">
      <c r="A207" s="21" t="s">
        <v>43</v>
      </c>
      <c r="B207" s="23" t="s">
        <v>1692</v>
      </c>
      <c r="C207" s="22">
        <v>45906</v>
      </c>
      <c r="D207" s="23" t="s">
        <v>189</v>
      </c>
      <c r="E207" s="23" t="s">
        <v>45</v>
      </c>
      <c r="F207" s="14">
        <v>1</v>
      </c>
      <c r="G207" s="12">
        <f>VLOOKUP(E207,Precios!B$2:N$941,12,FALSE)</f>
        <v>8000.1831784723063</v>
      </c>
      <c r="H207" s="12">
        <f t="shared" si="0"/>
        <v>8000.1831784723063</v>
      </c>
      <c r="I207" s="23" t="s">
        <v>52</v>
      </c>
      <c r="J207" s="13" t="s">
        <v>61</v>
      </c>
      <c r="K207" s="24" t="s">
        <v>177</v>
      </c>
      <c r="L207" s="24">
        <v>182</v>
      </c>
      <c r="M207" s="12">
        <f t="shared" ref="M207:N207" si="212">G207/1.19</f>
        <v>6722.8430071195853</v>
      </c>
      <c r="N207" s="12">
        <f t="shared" si="212"/>
        <v>6722.8430071195853</v>
      </c>
      <c r="O207" s="12">
        <f t="shared" si="2"/>
        <v>1277.340171352721</v>
      </c>
      <c r="P207" s="13"/>
      <c r="Q207" s="14">
        <f t="shared" si="3"/>
        <v>2025</v>
      </c>
      <c r="R207" s="15">
        <f>VLOOKUP(MONTH(C207),'Datos Maestros'!M$2:N$14,2,FALSE)</f>
        <v>45536</v>
      </c>
      <c r="S207" s="11" t="str">
        <f>VLOOKUP(E207,Precios!B$2:W$941,3,FALSE)</f>
        <v>Huevos EXTRA</v>
      </c>
      <c r="T207" s="16">
        <f>VLOOKUP(E207,Precios!B$2:N$941,4,FALSE)*F207</f>
        <v>0</v>
      </c>
      <c r="U207" s="17"/>
      <c r="V207" s="12">
        <f>VLOOKUP(E207,Precios!B$2:N$941,13,FALSE)*F207</f>
        <v>1151.6230071195851</v>
      </c>
      <c r="W207" s="12">
        <f t="shared" si="4"/>
        <v>1151.6230071195851</v>
      </c>
      <c r="X207" s="12">
        <f>VLOOKUP(B207,'Datos Maestros'!$C$2:$D$7,2,FALSE)*V207</f>
        <v>0</v>
      </c>
      <c r="Y207" s="18">
        <f t="shared" si="5"/>
        <v>45901</v>
      </c>
      <c r="Z207" s="13" t="s">
        <v>39</v>
      </c>
      <c r="AA207" s="19" t="str">
        <f>VLOOKUP(D207,Clientes!$A$2:$J$486,9,FALSE)</f>
        <v>Frecuente</v>
      </c>
      <c r="AB207" s="13" t="str">
        <f>VLOOKUP(D207,Clientes!$A$2:$K$486,11,FALSE)</f>
        <v>Persona Natural</v>
      </c>
      <c r="AC207" s="13" t="str">
        <f>VLOOKUP(D207,Clientes!$A$2:$B$486,2,FALSE)</f>
        <v>Jardines de la Viña</v>
      </c>
      <c r="AD207" s="20"/>
      <c r="AE207" s="20"/>
      <c r="AF207" s="13" t="s">
        <v>40</v>
      </c>
      <c r="AG207" s="15">
        <f t="shared" si="6"/>
        <v>45536</v>
      </c>
      <c r="AH207" s="13" t="s">
        <v>41</v>
      </c>
      <c r="AI207" s="13" t="str">
        <f t="shared" si="7"/>
        <v>Huevos</v>
      </c>
      <c r="AJ207" s="13" t="str">
        <f>VLOOKUP(E207,Precios!Z$2:AA$941,2,FALSE)</f>
        <v>Bandeja Huevos EXTRA</v>
      </c>
      <c r="AK207" s="14">
        <f>VLOOKUP(E207,Precios!Z$2:BB$941,3,FALSE)*F207</f>
        <v>-1</v>
      </c>
      <c r="AL207" s="17"/>
      <c r="AM207" s="17"/>
      <c r="AN207" s="17"/>
      <c r="AO207" s="17"/>
      <c r="AP207" s="17"/>
      <c r="AQ207" s="17"/>
      <c r="AR207" s="17"/>
      <c r="AS207" s="17"/>
      <c r="AT207" s="17"/>
      <c r="AU207" s="17"/>
      <c r="AV207" s="17"/>
    </row>
    <row r="208" spans="1:48" ht="15.75" customHeight="1">
      <c r="A208" s="21" t="s">
        <v>53</v>
      </c>
      <c r="B208" s="23" t="s">
        <v>1692</v>
      </c>
      <c r="C208" s="22">
        <v>45906</v>
      </c>
      <c r="D208" s="23" t="s">
        <v>189</v>
      </c>
      <c r="E208" s="23" t="s">
        <v>150</v>
      </c>
      <c r="F208" s="21">
        <v>1</v>
      </c>
      <c r="G208" s="12">
        <f>VLOOKUP(E208,Precios!B$2:N$941,12,FALSE)</f>
        <v>1799.8965445892823</v>
      </c>
      <c r="H208" s="12">
        <f t="shared" si="0"/>
        <v>1799.8965445892823</v>
      </c>
      <c r="I208" s="23" t="s">
        <v>52</v>
      </c>
      <c r="J208" s="13" t="s">
        <v>61</v>
      </c>
      <c r="K208" s="24" t="s">
        <v>177</v>
      </c>
      <c r="L208" s="24">
        <v>182</v>
      </c>
      <c r="M208" s="12">
        <f t="shared" ref="M208:N208" si="213">G208/1.19</f>
        <v>1512.518104696876</v>
      </c>
      <c r="N208" s="12">
        <f t="shared" si="213"/>
        <v>1512.518104696876</v>
      </c>
      <c r="O208" s="12">
        <f t="shared" si="2"/>
        <v>287.37843989240628</v>
      </c>
      <c r="P208" s="13"/>
      <c r="Q208" s="14">
        <f t="shared" si="3"/>
        <v>2025</v>
      </c>
      <c r="R208" s="15">
        <f>VLOOKUP(MONTH(C208),'Datos Maestros'!M$2:N$14,2,FALSE)</f>
        <v>45536</v>
      </c>
      <c r="S208" s="11" t="str">
        <f>VLOOKUP(E208,Precios!B$2:W$941,3,FALSE)</f>
        <v>Servilletas</v>
      </c>
      <c r="T208" s="16">
        <f>VLOOKUP(E208,Precios!B$2:N$941,4,FALSE)*F208</f>
        <v>300</v>
      </c>
      <c r="U208" s="17"/>
      <c r="V208" s="12">
        <f>VLOOKUP(E208,Precios!B$2:N$941,13,FALSE)*F208</f>
        <v>781.51810469687575</v>
      </c>
      <c r="W208" s="12">
        <f t="shared" si="4"/>
        <v>781.51810469687575</v>
      </c>
      <c r="X208" s="12">
        <f>VLOOKUP(B208,'Datos Maestros'!$C$2:$D$7,2,FALSE)*V208</f>
        <v>0</v>
      </c>
      <c r="Y208" s="18">
        <f t="shared" si="5"/>
        <v>45901</v>
      </c>
      <c r="Z208" s="13" t="s">
        <v>39</v>
      </c>
      <c r="AA208" s="19" t="str">
        <f>VLOOKUP(D208,Clientes!$A$2:$J$486,9,FALSE)</f>
        <v>Frecuente</v>
      </c>
      <c r="AB208" s="13" t="str">
        <f>VLOOKUP(D208,Clientes!$A$2:$K$486,11,FALSE)</f>
        <v>Persona Natural</v>
      </c>
      <c r="AC208" s="13" t="str">
        <f>VLOOKUP(D208,Clientes!$A$2:$B$486,2,FALSE)</f>
        <v>Jardines de la Viña</v>
      </c>
      <c r="AD208" s="20"/>
      <c r="AE208" s="20"/>
      <c r="AF208" s="13" t="s">
        <v>40</v>
      </c>
      <c r="AG208" s="15">
        <f t="shared" si="6"/>
        <v>45536</v>
      </c>
      <c r="AH208" s="13" t="s">
        <v>41</v>
      </c>
      <c r="AI208" s="13" t="str">
        <f t="shared" si="7"/>
        <v>Papeleria</v>
      </c>
      <c r="AJ208" s="13" t="str">
        <f>VLOOKUP(E208,Precios!Z$2:AA$941,2,FALSE)</f>
        <v>Servilletas SOFTQUALITY 300 unidades</v>
      </c>
      <c r="AK208" s="14">
        <f>VLOOKUP(E208,Precios!Z$2:BB$941,3,FALSE)*F208</f>
        <v>-1</v>
      </c>
      <c r="AL208" s="17"/>
      <c r="AM208" s="17"/>
      <c r="AN208" s="17"/>
      <c r="AO208" s="17"/>
      <c r="AP208" s="17"/>
      <c r="AQ208" s="17"/>
      <c r="AR208" s="17"/>
      <c r="AS208" s="17"/>
      <c r="AT208" s="17"/>
      <c r="AU208" s="17"/>
      <c r="AV208" s="17"/>
    </row>
    <row r="209" spans="1:48" ht="15.75" customHeight="1">
      <c r="A209" s="21" t="s">
        <v>53</v>
      </c>
      <c r="B209" s="23" t="s">
        <v>1692</v>
      </c>
      <c r="C209" s="22">
        <v>45906</v>
      </c>
      <c r="D209" s="23" t="s">
        <v>189</v>
      </c>
      <c r="E209" s="23" t="s">
        <v>69</v>
      </c>
      <c r="F209" s="21">
        <v>2</v>
      </c>
      <c r="G209" s="12">
        <f>VLOOKUP(E209,Precios!B$2:N$941,12,FALSE)</f>
        <v>2999.9553810458683</v>
      </c>
      <c r="H209" s="12">
        <f t="shared" si="0"/>
        <v>5999.9107620917366</v>
      </c>
      <c r="I209" s="23" t="s">
        <v>52</v>
      </c>
      <c r="J209" s="13" t="s">
        <v>61</v>
      </c>
      <c r="K209" s="24" t="s">
        <v>177</v>
      </c>
      <c r="L209" s="24">
        <v>182</v>
      </c>
      <c r="M209" s="12">
        <f t="shared" ref="M209:N209" si="214">G209/1.19</f>
        <v>2520.9709084419064</v>
      </c>
      <c r="N209" s="12">
        <f t="shared" si="214"/>
        <v>5041.9418168838129</v>
      </c>
      <c r="O209" s="12">
        <f t="shared" si="2"/>
        <v>957.96894520792375</v>
      </c>
      <c r="P209" s="13"/>
      <c r="Q209" s="14">
        <f t="shared" si="3"/>
        <v>2025</v>
      </c>
      <c r="R209" s="15">
        <f>VLOOKUP(MONTH(C209),'Datos Maestros'!M$2:N$14,2,FALSE)</f>
        <v>45536</v>
      </c>
      <c r="S209" s="11" t="str">
        <f>VLOOKUP(E209,Precios!B$2:W$941,3,FALSE)</f>
        <v>Toalla Nova 70 mts</v>
      </c>
      <c r="T209" s="16">
        <f>VLOOKUP(E209,Precios!B$2:N$941,4,FALSE)*F209</f>
        <v>0</v>
      </c>
      <c r="U209" s="17"/>
      <c r="V209" s="12">
        <f>VLOOKUP(E209,Precios!B$2:N$941,13,FALSE)*F209</f>
        <v>1651.941816883812</v>
      </c>
      <c r="W209" s="12">
        <f t="shared" si="4"/>
        <v>1651.941816883812</v>
      </c>
      <c r="X209" s="12">
        <f>VLOOKUP(B209,'Datos Maestros'!$C$2:$D$7,2,FALSE)*V209</f>
        <v>0</v>
      </c>
      <c r="Y209" s="18">
        <f t="shared" si="5"/>
        <v>45901</v>
      </c>
      <c r="Z209" s="13" t="s">
        <v>39</v>
      </c>
      <c r="AA209" s="19" t="str">
        <f>VLOOKUP(D209,Clientes!$A$2:$J$486,9,FALSE)</f>
        <v>Frecuente</v>
      </c>
      <c r="AB209" s="13" t="str">
        <f>VLOOKUP(D209,Clientes!$A$2:$K$486,11,FALSE)</f>
        <v>Persona Natural</v>
      </c>
      <c r="AC209" s="13" t="str">
        <f>VLOOKUP(D209,Clientes!$A$2:$B$486,2,FALSE)</f>
        <v>Jardines de la Viña</v>
      </c>
      <c r="AD209" s="20"/>
      <c r="AE209" s="20"/>
      <c r="AF209" s="13" t="s">
        <v>40</v>
      </c>
      <c r="AG209" s="15">
        <f t="shared" si="6"/>
        <v>45536</v>
      </c>
      <c r="AH209" s="13" t="s">
        <v>41</v>
      </c>
      <c r="AI209" s="13" t="str">
        <f t="shared" si="7"/>
        <v>Papeleria</v>
      </c>
      <c r="AJ209" s="13" t="str">
        <f>VLOOKUP(E209,Precios!Z$2:AA$941,2,FALSE)</f>
        <v>Toalla Papel NOVA 70 metros</v>
      </c>
      <c r="AK209" s="14">
        <f>VLOOKUP(E209,Precios!Z$2:BB$941,3,FALSE)*F209</f>
        <v>-2</v>
      </c>
      <c r="AL209" s="17"/>
      <c r="AM209" s="17"/>
      <c r="AN209" s="17"/>
      <c r="AO209" s="17"/>
      <c r="AP209" s="17"/>
      <c r="AQ209" s="17"/>
      <c r="AR209" s="17"/>
      <c r="AS209" s="17"/>
      <c r="AT209" s="17"/>
      <c r="AU209" s="17"/>
      <c r="AV209" s="17"/>
    </row>
    <row r="210" spans="1:48" ht="15.75" customHeight="1">
      <c r="A210" s="21" t="s">
        <v>56</v>
      </c>
      <c r="B210" s="23" t="s">
        <v>1692</v>
      </c>
      <c r="C210" s="22">
        <v>45906</v>
      </c>
      <c r="D210" s="23" t="s">
        <v>189</v>
      </c>
      <c r="E210" s="23" t="s">
        <v>190</v>
      </c>
      <c r="F210" s="21">
        <v>2</v>
      </c>
      <c r="G210" s="12">
        <f>VLOOKUP(E210,Precios!B$2:N$941,12,FALSE)</f>
        <v>2499.8855507868384</v>
      </c>
      <c r="H210" s="12">
        <f t="shared" si="0"/>
        <v>4999.7711015736768</v>
      </c>
      <c r="I210" s="23" t="s">
        <v>52</v>
      </c>
      <c r="J210" s="13" t="s">
        <v>61</v>
      </c>
      <c r="K210" s="24" t="s">
        <v>177</v>
      </c>
      <c r="L210" s="24">
        <v>182</v>
      </c>
      <c r="M210" s="12">
        <f t="shared" ref="M210:N210" si="215">G210/1.19</f>
        <v>2100.7441603250745</v>
      </c>
      <c r="N210" s="12">
        <f t="shared" si="215"/>
        <v>4201.488320650149</v>
      </c>
      <c r="O210" s="12">
        <f t="shared" si="2"/>
        <v>798.28278092352775</v>
      </c>
      <c r="P210" s="13"/>
      <c r="Q210" s="14">
        <f t="shared" si="3"/>
        <v>2025</v>
      </c>
      <c r="R210" s="15">
        <f>VLOOKUP(MONTH(C210),'Datos Maestros'!M$2:N$14,2,FALSE)</f>
        <v>45536</v>
      </c>
      <c r="S210" s="11" t="str">
        <f>VLOOKUP(E210,Precios!B$2:W$941,3,FALSE)</f>
        <v>Mantequilla</v>
      </c>
      <c r="T210" s="16">
        <f>VLOOKUP(E210,Precios!B$2:N$941,4,FALSE)*F210</f>
        <v>400</v>
      </c>
      <c r="U210" s="17"/>
      <c r="V210" s="12">
        <f>VLOOKUP(E210,Precios!B$2:N$941,13,FALSE)*F210</f>
        <v>1264.6479845156941</v>
      </c>
      <c r="W210" s="12">
        <f t="shared" si="4"/>
        <v>1264.6479845156941</v>
      </c>
      <c r="X210" s="12">
        <f>VLOOKUP(B210,'Datos Maestros'!$C$2:$D$7,2,FALSE)*V210</f>
        <v>0</v>
      </c>
      <c r="Y210" s="18">
        <f t="shared" si="5"/>
        <v>45901</v>
      </c>
      <c r="Z210" s="13" t="s">
        <v>39</v>
      </c>
      <c r="AA210" s="19" t="str">
        <f>VLOOKUP(D210,Clientes!$A$2:$J$486,9,FALSE)</f>
        <v>Frecuente</v>
      </c>
      <c r="AB210" s="13" t="str">
        <f>VLOOKUP(D210,Clientes!$A$2:$K$486,11,FALSE)</f>
        <v>Persona Natural</v>
      </c>
      <c r="AC210" s="13" t="str">
        <f>VLOOKUP(D210,Clientes!$A$2:$B$486,2,FALSE)</f>
        <v>Jardines de la Viña</v>
      </c>
      <c r="AD210" s="20"/>
      <c r="AE210" s="20"/>
      <c r="AF210" s="13" t="s">
        <v>40</v>
      </c>
      <c r="AG210" s="15">
        <f t="shared" si="6"/>
        <v>45536</v>
      </c>
      <c r="AH210" s="13" t="s">
        <v>41</v>
      </c>
      <c r="AI210" s="13" t="str">
        <f t="shared" si="7"/>
        <v>Derivados</v>
      </c>
      <c r="AJ210" s="13" t="str">
        <f>VLOOKUP(E210,Precios!Z$2:AA$941,2,FALSE)</f>
        <v>Mantequilla RUMAY</v>
      </c>
      <c r="AK210" s="14">
        <f>VLOOKUP(E210,Precios!Z$2:BB$941,3,FALSE)*F210</f>
        <v>-2</v>
      </c>
      <c r="AL210" s="17"/>
      <c r="AM210" s="17"/>
      <c r="AN210" s="17"/>
      <c r="AO210" s="17"/>
      <c r="AP210" s="17"/>
      <c r="AQ210" s="17"/>
      <c r="AR210" s="17"/>
      <c r="AS210" s="17"/>
      <c r="AT210" s="17"/>
      <c r="AU210" s="17"/>
      <c r="AV210" s="17"/>
    </row>
    <row r="211" spans="1:48" ht="15.75" customHeight="1">
      <c r="A211" s="21" t="s">
        <v>35</v>
      </c>
      <c r="B211" s="23" t="s">
        <v>1692</v>
      </c>
      <c r="C211" s="22">
        <v>45905</v>
      </c>
      <c r="D211" s="23" t="s">
        <v>125</v>
      </c>
      <c r="E211" s="23" t="s">
        <v>117</v>
      </c>
      <c r="F211" s="21">
        <v>1</v>
      </c>
      <c r="G211" s="12">
        <f>VLOOKUP(E211,Precios!B$2:N$941,12,FALSE)</f>
        <v>8999.8271341726922</v>
      </c>
      <c r="H211" s="12">
        <f t="shared" si="0"/>
        <v>8999.8271341726922</v>
      </c>
      <c r="I211" s="23" t="s">
        <v>52</v>
      </c>
      <c r="J211" s="23" t="s">
        <v>61</v>
      </c>
      <c r="K211" s="24" t="s">
        <v>177</v>
      </c>
      <c r="L211" s="24">
        <v>181</v>
      </c>
      <c r="M211" s="12">
        <f t="shared" ref="M211:N211" si="216">G211/1.19</f>
        <v>7562.8799446829353</v>
      </c>
      <c r="N211" s="12">
        <f t="shared" si="216"/>
        <v>7562.8799446829353</v>
      </c>
      <c r="O211" s="12">
        <f t="shared" si="2"/>
        <v>1436.947189489757</v>
      </c>
      <c r="P211" s="13"/>
      <c r="Q211" s="14">
        <f t="shared" si="3"/>
        <v>2025</v>
      </c>
      <c r="R211" s="15">
        <f>VLOOKUP(MONTH(C211),'Datos Maestros'!M$2:N$14,2,FALSE)</f>
        <v>45536</v>
      </c>
      <c r="S211" s="11" t="str">
        <f>VLOOKUP(E211,Precios!B$2:W$941,3,FALSE)</f>
        <v>Queso Mantecoso</v>
      </c>
      <c r="T211" s="16">
        <f>VLOOKUP(E211,Precios!B$2:N$941,4,FALSE)*F211</f>
        <v>750</v>
      </c>
      <c r="U211" s="17"/>
      <c r="V211" s="12">
        <f>VLOOKUP(E211,Precios!B$2:N$941,13,FALSE)*F211</f>
        <v>2312.8799446829353</v>
      </c>
      <c r="W211" s="12">
        <f t="shared" si="4"/>
        <v>2312.8799446829353</v>
      </c>
      <c r="X211" s="12">
        <f>VLOOKUP(B211,'Datos Maestros'!$C$2:$D$7,2,FALSE)*V211</f>
        <v>0</v>
      </c>
      <c r="Y211" s="18">
        <f t="shared" si="5"/>
        <v>45901</v>
      </c>
      <c r="Z211" s="13" t="s">
        <v>39</v>
      </c>
      <c r="AA211" s="19" t="str">
        <f>VLOOKUP(D211,Clientes!$A$2:$J$486,9,FALSE)</f>
        <v>Frecuente</v>
      </c>
      <c r="AB211" s="13" t="str">
        <f>VLOOKUP(D211,Clientes!$A$2:$K$486,11,FALSE)</f>
        <v>Persona Natural</v>
      </c>
      <c r="AC211" s="13" t="str">
        <f>VLOOKUP(D211,Clientes!$A$2:$B$486,2,FALSE)</f>
        <v>Jardines de la Viña</v>
      </c>
      <c r="AD211" s="20"/>
      <c r="AE211" s="20"/>
      <c r="AF211" s="13" t="s">
        <v>40</v>
      </c>
      <c r="AG211" s="15">
        <f t="shared" si="6"/>
        <v>45536</v>
      </c>
      <c r="AH211" s="13" t="s">
        <v>41</v>
      </c>
      <c r="AI211" s="13" t="str">
        <f t="shared" si="7"/>
        <v>Quesos</v>
      </c>
      <c r="AJ211" s="13" t="str">
        <f>VLOOKUP(E211,Precios!Z$2:AA$941,2,FALSE)</f>
        <v>Queso RUNCA Laminado Mantecoso</v>
      </c>
      <c r="AK211" s="14">
        <f>VLOOKUP(E211,Precios!Z$2:BB$941,3,FALSE)*F211</f>
        <v>-0.75</v>
      </c>
      <c r="AL211" s="17"/>
      <c r="AM211" s="17"/>
      <c r="AN211" s="17"/>
      <c r="AO211" s="17"/>
      <c r="AP211" s="17"/>
      <c r="AQ211" s="17"/>
      <c r="AR211" s="17"/>
      <c r="AS211" s="17"/>
      <c r="AT211" s="17"/>
      <c r="AU211" s="17"/>
      <c r="AV211" s="17"/>
    </row>
    <row r="212" spans="1:48" ht="15.75" customHeight="1">
      <c r="A212" s="21" t="s">
        <v>53</v>
      </c>
      <c r="B212" s="23" t="s">
        <v>1692</v>
      </c>
      <c r="C212" s="22">
        <v>45905</v>
      </c>
      <c r="D212" s="23" t="s">
        <v>191</v>
      </c>
      <c r="E212" s="23" t="s">
        <v>192</v>
      </c>
      <c r="F212" s="21">
        <v>1</v>
      </c>
      <c r="G212" s="12">
        <f>VLOOKUP(E212,Precios!B$2:N$941,12,FALSE)</f>
        <v>16000</v>
      </c>
      <c r="H212" s="12">
        <f t="shared" si="0"/>
        <v>16000</v>
      </c>
      <c r="I212" s="23" t="s">
        <v>52</v>
      </c>
      <c r="J212" s="23" t="s">
        <v>61</v>
      </c>
      <c r="K212" s="24" t="s">
        <v>177</v>
      </c>
      <c r="L212" s="24">
        <v>181</v>
      </c>
      <c r="M212" s="12">
        <f t="shared" ref="M212:N212" si="217">G212/1.19</f>
        <v>13445.378151260506</v>
      </c>
      <c r="N212" s="12">
        <f t="shared" si="217"/>
        <v>13445.378151260506</v>
      </c>
      <c r="O212" s="12">
        <f t="shared" si="2"/>
        <v>2554.6218487394945</v>
      </c>
      <c r="P212" s="13"/>
      <c r="Q212" s="14">
        <f t="shared" si="3"/>
        <v>2025</v>
      </c>
      <c r="R212" s="15">
        <f>VLOOKUP(MONTH(C212),'Datos Maestros'!M$2:N$14,2,FALSE)</f>
        <v>45536</v>
      </c>
      <c r="S212" s="11" t="str">
        <f>VLOOKUP(E212,Precios!B$2:W$941,3,FALSE)</f>
        <v>Papel Higiénico SWAN</v>
      </c>
      <c r="T212" s="16">
        <f>VLOOKUP(E212,Precios!B$2:N$941,4,FALSE)*F212</f>
        <v>0</v>
      </c>
      <c r="U212" s="17"/>
      <c r="V212" s="12">
        <f>VLOOKUP(E212,Precios!B$2:N$941,13,FALSE)*F212</f>
        <v>5125.3781512605037</v>
      </c>
      <c r="W212" s="12">
        <f t="shared" si="4"/>
        <v>5125.3781512605037</v>
      </c>
      <c r="X212" s="12">
        <f>VLOOKUP(B212,'Datos Maestros'!$C$2:$D$7,2,FALSE)*V212</f>
        <v>0</v>
      </c>
      <c r="Y212" s="18">
        <f t="shared" si="5"/>
        <v>45901</v>
      </c>
      <c r="Z212" s="13" t="s">
        <v>39</v>
      </c>
      <c r="AA212" s="19" t="str">
        <f>VLOOKUP(D212,Clientes!$A$2:$J$486,9,FALSE)</f>
        <v>Ocacional</v>
      </c>
      <c r="AB212" s="13" t="str">
        <f>VLOOKUP(D212,Clientes!$A$2:$K$486,11,FALSE)</f>
        <v>Persona Natural</v>
      </c>
      <c r="AC212" s="13" t="str">
        <f>VLOOKUP(D212,Clientes!$A$2:$B$486,2,FALSE)</f>
        <v>Jardin del Eden</v>
      </c>
      <c r="AD212" s="20"/>
      <c r="AE212" s="20"/>
      <c r="AF212" s="13" t="s">
        <v>40</v>
      </c>
      <c r="AG212" s="15">
        <f t="shared" si="6"/>
        <v>45536</v>
      </c>
      <c r="AH212" s="13" t="s">
        <v>41</v>
      </c>
      <c r="AI212" s="13" t="str">
        <f t="shared" si="7"/>
        <v>Papeleria</v>
      </c>
      <c r="AJ212" s="13" t="str">
        <f>VLOOKUP(E212,Precios!Z$2:AA$941,2,FALSE)</f>
        <v>Papel Higienico SWAN 400 hojas</v>
      </c>
      <c r="AK212" s="14">
        <f>VLOOKUP(E212,Precios!Z$2:BB$941,3,FALSE)*F212</f>
        <v>-8</v>
      </c>
      <c r="AL212" s="17"/>
      <c r="AM212" s="17"/>
      <c r="AN212" s="17"/>
      <c r="AO212" s="17"/>
      <c r="AP212" s="17"/>
      <c r="AQ212" s="17"/>
      <c r="AR212" s="17"/>
      <c r="AS212" s="17"/>
      <c r="AT212" s="17"/>
      <c r="AU212" s="17"/>
      <c r="AV212" s="17"/>
    </row>
    <row r="213" spans="1:48" ht="15.75" customHeight="1">
      <c r="A213" s="21" t="s">
        <v>76</v>
      </c>
      <c r="B213" s="23" t="s">
        <v>1692</v>
      </c>
      <c r="C213" s="22">
        <v>45905</v>
      </c>
      <c r="D213" s="23" t="s">
        <v>191</v>
      </c>
      <c r="E213" s="23" t="s">
        <v>81</v>
      </c>
      <c r="F213" s="21">
        <v>1</v>
      </c>
      <c r="G213" s="12">
        <f>VLOOKUP(E213,Precios!B$2:N$941,12,FALSE)</f>
        <v>3500.0000000000005</v>
      </c>
      <c r="H213" s="12">
        <f t="shared" si="0"/>
        <v>3500.0000000000005</v>
      </c>
      <c r="I213" s="23" t="s">
        <v>52</v>
      </c>
      <c r="J213" s="23" t="s">
        <v>61</v>
      </c>
      <c r="K213" s="24" t="s">
        <v>177</v>
      </c>
      <c r="L213" s="24">
        <v>181</v>
      </c>
      <c r="M213" s="12">
        <f t="shared" ref="M213:N213" si="218">G213/1.19</f>
        <v>2941.1764705882356</v>
      </c>
      <c r="N213" s="12">
        <f t="shared" si="218"/>
        <v>2941.1764705882356</v>
      </c>
      <c r="O213" s="12">
        <f t="shared" si="2"/>
        <v>558.82352941176487</v>
      </c>
      <c r="P213" s="13"/>
      <c r="Q213" s="14">
        <f t="shared" si="3"/>
        <v>2025</v>
      </c>
      <c r="R213" s="15">
        <f>VLOOKUP(MONTH(C213),'Datos Maestros'!M$2:N$14,2,FALSE)</f>
        <v>45536</v>
      </c>
      <c r="S213" s="11" t="str">
        <f>VLOOKUP(E213,Precios!B$2:W$941,3,FALSE)</f>
        <v>Detergente Premium</v>
      </c>
      <c r="T213" s="16">
        <f>VLOOKUP(E213,Precios!B$2:N$941,4,FALSE)*F213</f>
        <v>5</v>
      </c>
      <c r="U213" s="17"/>
      <c r="V213" s="12">
        <f>VLOOKUP(E213,Precios!B$2:N$941,13,FALSE)*F213</f>
        <v>764.70588235294144</v>
      </c>
      <c r="W213" s="12">
        <f t="shared" si="4"/>
        <v>764.70588235294144</v>
      </c>
      <c r="X213" s="12">
        <f>VLOOKUP(B213,'Datos Maestros'!$C$2:$D$7,2,FALSE)*V213</f>
        <v>0</v>
      </c>
      <c r="Y213" s="18">
        <f t="shared" si="5"/>
        <v>45901</v>
      </c>
      <c r="Z213" s="13" t="s">
        <v>39</v>
      </c>
      <c r="AA213" s="19" t="str">
        <f>VLOOKUP(D213,Clientes!$A$2:$J$486,9,FALSE)</f>
        <v>Ocacional</v>
      </c>
      <c r="AB213" s="13" t="str">
        <f>VLOOKUP(D213,Clientes!$A$2:$K$486,11,FALSE)</f>
        <v>Persona Natural</v>
      </c>
      <c r="AC213" s="13" t="str">
        <f>VLOOKUP(D213,Clientes!$A$2:$B$486,2,FALSE)</f>
        <v>Jardin del Eden</v>
      </c>
      <c r="AD213" s="20"/>
      <c r="AE213" s="20"/>
      <c r="AF213" s="13" t="s">
        <v>40</v>
      </c>
      <c r="AG213" s="15">
        <f t="shared" si="6"/>
        <v>45536</v>
      </c>
      <c r="AH213" s="13" t="s">
        <v>41</v>
      </c>
      <c r="AI213" s="13" t="str">
        <f t="shared" si="7"/>
        <v>Detergentes</v>
      </c>
      <c r="AJ213" s="13" t="str">
        <f>VLOOKUP(E213,Precios!Z$2:AA$941,2,FALSE)</f>
        <v>Detergente SPUM 5 Litros (Verde)</v>
      </c>
      <c r="AK213" s="14">
        <f>VLOOKUP(E213,Precios!Z$2:BB$941,3,FALSE)*F213</f>
        <v>-1</v>
      </c>
      <c r="AL213" s="17"/>
      <c r="AM213" s="17"/>
      <c r="AN213" s="17"/>
      <c r="AO213" s="17"/>
      <c r="AP213" s="17"/>
      <c r="AQ213" s="17"/>
      <c r="AR213" s="17"/>
      <c r="AS213" s="17"/>
      <c r="AT213" s="17"/>
      <c r="AU213" s="17"/>
      <c r="AV213" s="17"/>
    </row>
    <row r="214" spans="1:48" ht="15.75" customHeight="1">
      <c r="A214" s="21" t="s">
        <v>64</v>
      </c>
      <c r="B214" s="23" t="s">
        <v>1692</v>
      </c>
      <c r="C214" s="22">
        <v>45905</v>
      </c>
      <c r="D214" s="23" t="s">
        <v>191</v>
      </c>
      <c r="E214" s="23" t="s">
        <v>173</v>
      </c>
      <c r="F214" s="21">
        <v>1</v>
      </c>
      <c r="G214" s="12">
        <f>VLOOKUP(E214,Precios!B$2:N$941,12,FALSE)</f>
        <v>23999.589943360927</v>
      </c>
      <c r="H214" s="12">
        <f t="shared" si="0"/>
        <v>23999.589943360927</v>
      </c>
      <c r="I214" s="23" t="s">
        <v>52</v>
      </c>
      <c r="J214" s="23" t="s">
        <v>61</v>
      </c>
      <c r="K214" s="24" t="s">
        <v>177</v>
      </c>
      <c r="L214" s="24">
        <v>181</v>
      </c>
      <c r="M214" s="12">
        <f t="shared" ref="M214:N214" si="219">G214/1.19</f>
        <v>20167.72264147977</v>
      </c>
      <c r="N214" s="12">
        <f t="shared" si="219"/>
        <v>20167.72264147977</v>
      </c>
      <c r="O214" s="12">
        <f t="shared" si="2"/>
        <v>3831.8673018811569</v>
      </c>
      <c r="P214" s="13"/>
      <c r="Q214" s="14">
        <f t="shared" si="3"/>
        <v>2025</v>
      </c>
      <c r="R214" s="15">
        <f>VLOOKUP(MONTH(C214),'Datos Maestros'!M$2:N$14,2,FALSE)</f>
        <v>45536</v>
      </c>
      <c r="S214" s="11" t="str">
        <f>VLOOKUP(E214,Precios!B$2:W$941,3,FALSE)</f>
        <v>Longanizas</v>
      </c>
      <c r="T214" s="16">
        <f>VLOOKUP(E214,Precios!B$2:N$941,4,FALSE)*F214</f>
        <v>3</v>
      </c>
      <c r="U214" s="17"/>
      <c r="V214" s="12">
        <f>VLOOKUP(E214,Precios!B$2:N$941,13,FALSE)*F214</f>
        <v>4429.2352465217864</v>
      </c>
      <c r="W214" s="12">
        <f t="shared" si="4"/>
        <v>4429.2352465217864</v>
      </c>
      <c r="X214" s="12">
        <f>VLOOKUP(B214,'Datos Maestros'!$C$2:$D$7,2,FALSE)*V214</f>
        <v>0</v>
      </c>
      <c r="Y214" s="18">
        <f t="shared" si="5"/>
        <v>45901</v>
      </c>
      <c r="Z214" s="13" t="s">
        <v>39</v>
      </c>
      <c r="AA214" s="19" t="str">
        <f>VLOOKUP(D214,Clientes!$A$2:$J$486,9,FALSE)</f>
        <v>Ocacional</v>
      </c>
      <c r="AB214" s="13" t="str">
        <f>VLOOKUP(D214,Clientes!$A$2:$K$486,11,FALSE)</f>
        <v>Persona Natural</v>
      </c>
      <c r="AC214" s="13" t="str">
        <f>VLOOKUP(D214,Clientes!$A$2:$B$486,2,FALSE)</f>
        <v>Jardin del Eden</v>
      </c>
      <c r="AD214" s="20"/>
      <c r="AE214" s="20"/>
      <c r="AF214" s="13" t="s">
        <v>40</v>
      </c>
      <c r="AG214" s="15">
        <f t="shared" si="6"/>
        <v>45536</v>
      </c>
      <c r="AH214" s="13" t="s">
        <v>41</v>
      </c>
      <c r="AI214" s="13" t="str">
        <f t="shared" si="7"/>
        <v>Longanizas</v>
      </c>
      <c r="AJ214" s="13" t="str">
        <f>VLOOKUP(E214,Precios!Z$2:AA$941,2,FALSE)</f>
        <v>Longanizas VILLABLANCA</v>
      </c>
      <c r="AK214" s="14">
        <f>VLOOKUP(E214,Precios!Z$2:BB$941,3,FALSE)*F214</f>
        <v>-3</v>
      </c>
      <c r="AL214" s="17"/>
      <c r="AM214" s="17"/>
      <c r="AN214" s="17"/>
      <c r="AO214" s="17"/>
      <c r="AP214" s="17"/>
      <c r="AQ214" s="17"/>
      <c r="AR214" s="17"/>
      <c r="AS214" s="17"/>
      <c r="AT214" s="17"/>
      <c r="AU214" s="17"/>
      <c r="AV214" s="17"/>
    </row>
    <row r="215" spans="1:48" ht="15.75" customHeight="1">
      <c r="A215" s="21" t="s">
        <v>47</v>
      </c>
      <c r="B215" s="23" t="s">
        <v>1692</v>
      </c>
      <c r="C215" s="22">
        <v>45905</v>
      </c>
      <c r="D215" s="23" t="s">
        <v>193</v>
      </c>
      <c r="E215" s="23" t="s">
        <v>99</v>
      </c>
      <c r="F215" s="21">
        <v>1</v>
      </c>
      <c r="G215" s="12">
        <f>VLOOKUP(E215,Precios!B$2:N$941,12,FALSE)</f>
        <v>1200</v>
      </c>
      <c r="H215" s="12">
        <f t="shared" si="0"/>
        <v>1200</v>
      </c>
      <c r="I215" s="23" t="s">
        <v>52</v>
      </c>
      <c r="J215" s="23" t="s">
        <v>61</v>
      </c>
      <c r="K215" s="24" t="s">
        <v>177</v>
      </c>
      <c r="L215" s="24">
        <v>181</v>
      </c>
      <c r="M215" s="12">
        <f t="shared" ref="M215:N215" si="220">G215/1.19</f>
        <v>1008.4033613445379</v>
      </c>
      <c r="N215" s="12">
        <f t="shared" si="220"/>
        <v>1008.4033613445379</v>
      </c>
      <c r="O215" s="12">
        <f t="shared" si="2"/>
        <v>191.59663865546213</v>
      </c>
      <c r="P215" s="13"/>
      <c r="Q215" s="14">
        <f t="shared" si="3"/>
        <v>2025</v>
      </c>
      <c r="R215" s="15">
        <f>VLOOKUP(MONTH(C215),'Datos Maestros'!M$2:N$14,2,FALSE)</f>
        <v>45536</v>
      </c>
      <c r="S215" s="11" t="str">
        <f>VLOOKUP(E215,Precios!B$2:W$941,3,FALSE)</f>
        <v>Bolsa Basura</v>
      </c>
      <c r="T215" s="16">
        <f>VLOOKUP(E215,Precios!B$2:N$941,4,FALSE)*F215</f>
        <v>0</v>
      </c>
      <c r="U215" s="17"/>
      <c r="V215" s="12">
        <f>VLOOKUP(E215,Precios!B$2:N$941,13,FALSE)*F215</f>
        <v>294.11764705882354</v>
      </c>
      <c r="W215" s="12">
        <f t="shared" si="4"/>
        <v>294.11764705882354</v>
      </c>
      <c r="X215" s="12">
        <f>VLOOKUP(B215,'Datos Maestros'!$C$2:$D$7,2,FALSE)*V215</f>
        <v>0</v>
      </c>
      <c r="Y215" s="18">
        <f t="shared" si="5"/>
        <v>45901</v>
      </c>
      <c r="Z215" s="13" t="s">
        <v>39</v>
      </c>
      <c r="AA215" s="19" t="str">
        <f>VLOOKUP(D215,Clientes!$A$2:$J$486,9,FALSE)</f>
        <v>Ocacional</v>
      </c>
      <c r="AB215" s="13" t="str">
        <f>VLOOKUP(D215,Clientes!$A$2:$K$486,11,FALSE)</f>
        <v>Persona Natural</v>
      </c>
      <c r="AC215" s="13" t="str">
        <f>VLOOKUP(D215,Clientes!$A$2:$B$486,2,FALSE)</f>
        <v>Jardines de la viña</v>
      </c>
      <c r="AD215" s="20"/>
      <c r="AE215" s="20"/>
      <c r="AF215" s="13" t="s">
        <v>40</v>
      </c>
      <c r="AG215" s="15">
        <f t="shared" si="6"/>
        <v>45536</v>
      </c>
      <c r="AH215" s="13" t="s">
        <v>41</v>
      </c>
      <c r="AI215" s="13" t="str">
        <f t="shared" si="7"/>
        <v>Articulos de Aseo</v>
      </c>
      <c r="AJ215" s="13" t="str">
        <f>VLOOKUP(E215,Precios!Z$2:AA$941,2,FALSE)</f>
        <v xml:space="preserve">Bolsas Basura TEDDY 70x90 </v>
      </c>
      <c r="AK215" s="14">
        <f>VLOOKUP(E215,Precios!Z$2:BB$941,3,FALSE)*F215</f>
        <v>-1</v>
      </c>
      <c r="AL215" s="17"/>
      <c r="AM215" s="17"/>
      <c r="AN215" s="17"/>
      <c r="AO215" s="17"/>
      <c r="AP215" s="17"/>
      <c r="AQ215" s="17"/>
      <c r="AR215" s="17"/>
      <c r="AS215" s="17"/>
      <c r="AT215" s="17"/>
      <c r="AU215" s="17"/>
      <c r="AV215" s="17"/>
    </row>
    <row r="216" spans="1:48" ht="15.75" customHeight="1">
      <c r="A216" s="21" t="s">
        <v>76</v>
      </c>
      <c r="B216" s="23" t="s">
        <v>1692</v>
      </c>
      <c r="C216" s="22">
        <v>45905</v>
      </c>
      <c r="D216" s="23" t="s">
        <v>193</v>
      </c>
      <c r="E216" s="23" t="s">
        <v>187</v>
      </c>
      <c r="F216" s="21">
        <v>1</v>
      </c>
      <c r="G216" s="12">
        <f>VLOOKUP(E216,Precios!B$2:N$941,12,FALSE)</f>
        <v>2699.9280057595392</v>
      </c>
      <c r="H216" s="12">
        <f t="shared" si="0"/>
        <v>2699.9280057595392</v>
      </c>
      <c r="I216" s="23" t="s">
        <v>52</v>
      </c>
      <c r="J216" s="23" t="s">
        <v>61</v>
      </c>
      <c r="K216" s="24" t="s">
        <v>177</v>
      </c>
      <c r="L216" s="24">
        <v>181</v>
      </c>
      <c r="M216" s="12">
        <f t="shared" ref="M216:N216" si="221">G216/1.19</f>
        <v>2268.8470636634784</v>
      </c>
      <c r="N216" s="12">
        <f t="shared" si="221"/>
        <v>2268.8470636634784</v>
      </c>
      <c r="O216" s="12">
        <f t="shared" si="2"/>
        <v>431.08094209606088</v>
      </c>
      <c r="P216" s="13"/>
      <c r="Q216" s="14">
        <f t="shared" si="3"/>
        <v>2025</v>
      </c>
      <c r="R216" s="15">
        <f>VLOOKUP(MONTH(C216),'Datos Maestros'!M$2:N$14,2,FALSE)</f>
        <v>45536</v>
      </c>
      <c r="S216" s="11" t="str">
        <f>VLOOKUP(E216,Precios!B$2:W$941,3,FALSE)</f>
        <v>Lavaloza</v>
      </c>
      <c r="T216" s="16">
        <f>VLOOKUP(E216,Precios!B$2:N$941,4,FALSE)*F216</f>
        <v>0</v>
      </c>
      <c r="U216" s="17"/>
      <c r="V216" s="12">
        <f>VLOOKUP(E216,Precios!B$2:N$941,13,FALSE)*F216</f>
        <v>798.18039699681162</v>
      </c>
      <c r="W216" s="12">
        <f t="shared" si="4"/>
        <v>798.18039699681162</v>
      </c>
      <c r="X216" s="12">
        <f>VLOOKUP(B216,'Datos Maestros'!$C$2:$D$7,2,FALSE)*V216</f>
        <v>0</v>
      </c>
      <c r="Y216" s="18">
        <f t="shared" si="5"/>
        <v>45901</v>
      </c>
      <c r="Z216" s="13" t="s">
        <v>39</v>
      </c>
      <c r="AA216" s="19" t="str">
        <f>VLOOKUP(D216,Clientes!$A$2:$J$486,9,FALSE)</f>
        <v>Ocacional</v>
      </c>
      <c r="AB216" s="13" t="str">
        <f>VLOOKUP(D216,Clientes!$A$2:$K$486,11,FALSE)</f>
        <v>Persona Natural</v>
      </c>
      <c r="AC216" s="13" t="str">
        <f>VLOOKUP(D216,Clientes!$A$2:$B$486,2,FALSE)</f>
        <v>Jardines de la viña</v>
      </c>
      <c r="AD216" s="20"/>
      <c r="AE216" s="20"/>
      <c r="AF216" s="13" t="s">
        <v>40</v>
      </c>
      <c r="AG216" s="15">
        <f t="shared" si="6"/>
        <v>45536</v>
      </c>
      <c r="AH216" s="13" t="s">
        <v>41</v>
      </c>
      <c r="AI216" s="13" t="str">
        <f t="shared" si="7"/>
        <v>Detergentes</v>
      </c>
      <c r="AJ216" s="13" t="str">
        <f>VLOOKUP(E216,Precios!Z$2:AA$941,2,FALSE)</f>
        <v>Lavaloza WYN 1.5 Litros (recarga)</v>
      </c>
      <c r="AK216" s="14">
        <f>VLOOKUP(E216,Precios!Z$2:BB$941,3,FALSE)*F216</f>
        <v>-1</v>
      </c>
      <c r="AL216" s="17"/>
      <c r="AM216" s="17"/>
      <c r="AN216" s="17"/>
      <c r="AO216" s="17"/>
      <c r="AP216" s="17"/>
      <c r="AQ216" s="17"/>
      <c r="AR216" s="17"/>
      <c r="AS216" s="17"/>
      <c r="AT216" s="17"/>
      <c r="AU216" s="17"/>
      <c r="AV216" s="17"/>
    </row>
    <row r="217" spans="1:48" ht="15.75" customHeight="1">
      <c r="A217" s="21" t="s">
        <v>76</v>
      </c>
      <c r="B217" s="23" t="s">
        <v>1692</v>
      </c>
      <c r="C217" s="22">
        <v>45905</v>
      </c>
      <c r="D217" s="23" t="s">
        <v>193</v>
      </c>
      <c r="E217" s="23" t="s">
        <v>194</v>
      </c>
      <c r="F217" s="21">
        <v>1</v>
      </c>
      <c r="G217" s="12">
        <f>VLOOKUP(E217,Precios!B$2:N$941,12,FALSE)</f>
        <v>2400</v>
      </c>
      <c r="H217" s="12">
        <f t="shared" si="0"/>
        <v>2400</v>
      </c>
      <c r="I217" s="23" t="s">
        <v>52</v>
      </c>
      <c r="J217" s="23" t="s">
        <v>61</v>
      </c>
      <c r="K217" s="24" t="s">
        <v>177</v>
      </c>
      <c r="L217" s="24">
        <v>181</v>
      </c>
      <c r="M217" s="12">
        <f t="shared" ref="M217:N217" si="222">G217/1.19</f>
        <v>2016.8067226890757</v>
      </c>
      <c r="N217" s="12">
        <f t="shared" si="222"/>
        <v>2016.8067226890757</v>
      </c>
      <c r="O217" s="12">
        <f t="shared" si="2"/>
        <v>383.19327731092426</v>
      </c>
      <c r="P217" s="13"/>
      <c r="Q217" s="14">
        <f t="shared" si="3"/>
        <v>2025</v>
      </c>
      <c r="R217" s="15">
        <f>VLOOKUP(MONTH(C217),'Datos Maestros'!M$2:N$14,2,FALSE)</f>
        <v>45536</v>
      </c>
      <c r="S217" s="11" t="str">
        <f>VLOOKUP(E217,Precios!B$2:W$941,3,FALSE)</f>
        <v>Cif</v>
      </c>
      <c r="T217" s="16">
        <f>VLOOKUP(E217,Precios!B$2:N$941,4,FALSE)*F217</f>
        <v>0</v>
      </c>
      <c r="U217" s="17"/>
      <c r="V217" s="12">
        <f>VLOOKUP(E217,Precios!B$2:N$941,13,FALSE)*F217</f>
        <v>959.6638655462184</v>
      </c>
      <c r="W217" s="12">
        <f t="shared" si="4"/>
        <v>959.6638655462184</v>
      </c>
      <c r="X217" s="12">
        <f>VLOOKUP(B217,'Datos Maestros'!$C$2:$D$7,2,FALSE)*V217</f>
        <v>0</v>
      </c>
      <c r="Y217" s="18">
        <f t="shared" si="5"/>
        <v>45901</v>
      </c>
      <c r="Z217" s="13" t="s">
        <v>39</v>
      </c>
      <c r="AA217" s="19" t="str">
        <f>VLOOKUP(D217,Clientes!$A$2:$J$486,9,FALSE)</f>
        <v>Ocacional</v>
      </c>
      <c r="AB217" s="13" t="str">
        <f>VLOOKUP(D217,Clientes!$A$2:$K$486,11,FALSE)</f>
        <v>Persona Natural</v>
      </c>
      <c r="AC217" s="13" t="str">
        <f>VLOOKUP(D217,Clientes!$A$2:$B$486,2,FALSE)</f>
        <v>Jardines de la viña</v>
      </c>
      <c r="AD217" s="20"/>
      <c r="AE217" s="20"/>
      <c r="AF217" s="13" t="s">
        <v>40</v>
      </c>
      <c r="AG217" s="15">
        <f t="shared" si="6"/>
        <v>45536</v>
      </c>
      <c r="AH217" s="13" t="s">
        <v>41</v>
      </c>
      <c r="AI217" s="13" t="str">
        <f t="shared" si="7"/>
        <v>Detergentes</v>
      </c>
      <c r="AJ217" s="13" t="str">
        <f>VLOOKUP(E217,Precios!Z$2:AA$941,2,FALSE)</f>
        <v>CIF 750 cc</v>
      </c>
      <c r="AK217" s="14">
        <f>VLOOKUP(E217,Precios!Z$2:BB$941,3,FALSE)*F217</f>
        <v>-1</v>
      </c>
      <c r="AL217" s="17"/>
      <c r="AM217" s="17"/>
      <c r="AN217" s="17"/>
      <c r="AO217" s="17"/>
      <c r="AP217" s="17"/>
      <c r="AQ217" s="17"/>
      <c r="AR217" s="17"/>
      <c r="AS217" s="17"/>
      <c r="AT217" s="17"/>
      <c r="AU217" s="17"/>
      <c r="AV217" s="17"/>
    </row>
    <row r="218" spans="1:48" ht="15.75" customHeight="1">
      <c r="A218" s="21" t="s">
        <v>35</v>
      </c>
      <c r="B218" s="23" t="s">
        <v>1692</v>
      </c>
      <c r="C218" s="22">
        <v>45905</v>
      </c>
      <c r="D218" s="23" t="s">
        <v>195</v>
      </c>
      <c r="E218" s="23" t="s">
        <v>37</v>
      </c>
      <c r="F218" s="21">
        <v>2</v>
      </c>
      <c r="G218" s="12">
        <f>VLOOKUP(E218,Precios!B$2:N$941,12,FALSE)</f>
        <v>11000.014358944907</v>
      </c>
      <c r="H218" s="12">
        <f t="shared" si="0"/>
        <v>22000.028717889814</v>
      </c>
      <c r="I218" s="23" t="s">
        <v>52</v>
      </c>
      <c r="J218" s="23" t="s">
        <v>61</v>
      </c>
      <c r="K218" s="24" t="s">
        <v>177</v>
      </c>
      <c r="L218" s="24">
        <v>181</v>
      </c>
      <c r="M218" s="12">
        <f t="shared" ref="M218:N218" si="223">G218/1.19</f>
        <v>9243.7095453318543</v>
      </c>
      <c r="N218" s="12">
        <f t="shared" si="223"/>
        <v>18487.419090663709</v>
      </c>
      <c r="O218" s="12">
        <f t="shared" si="2"/>
        <v>3512.6096272261057</v>
      </c>
      <c r="P218" s="13"/>
      <c r="Q218" s="14">
        <f t="shared" si="3"/>
        <v>2025</v>
      </c>
      <c r="R218" s="15">
        <f>VLOOKUP(MONTH(C218),'Datos Maestros'!M$2:N$14,2,FALSE)</f>
        <v>45536</v>
      </c>
      <c r="S218" s="11" t="str">
        <f>VLOOKUP(E218,Precios!B$2:W$941,3,FALSE)</f>
        <v>Queso Mantecoso</v>
      </c>
      <c r="T218" s="16">
        <f>VLOOKUP(E218,Precios!B$2:N$941,4,FALSE)*F218</f>
        <v>2000</v>
      </c>
      <c r="U218" s="17"/>
      <c r="V218" s="12">
        <f>VLOOKUP(E218,Precios!B$2:N$941,13,FALSE)*F218</f>
        <v>5612.225813352783</v>
      </c>
      <c r="W218" s="12">
        <f t="shared" si="4"/>
        <v>5612.225813352783</v>
      </c>
      <c r="X218" s="12">
        <f>VLOOKUP(B218,'Datos Maestros'!$C$2:$D$7,2,FALSE)*V218</f>
        <v>0</v>
      </c>
      <c r="Y218" s="18">
        <f t="shared" si="5"/>
        <v>45901</v>
      </c>
      <c r="Z218" s="13" t="s">
        <v>39</v>
      </c>
      <c r="AA218" s="19" t="str">
        <f>VLOOKUP(D218,Clientes!$A$2:$J$486,9,FALSE)</f>
        <v>Ocacional</v>
      </c>
      <c r="AB218" s="13" t="str">
        <f>VLOOKUP(D218,Clientes!$A$2:$K$486,11,FALSE)</f>
        <v>Persona Natural</v>
      </c>
      <c r="AC218" s="13" t="str">
        <f>VLOOKUP(D218,Clientes!$A$2:$B$486,2,FALSE)</f>
        <v>Diego Portales</v>
      </c>
      <c r="AD218" s="20"/>
      <c r="AE218" s="20"/>
      <c r="AF218" s="13" t="s">
        <v>40</v>
      </c>
      <c r="AG218" s="15">
        <f t="shared" si="6"/>
        <v>45536</v>
      </c>
      <c r="AH218" s="13" t="s">
        <v>41</v>
      </c>
      <c r="AI218" s="13" t="str">
        <f t="shared" si="7"/>
        <v>Quesos</v>
      </c>
      <c r="AJ218" s="13" t="str">
        <f>VLOOKUP(E218,Precios!Z$2:AA$941,2,FALSE)</f>
        <v>Queso RUNCA Mantecoso</v>
      </c>
      <c r="AK218" s="14">
        <f>VLOOKUP(E218,Precios!Z$2:BB$941,3,FALSE)*F218</f>
        <v>-2</v>
      </c>
      <c r="AL218" s="17"/>
      <c r="AM218" s="17"/>
      <c r="AN218" s="17"/>
      <c r="AO218" s="17"/>
      <c r="AP218" s="17"/>
      <c r="AQ218" s="17"/>
      <c r="AR218" s="17"/>
      <c r="AS218" s="17"/>
      <c r="AT218" s="17"/>
      <c r="AU218" s="17"/>
      <c r="AV218" s="17"/>
    </row>
    <row r="219" spans="1:48" ht="15.75" customHeight="1">
      <c r="A219" s="21" t="s">
        <v>35</v>
      </c>
      <c r="B219" s="23" t="s">
        <v>1692</v>
      </c>
      <c r="C219" s="22">
        <v>45905</v>
      </c>
      <c r="D219" s="23" t="s">
        <v>915</v>
      </c>
      <c r="E219" s="23" t="s">
        <v>37</v>
      </c>
      <c r="F219" s="21">
        <v>1</v>
      </c>
      <c r="G219" s="12">
        <f>VLOOKUP(E219,Precios!B$2:N$941,12,FALSE)</f>
        <v>11000.014358944907</v>
      </c>
      <c r="H219" s="12">
        <f t="shared" si="0"/>
        <v>11000.014358944907</v>
      </c>
      <c r="I219" s="23" t="s">
        <v>52</v>
      </c>
      <c r="J219" s="23" t="s">
        <v>38</v>
      </c>
      <c r="K219" s="24" t="s">
        <v>177</v>
      </c>
      <c r="L219" s="24">
        <v>181</v>
      </c>
      <c r="M219" s="12">
        <f t="shared" ref="M219:N219" si="224">G219/1.19</f>
        <v>9243.7095453318543</v>
      </c>
      <c r="N219" s="12">
        <f t="shared" si="224"/>
        <v>9243.7095453318543</v>
      </c>
      <c r="O219" s="12">
        <f t="shared" si="2"/>
        <v>1756.3048136130528</v>
      </c>
      <c r="P219" s="13"/>
      <c r="Q219" s="14">
        <f t="shared" si="3"/>
        <v>2025</v>
      </c>
      <c r="R219" s="15">
        <f>VLOOKUP(MONTH(C219),'Datos Maestros'!M$2:N$14,2,FALSE)</f>
        <v>45536</v>
      </c>
      <c r="S219" s="11" t="str">
        <f>VLOOKUP(E219,Precios!B$2:W$941,3,FALSE)</f>
        <v>Queso Mantecoso</v>
      </c>
      <c r="T219" s="16">
        <f>VLOOKUP(E219,Precios!B$2:N$941,4,FALSE)*F219</f>
        <v>1000</v>
      </c>
      <c r="U219" s="17"/>
      <c r="V219" s="12">
        <f>VLOOKUP(E219,Precios!B$2:N$941,13,FALSE)*F219</f>
        <v>2806.1129066763915</v>
      </c>
      <c r="W219" s="12">
        <f t="shared" si="4"/>
        <v>2806.1129066763915</v>
      </c>
      <c r="X219" s="12">
        <f>VLOOKUP(B219,'Datos Maestros'!$C$2:$D$7,2,FALSE)*V219</f>
        <v>0</v>
      </c>
      <c r="Y219" s="18">
        <f t="shared" si="5"/>
        <v>45901</v>
      </c>
      <c r="Z219" s="13" t="s">
        <v>39</v>
      </c>
      <c r="AA219" s="19" t="str">
        <f>VLOOKUP(D219,Clientes!$A$2:$J$486,9,FALSE)</f>
        <v>Regular</v>
      </c>
      <c r="AB219" s="13" t="str">
        <f>VLOOKUP(D219,Clientes!$A$2:$K$486,11,FALSE)</f>
        <v>Persona Natural</v>
      </c>
      <c r="AC219" s="13" t="str">
        <f>VLOOKUP(D219,Clientes!$A$2:$B$486,2,FALSE)</f>
        <v>Jardin del Eden</v>
      </c>
      <c r="AD219" s="20"/>
      <c r="AE219" s="20"/>
      <c r="AF219" s="13" t="s">
        <v>40</v>
      </c>
      <c r="AG219" s="15">
        <f t="shared" si="6"/>
        <v>45536</v>
      </c>
      <c r="AH219" s="13" t="s">
        <v>41</v>
      </c>
      <c r="AI219" s="13" t="str">
        <f t="shared" si="7"/>
        <v>Quesos</v>
      </c>
      <c r="AJ219" s="13" t="str">
        <f>VLOOKUP(E219,Precios!Z$2:AA$941,2,FALSE)</f>
        <v>Queso RUNCA Mantecoso</v>
      </c>
      <c r="AK219" s="14">
        <f>VLOOKUP(E219,Precios!Z$2:BB$941,3,FALSE)*F219</f>
        <v>-1</v>
      </c>
      <c r="AL219" s="17"/>
      <c r="AM219" s="17"/>
      <c r="AN219" s="17"/>
      <c r="AO219" s="17"/>
      <c r="AP219" s="17"/>
      <c r="AQ219" s="17"/>
      <c r="AR219" s="17"/>
      <c r="AS219" s="17"/>
      <c r="AT219" s="17"/>
      <c r="AU219" s="17"/>
      <c r="AV219" s="17"/>
    </row>
    <row r="220" spans="1:48" ht="15.75" customHeight="1">
      <c r="A220" s="21" t="s">
        <v>64</v>
      </c>
      <c r="B220" s="23" t="s">
        <v>1692</v>
      </c>
      <c r="C220" s="22">
        <v>45905</v>
      </c>
      <c r="D220" s="23" t="s">
        <v>196</v>
      </c>
      <c r="E220" s="23" t="s">
        <v>197</v>
      </c>
      <c r="F220" s="21">
        <v>1</v>
      </c>
      <c r="G220" s="12">
        <f>VLOOKUP(E220,Precios!B$2:N$941,12,FALSE)</f>
        <v>32000.307641034182</v>
      </c>
      <c r="H220" s="12">
        <f t="shared" si="0"/>
        <v>32000.307641034182</v>
      </c>
      <c r="I220" s="23" t="s">
        <v>52</v>
      </c>
      <c r="J220" s="23" t="s">
        <v>61</v>
      </c>
      <c r="K220" s="24" t="s">
        <v>177</v>
      </c>
      <c r="L220" s="24">
        <v>181</v>
      </c>
      <c r="M220" s="12">
        <f t="shared" ref="M220:N220" si="225">G220/1.19</f>
        <v>26891.014824398473</v>
      </c>
      <c r="N220" s="12">
        <f t="shared" si="225"/>
        <v>26891.014824398473</v>
      </c>
      <c r="O220" s="12">
        <f t="shared" si="2"/>
        <v>5109.2928166357087</v>
      </c>
      <c r="P220" s="13"/>
      <c r="Q220" s="14">
        <f t="shared" si="3"/>
        <v>2025</v>
      </c>
      <c r="R220" s="15">
        <f>VLOOKUP(MONTH(C220),'Datos Maestros'!M$2:N$14,2,FALSE)</f>
        <v>45536</v>
      </c>
      <c r="S220" s="11" t="str">
        <f>VLOOKUP(E220,Precios!B$2:W$941,3,FALSE)</f>
        <v>Longanizas</v>
      </c>
      <c r="T220" s="16">
        <f>VLOOKUP(E220,Precios!B$2:N$941,4,FALSE)*F220</f>
        <v>4</v>
      </c>
      <c r="U220" s="17"/>
      <c r="V220" s="12">
        <f>VLOOKUP(E220,Precios!B$2:N$941,13,FALSE)*F220</f>
        <v>5912.5274294404917</v>
      </c>
      <c r="W220" s="12">
        <f t="shared" si="4"/>
        <v>5912.5274294404917</v>
      </c>
      <c r="X220" s="12">
        <f>VLOOKUP(B220,'Datos Maestros'!$C$2:$D$7,2,FALSE)*V220</f>
        <v>0</v>
      </c>
      <c r="Y220" s="18">
        <f t="shared" si="5"/>
        <v>45901</v>
      </c>
      <c r="Z220" s="13" t="s">
        <v>39</v>
      </c>
      <c r="AA220" s="19" t="str">
        <f>VLOOKUP(D220,Clientes!$A$2:$J$486,9,FALSE)</f>
        <v>Ocacional</v>
      </c>
      <c r="AB220" s="13" t="str">
        <f>VLOOKUP(D220,Clientes!$A$2:$K$486,11,FALSE)</f>
        <v>Persona Natural</v>
      </c>
      <c r="AC220" s="13" t="str">
        <f>VLOOKUP(D220,Clientes!$A$2:$B$486,2,FALSE)</f>
        <v>Barrio Ingles</v>
      </c>
      <c r="AD220" s="20"/>
      <c r="AE220" s="20"/>
      <c r="AF220" s="13" t="s">
        <v>40</v>
      </c>
      <c r="AG220" s="15">
        <f t="shared" si="6"/>
        <v>45536</v>
      </c>
      <c r="AH220" s="13" t="s">
        <v>41</v>
      </c>
      <c r="AI220" s="13" t="str">
        <f t="shared" si="7"/>
        <v>Longanizas</v>
      </c>
      <c r="AJ220" s="13" t="str">
        <f>VLOOKUP(E220,Precios!Z$2:AA$941,2,FALSE)</f>
        <v>Longanizas VILLABLANCA</v>
      </c>
      <c r="AK220" s="14">
        <f>VLOOKUP(E220,Precios!Z$2:BB$941,3,FALSE)*F220</f>
        <v>-4</v>
      </c>
      <c r="AL220" s="17"/>
      <c r="AM220" s="17"/>
      <c r="AN220" s="17"/>
      <c r="AO220" s="17"/>
      <c r="AP220" s="17"/>
      <c r="AQ220" s="17"/>
      <c r="AR220" s="17"/>
      <c r="AS220" s="17"/>
      <c r="AT220" s="17"/>
      <c r="AU220" s="17"/>
      <c r="AV220" s="17"/>
    </row>
    <row r="221" spans="1:48" ht="15.75" customHeight="1">
      <c r="A221" s="21" t="s">
        <v>35</v>
      </c>
      <c r="B221" s="23" t="s">
        <v>1692</v>
      </c>
      <c r="C221" s="22">
        <v>45905</v>
      </c>
      <c r="D221" s="23" t="s">
        <v>198</v>
      </c>
      <c r="E221" s="23" t="s">
        <v>37</v>
      </c>
      <c r="F221" s="21">
        <v>3</v>
      </c>
      <c r="G221" s="12">
        <f>VLOOKUP(E221,Precios!B$2:N$941,12,FALSE)</f>
        <v>11000.014358944907</v>
      </c>
      <c r="H221" s="12">
        <f t="shared" si="0"/>
        <v>33000.043076834721</v>
      </c>
      <c r="I221" s="23" t="s">
        <v>52</v>
      </c>
      <c r="J221" s="23" t="s">
        <v>38</v>
      </c>
      <c r="K221" s="24" t="s">
        <v>177</v>
      </c>
      <c r="L221" s="24">
        <v>181</v>
      </c>
      <c r="M221" s="12">
        <f t="shared" ref="M221:N221" si="226">G221/1.19</f>
        <v>9243.7095453318543</v>
      </c>
      <c r="N221" s="12">
        <f t="shared" si="226"/>
        <v>27731.128635995567</v>
      </c>
      <c r="O221" s="12">
        <f t="shared" si="2"/>
        <v>5268.9144408391548</v>
      </c>
      <c r="P221" s="13"/>
      <c r="Q221" s="14">
        <f t="shared" si="3"/>
        <v>2025</v>
      </c>
      <c r="R221" s="15">
        <f>VLOOKUP(MONTH(C221),'Datos Maestros'!M$2:N$14,2,FALSE)</f>
        <v>45536</v>
      </c>
      <c r="S221" s="11" t="str">
        <f>VLOOKUP(E221,Precios!B$2:W$941,3,FALSE)</f>
        <v>Queso Mantecoso</v>
      </c>
      <c r="T221" s="16">
        <f>VLOOKUP(E221,Precios!B$2:N$941,4,FALSE)*F221</f>
        <v>3000</v>
      </c>
      <c r="U221" s="17"/>
      <c r="V221" s="12">
        <f>VLOOKUP(E221,Precios!B$2:N$941,13,FALSE)*F221</f>
        <v>8418.3387200291745</v>
      </c>
      <c r="W221" s="12">
        <f t="shared" si="4"/>
        <v>8418.3387200291745</v>
      </c>
      <c r="X221" s="12">
        <f>VLOOKUP(B221,'Datos Maestros'!$C$2:$D$7,2,FALSE)*V221</f>
        <v>0</v>
      </c>
      <c r="Y221" s="18">
        <f t="shared" si="5"/>
        <v>45901</v>
      </c>
      <c r="Z221" s="13" t="s">
        <v>39</v>
      </c>
      <c r="AA221" s="19" t="str">
        <f>VLOOKUP(D221,Clientes!$A$2:$J$486,9,FALSE)</f>
        <v>Frecuente</v>
      </c>
      <c r="AB221" s="13" t="str">
        <f>VLOOKUP(D221,Clientes!$A$2:$K$486,11,FALSE)</f>
        <v>Persona Natural</v>
      </c>
      <c r="AC221" s="13" t="str">
        <f>VLOOKUP(D221,Clientes!$A$2:$B$486,2,FALSE)</f>
        <v>Curso Amalia</v>
      </c>
      <c r="AD221" s="20"/>
      <c r="AE221" s="20"/>
      <c r="AF221" s="13" t="s">
        <v>40</v>
      </c>
      <c r="AG221" s="15">
        <f t="shared" si="6"/>
        <v>45536</v>
      </c>
      <c r="AH221" s="13" t="s">
        <v>41</v>
      </c>
      <c r="AI221" s="13" t="str">
        <f t="shared" si="7"/>
        <v>Quesos</v>
      </c>
      <c r="AJ221" s="13" t="str">
        <f>VLOOKUP(E221,Precios!Z$2:AA$941,2,FALSE)</f>
        <v>Queso RUNCA Mantecoso</v>
      </c>
      <c r="AK221" s="14">
        <f>VLOOKUP(E221,Precios!Z$2:BB$941,3,FALSE)*F221</f>
        <v>-3</v>
      </c>
      <c r="AL221" s="17"/>
      <c r="AM221" s="17"/>
      <c r="AN221" s="17"/>
      <c r="AO221" s="17"/>
      <c r="AP221" s="17"/>
      <c r="AQ221" s="17"/>
      <c r="AR221" s="17"/>
      <c r="AS221" s="17"/>
      <c r="AT221" s="17"/>
      <c r="AU221" s="17"/>
      <c r="AV221" s="17"/>
    </row>
    <row r="222" spans="1:48" ht="15.75" customHeight="1">
      <c r="A222" s="21" t="s">
        <v>56</v>
      </c>
      <c r="B222" s="23" t="s">
        <v>1692</v>
      </c>
      <c r="C222" s="22">
        <v>45905</v>
      </c>
      <c r="D222" s="23" t="s">
        <v>198</v>
      </c>
      <c r="E222" s="23" t="s">
        <v>60</v>
      </c>
      <c r="F222" s="21">
        <v>1</v>
      </c>
      <c r="G222" s="12">
        <f>VLOOKUP(E222,Precios!B$2:N$941,12,FALSE)</f>
        <v>7000.0000000000018</v>
      </c>
      <c r="H222" s="12">
        <f t="shared" si="0"/>
        <v>7000.0000000000018</v>
      </c>
      <c r="I222" s="23" t="s">
        <v>52</v>
      </c>
      <c r="J222" s="23" t="s">
        <v>38</v>
      </c>
      <c r="K222" s="24" t="s">
        <v>177</v>
      </c>
      <c r="L222" s="24">
        <v>181</v>
      </c>
      <c r="M222" s="12">
        <f t="shared" ref="M222:N222" si="227">G222/1.19</f>
        <v>5882.3529411764721</v>
      </c>
      <c r="N222" s="12">
        <f t="shared" si="227"/>
        <v>5882.3529411764721</v>
      </c>
      <c r="O222" s="12">
        <f t="shared" si="2"/>
        <v>1117.6470588235297</v>
      </c>
      <c r="P222" s="13"/>
      <c r="Q222" s="14">
        <f t="shared" si="3"/>
        <v>2025</v>
      </c>
      <c r="R222" s="15">
        <f>VLOOKUP(MONTH(C222),'Datos Maestros'!M$2:N$14,2,FALSE)</f>
        <v>45536</v>
      </c>
      <c r="S222" s="11" t="str">
        <f>VLOOKUP(E222,Precios!B$2:W$941,3,FALSE)</f>
        <v xml:space="preserve">Queso Rueda Sabores </v>
      </c>
      <c r="T222" s="16">
        <f>VLOOKUP(E222,Precios!B$2:N$941,4,FALSE)*F222</f>
        <v>200</v>
      </c>
      <c r="U222" s="17"/>
      <c r="V222" s="12">
        <f>VLOOKUP(E222,Precios!B$2:N$941,13,FALSE)*F222</f>
        <v>2080.6722689075641</v>
      </c>
      <c r="W222" s="12">
        <f t="shared" si="4"/>
        <v>2080.6722689075641</v>
      </c>
      <c r="X222" s="12">
        <f>VLOOKUP(B222,'Datos Maestros'!$C$2:$D$7,2,FALSE)*V222</f>
        <v>0</v>
      </c>
      <c r="Y222" s="18">
        <f t="shared" si="5"/>
        <v>45901</v>
      </c>
      <c r="Z222" s="13" t="s">
        <v>39</v>
      </c>
      <c r="AA222" s="19" t="str">
        <f>VLOOKUP(D222,Clientes!$A$2:$J$486,9,FALSE)</f>
        <v>Frecuente</v>
      </c>
      <c r="AB222" s="13" t="str">
        <f>VLOOKUP(D222,Clientes!$A$2:$K$486,11,FALSE)</f>
        <v>Persona Natural</v>
      </c>
      <c r="AC222" s="13" t="str">
        <f>VLOOKUP(D222,Clientes!$A$2:$B$486,2,FALSE)</f>
        <v>Curso Amalia</v>
      </c>
      <c r="AD222" s="20"/>
      <c r="AE222" s="20"/>
      <c r="AF222" s="13" t="s">
        <v>40</v>
      </c>
      <c r="AG222" s="15">
        <f t="shared" si="6"/>
        <v>45536</v>
      </c>
      <c r="AH222" s="13" t="s">
        <v>41</v>
      </c>
      <c r="AI222" s="13" t="str">
        <f t="shared" si="7"/>
        <v>Derivados</v>
      </c>
      <c r="AJ222" s="13" t="str">
        <f>VLOOKUP(E222,Precios!Z$2:AA$941,2,FALSE)</f>
        <v>Queso Sabores</v>
      </c>
      <c r="AK222" s="14">
        <f>VLOOKUP(E222,Precios!Z$2:BB$941,3,FALSE)*F222</f>
        <v>-2</v>
      </c>
      <c r="AL222" s="17"/>
      <c r="AM222" s="17"/>
      <c r="AN222" s="17"/>
      <c r="AO222" s="17"/>
      <c r="AP222" s="17"/>
      <c r="AQ222" s="17"/>
      <c r="AR222" s="17"/>
      <c r="AS222" s="17"/>
      <c r="AT222" s="17"/>
      <c r="AU222" s="17"/>
      <c r="AV222" s="17"/>
    </row>
    <row r="223" spans="1:48" ht="15.75" customHeight="1">
      <c r="A223" s="21" t="s">
        <v>56</v>
      </c>
      <c r="B223" s="23" t="s">
        <v>1692</v>
      </c>
      <c r="C223" s="22">
        <v>45905</v>
      </c>
      <c r="D223" s="23" t="s">
        <v>198</v>
      </c>
      <c r="E223" s="23" t="s">
        <v>57</v>
      </c>
      <c r="F223" s="21">
        <v>1</v>
      </c>
      <c r="G223" s="12">
        <f>VLOOKUP(E223,Precios!B$2:N$941,12,FALSE)</f>
        <v>2999.6253023129066</v>
      </c>
      <c r="H223" s="12">
        <f t="shared" si="0"/>
        <v>2999.6253023129066</v>
      </c>
      <c r="I223" s="23" t="s">
        <v>52</v>
      </c>
      <c r="J223" s="23" t="s">
        <v>38</v>
      </c>
      <c r="K223" s="24" t="s">
        <v>177</v>
      </c>
      <c r="L223" s="24">
        <v>181</v>
      </c>
      <c r="M223" s="12">
        <f t="shared" ref="M223:N223" si="228">G223/1.19</f>
        <v>2520.6935313553836</v>
      </c>
      <c r="N223" s="12">
        <f t="shared" si="228"/>
        <v>2520.6935313553836</v>
      </c>
      <c r="O223" s="12">
        <f t="shared" si="2"/>
        <v>478.93177095752299</v>
      </c>
      <c r="P223" s="13"/>
      <c r="Q223" s="14">
        <f t="shared" si="3"/>
        <v>2025</v>
      </c>
      <c r="R223" s="15">
        <f>VLOOKUP(MONTH(C223),'Datos Maestros'!M$2:N$14,2,FALSE)</f>
        <v>45536</v>
      </c>
      <c r="S223" s="11" t="str">
        <f>VLOOKUP(E223,Precios!B$2:W$941,3,FALSE)</f>
        <v>Provoleta</v>
      </c>
      <c r="T223" s="16">
        <f>VLOOKUP(E223,Precios!B$2:N$941,4,FALSE)*F223</f>
        <v>135</v>
      </c>
      <c r="U223" s="17"/>
      <c r="V223" s="12">
        <f>VLOOKUP(E223,Precios!B$2:N$941,13,FALSE)*F223</f>
        <v>1040.6935313553836</v>
      </c>
      <c r="W223" s="12">
        <f t="shared" si="4"/>
        <v>1040.6935313553836</v>
      </c>
      <c r="X223" s="12">
        <f>VLOOKUP(B223,'Datos Maestros'!$C$2:$D$7,2,FALSE)*V223</f>
        <v>0</v>
      </c>
      <c r="Y223" s="18">
        <f t="shared" si="5"/>
        <v>45901</v>
      </c>
      <c r="Z223" s="13" t="s">
        <v>39</v>
      </c>
      <c r="AA223" s="19" t="str">
        <f>VLOOKUP(D223,Clientes!$A$2:$J$486,9,FALSE)</f>
        <v>Frecuente</v>
      </c>
      <c r="AB223" s="13" t="str">
        <f>VLOOKUP(D223,Clientes!$A$2:$K$486,11,FALSE)</f>
        <v>Persona Natural</v>
      </c>
      <c r="AC223" s="13" t="str">
        <f>VLOOKUP(D223,Clientes!$A$2:$B$486,2,FALSE)</f>
        <v>Curso Amalia</v>
      </c>
      <c r="AD223" s="20"/>
      <c r="AE223" s="20"/>
      <c r="AF223" s="13" t="s">
        <v>40</v>
      </c>
      <c r="AG223" s="15">
        <f t="shared" si="6"/>
        <v>45536</v>
      </c>
      <c r="AH223" s="13" t="s">
        <v>41</v>
      </c>
      <c r="AI223" s="13" t="str">
        <f t="shared" si="7"/>
        <v>Derivados</v>
      </c>
      <c r="AJ223" s="13" t="str">
        <f>VLOOKUP(E223,Precios!Z$2:AA$941,2,FALSE)</f>
        <v>Provoleta Parrillera</v>
      </c>
      <c r="AK223" s="14">
        <f>VLOOKUP(E223,Precios!Z$2:BB$941,3,FALSE)*F223</f>
        <v>-1</v>
      </c>
      <c r="AL223" s="17"/>
      <c r="AM223" s="17"/>
      <c r="AN223" s="17"/>
      <c r="AO223" s="17"/>
      <c r="AP223" s="17"/>
      <c r="AQ223" s="17"/>
      <c r="AR223" s="17"/>
      <c r="AS223" s="17"/>
      <c r="AT223" s="17"/>
      <c r="AU223" s="17"/>
      <c r="AV223" s="17"/>
    </row>
    <row r="224" spans="1:48" ht="15.75" customHeight="1">
      <c r="A224" s="21" t="s">
        <v>47</v>
      </c>
      <c r="B224" s="23" t="s">
        <v>1692</v>
      </c>
      <c r="C224" s="22">
        <v>45905</v>
      </c>
      <c r="D224" s="23" t="s">
        <v>199</v>
      </c>
      <c r="E224" s="23" t="s">
        <v>200</v>
      </c>
      <c r="F224" s="21">
        <v>2</v>
      </c>
      <c r="G224" s="12">
        <f>VLOOKUP(E224,Precios!B$2:N$941,12,FALSE)</f>
        <v>1799.8604716059717</v>
      </c>
      <c r="H224" s="12">
        <f t="shared" si="0"/>
        <v>3599.7209432119434</v>
      </c>
      <c r="I224" s="23" t="s">
        <v>52</v>
      </c>
      <c r="J224" s="13" t="s">
        <v>38</v>
      </c>
      <c r="K224" s="24" t="s">
        <v>86</v>
      </c>
      <c r="L224" s="24">
        <v>109</v>
      </c>
      <c r="M224" s="12">
        <f t="shared" ref="M224:N224" si="229">G224/1.19</f>
        <v>1512.4877912655224</v>
      </c>
      <c r="N224" s="12">
        <f t="shared" si="229"/>
        <v>3024.9755825310449</v>
      </c>
      <c r="O224" s="12">
        <f t="shared" si="2"/>
        <v>574.74536068089856</v>
      </c>
      <c r="P224" s="13"/>
      <c r="Q224" s="14">
        <f t="shared" si="3"/>
        <v>2025</v>
      </c>
      <c r="R224" s="15">
        <f>VLOOKUP(MONTH(C224),'Datos Maestros'!M$2:N$14,2,FALSE)</f>
        <v>45536</v>
      </c>
      <c r="S224" s="11" t="str">
        <f>VLOOKUP(E224,Precios!B$2:W$941,3,FALSE)</f>
        <v xml:space="preserve">Ambiental </v>
      </c>
      <c r="T224" s="16">
        <f>VLOOKUP(E224,Precios!B$2:N$941,4,FALSE)*F224</f>
        <v>0</v>
      </c>
      <c r="U224" s="17"/>
      <c r="V224" s="12">
        <f>VLOOKUP(E224,Precios!B$2:N$941,13,FALSE)*F224</f>
        <v>856.97558253104489</v>
      </c>
      <c r="W224" s="12">
        <f t="shared" si="4"/>
        <v>856.97558253104489</v>
      </c>
      <c r="X224" s="12">
        <f>VLOOKUP(B224,'Datos Maestros'!$C$2:$D$7,2,FALSE)*V224</f>
        <v>0</v>
      </c>
      <c r="Y224" s="18">
        <f t="shared" si="5"/>
        <v>45901</v>
      </c>
      <c r="Z224" s="13" t="s">
        <v>39</v>
      </c>
      <c r="AA224" s="19" t="str">
        <f>VLOOKUP(D224,Clientes!$A$2:$J$486,9,FALSE)</f>
        <v>Ocacional</v>
      </c>
      <c r="AB224" s="13" t="str">
        <f>VLOOKUP(D224,Clientes!$A$2:$K$486,11,FALSE)</f>
        <v>Empresa</v>
      </c>
      <c r="AC224" s="13" t="str">
        <f>VLOOKUP(D224,Clientes!$A$2:$B$486,2,FALSE)</f>
        <v>Las Condes</v>
      </c>
      <c r="AD224" s="20"/>
      <c r="AE224" s="20"/>
      <c r="AF224" s="13" t="s">
        <v>40</v>
      </c>
      <c r="AG224" s="15">
        <f t="shared" si="6"/>
        <v>45536</v>
      </c>
      <c r="AH224" s="13" t="s">
        <v>41</v>
      </c>
      <c r="AI224" s="13" t="str">
        <f t="shared" si="7"/>
        <v>Articulos de Aseo</v>
      </c>
      <c r="AJ224" s="13" t="str">
        <f>VLOOKUP(E224,Precios!Z$2:AA$941,2,FALSE)</f>
        <v>Ambiental Tubo AROM</v>
      </c>
      <c r="AK224" s="14">
        <f>VLOOKUP(E224,Precios!Z$2:BB$941,3,FALSE)*F224</f>
        <v>-2</v>
      </c>
      <c r="AL224" s="17"/>
      <c r="AM224" s="17"/>
      <c r="AN224" s="17"/>
      <c r="AO224" s="17"/>
      <c r="AP224" s="17"/>
      <c r="AQ224" s="17"/>
      <c r="AR224" s="17"/>
      <c r="AS224" s="17"/>
      <c r="AT224" s="17"/>
      <c r="AU224" s="17"/>
      <c r="AV224" s="17"/>
    </row>
    <row r="225" spans="1:48" ht="15.75" customHeight="1">
      <c r="A225" s="21" t="s">
        <v>47</v>
      </c>
      <c r="B225" s="23" t="s">
        <v>1692</v>
      </c>
      <c r="C225" s="22">
        <v>45905</v>
      </c>
      <c r="D225" s="23" t="s">
        <v>199</v>
      </c>
      <c r="E225" s="23" t="s">
        <v>143</v>
      </c>
      <c r="F225" s="21">
        <v>1</v>
      </c>
      <c r="G225" s="12">
        <f>VLOOKUP(E225,Precios!B$2:N$941,12,FALSE)</f>
        <v>2999.9379074821477</v>
      </c>
      <c r="H225" s="12">
        <f t="shared" si="0"/>
        <v>2999.9379074821477</v>
      </c>
      <c r="I225" s="23" t="s">
        <v>52</v>
      </c>
      <c r="J225" s="13" t="s">
        <v>38</v>
      </c>
      <c r="K225" s="24" t="s">
        <v>86</v>
      </c>
      <c r="L225" s="24">
        <v>109</v>
      </c>
      <c r="M225" s="12">
        <f t="shared" ref="M225:N225" si="230">G225/1.19</f>
        <v>2520.9562247749141</v>
      </c>
      <c r="N225" s="12">
        <f t="shared" si="230"/>
        <v>2520.9562247749141</v>
      </c>
      <c r="O225" s="12">
        <f t="shared" si="2"/>
        <v>478.98168270723363</v>
      </c>
      <c r="P225" s="13"/>
      <c r="Q225" s="14">
        <f t="shared" si="3"/>
        <v>2025</v>
      </c>
      <c r="R225" s="15">
        <f>VLOOKUP(MONTH(C225),'Datos Maestros'!M$2:N$14,2,FALSE)</f>
        <v>45536</v>
      </c>
      <c r="S225" s="11" t="str">
        <f>VLOOKUP(E225,Precios!B$2:W$941,3,FALSE)</f>
        <v>Toalla desinfectantes</v>
      </c>
      <c r="T225" s="16">
        <f>VLOOKUP(E225,Precios!B$2:N$941,4,FALSE)*F225</f>
        <v>0</v>
      </c>
      <c r="U225" s="17"/>
      <c r="V225" s="12">
        <f>VLOOKUP(E225,Precios!B$2:N$941,13,FALSE)*F225</f>
        <v>1708.9562247749141</v>
      </c>
      <c r="W225" s="12">
        <f t="shared" si="4"/>
        <v>1708.9562247749141</v>
      </c>
      <c r="X225" s="12">
        <f>VLOOKUP(B225,'Datos Maestros'!$C$2:$D$7,2,FALSE)*V225</f>
        <v>0</v>
      </c>
      <c r="Y225" s="18">
        <f t="shared" si="5"/>
        <v>45901</v>
      </c>
      <c r="Z225" s="13" t="s">
        <v>39</v>
      </c>
      <c r="AA225" s="19" t="str">
        <f>VLOOKUP(D225,Clientes!$A$2:$J$486,9,FALSE)</f>
        <v>Ocacional</v>
      </c>
      <c r="AB225" s="13" t="str">
        <f>VLOOKUP(D225,Clientes!$A$2:$K$486,11,FALSE)</f>
        <v>Empresa</v>
      </c>
      <c r="AC225" s="13" t="str">
        <f>VLOOKUP(D225,Clientes!$A$2:$B$486,2,FALSE)</f>
        <v>Las Condes</v>
      </c>
      <c r="AD225" s="20"/>
      <c r="AE225" s="20"/>
      <c r="AF225" s="13" t="s">
        <v>40</v>
      </c>
      <c r="AG225" s="15">
        <f t="shared" si="6"/>
        <v>45536</v>
      </c>
      <c r="AH225" s="13" t="s">
        <v>41</v>
      </c>
      <c r="AI225" s="13" t="str">
        <f t="shared" si="7"/>
        <v>Articulos de Aseo</v>
      </c>
      <c r="AJ225" s="13" t="str">
        <f>VLOOKUP(E225,Precios!Z$2:AA$941,2,FALSE)</f>
        <v>Toalla desinfectante TEDDY 80 unidades</v>
      </c>
      <c r="AK225" s="14">
        <f>VLOOKUP(E225,Precios!Z$2:BB$941,3,FALSE)*F225</f>
        <v>-1</v>
      </c>
      <c r="AL225" s="17"/>
      <c r="AM225" s="17"/>
      <c r="AN225" s="17"/>
      <c r="AO225" s="17"/>
      <c r="AP225" s="17"/>
      <c r="AQ225" s="17"/>
      <c r="AR225" s="17"/>
      <c r="AS225" s="17"/>
      <c r="AT225" s="17"/>
      <c r="AU225" s="17"/>
      <c r="AV225" s="17"/>
    </row>
    <row r="226" spans="1:48" ht="15.75" customHeight="1">
      <c r="A226" s="21" t="s">
        <v>47</v>
      </c>
      <c r="B226" s="23" t="s">
        <v>1692</v>
      </c>
      <c r="C226" s="22">
        <v>45905</v>
      </c>
      <c r="D226" s="23" t="s">
        <v>199</v>
      </c>
      <c r="E226" s="23" t="s">
        <v>94</v>
      </c>
      <c r="F226" s="21">
        <v>1</v>
      </c>
      <c r="G226" s="12">
        <f>VLOOKUP(E226,Precios!B$2:N$941,12,FALSE)</f>
        <v>1650.3649635036495</v>
      </c>
      <c r="H226" s="12">
        <f t="shared" si="0"/>
        <v>1650.3649635036495</v>
      </c>
      <c r="I226" s="23" t="s">
        <v>52</v>
      </c>
      <c r="J226" s="13" t="s">
        <v>38</v>
      </c>
      <c r="K226" s="24" t="s">
        <v>86</v>
      </c>
      <c r="L226" s="24">
        <v>109</v>
      </c>
      <c r="M226" s="12">
        <f t="shared" ref="M226:N226" si="231">G226/1.19</f>
        <v>1386.861313868613</v>
      </c>
      <c r="N226" s="12">
        <f t="shared" si="231"/>
        <v>1386.861313868613</v>
      </c>
      <c r="O226" s="12">
        <f t="shared" si="2"/>
        <v>263.50364963503648</v>
      </c>
      <c r="P226" s="13"/>
      <c r="Q226" s="14">
        <f t="shared" si="3"/>
        <v>2025</v>
      </c>
      <c r="R226" s="15">
        <f>VLOOKUP(MONTH(C226),'Datos Maestros'!M$2:N$14,2,FALSE)</f>
        <v>45536</v>
      </c>
      <c r="S226" s="11" t="str">
        <f>VLOOKUP(E226,Precios!B$2:W$941,3,FALSE)</f>
        <v>Jabon Liquido</v>
      </c>
      <c r="T226" s="16">
        <f>VLOOKUP(E226,Precios!B$2:N$941,4,FALSE)*F226</f>
        <v>0</v>
      </c>
      <c r="U226" s="17"/>
      <c r="V226" s="12">
        <f>VLOOKUP(E226,Precios!B$2:N$941,13,FALSE)*F226</f>
        <v>436.86131386861302</v>
      </c>
      <c r="W226" s="12">
        <f t="shared" si="4"/>
        <v>436.86131386861302</v>
      </c>
      <c r="X226" s="12">
        <f>VLOOKUP(B226,'Datos Maestros'!$C$2:$D$7,2,FALSE)*V226</f>
        <v>0</v>
      </c>
      <c r="Y226" s="18">
        <f t="shared" si="5"/>
        <v>45901</v>
      </c>
      <c r="Z226" s="13" t="s">
        <v>39</v>
      </c>
      <c r="AA226" s="19" t="str">
        <f>VLOOKUP(D226,Clientes!$A$2:$J$486,9,FALSE)</f>
        <v>Ocacional</v>
      </c>
      <c r="AB226" s="13" t="str">
        <f>VLOOKUP(D226,Clientes!$A$2:$K$486,11,FALSE)</f>
        <v>Empresa</v>
      </c>
      <c r="AC226" s="13" t="str">
        <f>VLOOKUP(D226,Clientes!$A$2:$B$486,2,FALSE)</f>
        <v>Las Condes</v>
      </c>
      <c r="AD226" s="20"/>
      <c r="AE226" s="20"/>
      <c r="AF226" s="13" t="s">
        <v>40</v>
      </c>
      <c r="AG226" s="15">
        <f t="shared" si="6"/>
        <v>45536</v>
      </c>
      <c r="AH226" s="13" t="s">
        <v>41</v>
      </c>
      <c r="AI226" s="13" t="str">
        <f t="shared" si="7"/>
        <v>Articulos de Aseo</v>
      </c>
      <c r="AJ226" s="13" t="str">
        <f>VLOOKUP(E226,Precios!Z$2:AA$941,2,FALSE)</f>
        <v>Jabón Lìquido BALLERINA</v>
      </c>
      <c r="AK226" s="14">
        <f>VLOOKUP(E226,Precios!Z$2:BB$941,3,FALSE)*F226</f>
        <v>-3</v>
      </c>
      <c r="AL226" s="17"/>
      <c r="AM226" s="17"/>
      <c r="AN226" s="17"/>
      <c r="AO226" s="17"/>
      <c r="AP226" s="17"/>
      <c r="AQ226" s="17"/>
      <c r="AR226" s="17"/>
      <c r="AS226" s="17"/>
      <c r="AT226" s="17"/>
      <c r="AU226" s="17"/>
      <c r="AV226" s="17"/>
    </row>
    <row r="227" spans="1:48" ht="15.75" customHeight="1">
      <c r="A227" s="21" t="s">
        <v>47</v>
      </c>
      <c r="B227" s="23" t="s">
        <v>1692</v>
      </c>
      <c r="C227" s="22">
        <v>45905</v>
      </c>
      <c r="D227" s="23" t="s">
        <v>199</v>
      </c>
      <c r="E227" s="23" t="s">
        <v>201</v>
      </c>
      <c r="F227" s="21">
        <v>1</v>
      </c>
      <c r="G227" s="12">
        <f>VLOOKUP(E227,Precios!B$2:N$941,12,FALSE)</f>
        <v>1499.8684349015896</v>
      </c>
      <c r="H227" s="12">
        <f t="shared" si="0"/>
        <v>1499.8684349015896</v>
      </c>
      <c r="I227" s="23" t="s">
        <v>52</v>
      </c>
      <c r="J227" s="13" t="s">
        <v>38</v>
      </c>
      <c r="K227" s="24" t="s">
        <v>86</v>
      </c>
      <c r="L227" s="24">
        <v>109</v>
      </c>
      <c r="M227" s="12">
        <f t="shared" ref="M227:N227" si="232">G227/1.19</f>
        <v>1260.393642774445</v>
      </c>
      <c r="N227" s="12">
        <f t="shared" si="232"/>
        <v>1260.393642774445</v>
      </c>
      <c r="O227" s="12">
        <f t="shared" si="2"/>
        <v>239.47479212714461</v>
      </c>
      <c r="P227" s="13"/>
      <c r="Q227" s="14">
        <f t="shared" si="3"/>
        <v>2025</v>
      </c>
      <c r="R227" s="15">
        <f>VLOOKUP(MONTH(C227),'Datos Maestros'!M$2:N$14,2,FALSE)</f>
        <v>45536</v>
      </c>
      <c r="S227" s="11" t="str">
        <f>VLOOKUP(E227,Precios!B$2:W$941,3,FALSE)</f>
        <v>Lavaloza</v>
      </c>
      <c r="T227" s="16">
        <f>VLOOKUP(E227,Precios!B$2:N$941,4,FALSE)*F227</f>
        <v>0</v>
      </c>
      <c r="U227" s="17"/>
      <c r="V227" s="12">
        <f>VLOOKUP(E227,Precios!B$2:N$941,13,FALSE)*F227</f>
        <v>462.0603094411116</v>
      </c>
      <c r="W227" s="12">
        <f t="shared" si="4"/>
        <v>462.0603094411116</v>
      </c>
      <c r="X227" s="12">
        <f>VLOOKUP(B227,'Datos Maestros'!$C$2:$D$7,2,FALSE)*V227</f>
        <v>0</v>
      </c>
      <c r="Y227" s="18">
        <f t="shared" si="5"/>
        <v>45901</v>
      </c>
      <c r="Z227" s="13" t="s">
        <v>39</v>
      </c>
      <c r="AA227" s="19" t="str">
        <f>VLOOKUP(D227,Clientes!$A$2:$J$486,9,FALSE)</f>
        <v>Ocacional</v>
      </c>
      <c r="AB227" s="13" t="str">
        <f>VLOOKUP(D227,Clientes!$A$2:$K$486,11,FALSE)</f>
        <v>Empresa</v>
      </c>
      <c r="AC227" s="13" t="str">
        <f>VLOOKUP(D227,Clientes!$A$2:$B$486,2,FALSE)</f>
        <v>Las Condes</v>
      </c>
      <c r="AD227" s="20"/>
      <c r="AE227" s="20"/>
      <c r="AF227" s="13" t="s">
        <v>40</v>
      </c>
      <c r="AG227" s="15">
        <f t="shared" si="6"/>
        <v>45536</v>
      </c>
      <c r="AH227" s="13" t="s">
        <v>41</v>
      </c>
      <c r="AI227" s="13" t="str">
        <f t="shared" si="7"/>
        <v>Articulos de Aseo</v>
      </c>
      <c r="AJ227" s="13" t="str">
        <f>VLOOKUP(E227,Precios!Z$2:AA$941,2,FALSE)</f>
        <v>Lavaloza WYN 750 ml</v>
      </c>
      <c r="AK227" s="14">
        <f>VLOOKUP(E227,Precios!Z$2:BB$941,3,FALSE)*F227</f>
        <v>-1</v>
      </c>
      <c r="AL227" s="17"/>
      <c r="AM227" s="17"/>
      <c r="AN227" s="17"/>
      <c r="AO227" s="17"/>
      <c r="AP227" s="17"/>
      <c r="AQ227" s="17"/>
      <c r="AR227" s="17"/>
      <c r="AS227" s="17"/>
      <c r="AT227" s="17"/>
      <c r="AU227" s="17"/>
      <c r="AV227" s="17"/>
    </row>
    <row r="228" spans="1:48" ht="15.75" customHeight="1">
      <c r="A228" s="21" t="s">
        <v>47</v>
      </c>
      <c r="B228" s="23" t="s">
        <v>1692</v>
      </c>
      <c r="C228" s="22">
        <v>45905</v>
      </c>
      <c r="D228" s="23" t="s">
        <v>199</v>
      </c>
      <c r="E228" s="23" t="s">
        <v>202</v>
      </c>
      <c r="F228" s="21">
        <v>1</v>
      </c>
      <c r="G228" s="12">
        <f>VLOOKUP(E228,Precios!B$2:N$941,12,FALSE)</f>
        <v>1500.2338716794634</v>
      </c>
      <c r="H228" s="12">
        <f t="shared" si="0"/>
        <v>1500.2338716794634</v>
      </c>
      <c r="I228" s="23" t="s">
        <v>52</v>
      </c>
      <c r="J228" s="13" t="s">
        <v>38</v>
      </c>
      <c r="K228" s="24" t="s">
        <v>86</v>
      </c>
      <c r="L228" s="24">
        <v>109</v>
      </c>
      <c r="M228" s="12">
        <f t="shared" ref="M228:N228" si="233">G228/1.19</f>
        <v>1260.7007325037507</v>
      </c>
      <c r="N228" s="12">
        <f t="shared" si="233"/>
        <v>1260.7007325037507</v>
      </c>
      <c r="O228" s="12">
        <f t="shared" si="2"/>
        <v>239.53313917571268</v>
      </c>
      <c r="P228" s="13"/>
      <c r="Q228" s="14">
        <f t="shared" si="3"/>
        <v>2025</v>
      </c>
      <c r="R228" s="15">
        <f>VLOOKUP(MONTH(C228),'Datos Maestros'!M$2:N$14,2,FALSE)</f>
        <v>45536</v>
      </c>
      <c r="S228" s="11" t="str">
        <f>VLOOKUP(E228,Precios!B$2:W$941,3,FALSE)</f>
        <v>Cloro Gel</v>
      </c>
      <c r="T228" s="16">
        <f>VLOOKUP(E228,Precios!B$2:N$941,4,FALSE)*F228</f>
        <v>0</v>
      </c>
      <c r="U228" s="17"/>
      <c r="V228" s="12">
        <f>VLOOKUP(E228,Precios!B$2:N$941,13,FALSE)*F228</f>
        <v>546.45073250375071</v>
      </c>
      <c r="W228" s="12">
        <f t="shared" si="4"/>
        <v>546.45073250375071</v>
      </c>
      <c r="X228" s="12">
        <f>VLOOKUP(B228,'Datos Maestros'!$C$2:$D$7,2,FALSE)*V228</f>
        <v>0</v>
      </c>
      <c r="Y228" s="18">
        <f t="shared" si="5"/>
        <v>45901</v>
      </c>
      <c r="Z228" s="13" t="s">
        <v>39</v>
      </c>
      <c r="AA228" s="19" t="str">
        <f>VLOOKUP(D228,Clientes!$A$2:$J$486,9,FALSE)</f>
        <v>Ocacional</v>
      </c>
      <c r="AB228" s="13" t="str">
        <f>VLOOKUP(D228,Clientes!$A$2:$K$486,11,FALSE)</f>
        <v>Empresa</v>
      </c>
      <c r="AC228" s="13" t="str">
        <f>VLOOKUP(D228,Clientes!$A$2:$B$486,2,FALSE)</f>
        <v>Las Condes</v>
      </c>
      <c r="AD228" s="20"/>
      <c r="AE228" s="20"/>
      <c r="AF228" s="13" t="s">
        <v>40</v>
      </c>
      <c r="AG228" s="15">
        <f t="shared" si="6"/>
        <v>45536</v>
      </c>
      <c r="AH228" s="13" t="s">
        <v>41</v>
      </c>
      <c r="AI228" s="13" t="str">
        <f t="shared" si="7"/>
        <v>Articulos de Aseo</v>
      </c>
      <c r="AJ228" s="13" t="str">
        <f>VLOOKUP(E228,Precios!Z$2:AA$941,2,FALSE)</f>
        <v>Cloro GEL EXCELL 900ml</v>
      </c>
      <c r="AK228" s="14">
        <f>VLOOKUP(E228,Precios!Z$2:BB$941,3,FALSE)*F228</f>
        <v>-1</v>
      </c>
      <c r="AL228" s="17"/>
      <c r="AM228" s="17"/>
      <c r="AN228" s="17"/>
      <c r="AO228" s="17"/>
      <c r="AP228" s="17"/>
      <c r="AQ228" s="17"/>
      <c r="AR228" s="17"/>
      <c r="AS228" s="17"/>
      <c r="AT228" s="17"/>
      <c r="AU228" s="17"/>
      <c r="AV228" s="17"/>
    </row>
    <row r="229" spans="1:48" ht="15.75" customHeight="1">
      <c r="A229" s="21" t="s">
        <v>53</v>
      </c>
      <c r="B229" s="23" t="s">
        <v>1692</v>
      </c>
      <c r="C229" s="22">
        <v>45905</v>
      </c>
      <c r="D229" s="23" t="s">
        <v>199</v>
      </c>
      <c r="E229" s="23" t="s">
        <v>203</v>
      </c>
      <c r="F229" s="21">
        <v>1</v>
      </c>
      <c r="G229" s="12">
        <f>VLOOKUP(E229,Precios!B$2:N$941,12,FALSE)</f>
        <v>10000.35681042507</v>
      </c>
      <c r="H229" s="12">
        <f t="shared" si="0"/>
        <v>10000.35681042507</v>
      </c>
      <c r="I229" s="23" t="s">
        <v>52</v>
      </c>
      <c r="J229" s="13" t="s">
        <v>38</v>
      </c>
      <c r="K229" s="24" t="s">
        <v>86</v>
      </c>
      <c r="L229" s="24">
        <v>109</v>
      </c>
      <c r="M229" s="12">
        <f t="shared" ref="M229:N229" si="234">G229/1.19</f>
        <v>8403.6611852311507</v>
      </c>
      <c r="N229" s="12">
        <f t="shared" si="234"/>
        <v>8403.6611852311507</v>
      </c>
      <c r="O229" s="12">
        <f t="shared" si="2"/>
        <v>1596.6956251939191</v>
      </c>
      <c r="P229" s="13"/>
      <c r="Q229" s="14">
        <f t="shared" si="3"/>
        <v>2025</v>
      </c>
      <c r="R229" s="15">
        <f>VLOOKUP(MONTH(C229),'Datos Maestros'!M$2:N$14,2,FALSE)</f>
        <v>45536</v>
      </c>
      <c r="S229" s="11" t="str">
        <f>VLOOKUP(E229,Precios!B$2:W$941,3,FALSE)</f>
        <v>Papel Higiénico ELITE</v>
      </c>
      <c r="T229" s="16">
        <f>VLOOKUP(E229,Precios!B$2:N$941,4,FALSE)*F229</f>
        <v>0</v>
      </c>
      <c r="U229" s="17"/>
      <c r="V229" s="12">
        <f>VLOOKUP(E229,Precios!B$2:N$941,13,FALSE)*F229</f>
        <v>2986.6611852311507</v>
      </c>
      <c r="W229" s="12">
        <f t="shared" si="4"/>
        <v>2986.6611852311507</v>
      </c>
      <c r="X229" s="12">
        <f>VLOOKUP(B229,'Datos Maestros'!$C$2:$D$7,2,FALSE)*V229</f>
        <v>0</v>
      </c>
      <c r="Y229" s="18">
        <f t="shared" si="5"/>
        <v>45901</v>
      </c>
      <c r="Z229" s="13" t="s">
        <v>39</v>
      </c>
      <c r="AA229" s="19" t="str">
        <f>VLOOKUP(D229,Clientes!$A$2:$J$486,9,FALSE)</f>
        <v>Ocacional</v>
      </c>
      <c r="AB229" s="13" t="str">
        <f>VLOOKUP(D229,Clientes!$A$2:$K$486,11,FALSE)</f>
        <v>Empresa</v>
      </c>
      <c r="AC229" s="13" t="str">
        <f>VLOOKUP(D229,Clientes!$A$2:$B$486,2,FALSE)</f>
        <v>Las Condes</v>
      </c>
      <c r="AD229" s="20"/>
      <c r="AE229" s="20"/>
      <c r="AF229" s="13" t="s">
        <v>40</v>
      </c>
      <c r="AG229" s="15">
        <f t="shared" si="6"/>
        <v>45536</v>
      </c>
      <c r="AH229" s="13" t="s">
        <v>41</v>
      </c>
      <c r="AI229" s="13" t="str">
        <f t="shared" si="7"/>
        <v>Papeleria</v>
      </c>
      <c r="AJ229" s="13" t="str">
        <f>VLOOKUP(E229,Precios!Z$2:AA$941,2,FALSE)</f>
        <v>Papel Higienico ELITE 50 metros</v>
      </c>
      <c r="AK229" s="14">
        <f>VLOOKUP(E229,Precios!Z$2:BB$941,3,FALSE)*F229</f>
        <v>-3</v>
      </c>
      <c r="AL229" s="17"/>
      <c r="AM229" s="17"/>
      <c r="AN229" s="17"/>
      <c r="AO229" s="17"/>
      <c r="AP229" s="17"/>
      <c r="AQ229" s="17"/>
      <c r="AR229" s="17"/>
      <c r="AS229" s="17"/>
      <c r="AT229" s="17"/>
      <c r="AU229" s="17"/>
      <c r="AV229" s="17"/>
    </row>
    <row r="230" spans="1:48" ht="15.75" customHeight="1">
      <c r="A230" s="21" t="s">
        <v>53</v>
      </c>
      <c r="B230" s="23" t="s">
        <v>1692</v>
      </c>
      <c r="C230" s="22">
        <v>45905</v>
      </c>
      <c r="D230" s="23" t="s">
        <v>199</v>
      </c>
      <c r="E230" s="23" t="s">
        <v>150</v>
      </c>
      <c r="F230" s="21">
        <v>1</v>
      </c>
      <c r="G230" s="12">
        <f>VLOOKUP(E230,Precios!B$2:N$941,12,FALSE)</f>
        <v>1799.8965445892823</v>
      </c>
      <c r="H230" s="12">
        <f t="shared" si="0"/>
        <v>1799.8965445892823</v>
      </c>
      <c r="I230" s="23" t="s">
        <v>52</v>
      </c>
      <c r="J230" s="13" t="s">
        <v>38</v>
      </c>
      <c r="K230" s="24" t="s">
        <v>86</v>
      </c>
      <c r="L230" s="24">
        <v>109</v>
      </c>
      <c r="M230" s="12">
        <f t="shared" ref="M230:N230" si="235">G230/1.19</f>
        <v>1512.518104696876</v>
      </c>
      <c r="N230" s="12">
        <f t="shared" si="235"/>
        <v>1512.518104696876</v>
      </c>
      <c r="O230" s="12">
        <f t="shared" si="2"/>
        <v>287.37843989240628</v>
      </c>
      <c r="P230" s="13"/>
      <c r="Q230" s="14">
        <f t="shared" si="3"/>
        <v>2025</v>
      </c>
      <c r="R230" s="15">
        <f>VLOOKUP(MONTH(C230),'Datos Maestros'!M$2:N$14,2,FALSE)</f>
        <v>45536</v>
      </c>
      <c r="S230" s="11" t="str">
        <f>VLOOKUP(E230,Precios!B$2:W$941,3,FALSE)</f>
        <v>Servilletas</v>
      </c>
      <c r="T230" s="16">
        <f>VLOOKUP(E230,Precios!B$2:N$941,4,FALSE)*F230</f>
        <v>300</v>
      </c>
      <c r="U230" s="17"/>
      <c r="V230" s="12">
        <f>VLOOKUP(E230,Precios!B$2:N$941,13,FALSE)*F230</f>
        <v>781.51810469687575</v>
      </c>
      <c r="W230" s="12">
        <f t="shared" si="4"/>
        <v>781.51810469687575</v>
      </c>
      <c r="X230" s="12">
        <f>VLOOKUP(B230,'Datos Maestros'!$C$2:$D$7,2,FALSE)*V230</f>
        <v>0</v>
      </c>
      <c r="Y230" s="18">
        <f t="shared" si="5"/>
        <v>45901</v>
      </c>
      <c r="Z230" s="13" t="s">
        <v>39</v>
      </c>
      <c r="AA230" s="19" t="str">
        <f>VLOOKUP(D230,Clientes!$A$2:$J$486,9,FALSE)</f>
        <v>Ocacional</v>
      </c>
      <c r="AB230" s="13" t="str">
        <f>VLOOKUP(D230,Clientes!$A$2:$K$486,11,FALSE)</f>
        <v>Empresa</v>
      </c>
      <c r="AC230" s="13" t="str">
        <f>VLOOKUP(D230,Clientes!$A$2:$B$486,2,FALSE)</f>
        <v>Las Condes</v>
      </c>
      <c r="AD230" s="20"/>
      <c r="AE230" s="20"/>
      <c r="AF230" s="13" t="s">
        <v>40</v>
      </c>
      <c r="AG230" s="15">
        <f t="shared" si="6"/>
        <v>45536</v>
      </c>
      <c r="AH230" s="13" t="s">
        <v>41</v>
      </c>
      <c r="AI230" s="13" t="str">
        <f t="shared" si="7"/>
        <v>Papeleria</v>
      </c>
      <c r="AJ230" s="13" t="str">
        <f>VLOOKUP(E230,Precios!Z$2:AA$941,2,FALSE)</f>
        <v>Servilletas SOFTQUALITY 300 unidades</v>
      </c>
      <c r="AK230" s="14">
        <f>VLOOKUP(E230,Precios!Z$2:BB$941,3,FALSE)*F230</f>
        <v>-1</v>
      </c>
      <c r="AL230" s="17"/>
      <c r="AM230" s="17"/>
      <c r="AN230" s="17"/>
      <c r="AO230" s="17"/>
      <c r="AP230" s="17"/>
      <c r="AQ230" s="17"/>
      <c r="AR230" s="17"/>
      <c r="AS230" s="17"/>
      <c r="AT230" s="17"/>
      <c r="AU230" s="17"/>
      <c r="AV230" s="17"/>
    </row>
    <row r="231" spans="1:48" ht="15.75" customHeight="1">
      <c r="A231" s="21" t="s">
        <v>47</v>
      </c>
      <c r="B231" s="23" t="s">
        <v>1692</v>
      </c>
      <c r="C231" s="22">
        <v>45905</v>
      </c>
      <c r="D231" s="23" t="s">
        <v>199</v>
      </c>
      <c r="E231" s="23" t="s">
        <v>204</v>
      </c>
      <c r="F231" s="21">
        <v>1</v>
      </c>
      <c r="G231" s="12">
        <f>VLOOKUP(E231,Precios!B$2:N$941,12,FALSE)</f>
        <v>1199.9357739242132</v>
      </c>
      <c r="H231" s="12">
        <f t="shared" si="0"/>
        <v>1199.9357739242132</v>
      </c>
      <c r="I231" s="23" t="s">
        <v>52</v>
      </c>
      <c r="J231" s="13" t="s">
        <v>38</v>
      </c>
      <c r="K231" s="24" t="s">
        <v>86</v>
      </c>
      <c r="L231" s="24">
        <v>109</v>
      </c>
      <c r="M231" s="12">
        <f t="shared" ref="M231:N231" si="236">G231/1.19</f>
        <v>1008.3493898522801</v>
      </c>
      <c r="N231" s="12">
        <f t="shared" si="236"/>
        <v>1008.3493898522801</v>
      </c>
      <c r="O231" s="12">
        <f t="shared" si="2"/>
        <v>191.58638407193314</v>
      </c>
      <c r="P231" s="13"/>
      <c r="Q231" s="14">
        <f t="shared" si="3"/>
        <v>2025</v>
      </c>
      <c r="R231" s="15">
        <f>VLOOKUP(MONTH(C231),'Datos Maestros'!M$2:N$14,2,FALSE)</f>
        <v>45536</v>
      </c>
      <c r="S231" s="11" t="str">
        <f>VLOOKUP(E231,Precios!B$2:W$941,3,FALSE)</f>
        <v>Trapero Algodon</v>
      </c>
      <c r="T231" s="16">
        <f>VLOOKUP(E231,Precios!B$2:N$941,4,FALSE)*F231</f>
        <v>0</v>
      </c>
      <c r="U231" s="17"/>
      <c r="V231" s="12">
        <f>VLOOKUP(E231,Precios!B$2:N$941,13,FALSE)*F231</f>
        <v>537.34938985228007</v>
      </c>
      <c r="W231" s="12">
        <f t="shared" si="4"/>
        <v>537.34938985228007</v>
      </c>
      <c r="X231" s="12">
        <f>VLOOKUP(B231,'Datos Maestros'!$C$2:$D$7,2,FALSE)*V231</f>
        <v>0</v>
      </c>
      <c r="Y231" s="18">
        <f t="shared" si="5"/>
        <v>45901</v>
      </c>
      <c r="Z231" s="13" t="s">
        <v>39</v>
      </c>
      <c r="AA231" s="19" t="str">
        <f>VLOOKUP(D231,Clientes!$A$2:$J$486,9,FALSE)</f>
        <v>Ocacional</v>
      </c>
      <c r="AB231" s="13" t="str">
        <f>VLOOKUP(D231,Clientes!$A$2:$K$486,11,FALSE)</f>
        <v>Empresa</v>
      </c>
      <c r="AC231" s="13" t="str">
        <f>VLOOKUP(D231,Clientes!$A$2:$B$486,2,FALSE)</f>
        <v>Las Condes</v>
      </c>
      <c r="AD231" s="20"/>
      <c r="AE231" s="20"/>
      <c r="AF231" s="13" t="s">
        <v>40</v>
      </c>
      <c r="AG231" s="15">
        <f t="shared" si="6"/>
        <v>45536</v>
      </c>
      <c r="AH231" s="13" t="s">
        <v>41</v>
      </c>
      <c r="AI231" s="13" t="str">
        <f t="shared" si="7"/>
        <v>Articulos de Aseo</v>
      </c>
      <c r="AJ231" s="13" t="str">
        <f>VLOOKUP(E231,Precios!Z$2:AA$941,2,FALSE)</f>
        <v>Trapero Algodón TEDDY</v>
      </c>
      <c r="AK231" s="14">
        <f>VLOOKUP(E231,Precios!Z$2:BB$941,3,FALSE)*F231</f>
        <v>-1</v>
      </c>
      <c r="AL231" s="17"/>
      <c r="AM231" s="17"/>
      <c r="AN231" s="17"/>
      <c r="AO231" s="17"/>
      <c r="AP231" s="17"/>
      <c r="AQ231" s="17"/>
      <c r="AR231" s="17"/>
      <c r="AS231" s="17"/>
      <c r="AT231" s="17"/>
      <c r="AU231" s="17"/>
      <c r="AV231" s="17"/>
    </row>
    <row r="232" spans="1:48" ht="15.75" customHeight="1">
      <c r="A232" s="21" t="s">
        <v>47</v>
      </c>
      <c r="B232" s="23" t="s">
        <v>1692</v>
      </c>
      <c r="C232" s="22">
        <v>45905</v>
      </c>
      <c r="D232" s="23" t="s">
        <v>199</v>
      </c>
      <c r="E232" s="23" t="s">
        <v>205</v>
      </c>
      <c r="F232" s="21">
        <v>1</v>
      </c>
      <c r="G232" s="12">
        <f>VLOOKUP(E232,Precios!B$2:N$941,12,FALSE)</f>
        <v>1100.0468055230517</v>
      </c>
      <c r="H232" s="12">
        <f t="shared" si="0"/>
        <v>1100.0468055230517</v>
      </c>
      <c r="I232" s="23" t="s">
        <v>52</v>
      </c>
      <c r="J232" s="13" t="s">
        <v>38</v>
      </c>
      <c r="K232" s="24" t="s">
        <v>86</v>
      </c>
      <c r="L232" s="24">
        <v>109</v>
      </c>
      <c r="M232" s="12">
        <f t="shared" ref="M232:N232" si="237">G232/1.19</f>
        <v>924.40908027147202</v>
      </c>
      <c r="N232" s="12">
        <f t="shared" si="237"/>
        <v>924.40908027147202</v>
      </c>
      <c r="O232" s="12">
        <f t="shared" si="2"/>
        <v>175.6377252515797</v>
      </c>
      <c r="P232" s="13"/>
      <c r="Q232" s="14">
        <f t="shared" si="3"/>
        <v>2025</v>
      </c>
      <c r="R232" s="15">
        <f>VLOOKUP(MONTH(C232),'Datos Maestros'!M$2:N$14,2,FALSE)</f>
        <v>45536</v>
      </c>
      <c r="S232" s="11" t="str">
        <f>VLOOKUP(E232,Precios!B$2:W$941,3,FALSE)</f>
        <v>Paños MultiUso</v>
      </c>
      <c r="T232" s="16">
        <f>VLOOKUP(E232,Precios!B$2:N$941,4,FALSE)*F232</f>
        <v>0</v>
      </c>
      <c r="U232" s="17"/>
      <c r="V232" s="12">
        <f>VLOOKUP(E232,Precios!B$2:N$941,13,FALSE)*F232</f>
        <v>529.40908027147202</v>
      </c>
      <c r="W232" s="12">
        <f t="shared" si="4"/>
        <v>529.40908027147202</v>
      </c>
      <c r="X232" s="12">
        <f>VLOOKUP(B232,'Datos Maestros'!$C$2:$D$7,2,FALSE)*V232</f>
        <v>0</v>
      </c>
      <c r="Y232" s="18">
        <f t="shared" si="5"/>
        <v>45901</v>
      </c>
      <c r="Z232" s="13" t="s">
        <v>39</v>
      </c>
      <c r="AA232" s="19" t="str">
        <f>VLOOKUP(D232,Clientes!$A$2:$J$486,9,FALSE)</f>
        <v>Ocacional</v>
      </c>
      <c r="AB232" s="13" t="str">
        <f>VLOOKUP(D232,Clientes!$A$2:$K$486,11,FALSE)</f>
        <v>Empresa</v>
      </c>
      <c r="AC232" s="13" t="str">
        <f>VLOOKUP(D232,Clientes!$A$2:$B$486,2,FALSE)</f>
        <v>Las Condes</v>
      </c>
      <c r="AD232" s="20"/>
      <c r="AE232" s="20"/>
      <c r="AF232" s="13" t="s">
        <v>40</v>
      </c>
      <c r="AG232" s="15">
        <f t="shared" si="6"/>
        <v>45536</v>
      </c>
      <c r="AH232" s="13" t="s">
        <v>41</v>
      </c>
      <c r="AI232" s="13" t="str">
        <f t="shared" si="7"/>
        <v>Articulos de Aseo</v>
      </c>
      <c r="AJ232" s="13" t="str">
        <f>VLOOKUP(E232,Precios!Z$2:AA$941,2,FALSE)</f>
        <v>Paño Multiuso</v>
      </c>
      <c r="AK232" s="14">
        <f>VLOOKUP(E232,Precios!Z$2:BB$941,3,FALSE)*F232</f>
        <v>-1</v>
      </c>
      <c r="AL232" s="17"/>
      <c r="AM232" s="17"/>
      <c r="AN232" s="17"/>
      <c r="AO232" s="17"/>
      <c r="AP232" s="17"/>
      <c r="AQ232" s="17"/>
      <c r="AR232" s="17"/>
      <c r="AS232" s="17"/>
      <c r="AT232" s="17"/>
      <c r="AU232" s="17"/>
      <c r="AV232" s="17"/>
    </row>
    <row r="233" spans="1:48" ht="15.75" customHeight="1">
      <c r="A233" s="21" t="s">
        <v>47</v>
      </c>
      <c r="B233" s="23" t="s">
        <v>1692</v>
      </c>
      <c r="C233" s="22">
        <v>45905</v>
      </c>
      <c r="D233" s="23" t="s">
        <v>199</v>
      </c>
      <c r="E233" s="23" t="s">
        <v>89</v>
      </c>
      <c r="F233" s="21">
        <v>1</v>
      </c>
      <c r="G233" s="12">
        <f>VLOOKUP(E233,Precios!B$2:N$941,12,FALSE)</f>
        <v>1500.3973988439307</v>
      </c>
      <c r="H233" s="12">
        <f t="shared" si="0"/>
        <v>1500.3973988439307</v>
      </c>
      <c r="I233" s="23" t="s">
        <v>52</v>
      </c>
      <c r="J233" s="13" t="s">
        <v>38</v>
      </c>
      <c r="K233" s="24" t="s">
        <v>86</v>
      </c>
      <c r="L233" s="24">
        <v>109</v>
      </c>
      <c r="M233" s="12">
        <f t="shared" ref="M233:N233" si="238">G233/1.19</f>
        <v>1260.8381502890174</v>
      </c>
      <c r="N233" s="12">
        <f t="shared" si="238"/>
        <v>1260.8381502890174</v>
      </c>
      <c r="O233" s="12">
        <f t="shared" si="2"/>
        <v>239.55924855491321</v>
      </c>
      <c r="P233" s="13"/>
      <c r="Q233" s="14">
        <f t="shared" si="3"/>
        <v>2025</v>
      </c>
      <c r="R233" s="15">
        <f>VLOOKUP(MONTH(C233),'Datos Maestros'!M$2:N$14,2,FALSE)</f>
        <v>45536</v>
      </c>
      <c r="S233" s="11" t="str">
        <f>VLOOKUP(E233,Precios!B$2:W$941,3,FALSE)</f>
        <v>WC</v>
      </c>
      <c r="T233" s="16">
        <f>VLOOKUP(E233,Precios!B$2:N$941,4,FALSE)*F233</f>
        <v>0</v>
      </c>
      <c r="U233" s="17"/>
      <c r="V233" s="12">
        <f>VLOOKUP(E233,Precios!B$2:N$941,13,FALSE)*F233</f>
        <v>562.83815028901745</v>
      </c>
      <c r="W233" s="12">
        <f t="shared" si="4"/>
        <v>562.83815028901745</v>
      </c>
      <c r="X233" s="12">
        <f>VLOOKUP(B233,'Datos Maestros'!$C$2:$D$7,2,FALSE)*V233</f>
        <v>0</v>
      </c>
      <c r="Y233" s="18">
        <f t="shared" si="5"/>
        <v>45901</v>
      </c>
      <c r="Z233" s="13" t="s">
        <v>39</v>
      </c>
      <c r="AA233" s="19" t="str">
        <f>VLOOKUP(D233,Clientes!$A$2:$J$486,9,FALSE)</f>
        <v>Ocacional</v>
      </c>
      <c r="AB233" s="13" t="str">
        <f>VLOOKUP(D233,Clientes!$A$2:$K$486,11,FALSE)</f>
        <v>Empresa</v>
      </c>
      <c r="AC233" s="13" t="str">
        <f>VLOOKUP(D233,Clientes!$A$2:$B$486,2,FALSE)</f>
        <v>Las Condes</v>
      </c>
      <c r="AD233" s="20"/>
      <c r="AE233" s="20"/>
      <c r="AF233" s="13" t="s">
        <v>40</v>
      </c>
      <c r="AG233" s="15">
        <f t="shared" si="6"/>
        <v>45536</v>
      </c>
      <c r="AH233" s="13" t="s">
        <v>41</v>
      </c>
      <c r="AI233" s="13" t="str">
        <f t="shared" si="7"/>
        <v>Articulos de Aseo</v>
      </c>
      <c r="AJ233" s="13" t="str">
        <f>VLOOKUP(E233,Precios!Z$2:AA$941,2,FALSE)</f>
        <v>Pastilla para estanque WC</v>
      </c>
      <c r="AK233" s="14">
        <f>VLOOKUP(E233,Precios!Z$2:BB$941,3,FALSE)*F233</f>
        <v>-1</v>
      </c>
      <c r="AL233" s="17"/>
      <c r="AM233" s="17"/>
      <c r="AN233" s="17"/>
      <c r="AO233" s="17"/>
      <c r="AP233" s="17"/>
      <c r="AQ233" s="17"/>
      <c r="AR233" s="17"/>
      <c r="AS233" s="17"/>
      <c r="AT233" s="17"/>
      <c r="AU233" s="17"/>
      <c r="AV233" s="17"/>
    </row>
    <row r="234" spans="1:48" ht="15.75" customHeight="1">
      <c r="A234" s="21" t="s">
        <v>47</v>
      </c>
      <c r="B234" s="23" t="s">
        <v>1692</v>
      </c>
      <c r="C234" s="22">
        <v>45905</v>
      </c>
      <c r="D234" s="23" t="s">
        <v>199</v>
      </c>
      <c r="E234" s="23" t="s">
        <v>206</v>
      </c>
      <c r="F234" s="21">
        <v>1</v>
      </c>
      <c r="G234" s="12">
        <f>VLOOKUP(E234,Precios!B$2:N$941,12,FALSE)</f>
        <v>2499.9842105263156</v>
      </c>
      <c r="H234" s="12">
        <f t="shared" si="0"/>
        <v>2499.9842105263156</v>
      </c>
      <c r="I234" s="23" t="s">
        <v>52</v>
      </c>
      <c r="J234" s="13" t="s">
        <v>38</v>
      </c>
      <c r="K234" s="24" t="s">
        <v>86</v>
      </c>
      <c r="L234" s="24">
        <v>109</v>
      </c>
      <c r="M234" s="12">
        <f t="shared" ref="M234:N234" si="239">G234/1.19</f>
        <v>2100.8270676691727</v>
      </c>
      <c r="N234" s="12">
        <f t="shared" si="239"/>
        <v>2100.8270676691727</v>
      </c>
      <c r="O234" s="12">
        <f t="shared" si="2"/>
        <v>399.15714285714284</v>
      </c>
      <c r="P234" s="13"/>
      <c r="Q234" s="14">
        <f t="shared" si="3"/>
        <v>2025</v>
      </c>
      <c r="R234" s="15">
        <f>VLOOKUP(MONTH(C234),'Datos Maestros'!M$2:N$14,2,FALSE)</f>
        <v>45536</v>
      </c>
      <c r="S234" s="11" t="str">
        <f>VLOOKUP(E234,Precios!B$2:W$941,3,FALSE)</f>
        <v>Paños Cocina</v>
      </c>
      <c r="T234" s="16">
        <f>VLOOKUP(E234,Precios!B$2:N$941,4,FALSE)*F234</f>
        <v>0</v>
      </c>
      <c r="U234" s="17"/>
      <c r="V234" s="12">
        <f>VLOOKUP(E234,Precios!B$2:N$941,13,FALSE)*F234</f>
        <v>1430.2430676691729</v>
      </c>
      <c r="W234" s="12">
        <f t="shared" si="4"/>
        <v>1430.2430676691729</v>
      </c>
      <c r="X234" s="12">
        <f>VLOOKUP(B234,'Datos Maestros'!$C$2:$D$7,2,FALSE)*V234</f>
        <v>0</v>
      </c>
      <c r="Y234" s="18">
        <f t="shared" si="5"/>
        <v>45901</v>
      </c>
      <c r="Z234" s="13" t="s">
        <v>39</v>
      </c>
      <c r="AA234" s="19" t="str">
        <f>VLOOKUP(D234,Clientes!$A$2:$J$486,9,FALSE)</f>
        <v>Ocacional</v>
      </c>
      <c r="AB234" s="13" t="str">
        <f>VLOOKUP(D234,Clientes!$A$2:$K$486,11,FALSE)</f>
        <v>Empresa</v>
      </c>
      <c r="AC234" s="13" t="str">
        <f>VLOOKUP(D234,Clientes!$A$2:$B$486,2,FALSE)</f>
        <v>Las Condes</v>
      </c>
      <c r="AD234" s="20"/>
      <c r="AE234" s="20"/>
      <c r="AF234" s="13" t="s">
        <v>40</v>
      </c>
      <c r="AG234" s="15">
        <f t="shared" si="6"/>
        <v>45536</v>
      </c>
      <c r="AH234" s="13" t="s">
        <v>41</v>
      </c>
      <c r="AI234" s="13" t="str">
        <f t="shared" si="7"/>
        <v>Articulos de Aseo</v>
      </c>
      <c r="AJ234" s="13" t="str">
        <f>VLOOKUP(E234,Precios!Z$2:AA$941,2,FALSE)</f>
        <v>Paños Cocina Teddy</v>
      </c>
      <c r="AK234" s="14">
        <f>VLOOKUP(E234,Precios!Z$2:BB$941,3,FALSE)*F234</f>
        <v>-3</v>
      </c>
      <c r="AL234" s="17"/>
      <c r="AM234" s="17"/>
      <c r="AN234" s="17"/>
      <c r="AO234" s="17"/>
      <c r="AP234" s="17"/>
      <c r="AQ234" s="17"/>
      <c r="AR234" s="17"/>
      <c r="AS234" s="17"/>
      <c r="AT234" s="17"/>
      <c r="AU234" s="17"/>
      <c r="AV234" s="17"/>
    </row>
    <row r="235" spans="1:48" ht="15.75" customHeight="1">
      <c r="A235" s="21" t="s">
        <v>47</v>
      </c>
      <c r="B235" s="23" t="s">
        <v>1692</v>
      </c>
      <c r="C235" s="22">
        <v>45905</v>
      </c>
      <c r="D235" s="23" t="s">
        <v>199</v>
      </c>
      <c r="E235" s="23" t="s">
        <v>207</v>
      </c>
      <c r="F235" s="21">
        <v>1</v>
      </c>
      <c r="G235" s="12">
        <f>VLOOKUP(E235,Precios!B$2:N$941,12,FALSE)</f>
        <v>700.14542079207922</v>
      </c>
      <c r="H235" s="12">
        <f t="shared" si="0"/>
        <v>700.14542079207922</v>
      </c>
      <c r="I235" s="23" t="s">
        <v>52</v>
      </c>
      <c r="J235" s="13" t="s">
        <v>38</v>
      </c>
      <c r="K235" s="24" t="s">
        <v>86</v>
      </c>
      <c r="L235" s="24">
        <v>109</v>
      </c>
      <c r="M235" s="12">
        <f t="shared" ref="M235:N235" si="240">G235/1.19</f>
        <v>588.35749646393219</v>
      </c>
      <c r="N235" s="12">
        <f t="shared" si="240"/>
        <v>588.35749646393219</v>
      </c>
      <c r="O235" s="12">
        <f t="shared" si="2"/>
        <v>111.78792432814703</v>
      </c>
      <c r="P235" s="13"/>
      <c r="Q235" s="14">
        <f t="shared" si="3"/>
        <v>2025</v>
      </c>
      <c r="R235" s="15">
        <f>VLOOKUP(MONTH(C235),'Datos Maestros'!M$2:N$14,2,FALSE)</f>
        <v>45536</v>
      </c>
      <c r="S235" s="11" t="str">
        <f>VLOOKUP(E235,Precios!B$2:W$941,3,FALSE)</f>
        <v>Guantes LATEX</v>
      </c>
      <c r="T235" s="16">
        <f>VLOOKUP(E235,Precios!B$2:N$941,4,FALSE)*F235</f>
        <v>0</v>
      </c>
      <c r="U235" s="17"/>
      <c r="V235" s="12">
        <f>VLOOKUP(E235,Precios!B$2:N$941,13,FALSE)*F235</f>
        <v>255.5824964639321</v>
      </c>
      <c r="W235" s="12">
        <f t="shared" si="4"/>
        <v>255.5824964639321</v>
      </c>
      <c r="X235" s="12">
        <f>VLOOKUP(B235,'Datos Maestros'!$C$2:$D$7,2,FALSE)*V235</f>
        <v>0</v>
      </c>
      <c r="Y235" s="18">
        <f t="shared" si="5"/>
        <v>45901</v>
      </c>
      <c r="Z235" s="13" t="s">
        <v>39</v>
      </c>
      <c r="AA235" s="19" t="str">
        <f>VLOOKUP(D235,Clientes!$A$2:$J$486,9,FALSE)</f>
        <v>Ocacional</v>
      </c>
      <c r="AB235" s="13" t="str">
        <f>VLOOKUP(D235,Clientes!$A$2:$K$486,11,FALSE)</f>
        <v>Empresa</v>
      </c>
      <c r="AC235" s="13" t="str">
        <f>VLOOKUP(D235,Clientes!$A$2:$B$486,2,FALSE)</f>
        <v>Las Condes</v>
      </c>
      <c r="AD235" s="20"/>
      <c r="AE235" s="20"/>
      <c r="AF235" s="13" t="s">
        <v>40</v>
      </c>
      <c r="AG235" s="15">
        <f t="shared" si="6"/>
        <v>45536</v>
      </c>
      <c r="AH235" s="13" t="s">
        <v>41</v>
      </c>
      <c r="AI235" s="13" t="str">
        <f t="shared" si="7"/>
        <v>Articulos de Aseo</v>
      </c>
      <c r="AJ235" s="13" t="str">
        <f>VLOOKUP(E235,Precios!Z$2:AA$941,2,FALSE)</f>
        <v>Guantes de Latex Talla M</v>
      </c>
      <c r="AK235" s="14">
        <f>VLOOKUP(E235,Precios!Z$2:BB$941,3,FALSE)*F235</f>
        <v>-1</v>
      </c>
      <c r="AL235" s="17"/>
      <c r="AM235" s="17"/>
      <c r="AN235" s="17"/>
      <c r="AO235" s="17"/>
      <c r="AP235" s="17"/>
      <c r="AQ235" s="17"/>
      <c r="AR235" s="17"/>
      <c r="AS235" s="17"/>
      <c r="AT235" s="17"/>
      <c r="AU235" s="17"/>
      <c r="AV235" s="17"/>
    </row>
    <row r="236" spans="1:48" ht="15.75" customHeight="1">
      <c r="A236" s="21" t="s">
        <v>208</v>
      </c>
      <c r="B236" s="23" t="s">
        <v>1692</v>
      </c>
      <c r="C236" s="22">
        <v>45905</v>
      </c>
      <c r="D236" s="23" t="s">
        <v>199</v>
      </c>
      <c r="E236" s="23" t="s">
        <v>209</v>
      </c>
      <c r="F236" s="21">
        <v>1</v>
      </c>
      <c r="G236" s="12">
        <f>VLOOKUP(E236,Precios!B$2:N$941,12,FALSE)</f>
        <v>5000</v>
      </c>
      <c r="H236" s="12">
        <f t="shared" si="0"/>
        <v>5000</v>
      </c>
      <c r="I236" s="23" t="s">
        <v>52</v>
      </c>
      <c r="J236" s="13" t="s">
        <v>38</v>
      </c>
      <c r="K236" s="24" t="s">
        <v>86</v>
      </c>
      <c r="L236" s="24">
        <v>109</v>
      </c>
      <c r="M236" s="12">
        <f t="shared" ref="M236:N236" si="241">G236/1.19</f>
        <v>4201.680672268908</v>
      </c>
      <c r="N236" s="12">
        <f t="shared" si="241"/>
        <v>4201.680672268908</v>
      </c>
      <c r="O236" s="12">
        <f t="shared" si="2"/>
        <v>798.31932773109202</v>
      </c>
      <c r="P236" s="13"/>
      <c r="Q236" s="14">
        <f t="shared" si="3"/>
        <v>2025</v>
      </c>
      <c r="R236" s="15">
        <f>VLOOKUP(MONTH(C236),'Datos Maestros'!M$2:N$14,2,FALSE)</f>
        <v>45536</v>
      </c>
      <c r="S236" s="11" t="str">
        <f>VLOOKUP(E236,Precios!B$2:W$941,3,FALSE)</f>
        <v>Te</v>
      </c>
      <c r="T236" s="16">
        <f>VLOOKUP(E236,Precios!B$2:N$941,4,FALSE)*F236</f>
        <v>0</v>
      </c>
      <c r="U236" s="17"/>
      <c r="V236" s="12">
        <f>VLOOKUP(E236,Precios!B$2:N$941,13,FALSE)*F236</f>
        <v>8.4033613445380979</v>
      </c>
      <c r="W236" s="12">
        <f t="shared" si="4"/>
        <v>8.4033613445380979</v>
      </c>
      <c r="X236" s="12">
        <f>VLOOKUP(B236,'Datos Maestros'!$C$2:$D$7,2,FALSE)*V236</f>
        <v>0</v>
      </c>
      <c r="Y236" s="18">
        <f t="shared" si="5"/>
        <v>45901</v>
      </c>
      <c r="Z236" s="13" t="s">
        <v>39</v>
      </c>
      <c r="AA236" s="19" t="str">
        <f>VLOOKUP(D236,Clientes!$A$2:$J$486,9,FALSE)</f>
        <v>Ocacional</v>
      </c>
      <c r="AB236" s="13" t="str">
        <f>VLOOKUP(D236,Clientes!$A$2:$K$486,11,FALSE)</f>
        <v>Empresa</v>
      </c>
      <c r="AC236" s="13" t="str">
        <f>VLOOKUP(D236,Clientes!$A$2:$B$486,2,FALSE)</f>
        <v>Las Condes</v>
      </c>
      <c r="AD236" s="20"/>
      <c r="AE236" s="20"/>
      <c r="AF236" s="13" t="s">
        <v>40</v>
      </c>
      <c r="AG236" s="15">
        <f t="shared" si="6"/>
        <v>45536</v>
      </c>
      <c r="AH236" s="13" t="s">
        <v>41</v>
      </c>
      <c r="AI236" s="13" t="str">
        <f t="shared" si="7"/>
        <v>Abarrotes</v>
      </c>
      <c r="AJ236" s="13">
        <f>VLOOKUP(E236,Precios!Z$2:AA$941,2,FALSE)</f>
        <v>0</v>
      </c>
      <c r="AK236" s="14">
        <f>VLOOKUP(E236,Precios!Z$2:BB$941,3,FALSE)*F236</f>
        <v>-2</v>
      </c>
      <c r="AL236" s="17"/>
      <c r="AM236" s="17"/>
      <c r="AN236" s="17"/>
      <c r="AO236" s="17"/>
      <c r="AP236" s="17"/>
      <c r="AQ236" s="17"/>
      <c r="AR236" s="17"/>
      <c r="AS236" s="17"/>
      <c r="AT236" s="17"/>
      <c r="AU236" s="17"/>
      <c r="AV236" s="17"/>
    </row>
    <row r="237" spans="1:48" ht="15.75" customHeight="1">
      <c r="A237" s="21" t="s">
        <v>208</v>
      </c>
      <c r="B237" s="23" t="s">
        <v>1692</v>
      </c>
      <c r="C237" s="22">
        <v>45905</v>
      </c>
      <c r="D237" s="23" t="s">
        <v>199</v>
      </c>
      <c r="E237" s="23" t="s">
        <v>210</v>
      </c>
      <c r="F237" s="21">
        <v>1</v>
      </c>
      <c r="G237" s="12">
        <f>VLOOKUP(E237,Precios!B$2:N$941,12,FALSE)</f>
        <v>2300.3782844289954</v>
      </c>
      <c r="H237" s="12">
        <f t="shared" si="0"/>
        <v>2300.3782844289954</v>
      </c>
      <c r="I237" s="23" t="s">
        <v>52</v>
      </c>
      <c r="J237" s="13" t="s">
        <v>38</v>
      </c>
      <c r="K237" s="24" t="s">
        <v>86</v>
      </c>
      <c r="L237" s="24">
        <v>109</v>
      </c>
      <c r="M237" s="12">
        <f t="shared" ref="M237:N237" si="242">G237/1.19</f>
        <v>1933.0909953184837</v>
      </c>
      <c r="N237" s="12">
        <f t="shared" si="242"/>
        <v>1933.0909953184837</v>
      </c>
      <c r="O237" s="12">
        <f t="shared" si="2"/>
        <v>367.28728911051167</v>
      </c>
      <c r="P237" s="13"/>
      <c r="Q237" s="14">
        <f t="shared" si="3"/>
        <v>2025</v>
      </c>
      <c r="R237" s="15">
        <f>VLOOKUP(MONTH(C237),'Datos Maestros'!M$2:N$14,2,FALSE)</f>
        <v>45536</v>
      </c>
      <c r="S237" s="11" t="str">
        <f>VLOOKUP(E237,Precios!B$2:W$941,3,FALSE)</f>
        <v>Endulsante</v>
      </c>
      <c r="T237" s="16">
        <f>VLOOKUP(E237,Precios!B$2:N$941,4,FALSE)*F237</f>
        <v>0</v>
      </c>
      <c r="U237" s="17"/>
      <c r="V237" s="12">
        <f>VLOOKUP(E237,Precios!B$2:N$941,13,FALSE)*F237</f>
        <v>42.334692797474872</v>
      </c>
      <c r="W237" s="12">
        <f t="shared" si="4"/>
        <v>42.334692797474872</v>
      </c>
      <c r="X237" s="12">
        <f>VLOOKUP(B237,'Datos Maestros'!$C$2:$D$7,2,FALSE)*V237</f>
        <v>0</v>
      </c>
      <c r="Y237" s="18">
        <f t="shared" si="5"/>
        <v>45901</v>
      </c>
      <c r="Z237" s="13" t="s">
        <v>39</v>
      </c>
      <c r="AA237" s="19" t="str">
        <f>VLOOKUP(D237,Clientes!$A$2:$J$486,9,FALSE)</f>
        <v>Ocacional</v>
      </c>
      <c r="AB237" s="13" t="str">
        <f>VLOOKUP(D237,Clientes!$A$2:$K$486,11,FALSE)</f>
        <v>Empresa</v>
      </c>
      <c r="AC237" s="13" t="str">
        <f>VLOOKUP(D237,Clientes!$A$2:$B$486,2,FALSE)</f>
        <v>Las Condes</v>
      </c>
      <c r="AD237" s="20"/>
      <c r="AE237" s="20"/>
      <c r="AF237" s="13" t="s">
        <v>40</v>
      </c>
      <c r="AG237" s="15">
        <f t="shared" si="6"/>
        <v>45536</v>
      </c>
      <c r="AH237" s="13" t="s">
        <v>41</v>
      </c>
      <c r="AI237" s="13" t="str">
        <f t="shared" si="7"/>
        <v>Abarrotes</v>
      </c>
      <c r="AJ237" s="13">
        <f>VLOOKUP(E237,Precios!Z$2:AA$941,2,FALSE)</f>
        <v>0</v>
      </c>
      <c r="AK237" s="14">
        <f>VLOOKUP(E237,Precios!Z$2:BB$941,3,FALSE)*F237</f>
        <v>-2</v>
      </c>
      <c r="AL237" s="17"/>
      <c r="AM237" s="17"/>
      <c r="AN237" s="17"/>
      <c r="AO237" s="17"/>
      <c r="AP237" s="17"/>
      <c r="AQ237" s="17"/>
      <c r="AR237" s="17"/>
      <c r="AS237" s="17"/>
      <c r="AT237" s="17"/>
      <c r="AU237" s="17"/>
      <c r="AV237" s="17"/>
    </row>
    <row r="238" spans="1:48" ht="15.75" customHeight="1">
      <c r="A238" s="21" t="s">
        <v>208</v>
      </c>
      <c r="B238" s="23" t="s">
        <v>1692</v>
      </c>
      <c r="C238" s="22">
        <v>45905</v>
      </c>
      <c r="D238" s="23" t="s">
        <v>199</v>
      </c>
      <c r="E238" s="23" t="s">
        <v>2149</v>
      </c>
      <c r="F238" s="21">
        <v>1</v>
      </c>
      <c r="G238" s="12">
        <f>VLOOKUP(E238,Precios!B$2:N$941,12,FALSE)</f>
        <v>5000</v>
      </c>
      <c r="H238" s="12">
        <f t="shared" si="0"/>
        <v>5000</v>
      </c>
      <c r="I238" s="23" t="s">
        <v>52</v>
      </c>
      <c r="J238" s="13" t="s">
        <v>38</v>
      </c>
      <c r="K238" s="24" t="s">
        <v>86</v>
      </c>
      <c r="L238" s="24">
        <v>109</v>
      </c>
      <c r="M238" s="12">
        <f t="shared" ref="M238:N238" si="243">G238/1.19</f>
        <v>4201.680672268908</v>
      </c>
      <c r="N238" s="12">
        <f t="shared" si="243"/>
        <v>4201.680672268908</v>
      </c>
      <c r="O238" s="12">
        <f t="shared" si="2"/>
        <v>798.31932773109202</v>
      </c>
      <c r="P238" s="13"/>
      <c r="Q238" s="14">
        <f t="shared" si="3"/>
        <v>2025</v>
      </c>
      <c r="R238" s="15">
        <f>VLOOKUP(MONTH(C238),'Datos Maestros'!M$2:N$14,2,FALSE)</f>
        <v>45536</v>
      </c>
      <c r="S238" s="11" t="str">
        <f>VLOOKUP(E238,Precios!B$2:W$941,3,FALSE)</f>
        <v>Cafe</v>
      </c>
      <c r="T238" s="16">
        <f>VLOOKUP(E238,Precios!B$2:N$941,4,FALSE)*F238</f>
        <v>0</v>
      </c>
      <c r="U238" s="17"/>
      <c r="V238" s="12">
        <f>VLOOKUP(E238,Precios!B$2:N$941,13,FALSE)*F238</f>
        <v>0</v>
      </c>
      <c r="W238" s="12">
        <f t="shared" si="4"/>
        <v>0</v>
      </c>
      <c r="X238" s="12">
        <f>VLOOKUP(B238,'Datos Maestros'!$C$2:$D$7,2,FALSE)*V238</f>
        <v>0</v>
      </c>
      <c r="Y238" s="18">
        <f t="shared" si="5"/>
        <v>45901</v>
      </c>
      <c r="Z238" s="13" t="s">
        <v>39</v>
      </c>
      <c r="AA238" s="19" t="str">
        <f>VLOOKUP(D238,Clientes!$A$2:$J$486,9,FALSE)</f>
        <v>Ocacional</v>
      </c>
      <c r="AB238" s="13" t="str">
        <f>VLOOKUP(D238,Clientes!$A$2:$K$486,11,FALSE)</f>
        <v>Empresa</v>
      </c>
      <c r="AC238" s="13" t="str">
        <f>VLOOKUP(D238,Clientes!$A$2:$B$486,2,FALSE)</f>
        <v>Las Condes</v>
      </c>
      <c r="AD238" s="20"/>
      <c r="AE238" s="20"/>
      <c r="AF238" s="13" t="s">
        <v>40</v>
      </c>
      <c r="AG238" s="15">
        <f t="shared" si="6"/>
        <v>45536</v>
      </c>
      <c r="AH238" s="13" t="s">
        <v>41</v>
      </c>
      <c r="AI238" s="13" t="str">
        <f t="shared" si="7"/>
        <v>Abarrotes</v>
      </c>
      <c r="AJ238" s="13">
        <f>VLOOKUP(E238,Precios!Z$2:AA$941,2,FALSE)</f>
        <v>0</v>
      </c>
      <c r="AK238" s="14">
        <f>VLOOKUP(E238,Precios!Z$2:BB$941,3,FALSE)*F238</f>
        <v>-2</v>
      </c>
      <c r="AL238" s="17"/>
      <c r="AM238" s="17"/>
      <c r="AN238" s="17"/>
      <c r="AO238" s="17"/>
      <c r="AP238" s="17"/>
      <c r="AQ238" s="17"/>
      <c r="AR238" s="17"/>
      <c r="AS238" s="17"/>
      <c r="AT238" s="17"/>
      <c r="AU238" s="17"/>
      <c r="AV238" s="17"/>
    </row>
    <row r="239" spans="1:48" ht="15.75" customHeight="1">
      <c r="A239" s="14" t="s">
        <v>47</v>
      </c>
      <c r="B239" s="23" t="s">
        <v>1692</v>
      </c>
      <c r="C239" s="25">
        <v>45905</v>
      </c>
      <c r="D239" s="23" t="s">
        <v>199</v>
      </c>
      <c r="E239" s="13" t="s">
        <v>211</v>
      </c>
      <c r="F239" s="14">
        <v>1</v>
      </c>
      <c r="G239" s="26">
        <v>1500</v>
      </c>
      <c r="H239" s="12">
        <f t="shared" si="0"/>
        <v>1500</v>
      </c>
      <c r="I239" s="23" t="s">
        <v>52</v>
      </c>
      <c r="J239" s="13" t="s">
        <v>38</v>
      </c>
      <c r="K239" s="24" t="s">
        <v>86</v>
      </c>
      <c r="L239" s="24">
        <v>109</v>
      </c>
      <c r="M239" s="12">
        <f t="shared" ref="M239:N239" si="244">G239/1.19</f>
        <v>1260.5042016806724</v>
      </c>
      <c r="N239" s="12">
        <f t="shared" si="244"/>
        <v>1260.5042016806724</v>
      </c>
      <c r="O239" s="12">
        <f t="shared" si="2"/>
        <v>239.4957983193276</v>
      </c>
      <c r="P239" s="13"/>
      <c r="Q239" s="14">
        <f t="shared" si="3"/>
        <v>2025</v>
      </c>
      <c r="R239" s="15">
        <f>VLOOKUP(MONTH(C239),'Datos Maestros'!M$2:N$14,2,FALSE)</f>
        <v>45536</v>
      </c>
      <c r="S239" s="11" t="str">
        <f>VLOOKUP(E239,Precios!B$2:W$941,3,FALSE)</f>
        <v>Transporte</v>
      </c>
      <c r="T239" s="16">
        <f>VLOOKUP(E239,Precios!B$2:N$941,4,FALSE)*F239</f>
        <v>0</v>
      </c>
      <c r="U239" s="17"/>
      <c r="V239" s="26">
        <v>1500</v>
      </c>
      <c r="W239" s="12">
        <f t="shared" si="4"/>
        <v>1500</v>
      </c>
      <c r="X239" s="12">
        <f>VLOOKUP(B239,'Datos Maestros'!$C$2:$D$7,2,FALSE)*V239</f>
        <v>0</v>
      </c>
      <c r="Y239" s="18">
        <f t="shared" si="5"/>
        <v>45901</v>
      </c>
      <c r="Z239" s="13" t="s">
        <v>39</v>
      </c>
      <c r="AA239" s="19" t="str">
        <f>VLOOKUP(D239,Clientes!$A$2:$J$486,9,FALSE)</f>
        <v>Ocacional</v>
      </c>
      <c r="AB239" s="13" t="str">
        <f>VLOOKUP(D239,Clientes!$A$2:$K$486,11,FALSE)</f>
        <v>Empresa</v>
      </c>
      <c r="AC239" s="13" t="str">
        <f>VLOOKUP(D239,Clientes!$A$2:$B$486,2,FALSE)</f>
        <v>Las Condes</v>
      </c>
      <c r="AD239" s="20"/>
      <c r="AE239" s="20"/>
      <c r="AF239" s="13" t="s">
        <v>40</v>
      </c>
      <c r="AG239" s="15">
        <f t="shared" si="6"/>
        <v>45536</v>
      </c>
      <c r="AH239" s="13" t="s">
        <v>41</v>
      </c>
      <c r="AI239" s="13" t="str">
        <f t="shared" si="7"/>
        <v>Articulos de Aseo</v>
      </c>
      <c r="AJ239" s="13" t="str">
        <f>VLOOKUP(E239,Precios!Z$2:AA$941,2,FALSE)</f>
        <v>Transporte</v>
      </c>
      <c r="AK239" s="14">
        <f>VLOOKUP(E239,Precios!Z$2:BB$941,3,FALSE)*F239</f>
        <v>-1</v>
      </c>
      <c r="AL239" s="17"/>
      <c r="AM239" s="17"/>
      <c r="AN239" s="17"/>
      <c r="AO239" s="17"/>
      <c r="AP239" s="17"/>
      <c r="AQ239" s="17"/>
      <c r="AR239" s="17"/>
      <c r="AS239" s="17"/>
      <c r="AT239" s="17"/>
      <c r="AU239" s="17"/>
      <c r="AV239" s="17"/>
    </row>
    <row r="240" spans="1:48" ht="15.75" customHeight="1">
      <c r="A240" s="21" t="s">
        <v>47</v>
      </c>
      <c r="B240" s="23" t="s">
        <v>1692</v>
      </c>
      <c r="C240" s="22">
        <v>45905</v>
      </c>
      <c r="D240" s="23" t="s">
        <v>199</v>
      </c>
      <c r="E240" s="23" t="s">
        <v>211</v>
      </c>
      <c r="F240" s="21">
        <v>1</v>
      </c>
      <c r="G240" s="26">
        <v>-1600</v>
      </c>
      <c r="H240" s="12">
        <f t="shared" si="0"/>
        <v>-1600</v>
      </c>
      <c r="I240" s="23" t="s">
        <v>52</v>
      </c>
      <c r="J240" s="23" t="s">
        <v>61</v>
      </c>
      <c r="K240" s="24" t="s">
        <v>177</v>
      </c>
      <c r="L240" s="24">
        <v>181</v>
      </c>
      <c r="M240" s="12">
        <f t="shared" ref="M240:N240" si="245">G240/1.19</f>
        <v>-1344.5378151260504</v>
      </c>
      <c r="N240" s="12">
        <f t="shared" si="245"/>
        <v>-1344.5378151260504</v>
      </c>
      <c r="O240" s="12">
        <f t="shared" si="2"/>
        <v>-255.46218487394958</v>
      </c>
      <c r="P240" s="13"/>
      <c r="Q240" s="14">
        <f t="shared" si="3"/>
        <v>2025</v>
      </c>
      <c r="R240" s="15">
        <f>VLOOKUP(MONTH(C240),'Datos Maestros'!M$2:N$14,2,FALSE)</f>
        <v>45536</v>
      </c>
      <c r="S240" s="11" t="str">
        <f>VLOOKUP(E240,Precios!B$2:W$941,3,FALSE)</f>
        <v>Transporte</v>
      </c>
      <c r="T240" s="16">
        <f>VLOOKUP(E240,Precios!B$2:N$941,4,FALSE)*F240</f>
        <v>0</v>
      </c>
      <c r="U240" s="17"/>
      <c r="V240" s="26">
        <v>-1600</v>
      </c>
      <c r="W240" s="12">
        <f t="shared" si="4"/>
        <v>-1600</v>
      </c>
      <c r="X240" s="12">
        <f>VLOOKUP(B240,'Datos Maestros'!$C$2:$D$7,2,FALSE)*V240</f>
        <v>0</v>
      </c>
      <c r="Y240" s="18">
        <f t="shared" si="5"/>
        <v>45901</v>
      </c>
      <c r="Z240" s="13" t="s">
        <v>39</v>
      </c>
      <c r="AA240" s="19" t="str">
        <f>VLOOKUP(D240,Clientes!$A$2:$J$486,9,FALSE)</f>
        <v>Ocacional</v>
      </c>
      <c r="AB240" s="13" t="str">
        <f>VLOOKUP(D240,Clientes!$A$2:$K$486,11,FALSE)</f>
        <v>Empresa</v>
      </c>
      <c r="AC240" s="13" t="str">
        <f>VLOOKUP(D240,Clientes!$A$2:$B$486,2,FALSE)</f>
        <v>Las Condes</v>
      </c>
      <c r="AD240" s="20"/>
      <c r="AE240" s="20"/>
      <c r="AF240" s="13" t="s">
        <v>40</v>
      </c>
      <c r="AG240" s="15">
        <f t="shared" si="6"/>
        <v>45536</v>
      </c>
      <c r="AH240" s="13" t="s">
        <v>41</v>
      </c>
      <c r="AI240" s="13" t="str">
        <f t="shared" si="7"/>
        <v>Articulos de Aseo</v>
      </c>
      <c r="AJ240" s="13" t="str">
        <f>VLOOKUP(E240,Precios!Z$2:AA$941,2,FALSE)</f>
        <v>Transporte</v>
      </c>
      <c r="AK240" s="14">
        <f>VLOOKUP(E240,Precios!Z$2:BB$941,3,FALSE)*F240</f>
        <v>-1</v>
      </c>
      <c r="AL240" s="17"/>
      <c r="AM240" s="17"/>
      <c r="AN240" s="17"/>
      <c r="AO240" s="17"/>
      <c r="AP240" s="17"/>
      <c r="AQ240" s="17"/>
      <c r="AR240" s="17"/>
      <c r="AS240" s="17"/>
      <c r="AT240" s="17"/>
      <c r="AU240" s="17"/>
      <c r="AV240" s="17"/>
    </row>
    <row r="241" spans="1:48" ht="15.75" customHeight="1">
      <c r="A241" s="21" t="s">
        <v>64</v>
      </c>
      <c r="B241" s="23" t="s">
        <v>1692</v>
      </c>
      <c r="C241" s="22">
        <v>45905</v>
      </c>
      <c r="D241" s="23" t="s">
        <v>172</v>
      </c>
      <c r="E241" s="23" t="s">
        <v>173</v>
      </c>
      <c r="F241" s="21">
        <v>1</v>
      </c>
      <c r="G241" s="12">
        <f>VLOOKUP(E241,Precios!B$2:N$941,12,FALSE)</f>
        <v>23999.589943360927</v>
      </c>
      <c r="H241" s="12">
        <f t="shared" si="0"/>
        <v>23999.589943360927</v>
      </c>
      <c r="I241" s="23" t="s">
        <v>52</v>
      </c>
      <c r="J241" s="23" t="s">
        <v>38</v>
      </c>
      <c r="K241" s="24" t="s">
        <v>177</v>
      </c>
      <c r="L241" s="24">
        <v>181</v>
      </c>
      <c r="M241" s="12">
        <f t="shared" ref="M241:N241" si="246">G241/1.19</f>
        <v>20167.72264147977</v>
      </c>
      <c r="N241" s="12">
        <f t="shared" si="246"/>
        <v>20167.72264147977</v>
      </c>
      <c r="O241" s="12">
        <f t="shared" si="2"/>
        <v>3831.8673018811569</v>
      </c>
      <c r="P241" s="13"/>
      <c r="Q241" s="14">
        <f t="shared" si="3"/>
        <v>2025</v>
      </c>
      <c r="R241" s="15">
        <f>VLOOKUP(MONTH(C241),'Datos Maestros'!M$2:N$14,2,FALSE)</f>
        <v>45536</v>
      </c>
      <c r="S241" s="11" t="str">
        <f>VLOOKUP(E241,Precios!B$2:W$941,3,FALSE)</f>
        <v>Longanizas</v>
      </c>
      <c r="T241" s="16">
        <f>VLOOKUP(E241,Precios!B$2:N$941,4,FALSE)*F241</f>
        <v>3</v>
      </c>
      <c r="U241" s="17"/>
      <c r="V241" s="12">
        <f>VLOOKUP(E241,Precios!B$2:N$941,13,FALSE)*F241</f>
        <v>4429.2352465217864</v>
      </c>
      <c r="W241" s="12">
        <f t="shared" si="4"/>
        <v>4429.2352465217864</v>
      </c>
      <c r="X241" s="12">
        <f>VLOOKUP(B241,'Datos Maestros'!$C$2:$D$7,2,FALSE)*V241</f>
        <v>0</v>
      </c>
      <c r="Y241" s="18">
        <f t="shared" si="5"/>
        <v>45901</v>
      </c>
      <c r="Z241" s="13" t="s">
        <v>39</v>
      </c>
      <c r="AA241" s="19" t="str">
        <f>VLOOKUP(D241,Clientes!$A$2:$J$486,9,FALSE)</f>
        <v>Frecuente</v>
      </c>
      <c r="AB241" s="13" t="str">
        <f>VLOOKUP(D241,Clientes!$A$2:$K$486,11,FALSE)</f>
        <v>Persona Natural</v>
      </c>
      <c r="AC241" s="13" t="str">
        <f>VLOOKUP(D241,Clientes!$A$2:$B$486,2,FALSE)</f>
        <v>Jardin del Eden</v>
      </c>
      <c r="AD241" s="20"/>
      <c r="AE241" s="20"/>
      <c r="AF241" s="13" t="s">
        <v>40</v>
      </c>
      <c r="AG241" s="15">
        <f t="shared" si="6"/>
        <v>45536</v>
      </c>
      <c r="AH241" s="13" t="s">
        <v>41</v>
      </c>
      <c r="AI241" s="13" t="str">
        <f t="shared" si="7"/>
        <v>Longanizas</v>
      </c>
      <c r="AJ241" s="13" t="str">
        <f>VLOOKUP(E241,Precios!Z$2:AA$941,2,FALSE)</f>
        <v>Longanizas VILLABLANCA</v>
      </c>
      <c r="AK241" s="14">
        <f>VLOOKUP(E241,Precios!Z$2:BB$941,3,FALSE)*F241</f>
        <v>-3</v>
      </c>
      <c r="AL241" s="17"/>
      <c r="AM241" s="17"/>
      <c r="AN241" s="17"/>
      <c r="AO241" s="17"/>
      <c r="AP241" s="17"/>
      <c r="AQ241" s="17"/>
      <c r="AR241" s="17"/>
      <c r="AS241" s="17"/>
      <c r="AT241" s="17"/>
      <c r="AU241" s="17"/>
      <c r="AV241" s="17"/>
    </row>
    <row r="242" spans="1:48" ht="15.75" customHeight="1">
      <c r="A242" s="21" t="s">
        <v>56</v>
      </c>
      <c r="B242" s="23" t="s">
        <v>1692</v>
      </c>
      <c r="C242" s="22">
        <v>45905</v>
      </c>
      <c r="D242" s="23" t="s">
        <v>172</v>
      </c>
      <c r="E242" s="23" t="s">
        <v>57</v>
      </c>
      <c r="F242" s="21">
        <v>1</v>
      </c>
      <c r="G242" s="12">
        <f>VLOOKUP(E242,Precios!B$2:N$941,12,FALSE)</f>
        <v>2999.6253023129066</v>
      </c>
      <c r="H242" s="12">
        <f t="shared" si="0"/>
        <v>2999.6253023129066</v>
      </c>
      <c r="I242" s="23" t="s">
        <v>52</v>
      </c>
      <c r="J242" s="23" t="s">
        <v>38</v>
      </c>
      <c r="K242" s="24" t="s">
        <v>177</v>
      </c>
      <c r="L242" s="24">
        <v>181</v>
      </c>
      <c r="M242" s="12">
        <f t="shared" ref="M242:N242" si="247">G242/1.19</f>
        <v>2520.6935313553836</v>
      </c>
      <c r="N242" s="12">
        <f t="shared" si="247"/>
        <v>2520.6935313553836</v>
      </c>
      <c r="O242" s="12">
        <f t="shared" si="2"/>
        <v>478.93177095752299</v>
      </c>
      <c r="P242" s="13"/>
      <c r="Q242" s="14">
        <f t="shared" si="3"/>
        <v>2025</v>
      </c>
      <c r="R242" s="15">
        <f>VLOOKUP(MONTH(C242),'Datos Maestros'!M$2:N$14,2,FALSE)</f>
        <v>45536</v>
      </c>
      <c r="S242" s="11" t="str">
        <f>VLOOKUP(E242,Precios!B$2:W$941,3,FALSE)</f>
        <v>Provoleta</v>
      </c>
      <c r="T242" s="16">
        <f>VLOOKUP(E242,Precios!B$2:N$941,4,FALSE)*F242</f>
        <v>135</v>
      </c>
      <c r="U242" s="17"/>
      <c r="V242" s="12">
        <f>VLOOKUP(E242,Precios!B$2:N$941,13,FALSE)*F242</f>
        <v>1040.6935313553836</v>
      </c>
      <c r="W242" s="12">
        <f t="shared" si="4"/>
        <v>1040.6935313553836</v>
      </c>
      <c r="X242" s="12">
        <f>VLOOKUP(B242,'Datos Maestros'!$C$2:$D$7,2,FALSE)*V242</f>
        <v>0</v>
      </c>
      <c r="Y242" s="18">
        <f t="shared" si="5"/>
        <v>45901</v>
      </c>
      <c r="Z242" s="13" t="s">
        <v>39</v>
      </c>
      <c r="AA242" s="19" t="str">
        <f>VLOOKUP(D242,Clientes!$A$2:$J$486,9,FALSE)</f>
        <v>Frecuente</v>
      </c>
      <c r="AB242" s="13" t="str">
        <f>VLOOKUP(D242,Clientes!$A$2:$K$486,11,FALSE)</f>
        <v>Persona Natural</v>
      </c>
      <c r="AC242" s="13" t="str">
        <f>VLOOKUP(D242,Clientes!$A$2:$B$486,2,FALSE)</f>
        <v>Jardin del Eden</v>
      </c>
      <c r="AD242" s="20"/>
      <c r="AE242" s="20"/>
      <c r="AF242" s="13" t="s">
        <v>40</v>
      </c>
      <c r="AG242" s="15">
        <f t="shared" si="6"/>
        <v>45536</v>
      </c>
      <c r="AH242" s="13" t="s">
        <v>41</v>
      </c>
      <c r="AI242" s="13" t="str">
        <f t="shared" si="7"/>
        <v>Derivados</v>
      </c>
      <c r="AJ242" s="13" t="str">
        <f>VLOOKUP(E242,Precios!Z$2:AA$941,2,FALSE)</f>
        <v>Provoleta Parrillera</v>
      </c>
      <c r="AK242" s="14">
        <f>VLOOKUP(E242,Precios!Z$2:BB$941,3,FALSE)*F242</f>
        <v>-1</v>
      </c>
      <c r="AL242" s="17"/>
      <c r="AM242" s="17"/>
      <c r="AN242" s="17"/>
      <c r="AO242" s="17"/>
      <c r="AP242" s="17"/>
      <c r="AQ242" s="17"/>
      <c r="AR242" s="17"/>
      <c r="AS242" s="17"/>
      <c r="AT242" s="17"/>
      <c r="AU242" s="17"/>
      <c r="AV242" s="17"/>
    </row>
    <row r="243" spans="1:48" ht="15.75" customHeight="1">
      <c r="A243" s="21" t="s">
        <v>76</v>
      </c>
      <c r="B243" s="23" t="s">
        <v>1692</v>
      </c>
      <c r="C243" s="22">
        <v>45905</v>
      </c>
      <c r="D243" s="23" t="s">
        <v>172</v>
      </c>
      <c r="E243" s="23" t="s">
        <v>137</v>
      </c>
      <c r="F243" s="21">
        <v>4</v>
      </c>
      <c r="G243" s="12">
        <f>VLOOKUP(E243,Precios!B$2:N$941,12,FALSE)</f>
        <v>3500.0000000000005</v>
      </c>
      <c r="H243" s="12">
        <f t="shared" si="0"/>
        <v>14000.000000000002</v>
      </c>
      <c r="I243" s="23" t="s">
        <v>52</v>
      </c>
      <c r="J243" s="23" t="s">
        <v>38</v>
      </c>
      <c r="K243" s="24" t="s">
        <v>177</v>
      </c>
      <c r="L243" s="24">
        <v>181</v>
      </c>
      <c r="M243" s="12">
        <f t="shared" ref="M243:N243" si="248">G243/1.19</f>
        <v>2941.1764705882356</v>
      </c>
      <c r="N243" s="12">
        <f t="shared" si="248"/>
        <v>11764.705882352942</v>
      </c>
      <c r="O243" s="12">
        <f t="shared" si="2"/>
        <v>2235.2941176470595</v>
      </c>
      <c r="P243" s="13"/>
      <c r="Q243" s="14">
        <f t="shared" si="3"/>
        <v>2025</v>
      </c>
      <c r="R243" s="15">
        <f>VLOOKUP(MONTH(C243),'Datos Maestros'!M$2:N$14,2,FALSE)</f>
        <v>45536</v>
      </c>
      <c r="S243" s="11" t="str">
        <f>VLOOKUP(E243,Precios!B$2:W$941,3,FALSE)</f>
        <v>Detergente Piel Sensible</v>
      </c>
      <c r="T243" s="16">
        <f>VLOOKUP(E243,Precios!B$2:N$941,4,FALSE)*F243</f>
        <v>20</v>
      </c>
      <c r="U243" s="17"/>
      <c r="V243" s="12">
        <f>VLOOKUP(E243,Precios!B$2:N$941,13,FALSE)*F243</f>
        <v>3394.9579831932788</v>
      </c>
      <c r="W243" s="12">
        <f t="shared" si="4"/>
        <v>3394.9579831932788</v>
      </c>
      <c r="X243" s="12">
        <f>VLOOKUP(B243,'Datos Maestros'!$C$2:$D$7,2,FALSE)*V243</f>
        <v>0</v>
      </c>
      <c r="Y243" s="18">
        <f t="shared" si="5"/>
        <v>45901</v>
      </c>
      <c r="Z243" s="13" t="s">
        <v>39</v>
      </c>
      <c r="AA243" s="19" t="str">
        <f>VLOOKUP(D243,Clientes!$A$2:$J$486,9,FALSE)</f>
        <v>Frecuente</v>
      </c>
      <c r="AB243" s="13" t="str">
        <f>VLOOKUP(D243,Clientes!$A$2:$K$486,11,FALSE)</f>
        <v>Persona Natural</v>
      </c>
      <c r="AC243" s="13" t="str">
        <f>VLOOKUP(D243,Clientes!$A$2:$B$486,2,FALSE)</f>
        <v>Jardin del Eden</v>
      </c>
      <c r="AD243" s="20"/>
      <c r="AE243" s="20"/>
      <c r="AF243" s="13" t="s">
        <v>40</v>
      </c>
      <c r="AG243" s="15">
        <f t="shared" si="6"/>
        <v>45536</v>
      </c>
      <c r="AH243" s="13" t="s">
        <v>41</v>
      </c>
      <c r="AI243" s="13" t="str">
        <f t="shared" si="7"/>
        <v>Detergentes</v>
      </c>
      <c r="AJ243" s="13" t="str">
        <f>VLOOKUP(E243,Precios!Z$2:AA$941,2,FALSE)</f>
        <v>Detergente SPUM 5 Litros (Blanco)</v>
      </c>
      <c r="AK243" s="14">
        <f>VLOOKUP(E243,Precios!Z$2:BB$941,3,FALSE)*F243</f>
        <v>-4</v>
      </c>
      <c r="AL243" s="17"/>
      <c r="AM243" s="17"/>
      <c r="AN243" s="17"/>
      <c r="AO243" s="17"/>
      <c r="AP243" s="17"/>
      <c r="AQ243" s="17"/>
      <c r="AR243" s="17"/>
      <c r="AS243" s="17"/>
      <c r="AT243" s="17"/>
      <c r="AU243" s="17"/>
      <c r="AV243" s="17"/>
    </row>
    <row r="244" spans="1:48" ht="15.75" customHeight="1">
      <c r="A244" s="21" t="s">
        <v>76</v>
      </c>
      <c r="B244" s="23" t="s">
        <v>1692</v>
      </c>
      <c r="C244" s="22">
        <v>45905</v>
      </c>
      <c r="D244" s="23" t="s">
        <v>172</v>
      </c>
      <c r="E244" s="23" t="s">
        <v>212</v>
      </c>
      <c r="F244" s="21">
        <v>1</v>
      </c>
      <c r="G244" s="12">
        <f>VLOOKUP(E244,Precios!B$2:N$941,12,FALSE)</f>
        <v>3000.0000000000005</v>
      </c>
      <c r="H244" s="12">
        <f t="shared" si="0"/>
        <v>3000.0000000000005</v>
      </c>
      <c r="I244" s="23" t="s">
        <v>52</v>
      </c>
      <c r="J244" s="23" t="s">
        <v>38</v>
      </c>
      <c r="K244" s="24" t="s">
        <v>177</v>
      </c>
      <c r="L244" s="24">
        <v>181</v>
      </c>
      <c r="M244" s="12">
        <f t="shared" ref="M244:N244" si="249">G244/1.19</f>
        <v>2521.0084033613452</v>
      </c>
      <c r="N244" s="12">
        <f t="shared" si="249"/>
        <v>2521.0084033613452</v>
      </c>
      <c r="O244" s="12">
        <f t="shared" si="2"/>
        <v>478.99159663865521</v>
      </c>
      <c r="P244" s="13"/>
      <c r="Q244" s="14">
        <f t="shared" si="3"/>
        <v>2025</v>
      </c>
      <c r="R244" s="15">
        <f>VLOOKUP(MONTH(C244),'Datos Maestros'!M$2:N$14,2,FALSE)</f>
        <v>45536</v>
      </c>
      <c r="S244" s="11" t="str">
        <f>VLOOKUP(E244,Precios!B$2:W$941,3,FALSE)</f>
        <v>Suavizante</v>
      </c>
      <c r="T244" s="16">
        <f>VLOOKUP(E244,Precios!B$2:N$941,4,FALSE)*F244</f>
        <v>5</v>
      </c>
      <c r="U244" s="17"/>
      <c r="V244" s="12">
        <f>VLOOKUP(E244,Precios!B$2:N$941,13,FALSE)*F244</f>
        <v>764.70588235294144</v>
      </c>
      <c r="W244" s="12">
        <f t="shared" si="4"/>
        <v>764.70588235294144</v>
      </c>
      <c r="X244" s="12">
        <f>VLOOKUP(B244,'Datos Maestros'!$C$2:$D$7,2,FALSE)*V244</f>
        <v>0</v>
      </c>
      <c r="Y244" s="18">
        <f t="shared" si="5"/>
        <v>45901</v>
      </c>
      <c r="Z244" s="13" t="s">
        <v>39</v>
      </c>
      <c r="AA244" s="19" t="str">
        <f>VLOOKUP(D244,Clientes!$A$2:$J$486,9,FALSE)</f>
        <v>Frecuente</v>
      </c>
      <c r="AB244" s="13" t="str">
        <f>VLOOKUP(D244,Clientes!$A$2:$K$486,11,FALSE)</f>
        <v>Persona Natural</v>
      </c>
      <c r="AC244" s="13" t="str">
        <f>VLOOKUP(D244,Clientes!$A$2:$B$486,2,FALSE)</f>
        <v>Jardin del Eden</v>
      </c>
      <c r="AD244" s="20"/>
      <c r="AE244" s="20"/>
      <c r="AF244" s="13" t="s">
        <v>40</v>
      </c>
      <c r="AG244" s="15">
        <f t="shared" si="6"/>
        <v>45536</v>
      </c>
      <c r="AH244" s="13" t="s">
        <v>41</v>
      </c>
      <c r="AI244" s="13" t="str">
        <f t="shared" si="7"/>
        <v>Detergentes</v>
      </c>
      <c r="AJ244" s="13" t="str">
        <f>VLOOKUP(E244,Precios!Z$2:AA$941,2,FALSE)</f>
        <v>Suavizante SPUM 5 Litros</v>
      </c>
      <c r="AK244" s="14">
        <f>VLOOKUP(E244,Precios!Z$2:BB$941,3,FALSE)*F244</f>
        <v>-1</v>
      </c>
      <c r="AL244" s="17"/>
      <c r="AM244" s="17"/>
      <c r="AN244" s="17"/>
      <c r="AO244" s="17"/>
      <c r="AP244" s="17"/>
      <c r="AQ244" s="17"/>
      <c r="AR244" s="17"/>
      <c r="AS244" s="17"/>
      <c r="AT244" s="17"/>
      <c r="AU244" s="17"/>
      <c r="AV244" s="17"/>
    </row>
    <row r="245" spans="1:48" ht="15.75" customHeight="1">
      <c r="A245" s="21" t="s">
        <v>76</v>
      </c>
      <c r="B245" s="23" t="s">
        <v>1692</v>
      </c>
      <c r="C245" s="22">
        <v>45905</v>
      </c>
      <c r="D245" s="23" t="s">
        <v>172</v>
      </c>
      <c r="E245" s="23" t="s">
        <v>110</v>
      </c>
      <c r="F245" s="21">
        <v>1</v>
      </c>
      <c r="G245" s="12">
        <f>VLOOKUP(E245,Precios!B$2:N$941,12,FALSE)</f>
        <v>2000.0000000000005</v>
      </c>
      <c r="H245" s="12">
        <f t="shared" si="0"/>
        <v>2000.0000000000005</v>
      </c>
      <c r="I245" s="23" t="s">
        <v>52</v>
      </c>
      <c r="J245" s="23" t="s">
        <v>38</v>
      </c>
      <c r="K245" s="24" t="s">
        <v>177</v>
      </c>
      <c r="L245" s="24">
        <v>181</v>
      </c>
      <c r="M245" s="12">
        <f t="shared" ref="M245:N245" si="250">G245/1.19</f>
        <v>1680.6722689075634</v>
      </c>
      <c r="N245" s="12">
        <f t="shared" si="250"/>
        <v>1680.6722689075634</v>
      </c>
      <c r="O245" s="12">
        <f t="shared" si="2"/>
        <v>319.32773109243703</v>
      </c>
      <c r="P245" s="13"/>
      <c r="Q245" s="14">
        <f t="shared" si="3"/>
        <v>2025</v>
      </c>
      <c r="R245" s="15">
        <f>VLOOKUP(MONTH(C245),'Datos Maestros'!M$2:N$14,2,FALSE)</f>
        <v>45536</v>
      </c>
      <c r="S245" s="11" t="str">
        <f>VLOOKUP(E245,Precios!B$2:W$941,3,FALSE)</f>
        <v>Cloro</v>
      </c>
      <c r="T245" s="16">
        <f>VLOOKUP(E245,Precios!B$2:N$941,4,FALSE)*F245</f>
        <v>5</v>
      </c>
      <c r="U245" s="17"/>
      <c r="V245" s="12">
        <f>VLOOKUP(E245,Precios!B$2:N$941,13,FALSE)*F245</f>
        <v>756.30252100840369</v>
      </c>
      <c r="W245" s="12">
        <f t="shared" si="4"/>
        <v>756.30252100840369</v>
      </c>
      <c r="X245" s="12">
        <f>VLOOKUP(B245,'Datos Maestros'!$C$2:$D$7,2,FALSE)*V245</f>
        <v>0</v>
      </c>
      <c r="Y245" s="18">
        <f t="shared" si="5"/>
        <v>45901</v>
      </c>
      <c r="Z245" s="13" t="s">
        <v>39</v>
      </c>
      <c r="AA245" s="19" t="str">
        <f>VLOOKUP(D245,Clientes!$A$2:$J$486,9,FALSE)</f>
        <v>Frecuente</v>
      </c>
      <c r="AB245" s="13" t="str">
        <f>VLOOKUP(D245,Clientes!$A$2:$K$486,11,FALSE)</f>
        <v>Persona Natural</v>
      </c>
      <c r="AC245" s="13" t="str">
        <f>VLOOKUP(D245,Clientes!$A$2:$B$486,2,FALSE)</f>
        <v>Jardin del Eden</v>
      </c>
      <c r="AD245" s="20"/>
      <c r="AE245" s="20"/>
      <c r="AF245" s="13" t="s">
        <v>40</v>
      </c>
      <c r="AG245" s="15">
        <f t="shared" si="6"/>
        <v>45536</v>
      </c>
      <c r="AH245" s="13" t="s">
        <v>41</v>
      </c>
      <c r="AI245" s="13" t="str">
        <f t="shared" si="7"/>
        <v>Detergentes</v>
      </c>
      <c r="AJ245" s="13" t="str">
        <f>VLOOKUP(E245,Precios!Z$2:AA$941,2,FALSE)</f>
        <v>Cloro SPUM 5 Litros</v>
      </c>
      <c r="AK245" s="14">
        <f>VLOOKUP(E245,Precios!Z$2:BB$941,3,FALSE)*F245</f>
        <v>-1</v>
      </c>
      <c r="AL245" s="17"/>
      <c r="AM245" s="17"/>
      <c r="AN245" s="17"/>
      <c r="AO245" s="17"/>
      <c r="AP245" s="17"/>
      <c r="AQ245" s="17"/>
      <c r="AR245" s="17"/>
      <c r="AS245" s="17"/>
      <c r="AT245" s="17"/>
      <c r="AU245" s="17"/>
      <c r="AV245" s="17"/>
    </row>
    <row r="246" spans="1:48" ht="15.75" customHeight="1">
      <c r="A246" s="21" t="s">
        <v>76</v>
      </c>
      <c r="B246" s="23" t="s">
        <v>1692</v>
      </c>
      <c r="C246" s="22">
        <v>45905</v>
      </c>
      <c r="D246" s="23" t="s">
        <v>172</v>
      </c>
      <c r="E246" s="23" t="s">
        <v>166</v>
      </c>
      <c r="F246" s="21">
        <v>1</v>
      </c>
      <c r="G246" s="12">
        <f>VLOOKUP(E246,Precios!B$2:N$941,12,FALSE)</f>
        <v>3500.0000000000005</v>
      </c>
      <c r="H246" s="12">
        <f t="shared" si="0"/>
        <v>3500.0000000000005</v>
      </c>
      <c r="I246" s="23" t="s">
        <v>52</v>
      </c>
      <c r="J246" s="23" t="s">
        <v>38</v>
      </c>
      <c r="K246" s="24" t="s">
        <v>177</v>
      </c>
      <c r="L246" s="24">
        <v>181</v>
      </c>
      <c r="M246" s="12">
        <f t="shared" ref="M246:N246" si="251">G246/1.19</f>
        <v>2941.1764705882356</v>
      </c>
      <c r="N246" s="12">
        <f t="shared" si="251"/>
        <v>2941.1764705882356</v>
      </c>
      <c r="O246" s="12">
        <f t="shared" si="2"/>
        <v>558.82352941176487</v>
      </c>
      <c r="P246" s="13"/>
      <c r="Q246" s="14">
        <f t="shared" si="3"/>
        <v>2025</v>
      </c>
      <c r="R246" s="15">
        <f>VLOOKUP(MONTH(C246),'Datos Maestros'!M$2:N$14,2,FALSE)</f>
        <v>45536</v>
      </c>
      <c r="S246" s="11" t="str">
        <f>VLOOKUP(E246,Precios!B$2:W$941,3,FALSE)</f>
        <v>Cloro Gel</v>
      </c>
      <c r="T246" s="16">
        <f>VLOOKUP(E246,Precios!B$2:N$941,4,FALSE)*F246</f>
        <v>5</v>
      </c>
      <c r="U246" s="17"/>
      <c r="V246" s="12">
        <f>VLOOKUP(E246,Precios!B$2:N$941,13,FALSE)*F246</f>
        <v>1016.8067226890757</v>
      </c>
      <c r="W246" s="12">
        <f t="shared" si="4"/>
        <v>1016.8067226890757</v>
      </c>
      <c r="X246" s="12">
        <f>VLOOKUP(B246,'Datos Maestros'!$C$2:$D$7,2,FALSE)*V246</f>
        <v>0</v>
      </c>
      <c r="Y246" s="18">
        <f t="shared" si="5"/>
        <v>45901</v>
      </c>
      <c r="Z246" s="13" t="s">
        <v>39</v>
      </c>
      <c r="AA246" s="19" t="str">
        <f>VLOOKUP(D246,Clientes!$A$2:$J$486,9,FALSE)</f>
        <v>Frecuente</v>
      </c>
      <c r="AB246" s="13" t="str">
        <f>VLOOKUP(D246,Clientes!$A$2:$K$486,11,FALSE)</f>
        <v>Persona Natural</v>
      </c>
      <c r="AC246" s="13" t="str">
        <f>VLOOKUP(D246,Clientes!$A$2:$B$486,2,FALSE)</f>
        <v>Jardin del Eden</v>
      </c>
      <c r="AD246" s="20"/>
      <c r="AE246" s="20"/>
      <c r="AF246" s="13" t="s">
        <v>40</v>
      </c>
      <c r="AG246" s="15">
        <f t="shared" si="6"/>
        <v>45536</v>
      </c>
      <c r="AH246" s="13" t="s">
        <v>41</v>
      </c>
      <c r="AI246" s="13" t="str">
        <f t="shared" si="7"/>
        <v>Detergentes</v>
      </c>
      <c r="AJ246" s="13" t="str">
        <f>VLOOKUP(E246,Precios!Z$2:AA$941,2,FALSE)</f>
        <v>Cloro GEL SPUM 5 Litros</v>
      </c>
      <c r="AK246" s="14">
        <f>VLOOKUP(E246,Precios!Z$2:BB$941,3,FALSE)*F246</f>
        <v>-1</v>
      </c>
      <c r="AL246" s="17"/>
      <c r="AM246" s="17"/>
      <c r="AN246" s="17"/>
      <c r="AO246" s="17"/>
      <c r="AP246" s="17"/>
      <c r="AQ246" s="17"/>
      <c r="AR246" s="17"/>
      <c r="AS246" s="17"/>
      <c r="AT246" s="17"/>
      <c r="AU246" s="17"/>
      <c r="AV246" s="17"/>
    </row>
    <row r="247" spans="1:48" ht="15.75" customHeight="1">
      <c r="A247" s="21" t="s">
        <v>76</v>
      </c>
      <c r="B247" s="23" t="s">
        <v>1692</v>
      </c>
      <c r="C247" s="22">
        <v>45905</v>
      </c>
      <c r="D247" s="23" t="s">
        <v>172</v>
      </c>
      <c r="E247" s="23" t="s">
        <v>187</v>
      </c>
      <c r="F247" s="21">
        <v>1</v>
      </c>
      <c r="G247" s="12">
        <f>VLOOKUP(E247,Precios!B$2:N$941,12,FALSE)</f>
        <v>2699.9280057595392</v>
      </c>
      <c r="H247" s="12">
        <f t="shared" si="0"/>
        <v>2699.9280057595392</v>
      </c>
      <c r="I247" s="23" t="s">
        <v>52</v>
      </c>
      <c r="J247" s="23" t="s">
        <v>38</v>
      </c>
      <c r="K247" s="24" t="s">
        <v>177</v>
      </c>
      <c r="L247" s="24">
        <v>181</v>
      </c>
      <c r="M247" s="12">
        <f t="shared" ref="M247:N247" si="252">G247/1.19</f>
        <v>2268.8470636634784</v>
      </c>
      <c r="N247" s="12">
        <f t="shared" si="252"/>
        <v>2268.8470636634784</v>
      </c>
      <c r="O247" s="12">
        <f t="shared" si="2"/>
        <v>431.08094209606088</v>
      </c>
      <c r="P247" s="13"/>
      <c r="Q247" s="14">
        <f t="shared" si="3"/>
        <v>2025</v>
      </c>
      <c r="R247" s="15">
        <f>VLOOKUP(MONTH(C247),'Datos Maestros'!M$2:N$14,2,FALSE)</f>
        <v>45536</v>
      </c>
      <c r="S247" s="11" t="str">
        <f>VLOOKUP(E247,Precios!B$2:W$941,3,FALSE)</f>
        <v>Lavaloza</v>
      </c>
      <c r="T247" s="16">
        <f>VLOOKUP(E247,Precios!B$2:N$941,4,FALSE)*F247</f>
        <v>0</v>
      </c>
      <c r="U247" s="17"/>
      <c r="V247" s="12">
        <f>VLOOKUP(E247,Precios!B$2:N$941,13,FALSE)*F247</f>
        <v>798.18039699681162</v>
      </c>
      <c r="W247" s="12">
        <f t="shared" si="4"/>
        <v>798.18039699681162</v>
      </c>
      <c r="X247" s="12">
        <f>VLOOKUP(B247,'Datos Maestros'!$C$2:$D$7,2,FALSE)*V247</f>
        <v>0</v>
      </c>
      <c r="Y247" s="18">
        <f t="shared" si="5"/>
        <v>45901</v>
      </c>
      <c r="Z247" s="13" t="s">
        <v>39</v>
      </c>
      <c r="AA247" s="19" t="str">
        <f>VLOOKUP(D247,Clientes!$A$2:$J$486,9,FALSE)</f>
        <v>Frecuente</v>
      </c>
      <c r="AB247" s="13" t="str">
        <f>VLOOKUP(D247,Clientes!$A$2:$K$486,11,FALSE)</f>
        <v>Persona Natural</v>
      </c>
      <c r="AC247" s="13" t="str">
        <f>VLOOKUP(D247,Clientes!$A$2:$B$486,2,FALSE)</f>
        <v>Jardin del Eden</v>
      </c>
      <c r="AD247" s="20"/>
      <c r="AE247" s="20"/>
      <c r="AF247" s="13" t="s">
        <v>40</v>
      </c>
      <c r="AG247" s="15">
        <f t="shared" si="6"/>
        <v>45536</v>
      </c>
      <c r="AH247" s="13" t="s">
        <v>41</v>
      </c>
      <c r="AI247" s="13" t="str">
        <f t="shared" si="7"/>
        <v>Detergentes</v>
      </c>
      <c r="AJ247" s="13" t="str">
        <f>VLOOKUP(E247,Precios!Z$2:AA$941,2,FALSE)</f>
        <v>Lavaloza WYN 1.5 Litros (recarga)</v>
      </c>
      <c r="AK247" s="14">
        <f>VLOOKUP(E247,Precios!Z$2:BB$941,3,FALSE)*F247</f>
        <v>-1</v>
      </c>
      <c r="AL247" s="17"/>
      <c r="AM247" s="17"/>
      <c r="AN247" s="17"/>
      <c r="AO247" s="17"/>
      <c r="AP247" s="17"/>
      <c r="AQ247" s="17"/>
      <c r="AR247" s="17"/>
      <c r="AS247" s="17"/>
      <c r="AT247" s="17"/>
      <c r="AU247" s="17"/>
      <c r="AV247" s="17"/>
    </row>
    <row r="248" spans="1:48" ht="15.75" customHeight="1">
      <c r="A248" s="21" t="s">
        <v>53</v>
      </c>
      <c r="B248" s="23" t="s">
        <v>1692</v>
      </c>
      <c r="C248" s="22">
        <v>45905</v>
      </c>
      <c r="D248" s="23" t="s">
        <v>172</v>
      </c>
      <c r="E248" s="23" t="s">
        <v>97</v>
      </c>
      <c r="F248" s="21">
        <v>1</v>
      </c>
      <c r="G248" s="12">
        <f>VLOOKUP(E248,Precios!B$2:N$941,12,FALSE)</f>
        <v>16500.236769693482</v>
      </c>
      <c r="H248" s="12">
        <f t="shared" si="0"/>
        <v>16500.236769693482</v>
      </c>
      <c r="I248" s="23" t="s">
        <v>52</v>
      </c>
      <c r="J248" s="23" t="s">
        <v>38</v>
      </c>
      <c r="K248" s="24" t="s">
        <v>177</v>
      </c>
      <c r="L248" s="24">
        <v>181</v>
      </c>
      <c r="M248" s="12">
        <f t="shared" ref="M248:N248" si="253">G248/1.19</f>
        <v>13865.745184616371</v>
      </c>
      <c r="N248" s="12">
        <f t="shared" si="253"/>
        <v>13865.745184616371</v>
      </c>
      <c r="O248" s="12">
        <f t="shared" si="2"/>
        <v>2634.4915850771104</v>
      </c>
      <c r="P248" s="13"/>
      <c r="Q248" s="14">
        <f t="shared" si="3"/>
        <v>2025</v>
      </c>
      <c r="R248" s="15">
        <f>VLOOKUP(MONTH(C248),'Datos Maestros'!M$2:N$14,2,FALSE)</f>
        <v>45536</v>
      </c>
      <c r="S248" s="11" t="str">
        <f>VLOOKUP(E248,Precios!B$2:W$941,3,FALSE)</f>
        <v>Papel Higiénico ELITE</v>
      </c>
      <c r="T248" s="16">
        <f>VLOOKUP(E248,Precios!B$2:N$941,4,FALSE)*F248</f>
        <v>0</v>
      </c>
      <c r="U248" s="17"/>
      <c r="V248" s="12">
        <f>VLOOKUP(E248,Precios!B$2:N$941,13,FALSE)*F248</f>
        <v>3031.7451846163694</v>
      </c>
      <c r="W248" s="12">
        <f t="shared" si="4"/>
        <v>3031.7451846163694</v>
      </c>
      <c r="X248" s="12">
        <f>VLOOKUP(B248,'Datos Maestros'!$C$2:$D$7,2,FALSE)*V248</f>
        <v>0</v>
      </c>
      <c r="Y248" s="18">
        <f t="shared" si="5"/>
        <v>45901</v>
      </c>
      <c r="Z248" s="13" t="s">
        <v>39</v>
      </c>
      <c r="AA248" s="19" t="str">
        <f>VLOOKUP(D248,Clientes!$A$2:$J$486,9,FALSE)</f>
        <v>Frecuente</v>
      </c>
      <c r="AB248" s="13" t="str">
        <f>VLOOKUP(D248,Clientes!$A$2:$K$486,11,FALSE)</f>
        <v>Persona Natural</v>
      </c>
      <c r="AC248" s="13" t="str">
        <f>VLOOKUP(D248,Clientes!$A$2:$B$486,2,FALSE)</f>
        <v>Jardin del Eden</v>
      </c>
      <c r="AD248" s="20"/>
      <c r="AE248" s="20"/>
      <c r="AF248" s="13" t="s">
        <v>40</v>
      </c>
      <c r="AG248" s="15">
        <f t="shared" si="6"/>
        <v>45536</v>
      </c>
      <c r="AH248" s="13" t="s">
        <v>41</v>
      </c>
      <c r="AI248" s="13" t="str">
        <f t="shared" si="7"/>
        <v>Papeleria</v>
      </c>
      <c r="AJ248" s="13" t="str">
        <f>VLOOKUP(E248,Precios!Z$2:AA$941,2,FALSE)</f>
        <v>Papel Higienico ELITE 50 metros</v>
      </c>
      <c r="AK248" s="14">
        <f>VLOOKUP(E248,Precios!Z$2:BB$941,3,FALSE)*F248</f>
        <v>-6</v>
      </c>
      <c r="AL248" s="17"/>
      <c r="AM248" s="17"/>
      <c r="AN248" s="17"/>
      <c r="AO248" s="17"/>
      <c r="AP248" s="17"/>
      <c r="AQ248" s="17"/>
      <c r="AR248" s="17"/>
      <c r="AS248" s="17"/>
      <c r="AT248" s="17"/>
      <c r="AU248" s="17"/>
      <c r="AV248" s="17"/>
    </row>
    <row r="249" spans="1:48" ht="15.75" customHeight="1">
      <c r="A249" s="21" t="s">
        <v>76</v>
      </c>
      <c r="B249" s="23" t="s">
        <v>1692</v>
      </c>
      <c r="C249" s="22">
        <v>45905</v>
      </c>
      <c r="D249" s="23" t="s">
        <v>172</v>
      </c>
      <c r="E249" s="23" t="s">
        <v>194</v>
      </c>
      <c r="F249" s="21">
        <v>1</v>
      </c>
      <c r="G249" s="12">
        <f>VLOOKUP(E249,Precios!B$2:N$941,12,FALSE)</f>
        <v>2400</v>
      </c>
      <c r="H249" s="12">
        <f t="shared" si="0"/>
        <v>2400</v>
      </c>
      <c r="I249" s="23" t="s">
        <v>52</v>
      </c>
      <c r="J249" s="23" t="s">
        <v>38</v>
      </c>
      <c r="K249" s="24" t="s">
        <v>177</v>
      </c>
      <c r="L249" s="24">
        <v>181</v>
      </c>
      <c r="M249" s="12">
        <f t="shared" ref="M249:N249" si="254">G249/1.19</f>
        <v>2016.8067226890757</v>
      </c>
      <c r="N249" s="12">
        <f t="shared" si="254"/>
        <v>2016.8067226890757</v>
      </c>
      <c r="O249" s="12">
        <f t="shared" si="2"/>
        <v>383.19327731092426</v>
      </c>
      <c r="P249" s="13"/>
      <c r="Q249" s="14">
        <f t="shared" si="3"/>
        <v>2025</v>
      </c>
      <c r="R249" s="15">
        <f>VLOOKUP(MONTH(C249),'Datos Maestros'!M$2:N$14,2,FALSE)</f>
        <v>45536</v>
      </c>
      <c r="S249" s="11" t="str">
        <f>VLOOKUP(E249,Precios!B$2:W$941,3,FALSE)</f>
        <v>Cif</v>
      </c>
      <c r="T249" s="16">
        <f>VLOOKUP(E249,Precios!B$2:N$941,4,FALSE)*F249</f>
        <v>0</v>
      </c>
      <c r="U249" s="17"/>
      <c r="V249" s="12">
        <f>VLOOKUP(E249,Precios!B$2:N$941,13,FALSE)*F249</f>
        <v>959.6638655462184</v>
      </c>
      <c r="W249" s="12">
        <f t="shared" si="4"/>
        <v>959.6638655462184</v>
      </c>
      <c r="X249" s="12">
        <f>VLOOKUP(B249,'Datos Maestros'!$C$2:$D$7,2,FALSE)*V249</f>
        <v>0</v>
      </c>
      <c r="Y249" s="18">
        <f t="shared" si="5"/>
        <v>45901</v>
      </c>
      <c r="Z249" s="13" t="s">
        <v>39</v>
      </c>
      <c r="AA249" s="19" t="str">
        <f>VLOOKUP(D249,Clientes!$A$2:$J$486,9,FALSE)</f>
        <v>Frecuente</v>
      </c>
      <c r="AB249" s="13" t="str">
        <f>VLOOKUP(D249,Clientes!$A$2:$K$486,11,FALSE)</f>
        <v>Persona Natural</v>
      </c>
      <c r="AC249" s="13" t="str">
        <f>VLOOKUP(D249,Clientes!$A$2:$B$486,2,FALSE)</f>
        <v>Jardin del Eden</v>
      </c>
      <c r="AD249" s="20"/>
      <c r="AE249" s="20"/>
      <c r="AF249" s="13" t="s">
        <v>40</v>
      </c>
      <c r="AG249" s="15">
        <f t="shared" si="6"/>
        <v>45536</v>
      </c>
      <c r="AH249" s="13" t="s">
        <v>41</v>
      </c>
      <c r="AI249" s="13" t="str">
        <f t="shared" si="7"/>
        <v>Detergentes</v>
      </c>
      <c r="AJ249" s="13" t="str">
        <f>VLOOKUP(E249,Precios!Z$2:AA$941,2,FALSE)</f>
        <v>CIF 750 cc</v>
      </c>
      <c r="AK249" s="14">
        <f>VLOOKUP(E249,Precios!Z$2:BB$941,3,FALSE)*F249</f>
        <v>-1</v>
      </c>
      <c r="AL249" s="17"/>
      <c r="AM249" s="17"/>
      <c r="AN249" s="17"/>
      <c r="AO249" s="17"/>
      <c r="AP249" s="17"/>
      <c r="AQ249" s="17"/>
      <c r="AR249" s="17"/>
      <c r="AS249" s="17"/>
      <c r="AT249" s="17"/>
      <c r="AU249" s="17"/>
      <c r="AV249" s="17"/>
    </row>
    <row r="250" spans="1:48" ht="15.75" customHeight="1">
      <c r="A250" s="21" t="s">
        <v>35</v>
      </c>
      <c r="B250" s="23" t="s">
        <v>1692</v>
      </c>
      <c r="C250" s="22">
        <v>45905</v>
      </c>
      <c r="D250" s="23" t="s">
        <v>172</v>
      </c>
      <c r="E250" s="23" t="s">
        <v>37</v>
      </c>
      <c r="F250" s="21">
        <v>1</v>
      </c>
      <c r="G250" s="12">
        <f>VLOOKUP(E250,Precios!B$2:N$941,12,FALSE)</f>
        <v>11000.014358944907</v>
      </c>
      <c r="H250" s="12">
        <f t="shared" si="0"/>
        <v>11000.014358944907</v>
      </c>
      <c r="I250" s="23" t="s">
        <v>52</v>
      </c>
      <c r="J250" s="23" t="s">
        <v>38</v>
      </c>
      <c r="K250" s="24" t="s">
        <v>177</v>
      </c>
      <c r="L250" s="24">
        <v>181</v>
      </c>
      <c r="M250" s="12">
        <f t="shared" ref="M250:N250" si="255">G250/1.19</f>
        <v>9243.7095453318543</v>
      </c>
      <c r="N250" s="12">
        <f t="shared" si="255"/>
        <v>9243.7095453318543</v>
      </c>
      <c r="O250" s="12">
        <f t="shared" si="2"/>
        <v>1756.3048136130528</v>
      </c>
      <c r="P250" s="13"/>
      <c r="Q250" s="14">
        <f t="shared" si="3"/>
        <v>2025</v>
      </c>
      <c r="R250" s="15">
        <f>VLOOKUP(MONTH(C250),'Datos Maestros'!M$2:N$14,2,FALSE)</f>
        <v>45536</v>
      </c>
      <c r="S250" s="11" t="str">
        <f>VLOOKUP(E250,Precios!B$2:W$941,3,FALSE)</f>
        <v>Queso Mantecoso</v>
      </c>
      <c r="T250" s="16">
        <f>VLOOKUP(E250,Precios!B$2:N$941,4,FALSE)*F250</f>
        <v>1000</v>
      </c>
      <c r="U250" s="17"/>
      <c r="V250" s="12">
        <f>VLOOKUP(E250,Precios!B$2:N$941,13,FALSE)*F250</f>
        <v>2806.1129066763915</v>
      </c>
      <c r="W250" s="12">
        <f t="shared" si="4"/>
        <v>2806.1129066763915</v>
      </c>
      <c r="X250" s="12">
        <f>VLOOKUP(B250,'Datos Maestros'!$C$2:$D$7,2,FALSE)*V250</f>
        <v>0</v>
      </c>
      <c r="Y250" s="18">
        <f t="shared" si="5"/>
        <v>45901</v>
      </c>
      <c r="Z250" s="13" t="s">
        <v>39</v>
      </c>
      <c r="AA250" s="19" t="str">
        <f>VLOOKUP(D250,Clientes!$A$2:$J$486,9,FALSE)</f>
        <v>Frecuente</v>
      </c>
      <c r="AB250" s="13" t="str">
        <f>VLOOKUP(D250,Clientes!$A$2:$K$486,11,FALSE)</f>
        <v>Persona Natural</v>
      </c>
      <c r="AC250" s="13" t="str">
        <f>VLOOKUP(D250,Clientes!$A$2:$B$486,2,FALSE)</f>
        <v>Jardin del Eden</v>
      </c>
      <c r="AD250" s="20"/>
      <c r="AE250" s="20"/>
      <c r="AF250" s="13" t="s">
        <v>40</v>
      </c>
      <c r="AG250" s="15">
        <f t="shared" si="6"/>
        <v>45536</v>
      </c>
      <c r="AH250" s="13" t="s">
        <v>41</v>
      </c>
      <c r="AI250" s="13" t="str">
        <f t="shared" si="7"/>
        <v>Quesos</v>
      </c>
      <c r="AJ250" s="13" t="str">
        <f>VLOOKUP(E250,Precios!Z$2:AA$941,2,FALSE)</f>
        <v>Queso RUNCA Mantecoso</v>
      </c>
      <c r="AK250" s="14">
        <f>VLOOKUP(E250,Precios!Z$2:BB$941,3,FALSE)*F250</f>
        <v>-1</v>
      </c>
      <c r="AL250" s="17"/>
      <c r="AM250" s="17"/>
      <c r="AN250" s="17"/>
      <c r="AO250" s="17"/>
      <c r="AP250" s="17"/>
      <c r="AQ250" s="17"/>
      <c r="AR250" s="17"/>
      <c r="AS250" s="17"/>
      <c r="AT250" s="17"/>
      <c r="AU250" s="17"/>
      <c r="AV250" s="17"/>
    </row>
    <row r="251" spans="1:48" ht="15.75" customHeight="1">
      <c r="A251" s="21" t="s">
        <v>43</v>
      </c>
      <c r="B251" s="23" t="s">
        <v>1692</v>
      </c>
      <c r="C251" s="22">
        <v>45905</v>
      </c>
      <c r="D251" s="23" t="s">
        <v>172</v>
      </c>
      <c r="E251" s="23" t="s">
        <v>45</v>
      </c>
      <c r="F251" s="21">
        <v>1</v>
      </c>
      <c r="G251" s="12">
        <f>VLOOKUP(E251,Precios!B$2:N$941,12,FALSE)</f>
        <v>8000.1831784723063</v>
      </c>
      <c r="H251" s="12">
        <f t="shared" si="0"/>
        <v>8000.1831784723063</v>
      </c>
      <c r="I251" s="23" t="s">
        <v>52</v>
      </c>
      <c r="J251" s="23" t="s">
        <v>38</v>
      </c>
      <c r="K251" s="24" t="s">
        <v>177</v>
      </c>
      <c r="L251" s="24">
        <v>181</v>
      </c>
      <c r="M251" s="12">
        <f t="shared" ref="M251:N251" si="256">G251/1.19</f>
        <v>6722.8430071195853</v>
      </c>
      <c r="N251" s="12">
        <f t="shared" si="256"/>
        <v>6722.8430071195853</v>
      </c>
      <c r="O251" s="12">
        <f t="shared" si="2"/>
        <v>1277.340171352721</v>
      </c>
      <c r="P251" s="13"/>
      <c r="Q251" s="14">
        <f t="shared" si="3"/>
        <v>2025</v>
      </c>
      <c r="R251" s="15">
        <f>VLOOKUP(MONTH(C251),'Datos Maestros'!M$2:N$14,2,FALSE)</f>
        <v>45536</v>
      </c>
      <c r="S251" s="11" t="str">
        <f>VLOOKUP(E251,Precios!B$2:W$941,3,FALSE)</f>
        <v>Huevos EXTRA</v>
      </c>
      <c r="T251" s="16">
        <f>VLOOKUP(E251,Precios!B$2:N$941,4,FALSE)*F251</f>
        <v>0</v>
      </c>
      <c r="U251" s="17"/>
      <c r="V251" s="12">
        <f>VLOOKUP(E251,Precios!B$2:N$941,13,FALSE)*F251</f>
        <v>1151.6230071195851</v>
      </c>
      <c r="W251" s="12">
        <f t="shared" si="4"/>
        <v>1151.6230071195851</v>
      </c>
      <c r="X251" s="12">
        <f>VLOOKUP(B251,'Datos Maestros'!$C$2:$D$7,2,FALSE)*V251</f>
        <v>0</v>
      </c>
      <c r="Y251" s="18">
        <f t="shared" si="5"/>
        <v>45901</v>
      </c>
      <c r="Z251" s="13" t="s">
        <v>39</v>
      </c>
      <c r="AA251" s="19" t="str">
        <f>VLOOKUP(D251,Clientes!$A$2:$J$486,9,FALSE)</f>
        <v>Frecuente</v>
      </c>
      <c r="AB251" s="13" t="str">
        <f>VLOOKUP(D251,Clientes!$A$2:$K$486,11,FALSE)</f>
        <v>Persona Natural</v>
      </c>
      <c r="AC251" s="13" t="str">
        <f>VLOOKUP(D251,Clientes!$A$2:$B$486,2,FALSE)</f>
        <v>Jardin del Eden</v>
      </c>
      <c r="AD251" s="20"/>
      <c r="AE251" s="20"/>
      <c r="AF251" s="13" t="s">
        <v>40</v>
      </c>
      <c r="AG251" s="15">
        <f t="shared" si="6"/>
        <v>45536</v>
      </c>
      <c r="AH251" s="13" t="s">
        <v>41</v>
      </c>
      <c r="AI251" s="13" t="str">
        <f t="shared" si="7"/>
        <v>Huevos</v>
      </c>
      <c r="AJ251" s="13" t="str">
        <f>VLOOKUP(E251,Precios!Z$2:AA$941,2,FALSE)</f>
        <v>Bandeja Huevos EXTRA</v>
      </c>
      <c r="AK251" s="14">
        <f>VLOOKUP(E251,Precios!Z$2:BB$941,3,FALSE)*F251</f>
        <v>-1</v>
      </c>
      <c r="AL251" s="17"/>
      <c r="AM251" s="17"/>
      <c r="AN251" s="17"/>
      <c r="AO251" s="17"/>
      <c r="AP251" s="17"/>
      <c r="AQ251" s="17"/>
      <c r="AR251" s="17"/>
      <c r="AS251" s="17"/>
      <c r="AT251" s="17"/>
      <c r="AU251" s="17"/>
      <c r="AV251" s="17"/>
    </row>
    <row r="252" spans="1:48" ht="15.75" customHeight="1">
      <c r="A252" s="14" t="s">
        <v>35</v>
      </c>
      <c r="B252" s="23" t="s">
        <v>1692</v>
      </c>
      <c r="C252" s="25">
        <v>45904</v>
      </c>
      <c r="D252" s="23" t="s">
        <v>122</v>
      </c>
      <c r="E252" s="13" t="s">
        <v>37</v>
      </c>
      <c r="F252" s="21">
        <v>1</v>
      </c>
      <c r="G252" s="12">
        <f>VLOOKUP(E252,Precios!B$2:N$941,12,FALSE)</f>
        <v>11000.014358944907</v>
      </c>
      <c r="H252" s="12">
        <f t="shared" si="0"/>
        <v>11000.014358944907</v>
      </c>
      <c r="I252" s="13" t="s">
        <v>52</v>
      </c>
      <c r="J252" s="23" t="s">
        <v>61</v>
      </c>
      <c r="K252" s="24" t="s">
        <v>177</v>
      </c>
      <c r="L252" s="24">
        <v>181</v>
      </c>
      <c r="M252" s="12">
        <f t="shared" ref="M252:N252" si="257">G252/1.19</f>
        <v>9243.7095453318543</v>
      </c>
      <c r="N252" s="12">
        <f t="shared" si="257"/>
        <v>9243.7095453318543</v>
      </c>
      <c r="O252" s="12">
        <f t="shared" si="2"/>
        <v>1756.3048136130528</v>
      </c>
      <c r="P252" s="13"/>
      <c r="Q252" s="14">
        <f t="shared" si="3"/>
        <v>2025</v>
      </c>
      <c r="R252" s="15">
        <f>VLOOKUP(MONTH(C252),'Datos Maestros'!M$2:N$14,2,FALSE)</f>
        <v>45536</v>
      </c>
      <c r="S252" s="11" t="str">
        <f>VLOOKUP(E252,Precios!B$2:W$941,3,FALSE)</f>
        <v>Queso Mantecoso</v>
      </c>
      <c r="T252" s="16">
        <f>VLOOKUP(E252,Precios!B$2:N$941,4,FALSE)*F252</f>
        <v>1000</v>
      </c>
      <c r="U252" s="17"/>
      <c r="V252" s="12">
        <f>VLOOKUP(E252,Precios!B$2:N$941,13,FALSE)*F252</f>
        <v>2806.1129066763915</v>
      </c>
      <c r="W252" s="12">
        <f t="shared" si="4"/>
        <v>2806.1129066763915</v>
      </c>
      <c r="X252" s="12">
        <f>VLOOKUP(B252,'Datos Maestros'!$C$2:$D$7,2,FALSE)*V252</f>
        <v>0</v>
      </c>
      <c r="Y252" s="18">
        <f t="shared" si="5"/>
        <v>45901</v>
      </c>
      <c r="Z252" s="13" t="s">
        <v>39</v>
      </c>
      <c r="AA252" s="19" t="str">
        <f>VLOOKUP(D252,Clientes!$A$2:$J$486,9,FALSE)</f>
        <v>Frecuente</v>
      </c>
      <c r="AB252" s="13" t="str">
        <f>VLOOKUP(D252,Clientes!$A$2:$K$486,11,FALSE)</f>
        <v>Persona Natural</v>
      </c>
      <c r="AC252" s="13" t="str">
        <f>VLOOKUP(D252,Clientes!$A$2:$B$486,2,FALSE)</f>
        <v>Jardines de la Viña</v>
      </c>
      <c r="AD252" s="20"/>
      <c r="AE252" s="20"/>
      <c r="AF252" s="13" t="s">
        <v>40</v>
      </c>
      <c r="AG252" s="15">
        <f t="shared" si="6"/>
        <v>45536</v>
      </c>
      <c r="AH252" s="13" t="s">
        <v>41</v>
      </c>
      <c r="AI252" s="13" t="str">
        <f t="shared" si="7"/>
        <v>Quesos</v>
      </c>
      <c r="AJ252" s="13" t="str">
        <f>VLOOKUP(E252,Precios!Z$2:AA$941,2,FALSE)</f>
        <v>Queso RUNCA Mantecoso</v>
      </c>
      <c r="AK252" s="14">
        <f>VLOOKUP(E252,Precios!Z$2:BB$941,3,FALSE)*F252</f>
        <v>-1</v>
      </c>
      <c r="AL252" s="17"/>
      <c r="AM252" s="17"/>
      <c r="AN252" s="17"/>
      <c r="AO252" s="17"/>
      <c r="AP252" s="17"/>
      <c r="AQ252" s="17"/>
      <c r="AR252" s="17"/>
      <c r="AS252" s="17"/>
      <c r="AT252" s="17"/>
      <c r="AU252" s="17"/>
      <c r="AV252" s="17"/>
    </row>
    <row r="253" spans="1:48" ht="15.75" customHeight="1">
      <c r="A253" s="21" t="s">
        <v>35</v>
      </c>
      <c r="B253" s="23" t="s">
        <v>1692</v>
      </c>
      <c r="C253" s="25">
        <v>45904</v>
      </c>
      <c r="D253" s="23" t="s">
        <v>213</v>
      </c>
      <c r="E253" s="23" t="s">
        <v>37</v>
      </c>
      <c r="F253" s="21">
        <v>2</v>
      </c>
      <c r="G253" s="12">
        <f>VLOOKUP(E253,Precios!B$2:N$941,12,FALSE)</f>
        <v>11000.014358944907</v>
      </c>
      <c r="H253" s="12">
        <f t="shared" si="0"/>
        <v>22000.028717889814</v>
      </c>
      <c r="I253" s="23" t="s">
        <v>52</v>
      </c>
      <c r="J253" s="23" t="s">
        <v>61</v>
      </c>
      <c r="K253" s="24" t="s">
        <v>177</v>
      </c>
      <c r="L253" s="24">
        <v>181</v>
      </c>
      <c r="M253" s="12">
        <f t="shared" ref="M253:N253" si="258">G253/1.19</f>
        <v>9243.7095453318543</v>
      </c>
      <c r="N253" s="12">
        <f t="shared" si="258"/>
        <v>18487.419090663709</v>
      </c>
      <c r="O253" s="12">
        <f t="shared" si="2"/>
        <v>3512.6096272261057</v>
      </c>
      <c r="P253" s="13"/>
      <c r="Q253" s="14">
        <f t="shared" si="3"/>
        <v>2025</v>
      </c>
      <c r="R253" s="15">
        <f>VLOOKUP(MONTH(C253),'Datos Maestros'!M$2:N$14,2,FALSE)</f>
        <v>45536</v>
      </c>
      <c r="S253" s="11" t="str">
        <f>VLOOKUP(E253,Precios!B$2:W$941,3,FALSE)</f>
        <v>Queso Mantecoso</v>
      </c>
      <c r="T253" s="16">
        <f>VLOOKUP(E253,Precios!B$2:N$941,4,FALSE)*F253</f>
        <v>2000</v>
      </c>
      <c r="U253" s="17"/>
      <c r="V253" s="12">
        <f>VLOOKUP(E253,Precios!B$2:N$941,13,FALSE)*F253</f>
        <v>5612.225813352783</v>
      </c>
      <c r="W253" s="12">
        <f t="shared" si="4"/>
        <v>5612.225813352783</v>
      </c>
      <c r="X253" s="12">
        <f>VLOOKUP(B253,'Datos Maestros'!$C$2:$D$7,2,FALSE)*V253</f>
        <v>0</v>
      </c>
      <c r="Y253" s="18">
        <f t="shared" si="5"/>
        <v>45901</v>
      </c>
      <c r="Z253" s="13" t="s">
        <v>39</v>
      </c>
      <c r="AA253" s="19" t="str">
        <f>VLOOKUP(D253,Clientes!$A$2:$J$486,9,FALSE)</f>
        <v>Ocacional</v>
      </c>
      <c r="AB253" s="13" t="str">
        <f>VLOOKUP(D253,Clientes!$A$2:$K$486,11,FALSE)</f>
        <v>Persona Natural</v>
      </c>
      <c r="AC253" s="13" t="str">
        <f>VLOOKUP(D253,Clientes!$A$2:$B$486,2,FALSE)</f>
        <v>Jardin del eden</v>
      </c>
      <c r="AD253" s="20"/>
      <c r="AE253" s="20"/>
      <c r="AF253" s="13" t="s">
        <v>40</v>
      </c>
      <c r="AG253" s="15">
        <f t="shared" si="6"/>
        <v>45536</v>
      </c>
      <c r="AH253" s="13" t="s">
        <v>41</v>
      </c>
      <c r="AI253" s="13" t="str">
        <f t="shared" si="7"/>
        <v>Quesos</v>
      </c>
      <c r="AJ253" s="13" t="str">
        <f>VLOOKUP(E253,Precios!Z$2:AA$941,2,FALSE)</f>
        <v>Queso RUNCA Mantecoso</v>
      </c>
      <c r="AK253" s="14">
        <f>VLOOKUP(E253,Precios!Z$2:BB$941,3,FALSE)*F253</f>
        <v>-2</v>
      </c>
      <c r="AL253" s="17"/>
      <c r="AM253" s="17"/>
      <c r="AN253" s="17"/>
      <c r="AO253" s="17"/>
      <c r="AP253" s="17"/>
      <c r="AQ253" s="17"/>
      <c r="AR253" s="17"/>
      <c r="AS253" s="17"/>
      <c r="AT253" s="17"/>
      <c r="AU253" s="17"/>
      <c r="AV253" s="17"/>
    </row>
    <row r="254" spans="1:48" ht="15.75" customHeight="1">
      <c r="A254" s="21" t="s">
        <v>64</v>
      </c>
      <c r="B254" s="23" t="s">
        <v>1692</v>
      </c>
      <c r="C254" s="25">
        <v>45904</v>
      </c>
      <c r="D254" s="23" t="s">
        <v>213</v>
      </c>
      <c r="E254" s="23" t="s">
        <v>173</v>
      </c>
      <c r="F254" s="21">
        <v>1</v>
      </c>
      <c r="G254" s="12">
        <f>VLOOKUP(E254,Precios!B$2:N$941,12,FALSE)</f>
        <v>23999.589943360927</v>
      </c>
      <c r="H254" s="12">
        <f t="shared" si="0"/>
        <v>23999.589943360927</v>
      </c>
      <c r="I254" s="23" t="s">
        <v>52</v>
      </c>
      <c r="J254" s="23" t="s">
        <v>61</v>
      </c>
      <c r="K254" s="24" t="s">
        <v>177</v>
      </c>
      <c r="L254" s="24">
        <v>181</v>
      </c>
      <c r="M254" s="12">
        <f t="shared" ref="M254:N254" si="259">G254/1.19</f>
        <v>20167.72264147977</v>
      </c>
      <c r="N254" s="12">
        <f t="shared" si="259"/>
        <v>20167.72264147977</v>
      </c>
      <c r="O254" s="12">
        <f t="shared" si="2"/>
        <v>3831.8673018811569</v>
      </c>
      <c r="P254" s="13"/>
      <c r="Q254" s="14">
        <f t="shared" si="3"/>
        <v>2025</v>
      </c>
      <c r="R254" s="15">
        <f>VLOOKUP(MONTH(C254),'Datos Maestros'!M$2:N$14,2,FALSE)</f>
        <v>45536</v>
      </c>
      <c r="S254" s="11" t="str">
        <f>VLOOKUP(E254,Precios!B$2:W$941,3,FALSE)</f>
        <v>Longanizas</v>
      </c>
      <c r="T254" s="16">
        <f>VLOOKUP(E254,Precios!B$2:N$941,4,FALSE)*F254</f>
        <v>3</v>
      </c>
      <c r="U254" s="17"/>
      <c r="V254" s="12">
        <f>VLOOKUP(E254,Precios!B$2:N$941,13,FALSE)*F254</f>
        <v>4429.2352465217864</v>
      </c>
      <c r="W254" s="12">
        <f t="shared" si="4"/>
        <v>4429.2352465217864</v>
      </c>
      <c r="X254" s="12">
        <f>VLOOKUP(B254,'Datos Maestros'!$C$2:$D$7,2,FALSE)*V254</f>
        <v>0</v>
      </c>
      <c r="Y254" s="18">
        <f t="shared" si="5"/>
        <v>45901</v>
      </c>
      <c r="Z254" s="13" t="s">
        <v>39</v>
      </c>
      <c r="AA254" s="19" t="str">
        <f>VLOOKUP(D254,Clientes!$A$2:$J$486,9,FALSE)</f>
        <v>Ocacional</v>
      </c>
      <c r="AB254" s="13" t="str">
        <f>VLOOKUP(D254,Clientes!$A$2:$K$486,11,FALSE)</f>
        <v>Persona Natural</v>
      </c>
      <c r="AC254" s="13" t="str">
        <f>VLOOKUP(D254,Clientes!$A$2:$B$486,2,FALSE)</f>
        <v>Jardin del eden</v>
      </c>
      <c r="AD254" s="20"/>
      <c r="AE254" s="20"/>
      <c r="AF254" s="13" t="s">
        <v>40</v>
      </c>
      <c r="AG254" s="15">
        <f t="shared" si="6"/>
        <v>45536</v>
      </c>
      <c r="AH254" s="13" t="s">
        <v>41</v>
      </c>
      <c r="AI254" s="13" t="str">
        <f t="shared" si="7"/>
        <v>Longanizas</v>
      </c>
      <c r="AJ254" s="13" t="str">
        <f>VLOOKUP(E254,Precios!Z$2:AA$941,2,FALSE)</f>
        <v>Longanizas VILLABLANCA</v>
      </c>
      <c r="AK254" s="14">
        <f>VLOOKUP(E254,Precios!Z$2:BB$941,3,FALSE)*F254</f>
        <v>-3</v>
      </c>
      <c r="AL254" s="17"/>
      <c r="AM254" s="17"/>
      <c r="AN254" s="17"/>
      <c r="AO254" s="17"/>
      <c r="AP254" s="17"/>
      <c r="AQ254" s="17"/>
      <c r="AR254" s="17"/>
      <c r="AS254" s="17"/>
      <c r="AT254" s="17"/>
      <c r="AU254" s="17"/>
      <c r="AV254" s="17"/>
    </row>
    <row r="255" spans="1:48" ht="15.75" customHeight="1">
      <c r="A255" s="21" t="s">
        <v>35</v>
      </c>
      <c r="B255" s="23" t="s">
        <v>1692</v>
      </c>
      <c r="C255" s="25">
        <v>45904</v>
      </c>
      <c r="D255" s="23" t="s">
        <v>128</v>
      </c>
      <c r="E255" s="23" t="s">
        <v>37</v>
      </c>
      <c r="F255" s="14">
        <v>4</v>
      </c>
      <c r="G255" s="12">
        <f>VLOOKUP(E255,Precios!B$2:N$941,12,FALSE)</f>
        <v>11000.014358944907</v>
      </c>
      <c r="H255" s="12">
        <f t="shared" si="0"/>
        <v>44000.057435779629</v>
      </c>
      <c r="I255" s="23" t="s">
        <v>52</v>
      </c>
      <c r="J255" s="23" t="s">
        <v>61</v>
      </c>
      <c r="K255" s="24" t="s">
        <v>177</v>
      </c>
      <c r="L255" s="24">
        <v>181</v>
      </c>
      <c r="M255" s="12">
        <f t="shared" ref="M255:N255" si="260">G255/1.19</f>
        <v>9243.7095453318543</v>
      </c>
      <c r="N255" s="12">
        <f t="shared" si="260"/>
        <v>36974.838181327417</v>
      </c>
      <c r="O255" s="12">
        <f t="shared" si="2"/>
        <v>7025.2192544522113</v>
      </c>
      <c r="P255" s="13"/>
      <c r="Q255" s="14">
        <f t="shared" si="3"/>
        <v>2025</v>
      </c>
      <c r="R255" s="15">
        <f>VLOOKUP(MONTH(C255),'Datos Maestros'!M$2:N$14,2,FALSE)</f>
        <v>45536</v>
      </c>
      <c r="S255" s="11" t="str">
        <f>VLOOKUP(E255,Precios!B$2:W$941,3,FALSE)</f>
        <v>Queso Mantecoso</v>
      </c>
      <c r="T255" s="16">
        <f>VLOOKUP(E255,Precios!B$2:N$941,4,FALSE)*F255</f>
        <v>4000</v>
      </c>
      <c r="U255" s="17"/>
      <c r="V255" s="12">
        <f>VLOOKUP(E255,Precios!B$2:N$941,13,FALSE)*F255</f>
        <v>11224.451626705566</v>
      </c>
      <c r="W255" s="12">
        <f t="shared" si="4"/>
        <v>11224.451626705566</v>
      </c>
      <c r="X255" s="12">
        <f>VLOOKUP(B255,'Datos Maestros'!$C$2:$D$7,2,FALSE)*V255</f>
        <v>0</v>
      </c>
      <c r="Y255" s="18">
        <f t="shared" si="5"/>
        <v>45901</v>
      </c>
      <c r="Z255" s="13" t="s">
        <v>39</v>
      </c>
      <c r="AA255" s="19" t="str">
        <f>VLOOKUP(D255,Clientes!$A$2:$J$486,9,FALSE)</f>
        <v>Ocacional</v>
      </c>
      <c r="AB255" s="13" t="str">
        <f>VLOOKUP(D255,Clientes!$A$2:$K$486,11,FALSE)</f>
        <v>Persona Natural</v>
      </c>
      <c r="AC255" s="13" t="str">
        <f>VLOOKUP(D255,Clientes!$A$2:$B$486,2,FALSE)</f>
        <v>Jardin del Eden</v>
      </c>
      <c r="AD255" s="20"/>
      <c r="AE255" s="20"/>
      <c r="AF255" s="13" t="s">
        <v>40</v>
      </c>
      <c r="AG255" s="15">
        <f t="shared" si="6"/>
        <v>45536</v>
      </c>
      <c r="AH255" s="13" t="s">
        <v>41</v>
      </c>
      <c r="AI255" s="13" t="str">
        <f t="shared" si="7"/>
        <v>Quesos</v>
      </c>
      <c r="AJ255" s="13" t="str">
        <f>VLOOKUP(E255,Precios!Z$2:AA$941,2,FALSE)</f>
        <v>Queso RUNCA Mantecoso</v>
      </c>
      <c r="AK255" s="14">
        <f>VLOOKUP(E255,Precios!Z$2:BB$941,3,FALSE)*F255</f>
        <v>-4</v>
      </c>
      <c r="AL255" s="17"/>
      <c r="AM255" s="17"/>
      <c r="AN255" s="17"/>
      <c r="AO255" s="17"/>
      <c r="AP255" s="17"/>
      <c r="AQ255" s="17"/>
      <c r="AR255" s="17"/>
      <c r="AS255" s="17"/>
      <c r="AT255" s="17"/>
      <c r="AU255" s="17"/>
      <c r="AV255" s="17"/>
    </row>
    <row r="256" spans="1:48" ht="15.75" customHeight="1">
      <c r="A256" s="21" t="s">
        <v>64</v>
      </c>
      <c r="B256" s="23" t="s">
        <v>1692</v>
      </c>
      <c r="C256" s="25">
        <v>45904</v>
      </c>
      <c r="D256" s="23" t="s">
        <v>128</v>
      </c>
      <c r="E256" s="23" t="s">
        <v>65</v>
      </c>
      <c r="F256" s="21">
        <v>2</v>
      </c>
      <c r="G256" s="12">
        <f>VLOOKUP(E256,Precios!B$2:N$941,12,FALSE)</f>
        <v>8200.2358799633075</v>
      </c>
      <c r="H256" s="12">
        <f t="shared" si="0"/>
        <v>16400.471759926615</v>
      </c>
      <c r="I256" s="23" t="s">
        <v>52</v>
      </c>
      <c r="J256" s="23" t="s">
        <v>61</v>
      </c>
      <c r="K256" s="24" t="s">
        <v>177</v>
      </c>
      <c r="L256" s="24">
        <v>181</v>
      </c>
      <c r="M256" s="12">
        <f t="shared" ref="M256:N256" si="261">G256/1.19</f>
        <v>6890.9545209775697</v>
      </c>
      <c r="N256" s="12">
        <f t="shared" si="261"/>
        <v>13781.909041955139</v>
      </c>
      <c r="O256" s="12">
        <f t="shared" si="2"/>
        <v>2618.5627179714756</v>
      </c>
      <c r="P256" s="13"/>
      <c r="Q256" s="14">
        <f t="shared" si="3"/>
        <v>2025</v>
      </c>
      <c r="R256" s="15">
        <f>VLOOKUP(MONTH(C256),'Datos Maestros'!M$2:N$14,2,FALSE)</f>
        <v>45536</v>
      </c>
      <c r="S256" s="11" t="str">
        <f>VLOOKUP(E256,Precios!B$2:W$941,3,FALSE)</f>
        <v>Longanizas</v>
      </c>
      <c r="T256" s="16">
        <f>VLOOKUP(E256,Precios!B$2:N$941,4,FALSE)*F256</f>
        <v>2</v>
      </c>
      <c r="U256" s="17"/>
      <c r="V256" s="12">
        <f>VLOOKUP(E256,Precios!B$2:N$941,13,FALSE)*F256</f>
        <v>3264.9342520391729</v>
      </c>
      <c r="W256" s="12">
        <f t="shared" si="4"/>
        <v>3264.9342520391729</v>
      </c>
      <c r="X256" s="12">
        <f>VLOOKUP(B256,'Datos Maestros'!$C$2:$D$7,2,FALSE)*V256</f>
        <v>0</v>
      </c>
      <c r="Y256" s="18">
        <f t="shared" si="5"/>
        <v>45901</v>
      </c>
      <c r="Z256" s="13" t="s">
        <v>39</v>
      </c>
      <c r="AA256" s="19" t="str">
        <f>VLOOKUP(D256,Clientes!$A$2:$J$486,9,FALSE)</f>
        <v>Ocacional</v>
      </c>
      <c r="AB256" s="13" t="str">
        <f>VLOOKUP(D256,Clientes!$A$2:$K$486,11,FALSE)</f>
        <v>Persona Natural</v>
      </c>
      <c r="AC256" s="13" t="str">
        <f>VLOOKUP(D256,Clientes!$A$2:$B$486,2,FALSE)</f>
        <v>Jardin del Eden</v>
      </c>
      <c r="AD256" s="20"/>
      <c r="AE256" s="20"/>
      <c r="AF256" s="13" t="s">
        <v>40</v>
      </c>
      <c r="AG256" s="15">
        <f t="shared" si="6"/>
        <v>45536</v>
      </c>
      <c r="AH256" s="13" t="s">
        <v>41</v>
      </c>
      <c r="AI256" s="13" t="str">
        <f t="shared" si="7"/>
        <v>Longanizas</v>
      </c>
      <c r="AJ256" s="13" t="str">
        <f>VLOOKUP(E256,Precios!Z$2:AA$941,2,FALSE)</f>
        <v>Longanizas VILLABLANCA</v>
      </c>
      <c r="AK256" s="14">
        <f>VLOOKUP(E256,Precios!Z$2:BB$941,3,FALSE)*F256</f>
        <v>-2</v>
      </c>
      <c r="AL256" s="17"/>
      <c r="AM256" s="17"/>
      <c r="AN256" s="17"/>
      <c r="AO256" s="17"/>
      <c r="AP256" s="17"/>
      <c r="AQ256" s="17"/>
      <c r="AR256" s="17"/>
      <c r="AS256" s="17"/>
      <c r="AT256" s="17"/>
      <c r="AU256" s="17"/>
      <c r="AV256" s="17"/>
    </row>
    <row r="257" spans="1:48" ht="15.75" customHeight="1">
      <c r="A257" s="21" t="s">
        <v>56</v>
      </c>
      <c r="B257" s="23" t="s">
        <v>1692</v>
      </c>
      <c r="C257" s="25">
        <v>45904</v>
      </c>
      <c r="D257" s="23" t="s">
        <v>128</v>
      </c>
      <c r="E257" s="23" t="s">
        <v>57</v>
      </c>
      <c r="F257" s="21">
        <v>1</v>
      </c>
      <c r="G257" s="12">
        <f>VLOOKUP(E257,Precios!B$2:N$941,12,FALSE)</f>
        <v>2999.6253023129066</v>
      </c>
      <c r="H257" s="12">
        <f t="shared" si="0"/>
        <v>2999.6253023129066</v>
      </c>
      <c r="I257" s="23" t="s">
        <v>52</v>
      </c>
      <c r="J257" s="23" t="s">
        <v>61</v>
      </c>
      <c r="K257" s="24" t="s">
        <v>177</v>
      </c>
      <c r="L257" s="24">
        <v>181</v>
      </c>
      <c r="M257" s="12">
        <f t="shared" ref="M257:N257" si="262">G257/1.19</f>
        <v>2520.6935313553836</v>
      </c>
      <c r="N257" s="12">
        <f t="shared" si="262"/>
        <v>2520.6935313553836</v>
      </c>
      <c r="O257" s="12">
        <f t="shared" si="2"/>
        <v>478.93177095752299</v>
      </c>
      <c r="P257" s="13"/>
      <c r="Q257" s="14">
        <f t="shared" si="3"/>
        <v>2025</v>
      </c>
      <c r="R257" s="15">
        <f>VLOOKUP(MONTH(C257),'Datos Maestros'!M$2:N$14,2,FALSE)</f>
        <v>45536</v>
      </c>
      <c r="S257" s="11" t="str">
        <f>VLOOKUP(E257,Precios!B$2:W$941,3,FALSE)</f>
        <v>Provoleta</v>
      </c>
      <c r="T257" s="16">
        <f>VLOOKUP(E257,Precios!B$2:N$941,4,FALSE)*F257</f>
        <v>135</v>
      </c>
      <c r="U257" s="17"/>
      <c r="V257" s="12">
        <f>VLOOKUP(E257,Precios!B$2:N$941,13,FALSE)*F257</f>
        <v>1040.6935313553836</v>
      </c>
      <c r="W257" s="12">
        <f t="shared" si="4"/>
        <v>1040.6935313553836</v>
      </c>
      <c r="X257" s="12">
        <f>VLOOKUP(B257,'Datos Maestros'!$C$2:$D$7,2,FALSE)*V257</f>
        <v>0</v>
      </c>
      <c r="Y257" s="18">
        <f t="shared" si="5"/>
        <v>45901</v>
      </c>
      <c r="Z257" s="13" t="s">
        <v>39</v>
      </c>
      <c r="AA257" s="19" t="str">
        <f>VLOOKUP(D257,Clientes!$A$2:$J$486,9,FALSE)</f>
        <v>Ocacional</v>
      </c>
      <c r="AB257" s="13" t="str">
        <f>VLOOKUP(D257,Clientes!$A$2:$K$486,11,FALSE)</f>
        <v>Persona Natural</v>
      </c>
      <c r="AC257" s="13" t="str">
        <f>VLOOKUP(D257,Clientes!$A$2:$B$486,2,FALSE)</f>
        <v>Jardin del Eden</v>
      </c>
      <c r="AD257" s="20"/>
      <c r="AE257" s="20"/>
      <c r="AF257" s="13" t="s">
        <v>40</v>
      </c>
      <c r="AG257" s="15">
        <f t="shared" si="6"/>
        <v>45536</v>
      </c>
      <c r="AH257" s="13" t="s">
        <v>41</v>
      </c>
      <c r="AI257" s="13" t="str">
        <f t="shared" si="7"/>
        <v>Derivados</v>
      </c>
      <c r="AJ257" s="13" t="str">
        <f>VLOOKUP(E257,Precios!Z$2:AA$941,2,FALSE)</f>
        <v>Provoleta Parrillera</v>
      </c>
      <c r="AK257" s="14">
        <f>VLOOKUP(E257,Precios!Z$2:BB$941,3,FALSE)*F257</f>
        <v>-1</v>
      </c>
      <c r="AL257" s="17"/>
      <c r="AM257" s="17"/>
      <c r="AN257" s="17"/>
      <c r="AO257" s="17"/>
      <c r="AP257" s="17"/>
      <c r="AQ257" s="17"/>
      <c r="AR257" s="17"/>
      <c r="AS257" s="17"/>
      <c r="AT257" s="17"/>
      <c r="AU257" s="17"/>
      <c r="AV257" s="17"/>
    </row>
    <row r="258" spans="1:48" ht="15.75" customHeight="1">
      <c r="A258" s="21" t="s">
        <v>47</v>
      </c>
      <c r="B258" s="23" t="s">
        <v>1692</v>
      </c>
      <c r="C258" s="22">
        <v>45904</v>
      </c>
      <c r="D258" s="23" t="s">
        <v>214</v>
      </c>
      <c r="E258" s="23" t="s">
        <v>71</v>
      </c>
      <c r="F258" s="21">
        <v>4</v>
      </c>
      <c r="G258" s="12">
        <f>VLOOKUP(E258,Precios!B$2:N$941,12,FALSE)</f>
        <v>2700.007670476336</v>
      </c>
      <c r="H258" s="12">
        <f t="shared" si="0"/>
        <v>10800.030681905344</v>
      </c>
      <c r="I258" s="23" t="s">
        <v>52</v>
      </c>
      <c r="J258" s="23" t="s">
        <v>61</v>
      </c>
      <c r="K258" s="24" t="s">
        <v>86</v>
      </c>
      <c r="L258" s="24">
        <v>108</v>
      </c>
      <c r="M258" s="12">
        <f t="shared" ref="M258:N258" si="263">G258/1.19</f>
        <v>2268.9140088036438</v>
      </c>
      <c r="N258" s="12">
        <f t="shared" si="263"/>
        <v>9075.6560352145752</v>
      </c>
      <c r="O258" s="12">
        <f t="shared" si="2"/>
        <v>1724.3746466907687</v>
      </c>
      <c r="P258" s="13"/>
      <c r="Q258" s="14">
        <f t="shared" si="3"/>
        <v>2025</v>
      </c>
      <c r="R258" s="15">
        <f>VLOOKUP(MONTH(C258),'Datos Maestros'!M$2:N$14,2,FALSE)</f>
        <v>45536</v>
      </c>
      <c r="S258" s="11" t="str">
        <f>VLOOKUP(E258,Precios!B$2:W$941,3,FALSE)</f>
        <v>Toalla desinfectantes</v>
      </c>
      <c r="T258" s="16">
        <f>VLOOKUP(E258,Precios!B$2:N$941,4,FALSE)*F258</f>
        <v>0</v>
      </c>
      <c r="U258" s="17"/>
      <c r="V258" s="12">
        <f>VLOOKUP(E258,Precios!B$2:N$941,13,FALSE)*F258</f>
        <v>3159.6896486599535</v>
      </c>
      <c r="W258" s="12">
        <f t="shared" si="4"/>
        <v>3159.6896486599535</v>
      </c>
      <c r="X258" s="12">
        <f>VLOOKUP(B258,'Datos Maestros'!$C$2:$D$7,2,FALSE)*V258</f>
        <v>0</v>
      </c>
      <c r="Y258" s="18">
        <f t="shared" si="5"/>
        <v>45901</v>
      </c>
      <c r="Z258" s="13" t="s">
        <v>39</v>
      </c>
      <c r="AA258" s="19" t="str">
        <f>VLOOKUP(D258,Clientes!$A$2:$J$486,9,FALSE)</f>
        <v>Ocacional</v>
      </c>
      <c r="AB258" s="13" t="str">
        <f>VLOOKUP(D258,Clientes!$A$2:$K$486,11,FALSE)</f>
        <v>Empresa</v>
      </c>
      <c r="AC258" s="13" t="str">
        <f>VLOOKUP(D258,Clientes!$A$2:$B$486,2,FALSE)</f>
        <v>Pudahuel</v>
      </c>
      <c r="AD258" s="20"/>
      <c r="AE258" s="20"/>
      <c r="AF258" s="13" t="s">
        <v>40</v>
      </c>
      <c r="AG258" s="15">
        <f t="shared" si="6"/>
        <v>45536</v>
      </c>
      <c r="AH258" s="13" t="s">
        <v>41</v>
      </c>
      <c r="AI258" s="13" t="str">
        <f t="shared" si="7"/>
        <v>Articulos de Aseo</v>
      </c>
      <c r="AJ258" s="13" t="str">
        <f>VLOOKUP(E258,Precios!Z$2:AA$941,2,FALSE)</f>
        <v>Toalla desinfectante IGENIX 50 unidades</v>
      </c>
      <c r="AK258" s="14">
        <f>VLOOKUP(E258,Precios!Z$2:BB$941,3,FALSE)*F258</f>
        <v>-4</v>
      </c>
      <c r="AL258" s="17"/>
      <c r="AM258" s="17"/>
      <c r="AN258" s="17"/>
      <c r="AO258" s="17"/>
      <c r="AP258" s="17"/>
      <c r="AQ258" s="17"/>
      <c r="AR258" s="17"/>
      <c r="AS258" s="17"/>
      <c r="AT258" s="17"/>
      <c r="AU258" s="17"/>
      <c r="AV258" s="17"/>
    </row>
    <row r="259" spans="1:48" ht="15.75" customHeight="1">
      <c r="A259" s="21" t="s">
        <v>76</v>
      </c>
      <c r="B259" s="23" t="s">
        <v>1692</v>
      </c>
      <c r="C259" s="22">
        <v>45904</v>
      </c>
      <c r="D259" s="23" t="s">
        <v>126</v>
      </c>
      <c r="E259" s="23" t="s">
        <v>137</v>
      </c>
      <c r="F259" s="21">
        <v>2</v>
      </c>
      <c r="G259" s="12">
        <f>VLOOKUP(E259,Precios!B$2:N$941,12,FALSE)</f>
        <v>3500.0000000000005</v>
      </c>
      <c r="H259" s="12">
        <f t="shared" si="0"/>
        <v>7000.0000000000009</v>
      </c>
      <c r="I259" s="23" t="s">
        <v>52</v>
      </c>
      <c r="J259" s="23" t="s">
        <v>61</v>
      </c>
      <c r="K259" s="24" t="s">
        <v>177</v>
      </c>
      <c r="L259" s="24">
        <v>181</v>
      </c>
      <c r="M259" s="12">
        <f t="shared" ref="M259:N259" si="264">G259/1.19</f>
        <v>2941.1764705882356</v>
      </c>
      <c r="N259" s="12">
        <f t="shared" si="264"/>
        <v>5882.3529411764712</v>
      </c>
      <c r="O259" s="12">
        <f t="shared" si="2"/>
        <v>1117.6470588235297</v>
      </c>
      <c r="P259" s="13"/>
      <c r="Q259" s="14">
        <f t="shared" si="3"/>
        <v>2025</v>
      </c>
      <c r="R259" s="15">
        <f>VLOOKUP(MONTH(C259),'Datos Maestros'!M$2:N$14,2,FALSE)</f>
        <v>45536</v>
      </c>
      <c r="S259" s="11" t="str">
        <f>VLOOKUP(E259,Precios!B$2:W$941,3,FALSE)</f>
        <v>Detergente Piel Sensible</v>
      </c>
      <c r="T259" s="16">
        <f>VLOOKUP(E259,Precios!B$2:N$941,4,FALSE)*F259</f>
        <v>10</v>
      </c>
      <c r="U259" s="17"/>
      <c r="V259" s="12">
        <f>VLOOKUP(E259,Precios!B$2:N$941,13,FALSE)*F259</f>
        <v>1697.4789915966394</v>
      </c>
      <c r="W259" s="12">
        <f t="shared" si="4"/>
        <v>1697.4789915966394</v>
      </c>
      <c r="X259" s="12">
        <f>VLOOKUP(B259,'Datos Maestros'!$C$2:$D$7,2,FALSE)*V259</f>
        <v>0</v>
      </c>
      <c r="Y259" s="18">
        <f t="shared" si="5"/>
        <v>45901</v>
      </c>
      <c r="Z259" s="13" t="s">
        <v>39</v>
      </c>
      <c r="AA259" s="19" t="str">
        <f>VLOOKUP(D259,Clientes!$A$2:$J$486,9,FALSE)</f>
        <v>Frecuente</v>
      </c>
      <c r="AB259" s="13" t="str">
        <f>VLOOKUP(D259,Clientes!$A$2:$K$486,11,FALSE)</f>
        <v>Persona Natural</v>
      </c>
      <c r="AC259" s="13" t="str">
        <f>VLOOKUP(D259,Clientes!$A$2:$B$486,2,FALSE)</f>
        <v>Jardines de la Viña</v>
      </c>
      <c r="AD259" s="20"/>
      <c r="AE259" s="20"/>
      <c r="AF259" s="13" t="s">
        <v>40</v>
      </c>
      <c r="AG259" s="15">
        <f t="shared" si="6"/>
        <v>45536</v>
      </c>
      <c r="AH259" s="13" t="s">
        <v>41</v>
      </c>
      <c r="AI259" s="13" t="str">
        <f t="shared" si="7"/>
        <v>Detergentes</v>
      </c>
      <c r="AJ259" s="13" t="str">
        <f>VLOOKUP(E259,Precios!Z$2:AA$941,2,FALSE)</f>
        <v>Detergente SPUM 5 Litros (Blanco)</v>
      </c>
      <c r="AK259" s="14">
        <f>VLOOKUP(E259,Precios!Z$2:BB$941,3,FALSE)*F259</f>
        <v>-2</v>
      </c>
      <c r="AL259" s="17"/>
      <c r="AM259" s="17"/>
      <c r="AN259" s="17"/>
      <c r="AO259" s="17"/>
      <c r="AP259" s="17"/>
      <c r="AQ259" s="17"/>
      <c r="AR259" s="17"/>
      <c r="AS259" s="17"/>
      <c r="AT259" s="17"/>
      <c r="AU259" s="17"/>
      <c r="AV259" s="17"/>
    </row>
    <row r="260" spans="1:48" ht="15.75" customHeight="1">
      <c r="A260" s="21" t="s">
        <v>76</v>
      </c>
      <c r="B260" s="23" t="s">
        <v>1692</v>
      </c>
      <c r="C260" s="22">
        <v>45903</v>
      </c>
      <c r="D260" s="23" t="s">
        <v>215</v>
      </c>
      <c r="E260" s="23" t="s">
        <v>216</v>
      </c>
      <c r="F260" s="21">
        <v>1</v>
      </c>
      <c r="G260" s="12">
        <f>VLOOKUP(E260,Precios!B$2:N$941,12,FALSE)</f>
        <v>4300</v>
      </c>
      <c r="H260" s="12">
        <f t="shared" si="0"/>
        <v>4300</v>
      </c>
      <c r="I260" s="23" t="s">
        <v>52</v>
      </c>
      <c r="J260" s="23" t="s">
        <v>61</v>
      </c>
      <c r="K260" s="24" t="s">
        <v>177</v>
      </c>
      <c r="L260" s="24">
        <v>180</v>
      </c>
      <c r="M260" s="12">
        <f t="shared" ref="M260:N260" si="265">G260/1.19</f>
        <v>3613.4453781512607</v>
      </c>
      <c r="N260" s="12">
        <f t="shared" si="265"/>
        <v>3613.4453781512607</v>
      </c>
      <c r="O260" s="12">
        <f t="shared" si="2"/>
        <v>686.55462184873932</v>
      </c>
      <c r="P260" s="13"/>
      <c r="Q260" s="14">
        <f t="shared" si="3"/>
        <v>2025</v>
      </c>
      <c r="R260" s="15">
        <f>VLOOKUP(MONTH(C260),'Datos Maestros'!M$2:N$14,2,FALSE)</f>
        <v>45536</v>
      </c>
      <c r="S260" s="11" t="str">
        <f>VLOOKUP(E260,Precios!B$2:W$941,3,FALSE)</f>
        <v>Lavaloza</v>
      </c>
      <c r="T260" s="16">
        <f>VLOOKUP(E260,Precios!B$2:N$941,4,FALSE)*F260</f>
        <v>5</v>
      </c>
      <c r="U260" s="17"/>
      <c r="V260" s="12">
        <f>VLOOKUP(E260,Precios!B$2:N$941,13,FALSE)*F260</f>
        <v>1134.453781512605</v>
      </c>
      <c r="W260" s="12">
        <f t="shared" si="4"/>
        <v>1134.453781512605</v>
      </c>
      <c r="X260" s="12">
        <f>VLOOKUP(B260,'Datos Maestros'!$C$2:$D$7,2,FALSE)*V260</f>
        <v>0</v>
      </c>
      <c r="Y260" s="18">
        <f t="shared" si="5"/>
        <v>45901</v>
      </c>
      <c r="Z260" s="13" t="s">
        <v>39</v>
      </c>
      <c r="AA260" s="19" t="str">
        <f>VLOOKUP(D260,Clientes!$A$2:$J$486,9,FALSE)</f>
        <v>Ocacional</v>
      </c>
      <c r="AB260" s="13" t="str">
        <f>VLOOKUP(D260,Clientes!$A$2:$K$486,11,FALSE)</f>
        <v>Persona Natural</v>
      </c>
      <c r="AC260" s="13" t="str">
        <f>VLOOKUP(D260,Clientes!$A$2:$B$486,2,FALSE)</f>
        <v>Palena</v>
      </c>
      <c r="AD260" s="20"/>
      <c r="AE260" s="20"/>
      <c r="AF260" s="13" t="s">
        <v>40</v>
      </c>
      <c r="AG260" s="15">
        <f t="shared" si="6"/>
        <v>45536</v>
      </c>
      <c r="AH260" s="13" t="s">
        <v>41</v>
      </c>
      <c r="AI260" s="13" t="str">
        <f t="shared" si="7"/>
        <v>Detergentes</v>
      </c>
      <c r="AJ260" s="13" t="str">
        <f>VLOOKUP(E260,Precios!Z$2:AA$941,2,FALSE)</f>
        <v>Lavaloza SPUM 5 Litros</v>
      </c>
      <c r="AK260" s="14">
        <f>VLOOKUP(E260,Precios!Z$2:BB$941,3,FALSE)*F260</f>
        <v>-1</v>
      </c>
      <c r="AL260" s="17"/>
      <c r="AM260" s="17"/>
      <c r="AN260" s="17"/>
      <c r="AO260" s="17"/>
      <c r="AP260" s="17"/>
      <c r="AQ260" s="17"/>
      <c r="AR260" s="17"/>
      <c r="AS260" s="17"/>
      <c r="AT260" s="17"/>
      <c r="AU260" s="17"/>
      <c r="AV260" s="17"/>
    </row>
    <row r="261" spans="1:48" ht="15.75" customHeight="1">
      <c r="A261" s="21" t="s">
        <v>53</v>
      </c>
      <c r="B261" s="23" t="s">
        <v>1692</v>
      </c>
      <c r="C261" s="22">
        <v>45903</v>
      </c>
      <c r="D261" s="23" t="s">
        <v>215</v>
      </c>
      <c r="E261" s="23" t="s">
        <v>55</v>
      </c>
      <c r="F261" s="21">
        <v>1</v>
      </c>
      <c r="G261" s="12">
        <f>VLOOKUP(E261,Precios!B$2:N$941,12,FALSE)</f>
        <v>20899.91124296327</v>
      </c>
      <c r="H261" s="12">
        <f t="shared" si="0"/>
        <v>20899.91124296327</v>
      </c>
      <c r="I261" s="23" t="s">
        <v>52</v>
      </c>
      <c r="J261" s="23" t="s">
        <v>61</v>
      </c>
      <c r="K261" s="24" t="s">
        <v>177</v>
      </c>
      <c r="L261" s="24">
        <v>180</v>
      </c>
      <c r="M261" s="12">
        <f t="shared" ref="M261:N261" si="266">G261/1.19</f>
        <v>17562.950624338882</v>
      </c>
      <c r="N261" s="12">
        <f t="shared" si="266"/>
        <v>17562.950624338882</v>
      </c>
      <c r="O261" s="12">
        <f t="shared" si="2"/>
        <v>3336.9606186243873</v>
      </c>
      <c r="P261" s="13"/>
      <c r="Q261" s="14">
        <f t="shared" si="3"/>
        <v>2025</v>
      </c>
      <c r="R261" s="15">
        <f>VLOOKUP(MONTH(C261),'Datos Maestros'!M$2:N$14,2,FALSE)</f>
        <v>45536</v>
      </c>
      <c r="S261" s="11" t="str">
        <f>VLOOKUP(E261,Precios!B$2:W$941,3,FALSE)</f>
        <v>Papel Higiénico ELITE</v>
      </c>
      <c r="T261" s="16">
        <f>VLOOKUP(E261,Precios!B$2:N$941,4,FALSE)*F261</f>
        <v>0</v>
      </c>
      <c r="U261" s="17"/>
      <c r="V261" s="12">
        <f>VLOOKUP(E261,Precios!B$2:N$941,13,FALSE)*F261</f>
        <v>3117.9506243388823</v>
      </c>
      <c r="W261" s="12">
        <f t="shared" si="4"/>
        <v>3117.9506243388823</v>
      </c>
      <c r="X261" s="12">
        <f>VLOOKUP(B261,'Datos Maestros'!$C$2:$D$7,2,FALSE)*V261</f>
        <v>0</v>
      </c>
      <c r="Y261" s="18">
        <f t="shared" si="5"/>
        <v>45901</v>
      </c>
      <c r="Z261" s="13" t="s">
        <v>39</v>
      </c>
      <c r="AA261" s="19" t="str">
        <f>VLOOKUP(D261,Clientes!$A$2:$J$486,9,FALSE)</f>
        <v>Ocacional</v>
      </c>
      <c r="AB261" s="13" t="str">
        <f>VLOOKUP(D261,Clientes!$A$2:$K$486,11,FALSE)</f>
        <v>Persona Natural</v>
      </c>
      <c r="AC261" s="13" t="str">
        <f>VLOOKUP(D261,Clientes!$A$2:$B$486,2,FALSE)</f>
        <v>Palena</v>
      </c>
      <c r="AD261" s="20"/>
      <c r="AE261" s="20"/>
      <c r="AF261" s="13" t="s">
        <v>40</v>
      </c>
      <c r="AG261" s="15">
        <f t="shared" si="6"/>
        <v>45536</v>
      </c>
      <c r="AH261" s="13" t="s">
        <v>41</v>
      </c>
      <c r="AI261" s="13" t="str">
        <f t="shared" si="7"/>
        <v>Papeleria</v>
      </c>
      <c r="AJ261" s="13" t="str">
        <f>VLOOKUP(E261,Precios!Z$2:AA$941,2,FALSE)</f>
        <v>Papel Higienico ELITE 50 metros</v>
      </c>
      <c r="AK261" s="14">
        <f>VLOOKUP(E261,Precios!Z$2:BB$941,3,FALSE)*F261</f>
        <v>-8</v>
      </c>
      <c r="AL261" s="17"/>
      <c r="AM261" s="17"/>
      <c r="AN261" s="17"/>
      <c r="AO261" s="17"/>
      <c r="AP261" s="17"/>
      <c r="AQ261" s="17"/>
      <c r="AR261" s="17"/>
      <c r="AS261" s="17"/>
      <c r="AT261" s="17"/>
      <c r="AU261" s="17"/>
      <c r="AV261" s="17"/>
    </row>
    <row r="262" spans="1:48" ht="15.75" customHeight="1">
      <c r="A262" s="21" t="s">
        <v>47</v>
      </c>
      <c r="B262" s="23" t="s">
        <v>1692</v>
      </c>
      <c r="C262" s="22">
        <v>45903</v>
      </c>
      <c r="D262" s="23" t="s">
        <v>214</v>
      </c>
      <c r="E262" s="23" t="s">
        <v>217</v>
      </c>
      <c r="F262" s="21">
        <v>2</v>
      </c>
      <c r="G262" s="12">
        <f>VLOOKUP(E262,Precios!B$2:N$941,12,FALSE)</f>
        <v>1500.1443464314357</v>
      </c>
      <c r="H262" s="12">
        <f t="shared" si="0"/>
        <v>3000.2886928628714</v>
      </c>
      <c r="I262" s="23" t="s">
        <v>52</v>
      </c>
      <c r="J262" s="23" t="s">
        <v>61</v>
      </c>
      <c r="K262" s="24" t="s">
        <v>86</v>
      </c>
      <c r="L262" s="24">
        <v>108</v>
      </c>
      <c r="M262" s="12">
        <f t="shared" ref="M262:N262" si="267">G262/1.19</f>
        <v>1260.6255012028871</v>
      </c>
      <c r="N262" s="12">
        <f t="shared" si="267"/>
        <v>2521.2510024057742</v>
      </c>
      <c r="O262" s="12">
        <f t="shared" si="2"/>
        <v>479.03769045709714</v>
      </c>
      <c r="P262" s="13"/>
      <c r="Q262" s="14">
        <f t="shared" si="3"/>
        <v>2025</v>
      </c>
      <c r="R262" s="15">
        <f>VLOOKUP(MONTH(C262),'Datos Maestros'!M$2:N$14,2,FALSE)</f>
        <v>45536</v>
      </c>
      <c r="S262" s="11" t="str">
        <f>VLOOKUP(E262,Precios!B$2:W$941,3,FALSE)</f>
        <v>Lustra Mueble</v>
      </c>
      <c r="T262" s="16">
        <f>VLOOKUP(E262,Precios!B$2:N$941,4,FALSE)*F262</f>
        <v>0</v>
      </c>
      <c r="U262" s="17"/>
      <c r="V262" s="12">
        <f>VLOOKUP(E262,Precios!B$2:N$941,13,FALSE)*F262</f>
        <v>949.25100240577422</v>
      </c>
      <c r="W262" s="12">
        <f t="shared" si="4"/>
        <v>949.25100240577422</v>
      </c>
      <c r="X262" s="12">
        <f>VLOOKUP(B262,'Datos Maestros'!$C$2:$D$7,2,FALSE)*V262</f>
        <v>0</v>
      </c>
      <c r="Y262" s="18">
        <f t="shared" si="5"/>
        <v>45901</v>
      </c>
      <c r="Z262" s="13" t="s">
        <v>39</v>
      </c>
      <c r="AA262" s="19" t="str">
        <f>VLOOKUP(D262,Clientes!$A$2:$J$486,9,FALSE)</f>
        <v>Ocacional</v>
      </c>
      <c r="AB262" s="13" t="str">
        <f>VLOOKUP(D262,Clientes!$A$2:$K$486,11,FALSE)</f>
        <v>Empresa</v>
      </c>
      <c r="AC262" s="13" t="str">
        <f>VLOOKUP(D262,Clientes!$A$2:$B$486,2,FALSE)</f>
        <v>Pudahuel</v>
      </c>
      <c r="AD262" s="20"/>
      <c r="AE262" s="20"/>
      <c r="AF262" s="13" t="s">
        <v>40</v>
      </c>
      <c r="AG262" s="15">
        <f t="shared" si="6"/>
        <v>45536</v>
      </c>
      <c r="AH262" s="13" t="s">
        <v>41</v>
      </c>
      <c r="AI262" s="13" t="str">
        <f t="shared" si="7"/>
        <v>Articulos de Aseo</v>
      </c>
      <c r="AJ262" s="13" t="str">
        <f>VLOOKUP(E262,Precios!Z$2:AA$941,2,FALSE)</f>
        <v>Lustra Mueble TEDDY</v>
      </c>
      <c r="AK262" s="14">
        <f>VLOOKUP(E262,Precios!Z$2:BB$941,3,FALSE)*F262</f>
        <v>-2</v>
      </c>
      <c r="AL262" s="17"/>
      <c r="AM262" s="17"/>
      <c r="AN262" s="17"/>
      <c r="AO262" s="17"/>
      <c r="AP262" s="17"/>
      <c r="AQ262" s="17"/>
      <c r="AR262" s="17"/>
      <c r="AS262" s="17"/>
      <c r="AT262" s="17"/>
      <c r="AU262" s="17"/>
      <c r="AV262" s="17"/>
    </row>
    <row r="263" spans="1:48" ht="15.75" customHeight="1">
      <c r="A263" s="21" t="s">
        <v>76</v>
      </c>
      <c r="B263" s="23" t="s">
        <v>1692</v>
      </c>
      <c r="C263" s="22">
        <v>45903</v>
      </c>
      <c r="D263" s="23" t="s">
        <v>214</v>
      </c>
      <c r="E263" s="23" t="s">
        <v>218</v>
      </c>
      <c r="F263" s="21">
        <v>2</v>
      </c>
      <c r="G263" s="12">
        <f>VLOOKUP(E263,Precios!B$2:N$941,12,FALSE)</f>
        <v>1500.0000000000002</v>
      </c>
      <c r="H263" s="12">
        <f t="shared" si="0"/>
        <v>3000.0000000000005</v>
      </c>
      <c r="I263" s="23" t="s">
        <v>52</v>
      </c>
      <c r="J263" s="23" t="s">
        <v>61</v>
      </c>
      <c r="K263" s="24" t="s">
        <v>86</v>
      </c>
      <c r="L263" s="24">
        <v>108</v>
      </c>
      <c r="M263" s="12">
        <f t="shared" ref="M263:N263" si="268">G263/1.19</f>
        <v>1260.5042016806726</v>
      </c>
      <c r="N263" s="12">
        <f t="shared" si="268"/>
        <v>2521.0084033613452</v>
      </c>
      <c r="O263" s="12">
        <f t="shared" si="2"/>
        <v>478.99159663865521</v>
      </c>
      <c r="P263" s="13"/>
      <c r="Q263" s="14">
        <f t="shared" si="3"/>
        <v>2025</v>
      </c>
      <c r="R263" s="15">
        <f>VLOOKUP(MONTH(C263),'Datos Maestros'!M$2:N$14,2,FALSE)</f>
        <v>45536</v>
      </c>
      <c r="S263" s="11" t="str">
        <f>VLOOKUP(E263,Precios!B$2:W$941,3,FALSE)</f>
        <v>LImpia Vidrio</v>
      </c>
      <c r="T263" s="16">
        <f>VLOOKUP(E263,Precios!B$2:N$941,4,FALSE)*F263</f>
        <v>1000</v>
      </c>
      <c r="U263" s="17"/>
      <c r="V263" s="12">
        <f>VLOOKUP(E263,Precios!B$2:N$941,13,FALSE)*F263</f>
        <v>1008.4033613445381</v>
      </c>
      <c r="W263" s="12">
        <f t="shared" si="4"/>
        <v>1008.4033613445381</v>
      </c>
      <c r="X263" s="12">
        <f>VLOOKUP(B263,'Datos Maestros'!$C$2:$D$7,2,FALSE)*V263</f>
        <v>0</v>
      </c>
      <c r="Y263" s="18">
        <f t="shared" si="5"/>
        <v>45901</v>
      </c>
      <c r="Z263" s="13" t="s">
        <v>39</v>
      </c>
      <c r="AA263" s="19" t="str">
        <f>VLOOKUP(D263,Clientes!$A$2:$J$486,9,FALSE)</f>
        <v>Ocacional</v>
      </c>
      <c r="AB263" s="13" t="str">
        <f>VLOOKUP(D263,Clientes!$A$2:$K$486,11,FALSE)</f>
        <v>Empresa</v>
      </c>
      <c r="AC263" s="13" t="str">
        <f>VLOOKUP(D263,Clientes!$A$2:$B$486,2,FALSE)</f>
        <v>Pudahuel</v>
      </c>
      <c r="AD263" s="20"/>
      <c r="AE263" s="20"/>
      <c r="AF263" s="13" t="s">
        <v>40</v>
      </c>
      <c r="AG263" s="15">
        <f t="shared" si="6"/>
        <v>45536</v>
      </c>
      <c r="AH263" s="13" t="s">
        <v>41</v>
      </c>
      <c r="AI263" s="13" t="str">
        <f t="shared" si="7"/>
        <v>Detergentes</v>
      </c>
      <c r="AJ263" s="13" t="str">
        <f>VLOOKUP(E263,Precios!Z$2:AA$941,2,FALSE)</f>
        <v>Limpia Vidrio SPUM 500 ml</v>
      </c>
      <c r="AK263" s="14">
        <f>VLOOKUP(E263,Precios!Z$2:BB$941,3,FALSE)*F263</f>
        <v>-2</v>
      </c>
      <c r="AL263" s="17"/>
      <c r="AM263" s="17"/>
      <c r="AN263" s="17"/>
      <c r="AO263" s="17"/>
      <c r="AP263" s="17"/>
      <c r="AQ263" s="17"/>
      <c r="AR263" s="17"/>
      <c r="AS263" s="17"/>
      <c r="AT263" s="17"/>
      <c r="AU263" s="17"/>
      <c r="AV263" s="17"/>
    </row>
    <row r="264" spans="1:48" ht="15.75" customHeight="1">
      <c r="A264" s="21" t="s">
        <v>53</v>
      </c>
      <c r="B264" s="23" t="s">
        <v>1692</v>
      </c>
      <c r="C264" s="22">
        <v>45903</v>
      </c>
      <c r="D264" s="23" t="s">
        <v>214</v>
      </c>
      <c r="E264" s="23" t="s">
        <v>70</v>
      </c>
      <c r="F264" s="21">
        <v>1</v>
      </c>
      <c r="G264" s="12">
        <f>VLOOKUP(E264,Precios!B$2:N$941,12,FALSE)</f>
        <v>5000.3257328990221</v>
      </c>
      <c r="H264" s="12">
        <f t="shared" si="0"/>
        <v>5000.3257328990221</v>
      </c>
      <c r="I264" s="23" t="s">
        <v>52</v>
      </c>
      <c r="J264" s="23" t="s">
        <v>61</v>
      </c>
      <c r="K264" s="24" t="s">
        <v>86</v>
      </c>
      <c r="L264" s="24">
        <v>108</v>
      </c>
      <c r="M264" s="12">
        <f t="shared" ref="M264:N264" si="269">G264/1.19</f>
        <v>4201.9543973941363</v>
      </c>
      <c r="N264" s="12">
        <f t="shared" si="269"/>
        <v>4201.9543973941363</v>
      </c>
      <c r="O264" s="12">
        <f t="shared" si="2"/>
        <v>798.37133550488579</v>
      </c>
      <c r="P264" s="13"/>
      <c r="Q264" s="14">
        <f t="shared" si="3"/>
        <v>2025</v>
      </c>
      <c r="R264" s="15">
        <f>VLOOKUP(MONTH(C264),'Datos Maestros'!M$2:N$14,2,FALSE)</f>
        <v>45536</v>
      </c>
      <c r="S264" s="11" t="str">
        <f>VLOOKUP(E264,Precios!B$2:W$941,3,FALSE)</f>
        <v>Servilletas</v>
      </c>
      <c r="T264" s="16">
        <f>VLOOKUP(E264,Precios!B$2:N$941,4,FALSE)*F264</f>
        <v>300</v>
      </c>
      <c r="U264" s="17"/>
      <c r="V264" s="12">
        <f>VLOOKUP(E264,Precios!B$2:N$941,13,FALSE)*F264</f>
        <v>2008.9543973941363</v>
      </c>
      <c r="W264" s="12">
        <f t="shared" si="4"/>
        <v>2008.9543973941363</v>
      </c>
      <c r="X264" s="12">
        <f>VLOOKUP(B264,'Datos Maestros'!$C$2:$D$7,2,FALSE)*V264</f>
        <v>0</v>
      </c>
      <c r="Y264" s="18">
        <f t="shared" si="5"/>
        <v>45901</v>
      </c>
      <c r="Z264" s="13" t="s">
        <v>39</v>
      </c>
      <c r="AA264" s="19" t="str">
        <f>VLOOKUP(D264,Clientes!$A$2:$J$486,9,FALSE)</f>
        <v>Ocacional</v>
      </c>
      <c r="AB264" s="13" t="str">
        <f>VLOOKUP(D264,Clientes!$A$2:$K$486,11,FALSE)</f>
        <v>Empresa</v>
      </c>
      <c r="AC264" s="13" t="str">
        <f>VLOOKUP(D264,Clientes!$A$2:$B$486,2,FALSE)</f>
        <v>Pudahuel</v>
      </c>
      <c r="AD264" s="20"/>
      <c r="AE264" s="20"/>
      <c r="AF264" s="13" t="s">
        <v>40</v>
      </c>
      <c r="AG264" s="15">
        <f t="shared" si="6"/>
        <v>45536</v>
      </c>
      <c r="AH264" s="13" t="s">
        <v>41</v>
      </c>
      <c r="AI264" s="13" t="str">
        <f t="shared" si="7"/>
        <v>Papeleria</v>
      </c>
      <c r="AJ264" s="13" t="str">
        <f>VLOOKUP(E264,Precios!Z$2:AA$941,2,FALSE)</f>
        <v>Servilletas SOFTQUALITY 300 unidades</v>
      </c>
      <c r="AK264" s="14">
        <f>VLOOKUP(E264,Precios!Z$2:BB$941,3,FALSE)*F264</f>
        <v>-3</v>
      </c>
      <c r="AL264" s="17"/>
      <c r="AM264" s="17"/>
      <c r="AN264" s="17"/>
      <c r="AO264" s="17"/>
      <c r="AP264" s="17"/>
      <c r="AQ264" s="17"/>
      <c r="AR264" s="17"/>
      <c r="AS264" s="17"/>
      <c r="AT264" s="17"/>
      <c r="AU264" s="17"/>
      <c r="AV264" s="17"/>
    </row>
    <row r="265" spans="1:48" ht="15.75" customHeight="1">
      <c r="A265" s="21" t="s">
        <v>43</v>
      </c>
      <c r="B265" s="23" t="s">
        <v>1692</v>
      </c>
      <c r="C265" s="22">
        <v>45903</v>
      </c>
      <c r="D265" s="23" t="s">
        <v>219</v>
      </c>
      <c r="E265" s="23" t="s">
        <v>45</v>
      </c>
      <c r="F265" s="21">
        <v>1</v>
      </c>
      <c r="G265" s="12">
        <f>VLOOKUP(E265,Precios!B$2:N$941,12,FALSE)</f>
        <v>8000.1831784723063</v>
      </c>
      <c r="H265" s="12">
        <f t="shared" si="0"/>
        <v>8000.1831784723063</v>
      </c>
      <c r="I265" s="23" t="s">
        <v>52</v>
      </c>
      <c r="J265" s="23" t="s">
        <v>61</v>
      </c>
      <c r="K265" s="24" t="s">
        <v>177</v>
      </c>
      <c r="L265" s="24">
        <v>180</v>
      </c>
      <c r="M265" s="12">
        <f t="shared" ref="M265:N265" si="270">G265/1.19</f>
        <v>6722.8430071195853</v>
      </c>
      <c r="N265" s="12">
        <f t="shared" si="270"/>
        <v>6722.8430071195853</v>
      </c>
      <c r="O265" s="12">
        <f t="shared" si="2"/>
        <v>1277.340171352721</v>
      </c>
      <c r="P265" s="13"/>
      <c r="Q265" s="14">
        <f t="shared" si="3"/>
        <v>2025</v>
      </c>
      <c r="R265" s="15">
        <f>VLOOKUP(MONTH(C265),'Datos Maestros'!M$2:N$14,2,FALSE)</f>
        <v>45536</v>
      </c>
      <c r="S265" s="11" t="str">
        <f>VLOOKUP(E265,Precios!B$2:W$941,3,FALSE)</f>
        <v>Huevos EXTRA</v>
      </c>
      <c r="T265" s="16">
        <f>VLOOKUP(E265,Precios!B$2:N$941,4,FALSE)*F265</f>
        <v>0</v>
      </c>
      <c r="U265" s="17"/>
      <c r="V265" s="12">
        <f>VLOOKUP(E265,Precios!B$2:N$941,13,FALSE)*F265</f>
        <v>1151.6230071195851</v>
      </c>
      <c r="W265" s="12">
        <f t="shared" si="4"/>
        <v>1151.6230071195851</v>
      </c>
      <c r="X265" s="12">
        <f>VLOOKUP(B265,'Datos Maestros'!$C$2:$D$7,2,FALSE)*V265</f>
        <v>0</v>
      </c>
      <c r="Y265" s="18">
        <f t="shared" si="5"/>
        <v>45901</v>
      </c>
      <c r="Z265" s="13" t="s">
        <v>39</v>
      </c>
      <c r="AA265" s="19" t="str">
        <f>VLOOKUP(D265,Clientes!$A$2:$J$486,9,FALSE)</f>
        <v>Ocacional</v>
      </c>
      <c r="AB265" s="13" t="str">
        <f>VLOOKUP(D265,Clientes!$A$2:$K$486,11,FALSE)</f>
        <v>Persona Natural</v>
      </c>
      <c r="AC265" s="13" t="str">
        <f>VLOOKUP(D265,Clientes!$A$2:$B$486,2,FALSE)</f>
        <v>Jardines de la Viña</v>
      </c>
      <c r="AD265" s="20"/>
      <c r="AE265" s="20"/>
      <c r="AF265" s="13" t="s">
        <v>40</v>
      </c>
      <c r="AG265" s="15">
        <f t="shared" si="6"/>
        <v>45536</v>
      </c>
      <c r="AH265" s="13" t="s">
        <v>41</v>
      </c>
      <c r="AI265" s="13" t="str">
        <f t="shared" si="7"/>
        <v>Huevos</v>
      </c>
      <c r="AJ265" s="13" t="str">
        <f>VLOOKUP(E265,Precios!Z$2:AA$941,2,FALSE)</f>
        <v>Bandeja Huevos EXTRA</v>
      </c>
      <c r="AK265" s="14">
        <f>VLOOKUP(E265,Precios!Z$2:BB$941,3,FALSE)*F265</f>
        <v>-1</v>
      </c>
      <c r="AL265" s="17"/>
      <c r="AM265" s="17"/>
      <c r="AN265" s="17"/>
      <c r="AO265" s="17"/>
      <c r="AP265" s="17"/>
      <c r="AQ265" s="17"/>
      <c r="AR265" s="17"/>
      <c r="AS265" s="17"/>
      <c r="AT265" s="17"/>
      <c r="AU265" s="17"/>
      <c r="AV265" s="17"/>
    </row>
    <row r="266" spans="1:48" ht="15.75" customHeight="1">
      <c r="A266" s="21" t="s">
        <v>35</v>
      </c>
      <c r="B266" s="23" t="s">
        <v>1692</v>
      </c>
      <c r="C266" s="22">
        <v>45903</v>
      </c>
      <c r="D266" s="23" t="s">
        <v>126</v>
      </c>
      <c r="E266" s="23" t="s">
        <v>46</v>
      </c>
      <c r="F266" s="21">
        <v>1</v>
      </c>
      <c r="G266" s="12">
        <f>VLOOKUP(E266,Precios!B$2:N$941,12,FALSE)</f>
        <v>6000.1548227279782</v>
      </c>
      <c r="H266" s="12">
        <f t="shared" si="0"/>
        <v>6000.1548227279782</v>
      </c>
      <c r="I266" s="23" t="s">
        <v>52</v>
      </c>
      <c r="J266" s="23" t="s">
        <v>61</v>
      </c>
      <c r="K266" s="24" t="s">
        <v>177</v>
      </c>
      <c r="L266" s="24">
        <v>180</v>
      </c>
      <c r="M266" s="12">
        <f t="shared" ref="M266:N266" si="271">G266/1.19</f>
        <v>5042.1469098554444</v>
      </c>
      <c r="N266" s="12">
        <f t="shared" si="271"/>
        <v>5042.1469098554444</v>
      </c>
      <c r="O266" s="12">
        <f t="shared" si="2"/>
        <v>958.00791287253378</v>
      </c>
      <c r="P266" s="13"/>
      <c r="Q266" s="14">
        <f t="shared" si="3"/>
        <v>2025</v>
      </c>
      <c r="R266" s="15">
        <f>VLOOKUP(MONTH(C266),'Datos Maestros'!M$2:N$14,2,FALSE)</f>
        <v>45536</v>
      </c>
      <c r="S266" s="11" t="str">
        <f>VLOOKUP(E266,Precios!B$2:W$941,3,FALSE)</f>
        <v>Queso Mantecoso</v>
      </c>
      <c r="T266" s="16">
        <f>VLOOKUP(E266,Precios!B$2:N$941,4,FALSE)*F266</f>
        <v>500</v>
      </c>
      <c r="U266" s="17"/>
      <c r="V266" s="12">
        <f>VLOOKUP(E266,Precios!B$2:N$941,13,FALSE)*F266</f>
        <v>1785.4242207798129</v>
      </c>
      <c r="W266" s="12">
        <f t="shared" si="4"/>
        <v>1785.4242207798129</v>
      </c>
      <c r="X266" s="12">
        <f>VLOOKUP(B266,'Datos Maestros'!$C$2:$D$7,2,FALSE)*V266</f>
        <v>0</v>
      </c>
      <c r="Y266" s="18">
        <f t="shared" si="5"/>
        <v>45901</v>
      </c>
      <c r="Z266" s="13" t="s">
        <v>39</v>
      </c>
      <c r="AA266" s="19" t="str">
        <f>VLOOKUP(D266,Clientes!$A$2:$J$486,9,FALSE)</f>
        <v>Frecuente</v>
      </c>
      <c r="AB266" s="13" t="str">
        <f>VLOOKUP(D266,Clientes!$A$2:$K$486,11,FALSE)</f>
        <v>Persona Natural</v>
      </c>
      <c r="AC266" s="13" t="str">
        <f>VLOOKUP(D266,Clientes!$A$2:$B$486,2,FALSE)</f>
        <v>Jardines de la Viña</v>
      </c>
      <c r="AD266" s="20"/>
      <c r="AE266" s="20"/>
      <c r="AF266" s="13" t="s">
        <v>40</v>
      </c>
      <c r="AG266" s="15">
        <f t="shared" si="6"/>
        <v>45536</v>
      </c>
      <c r="AH266" s="13" t="s">
        <v>41</v>
      </c>
      <c r="AI266" s="13" t="str">
        <f t="shared" si="7"/>
        <v>Quesos</v>
      </c>
      <c r="AJ266" s="13" t="str">
        <f>VLOOKUP(E266,Precios!Z$2:AA$941,2,FALSE)</f>
        <v>Queso RUNCA Mantecoso</v>
      </c>
      <c r="AK266" s="14">
        <f>VLOOKUP(E266,Precios!Z$2:BB$941,3,FALSE)*F266</f>
        <v>-0.5</v>
      </c>
      <c r="AL266" s="17"/>
      <c r="AM266" s="17"/>
      <c r="AN266" s="17"/>
      <c r="AO266" s="17"/>
      <c r="AP266" s="17"/>
      <c r="AQ266" s="17"/>
      <c r="AR266" s="17"/>
      <c r="AS266" s="17"/>
      <c r="AT266" s="17"/>
      <c r="AU266" s="17"/>
      <c r="AV266" s="17"/>
    </row>
    <row r="267" spans="1:48" ht="15.75" customHeight="1">
      <c r="A267" s="21" t="s">
        <v>35</v>
      </c>
      <c r="B267" s="23" t="s">
        <v>1692</v>
      </c>
      <c r="C267" s="22">
        <v>45903</v>
      </c>
      <c r="D267" s="23" t="s">
        <v>124</v>
      </c>
      <c r="E267" s="23" t="s">
        <v>117</v>
      </c>
      <c r="F267" s="21">
        <v>1</v>
      </c>
      <c r="G267" s="12">
        <f>VLOOKUP(E267,Precios!B$2:N$941,12,FALSE)</f>
        <v>8999.8271341726922</v>
      </c>
      <c r="H267" s="12">
        <f t="shared" si="0"/>
        <v>8999.8271341726922</v>
      </c>
      <c r="I267" s="23" t="s">
        <v>52</v>
      </c>
      <c r="J267" s="23" t="s">
        <v>61</v>
      </c>
      <c r="K267" s="24" t="s">
        <v>177</v>
      </c>
      <c r="L267" s="24">
        <v>180</v>
      </c>
      <c r="M267" s="12">
        <f t="shared" ref="M267:N267" si="272">G267/1.19</f>
        <v>7562.8799446829353</v>
      </c>
      <c r="N267" s="12">
        <f t="shared" si="272"/>
        <v>7562.8799446829353</v>
      </c>
      <c r="O267" s="12">
        <f t="shared" si="2"/>
        <v>1436.947189489757</v>
      </c>
      <c r="P267" s="13"/>
      <c r="Q267" s="14">
        <f t="shared" si="3"/>
        <v>2025</v>
      </c>
      <c r="R267" s="15">
        <f>VLOOKUP(MONTH(C267),'Datos Maestros'!M$2:N$14,2,FALSE)</f>
        <v>45536</v>
      </c>
      <c r="S267" s="11" t="str">
        <f>VLOOKUP(E267,Precios!B$2:W$941,3,FALSE)</f>
        <v>Queso Mantecoso</v>
      </c>
      <c r="T267" s="16">
        <f>VLOOKUP(E267,Precios!B$2:N$941,4,FALSE)*F267</f>
        <v>750</v>
      </c>
      <c r="U267" s="17"/>
      <c r="V267" s="12">
        <f>VLOOKUP(E267,Precios!B$2:N$941,13,FALSE)*F267</f>
        <v>2312.8799446829353</v>
      </c>
      <c r="W267" s="12">
        <f t="shared" si="4"/>
        <v>2312.8799446829353</v>
      </c>
      <c r="X267" s="12">
        <f>VLOOKUP(B267,'Datos Maestros'!$C$2:$D$7,2,FALSE)*V267</f>
        <v>0</v>
      </c>
      <c r="Y267" s="18">
        <f t="shared" si="5"/>
        <v>45901</v>
      </c>
      <c r="Z267" s="13" t="s">
        <v>39</v>
      </c>
      <c r="AA267" s="19" t="str">
        <f>VLOOKUP(D267,Clientes!$A$2:$J$486,9,FALSE)</f>
        <v>Regular</v>
      </c>
      <c r="AB267" s="13" t="str">
        <f>VLOOKUP(D267,Clientes!$A$2:$K$486,11,FALSE)</f>
        <v>Persona Natural</v>
      </c>
      <c r="AC267" s="13" t="str">
        <f>VLOOKUP(D267,Clientes!$A$2:$B$486,2,FALSE)</f>
        <v>Jardines de la viña</v>
      </c>
      <c r="AD267" s="20"/>
      <c r="AE267" s="20"/>
      <c r="AF267" s="13" t="s">
        <v>40</v>
      </c>
      <c r="AG267" s="15">
        <f t="shared" si="6"/>
        <v>45536</v>
      </c>
      <c r="AH267" s="13" t="s">
        <v>41</v>
      </c>
      <c r="AI267" s="13" t="str">
        <f t="shared" si="7"/>
        <v>Quesos</v>
      </c>
      <c r="AJ267" s="13" t="str">
        <f>VLOOKUP(E267,Precios!Z$2:AA$941,2,FALSE)</f>
        <v>Queso RUNCA Laminado Mantecoso</v>
      </c>
      <c r="AK267" s="14">
        <f>VLOOKUP(E267,Precios!Z$2:BB$941,3,FALSE)*F267</f>
        <v>-0.75</v>
      </c>
      <c r="AL267" s="17"/>
      <c r="AM267" s="17"/>
      <c r="AN267" s="17"/>
      <c r="AO267" s="17"/>
      <c r="AP267" s="17"/>
      <c r="AQ267" s="17"/>
      <c r="AR267" s="17"/>
      <c r="AS267" s="17"/>
      <c r="AT267" s="17"/>
      <c r="AU267" s="17"/>
      <c r="AV267" s="17"/>
    </row>
    <row r="268" spans="1:48" ht="15.75" customHeight="1">
      <c r="A268" s="21" t="s">
        <v>43</v>
      </c>
      <c r="B268" s="23" t="s">
        <v>1692</v>
      </c>
      <c r="C268" s="22">
        <v>45903</v>
      </c>
      <c r="D268" s="23" t="s">
        <v>124</v>
      </c>
      <c r="E268" s="23" t="s">
        <v>45</v>
      </c>
      <c r="F268" s="21">
        <v>1</v>
      </c>
      <c r="G268" s="12">
        <f>VLOOKUP(E268,Precios!B$2:N$941,12,FALSE)</f>
        <v>8000.1831784723063</v>
      </c>
      <c r="H268" s="12">
        <f t="shared" si="0"/>
        <v>8000.1831784723063</v>
      </c>
      <c r="I268" s="23" t="s">
        <v>52</v>
      </c>
      <c r="J268" s="23" t="s">
        <v>61</v>
      </c>
      <c r="K268" s="24" t="s">
        <v>177</v>
      </c>
      <c r="L268" s="24">
        <v>180</v>
      </c>
      <c r="M268" s="12">
        <f t="shared" ref="M268:N268" si="273">G268/1.19</f>
        <v>6722.8430071195853</v>
      </c>
      <c r="N268" s="12">
        <f t="shared" si="273"/>
        <v>6722.8430071195853</v>
      </c>
      <c r="O268" s="12">
        <f t="shared" si="2"/>
        <v>1277.340171352721</v>
      </c>
      <c r="P268" s="13"/>
      <c r="Q268" s="14">
        <f t="shared" si="3"/>
        <v>2025</v>
      </c>
      <c r="R268" s="15">
        <f>VLOOKUP(MONTH(C268),'Datos Maestros'!M$2:N$14,2,FALSE)</f>
        <v>45536</v>
      </c>
      <c r="S268" s="11" t="str">
        <f>VLOOKUP(E268,Precios!B$2:W$941,3,FALSE)</f>
        <v>Huevos EXTRA</v>
      </c>
      <c r="T268" s="16">
        <f>VLOOKUP(E268,Precios!B$2:N$941,4,FALSE)*F268</f>
        <v>0</v>
      </c>
      <c r="U268" s="17"/>
      <c r="V268" s="12">
        <f>VLOOKUP(E268,Precios!B$2:N$941,13,FALSE)*F268</f>
        <v>1151.6230071195851</v>
      </c>
      <c r="W268" s="12">
        <f t="shared" si="4"/>
        <v>1151.6230071195851</v>
      </c>
      <c r="X268" s="12">
        <f>VLOOKUP(B268,'Datos Maestros'!$C$2:$D$7,2,FALSE)*V268</f>
        <v>0</v>
      </c>
      <c r="Y268" s="18">
        <f t="shared" si="5"/>
        <v>45901</v>
      </c>
      <c r="Z268" s="13" t="s">
        <v>39</v>
      </c>
      <c r="AA268" s="19" t="str">
        <f>VLOOKUP(D268,Clientes!$A$2:$J$486,9,FALSE)</f>
        <v>Regular</v>
      </c>
      <c r="AB268" s="13" t="str">
        <f>VLOOKUP(D268,Clientes!$A$2:$K$486,11,FALSE)</f>
        <v>Persona Natural</v>
      </c>
      <c r="AC268" s="13" t="str">
        <f>VLOOKUP(D268,Clientes!$A$2:$B$486,2,FALSE)</f>
        <v>Jardines de la viña</v>
      </c>
      <c r="AD268" s="20"/>
      <c r="AE268" s="20"/>
      <c r="AF268" s="13" t="s">
        <v>40</v>
      </c>
      <c r="AG268" s="15">
        <f t="shared" si="6"/>
        <v>45536</v>
      </c>
      <c r="AH268" s="13" t="s">
        <v>41</v>
      </c>
      <c r="AI268" s="13" t="str">
        <f t="shared" si="7"/>
        <v>Huevos</v>
      </c>
      <c r="AJ268" s="13" t="str">
        <f>VLOOKUP(E268,Precios!Z$2:AA$941,2,FALSE)</f>
        <v>Bandeja Huevos EXTRA</v>
      </c>
      <c r="AK268" s="14">
        <f>VLOOKUP(E268,Precios!Z$2:BB$941,3,FALSE)*F268</f>
        <v>-1</v>
      </c>
      <c r="AL268" s="17"/>
      <c r="AM268" s="17"/>
      <c r="AN268" s="17"/>
      <c r="AO268" s="17"/>
      <c r="AP268" s="17"/>
      <c r="AQ268" s="17"/>
      <c r="AR268" s="17"/>
      <c r="AS268" s="17"/>
      <c r="AT268" s="17"/>
      <c r="AU268" s="17"/>
      <c r="AV268" s="17"/>
    </row>
    <row r="269" spans="1:48" ht="15.75" customHeight="1">
      <c r="A269" s="21" t="s">
        <v>35</v>
      </c>
      <c r="B269" s="23" t="s">
        <v>1692</v>
      </c>
      <c r="C269" s="22">
        <v>45903</v>
      </c>
      <c r="D269" s="23" t="s">
        <v>125</v>
      </c>
      <c r="E269" s="23" t="s">
        <v>46</v>
      </c>
      <c r="F269" s="21">
        <v>1</v>
      </c>
      <c r="G269" s="12">
        <f>VLOOKUP(E269,Precios!B$2:N$941,12,FALSE)</f>
        <v>6000.1548227279782</v>
      </c>
      <c r="H269" s="12">
        <f t="shared" si="0"/>
        <v>6000.1548227279782</v>
      </c>
      <c r="I269" s="23" t="s">
        <v>52</v>
      </c>
      <c r="J269" s="23" t="s">
        <v>61</v>
      </c>
      <c r="K269" s="24" t="s">
        <v>177</v>
      </c>
      <c r="L269" s="24">
        <v>180</v>
      </c>
      <c r="M269" s="12">
        <f t="shared" ref="M269:N269" si="274">G269/1.19</f>
        <v>5042.1469098554444</v>
      </c>
      <c r="N269" s="12">
        <f t="shared" si="274"/>
        <v>5042.1469098554444</v>
      </c>
      <c r="O269" s="12">
        <f t="shared" si="2"/>
        <v>958.00791287253378</v>
      </c>
      <c r="P269" s="13"/>
      <c r="Q269" s="14">
        <f t="shared" si="3"/>
        <v>2025</v>
      </c>
      <c r="R269" s="15">
        <f>VLOOKUP(MONTH(C269),'Datos Maestros'!M$2:N$14,2,FALSE)</f>
        <v>45536</v>
      </c>
      <c r="S269" s="11" t="str">
        <f>VLOOKUP(E269,Precios!B$2:W$941,3,FALSE)</f>
        <v>Queso Mantecoso</v>
      </c>
      <c r="T269" s="16">
        <f>VLOOKUP(E269,Precios!B$2:N$941,4,FALSE)*F269</f>
        <v>500</v>
      </c>
      <c r="U269" s="17"/>
      <c r="V269" s="12">
        <f>VLOOKUP(E269,Precios!B$2:N$941,13,FALSE)*F269</f>
        <v>1785.4242207798129</v>
      </c>
      <c r="W269" s="12">
        <f t="shared" si="4"/>
        <v>1785.4242207798129</v>
      </c>
      <c r="X269" s="12">
        <f>VLOOKUP(B269,'Datos Maestros'!$C$2:$D$7,2,FALSE)*V269</f>
        <v>0</v>
      </c>
      <c r="Y269" s="18">
        <f t="shared" si="5"/>
        <v>45901</v>
      </c>
      <c r="Z269" s="13" t="s">
        <v>39</v>
      </c>
      <c r="AA269" s="19" t="str">
        <f>VLOOKUP(D269,Clientes!$A$2:$J$486,9,FALSE)</f>
        <v>Frecuente</v>
      </c>
      <c r="AB269" s="13" t="str">
        <f>VLOOKUP(D269,Clientes!$A$2:$K$486,11,FALSE)</f>
        <v>Persona Natural</v>
      </c>
      <c r="AC269" s="13" t="str">
        <f>VLOOKUP(D269,Clientes!$A$2:$B$486,2,FALSE)</f>
        <v>Jardines de la Viña</v>
      </c>
      <c r="AD269" s="20"/>
      <c r="AE269" s="20"/>
      <c r="AF269" s="13" t="s">
        <v>40</v>
      </c>
      <c r="AG269" s="15">
        <f t="shared" si="6"/>
        <v>45536</v>
      </c>
      <c r="AH269" s="13" t="s">
        <v>41</v>
      </c>
      <c r="AI269" s="13" t="str">
        <f t="shared" si="7"/>
        <v>Quesos</v>
      </c>
      <c r="AJ269" s="13" t="str">
        <f>VLOOKUP(E269,Precios!Z$2:AA$941,2,FALSE)</f>
        <v>Queso RUNCA Mantecoso</v>
      </c>
      <c r="AK269" s="14">
        <f>VLOOKUP(E269,Precios!Z$2:BB$941,3,FALSE)*F269</f>
        <v>-0.5</v>
      </c>
      <c r="AL269" s="17"/>
      <c r="AM269" s="17"/>
      <c r="AN269" s="17"/>
      <c r="AO269" s="17"/>
      <c r="AP269" s="17"/>
      <c r="AQ269" s="17"/>
      <c r="AR269" s="17"/>
      <c r="AS269" s="17"/>
      <c r="AT269" s="17"/>
      <c r="AU269" s="17"/>
      <c r="AV269" s="17"/>
    </row>
    <row r="270" spans="1:48" ht="15.75" customHeight="1">
      <c r="A270" s="21" t="s">
        <v>43</v>
      </c>
      <c r="B270" s="23" t="s">
        <v>1692</v>
      </c>
      <c r="C270" s="22">
        <v>45903</v>
      </c>
      <c r="D270" s="23" t="s">
        <v>220</v>
      </c>
      <c r="E270" s="23" t="s">
        <v>45</v>
      </c>
      <c r="F270" s="21">
        <v>1</v>
      </c>
      <c r="G270" s="12">
        <f>VLOOKUP(E270,Precios!B$2:N$941,12,FALSE)</f>
        <v>8000.1831784723063</v>
      </c>
      <c r="H270" s="12">
        <f t="shared" si="0"/>
        <v>8000.1831784723063</v>
      </c>
      <c r="I270" s="23" t="s">
        <v>52</v>
      </c>
      <c r="J270" s="23" t="s">
        <v>61</v>
      </c>
      <c r="K270" s="24" t="s">
        <v>177</v>
      </c>
      <c r="L270" s="24">
        <v>180</v>
      </c>
      <c r="M270" s="12">
        <f t="shared" ref="M270:N270" si="275">G270/1.19</f>
        <v>6722.8430071195853</v>
      </c>
      <c r="N270" s="12">
        <f t="shared" si="275"/>
        <v>6722.8430071195853</v>
      </c>
      <c r="O270" s="12">
        <f t="shared" si="2"/>
        <v>1277.340171352721</v>
      </c>
      <c r="P270" s="13"/>
      <c r="Q270" s="14">
        <f t="shared" si="3"/>
        <v>2025</v>
      </c>
      <c r="R270" s="15">
        <f>VLOOKUP(MONTH(C270),'Datos Maestros'!M$2:N$14,2,FALSE)</f>
        <v>45536</v>
      </c>
      <c r="S270" s="11" t="str">
        <f>VLOOKUP(E270,Precios!B$2:W$941,3,FALSE)</f>
        <v>Huevos EXTRA</v>
      </c>
      <c r="T270" s="16">
        <f>VLOOKUP(E270,Precios!B$2:N$941,4,FALSE)*F270</f>
        <v>0</v>
      </c>
      <c r="U270" s="17"/>
      <c r="V270" s="12">
        <f>VLOOKUP(E270,Precios!B$2:N$941,13,FALSE)*F270</f>
        <v>1151.6230071195851</v>
      </c>
      <c r="W270" s="12">
        <f t="shared" si="4"/>
        <v>1151.6230071195851</v>
      </c>
      <c r="X270" s="12">
        <f>VLOOKUP(B270,'Datos Maestros'!$C$2:$D$7,2,FALSE)*V270</f>
        <v>0</v>
      </c>
      <c r="Y270" s="18">
        <f t="shared" si="5"/>
        <v>45901</v>
      </c>
      <c r="Z270" s="13" t="s">
        <v>39</v>
      </c>
      <c r="AA270" s="19" t="str">
        <f>VLOOKUP(D270,Clientes!$A$2:$J$486,9,FALSE)</f>
        <v>Ocacional</v>
      </c>
      <c r="AB270" s="13" t="str">
        <f>VLOOKUP(D270,Clientes!$A$2:$K$486,11,FALSE)</f>
        <v>Persona Natural</v>
      </c>
      <c r="AC270" s="13" t="str">
        <f>VLOOKUP(D270,Clientes!$A$2:$B$486,2,FALSE)</f>
        <v>Santa Delia</v>
      </c>
      <c r="AD270" s="20"/>
      <c r="AE270" s="20"/>
      <c r="AF270" s="13" t="s">
        <v>40</v>
      </c>
      <c r="AG270" s="15">
        <f t="shared" si="6"/>
        <v>45536</v>
      </c>
      <c r="AH270" s="13" t="s">
        <v>41</v>
      </c>
      <c r="AI270" s="13" t="str">
        <f t="shared" si="7"/>
        <v>Huevos</v>
      </c>
      <c r="AJ270" s="13" t="str">
        <f>VLOOKUP(E270,Precios!Z$2:AA$941,2,FALSE)</f>
        <v>Bandeja Huevos EXTRA</v>
      </c>
      <c r="AK270" s="14">
        <f>VLOOKUP(E270,Precios!Z$2:BB$941,3,FALSE)*F270</f>
        <v>-1</v>
      </c>
      <c r="AL270" s="17"/>
      <c r="AM270" s="17"/>
      <c r="AN270" s="17"/>
      <c r="AO270" s="17"/>
      <c r="AP270" s="17"/>
      <c r="AQ270" s="17"/>
      <c r="AR270" s="17"/>
      <c r="AS270" s="17"/>
      <c r="AT270" s="17"/>
      <c r="AU270" s="17"/>
      <c r="AV270" s="17"/>
    </row>
    <row r="271" spans="1:48" ht="15.75" customHeight="1">
      <c r="A271" s="21" t="s">
        <v>53</v>
      </c>
      <c r="B271" s="23" t="s">
        <v>1692</v>
      </c>
      <c r="C271" s="22">
        <v>45903</v>
      </c>
      <c r="D271" s="23" t="s">
        <v>915</v>
      </c>
      <c r="E271" s="23" t="s">
        <v>221</v>
      </c>
      <c r="F271" s="21">
        <v>1</v>
      </c>
      <c r="G271" s="12">
        <f>VLOOKUP(E271,Precios!B$2:N$941,12,FALSE)</f>
        <v>19499.976369393637</v>
      </c>
      <c r="H271" s="12">
        <f t="shared" si="0"/>
        <v>19499.976369393637</v>
      </c>
      <c r="I271" s="23" t="s">
        <v>52</v>
      </c>
      <c r="J271" s="23" t="s">
        <v>38</v>
      </c>
      <c r="K271" s="24" t="s">
        <v>177</v>
      </c>
      <c r="L271" s="24">
        <v>180</v>
      </c>
      <c r="M271" s="12">
        <f t="shared" ref="M271:N271" si="276">G271/1.19</f>
        <v>16386.534764196334</v>
      </c>
      <c r="N271" s="12">
        <f t="shared" si="276"/>
        <v>16386.534764196334</v>
      </c>
      <c r="O271" s="12">
        <f t="shared" si="2"/>
        <v>3113.4416051973021</v>
      </c>
      <c r="P271" s="13"/>
      <c r="Q271" s="14">
        <f t="shared" si="3"/>
        <v>2025</v>
      </c>
      <c r="R271" s="15">
        <f>VLOOKUP(MONTH(C271),'Datos Maestros'!M$2:N$14,2,FALSE)</f>
        <v>45536</v>
      </c>
      <c r="S271" s="11" t="str">
        <f>VLOOKUP(E271,Precios!B$2:W$941,3,FALSE)</f>
        <v>Papel Higiénico SWAN</v>
      </c>
      <c r="T271" s="16">
        <f>VLOOKUP(E271,Precios!B$2:N$941,4,FALSE)*F271</f>
        <v>0</v>
      </c>
      <c r="U271" s="17"/>
      <c r="V271" s="12">
        <f>VLOOKUP(E271,Precios!B$2:N$941,13,FALSE)*F271</f>
        <v>5984.8540919274255</v>
      </c>
      <c r="W271" s="12">
        <f t="shared" si="4"/>
        <v>5984.8540919274255</v>
      </c>
      <c r="X271" s="12">
        <f>VLOOKUP(B271,'Datos Maestros'!$C$2:$D$7,2,FALSE)*V271</f>
        <v>0</v>
      </c>
      <c r="Y271" s="18">
        <f t="shared" si="5"/>
        <v>45901</v>
      </c>
      <c r="Z271" s="13" t="s">
        <v>39</v>
      </c>
      <c r="AA271" s="19" t="str">
        <f>VLOOKUP(D271,Clientes!$A$2:$J$486,9,FALSE)</f>
        <v>Regular</v>
      </c>
      <c r="AB271" s="13" t="str">
        <f>VLOOKUP(D271,Clientes!$A$2:$K$486,11,FALSE)</f>
        <v>Persona Natural</v>
      </c>
      <c r="AC271" s="13" t="str">
        <f>VLOOKUP(D271,Clientes!$A$2:$B$486,2,FALSE)</f>
        <v>Jardin del Eden</v>
      </c>
      <c r="AD271" s="20"/>
      <c r="AE271" s="20"/>
      <c r="AF271" s="13" t="s">
        <v>40</v>
      </c>
      <c r="AG271" s="15">
        <f t="shared" si="6"/>
        <v>45536</v>
      </c>
      <c r="AH271" s="13" t="s">
        <v>41</v>
      </c>
      <c r="AI271" s="13" t="str">
        <f t="shared" si="7"/>
        <v>Papeleria</v>
      </c>
      <c r="AJ271" s="13" t="str">
        <f>VLOOKUP(E271,Precios!Z$2:AA$941,2,FALSE)</f>
        <v>Papel Higienico SWAN 400 hojas</v>
      </c>
      <c r="AK271" s="14">
        <f>VLOOKUP(E271,Precios!Z$2:BB$941,3,FALSE)*F271</f>
        <v>-10</v>
      </c>
      <c r="AL271" s="17"/>
      <c r="AM271" s="17"/>
      <c r="AN271" s="17"/>
      <c r="AO271" s="17"/>
      <c r="AP271" s="17"/>
      <c r="AQ271" s="17"/>
      <c r="AR271" s="17"/>
      <c r="AS271" s="17"/>
      <c r="AT271" s="17"/>
      <c r="AU271" s="17"/>
      <c r="AV271" s="17"/>
    </row>
    <row r="272" spans="1:48" ht="15.75" customHeight="1">
      <c r="A272" s="21" t="s">
        <v>56</v>
      </c>
      <c r="B272" s="23" t="s">
        <v>1692</v>
      </c>
      <c r="C272" s="22">
        <v>45903</v>
      </c>
      <c r="D272" s="23" t="s">
        <v>915</v>
      </c>
      <c r="E272" s="23" t="s">
        <v>67</v>
      </c>
      <c r="F272" s="21">
        <v>1</v>
      </c>
      <c r="G272" s="12">
        <f>VLOOKUP(E272,Precios!B$2:N$941,12,FALSE)</f>
        <v>7000.0000000000009</v>
      </c>
      <c r="H272" s="12">
        <f t="shared" si="0"/>
        <v>7000.0000000000009</v>
      </c>
      <c r="I272" s="23" t="s">
        <v>52</v>
      </c>
      <c r="J272" s="23" t="s">
        <v>38</v>
      </c>
      <c r="K272" s="24" t="s">
        <v>177</v>
      </c>
      <c r="L272" s="24">
        <v>180</v>
      </c>
      <c r="M272" s="12">
        <f t="shared" ref="M272:N272" si="277">G272/1.19</f>
        <v>5882.3529411764712</v>
      </c>
      <c r="N272" s="12">
        <f t="shared" si="277"/>
        <v>5882.3529411764712</v>
      </c>
      <c r="O272" s="12">
        <f t="shared" si="2"/>
        <v>1117.6470588235297</v>
      </c>
      <c r="P272" s="13"/>
      <c r="Q272" s="14">
        <f t="shared" si="3"/>
        <v>2025</v>
      </c>
      <c r="R272" s="15">
        <f>VLOOKUP(MONTH(C272),'Datos Maestros'!M$2:N$14,2,FALSE)</f>
        <v>45536</v>
      </c>
      <c r="S272" s="11" t="str">
        <f>VLOOKUP(E272,Precios!B$2:W$941,3,FALSE)</f>
        <v>Mantequilla</v>
      </c>
      <c r="T272" s="16">
        <f>VLOOKUP(E272,Precios!B$2:N$941,4,FALSE)*F272</f>
        <v>200</v>
      </c>
      <c r="U272" s="17"/>
      <c r="V272" s="12">
        <f>VLOOKUP(E272,Precios!B$2:N$941,13,FALSE)*F272</f>
        <v>1512.6050420168067</v>
      </c>
      <c r="W272" s="12">
        <f t="shared" si="4"/>
        <v>1512.6050420168067</v>
      </c>
      <c r="X272" s="12">
        <f>VLOOKUP(B272,'Datos Maestros'!$C$2:$D$7,2,FALSE)*V272</f>
        <v>0</v>
      </c>
      <c r="Y272" s="18">
        <f t="shared" si="5"/>
        <v>45901</v>
      </c>
      <c r="Z272" s="13" t="s">
        <v>39</v>
      </c>
      <c r="AA272" s="19" t="str">
        <f>VLOOKUP(D272,Clientes!$A$2:$J$486,9,FALSE)</f>
        <v>Regular</v>
      </c>
      <c r="AB272" s="13" t="str">
        <f>VLOOKUP(D272,Clientes!$A$2:$K$486,11,FALSE)</f>
        <v>Persona Natural</v>
      </c>
      <c r="AC272" s="13" t="str">
        <f>VLOOKUP(D272,Clientes!$A$2:$B$486,2,FALSE)</f>
        <v>Jardin del Eden</v>
      </c>
      <c r="AD272" s="20"/>
      <c r="AE272" s="20"/>
      <c r="AF272" s="13" t="s">
        <v>40</v>
      </c>
      <c r="AG272" s="15">
        <f t="shared" si="6"/>
        <v>45536</v>
      </c>
      <c r="AH272" s="13" t="s">
        <v>41</v>
      </c>
      <c r="AI272" s="13" t="str">
        <f t="shared" si="7"/>
        <v>Derivados</v>
      </c>
      <c r="AJ272" s="13" t="str">
        <f>VLOOKUP(E272,Precios!Z$2:AA$941,2,FALSE)</f>
        <v>Mantequilla RUMAY</v>
      </c>
      <c r="AK272" s="14">
        <f>VLOOKUP(E272,Precios!Z$2:BB$941,3,FALSE)*F272</f>
        <v>-3</v>
      </c>
      <c r="AL272" s="17"/>
      <c r="AM272" s="17"/>
      <c r="AN272" s="17"/>
      <c r="AO272" s="17"/>
      <c r="AP272" s="17"/>
      <c r="AQ272" s="17"/>
      <c r="AR272" s="17"/>
      <c r="AS272" s="17"/>
      <c r="AT272" s="17"/>
      <c r="AU272" s="17"/>
      <c r="AV272" s="17"/>
    </row>
    <row r="273" spans="1:48" ht="15.75" customHeight="1">
      <c r="A273" s="21" t="s">
        <v>43</v>
      </c>
      <c r="B273" s="23" t="s">
        <v>1692</v>
      </c>
      <c r="C273" s="22">
        <v>45903</v>
      </c>
      <c r="D273" s="23" t="s">
        <v>66</v>
      </c>
      <c r="E273" s="23" t="s">
        <v>45</v>
      </c>
      <c r="F273" s="21">
        <v>1</v>
      </c>
      <c r="G273" s="12">
        <f>VLOOKUP(E273,Precios!B$2:N$941,12,FALSE)</f>
        <v>8000.1831784723063</v>
      </c>
      <c r="H273" s="12">
        <f t="shared" si="0"/>
        <v>8000.1831784723063</v>
      </c>
      <c r="I273" s="23" t="s">
        <v>52</v>
      </c>
      <c r="J273" s="23" t="s">
        <v>61</v>
      </c>
      <c r="K273" s="24" t="s">
        <v>177</v>
      </c>
      <c r="L273" s="24">
        <v>180</v>
      </c>
      <c r="M273" s="12">
        <f t="shared" ref="M273:N273" si="278">G273/1.19</f>
        <v>6722.8430071195853</v>
      </c>
      <c r="N273" s="12">
        <f t="shared" si="278"/>
        <v>6722.8430071195853</v>
      </c>
      <c r="O273" s="12">
        <f t="shared" si="2"/>
        <v>1277.340171352721</v>
      </c>
      <c r="P273" s="13"/>
      <c r="Q273" s="14">
        <f t="shared" si="3"/>
        <v>2025</v>
      </c>
      <c r="R273" s="15">
        <f>VLOOKUP(MONTH(C273),'Datos Maestros'!M$2:N$14,2,FALSE)</f>
        <v>45536</v>
      </c>
      <c r="S273" s="11" t="str">
        <f>VLOOKUP(E273,Precios!B$2:W$941,3,FALSE)</f>
        <v>Huevos EXTRA</v>
      </c>
      <c r="T273" s="16">
        <f>VLOOKUP(E273,Precios!B$2:N$941,4,FALSE)*F273</f>
        <v>0</v>
      </c>
      <c r="U273" s="17"/>
      <c r="V273" s="12">
        <f>VLOOKUP(E273,Precios!B$2:N$941,13,FALSE)*F273</f>
        <v>1151.6230071195851</v>
      </c>
      <c r="W273" s="12">
        <f t="shared" si="4"/>
        <v>1151.6230071195851</v>
      </c>
      <c r="X273" s="12">
        <f>VLOOKUP(B273,'Datos Maestros'!$C$2:$D$7,2,FALSE)*V273</f>
        <v>0</v>
      </c>
      <c r="Y273" s="18">
        <f t="shared" si="5"/>
        <v>45901</v>
      </c>
      <c r="Z273" s="13" t="s">
        <v>39</v>
      </c>
      <c r="AA273" s="19" t="str">
        <f>VLOOKUP(D273,Clientes!$A$2:$J$486,9,FALSE)</f>
        <v>Ocacional</v>
      </c>
      <c r="AB273" s="13" t="str">
        <f>VLOOKUP(D273,Clientes!$A$2:$K$486,11,FALSE)</f>
        <v>Persona Natural</v>
      </c>
      <c r="AC273" s="13" t="str">
        <f>VLOOKUP(D273,Clientes!$A$2:$B$486,2,FALSE)</f>
        <v>Jardin Alto</v>
      </c>
      <c r="AD273" s="20"/>
      <c r="AE273" s="20"/>
      <c r="AF273" s="13" t="s">
        <v>40</v>
      </c>
      <c r="AG273" s="15">
        <f t="shared" si="6"/>
        <v>45536</v>
      </c>
      <c r="AH273" s="13" t="s">
        <v>41</v>
      </c>
      <c r="AI273" s="13" t="str">
        <f t="shared" si="7"/>
        <v>Huevos</v>
      </c>
      <c r="AJ273" s="13" t="str">
        <f>VLOOKUP(E273,Precios!Z$2:AA$941,2,FALSE)</f>
        <v>Bandeja Huevos EXTRA</v>
      </c>
      <c r="AK273" s="14">
        <f>VLOOKUP(E273,Precios!Z$2:BB$941,3,FALSE)*F273</f>
        <v>-1</v>
      </c>
      <c r="AL273" s="17"/>
      <c r="AM273" s="17"/>
      <c r="AN273" s="17"/>
      <c r="AO273" s="17"/>
      <c r="AP273" s="17"/>
      <c r="AQ273" s="17"/>
      <c r="AR273" s="17"/>
      <c r="AS273" s="17"/>
      <c r="AT273" s="17"/>
      <c r="AU273" s="17"/>
      <c r="AV273" s="17"/>
    </row>
    <row r="274" spans="1:48" ht="15.75" customHeight="1">
      <c r="A274" s="21" t="s">
        <v>43</v>
      </c>
      <c r="B274" s="23" t="s">
        <v>1692</v>
      </c>
      <c r="C274" s="22">
        <v>45903</v>
      </c>
      <c r="D274" s="23" t="s">
        <v>222</v>
      </c>
      <c r="E274" s="23" t="s">
        <v>45</v>
      </c>
      <c r="F274" s="21">
        <v>1</v>
      </c>
      <c r="G274" s="12">
        <f>VLOOKUP(E274,Precios!B$2:N$941,12,FALSE)</f>
        <v>8000.1831784723063</v>
      </c>
      <c r="H274" s="12">
        <f t="shared" si="0"/>
        <v>8000.1831784723063</v>
      </c>
      <c r="I274" s="23" t="s">
        <v>52</v>
      </c>
      <c r="J274" s="23" t="s">
        <v>61</v>
      </c>
      <c r="K274" s="24" t="s">
        <v>177</v>
      </c>
      <c r="L274" s="24">
        <v>180</v>
      </c>
      <c r="M274" s="12">
        <f t="shared" ref="M274:N274" si="279">G274/1.19</f>
        <v>6722.8430071195853</v>
      </c>
      <c r="N274" s="12">
        <f t="shared" si="279"/>
        <v>6722.8430071195853</v>
      </c>
      <c r="O274" s="12">
        <f t="shared" si="2"/>
        <v>1277.340171352721</v>
      </c>
      <c r="P274" s="13"/>
      <c r="Q274" s="14">
        <f t="shared" si="3"/>
        <v>2025</v>
      </c>
      <c r="R274" s="15">
        <f>VLOOKUP(MONTH(C274),'Datos Maestros'!M$2:N$14,2,FALSE)</f>
        <v>45536</v>
      </c>
      <c r="S274" s="11" t="str">
        <f>VLOOKUP(E274,Precios!B$2:W$941,3,FALSE)</f>
        <v>Huevos EXTRA</v>
      </c>
      <c r="T274" s="16">
        <f>VLOOKUP(E274,Precios!B$2:N$941,4,FALSE)*F274</f>
        <v>0</v>
      </c>
      <c r="U274" s="17"/>
      <c r="V274" s="12">
        <f>VLOOKUP(E274,Precios!B$2:N$941,13,FALSE)*F274</f>
        <v>1151.6230071195851</v>
      </c>
      <c r="W274" s="12">
        <f t="shared" si="4"/>
        <v>1151.6230071195851</v>
      </c>
      <c r="X274" s="12">
        <f>VLOOKUP(B274,'Datos Maestros'!$C$2:$D$7,2,FALSE)*V274</f>
        <v>0</v>
      </c>
      <c r="Y274" s="18">
        <f t="shared" si="5"/>
        <v>45901</v>
      </c>
      <c r="Z274" s="13" t="s">
        <v>39</v>
      </c>
      <c r="AA274" s="19" t="str">
        <f>VLOOKUP(D274,Clientes!$A$2:$J$486,9,FALSE)</f>
        <v>Ocacional</v>
      </c>
      <c r="AB274" s="13" t="str">
        <f>VLOOKUP(D274,Clientes!$A$2:$K$486,11,FALSE)</f>
        <v>Persona Natural</v>
      </c>
      <c r="AC274" s="13" t="str">
        <f>VLOOKUP(D274,Clientes!$A$2:$B$486,2,FALSE)</f>
        <v>Jardin del Eden</v>
      </c>
      <c r="AD274" s="20"/>
      <c r="AE274" s="20"/>
      <c r="AF274" s="13" t="s">
        <v>40</v>
      </c>
      <c r="AG274" s="15">
        <f t="shared" si="6"/>
        <v>45536</v>
      </c>
      <c r="AH274" s="13" t="s">
        <v>41</v>
      </c>
      <c r="AI274" s="13" t="str">
        <f t="shared" si="7"/>
        <v>Huevos</v>
      </c>
      <c r="AJ274" s="13" t="str">
        <f>VLOOKUP(E274,Precios!Z$2:AA$941,2,FALSE)</f>
        <v>Bandeja Huevos EXTRA</v>
      </c>
      <c r="AK274" s="14">
        <f>VLOOKUP(E274,Precios!Z$2:BB$941,3,FALSE)*F274</f>
        <v>-1</v>
      </c>
      <c r="AL274" s="17"/>
      <c r="AM274" s="17"/>
      <c r="AN274" s="17"/>
      <c r="AO274" s="17"/>
      <c r="AP274" s="17"/>
      <c r="AQ274" s="17"/>
      <c r="AR274" s="17"/>
      <c r="AS274" s="17"/>
      <c r="AT274" s="17"/>
      <c r="AU274" s="17"/>
      <c r="AV274" s="17"/>
    </row>
    <row r="275" spans="1:48" ht="15.75" customHeight="1">
      <c r="A275" s="21" t="s">
        <v>76</v>
      </c>
      <c r="B275" s="23" t="s">
        <v>1692</v>
      </c>
      <c r="C275" s="22">
        <v>45903</v>
      </c>
      <c r="D275" s="23" t="s">
        <v>223</v>
      </c>
      <c r="E275" s="23" t="s">
        <v>81</v>
      </c>
      <c r="F275" s="21">
        <v>1</v>
      </c>
      <c r="G275" s="12">
        <f>VLOOKUP(E275,Precios!B$2:N$941,12,FALSE)</f>
        <v>3500.0000000000005</v>
      </c>
      <c r="H275" s="12">
        <f t="shared" si="0"/>
        <v>3500.0000000000005</v>
      </c>
      <c r="I275" s="23" t="s">
        <v>52</v>
      </c>
      <c r="J275" s="23" t="s">
        <v>61</v>
      </c>
      <c r="K275" s="24" t="s">
        <v>177</v>
      </c>
      <c r="L275" s="24">
        <v>180</v>
      </c>
      <c r="M275" s="12">
        <f t="shared" ref="M275:N275" si="280">G275/1.19</f>
        <v>2941.1764705882356</v>
      </c>
      <c r="N275" s="12">
        <f t="shared" si="280"/>
        <v>2941.1764705882356</v>
      </c>
      <c r="O275" s="12">
        <f t="shared" si="2"/>
        <v>558.82352941176487</v>
      </c>
      <c r="P275" s="13"/>
      <c r="Q275" s="14">
        <f t="shared" si="3"/>
        <v>2025</v>
      </c>
      <c r="R275" s="15">
        <f>VLOOKUP(MONTH(C275),'Datos Maestros'!M$2:N$14,2,FALSE)</f>
        <v>45536</v>
      </c>
      <c r="S275" s="11" t="str">
        <f>VLOOKUP(E275,Precios!B$2:W$941,3,FALSE)</f>
        <v>Detergente Premium</v>
      </c>
      <c r="T275" s="16">
        <f>VLOOKUP(E275,Precios!B$2:N$941,4,FALSE)*F275</f>
        <v>5</v>
      </c>
      <c r="U275" s="17"/>
      <c r="V275" s="12">
        <f>VLOOKUP(E275,Precios!B$2:N$941,13,FALSE)*F275</f>
        <v>764.70588235294144</v>
      </c>
      <c r="W275" s="12">
        <f t="shared" si="4"/>
        <v>764.70588235294144</v>
      </c>
      <c r="X275" s="12">
        <f>VLOOKUP(B275,'Datos Maestros'!$C$2:$D$7,2,FALSE)*V275</f>
        <v>0</v>
      </c>
      <c r="Y275" s="18">
        <f t="shared" si="5"/>
        <v>45901</v>
      </c>
      <c r="Z275" s="13" t="s">
        <v>39</v>
      </c>
      <c r="AA275" s="19" t="str">
        <f>VLOOKUP(D275,Clientes!$A$2:$J$486,9,FALSE)</f>
        <v>Ocacional</v>
      </c>
      <c r="AB275" s="13" t="str">
        <f>VLOOKUP(D275,Clientes!$A$2:$K$486,11,FALSE)</f>
        <v>Persona Natural</v>
      </c>
      <c r="AC275" s="13" t="str">
        <f>VLOOKUP(D275,Clientes!$A$2:$B$486,2,FALSE)</f>
        <v>Ex 4to Antilhue</v>
      </c>
      <c r="AD275" s="20"/>
      <c r="AE275" s="20"/>
      <c r="AF275" s="13" t="s">
        <v>40</v>
      </c>
      <c r="AG275" s="15">
        <f t="shared" si="6"/>
        <v>45536</v>
      </c>
      <c r="AH275" s="13" t="s">
        <v>41</v>
      </c>
      <c r="AI275" s="13" t="str">
        <f t="shared" si="7"/>
        <v>Detergentes</v>
      </c>
      <c r="AJ275" s="13" t="str">
        <f>VLOOKUP(E275,Precios!Z$2:AA$941,2,FALSE)</f>
        <v>Detergente SPUM 5 Litros (Verde)</v>
      </c>
      <c r="AK275" s="14">
        <f>VLOOKUP(E275,Precios!Z$2:BB$941,3,FALSE)*F275</f>
        <v>-1</v>
      </c>
      <c r="AL275" s="17"/>
      <c r="AM275" s="17"/>
      <c r="AN275" s="17"/>
      <c r="AO275" s="17"/>
      <c r="AP275" s="17"/>
      <c r="AQ275" s="17"/>
      <c r="AR275" s="17"/>
      <c r="AS275" s="17"/>
      <c r="AT275" s="17"/>
      <c r="AU275" s="17"/>
      <c r="AV275" s="17"/>
    </row>
    <row r="276" spans="1:48" ht="15.75" customHeight="1">
      <c r="A276" s="21" t="s">
        <v>76</v>
      </c>
      <c r="B276" s="23" t="s">
        <v>1692</v>
      </c>
      <c r="C276" s="22">
        <v>45903</v>
      </c>
      <c r="D276" s="23" t="s">
        <v>223</v>
      </c>
      <c r="E276" s="23" t="s">
        <v>137</v>
      </c>
      <c r="F276" s="21">
        <v>1</v>
      </c>
      <c r="G276" s="12">
        <f>VLOOKUP(E276,Precios!B$2:N$941,12,FALSE)</f>
        <v>3500.0000000000005</v>
      </c>
      <c r="H276" s="12">
        <f t="shared" si="0"/>
        <v>3500.0000000000005</v>
      </c>
      <c r="I276" s="23" t="s">
        <v>52</v>
      </c>
      <c r="J276" s="23" t="s">
        <v>61</v>
      </c>
      <c r="K276" s="24" t="s">
        <v>177</v>
      </c>
      <c r="L276" s="24">
        <v>180</v>
      </c>
      <c r="M276" s="12">
        <f t="shared" ref="M276:N276" si="281">G276/1.19</f>
        <v>2941.1764705882356</v>
      </c>
      <c r="N276" s="12">
        <f t="shared" si="281"/>
        <v>2941.1764705882356</v>
      </c>
      <c r="O276" s="12">
        <f t="shared" si="2"/>
        <v>558.82352941176487</v>
      </c>
      <c r="P276" s="13"/>
      <c r="Q276" s="14">
        <f t="shared" si="3"/>
        <v>2025</v>
      </c>
      <c r="R276" s="15">
        <f>VLOOKUP(MONTH(C276),'Datos Maestros'!M$2:N$14,2,FALSE)</f>
        <v>45536</v>
      </c>
      <c r="S276" s="11" t="str">
        <f>VLOOKUP(E276,Precios!B$2:W$941,3,FALSE)</f>
        <v>Detergente Piel Sensible</v>
      </c>
      <c r="T276" s="16">
        <f>VLOOKUP(E276,Precios!B$2:N$941,4,FALSE)*F276</f>
        <v>5</v>
      </c>
      <c r="U276" s="17"/>
      <c r="V276" s="12">
        <f>VLOOKUP(E276,Precios!B$2:N$941,13,FALSE)*F276</f>
        <v>848.73949579831969</v>
      </c>
      <c r="W276" s="12">
        <f t="shared" si="4"/>
        <v>848.73949579831969</v>
      </c>
      <c r="X276" s="12">
        <f>VLOOKUP(B276,'Datos Maestros'!$C$2:$D$7,2,FALSE)*V276</f>
        <v>0</v>
      </c>
      <c r="Y276" s="18">
        <f t="shared" si="5"/>
        <v>45901</v>
      </c>
      <c r="Z276" s="13" t="s">
        <v>39</v>
      </c>
      <c r="AA276" s="19" t="str">
        <f>VLOOKUP(D276,Clientes!$A$2:$J$486,9,FALSE)</f>
        <v>Ocacional</v>
      </c>
      <c r="AB276" s="13" t="str">
        <f>VLOOKUP(D276,Clientes!$A$2:$K$486,11,FALSE)</f>
        <v>Persona Natural</v>
      </c>
      <c r="AC276" s="13" t="str">
        <f>VLOOKUP(D276,Clientes!$A$2:$B$486,2,FALSE)</f>
        <v>Ex 4to Antilhue</v>
      </c>
      <c r="AD276" s="20"/>
      <c r="AE276" s="20"/>
      <c r="AF276" s="13" t="s">
        <v>40</v>
      </c>
      <c r="AG276" s="15">
        <f t="shared" si="6"/>
        <v>45536</v>
      </c>
      <c r="AH276" s="13" t="s">
        <v>41</v>
      </c>
      <c r="AI276" s="13" t="str">
        <f t="shared" si="7"/>
        <v>Detergentes</v>
      </c>
      <c r="AJ276" s="13" t="str">
        <f>VLOOKUP(E276,Precios!Z$2:AA$941,2,FALSE)</f>
        <v>Detergente SPUM 5 Litros (Blanco)</v>
      </c>
      <c r="AK276" s="14">
        <f>VLOOKUP(E276,Precios!Z$2:BB$941,3,FALSE)*F276</f>
        <v>-1</v>
      </c>
      <c r="AL276" s="17"/>
      <c r="AM276" s="17"/>
      <c r="AN276" s="17"/>
      <c r="AO276" s="17"/>
      <c r="AP276" s="17"/>
      <c r="AQ276" s="17"/>
      <c r="AR276" s="17"/>
      <c r="AS276" s="17"/>
      <c r="AT276" s="17"/>
      <c r="AU276" s="17"/>
      <c r="AV276" s="17"/>
    </row>
    <row r="277" spans="1:48" ht="15.75" customHeight="1">
      <c r="A277" s="21" t="s">
        <v>76</v>
      </c>
      <c r="B277" s="23" t="s">
        <v>1692</v>
      </c>
      <c r="C277" s="22">
        <v>45903</v>
      </c>
      <c r="D277" s="23" t="s">
        <v>223</v>
      </c>
      <c r="E277" s="23" t="s">
        <v>82</v>
      </c>
      <c r="F277" s="21">
        <v>1</v>
      </c>
      <c r="G277" s="12">
        <f>VLOOKUP(E277,Precios!B$2:N$941,12,FALSE)</f>
        <v>2000.0000000000002</v>
      </c>
      <c r="H277" s="12">
        <f t="shared" si="0"/>
        <v>2000.0000000000002</v>
      </c>
      <c r="I277" s="23" t="s">
        <v>52</v>
      </c>
      <c r="J277" s="23" t="s">
        <v>61</v>
      </c>
      <c r="K277" s="24" t="s">
        <v>177</v>
      </c>
      <c r="L277" s="24">
        <v>180</v>
      </c>
      <c r="M277" s="12">
        <f t="shared" ref="M277:N277" si="282">G277/1.19</f>
        <v>1680.6722689075632</v>
      </c>
      <c r="N277" s="12">
        <f t="shared" si="282"/>
        <v>1680.6722689075632</v>
      </c>
      <c r="O277" s="12">
        <f t="shared" si="2"/>
        <v>319.32773109243703</v>
      </c>
      <c r="P277" s="13"/>
      <c r="Q277" s="14">
        <f t="shared" si="3"/>
        <v>2025</v>
      </c>
      <c r="R277" s="15">
        <f>VLOOKUP(MONTH(C277),'Datos Maestros'!M$2:N$14,2,FALSE)</f>
        <v>45536</v>
      </c>
      <c r="S277" s="11" t="str">
        <f>VLOOKUP(E277,Precios!B$2:W$941,3,FALSE)</f>
        <v>Limpiapiso</v>
      </c>
      <c r="T277" s="16">
        <f>VLOOKUP(E277,Precios!B$2:N$941,4,FALSE)*F277</f>
        <v>5</v>
      </c>
      <c r="U277" s="17"/>
      <c r="V277" s="12">
        <f>VLOOKUP(E277,Precios!B$2:N$941,13,FALSE)*F277</f>
        <v>680.67226890756319</v>
      </c>
      <c r="W277" s="12">
        <f t="shared" si="4"/>
        <v>680.67226890756319</v>
      </c>
      <c r="X277" s="12">
        <f>VLOOKUP(B277,'Datos Maestros'!$C$2:$D$7,2,FALSE)*V277</f>
        <v>0</v>
      </c>
      <c r="Y277" s="18">
        <f t="shared" si="5"/>
        <v>45901</v>
      </c>
      <c r="Z277" s="13" t="s">
        <v>39</v>
      </c>
      <c r="AA277" s="19" t="str">
        <f>VLOOKUP(D277,Clientes!$A$2:$J$486,9,FALSE)</f>
        <v>Ocacional</v>
      </c>
      <c r="AB277" s="13" t="str">
        <f>VLOOKUP(D277,Clientes!$A$2:$K$486,11,FALSE)</f>
        <v>Persona Natural</v>
      </c>
      <c r="AC277" s="13" t="str">
        <f>VLOOKUP(D277,Clientes!$A$2:$B$486,2,FALSE)</f>
        <v>Ex 4to Antilhue</v>
      </c>
      <c r="AD277" s="20"/>
      <c r="AE277" s="20"/>
      <c r="AF277" s="13" t="s">
        <v>40</v>
      </c>
      <c r="AG277" s="15">
        <f t="shared" si="6"/>
        <v>45536</v>
      </c>
      <c r="AH277" s="13" t="s">
        <v>41</v>
      </c>
      <c r="AI277" s="13" t="str">
        <f t="shared" si="7"/>
        <v>Detergentes</v>
      </c>
      <c r="AJ277" s="13" t="str">
        <f>VLOOKUP(E277,Precios!Z$2:AA$941,2,FALSE)</f>
        <v>Limpiapiso SPUM 5 Litros</v>
      </c>
      <c r="AK277" s="14">
        <f>VLOOKUP(E277,Precios!Z$2:BB$941,3,FALSE)*F277</f>
        <v>-1</v>
      </c>
      <c r="AL277" s="17"/>
      <c r="AM277" s="17"/>
      <c r="AN277" s="17"/>
      <c r="AO277" s="17"/>
      <c r="AP277" s="17"/>
      <c r="AQ277" s="17"/>
      <c r="AR277" s="17"/>
      <c r="AS277" s="17"/>
      <c r="AT277" s="17"/>
      <c r="AU277" s="17"/>
      <c r="AV277" s="17"/>
    </row>
    <row r="278" spans="1:48" ht="15.75" customHeight="1">
      <c r="A278" s="21" t="s">
        <v>76</v>
      </c>
      <c r="B278" s="23" t="s">
        <v>1692</v>
      </c>
      <c r="C278" s="22">
        <v>45903</v>
      </c>
      <c r="D278" s="23" t="s">
        <v>223</v>
      </c>
      <c r="E278" s="23" t="s">
        <v>110</v>
      </c>
      <c r="F278" s="21">
        <v>1</v>
      </c>
      <c r="G278" s="12">
        <f>VLOOKUP(E278,Precios!B$2:N$941,12,FALSE)</f>
        <v>2000.0000000000005</v>
      </c>
      <c r="H278" s="12">
        <f t="shared" si="0"/>
        <v>2000.0000000000005</v>
      </c>
      <c r="I278" s="23" t="s">
        <v>52</v>
      </c>
      <c r="J278" s="23" t="s">
        <v>61</v>
      </c>
      <c r="K278" s="24" t="s">
        <v>177</v>
      </c>
      <c r="L278" s="24">
        <v>180</v>
      </c>
      <c r="M278" s="12">
        <f t="shared" ref="M278:N278" si="283">G278/1.19</f>
        <v>1680.6722689075634</v>
      </c>
      <c r="N278" s="12">
        <f t="shared" si="283"/>
        <v>1680.6722689075634</v>
      </c>
      <c r="O278" s="12">
        <f t="shared" si="2"/>
        <v>319.32773109243703</v>
      </c>
      <c r="P278" s="13"/>
      <c r="Q278" s="14">
        <f t="shared" si="3"/>
        <v>2025</v>
      </c>
      <c r="R278" s="15">
        <f>VLOOKUP(MONTH(C278),'Datos Maestros'!M$2:N$14,2,FALSE)</f>
        <v>45536</v>
      </c>
      <c r="S278" s="11" t="str">
        <f>VLOOKUP(E278,Precios!B$2:W$941,3,FALSE)</f>
        <v>Cloro</v>
      </c>
      <c r="T278" s="16">
        <f>VLOOKUP(E278,Precios!B$2:N$941,4,FALSE)*F278</f>
        <v>5</v>
      </c>
      <c r="U278" s="17"/>
      <c r="V278" s="12">
        <f>VLOOKUP(E278,Precios!B$2:N$941,13,FALSE)*F278</f>
        <v>756.30252100840369</v>
      </c>
      <c r="W278" s="12">
        <f t="shared" si="4"/>
        <v>756.30252100840369</v>
      </c>
      <c r="X278" s="12">
        <f>VLOOKUP(B278,'Datos Maestros'!$C$2:$D$7,2,FALSE)*V278</f>
        <v>0</v>
      </c>
      <c r="Y278" s="18">
        <f t="shared" si="5"/>
        <v>45901</v>
      </c>
      <c r="Z278" s="13" t="s">
        <v>39</v>
      </c>
      <c r="AA278" s="19" t="str">
        <f>VLOOKUP(D278,Clientes!$A$2:$J$486,9,FALSE)</f>
        <v>Ocacional</v>
      </c>
      <c r="AB278" s="13" t="str">
        <f>VLOOKUP(D278,Clientes!$A$2:$K$486,11,FALSE)</f>
        <v>Persona Natural</v>
      </c>
      <c r="AC278" s="13" t="str">
        <f>VLOOKUP(D278,Clientes!$A$2:$B$486,2,FALSE)</f>
        <v>Ex 4to Antilhue</v>
      </c>
      <c r="AD278" s="20"/>
      <c r="AE278" s="20"/>
      <c r="AF278" s="13" t="s">
        <v>40</v>
      </c>
      <c r="AG278" s="15">
        <f t="shared" si="6"/>
        <v>45536</v>
      </c>
      <c r="AH278" s="13" t="s">
        <v>41</v>
      </c>
      <c r="AI278" s="13" t="str">
        <f t="shared" si="7"/>
        <v>Detergentes</v>
      </c>
      <c r="AJ278" s="13" t="str">
        <f>VLOOKUP(E278,Precios!Z$2:AA$941,2,FALSE)</f>
        <v>Cloro SPUM 5 Litros</v>
      </c>
      <c r="AK278" s="14">
        <f>VLOOKUP(E278,Precios!Z$2:BB$941,3,FALSE)*F278</f>
        <v>-1</v>
      </c>
      <c r="AL278" s="17"/>
      <c r="AM278" s="17"/>
      <c r="AN278" s="17"/>
      <c r="AO278" s="17"/>
      <c r="AP278" s="17"/>
      <c r="AQ278" s="17"/>
      <c r="AR278" s="17"/>
      <c r="AS278" s="17"/>
      <c r="AT278" s="17"/>
      <c r="AU278" s="17"/>
      <c r="AV278" s="17"/>
    </row>
    <row r="279" spans="1:48" ht="15.75" customHeight="1">
      <c r="A279" s="21" t="s">
        <v>76</v>
      </c>
      <c r="B279" s="23" t="s">
        <v>1692</v>
      </c>
      <c r="C279" s="22">
        <v>45903</v>
      </c>
      <c r="D279" s="23" t="s">
        <v>223</v>
      </c>
      <c r="E279" s="23" t="s">
        <v>216</v>
      </c>
      <c r="F279" s="21">
        <v>1</v>
      </c>
      <c r="G279" s="12">
        <f>VLOOKUP(E279,Precios!B$2:N$941,12,FALSE)</f>
        <v>4300</v>
      </c>
      <c r="H279" s="12">
        <f t="shared" si="0"/>
        <v>4300</v>
      </c>
      <c r="I279" s="23" t="s">
        <v>52</v>
      </c>
      <c r="J279" s="23" t="s">
        <v>61</v>
      </c>
      <c r="K279" s="24" t="s">
        <v>177</v>
      </c>
      <c r="L279" s="24">
        <v>180</v>
      </c>
      <c r="M279" s="12">
        <f t="shared" ref="M279:N279" si="284">G279/1.19</f>
        <v>3613.4453781512607</v>
      </c>
      <c r="N279" s="12">
        <f t="shared" si="284"/>
        <v>3613.4453781512607</v>
      </c>
      <c r="O279" s="12">
        <f t="shared" si="2"/>
        <v>686.55462184873932</v>
      </c>
      <c r="P279" s="13"/>
      <c r="Q279" s="14">
        <f t="shared" si="3"/>
        <v>2025</v>
      </c>
      <c r="R279" s="15">
        <f>VLOOKUP(MONTH(C279),'Datos Maestros'!M$2:N$14,2,FALSE)</f>
        <v>45536</v>
      </c>
      <c r="S279" s="11" t="str">
        <f>VLOOKUP(E279,Precios!B$2:W$941,3,FALSE)</f>
        <v>Lavaloza</v>
      </c>
      <c r="T279" s="16">
        <f>VLOOKUP(E279,Precios!B$2:N$941,4,FALSE)*F279</f>
        <v>5</v>
      </c>
      <c r="U279" s="17"/>
      <c r="V279" s="12">
        <f>VLOOKUP(E279,Precios!B$2:N$941,13,FALSE)*F279</f>
        <v>1134.453781512605</v>
      </c>
      <c r="W279" s="12">
        <f t="shared" si="4"/>
        <v>1134.453781512605</v>
      </c>
      <c r="X279" s="12">
        <f>VLOOKUP(B279,'Datos Maestros'!$C$2:$D$7,2,FALSE)*V279</f>
        <v>0</v>
      </c>
      <c r="Y279" s="18">
        <f t="shared" si="5"/>
        <v>45901</v>
      </c>
      <c r="Z279" s="13" t="s">
        <v>39</v>
      </c>
      <c r="AA279" s="19" t="str">
        <f>VLOOKUP(D279,Clientes!$A$2:$J$486,9,FALSE)</f>
        <v>Ocacional</v>
      </c>
      <c r="AB279" s="13" t="str">
        <f>VLOOKUP(D279,Clientes!$A$2:$K$486,11,FALSE)</f>
        <v>Persona Natural</v>
      </c>
      <c r="AC279" s="13" t="str">
        <f>VLOOKUP(D279,Clientes!$A$2:$B$486,2,FALSE)</f>
        <v>Ex 4to Antilhue</v>
      </c>
      <c r="AD279" s="20"/>
      <c r="AE279" s="20"/>
      <c r="AF279" s="13" t="s">
        <v>40</v>
      </c>
      <c r="AG279" s="15">
        <f t="shared" si="6"/>
        <v>45536</v>
      </c>
      <c r="AH279" s="13" t="s">
        <v>41</v>
      </c>
      <c r="AI279" s="13" t="str">
        <f t="shared" si="7"/>
        <v>Detergentes</v>
      </c>
      <c r="AJ279" s="13" t="str">
        <f>VLOOKUP(E279,Precios!Z$2:AA$941,2,FALSE)</f>
        <v>Lavaloza SPUM 5 Litros</v>
      </c>
      <c r="AK279" s="14">
        <f>VLOOKUP(E279,Precios!Z$2:BB$941,3,FALSE)*F279</f>
        <v>-1</v>
      </c>
      <c r="AL279" s="17"/>
      <c r="AM279" s="17"/>
      <c r="AN279" s="17"/>
      <c r="AO279" s="17"/>
      <c r="AP279" s="17"/>
      <c r="AQ279" s="17"/>
      <c r="AR279" s="17"/>
      <c r="AS279" s="17"/>
      <c r="AT279" s="17"/>
      <c r="AU279" s="17"/>
      <c r="AV279" s="17"/>
    </row>
    <row r="280" spans="1:48" ht="15.75" customHeight="1">
      <c r="A280" s="21" t="s">
        <v>56</v>
      </c>
      <c r="B280" s="23" t="s">
        <v>1692</v>
      </c>
      <c r="C280" s="22">
        <v>45902</v>
      </c>
      <c r="D280" s="23" t="s">
        <v>224</v>
      </c>
      <c r="E280" s="23" t="s">
        <v>130</v>
      </c>
      <c r="F280" s="21">
        <v>1</v>
      </c>
      <c r="G280" s="12">
        <f>VLOOKUP(E280,Precios!B$2:N$941,12,FALSE)</f>
        <v>13000.163975970067</v>
      </c>
      <c r="H280" s="12">
        <f t="shared" si="0"/>
        <v>13000.163975970067</v>
      </c>
      <c r="I280" s="23" t="s">
        <v>52</v>
      </c>
      <c r="J280" s="23" t="s">
        <v>61</v>
      </c>
      <c r="K280" s="24" t="s">
        <v>177</v>
      </c>
      <c r="L280" s="24">
        <v>180</v>
      </c>
      <c r="M280" s="12">
        <f t="shared" ref="M280:N280" si="285">G280/1.19</f>
        <v>10924.507542831989</v>
      </c>
      <c r="N280" s="12">
        <f t="shared" si="285"/>
        <v>10924.507542831989</v>
      </c>
      <c r="O280" s="12">
        <f t="shared" si="2"/>
        <v>2075.6564331380778</v>
      </c>
      <c r="P280" s="13"/>
      <c r="Q280" s="14">
        <f t="shared" si="3"/>
        <v>2025</v>
      </c>
      <c r="R280" s="15">
        <f>VLOOKUP(MONTH(C280),'Datos Maestros'!M$2:N$14,2,FALSE)</f>
        <v>45536</v>
      </c>
      <c r="S280" s="11" t="str">
        <f>VLOOKUP(E280,Precios!B$2:W$941,3,FALSE)</f>
        <v>Provoleta</v>
      </c>
      <c r="T280" s="16">
        <f>VLOOKUP(E280,Precios!B$2:N$941,4,FALSE)*F280</f>
        <v>135</v>
      </c>
      <c r="U280" s="17"/>
      <c r="V280" s="12">
        <f>VLOOKUP(E280,Precios!B$2:N$941,13,FALSE)*F280</f>
        <v>3596.0201478740055</v>
      </c>
      <c r="W280" s="12">
        <f t="shared" si="4"/>
        <v>3596.0201478740055</v>
      </c>
      <c r="X280" s="12">
        <f>VLOOKUP(B280,'Datos Maestros'!$C$2:$D$7,2,FALSE)*V280</f>
        <v>0</v>
      </c>
      <c r="Y280" s="18">
        <f t="shared" si="5"/>
        <v>45901</v>
      </c>
      <c r="Z280" s="13" t="s">
        <v>39</v>
      </c>
      <c r="AA280" s="19" t="str">
        <f>VLOOKUP(D280,Clientes!$A$2:$J$486,9,FALSE)</f>
        <v>Ocacional</v>
      </c>
      <c r="AB280" s="13" t="str">
        <f>VLOOKUP(D280,Clientes!$A$2:$K$486,11,FALSE)</f>
        <v>Persona Natural</v>
      </c>
      <c r="AC280" s="13" t="str">
        <f>VLOOKUP(D280,Clientes!$A$2:$B$486,2,FALSE)</f>
        <v>Jardines de la Viña</v>
      </c>
      <c r="AD280" s="20"/>
      <c r="AE280" s="20"/>
      <c r="AF280" s="13" t="s">
        <v>40</v>
      </c>
      <c r="AG280" s="15">
        <f t="shared" si="6"/>
        <v>45536</v>
      </c>
      <c r="AH280" s="13" t="s">
        <v>41</v>
      </c>
      <c r="AI280" s="13" t="str">
        <f t="shared" si="7"/>
        <v>Derivados</v>
      </c>
      <c r="AJ280" s="13" t="str">
        <f>VLOOKUP(E280,Precios!Z$2:AA$941,2,FALSE)</f>
        <v>Provoleta Parrillera</v>
      </c>
      <c r="AK280" s="14">
        <f>VLOOKUP(E280,Precios!Z$2:BB$941,3,FALSE)*F280</f>
        <v>-5</v>
      </c>
      <c r="AL280" s="17"/>
      <c r="AM280" s="17"/>
      <c r="AN280" s="17"/>
      <c r="AO280" s="17"/>
      <c r="AP280" s="17"/>
      <c r="AQ280" s="17"/>
      <c r="AR280" s="17"/>
      <c r="AS280" s="17"/>
      <c r="AT280" s="17"/>
      <c r="AU280" s="17"/>
      <c r="AV280" s="17"/>
    </row>
    <row r="281" spans="1:48" ht="15.75" customHeight="1">
      <c r="A281" s="21" t="s">
        <v>53</v>
      </c>
      <c r="B281" s="23" t="s">
        <v>1692</v>
      </c>
      <c r="C281" s="22">
        <v>45902</v>
      </c>
      <c r="D281" s="23" t="s">
        <v>225</v>
      </c>
      <c r="E281" s="23" t="s">
        <v>192</v>
      </c>
      <c r="F281" s="21">
        <v>1</v>
      </c>
      <c r="G281" s="12">
        <f>VLOOKUP(E281,Precios!B$2:N$941,12,FALSE)</f>
        <v>16000</v>
      </c>
      <c r="H281" s="12">
        <f t="shared" si="0"/>
        <v>16000</v>
      </c>
      <c r="I281" s="23" t="s">
        <v>52</v>
      </c>
      <c r="J281" s="23" t="s">
        <v>61</v>
      </c>
      <c r="K281" s="24" t="s">
        <v>177</v>
      </c>
      <c r="L281" s="24">
        <v>180</v>
      </c>
      <c r="M281" s="12">
        <f t="shared" ref="M281:N281" si="286">G281/1.19</f>
        <v>13445.378151260506</v>
      </c>
      <c r="N281" s="12">
        <f t="shared" si="286"/>
        <v>13445.378151260506</v>
      </c>
      <c r="O281" s="12">
        <f t="shared" si="2"/>
        <v>2554.6218487394945</v>
      </c>
      <c r="P281" s="13"/>
      <c r="Q281" s="14">
        <f t="shared" si="3"/>
        <v>2025</v>
      </c>
      <c r="R281" s="15">
        <f>VLOOKUP(MONTH(C281),'Datos Maestros'!M$2:N$14,2,FALSE)</f>
        <v>45536</v>
      </c>
      <c r="S281" s="11" t="str">
        <f>VLOOKUP(E281,Precios!B$2:W$941,3,FALSE)</f>
        <v>Papel Higiénico SWAN</v>
      </c>
      <c r="T281" s="16">
        <f>VLOOKUP(E281,Precios!B$2:N$941,4,FALSE)*F281</f>
        <v>0</v>
      </c>
      <c r="U281" s="17"/>
      <c r="V281" s="12">
        <f>VLOOKUP(E281,Precios!B$2:N$941,13,FALSE)*F281</f>
        <v>5125.3781512605037</v>
      </c>
      <c r="W281" s="12">
        <f t="shared" si="4"/>
        <v>5125.3781512605037</v>
      </c>
      <c r="X281" s="12">
        <f>VLOOKUP(B281,'Datos Maestros'!$C$2:$D$7,2,FALSE)*V281</f>
        <v>0</v>
      </c>
      <c r="Y281" s="18">
        <f t="shared" si="5"/>
        <v>45901</v>
      </c>
      <c r="Z281" s="13" t="s">
        <v>39</v>
      </c>
      <c r="AA281" s="19" t="str">
        <f>VLOOKUP(D281,Clientes!$A$2:$J$486,9,FALSE)</f>
        <v>Ocacional</v>
      </c>
      <c r="AB281" s="13" t="str">
        <f>VLOOKUP(D281,Clientes!$A$2:$K$486,11,FALSE)</f>
        <v>Persona Natural</v>
      </c>
      <c r="AC281" s="13" t="str">
        <f>VLOOKUP(D281,Clientes!$A$2:$B$486,2,FALSE)</f>
        <v>Geronimo</v>
      </c>
      <c r="AD281" s="20"/>
      <c r="AE281" s="20"/>
      <c r="AF281" s="13" t="s">
        <v>40</v>
      </c>
      <c r="AG281" s="15">
        <f t="shared" si="6"/>
        <v>45536</v>
      </c>
      <c r="AH281" s="13" t="s">
        <v>41</v>
      </c>
      <c r="AI281" s="13" t="str">
        <f t="shared" si="7"/>
        <v>Papeleria</v>
      </c>
      <c r="AJ281" s="13" t="str">
        <f>VLOOKUP(E281,Precios!Z$2:AA$941,2,FALSE)</f>
        <v>Papel Higienico SWAN 400 hojas</v>
      </c>
      <c r="AK281" s="14">
        <f>VLOOKUP(E281,Precios!Z$2:BB$941,3,FALSE)*F281</f>
        <v>-8</v>
      </c>
      <c r="AL281" s="17"/>
      <c r="AM281" s="17"/>
      <c r="AN281" s="17"/>
      <c r="AO281" s="17"/>
      <c r="AP281" s="17"/>
      <c r="AQ281" s="17"/>
      <c r="AR281" s="17"/>
      <c r="AS281" s="17"/>
      <c r="AT281" s="17"/>
      <c r="AU281" s="17"/>
      <c r="AV281" s="17"/>
    </row>
    <row r="282" spans="1:48" ht="15.75" customHeight="1">
      <c r="A282" s="21" t="s">
        <v>35</v>
      </c>
      <c r="B282" s="23" t="s">
        <v>1692</v>
      </c>
      <c r="C282" s="22">
        <v>45902</v>
      </c>
      <c r="D282" s="23" t="s">
        <v>225</v>
      </c>
      <c r="E282" s="23" t="s">
        <v>117</v>
      </c>
      <c r="F282" s="21">
        <v>1</v>
      </c>
      <c r="G282" s="12">
        <f>VLOOKUP(E282,Precios!B$2:N$941,12,FALSE)</f>
        <v>8999.8271341726922</v>
      </c>
      <c r="H282" s="12">
        <f t="shared" si="0"/>
        <v>8999.8271341726922</v>
      </c>
      <c r="I282" s="23" t="s">
        <v>52</v>
      </c>
      <c r="J282" s="23" t="s">
        <v>61</v>
      </c>
      <c r="K282" s="24" t="s">
        <v>177</v>
      </c>
      <c r="L282" s="24">
        <v>180</v>
      </c>
      <c r="M282" s="12">
        <f t="shared" ref="M282:N282" si="287">G282/1.19</f>
        <v>7562.8799446829353</v>
      </c>
      <c r="N282" s="12">
        <f t="shared" si="287"/>
        <v>7562.8799446829353</v>
      </c>
      <c r="O282" s="12">
        <f t="shared" si="2"/>
        <v>1436.947189489757</v>
      </c>
      <c r="P282" s="13"/>
      <c r="Q282" s="14">
        <f t="shared" si="3"/>
        <v>2025</v>
      </c>
      <c r="R282" s="15">
        <f>VLOOKUP(MONTH(C282),'Datos Maestros'!M$2:N$14,2,FALSE)</f>
        <v>45536</v>
      </c>
      <c r="S282" s="11" t="str">
        <f>VLOOKUP(E282,Precios!B$2:W$941,3,FALSE)</f>
        <v>Queso Mantecoso</v>
      </c>
      <c r="T282" s="16">
        <f>VLOOKUP(E282,Precios!B$2:N$941,4,FALSE)*F282</f>
        <v>750</v>
      </c>
      <c r="U282" s="17"/>
      <c r="V282" s="12">
        <f>VLOOKUP(E282,Precios!B$2:N$941,13,FALSE)*F282</f>
        <v>2312.8799446829353</v>
      </c>
      <c r="W282" s="12">
        <f t="shared" si="4"/>
        <v>2312.8799446829353</v>
      </c>
      <c r="X282" s="12">
        <f>VLOOKUP(B282,'Datos Maestros'!$C$2:$D$7,2,FALSE)*V282</f>
        <v>0</v>
      </c>
      <c r="Y282" s="18">
        <f t="shared" si="5"/>
        <v>45901</v>
      </c>
      <c r="Z282" s="13" t="s">
        <v>39</v>
      </c>
      <c r="AA282" s="19" t="str">
        <f>VLOOKUP(D282,Clientes!$A$2:$J$486,9,FALSE)</f>
        <v>Ocacional</v>
      </c>
      <c r="AB282" s="13" t="str">
        <f>VLOOKUP(D282,Clientes!$A$2:$K$486,11,FALSE)</f>
        <v>Persona Natural</v>
      </c>
      <c r="AC282" s="13" t="str">
        <f>VLOOKUP(D282,Clientes!$A$2:$B$486,2,FALSE)</f>
        <v>Geronimo</v>
      </c>
      <c r="AD282" s="20"/>
      <c r="AE282" s="20"/>
      <c r="AF282" s="13" t="s">
        <v>40</v>
      </c>
      <c r="AG282" s="15">
        <f t="shared" si="6"/>
        <v>45536</v>
      </c>
      <c r="AH282" s="13" t="s">
        <v>41</v>
      </c>
      <c r="AI282" s="13" t="str">
        <f t="shared" si="7"/>
        <v>Quesos</v>
      </c>
      <c r="AJ282" s="13" t="str">
        <f>VLOOKUP(E282,Precios!Z$2:AA$941,2,FALSE)</f>
        <v>Queso RUNCA Laminado Mantecoso</v>
      </c>
      <c r="AK282" s="14">
        <f>VLOOKUP(E282,Precios!Z$2:BB$941,3,FALSE)*F282</f>
        <v>-0.75</v>
      </c>
      <c r="AL282" s="17"/>
      <c r="AM282" s="17"/>
      <c r="AN282" s="17"/>
      <c r="AO282" s="17"/>
      <c r="AP282" s="17"/>
      <c r="AQ282" s="17"/>
      <c r="AR282" s="17"/>
      <c r="AS282" s="17"/>
      <c r="AT282" s="17"/>
      <c r="AU282" s="17"/>
      <c r="AV282" s="17"/>
    </row>
    <row r="283" spans="1:48" ht="15.75" customHeight="1">
      <c r="A283" s="21" t="s">
        <v>47</v>
      </c>
      <c r="B283" s="23" t="s">
        <v>1692</v>
      </c>
      <c r="C283" s="22">
        <v>45902</v>
      </c>
      <c r="D283" s="23" t="s">
        <v>225</v>
      </c>
      <c r="E283" s="23" t="s">
        <v>226</v>
      </c>
      <c r="F283" s="21">
        <v>1</v>
      </c>
      <c r="G283" s="12">
        <f>VLOOKUP(E283,Precios!B$2:N$941,12,FALSE)</f>
        <v>2399.7797710905352</v>
      </c>
      <c r="H283" s="12">
        <f t="shared" si="0"/>
        <v>2399.7797710905352</v>
      </c>
      <c r="I283" s="23" t="s">
        <v>52</v>
      </c>
      <c r="J283" s="23" t="s">
        <v>61</v>
      </c>
      <c r="K283" s="24" t="s">
        <v>177</v>
      </c>
      <c r="L283" s="24">
        <v>180</v>
      </c>
      <c r="M283" s="12">
        <f t="shared" ref="M283:N283" si="288">G283/1.19</f>
        <v>2016.6216563786011</v>
      </c>
      <c r="N283" s="12">
        <f t="shared" si="288"/>
        <v>2016.6216563786011</v>
      </c>
      <c r="O283" s="12">
        <f t="shared" si="2"/>
        <v>383.1581147119341</v>
      </c>
      <c r="P283" s="13"/>
      <c r="Q283" s="14">
        <f t="shared" si="3"/>
        <v>2025</v>
      </c>
      <c r="R283" s="15">
        <f>VLOOKUP(MONTH(C283),'Datos Maestros'!M$2:N$14,2,FALSE)</f>
        <v>45536</v>
      </c>
      <c r="S283" s="11" t="str">
        <f>VLOOKUP(E283,Precios!B$2:W$941,3,FALSE)</f>
        <v>Trapero Húmedo Piso Flotante</v>
      </c>
      <c r="T283" s="16">
        <f>VLOOKUP(E283,Precios!B$2:N$941,4,FALSE)*F283</f>
        <v>0</v>
      </c>
      <c r="U283" s="17"/>
      <c r="V283" s="12">
        <f>VLOOKUP(E283,Precios!B$2:N$941,13,FALSE)*F283</f>
        <v>971.20498971193433</v>
      </c>
      <c r="W283" s="12">
        <f t="shared" si="4"/>
        <v>971.20498971193433</v>
      </c>
      <c r="X283" s="12">
        <f>VLOOKUP(B283,'Datos Maestros'!$C$2:$D$7,2,FALSE)*V283</f>
        <v>0</v>
      </c>
      <c r="Y283" s="18">
        <f t="shared" si="5"/>
        <v>45901</v>
      </c>
      <c r="Z283" s="13" t="s">
        <v>39</v>
      </c>
      <c r="AA283" s="19" t="str">
        <f>VLOOKUP(D283,Clientes!$A$2:$J$486,9,FALSE)</f>
        <v>Ocacional</v>
      </c>
      <c r="AB283" s="13" t="str">
        <f>VLOOKUP(D283,Clientes!$A$2:$K$486,11,FALSE)</f>
        <v>Persona Natural</v>
      </c>
      <c r="AC283" s="13" t="str">
        <f>VLOOKUP(D283,Clientes!$A$2:$B$486,2,FALSE)</f>
        <v>Geronimo</v>
      </c>
      <c r="AD283" s="20"/>
      <c r="AE283" s="20"/>
      <c r="AF283" s="13" t="s">
        <v>40</v>
      </c>
      <c r="AG283" s="15">
        <f t="shared" si="6"/>
        <v>45536</v>
      </c>
      <c r="AH283" s="13" t="s">
        <v>41</v>
      </c>
      <c r="AI283" s="13" t="str">
        <f t="shared" si="7"/>
        <v>Articulos de Aseo</v>
      </c>
      <c r="AJ283" s="13" t="str">
        <f>VLOOKUP(E283,Precios!Z$2:AA$941,2,FALSE)</f>
        <v>Traperos Humedos Piso Flotante TEDDY</v>
      </c>
      <c r="AK283" s="14">
        <f>VLOOKUP(E283,Precios!Z$2:BB$941,3,FALSE)*F283</f>
        <v>-1</v>
      </c>
      <c r="AL283" s="17"/>
      <c r="AM283" s="17"/>
      <c r="AN283" s="17"/>
      <c r="AO283" s="17"/>
      <c r="AP283" s="17"/>
      <c r="AQ283" s="17"/>
      <c r="AR283" s="17"/>
      <c r="AS283" s="17"/>
      <c r="AT283" s="17"/>
      <c r="AU283" s="17"/>
      <c r="AV283" s="17"/>
    </row>
    <row r="284" spans="1:48" ht="15.75" customHeight="1">
      <c r="A284" s="21" t="s">
        <v>43</v>
      </c>
      <c r="B284" s="23" t="s">
        <v>1692</v>
      </c>
      <c r="C284" s="22">
        <v>45902</v>
      </c>
      <c r="D284" s="23" t="s">
        <v>227</v>
      </c>
      <c r="E284" s="23" t="s">
        <v>45</v>
      </c>
      <c r="F284" s="21">
        <v>3</v>
      </c>
      <c r="G284" s="12">
        <f>VLOOKUP(E284,Precios!B$2:N$941,12,FALSE)</f>
        <v>8000.1831784723063</v>
      </c>
      <c r="H284" s="12">
        <f t="shared" si="0"/>
        <v>24000.549535416918</v>
      </c>
      <c r="I284" s="23" t="s">
        <v>52</v>
      </c>
      <c r="J284" s="23" t="s">
        <v>61</v>
      </c>
      <c r="K284" s="24" t="s">
        <v>177</v>
      </c>
      <c r="L284" s="24">
        <v>180</v>
      </c>
      <c r="M284" s="12">
        <f t="shared" ref="M284:N284" si="289">G284/1.19</f>
        <v>6722.8430071195853</v>
      </c>
      <c r="N284" s="12">
        <f t="shared" si="289"/>
        <v>20168.529021358754</v>
      </c>
      <c r="O284" s="12">
        <f t="shared" si="2"/>
        <v>3832.0205140581638</v>
      </c>
      <c r="P284" s="13"/>
      <c r="Q284" s="14">
        <f t="shared" si="3"/>
        <v>2025</v>
      </c>
      <c r="R284" s="15">
        <f>VLOOKUP(MONTH(C284),'Datos Maestros'!M$2:N$14,2,FALSE)</f>
        <v>45536</v>
      </c>
      <c r="S284" s="11" t="str">
        <f>VLOOKUP(E284,Precios!B$2:W$941,3,FALSE)</f>
        <v>Huevos EXTRA</v>
      </c>
      <c r="T284" s="16">
        <f>VLOOKUP(E284,Precios!B$2:N$941,4,FALSE)*F284</f>
        <v>0</v>
      </c>
      <c r="U284" s="17"/>
      <c r="V284" s="12">
        <f>VLOOKUP(E284,Precios!B$2:N$941,13,FALSE)*F284</f>
        <v>3454.8690213587552</v>
      </c>
      <c r="W284" s="12">
        <f t="shared" si="4"/>
        <v>3454.8690213587552</v>
      </c>
      <c r="X284" s="12">
        <f>VLOOKUP(B284,'Datos Maestros'!$C$2:$D$7,2,FALSE)*V284</f>
        <v>0</v>
      </c>
      <c r="Y284" s="18">
        <f t="shared" si="5"/>
        <v>45901</v>
      </c>
      <c r="Z284" s="13" t="s">
        <v>39</v>
      </c>
      <c r="AA284" s="19" t="str">
        <f>VLOOKUP(D284,Clientes!$A$2:$J$486,9,FALSE)</f>
        <v>Frecuente</v>
      </c>
      <c r="AB284" s="13" t="str">
        <f>VLOOKUP(D284,Clientes!$A$2:$K$486,11,FALSE)</f>
        <v>Persona Natural</v>
      </c>
      <c r="AC284" s="13" t="str">
        <f>VLOOKUP(D284,Clientes!$A$2:$B$486,2,FALSE)</f>
        <v>Sector Santa Amalia</v>
      </c>
      <c r="AD284" s="20"/>
      <c r="AE284" s="20"/>
      <c r="AF284" s="13" t="s">
        <v>40</v>
      </c>
      <c r="AG284" s="15">
        <f t="shared" si="6"/>
        <v>45536</v>
      </c>
      <c r="AH284" s="13" t="s">
        <v>41</v>
      </c>
      <c r="AI284" s="13" t="str">
        <f t="shared" si="7"/>
        <v>Huevos</v>
      </c>
      <c r="AJ284" s="13" t="str">
        <f>VLOOKUP(E284,Precios!Z$2:AA$941,2,FALSE)</f>
        <v>Bandeja Huevos EXTRA</v>
      </c>
      <c r="AK284" s="14">
        <f>VLOOKUP(E284,Precios!Z$2:BB$941,3,FALSE)*F284</f>
        <v>-3</v>
      </c>
      <c r="AL284" s="17"/>
      <c r="AM284" s="17"/>
      <c r="AN284" s="17"/>
      <c r="AO284" s="17"/>
      <c r="AP284" s="17"/>
      <c r="AQ284" s="17"/>
      <c r="AR284" s="17"/>
      <c r="AS284" s="17"/>
      <c r="AT284" s="17"/>
      <c r="AU284" s="17"/>
      <c r="AV284" s="17"/>
    </row>
    <row r="285" spans="1:48" ht="15.75" customHeight="1">
      <c r="A285" s="21" t="s">
        <v>43</v>
      </c>
      <c r="B285" s="23" t="s">
        <v>1692</v>
      </c>
      <c r="C285" s="22">
        <v>45901</v>
      </c>
      <c r="D285" s="23" t="s">
        <v>219</v>
      </c>
      <c r="E285" s="23" t="s">
        <v>45</v>
      </c>
      <c r="F285" s="21">
        <v>1</v>
      </c>
      <c r="G285" s="12">
        <f>VLOOKUP(E285,Precios!B$2:N$941,12,FALSE)</f>
        <v>8000.1831784723063</v>
      </c>
      <c r="H285" s="12">
        <f t="shared" si="0"/>
        <v>8000.1831784723063</v>
      </c>
      <c r="I285" s="23" t="s">
        <v>52</v>
      </c>
      <c r="J285" s="23" t="s">
        <v>61</v>
      </c>
      <c r="K285" s="24" t="s">
        <v>177</v>
      </c>
      <c r="L285" s="24">
        <v>180</v>
      </c>
      <c r="M285" s="12">
        <f t="shared" ref="M285:N285" si="290">G285/1.19</f>
        <v>6722.8430071195853</v>
      </c>
      <c r="N285" s="12">
        <f t="shared" si="290"/>
        <v>6722.8430071195853</v>
      </c>
      <c r="O285" s="12">
        <f t="shared" si="2"/>
        <v>1277.340171352721</v>
      </c>
      <c r="P285" s="13"/>
      <c r="Q285" s="14">
        <f t="shared" si="3"/>
        <v>2025</v>
      </c>
      <c r="R285" s="15">
        <f>VLOOKUP(MONTH(C285),'Datos Maestros'!M$2:N$14,2,FALSE)</f>
        <v>45536</v>
      </c>
      <c r="S285" s="11" t="str">
        <f>VLOOKUP(E285,Precios!B$2:W$941,3,FALSE)</f>
        <v>Huevos EXTRA</v>
      </c>
      <c r="T285" s="16">
        <f>VLOOKUP(E285,Precios!B$2:N$941,4,FALSE)*F285</f>
        <v>0</v>
      </c>
      <c r="U285" s="17"/>
      <c r="V285" s="12">
        <f>VLOOKUP(E285,Precios!B$2:N$941,13,FALSE)*F285</f>
        <v>1151.6230071195851</v>
      </c>
      <c r="W285" s="12">
        <f t="shared" si="4"/>
        <v>1151.6230071195851</v>
      </c>
      <c r="X285" s="12">
        <f>VLOOKUP(B285,'Datos Maestros'!$C$2:$D$7,2,FALSE)*V285</f>
        <v>0</v>
      </c>
      <c r="Y285" s="18">
        <f t="shared" si="5"/>
        <v>45901</v>
      </c>
      <c r="Z285" s="13" t="s">
        <v>39</v>
      </c>
      <c r="AA285" s="19" t="str">
        <f>VLOOKUP(D285,Clientes!$A$2:$J$486,9,FALSE)</f>
        <v>Ocacional</v>
      </c>
      <c r="AB285" s="13" t="str">
        <f>VLOOKUP(D285,Clientes!$A$2:$K$486,11,FALSE)</f>
        <v>Persona Natural</v>
      </c>
      <c r="AC285" s="13" t="str">
        <f>VLOOKUP(D285,Clientes!$A$2:$B$486,2,FALSE)</f>
        <v>Jardines de la Viña</v>
      </c>
      <c r="AD285" s="20"/>
      <c r="AE285" s="20"/>
      <c r="AF285" s="13" t="s">
        <v>40</v>
      </c>
      <c r="AG285" s="15">
        <f t="shared" si="6"/>
        <v>45536</v>
      </c>
      <c r="AH285" s="13" t="s">
        <v>41</v>
      </c>
      <c r="AI285" s="13" t="str">
        <f t="shared" si="7"/>
        <v>Huevos</v>
      </c>
      <c r="AJ285" s="13" t="str">
        <f>VLOOKUP(E285,Precios!Z$2:AA$941,2,FALSE)</f>
        <v>Bandeja Huevos EXTRA</v>
      </c>
      <c r="AK285" s="14">
        <f>VLOOKUP(E285,Precios!Z$2:BB$941,3,FALSE)*F285</f>
        <v>-1</v>
      </c>
      <c r="AL285" s="17"/>
      <c r="AM285" s="17"/>
      <c r="AN285" s="17"/>
      <c r="AO285" s="17"/>
      <c r="AP285" s="17"/>
      <c r="AQ285" s="17"/>
      <c r="AR285" s="17"/>
      <c r="AS285" s="17"/>
      <c r="AT285" s="17"/>
      <c r="AU285" s="17"/>
      <c r="AV285" s="17"/>
    </row>
    <row r="286" spans="1:48" ht="15.75" customHeight="1">
      <c r="A286" s="21" t="s">
        <v>43</v>
      </c>
      <c r="B286" s="23" t="s">
        <v>1692</v>
      </c>
      <c r="C286" s="22">
        <v>45901</v>
      </c>
      <c r="D286" s="23" t="s">
        <v>228</v>
      </c>
      <c r="E286" s="23" t="s">
        <v>45</v>
      </c>
      <c r="F286" s="21">
        <v>2</v>
      </c>
      <c r="G286" s="12">
        <f>VLOOKUP(E286,Precios!B$2:N$941,12,FALSE)</f>
        <v>8000.1831784723063</v>
      </c>
      <c r="H286" s="12">
        <f t="shared" si="0"/>
        <v>16000.366356944613</v>
      </c>
      <c r="I286" s="23" t="s">
        <v>52</v>
      </c>
      <c r="J286" s="23" t="s">
        <v>61</v>
      </c>
      <c r="K286" s="24" t="s">
        <v>177</v>
      </c>
      <c r="L286" s="24">
        <v>180</v>
      </c>
      <c r="M286" s="12">
        <f t="shared" ref="M286:N286" si="291">G286/1.19</f>
        <v>6722.8430071195853</v>
      </c>
      <c r="N286" s="12">
        <f t="shared" si="291"/>
        <v>13445.686014239171</v>
      </c>
      <c r="O286" s="12">
        <f t="shared" si="2"/>
        <v>2554.6803427054419</v>
      </c>
      <c r="P286" s="13"/>
      <c r="Q286" s="14">
        <f t="shared" si="3"/>
        <v>2025</v>
      </c>
      <c r="R286" s="15">
        <f>VLOOKUP(MONTH(C286),'Datos Maestros'!M$2:N$14,2,FALSE)</f>
        <v>45536</v>
      </c>
      <c r="S286" s="11" t="str">
        <f>VLOOKUP(E286,Precios!B$2:W$941,3,FALSE)</f>
        <v>Huevos EXTRA</v>
      </c>
      <c r="T286" s="16">
        <f>VLOOKUP(E286,Precios!B$2:N$941,4,FALSE)*F286</f>
        <v>0</v>
      </c>
      <c r="U286" s="17"/>
      <c r="V286" s="12">
        <f>VLOOKUP(E286,Precios!B$2:N$941,13,FALSE)*F286</f>
        <v>2303.2460142391701</v>
      </c>
      <c r="W286" s="12">
        <f t="shared" si="4"/>
        <v>2303.2460142391701</v>
      </c>
      <c r="X286" s="12">
        <f>VLOOKUP(B286,'Datos Maestros'!$C$2:$D$7,2,FALSE)*V286</f>
        <v>0</v>
      </c>
      <c r="Y286" s="18">
        <f t="shared" si="5"/>
        <v>45901</v>
      </c>
      <c r="Z286" s="13" t="s">
        <v>39</v>
      </c>
      <c r="AA286" s="19" t="str">
        <f>VLOOKUP(D286,Clientes!$A$2:$J$486,9,FALSE)</f>
        <v>Ocacional</v>
      </c>
      <c r="AB286" s="13" t="str">
        <f>VLOOKUP(D286,Clientes!$A$2:$K$486,11,FALSE)</f>
        <v>Persona Natural</v>
      </c>
      <c r="AC286" s="13" t="str">
        <f>VLOOKUP(D286,Clientes!$A$2:$B$486,2,FALSE)</f>
        <v>Santa Julia</v>
      </c>
      <c r="AD286" s="20"/>
      <c r="AE286" s="20"/>
      <c r="AF286" s="13" t="s">
        <v>40</v>
      </c>
      <c r="AG286" s="15">
        <f t="shared" si="6"/>
        <v>45536</v>
      </c>
      <c r="AH286" s="13" t="s">
        <v>41</v>
      </c>
      <c r="AI286" s="13" t="str">
        <f t="shared" si="7"/>
        <v>Huevos</v>
      </c>
      <c r="AJ286" s="13" t="str">
        <f>VLOOKUP(E286,Precios!Z$2:AA$941,2,FALSE)</f>
        <v>Bandeja Huevos EXTRA</v>
      </c>
      <c r="AK286" s="14">
        <f>VLOOKUP(E286,Precios!Z$2:BB$941,3,FALSE)*F286</f>
        <v>-2</v>
      </c>
      <c r="AL286" s="17"/>
      <c r="AM286" s="17"/>
      <c r="AN286" s="17"/>
      <c r="AO286" s="17"/>
      <c r="AP286" s="17"/>
      <c r="AQ286" s="17"/>
      <c r="AR286" s="17"/>
      <c r="AS286" s="17"/>
      <c r="AT286" s="17"/>
      <c r="AU286" s="17"/>
      <c r="AV286" s="17"/>
    </row>
    <row r="287" spans="1:48" ht="15.75" customHeight="1">
      <c r="A287" s="21" t="s">
        <v>53</v>
      </c>
      <c r="B287" s="23" t="s">
        <v>1692</v>
      </c>
      <c r="C287" s="22">
        <v>45901</v>
      </c>
      <c r="D287" s="23" t="s">
        <v>96</v>
      </c>
      <c r="E287" s="23" t="s">
        <v>97</v>
      </c>
      <c r="F287" s="21">
        <v>1</v>
      </c>
      <c r="G287" s="12">
        <f>VLOOKUP(E287,Precios!B$2:N$941,12,FALSE)</f>
        <v>16500.236769693482</v>
      </c>
      <c r="H287" s="12">
        <f t="shared" si="0"/>
        <v>16500.236769693482</v>
      </c>
      <c r="I287" s="23" t="s">
        <v>52</v>
      </c>
      <c r="J287" s="23" t="s">
        <v>61</v>
      </c>
      <c r="K287" s="24" t="s">
        <v>177</v>
      </c>
      <c r="L287" s="24">
        <v>180</v>
      </c>
      <c r="M287" s="12">
        <f t="shared" ref="M287:N287" si="292">G287/1.19</f>
        <v>13865.745184616371</v>
      </c>
      <c r="N287" s="12">
        <f t="shared" si="292"/>
        <v>13865.745184616371</v>
      </c>
      <c r="O287" s="12">
        <f t="shared" si="2"/>
        <v>2634.4915850771104</v>
      </c>
      <c r="P287" s="13"/>
      <c r="Q287" s="14">
        <f t="shared" si="3"/>
        <v>2025</v>
      </c>
      <c r="R287" s="15">
        <f>VLOOKUP(MONTH(C287),'Datos Maestros'!M$2:N$14,2,FALSE)</f>
        <v>45536</v>
      </c>
      <c r="S287" s="11" t="str">
        <f>VLOOKUP(E287,Precios!B$2:W$941,3,FALSE)</f>
        <v>Papel Higiénico ELITE</v>
      </c>
      <c r="T287" s="16">
        <f>VLOOKUP(E287,Precios!B$2:N$941,4,FALSE)*F287</f>
        <v>0</v>
      </c>
      <c r="U287" s="17"/>
      <c r="V287" s="12">
        <f>VLOOKUP(E287,Precios!B$2:N$941,13,FALSE)*F287</f>
        <v>3031.7451846163694</v>
      </c>
      <c r="W287" s="12">
        <f t="shared" si="4"/>
        <v>3031.7451846163694</v>
      </c>
      <c r="X287" s="12">
        <f>VLOOKUP(B287,'Datos Maestros'!$C$2:$D$7,2,FALSE)*V287</f>
        <v>0</v>
      </c>
      <c r="Y287" s="18">
        <f t="shared" si="5"/>
        <v>45901</v>
      </c>
      <c r="Z287" s="13" t="s">
        <v>39</v>
      </c>
      <c r="AA287" s="19" t="str">
        <f>VLOOKUP(D287,Clientes!$A$2:$J$486,9,FALSE)</f>
        <v>Ocacional</v>
      </c>
      <c r="AB287" s="13" t="str">
        <f>VLOOKUP(D287,Clientes!$A$2:$K$486,11,FALSE)</f>
        <v>Persona Natural</v>
      </c>
      <c r="AC287" s="13" t="str">
        <f>VLOOKUP(D287,Clientes!$A$2:$B$486,2,FALSE)</f>
        <v>Jardin del eden</v>
      </c>
      <c r="AD287" s="20"/>
      <c r="AE287" s="20"/>
      <c r="AF287" s="13" t="s">
        <v>40</v>
      </c>
      <c r="AG287" s="15">
        <f t="shared" si="6"/>
        <v>45536</v>
      </c>
      <c r="AH287" s="13" t="s">
        <v>41</v>
      </c>
      <c r="AI287" s="13" t="str">
        <f t="shared" si="7"/>
        <v>Papeleria</v>
      </c>
      <c r="AJ287" s="13" t="str">
        <f>VLOOKUP(E287,Precios!Z$2:AA$941,2,FALSE)</f>
        <v>Papel Higienico ELITE 50 metros</v>
      </c>
      <c r="AK287" s="14">
        <f>VLOOKUP(E287,Precios!Z$2:BB$941,3,FALSE)*F287</f>
        <v>-6</v>
      </c>
      <c r="AL287" s="17"/>
      <c r="AM287" s="17"/>
      <c r="AN287" s="17"/>
      <c r="AO287" s="17"/>
      <c r="AP287" s="17"/>
      <c r="AQ287" s="17"/>
      <c r="AR287" s="17"/>
      <c r="AS287" s="17"/>
      <c r="AT287" s="17"/>
      <c r="AU287" s="17"/>
      <c r="AV287" s="17"/>
    </row>
    <row r="288" spans="1:48" ht="15.75" customHeight="1">
      <c r="A288" s="21" t="s">
        <v>35</v>
      </c>
      <c r="B288" s="23" t="s">
        <v>1692</v>
      </c>
      <c r="C288" s="22">
        <v>45901</v>
      </c>
      <c r="D288" s="23" t="s">
        <v>96</v>
      </c>
      <c r="E288" s="23" t="s">
        <v>46</v>
      </c>
      <c r="F288" s="21">
        <v>1</v>
      </c>
      <c r="G288" s="12">
        <f>VLOOKUP(E288,Precios!B$2:N$941,12,FALSE)</f>
        <v>6000.1548227279782</v>
      </c>
      <c r="H288" s="12">
        <f t="shared" si="0"/>
        <v>6000.1548227279782</v>
      </c>
      <c r="I288" s="23" t="s">
        <v>52</v>
      </c>
      <c r="J288" s="23" t="s">
        <v>61</v>
      </c>
      <c r="K288" s="24" t="s">
        <v>177</v>
      </c>
      <c r="L288" s="24">
        <v>180</v>
      </c>
      <c r="M288" s="12">
        <f t="shared" ref="M288:N288" si="293">G288/1.19</f>
        <v>5042.1469098554444</v>
      </c>
      <c r="N288" s="12">
        <f t="shared" si="293"/>
        <v>5042.1469098554444</v>
      </c>
      <c r="O288" s="12">
        <f t="shared" si="2"/>
        <v>958.00791287253378</v>
      </c>
      <c r="P288" s="13"/>
      <c r="Q288" s="14">
        <f t="shared" si="3"/>
        <v>2025</v>
      </c>
      <c r="R288" s="15">
        <f>VLOOKUP(MONTH(C288),'Datos Maestros'!M$2:N$14,2,FALSE)</f>
        <v>45536</v>
      </c>
      <c r="S288" s="11" t="str">
        <f>VLOOKUP(E288,Precios!B$2:W$941,3,FALSE)</f>
        <v>Queso Mantecoso</v>
      </c>
      <c r="T288" s="16">
        <f>VLOOKUP(E288,Precios!B$2:N$941,4,FALSE)*F288</f>
        <v>500</v>
      </c>
      <c r="U288" s="17"/>
      <c r="V288" s="12">
        <f>VLOOKUP(E288,Precios!B$2:N$941,13,FALSE)*F288</f>
        <v>1785.4242207798129</v>
      </c>
      <c r="W288" s="12">
        <f t="shared" si="4"/>
        <v>1785.4242207798129</v>
      </c>
      <c r="X288" s="12">
        <f>VLOOKUP(B288,'Datos Maestros'!$C$2:$D$7,2,FALSE)*V288</f>
        <v>0</v>
      </c>
      <c r="Y288" s="18">
        <f t="shared" si="5"/>
        <v>45901</v>
      </c>
      <c r="Z288" s="13" t="s">
        <v>39</v>
      </c>
      <c r="AA288" s="19" t="str">
        <f>VLOOKUP(D288,Clientes!$A$2:$J$486,9,FALSE)</f>
        <v>Ocacional</v>
      </c>
      <c r="AB288" s="13" t="str">
        <f>VLOOKUP(D288,Clientes!$A$2:$K$486,11,FALSE)</f>
        <v>Persona Natural</v>
      </c>
      <c r="AC288" s="13" t="str">
        <f>VLOOKUP(D288,Clientes!$A$2:$B$486,2,FALSE)</f>
        <v>Jardin del eden</v>
      </c>
      <c r="AD288" s="20"/>
      <c r="AE288" s="20"/>
      <c r="AF288" s="13" t="s">
        <v>40</v>
      </c>
      <c r="AG288" s="15">
        <f t="shared" si="6"/>
        <v>45536</v>
      </c>
      <c r="AH288" s="13" t="s">
        <v>41</v>
      </c>
      <c r="AI288" s="13" t="str">
        <f t="shared" si="7"/>
        <v>Quesos</v>
      </c>
      <c r="AJ288" s="13" t="str">
        <f>VLOOKUP(E288,Precios!Z$2:AA$941,2,FALSE)</f>
        <v>Queso RUNCA Mantecoso</v>
      </c>
      <c r="AK288" s="14">
        <f>VLOOKUP(E288,Precios!Z$2:BB$941,3,FALSE)*F288</f>
        <v>-0.5</v>
      </c>
      <c r="AL288" s="17"/>
      <c r="AM288" s="17"/>
      <c r="AN288" s="17"/>
      <c r="AO288" s="17"/>
      <c r="AP288" s="17"/>
      <c r="AQ288" s="17"/>
      <c r="AR288" s="17"/>
      <c r="AS288" s="17"/>
      <c r="AT288" s="17"/>
      <c r="AU288" s="17"/>
      <c r="AV288" s="17"/>
    </row>
    <row r="289" spans="1:48" ht="15.75" customHeight="1">
      <c r="A289" s="21" t="s">
        <v>53</v>
      </c>
      <c r="B289" s="23" t="s">
        <v>1692</v>
      </c>
      <c r="C289" s="22">
        <v>45901</v>
      </c>
      <c r="D289" s="23" t="s">
        <v>229</v>
      </c>
      <c r="E289" s="23" t="s">
        <v>97</v>
      </c>
      <c r="F289" s="21">
        <v>1</v>
      </c>
      <c r="G289" s="12">
        <f>VLOOKUP(E289,Precios!B$2:N$941,12,FALSE)</f>
        <v>16500.236769693482</v>
      </c>
      <c r="H289" s="12">
        <f t="shared" si="0"/>
        <v>16500.236769693482</v>
      </c>
      <c r="I289" s="23" t="s">
        <v>52</v>
      </c>
      <c r="J289" s="23" t="s">
        <v>61</v>
      </c>
      <c r="K289" s="24" t="s">
        <v>177</v>
      </c>
      <c r="L289" s="24">
        <v>180</v>
      </c>
      <c r="M289" s="12">
        <f t="shared" ref="M289:N289" si="294">G289/1.19</f>
        <v>13865.745184616371</v>
      </c>
      <c r="N289" s="12">
        <f t="shared" si="294"/>
        <v>13865.745184616371</v>
      </c>
      <c r="O289" s="12">
        <f t="shared" si="2"/>
        <v>2634.4915850771104</v>
      </c>
      <c r="P289" s="13"/>
      <c r="Q289" s="14">
        <f t="shared" si="3"/>
        <v>2025</v>
      </c>
      <c r="R289" s="15">
        <f>VLOOKUP(MONTH(C289),'Datos Maestros'!M$2:N$14,2,FALSE)</f>
        <v>45536</v>
      </c>
      <c r="S289" s="11" t="str">
        <f>VLOOKUP(E289,Precios!B$2:W$941,3,FALSE)</f>
        <v>Papel Higiénico ELITE</v>
      </c>
      <c r="T289" s="16">
        <f>VLOOKUP(E289,Precios!B$2:N$941,4,FALSE)*F289</f>
        <v>0</v>
      </c>
      <c r="U289" s="17"/>
      <c r="V289" s="12">
        <f>VLOOKUP(E289,Precios!B$2:N$941,13,FALSE)*F289</f>
        <v>3031.7451846163694</v>
      </c>
      <c r="W289" s="12">
        <f t="shared" si="4"/>
        <v>3031.7451846163694</v>
      </c>
      <c r="X289" s="12">
        <f>VLOOKUP(B289,'Datos Maestros'!$C$2:$D$7,2,FALSE)*V289</f>
        <v>0</v>
      </c>
      <c r="Y289" s="18">
        <f t="shared" si="5"/>
        <v>45901</v>
      </c>
      <c r="Z289" s="13" t="s">
        <v>39</v>
      </c>
      <c r="AA289" s="19" t="str">
        <f>VLOOKUP(D289,Clientes!$A$2:$J$486,9,FALSE)</f>
        <v>Frecuente</v>
      </c>
      <c r="AB289" s="13" t="str">
        <f>VLOOKUP(D289,Clientes!$A$2:$K$486,11,FALSE)</f>
        <v>Persona Natural</v>
      </c>
      <c r="AC289" s="13" t="str">
        <f>VLOOKUP(D289,Clientes!$A$2:$B$486,2,FALSE)</f>
        <v>Sector Santa Delia</v>
      </c>
      <c r="AD289" s="20"/>
      <c r="AE289" s="20"/>
      <c r="AF289" s="13" t="s">
        <v>40</v>
      </c>
      <c r="AG289" s="15">
        <f t="shared" si="6"/>
        <v>45536</v>
      </c>
      <c r="AH289" s="13" t="s">
        <v>41</v>
      </c>
      <c r="AI289" s="13" t="str">
        <f t="shared" si="7"/>
        <v>Papeleria</v>
      </c>
      <c r="AJ289" s="13" t="str">
        <f>VLOOKUP(E289,Precios!Z$2:AA$941,2,FALSE)</f>
        <v>Papel Higienico ELITE 50 metros</v>
      </c>
      <c r="AK289" s="14">
        <f>VLOOKUP(E289,Precios!Z$2:BB$941,3,FALSE)*F289</f>
        <v>-6</v>
      </c>
      <c r="AL289" s="17"/>
      <c r="AM289" s="17"/>
      <c r="AN289" s="17"/>
      <c r="AO289" s="17"/>
      <c r="AP289" s="17"/>
      <c r="AQ289" s="17"/>
      <c r="AR289" s="17"/>
      <c r="AS289" s="17"/>
      <c r="AT289" s="17"/>
      <c r="AU289" s="17"/>
      <c r="AV289" s="17"/>
    </row>
    <row r="290" spans="1:48" ht="15.75" customHeight="1">
      <c r="A290" s="21" t="s">
        <v>53</v>
      </c>
      <c r="B290" s="23" t="s">
        <v>1692</v>
      </c>
      <c r="C290" s="22">
        <v>45901</v>
      </c>
      <c r="D290" s="23" t="s">
        <v>230</v>
      </c>
      <c r="E290" s="23" t="s">
        <v>114</v>
      </c>
      <c r="F290" s="21">
        <v>1</v>
      </c>
      <c r="G290" s="12">
        <f>VLOOKUP(E290,Precios!B$2:N$941,12,FALSE)</f>
        <v>10500</v>
      </c>
      <c r="H290" s="12">
        <f t="shared" si="0"/>
        <v>10500</v>
      </c>
      <c r="I290" s="23" t="s">
        <v>52</v>
      </c>
      <c r="J290" s="23" t="s">
        <v>61</v>
      </c>
      <c r="K290" s="24" t="s">
        <v>177</v>
      </c>
      <c r="L290" s="24">
        <v>180</v>
      </c>
      <c r="M290" s="12">
        <f t="shared" ref="M290:N290" si="295">G290/1.19</f>
        <v>8823.5294117647063</v>
      </c>
      <c r="N290" s="12">
        <f t="shared" si="295"/>
        <v>8823.5294117647063</v>
      </c>
      <c r="O290" s="12">
        <f t="shared" si="2"/>
        <v>1676.4705882352937</v>
      </c>
      <c r="P290" s="13"/>
      <c r="Q290" s="14">
        <f t="shared" si="3"/>
        <v>2025</v>
      </c>
      <c r="R290" s="15">
        <f>VLOOKUP(MONTH(C290),'Datos Maestros'!M$2:N$14,2,FALSE)</f>
        <v>45536</v>
      </c>
      <c r="S290" s="11" t="str">
        <f>VLOOKUP(E290,Precios!B$2:W$941,3,FALSE)</f>
        <v>Toalla Nova 3 rollos</v>
      </c>
      <c r="T290" s="16">
        <f>VLOOKUP(E290,Precios!B$2:N$941,4,FALSE)*F290</f>
        <v>0</v>
      </c>
      <c r="U290" s="17"/>
      <c r="V290" s="12">
        <f>VLOOKUP(E290,Precios!B$2:N$941,13,FALSE)*F290</f>
        <v>2403.3613445378151</v>
      </c>
      <c r="W290" s="12">
        <f t="shared" si="4"/>
        <v>2403.3613445378151</v>
      </c>
      <c r="X290" s="12">
        <f>VLOOKUP(B290,'Datos Maestros'!$C$2:$D$7,2,FALSE)*V290</f>
        <v>0</v>
      </c>
      <c r="Y290" s="18">
        <f t="shared" si="5"/>
        <v>45901</v>
      </c>
      <c r="Z290" s="13" t="s">
        <v>39</v>
      </c>
      <c r="AA290" s="19" t="str">
        <f>VLOOKUP(D290,Clientes!$A$2:$J$486,9,FALSE)</f>
        <v>Ocacional</v>
      </c>
      <c r="AB290" s="13" t="str">
        <f>VLOOKUP(D290,Clientes!$A$2:$K$486,11,FALSE)</f>
        <v>Persona Natural</v>
      </c>
      <c r="AC290" s="13" t="str">
        <f>VLOOKUP(D290,Clientes!$A$2:$B$486,2,FALSE)</f>
        <v>Jardin del eden</v>
      </c>
      <c r="AD290" s="20"/>
      <c r="AE290" s="20"/>
      <c r="AF290" s="13" t="s">
        <v>40</v>
      </c>
      <c r="AG290" s="15">
        <f t="shared" si="6"/>
        <v>45536</v>
      </c>
      <c r="AH290" s="13" t="s">
        <v>41</v>
      </c>
      <c r="AI290" s="13" t="str">
        <f t="shared" si="7"/>
        <v>Papeleria</v>
      </c>
      <c r="AJ290" s="13" t="str">
        <f>VLOOKUP(E290,Precios!Z$2:AA$941,2,FALSE)</f>
        <v>Toalla Papel NOVA 12 metros</v>
      </c>
      <c r="AK290" s="14">
        <f>VLOOKUP(E290,Precios!Z$2:BB$941,3,FALSE)*F290</f>
        <v>-8</v>
      </c>
      <c r="AL290" s="17"/>
      <c r="AM290" s="17"/>
      <c r="AN290" s="17"/>
      <c r="AO290" s="17"/>
      <c r="AP290" s="17"/>
      <c r="AQ290" s="17"/>
      <c r="AR290" s="17"/>
      <c r="AS290" s="17"/>
      <c r="AT290" s="17"/>
      <c r="AU290" s="17"/>
      <c r="AV290" s="17"/>
    </row>
    <row r="291" spans="1:48" ht="15.75" customHeight="1">
      <c r="A291" s="21" t="s">
        <v>64</v>
      </c>
      <c r="B291" s="23" t="s">
        <v>1692</v>
      </c>
      <c r="C291" s="22">
        <v>45901</v>
      </c>
      <c r="D291" s="23" t="s">
        <v>231</v>
      </c>
      <c r="E291" s="23" t="s">
        <v>173</v>
      </c>
      <c r="F291" s="21">
        <v>1</v>
      </c>
      <c r="G291" s="12">
        <f>VLOOKUP(E291,Precios!B$2:N$941,12,FALSE)</f>
        <v>23999.589943360927</v>
      </c>
      <c r="H291" s="12">
        <f t="shared" si="0"/>
        <v>23999.589943360927</v>
      </c>
      <c r="I291" s="23" t="s">
        <v>52</v>
      </c>
      <c r="J291" s="23" t="s">
        <v>61</v>
      </c>
      <c r="K291" s="24" t="s">
        <v>177</v>
      </c>
      <c r="L291" s="24">
        <v>180</v>
      </c>
      <c r="M291" s="12">
        <f t="shared" ref="M291:N291" si="296">G291/1.19</f>
        <v>20167.72264147977</v>
      </c>
      <c r="N291" s="12">
        <f t="shared" si="296"/>
        <v>20167.72264147977</v>
      </c>
      <c r="O291" s="12">
        <f t="shared" si="2"/>
        <v>3831.8673018811569</v>
      </c>
      <c r="P291" s="13"/>
      <c r="Q291" s="14">
        <f t="shared" si="3"/>
        <v>2025</v>
      </c>
      <c r="R291" s="15">
        <f>VLOOKUP(MONTH(C291),'Datos Maestros'!M$2:N$14,2,FALSE)</f>
        <v>45536</v>
      </c>
      <c r="S291" s="11" t="str">
        <f>VLOOKUP(E291,Precios!B$2:W$941,3,FALSE)</f>
        <v>Longanizas</v>
      </c>
      <c r="T291" s="16">
        <f>VLOOKUP(E291,Precios!B$2:N$941,4,FALSE)*F291</f>
        <v>3</v>
      </c>
      <c r="U291" s="17"/>
      <c r="V291" s="12">
        <f>VLOOKUP(E291,Precios!B$2:N$941,13,FALSE)*F291</f>
        <v>4429.2352465217864</v>
      </c>
      <c r="W291" s="12">
        <f t="shared" si="4"/>
        <v>4429.2352465217864</v>
      </c>
      <c r="X291" s="12">
        <f>VLOOKUP(B291,'Datos Maestros'!$C$2:$D$7,2,FALSE)*V291</f>
        <v>0</v>
      </c>
      <c r="Y291" s="18">
        <f t="shared" si="5"/>
        <v>45901</v>
      </c>
      <c r="Z291" s="13" t="s">
        <v>39</v>
      </c>
      <c r="AA291" s="19" t="str">
        <f>VLOOKUP(D291,Clientes!$A$2:$J$486,9,FALSE)</f>
        <v>Ocacional</v>
      </c>
      <c r="AB291" s="13" t="str">
        <f>VLOOKUP(D291,Clientes!$A$2:$K$486,11,FALSE)</f>
        <v>Persona Natural</v>
      </c>
      <c r="AC291" s="13" t="str">
        <f>VLOOKUP(D291,Clientes!$A$2:$B$486,2,FALSE)</f>
        <v>Sector Santa Delia</v>
      </c>
      <c r="AD291" s="20"/>
      <c r="AE291" s="20"/>
      <c r="AF291" s="13" t="s">
        <v>40</v>
      </c>
      <c r="AG291" s="15">
        <f t="shared" si="6"/>
        <v>45536</v>
      </c>
      <c r="AH291" s="13" t="s">
        <v>41</v>
      </c>
      <c r="AI291" s="13" t="str">
        <f t="shared" si="7"/>
        <v>Longanizas</v>
      </c>
      <c r="AJ291" s="13" t="str">
        <f>VLOOKUP(E291,Precios!Z$2:AA$941,2,FALSE)</f>
        <v>Longanizas VILLABLANCA</v>
      </c>
      <c r="AK291" s="14">
        <f>VLOOKUP(E291,Precios!Z$2:BB$941,3,FALSE)*F291</f>
        <v>-3</v>
      </c>
      <c r="AL291" s="17"/>
      <c r="AM291" s="17"/>
      <c r="AN291" s="17"/>
      <c r="AO291" s="17"/>
      <c r="AP291" s="17"/>
      <c r="AQ291" s="17"/>
      <c r="AR291" s="17"/>
      <c r="AS291" s="17"/>
      <c r="AT291" s="17"/>
      <c r="AU291" s="17"/>
      <c r="AV291" s="17"/>
    </row>
    <row r="292" spans="1:48" ht="15.75" customHeight="1">
      <c r="A292" s="21" t="s">
        <v>56</v>
      </c>
      <c r="B292" s="23" t="s">
        <v>1692</v>
      </c>
      <c r="C292" s="22">
        <v>45901</v>
      </c>
      <c r="D292" s="23" t="s">
        <v>232</v>
      </c>
      <c r="E292" s="23" t="s">
        <v>57</v>
      </c>
      <c r="F292" s="21">
        <v>2</v>
      </c>
      <c r="G292" s="12">
        <f>VLOOKUP(E292,Precios!B$2:N$941,12,FALSE)</f>
        <v>2999.6253023129066</v>
      </c>
      <c r="H292" s="12">
        <f t="shared" si="0"/>
        <v>5999.2506046258131</v>
      </c>
      <c r="I292" s="23" t="s">
        <v>52</v>
      </c>
      <c r="J292" s="23" t="s">
        <v>61</v>
      </c>
      <c r="K292" s="24" t="s">
        <v>177</v>
      </c>
      <c r="L292" s="24">
        <v>180</v>
      </c>
      <c r="M292" s="12">
        <f t="shared" ref="M292:N292" si="297">G292/1.19</f>
        <v>2520.6935313553836</v>
      </c>
      <c r="N292" s="12">
        <f t="shared" si="297"/>
        <v>5041.3870627107672</v>
      </c>
      <c r="O292" s="12">
        <f t="shared" si="2"/>
        <v>957.86354191504597</v>
      </c>
      <c r="P292" s="13"/>
      <c r="Q292" s="14">
        <f t="shared" si="3"/>
        <v>2025</v>
      </c>
      <c r="R292" s="15">
        <f>VLOOKUP(MONTH(C292),'Datos Maestros'!M$2:N$14,2,FALSE)</f>
        <v>45536</v>
      </c>
      <c r="S292" s="11" t="str">
        <f>VLOOKUP(E292,Precios!B$2:W$941,3,FALSE)</f>
        <v>Provoleta</v>
      </c>
      <c r="T292" s="16">
        <f>VLOOKUP(E292,Precios!B$2:N$941,4,FALSE)*F292</f>
        <v>270</v>
      </c>
      <c r="U292" s="17"/>
      <c r="V292" s="12">
        <f>VLOOKUP(E292,Precios!B$2:N$941,13,FALSE)*F292</f>
        <v>2081.3870627107672</v>
      </c>
      <c r="W292" s="12">
        <f t="shared" si="4"/>
        <v>2081.3870627107672</v>
      </c>
      <c r="X292" s="12">
        <f>VLOOKUP(B292,'Datos Maestros'!$C$2:$D$7,2,FALSE)*V292</f>
        <v>0</v>
      </c>
      <c r="Y292" s="18">
        <f t="shared" si="5"/>
        <v>45901</v>
      </c>
      <c r="Z292" s="13" t="s">
        <v>39</v>
      </c>
      <c r="AA292" s="19" t="str">
        <f>VLOOKUP(D292,Clientes!$A$2:$J$486,9,FALSE)</f>
        <v>Regular</v>
      </c>
      <c r="AB292" s="13" t="str">
        <f>VLOOKUP(D292,Clientes!$A$2:$K$486,11,FALSE)</f>
        <v>Persona Natural</v>
      </c>
      <c r="AC292" s="13" t="str">
        <f>VLOOKUP(D292,Clientes!$A$2:$B$486,2,FALSE)</f>
        <v>Colegio Antilhue</v>
      </c>
      <c r="AD292" s="20"/>
      <c r="AE292" s="20"/>
      <c r="AF292" s="13" t="s">
        <v>40</v>
      </c>
      <c r="AG292" s="15">
        <f t="shared" si="6"/>
        <v>45536</v>
      </c>
      <c r="AH292" s="13" t="s">
        <v>41</v>
      </c>
      <c r="AI292" s="13" t="str">
        <f t="shared" si="7"/>
        <v>Derivados</v>
      </c>
      <c r="AJ292" s="13" t="str">
        <f>VLOOKUP(E292,Precios!Z$2:AA$941,2,FALSE)</f>
        <v>Provoleta Parrillera</v>
      </c>
      <c r="AK292" s="14">
        <f>VLOOKUP(E292,Precios!Z$2:BB$941,3,FALSE)*F292</f>
        <v>-2</v>
      </c>
      <c r="AL292" s="17"/>
      <c r="AM292" s="17"/>
      <c r="AN292" s="17"/>
      <c r="AO292" s="17"/>
      <c r="AP292" s="17"/>
      <c r="AQ292" s="17"/>
      <c r="AR292" s="17"/>
      <c r="AS292" s="17"/>
      <c r="AT292" s="17"/>
      <c r="AU292" s="17"/>
      <c r="AV292" s="17"/>
    </row>
    <row r="293" spans="1:48" ht="15.75" customHeight="1">
      <c r="A293" s="21" t="s">
        <v>35</v>
      </c>
      <c r="B293" s="23" t="s">
        <v>1692</v>
      </c>
      <c r="C293" s="22">
        <v>45901</v>
      </c>
      <c r="D293" s="23" t="s">
        <v>232</v>
      </c>
      <c r="E293" s="23" t="s">
        <v>37</v>
      </c>
      <c r="F293" s="21">
        <v>1</v>
      </c>
      <c r="G293" s="12">
        <f>VLOOKUP(E293,Precios!B$2:N$941,12,FALSE)</f>
        <v>11000.014358944907</v>
      </c>
      <c r="H293" s="12">
        <f t="shared" si="0"/>
        <v>11000.014358944907</v>
      </c>
      <c r="I293" s="23" t="s">
        <v>52</v>
      </c>
      <c r="J293" s="23" t="s">
        <v>61</v>
      </c>
      <c r="K293" s="24" t="s">
        <v>177</v>
      </c>
      <c r="L293" s="24">
        <v>180</v>
      </c>
      <c r="M293" s="12">
        <f t="shared" ref="M293:N293" si="298">G293/1.19</f>
        <v>9243.7095453318543</v>
      </c>
      <c r="N293" s="12">
        <f t="shared" si="298"/>
        <v>9243.7095453318543</v>
      </c>
      <c r="O293" s="12">
        <f t="shared" si="2"/>
        <v>1756.3048136130528</v>
      </c>
      <c r="P293" s="13"/>
      <c r="Q293" s="14">
        <f t="shared" si="3"/>
        <v>2025</v>
      </c>
      <c r="R293" s="15">
        <f>VLOOKUP(MONTH(C293),'Datos Maestros'!M$2:N$14,2,FALSE)</f>
        <v>45536</v>
      </c>
      <c r="S293" s="11" t="str">
        <f>VLOOKUP(E293,Precios!B$2:W$941,3,FALSE)</f>
        <v>Queso Mantecoso</v>
      </c>
      <c r="T293" s="16">
        <f>VLOOKUP(E293,Precios!B$2:N$941,4,FALSE)*F293</f>
        <v>1000</v>
      </c>
      <c r="U293" s="17"/>
      <c r="V293" s="12">
        <f>VLOOKUP(E293,Precios!B$2:N$941,13,FALSE)*F293</f>
        <v>2806.1129066763915</v>
      </c>
      <c r="W293" s="12">
        <f t="shared" si="4"/>
        <v>2806.1129066763915</v>
      </c>
      <c r="X293" s="12">
        <f>VLOOKUP(B293,'Datos Maestros'!$C$2:$D$7,2,FALSE)*V293</f>
        <v>0</v>
      </c>
      <c r="Y293" s="18">
        <f t="shared" si="5"/>
        <v>45901</v>
      </c>
      <c r="Z293" s="13" t="s">
        <v>39</v>
      </c>
      <c r="AA293" s="19" t="str">
        <f>VLOOKUP(D293,Clientes!$A$2:$J$486,9,FALSE)</f>
        <v>Regular</v>
      </c>
      <c r="AB293" s="13" t="str">
        <f>VLOOKUP(D293,Clientes!$A$2:$K$486,11,FALSE)</f>
        <v>Persona Natural</v>
      </c>
      <c r="AC293" s="13" t="str">
        <f>VLOOKUP(D293,Clientes!$A$2:$B$486,2,FALSE)</f>
        <v>Colegio Antilhue</v>
      </c>
      <c r="AD293" s="20"/>
      <c r="AE293" s="20"/>
      <c r="AF293" s="13" t="s">
        <v>40</v>
      </c>
      <c r="AG293" s="15">
        <f t="shared" si="6"/>
        <v>45536</v>
      </c>
      <c r="AH293" s="13" t="s">
        <v>41</v>
      </c>
      <c r="AI293" s="13" t="str">
        <f t="shared" si="7"/>
        <v>Quesos</v>
      </c>
      <c r="AJ293" s="13" t="str">
        <f>VLOOKUP(E293,Precios!Z$2:AA$941,2,FALSE)</f>
        <v>Queso RUNCA Mantecoso</v>
      </c>
      <c r="AK293" s="14">
        <f>VLOOKUP(E293,Precios!Z$2:BB$941,3,FALSE)*F293</f>
        <v>-1</v>
      </c>
      <c r="AL293" s="17"/>
      <c r="AM293" s="17"/>
      <c r="AN293" s="17"/>
      <c r="AO293" s="17"/>
      <c r="AP293" s="17"/>
      <c r="AQ293" s="17"/>
      <c r="AR293" s="17"/>
      <c r="AS293" s="17"/>
      <c r="AT293" s="17"/>
      <c r="AU293" s="17"/>
      <c r="AV293" s="17"/>
    </row>
    <row r="294" spans="1:48" ht="15.75" customHeight="1">
      <c r="A294" s="21" t="s">
        <v>43</v>
      </c>
      <c r="B294" s="23" t="s">
        <v>1692</v>
      </c>
      <c r="C294" s="22">
        <v>45901</v>
      </c>
      <c r="D294" s="23" t="s">
        <v>184</v>
      </c>
      <c r="E294" s="23" t="s">
        <v>45</v>
      </c>
      <c r="F294" s="21">
        <v>1</v>
      </c>
      <c r="G294" s="12">
        <f>VLOOKUP(E294,Precios!B$2:N$941,12,FALSE)</f>
        <v>8000.1831784723063</v>
      </c>
      <c r="H294" s="12">
        <f t="shared" si="0"/>
        <v>8000.1831784723063</v>
      </c>
      <c r="I294" s="23" t="s">
        <v>52</v>
      </c>
      <c r="J294" s="23" t="s">
        <v>61</v>
      </c>
      <c r="K294" s="24" t="s">
        <v>177</v>
      </c>
      <c r="L294" s="24">
        <v>180</v>
      </c>
      <c r="M294" s="12">
        <f t="shared" ref="M294:N294" si="299">G294/1.19</f>
        <v>6722.8430071195853</v>
      </c>
      <c r="N294" s="12">
        <f t="shared" si="299"/>
        <v>6722.8430071195853</v>
      </c>
      <c r="O294" s="12">
        <f t="shared" si="2"/>
        <v>1277.340171352721</v>
      </c>
      <c r="P294" s="13"/>
      <c r="Q294" s="14">
        <f t="shared" si="3"/>
        <v>2025</v>
      </c>
      <c r="R294" s="15">
        <f>VLOOKUP(MONTH(C294),'Datos Maestros'!M$2:N$14,2,FALSE)</f>
        <v>45536</v>
      </c>
      <c r="S294" s="11" t="str">
        <f>VLOOKUP(E294,Precios!B$2:W$941,3,FALSE)</f>
        <v>Huevos EXTRA</v>
      </c>
      <c r="T294" s="16">
        <f>VLOOKUP(E294,Precios!B$2:N$941,4,FALSE)*F294</f>
        <v>0</v>
      </c>
      <c r="U294" s="17"/>
      <c r="V294" s="12">
        <f>VLOOKUP(E294,Precios!B$2:N$941,13,FALSE)*F294</f>
        <v>1151.6230071195851</v>
      </c>
      <c r="W294" s="12">
        <f t="shared" si="4"/>
        <v>1151.6230071195851</v>
      </c>
      <c r="X294" s="12">
        <f>VLOOKUP(B294,'Datos Maestros'!$C$2:$D$7,2,FALSE)*V294</f>
        <v>0</v>
      </c>
      <c r="Y294" s="18">
        <f t="shared" si="5"/>
        <v>45901</v>
      </c>
      <c r="Z294" s="13" t="s">
        <v>39</v>
      </c>
      <c r="AA294" s="19" t="str">
        <f>VLOOKUP(D294,Clientes!$A$2:$J$486,9,FALSE)</f>
        <v>Frecuente</v>
      </c>
      <c r="AB294" s="13" t="str">
        <f>VLOOKUP(D294,Clientes!$A$2:$K$486,11,FALSE)</f>
        <v>Persona Natural</v>
      </c>
      <c r="AC294" s="13" t="str">
        <f>VLOOKUP(D294,Clientes!$A$2:$B$486,2,FALSE)</f>
        <v>Jardin del Eden</v>
      </c>
      <c r="AD294" s="20"/>
      <c r="AE294" s="20"/>
      <c r="AF294" s="13" t="s">
        <v>40</v>
      </c>
      <c r="AG294" s="15">
        <f t="shared" si="6"/>
        <v>45536</v>
      </c>
      <c r="AH294" s="13" t="s">
        <v>41</v>
      </c>
      <c r="AI294" s="13" t="str">
        <f t="shared" si="7"/>
        <v>Huevos</v>
      </c>
      <c r="AJ294" s="13" t="str">
        <f>VLOOKUP(E294,Precios!Z$2:AA$941,2,FALSE)</f>
        <v>Bandeja Huevos EXTRA</v>
      </c>
      <c r="AK294" s="14">
        <f>VLOOKUP(E294,Precios!Z$2:BB$941,3,FALSE)*F294</f>
        <v>-1</v>
      </c>
      <c r="AL294" s="17"/>
      <c r="AM294" s="17"/>
      <c r="AN294" s="17"/>
      <c r="AO294" s="17"/>
      <c r="AP294" s="17"/>
      <c r="AQ294" s="17"/>
      <c r="AR294" s="17"/>
      <c r="AS294" s="17"/>
      <c r="AT294" s="17"/>
      <c r="AU294" s="17"/>
      <c r="AV294" s="17"/>
    </row>
    <row r="295" spans="1:48" ht="15.75" customHeight="1">
      <c r="A295" s="21" t="s">
        <v>35</v>
      </c>
      <c r="B295" s="23" t="s">
        <v>1692</v>
      </c>
      <c r="C295" s="22">
        <v>45900</v>
      </c>
      <c r="D295" s="23" t="s">
        <v>233</v>
      </c>
      <c r="E295" s="23" t="s">
        <v>117</v>
      </c>
      <c r="F295" s="21">
        <v>1</v>
      </c>
      <c r="G295" s="12">
        <f>VLOOKUP(E295,Precios!B$2:N$941,12,FALSE)</f>
        <v>8999.8271341726922</v>
      </c>
      <c r="H295" s="12">
        <f t="shared" si="0"/>
        <v>8999.8271341726922</v>
      </c>
      <c r="I295" s="23" t="s">
        <v>52</v>
      </c>
      <c r="J295" s="23" t="s">
        <v>61</v>
      </c>
      <c r="K295" s="24" t="s">
        <v>177</v>
      </c>
      <c r="L295" s="24">
        <v>179</v>
      </c>
      <c r="M295" s="12">
        <f t="shared" ref="M295:N295" si="300">G295/1.19</f>
        <v>7562.8799446829353</v>
      </c>
      <c r="N295" s="12">
        <f t="shared" si="300"/>
        <v>7562.8799446829353</v>
      </c>
      <c r="O295" s="12">
        <f t="shared" si="2"/>
        <v>1436.947189489757</v>
      </c>
      <c r="P295" s="13"/>
      <c r="Q295" s="14">
        <f t="shared" si="3"/>
        <v>2025</v>
      </c>
      <c r="R295" s="15">
        <f>VLOOKUP(MONTH(C295),'Datos Maestros'!M$2:N$14,2,FALSE)</f>
        <v>45505</v>
      </c>
      <c r="S295" s="11" t="str">
        <f>VLOOKUP(E295,Precios!B$2:W$941,3,FALSE)</f>
        <v>Queso Mantecoso</v>
      </c>
      <c r="T295" s="16">
        <f>VLOOKUP(E295,Precios!B$2:N$941,4,FALSE)*F295</f>
        <v>750</v>
      </c>
      <c r="U295" s="17"/>
      <c r="V295" s="12">
        <f>VLOOKUP(E295,Precios!B$2:N$941,13,FALSE)*F295</f>
        <v>2312.8799446829353</v>
      </c>
      <c r="W295" s="12">
        <f t="shared" si="4"/>
        <v>2312.8799446829353</v>
      </c>
      <c r="X295" s="12">
        <f>VLOOKUP(B295,'Datos Maestros'!$C$2:$D$7,2,FALSE)*V295</f>
        <v>0</v>
      </c>
      <c r="Y295" s="18">
        <f t="shared" si="5"/>
        <v>45894</v>
      </c>
      <c r="Z295" s="13" t="s">
        <v>39</v>
      </c>
      <c r="AA295" s="19" t="str">
        <f>VLOOKUP(D295,Clientes!$A$2:$J$486,9,FALSE)</f>
        <v>Ocacional</v>
      </c>
      <c r="AB295" s="13" t="str">
        <f>VLOOKUP(D295,Clientes!$A$2:$K$486,11,FALSE)</f>
        <v>Persona Natural</v>
      </c>
      <c r="AC295" s="13" t="str">
        <f>VLOOKUP(D295,Clientes!$A$2:$B$486,2,FALSE)</f>
        <v>Jardines de la viña</v>
      </c>
      <c r="AD295" s="20"/>
      <c r="AE295" s="20"/>
      <c r="AF295" s="13" t="s">
        <v>40</v>
      </c>
      <c r="AG295" s="15">
        <f t="shared" si="6"/>
        <v>45505</v>
      </c>
      <c r="AH295" s="13" t="s">
        <v>41</v>
      </c>
      <c r="AI295" s="13" t="str">
        <f t="shared" si="7"/>
        <v>Quesos</v>
      </c>
      <c r="AJ295" s="13" t="str">
        <f>VLOOKUP(E295,Precios!Z$2:AA$941,2,FALSE)</f>
        <v>Queso RUNCA Laminado Mantecoso</v>
      </c>
      <c r="AK295" s="14">
        <f>VLOOKUP(E295,Precios!Z$2:BB$941,3,FALSE)*F295</f>
        <v>-0.75</v>
      </c>
      <c r="AL295" s="17"/>
      <c r="AM295" s="17"/>
      <c r="AN295" s="17"/>
      <c r="AO295" s="17"/>
      <c r="AP295" s="17"/>
      <c r="AQ295" s="17"/>
      <c r="AR295" s="17"/>
      <c r="AS295" s="17"/>
      <c r="AT295" s="17"/>
      <c r="AU295" s="17"/>
      <c r="AV295" s="17"/>
    </row>
    <row r="296" spans="1:48" ht="15.75" customHeight="1">
      <c r="A296" s="21" t="s">
        <v>56</v>
      </c>
      <c r="B296" s="23" t="s">
        <v>1692</v>
      </c>
      <c r="C296" s="22">
        <v>45900</v>
      </c>
      <c r="D296" s="23" t="s">
        <v>233</v>
      </c>
      <c r="E296" s="23" t="s">
        <v>67</v>
      </c>
      <c r="F296" s="21">
        <v>1</v>
      </c>
      <c r="G296" s="12">
        <f>VLOOKUP(E296,Precios!B$2:N$941,12,FALSE)</f>
        <v>7000.0000000000009</v>
      </c>
      <c r="H296" s="12">
        <f t="shared" si="0"/>
        <v>7000.0000000000009</v>
      </c>
      <c r="I296" s="23" t="s">
        <v>52</v>
      </c>
      <c r="J296" s="23" t="s">
        <v>61</v>
      </c>
      <c r="K296" s="24" t="s">
        <v>177</v>
      </c>
      <c r="L296" s="24">
        <v>179</v>
      </c>
      <c r="M296" s="12">
        <f t="shared" ref="M296:N296" si="301">G296/1.19</f>
        <v>5882.3529411764712</v>
      </c>
      <c r="N296" s="12">
        <f t="shared" si="301"/>
        <v>5882.3529411764712</v>
      </c>
      <c r="O296" s="12">
        <f t="shared" si="2"/>
        <v>1117.6470588235297</v>
      </c>
      <c r="P296" s="13"/>
      <c r="Q296" s="14">
        <f t="shared" si="3"/>
        <v>2025</v>
      </c>
      <c r="R296" s="15">
        <f>VLOOKUP(MONTH(C296),'Datos Maestros'!M$2:N$14,2,FALSE)</f>
        <v>45505</v>
      </c>
      <c r="S296" s="11" t="str">
        <f>VLOOKUP(E296,Precios!B$2:W$941,3,FALSE)</f>
        <v>Mantequilla</v>
      </c>
      <c r="T296" s="16">
        <f>VLOOKUP(E296,Precios!B$2:N$941,4,FALSE)*F296</f>
        <v>200</v>
      </c>
      <c r="U296" s="17"/>
      <c r="V296" s="12">
        <f>VLOOKUP(E296,Precios!B$2:N$941,13,FALSE)*F296</f>
        <v>1512.6050420168067</v>
      </c>
      <c r="W296" s="12">
        <f t="shared" si="4"/>
        <v>1512.6050420168067</v>
      </c>
      <c r="X296" s="12">
        <f>VLOOKUP(B296,'Datos Maestros'!$C$2:$D$7,2,FALSE)*V296</f>
        <v>0</v>
      </c>
      <c r="Y296" s="18">
        <f t="shared" si="5"/>
        <v>45894</v>
      </c>
      <c r="Z296" s="13" t="s">
        <v>39</v>
      </c>
      <c r="AA296" s="19" t="str">
        <f>VLOOKUP(D296,Clientes!$A$2:$J$486,9,FALSE)</f>
        <v>Ocacional</v>
      </c>
      <c r="AB296" s="13" t="str">
        <f>VLOOKUP(D296,Clientes!$A$2:$K$486,11,FALSE)</f>
        <v>Persona Natural</v>
      </c>
      <c r="AC296" s="13" t="str">
        <f>VLOOKUP(D296,Clientes!$A$2:$B$486,2,FALSE)</f>
        <v>Jardines de la viña</v>
      </c>
      <c r="AD296" s="20"/>
      <c r="AE296" s="20"/>
      <c r="AF296" s="13" t="s">
        <v>40</v>
      </c>
      <c r="AG296" s="15">
        <f t="shared" si="6"/>
        <v>45505</v>
      </c>
      <c r="AH296" s="13" t="s">
        <v>41</v>
      </c>
      <c r="AI296" s="13" t="str">
        <f t="shared" si="7"/>
        <v>Derivados</v>
      </c>
      <c r="AJ296" s="13" t="str">
        <f>VLOOKUP(E296,Precios!Z$2:AA$941,2,FALSE)</f>
        <v>Mantequilla RUMAY</v>
      </c>
      <c r="AK296" s="14">
        <f>VLOOKUP(E296,Precios!Z$2:BB$941,3,FALSE)*F296</f>
        <v>-3</v>
      </c>
      <c r="AL296" s="17"/>
      <c r="AM296" s="17"/>
      <c r="AN296" s="17"/>
      <c r="AO296" s="17"/>
      <c r="AP296" s="17"/>
      <c r="AQ296" s="17"/>
      <c r="AR296" s="17"/>
      <c r="AS296" s="17"/>
      <c r="AT296" s="17"/>
      <c r="AU296" s="17"/>
      <c r="AV296" s="17"/>
    </row>
    <row r="297" spans="1:48" ht="15.75" customHeight="1">
      <c r="A297" s="21" t="s">
        <v>64</v>
      </c>
      <c r="B297" s="23" t="s">
        <v>1692</v>
      </c>
      <c r="C297" s="22">
        <v>45900</v>
      </c>
      <c r="D297" s="23" t="s">
        <v>233</v>
      </c>
      <c r="E297" s="23" t="s">
        <v>65</v>
      </c>
      <c r="F297" s="21">
        <v>1</v>
      </c>
      <c r="G297" s="12">
        <f>VLOOKUP(E297,Precios!B$2:N$941,12,FALSE)</f>
        <v>8200.2358799633075</v>
      </c>
      <c r="H297" s="12">
        <f t="shared" si="0"/>
        <v>8200.2358799633075</v>
      </c>
      <c r="I297" s="23" t="s">
        <v>52</v>
      </c>
      <c r="J297" s="23" t="s">
        <v>61</v>
      </c>
      <c r="K297" s="24" t="s">
        <v>177</v>
      </c>
      <c r="L297" s="24">
        <v>179</v>
      </c>
      <c r="M297" s="12">
        <f t="shared" ref="M297:N297" si="302">G297/1.19</f>
        <v>6890.9545209775697</v>
      </c>
      <c r="N297" s="12">
        <f t="shared" si="302"/>
        <v>6890.9545209775697</v>
      </c>
      <c r="O297" s="12">
        <f t="shared" si="2"/>
        <v>1309.2813589857378</v>
      </c>
      <c r="P297" s="13"/>
      <c r="Q297" s="14">
        <f t="shared" si="3"/>
        <v>2025</v>
      </c>
      <c r="R297" s="15">
        <f>VLOOKUP(MONTH(C297),'Datos Maestros'!M$2:N$14,2,FALSE)</f>
        <v>45505</v>
      </c>
      <c r="S297" s="11" t="str">
        <f>VLOOKUP(E297,Precios!B$2:W$941,3,FALSE)</f>
        <v>Longanizas</v>
      </c>
      <c r="T297" s="16">
        <f>VLOOKUP(E297,Precios!B$2:N$941,4,FALSE)*F297</f>
        <v>1</v>
      </c>
      <c r="U297" s="17"/>
      <c r="V297" s="12">
        <f>VLOOKUP(E297,Precios!B$2:N$941,13,FALSE)*F297</f>
        <v>1632.4671260195864</v>
      </c>
      <c r="W297" s="12">
        <f t="shared" si="4"/>
        <v>1632.4671260195864</v>
      </c>
      <c r="X297" s="12">
        <f>VLOOKUP(B297,'Datos Maestros'!$C$2:$D$7,2,FALSE)*V297</f>
        <v>0</v>
      </c>
      <c r="Y297" s="18">
        <f t="shared" si="5"/>
        <v>45894</v>
      </c>
      <c r="Z297" s="13" t="s">
        <v>39</v>
      </c>
      <c r="AA297" s="19" t="str">
        <f>VLOOKUP(D297,Clientes!$A$2:$J$486,9,FALSE)</f>
        <v>Ocacional</v>
      </c>
      <c r="AB297" s="13" t="str">
        <f>VLOOKUP(D297,Clientes!$A$2:$K$486,11,FALSE)</f>
        <v>Persona Natural</v>
      </c>
      <c r="AC297" s="13" t="str">
        <f>VLOOKUP(D297,Clientes!$A$2:$B$486,2,FALSE)</f>
        <v>Jardines de la viña</v>
      </c>
      <c r="AD297" s="20"/>
      <c r="AE297" s="20"/>
      <c r="AF297" s="13" t="s">
        <v>40</v>
      </c>
      <c r="AG297" s="15">
        <f t="shared" si="6"/>
        <v>45505</v>
      </c>
      <c r="AH297" s="13" t="s">
        <v>41</v>
      </c>
      <c r="AI297" s="13" t="str">
        <f t="shared" si="7"/>
        <v>Longanizas</v>
      </c>
      <c r="AJ297" s="13" t="str">
        <f>VLOOKUP(E297,Precios!Z$2:AA$941,2,FALSE)</f>
        <v>Longanizas VILLABLANCA</v>
      </c>
      <c r="AK297" s="14">
        <f>VLOOKUP(E297,Precios!Z$2:BB$941,3,FALSE)*F297</f>
        <v>-1</v>
      </c>
      <c r="AL297" s="17"/>
      <c r="AM297" s="17"/>
      <c r="AN297" s="17"/>
      <c r="AO297" s="17"/>
      <c r="AP297" s="17"/>
      <c r="AQ297" s="17"/>
      <c r="AR297" s="17"/>
      <c r="AS297" s="17"/>
      <c r="AT297" s="17"/>
      <c r="AU297" s="17"/>
      <c r="AV297" s="17"/>
    </row>
    <row r="298" spans="1:48" ht="15.75" customHeight="1">
      <c r="A298" s="21" t="s">
        <v>43</v>
      </c>
      <c r="B298" s="23" t="s">
        <v>1692</v>
      </c>
      <c r="C298" s="22">
        <v>45900</v>
      </c>
      <c r="D298" s="23" t="s">
        <v>233</v>
      </c>
      <c r="E298" s="23" t="s">
        <v>45</v>
      </c>
      <c r="F298" s="21">
        <v>1</v>
      </c>
      <c r="G298" s="12">
        <f>VLOOKUP(E298,Precios!B$2:N$941,12,FALSE)</f>
        <v>8000.1831784723063</v>
      </c>
      <c r="H298" s="12">
        <f t="shared" si="0"/>
        <v>8000.1831784723063</v>
      </c>
      <c r="I298" s="23" t="s">
        <v>52</v>
      </c>
      <c r="J298" s="23" t="s">
        <v>61</v>
      </c>
      <c r="K298" s="24" t="s">
        <v>177</v>
      </c>
      <c r="L298" s="24">
        <v>179</v>
      </c>
      <c r="M298" s="12">
        <f t="shared" ref="M298:N298" si="303">G298/1.19</f>
        <v>6722.8430071195853</v>
      </c>
      <c r="N298" s="12">
        <f t="shared" si="303"/>
        <v>6722.8430071195853</v>
      </c>
      <c r="O298" s="12">
        <f t="shared" si="2"/>
        <v>1277.340171352721</v>
      </c>
      <c r="P298" s="13"/>
      <c r="Q298" s="14">
        <f t="shared" si="3"/>
        <v>2025</v>
      </c>
      <c r="R298" s="15">
        <f>VLOOKUP(MONTH(C298),'Datos Maestros'!M$2:N$14,2,FALSE)</f>
        <v>45505</v>
      </c>
      <c r="S298" s="11" t="str">
        <f>VLOOKUP(E298,Precios!B$2:W$941,3,FALSE)</f>
        <v>Huevos EXTRA</v>
      </c>
      <c r="T298" s="16">
        <f>VLOOKUP(E298,Precios!B$2:N$941,4,FALSE)*F298</f>
        <v>0</v>
      </c>
      <c r="U298" s="17"/>
      <c r="V298" s="12">
        <f>VLOOKUP(E298,Precios!B$2:N$941,13,FALSE)*F298</f>
        <v>1151.6230071195851</v>
      </c>
      <c r="W298" s="12">
        <f t="shared" si="4"/>
        <v>1151.6230071195851</v>
      </c>
      <c r="X298" s="12">
        <f>VLOOKUP(B298,'Datos Maestros'!$C$2:$D$7,2,FALSE)*V298</f>
        <v>0</v>
      </c>
      <c r="Y298" s="18">
        <f t="shared" si="5"/>
        <v>45894</v>
      </c>
      <c r="Z298" s="13" t="s">
        <v>39</v>
      </c>
      <c r="AA298" s="19" t="str">
        <f>VLOOKUP(D298,Clientes!$A$2:$J$486,9,FALSE)</f>
        <v>Ocacional</v>
      </c>
      <c r="AB298" s="13" t="str">
        <f>VLOOKUP(D298,Clientes!$A$2:$K$486,11,FALSE)</f>
        <v>Persona Natural</v>
      </c>
      <c r="AC298" s="13" t="str">
        <f>VLOOKUP(D298,Clientes!$A$2:$B$486,2,FALSE)</f>
        <v>Jardines de la viña</v>
      </c>
      <c r="AD298" s="20"/>
      <c r="AE298" s="20"/>
      <c r="AF298" s="13" t="s">
        <v>40</v>
      </c>
      <c r="AG298" s="15">
        <f t="shared" si="6"/>
        <v>45505</v>
      </c>
      <c r="AH298" s="13" t="s">
        <v>41</v>
      </c>
      <c r="AI298" s="13" t="str">
        <f t="shared" si="7"/>
        <v>Huevos</v>
      </c>
      <c r="AJ298" s="13" t="str">
        <f>VLOOKUP(E298,Precios!Z$2:AA$941,2,FALSE)</f>
        <v>Bandeja Huevos EXTRA</v>
      </c>
      <c r="AK298" s="14">
        <f>VLOOKUP(E298,Precios!Z$2:BB$941,3,FALSE)*F298</f>
        <v>-1</v>
      </c>
      <c r="AL298" s="17"/>
      <c r="AM298" s="17"/>
      <c r="AN298" s="17"/>
      <c r="AO298" s="17"/>
      <c r="AP298" s="17"/>
      <c r="AQ298" s="17"/>
      <c r="AR298" s="17"/>
      <c r="AS298" s="17"/>
      <c r="AT298" s="17"/>
      <c r="AU298" s="17"/>
      <c r="AV298" s="17"/>
    </row>
    <row r="299" spans="1:48" ht="15.75" customHeight="1">
      <c r="A299" s="21" t="s">
        <v>76</v>
      </c>
      <c r="B299" s="23" t="s">
        <v>1692</v>
      </c>
      <c r="C299" s="22">
        <v>45900</v>
      </c>
      <c r="D299" s="23" t="s">
        <v>233</v>
      </c>
      <c r="E299" s="23" t="s">
        <v>78</v>
      </c>
      <c r="F299" s="21">
        <v>1</v>
      </c>
      <c r="G299" s="12">
        <f>VLOOKUP(E299,Precios!B$2:N$941,12,FALSE)</f>
        <v>3699.7285326475212</v>
      </c>
      <c r="H299" s="12">
        <f t="shared" si="0"/>
        <v>3699.7285326475212</v>
      </c>
      <c r="I299" s="23" t="s">
        <v>52</v>
      </c>
      <c r="J299" s="23" t="s">
        <v>61</v>
      </c>
      <c r="K299" s="24" t="s">
        <v>177</v>
      </c>
      <c r="L299" s="24">
        <v>179</v>
      </c>
      <c r="M299" s="12">
        <f t="shared" ref="M299:N299" si="304">G299/1.19</f>
        <v>3109.0155736533793</v>
      </c>
      <c r="N299" s="12">
        <f t="shared" si="304"/>
        <v>3109.0155736533793</v>
      </c>
      <c r="O299" s="12">
        <f t="shared" si="2"/>
        <v>590.7129589941419</v>
      </c>
      <c r="P299" s="13"/>
      <c r="Q299" s="14">
        <f t="shared" si="3"/>
        <v>2025</v>
      </c>
      <c r="R299" s="15">
        <f>VLOOKUP(MONTH(C299),'Datos Maestros'!M$2:N$14,2,FALSE)</f>
        <v>45505</v>
      </c>
      <c r="S299" s="11" t="str">
        <f>VLOOKUP(E299,Precios!B$2:W$941,3,FALSE)</f>
        <v>Lavaloza</v>
      </c>
      <c r="T299" s="16">
        <f>VLOOKUP(E299,Precios!B$2:N$941,4,FALSE)*F299</f>
        <v>0</v>
      </c>
      <c r="U299" s="17"/>
      <c r="V299" s="12">
        <f>VLOOKUP(E299,Precios!B$2:N$941,13,FALSE)*F299</f>
        <v>933.01557365337931</v>
      </c>
      <c r="W299" s="12">
        <f t="shared" si="4"/>
        <v>933.01557365337931</v>
      </c>
      <c r="X299" s="12">
        <f>VLOOKUP(B299,'Datos Maestros'!$C$2:$D$7,2,FALSE)*V299</f>
        <v>0</v>
      </c>
      <c r="Y299" s="18">
        <f t="shared" si="5"/>
        <v>45894</v>
      </c>
      <c r="Z299" s="13" t="s">
        <v>39</v>
      </c>
      <c r="AA299" s="19" t="str">
        <f>VLOOKUP(D299,Clientes!$A$2:$J$486,9,FALSE)</f>
        <v>Ocacional</v>
      </c>
      <c r="AB299" s="13" t="str">
        <f>VLOOKUP(D299,Clientes!$A$2:$K$486,11,FALSE)</f>
        <v>Persona Natural</v>
      </c>
      <c r="AC299" s="13" t="str">
        <f>VLOOKUP(D299,Clientes!$A$2:$B$486,2,FALSE)</f>
        <v>Jardines de la viña</v>
      </c>
      <c r="AD299" s="20"/>
      <c r="AE299" s="20"/>
      <c r="AF299" s="13" t="s">
        <v>40</v>
      </c>
      <c r="AG299" s="15">
        <f t="shared" si="6"/>
        <v>45505</v>
      </c>
      <c r="AH299" s="13" t="s">
        <v>41</v>
      </c>
      <c r="AI299" s="13" t="str">
        <f t="shared" si="7"/>
        <v>Detergentes</v>
      </c>
      <c r="AJ299" s="13" t="str">
        <f>VLOOKUP(E299,Precios!Z$2:AA$941,2,FALSE)</f>
        <v>Lavaloza MAGISTRAL 500 ml</v>
      </c>
      <c r="AK299" s="14">
        <f>VLOOKUP(E299,Precios!Z$2:BB$941,3,FALSE)*F299</f>
        <v>-1</v>
      </c>
      <c r="AL299" s="17"/>
      <c r="AM299" s="17"/>
      <c r="AN299" s="17"/>
      <c r="AO299" s="17"/>
      <c r="AP299" s="17"/>
      <c r="AQ299" s="17"/>
      <c r="AR299" s="17"/>
      <c r="AS299" s="17"/>
      <c r="AT299" s="17"/>
      <c r="AU299" s="17"/>
      <c r="AV299" s="17"/>
    </row>
    <row r="300" spans="1:48" ht="15.75" customHeight="1">
      <c r="A300" s="21" t="s">
        <v>64</v>
      </c>
      <c r="B300" s="23" t="s">
        <v>1692</v>
      </c>
      <c r="C300" s="22">
        <v>45900</v>
      </c>
      <c r="D300" s="23" t="s">
        <v>234</v>
      </c>
      <c r="E300" s="23" t="s">
        <v>65</v>
      </c>
      <c r="F300" s="21">
        <v>1</v>
      </c>
      <c r="G300" s="12">
        <f>VLOOKUP(E300,Precios!B$2:N$941,12,FALSE)</f>
        <v>8200.2358799633075</v>
      </c>
      <c r="H300" s="12">
        <f t="shared" si="0"/>
        <v>8200.2358799633075</v>
      </c>
      <c r="I300" s="23" t="s">
        <v>52</v>
      </c>
      <c r="J300" s="23" t="s">
        <v>61</v>
      </c>
      <c r="K300" s="24" t="s">
        <v>177</v>
      </c>
      <c r="L300" s="24">
        <v>179</v>
      </c>
      <c r="M300" s="12">
        <f t="shared" ref="M300:N300" si="305">G300/1.19</f>
        <v>6890.9545209775697</v>
      </c>
      <c r="N300" s="12">
        <f t="shared" si="305"/>
        <v>6890.9545209775697</v>
      </c>
      <c r="O300" s="12">
        <f t="shared" si="2"/>
        <v>1309.2813589857378</v>
      </c>
      <c r="P300" s="13"/>
      <c r="Q300" s="14">
        <f t="shared" si="3"/>
        <v>2025</v>
      </c>
      <c r="R300" s="15">
        <f>VLOOKUP(MONTH(C300),'Datos Maestros'!M$2:N$14,2,FALSE)</f>
        <v>45505</v>
      </c>
      <c r="S300" s="11" t="str">
        <f>VLOOKUP(E300,Precios!B$2:W$941,3,FALSE)</f>
        <v>Longanizas</v>
      </c>
      <c r="T300" s="16">
        <f>VLOOKUP(E300,Precios!B$2:N$941,4,FALSE)*F300</f>
        <v>1</v>
      </c>
      <c r="U300" s="17"/>
      <c r="V300" s="12">
        <f>VLOOKUP(E300,Precios!B$2:N$941,13,FALSE)*F300</f>
        <v>1632.4671260195864</v>
      </c>
      <c r="W300" s="12">
        <f t="shared" si="4"/>
        <v>1632.4671260195864</v>
      </c>
      <c r="X300" s="12">
        <f>VLOOKUP(B300,'Datos Maestros'!$C$2:$D$7,2,FALSE)*V300</f>
        <v>0</v>
      </c>
      <c r="Y300" s="18">
        <f t="shared" si="5"/>
        <v>45894</v>
      </c>
      <c r="Z300" s="13" t="s">
        <v>39</v>
      </c>
      <c r="AA300" s="19" t="str">
        <f>VLOOKUP(D300,Clientes!$A$2:$J$486,9,FALSE)</f>
        <v>Frecuente</v>
      </c>
      <c r="AB300" s="13" t="str">
        <f>VLOOKUP(D300,Clientes!$A$2:$K$486,11,FALSE)</f>
        <v>Persona Natural</v>
      </c>
      <c r="AC300" s="13" t="str">
        <f>VLOOKUP(D300,Clientes!$A$2:$B$486,2,FALSE)</f>
        <v>Sector Marcela Paz</v>
      </c>
      <c r="AD300" s="20"/>
      <c r="AE300" s="20"/>
      <c r="AF300" s="13" t="s">
        <v>40</v>
      </c>
      <c r="AG300" s="15">
        <f t="shared" si="6"/>
        <v>45505</v>
      </c>
      <c r="AH300" s="13" t="s">
        <v>41</v>
      </c>
      <c r="AI300" s="13" t="str">
        <f t="shared" si="7"/>
        <v>Longanizas</v>
      </c>
      <c r="AJ300" s="13" t="str">
        <f>VLOOKUP(E300,Precios!Z$2:AA$941,2,FALSE)</f>
        <v>Longanizas VILLABLANCA</v>
      </c>
      <c r="AK300" s="14">
        <f>VLOOKUP(E300,Precios!Z$2:BB$941,3,FALSE)*F300</f>
        <v>-1</v>
      </c>
      <c r="AL300" s="17"/>
      <c r="AM300" s="17"/>
      <c r="AN300" s="17"/>
      <c r="AO300" s="17"/>
      <c r="AP300" s="17"/>
      <c r="AQ300" s="17"/>
      <c r="AR300" s="17"/>
      <c r="AS300" s="17"/>
      <c r="AT300" s="17"/>
      <c r="AU300" s="17"/>
      <c r="AV300" s="17"/>
    </row>
    <row r="301" spans="1:48" ht="15.75" customHeight="1">
      <c r="A301" s="21" t="s">
        <v>53</v>
      </c>
      <c r="B301" s="23" t="s">
        <v>1692</v>
      </c>
      <c r="C301" s="22">
        <v>45900</v>
      </c>
      <c r="D301" s="23" t="s">
        <v>151</v>
      </c>
      <c r="E301" s="23" t="s">
        <v>55</v>
      </c>
      <c r="F301" s="21">
        <v>1</v>
      </c>
      <c r="G301" s="12">
        <f>VLOOKUP(E301,Precios!B$2:N$941,12,FALSE)</f>
        <v>20899.91124296327</v>
      </c>
      <c r="H301" s="12">
        <f t="shared" si="0"/>
        <v>20899.91124296327</v>
      </c>
      <c r="I301" s="23" t="s">
        <v>52</v>
      </c>
      <c r="J301" s="13" t="s">
        <v>38</v>
      </c>
      <c r="K301" s="24" t="s">
        <v>177</v>
      </c>
      <c r="L301" s="24">
        <v>179</v>
      </c>
      <c r="M301" s="12">
        <f t="shared" ref="M301:N301" si="306">G301/1.19</f>
        <v>17562.950624338882</v>
      </c>
      <c r="N301" s="12">
        <f t="shared" si="306"/>
        <v>17562.950624338882</v>
      </c>
      <c r="O301" s="12">
        <f t="shared" si="2"/>
        <v>3336.9606186243873</v>
      </c>
      <c r="P301" s="13"/>
      <c r="Q301" s="14">
        <f t="shared" si="3"/>
        <v>2025</v>
      </c>
      <c r="R301" s="15">
        <f>VLOOKUP(MONTH(C301),'Datos Maestros'!M$2:N$14,2,FALSE)</f>
        <v>45505</v>
      </c>
      <c r="S301" s="11" t="str">
        <f>VLOOKUP(E301,Precios!B$2:W$941,3,FALSE)</f>
        <v>Papel Higiénico ELITE</v>
      </c>
      <c r="T301" s="16">
        <f>VLOOKUP(E301,Precios!B$2:N$941,4,FALSE)*F301</f>
        <v>0</v>
      </c>
      <c r="U301" s="17"/>
      <c r="V301" s="12">
        <f>VLOOKUP(E301,Precios!B$2:N$941,13,FALSE)*F301</f>
        <v>3117.9506243388823</v>
      </c>
      <c r="W301" s="12">
        <f t="shared" si="4"/>
        <v>3117.9506243388823</v>
      </c>
      <c r="X301" s="12">
        <f>VLOOKUP(B301,'Datos Maestros'!$C$2:$D$7,2,FALSE)*V301</f>
        <v>0</v>
      </c>
      <c r="Y301" s="18">
        <f t="shared" si="5"/>
        <v>45894</v>
      </c>
      <c r="Z301" s="13" t="s">
        <v>39</v>
      </c>
      <c r="AA301" s="19" t="str">
        <f>VLOOKUP(D301,Clientes!$A$2:$J$486,9,FALSE)</f>
        <v>Ocacional</v>
      </c>
      <c r="AB301" s="13" t="str">
        <f>VLOOKUP(D301,Clientes!$A$2:$K$486,11,FALSE)</f>
        <v>Persona Natural</v>
      </c>
      <c r="AC301" s="13" t="str">
        <f>VLOOKUP(D301,Clientes!$A$2:$B$486,2,FALSE)</f>
        <v>El Domo</v>
      </c>
      <c r="AD301" s="20"/>
      <c r="AE301" s="20"/>
      <c r="AF301" s="13" t="s">
        <v>40</v>
      </c>
      <c r="AG301" s="15">
        <f t="shared" si="6"/>
        <v>45505</v>
      </c>
      <c r="AH301" s="13" t="s">
        <v>41</v>
      </c>
      <c r="AI301" s="13" t="str">
        <f t="shared" si="7"/>
        <v>Papeleria</v>
      </c>
      <c r="AJ301" s="13" t="str">
        <f>VLOOKUP(E301,Precios!Z$2:AA$941,2,FALSE)</f>
        <v>Papel Higienico ELITE 50 metros</v>
      </c>
      <c r="AK301" s="14">
        <f>VLOOKUP(E301,Precios!Z$2:BB$941,3,FALSE)*F301</f>
        <v>-8</v>
      </c>
      <c r="AL301" s="17"/>
      <c r="AM301" s="17"/>
      <c r="AN301" s="17"/>
      <c r="AO301" s="17"/>
      <c r="AP301" s="17"/>
      <c r="AQ301" s="17"/>
      <c r="AR301" s="17"/>
      <c r="AS301" s="17"/>
      <c r="AT301" s="17"/>
      <c r="AU301" s="17"/>
      <c r="AV301" s="17"/>
    </row>
    <row r="302" spans="1:48" ht="15.75" customHeight="1">
      <c r="A302" s="21" t="s">
        <v>53</v>
      </c>
      <c r="B302" s="23" t="s">
        <v>1692</v>
      </c>
      <c r="C302" s="22">
        <v>45900</v>
      </c>
      <c r="D302" s="23" t="s">
        <v>80</v>
      </c>
      <c r="E302" s="23" t="s">
        <v>69</v>
      </c>
      <c r="F302" s="21">
        <v>1</v>
      </c>
      <c r="G302" s="12">
        <f>VLOOKUP(E302,Precios!B$2:N$941,12,FALSE)</f>
        <v>2999.9553810458683</v>
      </c>
      <c r="H302" s="12">
        <f t="shared" si="0"/>
        <v>2999.9553810458683</v>
      </c>
      <c r="I302" s="23" t="s">
        <v>52</v>
      </c>
      <c r="J302" s="23" t="s">
        <v>61</v>
      </c>
      <c r="K302" s="24" t="s">
        <v>177</v>
      </c>
      <c r="L302" s="24">
        <v>179</v>
      </c>
      <c r="M302" s="12">
        <f t="shared" ref="M302:N302" si="307">G302/1.19</f>
        <v>2520.9709084419064</v>
      </c>
      <c r="N302" s="12">
        <f t="shared" si="307"/>
        <v>2520.9709084419064</v>
      </c>
      <c r="O302" s="12">
        <f t="shared" si="2"/>
        <v>478.98447260396188</v>
      </c>
      <c r="P302" s="13"/>
      <c r="Q302" s="14">
        <f t="shared" si="3"/>
        <v>2025</v>
      </c>
      <c r="R302" s="15">
        <f>VLOOKUP(MONTH(C302),'Datos Maestros'!M$2:N$14,2,FALSE)</f>
        <v>45505</v>
      </c>
      <c r="S302" s="11" t="str">
        <f>VLOOKUP(E302,Precios!B$2:W$941,3,FALSE)</f>
        <v>Toalla Nova 70 mts</v>
      </c>
      <c r="T302" s="16">
        <f>VLOOKUP(E302,Precios!B$2:N$941,4,FALSE)*F302</f>
        <v>0</v>
      </c>
      <c r="U302" s="17"/>
      <c r="V302" s="12">
        <f>VLOOKUP(E302,Precios!B$2:N$941,13,FALSE)*F302</f>
        <v>825.97090844190598</v>
      </c>
      <c r="W302" s="12">
        <f t="shared" si="4"/>
        <v>825.97090844190598</v>
      </c>
      <c r="X302" s="12">
        <f>VLOOKUP(B302,'Datos Maestros'!$C$2:$D$7,2,FALSE)*V302</f>
        <v>0</v>
      </c>
      <c r="Y302" s="18">
        <f t="shared" si="5"/>
        <v>45894</v>
      </c>
      <c r="Z302" s="13" t="s">
        <v>39</v>
      </c>
      <c r="AA302" s="19" t="str">
        <f>VLOOKUP(D302,Clientes!$A$2:$J$486,9,FALSE)</f>
        <v>Frecuente</v>
      </c>
      <c r="AB302" s="13" t="str">
        <f>VLOOKUP(D302,Clientes!$A$2:$K$486,11,FALSE)</f>
        <v>Persona Natural</v>
      </c>
      <c r="AC302" s="13" t="str">
        <f>VLOOKUP(D302,Clientes!$A$2:$B$486,2,FALSE)</f>
        <v>Jardines de la Viña</v>
      </c>
      <c r="AD302" s="20"/>
      <c r="AE302" s="20"/>
      <c r="AF302" s="13" t="s">
        <v>40</v>
      </c>
      <c r="AG302" s="15">
        <f t="shared" si="6"/>
        <v>45505</v>
      </c>
      <c r="AH302" s="13" t="s">
        <v>41</v>
      </c>
      <c r="AI302" s="13" t="str">
        <f t="shared" si="7"/>
        <v>Papeleria</v>
      </c>
      <c r="AJ302" s="13" t="str">
        <f>VLOOKUP(E302,Precios!Z$2:AA$941,2,FALSE)</f>
        <v>Toalla Papel NOVA 70 metros</v>
      </c>
      <c r="AK302" s="14">
        <f>VLOOKUP(E302,Precios!Z$2:BB$941,3,FALSE)*F302</f>
        <v>-1</v>
      </c>
      <c r="AL302" s="17"/>
      <c r="AM302" s="17"/>
      <c r="AN302" s="17"/>
      <c r="AO302" s="17"/>
      <c r="AP302" s="17"/>
      <c r="AQ302" s="17"/>
      <c r="AR302" s="17"/>
      <c r="AS302" s="17"/>
      <c r="AT302" s="17"/>
      <c r="AU302" s="17"/>
      <c r="AV302" s="17"/>
    </row>
    <row r="303" spans="1:48" ht="15.75" customHeight="1">
      <c r="A303" s="21" t="s">
        <v>35</v>
      </c>
      <c r="B303" s="23" t="s">
        <v>1692</v>
      </c>
      <c r="C303" s="22">
        <v>45900</v>
      </c>
      <c r="D303" s="23" t="s">
        <v>80</v>
      </c>
      <c r="E303" s="23" t="s">
        <v>46</v>
      </c>
      <c r="F303" s="21">
        <v>1</v>
      </c>
      <c r="G303" s="12">
        <f>VLOOKUP(E303,Precios!B$2:N$941,12,FALSE)</f>
        <v>6000.1548227279782</v>
      </c>
      <c r="H303" s="12">
        <f t="shared" si="0"/>
        <v>6000.1548227279782</v>
      </c>
      <c r="I303" s="23" t="s">
        <v>52</v>
      </c>
      <c r="J303" s="23" t="s">
        <v>61</v>
      </c>
      <c r="K303" s="24" t="s">
        <v>177</v>
      </c>
      <c r="L303" s="24">
        <v>179</v>
      </c>
      <c r="M303" s="12">
        <f t="shared" ref="M303:N303" si="308">G303/1.19</f>
        <v>5042.1469098554444</v>
      </c>
      <c r="N303" s="12">
        <f t="shared" si="308"/>
        <v>5042.1469098554444</v>
      </c>
      <c r="O303" s="12">
        <f t="shared" si="2"/>
        <v>958.00791287253378</v>
      </c>
      <c r="P303" s="13"/>
      <c r="Q303" s="14">
        <f t="shared" si="3"/>
        <v>2025</v>
      </c>
      <c r="R303" s="15">
        <f>VLOOKUP(MONTH(C303),'Datos Maestros'!M$2:N$14,2,FALSE)</f>
        <v>45505</v>
      </c>
      <c r="S303" s="11" t="str">
        <f>VLOOKUP(E303,Precios!B$2:W$941,3,FALSE)</f>
        <v>Queso Mantecoso</v>
      </c>
      <c r="T303" s="16">
        <f>VLOOKUP(E303,Precios!B$2:N$941,4,FALSE)*F303</f>
        <v>500</v>
      </c>
      <c r="U303" s="17"/>
      <c r="V303" s="12">
        <f>VLOOKUP(E303,Precios!B$2:N$941,13,FALSE)*F303</f>
        <v>1785.4242207798129</v>
      </c>
      <c r="W303" s="12">
        <f t="shared" si="4"/>
        <v>1785.4242207798129</v>
      </c>
      <c r="X303" s="12">
        <f>VLOOKUP(B303,'Datos Maestros'!$C$2:$D$7,2,FALSE)*V303</f>
        <v>0</v>
      </c>
      <c r="Y303" s="18">
        <f t="shared" si="5"/>
        <v>45894</v>
      </c>
      <c r="Z303" s="13" t="s">
        <v>39</v>
      </c>
      <c r="AA303" s="19" t="str">
        <f>VLOOKUP(D303,Clientes!$A$2:$J$486,9,FALSE)</f>
        <v>Frecuente</v>
      </c>
      <c r="AB303" s="13" t="str">
        <f>VLOOKUP(D303,Clientes!$A$2:$K$486,11,FALSE)</f>
        <v>Persona Natural</v>
      </c>
      <c r="AC303" s="13" t="str">
        <f>VLOOKUP(D303,Clientes!$A$2:$B$486,2,FALSE)</f>
        <v>Jardines de la Viña</v>
      </c>
      <c r="AD303" s="20"/>
      <c r="AE303" s="20"/>
      <c r="AF303" s="13" t="s">
        <v>40</v>
      </c>
      <c r="AG303" s="15">
        <f t="shared" si="6"/>
        <v>45505</v>
      </c>
      <c r="AH303" s="13" t="s">
        <v>41</v>
      </c>
      <c r="AI303" s="13" t="str">
        <f t="shared" si="7"/>
        <v>Quesos</v>
      </c>
      <c r="AJ303" s="13" t="str">
        <f>VLOOKUP(E303,Precios!Z$2:AA$941,2,FALSE)</f>
        <v>Queso RUNCA Mantecoso</v>
      </c>
      <c r="AK303" s="14">
        <f>VLOOKUP(E303,Precios!Z$2:BB$941,3,FALSE)*F303</f>
        <v>-0.5</v>
      </c>
      <c r="AL303" s="17"/>
      <c r="AM303" s="17"/>
      <c r="AN303" s="17"/>
      <c r="AO303" s="17"/>
      <c r="AP303" s="17"/>
      <c r="AQ303" s="17"/>
      <c r="AR303" s="17"/>
      <c r="AS303" s="17"/>
      <c r="AT303" s="17"/>
      <c r="AU303" s="17"/>
      <c r="AV303" s="17"/>
    </row>
    <row r="304" spans="1:48" ht="15.75" customHeight="1">
      <c r="A304" s="21" t="s">
        <v>76</v>
      </c>
      <c r="B304" s="23" t="s">
        <v>1692</v>
      </c>
      <c r="C304" s="22">
        <v>45900</v>
      </c>
      <c r="D304" s="23" t="s">
        <v>80</v>
      </c>
      <c r="E304" s="23" t="s">
        <v>81</v>
      </c>
      <c r="F304" s="21">
        <v>1</v>
      </c>
      <c r="G304" s="12">
        <f>VLOOKUP(E304,Precios!B$2:N$941,12,FALSE)</f>
        <v>3500.0000000000005</v>
      </c>
      <c r="H304" s="12">
        <f t="shared" si="0"/>
        <v>3500.0000000000005</v>
      </c>
      <c r="I304" s="23" t="s">
        <v>52</v>
      </c>
      <c r="J304" s="23" t="s">
        <v>61</v>
      </c>
      <c r="K304" s="24" t="s">
        <v>177</v>
      </c>
      <c r="L304" s="24">
        <v>179</v>
      </c>
      <c r="M304" s="12">
        <f t="shared" ref="M304:N304" si="309">G304/1.19</f>
        <v>2941.1764705882356</v>
      </c>
      <c r="N304" s="12">
        <f t="shared" si="309"/>
        <v>2941.1764705882356</v>
      </c>
      <c r="O304" s="12">
        <f t="shared" si="2"/>
        <v>558.82352941176487</v>
      </c>
      <c r="P304" s="13"/>
      <c r="Q304" s="14">
        <f t="shared" si="3"/>
        <v>2025</v>
      </c>
      <c r="R304" s="15">
        <f>VLOOKUP(MONTH(C304),'Datos Maestros'!M$2:N$14,2,FALSE)</f>
        <v>45505</v>
      </c>
      <c r="S304" s="11" t="str">
        <f>VLOOKUP(E304,Precios!B$2:W$941,3,FALSE)</f>
        <v>Detergente Premium</v>
      </c>
      <c r="T304" s="16">
        <f>VLOOKUP(E304,Precios!B$2:N$941,4,FALSE)*F304</f>
        <v>5</v>
      </c>
      <c r="U304" s="17"/>
      <c r="V304" s="12">
        <f>VLOOKUP(E304,Precios!B$2:N$941,13,FALSE)*F304</f>
        <v>764.70588235294144</v>
      </c>
      <c r="W304" s="12">
        <f t="shared" si="4"/>
        <v>764.70588235294144</v>
      </c>
      <c r="X304" s="12">
        <f>VLOOKUP(B304,'Datos Maestros'!$C$2:$D$7,2,FALSE)*V304</f>
        <v>0</v>
      </c>
      <c r="Y304" s="18">
        <f t="shared" si="5"/>
        <v>45894</v>
      </c>
      <c r="Z304" s="13" t="s">
        <v>39</v>
      </c>
      <c r="AA304" s="19" t="str">
        <f>VLOOKUP(D304,Clientes!$A$2:$J$486,9,FALSE)</f>
        <v>Frecuente</v>
      </c>
      <c r="AB304" s="13" t="str">
        <f>VLOOKUP(D304,Clientes!$A$2:$K$486,11,FALSE)</f>
        <v>Persona Natural</v>
      </c>
      <c r="AC304" s="13" t="str">
        <f>VLOOKUP(D304,Clientes!$A$2:$B$486,2,FALSE)</f>
        <v>Jardines de la Viña</v>
      </c>
      <c r="AD304" s="20"/>
      <c r="AE304" s="20"/>
      <c r="AF304" s="13" t="s">
        <v>40</v>
      </c>
      <c r="AG304" s="15">
        <f t="shared" si="6"/>
        <v>45505</v>
      </c>
      <c r="AH304" s="13" t="s">
        <v>41</v>
      </c>
      <c r="AI304" s="13" t="str">
        <f t="shared" si="7"/>
        <v>Detergentes</v>
      </c>
      <c r="AJ304" s="13" t="str">
        <f>VLOOKUP(E304,Precios!Z$2:AA$941,2,FALSE)</f>
        <v>Detergente SPUM 5 Litros (Verde)</v>
      </c>
      <c r="AK304" s="14">
        <f>VLOOKUP(E304,Precios!Z$2:BB$941,3,FALSE)*F304</f>
        <v>-1</v>
      </c>
      <c r="AL304" s="17"/>
      <c r="AM304" s="17"/>
      <c r="AN304" s="17"/>
      <c r="AO304" s="17"/>
      <c r="AP304" s="17"/>
      <c r="AQ304" s="17"/>
      <c r="AR304" s="17"/>
      <c r="AS304" s="17"/>
      <c r="AT304" s="17"/>
      <c r="AU304" s="17"/>
      <c r="AV304" s="17"/>
    </row>
    <row r="305" spans="1:48" ht="15.75" customHeight="1">
      <c r="A305" s="21" t="s">
        <v>43</v>
      </c>
      <c r="B305" s="23" t="s">
        <v>1692</v>
      </c>
      <c r="C305" s="22">
        <v>45900</v>
      </c>
      <c r="D305" s="23" t="s">
        <v>80</v>
      </c>
      <c r="E305" s="23" t="s">
        <v>45</v>
      </c>
      <c r="F305" s="21">
        <v>1</v>
      </c>
      <c r="G305" s="12">
        <f>VLOOKUP(E305,Precios!B$2:N$941,12,FALSE)</f>
        <v>8000.1831784723063</v>
      </c>
      <c r="H305" s="12">
        <f t="shared" si="0"/>
        <v>8000.1831784723063</v>
      </c>
      <c r="I305" s="23" t="s">
        <v>52</v>
      </c>
      <c r="J305" s="23" t="s">
        <v>61</v>
      </c>
      <c r="K305" s="24" t="s">
        <v>177</v>
      </c>
      <c r="L305" s="24">
        <v>179</v>
      </c>
      <c r="M305" s="12">
        <f t="shared" ref="M305:N305" si="310">G305/1.19</f>
        <v>6722.8430071195853</v>
      </c>
      <c r="N305" s="12">
        <f t="shared" si="310"/>
        <v>6722.8430071195853</v>
      </c>
      <c r="O305" s="12">
        <f t="shared" si="2"/>
        <v>1277.340171352721</v>
      </c>
      <c r="P305" s="13"/>
      <c r="Q305" s="14">
        <f t="shared" si="3"/>
        <v>2025</v>
      </c>
      <c r="R305" s="15">
        <f>VLOOKUP(MONTH(C305),'Datos Maestros'!M$2:N$14,2,FALSE)</f>
        <v>45505</v>
      </c>
      <c r="S305" s="11" t="str">
        <f>VLOOKUP(E305,Precios!B$2:W$941,3,FALSE)</f>
        <v>Huevos EXTRA</v>
      </c>
      <c r="T305" s="16">
        <f>VLOOKUP(E305,Precios!B$2:N$941,4,FALSE)*F305</f>
        <v>0</v>
      </c>
      <c r="U305" s="17"/>
      <c r="V305" s="12">
        <f>VLOOKUP(E305,Precios!B$2:N$941,13,FALSE)*F305</f>
        <v>1151.6230071195851</v>
      </c>
      <c r="W305" s="12">
        <f t="shared" si="4"/>
        <v>1151.6230071195851</v>
      </c>
      <c r="X305" s="12">
        <f>VLOOKUP(B305,'Datos Maestros'!$C$2:$D$7,2,FALSE)*V305</f>
        <v>0</v>
      </c>
      <c r="Y305" s="18">
        <f t="shared" si="5"/>
        <v>45894</v>
      </c>
      <c r="Z305" s="13" t="s">
        <v>39</v>
      </c>
      <c r="AA305" s="19" t="str">
        <f>VLOOKUP(D305,Clientes!$A$2:$J$486,9,FALSE)</f>
        <v>Frecuente</v>
      </c>
      <c r="AB305" s="13" t="str">
        <f>VLOOKUP(D305,Clientes!$A$2:$K$486,11,FALSE)</f>
        <v>Persona Natural</v>
      </c>
      <c r="AC305" s="13" t="str">
        <f>VLOOKUP(D305,Clientes!$A$2:$B$486,2,FALSE)</f>
        <v>Jardines de la Viña</v>
      </c>
      <c r="AD305" s="20"/>
      <c r="AE305" s="20"/>
      <c r="AF305" s="13" t="s">
        <v>40</v>
      </c>
      <c r="AG305" s="15">
        <f t="shared" si="6"/>
        <v>45505</v>
      </c>
      <c r="AH305" s="13" t="s">
        <v>41</v>
      </c>
      <c r="AI305" s="13" t="str">
        <f t="shared" si="7"/>
        <v>Huevos</v>
      </c>
      <c r="AJ305" s="13" t="str">
        <f>VLOOKUP(E305,Precios!Z$2:AA$941,2,FALSE)</f>
        <v>Bandeja Huevos EXTRA</v>
      </c>
      <c r="AK305" s="14">
        <f>VLOOKUP(E305,Precios!Z$2:BB$941,3,FALSE)*F305</f>
        <v>-1</v>
      </c>
      <c r="AL305" s="17"/>
      <c r="AM305" s="17"/>
      <c r="AN305" s="17"/>
      <c r="AO305" s="17"/>
      <c r="AP305" s="17"/>
      <c r="AQ305" s="17"/>
      <c r="AR305" s="17"/>
      <c r="AS305" s="17"/>
      <c r="AT305" s="17"/>
      <c r="AU305" s="17"/>
      <c r="AV305" s="17"/>
    </row>
    <row r="306" spans="1:48" ht="15.75" customHeight="1">
      <c r="A306" s="21" t="s">
        <v>64</v>
      </c>
      <c r="B306" s="23" t="s">
        <v>1692</v>
      </c>
      <c r="C306" s="22">
        <v>45900</v>
      </c>
      <c r="D306" s="23" t="s">
        <v>235</v>
      </c>
      <c r="E306" s="23" t="s">
        <v>173</v>
      </c>
      <c r="F306" s="21">
        <v>1</v>
      </c>
      <c r="G306" s="12">
        <f>VLOOKUP(E306,Precios!B$2:N$941,12,FALSE)</f>
        <v>23999.589943360927</v>
      </c>
      <c r="H306" s="12">
        <f t="shared" si="0"/>
        <v>23999.589943360927</v>
      </c>
      <c r="I306" s="23" t="s">
        <v>52</v>
      </c>
      <c r="J306" s="13" t="s">
        <v>38</v>
      </c>
      <c r="K306" s="24" t="s">
        <v>177</v>
      </c>
      <c r="L306" s="24">
        <v>179</v>
      </c>
      <c r="M306" s="12">
        <f t="shared" ref="M306:N306" si="311">G306/1.19</f>
        <v>20167.72264147977</v>
      </c>
      <c r="N306" s="12">
        <f t="shared" si="311"/>
        <v>20167.72264147977</v>
      </c>
      <c r="O306" s="12">
        <f t="shared" si="2"/>
        <v>3831.8673018811569</v>
      </c>
      <c r="P306" s="13"/>
      <c r="Q306" s="14">
        <f t="shared" si="3"/>
        <v>2025</v>
      </c>
      <c r="R306" s="15">
        <f>VLOOKUP(MONTH(C306),'Datos Maestros'!M$2:N$14,2,FALSE)</f>
        <v>45505</v>
      </c>
      <c r="S306" s="11" t="str">
        <f>VLOOKUP(E306,Precios!B$2:W$941,3,FALSE)</f>
        <v>Longanizas</v>
      </c>
      <c r="T306" s="16">
        <f>VLOOKUP(E306,Precios!B$2:N$941,4,FALSE)*F306</f>
        <v>3</v>
      </c>
      <c r="U306" s="17"/>
      <c r="V306" s="12">
        <f>VLOOKUP(E306,Precios!B$2:N$941,13,FALSE)*F306</f>
        <v>4429.2352465217864</v>
      </c>
      <c r="W306" s="12">
        <f t="shared" si="4"/>
        <v>4429.2352465217864</v>
      </c>
      <c r="X306" s="12">
        <f>VLOOKUP(B306,'Datos Maestros'!$C$2:$D$7,2,FALSE)*V306</f>
        <v>0</v>
      </c>
      <c r="Y306" s="18">
        <f t="shared" si="5"/>
        <v>45894</v>
      </c>
      <c r="Z306" s="13" t="s">
        <v>39</v>
      </c>
      <c r="AA306" s="19" t="str">
        <f>VLOOKUP(D306,Clientes!$A$2:$J$486,9,FALSE)</f>
        <v>Familiar</v>
      </c>
      <c r="AB306" s="13" t="str">
        <f>VLOOKUP(D306,Clientes!$A$2:$K$486,11,FALSE)</f>
        <v>Persona Natural</v>
      </c>
      <c r="AC306" s="13" t="str">
        <f>VLOOKUP(D306,Clientes!$A$2:$B$486,2,FALSE)</f>
        <v>Familiar</v>
      </c>
      <c r="AD306" s="20"/>
      <c r="AE306" s="20"/>
      <c r="AF306" s="13" t="s">
        <v>40</v>
      </c>
      <c r="AG306" s="15">
        <f t="shared" si="6"/>
        <v>45505</v>
      </c>
      <c r="AH306" s="13" t="s">
        <v>41</v>
      </c>
      <c r="AI306" s="13" t="str">
        <f t="shared" si="7"/>
        <v>Longanizas</v>
      </c>
      <c r="AJ306" s="13" t="str">
        <f>VLOOKUP(E306,Precios!Z$2:AA$941,2,FALSE)</f>
        <v>Longanizas VILLABLANCA</v>
      </c>
      <c r="AK306" s="14">
        <f>VLOOKUP(E306,Precios!Z$2:BB$941,3,FALSE)*F306</f>
        <v>-3</v>
      </c>
      <c r="AL306" s="17"/>
      <c r="AM306" s="17"/>
      <c r="AN306" s="17"/>
      <c r="AO306" s="17"/>
      <c r="AP306" s="17"/>
      <c r="AQ306" s="17"/>
      <c r="AR306" s="17"/>
      <c r="AS306" s="17"/>
      <c r="AT306" s="17"/>
      <c r="AU306" s="17"/>
      <c r="AV306" s="17"/>
    </row>
    <row r="307" spans="1:48" ht="15.75" customHeight="1">
      <c r="A307" s="21" t="s">
        <v>53</v>
      </c>
      <c r="B307" s="23" t="s">
        <v>1692</v>
      </c>
      <c r="C307" s="25">
        <v>45900</v>
      </c>
      <c r="D307" s="23" t="s">
        <v>236</v>
      </c>
      <c r="E307" s="23" t="s">
        <v>136</v>
      </c>
      <c r="F307" s="14">
        <v>1</v>
      </c>
      <c r="G307" s="12">
        <f>VLOOKUP(E307,Precios!B$2:N$941,12,FALSE)</f>
        <v>14900.292682926829</v>
      </c>
      <c r="H307" s="12">
        <f t="shared" si="0"/>
        <v>14900.292682926829</v>
      </c>
      <c r="I307" s="23" t="s">
        <v>52</v>
      </c>
      <c r="J307" s="23" t="s">
        <v>61</v>
      </c>
      <c r="K307" s="24" t="s">
        <v>177</v>
      </c>
      <c r="L307" s="24">
        <v>179</v>
      </c>
      <c r="M307" s="12">
        <f t="shared" ref="M307:N307" si="312">G307/1.19</f>
        <v>12521.254355400697</v>
      </c>
      <c r="N307" s="12">
        <f t="shared" si="312"/>
        <v>12521.254355400697</v>
      </c>
      <c r="O307" s="12">
        <f t="shared" si="2"/>
        <v>2379.038327526132</v>
      </c>
      <c r="P307" s="13"/>
      <c r="Q307" s="14">
        <f t="shared" si="3"/>
        <v>2025</v>
      </c>
      <c r="R307" s="15">
        <f>VLOOKUP(MONTH(C307),'Datos Maestros'!M$2:N$14,2,FALSE)</f>
        <v>45505</v>
      </c>
      <c r="S307" s="11" t="str">
        <f>VLOOKUP(E307,Precios!B$2:W$941,3,FALSE)</f>
        <v>Toalla Nova 26 mts</v>
      </c>
      <c r="T307" s="16">
        <f>VLOOKUP(E307,Precios!B$2:N$941,4,FALSE)*F307</f>
        <v>0</v>
      </c>
      <c r="U307" s="17"/>
      <c r="V307" s="12">
        <f>VLOOKUP(E307,Precios!B$2:N$941,13,FALSE)*F307</f>
        <v>3537.254355400697</v>
      </c>
      <c r="W307" s="12">
        <f t="shared" si="4"/>
        <v>3537.254355400697</v>
      </c>
      <c r="X307" s="12">
        <f>VLOOKUP(B307,'Datos Maestros'!$C$2:$D$7,2,FALSE)*V307</f>
        <v>0</v>
      </c>
      <c r="Y307" s="18">
        <f t="shared" si="5"/>
        <v>45894</v>
      </c>
      <c r="Z307" s="13" t="s">
        <v>39</v>
      </c>
      <c r="AA307" s="19" t="str">
        <f>VLOOKUP(D307,Clientes!$A$2:$J$486,9,FALSE)</f>
        <v>Familiar</v>
      </c>
      <c r="AB307" s="13" t="str">
        <f>VLOOKUP(D307,Clientes!$A$2:$K$486,11,FALSE)</f>
        <v>Persona Natural</v>
      </c>
      <c r="AC307" s="13" t="str">
        <f>VLOOKUP(D307,Clientes!$A$2:$B$486,2,FALSE)</f>
        <v>Familiar</v>
      </c>
      <c r="AD307" s="20"/>
      <c r="AE307" s="20"/>
      <c r="AF307" s="13" t="s">
        <v>40</v>
      </c>
      <c r="AG307" s="15">
        <f t="shared" si="6"/>
        <v>45505</v>
      </c>
      <c r="AH307" s="13" t="s">
        <v>41</v>
      </c>
      <c r="AI307" s="13" t="str">
        <f t="shared" si="7"/>
        <v>Papeleria</v>
      </c>
      <c r="AJ307" s="13" t="str">
        <f>VLOOKUP(E307,Precios!Z$2:AA$941,2,FALSE)</f>
        <v>Toalla Papel NOVA 26 metros</v>
      </c>
      <c r="AK307" s="14">
        <f>VLOOKUP(E307,Precios!Z$2:BB$941,3,FALSE)*F307</f>
        <v>-8</v>
      </c>
      <c r="AL307" s="17"/>
      <c r="AM307" s="17"/>
      <c r="AN307" s="17"/>
      <c r="AO307" s="17"/>
      <c r="AP307" s="17"/>
      <c r="AQ307" s="17"/>
      <c r="AR307" s="17"/>
      <c r="AS307" s="17"/>
      <c r="AT307" s="17"/>
      <c r="AU307" s="17"/>
      <c r="AV307" s="17"/>
    </row>
    <row r="308" spans="1:48" ht="15.75" customHeight="1">
      <c r="A308" s="21" t="s">
        <v>35</v>
      </c>
      <c r="B308" s="23" t="s">
        <v>1692</v>
      </c>
      <c r="C308" s="25">
        <v>45900</v>
      </c>
      <c r="D308" s="23" t="s">
        <v>237</v>
      </c>
      <c r="E308" s="23" t="s">
        <v>117</v>
      </c>
      <c r="F308" s="14">
        <v>1</v>
      </c>
      <c r="G308" s="12">
        <f>VLOOKUP(E308,Precios!B$2:N$941,12,FALSE)</f>
        <v>8999.8271341726922</v>
      </c>
      <c r="H308" s="12">
        <f t="shared" si="0"/>
        <v>8999.8271341726922</v>
      </c>
      <c r="I308" s="23" t="s">
        <v>52</v>
      </c>
      <c r="J308" s="23" t="s">
        <v>61</v>
      </c>
      <c r="K308" s="24" t="s">
        <v>177</v>
      </c>
      <c r="L308" s="24">
        <v>179</v>
      </c>
      <c r="M308" s="12">
        <f t="shared" ref="M308:N308" si="313">G308/1.19</f>
        <v>7562.8799446829353</v>
      </c>
      <c r="N308" s="12">
        <f t="shared" si="313"/>
        <v>7562.8799446829353</v>
      </c>
      <c r="O308" s="12">
        <f t="shared" si="2"/>
        <v>1436.947189489757</v>
      </c>
      <c r="P308" s="13"/>
      <c r="Q308" s="14">
        <f t="shared" si="3"/>
        <v>2025</v>
      </c>
      <c r="R308" s="15">
        <f>VLOOKUP(MONTH(C308),'Datos Maestros'!M$2:N$14,2,FALSE)</f>
        <v>45505</v>
      </c>
      <c r="S308" s="11" t="str">
        <f>VLOOKUP(E308,Precios!B$2:W$941,3,FALSE)</f>
        <v>Queso Mantecoso</v>
      </c>
      <c r="T308" s="16">
        <f>VLOOKUP(E308,Precios!B$2:N$941,4,FALSE)*F308</f>
        <v>750</v>
      </c>
      <c r="U308" s="17"/>
      <c r="V308" s="12">
        <f>VLOOKUP(E308,Precios!B$2:N$941,13,FALSE)*F308</f>
        <v>2312.8799446829353</v>
      </c>
      <c r="W308" s="12">
        <f t="shared" si="4"/>
        <v>2312.8799446829353</v>
      </c>
      <c r="X308" s="12">
        <f>VLOOKUP(B308,'Datos Maestros'!$C$2:$D$7,2,FALSE)*V308</f>
        <v>0</v>
      </c>
      <c r="Y308" s="18">
        <f t="shared" si="5"/>
        <v>45894</v>
      </c>
      <c r="Z308" s="13" t="s">
        <v>39</v>
      </c>
      <c r="AA308" s="19" t="str">
        <f>VLOOKUP(D308,Clientes!$A$2:$J$486,9,FALSE)</f>
        <v>Ocacional</v>
      </c>
      <c r="AB308" s="13" t="str">
        <f>VLOOKUP(D308,Clientes!$A$2:$K$486,11,FALSE)</f>
        <v>Persona Natural</v>
      </c>
      <c r="AC308" s="13" t="str">
        <f>VLOOKUP(D308,Clientes!$A$2:$B$486,2,FALSE)</f>
        <v>Jardines de la viña</v>
      </c>
      <c r="AD308" s="20"/>
      <c r="AE308" s="20"/>
      <c r="AF308" s="13" t="s">
        <v>40</v>
      </c>
      <c r="AG308" s="15">
        <f t="shared" si="6"/>
        <v>45505</v>
      </c>
      <c r="AH308" s="13" t="s">
        <v>41</v>
      </c>
      <c r="AI308" s="13" t="str">
        <f t="shared" si="7"/>
        <v>Quesos</v>
      </c>
      <c r="AJ308" s="13" t="str">
        <f>VLOOKUP(E308,Precios!Z$2:AA$941,2,FALSE)</f>
        <v>Queso RUNCA Laminado Mantecoso</v>
      </c>
      <c r="AK308" s="14">
        <f>VLOOKUP(E308,Precios!Z$2:BB$941,3,FALSE)*F308</f>
        <v>-0.75</v>
      </c>
      <c r="AL308" s="17"/>
      <c r="AM308" s="17"/>
      <c r="AN308" s="17"/>
      <c r="AO308" s="17"/>
      <c r="AP308" s="17"/>
      <c r="AQ308" s="17"/>
      <c r="AR308" s="17"/>
      <c r="AS308" s="17"/>
      <c r="AT308" s="17"/>
      <c r="AU308" s="17"/>
      <c r="AV308" s="17"/>
    </row>
    <row r="309" spans="1:48" ht="15.75" customHeight="1">
      <c r="A309" s="21" t="s">
        <v>43</v>
      </c>
      <c r="B309" s="23" t="s">
        <v>1692</v>
      </c>
      <c r="C309" s="25">
        <v>45900</v>
      </c>
      <c r="D309" s="23" t="s">
        <v>237</v>
      </c>
      <c r="E309" s="23" t="s">
        <v>45</v>
      </c>
      <c r="F309" s="14">
        <v>1</v>
      </c>
      <c r="G309" s="12">
        <f>VLOOKUP(E309,Precios!B$2:N$941,12,FALSE)</f>
        <v>8000.1831784723063</v>
      </c>
      <c r="H309" s="12">
        <f t="shared" si="0"/>
        <v>8000.1831784723063</v>
      </c>
      <c r="I309" s="23" t="s">
        <v>52</v>
      </c>
      <c r="J309" s="23" t="s">
        <v>61</v>
      </c>
      <c r="K309" s="24" t="s">
        <v>177</v>
      </c>
      <c r="L309" s="24">
        <v>179</v>
      </c>
      <c r="M309" s="12">
        <f t="shared" ref="M309:N309" si="314">G309/1.19</f>
        <v>6722.8430071195853</v>
      </c>
      <c r="N309" s="12">
        <f t="shared" si="314"/>
        <v>6722.8430071195853</v>
      </c>
      <c r="O309" s="12">
        <f t="shared" si="2"/>
        <v>1277.340171352721</v>
      </c>
      <c r="P309" s="13"/>
      <c r="Q309" s="14">
        <f t="shared" si="3"/>
        <v>2025</v>
      </c>
      <c r="R309" s="15">
        <f>VLOOKUP(MONTH(C309),'Datos Maestros'!M$2:N$14,2,FALSE)</f>
        <v>45505</v>
      </c>
      <c r="S309" s="11" t="str">
        <f>VLOOKUP(E309,Precios!B$2:W$941,3,FALSE)</f>
        <v>Huevos EXTRA</v>
      </c>
      <c r="T309" s="16">
        <f>VLOOKUP(E309,Precios!B$2:N$941,4,FALSE)*F309</f>
        <v>0</v>
      </c>
      <c r="U309" s="17"/>
      <c r="V309" s="12">
        <f>VLOOKUP(E309,Precios!B$2:N$941,13,FALSE)*F309</f>
        <v>1151.6230071195851</v>
      </c>
      <c r="W309" s="12">
        <f t="shared" si="4"/>
        <v>1151.6230071195851</v>
      </c>
      <c r="X309" s="12">
        <f>VLOOKUP(B309,'Datos Maestros'!$C$2:$D$7,2,FALSE)*V309</f>
        <v>0</v>
      </c>
      <c r="Y309" s="18">
        <f t="shared" si="5"/>
        <v>45894</v>
      </c>
      <c r="Z309" s="13" t="s">
        <v>39</v>
      </c>
      <c r="AA309" s="19" t="str">
        <f>VLOOKUP(D309,Clientes!$A$2:$J$486,9,FALSE)</f>
        <v>Ocacional</v>
      </c>
      <c r="AB309" s="13" t="str">
        <f>VLOOKUP(D309,Clientes!$A$2:$K$486,11,FALSE)</f>
        <v>Persona Natural</v>
      </c>
      <c r="AC309" s="13" t="str">
        <f>VLOOKUP(D309,Clientes!$A$2:$B$486,2,FALSE)</f>
        <v>Jardines de la viña</v>
      </c>
      <c r="AD309" s="20"/>
      <c r="AE309" s="20"/>
      <c r="AF309" s="13" t="s">
        <v>40</v>
      </c>
      <c r="AG309" s="15">
        <f t="shared" si="6"/>
        <v>45505</v>
      </c>
      <c r="AH309" s="13" t="s">
        <v>41</v>
      </c>
      <c r="AI309" s="13" t="str">
        <f t="shared" si="7"/>
        <v>Huevos</v>
      </c>
      <c r="AJ309" s="13" t="str">
        <f>VLOOKUP(E309,Precios!Z$2:AA$941,2,FALSE)</f>
        <v>Bandeja Huevos EXTRA</v>
      </c>
      <c r="AK309" s="14">
        <f>VLOOKUP(E309,Precios!Z$2:BB$941,3,FALSE)*F309</f>
        <v>-1</v>
      </c>
      <c r="AL309" s="17"/>
      <c r="AM309" s="17"/>
      <c r="AN309" s="17"/>
      <c r="AO309" s="17"/>
      <c r="AP309" s="17"/>
      <c r="AQ309" s="17"/>
      <c r="AR309" s="17"/>
      <c r="AS309" s="17"/>
      <c r="AT309" s="17"/>
      <c r="AU309" s="17"/>
      <c r="AV309" s="17"/>
    </row>
    <row r="310" spans="1:48" ht="15.75" customHeight="1">
      <c r="A310" s="21" t="s">
        <v>43</v>
      </c>
      <c r="B310" s="23" t="s">
        <v>1692</v>
      </c>
      <c r="C310" s="25">
        <v>45900</v>
      </c>
      <c r="D310" s="23" t="s">
        <v>115</v>
      </c>
      <c r="E310" s="23" t="s">
        <v>45</v>
      </c>
      <c r="F310" s="14">
        <v>1</v>
      </c>
      <c r="G310" s="12">
        <f>VLOOKUP(E310,Precios!B$2:N$941,12,FALSE)</f>
        <v>8000.1831784723063</v>
      </c>
      <c r="H310" s="12">
        <f t="shared" si="0"/>
        <v>8000.1831784723063</v>
      </c>
      <c r="I310" s="23" t="s">
        <v>52</v>
      </c>
      <c r="J310" s="23" t="s">
        <v>61</v>
      </c>
      <c r="K310" s="24" t="s">
        <v>177</v>
      </c>
      <c r="L310" s="24">
        <v>179</v>
      </c>
      <c r="M310" s="12">
        <f t="shared" ref="M310:N310" si="315">G310/1.19</f>
        <v>6722.8430071195853</v>
      </c>
      <c r="N310" s="12">
        <f t="shared" si="315"/>
        <v>6722.8430071195853</v>
      </c>
      <c r="O310" s="12">
        <f t="shared" si="2"/>
        <v>1277.340171352721</v>
      </c>
      <c r="P310" s="13"/>
      <c r="Q310" s="14">
        <f t="shared" si="3"/>
        <v>2025</v>
      </c>
      <c r="R310" s="15">
        <f>VLOOKUP(MONTH(C310),'Datos Maestros'!M$2:N$14,2,FALSE)</f>
        <v>45505</v>
      </c>
      <c r="S310" s="11" t="str">
        <f>VLOOKUP(E310,Precios!B$2:W$941,3,FALSE)</f>
        <v>Huevos EXTRA</v>
      </c>
      <c r="T310" s="16">
        <f>VLOOKUP(E310,Precios!B$2:N$941,4,FALSE)*F310</f>
        <v>0</v>
      </c>
      <c r="U310" s="17"/>
      <c r="V310" s="12">
        <f>VLOOKUP(E310,Precios!B$2:N$941,13,FALSE)*F310</f>
        <v>1151.6230071195851</v>
      </c>
      <c r="W310" s="12">
        <f t="shared" si="4"/>
        <v>1151.6230071195851</v>
      </c>
      <c r="X310" s="12">
        <f>VLOOKUP(B310,'Datos Maestros'!$C$2:$D$7,2,FALSE)*V310</f>
        <v>0</v>
      </c>
      <c r="Y310" s="18">
        <f t="shared" si="5"/>
        <v>45894</v>
      </c>
      <c r="Z310" s="13" t="s">
        <v>39</v>
      </c>
      <c r="AA310" s="19" t="str">
        <f>VLOOKUP(D310,Clientes!$A$2:$J$486,9,FALSE)</f>
        <v>Ocacional</v>
      </c>
      <c r="AB310" s="13" t="str">
        <f>VLOOKUP(D310,Clientes!$A$2:$K$486,11,FALSE)</f>
        <v>Persona Natural</v>
      </c>
      <c r="AC310" s="13" t="str">
        <f>VLOOKUP(D310,Clientes!$A$2:$B$486,2,FALSE)</f>
        <v>Jardines de la viña</v>
      </c>
      <c r="AD310" s="20"/>
      <c r="AE310" s="20"/>
      <c r="AF310" s="13" t="s">
        <v>40</v>
      </c>
      <c r="AG310" s="15">
        <f t="shared" si="6"/>
        <v>45505</v>
      </c>
      <c r="AH310" s="13" t="s">
        <v>41</v>
      </c>
      <c r="AI310" s="13" t="str">
        <f t="shared" si="7"/>
        <v>Huevos</v>
      </c>
      <c r="AJ310" s="13" t="str">
        <f>VLOOKUP(E310,Precios!Z$2:AA$941,2,FALSE)</f>
        <v>Bandeja Huevos EXTRA</v>
      </c>
      <c r="AK310" s="14">
        <f>VLOOKUP(E310,Precios!Z$2:BB$941,3,FALSE)*F310</f>
        <v>-1</v>
      </c>
      <c r="AL310" s="17"/>
      <c r="AM310" s="17"/>
      <c r="AN310" s="17"/>
      <c r="AO310" s="17"/>
      <c r="AP310" s="17"/>
      <c r="AQ310" s="17"/>
      <c r="AR310" s="17"/>
      <c r="AS310" s="17"/>
      <c r="AT310" s="17"/>
      <c r="AU310" s="17"/>
      <c r="AV310" s="17"/>
    </row>
    <row r="311" spans="1:48" ht="15.75" customHeight="1">
      <c r="A311" s="21" t="s">
        <v>53</v>
      </c>
      <c r="B311" s="23" t="s">
        <v>1692</v>
      </c>
      <c r="C311" s="22">
        <v>45900</v>
      </c>
      <c r="D311" s="23" t="s">
        <v>238</v>
      </c>
      <c r="E311" s="23" t="s">
        <v>55</v>
      </c>
      <c r="F311" s="21">
        <v>1</v>
      </c>
      <c r="G311" s="12">
        <f>VLOOKUP(E311,Precios!B$2:N$941,12,FALSE)</f>
        <v>20899.91124296327</v>
      </c>
      <c r="H311" s="12">
        <f t="shared" si="0"/>
        <v>20899.91124296327</v>
      </c>
      <c r="I311" s="23" t="s">
        <v>52</v>
      </c>
      <c r="J311" s="23" t="s">
        <v>61</v>
      </c>
      <c r="K311" s="24" t="s">
        <v>177</v>
      </c>
      <c r="L311" s="24">
        <v>179</v>
      </c>
      <c r="M311" s="12">
        <f t="shared" ref="M311:N311" si="316">G311/1.19</f>
        <v>17562.950624338882</v>
      </c>
      <c r="N311" s="12">
        <f t="shared" si="316"/>
        <v>17562.950624338882</v>
      </c>
      <c r="O311" s="12">
        <f t="shared" si="2"/>
        <v>3336.9606186243873</v>
      </c>
      <c r="P311" s="13"/>
      <c r="Q311" s="14">
        <f t="shared" si="3"/>
        <v>2025</v>
      </c>
      <c r="R311" s="15">
        <f>VLOOKUP(MONTH(C311),'Datos Maestros'!M$2:N$14,2,FALSE)</f>
        <v>45505</v>
      </c>
      <c r="S311" s="11" t="str">
        <f>VLOOKUP(E311,Precios!B$2:W$941,3,FALSE)</f>
        <v>Papel Higiénico ELITE</v>
      </c>
      <c r="T311" s="16">
        <f>VLOOKUP(E311,Precios!B$2:N$941,4,FALSE)*F311</f>
        <v>0</v>
      </c>
      <c r="U311" s="17"/>
      <c r="V311" s="12">
        <f>VLOOKUP(E311,Precios!B$2:N$941,13,FALSE)*F311</f>
        <v>3117.9506243388823</v>
      </c>
      <c r="W311" s="12">
        <f t="shared" si="4"/>
        <v>3117.9506243388823</v>
      </c>
      <c r="X311" s="12">
        <f>VLOOKUP(B311,'Datos Maestros'!$C$2:$D$7,2,FALSE)*V311</f>
        <v>0</v>
      </c>
      <c r="Y311" s="18">
        <f t="shared" si="5"/>
        <v>45894</v>
      </c>
      <c r="Z311" s="13" t="s">
        <v>39</v>
      </c>
      <c r="AA311" s="19" t="str">
        <f>VLOOKUP(D311,Clientes!$A$2:$J$486,9,FALSE)</f>
        <v>Ocacional</v>
      </c>
      <c r="AB311" s="13" t="str">
        <f>VLOOKUP(D311,Clientes!$A$2:$K$486,11,FALSE)</f>
        <v>Persona Natural</v>
      </c>
      <c r="AC311" s="13" t="str">
        <f>VLOOKUP(D311,Clientes!$A$2:$B$486,2,FALSE)</f>
        <v>Araucana</v>
      </c>
      <c r="AD311" s="20"/>
      <c r="AE311" s="20"/>
      <c r="AF311" s="13" t="s">
        <v>40</v>
      </c>
      <c r="AG311" s="15">
        <f t="shared" si="6"/>
        <v>45505</v>
      </c>
      <c r="AH311" s="13" t="s">
        <v>41</v>
      </c>
      <c r="AI311" s="13" t="str">
        <f t="shared" si="7"/>
        <v>Papeleria</v>
      </c>
      <c r="AJ311" s="13" t="str">
        <f>VLOOKUP(E311,Precios!Z$2:AA$941,2,FALSE)</f>
        <v>Papel Higienico ELITE 50 metros</v>
      </c>
      <c r="AK311" s="14">
        <f>VLOOKUP(E311,Precios!Z$2:BB$941,3,FALSE)*F311</f>
        <v>-8</v>
      </c>
      <c r="AL311" s="17"/>
      <c r="AM311" s="17"/>
      <c r="AN311" s="17"/>
      <c r="AO311" s="17"/>
      <c r="AP311" s="17"/>
      <c r="AQ311" s="17"/>
      <c r="AR311" s="17"/>
      <c r="AS311" s="17"/>
      <c r="AT311" s="17"/>
      <c r="AU311" s="17"/>
      <c r="AV311" s="17"/>
    </row>
    <row r="312" spans="1:48" ht="15.75" customHeight="1">
      <c r="A312" s="21" t="s">
        <v>53</v>
      </c>
      <c r="B312" s="23" t="s">
        <v>1692</v>
      </c>
      <c r="C312" s="22">
        <v>45900</v>
      </c>
      <c r="D312" s="23" t="s">
        <v>238</v>
      </c>
      <c r="E312" s="23" t="s">
        <v>69</v>
      </c>
      <c r="F312" s="21">
        <v>1</v>
      </c>
      <c r="G312" s="12">
        <f>VLOOKUP(E312,Precios!B$2:N$941,12,FALSE)</f>
        <v>2999.9553810458683</v>
      </c>
      <c r="H312" s="12">
        <f t="shared" si="0"/>
        <v>2999.9553810458683</v>
      </c>
      <c r="I312" s="23" t="s">
        <v>52</v>
      </c>
      <c r="J312" s="23" t="s">
        <v>61</v>
      </c>
      <c r="K312" s="24" t="s">
        <v>177</v>
      </c>
      <c r="L312" s="24">
        <v>179</v>
      </c>
      <c r="M312" s="12">
        <f t="shared" ref="M312:N312" si="317">G312/1.19</f>
        <v>2520.9709084419064</v>
      </c>
      <c r="N312" s="12">
        <f t="shared" si="317"/>
        <v>2520.9709084419064</v>
      </c>
      <c r="O312" s="12">
        <f t="shared" si="2"/>
        <v>478.98447260396188</v>
      </c>
      <c r="P312" s="13"/>
      <c r="Q312" s="14">
        <f t="shared" si="3"/>
        <v>2025</v>
      </c>
      <c r="R312" s="15">
        <f>VLOOKUP(MONTH(C312),'Datos Maestros'!M$2:N$14,2,FALSE)</f>
        <v>45505</v>
      </c>
      <c r="S312" s="11" t="str">
        <f>VLOOKUP(E312,Precios!B$2:W$941,3,FALSE)</f>
        <v>Toalla Nova 70 mts</v>
      </c>
      <c r="T312" s="16">
        <f>VLOOKUP(E312,Precios!B$2:N$941,4,FALSE)*F312</f>
        <v>0</v>
      </c>
      <c r="U312" s="17"/>
      <c r="V312" s="12">
        <f>VLOOKUP(E312,Precios!B$2:N$941,13,FALSE)*F312</f>
        <v>825.97090844190598</v>
      </c>
      <c r="W312" s="12">
        <f t="shared" si="4"/>
        <v>825.97090844190598</v>
      </c>
      <c r="X312" s="12">
        <f>VLOOKUP(B312,'Datos Maestros'!$C$2:$D$7,2,FALSE)*V312</f>
        <v>0</v>
      </c>
      <c r="Y312" s="18">
        <f t="shared" si="5"/>
        <v>45894</v>
      </c>
      <c r="Z312" s="13" t="s">
        <v>39</v>
      </c>
      <c r="AA312" s="19" t="str">
        <f>VLOOKUP(D312,Clientes!$A$2:$J$486,9,FALSE)</f>
        <v>Ocacional</v>
      </c>
      <c r="AB312" s="13" t="str">
        <f>VLOOKUP(D312,Clientes!$A$2:$K$486,11,FALSE)</f>
        <v>Persona Natural</v>
      </c>
      <c r="AC312" s="13" t="str">
        <f>VLOOKUP(D312,Clientes!$A$2:$B$486,2,FALSE)</f>
        <v>Araucana</v>
      </c>
      <c r="AD312" s="20"/>
      <c r="AE312" s="20"/>
      <c r="AF312" s="13" t="s">
        <v>40</v>
      </c>
      <c r="AG312" s="15">
        <f t="shared" si="6"/>
        <v>45505</v>
      </c>
      <c r="AH312" s="13" t="s">
        <v>41</v>
      </c>
      <c r="AI312" s="13" t="str">
        <f t="shared" si="7"/>
        <v>Papeleria</v>
      </c>
      <c r="AJ312" s="13" t="str">
        <f>VLOOKUP(E312,Precios!Z$2:AA$941,2,FALSE)</f>
        <v>Toalla Papel NOVA 70 metros</v>
      </c>
      <c r="AK312" s="14">
        <f>VLOOKUP(E312,Precios!Z$2:BB$941,3,FALSE)*F312</f>
        <v>-1</v>
      </c>
      <c r="AL312" s="17"/>
      <c r="AM312" s="17"/>
      <c r="AN312" s="17"/>
      <c r="AO312" s="17"/>
      <c r="AP312" s="17"/>
      <c r="AQ312" s="17"/>
      <c r="AR312" s="17"/>
      <c r="AS312" s="17"/>
      <c r="AT312" s="17"/>
      <c r="AU312" s="17"/>
      <c r="AV312" s="17"/>
    </row>
    <row r="313" spans="1:48" ht="15.75" customHeight="1">
      <c r="A313" s="21" t="s">
        <v>64</v>
      </c>
      <c r="B313" s="23" t="s">
        <v>1692</v>
      </c>
      <c r="C313" s="22">
        <v>45900</v>
      </c>
      <c r="D313" s="23" t="s">
        <v>239</v>
      </c>
      <c r="E313" s="23" t="s">
        <v>173</v>
      </c>
      <c r="F313" s="21">
        <v>1</v>
      </c>
      <c r="G313" s="12">
        <f>VLOOKUP(E313,Precios!B$2:N$941,12,FALSE)</f>
        <v>23999.589943360927</v>
      </c>
      <c r="H313" s="12">
        <f t="shared" si="0"/>
        <v>23999.589943360927</v>
      </c>
      <c r="I313" s="23" t="s">
        <v>52</v>
      </c>
      <c r="J313" s="23" t="s">
        <v>61</v>
      </c>
      <c r="K313" s="24" t="s">
        <v>177</v>
      </c>
      <c r="L313" s="24">
        <v>179</v>
      </c>
      <c r="M313" s="12">
        <f t="shared" ref="M313:N313" si="318">G313/1.19</f>
        <v>20167.72264147977</v>
      </c>
      <c r="N313" s="12">
        <f t="shared" si="318"/>
        <v>20167.72264147977</v>
      </c>
      <c r="O313" s="12">
        <f t="shared" si="2"/>
        <v>3831.8673018811569</v>
      </c>
      <c r="P313" s="13"/>
      <c r="Q313" s="14">
        <f t="shared" si="3"/>
        <v>2025</v>
      </c>
      <c r="R313" s="15">
        <f>VLOOKUP(MONTH(C313),'Datos Maestros'!M$2:N$14,2,FALSE)</f>
        <v>45505</v>
      </c>
      <c r="S313" s="11" t="str">
        <f>VLOOKUP(E313,Precios!B$2:W$941,3,FALSE)</f>
        <v>Longanizas</v>
      </c>
      <c r="T313" s="16">
        <f>VLOOKUP(E313,Precios!B$2:N$941,4,FALSE)*F313</f>
        <v>3</v>
      </c>
      <c r="U313" s="17"/>
      <c r="V313" s="12">
        <f>VLOOKUP(E313,Precios!B$2:N$941,13,FALSE)*F313</f>
        <v>4429.2352465217864</v>
      </c>
      <c r="W313" s="12">
        <f t="shared" si="4"/>
        <v>4429.2352465217864</v>
      </c>
      <c r="X313" s="12">
        <f>VLOOKUP(B313,'Datos Maestros'!$C$2:$D$7,2,FALSE)*V313</f>
        <v>0</v>
      </c>
      <c r="Y313" s="18">
        <f t="shared" si="5"/>
        <v>45894</v>
      </c>
      <c r="Z313" s="13" t="s">
        <v>39</v>
      </c>
      <c r="AA313" s="19" t="str">
        <f>VLOOKUP(D313,Clientes!$A$2:$J$486,9,FALSE)</f>
        <v>Ocacional</v>
      </c>
      <c r="AB313" s="13" t="str">
        <f>VLOOKUP(D313,Clientes!$A$2:$K$486,11,FALSE)</f>
        <v>Persona Natural</v>
      </c>
      <c r="AC313" s="13" t="str">
        <f>VLOOKUP(D313,Clientes!$A$2:$B$486,2,FALSE)</f>
        <v>Alicachue</v>
      </c>
      <c r="AD313" s="20"/>
      <c r="AE313" s="20"/>
      <c r="AF313" s="13" t="s">
        <v>40</v>
      </c>
      <c r="AG313" s="15">
        <f t="shared" si="6"/>
        <v>45505</v>
      </c>
      <c r="AH313" s="13" t="s">
        <v>41</v>
      </c>
      <c r="AI313" s="13" t="str">
        <f t="shared" si="7"/>
        <v>Longanizas</v>
      </c>
      <c r="AJ313" s="13" t="str">
        <f>VLOOKUP(E313,Precios!Z$2:AA$941,2,FALSE)</f>
        <v>Longanizas VILLABLANCA</v>
      </c>
      <c r="AK313" s="14">
        <f>VLOOKUP(E313,Precios!Z$2:BB$941,3,FALSE)*F313</f>
        <v>-3</v>
      </c>
      <c r="AL313" s="17"/>
      <c r="AM313" s="17"/>
      <c r="AN313" s="17"/>
      <c r="AO313" s="17"/>
      <c r="AP313" s="17"/>
      <c r="AQ313" s="17"/>
      <c r="AR313" s="17"/>
      <c r="AS313" s="17"/>
      <c r="AT313" s="17"/>
      <c r="AU313" s="17"/>
      <c r="AV313" s="17"/>
    </row>
    <row r="314" spans="1:48" ht="15.75" customHeight="1">
      <c r="A314" s="21" t="s">
        <v>35</v>
      </c>
      <c r="B314" s="23" t="s">
        <v>1692</v>
      </c>
      <c r="C314" s="25">
        <v>45899</v>
      </c>
      <c r="D314" s="23" t="s">
        <v>240</v>
      </c>
      <c r="E314" s="23" t="s">
        <v>37</v>
      </c>
      <c r="F314" s="21">
        <v>1</v>
      </c>
      <c r="G314" s="12">
        <f>VLOOKUP(E314,Precios!B$2:N$941,12,FALSE)</f>
        <v>11000.014358944907</v>
      </c>
      <c r="H314" s="12">
        <f t="shared" si="0"/>
        <v>11000.014358944907</v>
      </c>
      <c r="I314" s="13" t="s">
        <v>52</v>
      </c>
      <c r="J314" s="23" t="s">
        <v>61</v>
      </c>
      <c r="K314" s="24" t="s">
        <v>177</v>
      </c>
      <c r="L314" s="24">
        <v>178</v>
      </c>
      <c r="M314" s="12">
        <f t="shared" ref="M314:N314" si="319">G314/1.19</f>
        <v>9243.7095453318543</v>
      </c>
      <c r="N314" s="12">
        <f t="shared" si="319"/>
        <v>9243.7095453318543</v>
      </c>
      <c r="O314" s="12">
        <f t="shared" si="2"/>
        <v>1756.3048136130528</v>
      </c>
      <c r="P314" s="13"/>
      <c r="Q314" s="14">
        <f t="shared" si="3"/>
        <v>2025</v>
      </c>
      <c r="R314" s="15">
        <f>VLOOKUP(MONTH(C314),'Datos Maestros'!M$2:N$14,2,FALSE)</f>
        <v>45505</v>
      </c>
      <c r="S314" s="11" t="str">
        <f>VLOOKUP(E314,Precios!B$2:W$941,3,FALSE)</f>
        <v>Queso Mantecoso</v>
      </c>
      <c r="T314" s="16">
        <f>VLOOKUP(E314,Precios!B$2:N$941,4,FALSE)*F314</f>
        <v>1000</v>
      </c>
      <c r="U314" s="17"/>
      <c r="V314" s="12">
        <f>VLOOKUP(E314,Precios!B$2:N$941,13,FALSE)*F314</f>
        <v>2806.1129066763915</v>
      </c>
      <c r="W314" s="12">
        <f t="shared" si="4"/>
        <v>2806.1129066763915</v>
      </c>
      <c r="X314" s="12">
        <f>VLOOKUP(B314,'Datos Maestros'!$C$2:$D$7,2,FALSE)*V314</f>
        <v>0</v>
      </c>
      <c r="Y314" s="18">
        <f t="shared" si="5"/>
        <v>45894</v>
      </c>
      <c r="Z314" s="13" t="s">
        <v>39</v>
      </c>
      <c r="AA314" s="19" t="str">
        <f>VLOOKUP(D314,Clientes!$A$2:$J$486,9,FALSE)</f>
        <v>Ocacional</v>
      </c>
      <c r="AB314" s="13" t="str">
        <f>VLOOKUP(D314,Clientes!$A$2:$K$486,11,FALSE)</f>
        <v>Persona Natural</v>
      </c>
      <c r="AC314" s="13" t="str">
        <f>VLOOKUP(D314,Clientes!$A$2:$B$486,2,FALSE)</f>
        <v>Jardines de la viña</v>
      </c>
      <c r="AD314" s="20"/>
      <c r="AE314" s="20"/>
      <c r="AF314" s="13" t="s">
        <v>40</v>
      </c>
      <c r="AG314" s="15">
        <f t="shared" si="6"/>
        <v>45505</v>
      </c>
      <c r="AH314" s="13" t="s">
        <v>41</v>
      </c>
      <c r="AI314" s="13" t="str">
        <f t="shared" si="7"/>
        <v>Quesos</v>
      </c>
      <c r="AJ314" s="13" t="str">
        <f>VLOOKUP(E314,Precios!Z$2:AA$941,2,FALSE)</f>
        <v>Queso RUNCA Mantecoso</v>
      </c>
      <c r="AK314" s="14">
        <f>VLOOKUP(E314,Precios!Z$2:BB$941,3,FALSE)*F314</f>
        <v>-1</v>
      </c>
      <c r="AL314" s="17"/>
      <c r="AM314" s="17"/>
      <c r="AN314" s="17"/>
      <c r="AO314" s="17"/>
      <c r="AP314" s="17"/>
      <c r="AQ314" s="17"/>
      <c r="AR314" s="17"/>
      <c r="AS314" s="17"/>
      <c r="AT314" s="17"/>
      <c r="AU314" s="17"/>
      <c r="AV314" s="17"/>
    </row>
    <row r="315" spans="1:48" ht="15.75" customHeight="1">
      <c r="A315" s="21" t="s">
        <v>43</v>
      </c>
      <c r="B315" s="23" t="s">
        <v>1692</v>
      </c>
      <c r="C315" s="25">
        <v>45899</v>
      </c>
      <c r="D315" s="23" t="s">
        <v>108</v>
      </c>
      <c r="E315" s="23" t="s">
        <v>45</v>
      </c>
      <c r="F315" s="21">
        <v>1</v>
      </c>
      <c r="G315" s="12">
        <f>VLOOKUP(E315,Precios!B$2:N$941,12,FALSE)</f>
        <v>8000.1831784723063</v>
      </c>
      <c r="H315" s="12">
        <f t="shared" si="0"/>
        <v>8000.1831784723063</v>
      </c>
      <c r="I315" s="13" t="s">
        <v>52</v>
      </c>
      <c r="J315" s="23" t="s">
        <v>61</v>
      </c>
      <c r="K315" s="24" t="s">
        <v>177</v>
      </c>
      <c r="L315" s="24">
        <v>178</v>
      </c>
      <c r="M315" s="12">
        <f t="shared" ref="M315:N315" si="320">G315/1.19</f>
        <v>6722.8430071195853</v>
      </c>
      <c r="N315" s="12">
        <f t="shared" si="320"/>
        <v>6722.8430071195853</v>
      </c>
      <c r="O315" s="12">
        <f t="shared" si="2"/>
        <v>1277.340171352721</v>
      </c>
      <c r="P315" s="13"/>
      <c r="Q315" s="14">
        <f t="shared" si="3"/>
        <v>2025</v>
      </c>
      <c r="R315" s="15">
        <f>VLOOKUP(MONTH(C315),'Datos Maestros'!M$2:N$14,2,FALSE)</f>
        <v>45505</v>
      </c>
      <c r="S315" s="11" t="str">
        <f>VLOOKUP(E315,Precios!B$2:W$941,3,FALSE)</f>
        <v>Huevos EXTRA</v>
      </c>
      <c r="T315" s="16">
        <f>VLOOKUP(E315,Precios!B$2:N$941,4,FALSE)*F315</f>
        <v>0</v>
      </c>
      <c r="U315" s="17"/>
      <c r="V315" s="12">
        <f>VLOOKUP(E315,Precios!B$2:N$941,13,FALSE)*F315</f>
        <v>1151.6230071195851</v>
      </c>
      <c r="W315" s="12">
        <f t="shared" si="4"/>
        <v>1151.6230071195851</v>
      </c>
      <c r="X315" s="12">
        <f>VLOOKUP(B315,'Datos Maestros'!$C$2:$D$7,2,FALSE)*V315</f>
        <v>0</v>
      </c>
      <c r="Y315" s="18">
        <f t="shared" si="5"/>
        <v>45894</v>
      </c>
      <c r="Z315" s="13" t="s">
        <v>39</v>
      </c>
      <c r="AA315" s="19" t="str">
        <f>VLOOKUP(D315,Clientes!$A$2:$J$486,9,FALSE)</f>
        <v>Frecuente</v>
      </c>
      <c r="AB315" s="13" t="str">
        <f>VLOOKUP(D315,Clientes!$A$2:$K$486,11,FALSE)</f>
        <v>Persona Natural</v>
      </c>
      <c r="AC315" s="13" t="str">
        <f>VLOOKUP(D315,Clientes!$A$2:$B$486,2,FALSE)</f>
        <v>Jardines de la Viña</v>
      </c>
      <c r="AD315" s="20"/>
      <c r="AE315" s="20"/>
      <c r="AF315" s="13" t="s">
        <v>40</v>
      </c>
      <c r="AG315" s="15">
        <f t="shared" si="6"/>
        <v>45505</v>
      </c>
      <c r="AH315" s="13" t="s">
        <v>41</v>
      </c>
      <c r="AI315" s="13" t="str">
        <f t="shared" si="7"/>
        <v>Huevos</v>
      </c>
      <c r="AJ315" s="13" t="str">
        <f>VLOOKUP(E315,Precios!Z$2:AA$941,2,FALSE)</f>
        <v>Bandeja Huevos EXTRA</v>
      </c>
      <c r="AK315" s="14">
        <f>VLOOKUP(E315,Precios!Z$2:BB$941,3,FALSE)*F315</f>
        <v>-1</v>
      </c>
      <c r="AL315" s="17"/>
      <c r="AM315" s="17"/>
      <c r="AN315" s="17"/>
      <c r="AO315" s="17"/>
      <c r="AP315" s="17"/>
      <c r="AQ315" s="17"/>
      <c r="AR315" s="17"/>
      <c r="AS315" s="17"/>
      <c r="AT315" s="17"/>
      <c r="AU315" s="17"/>
      <c r="AV315" s="17"/>
    </row>
    <row r="316" spans="1:48" ht="15.75" customHeight="1">
      <c r="A316" s="21" t="s">
        <v>35</v>
      </c>
      <c r="B316" s="23" t="s">
        <v>1692</v>
      </c>
      <c r="C316" s="25">
        <v>45899</v>
      </c>
      <c r="D316" s="23" t="s">
        <v>108</v>
      </c>
      <c r="E316" s="23" t="s">
        <v>46</v>
      </c>
      <c r="F316" s="21">
        <v>1</v>
      </c>
      <c r="G316" s="12">
        <f>VLOOKUP(E316,Precios!B$2:N$941,12,FALSE)</f>
        <v>6000.1548227279782</v>
      </c>
      <c r="H316" s="12">
        <f t="shared" si="0"/>
        <v>6000.1548227279782</v>
      </c>
      <c r="I316" s="23" t="s">
        <v>52</v>
      </c>
      <c r="J316" s="23" t="s">
        <v>61</v>
      </c>
      <c r="K316" s="24" t="s">
        <v>177</v>
      </c>
      <c r="L316" s="24">
        <v>178</v>
      </c>
      <c r="M316" s="12">
        <f t="shared" ref="M316:N316" si="321">G316/1.19</f>
        <v>5042.1469098554444</v>
      </c>
      <c r="N316" s="12">
        <f t="shared" si="321"/>
        <v>5042.1469098554444</v>
      </c>
      <c r="O316" s="12">
        <f t="shared" si="2"/>
        <v>958.00791287253378</v>
      </c>
      <c r="P316" s="13"/>
      <c r="Q316" s="14">
        <f t="shared" si="3"/>
        <v>2025</v>
      </c>
      <c r="R316" s="15">
        <f>VLOOKUP(MONTH(C316),'Datos Maestros'!M$2:N$14,2,FALSE)</f>
        <v>45505</v>
      </c>
      <c r="S316" s="11" t="str">
        <f>VLOOKUP(E316,Precios!B$2:W$941,3,FALSE)</f>
        <v>Queso Mantecoso</v>
      </c>
      <c r="T316" s="16">
        <f>VLOOKUP(E316,Precios!B$2:N$941,4,FALSE)*F316</f>
        <v>500</v>
      </c>
      <c r="U316" s="17"/>
      <c r="V316" s="12">
        <f>VLOOKUP(E316,Precios!B$2:N$941,13,FALSE)*F316</f>
        <v>1785.4242207798129</v>
      </c>
      <c r="W316" s="12">
        <f t="shared" si="4"/>
        <v>1785.4242207798129</v>
      </c>
      <c r="X316" s="12">
        <f>VLOOKUP(B316,'Datos Maestros'!$C$2:$D$7,2,FALSE)*V316</f>
        <v>0</v>
      </c>
      <c r="Y316" s="18">
        <f t="shared" si="5"/>
        <v>45894</v>
      </c>
      <c r="Z316" s="13" t="s">
        <v>39</v>
      </c>
      <c r="AA316" s="19" t="str">
        <f>VLOOKUP(D316,Clientes!$A$2:$J$486,9,FALSE)</f>
        <v>Frecuente</v>
      </c>
      <c r="AB316" s="13" t="str">
        <f>VLOOKUP(D316,Clientes!$A$2:$K$486,11,FALSE)</f>
        <v>Persona Natural</v>
      </c>
      <c r="AC316" s="13" t="str">
        <f>VLOOKUP(D316,Clientes!$A$2:$B$486,2,FALSE)</f>
        <v>Jardines de la Viña</v>
      </c>
      <c r="AD316" s="20"/>
      <c r="AE316" s="20"/>
      <c r="AF316" s="13" t="s">
        <v>40</v>
      </c>
      <c r="AG316" s="15">
        <f t="shared" si="6"/>
        <v>45505</v>
      </c>
      <c r="AH316" s="13" t="s">
        <v>41</v>
      </c>
      <c r="AI316" s="13" t="str">
        <f t="shared" si="7"/>
        <v>Quesos</v>
      </c>
      <c r="AJ316" s="13" t="str">
        <f>VLOOKUP(E316,Precios!Z$2:AA$941,2,FALSE)</f>
        <v>Queso RUNCA Mantecoso</v>
      </c>
      <c r="AK316" s="14">
        <f>VLOOKUP(E316,Precios!Z$2:BB$941,3,FALSE)*F316</f>
        <v>-0.5</v>
      </c>
      <c r="AL316" s="17"/>
      <c r="AM316" s="17"/>
      <c r="AN316" s="17"/>
      <c r="AO316" s="17"/>
      <c r="AP316" s="17"/>
      <c r="AQ316" s="17"/>
      <c r="AR316" s="17"/>
      <c r="AS316" s="17"/>
      <c r="AT316" s="17"/>
      <c r="AU316" s="17"/>
      <c r="AV316" s="17"/>
    </row>
    <row r="317" spans="1:48" ht="15.75" customHeight="1">
      <c r="A317" s="21" t="s">
        <v>43</v>
      </c>
      <c r="B317" s="23" t="s">
        <v>1692</v>
      </c>
      <c r="C317" s="25">
        <v>45899</v>
      </c>
      <c r="D317" s="23" t="s">
        <v>241</v>
      </c>
      <c r="E317" s="23" t="s">
        <v>45</v>
      </c>
      <c r="F317" s="21">
        <v>1</v>
      </c>
      <c r="G317" s="12">
        <f>VLOOKUP(E317,Precios!B$2:N$941,12,FALSE)</f>
        <v>8000.1831784723063</v>
      </c>
      <c r="H317" s="12">
        <f t="shared" si="0"/>
        <v>8000.1831784723063</v>
      </c>
      <c r="I317" s="23" t="s">
        <v>52</v>
      </c>
      <c r="J317" s="23" t="s">
        <v>61</v>
      </c>
      <c r="K317" s="24" t="s">
        <v>177</v>
      </c>
      <c r="L317" s="24">
        <v>178</v>
      </c>
      <c r="M317" s="12">
        <f t="shared" ref="M317:N317" si="322">G317/1.19</f>
        <v>6722.8430071195853</v>
      </c>
      <c r="N317" s="12">
        <f t="shared" si="322"/>
        <v>6722.8430071195853</v>
      </c>
      <c r="O317" s="12">
        <f t="shared" si="2"/>
        <v>1277.340171352721</v>
      </c>
      <c r="P317" s="13"/>
      <c r="Q317" s="14">
        <f t="shared" si="3"/>
        <v>2025</v>
      </c>
      <c r="R317" s="15">
        <f>VLOOKUP(MONTH(C317),'Datos Maestros'!M$2:N$14,2,FALSE)</f>
        <v>45505</v>
      </c>
      <c r="S317" s="11" t="str">
        <f>VLOOKUP(E317,Precios!B$2:W$941,3,FALSE)</f>
        <v>Huevos EXTRA</v>
      </c>
      <c r="T317" s="16">
        <f>VLOOKUP(E317,Precios!B$2:N$941,4,FALSE)*F317</f>
        <v>0</v>
      </c>
      <c r="U317" s="17"/>
      <c r="V317" s="12">
        <f>VLOOKUP(E317,Precios!B$2:N$941,13,FALSE)*F317</f>
        <v>1151.6230071195851</v>
      </c>
      <c r="W317" s="12">
        <f t="shared" si="4"/>
        <v>1151.6230071195851</v>
      </c>
      <c r="X317" s="12">
        <f>VLOOKUP(B317,'Datos Maestros'!$C$2:$D$7,2,FALSE)*V317</f>
        <v>0</v>
      </c>
      <c r="Y317" s="18">
        <f t="shared" si="5"/>
        <v>45894</v>
      </c>
      <c r="Z317" s="13" t="s">
        <v>39</v>
      </c>
      <c r="AA317" s="19" t="str">
        <f>VLOOKUP(D317,Clientes!$A$2:$J$486,9,FALSE)</f>
        <v>Ocacional</v>
      </c>
      <c r="AB317" s="13" t="str">
        <f>VLOOKUP(D317,Clientes!$A$2:$K$486,11,FALSE)</f>
        <v>Persona Natural</v>
      </c>
      <c r="AC317" s="13" t="str">
        <f>VLOOKUP(D317,Clientes!$A$2:$B$486,2,FALSE)</f>
        <v>Colombia</v>
      </c>
      <c r="AD317" s="20"/>
      <c r="AE317" s="20"/>
      <c r="AF317" s="13" t="s">
        <v>40</v>
      </c>
      <c r="AG317" s="15">
        <f t="shared" si="6"/>
        <v>45505</v>
      </c>
      <c r="AH317" s="13" t="s">
        <v>41</v>
      </c>
      <c r="AI317" s="13" t="str">
        <f t="shared" si="7"/>
        <v>Huevos</v>
      </c>
      <c r="AJ317" s="13" t="str">
        <f>VLOOKUP(E317,Precios!Z$2:AA$941,2,FALSE)</f>
        <v>Bandeja Huevos EXTRA</v>
      </c>
      <c r="AK317" s="14">
        <f>VLOOKUP(E317,Precios!Z$2:BB$941,3,FALSE)*F317</f>
        <v>-1</v>
      </c>
      <c r="AL317" s="17"/>
      <c r="AM317" s="17"/>
      <c r="AN317" s="17"/>
      <c r="AO317" s="17"/>
      <c r="AP317" s="17"/>
      <c r="AQ317" s="17"/>
      <c r="AR317" s="17"/>
      <c r="AS317" s="17"/>
      <c r="AT317" s="17"/>
      <c r="AU317" s="17"/>
      <c r="AV317" s="17"/>
    </row>
    <row r="318" spans="1:48" ht="15.75" customHeight="1">
      <c r="A318" s="21" t="s">
        <v>76</v>
      </c>
      <c r="B318" s="23" t="s">
        <v>1692</v>
      </c>
      <c r="C318" s="22">
        <v>45899</v>
      </c>
      <c r="D318" s="23" t="s">
        <v>189</v>
      </c>
      <c r="E318" s="23" t="s">
        <v>81</v>
      </c>
      <c r="F318" s="21">
        <v>2</v>
      </c>
      <c r="G318" s="12">
        <f>VLOOKUP(E318,Precios!B$2:N$941,12,FALSE)</f>
        <v>3500.0000000000005</v>
      </c>
      <c r="H318" s="12">
        <f t="shared" si="0"/>
        <v>7000.0000000000009</v>
      </c>
      <c r="I318" s="23" t="s">
        <v>52</v>
      </c>
      <c r="J318" s="23" t="s">
        <v>61</v>
      </c>
      <c r="K318" s="24" t="s">
        <v>177</v>
      </c>
      <c r="L318" s="24">
        <v>178</v>
      </c>
      <c r="M318" s="12">
        <f t="shared" ref="M318:N318" si="323">G318/1.19</f>
        <v>2941.1764705882356</v>
      </c>
      <c r="N318" s="12">
        <f t="shared" si="323"/>
        <v>5882.3529411764712</v>
      </c>
      <c r="O318" s="12">
        <f t="shared" si="2"/>
        <v>1117.6470588235297</v>
      </c>
      <c r="P318" s="13"/>
      <c r="Q318" s="14">
        <f t="shared" si="3"/>
        <v>2025</v>
      </c>
      <c r="R318" s="15">
        <f>VLOOKUP(MONTH(C318),'Datos Maestros'!M$2:N$14,2,FALSE)</f>
        <v>45505</v>
      </c>
      <c r="S318" s="11" t="str">
        <f>VLOOKUP(E318,Precios!B$2:W$941,3,FALSE)</f>
        <v>Detergente Premium</v>
      </c>
      <c r="T318" s="16">
        <f>VLOOKUP(E318,Precios!B$2:N$941,4,FALSE)*F318</f>
        <v>10</v>
      </c>
      <c r="U318" s="17"/>
      <c r="V318" s="12">
        <f>VLOOKUP(E318,Precios!B$2:N$941,13,FALSE)*F318</f>
        <v>1529.4117647058829</v>
      </c>
      <c r="W318" s="12">
        <f t="shared" si="4"/>
        <v>1529.4117647058829</v>
      </c>
      <c r="X318" s="12">
        <f>VLOOKUP(B318,'Datos Maestros'!$C$2:$D$7,2,FALSE)*V318</f>
        <v>0</v>
      </c>
      <c r="Y318" s="18">
        <f t="shared" si="5"/>
        <v>45894</v>
      </c>
      <c r="Z318" s="13" t="s">
        <v>39</v>
      </c>
      <c r="AA318" s="19" t="str">
        <f>VLOOKUP(D318,Clientes!$A$2:$J$486,9,FALSE)</f>
        <v>Frecuente</v>
      </c>
      <c r="AB318" s="13" t="str">
        <f>VLOOKUP(D318,Clientes!$A$2:$K$486,11,FALSE)</f>
        <v>Persona Natural</v>
      </c>
      <c r="AC318" s="13" t="str">
        <f>VLOOKUP(D318,Clientes!$A$2:$B$486,2,FALSE)</f>
        <v>Jardines de la Viña</v>
      </c>
      <c r="AD318" s="20"/>
      <c r="AE318" s="20"/>
      <c r="AF318" s="13" t="s">
        <v>40</v>
      </c>
      <c r="AG318" s="15">
        <f t="shared" si="6"/>
        <v>45505</v>
      </c>
      <c r="AH318" s="13" t="s">
        <v>41</v>
      </c>
      <c r="AI318" s="13" t="str">
        <f t="shared" si="7"/>
        <v>Detergentes</v>
      </c>
      <c r="AJ318" s="13" t="str">
        <f>VLOOKUP(E318,Precios!Z$2:AA$941,2,FALSE)</f>
        <v>Detergente SPUM 5 Litros (Verde)</v>
      </c>
      <c r="AK318" s="14">
        <f>VLOOKUP(E318,Precios!Z$2:BB$941,3,FALSE)*F318</f>
        <v>-2</v>
      </c>
      <c r="AL318" s="17"/>
      <c r="AM318" s="17"/>
      <c r="AN318" s="17"/>
      <c r="AO318" s="17"/>
      <c r="AP318" s="17"/>
      <c r="AQ318" s="17"/>
      <c r="AR318" s="17"/>
      <c r="AS318" s="17"/>
      <c r="AT318" s="17"/>
      <c r="AU318" s="17"/>
      <c r="AV318" s="17"/>
    </row>
    <row r="319" spans="1:48" ht="15.75" customHeight="1">
      <c r="A319" s="21" t="s">
        <v>53</v>
      </c>
      <c r="B319" s="23" t="s">
        <v>1692</v>
      </c>
      <c r="C319" s="22">
        <v>45899</v>
      </c>
      <c r="D319" s="23" t="s">
        <v>242</v>
      </c>
      <c r="E319" s="23" t="s">
        <v>243</v>
      </c>
      <c r="F319" s="21">
        <v>1</v>
      </c>
      <c r="G319" s="12">
        <f>VLOOKUP(E319,Precios!B$2:N$941,12,FALSE)</f>
        <v>15500.125323753029</v>
      </c>
      <c r="H319" s="12">
        <f t="shared" si="0"/>
        <v>15500.125323753029</v>
      </c>
      <c r="I319" s="23" t="s">
        <v>52</v>
      </c>
      <c r="J319" s="23" t="s">
        <v>61</v>
      </c>
      <c r="K319" s="24" t="s">
        <v>177</v>
      </c>
      <c r="L319" s="24">
        <v>178</v>
      </c>
      <c r="M319" s="12">
        <f t="shared" ref="M319:N319" si="324">G319/1.19</f>
        <v>13025.31539811179</v>
      </c>
      <c r="N319" s="12">
        <f t="shared" si="324"/>
        <v>13025.31539811179</v>
      </c>
      <c r="O319" s="12">
        <f t="shared" si="2"/>
        <v>2474.8099256412388</v>
      </c>
      <c r="P319" s="13"/>
      <c r="Q319" s="14">
        <f t="shared" si="3"/>
        <v>2025</v>
      </c>
      <c r="R319" s="15">
        <f>VLOOKUP(MONTH(C319),'Datos Maestros'!M$2:N$14,2,FALSE)</f>
        <v>45505</v>
      </c>
      <c r="S319" s="11" t="str">
        <f>VLOOKUP(E319,Precios!B$2:W$941,3,FALSE)</f>
        <v>Papel Higiénico SWAN</v>
      </c>
      <c r="T319" s="16">
        <f>VLOOKUP(E319,Precios!B$2:N$941,4,FALSE)*F319</f>
        <v>0</v>
      </c>
      <c r="U319" s="17"/>
      <c r="V319" s="12">
        <f>VLOOKUP(E319,Precios!B$2:N$941,13,FALSE)*F319</f>
        <v>3671.3153981117885</v>
      </c>
      <c r="W319" s="12">
        <f t="shared" si="4"/>
        <v>3671.3153981117885</v>
      </c>
      <c r="X319" s="12">
        <f>VLOOKUP(B319,'Datos Maestros'!$C$2:$D$7,2,FALSE)*V319</f>
        <v>0</v>
      </c>
      <c r="Y319" s="18">
        <f t="shared" si="5"/>
        <v>45894</v>
      </c>
      <c r="Z319" s="13" t="s">
        <v>39</v>
      </c>
      <c r="AA319" s="19" t="str">
        <f>VLOOKUP(D319,Clientes!$A$2:$J$486,9,FALSE)</f>
        <v>Ocacional</v>
      </c>
      <c r="AB319" s="13" t="str">
        <f>VLOOKUP(D319,Clientes!$A$2:$K$486,11,FALSE)</f>
        <v>Persona Natural</v>
      </c>
      <c r="AC319" s="13" t="str">
        <f>VLOOKUP(D319,Clientes!$A$2:$B$486,2,FALSE)</f>
        <v>Macul</v>
      </c>
      <c r="AD319" s="20"/>
      <c r="AE319" s="20"/>
      <c r="AF319" s="13" t="s">
        <v>40</v>
      </c>
      <c r="AG319" s="15">
        <f t="shared" si="6"/>
        <v>45505</v>
      </c>
      <c r="AH319" s="13" t="s">
        <v>41</v>
      </c>
      <c r="AI319" s="13" t="str">
        <f t="shared" si="7"/>
        <v>Papeleria</v>
      </c>
      <c r="AJ319" s="13" t="str">
        <f>VLOOKUP(E319,Precios!Z$2:AA$941,2,FALSE)</f>
        <v>Papel Higienico SWAN 50 metros</v>
      </c>
      <c r="AK319" s="14">
        <f>VLOOKUP(E319,Precios!Z$2:BB$941,3,FALSE)*F319</f>
        <v>-6</v>
      </c>
      <c r="AL319" s="17"/>
      <c r="AM319" s="17"/>
      <c r="AN319" s="17"/>
      <c r="AO319" s="17"/>
      <c r="AP319" s="17"/>
      <c r="AQ319" s="17"/>
      <c r="AR319" s="17"/>
      <c r="AS319" s="17"/>
      <c r="AT319" s="17"/>
      <c r="AU319" s="17"/>
      <c r="AV319" s="17"/>
    </row>
    <row r="320" spans="1:48" ht="15.75" customHeight="1">
      <c r="A320" s="21" t="s">
        <v>53</v>
      </c>
      <c r="B320" s="23" t="s">
        <v>1692</v>
      </c>
      <c r="C320" s="22">
        <v>45899</v>
      </c>
      <c r="D320" s="23" t="s">
        <v>242</v>
      </c>
      <c r="E320" s="23" t="s">
        <v>109</v>
      </c>
      <c r="F320" s="21">
        <v>1</v>
      </c>
      <c r="G320" s="12">
        <f>VLOOKUP(E320,Precios!B$2:N$941,12,FALSE)</f>
        <v>10000</v>
      </c>
      <c r="H320" s="12">
        <f t="shared" si="0"/>
        <v>10000</v>
      </c>
      <c r="I320" s="23" t="s">
        <v>52</v>
      </c>
      <c r="J320" s="23" t="s">
        <v>61</v>
      </c>
      <c r="K320" s="24" t="s">
        <v>177</v>
      </c>
      <c r="L320" s="24">
        <v>178</v>
      </c>
      <c r="M320" s="12">
        <f t="shared" ref="M320:N320" si="325">G320/1.19</f>
        <v>8403.361344537816</v>
      </c>
      <c r="N320" s="12">
        <f t="shared" si="325"/>
        <v>8403.361344537816</v>
      </c>
      <c r="O320" s="12">
        <f t="shared" si="2"/>
        <v>1596.638655462184</v>
      </c>
      <c r="P320" s="13"/>
      <c r="Q320" s="14">
        <f t="shared" si="3"/>
        <v>2025</v>
      </c>
      <c r="R320" s="15">
        <f>VLOOKUP(MONTH(C320),'Datos Maestros'!M$2:N$14,2,FALSE)</f>
        <v>45505</v>
      </c>
      <c r="S320" s="11" t="str">
        <f>VLOOKUP(E320,Precios!B$2:W$941,3,FALSE)</f>
        <v>Toalla Jumbo D/H</v>
      </c>
      <c r="T320" s="16">
        <f>VLOOKUP(E320,Precios!B$2:N$941,4,FALSE)*F320</f>
        <v>400</v>
      </c>
      <c r="U320" s="17"/>
      <c r="V320" s="12">
        <f>VLOOKUP(E320,Precios!B$2:N$941,13,FALSE)*F320</f>
        <v>2100.8403361344544</v>
      </c>
      <c r="W320" s="12">
        <f t="shared" si="4"/>
        <v>2100.8403361344544</v>
      </c>
      <c r="X320" s="12">
        <f>VLOOKUP(B320,'Datos Maestros'!$C$2:$D$7,2,FALSE)*V320</f>
        <v>0</v>
      </c>
      <c r="Y320" s="18">
        <f t="shared" si="5"/>
        <v>45894</v>
      </c>
      <c r="Z320" s="13" t="s">
        <v>39</v>
      </c>
      <c r="AA320" s="19" t="str">
        <f>VLOOKUP(D320,Clientes!$A$2:$J$486,9,FALSE)</f>
        <v>Ocacional</v>
      </c>
      <c r="AB320" s="13" t="str">
        <f>VLOOKUP(D320,Clientes!$A$2:$K$486,11,FALSE)</f>
        <v>Persona Natural</v>
      </c>
      <c r="AC320" s="13" t="str">
        <f>VLOOKUP(D320,Clientes!$A$2:$B$486,2,FALSE)</f>
        <v>Macul</v>
      </c>
      <c r="AD320" s="20"/>
      <c r="AE320" s="20"/>
      <c r="AF320" s="13" t="s">
        <v>40</v>
      </c>
      <c r="AG320" s="15">
        <f t="shared" si="6"/>
        <v>45505</v>
      </c>
      <c r="AH320" s="13" t="s">
        <v>41</v>
      </c>
      <c r="AI320" s="13" t="str">
        <f t="shared" si="7"/>
        <v>Papeleria</v>
      </c>
      <c r="AJ320" s="13" t="str">
        <f>VLOOKUP(E320,Precios!Z$2:AA$941,2,FALSE)</f>
        <v>Toalla Papel SPUM D/H 100 metros</v>
      </c>
      <c r="AK320" s="14">
        <f>VLOOKUP(E320,Precios!Z$2:BB$941,3,FALSE)*F320</f>
        <v>-4</v>
      </c>
      <c r="AL320" s="17"/>
      <c r="AM320" s="17"/>
      <c r="AN320" s="17"/>
      <c r="AO320" s="17"/>
      <c r="AP320" s="17"/>
      <c r="AQ320" s="17"/>
      <c r="AR320" s="17"/>
      <c r="AS320" s="17"/>
      <c r="AT320" s="17"/>
      <c r="AU320" s="17"/>
      <c r="AV320" s="17"/>
    </row>
    <row r="321" spans="1:48" ht="15.75" customHeight="1">
      <c r="A321" s="21" t="s">
        <v>43</v>
      </c>
      <c r="B321" s="23" t="s">
        <v>1692</v>
      </c>
      <c r="C321" s="22">
        <v>45899</v>
      </c>
      <c r="D321" s="23" t="s">
        <v>244</v>
      </c>
      <c r="E321" s="23" t="s">
        <v>45</v>
      </c>
      <c r="F321" s="21">
        <v>1</v>
      </c>
      <c r="G321" s="12">
        <f>VLOOKUP(E321,Precios!B$2:N$941,12,FALSE)</f>
        <v>8000.1831784723063</v>
      </c>
      <c r="H321" s="12">
        <f t="shared" si="0"/>
        <v>8000.1831784723063</v>
      </c>
      <c r="I321" s="23" t="s">
        <v>52</v>
      </c>
      <c r="J321" s="23" t="s">
        <v>61</v>
      </c>
      <c r="K321" s="24" t="s">
        <v>177</v>
      </c>
      <c r="L321" s="24">
        <v>178</v>
      </c>
      <c r="M321" s="12">
        <f t="shared" ref="M321:N321" si="326">G321/1.19</f>
        <v>6722.8430071195853</v>
      </c>
      <c r="N321" s="12">
        <f t="shared" si="326"/>
        <v>6722.8430071195853</v>
      </c>
      <c r="O321" s="12">
        <f t="shared" si="2"/>
        <v>1277.340171352721</v>
      </c>
      <c r="P321" s="13"/>
      <c r="Q321" s="14">
        <f t="shared" si="3"/>
        <v>2025</v>
      </c>
      <c r="R321" s="15">
        <f>VLOOKUP(MONTH(C321),'Datos Maestros'!M$2:N$14,2,FALSE)</f>
        <v>45505</v>
      </c>
      <c r="S321" s="11" t="str">
        <f>VLOOKUP(E321,Precios!B$2:W$941,3,FALSE)</f>
        <v>Huevos EXTRA</v>
      </c>
      <c r="T321" s="16">
        <f>VLOOKUP(E321,Precios!B$2:N$941,4,FALSE)*F321</f>
        <v>0</v>
      </c>
      <c r="U321" s="17"/>
      <c r="V321" s="12">
        <f>VLOOKUP(E321,Precios!B$2:N$941,13,FALSE)*F321</f>
        <v>1151.6230071195851</v>
      </c>
      <c r="W321" s="12">
        <f t="shared" si="4"/>
        <v>1151.6230071195851</v>
      </c>
      <c r="X321" s="12">
        <f>VLOOKUP(B321,'Datos Maestros'!$C$2:$D$7,2,FALSE)*V321</f>
        <v>0</v>
      </c>
      <c r="Y321" s="18">
        <f t="shared" si="5"/>
        <v>45894</v>
      </c>
      <c r="Z321" s="13" t="s">
        <v>39</v>
      </c>
      <c r="AA321" s="19" t="str">
        <f>VLOOKUP(D321,Clientes!$A$2:$J$486,9,FALSE)</f>
        <v>Ocacional</v>
      </c>
      <c r="AB321" s="13" t="str">
        <f>VLOOKUP(D321,Clientes!$A$2:$K$486,11,FALSE)</f>
        <v>Persona Natural</v>
      </c>
      <c r="AC321" s="13" t="str">
        <f>VLOOKUP(D321,Clientes!$A$2:$B$486,2,FALSE)</f>
        <v>Palena</v>
      </c>
      <c r="AD321" s="20"/>
      <c r="AE321" s="20"/>
      <c r="AF321" s="13" t="s">
        <v>40</v>
      </c>
      <c r="AG321" s="15">
        <f t="shared" si="6"/>
        <v>45505</v>
      </c>
      <c r="AH321" s="13" t="s">
        <v>41</v>
      </c>
      <c r="AI321" s="13" t="str">
        <f t="shared" si="7"/>
        <v>Huevos</v>
      </c>
      <c r="AJ321" s="13" t="str">
        <f>VLOOKUP(E321,Precios!Z$2:AA$941,2,FALSE)</f>
        <v>Bandeja Huevos EXTRA</v>
      </c>
      <c r="AK321" s="14">
        <f>VLOOKUP(E321,Precios!Z$2:BB$941,3,FALSE)*F321</f>
        <v>-1</v>
      </c>
      <c r="AL321" s="17"/>
      <c r="AM321" s="17"/>
      <c r="AN321" s="17"/>
      <c r="AO321" s="17"/>
      <c r="AP321" s="17"/>
      <c r="AQ321" s="17"/>
      <c r="AR321" s="17"/>
      <c r="AS321" s="17"/>
      <c r="AT321" s="17"/>
      <c r="AU321" s="17"/>
      <c r="AV321" s="17"/>
    </row>
    <row r="322" spans="1:48" ht="15.75" customHeight="1">
      <c r="A322" s="21" t="s">
        <v>43</v>
      </c>
      <c r="B322" s="23" t="s">
        <v>1692</v>
      </c>
      <c r="C322" s="25">
        <v>45898</v>
      </c>
      <c r="D322" s="23" t="s">
        <v>141</v>
      </c>
      <c r="E322" s="23" t="s">
        <v>45</v>
      </c>
      <c r="F322" s="21">
        <v>2</v>
      </c>
      <c r="G322" s="12">
        <f>VLOOKUP(E322,Precios!B$2:N$941,12,FALSE)</f>
        <v>8000.1831784723063</v>
      </c>
      <c r="H322" s="12">
        <f t="shared" si="0"/>
        <v>16000.366356944613</v>
      </c>
      <c r="I322" s="13" t="s">
        <v>52</v>
      </c>
      <c r="J322" s="23" t="s">
        <v>38</v>
      </c>
      <c r="K322" s="24" t="s">
        <v>177</v>
      </c>
      <c r="L322" s="24">
        <v>178</v>
      </c>
      <c r="M322" s="12">
        <f t="shared" ref="M322:N322" si="327">G322/1.19</f>
        <v>6722.8430071195853</v>
      </c>
      <c r="N322" s="12">
        <f t="shared" si="327"/>
        <v>13445.686014239171</v>
      </c>
      <c r="O322" s="12">
        <f t="shared" si="2"/>
        <v>2554.6803427054419</v>
      </c>
      <c r="P322" s="13"/>
      <c r="Q322" s="14">
        <f t="shared" si="3"/>
        <v>2025</v>
      </c>
      <c r="R322" s="15">
        <f>VLOOKUP(MONTH(C322),'Datos Maestros'!M$2:N$14,2,FALSE)</f>
        <v>45505</v>
      </c>
      <c r="S322" s="11" t="str">
        <f>VLOOKUP(E322,Precios!B$2:W$941,3,FALSE)</f>
        <v>Huevos EXTRA</v>
      </c>
      <c r="T322" s="16">
        <f>VLOOKUP(E322,Precios!B$2:N$941,4,FALSE)*F322</f>
        <v>0</v>
      </c>
      <c r="U322" s="17"/>
      <c r="V322" s="12">
        <f>VLOOKUP(E322,Precios!B$2:N$941,13,FALSE)*F322</f>
        <v>2303.2460142391701</v>
      </c>
      <c r="W322" s="12">
        <f t="shared" si="4"/>
        <v>2303.2460142391701</v>
      </c>
      <c r="X322" s="12">
        <f>VLOOKUP(B322,'Datos Maestros'!$C$2:$D$7,2,FALSE)*V322</f>
        <v>0</v>
      </c>
      <c r="Y322" s="18">
        <f t="shared" si="5"/>
        <v>45894</v>
      </c>
      <c r="Z322" s="13" t="s">
        <v>39</v>
      </c>
      <c r="AA322" s="19" t="str">
        <f>VLOOKUP(D322,Clientes!$A$2:$J$486,9,FALSE)</f>
        <v>Familiar</v>
      </c>
      <c r="AB322" s="13" t="str">
        <f>VLOOKUP(D322,Clientes!$A$2:$K$486,11,FALSE)</f>
        <v>Persona Natural</v>
      </c>
      <c r="AC322" s="13" t="str">
        <f>VLOOKUP(D322,Clientes!$A$2:$B$486,2,FALSE)</f>
        <v>Familiar</v>
      </c>
      <c r="AD322" s="20"/>
      <c r="AE322" s="20"/>
      <c r="AF322" s="13" t="s">
        <v>40</v>
      </c>
      <c r="AG322" s="15">
        <f t="shared" si="6"/>
        <v>45505</v>
      </c>
      <c r="AH322" s="13" t="s">
        <v>41</v>
      </c>
      <c r="AI322" s="13" t="str">
        <f t="shared" si="7"/>
        <v>Huevos</v>
      </c>
      <c r="AJ322" s="13" t="str">
        <f>VLOOKUP(E322,Precios!Z$2:AA$941,2,FALSE)</f>
        <v>Bandeja Huevos EXTRA</v>
      </c>
      <c r="AK322" s="14">
        <f>VLOOKUP(E322,Precios!Z$2:BB$941,3,FALSE)*F322</f>
        <v>-2</v>
      </c>
      <c r="AL322" s="17"/>
      <c r="AM322" s="17"/>
      <c r="AN322" s="17"/>
      <c r="AO322" s="17"/>
      <c r="AP322" s="17"/>
      <c r="AQ322" s="17"/>
      <c r="AR322" s="17"/>
      <c r="AS322" s="17"/>
      <c r="AT322" s="17"/>
      <c r="AU322" s="17"/>
      <c r="AV322" s="17"/>
    </row>
    <row r="323" spans="1:48" ht="15.75" customHeight="1">
      <c r="A323" s="21" t="s">
        <v>76</v>
      </c>
      <c r="B323" s="23" t="s">
        <v>1692</v>
      </c>
      <c r="C323" s="22">
        <v>45898</v>
      </c>
      <c r="D323" s="23" t="s">
        <v>193</v>
      </c>
      <c r="E323" s="23" t="s">
        <v>137</v>
      </c>
      <c r="F323" s="21">
        <v>1</v>
      </c>
      <c r="G323" s="12">
        <f>VLOOKUP(E323,Precios!B$2:N$941,12,FALSE)</f>
        <v>3500.0000000000005</v>
      </c>
      <c r="H323" s="12">
        <f t="shared" si="0"/>
        <v>3500.0000000000005</v>
      </c>
      <c r="I323" s="23" t="s">
        <v>52</v>
      </c>
      <c r="J323" s="23" t="s">
        <v>61</v>
      </c>
      <c r="K323" s="24" t="s">
        <v>177</v>
      </c>
      <c r="L323" s="24">
        <v>178</v>
      </c>
      <c r="M323" s="12">
        <f t="shared" ref="M323:N323" si="328">G323/1.19</f>
        <v>2941.1764705882356</v>
      </c>
      <c r="N323" s="12">
        <f t="shared" si="328"/>
        <v>2941.1764705882356</v>
      </c>
      <c r="O323" s="12">
        <f t="shared" si="2"/>
        <v>558.82352941176487</v>
      </c>
      <c r="P323" s="13"/>
      <c r="Q323" s="14">
        <f t="shared" si="3"/>
        <v>2025</v>
      </c>
      <c r="R323" s="15">
        <f>VLOOKUP(MONTH(C323),'Datos Maestros'!M$2:N$14,2,FALSE)</f>
        <v>45505</v>
      </c>
      <c r="S323" s="11" t="str">
        <f>VLOOKUP(E323,Precios!B$2:W$941,3,FALSE)</f>
        <v>Detergente Piel Sensible</v>
      </c>
      <c r="T323" s="16">
        <f>VLOOKUP(E323,Precios!B$2:N$941,4,FALSE)*F323</f>
        <v>5</v>
      </c>
      <c r="U323" s="17"/>
      <c r="V323" s="12">
        <f>VLOOKUP(E323,Precios!B$2:N$941,13,FALSE)*F323</f>
        <v>848.73949579831969</v>
      </c>
      <c r="W323" s="12">
        <f t="shared" si="4"/>
        <v>848.73949579831969</v>
      </c>
      <c r="X323" s="12">
        <f>VLOOKUP(B323,'Datos Maestros'!$C$2:$D$7,2,FALSE)*V323</f>
        <v>0</v>
      </c>
      <c r="Y323" s="18">
        <f t="shared" si="5"/>
        <v>45894</v>
      </c>
      <c r="Z323" s="13" t="s">
        <v>39</v>
      </c>
      <c r="AA323" s="19" t="str">
        <f>VLOOKUP(D323,Clientes!$A$2:$J$486,9,FALSE)</f>
        <v>Ocacional</v>
      </c>
      <c r="AB323" s="13" t="str">
        <f>VLOOKUP(D323,Clientes!$A$2:$K$486,11,FALSE)</f>
        <v>Persona Natural</v>
      </c>
      <c r="AC323" s="13" t="str">
        <f>VLOOKUP(D323,Clientes!$A$2:$B$486,2,FALSE)</f>
        <v>Jardines de la viña</v>
      </c>
      <c r="AD323" s="20"/>
      <c r="AE323" s="20"/>
      <c r="AF323" s="13" t="s">
        <v>40</v>
      </c>
      <c r="AG323" s="15">
        <f t="shared" si="6"/>
        <v>45505</v>
      </c>
      <c r="AH323" s="13" t="s">
        <v>41</v>
      </c>
      <c r="AI323" s="13" t="str">
        <f t="shared" si="7"/>
        <v>Detergentes</v>
      </c>
      <c r="AJ323" s="13" t="str">
        <f>VLOOKUP(E323,Precios!Z$2:AA$941,2,FALSE)</f>
        <v>Detergente SPUM 5 Litros (Blanco)</v>
      </c>
      <c r="AK323" s="14">
        <f>VLOOKUP(E323,Precios!Z$2:BB$941,3,FALSE)*F323</f>
        <v>-1</v>
      </c>
      <c r="AL323" s="17"/>
      <c r="AM323" s="17"/>
      <c r="AN323" s="17"/>
      <c r="AO323" s="17"/>
      <c r="AP323" s="17"/>
      <c r="AQ323" s="17"/>
      <c r="AR323" s="17"/>
      <c r="AS323" s="17"/>
      <c r="AT323" s="17"/>
      <c r="AU323" s="17"/>
      <c r="AV323" s="17"/>
    </row>
    <row r="324" spans="1:48" ht="15.75" customHeight="1">
      <c r="A324" s="21" t="s">
        <v>76</v>
      </c>
      <c r="B324" s="23" t="s">
        <v>1692</v>
      </c>
      <c r="C324" s="22">
        <v>45898</v>
      </c>
      <c r="D324" s="23" t="s">
        <v>193</v>
      </c>
      <c r="E324" s="23" t="s">
        <v>82</v>
      </c>
      <c r="F324" s="21">
        <v>1</v>
      </c>
      <c r="G324" s="12">
        <f>VLOOKUP(E324,Precios!B$2:N$941,12,FALSE)</f>
        <v>2000.0000000000002</v>
      </c>
      <c r="H324" s="12">
        <f t="shared" si="0"/>
        <v>2000.0000000000002</v>
      </c>
      <c r="I324" s="23" t="s">
        <v>52</v>
      </c>
      <c r="J324" s="23" t="s">
        <v>61</v>
      </c>
      <c r="K324" s="24" t="s">
        <v>177</v>
      </c>
      <c r="L324" s="24">
        <v>178</v>
      </c>
      <c r="M324" s="12">
        <f t="shared" ref="M324:N324" si="329">G324/1.19</f>
        <v>1680.6722689075632</v>
      </c>
      <c r="N324" s="12">
        <f t="shared" si="329"/>
        <v>1680.6722689075632</v>
      </c>
      <c r="O324" s="12">
        <f t="shared" si="2"/>
        <v>319.32773109243703</v>
      </c>
      <c r="P324" s="13"/>
      <c r="Q324" s="14">
        <f t="shared" si="3"/>
        <v>2025</v>
      </c>
      <c r="R324" s="15">
        <f>VLOOKUP(MONTH(C324),'Datos Maestros'!M$2:N$14,2,FALSE)</f>
        <v>45505</v>
      </c>
      <c r="S324" s="11" t="str">
        <f>VLOOKUP(E324,Precios!B$2:W$941,3,FALSE)</f>
        <v>Limpiapiso</v>
      </c>
      <c r="T324" s="16">
        <f>VLOOKUP(E324,Precios!B$2:N$941,4,FALSE)*F324</f>
        <v>5</v>
      </c>
      <c r="U324" s="17"/>
      <c r="V324" s="12">
        <f>VLOOKUP(E324,Precios!B$2:N$941,13,FALSE)*F324</f>
        <v>680.67226890756319</v>
      </c>
      <c r="W324" s="12">
        <f t="shared" si="4"/>
        <v>680.67226890756319</v>
      </c>
      <c r="X324" s="12">
        <f>VLOOKUP(B324,'Datos Maestros'!$C$2:$D$7,2,FALSE)*V324</f>
        <v>0</v>
      </c>
      <c r="Y324" s="18">
        <f t="shared" si="5"/>
        <v>45894</v>
      </c>
      <c r="Z324" s="13" t="s">
        <v>39</v>
      </c>
      <c r="AA324" s="19" t="str">
        <f>VLOOKUP(D324,Clientes!$A$2:$J$486,9,FALSE)</f>
        <v>Ocacional</v>
      </c>
      <c r="AB324" s="13" t="str">
        <f>VLOOKUP(D324,Clientes!$A$2:$K$486,11,FALSE)</f>
        <v>Persona Natural</v>
      </c>
      <c r="AC324" s="13" t="str">
        <f>VLOOKUP(D324,Clientes!$A$2:$B$486,2,FALSE)</f>
        <v>Jardines de la viña</v>
      </c>
      <c r="AD324" s="20"/>
      <c r="AE324" s="20"/>
      <c r="AF324" s="13" t="s">
        <v>40</v>
      </c>
      <c r="AG324" s="15">
        <f t="shared" si="6"/>
        <v>45505</v>
      </c>
      <c r="AH324" s="13" t="s">
        <v>41</v>
      </c>
      <c r="AI324" s="13" t="str">
        <f t="shared" si="7"/>
        <v>Detergentes</v>
      </c>
      <c r="AJ324" s="13" t="str">
        <f>VLOOKUP(E324,Precios!Z$2:AA$941,2,FALSE)</f>
        <v>Limpiapiso SPUM 5 Litros</v>
      </c>
      <c r="AK324" s="14">
        <f>VLOOKUP(E324,Precios!Z$2:BB$941,3,FALSE)*F324</f>
        <v>-1</v>
      </c>
      <c r="AL324" s="17"/>
      <c r="AM324" s="17"/>
      <c r="AN324" s="17"/>
      <c r="AO324" s="17"/>
      <c r="AP324" s="17"/>
      <c r="AQ324" s="17"/>
      <c r="AR324" s="17"/>
      <c r="AS324" s="17"/>
      <c r="AT324" s="17"/>
      <c r="AU324" s="17"/>
      <c r="AV324" s="17"/>
    </row>
    <row r="325" spans="1:48" ht="15.75" customHeight="1">
      <c r="A325" s="21" t="s">
        <v>43</v>
      </c>
      <c r="B325" s="23" t="s">
        <v>1692</v>
      </c>
      <c r="C325" s="22">
        <v>45898</v>
      </c>
      <c r="D325" s="23" t="s">
        <v>193</v>
      </c>
      <c r="E325" s="23" t="s">
        <v>45</v>
      </c>
      <c r="F325" s="21">
        <v>1</v>
      </c>
      <c r="G325" s="12">
        <f>VLOOKUP(E325,Precios!B$2:N$941,12,FALSE)</f>
        <v>8000.1831784723063</v>
      </c>
      <c r="H325" s="12">
        <f t="shared" si="0"/>
        <v>8000.1831784723063</v>
      </c>
      <c r="I325" s="23" t="s">
        <v>52</v>
      </c>
      <c r="J325" s="23" t="s">
        <v>61</v>
      </c>
      <c r="K325" s="24" t="s">
        <v>177</v>
      </c>
      <c r="L325" s="24">
        <v>178</v>
      </c>
      <c r="M325" s="12">
        <f t="shared" ref="M325:N325" si="330">G325/1.19</f>
        <v>6722.8430071195853</v>
      </c>
      <c r="N325" s="12">
        <f t="shared" si="330"/>
        <v>6722.8430071195853</v>
      </c>
      <c r="O325" s="12">
        <f t="shared" si="2"/>
        <v>1277.340171352721</v>
      </c>
      <c r="P325" s="13"/>
      <c r="Q325" s="14">
        <f t="shared" si="3"/>
        <v>2025</v>
      </c>
      <c r="R325" s="15">
        <f>VLOOKUP(MONTH(C325),'Datos Maestros'!M$2:N$14,2,FALSE)</f>
        <v>45505</v>
      </c>
      <c r="S325" s="11" t="str">
        <f>VLOOKUP(E325,Precios!B$2:W$941,3,FALSE)</f>
        <v>Huevos EXTRA</v>
      </c>
      <c r="T325" s="16">
        <f>VLOOKUP(E325,Precios!B$2:N$941,4,FALSE)*F325</f>
        <v>0</v>
      </c>
      <c r="U325" s="17"/>
      <c r="V325" s="12">
        <f>VLOOKUP(E325,Precios!B$2:N$941,13,FALSE)*F325</f>
        <v>1151.6230071195851</v>
      </c>
      <c r="W325" s="12">
        <f t="shared" si="4"/>
        <v>1151.6230071195851</v>
      </c>
      <c r="X325" s="12">
        <f>VLOOKUP(B325,'Datos Maestros'!$C$2:$D$7,2,FALSE)*V325</f>
        <v>0</v>
      </c>
      <c r="Y325" s="18">
        <f t="shared" si="5"/>
        <v>45894</v>
      </c>
      <c r="Z325" s="13" t="s">
        <v>39</v>
      </c>
      <c r="AA325" s="19" t="str">
        <f>VLOOKUP(D325,Clientes!$A$2:$J$486,9,FALSE)</f>
        <v>Ocacional</v>
      </c>
      <c r="AB325" s="13" t="str">
        <f>VLOOKUP(D325,Clientes!$A$2:$K$486,11,FALSE)</f>
        <v>Persona Natural</v>
      </c>
      <c r="AC325" s="13" t="str">
        <f>VLOOKUP(D325,Clientes!$A$2:$B$486,2,FALSE)</f>
        <v>Jardines de la viña</v>
      </c>
      <c r="AD325" s="20"/>
      <c r="AE325" s="20"/>
      <c r="AF325" s="13" t="s">
        <v>40</v>
      </c>
      <c r="AG325" s="15">
        <f t="shared" si="6"/>
        <v>45505</v>
      </c>
      <c r="AH325" s="13" t="s">
        <v>41</v>
      </c>
      <c r="AI325" s="13" t="str">
        <f t="shared" si="7"/>
        <v>Huevos</v>
      </c>
      <c r="AJ325" s="13" t="str">
        <f>VLOOKUP(E325,Precios!Z$2:AA$941,2,FALSE)</f>
        <v>Bandeja Huevos EXTRA</v>
      </c>
      <c r="AK325" s="14">
        <f>VLOOKUP(E325,Precios!Z$2:BB$941,3,FALSE)*F325</f>
        <v>-1</v>
      </c>
      <c r="AL325" s="17"/>
      <c r="AM325" s="17"/>
      <c r="AN325" s="17"/>
      <c r="AO325" s="17"/>
      <c r="AP325" s="17"/>
      <c r="AQ325" s="17"/>
      <c r="AR325" s="17"/>
      <c r="AS325" s="17"/>
      <c r="AT325" s="17"/>
      <c r="AU325" s="17"/>
      <c r="AV325" s="17"/>
    </row>
    <row r="326" spans="1:48" ht="15.75" customHeight="1">
      <c r="A326" s="21" t="s">
        <v>53</v>
      </c>
      <c r="B326" s="23" t="s">
        <v>1692</v>
      </c>
      <c r="C326" s="22">
        <v>45898</v>
      </c>
      <c r="D326" s="23" t="s">
        <v>245</v>
      </c>
      <c r="E326" s="23" t="s">
        <v>97</v>
      </c>
      <c r="F326" s="21">
        <v>1</v>
      </c>
      <c r="G326" s="12">
        <f>VLOOKUP(E326,Precios!B$2:N$941,12,FALSE)</f>
        <v>16500.236769693482</v>
      </c>
      <c r="H326" s="12">
        <f t="shared" si="0"/>
        <v>16500.236769693482</v>
      </c>
      <c r="I326" s="23" t="s">
        <v>52</v>
      </c>
      <c r="J326" s="23" t="s">
        <v>61</v>
      </c>
      <c r="K326" s="24" t="s">
        <v>177</v>
      </c>
      <c r="L326" s="24">
        <v>178</v>
      </c>
      <c r="M326" s="12">
        <f t="shared" ref="M326:N326" si="331">G326/1.19</f>
        <v>13865.745184616371</v>
      </c>
      <c r="N326" s="12">
        <f t="shared" si="331"/>
        <v>13865.745184616371</v>
      </c>
      <c r="O326" s="12">
        <f t="shared" si="2"/>
        <v>2634.4915850771104</v>
      </c>
      <c r="P326" s="13"/>
      <c r="Q326" s="14">
        <f t="shared" si="3"/>
        <v>2025</v>
      </c>
      <c r="R326" s="15">
        <f>VLOOKUP(MONTH(C326),'Datos Maestros'!M$2:N$14,2,FALSE)</f>
        <v>45505</v>
      </c>
      <c r="S326" s="11" t="str">
        <f>VLOOKUP(E326,Precios!B$2:W$941,3,FALSE)</f>
        <v>Papel Higiénico ELITE</v>
      </c>
      <c r="T326" s="16">
        <f>VLOOKUP(E326,Precios!B$2:N$941,4,FALSE)*F326</f>
        <v>0</v>
      </c>
      <c r="U326" s="17"/>
      <c r="V326" s="12">
        <f>VLOOKUP(E326,Precios!B$2:N$941,13,FALSE)*F326</f>
        <v>3031.7451846163694</v>
      </c>
      <c r="W326" s="12">
        <f t="shared" si="4"/>
        <v>3031.7451846163694</v>
      </c>
      <c r="X326" s="12">
        <f>VLOOKUP(B326,'Datos Maestros'!$C$2:$D$7,2,FALSE)*V326</f>
        <v>0</v>
      </c>
      <c r="Y326" s="18">
        <f t="shared" si="5"/>
        <v>45894</v>
      </c>
      <c r="Z326" s="13" t="s">
        <v>39</v>
      </c>
      <c r="AA326" s="19" t="str">
        <f>VLOOKUP(D326,Clientes!$A$2:$J$486,9,FALSE)</f>
        <v>Ocacional</v>
      </c>
      <c r="AB326" s="13" t="str">
        <f>VLOOKUP(D326,Clientes!$A$2:$K$486,11,FALSE)</f>
        <v>Persona Natural</v>
      </c>
      <c r="AC326" s="13" t="str">
        <f>VLOOKUP(D326,Clientes!$A$2:$B$486,2,FALSE)</f>
        <v>Curso Amalia</v>
      </c>
      <c r="AD326" s="20"/>
      <c r="AE326" s="20"/>
      <c r="AF326" s="13" t="s">
        <v>40</v>
      </c>
      <c r="AG326" s="15">
        <f t="shared" si="6"/>
        <v>45505</v>
      </c>
      <c r="AH326" s="13" t="s">
        <v>41</v>
      </c>
      <c r="AI326" s="13" t="str">
        <f t="shared" si="7"/>
        <v>Papeleria</v>
      </c>
      <c r="AJ326" s="13" t="str">
        <f>VLOOKUP(E326,Precios!Z$2:AA$941,2,FALSE)</f>
        <v>Papel Higienico ELITE 50 metros</v>
      </c>
      <c r="AK326" s="14">
        <f>VLOOKUP(E326,Precios!Z$2:BB$941,3,FALSE)*F326</f>
        <v>-6</v>
      </c>
      <c r="AL326" s="17"/>
      <c r="AM326" s="17"/>
      <c r="AN326" s="17"/>
      <c r="AO326" s="17"/>
      <c r="AP326" s="17"/>
      <c r="AQ326" s="17"/>
      <c r="AR326" s="17"/>
      <c r="AS326" s="17"/>
      <c r="AT326" s="17"/>
      <c r="AU326" s="17"/>
      <c r="AV326" s="17"/>
    </row>
    <row r="327" spans="1:48" ht="15.75" customHeight="1">
      <c r="A327" s="21" t="s">
        <v>73</v>
      </c>
      <c r="B327" s="23" t="s">
        <v>1692</v>
      </c>
      <c r="C327" s="22">
        <v>45898</v>
      </c>
      <c r="D327" s="23" t="s">
        <v>245</v>
      </c>
      <c r="E327" s="23" t="s">
        <v>91</v>
      </c>
      <c r="F327" s="21">
        <v>1</v>
      </c>
      <c r="G327" s="12">
        <f>VLOOKUP(E327,Precios!B$2:N$941,12,FALSE)</f>
        <v>2499.9999999999995</v>
      </c>
      <c r="H327" s="12">
        <f t="shared" si="0"/>
        <v>2499.9999999999995</v>
      </c>
      <c r="I327" s="23" t="s">
        <v>52</v>
      </c>
      <c r="J327" s="23" t="s">
        <v>61</v>
      </c>
      <c r="K327" s="24" t="s">
        <v>177</v>
      </c>
      <c r="L327" s="24">
        <v>178</v>
      </c>
      <c r="M327" s="12">
        <f t="shared" ref="M327:N327" si="332">G327/1.19</f>
        <v>2100.8403361344535</v>
      </c>
      <c r="N327" s="12">
        <f t="shared" si="332"/>
        <v>2100.8403361344535</v>
      </c>
      <c r="O327" s="12">
        <f t="shared" si="2"/>
        <v>399.15966386554601</v>
      </c>
      <c r="P327" s="13"/>
      <c r="Q327" s="14">
        <f t="shared" si="3"/>
        <v>2025</v>
      </c>
      <c r="R327" s="15">
        <f>VLOOKUP(MONTH(C327),'Datos Maestros'!M$2:N$14,2,FALSE)</f>
        <v>45505</v>
      </c>
      <c r="S327" s="11" t="str">
        <f>VLOOKUP(E327,Precios!B$2:W$941,3,FALSE)</f>
        <v>Cofias</v>
      </c>
      <c r="T327" s="16">
        <f>VLOOKUP(E327,Precios!B$2:N$941,4,FALSE)*F327</f>
        <v>0</v>
      </c>
      <c r="U327" s="17"/>
      <c r="V327" s="12">
        <f>VLOOKUP(E327,Precios!B$2:N$941,13,FALSE)*F327</f>
        <v>999.99999999999977</v>
      </c>
      <c r="W327" s="12">
        <f t="shared" si="4"/>
        <v>999.99999999999977</v>
      </c>
      <c r="X327" s="12">
        <f>VLOOKUP(B327,'Datos Maestros'!$C$2:$D$7,2,FALSE)*V327</f>
        <v>0</v>
      </c>
      <c r="Y327" s="18">
        <f t="shared" si="5"/>
        <v>45894</v>
      </c>
      <c r="Z327" s="13" t="s">
        <v>39</v>
      </c>
      <c r="AA327" s="19" t="str">
        <f>VLOOKUP(D327,Clientes!$A$2:$J$486,9,FALSE)</f>
        <v>Ocacional</v>
      </c>
      <c r="AB327" s="13" t="str">
        <f>VLOOKUP(D327,Clientes!$A$2:$K$486,11,FALSE)</f>
        <v>Persona Natural</v>
      </c>
      <c r="AC327" s="13" t="str">
        <f>VLOOKUP(D327,Clientes!$A$2:$B$486,2,FALSE)</f>
        <v>Curso Amalia</v>
      </c>
      <c r="AD327" s="20"/>
      <c r="AE327" s="20"/>
      <c r="AF327" s="13" t="s">
        <v>40</v>
      </c>
      <c r="AG327" s="15">
        <f t="shared" si="6"/>
        <v>45505</v>
      </c>
      <c r="AH327" s="13" t="s">
        <v>41</v>
      </c>
      <c r="AI327" s="13" t="str">
        <f t="shared" si="7"/>
        <v>Articulos de Sanidad</v>
      </c>
      <c r="AJ327" s="13" t="str">
        <f>VLOOKUP(E327,Precios!Z$2:AA$941,2,FALSE)</f>
        <v>Cofias</v>
      </c>
      <c r="AK327" s="14">
        <f>VLOOKUP(E327,Precios!Z$2:BB$941,3,FALSE)*F327</f>
        <v>-1</v>
      </c>
      <c r="AL327" s="17"/>
      <c r="AM327" s="17"/>
      <c r="AN327" s="17"/>
      <c r="AO327" s="17"/>
      <c r="AP327" s="17"/>
      <c r="AQ327" s="17"/>
      <c r="AR327" s="17"/>
      <c r="AS327" s="17"/>
      <c r="AT327" s="17"/>
      <c r="AU327" s="17"/>
      <c r="AV327" s="17"/>
    </row>
    <row r="328" spans="1:48" ht="15.75" customHeight="1">
      <c r="A328" s="21" t="s">
        <v>76</v>
      </c>
      <c r="B328" s="23" t="s">
        <v>1692</v>
      </c>
      <c r="C328" s="22">
        <v>45898</v>
      </c>
      <c r="D328" s="23" t="s">
        <v>245</v>
      </c>
      <c r="E328" s="23" t="s">
        <v>137</v>
      </c>
      <c r="F328" s="21">
        <v>1</v>
      </c>
      <c r="G328" s="12">
        <f>VLOOKUP(E328,Precios!B$2:N$941,12,FALSE)</f>
        <v>3500.0000000000005</v>
      </c>
      <c r="H328" s="12">
        <f t="shared" si="0"/>
        <v>3500.0000000000005</v>
      </c>
      <c r="I328" s="23" t="s">
        <v>52</v>
      </c>
      <c r="J328" s="23" t="s">
        <v>61</v>
      </c>
      <c r="K328" s="24" t="s">
        <v>177</v>
      </c>
      <c r="L328" s="24">
        <v>178</v>
      </c>
      <c r="M328" s="12">
        <f t="shared" ref="M328:N328" si="333">G328/1.19</f>
        <v>2941.1764705882356</v>
      </c>
      <c r="N328" s="12">
        <f t="shared" si="333"/>
        <v>2941.1764705882356</v>
      </c>
      <c r="O328" s="12">
        <f t="shared" si="2"/>
        <v>558.82352941176487</v>
      </c>
      <c r="P328" s="13"/>
      <c r="Q328" s="14">
        <f t="shared" si="3"/>
        <v>2025</v>
      </c>
      <c r="R328" s="15">
        <f>VLOOKUP(MONTH(C328),'Datos Maestros'!M$2:N$14,2,FALSE)</f>
        <v>45505</v>
      </c>
      <c r="S328" s="11" t="str">
        <f>VLOOKUP(E328,Precios!B$2:W$941,3,FALSE)</f>
        <v>Detergente Piel Sensible</v>
      </c>
      <c r="T328" s="16">
        <f>VLOOKUP(E328,Precios!B$2:N$941,4,FALSE)*F328</f>
        <v>5</v>
      </c>
      <c r="U328" s="17"/>
      <c r="V328" s="12">
        <f>VLOOKUP(E328,Precios!B$2:N$941,13,FALSE)*F328</f>
        <v>848.73949579831969</v>
      </c>
      <c r="W328" s="12">
        <f t="shared" si="4"/>
        <v>848.73949579831969</v>
      </c>
      <c r="X328" s="12">
        <f>VLOOKUP(B328,'Datos Maestros'!$C$2:$D$7,2,FALSE)*V328</f>
        <v>0</v>
      </c>
      <c r="Y328" s="18">
        <f t="shared" si="5"/>
        <v>45894</v>
      </c>
      <c r="Z328" s="13" t="s">
        <v>39</v>
      </c>
      <c r="AA328" s="19" t="str">
        <f>VLOOKUP(D328,Clientes!$A$2:$J$486,9,FALSE)</f>
        <v>Ocacional</v>
      </c>
      <c r="AB328" s="13" t="str">
        <f>VLOOKUP(D328,Clientes!$A$2:$K$486,11,FALSE)</f>
        <v>Persona Natural</v>
      </c>
      <c r="AC328" s="13" t="str">
        <f>VLOOKUP(D328,Clientes!$A$2:$B$486,2,FALSE)</f>
        <v>Curso Amalia</v>
      </c>
      <c r="AD328" s="20"/>
      <c r="AE328" s="20"/>
      <c r="AF328" s="13" t="s">
        <v>40</v>
      </c>
      <c r="AG328" s="15">
        <f t="shared" si="6"/>
        <v>45505</v>
      </c>
      <c r="AH328" s="13" t="s">
        <v>41</v>
      </c>
      <c r="AI328" s="13" t="str">
        <f t="shared" si="7"/>
        <v>Detergentes</v>
      </c>
      <c r="AJ328" s="13" t="str">
        <f>VLOOKUP(E328,Precios!Z$2:AA$941,2,FALSE)</f>
        <v>Detergente SPUM 5 Litros (Blanco)</v>
      </c>
      <c r="AK328" s="14">
        <f>VLOOKUP(E328,Precios!Z$2:BB$941,3,FALSE)*F328</f>
        <v>-1</v>
      </c>
      <c r="AL328" s="17"/>
      <c r="AM328" s="17"/>
      <c r="AN328" s="17"/>
      <c r="AO328" s="17"/>
      <c r="AP328" s="17"/>
      <c r="AQ328" s="17"/>
      <c r="AR328" s="17"/>
      <c r="AS328" s="17"/>
      <c r="AT328" s="17"/>
      <c r="AU328" s="17"/>
      <c r="AV328" s="17"/>
    </row>
    <row r="329" spans="1:48" ht="15.75" customHeight="1">
      <c r="A329" s="21" t="s">
        <v>76</v>
      </c>
      <c r="B329" s="23" t="s">
        <v>1692</v>
      </c>
      <c r="C329" s="22">
        <v>45898</v>
      </c>
      <c r="D329" s="23" t="s">
        <v>245</v>
      </c>
      <c r="E329" s="23" t="s">
        <v>82</v>
      </c>
      <c r="F329" s="21">
        <v>1</v>
      </c>
      <c r="G329" s="12">
        <f>VLOOKUP(E329,Precios!B$2:N$941,12,FALSE)</f>
        <v>2000.0000000000002</v>
      </c>
      <c r="H329" s="12">
        <f t="shared" si="0"/>
        <v>2000.0000000000002</v>
      </c>
      <c r="I329" s="23" t="s">
        <v>52</v>
      </c>
      <c r="J329" s="23" t="s">
        <v>61</v>
      </c>
      <c r="K329" s="24" t="s">
        <v>177</v>
      </c>
      <c r="L329" s="24">
        <v>178</v>
      </c>
      <c r="M329" s="12">
        <f t="shared" ref="M329:N329" si="334">G329/1.19</f>
        <v>1680.6722689075632</v>
      </c>
      <c r="N329" s="12">
        <f t="shared" si="334"/>
        <v>1680.6722689075632</v>
      </c>
      <c r="O329" s="12">
        <f t="shared" si="2"/>
        <v>319.32773109243703</v>
      </c>
      <c r="P329" s="13"/>
      <c r="Q329" s="14">
        <f t="shared" si="3"/>
        <v>2025</v>
      </c>
      <c r="R329" s="15">
        <f>VLOOKUP(MONTH(C329),'Datos Maestros'!M$2:N$14,2,FALSE)</f>
        <v>45505</v>
      </c>
      <c r="S329" s="11" t="str">
        <f>VLOOKUP(E329,Precios!B$2:W$941,3,FALSE)</f>
        <v>Limpiapiso</v>
      </c>
      <c r="T329" s="16">
        <f>VLOOKUP(E329,Precios!B$2:N$941,4,FALSE)*F329</f>
        <v>5</v>
      </c>
      <c r="U329" s="17"/>
      <c r="V329" s="12">
        <f>VLOOKUP(E329,Precios!B$2:N$941,13,FALSE)*F329</f>
        <v>680.67226890756319</v>
      </c>
      <c r="W329" s="12">
        <f t="shared" si="4"/>
        <v>680.67226890756319</v>
      </c>
      <c r="X329" s="12">
        <f>VLOOKUP(B329,'Datos Maestros'!$C$2:$D$7,2,FALSE)*V329</f>
        <v>0</v>
      </c>
      <c r="Y329" s="18">
        <f t="shared" si="5"/>
        <v>45894</v>
      </c>
      <c r="Z329" s="13" t="s">
        <v>39</v>
      </c>
      <c r="AA329" s="19" t="str">
        <f>VLOOKUP(D329,Clientes!$A$2:$J$486,9,FALSE)</f>
        <v>Ocacional</v>
      </c>
      <c r="AB329" s="13" t="str">
        <f>VLOOKUP(D329,Clientes!$A$2:$K$486,11,FALSE)</f>
        <v>Persona Natural</v>
      </c>
      <c r="AC329" s="13" t="str">
        <f>VLOOKUP(D329,Clientes!$A$2:$B$486,2,FALSE)</f>
        <v>Curso Amalia</v>
      </c>
      <c r="AD329" s="20"/>
      <c r="AE329" s="20"/>
      <c r="AF329" s="13" t="s">
        <v>40</v>
      </c>
      <c r="AG329" s="15">
        <f t="shared" si="6"/>
        <v>45505</v>
      </c>
      <c r="AH329" s="13" t="s">
        <v>41</v>
      </c>
      <c r="AI329" s="13" t="str">
        <f t="shared" si="7"/>
        <v>Detergentes</v>
      </c>
      <c r="AJ329" s="13" t="str">
        <f>VLOOKUP(E329,Precios!Z$2:AA$941,2,FALSE)</f>
        <v>Limpiapiso SPUM 5 Litros</v>
      </c>
      <c r="AK329" s="14">
        <f>VLOOKUP(E329,Precios!Z$2:BB$941,3,FALSE)*F329</f>
        <v>-1</v>
      </c>
      <c r="AL329" s="17"/>
      <c r="AM329" s="17"/>
      <c r="AN329" s="17"/>
      <c r="AO329" s="17"/>
      <c r="AP329" s="17"/>
      <c r="AQ329" s="17"/>
      <c r="AR329" s="17"/>
      <c r="AS329" s="17"/>
      <c r="AT329" s="17"/>
      <c r="AU329" s="17"/>
      <c r="AV329" s="17"/>
    </row>
    <row r="330" spans="1:48" ht="15.75" customHeight="1">
      <c r="A330" s="21" t="s">
        <v>43</v>
      </c>
      <c r="B330" s="23" t="s">
        <v>1692</v>
      </c>
      <c r="C330" s="22">
        <v>45898</v>
      </c>
      <c r="D330" s="23" t="s">
        <v>131</v>
      </c>
      <c r="E330" s="23" t="s">
        <v>45</v>
      </c>
      <c r="F330" s="21">
        <v>1</v>
      </c>
      <c r="G330" s="12">
        <f>VLOOKUP(E330,Precios!B$2:N$941,12,FALSE)</f>
        <v>8000.1831784723063</v>
      </c>
      <c r="H330" s="12">
        <f t="shared" si="0"/>
        <v>8000.1831784723063</v>
      </c>
      <c r="I330" s="23" t="s">
        <v>52</v>
      </c>
      <c r="J330" s="23" t="s">
        <v>61</v>
      </c>
      <c r="K330" s="24" t="s">
        <v>177</v>
      </c>
      <c r="L330" s="24">
        <v>178</v>
      </c>
      <c r="M330" s="12">
        <f t="shared" ref="M330:N330" si="335">G330/1.19</f>
        <v>6722.8430071195853</v>
      </c>
      <c r="N330" s="12">
        <f t="shared" si="335"/>
        <v>6722.8430071195853</v>
      </c>
      <c r="O330" s="12">
        <f t="shared" si="2"/>
        <v>1277.340171352721</v>
      </c>
      <c r="P330" s="13"/>
      <c r="Q330" s="14">
        <f t="shared" si="3"/>
        <v>2025</v>
      </c>
      <c r="R330" s="15">
        <f>VLOOKUP(MONTH(C330),'Datos Maestros'!M$2:N$14,2,FALSE)</f>
        <v>45505</v>
      </c>
      <c r="S330" s="11" t="str">
        <f>VLOOKUP(E330,Precios!B$2:W$941,3,FALSE)</f>
        <v>Huevos EXTRA</v>
      </c>
      <c r="T330" s="16">
        <f>VLOOKUP(E330,Precios!B$2:N$941,4,FALSE)*F330</f>
        <v>0</v>
      </c>
      <c r="U330" s="17"/>
      <c r="V330" s="12">
        <f>VLOOKUP(E330,Precios!B$2:N$941,13,FALSE)*F330</f>
        <v>1151.6230071195851</v>
      </c>
      <c r="W330" s="12">
        <f t="shared" si="4"/>
        <v>1151.6230071195851</v>
      </c>
      <c r="X330" s="12">
        <f>VLOOKUP(B330,'Datos Maestros'!$C$2:$D$7,2,FALSE)*V330</f>
        <v>0</v>
      </c>
      <c r="Y330" s="18">
        <f t="shared" si="5"/>
        <v>45894</v>
      </c>
      <c r="Z330" s="13" t="s">
        <v>39</v>
      </c>
      <c r="AA330" s="19" t="str">
        <f>VLOOKUP(D330,Clientes!$A$2:$J$486,9,FALSE)</f>
        <v>Frecuente</v>
      </c>
      <c r="AB330" s="13" t="str">
        <f>VLOOKUP(D330,Clientes!$A$2:$K$486,11,FALSE)</f>
        <v>Persona Natural</v>
      </c>
      <c r="AC330" s="13" t="str">
        <f>VLOOKUP(D330,Clientes!$A$2:$B$486,2,FALSE)</f>
        <v>Jardines de la viña</v>
      </c>
      <c r="AD330" s="20"/>
      <c r="AE330" s="20"/>
      <c r="AF330" s="13" t="s">
        <v>40</v>
      </c>
      <c r="AG330" s="15">
        <f t="shared" si="6"/>
        <v>45505</v>
      </c>
      <c r="AH330" s="13" t="s">
        <v>41</v>
      </c>
      <c r="AI330" s="13" t="str">
        <f t="shared" si="7"/>
        <v>Huevos</v>
      </c>
      <c r="AJ330" s="13" t="str">
        <f>VLOOKUP(E330,Precios!Z$2:AA$941,2,FALSE)</f>
        <v>Bandeja Huevos EXTRA</v>
      </c>
      <c r="AK330" s="14">
        <f>VLOOKUP(E330,Precios!Z$2:BB$941,3,FALSE)*F330</f>
        <v>-1</v>
      </c>
      <c r="AL330" s="17"/>
      <c r="AM330" s="17"/>
      <c r="AN330" s="17"/>
      <c r="AO330" s="17"/>
      <c r="AP330" s="17"/>
      <c r="AQ330" s="17"/>
      <c r="AR330" s="17"/>
      <c r="AS330" s="17"/>
      <c r="AT330" s="17"/>
      <c r="AU330" s="17"/>
      <c r="AV330" s="17"/>
    </row>
    <row r="331" spans="1:48" ht="15.75" customHeight="1">
      <c r="A331" s="21" t="s">
        <v>64</v>
      </c>
      <c r="B331" s="23" t="s">
        <v>1692</v>
      </c>
      <c r="C331" s="22">
        <v>45898</v>
      </c>
      <c r="D331" s="23" t="s">
        <v>196</v>
      </c>
      <c r="E331" s="23" t="s">
        <v>65</v>
      </c>
      <c r="F331" s="21">
        <v>1</v>
      </c>
      <c r="G331" s="12">
        <f>VLOOKUP(E331,Precios!B$2:N$941,12,FALSE)</f>
        <v>8200.2358799633075</v>
      </c>
      <c r="H331" s="12">
        <f t="shared" si="0"/>
        <v>8200.2358799633075</v>
      </c>
      <c r="I331" s="23" t="s">
        <v>52</v>
      </c>
      <c r="J331" s="23" t="s">
        <v>61</v>
      </c>
      <c r="K331" s="24" t="s">
        <v>177</v>
      </c>
      <c r="L331" s="24">
        <v>178</v>
      </c>
      <c r="M331" s="12">
        <f t="shared" ref="M331:N331" si="336">G331/1.19</f>
        <v>6890.9545209775697</v>
      </c>
      <c r="N331" s="12">
        <f t="shared" si="336"/>
        <v>6890.9545209775697</v>
      </c>
      <c r="O331" s="12">
        <f t="shared" si="2"/>
        <v>1309.2813589857378</v>
      </c>
      <c r="P331" s="13"/>
      <c r="Q331" s="14">
        <f t="shared" si="3"/>
        <v>2025</v>
      </c>
      <c r="R331" s="15">
        <f>VLOOKUP(MONTH(C331),'Datos Maestros'!M$2:N$14,2,FALSE)</f>
        <v>45505</v>
      </c>
      <c r="S331" s="11" t="str">
        <f>VLOOKUP(E331,Precios!B$2:W$941,3,FALSE)</f>
        <v>Longanizas</v>
      </c>
      <c r="T331" s="16">
        <f>VLOOKUP(E331,Precios!B$2:N$941,4,FALSE)*F331</f>
        <v>1</v>
      </c>
      <c r="U331" s="17"/>
      <c r="V331" s="12">
        <f>VLOOKUP(E331,Precios!B$2:N$941,13,FALSE)*F331</f>
        <v>1632.4671260195864</v>
      </c>
      <c r="W331" s="12">
        <f t="shared" si="4"/>
        <v>1632.4671260195864</v>
      </c>
      <c r="X331" s="12">
        <f>VLOOKUP(B331,'Datos Maestros'!$C$2:$D$7,2,FALSE)*V331</f>
        <v>0</v>
      </c>
      <c r="Y331" s="18">
        <f t="shared" si="5"/>
        <v>45894</v>
      </c>
      <c r="Z331" s="13" t="s">
        <v>39</v>
      </c>
      <c r="AA331" s="19" t="str">
        <f>VLOOKUP(D331,Clientes!$A$2:$J$486,9,FALSE)</f>
        <v>Ocacional</v>
      </c>
      <c r="AB331" s="13" t="str">
        <f>VLOOKUP(D331,Clientes!$A$2:$K$486,11,FALSE)</f>
        <v>Persona Natural</v>
      </c>
      <c r="AC331" s="13" t="str">
        <f>VLOOKUP(D331,Clientes!$A$2:$B$486,2,FALSE)</f>
        <v>Barrio Ingles</v>
      </c>
      <c r="AD331" s="20"/>
      <c r="AE331" s="20"/>
      <c r="AF331" s="13" t="s">
        <v>40</v>
      </c>
      <c r="AG331" s="15">
        <f t="shared" si="6"/>
        <v>45505</v>
      </c>
      <c r="AH331" s="13" t="s">
        <v>41</v>
      </c>
      <c r="AI331" s="13" t="str">
        <f t="shared" si="7"/>
        <v>Longanizas</v>
      </c>
      <c r="AJ331" s="13" t="str">
        <f>VLOOKUP(E331,Precios!Z$2:AA$941,2,FALSE)</f>
        <v>Longanizas VILLABLANCA</v>
      </c>
      <c r="AK331" s="14">
        <f>VLOOKUP(E331,Precios!Z$2:BB$941,3,FALSE)*F331</f>
        <v>-1</v>
      </c>
      <c r="AL331" s="17"/>
      <c r="AM331" s="17"/>
      <c r="AN331" s="17"/>
      <c r="AO331" s="17"/>
      <c r="AP331" s="17"/>
      <c r="AQ331" s="17"/>
      <c r="AR331" s="17"/>
      <c r="AS331" s="17"/>
      <c r="AT331" s="17"/>
      <c r="AU331" s="17"/>
      <c r="AV331" s="17"/>
    </row>
    <row r="332" spans="1:48" ht="15.75" customHeight="1">
      <c r="A332" s="21" t="s">
        <v>53</v>
      </c>
      <c r="B332" s="23" t="s">
        <v>1692</v>
      </c>
      <c r="C332" s="22">
        <v>45898</v>
      </c>
      <c r="D332" s="23" t="s">
        <v>246</v>
      </c>
      <c r="E332" s="23" t="s">
        <v>55</v>
      </c>
      <c r="F332" s="21">
        <v>1</v>
      </c>
      <c r="G332" s="12">
        <f>VLOOKUP(E332,Precios!B$2:N$941,12,FALSE)</f>
        <v>20899.91124296327</v>
      </c>
      <c r="H332" s="12">
        <f t="shared" si="0"/>
        <v>20899.91124296327</v>
      </c>
      <c r="I332" s="23" t="s">
        <v>52</v>
      </c>
      <c r="J332" s="23" t="s">
        <v>61</v>
      </c>
      <c r="K332" s="24" t="s">
        <v>177</v>
      </c>
      <c r="L332" s="24">
        <v>178</v>
      </c>
      <c r="M332" s="12">
        <f t="shared" ref="M332:N332" si="337">G332/1.19</f>
        <v>17562.950624338882</v>
      </c>
      <c r="N332" s="12">
        <f t="shared" si="337"/>
        <v>17562.950624338882</v>
      </c>
      <c r="O332" s="12">
        <f t="shared" si="2"/>
        <v>3336.9606186243873</v>
      </c>
      <c r="P332" s="13"/>
      <c r="Q332" s="14">
        <f t="shared" si="3"/>
        <v>2025</v>
      </c>
      <c r="R332" s="15">
        <f>VLOOKUP(MONTH(C332),'Datos Maestros'!M$2:N$14,2,FALSE)</f>
        <v>45505</v>
      </c>
      <c r="S332" s="11" t="str">
        <f>VLOOKUP(E332,Precios!B$2:W$941,3,FALSE)</f>
        <v>Papel Higiénico ELITE</v>
      </c>
      <c r="T332" s="16">
        <f>VLOOKUP(E332,Precios!B$2:N$941,4,FALSE)*F332</f>
        <v>0</v>
      </c>
      <c r="U332" s="17"/>
      <c r="V332" s="12">
        <f>VLOOKUP(E332,Precios!B$2:N$941,13,FALSE)*F332</f>
        <v>3117.9506243388823</v>
      </c>
      <c r="W332" s="12">
        <f t="shared" si="4"/>
        <v>3117.9506243388823</v>
      </c>
      <c r="X332" s="12">
        <f>VLOOKUP(B332,'Datos Maestros'!$C$2:$D$7,2,FALSE)*V332</f>
        <v>0</v>
      </c>
      <c r="Y332" s="18">
        <f t="shared" si="5"/>
        <v>45894</v>
      </c>
      <c r="Z332" s="13" t="s">
        <v>39</v>
      </c>
      <c r="AA332" s="19" t="str">
        <f>VLOOKUP(D332,Clientes!$A$2:$J$486,9,FALSE)</f>
        <v>Ocacional</v>
      </c>
      <c r="AB332" s="13" t="str">
        <f>VLOOKUP(D332,Clientes!$A$2:$K$486,11,FALSE)</f>
        <v>Persona Natural</v>
      </c>
      <c r="AC332" s="13" t="str">
        <f>VLOOKUP(D332,Clientes!$A$2:$B$486,2,FALSE)</f>
        <v>Walker Martinez</v>
      </c>
      <c r="AD332" s="20"/>
      <c r="AE332" s="20"/>
      <c r="AF332" s="13" t="s">
        <v>40</v>
      </c>
      <c r="AG332" s="15">
        <f t="shared" si="6"/>
        <v>45505</v>
      </c>
      <c r="AH332" s="13" t="s">
        <v>41</v>
      </c>
      <c r="AI332" s="13" t="str">
        <f t="shared" si="7"/>
        <v>Papeleria</v>
      </c>
      <c r="AJ332" s="13" t="str">
        <f>VLOOKUP(E332,Precios!Z$2:AA$941,2,FALSE)</f>
        <v>Papel Higienico ELITE 50 metros</v>
      </c>
      <c r="AK332" s="14">
        <f>VLOOKUP(E332,Precios!Z$2:BB$941,3,FALSE)*F332</f>
        <v>-8</v>
      </c>
      <c r="AL332" s="17"/>
      <c r="AM332" s="17"/>
      <c r="AN332" s="17"/>
      <c r="AO332" s="17"/>
      <c r="AP332" s="17"/>
      <c r="AQ332" s="17"/>
      <c r="AR332" s="17"/>
      <c r="AS332" s="17"/>
      <c r="AT332" s="17"/>
      <c r="AU332" s="17"/>
      <c r="AV332" s="17"/>
    </row>
    <row r="333" spans="1:48" ht="15.75" customHeight="1">
      <c r="A333" s="21" t="s">
        <v>35</v>
      </c>
      <c r="B333" s="23" t="s">
        <v>1692</v>
      </c>
      <c r="C333" s="22">
        <v>45897</v>
      </c>
      <c r="D333" s="23" t="s">
        <v>247</v>
      </c>
      <c r="E333" s="23" t="s">
        <v>117</v>
      </c>
      <c r="F333" s="21">
        <v>2</v>
      </c>
      <c r="G333" s="12">
        <f>VLOOKUP(E333,Precios!B$2:N$941,12,FALSE)</f>
        <v>8999.8271341726922</v>
      </c>
      <c r="H333" s="12">
        <f t="shared" si="0"/>
        <v>17999.654268345384</v>
      </c>
      <c r="I333" s="23" t="s">
        <v>52</v>
      </c>
      <c r="J333" s="23" t="s">
        <v>61</v>
      </c>
      <c r="K333" s="24" t="s">
        <v>177</v>
      </c>
      <c r="L333" s="24">
        <v>178</v>
      </c>
      <c r="M333" s="12">
        <f t="shared" ref="M333:N333" si="338">G333/1.19</f>
        <v>7562.8799446829353</v>
      </c>
      <c r="N333" s="12">
        <f t="shared" si="338"/>
        <v>15125.759889365871</v>
      </c>
      <c r="O333" s="12">
        <f t="shared" si="2"/>
        <v>2873.8943789795139</v>
      </c>
      <c r="P333" s="13"/>
      <c r="Q333" s="14">
        <f t="shared" si="3"/>
        <v>2025</v>
      </c>
      <c r="R333" s="15">
        <f>VLOOKUP(MONTH(C333),'Datos Maestros'!M$2:N$14,2,FALSE)</f>
        <v>45505</v>
      </c>
      <c r="S333" s="11" t="str">
        <f>VLOOKUP(E333,Precios!B$2:W$941,3,FALSE)</f>
        <v>Queso Mantecoso</v>
      </c>
      <c r="T333" s="16">
        <f>VLOOKUP(E333,Precios!B$2:N$941,4,FALSE)*F333</f>
        <v>1500</v>
      </c>
      <c r="U333" s="17"/>
      <c r="V333" s="12">
        <f>VLOOKUP(E333,Precios!B$2:N$941,13,FALSE)*F333</f>
        <v>4625.7598893658705</v>
      </c>
      <c r="W333" s="12">
        <f t="shared" si="4"/>
        <v>4625.7598893658705</v>
      </c>
      <c r="X333" s="12">
        <f>VLOOKUP(B333,'Datos Maestros'!$C$2:$D$7,2,FALSE)*V333</f>
        <v>0</v>
      </c>
      <c r="Y333" s="18">
        <f t="shared" si="5"/>
        <v>45894</v>
      </c>
      <c r="Z333" s="13" t="s">
        <v>39</v>
      </c>
      <c r="AA333" s="19" t="str">
        <f>VLOOKUP(D333,Clientes!$A$2:$J$486,9,FALSE)</f>
        <v>Frecuente</v>
      </c>
      <c r="AB333" s="13" t="str">
        <f>VLOOKUP(D333,Clientes!$A$2:$K$486,11,FALSE)</f>
        <v>Persona Natural</v>
      </c>
      <c r="AC333" s="13" t="str">
        <f>VLOOKUP(D333,Clientes!$A$2:$B$486,2,FALSE)</f>
        <v>Jardin del eden</v>
      </c>
      <c r="AD333" s="20"/>
      <c r="AE333" s="20"/>
      <c r="AF333" s="13" t="s">
        <v>40</v>
      </c>
      <c r="AG333" s="15">
        <f t="shared" si="6"/>
        <v>45505</v>
      </c>
      <c r="AH333" s="13" t="s">
        <v>41</v>
      </c>
      <c r="AI333" s="13" t="str">
        <f t="shared" si="7"/>
        <v>Quesos</v>
      </c>
      <c r="AJ333" s="13" t="str">
        <f>VLOOKUP(E333,Precios!Z$2:AA$941,2,FALSE)</f>
        <v>Queso RUNCA Laminado Mantecoso</v>
      </c>
      <c r="AK333" s="14">
        <f>VLOOKUP(E333,Precios!Z$2:BB$941,3,FALSE)*F333</f>
        <v>-1.5</v>
      </c>
      <c r="AL333" s="17"/>
      <c r="AM333" s="17"/>
      <c r="AN333" s="17"/>
      <c r="AO333" s="17"/>
      <c r="AP333" s="17"/>
      <c r="AQ333" s="17"/>
      <c r="AR333" s="17"/>
      <c r="AS333" s="17"/>
      <c r="AT333" s="17"/>
      <c r="AU333" s="17"/>
      <c r="AV333" s="17"/>
    </row>
    <row r="334" spans="1:48" ht="15.75" customHeight="1">
      <c r="A334" s="21" t="s">
        <v>147</v>
      </c>
      <c r="B334" s="23" t="s">
        <v>1692</v>
      </c>
      <c r="C334" s="22">
        <v>45898</v>
      </c>
      <c r="D334" s="23" t="s">
        <v>247</v>
      </c>
      <c r="E334" s="23" t="s">
        <v>248</v>
      </c>
      <c r="F334" s="21">
        <v>1</v>
      </c>
      <c r="G334" s="12">
        <f>VLOOKUP(E334,Precios!B$2:N$941,12,FALSE)</f>
        <v>9000</v>
      </c>
      <c r="H334" s="12">
        <f t="shared" si="0"/>
        <v>9000</v>
      </c>
      <c r="I334" s="23" t="s">
        <v>52</v>
      </c>
      <c r="J334" s="23" t="s">
        <v>61</v>
      </c>
      <c r="K334" s="24" t="s">
        <v>177</v>
      </c>
      <c r="L334" s="24">
        <v>178</v>
      </c>
      <c r="M334" s="12">
        <f t="shared" ref="M334:N334" si="339">G334/1.19</f>
        <v>7563.0252100840344</v>
      </c>
      <c r="N334" s="12">
        <f t="shared" si="339"/>
        <v>7563.0252100840344</v>
      </c>
      <c r="O334" s="12">
        <f t="shared" si="2"/>
        <v>1436.9747899159656</v>
      </c>
      <c r="P334" s="13"/>
      <c r="Q334" s="14">
        <f t="shared" si="3"/>
        <v>2025</v>
      </c>
      <c r="R334" s="15">
        <f>VLOOKUP(MONTH(C334),'Datos Maestros'!M$2:N$14,2,FALSE)</f>
        <v>45505</v>
      </c>
      <c r="S334" s="11" t="str">
        <f>VLOOKUP(E334,Precios!B$2:W$941,3,FALSE)</f>
        <v>Film Plastico</v>
      </c>
      <c r="T334" s="16">
        <f>VLOOKUP(E334,Precios!B$2:N$941,4,FALSE)*F334</f>
        <v>0</v>
      </c>
      <c r="U334" s="17"/>
      <c r="V334" s="12">
        <f>VLOOKUP(E334,Precios!B$2:N$941,13,FALSE)*F334</f>
        <v>2773.1092436974795</v>
      </c>
      <c r="W334" s="12">
        <f t="shared" si="4"/>
        <v>2773.1092436974795</v>
      </c>
      <c r="X334" s="12">
        <f>VLOOKUP(B334,'Datos Maestros'!$C$2:$D$7,2,FALSE)*V334</f>
        <v>0</v>
      </c>
      <c r="Y334" s="18">
        <f t="shared" si="5"/>
        <v>45894</v>
      </c>
      <c r="Z334" s="13" t="s">
        <v>39</v>
      </c>
      <c r="AA334" s="19" t="str">
        <f>VLOOKUP(D334,Clientes!$A$2:$J$486,9,FALSE)</f>
        <v>Frecuente</v>
      </c>
      <c r="AB334" s="13" t="str">
        <f>VLOOKUP(D334,Clientes!$A$2:$K$486,11,FALSE)</f>
        <v>Persona Natural</v>
      </c>
      <c r="AC334" s="13" t="str">
        <f>VLOOKUP(D334,Clientes!$A$2:$B$486,2,FALSE)</f>
        <v>Jardin del eden</v>
      </c>
      <c r="AD334" s="20"/>
      <c r="AE334" s="20"/>
      <c r="AF334" s="13" t="s">
        <v>40</v>
      </c>
      <c r="AG334" s="15">
        <f t="shared" si="6"/>
        <v>45505</v>
      </c>
      <c r="AH334" s="13" t="s">
        <v>41</v>
      </c>
      <c r="AI334" s="13" t="str">
        <f t="shared" si="7"/>
        <v>Film Plastico-Aluminio</v>
      </c>
      <c r="AJ334" s="13" t="str">
        <f>VLOOKUP(E334,Precios!Z$2:AA$941,2,FALSE)</f>
        <v>Film Plástico 300 metros</v>
      </c>
      <c r="AK334" s="14">
        <f>VLOOKUP(E334,Precios!Z$2:BB$941,3,FALSE)*F334</f>
        <v>-1</v>
      </c>
      <c r="AL334" s="17"/>
      <c r="AM334" s="17"/>
      <c r="AN334" s="17"/>
      <c r="AO334" s="17"/>
      <c r="AP334" s="17"/>
      <c r="AQ334" s="17"/>
      <c r="AR334" s="17"/>
      <c r="AS334" s="17"/>
      <c r="AT334" s="17"/>
      <c r="AU334" s="17"/>
      <c r="AV334" s="17"/>
    </row>
    <row r="335" spans="1:48" ht="15.75" customHeight="1">
      <c r="A335" s="21" t="s">
        <v>147</v>
      </c>
      <c r="B335" s="23" t="s">
        <v>1692</v>
      </c>
      <c r="C335" s="22">
        <v>45898</v>
      </c>
      <c r="D335" s="23" t="s">
        <v>247</v>
      </c>
      <c r="E335" s="23" t="s">
        <v>249</v>
      </c>
      <c r="F335" s="21">
        <v>1</v>
      </c>
      <c r="G335" s="12">
        <f>VLOOKUP(E335,Precios!B$2:N$941,12,FALSE)</f>
        <v>8500.0000000000018</v>
      </c>
      <c r="H335" s="12">
        <f t="shared" si="0"/>
        <v>8500.0000000000018</v>
      </c>
      <c r="I335" s="23" t="s">
        <v>52</v>
      </c>
      <c r="J335" s="23" t="s">
        <v>61</v>
      </c>
      <c r="K335" s="24" t="s">
        <v>177</v>
      </c>
      <c r="L335" s="24">
        <v>178</v>
      </c>
      <c r="M335" s="12">
        <f t="shared" ref="M335:N335" si="340">G335/1.19</f>
        <v>7142.8571428571449</v>
      </c>
      <c r="N335" s="12">
        <f t="shared" si="340"/>
        <v>7142.8571428571449</v>
      </c>
      <c r="O335" s="12">
        <f t="shared" si="2"/>
        <v>1357.1428571428569</v>
      </c>
      <c r="P335" s="13"/>
      <c r="Q335" s="14">
        <f t="shared" si="3"/>
        <v>2025</v>
      </c>
      <c r="R335" s="15">
        <f>VLOOKUP(MONTH(C335),'Datos Maestros'!M$2:N$14,2,FALSE)</f>
        <v>45505</v>
      </c>
      <c r="S335" s="11" t="str">
        <f>VLOOKUP(E335,Precios!B$2:W$941,3,FALSE)</f>
        <v>Papel Aluminio</v>
      </c>
      <c r="T335" s="16">
        <f>VLOOKUP(E335,Precios!B$2:N$941,4,FALSE)*F335</f>
        <v>0</v>
      </c>
      <c r="U335" s="17"/>
      <c r="V335" s="12">
        <f>VLOOKUP(E335,Precios!B$2:N$941,13,FALSE)*F335</f>
        <v>2212.857142857144</v>
      </c>
      <c r="W335" s="12">
        <f t="shared" si="4"/>
        <v>2212.857142857144</v>
      </c>
      <c r="X335" s="12">
        <f>VLOOKUP(B335,'Datos Maestros'!$C$2:$D$7,2,FALSE)*V335</f>
        <v>0</v>
      </c>
      <c r="Y335" s="18">
        <f t="shared" si="5"/>
        <v>45894</v>
      </c>
      <c r="Z335" s="13" t="s">
        <v>39</v>
      </c>
      <c r="AA335" s="19" t="str">
        <f>VLOOKUP(D335,Clientes!$A$2:$J$486,9,FALSE)</f>
        <v>Frecuente</v>
      </c>
      <c r="AB335" s="13" t="str">
        <f>VLOOKUP(D335,Clientes!$A$2:$K$486,11,FALSE)</f>
        <v>Persona Natural</v>
      </c>
      <c r="AC335" s="13" t="str">
        <f>VLOOKUP(D335,Clientes!$A$2:$B$486,2,FALSE)</f>
        <v>Jardin del eden</v>
      </c>
      <c r="AD335" s="20"/>
      <c r="AE335" s="20"/>
      <c r="AF335" s="13" t="s">
        <v>40</v>
      </c>
      <c r="AG335" s="15">
        <f t="shared" si="6"/>
        <v>45505</v>
      </c>
      <c r="AH335" s="13" t="s">
        <v>41</v>
      </c>
      <c r="AI335" s="13" t="str">
        <f t="shared" si="7"/>
        <v>Film Plastico-Aluminio</v>
      </c>
      <c r="AJ335" s="13" t="str">
        <f>VLOOKUP(E335,Precios!Z$2:AA$941,2,FALSE)</f>
        <v>Papel Aluminio 100 metros</v>
      </c>
      <c r="AK335" s="14">
        <f>VLOOKUP(E335,Precios!Z$2:BB$941,3,FALSE)*F335</f>
        <v>-1</v>
      </c>
      <c r="AL335" s="17"/>
      <c r="AM335" s="17"/>
      <c r="AN335" s="17"/>
      <c r="AO335" s="17"/>
      <c r="AP335" s="17"/>
      <c r="AQ335" s="17"/>
      <c r="AR335" s="17"/>
      <c r="AS335" s="17"/>
      <c r="AT335" s="17"/>
      <c r="AU335" s="17"/>
      <c r="AV335" s="17"/>
    </row>
    <row r="336" spans="1:48" ht="15.75" customHeight="1">
      <c r="A336" s="21" t="s">
        <v>47</v>
      </c>
      <c r="B336" s="23" t="s">
        <v>1692</v>
      </c>
      <c r="C336" s="22">
        <v>45898</v>
      </c>
      <c r="D336" s="23" t="s">
        <v>247</v>
      </c>
      <c r="E336" s="23" t="s">
        <v>206</v>
      </c>
      <c r="F336" s="21">
        <v>2</v>
      </c>
      <c r="G336" s="12">
        <f>VLOOKUP(E336,Precios!B$2:N$941,12,FALSE)</f>
        <v>2499.9842105263156</v>
      </c>
      <c r="H336" s="12">
        <f t="shared" si="0"/>
        <v>4999.9684210526311</v>
      </c>
      <c r="I336" s="23" t="s">
        <v>52</v>
      </c>
      <c r="J336" s="23" t="s">
        <v>61</v>
      </c>
      <c r="K336" s="24" t="s">
        <v>177</v>
      </c>
      <c r="L336" s="24">
        <v>178</v>
      </c>
      <c r="M336" s="12">
        <f t="shared" ref="M336:N336" si="341">G336/1.19</f>
        <v>2100.8270676691727</v>
      </c>
      <c r="N336" s="12">
        <f t="shared" si="341"/>
        <v>4201.6541353383454</v>
      </c>
      <c r="O336" s="12">
        <f t="shared" si="2"/>
        <v>798.31428571428569</v>
      </c>
      <c r="P336" s="13"/>
      <c r="Q336" s="14">
        <f t="shared" si="3"/>
        <v>2025</v>
      </c>
      <c r="R336" s="15">
        <f>VLOOKUP(MONTH(C336),'Datos Maestros'!M$2:N$14,2,FALSE)</f>
        <v>45505</v>
      </c>
      <c r="S336" s="11" t="str">
        <f>VLOOKUP(E336,Precios!B$2:W$941,3,FALSE)</f>
        <v>Paños Cocina</v>
      </c>
      <c r="T336" s="16">
        <f>VLOOKUP(E336,Precios!B$2:N$941,4,FALSE)*F336</f>
        <v>0</v>
      </c>
      <c r="U336" s="17"/>
      <c r="V336" s="12">
        <f>VLOOKUP(E336,Precios!B$2:N$941,13,FALSE)*F336</f>
        <v>2860.4861353383458</v>
      </c>
      <c r="W336" s="12">
        <f t="shared" si="4"/>
        <v>2860.4861353383458</v>
      </c>
      <c r="X336" s="12">
        <f>VLOOKUP(B336,'Datos Maestros'!$C$2:$D$7,2,FALSE)*V336</f>
        <v>0</v>
      </c>
      <c r="Y336" s="18">
        <f t="shared" si="5"/>
        <v>45894</v>
      </c>
      <c r="Z336" s="13" t="s">
        <v>39</v>
      </c>
      <c r="AA336" s="19" t="str">
        <f>VLOOKUP(D336,Clientes!$A$2:$J$486,9,FALSE)</f>
        <v>Frecuente</v>
      </c>
      <c r="AB336" s="13" t="str">
        <f>VLOOKUP(D336,Clientes!$A$2:$K$486,11,FALSE)</f>
        <v>Persona Natural</v>
      </c>
      <c r="AC336" s="13" t="str">
        <f>VLOOKUP(D336,Clientes!$A$2:$B$486,2,FALSE)</f>
        <v>Jardin del eden</v>
      </c>
      <c r="AD336" s="20"/>
      <c r="AE336" s="20"/>
      <c r="AF336" s="13" t="s">
        <v>40</v>
      </c>
      <c r="AG336" s="15">
        <f t="shared" si="6"/>
        <v>45505</v>
      </c>
      <c r="AH336" s="13" t="s">
        <v>41</v>
      </c>
      <c r="AI336" s="13" t="str">
        <f t="shared" si="7"/>
        <v>Articulos de Aseo</v>
      </c>
      <c r="AJ336" s="13" t="str">
        <f>VLOOKUP(E336,Precios!Z$2:AA$941,2,FALSE)</f>
        <v>Paños Cocina Teddy</v>
      </c>
      <c r="AK336" s="14">
        <f>VLOOKUP(E336,Precios!Z$2:BB$941,3,FALSE)*F336</f>
        <v>-6</v>
      </c>
      <c r="AL336" s="17"/>
      <c r="AM336" s="17"/>
      <c r="AN336" s="17"/>
      <c r="AO336" s="17"/>
      <c r="AP336" s="17"/>
      <c r="AQ336" s="17"/>
      <c r="AR336" s="17"/>
      <c r="AS336" s="17"/>
      <c r="AT336" s="17"/>
      <c r="AU336" s="17"/>
      <c r="AV336" s="17"/>
    </row>
    <row r="337" spans="1:48" ht="15.75" customHeight="1">
      <c r="A337" s="21" t="s">
        <v>47</v>
      </c>
      <c r="B337" s="23" t="s">
        <v>1692</v>
      </c>
      <c r="C337" s="22">
        <v>45898</v>
      </c>
      <c r="D337" s="23" t="s">
        <v>247</v>
      </c>
      <c r="E337" s="23" t="s">
        <v>250</v>
      </c>
      <c r="F337" s="21">
        <v>2</v>
      </c>
      <c r="G337" s="12">
        <f>VLOOKUP(E337,Precios!B$2:N$941,12,FALSE)</f>
        <v>1599.7551360934403</v>
      </c>
      <c r="H337" s="12">
        <f t="shared" si="0"/>
        <v>3199.5102721868807</v>
      </c>
      <c r="I337" s="23" t="s">
        <v>52</v>
      </c>
      <c r="J337" s="23" t="s">
        <v>61</v>
      </c>
      <c r="K337" s="24" t="s">
        <v>177</v>
      </c>
      <c r="L337" s="24">
        <v>178</v>
      </c>
      <c r="M337" s="12">
        <f t="shared" ref="M337:N337" si="342">G337/1.19</f>
        <v>1344.3320471373449</v>
      </c>
      <c r="N337" s="12">
        <f t="shared" si="342"/>
        <v>2688.6640942746899</v>
      </c>
      <c r="O337" s="12">
        <f t="shared" si="2"/>
        <v>510.8461779121908</v>
      </c>
      <c r="P337" s="13"/>
      <c r="Q337" s="14">
        <f t="shared" si="3"/>
        <v>2025</v>
      </c>
      <c r="R337" s="15">
        <f>VLOOKUP(MONTH(C337),'Datos Maestros'!M$2:N$14,2,FALSE)</f>
        <v>45505</v>
      </c>
      <c r="S337" s="11" t="str">
        <f>VLOOKUP(E337,Precios!B$2:W$941,3,FALSE)</f>
        <v>Mopa</v>
      </c>
      <c r="T337" s="16">
        <f>VLOOKUP(E337,Precios!B$2:N$941,4,FALSE)*F337</f>
        <v>0</v>
      </c>
      <c r="U337" s="17"/>
      <c r="V337" s="12">
        <f>VLOOKUP(E337,Precios!B$2:N$941,13,FALSE)*F337</f>
        <v>1399.5840942746895</v>
      </c>
      <c r="W337" s="12">
        <f t="shared" si="4"/>
        <v>1399.5840942746895</v>
      </c>
      <c r="X337" s="12">
        <f>VLOOKUP(B337,'Datos Maestros'!$C$2:$D$7,2,FALSE)*V337</f>
        <v>0</v>
      </c>
      <c r="Y337" s="18">
        <f t="shared" si="5"/>
        <v>45894</v>
      </c>
      <c r="Z337" s="13" t="s">
        <v>39</v>
      </c>
      <c r="AA337" s="19" t="str">
        <f>VLOOKUP(D337,Clientes!$A$2:$J$486,9,FALSE)</f>
        <v>Frecuente</v>
      </c>
      <c r="AB337" s="13" t="str">
        <f>VLOOKUP(D337,Clientes!$A$2:$K$486,11,FALSE)</f>
        <v>Persona Natural</v>
      </c>
      <c r="AC337" s="13" t="str">
        <f>VLOOKUP(D337,Clientes!$A$2:$B$486,2,FALSE)</f>
        <v>Jardin del eden</v>
      </c>
      <c r="AD337" s="20"/>
      <c r="AE337" s="20"/>
      <c r="AF337" s="13" t="s">
        <v>40</v>
      </c>
      <c r="AG337" s="15">
        <f t="shared" si="6"/>
        <v>45505</v>
      </c>
      <c r="AH337" s="13" t="s">
        <v>41</v>
      </c>
      <c r="AI337" s="13" t="str">
        <f t="shared" si="7"/>
        <v>Articulos de Aseo</v>
      </c>
      <c r="AJ337" s="13" t="str">
        <f>VLOOKUP(E337,Precios!Z$2:AA$941,2,FALSE)</f>
        <v>Mopa Repuesto</v>
      </c>
      <c r="AK337" s="14">
        <f>VLOOKUP(E337,Precios!Z$2:BB$941,3,FALSE)*F337</f>
        <v>-2</v>
      </c>
      <c r="AL337" s="17"/>
      <c r="AM337" s="17"/>
      <c r="AN337" s="17"/>
      <c r="AO337" s="17"/>
      <c r="AP337" s="17"/>
      <c r="AQ337" s="17"/>
      <c r="AR337" s="17"/>
      <c r="AS337" s="17"/>
      <c r="AT337" s="17"/>
      <c r="AU337" s="17"/>
      <c r="AV337" s="17"/>
    </row>
    <row r="338" spans="1:48" ht="15.75" customHeight="1">
      <c r="A338" s="21" t="s">
        <v>47</v>
      </c>
      <c r="B338" s="23" t="s">
        <v>1692</v>
      </c>
      <c r="C338" s="22">
        <v>45898</v>
      </c>
      <c r="D338" s="23" t="s">
        <v>247</v>
      </c>
      <c r="E338" s="23" t="s">
        <v>49</v>
      </c>
      <c r="F338" s="21">
        <v>1</v>
      </c>
      <c r="G338" s="12">
        <f>VLOOKUP(E338,Precios!B$2:N$941,12,FALSE)</f>
        <v>4500.0000000000009</v>
      </c>
      <c r="H338" s="12">
        <f t="shared" si="0"/>
        <v>4500.0000000000009</v>
      </c>
      <c r="I338" s="23" t="s">
        <v>52</v>
      </c>
      <c r="J338" s="23" t="s">
        <v>61</v>
      </c>
      <c r="K338" s="24" t="s">
        <v>177</v>
      </c>
      <c r="L338" s="24">
        <v>178</v>
      </c>
      <c r="M338" s="12">
        <f t="shared" ref="M338:N338" si="343">G338/1.19</f>
        <v>3781.5126050420176</v>
      </c>
      <c r="N338" s="12">
        <f t="shared" si="343"/>
        <v>3781.5126050420176</v>
      </c>
      <c r="O338" s="12">
        <f t="shared" si="2"/>
        <v>718.48739495798327</v>
      </c>
      <c r="P338" s="13"/>
      <c r="Q338" s="14">
        <f t="shared" si="3"/>
        <v>2025</v>
      </c>
      <c r="R338" s="15">
        <f>VLOOKUP(MONTH(C338),'Datos Maestros'!M$2:N$14,2,FALSE)</f>
        <v>45505</v>
      </c>
      <c r="S338" s="11" t="str">
        <f>VLOOKUP(E338,Precios!B$2:W$941,3,FALSE)</f>
        <v>Jabon Liquido</v>
      </c>
      <c r="T338" s="16">
        <f>VLOOKUP(E338,Precios!B$2:N$941,4,FALSE)*F338</f>
        <v>0</v>
      </c>
      <c r="U338" s="17"/>
      <c r="V338" s="12">
        <f>VLOOKUP(E338,Precios!B$2:N$941,13,FALSE)*F338</f>
        <v>988.23529411764775</v>
      </c>
      <c r="W338" s="12">
        <f t="shared" si="4"/>
        <v>988.23529411764775</v>
      </c>
      <c r="X338" s="12">
        <f>VLOOKUP(B338,'Datos Maestros'!$C$2:$D$7,2,FALSE)*V338</f>
        <v>0</v>
      </c>
      <c r="Y338" s="18">
        <f t="shared" si="5"/>
        <v>45894</v>
      </c>
      <c r="Z338" s="13" t="s">
        <v>39</v>
      </c>
      <c r="AA338" s="19" t="str">
        <f>VLOOKUP(D338,Clientes!$A$2:$J$486,9,FALSE)</f>
        <v>Frecuente</v>
      </c>
      <c r="AB338" s="13" t="str">
        <f>VLOOKUP(D338,Clientes!$A$2:$K$486,11,FALSE)</f>
        <v>Persona Natural</v>
      </c>
      <c r="AC338" s="13" t="str">
        <f>VLOOKUP(D338,Clientes!$A$2:$B$486,2,FALSE)</f>
        <v>Jardin del eden</v>
      </c>
      <c r="AD338" s="20"/>
      <c r="AE338" s="20"/>
      <c r="AF338" s="13" t="s">
        <v>40</v>
      </c>
      <c r="AG338" s="15">
        <f t="shared" si="6"/>
        <v>45505</v>
      </c>
      <c r="AH338" s="13" t="s">
        <v>41</v>
      </c>
      <c r="AI338" s="13" t="str">
        <f t="shared" si="7"/>
        <v>Articulos de Aseo</v>
      </c>
      <c r="AJ338" s="13" t="str">
        <f>VLOOKUP(E338,Precios!Z$2:AA$941,2,FALSE)</f>
        <v>Jabón Lìquido BALLERINA</v>
      </c>
      <c r="AK338" s="14">
        <f>VLOOKUP(E338,Precios!Z$2:BB$941,3,FALSE)*F338</f>
        <v>-3</v>
      </c>
      <c r="AL338" s="17"/>
      <c r="AM338" s="17"/>
      <c r="AN338" s="17"/>
      <c r="AO338" s="17"/>
      <c r="AP338" s="17"/>
      <c r="AQ338" s="17"/>
      <c r="AR338" s="17"/>
      <c r="AS338" s="17"/>
      <c r="AT338" s="17"/>
      <c r="AU338" s="17"/>
      <c r="AV338" s="17"/>
    </row>
    <row r="339" spans="1:48" ht="15.75" customHeight="1">
      <c r="A339" s="21" t="s">
        <v>47</v>
      </c>
      <c r="B339" s="23" t="s">
        <v>1692</v>
      </c>
      <c r="C339" s="22">
        <v>45898</v>
      </c>
      <c r="D339" s="23" t="s">
        <v>247</v>
      </c>
      <c r="E339" s="23" t="s">
        <v>251</v>
      </c>
      <c r="F339" s="21">
        <v>1</v>
      </c>
      <c r="G339" s="12">
        <f>VLOOKUP(E339,Precios!B$2:N$941,12,FALSE)</f>
        <v>4199.9016948855005</v>
      </c>
      <c r="H339" s="12">
        <f t="shared" si="0"/>
        <v>4199.9016948855005</v>
      </c>
      <c r="I339" s="23" t="s">
        <v>52</v>
      </c>
      <c r="J339" s="23" t="s">
        <v>61</v>
      </c>
      <c r="K339" s="24" t="s">
        <v>177</v>
      </c>
      <c r="L339" s="24">
        <v>178</v>
      </c>
      <c r="M339" s="12">
        <f t="shared" ref="M339:N339" si="344">G339/1.19</f>
        <v>3529.3291553659669</v>
      </c>
      <c r="N339" s="12">
        <f t="shared" si="344"/>
        <v>3529.3291553659669</v>
      </c>
      <c r="O339" s="12">
        <f t="shared" si="2"/>
        <v>670.57253951953362</v>
      </c>
      <c r="P339" s="13"/>
      <c r="Q339" s="14">
        <f t="shared" si="3"/>
        <v>2025</v>
      </c>
      <c r="R339" s="15">
        <f>VLOOKUP(MONTH(C339),'Datos Maestros'!M$2:N$14,2,FALSE)</f>
        <v>45505</v>
      </c>
      <c r="S339" s="11" t="str">
        <f>VLOOKUP(E339,Precios!B$2:W$941,3,FALSE)</f>
        <v>Insecticida</v>
      </c>
      <c r="T339" s="16">
        <f>VLOOKUP(E339,Precios!B$2:N$941,4,FALSE)*F339</f>
        <v>0</v>
      </c>
      <c r="U339" s="17"/>
      <c r="V339" s="12">
        <f>VLOOKUP(E339,Precios!B$2:N$941,13,FALSE)*F339</f>
        <v>848.66248869930041</v>
      </c>
      <c r="W339" s="12">
        <f t="shared" si="4"/>
        <v>848.66248869930041</v>
      </c>
      <c r="X339" s="12">
        <f>VLOOKUP(B339,'Datos Maestros'!$C$2:$D$7,2,FALSE)*V339</f>
        <v>0</v>
      </c>
      <c r="Y339" s="18">
        <f t="shared" si="5"/>
        <v>45894</v>
      </c>
      <c r="Z339" s="13" t="s">
        <v>39</v>
      </c>
      <c r="AA339" s="19" t="str">
        <f>VLOOKUP(D339,Clientes!$A$2:$J$486,9,FALSE)</f>
        <v>Frecuente</v>
      </c>
      <c r="AB339" s="13" t="str">
        <f>VLOOKUP(D339,Clientes!$A$2:$K$486,11,FALSE)</f>
        <v>Persona Natural</v>
      </c>
      <c r="AC339" s="13" t="str">
        <f>VLOOKUP(D339,Clientes!$A$2:$B$486,2,FALSE)</f>
        <v>Jardin del eden</v>
      </c>
      <c r="AD339" s="20"/>
      <c r="AE339" s="20"/>
      <c r="AF339" s="13" t="s">
        <v>40</v>
      </c>
      <c r="AG339" s="15">
        <f t="shared" si="6"/>
        <v>45505</v>
      </c>
      <c r="AH339" s="13" t="s">
        <v>41</v>
      </c>
      <c r="AI339" s="13" t="str">
        <f t="shared" si="7"/>
        <v>Articulos de Aseo</v>
      </c>
      <c r="AJ339" s="13" t="str">
        <f>VLOOKUP(E339,Precios!Z$2:AA$941,2,FALSE)</f>
        <v>Insecticida RAID 360 cc Casa Jardin (Naranjo)</v>
      </c>
      <c r="AK339" s="14">
        <f>VLOOKUP(E339,Precios!Z$2:BB$941,3,FALSE)*F339</f>
        <v>-1</v>
      </c>
      <c r="AL339" s="17"/>
      <c r="AM339" s="17"/>
      <c r="AN339" s="17"/>
      <c r="AO339" s="17"/>
      <c r="AP339" s="17"/>
      <c r="AQ339" s="17"/>
      <c r="AR339" s="17"/>
      <c r="AS339" s="17"/>
      <c r="AT339" s="17"/>
      <c r="AU339" s="17"/>
      <c r="AV339" s="17"/>
    </row>
    <row r="340" spans="1:48" ht="15.75" customHeight="1">
      <c r="A340" s="21" t="s">
        <v>47</v>
      </c>
      <c r="B340" s="23" t="s">
        <v>1692</v>
      </c>
      <c r="C340" s="22">
        <v>45898</v>
      </c>
      <c r="D340" s="23" t="s">
        <v>247</v>
      </c>
      <c r="E340" s="23" t="s">
        <v>77</v>
      </c>
      <c r="F340" s="21">
        <v>2</v>
      </c>
      <c r="G340" s="12">
        <f>VLOOKUP(E340,Precios!B$2:N$941,12,FALSE)</f>
        <v>1700.1361470388019</v>
      </c>
      <c r="H340" s="12">
        <f t="shared" si="0"/>
        <v>3400.2722940776039</v>
      </c>
      <c r="I340" s="23" t="s">
        <v>52</v>
      </c>
      <c r="J340" s="23" t="s">
        <v>61</v>
      </c>
      <c r="K340" s="24" t="s">
        <v>177</v>
      </c>
      <c r="L340" s="24">
        <v>178</v>
      </c>
      <c r="M340" s="12">
        <f t="shared" ref="M340:N340" si="345">G340/1.19</f>
        <v>1428.6858378477327</v>
      </c>
      <c r="N340" s="12">
        <f t="shared" si="345"/>
        <v>2857.3716756954655</v>
      </c>
      <c r="O340" s="12">
        <f t="shared" si="2"/>
        <v>542.90061838213842</v>
      </c>
      <c r="P340" s="13"/>
      <c r="Q340" s="14">
        <f t="shared" si="3"/>
        <v>2025</v>
      </c>
      <c r="R340" s="15">
        <f>VLOOKUP(MONTH(C340),'Datos Maestros'!M$2:N$14,2,FALSE)</f>
        <v>45505</v>
      </c>
      <c r="S340" s="11" t="str">
        <f>VLOOKUP(E340,Precios!B$2:W$941,3,FALSE)</f>
        <v>Cloro Gel</v>
      </c>
      <c r="T340" s="16">
        <f>VLOOKUP(E340,Precios!B$2:N$941,4,FALSE)*F340</f>
        <v>0</v>
      </c>
      <c r="U340" s="17"/>
      <c r="V340" s="12">
        <f>VLOOKUP(E340,Precios!B$2:N$941,13,FALSE)*F340</f>
        <v>1178.38007905681</v>
      </c>
      <c r="W340" s="12">
        <f t="shared" si="4"/>
        <v>1178.38007905681</v>
      </c>
      <c r="X340" s="12">
        <f>VLOOKUP(B340,'Datos Maestros'!$C$2:$D$7,2,FALSE)*V340</f>
        <v>0</v>
      </c>
      <c r="Y340" s="18">
        <f t="shared" si="5"/>
        <v>45894</v>
      </c>
      <c r="Z340" s="13" t="s">
        <v>39</v>
      </c>
      <c r="AA340" s="19" t="str">
        <f>VLOOKUP(D340,Clientes!$A$2:$J$486,9,FALSE)</f>
        <v>Frecuente</v>
      </c>
      <c r="AB340" s="13" t="str">
        <f>VLOOKUP(D340,Clientes!$A$2:$K$486,11,FALSE)</f>
        <v>Persona Natural</v>
      </c>
      <c r="AC340" s="13" t="str">
        <f>VLOOKUP(D340,Clientes!$A$2:$B$486,2,FALSE)</f>
        <v>Jardin del eden</v>
      </c>
      <c r="AD340" s="20"/>
      <c r="AE340" s="20"/>
      <c r="AF340" s="13" t="s">
        <v>40</v>
      </c>
      <c r="AG340" s="15">
        <f t="shared" si="6"/>
        <v>45505</v>
      </c>
      <c r="AH340" s="13" t="s">
        <v>41</v>
      </c>
      <c r="AI340" s="13" t="str">
        <f t="shared" si="7"/>
        <v>Articulos de Aseo</v>
      </c>
      <c r="AJ340" s="13" t="str">
        <f>VLOOKUP(E340,Precios!Z$2:AA$941,2,FALSE)</f>
        <v>Cloro GEL IGENIX 900ml</v>
      </c>
      <c r="AK340" s="14">
        <f>VLOOKUP(E340,Precios!Z$2:BB$941,3,FALSE)*F340</f>
        <v>-2</v>
      </c>
      <c r="AL340" s="17"/>
      <c r="AM340" s="17"/>
      <c r="AN340" s="17"/>
      <c r="AO340" s="17"/>
      <c r="AP340" s="17"/>
      <c r="AQ340" s="17"/>
      <c r="AR340" s="17"/>
      <c r="AS340" s="17"/>
      <c r="AT340" s="17"/>
      <c r="AU340" s="17"/>
      <c r="AV340" s="17"/>
    </row>
    <row r="341" spans="1:48" ht="15.75" customHeight="1">
      <c r="A341" s="21" t="s">
        <v>76</v>
      </c>
      <c r="B341" s="23" t="s">
        <v>1692</v>
      </c>
      <c r="C341" s="22">
        <v>45898</v>
      </c>
      <c r="D341" s="23" t="s">
        <v>247</v>
      </c>
      <c r="E341" s="23" t="s">
        <v>252</v>
      </c>
      <c r="F341" s="21">
        <v>3</v>
      </c>
      <c r="G341" s="12">
        <f>VLOOKUP(E341,Precios!B$2:N$941,12,FALSE)</f>
        <v>1599.969512195122</v>
      </c>
      <c r="H341" s="12">
        <f t="shared" si="0"/>
        <v>4799.9085365853662</v>
      </c>
      <c r="I341" s="23" t="s">
        <v>52</v>
      </c>
      <c r="J341" s="23" t="s">
        <v>61</v>
      </c>
      <c r="K341" s="24" t="s">
        <v>177</v>
      </c>
      <c r="L341" s="24">
        <v>178</v>
      </c>
      <c r="M341" s="12">
        <f t="shared" ref="M341:N341" si="346">G341/1.19</f>
        <v>1344.5121951219512</v>
      </c>
      <c r="N341" s="12">
        <f t="shared" si="346"/>
        <v>4033.5365853658541</v>
      </c>
      <c r="O341" s="12">
        <f t="shared" si="2"/>
        <v>766.37195121951208</v>
      </c>
      <c r="P341" s="13"/>
      <c r="Q341" s="14">
        <f t="shared" si="3"/>
        <v>2025</v>
      </c>
      <c r="R341" s="15">
        <f>VLOOKUP(MONTH(C341),'Datos Maestros'!M$2:N$14,2,FALSE)</f>
        <v>45505</v>
      </c>
      <c r="S341" s="11" t="str">
        <f>VLOOKUP(E341,Precios!B$2:W$941,3,FALSE)</f>
        <v>Limpiapiso POETT 900ml</v>
      </c>
      <c r="T341" s="16">
        <f>VLOOKUP(E341,Precios!B$2:N$941,4,FALSE)*F341</f>
        <v>0</v>
      </c>
      <c r="U341" s="17"/>
      <c r="V341" s="12">
        <f>VLOOKUP(E341,Precios!B$2:N$941,13,FALSE)*F341</f>
        <v>1387.5365853658536</v>
      </c>
      <c r="W341" s="12">
        <f t="shared" si="4"/>
        <v>1387.5365853658536</v>
      </c>
      <c r="X341" s="12">
        <f>VLOOKUP(B341,'Datos Maestros'!$C$2:$D$7,2,FALSE)*V341</f>
        <v>0</v>
      </c>
      <c r="Y341" s="18">
        <f t="shared" si="5"/>
        <v>45894</v>
      </c>
      <c r="Z341" s="13" t="s">
        <v>39</v>
      </c>
      <c r="AA341" s="19" t="str">
        <f>VLOOKUP(D341,Clientes!$A$2:$J$486,9,FALSE)</f>
        <v>Frecuente</v>
      </c>
      <c r="AB341" s="13" t="str">
        <f>VLOOKUP(D341,Clientes!$A$2:$K$486,11,FALSE)</f>
        <v>Persona Natural</v>
      </c>
      <c r="AC341" s="13" t="str">
        <f>VLOOKUP(D341,Clientes!$A$2:$B$486,2,FALSE)</f>
        <v>Jardin del eden</v>
      </c>
      <c r="AD341" s="20"/>
      <c r="AE341" s="20"/>
      <c r="AF341" s="13" t="s">
        <v>40</v>
      </c>
      <c r="AG341" s="15">
        <f t="shared" si="6"/>
        <v>45505</v>
      </c>
      <c r="AH341" s="13" t="s">
        <v>41</v>
      </c>
      <c r="AI341" s="13" t="str">
        <f t="shared" si="7"/>
        <v>Detergentes</v>
      </c>
      <c r="AJ341" s="13" t="str">
        <f>VLOOKUP(E341,Precios!Z$2:AA$941,2,FALSE)</f>
        <v>Limpiapiso POETT 900 ml</v>
      </c>
      <c r="AK341" s="14">
        <f>VLOOKUP(E341,Precios!Z$2:BB$941,3,FALSE)*F341</f>
        <v>-3</v>
      </c>
      <c r="AL341" s="17"/>
      <c r="AM341" s="17"/>
      <c r="AN341" s="17"/>
      <c r="AO341" s="17"/>
      <c r="AP341" s="17"/>
      <c r="AQ341" s="17"/>
      <c r="AR341" s="17"/>
      <c r="AS341" s="17"/>
      <c r="AT341" s="17"/>
      <c r="AU341" s="17"/>
      <c r="AV341" s="17"/>
    </row>
    <row r="342" spans="1:48" ht="15.75" customHeight="1">
      <c r="A342" s="21" t="s">
        <v>53</v>
      </c>
      <c r="B342" s="23" t="s">
        <v>1692</v>
      </c>
      <c r="C342" s="22">
        <v>45898</v>
      </c>
      <c r="D342" s="23" t="s">
        <v>247</v>
      </c>
      <c r="E342" s="23" t="s">
        <v>55</v>
      </c>
      <c r="F342" s="21">
        <v>1</v>
      </c>
      <c r="G342" s="12">
        <f>VLOOKUP(E342,Precios!B$2:N$941,12,FALSE)</f>
        <v>20899.91124296327</v>
      </c>
      <c r="H342" s="12">
        <f t="shared" si="0"/>
        <v>20899.91124296327</v>
      </c>
      <c r="I342" s="23" t="s">
        <v>52</v>
      </c>
      <c r="J342" s="23" t="s">
        <v>61</v>
      </c>
      <c r="K342" s="24" t="s">
        <v>177</v>
      </c>
      <c r="L342" s="24">
        <v>178</v>
      </c>
      <c r="M342" s="12">
        <f t="shared" ref="M342:N342" si="347">G342/1.19</f>
        <v>17562.950624338882</v>
      </c>
      <c r="N342" s="12">
        <f t="shared" si="347"/>
        <v>17562.950624338882</v>
      </c>
      <c r="O342" s="12">
        <f t="shared" si="2"/>
        <v>3336.9606186243873</v>
      </c>
      <c r="P342" s="13"/>
      <c r="Q342" s="14">
        <f t="shared" si="3"/>
        <v>2025</v>
      </c>
      <c r="R342" s="15">
        <f>VLOOKUP(MONTH(C342),'Datos Maestros'!M$2:N$14,2,FALSE)</f>
        <v>45505</v>
      </c>
      <c r="S342" s="11" t="str">
        <f>VLOOKUP(E342,Precios!B$2:W$941,3,FALSE)</f>
        <v>Papel Higiénico ELITE</v>
      </c>
      <c r="T342" s="16">
        <f>VLOOKUP(E342,Precios!B$2:N$941,4,FALSE)*F342</f>
        <v>0</v>
      </c>
      <c r="U342" s="17"/>
      <c r="V342" s="12">
        <f>VLOOKUP(E342,Precios!B$2:N$941,13,FALSE)*F342</f>
        <v>3117.9506243388823</v>
      </c>
      <c r="W342" s="12">
        <f t="shared" si="4"/>
        <v>3117.9506243388823</v>
      </c>
      <c r="X342" s="12">
        <f>VLOOKUP(B342,'Datos Maestros'!$C$2:$D$7,2,FALSE)*V342</f>
        <v>0</v>
      </c>
      <c r="Y342" s="18">
        <f t="shared" si="5"/>
        <v>45894</v>
      </c>
      <c r="Z342" s="13" t="s">
        <v>39</v>
      </c>
      <c r="AA342" s="19" t="str">
        <f>VLOOKUP(D342,Clientes!$A$2:$J$486,9,FALSE)</f>
        <v>Frecuente</v>
      </c>
      <c r="AB342" s="13" t="str">
        <f>VLOOKUP(D342,Clientes!$A$2:$K$486,11,FALSE)</f>
        <v>Persona Natural</v>
      </c>
      <c r="AC342" s="13" t="str">
        <f>VLOOKUP(D342,Clientes!$A$2:$B$486,2,FALSE)</f>
        <v>Jardin del eden</v>
      </c>
      <c r="AD342" s="20"/>
      <c r="AE342" s="20"/>
      <c r="AF342" s="13" t="s">
        <v>40</v>
      </c>
      <c r="AG342" s="15">
        <f t="shared" si="6"/>
        <v>45505</v>
      </c>
      <c r="AH342" s="13" t="s">
        <v>41</v>
      </c>
      <c r="AI342" s="13" t="str">
        <f t="shared" si="7"/>
        <v>Papeleria</v>
      </c>
      <c r="AJ342" s="13" t="str">
        <f>VLOOKUP(E342,Precios!Z$2:AA$941,2,FALSE)</f>
        <v>Papel Higienico ELITE 50 metros</v>
      </c>
      <c r="AK342" s="14">
        <f>VLOOKUP(E342,Precios!Z$2:BB$941,3,FALSE)*F342</f>
        <v>-8</v>
      </c>
      <c r="AL342" s="17"/>
      <c r="AM342" s="17"/>
      <c r="AN342" s="17"/>
      <c r="AO342" s="17"/>
      <c r="AP342" s="17"/>
      <c r="AQ342" s="17"/>
      <c r="AR342" s="17"/>
      <c r="AS342" s="17"/>
      <c r="AT342" s="17"/>
      <c r="AU342" s="17"/>
      <c r="AV342" s="17"/>
    </row>
    <row r="343" spans="1:48" ht="15.75" customHeight="1">
      <c r="A343" s="21" t="s">
        <v>53</v>
      </c>
      <c r="B343" s="23" t="s">
        <v>1692</v>
      </c>
      <c r="C343" s="22">
        <v>45898</v>
      </c>
      <c r="D343" s="23" t="s">
        <v>247</v>
      </c>
      <c r="E343" s="23" t="s">
        <v>253</v>
      </c>
      <c r="F343" s="21">
        <v>1</v>
      </c>
      <c r="G343" s="12">
        <f>VLOOKUP(E343,Precios!B$2:N$941,12,FALSE)</f>
        <v>21500.472527761005</v>
      </c>
      <c r="H343" s="12">
        <f t="shared" si="0"/>
        <v>21500.472527761005</v>
      </c>
      <c r="I343" s="23" t="s">
        <v>52</v>
      </c>
      <c r="J343" s="23" t="s">
        <v>61</v>
      </c>
      <c r="K343" s="24" t="s">
        <v>177</v>
      </c>
      <c r="L343" s="24">
        <v>178</v>
      </c>
      <c r="M343" s="12">
        <f t="shared" ref="M343:N343" si="348">G343/1.19</f>
        <v>18067.623972908408</v>
      </c>
      <c r="N343" s="12">
        <f t="shared" si="348"/>
        <v>18067.623972908408</v>
      </c>
      <c r="O343" s="12">
        <f t="shared" si="2"/>
        <v>3432.8485548525969</v>
      </c>
      <c r="P343" s="13"/>
      <c r="Q343" s="14">
        <f t="shared" si="3"/>
        <v>2025</v>
      </c>
      <c r="R343" s="15">
        <f>VLOOKUP(MONTH(C343),'Datos Maestros'!M$2:N$14,2,FALSE)</f>
        <v>45505</v>
      </c>
      <c r="S343" s="11" t="str">
        <f>VLOOKUP(E343,Precios!B$2:W$941,3,FALSE)</f>
        <v>Toalla Papel OVELLA</v>
      </c>
      <c r="T343" s="16">
        <f>VLOOKUP(E343,Precios!B$2:N$941,4,FALSE)*F343</f>
        <v>100</v>
      </c>
      <c r="U343" s="17"/>
      <c r="V343" s="12">
        <f>VLOOKUP(E343,Precios!B$2:N$941,13,FALSE)*F343</f>
        <v>4302.6239729084082</v>
      </c>
      <c r="W343" s="12">
        <f t="shared" si="4"/>
        <v>4302.6239729084082</v>
      </c>
      <c r="X343" s="12">
        <f>VLOOKUP(B343,'Datos Maestros'!$C$2:$D$7,2,FALSE)*V343</f>
        <v>0</v>
      </c>
      <c r="Y343" s="18">
        <f t="shared" si="5"/>
        <v>45894</v>
      </c>
      <c r="Z343" s="13" t="s">
        <v>39</v>
      </c>
      <c r="AA343" s="19" t="str">
        <f>VLOOKUP(D343,Clientes!$A$2:$J$486,9,FALSE)</f>
        <v>Frecuente</v>
      </c>
      <c r="AB343" s="13" t="str">
        <f>VLOOKUP(D343,Clientes!$A$2:$K$486,11,FALSE)</f>
        <v>Persona Natural</v>
      </c>
      <c r="AC343" s="13" t="str">
        <f>VLOOKUP(D343,Clientes!$A$2:$B$486,2,FALSE)</f>
        <v>Jardin del eden</v>
      </c>
      <c r="AD343" s="20"/>
      <c r="AE343" s="20"/>
      <c r="AF343" s="13" t="s">
        <v>40</v>
      </c>
      <c r="AG343" s="15">
        <f t="shared" si="6"/>
        <v>45505</v>
      </c>
      <c r="AH343" s="13" t="s">
        <v>41</v>
      </c>
      <c r="AI343" s="13" t="str">
        <f t="shared" si="7"/>
        <v>Papeleria</v>
      </c>
      <c r="AJ343" s="13" t="str">
        <f>VLOOKUP(E343,Precios!Z$2:AA$941,2,FALSE)</f>
        <v>Toalla Papel OVELLA D/H 100 metros</v>
      </c>
      <c r="AK343" s="14">
        <f>VLOOKUP(E343,Precios!Z$2:BB$941,3,FALSE)*F343</f>
        <v>-6</v>
      </c>
      <c r="AL343" s="17"/>
      <c r="AM343" s="17"/>
      <c r="AN343" s="17"/>
      <c r="AO343" s="17"/>
      <c r="AP343" s="17"/>
      <c r="AQ343" s="17"/>
      <c r="AR343" s="17"/>
      <c r="AS343" s="17"/>
      <c r="AT343" s="17"/>
      <c r="AU343" s="17"/>
      <c r="AV343" s="17"/>
    </row>
    <row r="344" spans="1:48" ht="15.75" customHeight="1">
      <c r="A344" s="21" t="s">
        <v>53</v>
      </c>
      <c r="B344" s="23" t="s">
        <v>1692</v>
      </c>
      <c r="C344" s="22">
        <v>45898</v>
      </c>
      <c r="D344" s="23" t="s">
        <v>247</v>
      </c>
      <c r="E344" s="23" t="s">
        <v>254</v>
      </c>
      <c r="F344" s="21">
        <v>1</v>
      </c>
      <c r="G344" s="12">
        <f>VLOOKUP(E344,Precios!B$2:N$941,12,FALSE)</f>
        <v>18499.838306629426</v>
      </c>
      <c r="H344" s="12">
        <f t="shared" si="0"/>
        <v>18499.838306629426</v>
      </c>
      <c r="I344" s="23" t="s">
        <v>52</v>
      </c>
      <c r="J344" s="23" t="s">
        <v>61</v>
      </c>
      <c r="K344" s="24" t="s">
        <v>177</v>
      </c>
      <c r="L344" s="24">
        <v>178</v>
      </c>
      <c r="M344" s="12">
        <f t="shared" ref="M344:N344" si="349">G344/1.19</f>
        <v>15546.082610612964</v>
      </c>
      <c r="N344" s="12">
        <f t="shared" si="349"/>
        <v>15546.082610612964</v>
      </c>
      <c r="O344" s="12">
        <f t="shared" si="2"/>
        <v>2953.755696016462</v>
      </c>
      <c r="P344" s="13"/>
      <c r="Q344" s="14">
        <f t="shared" si="3"/>
        <v>2025</v>
      </c>
      <c r="R344" s="15">
        <f>VLOOKUP(MONTH(C344),'Datos Maestros'!M$2:N$14,2,FALSE)</f>
        <v>45505</v>
      </c>
      <c r="S344" s="11" t="str">
        <f>VLOOKUP(E344,Precios!B$2:W$941,3,FALSE)</f>
        <v>Toalla Papel SWAN</v>
      </c>
      <c r="T344" s="16">
        <f>VLOOKUP(E344,Precios!B$2:N$941,4,FALSE)*F344</f>
        <v>100</v>
      </c>
      <c r="U344" s="17"/>
      <c r="V344" s="12">
        <f>VLOOKUP(E344,Precios!B$2:N$941,13,FALSE)*F344</f>
        <v>4970.0826106129643</v>
      </c>
      <c r="W344" s="12">
        <f t="shared" si="4"/>
        <v>4970.0826106129643</v>
      </c>
      <c r="X344" s="12">
        <f>VLOOKUP(B344,'Datos Maestros'!$C$2:$D$7,2,FALSE)*V344</f>
        <v>0</v>
      </c>
      <c r="Y344" s="18">
        <f t="shared" si="5"/>
        <v>45894</v>
      </c>
      <c r="Z344" s="13" t="s">
        <v>39</v>
      </c>
      <c r="AA344" s="19" t="str">
        <f>VLOOKUP(D344,Clientes!$A$2:$J$486,9,FALSE)</f>
        <v>Frecuente</v>
      </c>
      <c r="AB344" s="13" t="str">
        <f>VLOOKUP(D344,Clientes!$A$2:$K$486,11,FALSE)</f>
        <v>Persona Natural</v>
      </c>
      <c r="AC344" s="13" t="str">
        <f>VLOOKUP(D344,Clientes!$A$2:$B$486,2,FALSE)</f>
        <v>Jardin del eden</v>
      </c>
      <c r="AD344" s="20"/>
      <c r="AE344" s="20"/>
      <c r="AF344" s="13" t="s">
        <v>40</v>
      </c>
      <c r="AG344" s="15">
        <f t="shared" si="6"/>
        <v>45505</v>
      </c>
      <c r="AH344" s="13" t="s">
        <v>41</v>
      </c>
      <c r="AI344" s="13" t="str">
        <f t="shared" si="7"/>
        <v>Papeleria</v>
      </c>
      <c r="AJ344" s="13" t="str">
        <f>VLOOKUP(E344,Precios!Z$2:AA$941,2,FALSE)</f>
        <v>Toalla Papel SWAN D/H NARANJA 100 metros</v>
      </c>
      <c r="AK344" s="14">
        <f>VLOOKUP(E344,Precios!Z$2:BB$941,3,FALSE)*F344</f>
        <v>-6</v>
      </c>
      <c r="AL344" s="17"/>
      <c r="AM344" s="17"/>
      <c r="AN344" s="17"/>
      <c r="AO344" s="17"/>
      <c r="AP344" s="17"/>
      <c r="AQ344" s="17"/>
      <c r="AR344" s="17"/>
      <c r="AS344" s="17"/>
      <c r="AT344" s="17"/>
      <c r="AU344" s="17"/>
      <c r="AV344" s="17"/>
    </row>
    <row r="345" spans="1:48" ht="15.75" customHeight="1">
      <c r="A345" s="21" t="s">
        <v>47</v>
      </c>
      <c r="B345" s="23" t="s">
        <v>1692</v>
      </c>
      <c r="C345" s="22">
        <v>45898</v>
      </c>
      <c r="D345" s="23" t="s">
        <v>247</v>
      </c>
      <c r="E345" s="23" t="s">
        <v>143</v>
      </c>
      <c r="F345" s="21">
        <v>2</v>
      </c>
      <c r="G345" s="12">
        <f>VLOOKUP(E345,Precios!B$2:N$941,12,FALSE)</f>
        <v>2999.9379074821477</v>
      </c>
      <c r="H345" s="12">
        <f t="shared" si="0"/>
        <v>5999.8758149642954</v>
      </c>
      <c r="I345" s="23" t="s">
        <v>52</v>
      </c>
      <c r="J345" s="23" t="s">
        <v>61</v>
      </c>
      <c r="K345" s="24" t="s">
        <v>177</v>
      </c>
      <c r="L345" s="24">
        <v>178</v>
      </c>
      <c r="M345" s="12">
        <f t="shared" ref="M345:N345" si="350">G345/1.19</f>
        <v>2520.9562247749141</v>
      </c>
      <c r="N345" s="12">
        <f t="shared" si="350"/>
        <v>5041.9124495498281</v>
      </c>
      <c r="O345" s="12">
        <f t="shared" si="2"/>
        <v>957.96336541446726</v>
      </c>
      <c r="P345" s="13"/>
      <c r="Q345" s="14">
        <f t="shared" si="3"/>
        <v>2025</v>
      </c>
      <c r="R345" s="15">
        <f>VLOOKUP(MONTH(C345),'Datos Maestros'!M$2:N$14,2,FALSE)</f>
        <v>45505</v>
      </c>
      <c r="S345" s="11" t="str">
        <f>VLOOKUP(E345,Precios!B$2:W$941,3,FALSE)</f>
        <v>Toalla desinfectantes</v>
      </c>
      <c r="T345" s="16">
        <f>VLOOKUP(E345,Precios!B$2:N$941,4,FALSE)*F345</f>
        <v>0</v>
      </c>
      <c r="U345" s="17"/>
      <c r="V345" s="12">
        <f>VLOOKUP(E345,Precios!B$2:N$941,13,FALSE)*F345</f>
        <v>3417.9124495498281</v>
      </c>
      <c r="W345" s="12">
        <f t="shared" si="4"/>
        <v>3417.9124495498281</v>
      </c>
      <c r="X345" s="12">
        <f>VLOOKUP(B345,'Datos Maestros'!$C$2:$D$7,2,FALSE)*V345</f>
        <v>0</v>
      </c>
      <c r="Y345" s="18">
        <f t="shared" si="5"/>
        <v>45894</v>
      </c>
      <c r="Z345" s="13" t="s">
        <v>39</v>
      </c>
      <c r="AA345" s="19" t="str">
        <f>VLOOKUP(D345,Clientes!$A$2:$J$486,9,FALSE)</f>
        <v>Frecuente</v>
      </c>
      <c r="AB345" s="13" t="str">
        <f>VLOOKUP(D345,Clientes!$A$2:$K$486,11,FALSE)</f>
        <v>Persona Natural</v>
      </c>
      <c r="AC345" s="13" t="str">
        <f>VLOOKUP(D345,Clientes!$A$2:$B$486,2,FALSE)</f>
        <v>Jardin del eden</v>
      </c>
      <c r="AD345" s="20"/>
      <c r="AE345" s="20"/>
      <c r="AF345" s="13" t="s">
        <v>40</v>
      </c>
      <c r="AG345" s="15">
        <f t="shared" si="6"/>
        <v>45505</v>
      </c>
      <c r="AH345" s="13" t="s">
        <v>41</v>
      </c>
      <c r="AI345" s="13" t="str">
        <f t="shared" si="7"/>
        <v>Articulos de Aseo</v>
      </c>
      <c r="AJ345" s="13" t="str">
        <f>VLOOKUP(E345,Precios!Z$2:AA$941,2,FALSE)</f>
        <v>Toalla desinfectante TEDDY 80 unidades</v>
      </c>
      <c r="AK345" s="14">
        <f>VLOOKUP(E345,Precios!Z$2:BB$941,3,FALSE)*F345</f>
        <v>-2</v>
      </c>
      <c r="AL345" s="17"/>
      <c r="AM345" s="17"/>
      <c r="AN345" s="17"/>
      <c r="AO345" s="17"/>
      <c r="AP345" s="17"/>
      <c r="AQ345" s="17"/>
      <c r="AR345" s="17"/>
      <c r="AS345" s="17"/>
      <c r="AT345" s="17"/>
      <c r="AU345" s="17"/>
      <c r="AV345" s="17"/>
    </row>
    <row r="346" spans="1:48" ht="15.75" customHeight="1">
      <c r="A346" s="21" t="s">
        <v>47</v>
      </c>
      <c r="B346" s="23" t="s">
        <v>1692</v>
      </c>
      <c r="C346" s="22">
        <v>45898</v>
      </c>
      <c r="D346" s="23" t="s">
        <v>247</v>
      </c>
      <c r="E346" s="23" t="s">
        <v>255</v>
      </c>
      <c r="F346" s="21">
        <v>1</v>
      </c>
      <c r="G346" s="12">
        <f>VLOOKUP(E346,Precios!B$2:N$941,12,FALSE)</f>
        <v>1800</v>
      </c>
      <c r="H346" s="12">
        <f t="shared" si="0"/>
        <v>1800</v>
      </c>
      <c r="I346" s="23" t="s">
        <v>52</v>
      </c>
      <c r="J346" s="23" t="s">
        <v>61</v>
      </c>
      <c r="K346" s="24" t="s">
        <v>177</v>
      </c>
      <c r="L346" s="24">
        <v>178</v>
      </c>
      <c r="M346" s="12">
        <f t="shared" ref="M346:N346" si="351">G346/1.19</f>
        <v>1512.6050420168067</v>
      </c>
      <c r="N346" s="12">
        <f t="shared" si="351"/>
        <v>1512.6050420168067</v>
      </c>
      <c r="O346" s="12">
        <f t="shared" si="2"/>
        <v>287.39495798319331</v>
      </c>
      <c r="P346" s="13"/>
      <c r="Q346" s="14">
        <f t="shared" si="3"/>
        <v>2025</v>
      </c>
      <c r="R346" s="15">
        <f>VLOOKUP(MONTH(C346),'Datos Maestros'!M$2:N$14,2,FALSE)</f>
        <v>45505</v>
      </c>
      <c r="S346" s="11" t="str">
        <f>VLOOKUP(E346,Precios!B$2:W$941,3,FALSE)</f>
        <v>Toalla desinfectantes</v>
      </c>
      <c r="T346" s="16">
        <f>VLOOKUP(E346,Precios!B$2:N$941,4,FALSE)*F346</f>
        <v>0</v>
      </c>
      <c r="U346" s="17"/>
      <c r="V346" s="12">
        <f>VLOOKUP(E346,Precios!B$2:N$941,13,FALSE)*F346</f>
        <v>531.09243697478985</v>
      </c>
      <c r="W346" s="12">
        <f t="shared" si="4"/>
        <v>531.09243697478985</v>
      </c>
      <c r="X346" s="12">
        <f>VLOOKUP(B346,'Datos Maestros'!$C$2:$D$7,2,FALSE)*V346</f>
        <v>0</v>
      </c>
      <c r="Y346" s="18">
        <f t="shared" si="5"/>
        <v>45894</v>
      </c>
      <c r="Z346" s="13" t="s">
        <v>39</v>
      </c>
      <c r="AA346" s="19" t="str">
        <f>VLOOKUP(D346,Clientes!$A$2:$J$486,9,FALSE)</f>
        <v>Frecuente</v>
      </c>
      <c r="AB346" s="13" t="str">
        <f>VLOOKUP(D346,Clientes!$A$2:$K$486,11,FALSE)</f>
        <v>Persona Natural</v>
      </c>
      <c r="AC346" s="13" t="str">
        <f>VLOOKUP(D346,Clientes!$A$2:$B$486,2,FALSE)</f>
        <v>Jardin del eden</v>
      </c>
      <c r="AD346" s="20"/>
      <c r="AE346" s="20"/>
      <c r="AF346" s="13" t="s">
        <v>40</v>
      </c>
      <c r="AG346" s="15">
        <f t="shared" si="6"/>
        <v>45505</v>
      </c>
      <c r="AH346" s="13" t="s">
        <v>41</v>
      </c>
      <c r="AI346" s="13" t="str">
        <f t="shared" si="7"/>
        <v>Articulos de Aseo</v>
      </c>
      <c r="AJ346" s="13" t="str">
        <f>VLOOKUP(E346,Precios!Z$2:AA$941,2,FALSE)</f>
        <v>Toalla desinfectante VIRUTEX 30 unidades</v>
      </c>
      <c r="AK346" s="14">
        <f>VLOOKUP(E346,Precios!Z$2:BB$941,3,FALSE)*F346</f>
        <v>-1</v>
      </c>
      <c r="AL346" s="17"/>
      <c r="AM346" s="17"/>
      <c r="AN346" s="17"/>
      <c r="AO346" s="17"/>
      <c r="AP346" s="17"/>
      <c r="AQ346" s="17"/>
      <c r="AR346" s="17"/>
      <c r="AS346" s="17"/>
      <c r="AT346" s="17"/>
      <c r="AU346" s="17"/>
      <c r="AV346" s="17"/>
    </row>
    <row r="347" spans="1:48" ht="15.75" customHeight="1">
      <c r="A347" s="21" t="s">
        <v>64</v>
      </c>
      <c r="B347" s="23" t="s">
        <v>1692</v>
      </c>
      <c r="C347" s="22">
        <v>45898</v>
      </c>
      <c r="D347" s="23" t="s">
        <v>256</v>
      </c>
      <c r="E347" s="23" t="s">
        <v>65</v>
      </c>
      <c r="F347" s="21">
        <v>1</v>
      </c>
      <c r="G347" s="12">
        <f>VLOOKUP(E347,Precios!B$2:N$941,12,FALSE)</f>
        <v>8200.2358799633075</v>
      </c>
      <c r="H347" s="12">
        <f t="shared" si="0"/>
        <v>8200.2358799633075</v>
      </c>
      <c r="I347" s="23" t="s">
        <v>52</v>
      </c>
      <c r="J347" s="23" t="s">
        <v>61</v>
      </c>
      <c r="K347" s="24" t="s">
        <v>177</v>
      </c>
      <c r="L347" s="24">
        <v>178</v>
      </c>
      <c r="M347" s="12">
        <f t="shared" ref="M347:N347" si="352">G347/1.19</f>
        <v>6890.9545209775697</v>
      </c>
      <c r="N347" s="12">
        <f t="shared" si="352"/>
        <v>6890.9545209775697</v>
      </c>
      <c r="O347" s="12">
        <f t="shared" si="2"/>
        <v>1309.2813589857378</v>
      </c>
      <c r="P347" s="13"/>
      <c r="Q347" s="14">
        <f t="shared" si="3"/>
        <v>2025</v>
      </c>
      <c r="R347" s="15">
        <f>VLOOKUP(MONTH(C347),'Datos Maestros'!M$2:N$14,2,FALSE)</f>
        <v>45505</v>
      </c>
      <c r="S347" s="11" t="str">
        <f>VLOOKUP(E347,Precios!B$2:W$941,3,FALSE)</f>
        <v>Longanizas</v>
      </c>
      <c r="T347" s="16">
        <f>VLOOKUP(E347,Precios!B$2:N$941,4,FALSE)*F347</f>
        <v>1</v>
      </c>
      <c r="U347" s="17"/>
      <c r="V347" s="12">
        <f>VLOOKUP(E347,Precios!B$2:N$941,13,FALSE)*F347</f>
        <v>1632.4671260195864</v>
      </c>
      <c r="W347" s="12">
        <f t="shared" si="4"/>
        <v>1632.4671260195864</v>
      </c>
      <c r="X347" s="12">
        <f>VLOOKUP(B347,'Datos Maestros'!$C$2:$D$7,2,FALSE)*V347</f>
        <v>0</v>
      </c>
      <c r="Y347" s="18">
        <f t="shared" si="5"/>
        <v>45894</v>
      </c>
      <c r="Z347" s="13" t="s">
        <v>39</v>
      </c>
      <c r="AA347" s="19" t="str">
        <f>VLOOKUP(D347,Clientes!$A$2:$J$486,9,FALSE)</f>
        <v>Ocacional</v>
      </c>
      <c r="AB347" s="13" t="str">
        <f>VLOOKUP(D347,Clientes!$A$2:$K$486,11,FALSE)</f>
        <v>Persona Natural</v>
      </c>
      <c r="AC347" s="13" t="str">
        <f>VLOOKUP(D347,Clientes!$A$2:$B$486,2,FALSE)</f>
        <v>Los Ceibos</v>
      </c>
      <c r="AD347" s="20"/>
      <c r="AE347" s="20"/>
      <c r="AF347" s="13" t="s">
        <v>40</v>
      </c>
      <c r="AG347" s="15">
        <f t="shared" si="6"/>
        <v>45505</v>
      </c>
      <c r="AH347" s="13" t="s">
        <v>41</v>
      </c>
      <c r="AI347" s="13" t="str">
        <f t="shared" si="7"/>
        <v>Longanizas</v>
      </c>
      <c r="AJ347" s="13" t="str">
        <f>VLOOKUP(E347,Precios!Z$2:AA$941,2,FALSE)</f>
        <v>Longanizas VILLABLANCA</v>
      </c>
      <c r="AK347" s="14">
        <f>VLOOKUP(E347,Precios!Z$2:BB$941,3,FALSE)*F347</f>
        <v>-1</v>
      </c>
      <c r="AL347" s="17"/>
      <c r="AM347" s="17"/>
      <c r="AN347" s="17"/>
      <c r="AO347" s="17"/>
      <c r="AP347" s="17"/>
      <c r="AQ347" s="17"/>
      <c r="AR347" s="17"/>
      <c r="AS347" s="17"/>
      <c r="AT347" s="17"/>
      <c r="AU347" s="17"/>
      <c r="AV347" s="17"/>
    </row>
    <row r="348" spans="1:48" ht="15.75" customHeight="1">
      <c r="A348" s="21" t="s">
        <v>35</v>
      </c>
      <c r="B348" s="23" t="s">
        <v>1692</v>
      </c>
      <c r="C348" s="22">
        <v>45898</v>
      </c>
      <c r="D348" s="23" t="s">
        <v>256</v>
      </c>
      <c r="E348" s="23" t="s">
        <v>37</v>
      </c>
      <c r="F348" s="21">
        <v>1</v>
      </c>
      <c r="G348" s="12">
        <f>VLOOKUP(E348,Precios!B$2:N$941,12,FALSE)</f>
        <v>11000.014358944907</v>
      </c>
      <c r="H348" s="12">
        <f t="shared" si="0"/>
        <v>11000.014358944907</v>
      </c>
      <c r="I348" s="23" t="s">
        <v>52</v>
      </c>
      <c r="J348" s="23" t="s">
        <v>61</v>
      </c>
      <c r="K348" s="24" t="s">
        <v>177</v>
      </c>
      <c r="L348" s="24">
        <v>178</v>
      </c>
      <c r="M348" s="12">
        <f t="shared" ref="M348:N348" si="353">G348/1.19</f>
        <v>9243.7095453318543</v>
      </c>
      <c r="N348" s="12">
        <f t="shared" si="353"/>
        <v>9243.7095453318543</v>
      </c>
      <c r="O348" s="12">
        <f t="shared" si="2"/>
        <v>1756.3048136130528</v>
      </c>
      <c r="P348" s="13"/>
      <c r="Q348" s="14">
        <f t="shared" si="3"/>
        <v>2025</v>
      </c>
      <c r="R348" s="15">
        <f>VLOOKUP(MONTH(C348),'Datos Maestros'!M$2:N$14,2,FALSE)</f>
        <v>45505</v>
      </c>
      <c r="S348" s="11" t="str">
        <f>VLOOKUP(E348,Precios!B$2:W$941,3,FALSE)</f>
        <v>Queso Mantecoso</v>
      </c>
      <c r="T348" s="16">
        <f>VLOOKUP(E348,Precios!B$2:N$941,4,FALSE)*F348</f>
        <v>1000</v>
      </c>
      <c r="U348" s="17"/>
      <c r="V348" s="12">
        <f>VLOOKUP(E348,Precios!B$2:N$941,13,FALSE)*F348</f>
        <v>2806.1129066763915</v>
      </c>
      <c r="W348" s="12">
        <f t="shared" si="4"/>
        <v>2806.1129066763915</v>
      </c>
      <c r="X348" s="12">
        <f>VLOOKUP(B348,'Datos Maestros'!$C$2:$D$7,2,FALSE)*V348</f>
        <v>0</v>
      </c>
      <c r="Y348" s="18">
        <f t="shared" si="5"/>
        <v>45894</v>
      </c>
      <c r="Z348" s="13" t="s">
        <v>39</v>
      </c>
      <c r="AA348" s="19" t="str">
        <f>VLOOKUP(D348,Clientes!$A$2:$J$486,9,FALSE)</f>
        <v>Ocacional</v>
      </c>
      <c r="AB348" s="13" t="str">
        <f>VLOOKUP(D348,Clientes!$A$2:$K$486,11,FALSE)</f>
        <v>Persona Natural</v>
      </c>
      <c r="AC348" s="13" t="str">
        <f>VLOOKUP(D348,Clientes!$A$2:$B$486,2,FALSE)</f>
        <v>Los Ceibos</v>
      </c>
      <c r="AD348" s="20"/>
      <c r="AE348" s="20"/>
      <c r="AF348" s="13" t="s">
        <v>40</v>
      </c>
      <c r="AG348" s="15">
        <f t="shared" si="6"/>
        <v>45505</v>
      </c>
      <c r="AH348" s="13" t="s">
        <v>41</v>
      </c>
      <c r="AI348" s="13" t="str">
        <f t="shared" si="7"/>
        <v>Quesos</v>
      </c>
      <c r="AJ348" s="13" t="str">
        <f>VLOOKUP(E348,Precios!Z$2:AA$941,2,FALSE)</f>
        <v>Queso RUNCA Mantecoso</v>
      </c>
      <c r="AK348" s="14">
        <f>VLOOKUP(E348,Precios!Z$2:BB$941,3,FALSE)*F348</f>
        <v>-1</v>
      </c>
      <c r="AL348" s="17"/>
      <c r="AM348" s="17"/>
      <c r="AN348" s="17"/>
      <c r="AO348" s="17"/>
      <c r="AP348" s="17"/>
      <c r="AQ348" s="17"/>
      <c r="AR348" s="17"/>
      <c r="AS348" s="17"/>
      <c r="AT348" s="17"/>
      <c r="AU348" s="17"/>
      <c r="AV348" s="17"/>
    </row>
    <row r="349" spans="1:48" ht="15.75" customHeight="1">
      <c r="A349" s="21" t="s">
        <v>147</v>
      </c>
      <c r="B349" s="23" t="s">
        <v>1692</v>
      </c>
      <c r="C349" s="22">
        <v>45898</v>
      </c>
      <c r="D349" s="23" t="s">
        <v>256</v>
      </c>
      <c r="E349" s="23" t="s">
        <v>257</v>
      </c>
      <c r="F349" s="21">
        <v>1</v>
      </c>
      <c r="G349" s="12">
        <f>VLOOKUP(E349,Precios!B$2:N$941,12,FALSE)</f>
        <v>4000.0000000000005</v>
      </c>
      <c r="H349" s="12">
        <f t="shared" si="0"/>
        <v>4000.0000000000005</v>
      </c>
      <c r="I349" s="23" t="s">
        <v>52</v>
      </c>
      <c r="J349" s="23" t="s">
        <v>61</v>
      </c>
      <c r="K349" s="24" t="s">
        <v>177</v>
      </c>
      <c r="L349" s="24">
        <v>178</v>
      </c>
      <c r="M349" s="12">
        <f t="shared" ref="M349:N349" si="354">G349/1.19</f>
        <v>3361.3445378151264</v>
      </c>
      <c r="N349" s="12">
        <f t="shared" si="354"/>
        <v>3361.3445378151264</v>
      </c>
      <c r="O349" s="12">
        <f t="shared" si="2"/>
        <v>638.65546218487407</v>
      </c>
      <c r="P349" s="13"/>
      <c r="Q349" s="14">
        <f t="shared" si="3"/>
        <v>2025</v>
      </c>
      <c r="R349" s="15">
        <f>VLOOKUP(MONTH(C349),'Datos Maestros'!M$2:N$14,2,FALSE)</f>
        <v>45505</v>
      </c>
      <c r="S349" s="11" t="str">
        <f>VLOOKUP(E349,Precios!B$2:W$941,3,FALSE)</f>
        <v>Film Plastico</v>
      </c>
      <c r="T349" s="16">
        <f>VLOOKUP(E349,Precios!B$2:N$941,4,FALSE)*F349</f>
        <v>0</v>
      </c>
      <c r="U349" s="17"/>
      <c r="V349" s="12">
        <f>VLOOKUP(E349,Precios!B$2:N$941,13,FALSE)*F349</f>
        <v>1680.6722689075632</v>
      </c>
      <c r="W349" s="12">
        <f t="shared" si="4"/>
        <v>1680.6722689075632</v>
      </c>
      <c r="X349" s="12">
        <f>VLOOKUP(B349,'Datos Maestros'!$C$2:$D$7,2,FALSE)*V349</f>
        <v>0</v>
      </c>
      <c r="Y349" s="18">
        <f t="shared" si="5"/>
        <v>45894</v>
      </c>
      <c r="Z349" s="13" t="s">
        <v>39</v>
      </c>
      <c r="AA349" s="19" t="str">
        <f>VLOOKUP(D349,Clientes!$A$2:$J$486,9,FALSE)</f>
        <v>Ocacional</v>
      </c>
      <c r="AB349" s="13" t="str">
        <f>VLOOKUP(D349,Clientes!$A$2:$K$486,11,FALSE)</f>
        <v>Persona Natural</v>
      </c>
      <c r="AC349" s="13" t="str">
        <f>VLOOKUP(D349,Clientes!$A$2:$B$486,2,FALSE)</f>
        <v>Los Ceibos</v>
      </c>
      <c r="AD349" s="20"/>
      <c r="AE349" s="20"/>
      <c r="AF349" s="13" t="s">
        <v>40</v>
      </c>
      <c r="AG349" s="15">
        <f t="shared" si="6"/>
        <v>45505</v>
      </c>
      <c r="AH349" s="13" t="s">
        <v>41</v>
      </c>
      <c r="AI349" s="13" t="str">
        <f t="shared" si="7"/>
        <v>Film Plastico-Aluminio</v>
      </c>
      <c r="AJ349" s="13" t="str">
        <f>VLOOKUP(E349,Precios!Z$2:AA$941,2,FALSE)</f>
        <v>Film Plástico 100 metros</v>
      </c>
      <c r="AK349" s="14">
        <f>VLOOKUP(E349,Precios!Z$2:BB$941,3,FALSE)*F349</f>
        <v>-1</v>
      </c>
      <c r="AL349" s="17"/>
      <c r="AM349" s="17"/>
      <c r="AN349" s="17"/>
      <c r="AO349" s="17"/>
      <c r="AP349" s="17"/>
      <c r="AQ349" s="17"/>
      <c r="AR349" s="17"/>
      <c r="AS349" s="17"/>
      <c r="AT349" s="17"/>
      <c r="AU349" s="17"/>
      <c r="AV349" s="17"/>
    </row>
    <row r="350" spans="1:48" ht="15.75" customHeight="1">
      <c r="A350" s="21" t="s">
        <v>64</v>
      </c>
      <c r="B350" s="23" t="s">
        <v>1692</v>
      </c>
      <c r="C350" s="22">
        <v>45898</v>
      </c>
      <c r="D350" s="23" t="s">
        <v>258</v>
      </c>
      <c r="E350" s="23" t="s">
        <v>65</v>
      </c>
      <c r="F350" s="21">
        <v>2</v>
      </c>
      <c r="G350" s="12">
        <f>VLOOKUP(E350,Precios!B$2:N$941,12,FALSE)</f>
        <v>8200.2358799633075</v>
      </c>
      <c r="H350" s="12">
        <f t="shared" si="0"/>
        <v>16400.471759926615</v>
      </c>
      <c r="I350" s="23" t="s">
        <v>52</v>
      </c>
      <c r="J350" s="23" t="s">
        <v>61</v>
      </c>
      <c r="K350" s="24" t="s">
        <v>177</v>
      </c>
      <c r="L350" s="24">
        <v>178</v>
      </c>
      <c r="M350" s="12">
        <f t="shared" ref="M350:N350" si="355">G350/1.19</f>
        <v>6890.9545209775697</v>
      </c>
      <c r="N350" s="12">
        <f t="shared" si="355"/>
        <v>13781.909041955139</v>
      </c>
      <c r="O350" s="12">
        <f t="shared" si="2"/>
        <v>2618.5627179714756</v>
      </c>
      <c r="P350" s="13"/>
      <c r="Q350" s="14">
        <f t="shared" si="3"/>
        <v>2025</v>
      </c>
      <c r="R350" s="15">
        <f>VLOOKUP(MONTH(C350),'Datos Maestros'!M$2:N$14,2,FALSE)</f>
        <v>45505</v>
      </c>
      <c r="S350" s="11" t="str">
        <f>VLOOKUP(E350,Precios!B$2:W$941,3,FALSE)</f>
        <v>Longanizas</v>
      </c>
      <c r="T350" s="16">
        <f>VLOOKUP(E350,Precios!B$2:N$941,4,FALSE)*F350</f>
        <v>2</v>
      </c>
      <c r="U350" s="17"/>
      <c r="V350" s="12">
        <f>VLOOKUP(E350,Precios!B$2:N$941,13,FALSE)*F350</f>
        <v>3264.9342520391729</v>
      </c>
      <c r="W350" s="12">
        <f t="shared" si="4"/>
        <v>3264.9342520391729</v>
      </c>
      <c r="X350" s="12">
        <f>VLOOKUP(B350,'Datos Maestros'!$C$2:$D$7,2,FALSE)*V350</f>
        <v>0</v>
      </c>
      <c r="Y350" s="18">
        <f t="shared" si="5"/>
        <v>45894</v>
      </c>
      <c r="Z350" s="13" t="s">
        <v>39</v>
      </c>
      <c r="AA350" s="19" t="str">
        <f>VLOOKUP(D350,Clientes!$A$2:$J$486,9,FALSE)</f>
        <v>Regular</v>
      </c>
      <c r="AB350" s="13" t="str">
        <f>VLOOKUP(D350,Clientes!$A$2:$K$486,11,FALSE)</f>
        <v>Persona Natural</v>
      </c>
      <c r="AC350" s="13" t="str">
        <f>VLOOKUP(D350,Clientes!$A$2:$B$486,2,FALSE)</f>
        <v>Colegio Antilhue</v>
      </c>
      <c r="AD350" s="20"/>
      <c r="AE350" s="20"/>
      <c r="AF350" s="13" t="s">
        <v>40</v>
      </c>
      <c r="AG350" s="15">
        <f t="shared" si="6"/>
        <v>45505</v>
      </c>
      <c r="AH350" s="13" t="s">
        <v>41</v>
      </c>
      <c r="AI350" s="13" t="str">
        <f t="shared" si="7"/>
        <v>Longanizas</v>
      </c>
      <c r="AJ350" s="13" t="str">
        <f>VLOOKUP(E350,Precios!Z$2:AA$941,2,FALSE)</f>
        <v>Longanizas VILLABLANCA</v>
      </c>
      <c r="AK350" s="14">
        <f>VLOOKUP(E350,Precios!Z$2:BB$941,3,FALSE)*F350</f>
        <v>-2</v>
      </c>
      <c r="AL350" s="17"/>
      <c r="AM350" s="17"/>
      <c r="AN350" s="17"/>
      <c r="AO350" s="17"/>
      <c r="AP350" s="17"/>
      <c r="AQ350" s="17"/>
      <c r="AR350" s="17"/>
      <c r="AS350" s="17"/>
      <c r="AT350" s="17"/>
      <c r="AU350" s="17"/>
      <c r="AV350" s="17"/>
    </row>
    <row r="351" spans="1:48" ht="15.75" customHeight="1">
      <c r="A351" s="21" t="s">
        <v>147</v>
      </c>
      <c r="B351" s="23" t="s">
        <v>1692</v>
      </c>
      <c r="C351" s="22">
        <v>45897</v>
      </c>
      <c r="D351" s="23" t="s">
        <v>259</v>
      </c>
      <c r="E351" s="23" t="s">
        <v>260</v>
      </c>
      <c r="F351" s="21">
        <v>1</v>
      </c>
      <c r="G351" s="12">
        <f>VLOOKUP(E351,Precios!B$2:N$941,12,FALSE)</f>
        <v>19500.476927043055</v>
      </c>
      <c r="H351" s="12">
        <f t="shared" si="0"/>
        <v>19500.476927043055</v>
      </c>
      <c r="I351" s="23" t="s">
        <v>52</v>
      </c>
      <c r="J351" s="23" t="s">
        <v>61</v>
      </c>
      <c r="K351" s="24" t="s">
        <v>177</v>
      </c>
      <c r="L351" s="24">
        <v>177</v>
      </c>
      <c r="M351" s="12">
        <f t="shared" ref="M351:N351" si="356">G351/1.19</f>
        <v>16386.955400876519</v>
      </c>
      <c r="N351" s="12">
        <f t="shared" si="356"/>
        <v>16386.955400876519</v>
      </c>
      <c r="O351" s="12">
        <f t="shared" si="2"/>
        <v>3113.5215261665362</v>
      </c>
      <c r="P351" s="13"/>
      <c r="Q351" s="14">
        <f t="shared" si="3"/>
        <v>2025</v>
      </c>
      <c r="R351" s="15">
        <f>VLOOKUP(MONTH(C351),'Datos Maestros'!M$2:N$14,2,FALSE)</f>
        <v>45505</v>
      </c>
      <c r="S351" s="11" t="str">
        <f>VLOOKUP(E351,Precios!B$2:W$941,3,FALSE)</f>
        <v>Papel Aluminio</v>
      </c>
      <c r="T351" s="16">
        <f>VLOOKUP(E351,Precios!B$2:N$941,4,FALSE)*F351</f>
        <v>0</v>
      </c>
      <c r="U351" s="17"/>
      <c r="V351" s="12">
        <f>VLOOKUP(E351,Precios!B$2:N$941,13,FALSE)*F351</f>
        <v>3673.9554008765153</v>
      </c>
      <c r="W351" s="12">
        <f t="shared" si="4"/>
        <v>3673.9554008765153</v>
      </c>
      <c r="X351" s="12">
        <f>VLOOKUP(B351,'Datos Maestros'!$C$2:$D$7,2,FALSE)*V351</f>
        <v>0</v>
      </c>
      <c r="Y351" s="18">
        <f t="shared" si="5"/>
        <v>45894</v>
      </c>
      <c r="Z351" s="13" t="s">
        <v>39</v>
      </c>
      <c r="AA351" s="19" t="str">
        <f>VLOOKUP(D351,Clientes!$A$2:$J$486,9,FALSE)</f>
        <v>Ocacional</v>
      </c>
      <c r="AB351" s="13" t="str">
        <f>VLOOKUP(D351,Clientes!$A$2:$K$486,11,FALSE)</f>
        <v>Persona Natural</v>
      </c>
      <c r="AC351" s="13" t="str">
        <f>VLOOKUP(D351,Clientes!$A$2:$B$486,2,FALSE)</f>
        <v>Rojas Magallanes</v>
      </c>
      <c r="AD351" s="20"/>
      <c r="AE351" s="20"/>
      <c r="AF351" s="13" t="s">
        <v>40</v>
      </c>
      <c r="AG351" s="15">
        <f t="shared" si="6"/>
        <v>45505</v>
      </c>
      <c r="AH351" s="13" t="s">
        <v>41</v>
      </c>
      <c r="AI351" s="13" t="str">
        <f t="shared" si="7"/>
        <v>Film Plastico-Aluminio</v>
      </c>
      <c r="AJ351" s="13" t="str">
        <f>VLOOKUP(E351,Precios!Z$2:AA$941,2,FALSE)</f>
        <v>Papel Aluminio 300 metros</v>
      </c>
      <c r="AK351" s="14">
        <f>VLOOKUP(E351,Precios!Z$2:BB$941,3,FALSE)*F351</f>
        <v>-1</v>
      </c>
      <c r="AL351" s="17"/>
      <c r="AM351" s="17"/>
      <c r="AN351" s="17"/>
      <c r="AO351" s="17"/>
      <c r="AP351" s="17"/>
      <c r="AQ351" s="17"/>
      <c r="AR351" s="17"/>
      <c r="AS351" s="17"/>
      <c r="AT351" s="17"/>
      <c r="AU351" s="17"/>
      <c r="AV351" s="17"/>
    </row>
    <row r="352" spans="1:48" ht="15.75" customHeight="1">
      <c r="A352" s="21" t="s">
        <v>53</v>
      </c>
      <c r="B352" s="23" t="s">
        <v>1692</v>
      </c>
      <c r="C352" s="22">
        <v>45897</v>
      </c>
      <c r="D352" s="23" t="s">
        <v>259</v>
      </c>
      <c r="E352" s="23" t="s">
        <v>261</v>
      </c>
      <c r="F352" s="21">
        <v>1</v>
      </c>
      <c r="G352" s="12">
        <f>VLOOKUP(E352,Precios!B$2:N$941,12,FALSE)</f>
        <v>19499.95289684409</v>
      </c>
      <c r="H352" s="12">
        <f t="shared" si="0"/>
        <v>19499.95289684409</v>
      </c>
      <c r="I352" s="23" t="s">
        <v>52</v>
      </c>
      <c r="J352" s="23" t="s">
        <v>61</v>
      </c>
      <c r="K352" s="24" t="s">
        <v>177</v>
      </c>
      <c r="L352" s="24">
        <v>177</v>
      </c>
      <c r="M352" s="12">
        <f t="shared" ref="M352:N352" si="357">G352/1.19</f>
        <v>16386.515039364782</v>
      </c>
      <c r="N352" s="12">
        <f t="shared" si="357"/>
        <v>16386.515039364782</v>
      </c>
      <c r="O352" s="12">
        <f t="shared" si="2"/>
        <v>3113.4378574793081</v>
      </c>
      <c r="P352" s="13"/>
      <c r="Q352" s="14">
        <f t="shared" si="3"/>
        <v>2025</v>
      </c>
      <c r="R352" s="15">
        <f>VLOOKUP(MONTH(C352),'Datos Maestros'!M$2:N$14,2,FALSE)</f>
        <v>45505</v>
      </c>
      <c r="S352" s="11" t="str">
        <f>VLOOKUP(E352,Precios!B$2:W$941,3,FALSE)</f>
        <v>Toalla Papel SWAN</v>
      </c>
      <c r="T352" s="16">
        <f>VLOOKUP(E352,Precios!B$2:N$941,4,FALSE)*F352</f>
        <v>0</v>
      </c>
      <c r="U352" s="17"/>
      <c r="V352" s="12">
        <f>VLOOKUP(E352,Precios!B$2:N$941,13,FALSE)*F352</f>
        <v>4210.5150393647818</v>
      </c>
      <c r="W352" s="12">
        <f t="shared" si="4"/>
        <v>4210.5150393647818</v>
      </c>
      <c r="X352" s="12">
        <f>VLOOKUP(B352,'Datos Maestros'!$C$2:$D$7,2,FALSE)*V352</f>
        <v>0</v>
      </c>
      <c r="Y352" s="18">
        <f t="shared" si="5"/>
        <v>45894</v>
      </c>
      <c r="Z352" s="13" t="s">
        <v>39</v>
      </c>
      <c r="AA352" s="19" t="str">
        <f>VLOOKUP(D352,Clientes!$A$2:$J$486,9,FALSE)</f>
        <v>Ocacional</v>
      </c>
      <c r="AB352" s="13" t="str">
        <f>VLOOKUP(D352,Clientes!$A$2:$K$486,11,FALSE)</f>
        <v>Persona Natural</v>
      </c>
      <c r="AC352" s="13" t="str">
        <f>VLOOKUP(D352,Clientes!$A$2:$B$486,2,FALSE)</f>
        <v>Rojas Magallanes</v>
      </c>
      <c r="AD352" s="20"/>
      <c r="AE352" s="20"/>
      <c r="AF352" s="13" t="s">
        <v>40</v>
      </c>
      <c r="AG352" s="15">
        <f t="shared" si="6"/>
        <v>45505</v>
      </c>
      <c r="AH352" s="13" t="s">
        <v>41</v>
      </c>
      <c r="AI352" s="13" t="str">
        <f t="shared" si="7"/>
        <v>Papeleria</v>
      </c>
      <c r="AJ352" s="13" t="str">
        <f>VLOOKUP(E352,Precios!Z$2:AA$941,2,FALSE)</f>
        <v>Toalla Papel SWAN D/H AZUL 100 metros</v>
      </c>
      <c r="AK352" s="14">
        <f>VLOOKUP(E352,Precios!Z$2:BB$941,3,FALSE)*F352</f>
        <v>-6</v>
      </c>
      <c r="AL352" s="17"/>
      <c r="AM352" s="17"/>
      <c r="AN352" s="17"/>
      <c r="AO352" s="17"/>
      <c r="AP352" s="17"/>
      <c r="AQ352" s="17"/>
      <c r="AR352" s="17"/>
      <c r="AS352" s="17"/>
      <c r="AT352" s="17"/>
      <c r="AU352" s="17"/>
      <c r="AV352" s="17"/>
    </row>
    <row r="353" spans="1:48" ht="15.75" customHeight="1">
      <c r="A353" s="21" t="s">
        <v>64</v>
      </c>
      <c r="B353" s="23" t="s">
        <v>1692</v>
      </c>
      <c r="C353" s="22">
        <v>45897</v>
      </c>
      <c r="D353" s="23" t="s">
        <v>87</v>
      </c>
      <c r="E353" s="23" t="s">
        <v>65</v>
      </c>
      <c r="F353" s="21">
        <v>1</v>
      </c>
      <c r="G353" s="12">
        <f>VLOOKUP(E353,Precios!B$2:N$941,12,FALSE)</f>
        <v>8200.2358799633075</v>
      </c>
      <c r="H353" s="12">
        <f t="shared" si="0"/>
        <v>8200.2358799633075</v>
      </c>
      <c r="I353" s="23" t="s">
        <v>52</v>
      </c>
      <c r="J353" s="23" t="s">
        <v>61</v>
      </c>
      <c r="K353" s="24" t="s">
        <v>177</v>
      </c>
      <c r="L353" s="24">
        <v>177</v>
      </c>
      <c r="M353" s="12">
        <f t="shared" ref="M353:N353" si="358">G353/1.19</f>
        <v>6890.9545209775697</v>
      </c>
      <c r="N353" s="12">
        <f t="shared" si="358"/>
        <v>6890.9545209775697</v>
      </c>
      <c r="O353" s="12">
        <f t="shared" si="2"/>
        <v>1309.2813589857378</v>
      </c>
      <c r="P353" s="13"/>
      <c r="Q353" s="14">
        <f t="shared" si="3"/>
        <v>2025</v>
      </c>
      <c r="R353" s="15">
        <f>VLOOKUP(MONTH(C353),'Datos Maestros'!M$2:N$14,2,FALSE)</f>
        <v>45505</v>
      </c>
      <c r="S353" s="11" t="str">
        <f>VLOOKUP(E353,Precios!B$2:W$941,3,FALSE)</f>
        <v>Longanizas</v>
      </c>
      <c r="T353" s="16">
        <f>VLOOKUP(E353,Precios!B$2:N$941,4,FALSE)*F353</f>
        <v>1</v>
      </c>
      <c r="U353" s="17"/>
      <c r="V353" s="12">
        <f>VLOOKUP(E353,Precios!B$2:N$941,13,FALSE)*F353</f>
        <v>1632.4671260195864</v>
      </c>
      <c r="W353" s="12">
        <f t="shared" si="4"/>
        <v>1632.4671260195864</v>
      </c>
      <c r="X353" s="12">
        <f>VLOOKUP(B353,'Datos Maestros'!$C$2:$D$7,2,FALSE)*V353</f>
        <v>0</v>
      </c>
      <c r="Y353" s="18">
        <f t="shared" si="5"/>
        <v>45894</v>
      </c>
      <c r="Z353" s="13" t="s">
        <v>39</v>
      </c>
      <c r="AA353" s="19" t="str">
        <f>VLOOKUP(D353,Clientes!$A$2:$J$486,9,FALSE)</f>
        <v>Frecuente</v>
      </c>
      <c r="AB353" s="13" t="str">
        <f>VLOOKUP(D353,Clientes!$A$2:$K$486,11,FALSE)</f>
        <v>Persona Natural</v>
      </c>
      <c r="AC353" s="13" t="str">
        <f>VLOOKUP(D353,Clientes!$A$2:$B$486,2,FALSE)</f>
        <v>Jardines de la viña</v>
      </c>
      <c r="AD353" s="20"/>
      <c r="AE353" s="20"/>
      <c r="AF353" s="13" t="s">
        <v>40</v>
      </c>
      <c r="AG353" s="15">
        <f t="shared" si="6"/>
        <v>45505</v>
      </c>
      <c r="AH353" s="13" t="s">
        <v>41</v>
      </c>
      <c r="AI353" s="13" t="str">
        <f t="shared" si="7"/>
        <v>Longanizas</v>
      </c>
      <c r="AJ353" s="13" t="str">
        <f>VLOOKUP(E353,Precios!Z$2:AA$941,2,FALSE)</f>
        <v>Longanizas VILLABLANCA</v>
      </c>
      <c r="AK353" s="14">
        <f>VLOOKUP(E353,Precios!Z$2:BB$941,3,FALSE)*F353</f>
        <v>-1</v>
      </c>
      <c r="AL353" s="17"/>
      <c r="AM353" s="17"/>
      <c r="AN353" s="17"/>
      <c r="AO353" s="17"/>
      <c r="AP353" s="17"/>
      <c r="AQ353" s="17"/>
      <c r="AR353" s="17"/>
      <c r="AS353" s="17"/>
      <c r="AT353" s="17"/>
      <c r="AU353" s="17"/>
      <c r="AV353" s="17"/>
    </row>
    <row r="354" spans="1:48" ht="15.75" customHeight="1">
      <c r="A354" s="21" t="s">
        <v>53</v>
      </c>
      <c r="B354" s="23" t="s">
        <v>1692</v>
      </c>
      <c r="C354" s="22">
        <v>45897</v>
      </c>
      <c r="D354" s="23" t="s">
        <v>87</v>
      </c>
      <c r="E354" s="23" t="s">
        <v>70</v>
      </c>
      <c r="F354" s="21">
        <v>1</v>
      </c>
      <c r="G354" s="12">
        <f>VLOOKUP(E354,Precios!B$2:N$941,12,FALSE)</f>
        <v>5000.3257328990221</v>
      </c>
      <c r="H354" s="12">
        <f t="shared" si="0"/>
        <v>5000.3257328990221</v>
      </c>
      <c r="I354" s="23" t="s">
        <v>52</v>
      </c>
      <c r="J354" s="23" t="s">
        <v>61</v>
      </c>
      <c r="K354" s="24" t="s">
        <v>177</v>
      </c>
      <c r="L354" s="24">
        <v>177</v>
      </c>
      <c r="M354" s="12">
        <f t="shared" ref="M354:N354" si="359">G354/1.19</f>
        <v>4201.9543973941363</v>
      </c>
      <c r="N354" s="12">
        <f t="shared" si="359"/>
        <v>4201.9543973941363</v>
      </c>
      <c r="O354" s="12">
        <f t="shared" si="2"/>
        <v>798.37133550488579</v>
      </c>
      <c r="P354" s="13"/>
      <c r="Q354" s="14">
        <f t="shared" si="3"/>
        <v>2025</v>
      </c>
      <c r="R354" s="15">
        <f>VLOOKUP(MONTH(C354),'Datos Maestros'!M$2:N$14,2,FALSE)</f>
        <v>45505</v>
      </c>
      <c r="S354" s="11" t="str">
        <f>VLOOKUP(E354,Precios!B$2:W$941,3,FALSE)</f>
        <v>Servilletas</v>
      </c>
      <c r="T354" s="16">
        <f>VLOOKUP(E354,Precios!B$2:N$941,4,FALSE)*F354</f>
        <v>300</v>
      </c>
      <c r="U354" s="17"/>
      <c r="V354" s="12">
        <f>VLOOKUP(E354,Precios!B$2:N$941,13,FALSE)*F354</f>
        <v>2008.9543973941363</v>
      </c>
      <c r="W354" s="12">
        <f t="shared" si="4"/>
        <v>2008.9543973941363</v>
      </c>
      <c r="X354" s="12">
        <f>VLOOKUP(B354,'Datos Maestros'!$C$2:$D$7,2,FALSE)*V354</f>
        <v>0</v>
      </c>
      <c r="Y354" s="18">
        <f t="shared" si="5"/>
        <v>45894</v>
      </c>
      <c r="Z354" s="13" t="s">
        <v>39</v>
      </c>
      <c r="AA354" s="19" t="str">
        <f>VLOOKUP(D354,Clientes!$A$2:$J$486,9,FALSE)</f>
        <v>Frecuente</v>
      </c>
      <c r="AB354" s="13" t="str">
        <f>VLOOKUP(D354,Clientes!$A$2:$K$486,11,FALSE)</f>
        <v>Persona Natural</v>
      </c>
      <c r="AC354" s="13" t="str">
        <f>VLOOKUP(D354,Clientes!$A$2:$B$486,2,FALSE)</f>
        <v>Jardines de la viña</v>
      </c>
      <c r="AD354" s="20"/>
      <c r="AE354" s="20"/>
      <c r="AF354" s="13" t="s">
        <v>40</v>
      </c>
      <c r="AG354" s="15">
        <f t="shared" si="6"/>
        <v>45505</v>
      </c>
      <c r="AH354" s="13" t="s">
        <v>41</v>
      </c>
      <c r="AI354" s="13" t="str">
        <f t="shared" si="7"/>
        <v>Papeleria</v>
      </c>
      <c r="AJ354" s="13" t="str">
        <f>VLOOKUP(E354,Precios!Z$2:AA$941,2,FALSE)</f>
        <v>Servilletas SOFTQUALITY 300 unidades</v>
      </c>
      <c r="AK354" s="14">
        <f>VLOOKUP(E354,Precios!Z$2:BB$941,3,FALSE)*F354</f>
        <v>-3</v>
      </c>
      <c r="AL354" s="17"/>
      <c r="AM354" s="17"/>
      <c r="AN354" s="17"/>
      <c r="AO354" s="17"/>
      <c r="AP354" s="17"/>
      <c r="AQ354" s="17"/>
      <c r="AR354" s="17"/>
      <c r="AS354" s="17"/>
      <c r="AT354" s="17"/>
      <c r="AU354" s="17"/>
      <c r="AV354" s="17"/>
    </row>
    <row r="355" spans="1:48" ht="15.75" customHeight="1">
      <c r="A355" s="21" t="s">
        <v>64</v>
      </c>
      <c r="B355" s="23" t="s">
        <v>1692</v>
      </c>
      <c r="C355" s="22">
        <v>45897</v>
      </c>
      <c r="D355" s="23" t="s">
        <v>262</v>
      </c>
      <c r="E355" s="23" t="s">
        <v>173</v>
      </c>
      <c r="F355" s="21">
        <v>1</v>
      </c>
      <c r="G355" s="12">
        <f>VLOOKUP(E355,Precios!B$2:N$941,12,FALSE)</f>
        <v>23999.589943360927</v>
      </c>
      <c r="H355" s="12">
        <f t="shared" si="0"/>
        <v>23999.589943360927</v>
      </c>
      <c r="I355" s="23" t="s">
        <v>52</v>
      </c>
      <c r="J355" s="23" t="s">
        <v>61</v>
      </c>
      <c r="K355" s="24" t="s">
        <v>177</v>
      </c>
      <c r="L355" s="24">
        <v>177</v>
      </c>
      <c r="M355" s="12">
        <f t="shared" ref="M355:N355" si="360">G355/1.19</f>
        <v>20167.72264147977</v>
      </c>
      <c r="N355" s="12">
        <f t="shared" si="360"/>
        <v>20167.72264147977</v>
      </c>
      <c r="O355" s="12">
        <f t="shared" si="2"/>
        <v>3831.8673018811569</v>
      </c>
      <c r="P355" s="13"/>
      <c r="Q355" s="14">
        <f t="shared" si="3"/>
        <v>2025</v>
      </c>
      <c r="R355" s="15">
        <f>VLOOKUP(MONTH(C355),'Datos Maestros'!M$2:N$14,2,FALSE)</f>
        <v>45505</v>
      </c>
      <c r="S355" s="11" t="str">
        <f>VLOOKUP(E355,Precios!B$2:W$941,3,FALSE)</f>
        <v>Longanizas</v>
      </c>
      <c r="T355" s="16">
        <f>VLOOKUP(E355,Precios!B$2:N$941,4,FALSE)*F355</f>
        <v>3</v>
      </c>
      <c r="U355" s="17"/>
      <c r="V355" s="12">
        <f>VLOOKUP(E355,Precios!B$2:N$941,13,FALSE)*F355</f>
        <v>4429.2352465217864</v>
      </c>
      <c r="W355" s="12">
        <f t="shared" si="4"/>
        <v>4429.2352465217864</v>
      </c>
      <c r="X355" s="12">
        <f>VLOOKUP(B355,'Datos Maestros'!$C$2:$D$7,2,FALSE)*V355</f>
        <v>0</v>
      </c>
      <c r="Y355" s="18">
        <f t="shared" si="5"/>
        <v>45894</v>
      </c>
      <c r="Z355" s="13" t="s">
        <v>39</v>
      </c>
      <c r="AA355" s="19" t="str">
        <f>VLOOKUP(D355,Clientes!$A$2:$J$486,9,FALSE)</f>
        <v>Frecuente</v>
      </c>
      <c r="AB355" s="13" t="str">
        <f>VLOOKUP(D355,Clientes!$A$2:$K$486,11,FALSE)</f>
        <v>Persona Natural</v>
      </c>
      <c r="AC355" s="13" t="str">
        <f>VLOOKUP(D355,Clientes!$A$2:$B$486,2,FALSE)</f>
        <v>Jardines de la Viña</v>
      </c>
      <c r="AD355" s="20"/>
      <c r="AE355" s="20"/>
      <c r="AF355" s="13" t="s">
        <v>40</v>
      </c>
      <c r="AG355" s="15">
        <f t="shared" si="6"/>
        <v>45505</v>
      </c>
      <c r="AH355" s="13" t="s">
        <v>41</v>
      </c>
      <c r="AI355" s="13" t="str">
        <f t="shared" si="7"/>
        <v>Longanizas</v>
      </c>
      <c r="AJ355" s="13" t="str">
        <f>VLOOKUP(E355,Precios!Z$2:AA$941,2,FALSE)</f>
        <v>Longanizas VILLABLANCA</v>
      </c>
      <c r="AK355" s="14">
        <f>VLOOKUP(E355,Precios!Z$2:BB$941,3,FALSE)*F355</f>
        <v>-3</v>
      </c>
      <c r="AL355" s="17"/>
      <c r="AM355" s="17"/>
      <c r="AN355" s="17"/>
      <c r="AO355" s="17"/>
      <c r="AP355" s="17"/>
      <c r="AQ355" s="17"/>
      <c r="AR355" s="17"/>
      <c r="AS355" s="17"/>
      <c r="AT355" s="17"/>
      <c r="AU355" s="17"/>
      <c r="AV355" s="17"/>
    </row>
    <row r="356" spans="1:48" ht="15.75" customHeight="1">
      <c r="A356" s="21" t="s">
        <v>53</v>
      </c>
      <c r="B356" s="23" t="s">
        <v>1692</v>
      </c>
      <c r="C356" s="22">
        <v>45897</v>
      </c>
      <c r="D356" s="23" t="s">
        <v>262</v>
      </c>
      <c r="E356" s="23" t="s">
        <v>263</v>
      </c>
      <c r="F356" s="21">
        <v>1</v>
      </c>
      <c r="G356" s="12">
        <f>VLOOKUP(E356,Precios!B$2:N$941,12,FALSE)</f>
        <v>9999.6135265700505</v>
      </c>
      <c r="H356" s="12">
        <f t="shared" si="0"/>
        <v>9999.6135265700505</v>
      </c>
      <c r="I356" s="23" t="s">
        <v>52</v>
      </c>
      <c r="J356" s="23" t="s">
        <v>61</v>
      </c>
      <c r="K356" s="24" t="s">
        <v>177</v>
      </c>
      <c r="L356" s="24">
        <v>177</v>
      </c>
      <c r="M356" s="12">
        <f t="shared" ref="M356:N356" si="361">G356/1.19</f>
        <v>8403.036576949622</v>
      </c>
      <c r="N356" s="12">
        <f t="shared" si="361"/>
        <v>8403.036576949622</v>
      </c>
      <c r="O356" s="12">
        <f t="shared" si="2"/>
        <v>1596.5769496204284</v>
      </c>
      <c r="P356" s="13"/>
      <c r="Q356" s="14">
        <f t="shared" si="3"/>
        <v>2025</v>
      </c>
      <c r="R356" s="15">
        <f>VLOOKUP(MONTH(C356),'Datos Maestros'!M$2:N$14,2,FALSE)</f>
        <v>45505</v>
      </c>
      <c r="S356" s="11" t="str">
        <f>VLOOKUP(E356,Precios!B$2:W$941,3,FALSE)</f>
        <v>Toalla Papel SWAN</v>
      </c>
      <c r="T356" s="16">
        <f>VLOOKUP(E356,Precios!B$2:N$941,4,FALSE)*F356</f>
        <v>0</v>
      </c>
      <c r="U356" s="17"/>
      <c r="V356" s="12">
        <f>VLOOKUP(E356,Precios!B$2:N$941,13,FALSE)*F356</f>
        <v>2315.036576949622</v>
      </c>
      <c r="W356" s="12">
        <f t="shared" si="4"/>
        <v>2315.036576949622</v>
      </c>
      <c r="X356" s="12">
        <f>VLOOKUP(B356,'Datos Maestros'!$C$2:$D$7,2,FALSE)*V356</f>
        <v>0</v>
      </c>
      <c r="Y356" s="18">
        <f t="shared" si="5"/>
        <v>45894</v>
      </c>
      <c r="Z356" s="13" t="s">
        <v>39</v>
      </c>
      <c r="AA356" s="19" t="str">
        <f>VLOOKUP(D356,Clientes!$A$2:$J$486,9,FALSE)</f>
        <v>Frecuente</v>
      </c>
      <c r="AB356" s="13" t="str">
        <f>VLOOKUP(D356,Clientes!$A$2:$K$486,11,FALSE)</f>
        <v>Persona Natural</v>
      </c>
      <c r="AC356" s="13" t="str">
        <f>VLOOKUP(D356,Clientes!$A$2:$B$486,2,FALSE)</f>
        <v>Jardines de la Viña</v>
      </c>
      <c r="AD356" s="20"/>
      <c r="AE356" s="20"/>
      <c r="AF356" s="13" t="s">
        <v>40</v>
      </c>
      <c r="AG356" s="15">
        <f t="shared" si="6"/>
        <v>45505</v>
      </c>
      <c r="AH356" s="13" t="s">
        <v>41</v>
      </c>
      <c r="AI356" s="13" t="str">
        <f t="shared" si="7"/>
        <v>Papeleria</v>
      </c>
      <c r="AJ356" s="13" t="str">
        <f>VLOOKUP(E356,Precios!Z$2:AA$941,2,FALSE)</f>
        <v>Toalla Papel SWAN D/H AZUL 100 metros</v>
      </c>
      <c r="AK356" s="14">
        <f>VLOOKUP(E356,Precios!Z$2:BB$941,3,FALSE)*F356</f>
        <v>-3</v>
      </c>
      <c r="AL356" s="17"/>
      <c r="AM356" s="17"/>
      <c r="AN356" s="17"/>
      <c r="AO356" s="17"/>
      <c r="AP356" s="17"/>
      <c r="AQ356" s="17"/>
      <c r="AR356" s="17"/>
      <c r="AS356" s="17"/>
      <c r="AT356" s="17"/>
      <c r="AU356" s="17"/>
      <c r="AV356" s="17"/>
    </row>
    <row r="357" spans="1:48" ht="15.75" customHeight="1">
      <c r="A357" s="21" t="s">
        <v>76</v>
      </c>
      <c r="B357" s="23" t="s">
        <v>1692</v>
      </c>
      <c r="C357" s="22">
        <v>45897</v>
      </c>
      <c r="D357" s="23" t="s">
        <v>236</v>
      </c>
      <c r="E357" s="23" t="s">
        <v>82</v>
      </c>
      <c r="F357" s="21">
        <v>1</v>
      </c>
      <c r="G357" s="12">
        <f>VLOOKUP(E357,Precios!B$2:N$941,12,FALSE)</f>
        <v>2000.0000000000002</v>
      </c>
      <c r="H357" s="12">
        <f t="shared" si="0"/>
        <v>2000.0000000000002</v>
      </c>
      <c r="I357" s="23" t="s">
        <v>52</v>
      </c>
      <c r="J357" s="23" t="s">
        <v>61</v>
      </c>
      <c r="K357" s="24" t="s">
        <v>177</v>
      </c>
      <c r="L357" s="24">
        <v>177</v>
      </c>
      <c r="M357" s="12">
        <f t="shared" ref="M357:N357" si="362">G357/1.19</f>
        <v>1680.6722689075632</v>
      </c>
      <c r="N357" s="12">
        <f t="shared" si="362"/>
        <v>1680.6722689075632</v>
      </c>
      <c r="O357" s="12">
        <f t="shared" si="2"/>
        <v>319.32773109243703</v>
      </c>
      <c r="P357" s="13"/>
      <c r="Q357" s="14">
        <f t="shared" si="3"/>
        <v>2025</v>
      </c>
      <c r="R357" s="15">
        <f>VLOOKUP(MONTH(C357),'Datos Maestros'!M$2:N$14,2,FALSE)</f>
        <v>45505</v>
      </c>
      <c r="S357" s="11" t="str">
        <f>VLOOKUP(E357,Precios!B$2:W$941,3,FALSE)</f>
        <v>Limpiapiso</v>
      </c>
      <c r="T357" s="16">
        <f>VLOOKUP(E357,Precios!B$2:N$941,4,FALSE)*F357</f>
        <v>5</v>
      </c>
      <c r="U357" s="17"/>
      <c r="V357" s="12">
        <f>VLOOKUP(E357,Precios!B$2:N$941,13,FALSE)*F357</f>
        <v>680.67226890756319</v>
      </c>
      <c r="W357" s="12">
        <f t="shared" si="4"/>
        <v>680.67226890756319</v>
      </c>
      <c r="X357" s="12">
        <f>VLOOKUP(B357,'Datos Maestros'!$C$2:$D$7,2,FALSE)*V357</f>
        <v>0</v>
      </c>
      <c r="Y357" s="18">
        <f t="shared" si="5"/>
        <v>45894</v>
      </c>
      <c r="Z357" s="13" t="s">
        <v>39</v>
      </c>
      <c r="AA357" s="19" t="str">
        <f>VLOOKUP(D357,Clientes!$A$2:$J$486,9,FALSE)</f>
        <v>Familiar</v>
      </c>
      <c r="AB357" s="13" t="str">
        <f>VLOOKUP(D357,Clientes!$A$2:$K$486,11,FALSE)</f>
        <v>Persona Natural</v>
      </c>
      <c r="AC357" s="13" t="str">
        <f>VLOOKUP(D357,Clientes!$A$2:$B$486,2,FALSE)</f>
        <v>Familiar</v>
      </c>
      <c r="AD357" s="20"/>
      <c r="AE357" s="20"/>
      <c r="AF357" s="13" t="s">
        <v>40</v>
      </c>
      <c r="AG357" s="15">
        <f t="shared" si="6"/>
        <v>45505</v>
      </c>
      <c r="AH357" s="13" t="s">
        <v>41</v>
      </c>
      <c r="AI357" s="13" t="str">
        <f t="shared" si="7"/>
        <v>Detergentes</v>
      </c>
      <c r="AJ357" s="13" t="str">
        <f>VLOOKUP(E357,Precios!Z$2:AA$941,2,FALSE)</f>
        <v>Limpiapiso SPUM 5 Litros</v>
      </c>
      <c r="AK357" s="14">
        <f>VLOOKUP(E357,Precios!Z$2:BB$941,3,FALSE)*F357</f>
        <v>-1</v>
      </c>
      <c r="AL357" s="17"/>
      <c r="AM357" s="17"/>
      <c r="AN357" s="17"/>
      <c r="AO357" s="17"/>
      <c r="AP357" s="17"/>
      <c r="AQ357" s="17"/>
      <c r="AR357" s="17"/>
      <c r="AS357" s="17"/>
      <c r="AT357" s="17"/>
      <c r="AU357" s="17"/>
      <c r="AV357" s="17"/>
    </row>
    <row r="358" spans="1:48" ht="15.75" customHeight="1">
      <c r="A358" s="21" t="s">
        <v>56</v>
      </c>
      <c r="B358" s="23" t="s">
        <v>1692</v>
      </c>
      <c r="C358" s="22">
        <v>45897</v>
      </c>
      <c r="D358" s="23" t="s">
        <v>236</v>
      </c>
      <c r="E358" s="23" t="s">
        <v>67</v>
      </c>
      <c r="F358" s="21">
        <v>1</v>
      </c>
      <c r="G358" s="12">
        <f>VLOOKUP(E358,Precios!B$2:N$941,12,FALSE)</f>
        <v>7000.0000000000009</v>
      </c>
      <c r="H358" s="12">
        <f t="shared" si="0"/>
        <v>7000.0000000000009</v>
      </c>
      <c r="I358" s="23" t="s">
        <v>52</v>
      </c>
      <c r="J358" s="23" t="s">
        <v>61</v>
      </c>
      <c r="K358" s="24" t="s">
        <v>177</v>
      </c>
      <c r="L358" s="24">
        <v>177</v>
      </c>
      <c r="M358" s="12">
        <f t="shared" ref="M358:N358" si="363">G358/1.19</f>
        <v>5882.3529411764712</v>
      </c>
      <c r="N358" s="12">
        <f t="shared" si="363"/>
        <v>5882.3529411764712</v>
      </c>
      <c r="O358" s="12">
        <f t="shared" si="2"/>
        <v>1117.6470588235297</v>
      </c>
      <c r="P358" s="13"/>
      <c r="Q358" s="14">
        <f t="shared" si="3"/>
        <v>2025</v>
      </c>
      <c r="R358" s="15">
        <f>VLOOKUP(MONTH(C358),'Datos Maestros'!M$2:N$14,2,FALSE)</f>
        <v>45505</v>
      </c>
      <c r="S358" s="11" t="str">
        <f>VLOOKUP(E358,Precios!B$2:W$941,3,FALSE)</f>
        <v>Mantequilla</v>
      </c>
      <c r="T358" s="16">
        <f>VLOOKUP(E358,Precios!B$2:N$941,4,FALSE)*F358</f>
        <v>200</v>
      </c>
      <c r="U358" s="17"/>
      <c r="V358" s="12">
        <f>VLOOKUP(E358,Precios!B$2:N$941,13,FALSE)*F358</f>
        <v>1512.6050420168067</v>
      </c>
      <c r="W358" s="12">
        <f t="shared" si="4"/>
        <v>1512.6050420168067</v>
      </c>
      <c r="X358" s="12">
        <f>VLOOKUP(B358,'Datos Maestros'!$C$2:$D$7,2,FALSE)*V358</f>
        <v>0</v>
      </c>
      <c r="Y358" s="18">
        <f t="shared" si="5"/>
        <v>45894</v>
      </c>
      <c r="Z358" s="13" t="s">
        <v>39</v>
      </c>
      <c r="AA358" s="19" t="str">
        <f>VLOOKUP(D358,Clientes!$A$2:$J$486,9,FALSE)</f>
        <v>Familiar</v>
      </c>
      <c r="AB358" s="13" t="str">
        <f>VLOOKUP(D358,Clientes!$A$2:$K$486,11,FALSE)</f>
        <v>Persona Natural</v>
      </c>
      <c r="AC358" s="13" t="str">
        <f>VLOOKUP(D358,Clientes!$A$2:$B$486,2,FALSE)</f>
        <v>Familiar</v>
      </c>
      <c r="AD358" s="20"/>
      <c r="AE358" s="20"/>
      <c r="AF358" s="13" t="s">
        <v>40</v>
      </c>
      <c r="AG358" s="15">
        <f t="shared" si="6"/>
        <v>45505</v>
      </c>
      <c r="AH358" s="13" t="s">
        <v>41</v>
      </c>
      <c r="AI358" s="13" t="str">
        <f t="shared" si="7"/>
        <v>Derivados</v>
      </c>
      <c r="AJ358" s="13" t="str">
        <f>VLOOKUP(E358,Precios!Z$2:AA$941,2,FALSE)</f>
        <v>Mantequilla RUMAY</v>
      </c>
      <c r="AK358" s="14">
        <f>VLOOKUP(E358,Precios!Z$2:BB$941,3,FALSE)*F358</f>
        <v>-3</v>
      </c>
      <c r="AL358" s="17"/>
      <c r="AM358" s="17"/>
      <c r="AN358" s="17"/>
      <c r="AO358" s="17"/>
      <c r="AP358" s="17"/>
      <c r="AQ358" s="17"/>
      <c r="AR358" s="17"/>
      <c r="AS358" s="17"/>
      <c r="AT358" s="17"/>
      <c r="AU358" s="17"/>
      <c r="AV358" s="17"/>
    </row>
    <row r="359" spans="1:48" ht="15.75" customHeight="1">
      <c r="A359" s="21" t="s">
        <v>47</v>
      </c>
      <c r="B359" s="23" t="s">
        <v>1692</v>
      </c>
      <c r="C359" s="22">
        <v>45897</v>
      </c>
      <c r="D359" s="23" t="s">
        <v>236</v>
      </c>
      <c r="E359" s="23" t="s">
        <v>264</v>
      </c>
      <c r="F359" s="21">
        <v>2</v>
      </c>
      <c r="G359" s="12">
        <f>VLOOKUP(E359,Precios!B$2:N$941,12,FALSE)</f>
        <v>1599.7931747673217</v>
      </c>
      <c r="H359" s="12">
        <f t="shared" si="0"/>
        <v>3199.5863495346434</v>
      </c>
      <c r="I359" s="23" t="s">
        <v>52</v>
      </c>
      <c r="J359" s="23" t="s">
        <v>61</v>
      </c>
      <c r="K359" s="24" t="s">
        <v>177</v>
      </c>
      <c r="L359" s="24">
        <v>177</v>
      </c>
      <c r="M359" s="12">
        <f t="shared" ref="M359:N359" si="364">G359/1.19</f>
        <v>1344.3640124095141</v>
      </c>
      <c r="N359" s="12">
        <f t="shared" si="364"/>
        <v>2688.7280248190282</v>
      </c>
      <c r="O359" s="12">
        <f t="shared" si="2"/>
        <v>510.85832471561525</v>
      </c>
      <c r="P359" s="13"/>
      <c r="Q359" s="14">
        <f t="shared" si="3"/>
        <v>2025</v>
      </c>
      <c r="R359" s="15">
        <f>VLOOKUP(MONTH(C359),'Datos Maestros'!M$2:N$14,2,FALSE)</f>
        <v>45505</v>
      </c>
      <c r="S359" s="11" t="str">
        <f>VLOOKUP(E359,Precios!B$2:W$941,3,FALSE)</f>
        <v>Cera</v>
      </c>
      <c r="T359" s="16">
        <f>VLOOKUP(E359,Precios!B$2:N$941,4,FALSE)*F359</f>
        <v>0</v>
      </c>
      <c r="U359" s="17"/>
      <c r="V359" s="12">
        <f>VLOOKUP(E359,Precios!B$2:N$941,13,FALSE)*F359</f>
        <v>738.72802481902818</v>
      </c>
      <c r="W359" s="12">
        <f t="shared" si="4"/>
        <v>738.72802481902818</v>
      </c>
      <c r="X359" s="12">
        <f>VLOOKUP(B359,'Datos Maestros'!$C$2:$D$7,2,FALSE)*V359</f>
        <v>0</v>
      </c>
      <c r="Y359" s="18">
        <f t="shared" si="5"/>
        <v>45894</v>
      </c>
      <c r="Z359" s="13" t="s">
        <v>39</v>
      </c>
      <c r="AA359" s="19" t="str">
        <f>VLOOKUP(D359,Clientes!$A$2:$J$486,9,FALSE)</f>
        <v>Familiar</v>
      </c>
      <c r="AB359" s="13" t="str">
        <f>VLOOKUP(D359,Clientes!$A$2:$K$486,11,FALSE)</f>
        <v>Persona Natural</v>
      </c>
      <c r="AC359" s="13" t="str">
        <f>VLOOKUP(D359,Clientes!$A$2:$B$486,2,FALSE)</f>
        <v>Familiar</v>
      </c>
      <c r="AD359" s="20"/>
      <c r="AE359" s="20"/>
      <c r="AF359" s="13" t="s">
        <v>40</v>
      </c>
      <c r="AG359" s="15">
        <f t="shared" si="6"/>
        <v>45505</v>
      </c>
      <c r="AH359" s="13" t="s">
        <v>41</v>
      </c>
      <c r="AI359" s="13" t="str">
        <f t="shared" si="7"/>
        <v>Articulos de Aseo</v>
      </c>
      <c r="AJ359" s="13" t="str">
        <f>VLOOKUP(E359,Precios!Z$2:AA$941,2,FALSE)</f>
        <v>Cera Roja Brillina</v>
      </c>
      <c r="AK359" s="14">
        <f>VLOOKUP(E359,Precios!Z$2:BB$941,3,FALSE)*F359</f>
        <v>-2</v>
      </c>
      <c r="AL359" s="17"/>
      <c r="AM359" s="17"/>
      <c r="AN359" s="17"/>
      <c r="AO359" s="17"/>
      <c r="AP359" s="17"/>
      <c r="AQ359" s="17"/>
      <c r="AR359" s="17"/>
      <c r="AS359" s="17"/>
      <c r="AT359" s="17"/>
      <c r="AU359" s="17"/>
      <c r="AV359" s="17"/>
    </row>
    <row r="360" spans="1:48" ht="15.75" customHeight="1">
      <c r="A360" s="21" t="s">
        <v>76</v>
      </c>
      <c r="B360" s="23" t="s">
        <v>1692</v>
      </c>
      <c r="C360" s="22">
        <v>45897</v>
      </c>
      <c r="D360" s="23" t="s">
        <v>236</v>
      </c>
      <c r="E360" s="23" t="s">
        <v>78</v>
      </c>
      <c r="F360" s="21">
        <v>1</v>
      </c>
      <c r="G360" s="12">
        <f>VLOOKUP(E360,Precios!B$2:N$941,12,FALSE)</f>
        <v>3699.7285326475212</v>
      </c>
      <c r="H360" s="12">
        <f t="shared" si="0"/>
        <v>3699.7285326475212</v>
      </c>
      <c r="I360" s="23" t="s">
        <v>52</v>
      </c>
      <c r="J360" s="23" t="s">
        <v>61</v>
      </c>
      <c r="K360" s="24" t="s">
        <v>177</v>
      </c>
      <c r="L360" s="24">
        <v>177</v>
      </c>
      <c r="M360" s="12">
        <f t="shared" ref="M360:N360" si="365">G360/1.19</f>
        <v>3109.0155736533793</v>
      </c>
      <c r="N360" s="12">
        <f t="shared" si="365"/>
        <v>3109.0155736533793</v>
      </c>
      <c r="O360" s="12">
        <f t="shared" si="2"/>
        <v>590.7129589941419</v>
      </c>
      <c r="P360" s="13"/>
      <c r="Q360" s="14">
        <f t="shared" si="3"/>
        <v>2025</v>
      </c>
      <c r="R360" s="15">
        <f>VLOOKUP(MONTH(C360),'Datos Maestros'!M$2:N$14,2,FALSE)</f>
        <v>45505</v>
      </c>
      <c r="S360" s="11" t="str">
        <f>VLOOKUP(E360,Precios!B$2:W$941,3,FALSE)</f>
        <v>Lavaloza</v>
      </c>
      <c r="T360" s="16">
        <f>VLOOKUP(E360,Precios!B$2:N$941,4,FALSE)*F360</f>
        <v>0</v>
      </c>
      <c r="U360" s="17"/>
      <c r="V360" s="12">
        <f>VLOOKUP(E360,Precios!B$2:N$941,13,FALSE)*F360</f>
        <v>933.01557365337931</v>
      </c>
      <c r="W360" s="12">
        <f t="shared" si="4"/>
        <v>933.01557365337931</v>
      </c>
      <c r="X360" s="12">
        <f>VLOOKUP(B360,'Datos Maestros'!$C$2:$D$7,2,FALSE)*V360</f>
        <v>0</v>
      </c>
      <c r="Y360" s="18">
        <f t="shared" si="5"/>
        <v>45894</v>
      </c>
      <c r="Z360" s="13" t="s">
        <v>39</v>
      </c>
      <c r="AA360" s="19" t="str">
        <f>VLOOKUP(D360,Clientes!$A$2:$J$486,9,FALSE)</f>
        <v>Familiar</v>
      </c>
      <c r="AB360" s="13" t="str">
        <f>VLOOKUP(D360,Clientes!$A$2:$K$486,11,FALSE)</f>
        <v>Persona Natural</v>
      </c>
      <c r="AC360" s="13" t="str">
        <f>VLOOKUP(D360,Clientes!$A$2:$B$486,2,FALSE)</f>
        <v>Familiar</v>
      </c>
      <c r="AD360" s="20"/>
      <c r="AE360" s="20"/>
      <c r="AF360" s="13" t="s">
        <v>40</v>
      </c>
      <c r="AG360" s="15">
        <f t="shared" si="6"/>
        <v>45505</v>
      </c>
      <c r="AH360" s="13" t="s">
        <v>41</v>
      </c>
      <c r="AI360" s="13" t="str">
        <f t="shared" si="7"/>
        <v>Detergentes</v>
      </c>
      <c r="AJ360" s="13" t="str">
        <f>VLOOKUP(E360,Precios!Z$2:AA$941,2,FALSE)</f>
        <v>Lavaloza MAGISTRAL 500 ml</v>
      </c>
      <c r="AK360" s="14">
        <f>VLOOKUP(E360,Precios!Z$2:BB$941,3,FALSE)*F360</f>
        <v>-1</v>
      </c>
      <c r="AL360" s="17"/>
      <c r="AM360" s="17"/>
      <c r="AN360" s="17"/>
      <c r="AO360" s="17"/>
      <c r="AP360" s="17"/>
      <c r="AQ360" s="17"/>
      <c r="AR360" s="17"/>
      <c r="AS360" s="17"/>
      <c r="AT360" s="17"/>
      <c r="AU360" s="17"/>
      <c r="AV360" s="17"/>
    </row>
    <row r="361" spans="1:48" ht="15.75" customHeight="1">
      <c r="A361" s="21" t="s">
        <v>147</v>
      </c>
      <c r="B361" s="23" t="s">
        <v>1692</v>
      </c>
      <c r="C361" s="22">
        <v>45897</v>
      </c>
      <c r="D361" s="23" t="s">
        <v>180</v>
      </c>
      <c r="E361" s="23" t="s">
        <v>249</v>
      </c>
      <c r="F361" s="21">
        <v>2</v>
      </c>
      <c r="G361" s="12">
        <f>VLOOKUP(E361,Precios!B$2:N$941,12,FALSE)</f>
        <v>8500.0000000000018</v>
      </c>
      <c r="H361" s="12">
        <f t="shared" si="0"/>
        <v>17000.000000000004</v>
      </c>
      <c r="I361" s="23" t="s">
        <v>52</v>
      </c>
      <c r="J361" s="13" t="s">
        <v>38</v>
      </c>
      <c r="K361" s="24" t="s">
        <v>177</v>
      </c>
      <c r="L361" s="24">
        <v>177</v>
      </c>
      <c r="M361" s="12">
        <f t="shared" ref="M361:N361" si="366">G361/1.19</f>
        <v>7142.8571428571449</v>
      </c>
      <c r="N361" s="12">
        <f t="shared" si="366"/>
        <v>14285.71428571429</v>
      </c>
      <c r="O361" s="12">
        <f t="shared" si="2"/>
        <v>2714.2857142857138</v>
      </c>
      <c r="P361" s="13"/>
      <c r="Q361" s="14">
        <f t="shared" si="3"/>
        <v>2025</v>
      </c>
      <c r="R361" s="15">
        <f>VLOOKUP(MONTH(C361),'Datos Maestros'!M$2:N$14,2,FALSE)</f>
        <v>45505</v>
      </c>
      <c r="S361" s="11" t="str">
        <f>VLOOKUP(E361,Precios!B$2:W$941,3,FALSE)</f>
        <v>Papel Aluminio</v>
      </c>
      <c r="T361" s="16">
        <f>VLOOKUP(E361,Precios!B$2:N$941,4,FALSE)*F361</f>
        <v>0</v>
      </c>
      <c r="U361" s="17"/>
      <c r="V361" s="12">
        <f>VLOOKUP(E361,Precios!B$2:N$941,13,FALSE)*F361</f>
        <v>4425.7142857142881</v>
      </c>
      <c r="W361" s="12">
        <f t="shared" si="4"/>
        <v>4425.7142857142881</v>
      </c>
      <c r="X361" s="12">
        <f>VLOOKUP(B361,'Datos Maestros'!$C$2:$D$7,2,FALSE)*V361</f>
        <v>0</v>
      </c>
      <c r="Y361" s="18">
        <f t="shared" si="5"/>
        <v>45894</v>
      </c>
      <c r="Z361" s="13" t="s">
        <v>39</v>
      </c>
      <c r="AA361" s="19" t="str">
        <f>VLOOKUP(D361,Clientes!$A$2:$J$486,9,FALSE)</f>
        <v>Familiar</v>
      </c>
      <c r="AB361" s="13" t="str">
        <f>VLOOKUP(D361,Clientes!$A$2:$K$486,11,FALSE)</f>
        <v>Persona Natural</v>
      </c>
      <c r="AC361" s="13" t="str">
        <f>VLOOKUP(D361,Clientes!$A$2:$B$486,2,FALSE)</f>
        <v>Familiar</v>
      </c>
      <c r="AD361" s="20"/>
      <c r="AE361" s="20"/>
      <c r="AF361" s="13" t="s">
        <v>40</v>
      </c>
      <c r="AG361" s="15">
        <f t="shared" si="6"/>
        <v>45505</v>
      </c>
      <c r="AH361" s="13" t="s">
        <v>41</v>
      </c>
      <c r="AI361" s="13" t="str">
        <f t="shared" si="7"/>
        <v>Film Plastico-Aluminio</v>
      </c>
      <c r="AJ361" s="13" t="str">
        <f>VLOOKUP(E361,Precios!Z$2:AA$941,2,FALSE)</f>
        <v>Papel Aluminio 100 metros</v>
      </c>
      <c r="AK361" s="14">
        <f>VLOOKUP(E361,Precios!Z$2:BB$941,3,FALSE)*F361</f>
        <v>-2</v>
      </c>
      <c r="AL361" s="17"/>
      <c r="AM361" s="17"/>
      <c r="AN361" s="17"/>
      <c r="AO361" s="17"/>
      <c r="AP361" s="17"/>
      <c r="AQ361" s="17"/>
      <c r="AR361" s="17"/>
      <c r="AS361" s="17"/>
      <c r="AT361" s="17"/>
      <c r="AU361" s="17"/>
      <c r="AV361" s="17"/>
    </row>
    <row r="362" spans="1:48" ht="15.75" customHeight="1">
      <c r="A362" s="21" t="s">
        <v>35</v>
      </c>
      <c r="B362" s="23" t="s">
        <v>1692</v>
      </c>
      <c r="C362" s="22">
        <v>45897</v>
      </c>
      <c r="D362" s="23" t="s">
        <v>265</v>
      </c>
      <c r="E362" s="23" t="s">
        <v>37</v>
      </c>
      <c r="F362" s="21">
        <v>1</v>
      </c>
      <c r="G362" s="12">
        <f>VLOOKUP(E362,Precios!B$2:N$941,12,FALSE)</f>
        <v>11000.014358944907</v>
      </c>
      <c r="H362" s="12">
        <f t="shared" si="0"/>
        <v>11000.014358944907</v>
      </c>
      <c r="I362" s="23" t="s">
        <v>52</v>
      </c>
      <c r="J362" s="23" t="s">
        <v>61</v>
      </c>
      <c r="K362" s="24" t="s">
        <v>177</v>
      </c>
      <c r="L362" s="24">
        <v>177</v>
      </c>
      <c r="M362" s="12">
        <f t="shared" ref="M362:N362" si="367">G362/1.19</f>
        <v>9243.7095453318543</v>
      </c>
      <c r="N362" s="12">
        <f t="shared" si="367"/>
        <v>9243.7095453318543</v>
      </c>
      <c r="O362" s="12">
        <f t="shared" si="2"/>
        <v>1756.3048136130528</v>
      </c>
      <c r="P362" s="13"/>
      <c r="Q362" s="14">
        <f t="shared" si="3"/>
        <v>2025</v>
      </c>
      <c r="R362" s="15">
        <f>VLOOKUP(MONTH(C362),'Datos Maestros'!M$2:N$14,2,FALSE)</f>
        <v>45505</v>
      </c>
      <c r="S362" s="11" t="str">
        <f>VLOOKUP(E362,Precios!B$2:W$941,3,FALSE)</f>
        <v>Queso Mantecoso</v>
      </c>
      <c r="T362" s="16">
        <f>VLOOKUP(E362,Precios!B$2:N$941,4,FALSE)*F362</f>
        <v>1000</v>
      </c>
      <c r="U362" s="17"/>
      <c r="V362" s="12">
        <f>VLOOKUP(E362,Precios!B$2:N$941,13,FALSE)*F362</f>
        <v>2806.1129066763915</v>
      </c>
      <c r="W362" s="12">
        <f t="shared" si="4"/>
        <v>2806.1129066763915</v>
      </c>
      <c r="X362" s="12">
        <f>VLOOKUP(B362,'Datos Maestros'!$C$2:$D$7,2,FALSE)*V362</f>
        <v>0</v>
      </c>
      <c r="Y362" s="18">
        <f t="shared" si="5"/>
        <v>45894</v>
      </c>
      <c r="Z362" s="13" t="s">
        <v>39</v>
      </c>
      <c r="AA362" s="19" t="str">
        <f>VLOOKUP(D362,Clientes!$A$2:$J$486,9,FALSE)</f>
        <v>Ocacional</v>
      </c>
      <c r="AB362" s="13" t="str">
        <f>VLOOKUP(D362,Clientes!$A$2:$K$486,11,FALSE)</f>
        <v>Persona Natural</v>
      </c>
      <c r="AC362" s="13" t="str">
        <f>VLOOKUP(D362,Clientes!$A$2:$B$486,2,FALSE)</f>
        <v>Sector Araucania</v>
      </c>
      <c r="AD362" s="20"/>
      <c r="AE362" s="20"/>
      <c r="AF362" s="13" t="s">
        <v>40</v>
      </c>
      <c r="AG362" s="15">
        <f t="shared" si="6"/>
        <v>45505</v>
      </c>
      <c r="AH362" s="13" t="s">
        <v>41</v>
      </c>
      <c r="AI362" s="13" t="str">
        <f t="shared" si="7"/>
        <v>Quesos</v>
      </c>
      <c r="AJ362" s="13" t="str">
        <f>VLOOKUP(E362,Precios!Z$2:AA$941,2,FALSE)</f>
        <v>Queso RUNCA Mantecoso</v>
      </c>
      <c r="AK362" s="14">
        <f>VLOOKUP(E362,Precios!Z$2:BB$941,3,FALSE)*F362</f>
        <v>-1</v>
      </c>
      <c r="AL362" s="17"/>
      <c r="AM362" s="17"/>
      <c r="AN362" s="17"/>
      <c r="AO362" s="17"/>
      <c r="AP362" s="17"/>
      <c r="AQ362" s="17"/>
      <c r="AR362" s="17"/>
      <c r="AS362" s="17"/>
      <c r="AT362" s="17"/>
      <c r="AU362" s="17"/>
      <c r="AV362" s="17"/>
    </row>
    <row r="363" spans="1:48" ht="15.75" customHeight="1">
      <c r="A363" s="21" t="s">
        <v>47</v>
      </c>
      <c r="B363" s="23" t="s">
        <v>1692</v>
      </c>
      <c r="C363" s="22">
        <v>45897</v>
      </c>
      <c r="D363" s="23" t="s">
        <v>265</v>
      </c>
      <c r="E363" s="23" t="s">
        <v>105</v>
      </c>
      <c r="F363" s="21">
        <v>1</v>
      </c>
      <c r="G363" s="12">
        <f>VLOOKUP(E363,Precios!B$2:N$941,12,FALSE)</f>
        <v>1100.0000000000002</v>
      </c>
      <c r="H363" s="12">
        <f t="shared" si="0"/>
        <v>1100.0000000000002</v>
      </c>
      <c r="I363" s="23" t="s">
        <v>52</v>
      </c>
      <c r="J363" s="23" t="s">
        <v>61</v>
      </c>
      <c r="K363" s="24" t="s">
        <v>177</v>
      </c>
      <c r="L363" s="24">
        <v>177</v>
      </c>
      <c r="M363" s="12">
        <f t="shared" ref="M363:N363" si="368">G363/1.19</f>
        <v>924.36974789915985</v>
      </c>
      <c r="N363" s="12">
        <f t="shared" si="368"/>
        <v>924.36974789915985</v>
      </c>
      <c r="O363" s="12">
        <f t="shared" si="2"/>
        <v>175.63025210084038</v>
      </c>
      <c r="P363" s="13"/>
      <c r="Q363" s="14">
        <f t="shared" si="3"/>
        <v>2025</v>
      </c>
      <c r="R363" s="15">
        <f>VLOOKUP(MONTH(C363),'Datos Maestros'!M$2:N$14,2,FALSE)</f>
        <v>45505</v>
      </c>
      <c r="S363" s="11" t="str">
        <f>VLOOKUP(E363,Precios!B$2:W$941,3,FALSE)</f>
        <v>Paños esponja Teddy (3)</v>
      </c>
      <c r="T363" s="16">
        <f>VLOOKUP(E363,Precios!B$2:N$941,4,FALSE)*F363</f>
        <v>0</v>
      </c>
      <c r="U363" s="17"/>
      <c r="V363" s="12">
        <f>VLOOKUP(E363,Precios!B$2:N$941,13,FALSE)*F363</f>
        <v>342.857142857143</v>
      </c>
      <c r="W363" s="12">
        <f t="shared" si="4"/>
        <v>342.857142857143</v>
      </c>
      <c r="X363" s="12">
        <f>VLOOKUP(B363,'Datos Maestros'!$C$2:$D$7,2,FALSE)*V363</f>
        <v>0</v>
      </c>
      <c r="Y363" s="18">
        <f t="shared" si="5"/>
        <v>45894</v>
      </c>
      <c r="Z363" s="13" t="s">
        <v>39</v>
      </c>
      <c r="AA363" s="19" t="str">
        <f>VLOOKUP(D363,Clientes!$A$2:$J$486,9,FALSE)</f>
        <v>Ocacional</v>
      </c>
      <c r="AB363" s="13" t="str">
        <f>VLOOKUP(D363,Clientes!$A$2:$K$486,11,FALSE)</f>
        <v>Persona Natural</v>
      </c>
      <c r="AC363" s="13" t="str">
        <f>VLOOKUP(D363,Clientes!$A$2:$B$486,2,FALSE)</f>
        <v>Sector Araucania</v>
      </c>
      <c r="AD363" s="20"/>
      <c r="AE363" s="20"/>
      <c r="AF363" s="13" t="s">
        <v>40</v>
      </c>
      <c r="AG363" s="15">
        <f t="shared" si="6"/>
        <v>45505</v>
      </c>
      <c r="AH363" s="13" t="s">
        <v>41</v>
      </c>
      <c r="AI363" s="13" t="str">
        <f t="shared" si="7"/>
        <v>Articulos de Aseo</v>
      </c>
      <c r="AJ363" s="13" t="str">
        <f>VLOOKUP(E363,Precios!Z$2:AA$941,2,FALSE)</f>
        <v>Paños Esponja TEDDY</v>
      </c>
      <c r="AK363" s="14">
        <f>VLOOKUP(E363,Precios!Z$2:BB$941,3,FALSE)*F363</f>
        <v>-1</v>
      </c>
      <c r="AL363" s="17"/>
      <c r="AM363" s="17"/>
      <c r="AN363" s="17"/>
      <c r="AO363" s="17"/>
      <c r="AP363" s="17"/>
      <c r="AQ363" s="17"/>
      <c r="AR363" s="17"/>
      <c r="AS363" s="17"/>
      <c r="AT363" s="17"/>
      <c r="AU363" s="17"/>
      <c r="AV363" s="17"/>
    </row>
    <row r="364" spans="1:48" ht="15.75" customHeight="1">
      <c r="A364" s="21" t="s">
        <v>76</v>
      </c>
      <c r="B364" s="23" t="s">
        <v>1692</v>
      </c>
      <c r="C364" s="22">
        <v>45897</v>
      </c>
      <c r="D364" s="23" t="s">
        <v>265</v>
      </c>
      <c r="E364" s="23" t="s">
        <v>166</v>
      </c>
      <c r="F364" s="21">
        <v>1</v>
      </c>
      <c r="G364" s="12">
        <f>VLOOKUP(E364,Precios!B$2:N$941,12,FALSE)</f>
        <v>3500.0000000000005</v>
      </c>
      <c r="H364" s="12">
        <f t="shared" si="0"/>
        <v>3500.0000000000005</v>
      </c>
      <c r="I364" s="23" t="s">
        <v>52</v>
      </c>
      <c r="J364" s="23" t="s">
        <v>61</v>
      </c>
      <c r="K364" s="24" t="s">
        <v>177</v>
      </c>
      <c r="L364" s="24">
        <v>177</v>
      </c>
      <c r="M364" s="12">
        <f t="shared" ref="M364:N364" si="369">G364/1.19</f>
        <v>2941.1764705882356</v>
      </c>
      <c r="N364" s="12">
        <f t="shared" si="369"/>
        <v>2941.1764705882356</v>
      </c>
      <c r="O364" s="12">
        <f t="shared" si="2"/>
        <v>558.82352941176487</v>
      </c>
      <c r="P364" s="13"/>
      <c r="Q364" s="14">
        <f t="shared" si="3"/>
        <v>2025</v>
      </c>
      <c r="R364" s="15">
        <f>VLOOKUP(MONTH(C364),'Datos Maestros'!M$2:N$14,2,FALSE)</f>
        <v>45505</v>
      </c>
      <c r="S364" s="11" t="str">
        <f>VLOOKUP(E364,Precios!B$2:W$941,3,FALSE)</f>
        <v>Cloro Gel</v>
      </c>
      <c r="T364" s="16">
        <f>VLOOKUP(E364,Precios!B$2:N$941,4,FALSE)*F364</f>
        <v>5</v>
      </c>
      <c r="U364" s="17"/>
      <c r="V364" s="12">
        <f>VLOOKUP(E364,Precios!B$2:N$941,13,FALSE)*F364</f>
        <v>1016.8067226890757</v>
      </c>
      <c r="W364" s="12">
        <f t="shared" si="4"/>
        <v>1016.8067226890757</v>
      </c>
      <c r="X364" s="12">
        <f>VLOOKUP(B364,'Datos Maestros'!$C$2:$D$7,2,FALSE)*V364</f>
        <v>0</v>
      </c>
      <c r="Y364" s="18">
        <f t="shared" si="5"/>
        <v>45894</v>
      </c>
      <c r="Z364" s="13" t="s">
        <v>39</v>
      </c>
      <c r="AA364" s="19" t="str">
        <f>VLOOKUP(D364,Clientes!$A$2:$J$486,9,FALSE)</f>
        <v>Ocacional</v>
      </c>
      <c r="AB364" s="13" t="str">
        <f>VLOOKUP(D364,Clientes!$A$2:$K$486,11,FALSE)</f>
        <v>Persona Natural</v>
      </c>
      <c r="AC364" s="13" t="str">
        <f>VLOOKUP(D364,Clientes!$A$2:$B$486,2,FALSE)</f>
        <v>Sector Araucania</v>
      </c>
      <c r="AD364" s="20"/>
      <c r="AE364" s="20"/>
      <c r="AF364" s="13" t="s">
        <v>40</v>
      </c>
      <c r="AG364" s="15">
        <f t="shared" si="6"/>
        <v>45505</v>
      </c>
      <c r="AH364" s="13" t="s">
        <v>41</v>
      </c>
      <c r="AI364" s="13" t="str">
        <f t="shared" si="7"/>
        <v>Detergentes</v>
      </c>
      <c r="AJ364" s="13" t="str">
        <f>VLOOKUP(E364,Precios!Z$2:AA$941,2,FALSE)</f>
        <v>Cloro GEL SPUM 5 Litros</v>
      </c>
      <c r="AK364" s="14">
        <f>VLOOKUP(E364,Precios!Z$2:BB$941,3,FALSE)*F364</f>
        <v>-1</v>
      </c>
      <c r="AL364" s="17"/>
      <c r="AM364" s="17"/>
      <c r="AN364" s="17"/>
      <c r="AO364" s="17"/>
      <c r="AP364" s="17"/>
      <c r="AQ364" s="17"/>
      <c r="AR364" s="17"/>
      <c r="AS364" s="17"/>
      <c r="AT364" s="17"/>
      <c r="AU364" s="17"/>
      <c r="AV364" s="17"/>
    </row>
    <row r="365" spans="1:48" ht="15.75" customHeight="1">
      <c r="A365" s="21" t="s">
        <v>76</v>
      </c>
      <c r="B365" s="23" t="s">
        <v>1692</v>
      </c>
      <c r="C365" s="22">
        <v>45897</v>
      </c>
      <c r="D365" s="23" t="s">
        <v>265</v>
      </c>
      <c r="E365" s="23" t="s">
        <v>110</v>
      </c>
      <c r="F365" s="21">
        <v>1</v>
      </c>
      <c r="G365" s="12">
        <f>VLOOKUP(E365,Precios!B$2:N$941,12,FALSE)</f>
        <v>2000.0000000000005</v>
      </c>
      <c r="H365" s="12">
        <f t="shared" si="0"/>
        <v>2000.0000000000005</v>
      </c>
      <c r="I365" s="23" t="s">
        <v>52</v>
      </c>
      <c r="J365" s="23" t="s">
        <v>61</v>
      </c>
      <c r="K365" s="24" t="s">
        <v>177</v>
      </c>
      <c r="L365" s="24">
        <v>177</v>
      </c>
      <c r="M365" s="12">
        <f t="shared" ref="M365:N365" si="370">G365/1.19</f>
        <v>1680.6722689075634</v>
      </c>
      <c r="N365" s="12">
        <f t="shared" si="370"/>
        <v>1680.6722689075634</v>
      </c>
      <c r="O365" s="12">
        <f t="shared" si="2"/>
        <v>319.32773109243703</v>
      </c>
      <c r="P365" s="13"/>
      <c r="Q365" s="14">
        <f t="shared" si="3"/>
        <v>2025</v>
      </c>
      <c r="R365" s="15">
        <f>VLOOKUP(MONTH(C365),'Datos Maestros'!M$2:N$14,2,FALSE)</f>
        <v>45505</v>
      </c>
      <c r="S365" s="11" t="str">
        <f>VLOOKUP(E365,Precios!B$2:W$941,3,FALSE)</f>
        <v>Cloro</v>
      </c>
      <c r="T365" s="16">
        <f>VLOOKUP(E365,Precios!B$2:N$941,4,FALSE)*F365</f>
        <v>5</v>
      </c>
      <c r="U365" s="17"/>
      <c r="V365" s="12">
        <f>VLOOKUP(E365,Precios!B$2:N$941,13,FALSE)*F365</f>
        <v>756.30252100840369</v>
      </c>
      <c r="W365" s="12">
        <f t="shared" si="4"/>
        <v>756.30252100840369</v>
      </c>
      <c r="X365" s="12">
        <f>VLOOKUP(B365,'Datos Maestros'!$C$2:$D$7,2,FALSE)*V365</f>
        <v>0</v>
      </c>
      <c r="Y365" s="18">
        <f t="shared" si="5"/>
        <v>45894</v>
      </c>
      <c r="Z365" s="13" t="s">
        <v>39</v>
      </c>
      <c r="AA365" s="19" t="str">
        <f>VLOOKUP(D365,Clientes!$A$2:$J$486,9,FALSE)</f>
        <v>Ocacional</v>
      </c>
      <c r="AB365" s="13" t="str">
        <f>VLOOKUP(D365,Clientes!$A$2:$K$486,11,FALSE)</f>
        <v>Persona Natural</v>
      </c>
      <c r="AC365" s="13" t="str">
        <f>VLOOKUP(D365,Clientes!$A$2:$B$486,2,FALSE)</f>
        <v>Sector Araucania</v>
      </c>
      <c r="AD365" s="20"/>
      <c r="AE365" s="20"/>
      <c r="AF365" s="13" t="s">
        <v>40</v>
      </c>
      <c r="AG365" s="15">
        <f t="shared" si="6"/>
        <v>45505</v>
      </c>
      <c r="AH365" s="13" t="s">
        <v>41</v>
      </c>
      <c r="AI365" s="13" t="str">
        <f t="shared" si="7"/>
        <v>Detergentes</v>
      </c>
      <c r="AJ365" s="13" t="str">
        <f>VLOOKUP(E365,Precios!Z$2:AA$941,2,FALSE)</f>
        <v>Cloro SPUM 5 Litros</v>
      </c>
      <c r="AK365" s="14">
        <f>VLOOKUP(E365,Precios!Z$2:BB$941,3,FALSE)*F365</f>
        <v>-1</v>
      </c>
      <c r="AL365" s="17"/>
      <c r="AM365" s="17"/>
      <c r="AN365" s="17"/>
      <c r="AO365" s="17"/>
      <c r="AP365" s="17"/>
      <c r="AQ365" s="17"/>
      <c r="AR365" s="17"/>
      <c r="AS365" s="17"/>
      <c r="AT365" s="17"/>
      <c r="AU365" s="17"/>
      <c r="AV365" s="17"/>
    </row>
    <row r="366" spans="1:48" ht="15.75" customHeight="1">
      <c r="A366" s="21" t="s">
        <v>53</v>
      </c>
      <c r="B366" s="23" t="s">
        <v>1692</v>
      </c>
      <c r="C366" s="22">
        <v>45897</v>
      </c>
      <c r="D366" s="23" t="s">
        <v>265</v>
      </c>
      <c r="E366" s="23" t="s">
        <v>150</v>
      </c>
      <c r="F366" s="21">
        <v>1</v>
      </c>
      <c r="G366" s="12">
        <f>VLOOKUP(E366,Precios!B$2:N$941,12,FALSE)</f>
        <v>1799.8965445892823</v>
      </c>
      <c r="H366" s="12">
        <f t="shared" si="0"/>
        <v>1799.8965445892823</v>
      </c>
      <c r="I366" s="23" t="s">
        <v>52</v>
      </c>
      <c r="J366" s="23" t="s">
        <v>61</v>
      </c>
      <c r="K366" s="24" t="s">
        <v>177</v>
      </c>
      <c r="L366" s="24">
        <v>177</v>
      </c>
      <c r="M366" s="12">
        <f t="shared" ref="M366:N366" si="371">G366/1.19</f>
        <v>1512.518104696876</v>
      </c>
      <c r="N366" s="12">
        <f t="shared" si="371"/>
        <v>1512.518104696876</v>
      </c>
      <c r="O366" s="12">
        <f t="shared" si="2"/>
        <v>287.37843989240628</v>
      </c>
      <c r="P366" s="13"/>
      <c r="Q366" s="14">
        <f t="shared" si="3"/>
        <v>2025</v>
      </c>
      <c r="R366" s="15">
        <f>VLOOKUP(MONTH(C366),'Datos Maestros'!M$2:N$14,2,FALSE)</f>
        <v>45505</v>
      </c>
      <c r="S366" s="11" t="str">
        <f>VLOOKUP(E366,Precios!B$2:W$941,3,FALSE)</f>
        <v>Servilletas</v>
      </c>
      <c r="T366" s="16">
        <f>VLOOKUP(E366,Precios!B$2:N$941,4,FALSE)*F366</f>
        <v>300</v>
      </c>
      <c r="U366" s="17"/>
      <c r="V366" s="12">
        <f>VLOOKUP(E366,Precios!B$2:N$941,13,FALSE)*F366</f>
        <v>781.51810469687575</v>
      </c>
      <c r="W366" s="12">
        <f t="shared" si="4"/>
        <v>781.51810469687575</v>
      </c>
      <c r="X366" s="12">
        <f>VLOOKUP(B366,'Datos Maestros'!$C$2:$D$7,2,FALSE)*V366</f>
        <v>0</v>
      </c>
      <c r="Y366" s="18">
        <f t="shared" si="5"/>
        <v>45894</v>
      </c>
      <c r="Z366" s="13" t="s">
        <v>39</v>
      </c>
      <c r="AA366" s="19" t="str">
        <f>VLOOKUP(D366,Clientes!$A$2:$J$486,9,FALSE)</f>
        <v>Ocacional</v>
      </c>
      <c r="AB366" s="13" t="str">
        <f>VLOOKUP(D366,Clientes!$A$2:$K$486,11,FALSE)</f>
        <v>Persona Natural</v>
      </c>
      <c r="AC366" s="13" t="str">
        <f>VLOOKUP(D366,Clientes!$A$2:$B$486,2,FALSE)</f>
        <v>Sector Araucania</v>
      </c>
      <c r="AD366" s="20"/>
      <c r="AE366" s="20"/>
      <c r="AF366" s="13" t="s">
        <v>40</v>
      </c>
      <c r="AG366" s="15">
        <f t="shared" si="6"/>
        <v>45505</v>
      </c>
      <c r="AH366" s="13" t="s">
        <v>41</v>
      </c>
      <c r="AI366" s="13" t="str">
        <f t="shared" si="7"/>
        <v>Papeleria</v>
      </c>
      <c r="AJ366" s="13" t="str">
        <f>VLOOKUP(E366,Precios!Z$2:AA$941,2,FALSE)</f>
        <v>Servilletas SOFTQUALITY 300 unidades</v>
      </c>
      <c r="AK366" s="14">
        <f>VLOOKUP(E366,Precios!Z$2:BB$941,3,FALSE)*F366</f>
        <v>-1</v>
      </c>
      <c r="AL366" s="17"/>
      <c r="AM366" s="17"/>
      <c r="AN366" s="17"/>
      <c r="AO366" s="17"/>
      <c r="AP366" s="17"/>
      <c r="AQ366" s="17"/>
      <c r="AR366" s="17"/>
      <c r="AS366" s="17"/>
      <c r="AT366" s="17"/>
      <c r="AU366" s="17"/>
      <c r="AV366" s="17"/>
    </row>
    <row r="367" spans="1:48" ht="15.75" customHeight="1">
      <c r="A367" s="21" t="s">
        <v>53</v>
      </c>
      <c r="B367" s="23" t="s">
        <v>1692</v>
      </c>
      <c r="C367" s="22">
        <v>45897</v>
      </c>
      <c r="D367" s="23" t="s">
        <v>265</v>
      </c>
      <c r="E367" s="23" t="s">
        <v>88</v>
      </c>
      <c r="F367" s="21">
        <v>1</v>
      </c>
      <c r="G367" s="12">
        <f>VLOOKUP(E367,Precios!B$2:N$941,12,FALSE)</f>
        <v>1999.9551032624961</v>
      </c>
      <c r="H367" s="12">
        <f t="shared" si="0"/>
        <v>1999.9551032624961</v>
      </c>
      <c r="I367" s="23" t="s">
        <v>52</v>
      </c>
      <c r="J367" s="23" t="s">
        <v>61</v>
      </c>
      <c r="K367" s="24" t="s">
        <v>177</v>
      </c>
      <c r="L367" s="24">
        <v>177</v>
      </c>
      <c r="M367" s="12">
        <f t="shared" ref="M367:N367" si="372">G367/1.19</f>
        <v>1680.6345405567195</v>
      </c>
      <c r="N367" s="12">
        <f t="shared" si="372"/>
        <v>1680.6345405567195</v>
      </c>
      <c r="O367" s="12">
        <f t="shared" si="2"/>
        <v>319.32056270577664</v>
      </c>
      <c r="P367" s="13"/>
      <c r="Q367" s="14">
        <f t="shared" si="3"/>
        <v>2025</v>
      </c>
      <c r="R367" s="15">
        <f>VLOOKUP(MONTH(C367),'Datos Maestros'!M$2:N$14,2,FALSE)</f>
        <v>45505</v>
      </c>
      <c r="S367" s="11" t="str">
        <f>VLOOKUP(E367,Precios!B$2:W$941,3,FALSE)</f>
        <v>Toalla Nova 26 mts</v>
      </c>
      <c r="T367" s="16">
        <f>VLOOKUP(E367,Precios!B$2:N$941,4,FALSE)*F367</f>
        <v>0</v>
      </c>
      <c r="U367" s="17"/>
      <c r="V367" s="12">
        <f>VLOOKUP(E367,Precios!B$2:N$941,13,FALSE)*F367</f>
        <v>557.63454055671946</v>
      </c>
      <c r="W367" s="12">
        <f t="shared" si="4"/>
        <v>557.63454055671946</v>
      </c>
      <c r="X367" s="12">
        <f>VLOOKUP(B367,'Datos Maestros'!$C$2:$D$7,2,FALSE)*V367</f>
        <v>0</v>
      </c>
      <c r="Y367" s="18">
        <f t="shared" si="5"/>
        <v>45894</v>
      </c>
      <c r="Z367" s="13" t="s">
        <v>39</v>
      </c>
      <c r="AA367" s="19" t="str">
        <f>VLOOKUP(D367,Clientes!$A$2:$J$486,9,FALSE)</f>
        <v>Ocacional</v>
      </c>
      <c r="AB367" s="13" t="str">
        <f>VLOOKUP(D367,Clientes!$A$2:$K$486,11,FALSE)</f>
        <v>Persona Natural</v>
      </c>
      <c r="AC367" s="13" t="str">
        <f>VLOOKUP(D367,Clientes!$A$2:$B$486,2,FALSE)</f>
        <v>Sector Araucania</v>
      </c>
      <c r="AD367" s="20"/>
      <c r="AE367" s="20"/>
      <c r="AF367" s="13" t="s">
        <v>40</v>
      </c>
      <c r="AG367" s="15">
        <f t="shared" si="6"/>
        <v>45505</v>
      </c>
      <c r="AH367" s="13" t="s">
        <v>41</v>
      </c>
      <c r="AI367" s="13" t="str">
        <f t="shared" si="7"/>
        <v>Papeleria</v>
      </c>
      <c r="AJ367" s="13" t="str">
        <f>VLOOKUP(E367,Precios!Z$2:AA$941,2,FALSE)</f>
        <v>Toalla Papel NOVA 26 metros</v>
      </c>
      <c r="AK367" s="14">
        <f>VLOOKUP(E367,Precios!Z$2:BB$941,3,FALSE)*F367</f>
        <v>-1</v>
      </c>
      <c r="AL367" s="17"/>
      <c r="AM367" s="17"/>
      <c r="AN367" s="17"/>
      <c r="AO367" s="17"/>
      <c r="AP367" s="17"/>
      <c r="AQ367" s="17"/>
      <c r="AR367" s="17"/>
      <c r="AS367" s="17"/>
      <c r="AT367" s="17"/>
      <c r="AU367" s="17"/>
      <c r="AV367" s="17"/>
    </row>
    <row r="368" spans="1:48" ht="15.75" customHeight="1">
      <c r="A368" s="21" t="s">
        <v>64</v>
      </c>
      <c r="B368" s="23" t="s">
        <v>1692</v>
      </c>
      <c r="C368" s="22">
        <v>45897</v>
      </c>
      <c r="D368" s="23" t="s">
        <v>266</v>
      </c>
      <c r="E368" s="23" t="s">
        <v>65</v>
      </c>
      <c r="F368" s="21">
        <v>2</v>
      </c>
      <c r="G368" s="12">
        <f>VLOOKUP(E368,Precios!B$2:N$941,12,FALSE)</f>
        <v>8200.2358799633075</v>
      </c>
      <c r="H368" s="12">
        <f t="shared" si="0"/>
        <v>16400.471759926615</v>
      </c>
      <c r="I368" s="23" t="s">
        <v>52</v>
      </c>
      <c r="J368" s="23" t="s">
        <v>61</v>
      </c>
      <c r="K368" s="24" t="s">
        <v>177</v>
      </c>
      <c r="L368" s="24">
        <v>177</v>
      </c>
      <c r="M368" s="12">
        <f t="shared" ref="M368:N368" si="373">G368/1.19</f>
        <v>6890.9545209775697</v>
      </c>
      <c r="N368" s="12">
        <f t="shared" si="373"/>
        <v>13781.909041955139</v>
      </c>
      <c r="O368" s="12">
        <f t="shared" si="2"/>
        <v>2618.5627179714756</v>
      </c>
      <c r="P368" s="13"/>
      <c r="Q368" s="14">
        <f t="shared" si="3"/>
        <v>2025</v>
      </c>
      <c r="R368" s="15">
        <f>VLOOKUP(MONTH(C368),'Datos Maestros'!M$2:N$14,2,FALSE)</f>
        <v>45505</v>
      </c>
      <c r="S368" s="11" t="str">
        <f>VLOOKUP(E368,Precios!B$2:W$941,3,FALSE)</f>
        <v>Longanizas</v>
      </c>
      <c r="T368" s="16">
        <f>VLOOKUP(E368,Precios!B$2:N$941,4,FALSE)*F368</f>
        <v>2</v>
      </c>
      <c r="U368" s="17"/>
      <c r="V368" s="12">
        <f>VLOOKUP(E368,Precios!B$2:N$941,13,FALSE)*F368</f>
        <v>3264.9342520391729</v>
      </c>
      <c r="W368" s="12">
        <f t="shared" si="4"/>
        <v>3264.9342520391729</v>
      </c>
      <c r="X368" s="12">
        <f>VLOOKUP(B368,'Datos Maestros'!$C$2:$D$7,2,FALSE)*V368</f>
        <v>0</v>
      </c>
      <c r="Y368" s="18">
        <f t="shared" si="5"/>
        <v>45894</v>
      </c>
      <c r="Z368" s="13" t="s">
        <v>39</v>
      </c>
      <c r="AA368" s="19" t="str">
        <f>VLOOKUP(D368,Clientes!$A$2:$J$486,9,FALSE)</f>
        <v>Regular</v>
      </c>
      <c r="AB368" s="13" t="str">
        <f>VLOOKUP(D368,Clientes!$A$2:$K$486,11,FALSE)</f>
        <v>Persona Natural</v>
      </c>
      <c r="AC368" s="13" t="str">
        <f>VLOOKUP(D368,Clientes!$A$2:$B$486,2,FALSE)</f>
        <v>Sector Santa Delia</v>
      </c>
      <c r="AD368" s="20"/>
      <c r="AE368" s="20"/>
      <c r="AF368" s="13" t="s">
        <v>40</v>
      </c>
      <c r="AG368" s="15">
        <f t="shared" si="6"/>
        <v>45505</v>
      </c>
      <c r="AH368" s="13" t="s">
        <v>41</v>
      </c>
      <c r="AI368" s="13" t="str">
        <f t="shared" si="7"/>
        <v>Longanizas</v>
      </c>
      <c r="AJ368" s="13" t="str">
        <f>VLOOKUP(E368,Precios!Z$2:AA$941,2,FALSE)</f>
        <v>Longanizas VILLABLANCA</v>
      </c>
      <c r="AK368" s="14">
        <f>VLOOKUP(E368,Precios!Z$2:BB$941,3,FALSE)*F368</f>
        <v>-2</v>
      </c>
      <c r="AL368" s="17"/>
      <c r="AM368" s="17"/>
      <c r="AN368" s="17"/>
      <c r="AO368" s="17"/>
      <c r="AP368" s="17"/>
      <c r="AQ368" s="17"/>
      <c r="AR368" s="17"/>
      <c r="AS368" s="17"/>
      <c r="AT368" s="17"/>
      <c r="AU368" s="17"/>
      <c r="AV368" s="17"/>
    </row>
    <row r="369" spans="1:48" ht="15.75" customHeight="1">
      <c r="A369" s="21" t="s">
        <v>76</v>
      </c>
      <c r="B369" s="23" t="s">
        <v>1692</v>
      </c>
      <c r="C369" s="22">
        <v>45897</v>
      </c>
      <c r="D369" s="23" t="s">
        <v>266</v>
      </c>
      <c r="E369" s="23" t="s">
        <v>137</v>
      </c>
      <c r="F369" s="21">
        <v>1</v>
      </c>
      <c r="G369" s="12">
        <f>VLOOKUP(E369,Precios!B$2:N$941,12,FALSE)</f>
        <v>3500.0000000000005</v>
      </c>
      <c r="H369" s="12">
        <f t="shared" si="0"/>
        <v>3500.0000000000005</v>
      </c>
      <c r="I369" s="23" t="s">
        <v>52</v>
      </c>
      <c r="J369" s="23" t="s">
        <v>61</v>
      </c>
      <c r="K369" s="24" t="s">
        <v>177</v>
      </c>
      <c r="L369" s="24">
        <v>177</v>
      </c>
      <c r="M369" s="12">
        <f t="shared" ref="M369:N369" si="374">G369/1.19</f>
        <v>2941.1764705882356</v>
      </c>
      <c r="N369" s="12">
        <f t="shared" si="374"/>
        <v>2941.1764705882356</v>
      </c>
      <c r="O369" s="12">
        <f t="shared" si="2"/>
        <v>558.82352941176487</v>
      </c>
      <c r="P369" s="13"/>
      <c r="Q369" s="14">
        <f t="shared" si="3"/>
        <v>2025</v>
      </c>
      <c r="R369" s="15">
        <f>VLOOKUP(MONTH(C369),'Datos Maestros'!M$2:N$14,2,FALSE)</f>
        <v>45505</v>
      </c>
      <c r="S369" s="11" t="str">
        <f>VLOOKUP(E369,Precios!B$2:W$941,3,FALSE)</f>
        <v>Detergente Piel Sensible</v>
      </c>
      <c r="T369" s="16">
        <f>VLOOKUP(E369,Precios!B$2:N$941,4,FALSE)*F369</f>
        <v>5</v>
      </c>
      <c r="U369" s="17"/>
      <c r="V369" s="12">
        <f>VLOOKUP(E369,Precios!B$2:N$941,13,FALSE)*F369</f>
        <v>848.73949579831969</v>
      </c>
      <c r="W369" s="12">
        <f t="shared" si="4"/>
        <v>848.73949579831969</v>
      </c>
      <c r="X369" s="12">
        <f>VLOOKUP(B369,'Datos Maestros'!$C$2:$D$7,2,FALSE)*V369</f>
        <v>0</v>
      </c>
      <c r="Y369" s="18">
        <f t="shared" si="5"/>
        <v>45894</v>
      </c>
      <c r="Z369" s="13" t="s">
        <v>39</v>
      </c>
      <c r="AA369" s="19" t="str">
        <f>VLOOKUP(D369,Clientes!$A$2:$J$486,9,FALSE)</f>
        <v>Regular</v>
      </c>
      <c r="AB369" s="13" t="str">
        <f>VLOOKUP(D369,Clientes!$A$2:$K$486,11,FALSE)</f>
        <v>Persona Natural</v>
      </c>
      <c r="AC369" s="13" t="str">
        <f>VLOOKUP(D369,Clientes!$A$2:$B$486,2,FALSE)</f>
        <v>Sector Santa Delia</v>
      </c>
      <c r="AD369" s="20"/>
      <c r="AE369" s="20"/>
      <c r="AF369" s="13" t="s">
        <v>40</v>
      </c>
      <c r="AG369" s="15">
        <f t="shared" si="6"/>
        <v>45505</v>
      </c>
      <c r="AH369" s="13" t="s">
        <v>41</v>
      </c>
      <c r="AI369" s="13" t="str">
        <f t="shared" si="7"/>
        <v>Detergentes</v>
      </c>
      <c r="AJ369" s="13" t="str">
        <f>VLOOKUP(E369,Precios!Z$2:AA$941,2,FALSE)</f>
        <v>Detergente SPUM 5 Litros (Blanco)</v>
      </c>
      <c r="AK369" s="14">
        <f>VLOOKUP(E369,Precios!Z$2:BB$941,3,FALSE)*F369</f>
        <v>-1</v>
      </c>
      <c r="AL369" s="17"/>
      <c r="AM369" s="17"/>
      <c r="AN369" s="17"/>
      <c r="AO369" s="17"/>
      <c r="AP369" s="17"/>
      <c r="AQ369" s="17"/>
      <c r="AR369" s="17"/>
      <c r="AS369" s="17"/>
      <c r="AT369" s="17"/>
      <c r="AU369" s="17"/>
      <c r="AV369" s="17"/>
    </row>
    <row r="370" spans="1:48" ht="15.75" customHeight="1">
      <c r="A370" s="21" t="s">
        <v>76</v>
      </c>
      <c r="B370" s="23" t="s">
        <v>1692</v>
      </c>
      <c r="C370" s="22">
        <v>45897</v>
      </c>
      <c r="D370" s="23" t="s">
        <v>266</v>
      </c>
      <c r="E370" s="23" t="s">
        <v>166</v>
      </c>
      <c r="F370" s="21">
        <v>1</v>
      </c>
      <c r="G370" s="12">
        <f>VLOOKUP(E370,Precios!B$2:N$941,12,FALSE)</f>
        <v>3500.0000000000005</v>
      </c>
      <c r="H370" s="12">
        <f t="shared" si="0"/>
        <v>3500.0000000000005</v>
      </c>
      <c r="I370" s="23" t="s">
        <v>52</v>
      </c>
      <c r="J370" s="23" t="s">
        <v>61</v>
      </c>
      <c r="K370" s="24" t="s">
        <v>177</v>
      </c>
      <c r="L370" s="24">
        <v>177</v>
      </c>
      <c r="M370" s="12">
        <f t="shared" ref="M370:N370" si="375">G370/1.19</f>
        <v>2941.1764705882356</v>
      </c>
      <c r="N370" s="12">
        <f t="shared" si="375"/>
        <v>2941.1764705882356</v>
      </c>
      <c r="O370" s="12">
        <f t="shared" si="2"/>
        <v>558.82352941176487</v>
      </c>
      <c r="P370" s="13"/>
      <c r="Q370" s="14">
        <f t="shared" si="3"/>
        <v>2025</v>
      </c>
      <c r="R370" s="15">
        <f>VLOOKUP(MONTH(C370),'Datos Maestros'!M$2:N$14,2,FALSE)</f>
        <v>45505</v>
      </c>
      <c r="S370" s="11" t="str">
        <f>VLOOKUP(E370,Precios!B$2:W$941,3,FALSE)</f>
        <v>Cloro Gel</v>
      </c>
      <c r="T370" s="16">
        <f>VLOOKUP(E370,Precios!B$2:N$941,4,FALSE)*F370</f>
        <v>5</v>
      </c>
      <c r="U370" s="17"/>
      <c r="V370" s="12">
        <f>VLOOKUP(E370,Precios!B$2:N$941,13,FALSE)*F370</f>
        <v>1016.8067226890757</v>
      </c>
      <c r="W370" s="12">
        <f t="shared" si="4"/>
        <v>1016.8067226890757</v>
      </c>
      <c r="X370" s="12">
        <f>VLOOKUP(B370,'Datos Maestros'!$C$2:$D$7,2,FALSE)*V370</f>
        <v>0</v>
      </c>
      <c r="Y370" s="18">
        <f t="shared" si="5"/>
        <v>45894</v>
      </c>
      <c r="Z370" s="13" t="s">
        <v>39</v>
      </c>
      <c r="AA370" s="19" t="str">
        <f>VLOOKUP(D370,Clientes!$A$2:$J$486,9,FALSE)</f>
        <v>Regular</v>
      </c>
      <c r="AB370" s="13" t="str">
        <f>VLOOKUP(D370,Clientes!$A$2:$K$486,11,FALSE)</f>
        <v>Persona Natural</v>
      </c>
      <c r="AC370" s="13" t="str">
        <f>VLOOKUP(D370,Clientes!$A$2:$B$486,2,FALSE)</f>
        <v>Sector Santa Delia</v>
      </c>
      <c r="AD370" s="20"/>
      <c r="AE370" s="20"/>
      <c r="AF370" s="13" t="s">
        <v>40</v>
      </c>
      <c r="AG370" s="15">
        <f t="shared" si="6"/>
        <v>45505</v>
      </c>
      <c r="AH370" s="13" t="s">
        <v>41</v>
      </c>
      <c r="AI370" s="13" t="str">
        <f t="shared" si="7"/>
        <v>Detergentes</v>
      </c>
      <c r="AJ370" s="13" t="str">
        <f>VLOOKUP(E370,Precios!Z$2:AA$941,2,FALSE)</f>
        <v>Cloro GEL SPUM 5 Litros</v>
      </c>
      <c r="AK370" s="14">
        <f>VLOOKUP(E370,Precios!Z$2:BB$941,3,FALSE)*F370</f>
        <v>-1</v>
      </c>
      <c r="AL370" s="17"/>
      <c r="AM370" s="17"/>
      <c r="AN370" s="17"/>
      <c r="AO370" s="17"/>
      <c r="AP370" s="17"/>
      <c r="AQ370" s="17"/>
      <c r="AR370" s="17"/>
      <c r="AS370" s="17"/>
      <c r="AT370" s="17"/>
      <c r="AU370" s="17"/>
      <c r="AV370" s="17"/>
    </row>
    <row r="371" spans="1:48" ht="15.75" customHeight="1">
      <c r="A371" s="21" t="s">
        <v>47</v>
      </c>
      <c r="B371" s="23" t="s">
        <v>1692</v>
      </c>
      <c r="C371" s="22">
        <v>45897</v>
      </c>
      <c r="D371" s="23" t="s">
        <v>915</v>
      </c>
      <c r="E371" s="23" t="s">
        <v>267</v>
      </c>
      <c r="F371" s="14">
        <v>1</v>
      </c>
      <c r="G371" s="12">
        <f>VLOOKUP(E371,Precios!B$2:N$941,12,FALSE)</f>
        <v>7499.8770659745942</v>
      </c>
      <c r="H371" s="12">
        <f t="shared" si="0"/>
        <v>7499.8770659745942</v>
      </c>
      <c r="I371" s="23" t="s">
        <v>52</v>
      </c>
      <c r="J371" s="13" t="s">
        <v>38</v>
      </c>
      <c r="K371" s="24" t="s">
        <v>177</v>
      </c>
      <c r="L371" s="24">
        <v>177</v>
      </c>
      <c r="M371" s="12">
        <f t="shared" ref="M371:N371" si="376">G371/1.19</f>
        <v>6302.4177024996588</v>
      </c>
      <c r="N371" s="12">
        <f t="shared" si="376"/>
        <v>6302.4177024996588</v>
      </c>
      <c r="O371" s="12">
        <f t="shared" si="2"/>
        <v>1197.4593634749353</v>
      </c>
      <c r="P371" s="13"/>
      <c r="Q371" s="14">
        <f t="shared" si="3"/>
        <v>2025</v>
      </c>
      <c r="R371" s="15">
        <f>VLOOKUP(MONTH(C371),'Datos Maestros'!M$2:N$14,2,FALSE)</f>
        <v>45505</v>
      </c>
      <c r="S371" s="11" t="str">
        <f>VLOOKUP(E371,Precios!B$2:W$941,3,FALSE)</f>
        <v>Trapero Húmedo</v>
      </c>
      <c r="T371" s="16">
        <f>VLOOKUP(E371,Precios!B$2:N$941,4,FALSE)*F371</f>
        <v>0</v>
      </c>
      <c r="U371" s="17"/>
      <c r="V371" s="12">
        <f>VLOOKUP(E371,Precios!B$2:N$941,13,FALSE)*F371</f>
        <v>1688.4177024996588</v>
      </c>
      <c r="W371" s="12">
        <f t="shared" si="4"/>
        <v>1688.4177024996588</v>
      </c>
      <c r="X371" s="12">
        <f>VLOOKUP(B371,'Datos Maestros'!$C$2:$D$7,2,FALSE)*V371</f>
        <v>0</v>
      </c>
      <c r="Y371" s="18">
        <f t="shared" si="5"/>
        <v>45894</v>
      </c>
      <c r="Z371" s="13" t="s">
        <v>39</v>
      </c>
      <c r="AA371" s="19" t="str">
        <f>VLOOKUP(D371,Clientes!$A$2:$J$486,9,FALSE)</f>
        <v>Regular</v>
      </c>
      <c r="AB371" s="13" t="str">
        <f>VLOOKUP(D371,Clientes!$A$2:$K$486,11,FALSE)</f>
        <v>Persona Natural</v>
      </c>
      <c r="AC371" s="13" t="str">
        <f>VLOOKUP(D371,Clientes!$A$2:$B$486,2,FALSE)</f>
        <v>Jardin del Eden</v>
      </c>
      <c r="AD371" s="20"/>
      <c r="AE371" s="20"/>
      <c r="AF371" s="13" t="s">
        <v>40</v>
      </c>
      <c r="AG371" s="15">
        <f t="shared" si="6"/>
        <v>45505</v>
      </c>
      <c r="AH371" s="13" t="s">
        <v>41</v>
      </c>
      <c r="AI371" s="13" t="str">
        <f t="shared" si="7"/>
        <v>Articulos de Aseo</v>
      </c>
      <c r="AJ371" s="13" t="str">
        <f>VLOOKUP(E371,Precios!Z$2:AA$941,2,FALSE)</f>
        <v>Traperos Humedos EXCELL</v>
      </c>
      <c r="AK371" s="14">
        <f>VLOOKUP(E371,Precios!Z$2:BB$941,3,FALSE)*F371</f>
        <v>-3</v>
      </c>
      <c r="AL371" s="17"/>
      <c r="AM371" s="17"/>
      <c r="AN371" s="17"/>
      <c r="AO371" s="17"/>
      <c r="AP371" s="17"/>
      <c r="AQ371" s="17"/>
      <c r="AR371" s="17"/>
      <c r="AS371" s="17"/>
      <c r="AT371" s="17"/>
      <c r="AU371" s="17"/>
      <c r="AV371" s="17"/>
    </row>
    <row r="372" spans="1:48" ht="15.75" customHeight="1">
      <c r="A372" s="21" t="s">
        <v>35</v>
      </c>
      <c r="B372" s="23" t="s">
        <v>1692</v>
      </c>
      <c r="C372" s="22">
        <v>45897</v>
      </c>
      <c r="D372" s="23" t="s">
        <v>132</v>
      </c>
      <c r="E372" s="23" t="s">
        <v>37</v>
      </c>
      <c r="F372" s="14">
        <v>1</v>
      </c>
      <c r="G372" s="12">
        <f>VLOOKUP(E372,Precios!B$2:N$941,12,FALSE)</f>
        <v>11000.014358944907</v>
      </c>
      <c r="H372" s="12">
        <f t="shared" si="0"/>
        <v>11000.014358944907</v>
      </c>
      <c r="I372" s="23" t="s">
        <v>52</v>
      </c>
      <c r="J372" s="23" t="s">
        <v>61</v>
      </c>
      <c r="K372" s="24" t="s">
        <v>177</v>
      </c>
      <c r="L372" s="24">
        <v>177</v>
      </c>
      <c r="M372" s="12">
        <f t="shared" ref="M372:N372" si="377">G372/1.19</f>
        <v>9243.7095453318543</v>
      </c>
      <c r="N372" s="12">
        <f t="shared" si="377"/>
        <v>9243.7095453318543</v>
      </c>
      <c r="O372" s="12">
        <f t="shared" si="2"/>
        <v>1756.3048136130528</v>
      </c>
      <c r="P372" s="13"/>
      <c r="Q372" s="14">
        <f t="shared" si="3"/>
        <v>2025</v>
      </c>
      <c r="R372" s="15">
        <f>VLOOKUP(MONTH(C372),'Datos Maestros'!M$2:N$14,2,FALSE)</f>
        <v>45505</v>
      </c>
      <c r="S372" s="11" t="str">
        <f>VLOOKUP(E372,Precios!B$2:W$941,3,FALSE)</f>
        <v>Queso Mantecoso</v>
      </c>
      <c r="T372" s="16">
        <f>VLOOKUP(E372,Precios!B$2:N$941,4,FALSE)*F372</f>
        <v>1000</v>
      </c>
      <c r="U372" s="17"/>
      <c r="V372" s="12">
        <f>VLOOKUP(E372,Precios!B$2:N$941,13,FALSE)*F372</f>
        <v>2806.1129066763915</v>
      </c>
      <c r="W372" s="12">
        <f t="shared" si="4"/>
        <v>2806.1129066763915</v>
      </c>
      <c r="X372" s="12">
        <f>VLOOKUP(B372,'Datos Maestros'!$C$2:$D$7,2,FALSE)*V372</f>
        <v>0</v>
      </c>
      <c r="Y372" s="18">
        <f t="shared" si="5"/>
        <v>45894</v>
      </c>
      <c r="Z372" s="13" t="s">
        <v>39</v>
      </c>
      <c r="AA372" s="19" t="str">
        <f>VLOOKUP(D372,Clientes!$A$2:$J$486,9,FALSE)</f>
        <v>Ocacional</v>
      </c>
      <c r="AB372" s="13" t="str">
        <f>VLOOKUP(D372,Clientes!$A$2:$K$486,11,FALSE)</f>
        <v>Persona Natural</v>
      </c>
      <c r="AC372" s="13" t="str">
        <f>VLOOKUP(D372,Clientes!$A$2:$B$486,2,FALSE)</f>
        <v>Walker Martinez</v>
      </c>
      <c r="AD372" s="20"/>
      <c r="AE372" s="20"/>
      <c r="AF372" s="13" t="s">
        <v>40</v>
      </c>
      <c r="AG372" s="15">
        <f t="shared" si="6"/>
        <v>45505</v>
      </c>
      <c r="AH372" s="13" t="s">
        <v>41</v>
      </c>
      <c r="AI372" s="13" t="str">
        <f t="shared" si="7"/>
        <v>Quesos</v>
      </c>
      <c r="AJ372" s="13" t="str">
        <f>VLOOKUP(E372,Precios!Z$2:AA$941,2,FALSE)</f>
        <v>Queso RUNCA Mantecoso</v>
      </c>
      <c r="AK372" s="14">
        <f>VLOOKUP(E372,Precios!Z$2:BB$941,3,FALSE)*F372</f>
        <v>-1</v>
      </c>
      <c r="AL372" s="17"/>
      <c r="AM372" s="17"/>
      <c r="AN372" s="17"/>
      <c r="AO372" s="17"/>
      <c r="AP372" s="17"/>
      <c r="AQ372" s="17"/>
      <c r="AR372" s="17"/>
      <c r="AS372" s="17"/>
      <c r="AT372" s="17"/>
      <c r="AU372" s="17"/>
      <c r="AV372" s="17"/>
    </row>
    <row r="373" spans="1:48" ht="15.75" customHeight="1">
      <c r="A373" s="21" t="s">
        <v>43</v>
      </c>
      <c r="B373" s="23" t="s">
        <v>1692</v>
      </c>
      <c r="C373" s="22">
        <v>45897</v>
      </c>
      <c r="D373" s="23" t="s">
        <v>268</v>
      </c>
      <c r="E373" s="23" t="s">
        <v>45</v>
      </c>
      <c r="F373" s="14">
        <v>1</v>
      </c>
      <c r="G373" s="12">
        <f>VLOOKUP(E373,Precios!B$2:N$941,12,FALSE)</f>
        <v>8000.1831784723063</v>
      </c>
      <c r="H373" s="12">
        <f t="shared" si="0"/>
        <v>8000.1831784723063</v>
      </c>
      <c r="I373" s="23" t="s">
        <v>52</v>
      </c>
      <c r="J373" s="23" t="s">
        <v>61</v>
      </c>
      <c r="K373" s="24" t="s">
        <v>177</v>
      </c>
      <c r="L373" s="24">
        <v>177</v>
      </c>
      <c r="M373" s="12">
        <f t="shared" ref="M373:N373" si="378">G373/1.19</f>
        <v>6722.8430071195853</v>
      </c>
      <c r="N373" s="12">
        <f t="shared" si="378"/>
        <v>6722.8430071195853</v>
      </c>
      <c r="O373" s="12">
        <f t="shared" si="2"/>
        <v>1277.340171352721</v>
      </c>
      <c r="P373" s="13"/>
      <c r="Q373" s="14">
        <f t="shared" si="3"/>
        <v>2025</v>
      </c>
      <c r="R373" s="15">
        <f>VLOOKUP(MONTH(C373),'Datos Maestros'!M$2:N$14,2,FALSE)</f>
        <v>45505</v>
      </c>
      <c r="S373" s="11" t="str">
        <f>VLOOKUP(E373,Precios!B$2:W$941,3,FALSE)</f>
        <v>Huevos EXTRA</v>
      </c>
      <c r="T373" s="16">
        <f>VLOOKUP(E373,Precios!B$2:N$941,4,FALSE)*F373</f>
        <v>0</v>
      </c>
      <c r="U373" s="17"/>
      <c r="V373" s="12">
        <f>VLOOKUP(E373,Precios!B$2:N$941,13,FALSE)*F373</f>
        <v>1151.6230071195851</v>
      </c>
      <c r="W373" s="12">
        <f t="shared" si="4"/>
        <v>1151.6230071195851</v>
      </c>
      <c r="X373" s="12">
        <f>VLOOKUP(B373,'Datos Maestros'!$C$2:$D$7,2,FALSE)*V373</f>
        <v>0</v>
      </c>
      <c r="Y373" s="18">
        <f t="shared" si="5"/>
        <v>45894</v>
      </c>
      <c r="Z373" s="13" t="s">
        <v>39</v>
      </c>
      <c r="AA373" s="19" t="str">
        <f>VLOOKUP(D373,Clientes!$A$2:$J$486,9,FALSE)</f>
        <v>Ocacional</v>
      </c>
      <c r="AB373" s="13" t="str">
        <f>VLOOKUP(D373,Clientes!$A$2:$K$486,11,FALSE)</f>
        <v>Persona Natural</v>
      </c>
      <c r="AC373" s="13" t="str">
        <f>VLOOKUP(D373,Clientes!$A$2:$B$486,2,FALSE)</f>
        <v>Las Cumbres</v>
      </c>
      <c r="AD373" s="20"/>
      <c r="AE373" s="20"/>
      <c r="AF373" s="13" t="s">
        <v>40</v>
      </c>
      <c r="AG373" s="15">
        <f t="shared" si="6"/>
        <v>45505</v>
      </c>
      <c r="AH373" s="13" t="s">
        <v>41</v>
      </c>
      <c r="AI373" s="13" t="str">
        <f t="shared" si="7"/>
        <v>Huevos</v>
      </c>
      <c r="AJ373" s="13" t="str">
        <f>VLOOKUP(E373,Precios!Z$2:AA$941,2,FALSE)</f>
        <v>Bandeja Huevos EXTRA</v>
      </c>
      <c r="AK373" s="14">
        <f>VLOOKUP(E373,Precios!Z$2:BB$941,3,FALSE)*F373</f>
        <v>-1</v>
      </c>
      <c r="AL373" s="17"/>
      <c r="AM373" s="17"/>
      <c r="AN373" s="17"/>
      <c r="AO373" s="17"/>
      <c r="AP373" s="17"/>
      <c r="AQ373" s="17"/>
      <c r="AR373" s="17"/>
      <c r="AS373" s="17"/>
      <c r="AT373" s="17"/>
      <c r="AU373" s="17"/>
      <c r="AV373" s="17"/>
    </row>
    <row r="374" spans="1:48" ht="15.75" customHeight="1">
      <c r="A374" s="21" t="s">
        <v>35</v>
      </c>
      <c r="B374" s="23" t="s">
        <v>1692</v>
      </c>
      <c r="C374" s="22">
        <v>45896</v>
      </c>
      <c r="D374" s="23" t="s">
        <v>269</v>
      </c>
      <c r="E374" s="23" t="s">
        <v>37</v>
      </c>
      <c r="F374" s="14">
        <v>1</v>
      </c>
      <c r="G374" s="12">
        <f>VLOOKUP(E374,Precios!B$2:N$941,12,FALSE)</f>
        <v>11000.014358944907</v>
      </c>
      <c r="H374" s="12">
        <f t="shared" si="0"/>
        <v>11000.014358944907</v>
      </c>
      <c r="I374" s="23" t="s">
        <v>52</v>
      </c>
      <c r="J374" s="23" t="s">
        <v>61</v>
      </c>
      <c r="K374" s="24" t="s">
        <v>177</v>
      </c>
      <c r="L374" s="24">
        <v>176</v>
      </c>
      <c r="M374" s="12">
        <f t="shared" ref="M374:N374" si="379">G374/1.19</f>
        <v>9243.7095453318543</v>
      </c>
      <c r="N374" s="12">
        <f t="shared" si="379"/>
        <v>9243.7095453318543</v>
      </c>
      <c r="O374" s="12">
        <f t="shared" si="2"/>
        <v>1756.3048136130528</v>
      </c>
      <c r="P374" s="13"/>
      <c r="Q374" s="14">
        <f t="shared" si="3"/>
        <v>2025</v>
      </c>
      <c r="R374" s="15">
        <f>VLOOKUP(MONTH(C374),'Datos Maestros'!M$2:N$14,2,FALSE)</f>
        <v>45505</v>
      </c>
      <c r="S374" s="11" t="str">
        <f>VLOOKUP(E374,Precios!B$2:W$941,3,FALSE)</f>
        <v>Queso Mantecoso</v>
      </c>
      <c r="T374" s="16">
        <f>VLOOKUP(E374,Precios!B$2:N$941,4,FALSE)*F374</f>
        <v>1000</v>
      </c>
      <c r="U374" s="17"/>
      <c r="V374" s="12">
        <f>VLOOKUP(E374,Precios!B$2:N$941,13,FALSE)*F374</f>
        <v>2806.1129066763915</v>
      </c>
      <c r="W374" s="12">
        <f t="shared" si="4"/>
        <v>2806.1129066763915</v>
      </c>
      <c r="X374" s="12">
        <f>VLOOKUP(B374,'Datos Maestros'!$C$2:$D$7,2,FALSE)*V374</f>
        <v>0</v>
      </c>
      <c r="Y374" s="18">
        <f t="shared" si="5"/>
        <v>45894</v>
      </c>
      <c r="Z374" s="13" t="s">
        <v>39</v>
      </c>
      <c r="AA374" s="19" t="str">
        <f>VLOOKUP(D374,Clientes!$A$2:$J$486,9,FALSE)</f>
        <v>Ocacional</v>
      </c>
      <c r="AB374" s="13" t="str">
        <f>VLOOKUP(D374,Clientes!$A$2:$K$486,11,FALSE)</f>
        <v>Empresa</v>
      </c>
      <c r="AC374" s="13" t="str">
        <f>VLOOKUP(D374,Clientes!$A$2:$B$486,2,FALSE)</f>
        <v>Vicente Valdez</v>
      </c>
      <c r="AD374" s="20"/>
      <c r="AE374" s="20"/>
      <c r="AF374" s="13" t="s">
        <v>40</v>
      </c>
      <c r="AG374" s="15">
        <f t="shared" si="6"/>
        <v>45505</v>
      </c>
      <c r="AH374" s="13" t="s">
        <v>41</v>
      </c>
      <c r="AI374" s="13" t="str">
        <f t="shared" si="7"/>
        <v>Quesos</v>
      </c>
      <c r="AJ374" s="13" t="str">
        <f>VLOOKUP(E374,Precios!Z$2:AA$941,2,FALSE)</f>
        <v>Queso RUNCA Mantecoso</v>
      </c>
      <c r="AK374" s="14">
        <f>VLOOKUP(E374,Precios!Z$2:BB$941,3,FALSE)*F374</f>
        <v>-1</v>
      </c>
      <c r="AL374" s="17"/>
      <c r="AM374" s="17"/>
      <c r="AN374" s="17"/>
      <c r="AO374" s="17"/>
      <c r="AP374" s="17"/>
      <c r="AQ374" s="17"/>
      <c r="AR374" s="17"/>
      <c r="AS374" s="17"/>
      <c r="AT374" s="17"/>
      <c r="AU374" s="17"/>
      <c r="AV374" s="17"/>
    </row>
    <row r="375" spans="1:48" ht="15.75" customHeight="1">
      <c r="A375" s="21" t="s">
        <v>147</v>
      </c>
      <c r="B375" s="23" t="s">
        <v>1692</v>
      </c>
      <c r="C375" s="22">
        <v>45896</v>
      </c>
      <c r="D375" s="23" t="s">
        <v>269</v>
      </c>
      <c r="E375" s="23" t="s">
        <v>249</v>
      </c>
      <c r="F375" s="14">
        <v>1</v>
      </c>
      <c r="G375" s="12">
        <f>VLOOKUP(E375,Precios!B$2:N$941,12,FALSE)</f>
        <v>8500.0000000000018</v>
      </c>
      <c r="H375" s="12">
        <f t="shared" si="0"/>
        <v>8500.0000000000018</v>
      </c>
      <c r="I375" s="23" t="s">
        <v>52</v>
      </c>
      <c r="J375" s="23" t="s">
        <v>61</v>
      </c>
      <c r="K375" s="24" t="s">
        <v>177</v>
      </c>
      <c r="L375" s="24">
        <v>176</v>
      </c>
      <c r="M375" s="12">
        <f t="shared" ref="M375:N375" si="380">G375/1.19</f>
        <v>7142.8571428571449</v>
      </c>
      <c r="N375" s="12">
        <f t="shared" si="380"/>
        <v>7142.8571428571449</v>
      </c>
      <c r="O375" s="12">
        <f t="shared" si="2"/>
        <v>1357.1428571428569</v>
      </c>
      <c r="P375" s="13"/>
      <c r="Q375" s="14">
        <f t="shared" si="3"/>
        <v>2025</v>
      </c>
      <c r="R375" s="15">
        <f>VLOOKUP(MONTH(C375),'Datos Maestros'!M$2:N$14,2,FALSE)</f>
        <v>45505</v>
      </c>
      <c r="S375" s="11" t="str">
        <f>VLOOKUP(E375,Precios!B$2:W$941,3,FALSE)</f>
        <v>Papel Aluminio</v>
      </c>
      <c r="T375" s="16">
        <f>VLOOKUP(E375,Precios!B$2:N$941,4,FALSE)*F375</f>
        <v>0</v>
      </c>
      <c r="U375" s="17"/>
      <c r="V375" s="12">
        <f>VLOOKUP(E375,Precios!B$2:N$941,13,FALSE)*F375</f>
        <v>2212.857142857144</v>
      </c>
      <c r="W375" s="12">
        <f t="shared" si="4"/>
        <v>2212.857142857144</v>
      </c>
      <c r="X375" s="12">
        <f>VLOOKUP(B375,'Datos Maestros'!$C$2:$D$7,2,FALSE)*V375</f>
        <v>0</v>
      </c>
      <c r="Y375" s="18">
        <f t="shared" si="5"/>
        <v>45894</v>
      </c>
      <c r="Z375" s="13" t="s">
        <v>39</v>
      </c>
      <c r="AA375" s="19" t="str">
        <f>VLOOKUP(D375,Clientes!$A$2:$J$486,9,FALSE)</f>
        <v>Ocacional</v>
      </c>
      <c r="AB375" s="13" t="str">
        <f>VLOOKUP(D375,Clientes!$A$2:$K$486,11,FALSE)</f>
        <v>Empresa</v>
      </c>
      <c r="AC375" s="13" t="str">
        <f>VLOOKUP(D375,Clientes!$A$2:$B$486,2,FALSE)</f>
        <v>Vicente Valdez</v>
      </c>
      <c r="AD375" s="20"/>
      <c r="AE375" s="20"/>
      <c r="AF375" s="13" t="s">
        <v>40</v>
      </c>
      <c r="AG375" s="15">
        <f t="shared" si="6"/>
        <v>45505</v>
      </c>
      <c r="AH375" s="13" t="s">
        <v>41</v>
      </c>
      <c r="AI375" s="13" t="str">
        <f t="shared" si="7"/>
        <v>Film Plastico-Aluminio</v>
      </c>
      <c r="AJ375" s="13" t="str">
        <f>VLOOKUP(E375,Precios!Z$2:AA$941,2,FALSE)</f>
        <v>Papel Aluminio 100 metros</v>
      </c>
      <c r="AK375" s="14">
        <f>VLOOKUP(E375,Precios!Z$2:BB$941,3,FALSE)*F375</f>
        <v>-1</v>
      </c>
      <c r="AL375" s="17"/>
      <c r="AM375" s="17"/>
      <c r="AN375" s="17"/>
      <c r="AO375" s="17"/>
      <c r="AP375" s="17"/>
      <c r="AQ375" s="17"/>
      <c r="AR375" s="17"/>
      <c r="AS375" s="17"/>
      <c r="AT375" s="17"/>
      <c r="AU375" s="17"/>
      <c r="AV375" s="17"/>
    </row>
    <row r="376" spans="1:48" ht="15.75" customHeight="1">
      <c r="A376" s="21" t="s">
        <v>53</v>
      </c>
      <c r="B376" s="23" t="s">
        <v>1692</v>
      </c>
      <c r="C376" s="22">
        <v>45896</v>
      </c>
      <c r="D376" s="23" t="s">
        <v>269</v>
      </c>
      <c r="E376" s="23" t="s">
        <v>162</v>
      </c>
      <c r="F376" s="14">
        <v>1</v>
      </c>
      <c r="G376" s="12">
        <f>VLOOKUP(E376,Precios!B$2:N$941,12,FALSE)</f>
        <v>9500.0304006809747</v>
      </c>
      <c r="H376" s="12">
        <f t="shared" si="0"/>
        <v>9500.0304006809747</v>
      </c>
      <c r="I376" s="23" t="s">
        <v>52</v>
      </c>
      <c r="J376" s="23" t="s">
        <v>61</v>
      </c>
      <c r="K376" s="24" t="s">
        <v>177</v>
      </c>
      <c r="L376" s="24">
        <v>176</v>
      </c>
      <c r="M376" s="12">
        <f t="shared" ref="M376:N376" si="381">G376/1.19</f>
        <v>7983.2188241016602</v>
      </c>
      <c r="N376" s="12">
        <f t="shared" si="381"/>
        <v>7983.2188241016602</v>
      </c>
      <c r="O376" s="12">
        <f t="shared" si="2"/>
        <v>1516.8115765793145</v>
      </c>
      <c r="P376" s="13"/>
      <c r="Q376" s="14">
        <f t="shared" si="3"/>
        <v>2025</v>
      </c>
      <c r="R376" s="15">
        <f>VLOOKUP(MONTH(C376),'Datos Maestros'!M$2:N$14,2,FALSE)</f>
        <v>45505</v>
      </c>
      <c r="S376" s="11" t="str">
        <f>VLOOKUP(E376,Precios!B$2:W$941,3,FALSE)</f>
        <v>Toalla Papel Soft Quality</v>
      </c>
      <c r="T376" s="16">
        <f>VLOOKUP(E376,Precios!B$2:N$941,4,FALSE)*F376</f>
        <v>0</v>
      </c>
      <c r="U376" s="17"/>
      <c r="V376" s="12">
        <f>VLOOKUP(E376,Precios!B$2:N$941,13,FALSE)*F376</f>
        <v>2731.2188241016593</v>
      </c>
      <c r="W376" s="12">
        <f t="shared" si="4"/>
        <v>2731.2188241016593</v>
      </c>
      <c r="X376" s="12">
        <f>VLOOKUP(B376,'Datos Maestros'!$C$2:$D$7,2,FALSE)*V376</f>
        <v>0</v>
      </c>
      <c r="Y376" s="18">
        <f t="shared" si="5"/>
        <v>45894</v>
      </c>
      <c r="Z376" s="13" t="s">
        <v>39</v>
      </c>
      <c r="AA376" s="19" t="str">
        <f>VLOOKUP(D376,Clientes!$A$2:$J$486,9,FALSE)</f>
        <v>Ocacional</v>
      </c>
      <c r="AB376" s="13" t="str">
        <f>VLOOKUP(D376,Clientes!$A$2:$K$486,11,FALSE)</f>
        <v>Empresa</v>
      </c>
      <c r="AC376" s="13" t="str">
        <f>VLOOKUP(D376,Clientes!$A$2:$B$486,2,FALSE)</f>
        <v>Vicente Valdez</v>
      </c>
      <c r="AD376" s="20"/>
      <c r="AE376" s="20"/>
      <c r="AF376" s="13" t="s">
        <v>40</v>
      </c>
      <c r="AG376" s="15">
        <f t="shared" si="6"/>
        <v>45505</v>
      </c>
      <c r="AH376" s="13" t="s">
        <v>41</v>
      </c>
      <c r="AI376" s="13" t="str">
        <f t="shared" si="7"/>
        <v>Papeleria</v>
      </c>
      <c r="AJ376" s="13" t="str">
        <f>VLOOKUP(E376,Precios!Z$2:AA$941,2,FALSE)</f>
        <v>Toalla Papel 250 metros dipensador</v>
      </c>
      <c r="AK376" s="14">
        <f>VLOOKUP(E376,Precios!Z$2:BB$941,3,FALSE)*F376</f>
        <v>-1</v>
      </c>
      <c r="AL376" s="17"/>
      <c r="AM376" s="17"/>
      <c r="AN376" s="17"/>
      <c r="AO376" s="17"/>
      <c r="AP376" s="17"/>
      <c r="AQ376" s="17"/>
      <c r="AR376" s="17"/>
      <c r="AS376" s="17"/>
      <c r="AT376" s="17"/>
      <c r="AU376" s="17"/>
      <c r="AV376" s="17"/>
    </row>
    <row r="377" spans="1:48" ht="15.75" customHeight="1">
      <c r="A377" s="21" t="s">
        <v>43</v>
      </c>
      <c r="B377" s="23" t="s">
        <v>1692</v>
      </c>
      <c r="C377" s="22">
        <v>45896</v>
      </c>
      <c r="D377" s="23" t="s">
        <v>270</v>
      </c>
      <c r="E377" s="23" t="s">
        <v>45</v>
      </c>
      <c r="F377" s="14">
        <v>1</v>
      </c>
      <c r="G377" s="12">
        <f>VLOOKUP(E377,Precios!B$2:N$941,12,FALSE)</f>
        <v>8000.1831784723063</v>
      </c>
      <c r="H377" s="12">
        <f t="shared" si="0"/>
        <v>8000.1831784723063</v>
      </c>
      <c r="I377" s="23" t="s">
        <v>52</v>
      </c>
      <c r="J377" s="23" t="s">
        <v>61</v>
      </c>
      <c r="K377" s="24" t="s">
        <v>177</v>
      </c>
      <c r="L377" s="24">
        <v>177</v>
      </c>
      <c r="M377" s="12">
        <f t="shared" ref="M377:N377" si="382">G377/1.19</f>
        <v>6722.8430071195853</v>
      </c>
      <c r="N377" s="12">
        <f t="shared" si="382"/>
        <v>6722.8430071195853</v>
      </c>
      <c r="O377" s="12">
        <f t="shared" si="2"/>
        <v>1277.340171352721</v>
      </c>
      <c r="P377" s="13"/>
      <c r="Q377" s="14">
        <f t="shared" si="3"/>
        <v>2025</v>
      </c>
      <c r="R377" s="15">
        <f>VLOOKUP(MONTH(C377),'Datos Maestros'!M$2:N$14,2,FALSE)</f>
        <v>45505</v>
      </c>
      <c r="S377" s="11" t="str">
        <f>VLOOKUP(E377,Precios!B$2:W$941,3,FALSE)</f>
        <v>Huevos EXTRA</v>
      </c>
      <c r="T377" s="16">
        <f>VLOOKUP(E377,Precios!B$2:N$941,4,FALSE)*F377</f>
        <v>0</v>
      </c>
      <c r="U377" s="17"/>
      <c r="V377" s="12">
        <f>VLOOKUP(E377,Precios!B$2:N$941,13,FALSE)*F377</f>
        <v>1151.6230071195851</v>
      </c>
      <c r="W377" s="12">
        <f t="shared" si="4"/>
        <v>1151.6230071195851</v>
      </c>
      <c r="X377" s="12">
        <f>VLOOKUP(B377,'Datos Maestros'!$C$2:$D$7,2,FALSE)*V377</f>
        <v>0</v>
      </c>
      <c r="Y377" s="18">
        <f t="shared" si="5"/>
        <v>45894</v>
      </c>
      <c r="Z377" s="13" t="s">
        <v>39</v>
      </c>
      <c r="AA377" s="19" t="str">
        <f>VLOOKUP(D377,Clientes!$A$2:$J$486,9,FALSE)</f>
        <v>Familiar</v>
      </c>
      <c r="AB377" s="13" t="str">
        <f>VLOOKUP(D377,Clientes!$A$2:$K$486,11,FALSE)</f>
        <v>Persona Natural</v>
      </c>
      <c r="AC377" s="13" t="str">
        <f>VLOOKUP(D377,Clientes!$A$2:$B$486,2,FALSE)</f>
        <v>Familiar</v>
      </c>
      <c r="AD377" s="20"/>
      <c r="AE377" s="20"/>
      <c r="AF377" s="13" t="s">
        <v>40</v>
      </c>
      <c r="AG377" s="15">
        <f t="shared" si="6"/>
        <v>45505</v>
      </c>
      <c r="AH377" s="13" t="s">
        <v>41</v>
      </c>
      <c r="AI377" s="13" t="str">
        <f t="shared" si="7"/>
        <v>Huevos</v>
      </c>
      <c r="AJ377" s="13" t="str">
        <f>VLOOKUP(E377,Precios!Z$2:AA$941,2,FALSE)</f>
        <v>Bandeja Huevos EXTRA</v>
      </c>
      <c r="AK377" s="14">
        <f>VLOOKUP(E377,Precios!Z$2:BB$941,3,FALSE)*F377</f>
        <v>-1</v>
      </c>
      <c r="AL377" s="17"/>
      <c r="AM377" s="17"/>
      <c r="AN377" s="17"/>
      <c r="AO377" s="17"/>
      <c r="AP377" s="17"/>
      <c r="AQ377" s="17"/>
      <c r="AR377" s="17"/>
      <c r="AS377" s="17"/>
      <c r="AT377" s="17"/>
      <c r="AU377" s="17"/>
      <c r="AV377" s="17"/>
    </row>
    <row r="378" spans="1:48" ht="15.75" customHeight="1">
      <c r="A378" s="21" t="s">
        <v>47</v>
      </c>
      <c r="B378" s="23" t="s">
        <v>1692</v>
      </c>
      <c r="C378" s="25">
        <v>45895</v>
      </c>
      <c r="D378" s="23" t="s">
        <v>915</v>
      </c>
      <c r="E378" s="23" t="s">
        <v>201</v>
      </c>
      <c r="F378" s="14">
        <v>1</v>
      </c>
      <c r="G378" s="12">
        <f>VLOOKUP(E378,Precios!B$2:N$941,12,FALSE)</f>
        <v>1499.8684349015896</v>
      </c>
      <c r="H378" s="12">
        <f t="shared" si="0"/>
        <v>1499.8684349015896</v>
      </c>
      <c r="I378" s="13" t="s">
        <v>52</v>
      </c>
      <c r="J378" s="13" t="s">
        <v>38</v>
      </c>
      <c r="K378" s="24" t="s">
        <v>177</v>
      </c>
      <c r="L378" s="24">
        <v>177</v>
      </c>
      <c r="M378" s="12">
        <f t="shared" ref="M378:N378" si="383">G378/1.19</f>
        <v>1260.393642774445</v>
      </c>
      <c r="N378" s="12">
        <f t="shared" si="383"/>
        <v>1260.393642774445</v>
      </c>
      <c r="O378" s="12">
        <f t="shared" si="2"/>
        <v>239.47479212714461</v>
      </c>
      <c r="P378" s="13"/>
      <c r="Q378" s="14">
        <f t="shared" si="3"/>
        <v>2025</v>
      </c>
      <c r="R378" s="15">
        <f>VLOOKUP(MONTH(C378),'Datos Maestros'!M$2:N$14,2,FALSE)</f>
        <v>45505</v>
      </c>
      <c r="S378" s="11" t="str">
        <f>VLOOKUP(E378,Precios!B$2:W$941,3,FALSE)</f>
        <v>Lavaloza</v>
      </c>
      <c r="T378" s="16">
        <f>VLOOKUP(E378,Precios!B$2:N$941,4,FALSE)*F378</f>
        <v>0</v>
      </c>
      <c r="U378" s="17"/>
      <c r="V378" s="12">
        <f>VLOOKUP(E378,Precios!B$2:N$941,13,FALSE)*F378</f>
        <v>462.0603094411116</v>
      </c>
      <c r="W378" s="12">
        <f t="shared" si="4"/>
        <v>462.0603094411116</v>
      </c>
      <c r="X378" s="12">
        <f>VLOOKUP(B378,'Datos Maestros'!$C$2:$D$7,2,FALSE)*V378</f>
        <v>0</v>
      </c>
      <c r="Y378" s="18">
        <f t="shared" si="5"/>
        <v>45894</v>
      </c>
      <c r="Z378" s="13" t="s">
        <v>39</v>
      </c>
      <c r="AA378" s="19" t="str">
        <f>VLOOKUP(D378,Clientes!$A$2:$J$486,9,FALSE)</f>
        <v>Regular</v>
      </c>
      <c r="AB378" s="13" t="str">
        <f>VLOOKUP(D378,Clientes!$A$2:$K$486,11,FALSE)</f>
        <v>Persona Natural</v>
      </c>
      <c r="AC378" s="13" t="str">
        <f>VLOOKUP(D378,Clientes!$A$2:$B$486,2,FALSE)</f>
        <v>Jardin del Eden</v>
      </c>
      <c r="AD378" s="20"/>
      <c r="AE378" s="20"/>
      <c r="AF378" s="13" t="s">
        <v>40</v>
      </c>
      <c r="AG378" s="15">
        <f t="shared" si="6"/>
        <v>45505</v>
      </c>
      <c r="AH378" s="13" t="s">
        <v>41</v>
      </c>
      <c r="AI378" s="13" t="str">
        <f t="shared" si="7"/>
        <v>Articulos de Aseo</v>
      </c>
      <c r="AJ378" s="13" t="str">
        <f>VLOOKUP(E378,Precios!Z$2:AA$941,2,FALSE)</f>
        <v>Lavaloza WYN 750 ml</v>
      </c>
      <c r="AK378" s="14">
        <f>VLOOKUP(E378,Precios!Z$2:BB$941,3,FALSE)*F378</f>
        <v>-1</v>
      </c>
      <c r="AL378" s="17"/>
      <c r="AM378" s="17"/>
      <c r="AN378" s="17"/>
      <c r="AO378" s="17"/>
      <c r="AP378" s="17"/>
      <c r="AQ378" s="17"/>
      <c r="AR378" s="17"/>
      <c r="AS378" s="17"/>
      <c r="AT378" s="17"/>
      <c r="AU378" s="17"/>
      <c r="AV378" s="17"/>
    </row>
    <row r="379" spans="1:48" ht="15.75" customHeight="1">
      <c r="A379" s="21" t="s">
        <v>56</v>
      </c>
      <c r="B379" s="23" t="s">
        <v>1692</v>
      </c>
      <c r="C379" s="22">
        <v>45895</v>
      </c>
      <c r="D379" s="23" t="s">
        <v>66</v>
      </c>
      <c r="E379" s="23" t="s">
        <v>67</v>
      </c>
      <c r="F379" s="21">
        <v>1</v>
      </c>
      <c r="G379" s="12">
        <f>VLOOKUP(E379,Precios!B$2:N$941,12,FALSE)</f>
        <v>7000.0000000000009</v>
      </c>
      <c r="H379" s="12">
        <f t="shared" si="0"/>
        <v>7000.0000000000009</v>
      </c>
      <c r="I379" s="23" t="s">
        <v>52</v>
      </c>
      <c r="J379" s="23" t="s">
        <v>61</v>
      </c>
      <c r="K379" s="24" t="s">
        <v>177</v>
      </c>
      <c r="L379" s="24">
        <v>177</v>
      </c>
      <c r="M379" s="12">
        <f t="shared" ref="M379:N379" si="384">G379/1.19</f>
        <v>5882.3529411764712</v>
      </c>
      <c r="N379" s="12">
        <f t="shared" si="384"/>
        <v>5882.3529411764712</v>
      </c>
      <c r="O379" s="12">
        <f t="shared" si="2"/>
        <v>1117.6470588235297</v>
      </c>
      <c r="P379" s="13"/>
      <c r="Q379" s="14">
        <f t="shared" si="3"/>
        <v>2025</v>
      </c>
      <c r="R379" s="15">
        <f>VLOOKUP(MONTH(C379),'Datos Maestros'!M$2:N$14,2,FALSE)</f>
        <v>45505</v>
      </c>
      <c r="S379" s="11" t="str">
        <f>VLOOKUP(E379,Precios!B$2:W$941,3,FALSE)</f>
        <v>Mantequilla</v>
      </c>
      <c r="T379" s="16">
        <f>VLOOKUP(E379,Precios!B$2:N$941,4,FALSE)*F379</f>
        <v>200</v>
      </c>
      <c r="U379" s="17"/>
      <c r="V379" s="12">
        <f>VLOOKUP(E379,Precios!B$2:N$941,13,FALSE)*F379</f>
        <v>1512.6050420168067</v>
      </c>
      <c r="W379" s="12">
        <f t="shared" si="4"/>
        <v>1512.6050420168067</v>
      </c>
      <c r="X379" s="12">
        <f>VLOOKUP(B379,'Datos Maestros'!$C$2:$D$7,2,FALSE)*V379</f>
        <v>0</v>
      </c>
      <c r="Y379" s="18">
        <f t="shared" si="5"/>
        <v>45894</v>
      </c>
      <c r="Z379" s="13" t="s">
        <v>39</v>
      </c>
      <c r="AA379" s="19" t="str">
        <f>VLOOKUP(D379,Clientes!$A$2:$J$486,9,FALSE)</f>
        <v>Ocacional</v>
      </c>
      <c r="AB379" s="13" t="str">
        <f>VLOOKUP(D379,Clientes!$A$2:$K$486,11,FALSE)</f>
        <v>Persona Natural</v>
      </c>
      <c r="AC379" s="13" t="str">
        <f>VLOOKUP(D379,Clientes!$A$2:$B$486,2,FALSE)</f>
        <v>Jardin Alto</v>
      </c>
      <c r="AD379" s="20"/>
      <c r="AE379" s="20"/>
      <c r="AF379" s="13" t="s">
        <v>40</v>
      </c>
      <c r="AG379" s="15">
        <f t="shared" si="6"/>
        <v>45505</v>
      </c>
      <c r="AH379" s="13" t="s">
        <v>41</v>
      </c>
      <c r="AI379" s="13" t="str">
        <f t="shared" si="7"/>
        <v>Derivados</v>
      </c>
      <c r="AJ379" s="13" t="str">
        <f>VLOOKUP(E379,Precios!Z$2:AA$941,2,FALSE)</f>
        <v>Mantequilla RUMAY</v>
      </c>
      <c r="AK379" s="14">
        <f>VLOOKUP(E379,Precios!Z$2:BB$941,3,FALSE)*F379</f>
        <v>-3</v>
      </c>
      <c r="AL379" s="17"/>
      <c r="AM379" s="17"/>
      <c r="AN379" s="17"/>
      <c r="AO379" s="17"/>
      <c r="AP379" s="17"/>
      <c r="AQ379" s="17"/>
      <c r="AR379" s="17"/>
      <c r="AS379" s="17"/>
      <c r="AT379" s="17"/>
      <c r="AU379" s="17"/>
      <c r="AV379" s="17"/>
    </row>
    <row r="380" spans="1:48" ht="15.75" customHeight="1">
      <c r="A380" s="21" t="s">
        <v>43</v>
      </c>
      <c r="B380" s="23" t="s">
        <v>1692</v>
      </c>
      <c r="C380" s="22">
        <v>45895</v>
      </c>
      <c r="D380" s="23" t="s">
        <v>66</v>
      </c>
      <c r="E380" s="23" t="s">
        <v>45</v>
      </c>
      <c r="F380" s="21">
        <v>1</v>
      </c>
      <c r="G380" s="12">
        <f>VLOOKUP(E380,Precios!B$2:N$941,12,FALSE)</f>
        <v>8000.1831784723063</v>
      </c>
      <c r="H380" s="12">
        <f t="shared" si="0"/>
        <v>8000.1831784723063</v>
      </c>
      <c r="I380" s="23" t="s">
        <v>52</v>
      </c>
      <c r="J380" s="23" t="s">
        <v>61</v>
      </c>
      <c r="K380" s="24" t="s">
        <v>177</v>
      </c>
      <c r="L380" s="24">
        <v>177</v>
      </c>
      <c r="M380" s="12">
        <f t="shared" ref="M380:N380" si="385">G380/1.19</f>
        <v>6722.8430071195853</v>
      </c>
      <c r="N380" s="12">
        <f t="shared" si="385"/>
        <v>6722.8430071195853</v>
      </c>
      <c r="O380" s="12">
        <f t="shared" si="2"/>
        <v>1277.340171352721</v>
      </c>
      <c r="P380" s="13"/>
      <c r="Q380" s="14">
        <f t="shared" si="3"/>
        <v>2025</v>
      </c>
      <c r="R380" s="15">
        <f>VLOOKUP(MONTH(C380),'Datos Maestros'!M$2:N$14,2,FALSE)</f>
        <v>45505</v>
      </c>
      <c r="S380" s="11" t="str">
        <f>VLOOKUP(E380,Precios!B$2:W$941,3,FALSE)</f>
        <v>Huevos EXTRA</v>
      </c>
      <c r="T380" s="16">
        <f>VLOOKUP(E380,Precios!B$2:N$941,4,FALSE)*F380</f>
        <v>0</v>
      </c>
      <c r="U380" s="17"/>
      <c r="V380" s="12">
        <f>VLOOKUP(E380,Precios!B$2:N$941,13,FALSE)*F380</f>
        <v>1151.6230071195851</v>
      </c>
      <c r="W380" s="12">
        <f t="shared" si="4"/>
        <v>1151.6230071195851</v>
      </c>
      <c r="X380" s="12">
        <f>VLOOKUP(B380,'Datos Maestros'!$C$2:$D$7,2,FALSE)*V380</f>
        <v>0</v>
      </c>
      <c r="Y380" s="18">
        <f t="shared" si="5"/>
        <v>45894</v>
      </c>
      <c r="Z380" s="13" t="s">
        <v>39</v>
      </c>
      <c r="AA380" s="19" t="str">
        <f>VLOOKUP(D380,Clientes!$A$2:$J$486,9,FALSE)</f>
        <v>Ocacional</v>
      </c>
      <c r="AB380" s="13" t="str">
        <f>VLOOKUP(D380,Clientes!$A$2:$K$486,11,FALSE)</f>
        <v>Persona Natural</v>
      </c>
      <c r="AC380" s="13" t="str">
        <f>VLOOKUP(D380,Clientes!$A$2:$B$486,2,FALSE)</f>
        <v>Jardin Alto</v>
      </c>
      <c r="AD380" s="20"/>
      <c r="AE380" s="20"/>
      <c r="AF380" s="13" t="s">
        <v>40</v>
      </c>
      <c r="AG380" s="15">
        <f t="shared" si="6"/>
        <v>45505</v>
      </c>
      <c r="AH380" s="13" t="s">
        <v>41</v>
      </c>
      <c r="AI380" s="13" t="str">
        <f t="shared" si="7"/>
        <v>Huevos</v>
      </c>
      <c r="AJ380" s="13" t="str">
        <f>VLOOKUP(E380,Precios!Z$2:AA$941,2,FALSE)</f>
        <v>Bandeja Huevos EXTRA</v>
      </c>
      <c r="AK380" s="14">
        <f>VLOOKUP(E380,Precios!Z$2:BB$941,3,FALSE)*F380</f>
        <v>-1</v>
      </c>
      <c r="AL380" s="17"/>
      <c r="AM380" s="17"/>
      <c r="AN380" s="17"/>
      <c r="AO380" s="17"/>
      <c r="AP380" s="17"/>
      <c r="AQ380" s="17"/>
      <c r="AR380" s="17"/>
      <c r="AS380" s="17"/>
      <c r="AT380" s="17"/>
      <c r="AU380" s="17"/>
      <c r="AV380" s="17"/>
    </row>
    <row r="381" spans="1:48" ht="15.75" customHeight="1">
      <c r="A381" s="21" t="s">
        <v>73</v>
      </c>
      <c r="B381" s="23" t="s">
        <v>1692</v>
      </c>
      <c r="C381" s="22">
        <v>45895</v>
      </c>
      <c r="D381" s="23" t="s">
        <v>271</v>
      </c>
      <c r="E381" s="23" t="s">
        <v>90</v>
      </c>
      <c r="F381" s="21">
        <v>1</v>
      </c>
      <c r="G381" s="12">
        <f>VLOOKUP(E381,Precios!B$2:N$941,12,FALSE)</f>
        <v>4199.9020019599611</v>
      </c>
      <c r="H381" s="12">
        <f t="shared" si="0"/>
        <v>4199.9020019599611</v>
      </c>
      <c r="I381" s="23" t="s">
        <v>52</v>
      </c>
      <c r="J381" s="23" t="s">
        <v>61</v>
      </c>
      <c r="K381" s="24" t="s">
        <v>177</v>
      </c>
      <c r="L381" s="24">
        <v>177</v>
      </c>
      <c r="M381" s="12">
        <f t="shared" ref="M381:N381" si="386">G381/1.19</f>
        <v>3529.3294134117323</v>
      </c>
      <c r="N381" s="12">
        <f t="shared" si="386"/>
        <v>3529.3294134117323</v>
      </c>
      <c r="O381" s="12">
        <f t="shared" si="2"/>
        <v>670.57258854822885</v>
      </c>
      <c r="P381" s="13"/>
      <c r="Q381" s="14">
        <f t="shared" si="3"/>
        <v>2025</v>
      </c>
      <c r="R381" s="15">
        <f>VLOOKUP(MONTH(C381),'Datos Maestros'!M$2:N$14,2,FALSE)</f>
        <v>45505</v>
      </c>
      <c r="S381" s="11" t="str">
        <f>VLOOKUP(E381,Precios!B$2:W$941,3,FALSE)</f>
        <v>Guantes NITRILO</v>
      </c>
      <c r="T381" s="16">
        <f>VLOOKUP(E381,Precios!B$2:N$941,4,FALSE)*F381</f>
        <v>0</v>
      </c>
      <c r="U381" s="17"/>
      <c r="V381" s="12">
        <f>VLOOKUP(E381,Precios!B$2:N$941,13,FALSE)*F381</f>
        <v>1008.3294134117323</v>
      </c>
      <c r="W381" s="12">
        <f t="shared" si="4"/>
        <v>1008.3294134117323</v>
      </c>
      <c r="X381" s="12">
        <f>VLOOKUP(B381,'Datos Maestros'!$C$2:$D$7,2,FALSE)*V381</f>
        <v>0</v>
      </c>
      <c r="Y381" s="18">
        <f t="shared" si="5"/>
        <v>45894</v>
      </c>
      <c r="Z381" s="13" t="s">
        <v>39</v>
      </c>
      <c r="AA381" s="19" t="str">
        <f>VLOOKUP(D381,Clientes!$A$2:$J$486,9,FALSE)</f>
        <v>Ocacional</v>
      </c>
      <c r="AB381" s="13" t="str">
        <f>VLOOKUP(D381,Clientes!$A$2:$K$486,11,FALSE)</f>
        <v>Persona Natural</v>
      </c>
      <c r="AC381" s="13" t="str">
        <f>VLOOKUP(D381,Clientes!$A$2:$B$486,2,FALSE)</f>
        <v>Hurtado Mendoza</v>
      </c>
      <c r="AD381" s="20"/>
      <c r="AE381" s="20"/>
      <c r="AF381" s="13" t="s">
        <v>40</v>
      </c>
      <c r="AG381" s="15">
        <f t="shared" si="6"/>
        <v>45505</v>
      </c>
      <c r="AH381" s="13" t="s">
        <v>41</v>
      </c>
      <c r="AI381" s="13" t="str">
        <f t="shared" si="7"/>
        <v>Articulos de Sanidad</v>
      </c>
      <c r="AJ381" s="13" t="str">
        <f>VLOOKUP(E381,Precios!Z$2:AA$941,2,FALSE)</f>
        <v>Guante NITRILO Talla M</v>
      </c>
      <c r="AK381" s="14">
        <f>VLOOKUP(E381,Precios!Z$2:BB$941,3,FALSE)*F381</f>
        <v>-1</v>
      </c>
      <c r="AL381" s="17"/>
      <c r="AM381" s="17"/>
      <c r="AN381" s="17"/>
      <c r="AO381" s="17"/>
      <c r="AP381" s="17"/>
      <c r="AQ381" s="17"/>
      <c r="AR381" s="17"/>
      <c r="AS381" s="17"/>
      <c r="AT381" s="17"/>
      <c r="AU381" s="17"/>
      <c r="AV381" s="17"/>
    </row>
    <row r="382" spans="1:48" ht="15.75" customHeight="1">
      <c r="A382" s="21" t="s">
        <v>43</v>
      </c>
      <c r="B382" s="23" t="s">
        <v>1692</v>
      </c>
      <c r="C382" s="22">
        <v>45895</v>
      </c>
      <c r="D382" s="23" t="s">
        <v>272</v>
      </c>
      <c r="E382" s="23" t="s">
        <v>45</v>
      </c>
      <c r="F382" s="21">
        <v>1</v>
      </c>
      <c r="G382" s="12">
        <f>VLOOKUP(E382,Precios!B$2:N$941,12,FALSE)</f>
        <v>8000.1831784723063</v>
      </c>
      <c r="H382" s="12">
        <f t="shared" si="0"/>
        <v>8000.1831784723063</v>
      </c>
      <c r="I382" s="23" t="s">
        <v>52</v>
      </c>
      <c r="J382" s="23" t="s">
        <v>61</v>
      </c>
      <c r="K382" s="24" t="s">
        <v>177</v>
      </c>
      <c r="L382" s="24">
        <v>177</v>
      </c>
      <c r="M382" s="12">
        <f t="shared" ref="M382:N382" si="387">G382/1.19</f>
        <v>6722.8430071195853</v>
      </c>
      <c r="N382" s="12">
        <f t="shared" si="387"/>
        <v>6722.8430071195853</v>
      </c>
      <c r="O382" s="12">
        <f t="shared" si="2"/>
        <v>1277.340171352721</v>
      </c>
      <c r="P382" s="13"/>
      <c r="Q382" s="14">
        <f t="shared" si="3"/>
        <v>2025</v>
      </c>
      <c r="R382" s="15">
        <f>VLOOKUP(MONTH(C382),'Datos Maestros'!M$2:N$14,2,FALSE)</f>
        <v>45505</v>
      </c>
      <c r="S382" s="11" t="str">
        <f>VLOOKUP(E382,Precios!B$2:W$941,3,FALSE)</f>
        <v>Huevos EXTRA</v>
      </c>
      <c r="T382" s="16">
        <f>VLOOKUP(E382,Precios!B$2:N$941,4,FALSE)*F382</f>
        <v>0</v>
      </c>
      <c r="U382" s="17"/>
      <c r="V382" s="12">
        <f>VLOOKUP(E382,Precios!B$2:N$941,13,FALSE)*F382</f>
        <v>1151.6230071195851</v>
      </c>
      <c r="W382" s="12">
        <f t="shared" si="4"/>
        <v>1151.6230071195851</v>
      </c>
      <c r="X382" s="12">
        <f>VLOOKUP(B382,'Datos Maestros'!$C$2:$D$7,2,FALSE)*V382</f>
        <v>0</v>
      </c>
      <c r="Y382" s="18">
        <f t="shared" si="5"/>
        <v>45894</v>
      </c>
      <c r="Z382" s="13" t="s">
        <v>39</v>
      </c>
      <c r="AA382" s="19" t="str">
        <f>VLOOKUP(D382,Clientes!$A$2:$J$486,9,FALSE)</f>
        <v>Ocacional</v>
      </c>
      <c r="AB382" s="13" t="str">
        <f>VLOOKUP(D382,Clientes!$A$2:$K$486,11,FALSE)</f>
        <v>Persona Natural</v>
      </c>
      <c r="AC382" s="13" t="str">
        <f>VLOOKUP(D382,Clientes!$A$2:$B$486,2,FALSE)</f>
        <v>Garcia Huidobro</v>
      </c>
      <c r="AD382" s="20"/>
      <c r="AE382" s="20"/>
      <c r="AF382" s="13" t="s">
        <v>40</v>
      </c>
      <c r="AG382" s="15">
        <f t="shared" si="6"/>
        <v>45505</v>
      </c>
      <c r="AH382" s="13" t="s">
        <v>41</v>
      </c>
      <c r="AI382" s="13" t="str">
        <f t="shared" si="7"/>
        <v>Huevos</v>
      </c>
      <c r="AJ382" s="13" t="str">
        <f>VLOOKUP(E382,Precios!Z$2:AA$941,2,FALSE)</f>
        <v>Bandeja Huevos EXTRA</v>
      </c>
      <c r="AK382" s="14">
        <f>VLOOKUP(E382,Precios!Z$2:BB$941,3,FALSE)*F382</f>
        <v>-1</v>
      </c>
      <c r="AL382" s="17"/>
      <c r="AM382" s="17"/>
      <c r="AN382" s="17"/>
      <c r="AO382" s="17"/>
      <c r="AP382" s="17"/>
      <c r="AQ382" s="17"/>
      <c r="AR382" s="17"/>
      <c r="AS382" s="17"/>
      <c r="AT382" s="17"/>
      <c r="AU382" s="17"/>
      <c r="AV382" s="17"/>
    </row>
    <row r="383" spans="1:48" ht="15.75" customHeight="1">
      <c r="A383" s="21" t="s">
        <v>53</v>
      </c>
      <c r="B383" s="23" t="s">
        <v>1692</v>
      </c>
      <c r="C383" s="22">
        <v>45895</v>
      </c>
      <c r="D383" s="23" t="s">
        <v>273</v>
      </c>
      <c r="E383" s="23" t="s">
        <v>203</v>
      </c>
      <c r="F383" s="21">
        <v>1</v>
      </c>
      <c r="G383" s="12">
        <f>VLOOKUP(E383,Precios!B$2:N$941,12,FALSE)</f>
        <v>10000.35681042507</v>
      </c>
      <c r="H383" s="12">
        <f t="shared" si="0"/>
        <v>10000.35681042507</v>
      </c>
      <c r="I383" s="23" t="s">
        <v>52</v>
      </c>
      <c r="J383" s="23" t="s">
        <v>61</v>
      </c>
      <c r="K383" s="24" t="s">
        <v>177</v>
      </c>
      <c r="L383" s="24">
        <v>177</v>
      </c>
      <c r="M383" s="12">
        <f t="shared" ref="M383:N383" si="388">G383/1.19</f>
        <v>8403.6611852311507</v>
      </c>
      <c r="N383" s="12">
        <f t="shared" si="388"/>
        <v>8403.6611852311507</v>
      </c>
      <c r="O383" s="12">
        <f t="shared" si="2"/>
        <v>1596.6956251939191</v>
      </c>
      <c r="P383" s="13"/>
      <c r="Q383" s="14">
        <f t="shared" si="3"/>
        <v>2025</v>
      </c>
      <c r="R383" s="15">
        <f>VLOOKUP(MONTH(C383),'Datos Maestros'!M$2:N$14,2,FALSE)</f>
        <v>45505</v>
      </c>
      <c r="S383" s="11" t="str">
        <f>VLOOKUP(E383,Precios!B$2:W$941,3,FALSE)</f>
        <v>Papel Higiénico ELITE</v>
      </c>
      <c r="T383" s="16">
        <f>VLOOKUP(E383,Precios!B$2:N$941,4,FALSE)*F383</f>
        <v>0</v>
      </c>
      <c r="U383" s="17"/>
      <c r="V383" s="12">
        <f>VLOOKUP(E383,Precios!B$2:N$941,13,FALSE)*F383</f>
        <v>2986.6611852311507</v>
      </c>
      <c r="W383" s="12">
        <f t="shared" si="4"/>
        <v>2986.6611852311507</v>
      </c>
      <c r="X383" s="12">
        <f>VLOOKUP(B383,'Datos Maestros'!$C$2:$D$7,2,FALSE)*V383</f>
        <v>0</v>
      </c>
      <c r="Y383" s="18">
        <f t="shared" si="5"/>
        <v>45894</v>
      </c>
      <c r="Z383" s="13" t="s">
        <v>39</v>
      </c>
      <c r="AA383" s="19" t="str">
        <f>VLOOKUP(D383,Clientes!$A$2:$J$486,9,FALSE)</f>
        <v>Ocacional</v>
      </c>
      <c r="AB383" s="13" t="str">
        <f>VLOOKUP(D383,Clientes!$A$2:$K$486,11,FALSE)</f>
        <v>Persona Natural</v>
      </c>
      <c r="AC383" s="13" t="str">
        <f>VLOOKUP(D383,Clientes!$A$2:$B$486,2,FALSE)</f>
        <v>Jardines de la viña</v>
      </c>
      <c r="AD383" s="20"/>
      <c r="AE383" s="20"/>
      <c r="AF383" s="13" t="s">
        <v>40</v>
      </c>
      <c r="AG383" s="15">
        <f t="shared" si="6"/>
        <v>45505</v>
      </c>
      <c r="AH383" s="13" t="s">
        <v>41</v>
      </c>
      <c r="AI383" s="13" t="str">
        <f t="shared" si="7"/>
        <v>Papeleria</v>
      </c>
      <c r="AJ383" s="13" t="str">
        <f>VLOOKUP(E383,Precios!Z$2:AA$941,2,FALSE)</f>
        <v>Papel Higienico ELITE 50 metros</v>
      </c>
      <c r="AK383" s="14">
        <f>VLOOKUP(E383,Precios!Z$2:BB$941,3,FALSE)*F383</f>
        <v>-3</v>
      </c>
      <c r="AL383" s="17"/>
      <c r="AM383" s="17"/>
      <c r="AN383" s="17"/>
      <c r="AO383" s="17"/>
      <c r="AP383" s="17"/>
      <c r="AQ383" s="17"/>
      <c r="AR383" s="17"/>
      <c r="AS383" s="17"/>
      <c r="AT383" s="17"/>
      <c r="AU383" s="17"/>
      <c r="AV383" s="17"/>
    </row>
    <row r="384" spans="1:48" ht="15.75" customHeight="1">
      <c r="A384" s="21" t="s">
        <v>53</v>
      </c>
      <c r="B384" s="23" t="s">
        <v>1692</v>
      </c>
      <c r="C384" s="22">
        <v>45895</v>
      </c>
      <c r="D384" s="23" t="s">
        <v>273</v>
      </c>
      <c r="E384" s="23" t="s">
        <v>274</v>
      </c>
      <c r="F384" s="21">
        <v>1</v>
      </c>
      <c r="G384" s="12">
        <f>VLOOKUP(E384,Precios!B$2:N$941,12,FALSE)</f>
        <v>22500.104577715188</v>
      </c>
      <c r="H384" s="12">
        <f t="shared" si="0"/>
        <v>22500.104577715188</v>
      </c>
      <c r="I384" s="23" t="s">
        <v>52</v>
      </c>
      <c r="J384" s="23" t="s">
        <v>61</v>
      </c>
      <c r="K384" s="24" t="s">
        <v>177</v>
      </c>
      <c r="L384" s="24">
        <v>177</v>
      </c>
      <c r="M384" s="12">
        <f t="shared" ref="M384:N384" si="389">G384/1.19</f>
        <v>18907.650905643015</v>
      </c>
      <c r="N384" s="12">
        <f t="shared" si="389"/>
        <v>18907.650905643015</v>
      </c>
      <c r="O384" s="12">
        <f t="shared" si="2"/>
        <v>3592.4536720721735</v>
      </c>
      <c r="P384" s="13"/>
      <c r="Q384" s="14">
        <f t="shared" si="3"/>
        <v>2025</v>
      </c>
      <c r="R384" s="15">
        <f>VLOOKUP(MONTH(C384),'Datos Maestros'!M$2:N$14,2,FALSE)</f>
        <v>45505</v>
      </c>
      <c r="S384" s="11" t="str">
        <f>VLOOKUP(E384,Precios!B$2:W$941,3,FALSE)</f>
        <v>Toalla Nova 70 mts</v>
      </c>
      <c r="T384" s="16">
        <f>VLOOKUP(E384,Precios!B$2:N$941,4,FALSE)*F384</f>
        <v>0</v>
      </c>
      <c r="U384" s="17"/>
      <c r="V384" s="12">
        <f>VLOOKUP(E384,Precios!B$2:N$941,13,FALSE)*F384</f>
        <v>5347.650905643015</v>
      </c>
      <c r="W384" s="12">
        <f t="shared" si="4"/>
        <v>5347.650905643015</v>
      </c>
      <c r="X384" s="12">
        <f>VLOOKUP(B384,'Datos Maestros'!$C$2:$D$7,2,FALSE)*V384</f>
        <v>0</v>
      </c>
      <c r="Y384" s="18">
        <f t="shared" si="5"/>
        <v>45894</v>
      </c>
      <c r="Z384" s="13" t="s">
        <v>39</v>
      </c>
      <c r="AA384" s="19" t="str">
        <f>VLOOKUP(D384,Clientes!$A$2:$J$486,9,FALSE)</f>
        <v>Ocacional</v>
      </c>
      <c r="AB384" s="13" t="str">
        <f>VLOOKUP(D384,Clientes!$A$2:$K$486,11,FALSE)</f>
        <v>Persona Natural</v>
      </c>
      <c r="AC384" s="13" t="str">
        <f>VLOOKUP(D384,Clientes!$A$2:$B$486,2,FALSE)</f>
        <v>Jardines de la viña</v>
      </c>
      <c r="AD384" s="20"/>
      <c r="AE384" s="20"/>
      <c r="AF384" s="13" t="s">
        <v>40</v>
      </c>
      <c r="AG384" s="15">
        <f t="shared" si="6"/>
        <v>45505</v>
      </c>
      <c r="AH384" s="13" t="s">
        <v>41</v>
      </c>
      <c r="AI384" s="13" t="str">
        <f t="shared" si="7"/>
        <v>Papeleria</v>
      </c>
      <c r="AJ384" s="13" t="str">
        <f>VLOOKUP(E384,Precios!Z$2:AA$941,2,FALSE)</f>
        <v>Toalla Papel NOVA 70 metros</v>
      </c>
      <c r="AK384" s="14">
        <f>VLOOKUP(E384,Precios!Z$2:BB$941,3,FALSE)*F384</f>
        <v>-8</v>
      </c>
      <c r="AL384" s="17"/>
      <c r="AM384" s="17"/>
      <c r="AN384" s="17"/>
      <c r="AO384" s="17"/>
      <c r="AP384" s="17"/>
      <c r="AQ384" s="17"/>
      <c r="AR384" s="17"/>
      <c r="AS384" s="17"/>
      <c r="AT384" s="17"/>
      <c r="AU384" s="17"/>
      <c r="AV384" s="17"/>
    </row>
    <row r="385" spans="1:48" ht="15.75" customHeight="1">
      <c r="A385" s="21" t="s">
        <v>43</v>
      </c>
      <c r="B385" s="23" t="s">
        <v>1692</v>
      </c>
      <c r="C385" s="22">
        <v>45895</v>
      </c>
      <c r="D385" s="23" t="s">
        <v>275</v>
      </c>
      <c r="E385" s="23" t="s">
        <v>45</v>
      </c>
      <c r="F385" s="21">
        <v>1</v>
      </c>
      <c r="G385" s="12">
        <f>VLOOKUP(E385,Precios!B$2:N$941,12,FALSE)</f>
        <v>8000.1831784723063</v>
      </c>
      <c r="H385" s="12">
        <f t="shared" si="0"/>
        <v>8000.1831784723063</v>
      </c>
      <c r="I385" s="23" t="s">
        <v>52</v>
      </c>
      <c r="J385" s="23" t="s">
        <v>61</v>
      </c>
      <c r="K385" s="24" t="s">
        <v>177</v>
      </c>
      <c r="L385" s="24">
        <v>177</v>
      </c>
      <c r="M385" s="12">
        <f t="shared" ref="M385:N385" si="390">G385/1.19</f>
        <v>6722.8430071195853</v>
      </c>
      <c r="N385" s="12">
        <f t="shared" si="390"/>
        <v>6722.8430071195853</v>
      </c>
      <c r="O385" s="12">
        <f t="shared" si="2"/>
        <v>1277.340171352721</v>
      </c>
      <c r="P385" s="13"/>
      <c r="Q385" s="14">
        <f t="shared" si="3"/>
        <v>2025</v>
      </c>
      <c r="R385" s="15">
        <f>VLOOKUP(MONTH(C385),'Datos Maestros'!M$2:N$14,2,FALSE)</f>
        <v>45505</v>
      </c>
      <c r="S385" s="11" t="str">
        <f>VLOOKUP(E385,Precios!B$2:W$941,3,FALSE)</f>
        <v>Huevos EXTRA</v>
      </c>
      <c r="T385" s="16">
        <f>VLOOKUP(E385,Precios!B$2:N$941,4,FALSE)*F385</f>
        <v>0</v>
      </c>
      <c r="U385" s="17"/>
      <c r="V385" s="12">
        <f>VLOOKUP(E385,Precios!B$2:N$941,13,FALSE)*F385</f>
        <v>1151.6230071195851</v>
      </c>
      <c r="W385" s="12">
        <f t="shared" si="4"/>
        <v>1151.6230071195851</v>
      </c>
      <c r="X385" s="12">
        <f>VLOOKUP(B385,'Datos Maestros'!$C$2:$D$7,2,FALSE)*V385</f>
        <v>0</v>
      </c>
      <c r="Y385" s="18">
        <f t="shared" si="5"/>
        <v>45894</v>
      </c>
      <c r="Z385" s="13" t="s">
        <v>39</v>
      </c>
      <c r="AA385" s="19" t="str">
        <f>VLOOKUP(D385,Clientes!$A$2:$J$486,9,FALSE)</f>
        <v>Ocacional</v>
      </c>
      <c r="AB385" s="13" t="str">
        <f>VLOOKUP(D385,Clientes!$A$2:$K$486,11,FALSE)</f>
        <v>Persona Natural</v>
      </c>
      <c r="AC385" s="13" t="str">
        <f>VLOOKUP(D385,Clientes!$A$2:$B$486,2,FALSE)</f>
        <v>Vecinal</v>
      </c>
      <c r="AD385" s="20"/>
      <c r="AE385" s="20"/>
      <c r="AF385" s="13" t="s">
        <v>40</v>
      </c>
      <c r="AG385" s="15">
        <f t="shared" si="6"/>
        <v>45505</v>
      </c>
      <c r="AH385" s="13" t="s">
        <v>41</v>
      </c>
      <c r="AI385" s="13" t="str">
        <f t="shared" si="7"/>
        <v>Huevos</v>
      </c>
      <c r="AJ385" s="13" t="str">
        <f>VLOOKUP(E385,Precios!Z$2:AA$941,2,FALSE)</f>
        <v>Bandeja Huevos EXTRA</v>
      </c>
      <c r="AK385" s="14">
        <f>VLOOKUP(E385,Precios!Z$2:BB$941,3,FALSE)*F385</f>
        <v>-1</v>
      </c>
      <c r="AL385" s="17"/>
      <c r="AM385" s="17"/>
      <c r="AN385" s="17"/>
      <c r="AO385" s="17"/>
      <c r="AP385" s="17"/>
      <c r="AQ385" s="17"/>
      <c r="AR385" s="17"/>
      <c r="AS385" s="17"/>
      <c r="AT385" s="17"/>
      <c r="AU385" s="17"/>
      <c r="AV385" s="17"/>
    </row>
    <row r="386" spans="1:48" ht="15.75" customHeight="1">
      <c r="A386" s="21" t="s">
        <v>53</v>
      </c>
      <c r="B386" s="23" t="s">
        <v>1692</v>
      </c>
      <c r="C386" s="25">
        <v>45894</v>
      </c>
      <c r="D386" s="23" t="s">
        <v>116</v>
      </c>
      <c r="E386" s="23" t="s">
        <v>55</v>
      </c>
      <c r="F386" s="14">
        <v>1</v>
      </c>
      <c r="G386" s="12">
        <f>VLOOKUP(E386,Precios!B$2:N$941,12,FALSE)</f>
        <v>20899.91124296327</v>
      </c>
      <c r="H386" s="12">
        <f t="shared" si="0"/>
        <v>20899.91124296327</v>
      </c>
      <c r="I386" s="23" t="s">
        <v>52</v>
      </c>
      <c r="J386" s="23" t="s">
        <v>61</v>
      </c>
      <c r="K386" s="24" t="s">
        <v>177</v>
      </c>
      <c r="L386" s="24">
        <v>177</v>
      </c>
      <c r="M386" s="12">
        <f t="shared" ref="M386:N386" si="391">G386/1.19</f>
        <v>17562.950624338882</v>
      </c>
      <c r="N386" s="12">
        <f t="shared" si="391"/>
        <v>17562.950624338882</v>
      </c>
      <c r="O386" s="12">
        <f t="shared" si="2"/>
        <v>3336.9606186243873</v>
      </c>
      <c r="P386" s="13"/>
      <c r="Q386" s="14">
        <f t="shared" si="3"/>
        <v>2025</v>
      </c>
      <c r="R386" s="15">
        <f>VLOOKUP(MONTH(C386),'Datos Maestros'!M$2:N$14,2,FALSE)</f>
        <v>45505</v>
      </c>
      <c r="S386" s="11" t="str">
        <f>VLOOKUP(E386,Precios!B$2:W$941,3,FALSE)</f>
        <v>Papel Higiénico ELITE</v>
      </c>
      <c r="T386" s="16">
        <f>VLOOKUP(E386,Precios!B$2:N$941,4,FALSE)*F386</f>
        <v>0</v>
      </c>
      <c r="U386" s="17"/>
      <c r="V386" s="12">
        <f>VLOOKUP(E386,Precios!B$2:N$941,13,FALSE)*F386</f>
        <v>3117.9506243388823</v>
      </c>
      <c r="W386" s="12">
        <f t="shared" si="4"/>
        <v>3117.9506243388823</v>
      </c>
      <c r="X386" s="12">
        <f>VLOOKUP(B386,'Datos Maestros'!$C$2:$D$7,2,FALSE)*V386</f>
        <v>0</v>
      </c>
      <c r="Y386" s="18">
        <f t="shared" si="5"/>
        <v>45894</v>
      </c>
      <c r="Z386" s="13" t="s">
        <v>39</v>
      </c>
      <c r="AA386" s="19" t="str">
        <f>VLOOKUP(D386,Clientes!$A$2:$J$486,9,FALSE)</f>
        <v>Ocacional</v>
      </c>
      <c r="AB386" s="13" t="str">
        <f>VLOOKUP(D386,Clientes!$A$2:$K$486,11,FALSE)</f>
        <v>Persona Natural</v>
      </c>
      <c r="AC386" s="13">
        <f>VLOOKUP(D386,Clientes!$A$2:$B$486,2,FALSE)</f>
        <v>0</v>
      </c>
      <c r="AD386" s="20"/>
      <c r="AE386" s="20"/>
      <c r="AF386" s="13" t="s">
        <v>40</v>
      </c>
      <c r="AG386" s="15">
        <f t="shared" si="6"/>
        <v>45505</v>
      </c>
      <c r="AH386" s="13" t="s">
        <v>41</v>
      </c>
      <c r="AI386" s="13" t="str">
        <f t="shared" si="7"/>
        <v>Papeleria</v>
      </c>
      <c r="AJ386" s="13" t="str">
        <f>VLOOKUP(E386,Precios!Z$2:AA$941,2,FALSE)</f>
        <v>Papel Higienico ELITE 50 metros</v>
      </c>
      <c r="AK386" s="14">
        <f>VLOOKUP(E386,Precios!Z$2:BB$941,3,FALSE)*F386</f>
        <v>-8</v>
      </c>
      <c r="AL386" s="17"/>
      <c r="AM386" s="17"/>
      <c r="AN386" s="17"/>
      <c r="AO386" s="17"/>
      <c r="AP386" s="17"/>
      <c r="AQ386" s="17"/>
      <c r="AR386" s="17"/>
      <c r="AS386" s="17"/>
      <c r="AT386" s="17"/>
      <c r="AU386" s="17"/>
      <c r="AV386" s="17"/>
    </row>
    <row r="387" spans="1:48" ht="15.75" customHeight="1">
      <c r="A387" s="21" t="s">
        <v>56</v>
      </c>
      <c r="B387" s="23" t="s">
        <v>1692</v>
      </c>
      <c r="C387" s="25">
        <v>45894</v>
      </c>
      <c r="D387" s="23" t="s">
        <v>116</v>
      </c>
      <c r="E387" s="23" t="s">
        <v>67</v>
      </c>
      <c r="F387" s="14">
        <v>1</v>
      </c>
      <c r="G387" s="12">
        <f>VLOOKUP(E387,Precios!B$2:N$941,12,FALSE)</f>
        <v>7000.0000000000009</v>
      </c>
      <c r="H387" s="12">
        <f t="shared" si="0"/>
        <v>7000.0000000000009</v>
      </c>
      <c r="I387" s="23" t="s">
        <v>52</v>
      </c>
      <c r="J387" s="23" t="s">
        <v>61</v>
      </c>
      <c r="K387" s="24" t="s">
        <v>177</v>
      </c>
      <c r="L387" s="24">
        <v>177</v>
      </c>
      <c r="M387" s="12">
        <f t="shared" ref="M387:N387" si="392">G387/1.19</f>
        <v>5882.3529411764712</v>
      </c>
      <c r="N387" s="12">
        <f t="shared" si="392"/>
        <v>5882.3529411764712</v>
      </c>
      <c r="O387" s="12">
        <f t="shared" si="2"/>
        <v>1117.6470588235297</v>
      </c>
      <c r="P387" s="13"/>
      <c r="Q387" s="14">
        <f t="shared" si="3"/>
        <v>2025</v>
      </c>
      <c r="R387" s="15">
        <f>VLOOKUP(MONTH(C387),'Datos Maestros'!M$2:N$14,2,FALSE)</f>
        <v>45505</v>
      </c>
      <c r="S387" s="11" t="str">
        <f>VLOOKUP(E387,Precios!B$2:W$941,3,FALSE)</f>
        <v>Mantequilla</v>
      </c>
      <c r="T387" s="16">
        <f>VLOOKUP(E387,Precios!B$2:N$941,4,FALSE)*F387</f>
        <v>200</v>
      </c>
      <c r="U387" s="17"/>
      <c r="V387" s="12">
        <f>VLOOKUP(E387,Precios!B$2:N$941,13,FALSE)*F387</f>
        <v>1512.6050420168067</v>
      </c>
      <c r="W387" s="12">
        <f t="shared" si="4"/>
        <v>1512.6050420168067</v>
      </c>
      <c r="X387" s="12">
        <f>VLOOKUP(B387,'Datos Maestros'!$C$2:$D$7,2,FALSE)*V387</f>
        <v>0</v>
      </c>
      <c r="Y387" s="18">
        <f t="shared" si="5"/>
        <v>45894</v>
      </c>
      <c r="Z387" s="13" t="s">
        <v>39</v>
      </c>
      <c r="AA387" s="19" t="str">
        <f>VLOOKUP(D387,Clientes!$A$2:$J$486,9,FALSE)</f>
        <v>Ocacional</v>
      </c>
      <c r="AB387" s="13" t="str">
        <f>VLOOKUP(D387,Clientes!$A$2:$K$486,11,FALSE)</f>
        <v>Persona Natural</v>
      </c>
      <c r="AC387" s="13">
        <f>VLOOKUP(D387,Clientes!$A$2:$B$486,2,FALSE)</f>
        <v>0</v>
      </c>
      <c r="AD387" s="20"/>
      <c r="AE387" s="20"/>
      <c r="AF387" s="13" t="s">
        <v>40</v>
      </c>
      <c r="AG387" s="15">
        <f t="shared" si="6"/>
        <v>45505</v>
      </c>
      <c r="AH387" s="13" t="s">
        <v>41</v>
      </c>
      <c r="AI387" s="13" t="str">
        <f t="shared" si="7"/>
        <v>Derivados</v>
      </c>
      <c r="AJ387" s="13" t="str">
        <f>VLOOKUP(E387,Precios!Z$2:AA$941,2,FALSE)</f>
        <v>Mantequilla RUMAY</v>
      </c>
      <c r="AK387" s="14">
        <f>VLOOKUP(E387,Precios!Z$2:BB$941,3,FALSE)*F387</f>
        <v>-3</v>
      </c>
      <c r="AL387" s="17"/>
      <c r="AM387" s="17"/>
      <c r="AN387" s="17"/>
      <c r="AO387" s="17"/>
      <c r="AP387" s="17"/>
      <c r="AQ387" s="17"/>
      <c r="AR387" s="17"/>
      <c r="AS387" s="17"/>
      <c r="AT387" s="17"/>
      <c r="AU387" s="17"/>
      <c r="AV387" s="17"/>
    </row>
    <row r="388" spans="1:48" ht="15.75" customHeight="1">
      <c r="A388" s="14" t="s">
        <v>43</v>
      </c>
      <c r="B388" s="23" t="s">
        <v>1692</v>
      </c>
      <c r="C388" s="25">
        <v>45894</v>
      </c>
      <c r="D388" s="23" t="s">
        <v>116</v>
      </c>
      <c r="E388" s="13" t="s">
        <v>45</v>
      </c>
      <c r="F388" s="14">
        <v>1</v>
      </c>
      <c r="G388" s="12">
        <f>VLOOKUP(E388,Precios!B$2:N$941,12,FALSE)</f>
        <v>8000.1831784723063</v>
      </c>
      <c r="H388" s="12">
        <f t="shared" si="0"/>
        <v>8000.1831784723063</v>
      </c>
      <c r="I388" s="23" t="s">
        <v>52</v>
      </c>
      <c r="J388" s="23" t="s">
        <v>61</v>
      </c>
      <c r="K388" s="24" t="s">
        <v>177</v>
      </c>
      <c r="L388" s="24">
        <v>177</v>
      </c>
      <c r="M388" s="12">
        <f t="shared" ref="M388:N388" si="393">G388/1.19</f>
        <v>6722.8430071195853</v>
      </c>
      <c r="N388" s="12">
        <f t="shared" si="393"/>
        <v>6722.8430071195853</v>
      </c>
      <c r="O388" s="12">
        <f t="shared" si="2"/>
        <v>1277.340171352721</v>
      </c>
      <c r="P388" s="13"/>
      <c r="Q388" s="14">
        <f t="shared" si="3"/>
        <v>2025</v>
      </c>
      <c r="R388" s="15">
        <f>VLOOKUP(MONTH(C388),'Datos Maestros'!M$2:N$14,2,FALSE)</f>
        <v>45505</v>
      </c>
      <c r="S388" s="11" t="str">
        <f>VLOOKUP(E388,Precios!B$2:W$941,3,FALSE)</f>
        <v>Huevos EXTRA</v>
      </c>
      <c r="T388" s="16">
        <f>VLOOKUP(E388,Precios!B$2:N$941,4,FALSE)*F388</f>
        <v>0</v>
      </c>
      <c r="U388" s="17"/>
      <c r="V388" s="12">
        <f>VLOOKUP(E388,Precios!B$2:N$941,13,FALSE)*F388</f>
        <v>1151.6230071195851</v>
      </c>
      <c r="W388" s="12">
        <f t="shared" si="4"/>
        <v>1151.6230071195851</v>
      </c>
      <c r="X388" s="12">
        <f>VLOOKUP(B388,'Datos Maestros'!$C$2:$D$7,2,FALSE)*V388</f>
        <v>0</v>
      </c>
      <c r="Y388" s="18">
        <f t="shared" si="5"/>
        <v>45894</v>
      </c>
      <c r="Z388" s="13" t="s">
        <v>39</v>
      </c>
      <c r="AA388" s="19" t="str">
        <f>VLOOKUP(D388,Clientes!$A$2:$J$486,9,FALSE)</f>
        <v>Ocacional</v>
      </c>
      <c r="AB388" s="13" t="str">
        <f>VLOOKUP(D388,Clientes!$A$2:$K$486,11,FALSE)</f>
        <v>Persona Natural</v>
      </c>
      <c r="AC388" s="13">
        <f>VLOOKUP(D388,Clientes!$A$2:$B$486,2,FALSE)</f>
        <v>0</v>
      </c>
      <c r="AD388" s="20"/>
      <c r="AE388" s="20"/>
      <c r="AF388" s="13" t="s">
        <v>40</v>
      </c>
      <c r="AG388" s="15">
        <f t="shared" si="6"/>
        <v>45505</v>
      </c>
      <c r="AH388" s="13" t="s">
        <v>41</v>
      </c>
      <c r="AI388" s="13" t="str">
        <f t="shared" si="7"/>
        <v>Huevos</v>
      </c>
      <c r="AJ388" s="13" t="str">
        <f>VLOOKUP(E388,Precios!Z$2:AA$941,2,FALSE)</f>
        <v>Bandeja Huevos EXTRA</v>
      </c>
      <c r="AK388" s="14">
        <f>VLOOKUP(E388,Precios!Z$2:BB$941,3,FALSE)*F388</f>
        <v>-1</v>
      </c>
      <c r="AL388" s="17"/>
      <c r="AM388" s="17"/>
      <c r="AN388" s="17"/>
      <c r="AO388" s="17"/>
      <c r="AP388" s="17"/>
      <c r="AQ388" s="17"/>
      <c r="AR388" s="17"/>
      <c r="AS388" s="17"/>
      <c r="AT388" s="17"/>
      <c r="AU388" s="17"/>
      <c r="AV388" s="17"/>
    </row>
    <row r="389" spans="1:48" ht="15.75" customHeight="1">
      <c r="A389" s="21" t="s">
        <v>35</v>
      </c>
      <c r="B389" s="23" t="s">
        <v>1692</v>
      </c>
      <c r="C389" s="25">
        <v>45894</v>
      </c>
      <c r="D389" s="23" t="s">
        <v>116</v>
      </c>
      <c r="E389" s="23" t="s">
        <v>117</v>
      </c>
      <c r="F389" s="14">
        <v>1</v>
      </c>
      <c r="G389" s="12">
        <f>VLOOKUP(E389,Precios!B$2:N$941,12,FALSE)</f>
        <v>8999.8271341726922</v>
      </c>
      <c r="H389" s="12">
        <f t="shared" si="0"/>
        <v>8999.8271341726922</v>
      </c>
      <c r="I389" s="23" t="s">
        <v>52</v>
      </c>
      <c r="J389" s="23" t="s">
        <v>61</v>
      </c>
      <c r="K389" s="24" t="s">
        <v>177</v>
      </c>
      <c r="L389" s="24">
        <v>177</v>
      </c>
      <c r="M389" s="12">
        <f t="shared" ref="M389:N389" si="394">G389/1.19</f>
        <v>7562.8799446829353</v>
      </c>
      <c r="N389" s="12">
        <f t="shared" si="394"/>
        <v>7562.8799446829353</v>
      </c>
      <c r="O389" s="12">
        <f t="shared" si="2"/>
        <v>1436.947189489757</v>
      </c>
      <c r="P389" s="13"/>
      <c r="Q389" s="14">
        <f t="shared" si="3"/>
        <v>2025</v>
      </c>
      <c r="R389" s="15">
        <f>VLOOKUP(MONTH(C389),'Datos Maestros'!M$2:N$14,2,FALSE)</f>
        <v>45505</v>
      </c>
      <c r="S389" s="11" t="str">
        <f>VLOOKUP(E389,Precios!B$2:W$941,3,FALSE)</f>
        <v>Queso Mantecoso</v>
      </c>
      <c r="T389" s="16">
        <f>VLOOKUP(E389,Precios!B$2:N$941,4,FALSE)*F389</f>
        <v>750</v>
      </c>
      <c r="U389" s="17"/>
      <c r="V389" s="12">
        <f>VLOOKUP(E389,Precios!B$2:N$941,13,FALSE)*F389</f>
        <v>2312.8799446829353</v>
      </c>
      <c r="W389" s="12">
        <f t="shared" si="4"/>
        <v>2312.8799446829353</v>
      </c>
      <c r="X389" s="12">
        <f>VLOOKUP(B389,'Datos Maestros'!$C$2:$D$7,2,FALSE)*V389</f>
        <v>0</v>
      </c>
      <c r="Y389" s="18">
        <f t="shared" si="5"/>
        <v>45894</v>
      </c>
      <c r="Z389" s="13" t="s">
        <v>39</v>
      </c>
      <c r="AA389" s="19" t="str">
        <f>VLOOKUP(D389,Clientes!$A$2:$J$486,9,FALSE)</f>
        <v>Ocacional</v>
      </c>
      <c r="AB389" s="13" t="str">
        <f>VLOOKUP(D389,Clientes!$A$2:$K$486,11,FALSE)</f>
        <v>Persona Natural</v>
      </c>
      <c r="AC389" s="13">
        <f>VLOOKUP(D389,Clientes!$A$2:$B$486,2,FALSE)</f>
        <v>0</v>
      </c>
      <c r="AD389" s="20"/>
      <c r="AE389" s="20"/>
      <c r="AF389" s="13" t="s">
        <v>40</v>
      </c>
      <c r="AG389" s="15">
        <f t="shared" si="6"/>
        <v>45505</v>
      </c>
      <c r="AH389" s="13" t="s">
        <v>41</v>
      </c>
      <c r="AI389" s="13" t="str">
        <f t="shared" si="7"/>
        <v>Quesos</v>
      </c>
      <c r="AJ389" s="13" t="str">
        <f>VLOOKUP(E389,Precios!Z$2:AA$941,2,FALSE)</f>
        <v>Queso RUNCA Laminado Mantecoso</v>
      </c>
      <c r="AK389" s="14">
        <f>VLOOKUP(E389,Precios!Z$2:BB$941,3,FALSE)*F389</f>
        <v>-0.75</v>
      </c>
      <c r="AL389" s="17"/>
      <c r="AM389" s="17"/>
      <c r="AN389" s="17"/>
      <c r="AO389" s="17"/>
      <c r="AP389" s="17"/>
      <c r="AQ389" s="17"/>
      <c r="AR389" s="17"/>
      <c r="AS389" s="17"/>
      <c r="AT389" s="17"/>
      <c r="AU389" s="17"/>
      <c r="AV389" s="17"/>
    </row>
    <row r="390" spans="1:48" ht="15.75" customHeight="1">
      <c r="A390" s="21" t="s">
        <v>43</v>
      </c>
      <c r="B390" s="23" t="s">
        <v>1692</v>
      </c>
      <c r="C390" s="22">
        <v>45894</v>
      </c>
      <c r="D390" s="23" t="s">
        <v>126</v>
      </c>
      <c r="E390" s="23" t="s">
        <v>45</v>
      </c>
      <c r="F390" s="21">
        <v>1</v>
      </c>
      <c r="G390" s="12">
        <f>VLOOKUP(E390,Precios!B$2:N$941,12,FALSE)</f>
        <v>8000.1831784723063</v>
      </c>
      <c r="H390" s="12">
        <f t="shared" si="0"/>
        <v>8000.1831784723063</v>
      </c>
      <c r="I390" s="23" t="s">
        <v>52</v>
      </c>
      <c r="J390" s="23" t="s">
        <v>61</v>
      </c>
      <c r="K390" s="24" t="s">
        <v>177</v>
      </c>
      <c r="L390" s="24">
        <v>177</v>
      </c>
      <c r="M390" s="12">
        <f t="shared" ref="M390:N390" si="395">G390/1.19</f>
        <v>6722.8430071195853</v>
      </c>
      <c r="N390" s="12">
        <f t="shared" si="395"/>
        <v>6722.8430071195853</v>
      </c>
      <c r="O390" s="12">
        <f t="shared" si="2"/>
        <v>1277.340171352721</v>
      </c>
      <c r="P390" s="13"/>
      <c r="Q390" s="14">
        <f t="shared" si="3"/>
        <v>2025</v>
      </c>
      <c r="R390" s="15">
        <f>VLOOKUP(MONTH(C390),'Datos Maestros'!M$2:N$14,2,FALSE)</f>
        <v>45505</v>
      </c>
      <c r="S390" s="11" t="str">
        <f>VLOOKUP(E390,Precios!B$2:W$941,3,FALSE)</f>
        <v>Huevos EXTRA</v>
      </c>
      <c r="T390" s="16">
        <f>VLOOKUP(E390,Precios!B$2:N$941,4,FALSE)*F390</f>
        <v>0</v>
      </c>
      <c r="U390" s="17"/>
      <c r="V390" s="12">
        <f>VLOOKUP(E390,Precios!B$2:N$941,13,FALSE)*F390</f>
        <v>1151.6230071195851</v>
      </c>
      <c r="W390" s="12">
        <f t="shared" si="4"/>
        <v>1151.6230071195851</v>
      </c>
      <c r="X390" s="12">
        <f>VLOOKUP(B390,'Datos Maestros'!$C$2:$D$7,2,FALSE)*V390</f>
        <v>0</v>
      </c>
      <c r="Y390" s="18">
        <f t="shared" si="5"/>
        <v>45894</v>
      </c>
      <c r="Z390" s="13" t="s">
        <v>39</v>
      </c>
      <c r="AA390" s="19" t="str">
        <f>VLOOKUP(D390,Clientes!$A$2:$J$486,9,FALSE)</f>
        <v>Frecuente</v>
      </c>
      <c r="AB390" s="13" t="str">
        <f>VLOOKUP(D390,Clientes!$A$2:$K$486,11,FALSE)</f>
        <v>Persona Natural</v>
      </c>
      <c r="AC390" s="13" t="str">
        <f>VLOOKUP(D390,Clientes!$A$2:$B$486,2,FALSE)</f>
        <v>Jardines de la Viña</v>
      </c>
      <c r="AD390" s="20"/>
      <c r="AE390" s="20"/>
      <c r="AF390" s="13" t="s">
        <v>40</v>
      </c>
      <c r="AG390" s="15">
        <f t="shared" si="6"/>
        <v>45505</v>
      </c>
      <c r="AH390" s="13" t="s">
        <v>41</v>
      </c>
      <c r="AI390" s="13" t="str">
        <f t="shared" si="7"/>
        <v>Huevos</v>
      </c>
      <c r="AJ390" s="13" t="str">
        <f>VLOOKUP(E390,Precios!Z$2:AA$941,2,FALSE)</f>
        <v>Bandeja Huevos EXTRA</v>
      </c>
      <c r="AK390" s="14">
        <f>VLOOKUP(E390,Precios!Z$2:BB$941,3,FALSE)*F390</f>
        <v>-1</v>
      </c>
      <c r="AL390" s="17"/>
      <c r="AM390" s="17"/>
      <c r="AN390" s="17"/>
      <c r="AO390" s="17"/>
      <c r="AP390" s="17"/>
      <c r="AQ390" s="17"/>
      <c r="AR390" s="17"/>
      <c r="AS390" s="17"/>
      <c r="AT390" s="17"/>
      <c r="AU390" s="17"/>
      <c r="AV390" s="17"/>
    </row>
    <row r="391" spans="1:48" ht="15.75" customHeight="1">
      <c r="A391" s="21" t="s">
        <v>43</v>
      </c>
      <c r="B391" s="23" t="s">
        <v>1692</v>
      </c>
      <c r="C391" s="22">
        <v>45894</v>
      </c>
      <c r="D391" s="23" t="s">
        <v>276</v>
      </c>
      <c r="E391" s="23" t="s">
        <v>45</v>
      </c>
      <c r="F391" s="21">
        <v>2</v>
      </c>
      <c r="G391" s="12">
        <f>VLOOKUP(E391,Precios!B$2:N$941,12,FALSE)</f>
        <v>8000.1831784723063</v>
      </c>
      <c r="H391" s="12">
        <f t="shared" si="0"/>
        <v>16000.366356944613</v>
      </c>
      <c r="I391" s="23" t="s">
        <v>52</v>
      </c>
      <c r="J391" s="23" t="s">
        <v>61</v>
      </c>
      <c r="K391" s="24" t="s">
        <v>177</v>
      </c>
      <c r="L391" s="24">
        <v>177</v>
      </c>
      <c r="M391" s="12">
        <f t="shared" ref="M391:N391" si="396">G391/1.19</f>
        <v>6722.8430071195853</v>
      </c>
      <c r="N391" s="12">
        <f t="shared" si="396"/>
        <v>13445.686014239171</v>
      </c>
      <c r="O391" s="12">
        <f t="shared" si="2"/>
        <v>2554.6803427054419</v>
      </c>
      <c r="P391" s="13"/>
      <c r="Q391" s="14">
        <f t="shared" si="3"/>
        <v>2025</v>
      </c>
      <c r="R391" s="15">
        <f>VLOOKUP(MONTH(C391),'Datos Maestros'!M$2:N$14,2,FALSE)</f>
        <v>45505</v>
      </c>
      <c r="S391" s="11" t="str">
        <f>VLOOKUP(E391,Precios!B$2:W$941,3,FALSE)</f>
        <v>Huevos EXTRA</v>
      </c>
      <c r="T391" s="16">
        <f>VLOOKUP(E391,Precios!B$2:N$941,4,FALSE)*F391</f>
        <v>0</v>
      </c>
      <c r="U391" s="17"/>
      <c r="V391" s="12">
        <f>VLOOKUP(E391,Precios!B$2:N$941,13,FALSE)*F391</f>
        <v>2303.2460142391701</v>
      </c>
      <c r="W391" s="12">
        <f t="shared" si="4"/>
        <v>2303.2460142391701</v>
      </c>
      <c r="X391" s="12">
        <f>VLOOKUP(B391,'Datos Maestros'!$C$2:$D$7,2,FALSE)*V391</f>
        <v>0</v>
      </c>
      <c r="Y391" s="18">
        <f t="shared" si="5"/>
        <v>45894</v>
      </c>
      <c r="Z391" s="13" t="s">
        <v>39</v>
      </c>
      <c r="AA391" s="19" t="str">
        <f>VLOOKUP(D391,Clientes!$A$2:$J$486,9,FALSE)</f>
        <v>Ocacional</v>
      </c>
      <c r="AB391" s="13" t="str">
        <f>VLOOKUP(D391,Clientes!$A$2:$K$486,11,FALSE)</f>
        <v>Persona Natural</v>
      </c>
      <c r="AC391" s="13" t="str">
        <f>VLOOKUP(D391,Clientes!$A$2:$B$486,2,FALSE)</f>
        <v>Jardin del eden</v>
      </c>
      <c r="AD391" s="20"/>
      <c r="AE391" s="20"/>
      <c r="AF391" s="13" t="s">
        <v>40</v>
      </c>
      <c r="AG391" s="15">
        <f t="shared" si="6"/>
        <v>45505</v>
      </c>
      <c r="AH391" s="13" t="s">
        <v>41</v>
      </c>
      <c r="AI391" s="13" t="str">
        <f t="shared" si="7"/>
        <v>Huevos</v>
      </c>
      <c r="AJ391" s="13" t="str">
        <f>VLOOKUP(E391,Precios!Z$2:AA$941,2,FALSE)</f>
        <v>Bandeja Huevos EXTRA</v>
      </c>
      <c r="AK391" s="14">
        <f>VLOOKUP(E391,Precios!Z$2:BB$941,3,FALSE)*F391</f>
        <v>-2</v>
      </c>
      <c r="AL391" s="17"/>
      <c r="AM391" s="17"/>
      <c r="AN391" s="17"/>
      <c r="AO391" s="17"/>
      <c r="AP391" s="17"/>
      <c r="AQ391" s="17"/>
      <c r="AR391" s="17"/>
      <c r="AS391" s="17"/>
      <c r="AT391" s="17"/>
      <c r="AU391" s="17"/>
      <c r="AV391" s="17"/>
    </row>
    <row r="392" spans="1:48" ht="15.75" customHeight="1">
      <c r="A392" s="21" t="s">
        <v>43</v>
      </c>
      <c r="B392" s="23" t="s">
        <v>1692</v>
      </c>
      <c r="C392" s="22">
        <v>45894</v>
      </c>
      <c r="D392" s="23" t="s">
        <v>219</v>
      </c>
      <c r="E392" s="23" t="s">
        <v>45</v>
      </c>
      <c r="F392" s="21">
        <v>1</v>
      </c>
      <c r="G392" s="12">
        <f>VLOOKUP(E392,Precios!B$2:N$941,12,FALSE)</f>
        <v>8000.1831784723063</v>
      </c>
      <c r="H392" s="12">
        <f t="shared" si="0"/>
        <v>8000.1831784723063</v>
      </c>
      <c r="I392" s="23" t="s">
        <v>52</v>
      </c>
      <c r="J392" s="23" t="s">
        <v>61</v>
      </c>
      <c r="K392" s="24" t="s">
        <v>177</v>
      </c>
      <c r="L392" s="24">
        <v>177</v>
      </c>
      <c r="M392" s="12">
        <f t="shared" ref="M392:N392" si="397">G392/1.19</f>
        <v>6722.8430071195853</v>
      </c>
      <c r="N392" s="12">
        <f t="shared" si="397"/>
        <v>6722.8430071195853</v>
      </c>
      <c r="O392" s="12">
        <f t="shared" si="2"/>
        <v>1277.340171352721</v>
      </c>
      <c r="P392" s="13"/>
      <c r="Q392" s="14">
        <f t="shared" si="3"/>
        <v>2025</v>
      </c>
      <c r="R392" s="15">
        <f>VLOOKUP(MONTH(C392),'Datos Maestros'!M$2:N$14,2,FALSE)</f>
        <v>45505</v>
      </c>
      <c r="S392" s="11" t="str">
        <f>VLOOKUP(E392,Precios!B$2:W$941,3,FALSE)</f>
        <v>Huevos EXTRA</v>
      </c>
      <c r="T392" s="16">
        <f>VLOOKUP(E392,Precios!B$2:N$941,4,FALSE)*F392</f>
        <v>0</v>
      </c>
      <c r="U392" s="17"/>
      <c r="V392" s="12">
        <f>VLOOKUP(E392,Precios!B$2:N$941,13,FALSE)*F392</f>
        <v>1151.6230071195851</v>
      </c>
      <c r="W392" s="12">
        <f t="shared" si="4"/>
        <v>1151.6230071195851</v>
      </c>
      <c r="X392" s="12">
        <f>VLOOKUP(B392,'Datos Maestros'!$C$2:$D$7,2,FALSE)*V392</f>
        <v>0</v>
      </c>
      <c r="Y392" s="18">
        <f t="shared" si="5"/>
        <v>45894</v>
      </c>
      <c r="Z392" s="13" t="s">
        <v>39</v>
      </c>
      <c r="AA392" s="19" t="str">
        <f>VLOOKUP(D392,Clientes!$A$2:$J$486,9,FALSE)</f>
        <v>Ocacional</v>
      </c>
      <c r="AB392" s="13" t="str">
        <f>VLOOKUP(D392,Clientes!$A$2:$K$486,11,FALSE)</f>
        <v>Persona Natural</v>
      </c>
      <c r="AC392" s="13" t="str">
        <f>VLOOKUP(D392,Clientes!$A$2:$B$486,2,FALSE)</f>
        <v>Jardines de la Viña</v>
      </c>
      <c r="AD392" s="20"/>
      <c r="AE392" s="20"/>
      <c r="AF392" s="13" t="s">
        <v>40</v>
      </c>
      <c r="AG392" s="15">
        <f t="shared" si="6"/>
        <v>45505</v>
      </c>
      <c r="AH392" s="13" t="s">
        <v>41</v>
      </c>
      <c r="AI392" s="13" t="str">
        <f t="shared" si="7"/>
        <v>Huevos</v>
      </c>
      <c r="AJ392" s="13" t="str">
        <f>VLOOKUP(E392,Precios!Z$2:AA$941,2,FALSE)</f>
        <v>Bandeja Huevos EXTRA</v>
      </c>
      <c r="AK392" s="14">
        <f>VLOOKUP(E392,Precios!Z$2:BB$941,3,FALSE)*F392</f>
        <v>-1</v>
      </c>
      <c r="AL392" s="17"/>
      <c r="AM392" s="17"/>
      <c r="AN392" s="17"/>
      <c r="AO392" s="17"/>
      <c r="AP392" s="17"/>
      <c r="AQ392" s="17"/>
      <c r="AR392" s="17"/>
      <c r="AS392" s="17"/>
      <c r="AT392" s="17"/>
      <c r="AU392" s="17"/>
      <c r="AV392" s="17"/>
    </row>
    <row r="393" spans="1:48" ht="15.75" customHeight="1">
      <c r="A393" s="21" t="s">
        <v>43</v>
      </c>
      <c r="B393" s="23" t="s">
        <v>1692</v>
      </c>
      <c r="C393" s="22">
        <v>45894</v>
      </c>
      <c r="D393" s="23" t="s">
        <v>277</v>
      </c>
      <c r="E393" s="23" t="s">
        <v>45</v>
      </c>
      <c r="F393" s="21">
        <v>1</v>
      </c>
      <c r="G393" s="12">
        <f>VLOOKUP(E393,Precios!B$2:N$941,12,FALSE)</f>
        <v>8000.1831784723063</v>
      </c>
      <c r="H393" s="12">
        <f t="shared" si="0"/>
        <v>8000.1831784723063</v>
      </c>
      <c r="I393" s="23" t="s">
        <v>52</v>
      </c>
      <c r="J393" s="23" t="s">
        <v>61</v>
      </c>
      <c r="K393" s="24" t="s">
        <v>177</v>
      </c>
      <c r="L393" s="24">
        <v>177</v>
      </c>
      <c r="M393" s="12">
        <f t="shared" ref="M393:N393" si="398">G393/1.19</f>
        <v>6722.8430071195853</v>
      </c>
      <c r="N393" s="12">
        <f t="shared" si="398"/>
        <v>6722.8430071195853</v>
      </c>
      <c r="O393" s="12">
        <f t="shared" si="2"/>
        <v>1277.340171352721</v>
      </c>
      <c r="P393" s="13"/>
      <c r="Q393" s="14">
        <f t="shared" si="3"/>
        <v>2025</v>
      </c>
      <c r="R393" s="15">
        <f>VLOOKUP(MONTH(C393),'Datos Maestros'!M$2:N$14,2,FALSE)</f>
        <v>45505</v>
      </c>
      <c r="S393" s="11" t="str">
        <f>VLOOKUP(E393,Precios!B$2:W$941,3,FALSE)</f>
        <v>Huevos EXTRA</v>
      </c>
      <c r="T393" s="16">
        <f>VLOOKUP(E393,Precios!B$2:N$941,4,FALSE)*F393</f>
        <v>0</v>
      </c>
      <c r="U393" s="17"/>
      <c r="V393" s="12">
        <f>VLOOKUP(E393,Precios!B$2:N$941,13,FALSE)*F393</f>
        <v>1151.6230071195851</v>
      </c>
      <c r="W393" s="12">
        <f t="shared" si="4"/>
        <v>1151.6230071195851</v>
      </c>
      <c r="X393" s="12">
        <f>VLOOKUP(B393,'Datos Maestros'!$C$2:$D$7,2,FALSE)*V393</f>
        <v>0</v>
      </c>
      <c r="Y393" s="18">
        <f t="shared" si="5"/>
        <v>45894</v>
      </c>
      <c r="Z393" s="13" t="s">
        <v>39</v>
      </c>
      <c r="AA393" s="19" t="str">
        <f>VLOOKUP(D393,Clientes!$A$2:$J$486,9,FALSE)</f>
        <v>Ocacional</v>
      </c>
      <c r="AB393" s="13" t="str">
        <f>VLOOKUP(D393,Clientes!$A$2:$K$486,11,FALSE)</f>
        <v>Persona Natural</v>
      </c>
      <c r="AC393" s="13" t="str">
        <f>VLOOKUP(D393,Clientes!$A$2:$B$486,2,FALSE)</f>
        <v>Rojas Magallanes</v>
      </c>
      <c r="AD393" s="20"/>
      <c r="AE393" s="20"/>
      <c r="AF393" s="13" t="s">
        <v>40</v>
      </c>
      <c r="AG393" s="15">
        <f t="shared" si="6"/>
        <v>45505</v>
      </c>
      <c r="AH393" s="13" t="s">
        <v>41</v>
      </c>
      <c r="AI393" s="13" t="str">
        <f t="shared" si="7"/>
        <v>Huevos</v>
      </c>
      <c r="AJ393" s="13" t="str">
        <f>VLOOKUP(E393,Precios!Z$2:AA$941,2,FALSE)</f>
        <v>Bandeja Huevos EXTRA</v>
      </c>
      <c r="AK393" s="14">
        <f>VLOOKUP(E393,Precios!Z$2:BB$941,3,FALSE)*F393</f>
        <v>-1</v>
      </c>
      <c r="AL393" s="17"/>
      <c r="AM393" s="17"/>
      <c r="AN393" s="17"/>
      <c r="AO393" s="17"/>
      <c r="AP393" s="17"/>
      <c r="AQ393" s="17"/>
      <c r="AR393" s="17"/>
      <c r="AS393" s="17"/>
      <c r="AT393" s="17"/>
      <c r="AU393" s="17"/>
      <c r="AV393" s="17"/>
    </row>
    <row r="394" spans="1:48" ht="15.75" customHeight="1">
      <c r="A394" s="21" t="s">
        <v>43</v>
      </c>
      <c r="B394" s="23" t="s">
        <v>1692</v>
      </c>
      <c r="C394" s="22">
        <v>45894</v>
      </c>
      <c r="D394" s="23" t="s">
        <v>83</v>
      </c>
      <c r="E394" s="23" t="s">
        <v>45</v>
      </c>
      <c r="F394" s="21">
        <v>3</v>
      </c>
      <c r="G394" s="12">
        <f>VLOOKUP(E394,Precios!B$2:N$941,12,FALSE)</f>
        <v>8000.1831784723063</v>
      </c>
      <c r="H394" s="12">
        <f t="shared" si="0"/>
        <v>24000.549535416918</v>
      </c>
      <c r="I394" s="23" t="s">
        <v>52</v>
      </c>
      <c r="J394" s="23" t="s">
        <v>61</v>
      </c>
      <c r="K394" s="24" t="s">
        <v>177</v>
      </c>
      <c r="L394" s="24">
        <v>177</v>
      </c>
      <c r="M394" s="12">
        <f t="shared" ref="M394:N394" si="399">G394/1.19</f>
        <v>6722.8430071195853</v>
      </c>
      <c r="N394" s="12">
        <f t="shared" si="399"/>
        <v>20168.529021358754</v>
      </c>
      <c r="O394" s="12">
        <f t="shared" si="2"/>
        <v>3832.0205140581638</v>
      </c>
      <c r="P394" s="13"/>
      <c r="Q394" s="14">
        <f t="shared" si="3"/>
        <v>2025</v>
      </c>
      <c r="R394" s="15">
        <f>VLOOKUP(MONTH(C394),'Datos Maestros'!M$2:N$14,2,FALSE)</f>
        <v>45505</v>
      </c>
      <c r="S394" s="11" t="str">
        <f>VLOOKUP(E394,Precios!B$2:W$941,3,FALSE)</f>
        <v>Huevos EXTRA</v>
      </c>
      <c r="T394" s="16">
        <f>VLOOKUP(E394,Precios!B$2:N$941,4,FALSE)*F394</f>
        <v>0</v>
      </c>
      <c r="U394" s="17"/>
      <c r="V394" s="12">
        <f>VLOOKUP(E394,Precios!B$2:N$941,13,FALSE)*F394</f>
        <v>3454.8690213587552</v>
      </c>
      <c r="W394" s="12">
        <f t="shared" si="4"/>
        <v>3454.8690213587552</v>
      </c>
      <c r="X394" s="12">
        <f>VLOOKUP(B394,'Datos Maestros'!$C$2:$D$7,2,FALSE)*V394</f>
        <v>0</v>
      </c>
      <c r="Y394" s="18">
        <f t="shared" si="5"/>
        <v>45894</v>
      </c>
      <c r="Z394" s="13" t="s">
        <v>39</v>
      </c>
      <c r="AA394" s="19" t="str">
        <f>VLOOKUP(D394,Clientes!$A$2:$J$486,9,FALSE)</f>
        <v>Ocacional</v>
      </c>
      <c r="AB394" s="13" t="str">
        <f>VLOOKUP(D394,Clientes!$A$2:$K$486,11,FALSE)</f>
        <v>Persona Natural</v>
      </c>
      <c r="AC394" s="13" t="str">
        <f>VLOOKUP(D394,Clientes!$A$2:$B$486,2,FALSE)</f>
        <v>Vicuña Mackena</v>
      </c>
      <c r="AD394" s="20"/>
      <c r="AE394" s="20"/>
      <c r="AF394" s="13" t="s">
        <v>40</v>
      </c>
      <c r="AG394" s="15">
        <f t="shared" si="6"/>
        <v>45505</v>
      </c>
      <c r="AH394" s="13" t="s">
        <v>41</v>
      </c>
      <c r="AI394" s="13" t="str">
        <f t="shared" si="7"/>
        <v>Huevos</v>
      </c>
      <c r="AJ394" s="13" t="str">
        <f>VLOOKUP(E394,Precios!Z$2:AA$941,2,FALSE)</f>
        <v>Bandeja Huevos EXTRA</v>
      </c>
      <c r="AK394" s="14">
        <f>VLOOKUP(E394,Precios!Z$2:BB$941,3,FALSE)*F394</f>
        <v>-3</v>
      </c>
      <c r="AL394" s="17"/>
      <c r="AM394" s="17"/>
      <c r="AN394" s="17"/>
      <c r="AO394" s="17"/>
      <c r="AP394" s="17"/>
      <c r="AQ394" s="17"/>
      <c r="AR394" s="17"/>
      <c r="AS394" s="17"/>
      <c r="AT394" s="17"/>
      <c r="AU394" s="17"/>
      <c r="AV394" s="17"/>
    </row>
    <row r="395" spans="1:48" ht="15.75" customHeight="1">
      <c r="A395" s="21" t="s">
        <v>43</v>
      </c>
      <c r="B395" s="23" t="s">
        <v>1692</v>
      </c>
      <c r="C395" s="22">
        <v>45894</v>
      </c>
      <c r="D395" s="23" t="s">
        <v>278</v>
      </c>
      <c r="E395" s="23" t="s">
        <v>45</v>
      </c>
      <c r="F395" s="21">
        <v>1</v>
      </c>
      <c r="G395" s="12">
        <f>VLOOKUP(E395,Precios!B$2:N$941,12,FALSE)</f>
        <v>8000.1831784723063</v>
      </c>
      <c r="H395" s="12">
        <f t="shared" si="0"/>
        <v>8000.1831784723063</v>
      </c>
      <c r="I395" s="23" t="s">
        <v>52</v>
      </c>
      <c r="J395" s="23" t="s">
        <v>61</v>
      </c>
      <c r="K395" s="24" t="s">
        <v>177</v>
      </c>
      <c r="L395" s="24">
        <v>177</v>
      </c>
      <c r="M395" s="12">
        <f t="shared" ref="M395:N395" si="400">G395/1.19</f>
        <v>6722.8430071195853</v>
      </c>
      <c r="N395" s="12">
        <f t="shared" si="400"/>
        <v>6722.8430071195853</v>
      </c>
      <c r="O395" s="12">
        <f t="shared" si="2"/>
        <v>1277.340171352721</v>
      </c>
      <c r="P395" s="13"/>
      <c r="Q395" s="14">
        <f t="shared" si="3"/>
        <v>2025</v>
      </c>
      <c r="R395" s="15">
        <f>VLOOKUP(MONTH(C395),'Datos Maestros'!M$2:N$14,2,FALSE)</f>
        <v>45505</v>
      </c>
      <c r="S395" s="11" t="str">
        <f>VLOOKUP(E395,Precios!B$2:W$941,3,FALSE)</f>
        <v>Huevos EXTRA</v>
      </c>
      <c r="T395" s="16">
        <f>VLOOKUP(E395,Precios!B$2:N$941,4,FALSE)*F395</f>
        <v>0</v>
      </c>
      <c r="U395" s="17"/>
      <c r="V395" s="12">
        <f>VLOOKUP(E395,Precios!B$2:N$941,13,FALSE)*F395</f>
        <v>1151.6230071195851</v>
      </c>
      <c r="W395" s="12">
        <f t="shared" si="4"/>
        <v>1151.6230071195851</v>
      </c>
      <c r="X395" s="12">
        <f>VLOOKUP(B395,'Datos Maestros'!$C$2:$D$7,2,FALSE)*V395</f>
        <v>0</v>
      </c>
      <c r="Y395" s="18">
        <f t="shared" si="5"/>
        <v>45894</v>
      </c>
      <c r="Z395" s="13" t="s">
        <v>39</v>
      </c>
      <c r="AA395" s="19" t="str">
        <f>VLOOKUP(D395,Clientes!$A$2:$J$486,9,FALSE)</f>
        <v>Ocacional</v>
      </c>
      <c r="AB395" s="13" t="str">
        <f>VLOOKUP(D395,Clientes!$A$2:$K$486,11,FALSE)</f>
        <v>Persona Natural</v>
      </c>
      <c r="AC395" s="13" t="str">
        <f>VLOOKUP(D395,Clientes!$A$2:$B$486,2,FALSE)</f>
        <v>Perpetua Freira</v>
      </c>
      <c r="AD395" s="20"/>
      <c r="AE395" s="20"/>
      <c r="AF395" s="13" t="s">
        <v>40</v>
      </c>
      <c r="AG395" s="15">
        <f t="shared" si="6"/>
        <v>45505</v>
      </c>
      <c r="AH395" s="13" t="s">
        <v>41</v>
      </c>
      <c r="AI395" s="13" t="str">
        <f t="shared" si="7"/>
        <v>Huevos</v>
      </c>
      <c r="AJ395" s="13" t="str">
        <f>VLOOKUP(E395,Precios!Z$2:AA$941,2,FALSE)</f>
        <v>Bandeja Huevos EXTRA</v>
      </c>
      <c r="AK395" s="14">
        <f>VLOOKUP(E395,Precios!Z$2:BB$941,3,FALSE)*F395</f>
        <v>-1</v>
      </c>
      <c r="AL395" s="17"/>
      <c r="AM395" s="17"/>
      <c r="AN395" s="17"/>
      <c r="AO395" s="17"/>
      <c r="AP395" s="17"/>
      <c r="AQ395" s="17"/>
      <c r="AR395" s="17"/>
      <c r="AS395" s="17"/>
      <c r="AT395" s="17"/>
      <c r="AU395" s="17"/>
      <c r="AV395" s="17"/>
    </row>
    <row r="396" spans="1:48" ht="15.75" customHeight="1">
      <c r="A396" s="21" t="s">
        <v>35</v>
      </c>
      <c r="B396" s="23" t="s">
        <v>1692</v>
      </c>
      <c r="C396" s="22">
        <v>45893</v>
      </c>
      <c r="D396" s="23" t="s">
        <v>124</v>
      </c>
      <c r="E396" s="23" t="s">
        <v>117</v>
      </c>
      <c r="F396" s="21">
        <v>1</v>
      </c>
      <c r="G396" s="12">
        <f>VLOOKUP(E396,Precios!B$2:N$941,12,FALSE)</f>
        <v>8999.8271341726922</v>
      </c>
      <c r="H396" s="12">
        <f t="shared" si="0"/>
        <v>8999.8271341726922</v>
      </c>
      <c r="I396" s="23" t="s">
        <v>52</v>
      </c>
      <c r="J396" s="23" t="s">
        <v>61</v>
      </c>
      <c r="K396" s="24" t="s">
        <v>177</v>
      </c>
      <c r="L396" s="24">
        <v>175</v>
      </c>
      <c r="M396" s="12">
        <f t="shared" ref="M396:N396" si="401">G396/1.19</f>
        <v>7562.8799446829353</v>
      </c>
      <c r="N396" s="12">
        <f t="shared" si="401"/>
        <v>7562.8799446829353</v>
      </c>
      <c r="O396" s="12">
        <f t="shared" si="2"/>
        <v>1436.947189489757</v>
      </c>
      <c r="P396" s="13"/>
      <c r="Q396" s="14">
        <f t="shared" si="3"/>
        <v>2025</v>
      </c>
      <c r="R396" s="15">
        <f>VLOOKUP(MONTH(C396),'Datos Maestros'!M$2:N$14,2,FALSE)</f>
        <v>45505</v>
      </c>
      <c r="S396" s="11" t="str">
        <f>VLOOKUP(E396,Precios!B$2:W$941,3,FALSE)</f>
        <v>Queso Mantecoso</v>
      </c>
      <c r="T396" s="16">
        <f>VLOOKUP(E396,Precios!B$2:N$941,4,FALSE)*F396</f>
        <v>750</v>
      </c>
      <c r="U396" s="17"/>
      <c r="V396" s="12">
        <f>VLOOKUP(E396,Precios!B$2:N$941,13,FALSE)*F396</f>
        <v>2312.8799446829353</v>
      </c>
      <c r="W396" s="12">
        <f t="shared" si="4"/>
        <v>2312.8799446829353</v>
      </c>
      <c r="X396" s="12">
        <f>VLOOKUP(B396,'Datos Maestros'!$C$2:$D$7,2,FALSE)*V396</f>
        <v>0</v>
      </c>
      <c r="Y396" s="18">
        <f t="shared" si="5"/>
        <v>45887</v>
      </c>
      <c r="Z396" s="13" t="s">
        <v>39</v>
      </c>
      <c r="AA396" s="19" t="str">
        <f>VLOOKUP(D396,Clientes!$A$2:$J$486,9,FALSE)</f>
        <v>Regular</v>
      </c>
      <c r="AB396" s="13" t="str">
        <f>VLOOKUP(D396,Clientes!$A$2:$K$486,11,FALSE)</f>
        <v>Persona Natural</v>
      </c>
      <c r="AC396" s="13" t="str">
        <f>VLOOKUP(D396,Clientes!$A$2:$B$486,2,FALSE)</f>
        <v>Jardines de la viña</v>
      </c>
      <c r="AD396" s="20"/>
      <c r="AE396" s="20"/>
      <c r="AF396" s="13" t="s">
        <v>40</v>
      </c>
      <c r="AG396" s="15">
        <f t="shared" si="6"/>
        <v>45505</v>
      </c>
      <c r="AH396" s="13" t="s">
        <v>41</v>
      </c>
      <c r="AI396" s="13" t="str">
        <f t="shared" si="7"/>
        <v>Quesos</v>
      </c>
      <c r="AJ396" s="13" t="str">
        <f>VLOOKUP(E396,Precios!Z$2:AA$941,2,FALSE)</f>
        <v>Queso RUNCA Laminado Mantecoso</v>
      </c>
      <c r="AK396" s="14">
        <f>VLOOKUP(E396,Precios!Z$2:BB$941,3,FALSE)*F396</f>
        <v>-0.75</v>
      </c>
      <c r="AL396" s="17"/>
      <c r="AM396" s="17"/>
      <c r="AN396" s="17"/>
      <c r="AO396" s="17"/>
      <c r="AP396" s="17"/>
      <c r="AQ396" s="17"/>
      <c r="AR396" s="17"/>
      <c r="AS396" s="17"/>
      <c r="AT396" s="17"/>
      <c r="AU396" s="17"/>
      <c r="AV396" s="17"/>
    </row>
    <row r="397" spans="1:48" ht="15.75" customHeight="1">
      <c r="A397" s="21" t="s">
        <v>53</v>
      </c>
      <c r="B397" s="23" t="s">
        <v>1692</v>
      </c>
      <c r="C397" s="22">
        <v>45893</v>
      </c>
      <c r="D397" s="23" t="s">
        <v>279</v>
      </c>
      <c r="E397" s="23" t="s">
        <v>280</v>
      </c>
      <c r="F397" s="21">
        <v>1</v>
      </c>
      <c r="G397" s="12">
        <f>VLOOKUP(E397,Precios!B$2:N$941,12,FALSE)</f>
        <v>13500.442251291839</v>
      </c>
      <c r="H397" s="12">
        <f t="shared" si="0"/>
        <v>13500.442251291839</v>
      </c>
      <c r="I397" s="23" t="s">
        <v>52</v>
      </c>
      <c r="J397" s="23" t="s">
        <v>61</v>
      </c>
      <c r="K397" s="24" t="s">
        <v>177</v>
      </c>
      <c r="L397" s="24">
        <v>175</v>
      </c>
      <c r="M397" s="12">
        <f t="shared" ref="M397:N397" si="402">G397/1.19</f>
        <v>11344.909454867093</v>
      </c>
      <c r="N397" s="12">
        <f t="shared" si="402"/>
        <v>11344.909454867093</v>
      </c>
      <c r="O397" s="12">
        <f t="shared" si="2"/>
        <v>2155.5327964247463</v>
      </c>
      <c r="P397" s="13"/>
      <c r="Q397" s="14">
        <f t="shared" si="3"/>
        <v>2025</v>
      </c>
      <c r="R397" s="15">
        <f>VLOOKUP(MONTH(C397),'Datos Maestros'!M$2:N$14,2,FALSE)</f>
        <v>45505</v>
      </c>
      <c r="S397" s="11" t="str">
        <f>VLOOKUP(E397,Precios!B$2:W$941,3,FALSE)</f>
        <v>Servilletas</v>
      </c>
      <c r="T397" s="16">
        <f>VLOOKUP(E397,Precios!B$2:N$941,4,FALSE)*F397</f>
        <v>300</v>
      </c>
      <c r="U397" s="17"/>
      <c r="V397" s="12">
        <f>VLOOKUP(E397,Precios!B$2:N$941,13,FALSE)*F397</f>
        <v>4033.909454867091</v>
      </c>
      <c r="W397" s="12">
        <f t="shared" si="4"/>
        <v>4033.909454867091</v>
      </c>
      <c r="X397" s="12">
        <f>VLOOKUP(B397,'Datos Maestros'!$C$2:$D$7,2,FALSE)*V397</f>
        <v>0</v>
      </c>
      <c r="Y397" s="18">
        <f t="shared" si="5"/>
        <v>45887</v>
      </c>
      <c r="Z397" s="13" t="s">
        <v>39</v>
      </c>
      <c r="AA397" s="19" t="str">
        <f>VLOOKUP(D397,Clientes!$A$2:$J$486,9,FALSE)</f>
        <v>Ocacional</v>
      </c>
      <c r="AB397" s="13" t="str">
        <f>VLOOKUP(D397,Clientes!$A$2:$K$486,11,FALSE)</f>
        <v>Persona Natural</v>
      </c>
      <c r="AC397" s="13" t="str">
        <f>VLOOKUP(D397,Clientes!$A$2:$B$486,2,FALSE)</f>
        <v>Jardin del eden</v>
      </c>
      <c r="AD397" s="20"/>
      <c r="AE397" s="20"/>
      <c r="AF397" s="13" t="s">
        <v>40</v>
      </c>
      <c r="AG397" s="15">
        <f t="shared" si="6"/>
        <v>45505</v>
      </c>
      <c r="AH397" s="13" t="s">
        <v>41</v>
      </c>
      <c r="AI397" s="13" t="str">
        <f t="shared" si="7"/>
        <v>Papeleria</v>
      </c>
      <c r="AJ397" s="13" t="str">
        <f>VLOOKUP(E397,Precios!Z$2:AA$941,2,FALSE)</f>
        <v>Servilletas SOFTQUALITY 300 unidades</v>
      </c>
      <c r="AK397" s="14">
        <f>VLOOKUP(E397,Precios!Z$2:BB$941,3,FALSE)*F397</f>
        <v>-10</v>
      </c>
      <c r="AL397" s="17"/>
      <c r="AM397" s="17"/>
      <c r="AN397" s="17"/>
      <c r="AO397" s="17"/>
      <c r="AP397" s="17"/>
      <c r="AQ397" s="17"/>
      <c r="AR397" s="17"/>
      <c r="AS397" s="17"/>
      <c r="AT397" s="17"/>
      <c r="AU397" s="17"/>
      <c r="AV397" s="17"/>
    </row>
    <row r="398" spans="1:48" ht="15.75" customHeight="1">
      <c r="A398" s="21" t="s">
        <v>43</v>
      </c>
      <c r="B398" s="23" t="s">
        <v>1692</v>
      </c>
      <c r="C398" s="22">
        <v>45893</v>
      </c>
      <c r="D398" s="23" t="s">
        <v>279</v>
      </c>
      <c r="E398" s="23" t="s">
        <v>45</v>
      </c>
      <c r="F398" s="21">
        <v>1</v>
      </c>
      <c r="G398" s="12">
        <f>VLOOKUP(E398,Precios!B$2:N$941,12,FALSE)</f>
        <v>8000.1831784723063</v>
      </c>
      <c r="H398" s="12">
        <f t="shared" si="0"/>
        <v>8000.1831784723063</v>
      </c>
      <c r="I398" s="23" t="s">
        <v>52</v>
      </c>
      <c r="J398" s="23" t="s">
        <v>61</v>
      </c>
      <c r="K398" s="24" t="s">
        <v>177</v>
      </c>
      <c r="L398" s="24">
        <v>175</v>
      </c>
      <c r="M398" s="12">
        <f t="shared" ref="M398:N398" si="403">G398/1.19</f>
        <v>6722.8430071195853</v>
      </c>
      <c r="N398" s="12">
        <f t="shared" si="403"/>
        <v>6722.8430071195853</v>
      </c>
      <c r="O398" s="12">
        <f t="shared" si="2"/>
        <v>1277.340171352721</v>
      </c>
      <c r="P398" s="13"/>
      <c r="Q398" s="14">
        <f t="shared" si="3"/>
        <v>2025</v>
      </c>
      <c r="R398" s="15">
        <f>VLOOKUP(MONTH(C398),'Datos Maestros'!M$2:N$14,2,FALSE)</f>
        <v>45505</v>
      </c>
      <c r="S398" s="11" t="str">
        <f>VLOOKUP(E398,Precios!B$2:W$941,3,FALSE)</f>
        <v>Huevos EXTRA</v>
      </c>
      <c r="T398" s="16">
        <f>VLOOKUP(E398,Precios!B$2:N$941,4,FALSE)*F398</f>
        <v>0</v>
      </c>
      <c r="U398" s="17"/>
      <c r="V398" s="12">
        <f>VLOOKUP(E398,Precios!B$2:N$941,13,FALSE)*F398</f>
        <v>1151.6230071195851</v>
      </c>
      <c r="W398" s="12">
        <f t="shared" si="4"/>
        <v>1151.6230071195851</v>
      </c>
      <c r="X398" s="12">
        <f>VLOOKUP(B398,'Datos Maestros'!$C$2:$D$7,2,FALSE)*V398</f>
        <v>0</v>
      </c>
      <c r="Y398" s="18">
        <f t="shared" si="5"/>
        <v>45887</v>
      </c>
      <c r="Z398" s="13" t="s">
        <v>39</v>
      </c>
      <c r="AA398" s="19" t="str">
        <f>VLOOKUP(D398,Clientes!$A$2:$J$486,9,FALSE)</f>
        <v>Ocacional</v>
      </c>
      <c r="AB398" s="13" t="str">
        <f>VLOOKUP(D398,Clientes!$A$2:$K$486,11,FALSE)</f>
        <v>Persona Natural</v>
      </c>
      <c r="AC398" s="13" t="str">
        <f>VLOOKUP(D398,Clientes!$A$2:$B$486,2,FALSE)</f>
        <v>Jardin del eden</v>
      </c>
      <c r="AD398" s="20"/>
      <c r="AE398" s="20"/>
      <c r="AF398" s="13" t="s">
        <v>40</v>
      </c>
      <c r="AG398" s="15">
        <f t="shared" si="6"/>
        <v>45505</v>
      </c>
      <c r="AH398" s="13" t="s">
        <v>41</v>
      </c>
      <c r="AI398" s="13" t="str">
        <f t="shared" si="7"/>
        <v>Huevos</v>
      </c>
      <c r="AJ398" s="13" t="str">
        <f>VLOOKUP(E398,Precios!Z$2:AA$941,2,FALSE)</f>
        <v>Bandeja Huevos EXTRA</v>
      </c>
      <c r="AK398" s="14">
        <f>VLOOKUP(E398,Precios!Z$2:BB$941,3,FALSE)*F398</f>
        <v>-1</v>
      </c>
      <c r="AL398" s="17"/>
      <c r="AM398" s="17"/>
      <c r="AN398" s="17"/>
      <c r="AO398" s="17"/>
      <c r="AP398" s="17"/>
      <c r="AQ398" s="17"/>
      <c r="AR398" s="17"/>
      <c r="AS398" s="17"/>
      <c r="AT398" s="17"/>
      <c r="AU398" s="17"/>
      <c r="AV398" s="17"/>
    </row>
    <row r="399" spans="1:48" ht="15.75" customHeight="1">
      <c r="A399" s="21" t="s">
        <v>43</v>
      </c>
      <c r="B399" s="23" t="s">
        <v>1692</v>
      </c>
      <c r="C399" s="22">
        <v>45893</v>
      </c>
      <c r="D399" s="23" t="s">
        <v>281</v>
      </c>
      <c r="E399" s="23" t="s">
        <v>45</v>
      </c>
      <c r="F399" s="21">
        <v>1</v>
      </c>
      <c r="G399" s="12">
        <f>VLOOKUP(E399,Precios!B$2:N$941,12,FALSE)</f>
        <v>8000.1831784723063</v>
      </c>
      <c r="H399" s="12">
        <f t="shared" si="0"/>
        <v>8000.1831784723063</v>
      </c>
      <c r="I399" s="23" t="s">
        <v>52</v>
      </c>
      <c r="J399" s="23" t="s">
        <v>61</v>
      </c>
      <c r="K399" s="24" t="s">
        <v>177</v>
      </c>
      <c r="L399" s="24">
        <v>175</v>
      </c>
      <c r="M399" s="12">
        <f t="shared" ref="M399:N399" si="404">G399/1.19</f>
        <v>6722.8430071195853</v>
      </c>
      <c r="N399" s="12">
        <f t="shared" si="404"/>
        <v>6722.8430071195853</v>
      </c>
      <c r="O399" s="12">
        <f t="shared" si="2"/>
        <v>1277.340171352721</v>
      </c>
      <c r="P399" s="13"/>
      <c r="Q399" s="14">
        <f t="shared" si="3"/>
        <v>2025</v>
      </c>
      <c r="R399" s="15">
        <f>VLOOKUP(MONTH(C399),'Datos Maestros'!M$2:N$14,2,FALSE)</f>
        <v>45505</v>
      </c>
      <c r="S399" s="11" t="str">
        <f>VLOOKUP(E399,Precios!B$2:W$941,3,FALSE)</f>
        <v>Huevos EXTRA</v>
      </c>
      <c r="T399" s="16">
        <f>VLOOKUP(E399,Precios!B$2:N$941,4,FALSE)*F399</f>
        <v>0</v>
      </c>
      <c r="U399" s="17"/>
      <c r="V399" s="12">
        <f>VLOOKUP(E399,Precios!B$2:N$941,13,FALSE)*F399</f>
        <v>1151.6230071195851</v>
      </c>
      <c r="W399" s="12">
        <f t="shared" si="4"/>
        <v>1151.6230071195851</v>
      </c>
      <c r="X399" s="12">
        <f>VLOOKUP(B399,'Datos Maestros'!$C$2:$D$7,2,FALSE)*V399</f>
        <v>0</v>
      </c>
      <c r="Y399" s="18">
        <f t="shared" si="5"/>
        <v>45887</v>
      </c>
      <c r="Z399" s="13" t="s">
        <v>39</v>
      </c>
      <c r="AA399" s="19" t="str">
        <f>VLOOKUP(D399,Clientes!$A$2:$J$486,9,FALSE)</f>
        <v>Ocacional</v>
      </c>
      <c r="AB399" s="13" t="str">
        <f>VLOOKUP(D399,Clientes!$A$2:$K$486,11,FALSE)</f>
        <v>Persona Natural</v>
      </c>
      <c r="AC399" s="13" t="str">
        <f>VLOOKUP(D399,Clientes!$A$2:$B$486,2,FALSE)</f>
        <v>Walker Martinez</v>
      </c>
      <c r="AD399" s="20"/>
      <c r="AE399" s="20"/>
      <c r="AF399" s="13" t="s">
        <v>40</v>
      </c>
      <c r="AG399" s="15">
        <f t="shared" si="6"/>
        <v>45505</v>
      </c>
      <c r="AH399" s="13" t="s">
        <v>41</v>
      </c>
      <c r="AI399" s="13" t="str">
        <f t="shared" si="7"/>
        <v>Huevos</v>
      </c>
      <c r="AJ399" s="13" t="str">
        <f>VLOOKUP(E399,Precios!Z$2:AA$941,2,FALSE)</f>
        <v>Bandeja Huevos EXTRA</v>
      </c>
      <c r="AK399" s="14">
        <f>VLOOKUP(E399,Precios!Z$2:BB$941,3,FALSE)*F399</f>
        <v>-1</v>
      </c>
      <c r="AL399" s="17"/>
      <c r="AM399" s="17"/>
      <c r="AN399" s="17"/>
      <c r="AO399" s="17"/>
      <c r="AP399" s="17"/>
      <c r="AQ399" s="17"/>
      <c r="AR399" s="17"/>
      <c r="AS399" s="17"/>
      <c r="AT399" s="17"/>
      <c r="AU399" s="17"/>
      <c r="AV399" s="17"/>
    </row>
    <row r="400" spans="1:48" ht="15.75" customHeight="1">
      <c r="A400" s="21" t="s">
        <v>43</v>
      </c>
      <c r="B400" s="23" t="s">
        <v>1692</v>
      </c>
      <c r="C400" s="22">
        <v>45893</v>
      </c>
      <c r="D400" s="23" t="s">
        <v>144</v>
      </c>
      <c r="E400" s="23" t="s">
        <v>55</v>
      </c>
      <c r="F400" s="21">
        <v>1</v>
      </c>
      <c r="G400" s="12">
        <f>VLOOKUP(E400,Precios!B$2:N$941,12,FALSE)</f>
        <v>20899.91124296327</v>
      </c>
      <c r="H400" s="12">
        <f t="shared" si="0"/>
        <v>20899.91124296327</v>
      </c>
      <c r="I400" s="23" t="s">
        <v>52</v>
      </c>
      <c r="J400" s="23" t="s">
        <v>61</v>
      </c>
      <c r="K400" s="24" t="s">
        <v>177</v>
      </c>
      <c r="L400" s="24">
        <v>175</v>
      </c>
      <c r="M400" s="12">
        <f t="shared" ref="M400:N400" si="405">G400/1.19</f>
        <v>17562.950624338882</v>
      </c>
      <c r="N400" s="12">
        <f t="shared" si="405"/>
        <v>17562.950624338882</v>
      </c>
      <c r="O400" s="12">
        <f t="shared" si="2"/>
        <v>3336.9606186243873</v>
      </c>
      <c r="P400" s="13"/>
      <c r="Q400" s="14">
        <f t="shared" si="3"/>
        <v>2025</v>
      </c>
      <c r="R400" s="15">
        <f>VLOOKUP(MONTH(C400),'Datos Maestros'!M$2:N$14,2,FALSE)</f>
        <v>45505</v>
      </c>
      <c r="S400" s="11" t="str">
        <f>VLOOKUP(E400,Precios!B$2:W$941,3,FALSE)</f>
        <v>Papel Higiénico ELITE</v>
      </c>
      <c r="T400" s="16">
        <f>VLOOKUP(E400,Precios!B$2:N$941,4,FALSE)*F400</f>
        <v>0</v>
      </c>
      <c r="U400" s="17"/>
      <c r="V400" s="12">
        <f>VLOOKUP(E400,Precios!B$2:N$941,13,FALSE)*F400</f>
        <v>3117.9506243388823</v>
      </c>
      <c r="W400" s="12">
        <f t="shared" si="4"/>
        <v>3117.9506243388823</v>
      </c>
      <c r="X400" s="12">
        <f>VLOOKUP(B400,'Datos Maestros'!$C$2:$D$7,2,FALSE)*V400</f>
        <v>0</v>
      </c>
      <c r="Y400" s="18">
        <f t="shared" si="5"/>
        <v>45887</v>
      </c>
      <c r="Z400" s="13" t="s">
        <v>39</v>
      </c>
      <c r="AA400" s="19" t="str">
        <f>VLOOKUP(D400,Clientes!$A$2:$J$486,9,FALSE)</f>
        <v>Ocacional</v>
      </c>
      <c r="AB400" s="13" t="str">
        <f>VLOOKUP(D400,Clientes!$A$2:$K$486,11,FALSE)</f>
        <v>Persona Natural</v>
      </c>
      <c r="AC400" s="13" t="str">
        <f>VLOOKUP(D400,Clientes!$A$2:$B$486,2,FALSE)</f>
        <v>Alicachue</v>
      </c>
      <c r="AD400" s="20"/>
      <c r="AE400" s="20"/>
      <c r="AF400" s="13" t="s">
        <v>40</v>
      </c>
      <c r="AG400" s="15">
        <f t="shared" si="6"/>
        <v>45505</v>
      </c>
      <c r="AH400" s="13" t="s">
        <v>41</v>
      </c>
      <c r="AI400" s="13" t="str">
        <f t="shared" si="7"/>
        <v>Huevos</v>
      </c>
      <c r="AJ400" s="13" t="str">
        <f>VLOOKUP(E400,Precios!Z$2:AA$941,2,FALSE)</f>
        <v>Papel Higienico ELITE 50 metros</v>
      </c>
      <c r="AK400" s="14">
        <f>VLOOKUP(E400,Precios!Z$2:BB$941,3,FALSE)*F400</f>
        <v>-8</v>
      </c>
      <c r="AL400" s="17"/>
      <c r="AM400" s="17"/>
      <c r="AN400" s="17"/>
      <c r="AO400" s="17"/>
      <c r="AP400" s="17"/>
      <c r="AQ400" s="17"/>
      <c r="AR400" s="17"/>
      <c r="AS400" s="17"/>
      <c r="AT400" s="17"/>
      <c r="AU400" s="17"/>
      <c r="AV400" s="17"/>
    </row>
    <row r="401" spans="1:48" ht="15.75" customHeight="1">
      <c r="A401" s="21" t="s">
        <v>43</v>
      </c>
      <c r="B401" s="23" t="s">
        <v>1692</v>
      </c>
      <c r="C401" s="22">
        <v>45893</v>
      </c>
      <c r="D401" s="23" t="s">
        <v>282</v>
      </c>
      <c r="E401" s="23" t="s">
        <v>45</v>
      </c>
      <c r="F401" s="21">
        <v>1</v>
      </c>
      <c r="G401" s="12">
        <f>VLOOKUP(E401,Precios!B$2:N$941,12,FALSE)</f>
        <v>8000.1831784723063</v>
      </c>
      <c r="H401" s="12">
        <f t="shared" si="0"/>
        <v>8000.1831784723063</v>
      </c>
      <c r="I401" s="23" t="s">
        <v>52</v>
      </c>
      <c r="J401" s="23" t="s">
        <v>61</v>
      </c>
      <c r="K401" s="24" t="s">
        <v>177</v>
      </c>
      <c r="L401" s="24">
        <v>175</v>
      </c>
      <c r="M401" s="12">
        <f t="shared" ref="M401:N401" si="406">G401/1.19</f>
        <v>6722.8430071195853</v>
      </c>
      <c r="N401" s="12">
        <f t="shared" si="406"/>
        <v>6722.8430071195853</v>
      </c>
      <c r="O401" s="12">
        <f t="shared" si="2"/>
        <v>1277.340171352721</v>
      </c>
      <c r="P401" s="13"/>
      <c r="Q401" s="14">
        <f t="shared" si="3"/>
        <v>2025</v>
      </c>
      <c r="R401" s="15">
        <f>VLOOKUP(MONTH(C401),'Datos Maestros'!M$2:N$14,2,FALSE)</f>
        <v>45505</v>
      </c>
      <c r="S401" s="11" t="str">
        <f>VLOOKUP(E401,Precios!B$2:W$941,3,FALSE)</f>
        <v>Huevos EXTRA</v>
      </c>
      <c r="T401" s="16">
        <f>VLOOKUP(E401,Precios!B$2:N$941,4,FALSE)*F401</f>
        <v>0</v>
      </c>
      <c r="U401" s="17"/>
      <c r="V401" s="12">
        <f>VLOOKUP(E401,Precios!B$2:N$941,13,FALSE)*F401</f>
        <v>1151.6230071195851</v>
      </c>
      <c r="W401" s="12">
        <f t="shared" si="4"/>
        <v>1151.6230071195851</v>
      </c>
      <c r="X401" s="12">
        <f>VLOOKUP(B401,'Datos Maestros'!$C$2:$D$7,2,FALSE)*V401</f>
        <v>0</v>
      </c>
      <c r="Y401" s="18">
        <f t="shared" si="5"/>
        <v>45887</v>
      </c>
      <c r="Z401" s="13" t="s">
        <v>39</v>
      </c>
      <c r="AA401" s="19" t="str">
        <f>VLOOKUP(D401,Clientes!$A$2:$J$486,9,FALSE)</f>
        <v>Ocacional</v>
      </c>
      <c r="AB401" s="13" t="str">
        <f>VLOOKUP(D401,Clientes!$A$2:$K$486,11,FALSE)</f>
        <v>Persona Natural</v>
      </c>
      <c r="AC401" s="13" t="str">
        <f>VLOOKUP(D401,Clientes!$A$2:$B$486,2,FALSE)</f>
        <v>Jardines de la viña</v>
      </c>
      <c r="AD401" s="20"/>
      <c r="AE401" s="20"/>
      <c r="AF401" s="13" t="s">
        <v>40</v>
      </c>
      <c r="AG401" s="15">
        <f t="shared" si="6"/>
        <v>45505</v>
      </c>
      <c r="AH401" s="13" t="s">
        <v>41</v>
      </c>
      <c r="AI401" s="13" t="str">
        <f t="shared" si="7"/>
        <v>Huevos</v>
      </c>
      <c r="AJ401" s="13" t="str">
        <f>VLOOKUP(E401,Precios!Z$2:AA$941,2,FALSE)</f>
        <v>Bandeja Huevos EXTRA</v>
      </c>
      <c r="AK401" s="14">
        <f>VLOOKUP(E401,Precios!Z$2:BB$941,3,FALSE)*F401</f>
        <v>-1</v>
      </c>
      <c r="AL401" s="17"/>
      <c r="AM401" s="17"/>
      <c r="AN401" s="17"/>
      <c r="AO401" s="17"/>
      <c r="AP401" s="17"/>
      <c r="AQ401" s="17"/>
      <c r="AR401" s="17"/>
      <c r="AS401" s="17"/>
      <c r="AT401" s="17"/>
      <c r="AU401" s="17"/>
      <c r="AV401" s="17"/>
    </row>
    <row r="402" spans="1:48" ht="15.75" customHeight="1">
      <c r="A402" s="21" t="s">
        <v>35</v>
      </c>
      <c r="B402" s="23" t="s">
        <v>1692</v>
      </c>
      <c r="C402" s="22">
        <v>45893</v>
      </c>
      <c r="D402" s="23" t="s">
        <v>132</v>
      </c>
      <c r="E402" s="23" t="s">
        <v>37</v>
      </c>
      <c r="F402" s="21">
        <v>1</v>
      </c>
      <c r="G402" s="12">
        <f>VLOOKUP(E402,Precios!B$2:N$941,12,FALSE)</f>
        <v>11000.014358944907</v>
      </c>
      <c r="H402" s="12">
        <f t="shared" si="0"/>
        <v>11000.014358944907</v>
      </c>
      <c r="I402" s="23" t="s">
        <v>52</v>
      </c>
      <c r="J402" s="23" t="s">
        <v>61</v>
      </c>
      <c r="K402" s="24" t="s">
        <v>177</v>
      </c>
      <c r="L402" s="24">
        <v>175</v>
      </c>
      <c r="M402" s="12">
        <f t="shared" ref="M402:N402" si="407">G402/1.19</f>
        <v>9243.7095453318543</v>
      </c>
      <c r="N402" s="12">
        <f t="shared" si="407"/>
        <v>9243.7095453318543</v>
      </c>
      <c r="O402" s="12">
        <f t="shared" si="2"/>
        <v>1756.3048136130528</v>
      </c>
      <c r="P402" s="13"/>
      <c r="Q402" s="14">
        <f t="shared" si="3"/>
        <v>2025</v>
      </c>
      <c r="R402" s="15">
        <f>VLOOKUP(MONTH(C402),'Datos Maestros'!M$2:N$14,2,FALSE)</f>
        <v>45505</v>
      </c>
      <c r="S402" s="11" t="str">
        <f>VLOOKUP(E402,Precios!B$2:W$941,3,FALSE)</f>
        <v>Queso Mantecoso</v>
      </c>
      <c r="T402" s="16">
        <f>VLOOKUP(E402,Precios!B$2:N$941,4,FALSE)*F402</f>
        <v>1000</v>
      </c>
      <c r="U402" s="17"/>
      <c r="V402" s="12">
        <f>VLOOKUP(E402,Precios!B$2:N$941,13,FALSE)*F402</f>
        <v>2806.1129066763915</v>
      </c>
      <c r="W402" s="12">
        <f t="shared" si="4"/>
        <v>2806.1129066763915</v>
      </c>
      <c r="X402" s="12">
        <f>VLOOKUP(B402,'Datos Maestros'!$C$2:$D$7,2,FALSE)*V402</f>
        <v>0</v>
      </c>
      <c r="Y402" s="18">
        <f t="shared" si="5"/>
        <v>45887</v>
      </c>
      <c r="Z402" s="13" t="s">
        <v>39</v>
      </c>
      <c r="AA402" s="19" t="str">
        <f>VLOOKUP(D402,Clientes!$A$2:$J$486,9,FALSE)</f>
        <v>Ocacional</v>
      </c>
      <c r="AB402" s="13" t="str">
        <f>VLOOKUP(D402,Clientes!$A$2:$K$486,11,FALSE)</f>
        <v>Persona Natural</v>
      </c>
      <c r="AC402" s="13" t="str">
        <f>VLOOKUP(D402,Clientes!$A$2:$B$486,2,FALSE)</f>
        <v>Walker Martinez</v>
      </c>
      <c r="AD402" s="20"/>
      <c r="AE402" s="20"/>
      <c r="AF402" s="13" t="s">
        <v>40</v>
      </c>
      <c r="AG402" s="15">
        <f t="shared" si="6"/>
        <v>45505</v>
      </c>
      <c r="AH402" s="13" t="s">
        <v>41</v>
      </c>
      <c r="AI402" s="13" t="str">
        <f t="shared" si="7"/>
        <v>Quesos</v>
      </c>
      <c r="AJ402" s="13" t="str">
        <f>VLOOKUP(E402,Precios!Z$2:AA$941,2,FALSE)</f>
        <v>Queso RUNCA Mantecoso</v>
      </c>
      <c r="AK402" s="14">
        <f>VLOOKUP(E402,Precios!Z$2:BB$941,3,FALSE)*F402</f>
        <v>-1</v>
      </c>
      <c r="AL402" s="17"/>
      <c r="AM402" s="17"/>
      <c r="AN402" s="17"/>
      <c r="AO402" s="17"/>
      <c r="AP402" s="17"/>
      <c r="AQ402" s="17"/>
      <c r="AR402" s="17"/>
      <c r="AS402" s="17"/>
      <c r="AT402" s="17"/>
      <c r="AU402" s="17"/>
      <c r="AV402" s="17"/>
    </row>
    <row r="403" spans="1:48" ht="15.75" customHeight="1">
      <c r="A403" s="21" t="s">
        <v>147</v>
      </c>
      <c r="B403" s="23" t="s">
        <v>1692</v>
      </c>
      <c r="C403" s="22">
        <v>45893</v>
      </c>
      <c r="D403" s="23" t="s">
        <v>283</v>
      </c>
      <c r="E403" s="23" t="s">
        <v>248</v>
      </c>
      <c r="F403" s="21">
        <v>1</v>
      </c>
      <c r="G403" s="12">
        <f>VLOOKUP(E403,Precios!B$2:N$941,12,FALSE)</f>
        <v>9000</v>
      </c>
      <c r="H403" s="12">
        <f t="shared" si="0"/>
        <v>9000</v>
      </c>
      <c r="I403" s="23" t="s">
        <v>52</v>
      </c>
      <c r="J403" s="23" t="s">
        <v>61</v>
      </c>
      <c r="K403" s="24" t="s">
        <v>177</v>
      </c>
      <c r="L403" s="24">
        <v>175</v>
      </c>
      <c r="M403" s="12">
        <f t="shared" ref="M403:N403" si="408">G403/1.19</f>
        <v>7563.0252100840344</v>
      </c>
      <c r="N403" s="12">
        <f t="shared" si="408"/>
        <v>7563.0252100840344</v>
      </c>
      <c r="O403" s="12">
        <f t="shared" si="2"/>
        <v>1436.9747899159656</v>
      </c>
      <c r="P403" s="13"/>
      <c r="Q403" s="14">
        <f t="shared" si="3"/>
        <v>2025</v>
      </c>
      <c r="R403" s="15">
        <f>VLOOKUP(MONTH(C403),'Datos Maestros'!M$2:N$14,2,FALSE)</f>
        <v>45505</v>
      </c>
      <c r="S403" s="11" t="str">
        <f>VLOOKUP(E403,Precios!B$2:W$941,3,FALSE)</f>
        <v>Film Plastico</v>
      </c>
      <c r="T403" s="16">
        <f>VLOOKUP(E403,Precios!B$2:N$941,4,FALSE)*F403</f>
        <v>0</v>
      </c>
      <c r="U403" s="17"/>
      <c r="V403" s="12">
        <f>VLOOKUP(E403,Precios!B$2:N$941,13,FALSE)*F403</f>
        <v>2773.1092436974795</v>
      </c>
      <c r="W403" s="12">
        <f t="shared" si="4"/>
        <v>2773.1092436974795</v>
      </c>
      <c r="X403" s="12">
        <f>VLOOKUP(B403,'Datos Maestros'!$C$2:$D$7,2,FALSE)*V403</f>
        <v>0</v>
      </c>
      <c r="Y403" s="18">
        <f t="shared" si="5"/>
        <v>45887</v>
      </c>
      <c r="Z403" s="13" t="s">
        <v>39</v>
      </c>
      <c r="AA403" s="19" t="str">
        <f>VLOOKUP(D403,Clientes!$A$2:$J$486,9,FALSE)</f>
        <v>Ocacional</v>
      </c>
      <c r="AB403" s="13" t="str">
        <f>VLOOKUP(D403,Clientes!$A$2:$K$486,11,FALSE)</f>
        <v>Persona Natural</v>
      </c>
      <c r="AC403" s="13" t="str">
        <f>VLOOKUP(D403,Clientes!$A$2:$B$486,2,FALSE)</f>
        <v>Los toros</v>
      </c>
      <c r="AD403" s="20"/>
      <c r="AE403" s="20"/>
      <c r="AF403" s="13" t="s">
        <v>40</v>
      </c>
      <c r="AG403" s="15">
        <f t="shared" si="6"/>
        <v>45505</v>
      </c>
      <c r="AH403" s="13" t="s">
        <v>41</v>
      </c>
      <c r="AI403" s="13" t="str">
        <f t="shared" si="7"/>
        <v>Film Plastico-Aluminio</v>
      </c>
      <c r="AJ403" s="13" t="str">
        <f>VLOOKUP(E403,Precios!Z$2:AA$941,2,FALSE)</f>
        <v>Film Plástico 300 metros</v>
      </c>
      <c r="AK403" s="14">
        <f>VLOOKUP(E403,Precios!Z$2:BB$941,3,FALSE)*F403</f>
        <v>-1</v>
      </c>
      <c r="AL403" s="17"/>
      <c r="AM403" s="17"/>
      <c r="AN403" s="17"/>
      <c r="AO403" s="17"/>
      <c r="AP403" s="17"/>
      <c r="AQ403" s="17"/>
      <c r="AR403" s="17"/>
      <c r="AS403" s="17"/>
      <c r="AT403" s="17"/>
      <c r="AU403" s="17"/>
      <c r="AV403" s="17"/>
    </row>
    <row r="404" spans="1:48" ht="15.75" customHeight="1">
      <c r="A404" s="21" t="s">
        <v>147</v>
      </c>
      <c r="B404" s="23" t="s">
        <v>1692</v>
      </c>
      <c r="C404" s="22">
        <v>45893</v>
      </c>
      <c r="D404" s="23" t="s">
        <v>283</v>
      </c>
      <c r="E404" s="23" t="s">
        <v>249</v>
      </c>
      <c r="F404" s="21">
        <v>1</v>
      </c>
      <c r="G404" s="12">
        <f>VLOOKUP(E404,Precios!B$2:N$941,12,FALSE)</f>
        <v>8500.0000000000018</v>
      </c>
      <c r="H404" s="12">
        <f t="shared" si="0"/>
        <v>8500.0000000000018</v>
      </c>
      <c r="I404" s="23" t="s">
        <v>52</v>
      </c>
      <c r="J404" s="23" t="s">
        <v>61</v>
      </c>
      <c r="K404" s="24" t="s">
        <v>177</v>
      </c>
      <c r="L404" s="24">
        <v>175</v>
      </c>
      <c r="M404" s="12">
        <f t="shared" ref="M404:N404" si="409">G404/1.19</f>
        <v>7142.8571428571449</v>
      </c>
      <c r="N404" s="12">
        <f t="shared" si="409"/>
        <v>7142.8571428571449</v>
      </c>
      <c r="O404" s="12">
        <f t="shared" si="2"/>
        <v>1357.1428571428569</v>
      </c>
      <c r="P404" s="13"/>
      <c r="Q404" s="14">
        <f t="shared" si="3"/>
        <v>2025</v>
      </c>
      <c r="R404" s="15">
        <f>VLOOKUP(MONTH(C404),'Datos Maestros'!M$2:N$14,2,FALSE)</f>
        <v>45505</v>
      </c>
      <c r="S404" s="11" t="str">
        <f>VLOOKUP(E404,Precios!B$2:W$941,3,FALSE)</f>
        <v>Papel Aluminio</v>
      </c>
      <c r="T404" s="16">
        <f>VLOOKUP(E404,Precios!B$2:N$941,4,FALSE)*F404</f>
        <v>0</v>
      </c>
      <c r="U404" s="17"/>
      <c r="V404" s="12">
        <f>VLOOKUP(E404,Precios!B$2:N$941,13,FALSE)*F404</f>
        <v>2212.857142857144</v>
      </c>
      <c r="W404" s="12">
        <f t="shared" si="4"/>
        <v>2212.857142857144</v>
      </c>
      <c r="X404" s="12">
        <f>VLOOKUP(B404,'Datos Maestros'!$C$2:$D$7,2,FALSE)*V404</f>
        <v>0</v>
      </c>
      <c r="Y404" s="18">
        <f t="shared" si="5"/>
        <v>45887</v>
      </c>
      <c r="Z404" s="13" t="s">
        <v>39</v>
      </c>
      <c r="AA404" s="19" t="str">
        <f>VLOOKUP(D404,Clientes!$A$2:$J$486,9,FALSE)</f>
        <v>Ocacional</v>
      </c>
      <c r="AB404" s="13" t="str">
        <f>VLOOKUP(D404,Clientes!$A$2:$K$486,11,FALSE)</f>
        <v>Persona Natural</v>
      </c>
      <c r="AC404" s="13" t="str">
        <f>VLOOKUP(D404,Clientes!$A$2:$B$486,2,FALSE)</f>
        <v>Los toros</v>
      </c>
      <c r="AD404" s="20"/>
      <c r="AE404" s="20"/>
      <c r="AF404" s="13" t="s">
        <v>40</v>
      </c>
      <c r="AG404" s="15">
        <f t="shared" si="6"/>
        <v>45505</v>
      </c>
      <c r="AH404" s="13" t="s">
        <v>41</v>
      </c>
      <c r="AI404" s="13" t="str">
        <f t="shared" si="7"/>
        <v>Film Plastico-Aluminio</v>
      </c>
      <c r="AJ404" s="13" t="str">
        <f>VLOOKUP(E404,Precios!Z$2:AA$941,2,FALSE)</f>
        <v>Papel Aluminio 100 metros</v>
      </c>
      <c r="AK404" s="14">
        <f>VLOOKUP(E404,Precios!Z$2:BB$941,3,FALSE)*F404</f>
        <v>-1</v>
      </c>
      <c r="AL404" s="17"/>
      <c r="AM404" s="17"/>
      <c r="AN404" s="17"/>
      <c r="AO404" s="17"/>
      <c r="AP404" s="17"/>
      <c r="AQ404" s="17"/>
      <c r="AR404" s="17"/>
      <c r="AS404" s="17"/>
      <c r="AT404" s="17"/>
      <c r="AU404" s="17"/>
      <c r="AV404" s="17"/>
    </row>
    <row r="405" spans="1:48" ht="15.75" customHeight="1">
      <c r="A405" s="21" t="s">
        <v>147</v>
      </c>
      <c r="B405" s="23" t="s">
        <v>1692</v>
      </c>
      <c r="C405" s="22">
        <v>45893</v>
      </c>
      <c r="D405" s="23" t="s">
        <v>284</v>
      </c>
      <c r="E405" s="23" t="s">
        <v>260</v>
      </c>
      <c r="F405" s="21">
        <v>1</v>
      </c>
      <c r="G405" s="12">
        <f>VLOOKUP(E405,Precios!B$2:N$941,12,FALSE)</f>
        <v>19500.476927043055</v>
      </c>
      <c r="H405" s="12">
        <f t="shared" si="0"/>
        <v>19500.476927043055</v>
      </c>
      <c r="I405" s="23" t="s">
        <v>52</v>
      </c>
      <c r="J405" s="23" t="s">
        <v>61</v>
      </c>
      <c r="K405" s="24" t="s">
        <v>177</v>
      </c>
      <c r="L405" s="24">
        <v>175</v>
      </c>
      <c r="M405" s="12">
        <f t="shared" ref="M405:N405" si="410">G405/1.19</f>
        <v>16386.955400876519</v>
      </c>
      <c r="N405" s="12">
        <f t="shared" si="410"/>
        <v>16386.955400876519</v>
      </c>
      <c r="O405" s="12">
        <f t="shared" si="2"/>
        <v>3113.5215261665362</v>
      </c>
      <c r="P405" s="13"/>
      <c r="Q405" s="14">
        <f t="shared" si="3"/>
        <v>2025</v>
      </c>
      <c r="R405" s="15">
        <f>VLOOKUP(MONTH(C405),'Datos Maestros'!M$2:N$14,2,FALSE)</f>
        <v>45505</v>
      </c>
      <c r="S405" s="11" t="str">
        <f>VLOOKUP(E405,Precios!B$2:W$941,3,FALSE)</f>
        <v>Papel Aluminio</v>
      </c>
      <c r="T405" s="16">
        <f>VLOOKUP(E405,Precios!B$2:N$941,4,FALSE)*F405</f>
        <v>0</v>
      </c>
      <c r="U405" s="17"/>
      <c r="V405" s="12">
        <f>VLOOKUP(E405,Precios!B$2:N$941,13,FALSE)*F405</f>
        <v>3673.9554008765153</v>
      </c>
      <c r="W405" s="12">
        <f t="shared" si="4"/>
        <v>3673.9554008765153</v>
      </c>
      <c r="X405" s="12">
        <f>VLOOKUP(B405,'Datos Maestros'!$C$2:$D$7,2,FALSE)*V405</f>
        <v>0</v>
      </c>
      <c r="Y405" s="18">
        <f t="shared" si="5"/>
        <v>45887</v>
      </c>
      <c r="Z405" s="13" t="s">
        <v>39</v>
      </c>
      <c r="AA405" s="19" t="str">
        <f>VLOOKUP(D405,Clientes!$A$2:$J$486,9,FALSE)</f>
        <v>Ocacional</v>
      </c>
      <c r="AB405" s="13" t="str">
        <f>VLOOKUP(D405,Clientes!$A$2:$K$486,11,FALSE)</f>
        <v>Persona Natural</v>
      </c>
      <c r="AC405" s="13" t="str">
        <f>VLOOKUP(D405,Clientes!$A$2:$B$486,2,FALSE)</f>
        <v>Trinidad</v>
      </c>
      <c r="AD405" s="20"/>
      <c r="AE405" s="20"/>
      <c r="AF405" s="13" t="s">
        <v>40</v>
      </c>
      <c r="AG405" s="15">
        <f t="shared" si="6"/>
        <v>45505</v>
      </c>
      <c r="AH405" s="13" t="s">
        <v>41</v>
      </c>
      <c r="AI405" s="13" t="str">
        <f t="shared" si="7"/>
        <v>Film Plastico-Aluminio</v>
      </c>
      <c r="AJ405" s="13" t="str">
        <f>VLOOKUP(E405,Precios!Z$2:AA$941,2,FALSE)</f>
        <v>Papel Aluminio 300 metros</v>
      </c>
      <c r="AK405" s="14">
        <f>VLOOKUP(E405,Precios!Z$2:BB$941,3,FALSE)*F405</f>
        <v>-1</v>
      </c>
      <c r="AL405" s="17"/>
      <c r="AM405" s="17"/>
      <c r="AN405" s="17"/>
      <c r="AO405" s="17"/>
      <c r="AP405" s="17"/>
      <c r="AQ405" s="17"/>
      <c r="AR405" s="17"/>
      <c r="AS405" s="17"/>
      <c r="AT405" s="17"/>
      <c r="AU405" s="17"/>
      <c r="AV405" s="17"/>
    </row>
    <row r="406" spans="1:48" ht="15.75" customHeight="1">
      <c r="A406" s="21" t="s">
        <v>147</v>
      </c>
      <c r="B406" s="23" t="s">
        <v>1692</v>
      </c>
      <c r="C406" s="22">
        <v>45892</v>
      </c>
      <c r="D406" s="23" t="s">
        <v>285</v>
      </c>
      <c r="E406" s="23" t="s">
        <v>67</v>
      </c>
      <c r="F406" s="21">
        <v>1</v>
      </c>
      <c r="G406" s="12">
        <f>VLOOKUP(E406,Precios!B$2:N$941,12,FALSE)</f>
        <v>7000.0000000000009</v>
      </c>
      <c r="H406" s="12">
        <f t="shared" si="0"/>
        <v>7000.0000000000009</v>
      </c>
      <c r="I406" s="23" t="s">
        <v>52</v>
      </c>
      <c r="J406" s="23" t="s">
        <v>61</v>
      </c>
      <c r="K406" s="24" t="s">
        <v>177</v>
      </c>
      <c r="L406" s="24">
        <v>174</v>
      </c>
      <c r="M406" s="12">
        <f t="shared" ref="M406:N406" si="411">G406/1.19</f>
        <v>5882.3529411764712</v>
      </c>
      <c r="N406" s="12">
        <f t="shared" si="411"/>
        <v>5882.3529411764712</v>
      </c>
      <c r="O406" s="12">
        <f t="shared" si="2"/>
        <v>1117.6470588235297</v>
      </c>
      <c r="P406" s="13"/>
      <c r="Q406" s="14">
        <f t="shared" si="3"/>
        <v>2025</v>
      </c>
      <c r="R406" s="15">
        <f>VLOOKUP(MONTH(C406),'Datos Maestros'!M$2:N$14,2,FALSE)</f>
        <v>45505</v>
      </c>
      <c r="S406" s="11" t="str">
        <f>VLOOKUP(E406,Precios!B$2:W$941,3,FALSE)</f>
        <v>Mantequilla</v>
      </c>
      <c r="T406" s="16">
        <f>VLOOKUP(E406,Precios!B$2:N$941,4,FALSE)*F406</f>
        <v>200</v>
      </c>
      <c r="U406" s="17"/>
      <c r="V406" s="12">
        <f>VLOOKUP(E406,Precios!B$2:N$941,13,FALSE)*F406</f>
        <v>1512.6050420168067</v>
      </c>
      <c r="W406" s="12">
        <f t="shared" si="4"/>
        <v>1512.6050420168067</v>
      </c>
      <c r="X406" s="12">
        <f>VLOOKUP(B406,'Datos Maestros'!$C$2:$D$7,2,FALSE)*V406</f>
        <v>0</v>
      </c>
      <c r="Y406" s="18">
        <f t="shared" si="5"/>
        <v>45887</v>
      </c>
      <c r="Z406" s="13" t="s">
        <v>39</v>
      </c>
      <c r="AA406" s="19" t="str">
        <f>VLOOKUP(D406,Clientes!$A$2:$J$486,9,FALSE)</f>
        <v>Familiar</v>
      </c>
      <c r="AB406" s="13" t="str">
        <f>VLOOKUP(D406,Clientes!$A$2:$K$486,11,FALSE)</f>
        <v>Persona Natural</v>
      </c>
      <c r="AC406" s="13" t="str">
        <f>VLOOKUP(D406,Clientes!$A$2:$B$486,2,FALSE)</f>
        <v>Familiar</v>
      </c>
      <c r="AD406" s="20"/>
      <c r="AE406" s="20"/>
      <c r="AF406" s="13" t="s">
        <v>40</v>
      </c>
      <c r="AG406" s="15">
        <f t="shared" si="6"/>
        <v>45505</v>
      </c>
      <c r="AH406" s="13" t="s">
        <v>41</v>
      </c>
      <c r="AI406" s="13" t="str">
        <f t="shared" si="7"/>
        <v>Film Plastico-Aluminio</v>
      </c>
      <c r="AJ406" s="13" t="str">
        <f>VLOOKUP(E406,Precios!Z$2:AA$941,2,FALSE)</f>
        <v>Mantequilla RUMAY</v>
      </c>
      <c r="AK406" s="14">
        <f>VLOOKUP(E406,Precios!Z$2:BB$941,3,FALSE)*F406</f>
        <v>-3</v>
      </c>
      <c r="AL406" s="17"/>
      <c r="AM406" s="17"/>
      <c r="AN406" s="17"/>
      <c r="AO406" s="17"/>
      <c r="AP406" s="17"/>
      <c r="AQ406" s="17"/>
      <c r="AR406" s="17"/>
      <c r="AS406" s="17"/>
      <c r="AT406" s="17"/>
      <c r="AU406" s="17"/>
      <c r="AV406" s="17"/>
    </row>
    <row r="407" spans="1:48" ht="15.75" customHeight="1">
      <c r="A407" s="21" t="s">
        <v>35</v>
      </c>
      <c r="B407" s="23" t="s">
        <v>1692</v>
      </c>
      <c r="C407" s="22">
        <v>45892</v>
      </c>
      <c r="D407" s="23" t="s">
        <v>285</v>
      </c>
      <c r="E407" s="23" t="s">
        <v>117</v>
      </c>
      <c r="F407" s="21">
        <v>1</v>
      </c>
      <c r="G407" s="12">
        <f>VLOOKUP(E407,Precios!B$2:N$941,12,FALSE)</f>
        <v>8999.8271341726922</v>
      </c>
      <c r="H407" s="12">
        <f t="shared" si="0"/>
        <v>8999.8271341726922</v>
      </c>
      <c r="I407" s="23" t="s">
        <v>52</v>
      </c>
      <c r="J407" s="23" t="s">
        <v>61</v>
      </c>
      <c r="K407" s="24" t="s">
        <v>177</v>
      </c>
      <c r="L407" s="24">
        <v>174</v>
      </c>
      <c r="M407" s="12">
        <f t="shared" ref="M407:N407" si="412">G407/1.19</f>
        <v>7562.8799446829353</v>
      </c>
      <c r="N407" s="12">
        <f t="shared" si="412"/>
        <v>7562.8799446829353</v>
      </c>
      <c r="O407" s="12">
        <f t="shared" si="2"/>
        <v>1436.947189489757</v>
      </c>
      <c r="P407" s="13"/>
      <c r="Q407" s="14">
        <f t="shared" si="3"/>
        <v>2025</v>
      </c>
      <c r="R407" s="15">
        <f>VLOOKUP(MONTH(C407),'Datos Maestros'!M$2:N$14,2,FALSE)</f>
        <v>45505</v>
      </c>
      <c r="S407" s="11" t="str">
        <f>VLOOKUP(E407,Precios!B$2:W$941,3,FALSE)</f>
        <v>Queso Mantecoso</v>
      </c>
      <c r="T407" s="16">
        <f>VLOOKUP(E407,Precios!B$2:N$941,4,FALSE)*F407</f>
        <v>750</v>
      </c>
      <c r="U407" s="17"/>
      <c r="V407" s="12">
        <f>VLOOKUP(E407,Precios!B$2:N$941,13,FALSE)*F407</f>
        <v>2312.8799446829353</v>
      </c>
      <c r="W407" s="12">
        <f t="shared" si="4"/>
        <v>2312.8799446829353</v>
      </c>
      <c r="X407" s="12">
        <f>VLOOKUP(B407,'Datos Maestros'!$C$2:$D$7,2,FALSE)*V407</f>
        <v>0</v>
      </c>
      <c r="Y407" s="18">
        <f t="shared" si="5"/>
        <v>45887</v>
      </c>
      <c r="Z407" s="13" t="s">
        <v>39</v>
      </c>
      <c r="AA407" s="19" t="str">
        <f>VLOOKUP(D407,Clientes!$A$2:$J$486,9,FALSE)</f>
        <v>Familiar</v>
      </c>
      <c r="AB407" s="13" t="str">
        <f>VLOOKUP(D407,Clientes!$A$2:$K$486,11,FALSE)</f>
        <v>Persona Natural</v>
      </c>
      <c r="AC407" s="13" t="str">
        <f>VLOOKUP(D407,Clientes!$A$2:$B$486,2,FALSE)</f>
        <v>Familiar</v>
      </c>
      <c r="AD407" s="20"/>
      <c r="AE407" s="20"/>
      <c r="AF407" s="13" t="s">
        <v>40</v>
      </c>
      <c r="AG407" s="15">
        <f t="shared" si="6"/>
        <v>45505</v>
      </c>
      <c r="AH407" s="13" t="s">
        <v>41</v>
      </c>
      <c r="AI407" s="13" t="str">
        <f t="shared" si="7"/>
        <v>Quesos</v>
      </c>
      <c r="AJ407" s="13" t="str">
        <f>VLOOKUP(E407,Precios!Z$2:AA$941,2,FALSE)</f>
        <v>Queso RUNCA Laminado Mantecoso</v>
      </c>
      <c r="AK407" s="14">
        <f>VLOOKUP(E407,Precios!Z$2:BB$941,3,FALSE)*F407</f>
        <v>-0.75</v>
      </c>
      <c r="AL407" s="17"/>
      <c r="AM407" s="17"/>
      <c r="AN407" s="17"/>
      <c r="AO407" s="17"/>
      <c r="AP407" s="17"/>
      <c r="AQ407" s="17"/>
      <c r="AR407" s="17"/>
      <c r="AS407" s="17"/>
      <c r="AT407" s="17"/>
      <c r="AU407" s="17"/>
      <c r="AV407" s="17"/>
    </row>
    <row r="408" spans="1:48" ht="15.75" customHeight="1">
      <c r="A408" s="21" t="s">
        <v>76</v>
      </c>
      <c r="B408" s="23" t="s">
        <v>1692</v>
      </c>
      <c r="C408" s="22">
        <v>45892</v>
      </c>
      <c r="D408" s="23" t="s">
        <v>236</v>
      </c>
      <c r="E408" s="23" t="s">
        <v>81</v>
      </c>
      <c r="F408" s="21">
        <v>1</v>
      </c>
      <c r="G408" s="12">
        <f>VLOOKUP(E408,Precios!B$2:N$941,12,FALSE)</f>
        <v>3500.0000000000005</v>
      </c>
      <c r="H408" s="12">
        <f t="shared" si="0"/>
        <v>3500.0000000000005</v>
      </c>
      <c r="I408" s="23" t="s">
        <v>52</v>
      </c>
      <c r="J408" s="23" t="s">
        <v>61</v>
      </c>
      <c r="K408" s="24" t="s">
        <v>177</v>
      </c>
      <c r="L408" s="24">
        <v>174</v>
      </c>
      <c r="M408" s="12">
        <f t="shared" ref="M408:N408" si="413">G408/1.19</f>
        <v>2941.1764705882356</v>
      </c>
      <c r="N408" s="12">
        <f t="shared" si="413"/>
        <v>2941.1764705882356</v>
      </c>
      <c r="O408" s="12">
        <f t="shared" si="2"/>
        <v>558.82352941176487</v>
      </c>
      <c r="P408" s="13"/>
      <c r="Q408" s="14">
        <f t="shared" si="3"/>
        <v>2025</v>
      </c>
      <c r="R408" s="15">
        <f>VLOOKUP(MONTH(C408),'Datos Maestros'!M$2:N$14,2,FALSE)</f>
        <v>45505</v>
      </c>
      <c r="S408" s="11" t="str">
        <f>VLOOKUP(E408,Precios!B$2:W$941,3,FALSE)</f>
        <v>Detergente Premium</v>
      </c>
      <c r="T408" s="16">
        <f>VLOOKUP(E408,Precios!B$2:N$941,4,FALSE)*F408</f>
        <v>5</v>
      </c>
      <c r="U408" s="17"/>
      <c r="V408" s="12">
        <f>VLOOKUP(E408,Precios!B$2:N$941,13,FALSE)*F408</f>
        <v>764.70588235294144</v>
      </c>
      <c r="W408" s="12">
        <f t="shared" si="4"/>
        <v>764.70588235294144</v>
      </c>
      <c r="X408" s="12">
        <f>VLOOKUP(B408,'Datos Maestros'!$C$2:$D$7,2,FALSE)*V408</f>
        <v>0</v>
      </c>
      <c r="Y408" s="18">
        <f t="shared" si="5"/>
        <v>45887</v>
      </c>
      <c r="Z408" s="13" t="s">
        <v>39</v>
      </c>
      <c r="AA408" s="19" t="str">
        <f>VLOOKUP(D408,Clientes!$A$2:$J$486,9,FALSE)</f>
        <v>Familiar</v>
      </c>
      <c r="AB408" s="13" t="str">
        <f>VLOOKUP(D408,Clientes!$A$2:$K$486,11,FALSE)</f>
        <v>Persona Natural</v>
      </c>
      <c r="AC408" s="13" t="str">
        <f>VLOOKUP(D408,Clientes!$A$2:$B$486,2,FALSE)</f>
        <v>Familiar</v>
      </c>
      <c r="AD408" s="20"/>
      <c r="AE408" s="20"/>
      <c r="AF408" s="13" t="s">
        <v>40</v>
      </c>
      <c r="AG408" s="15">
        <f t="shared" si="6"/>
        <v>45505</v>
      </c>
      <c r="AH408" s="13" t="s">
        <v>41</v>
      </c>
      <c r="AI408" s="13" t="str">
        <f t="shared" si="7"/>
        <v>Detergentes</v>
      </c>
      <c r="AJ408" s="13" t="str">
        <f>VLOOKUP(E408,Precios!Z$2:AA$941,2,FALSE)</f>
        <v>Detergente SPUM 5 Litros (Verde)</v>
      </c>
      <c r="AK408" s="14">
        <f>VLOOKUP(E408,Precios!Z$2:BB$941,3,FALSE)*F408</f>
        <v>-1</v>
      </c>
      <c r="AL408" s="17"/>
      <c r="AM408" s="17"/>
      <c r="AN408" s="17"/>
      <c r="AO408" s="17"/>
      <c r="AP408" s="17"/>
      <c r="AQ408" s="17"/>
      <c r="AR408" s="17"/>
      <c r="AS408" s="17"/>
      <c r="AT408" s="17"/>
      <c r="AU408" s="17"/>
      <c r="AV408" s="17"/>
    </row>
    <row r="409" spans="1:48" ht="15.75" customHeight="1">
      <c r="A409" s="21" t="s">
        <v>43</v>
      </c>
      <c r="B409" s="23" t="s">
        <v>1692</v>
      </c>
      <c r="C409" s="22">
        <v>45892</v>
      </c>
      <c r="D409" s="23" t="s">
        <v>120</v>
      </c>
      <c r="E409" s="23" t="s">
        <v>45</v>
      </c>
      <c r="F409" s="21">
        <v>1</v>
      </c>
      <c r="G409" s="12">
        <f>VLOOKUP(E409,Precios!B$2:N$941,12,FALSE)</f>
        <v>8000.1831784723063</v>
      </c>
      <c r="H409" s="12">
        <f t="shared" si="0"/>
        <v>8000.1831784723063</v>
      </c>
      <c r="I409" s="23" t="s">
        <v>52</v>
      </c>
      <c r="J409" s="23" t="s">
        <v>61</v>
      </c>
      <c r="K409" s="24" t="s">
        <v>177</v>
      </c>
      <c r="L409" s="24">
        <v>174</v>
      </c>
      <c r="M409" s="12">
        <f t="shared" ref="M409:N409" si="414">G409/1.19</f>
        <v>6722.8430071195853</v>
      </c>
      <c r="N409" s="12">
        <f t="shared" si="414"/>
        <v>6722.8430071195853</v>
      </c>
      <c r="O409" s="12">
        <f t="shared" si="2"/>
        <v>1277.340171352721</v>
      </c>
      <c r="P409" s="13"/>
      <c r="Q409" s="14">
        <f t="shared" si="3"/>
        <v>2025</v>
      </c>
      <c r="R409" s="15">
        <f>VLOOKUP(MONTH(C409),'Datos Maestros'!M$2:N$14,2,FALSE)</f>
        <v>45505</v>
      </c>
      <c r="S409" s="11" t="str">
        <f>VLOOKUP(E409,Precios!B$2:W$941,3,FALSE)</f>
        <v>Huevos EXTRA</v>
      </c>
      <c r="T409" s="16">
        <f>VLOOKUP(E409,Precios!B$2:N$941,4,FALSE)*F409</f>
        <v>0</v>
      </c>
      <c r="U409" s="17"/>
      <c r="V409" s="12">
        <f>VLOOKUP(E409,Precios!B$2:N$941,13,FALSE)*F409</f>
        <v>1151.6230071195851</v>
      </c>
      <c r="W409" s="12">
        <f t="shared" si="4"/>
        <v>1151.6230071195851</v>
      </c>
      <c r="X409" s="12">
        <f>VLOOKUP(B409,'Datos Maestros'!$C$2:$D$7,2,FALSE)*V409</f>
        <v>0</v>
      </c>
      <c r="Y409" s="18">
        <f t="shared" si="5"/>
        <v>45887</v>
      </c>
      <c r="Z409" s="13" t="s">
        <v>39</v>
      </c>
      <c r="AA409" s="19" t="str">
        <f>VLOOKUP(D409,Clientes!$A$2:$J$486,9,FALSE)</f>
        <v>Ocacional</v>
      </c>
      <c r="AB409" s="13" t="str">
        <f>VLOOKUP(D409,Clientes!$A$2:$K$486,11,FALSE)</f>
        <v>Persona Natural</v>
      </c>
      <c r="AC409" s="13" t="str">
        <f>VLOOKUP(D409,Clientes!$A$2:$B$486,2,FALSE)</f>
        <v>Jardines de la viña</v>
      </c>
      <c r="AD409" s="20"/>
      <c r="AE409" s="20"/>
      <c r="AF409" s="13" t="s">
        <v>40</v>
      </c>
      <c r="AG409" s="15">
        <f t="shared" si="6"/>
        <v>45505</v>
      </c>
      <c r="AH409" s="13" t="s">
        <v>41</v>
      </c>
      <c r="AI409" s="13" t="str">
        <f t="shared" si="7"/>
        <v>Huevos</v>
      </c>
      <c r="AJ409" s="13" t="str">
        <f>VLOOKUP(E409,Precios!Z$2:AA$941,2,FALSE)</f>
        <v>Bandeja Huevos EXTRA</v>
      </c>
      <c r="AK409" s="14">
        <f>VLOOKUP(E409,Precios!Z$2:BB$941,3,FALSE)*F409</f>
        <v>-1</v>
      </c>
      <c r="AL409" s="17"/>
      <c r="AM409" s="17"/>
      <c r="AN409" s="17"/>
      <c r="AO409" s="17"/>
      <c r="AP409" s="17"/>
      <c r="AQ409" s="17"/>
      <c r="AR409" s="17"/>
      <c r="AS409" s="17"/>
      <c r="AT409" s="17"/>
      <c r="AU409" s="17"/>
      <c r="AV409" s="17"/>
    </row>
    <row r="410" spans="1:48" ht="15.75" customHeight="1">
      <c r="A410" s="21" t="s">
        <v>35</v>
      </c>
      <c r="B410" s="23" t="s">
        <v>1692</v>
      </c>
      <c r="C410" s="22">
        <v>45892</v>
      </c>
      <c r="D410" s="23" t="s">
        <v>151</v>
      </c>
      <c r="E410" s="23" t="s">
        <v>46</v>
      </c>
      <c r="F410" s="21">
        <v>1</v>
      </c>
      <c r="G410" s="12">
        <f>VLOOKUP(E410,Precios!B$2:N$941,12,FALSE)</f>
        <v>6000.1548227279782</v>
      </c>
      <c r="H410" s="12">
        <f t="shared" si="0"/>
        <v>6000.1548227279782</v>
      </c>
      <c r="I410" s="23" t="s">
        <v>52</v>
      </c>
      <c r="J410" s="23" t="s">
        <v>38</v>
      </c>
      <c r="K410" s="24" t="s">
        <v>177</v>
      </c>
      <c r="L410" s="24">
        <v>174</v>
      </c>
      <c r="M410" s="12">
        <f t="shared" ref="M410:N410" si="415">G410/1.19</f>
        <v>5042.1469098554444</v>
      </c>
      <c r="N410" s="12">
        <f t="shared" si="415"/>
        <v>5042.1469098554444</v>
      </c>
      <c r="O410" s="12">
        <f t="shared" si="2"/>
        <v>958.00791287253378</v>
      </c>
      <c r="P410" s="13"/>
      <c r="Q410" s="14">
        <f t="shared" si="3"/>
        <v>2025</v>
      </c>
      <c r="R410" s="15">
        <f>VLOOKUP(MONTH(C410),'Datos Maestros'!M$2:N$14,2,FALSE)</f>
        <v>45505</v>
      </c>
      <c r="S410" s="11" t="str">
        <f>VLOOKUP(E410,Precios!B$2:W$941,3,FALSE)</f>
        <v>Queso Mantecoso</v>
      </c>
      <c r="T410" s="16">
        <f>VLOOKUP(E410,Precios!B$2:N$941,4,FALSE)*F410</f>
        <v>500</v>
      </c>
      <c r="U410" s="17"/>
      <c r="V410" s="12">
        <f>VLOOKUP(E410,Precios!B$2:N$941,13,FALSE)*F410</f>
        <v>1785.4242207798129</v>
      </c>
      <c r="W410" s="12">
        <f t="shared" si="4"/>
        <v>1785.4242207798129</v>
      </c>
      <c r="X410" s="12">
        <f>VLOOKUP(B410,'Datos Maestros'!$C$2:$D$7,2,FALSE)*V410</f>
        <v>0</v>
      </c>
      <c r="Y410" s="18">
        <f t="shared" si="5"/>
        <v>45887</v>
      </c>
      <c r="Z410" s="13" t="s">
        <v>39</v>
      </c>
      <c r="AA410" s="19" t="str">
        <f>VLOOKUP(D410,Clientes!$A$2:$J$486,9,FALSE)</f>
        <v>Ocacional</v>
      </c>
      <c r="AB410" s="13" t="str">
        <f>VLOOKUP(D410,Clientes!$A$2:$K$486,11,FALSE)</f>
        <v>Persona Natural</v>
      </c>
      <c r="AC410" s="13" t="str">
        <f>VLOOKUP(D410,Clientes!$A$2:$B$486,2,FALSE)</f>
        <v>El Domo</v>
      </c>
      <c r="AD410" s="20"/>
      <c r="AE410" s="20"/>
      <c r="AF410" s="13" t="s">
        <v>40</v>
      </c>
      <c r="AG410" s="15">
        <f t="shared" si="6"/>
        <v>45505</v>
      </c>
      <c r="AH410" s="13" t="s">
        <v>41</v>
      </c>
      <c r="AI410" s="13" t="str">
        <f t="shared" si="7"/>
        <v>Quesos</v>
      </c>
      <c r="AJ410" s="13" t="str">
        <f>VLOOKUP(E410,Precios!Z$2:AA$941,2,FALSE)</f>
        <v>Queso RUNCA Mantecoso</v>
      </c>
      <c r="AK410" s="14">
        <f>VLOOKUP(E410,Precios!Z$2:BB$941,3,FALSE)*F410</f>
        <v>-0.5</v>
      </c>
      <c r="AL410" s="17"/>
      <c r="AM410" s="17"/>
      <c r="AN410" s="17"/>
      <c r="AO410" s="17"/>
      <c r="AP410" s="17"/>
      <c r="AQ410" s="17"/>
      <c r="AR410" s="17"/>
      <c r="AS410" s="17"/>
      <c r="AT410" s="17"/>
      <c r="AU410" s="17"/>
      <c r="AV410" s="17"/>
    </row>
    <row r="411" spans="1:48" ht="15.75" customHeight="1">
      <c r="A411" s="21" t="s">
        <v>53</v>
      </c>
      <c r="B411" s="23" t="s">
        <v>1692</v>
      </c>
      <c r="C411" s="22">
        <v>45892</v>
      </c>
      <c r="D411" s="23" t="s">
        <v>238</v>
      </c>
      <c r="E411" s="23" t="s">
        <v>69</v>
      </c>
      <c r="F411" s="21">
        <v>1</v>
      </c>
      <c r="G411" s="12">
        <f>VLOOKUP(E411,Precios!B$2:N$941,12,FALSE)</f>
        <v>2999.9553810458683</v>
      </c>
      <c r="H411" s="12">
        <f t="shared" si="0"/>
        <v>2999.9553810458683</v>
      </c>
      <c r="I411" s="23" t="s">
        <v>52</v>
      </c>
      <c r="J411" s="23" t="s">
        <v>61</v>
      </c>
      <c r="K411" s="24" t="s">
        <v>177</v>
      </c>
      <c r="L411" s="24">
        <v>174</v>
      </c>
      <c r="M411" s="12">
        <f t="shared" ref="M411:N411" si="416">G411/1.19</f>
        <v>2520.9709084419064</v>
      </c>
      <c r="N411" s="12">
        <f t="shared" si="416"/>
        <v>2520.9709084419064</v>
      </c>
      <c r="O411" s="12">
        <f t="shared" si="2"/>
        <v>478.98447260396188</v>
      </c>
      <c r="P411" s="13"/>
      <c r="Q411" s="14">
        <f t="shared" si="3"/>
        <v>2025</v>
      </c>
      <c r="R411" s="15">
        <f>VLOOKUP(MONTH(C411),'Datos Maestros'!M$2:N$14,2,FALSE)</f>
        <v>45505</v>
      </c>
      <c r="S411" s="11" t="str">
        <f>VLOOKUP(E411,Precios!B$2:W$941,3,FALSE)</f>
        <v>Toalla Nova 70 mts</v>
      </c>
      <c r="T411" s="16">
        <f>VLOOKUP(E411,Precios!B$2:N$941,4,FALSE)*F411</f>
        <v>0</v>
      </c>
      <c r="U411" s="17"/>
      <c r="V411" s="12">
        <f>VLOOKUP(E411,Precios!B$2:N$941,13,FALSE)*F411</f>
        <v>825.97090844190598</v>
      </c>
      <c r="W411" s="12">
        <f t="shared" si="4"/>
        <v>825.97090844190598</v>
      </c>
      <c r="X411" s="12">
        <f>VLOOKUP(B411,'Datos Maestros'!$C$2:$D$7,2,FALSE)*V411</f>
        <v>0</v>
      </c>
      <c r="Y411" s="18">
        <f t="shared" si="5"/>
        <v>45887</v>
      </c>
      <c r="Z411" s="13" t="s">
        <v>39</v>
      </c>
      <c r="AA411" s="19" t="str">
        <f>VLOOKUP(D411,Clientes!$A$2:$J$486,9,FALSE)</f>
        <v>Ocacional</v>
      </c>
      <c r="AB411" s="13" t="str">
        <f>VLOOKUP(D411,Clientes!$A$2:$K$486,11,FALSE)</f>
        <v>Persona Natural</v>
      </c>
      <c r="AC411" s="13" t="str">
        <f>VLOOKUP(D411,Clientes!$A$2:$B$486,2,FALSE)</f>
        <v>Araucana</v>
      </c>
      <c r="AD411" s="20"/>
      <c r="AE411" s="20"/>
      <c r="AF411" s="13" t="s">
        <v>40</v>
      </c>
      <c r="AG411" s="15">
        <f t="shared" si="6"/>
        <v>45505</v>
      </c>
      <c r="AH411" s="13" t="s">
        <v>41</v>
      </c>
      <c r="AI411" s="13" t="str">
        <f t="shared" si="7"/>
        <v>Papeleria</v>
      </c>
      <c r="AJ411" s="13" t="str">
        <f>VLOOKUP(E411,Precios!Z$2:AA$941,2,FALSE)</f>
        <v>Toalla Papel NOVA 70 metros</v>
      </c>
      <c r="AK411" s="14">
        <f>VLOOKUP(E411,Precios!Z$2:BB$941,3,FALSE)*F411</f>
        <v>-1</v>
      </c>
      <c r="AL411" s="17"/>
      <c r="AM411" s="17"/>
      <c r="AN411" s="17"/>
      <c r="AO411" s="17"/>
      <c r="AP411" s="17"/>
      <c r="AQ411" s="17"/>
      <c r="AR411" s="17"/>
      <c r="AS411" s="17"/>
      <c r="AT411" s="17"/>
      <c r="AU411" s="17"/>
      <c r="AV411" s="17"/>
    </row>
    <row r="412" spans="1:48" ht="15.75" customHeight="1">
      <c r="A412" s="21" t="s">
        <v>47</v>
      </c>
      <c r="B412" s="23" t="s">
        <v>1692</v>
      </c>
      <c r="C412" s="22">
        <v>45892</v>
      </c>
      <c r="D412" s="23" t="s">
        <v>238</v>
      </c>
      <c r="E412" s="23" t="s">
        <v>171</v>
      </c>
      <c r="F412" s="21">
        <v>1</v>
      </c>
      <c r="G412" s="12">
        <f>VLOOKUP(E412,Precios!B$2:N$941,12,FALSE)</f>
        <v>1599.7931747673217</v>
      </c>
      <c r="H412" s="12">
        <f t="shared" si="0"/>
        <v>1599.7931747673217</v>
      </c>
      <c r="I412" s="23" t="s">
        <v>52</v>
      </c>
      <c r="J412" s="23" t="s">
        <v>61</v>
      </c>
      <c r="K412" s="24" t="s">
        <v>177</v>
      </c>
      <c r="L412" s="24">
        <v>174</v>
      </c>
      <c r="M412" s="12">
        <f t="shared" ref="M412:N412" si="417">G412/1.19</f>
        <v>1344.3640124095141</v>
      </c>
      <c r="N412" s="12">
        <f t="shared" si="417"/>
        <v>1344.3640124095141</v>
      </c>
      <c r="O412" s="12">
        <f t="shared" si="2"/>
        <v>255.42916235780763</v>
      </c>
      <c r="P412" s="13"/>
      <c r="Q412" s="14">
        <f t="shared" si="3"/>
        <v>2025</v>
      </c>
      <c r="R412" s="15">
        <f>VLOOKUP(MONTH(C412),'Datos Maestros'!M$2:N$14,2,FALSE)</f>
        <v>45505</v>
      </c>
      <c r="S412" s="11" t="str">
        <f>VLOOKUP(E412,Precios!B$2:W$941,3,FALSE)</f>
        <v>Cera</v>
      </c>
      <c r="T412" s="16">
        <f>VLOOKUP(E412,Precios!B$2:N$941,4,FALSE)*F412</f>
        <v>0</v>
      </c>
      <c r="U412" s="17"/>
      <c r="V412" s="12">
        <f>VLOOKUP(E412,Precios!B$2:N$941,13,FALSE)*F412</f>
        <v>369.36401240951409</v>
      </c>
      <c r="W412" s="12">
        <f t="shared" si="4"/>
        <v>369.36401240951409</v>
      </c>
      <c r="X412" s="12">
        <f>VLOOKUP(B412,'Datos Maestros'!$C$2:$D$7,2,FALSE)*V412</f>
        <v>0</v>
      </c>
      <c r="Y412" s="18">
        <f t="shared" si="5"/>
        <v>45887</v>
      </c>
      <c r="Z412" s="13" t="s">
        <v>39</v>
      </c>
      <c r="AA412" s="19" t="str">
        <f>VLOOKUP(D412,Clientes!$A$2:$J$486,9,FALSE)</f>
        <v>Ocacional</v>
      </c>
      <c r="AB412" s="13" t="str">
        <f>VLOOKUP(D412,Clientes!$A$2:$K$486,11,FALSE)</f>
        <v>Persona Natural</v>
      </c>
      <c r="AC412" s="13" t="str">
        <f>VLOOKUP(D412,Clientes!$A$2:$B$486,2,FALSE)</f>
        <v>Araucana</v>
      </c>
      <c r="AD412" s="20"/>
      <c r="AE412" s="20"/>
      <c r="AF412" s="13" t="s">
        <v>40</v>
      </c>
      <c r="AG412" s="15">
        <f t="shared" si="6"/>
        <v>45505</v>
      </c>
      <c r="AH412" s="13" t="s">
        <v>41</v>
      </c>
      <c r="AI412" s="13" t="str">
        <f t="shared" si="7"/>
        <v>Articulos de Aseo</v>
      </c>
      <c r="AJ412" s="13" t="str">
        <f>VLOOKUP(E412,Precios!Z$2:AA$941,2,FALSE)</f>
        <v>Cera Tierra Color Brillina</v>
      </c>
      <c r="AK412" s="14">
        <f>VLOOKUP(E412,Precios!Z$2:BB$941,3,FALSE)*F412</f>
        <v>-1</v>
      </c>
      <c r="AL412" s="17"/>
      <c r="AM412" s="17"/>
      <c r="AN412" s="17"/>
      <c r="AO412" s="17"/>
      <c r="AP412" s="17"/>
      <c r="AQ412" s="17"/>
      <c r="AR412" s="17"/>
      <c r="AS412" s="17"/>
      <c r="AT412" s="17"/>
      <c r="AU412" s="17"/>
      <c r="AV412" s="17"/>
    </row>
    <row r="413" spans="1:48" ht="15.75" customHeight="1">
      <c r="A413" s="21" t="s">
        <v>76</v>
      </c>
      <c r="B413" s="23" t="s">
        <v>1692</v>
      </c>
      <c r="C413" s="22">
        <v>45892</v>
      </c>
      <c r="D413" s="23" t="s">
        <v>238</v>
      </c>
      <c r="E413" s="23" t="s">
        <v>201</v>
      </c>
      <c r="F413" s="21">
        <v>1</v>
      </c>
      <c r="G413" s="12">
        <f>VLOOKUP(E413,Precios!B$2:N$941,12,FALSE)</f>
        <v>1499.8684349015896</v>
      </c>
      <c r="H413" s="12">
        <f t="shared" si="0"/>
        <v>1499.8684349015896</v>
      </c>
      <c r="I413" s="23" t="s">
        <v>52</v>
      </c>
      <c r="J413" s="23" t="s">
        <v>61</v>
      </c>
      <c r="K413" s="24" t="s">
        <v>177</v>
      </c>
      <c r="L413" s="24">
        <v>174</v>
      </c>
      <c r="M413" s="12">
        <f t="shared" ref="M413:N413" si="418">G413/1.19</f>
        <v>1260.393642774445</v>
      </c>
      <c r="N413" s="12">
        <f t="shared" si="418"/>
        <v>1260.393642774445</v>
      </c>
      <c r="O413" s="12">
        <f t="shared" si="2"/>
        <v>239.47479212714461</v>
      </c>
      <c r="P413" s="13"/>
      <c r="Q413" s="14">
        <f t="shared" si="3"/>
        <v>2025</v>
      </c>
      <c r="R413" s="15">
        <f>VLOOKUP(MONTH(C413),'Datos Maestros'!M$2:N$14,2,FALSE)</f>
        <v>45505</v>
      </c>
      <c r="S413" s="11" t="str">
        <f>VLOOKUP(E413,Precios!B$2:W$941,3,FALSE)</f>
        <v>Lavaloza</v>
      </c>
      <c r="T413" s="16">
        <f>VLOOKUP(E413,Precios!B$2:N$941,4,FALSE)*F413</f>
        <v>0</v>
      </c>
      <c r="U413" s="17"/>
      <c r="V413" s="12">
        <f>VLOOKUP(E413,Precios!B$2:N$941,13,FALSE)*F413</f>
        <v>462.0603094411116</v>
      </c>
      <c r="W413" s="12">
        <f t="shared" si="4"/>
        <v>462.0603094411116</v>
      </c>
      <c r="X413" s="12">
        <f>VLOOKUP(B413,'Datos Maestros'!$C$2:$D$7,2,FALSE)*V413</f>
        <v>0</v>
      </c>
      <c r="Y413" s="18">
        <f t="shared" si="5"/>
        <v>45887</v>
      </c>
      <c r="Z413" s="13" t="s">
        <v>39</v>
      </c>
      <c r="AA413" s="19" t="str">
        <f>VLOOKUP(D413,Clientes!$A$2:$J$486,9,FALSE)</f>
        <v>Ocacional</v>
      </c>
      <c r="AB413" s="13" t="str">
        <f>VLOOKUP(D413,Clientes!$A$2:$K$486,11,FALSE)</f>
        <v>Persona Natural</v>
      </c>
      <c r="AC413" s="13" t="str">
        <f>VLOOKUP(D413,Clientes!$A$2:$B$486,2,FALSE)</f>
        <v>Araucana</v>
      </c>
      <c r="AD413" s="20"/>
      <c r="AE413" s="20"/>
      <c r="AF413" s="13" t="s">
        <v>40</v>
      </c>
      <c r="AG413" s="15">
        <f t="shared" si="6"/>
        <v>45505</v>
      </c>
      <c r="AH413" s="13" t="s">
        <v>41</v>
      </c>
      <c r="AI413" s="13" t="str">
        <f t="shared" si="7"/>
        <v>Detergentes</v>
      </c>
      <c r="AJ413" s="13" t="str">
        <f>VLOOKUP(E413,Precios!Z$2:AA$941,2,FALSE)</f>
        <v>Lavaloza WYN 750 ml</v>
      </c>
      <c r="AK413" s="14">
        <f>VLOOKUP(E413,Precios!Z$2:BB$941,3,FALSE)*F413</f>
        <v>-1</v>
      </c>
      <c r="AL413" s="17"/>
      <c r="AM413" s="17"/>
      <c r="AN413" s="17"/>
      <c r="AO413" s="17"/>
      <c r="AP413" s="17"/>
      <c r="AQ413" s="17"/>
      <c r="AR413" s="17"/>
      <c r="AS413" s="17"/>
      <c r="AT413" s="17"/>
      <c r="AU413" s="17"/>
      <c r="AV413" s="17"/>
    </row>
    <row r="414" spans="1:48" ht="15.75" customHeight="1">
      <c r="A414" s="21" t="s">
        <v>43</v>
      </c>
      <c r="B414" s="23" t="s">
        <v>1692</v>
      </c>
      <c r="C414" s="22">
        <v>45892</v>
      </c>
      <c r="D414" s="23" t="s">
        <v>286</v>
      </c>
      <c r="E414" s="23" t="s">
        <v>45</v>
      </c>
      <c r="F414" s="21">
        <v>2</v>
      </c>
      <c r="G414" s="12">
        <f>VLOOKUP(E414,Precios!B$2:N$941,12,FALSE)</f>
        <v>8000.1831784723063</v>
      </c>
      <c r="H414" s="12">
        <f t="shared" si="0"/>
        <v>16000.366356944613</v>
      </c>
      <c r="I414" s="23" t="s">
        <v>52</v>
      </c>
      <c r="J414" s="23" t="s">
        <v>61</v>
      </c>
      <c r="K414" s="24" t="s">
        <v>177</v>
      </c>
      <c r="L414" s="24">
        <v>174</v>
      </c>
      <c r="M414" s="12">
        <f t="shared" ref="M414:N414" si="419">G414/1.19</f>
        <v>6722.8430071195853</v>
      </c>
      <c r="N414" s="12">
        <f t="shared" si="419"/>
        <v>13445.686014239171</v>
      </c>
      <c r="O414" s="12">
        <f t="shared" si="2"/>
        <v>2554.6803427054419</v>
      </c>
      <c r="P414" s="13"/>
      <c r="Q414" s="14">
        <f t="shared" si="3"/>
        <v>2025</v>
      </c>
      <c r="R414" s="15">
        <f>VLOOKUP(MONTH(C414),'Datos Maestros'!M$2:N$14,2,FALSE)</f>
        <v>45505</v>
      </c>
      <c r="S414" s="11" t="str">
        <f>VLOOKUP(E414,Precios!B$2:W$941,3,FALSE)</f>
        <v>Huevos EXTRA</v>
      </c>
      <c r="T414" s="16">
        <f>VLOOKUP(E414,Precios!B$2:N$941,4,FALSE)*F414</f>
        <v>0</v>
      </c>
      <c r="U414" s="17"/>
      <c r="V414" s="12">
        <f>VLOOKUP(E414,Precios!B$2:N$941,13,FALSE)*F414</f>
        <v>2303.2460142391701</v>
      </c>
      <c r="W414" s="12">
        <f t="shared" si="4"/>
        <v>2303.2460142391701</v>
      </c>
      <c r="X414" s="12">
        <f>VLOOKUP(B414,'Datos Maestros'!$C$2:$D$7,2,FALSE)*V414</f>
        <v>0</v>
      </c>
      <c r="Y414" s="18">
        <f t="shared" si="5"/>
        <v>45887</v>
      </c>
      <c r="Z414" s="13" t="s">
        <v>39</v>
      </c>
      <c r="AA414" s="19" t="str">
        <f>VLOOKUP(D414,Clientes!$A$2:$J$486,9,FALSE)</f>
        <v>Ocacional</v>
      </c>
      <c r="AB414" s="13" t="str">
        <f>VLOOKUP(D414,Clientes!$A$2:$K$486,11,FALSE)</f>
        <v>Persona Natural</v>
      </c>
      <c r="AC414" s="13" t="str">
        <f>VLOOKUP(D414,Clientes!$A$2:$B$486,2,FALSE)</f>
        <v>Santa Adriana</v>
      </c>
      <c r="AD414" s="20"/>
      <c r="AE414" s="20"/>
      <c r="AF414" s="13" t="s">
        <v>40</v>
      </c>
      <c r="AG414" s="15">
        <f t="shared" si="6"/>
        <v>45505</v>
      </c>
      <c r="AH414" s="13" t="s">
        <v>41</v>
      </c>
      <c r="AI414" s="13" t="str">
        <f t="shared" si="7"/>
        <v>Huevos</v>
      </c>
      <c r="AJ414" s="13" t="str">
        <f>VLOOKUP(E414,Precios!Z$2:AA$941,2,FALSE)</f>
        <v>Bandeja Huevos EXTRA</v>
      </c>
      <c r="AK414" s="14">
        <f>VLOOKUP(E414,Precios!Z$2:BB$941,3,FALSE)*F414</f>
        <v>-2</v>
      </c>
      <c r="AL414" s="17"/>
      <c r="AM414" s="17"/>
      <c r="AN414" s="17"/>
      <c r="AO414" s="17"/>
      <c r="AP414" s="17"/>
      <c r="AQ414" s="17"/>
      <c r="AR414" s="17"/>
      <c r="AS414" s="17"/>
      <c r="AT414" s="17"/>
      <c r="AU414" s="17"/>
      <c r="AV414" s="17"/>
    </row>
    <row r="415" spans="1:48" ht="15.75" customHeight="1">
      <c r="A415" s="21" t="s">
        <v>43</v>
      </c>
      <c r="B415" s="23" t="s">
        <v>1692</v>
      </c>
      <c r="C415" s="22">
        <v>45892</v>
      </c>
      <c r="D415" s="23" t="s">
        <v>219</v>
      </c>
      <c r="E415" s="23" t="s">
        <v>45</v>
      </c>
      <c r="F415" s="21">
        <v>2</v>
      </c>
      <c r="G415" s="12">
        <f>VLOOKUP(E415,Precios!B$2:N$941,12,FALSE)</f>
        <v>8000.1831784723063</v>
      </c>
      <c r="H415" s="12">
        <f t="shared" si="0"/>
        <v>16000.366356944613</v>
      </c>
      <c r="I415" s="23" t="s">
        <v>52</v>
      </c>
      <c r="J415" s="23" t="s">
        <v>61</v>
      </c>
      <c r="K415" s="24" t="s">
        <v>177</v>
      </c>
      <c r="L415" s="24">
        <v>174</v>
      </c>
      <c r="M415" s="12">
        <f t="shared" ref="M415:N415" si="420">G415/1.19</f>
        <v>6722.8430071195853</v>
      </c>
      <c r="N415" s="12">
        <f t="shared" si="420"/>
        <v>13445.686014239171</v>
      </c>
      <c r="O415" s="12">
        <f t="shared" si="2"/>
        <v>2554.6803427054419</v>
      </c>
      <c r="P415" s="13"/>
      <c r="Q415" s="14">
        <f t="shared" si="3"/>
        <v>2025</v>
      </c>
      <c r="R415" s="15">
        <f>VLOOKUP(MONTH(C415),'Datos Maestros'!M$2:N$14,2,FALSE)</f>
        <v>45505</v>
      </c>
      <c r="S415" s="11" t="str">
        <f>VLOOKUP(E415,Precios!B$2:W$941,3,FALSE)</f>
        <v>Huevos EXTRA</v>
      </c>
      <c r="T415" s="16">
        <f>VLOOKUP(E415,Precios!B$2:N$941,4,FALSE)*F415</f>
        <v>0</v>
      </c>
      <c r="U415" s="17"/>
      <c r="V415" s="12">
        <f>VLOOKUP(E415,Precios!B$2:N$941,13,FALSE)*F415</f>
        <v>2303.2460142391701</v>
      </c>
      <c r="W415" s="12">
        <f t="shared" si="4"/>
        <v>2303.2460142391701</v>
      </c>
      <c r="X415" s="12">
        <f>VLOOKUP(B415,'Datos Maestros'!$C$2:$D$7,2,FALSE)*V415</f>
        <v>0</v>
      </c>
      <c r="Y415" s="18">
        <f t="shared" si="5"/>
        <v>45887</v>
      </c>
      <c r="Z415" s="13" t="s">
        <v>39</v>
      </c>
      <c r="AA415" s="19" t="str">
        <f>VLOOKUP(D415,Clientes!$A$2:$J$486,9,FALSE)</f>
        <v>Ocacional</v>
      </c>
      <c r="AB415" s="13" t="str">
        <f>VLOOKUP(D415,Clientes!$A$2:$K$486,11,FALSE)</f>
        <v>Persona Natural</v>
      </c>
      <c r="AC415" s="13" t="str">
        <f>VLOOKUP(D415,Clientes!$A$2:$B$486,2,FALSE)</f>
        <v>Jardines de la Viña</v>
      </c>
      <c r="AD415" s="20"/>
      <c r="AE415" s="20"/>
      <c r="AF415" s="13" t="s">
        <v>40</v>
      </c>
      <c r="AG415" s="15">
        <f t="shared" si="6"/>
        <v>45505</v>
      </c>
      <c r="AH415" s="13" t="s">
        <v>41</v>
      </c>
      <c r="AI415" s="13" t="str">
        <f t="shared" si="7"/>
        <v>Huevos</v>
      </c>
      <c r="AJ415" s="13" t="str">
        <f>VLOOKUP(E415,Precios!Z$2:AA$941,2,FALSE)</f>
        <v>Bandeja Huevos EXTRA</v>
      </c>
      <c r="AK415" s="14">
        <f>VLOOKUP(E415,Precios!Z$2:BB$941,3,FALSE)*F415</f>
        <v>-2</v>
      </c>
      <c r="AL415" s="17"/>
      <c r="AM415" s="17"/>
      <c r="AN415" s="17"/>
      <c r="AO415" s="17"/>
      <c r="AP415" s="17"/>
      <c r="AQ415" s="17"/>
      <c r="AR415" s="17"/>
      <c r="AS415" s="17"/>
      <c r="AT415" s="17"/>
      <c r="AU415" s="17"/>
      <c r="AV415" s="17"/>
    </row>
    <row r="416" spans="1:48" ht="15.75" customHeight="1">
      <c r="A416" s="21" t="s">
        <v>43</v>
      </c>
      <c r="B416" s="23" t="s">
        <v>1692</v>
      </c>
      <c r="C416" s="22">
        <v>45892</v>
      </c>
      <c r="D416" s="23" t="s">
        <v>189</v>
      </c>
      <c r="E416" s="23" t="s">
        <v>45</v>
      </c>
      <c r="F416" s="14">
        <v>1</v>
      </c>
      <c r="G416" s="12">
        <f>VLOOKUP(E416,Precios!B$2:N$941,12,FALSE)</f>
        <v>8000.1831784723063</v>
      </c>
      <c r="H416" s="12">
        <f t="shared" si="0"/>
        <v>8000.1831784723063</v>
      </c>
      <c r="I416" s="23" t="s">
        <v>52</v>
      </c>
      <c r="J416" s="23" t="s">
        <v>61</v>
      </c>
      <c r="K416" s="24" t="s">
        <v>177</v>
      </c>
      <c r="L416" s="24">
        <v>174</v>
      </c>
      <c r="M416" s="12">
        <f t="shared" ref="M416:N416" si="421">G416/1.19</f>
        <v>6722.8430071195853</v>
      </c>
      <c r="N416" s="12">
        <f t="shared" si="421"/>
        <v>6722.8430071195853</v>
      </c>
      <c r="O416" s="12">
        <f t="shared" si="2"/>
        <v>1277.340171352721</v>
      </c>
      <c r="P416" s="13"/>
      <c r="Q416" s="14">
        <f t="shared" si="3"/>
        <v>2025</v>
      </c>
      <c r="R416" s="15">
        <f>VLOOKUP(MONTH(C416),'Datos Maestros'!M$2:N$14,2,FALSE)</f>
        <v>45505</v>
      </c>
      <c r="S416" s="11" t="str">
        <f>VLOOKUP(E416,Precios!B$2:W$941,3,FALSE)</f>
        <v>Huevos EXTRA</v>
      </c>
      <c r="T416" s="16">
        <f>VLOOKUP(E416,Precios!B$2:N$941,4,FALSE)*F416</f>
        <v>0</v>
      </c>
      <c r="U416" s="17"/>
      <c r="V416" s="12">
        <f>VLOOKUP(E416,Precios!B$2:N$941,13,FALSE)*F416</f>
        <v>1151.6230071195851</v>
      </c>
      <c r="W416" s="12">
        <f t="shared" si="4"/>
        <v>1151.6230071195851</v>
      </c>
      <c r="X416" s="12">
        <f>VLOOKUP(B416,'Datos Maestros'!$C$2:$D$7,2,FALSE)*V416</f>
        <v>0</v>
      </c>
      <c r="Y416" s="18">
        <f t="shared" si="5"/>
        <v>45887</v>
      </c>
      <c r="Z416" s="13" t="s">
        <v>39</v>
      </c>
      <c r="AA416" s="19" t="str">
        <f>VLOOKUP(D416,Clientes!$A$2:$J$486,9,FALSE)</f>
        <v>Frecuente</v>
      </c>
      <c r="AB416" s="13" t="str">
        <f>VLOOKUP(D416,Clientes!$A$2:$K$486,11,FALSE)</f>
        <v>Persona Natural</v>
      </c>
      <c r="AC416" s="13" t="str">
        <f>VLOOKUP(D416,Clientes!$A$2:$B$486,2,FALSE)</f>
        <v>Jardines de la Viña</v>
      </c>
      <c r="AD416" s="20"/>
      <c r="AE416" s="20"/>
      <c r="AF416" s="13" t="s">
        <v>40</v>
      </c>
      <c r="AG416" s="15">
        <f t="shared" si="6"/>
        <v>45505</v>
      </c>
      <c r="AH416" s="13" t="s">
        <v>41</v>
      </c>
      <c r="AI416" s="13" t="str">
        <f t="shared" si="7"/>
        <v>Huevos</v>
      </c>
      <c r="AJ416" s="13" t="str">
        <f>VLOOKUP(E416,Precios!Z$2:AA$941,2,FALSE)</f>
        <v>Bandeja Huevos EXTRA</v>
      </c>
      <c r="AK416" s="14">
        <f>VLOOKUP(E416,Precios!Z$2:BB$941,3,FALSE)*F416</f>
        <v>-1</v>
      </c>
      <c r="AL416" s="17"/>
      <c r="AM416" s="17"/>
      <c r="AN416" s="17"/>
      <c r="AO416" s="17"/>
      <c r="AP416" s="17"/>
      <c r="AQ416" s="17"/>
      <c r="AR416" s="17"/>
      <c r="AS416" s="17"/>
      <c r="AT416" s="17"/>
      <c r="AU416" s="17"/>
      <c r="AV416" s="17"/>
    </row>
    <row r="417" spans="1:48" ht="15.75" customHeight="1">
      <c r="A417" s="21" t="s">
        <v>53</v>
      </c>
      <c r="B417" s="23" t="s">
        <v>1692</v>
      </c>
      <c r="C417" s="25">
        <v>45892</v>
      </c>
      <c r="D417" s="23" t="s">
        <v>189</v>
      </c>
      <c r="E417" s="23" t="s">
        <v>150</v>
      </c>
      <c r="F417" s="14">
        <v>1</v>
      </c>
      <c r="G417" s="12">
        <f>VLOOKUP(E417,Precios!B$2:N$941,12,FALSE)</f>
        <v>1799.8965445892823</v>
      </c>
      <c r="H417" s="12">
        <f t="shared" si="0"/>
        <v>1799.8965445892823</v>
      </c>
      <c r="I417" s="23" t="s">
        <v>52</v>
      </c>
      <c r="J417" s="23" t="s">
        <v>61</v>
      </c>
      <c r="K417" s="24" t="s">
        <v>177</v>
      </c>
      <c r="L417" s="24">
        <v>174</v>
      </c>
      <c r="M417" s="12">
        <f t="shared" ref="M417:N417" si="422">G417/1.19</f>
        <v>1512.518104696876</v>
      </c>
      <c r="N417" s="12">
        <f t="shared" si="422"/>
        <v>1512.518104696876</v>
      </c>
      <c r="O417" s="12">
        <f t="shared" si="2"/>
        <v>287.37843989240628</v>
      </c>
      <c r="P417" s="13"/>
      <c r="Q417" s="14">
        <f t="shared" si="3"/>
        <v>2025</v>
      </c>
      <c r="R417" s="15">
        <f>VLOOKUP(MONTH(C417),'Datos Maestros'!M$2:N$14,2,FALSE)</f>
        <v>45505</v>
      </c>
      <c r="S417" s="11" t="str">
        <f>VLOOKUP(E417,Precios!B$2:W$941,3,FALSE)</f>
        <v>Servilletas</v>
      </c>
      <c r="T417" s="16">
        <f>VLOOKUP(E417,Precios!B$2:N$941,4,FALSE)*F417</f>
        <v>300</v>
      </c>
      <c r="U417" s="17"/>
      <c r="V417" s="12">
        <f>VLOOKUP(E417,Precios!B$2:N$941,13,FALSE)*F417</f>
        <v>781.51810469687575</v>
      </c>
      <c r="W417" s="12">
        <f t="shared" si="4"/>
        <v>781.51810469687575</v>
      </c>
      <c r="X417" s="12">
        <f>VLOOKUP(B417,'Datos Maestros'!$C$2:$D$7,2,FALSE)*V417</f>
        <v>0</v>
      </c>
      <c r="Y417" s="18">
        <f t="shared" si="5"/>
        <v>45887</v>
      </c>
      <c r="Z417" s="13" t="s">
        <v>39</v>
      </c>
      <c r="AA417" s="19" t="str">
        <f>VLOOKUP(D417,Clientes!$A$2:$J$486,9,FALSE)</f>
        <v>Frecuente</v>
      </c>
      <c r="AB417" s="13" t="str">
        <f>VLOOKUP(D417,Clientes!$A$2:$K$486,11,FALSE)</f>
        <v>Persona Natural</v>
      </c>
      <c r="AC417" s="13" t="str">
        <f>VLOOKUP(D417,Clientes!$A$2:$B$486,2,FALSE)</f>
        <v>Jardines de la Viña</v>
      </c>
      <c r="AD417" s="20"/>
      <c r="AE417" s="20"/>
      <c r="AF417" s="13" t="s">
        <v>40</v>
      </c>
      <c r="AG417" s="15">
        <f t="shared" si="6"/>
        <v>45505</v>
      </c>
      <c r="AH417" s="13" t="s">
        <v>41</v>
      </c>
      <c r="AI417" s="13" t="str">
        <f t="shared" si="7"/>
        <v>Papeleria</v>
      </c>
      <c r="AJ417" s="13" t="str">
        <f>VLOOKUP(E417,Precios!Z$2:AA$941,2,FALSE)</f>
        <v>Servilletas SOFTQUALITY 300 unidades</v>
      </c>
      <c r="AK417" s="14">
        <f>VLOOKUP(E417,Precios!Z$2:BB$941,3,FALSE)*F417</f>
        <v>-1</v>
      </c>
      <c r="AL417" s="17"/>
      <c r="AM417" s="17"/>
      <c r="AN417" s="17"/>
      <c r="AO417" s="17"/>
      <c r="AP417" s="17"/>
      <c r="AQ417" s="17"/>
      <c r="AR417" s="17"/>
      <c r="AS417" s="17"/>
      <c r="AT417" s="17"/>
      <c r="AU417" s="17"/>
      <c r="AV417" s="17"/>
    </row>
    <row r="418" spans="1:48" ht="15.75" customHeight="1">
      <c r="A418" s="21" t="s">
        <v>53</v>
      </c>
      <c r="B418" s="23" t="s">
        <v>1692</v>
      </c>
      <c r="C418" s="25">
        <v>45892</v>
      </c>
      <c r="D418" s="23" t="s">
        <v>189</v>
      </c>
      <c r="E418" s="23" t="s">
        <v>203</v>
      </c>
      <c r="F418" s="14">
        <v>1</v>
      </c>
      <c r="G418" s="12">
        <f>VLOOKUP(E418,Precios!B$2:N$941,12,FALSE)</f>
        <v>10000.35681042507</v>
      </c>
      <c r="H418" s="12">
        <f t="shared" si="0"/>
        <v>10000.35681042507</v>
      </c>
      <c r="I418" s="23" t="s">
        <v>52</v>
      </c>
      <c r="J418" s="23" t="s">
        <v>61</v>
      </c>
      <c r="K418" s="24" t="s">
        <v>177</v>
      </c>
      <c r="L418" s="24">
        <v>174</v>
      </c>
      <c r="M418" s="12">
        <f t="shared" ref="M418:N418" si="423">G418/1.19</f>
        <v>8403.6611852311507</v>
      </c>
      <c r="N418" s="12">
        <f t="shared" si="423"/>
        <v>8403.6611852311507</v>
      </c>
      <c r="O418" s="12">
        <f t="shared" si="2"/>
        <v>1596.6956251939191</v>
      </c>
      <c r="P418" s="13"/>
      <c r="Q418" s="14">
        <f t="shared" si="3"/>
        <v>2025</v>
      </c>
      <c r="R418" s="15">
        <f>VLOOKUP(MONTH(C418),'Datos Maestros'!M$2:N$14,2,FALSE)</f>
        <v>45505</v>
      </c>
      <c r="S418" s="11" t="str">
        <f>VLOOKUP(E418,Precios!B$2:W$941,3,FALSE)</f>
        <v>Papel Higiénico ELITE</v>
      </c>
      <c r="T418" s="16">
        <f>VLOOKUP(E418,Precios!B$2:N$941,4,FALSE)*F418</f>
        <v>0</v>
      </c>
      <c r="U418" s="17"/>
      <c r="V418" s="12">
        <f>VLOOKUP(E418,Precios!B$2:N$941,13,FALSE)*F418</f>
        <v>2986.6611852311507</v>
      </c>
      <c r="W418" s="12">
        <f t="shared" si="4"/>
        <v>2986.6611852311507</v>
      </c>
      <c r="X418" s="12">
        <f>VLOOKUP(B418,'Datos Maestros'!$C$2:$D$7,2,FALSE)*V418</f>
        <v>0</v>
      </c>
      <c r="Y418" s="18">
        <f t="shared" si="5"/>
        <v>45887</v>
      </c>
      <c r="Z418" s="13" t="s">
        <v>39</v>
      </c>
      <c r="AA418" s="19" t="str">
        <f>VLOOKUP(D418,Clientes!$A$2:$J$486,9,FALSE)</f>
        <v>Frecuente</v>
      </c>
      <c r="AB418" s="13" t="str">
        <f>VLOOKUP(D418,Clientes!$A$2:$K$486,11,FALSE)</f>
        <v>Persona Natural</v>
      </c>
      <c r="AC418" s="13" t="str">
        <f>VLOOKUP(D418,Clientes!$A$2:$B$486,2,FALSE)</f>
        <v>Jardines de la Viña</v>
      </c>
      <c r="AD418" s="20"/>
      <c r="AE418" s="20"/>
      <c r="AF418" s="13" t="s">
        <v>40</v>
      </c>
      <c r="AG418" s="15">
        <f t="shared" si="6"/>
        <v>45505</v>
      </c>
      <c r="AH418" s="13" t="s">
        <v>41</v>
      </c>
      <c r="AI418" s="13" t="str">
        <f t="shared" si="7"/>
        <v>Papeleria</v>
      </c>
      <c r="AJ418" s="13" t="str">
        <f>VLOOKUP(E418,Precios!Z$2:AA$941,2,FALSE)</f>
        <v>Papel Higienico ELITE 50 metros</v>
      </c>
      <c r="AK418" s="14">
        <f>VLOOKUP(E418,Precios!Z$2:BB$941,3,FALSE)*F418</f>
        <v>-3</v>
      </c>
      <c r="AL418" s="17"/>
      <c r="AM418" s="17"/>
      <c r="AN418" s="17"/>
      <c r="AO418" s="17"/>
      <c r="AP418" s="17"/>
      <c r="AQ418" s="17"/>
      <c r="AR418" s="17"/>
      <c r="AS418" s="17"/>
      <c r="AT418" s="17"/>
      <c r="AU418" s="17"/>
      <c r="AV418" s="17"/>
    </row>
    <row r="419" spans="1:48" ht="15.75" customHeight="1">
      <c r="A419" s="21" t="s">
        <v>53</v>
      </c>
      <c r="B419" s="23" t="s">
        <v>1692</v>
      </c>
      <c r="C419" s="25">
        <v>45892</v>
      </c>
      <c r="D419" s="23" t="s">
        <v>189</v>
      </c>
      <c r="E419" s="23" t="s">
        <v>287</v>
      </c>
      <c r="F419" s="14">
        <v>1</v>
      </c>
      <c r="G419" s="12">
        <f>VLOOKUP(E419,Precios!B$2:N$941,12,FALSE)</f>
        <v>3500.2280130293161</v>
      </c>
      <c r="H419" s="12">
        <f t="shared" si="0"/>
        <v>3500.2280130293161</v>
      </c>
      <c r="I419" s="23" t="s">
        <v>52</v>
      </c>
      <c r="J419" s="23" t="s">
        <v>61</v>
      </c>
      <c r="K419" s="24" t="s">
        <v>177</v>
      </c>
      <c r="L419" s="24">
        <v>174</v>
      </c>
      <c r="M419" s="12">
        <f t="shared" ref="M419:N419" si="424">G419/1.19</f>
        <v>2941.3680781758962</v>
      </c>
      <c r="N419" s="12">
        <f t="shared" si="424"/>
        <v>2941.3680781758962</v>
      </c>
      <c r="O419" s="12">
        <f t="shared" si="2"/>
        <v>558.85993485341987</v>
      </c>
      <c r="P419" s="13"/>
      <c r="Q419" s="14">
        <f t="shared" si="3"/>
        <v>2025</v>
      </c>
      <c r="R419" s="15">
        <f>VLOOKUP(MONTH(C419),'Datos Maestros'!M$2:N$14,2,FALSE)</f>
        <v>45505</v>
      </c>
      <c r="S419" s="11" t="str">
        <f>VLOOKUP(E419,Precios!B$2:W$941,3,FALSE)</f>
        <v>Papel Higiénico ELITE</v>
      </c>
      <c r="T419" s="16">
        <f>VLOOKUP(E419,Precios!B$2:N$941,4,FALSE)*F419</f>
        <v>0</v>
      </c>
      <c r="U419" s="17"/>
      <c r="V419" s="12">
        <f>VLOOKUP(E419,Precios!B$2:N$941,13,FALSE)*F419</f>
        <v>1135.3680781758958</v>
      </c>
      <c r="W419" s="12">
        <f t="shared" si="4"/>
        <v>1135.3680781758958</v>
      </c>
      <c r="X419" s="12">
        <f>VLOOKUP(B419,'Datos Maestros'!$C$2:$D$7,2,FALSE)*V419</f>
        <v>0</v>
      </c>
      <c r="Y419" s="18">
        <f t="shared" si="5"/>
        <v>45887</v>
      </c>
      <c r="Z419" s="13" t="s">
        <v>39</v>
      </c>
      <c r="AA419" s="19" t="str">
        <f>VLOOKUP(D419,Clientes!$A$2:$J$486,9,FALSE)</f>
        <v>Frecuente</v>
      </c>
      <c r="AB419" s="13" t="str">
        <f>VLOOKUP(D419,Clientes!$A$2:$K$486,11,FALSE)</f>
        <v>Persona Natural</v>
      </c>
      <c r="AC419" s="13" t="str">
        <f>VLOOKUP(D419,Clientes!$A$2:$B$486,2,FALSE)</f>
        <v>Jardines de la Viña</v>
      </c>
      <c r="AD419" s="20"/>
      <c r="AE419" s="20"/>
      <c r="AF419" s="13" t="s">
        <v>40</v>
      </c>
      <c r="AG419" s="15">
        <f t="shared" si="6"/>
        <v>45505</v>
      </c>
      <c r="AH419" s="13" t="s">
        <v>41</v>
      </c>
      <c r="AI419" s="13" t="str">
        <f t="shared" si="7"/>
        <v>Papeleria</v>
      </c>
      <c r="AJ419" s="13" t="str">
        <f>VLOOKUP(E419,Precios!Z$2:AA$941,2,FALSE)</f>
        <v>Papel Higienico ELITE 50 metros</v>
      </c>
      <c r="AK419" s="14">
        <f>VLOOKUP(E419,Precios!Z$2:BB$941,3,FALSE)*F419</f>
        <v>-1</v>
      </c>
      <c r="AL419" s="17"/>
      <c r="AM419" s="17"/>
      <c r="AN419" s="17"/>
      <c r="AO419" s="17"/>
      <c r="AP419" s="17"/>
      <c r="AQ419" s="17"/>
      <c r="AR419" s="17"/>
      <c r="AS419" s="17"/>
      <c r="AT419" s="17"/>
      <c r="AU419" s="17"/>
      <c r="AV419" s="17"/>
    </row>
    <row r="420" spans="1:48" ht="15.75" customHeight="1">
      <c r="A420" s="21" t="s">
        <v>53</v>
      </c>
      <c r="B420" s="23" t="s">
        <v>1692</v>
      </c>
      <c r="C420" s="25">
        <v>45892</v>
      </c>
      <c r="D420" s="23" t="s">
        <v>189</v>
      </c>
      <c r="E420" s="23" t="s">
        <v>69</v>
      </c>
      <c r="F420" s="21">
        <v>2</v>
      </c>
      <c r="G420" s="12">
        <f>VLOOKUP(E420,Precios!B$2:N$941,12,FALSE)</f>
        <v>2999.9553810458683</v>
      </c>
      <c r="H420" s="12">
        <f t="shared" si="0"/>
        <v>5999.9107620917366</v>
      </c>
      <c r="I420" s="23" t="s">
        <v>52</v>
      </c>
      <c r="J420" s="23" t="s">
        <v>61</v>
      </c>
      <c r="K420" s="24" t="s">
        <v>177</v>
      </c>
      <c r="L420" s="24">
        <v>174</v>
      </c>
      <c r="M420" s="12">
        <f t="shared" ref="M420:N420" si="425">G420/1.19</f>
        <v>2520.9709084419064</v>
      </c>
      <c r="N420" s="12">
        <f t="shared" si="425"/>
        <v>5041.9418168838129</v>
      </c>
      <c r="O420" s="12">
        <f t="shared" si="2"/>
        <v>957.96894520792375</v>
      </c>
      <c r="P420" s="13"/>
      <c r="Q420" s="14">
        <f t="shared" si="3"/>
        <v>2025</v>
      </c>
      <c r="R420" s="15">
        <f>VLOOKUP(MONTH(C420),'Datos Maestros'!M$2:N$14,2,FALSE)</f>
        <v>45505</v>
      </c>
      <c r="S420" s="11" t="str">
        <f>VLOOKUP(E420,Precios!B$2:W$941,3,FALSE)</f>
        <v>Toalla Nova 70 mts</v>
      </c>
      <c r="T420" s="16">
        <f>VLOOKUP(E420,Precios!B$2:N$941,4,FALSE)*F420</f>
        <v>0</v>
      </c>
      <c r="U420" s="17"/>
      <c r="V420" s="12">
        <f>VLOOKUP(E420,Precios!B$2:N$941,13,FALSE)*F420</f>
        <v>1651.941816883812</v>
      </c>
      <c r="W420" s="12">
        <f t="shared" si="4"/>
        <v>1651.941816883812</v>
      </c>
      <c r="X420" s="12">
        <f>VLOOKUP(B420,'Datos Maestros'!$C$2:$D$7,2,FALSE)*V420</f>
        <v>0</v>
      </c>
      <c r="Y420" s="18">
        <f t="shared" si="5"/>
        <v>45887</v>
      </c>
      <c r="Z420" s="13" t="s">
        <v>39</v>
      </c>
      <c r="AA420" s="19" t="str">
        <f>VLOOKUP(D420,Clientes!$A$2:$J$486,9,FALSE)</f>
        <v>Frecuente</v>
      </c>
      <c r="AB420" s="13" t="str">
        <f>VLOOKUP(D420,Clientes!$A$2:$K$486,11,FALSE)</f>
        <v>Persona Natural</v>
      </c>
      <c r="AC420" s="13" t="str">
        <f>VLOOKUP(D420,Clientes!$A$2:$B$486,2,FALSE)</f>
        <v>Jardines de la Viña</v>
      </c>
      <c r="AD420" s="20"/>
      <c r="AE420" s="20"/>
      <c r="AF420" s="13" t="s">
        <v>40</v>
      </c>
      <c r="AG420" s="15">
        <f t="shared" si="6"/>
        <v>45505</v>
      </c>
      <c r="AH420" s="13" t="s">
        <v>41</v>
      </c>
      <c r="AI420" s="13" t="str">
        <f t="shared" si="7"/>
        <v>Papeleria</v>
      </c>
      <c r="AJ420" s="13" t="str">
        <f>VLOOKUP(E420,Precios!Z$2:AA$941,2,FALSE)</f>
        <v>Toalla Papel NOVA 70 metros</v>
      </c>
      <c r="AK420" s="14">
        <f>VLOOKUP(E420,Precios!Z$2:BB$941,3,FALSE)*F420</f>
        <v>-2</v>
      </c>
      <c r="AL420" s="17"/>
      <c r="AM420" s="17"/>
      <c r="AN420" s="17"/>
      <c r="AO420" s="17"/>
      <c r="AP420" s="17"/>
      <c r="AQ420" s="17"/>
      <c r="AR420" s="17"/>
      <c r="AS420" s="17"/>
      <c r="AT420" s="17"/>
      <c r="AU420" s="17"/>
      <c r="AV420" s="17"/>
    </row>
    <row r="421" spans="1:48" ht="15.75" customHeight="1">
      <c r="A421" s="21" t="s">
        <v>35</v>
      </c>
      <c r="B421" s="23" t="s">
        <v>1692</v>
      </c>
      <c r="C421" s="25">
        <v>45892</v>
      </c>
      <c r="D421" s="23" t="s">
        <v>189</v>
      </c>
      <c r="E421" s="23" t="s">
        <v>46</v>
      </c>
      <c r="F421" s="14">
        <v>1</v>
      </c>
      <c r="G421" s="12">
        <f>VLOOKUP(E421,Precios!B$2:N$941,12,FALSE)</f>
        <v>6000.1548227279782</v>
      </c>
      <c r="H421" s="12">
        <f t="shared" si="0"/>
        <v>6000.1548227279782</v>
      </c>
      <c r="I421" s="23" t="s">
        <v>52</v>
      </c>
      <c r="J421" s="23" t="s">
        <v>61</v>
      </c>
      <c r="K421" s="24" t="s">
        <v>177</v>
      </c>
      <c r="L421" s="24">
        <v>174</v>
      </c>
      <c r="M421" s="12">
        <f t="shared" ref="M421:N421" si="426">G421/1.19</f>
        <v>5042.1469098554444</v>
      </c>
      <c r="N421" s="12">
        <f t="shared" si="426"/>
        <v>5042.1469098554444</v>
      </c>
      <c r="O421" s="12">
        <f t="shared" si="2"/>
        <v>958.00791287253378</v>
      </c>
      <c r="P421" s="13"/>
      <c r="Q421" s="14">
        <f t="shared" si="3"/>
        <v>2025</v>
      </c>
      <c r="R421" s="15">
        <f>VLOOKUP(MONTH(C421),'Datos Maestros'!M$2:N$14,2,FALSE)</f>
        <v>45505</v>
      </c>
      <c r="S421" s="11" t="str">
        <f>VLOOKUP(E421,Precios!B$2:W$941,3,FALSE)</f>
        <v>Queso Mantecoso</v>
      </c>
      <c r="T421" s="16">
        <f>VLOOKUP(E421,Precios!B$2:N$941,4,FALSE)*F421</f>
        <v>500</v>
      </c>
      <c r="U421" s="17"/>
      <c r="V421" s="12">
        <f>VLOOKUP(E421,Precios!B$2:N$941,13,FALSE)*F421</f>
        <v>1785.4242207798129</v>
      </c>
      <c r="W421" s="12">
        <f t="shared" si="4"/>
        <v>1785.4242207798129</v>
      </c>
      <c r="X421" s="12">
        <f>VLOOKUP(B421,'Datos Maestros'!$C$2:$D$7,2,FALSE)*V421</f>
        <v>0</v>
      </c>
      <c r="Y421" s="18">
        <f t="shared" si="5"/>
        <v>45887</v>
      </c>
      <c r="Z421" s="13" t="s">
        <v>39</v>
      </c>
      <c r="AA421" s="19" t="str">
        <f>VLOOKUP(D421,Clientes!$A$2:$J$486,9,FALSE)</f>
        <v>Frecuente</v>
      </c>
      <c r="AB421" s="13" t="str">
        <f>VLOOKUP(D421,Clientes!$A$2:$K$486,11,FALSE)</f>
        <v>Persona Natural</v>
      </c>
      <c r="AC421" s="13" t="str">
        <f>VLOOKUP(D421,Clientes!$A$2:$B$486,2,FALSE)</f>
        <v>Jardines de la Viña</v>
      </c>
      <c r="AD421" s="20"/>
      <c r="AE421" s="20"/>
      <c r="AF421" s="13" t="s">
        <v>40</v>
      </c>
      <c r="AG421" s="15">
        <f t="shared" si="6"/>
        <v>45505</v>
      </c>
      <c r="AH421" s="13" t="s">
        <v>41</v>
      </c>
      <c r="AI421" s="13" t="str">
        <f t="shared" si="7"/>
        <v>Quesos</v>
      </c>
      <c r="AJ421" s="13" t="str">
        <f>VLOOKUP(E421,Precios!Z$2:AA$941,2,FALSE)</f>
        <v>Queso RUNCA Mantecoso</v>
      </c>
      <c r="AK421" s="14">
        <f>VLOOKUP(E421,Precios!Z$2:BB$941,3,FALSE)*F421</f>
        <v>-0.5</v>
      </c>
      <c r="AL421" s="17"/>
      <c r="AM421" s="17"/>
      <c r="AN421" s="17"/>
      <c r="AO421" s="17"/>
      <c r="AP421" s="17"/>
      <c r="AQ421" s="17"/>
      <c r="AR421" s="17"/>
      <c r="AS421" s="17"/>
      <c r="AT421" s="17"/>
      <c r="AU421" s="17"/>
      <c r="AV421" s="17"/>
    </row>
    <row r="422" spans="1:48" ht="15.75" customHeight="1">
      <c r="A422" s="21" t="s">
        <v>76</v>
      </c>
      <c r="B422" s="23" t="s">
        <v>1692</v>
      </c>
      <c r="C422" s="25">
        <v>45892</v>
      </c>
      <c r="D422" s="23" t="s">
        <v>288</v>
      </c>
      <c r="E422" s="23" t="s">
        <v>166</v>
      </c>
      <c r="F422" s="14">
        <v>1</v>
      </c>
      <c r="G422" s="12">
        <f>VLOOKUP(E422,Precios!B$2:N$941,12,FALSE)</f>
        <v>3500.0000000000005</v>
      </c>
      <c r="H422" s="12">
        <f t="shared" si="0"/>
        <v>3500.0000000000005</v>
      </c>
      <c r="I422" s="23" t="s">
        <v>52</v>
      </c>
      <c r="J422" s="23" t="s">
        <v>61</v>
      </c>
      <c r="K422" s="24" t="s">
        <v>177</v>
      </c>
      <c r="L422" s="24">
        <v>174</v>
      </c>
      <c r="M422" s="12">
        <f t="shared" ref="M422:N422" si="427">G422/1.19</f>
        <v>2941.1764705882356</v>
      </c>
      <c r="N422" s="12">
        <f t="shared" si="427"/>
        <v>2941.1764705882356</v>
      </c>
      <c r="O422" s="12">
        <f t="shared" si="2"/>
        <v>558.82352941176487</v>
      </c>
      <c r="P422" s="13"/>
      <c r="Q422" s="14">
        <f t="shared" si="3"/>
        <v>2025</v>
      </c>
      <c r="R422" s="15">
        <f>VLOOKUP(MONTH(C422),'Datos Maestros'!M$2:N$14,2,FALSE)</f>
        <v>45505</v>
      </c>
      <c r="S422" s="11" t="str">
        <f>VLOOKUP(E422,Precios!B$2:W$941,3,FALSE)</f>
        <v>Cloro Gel</v>
      </c>
      <c r="T422" s="16">
        <f>VLOOKUP(E422,Precios!B$2:N$941,4,FALSE)*F422</f>
        <v>5</v>
      </c>
      <c r="U422" s="17"/>
      <c r="V422" s="12">
        <f>VLOOKUP(E422,Precios!B$2:N$941,13,FALSE)*F422</f>
        <v>1016.8067226890757</v>
      </c>
      <c r="W422" s="12">
        <f t="shared" si="4"/>
        <v>1016.8067226890757</v>
      </c>
      <c r="X422" s="12">
        <f>VLOOKUP(B422,'Datos Maestros'!$C$2:$D$7,2,FALSE)*V422</f>
        <v>0</v>
      </c>
      <c r="Y422" s="18">
        <f t="shared" si="5"/>
        <v>45887</v>
      </c>
      <c r="Z422" s="13" t="s">
        <v>39</v>
      </c>
      <c r="AA422" s="19" t="str">
        <f>VLOOKUP(D422,Clientes!$A$2:$J$486,9,FALSE)</f>
        <v>Ocacional</v>
      </c>
      <c r="AB422" s="13" t="str">
        <f>VLOOKUP(D422,Clientes!$A$2:$K$486,11,FALSE)</f>
        <v>Persona Natural</v>
      </c>
      <c r="AC422" s="13" t="str">
        <f>VLOOKUP(D422,Clientes!$A$2:$B$486,2,FALSE)</f>
        <v>Palena</v>
      </c>
      <c r="AD422" s="20"/>
      <c r="AE422" s="20"/>
      <c r="AF422" s="13" t="s">
        <v>40</v>
      </c>
      <c r="AG422" s="15">
        <f t="shared" si="6"/>
        <v>45505</v>
      </c>
      <c r="AH422" s="13" t="s">
        <v>41</v>
      </c>
      <c r="AI422" s="13" t="str">
        <f t="shared" si="7"/>
        <v>Detergentes</v>
      </c>
      <c r="AJ422" s="13" t="str">
        <f>VLOOKUP(E422,Precios!Z$2:AA$941,2,FALSE)</f>
        <v>Cloro GEL SPUM 5 Litros</v>
      </c>
      <c r="AK422" s="14">
        <f>VLOOKUP(E422,Precios!Z$2:BB$941,3,FALSE)*F422</f>
        <v>-1</v>
      </c>
      <c r="AL422" s="17"/>
      <c r="AM422" s="17"/>
      <c r="AN422" s="17"/>
      <c r="AO422" s="17"/>
      <c r="AP422" s="17"/>
      <c r="AQ422" s="17"/>
      <c r="AR422" s="17"/>
      <c r="AS422" s="17"/>
      <c r="AT422" s="17"/>
      <c r="AU422" s="17"/>
      <c r="AV422" s="17"/>
    </row>
    <row r="423" spans="1:48" ht="15.75" customHeight="1">
      <c r="A423" s="21" t="s">
        <v>76</v>
      </c>
      <c r="B423" s="23" t="s">
        <v>1692</v>
      </c>
      <c r="C423" s="25">
        <v>45892</v>
      </c>
      <c r="D423" s="23" t="s">
        <v>288</v>
      </c>
      <c r="E423" s="23" t="s">
        <v>82</v>
      </c>
      <c r="F423" s="14">
        <v>1</v>
      </c>
      <c r="G423" s="12">
        <f>VLOOKUP(E423,Precios!B$2:N$941,12,FALSE)</f>
        <v>2000.0000000000002</v>
      </c>
      <c r="H423" s="12">
        <f t="shared" si="0"/>
        <v>2000.0000000000002</v>
      </c>
      <c r="I423" s="23" t="s">
        <v>52</v>
      </c>
      <c r="J423" s="23" t="s">
        <v>61</v>
      </c>
      <c r="K423" s="24" t="s">
        <v>177</v>
      </c>
      <c r="L423" s="24">
        <v>174</v>
      </c>
      <c r="M423" s="12">
        <f t="shared" ref="M423:N423" si="428">G423/1.19</f>
        <v>1680.6722689075632</v>
      </c>
      <c r="N423" s="12">
        <f t="shared" si="428"/>
        <v>1680.6722689075632</v>
      </c>
      <c r="O423" s="12">
        <f t="shared" si="2"/>
        <v>319.32773109243703</v>
      </c>
      <c r="P423" s="13"/>
      <c r="Q423" s="14">
        <f t="shared" si="3"/>
        <v>2025</v>
      </c>
      <c r="R423" s="15">
        <f>VLOOKUP(MONTH(C423),'Datos Maestros'!M$2:N$14,2,FALSE)</f>
        <v>45505</v>
      </c>
      <c r="S423" s="11" t="str">
        <f>VLOOKUP(E423,Precios!B$2:W$941,3,FALSE)</f>
        <v>Limpiapiso</v>
      </c>
      <c r="T423" s="16">
        <f>VLOOKUP(E423,Precios!B$2:N$941,4,FALSE)*F423</f>
        <v>5</v>
      </c>
      <c r="U423" s="17"/>
      <c r="V423" s="12">
        <f>VLOOKUP(E423,Precios!B$2:N$941,13,FALSE)*F423</f>
        <v>680.67226890756319</v>
      </c>
      <c r="W423" s="12">
        <f t="shared" si="4"/>
        <v>680.67226890756319</v>
      </c>
      <c r="X423" s="12">
        <f>VLOOKUP(B423,'Datos Maestros'!$C$2:$D$7,2,FALSE)*V423</f>
        <v>0</v>
      </c>
      <c r="Y423" s="18">
        <f t="shared" si="5"/>
        <v>45887</v>
      </c>
      <c r="Z423" s="13" t="s">
        <v>39</v>
      </c>
      <c r="AA423" s="19" t="str">
        <f>VLOOKUP(D423,Clientes!$A$2:$J$486,9,FALSE)</f>
        <v>Ocacional</v>
      </c>
      <c r="AB423" s="13" t="str">
        <f>VLOOKUP(D423,Clientes!$A$2:$K$486,11,FALSE)</f>
        <v>Persona Natural</v>
      </c>
      <c r="AC423" s="13" t="str">
        <f>VLOOKUP(D423,Clientes!$A$2:$B$486,2,FALSE)</f>
        <v>Palena</v>
      </c>
      <c r="AD423" s="20"/>
      <c r="AE423" s="20"/>
      <c r="AF423" s="13" t="s">
        <v>40</v>
      </c>
      <c r="AG423" s="15">
        <f t="shared" si="6"/>
        <v>45505</v>
      </c>
      <c r="AH423" s="13" t="s">
        <v>41</v>
      </c>
      <c r="AI423" s="13" t="str">
        <f t="shared" si="7"/>
        <v>Detergentes</v>
      </c>
      <c r="AJ423" s="13" t="str">
        <f>VLOOKUP(E423,Precios!Z$2:AA$941,2,FALSE)</f>
        <v>Limpiapiso SPUM 5 Litros</v>
      </c>
      <c r="AK423" s="14">
        <f>VLOOKUP(E423,Precios!Z$2:BB$941,3,FALSE)*F423</f>
        <v>-1</v>
      </c>
      <c r="AL423" s="17"/>
      <c r="AM423" s="17"/>
      <c r="AN423" s="17"/>
      <c r="AO423" s="17"/>
      <c r="AP423" s="17"/>
      <c r="AQ423" s="17"/>
      <c r="AR423" s="17"/>
      <c r="AS423" s="17"/>
      <c r="AT423" s="17"/>
      <c r="AU423" s="17"/>
      <c r="AV423" s="17"/>
    </row>
    <row r="424" spans="1:48" ht="15.75" customHeight="1">
      <c r="A424" s="21" t="s">
        <v>53</v>
      </c>
      <c r="B424" s="23" t="s">
        <v>1692</v>
      </c>
      <c r="C424" s="25">
        <v>45892</v>
      </c>
      <c r="D424" s="23" t="s">
        <v>288</v>
      </c>
      <c r="E424" s="23" t="s">
        <v>55</v>
      </c>
      <c r="F424" s="14">
        <v>1</v>
      </c>
      <c r="G424" s="12">
        <f>VLOOKUP(E424,Precios!B$2:N$941,12,FALSE)</f>
        <v>20899.91124296327</v>
      </c>
      <c r="H424" s="12">
        <f t="shared" si="0"/>
        <v>20899.91124296327</v>
      </c>
      <c r="I424" s="23" t="s">
        <v>52</v>
      </c>
      <c r="J424" s="23" t="s">
        <v>61</v>
      </c>
      <c r="K424" s="24" t="s">
        <v>177</v>
      </c>
      <c r="L424" s="24">
        <v>174</v>
      </c>
      <c r="M424" s="12">
        <f t="shared" ref="M424:N424" si="429">G424/1.19</f>
        <v>17562.950624338882</v>
      </c>
      <c r="N424" s="12">
        <f t="shared" si="429"/>
        <v>17562.950624338882</v>
      </c>
      <c r="O424" s="12">
        <f t="shared" si="2"/>
        <v>3336.9606186243873</v>
      </c>
      <c r="P424" s="13"/>
      <c r="Q424" s="14">
        <f t="shared" si="3"/>
        <v>2025</v>
      </c>
      <c r="R424" s="15">
        <f>VLOOKUP(MONTH(C424),'Datos Maestros'!M$2:N$14,2,FALSE)</f>
        <v>45505</v>
      </c>
      <c r="S424" s="11" t="str">
        <f>VLOOKUP(E424,Precios!B$2:W$941,3,FALSE)</f>
        <v>Papel Higiénico ELITE</v>
      </c>
      <c r="T424" s="16">
        <f>VLOOKUP(E424,Precios!B$2:N$941,4,FALSE)*F424</f>
        <v>0</v>
      </c>
      <c r="U424" s="17"/>
      <c r="V424" s="12">
        <f>VLOOKUP(E424,Precios!B$2:N$941,13,FALSE)*F424</f>
        <v>3117.9506243388823</v>
      </c>
      <c r="W424" s="12">
        <f t="shared" si="4"/>
        <v>3117.9506243388823</v>
      </c>
      <c r="X424" s="12">
        <f>VLOOKUP(B424,'Datos Maestros'!$C$2:$D$7,2,FALSE)*V424</f>
        <v>0</v>
      </c>
      <c r="Y424" s="18">
        <f t="shared" si="5"/>
        <v>45887</v>
      </c>
      <c r="Z424" s="13" t="s">
        <v>39</v>
      </c>
      <c r="AA424" s="19" t="str">
        <f>VLOOKUP(D424,Clientes!$A$2:$J$486,9,FALSE)</f>
        <v>Ocacional</v>
      </c>
      <c r="AB424" s="13" t="str">
        <f>VLOOKUP(D424,Clientes!$A$2:$K$486,11,FALSE)</f>
        <v>Persona Natural</v>
      </c>
      <c r="AC424" s="13" t="str">
        <f>VLOOKUP(D424,Clientes!$A$2:$B$486,2,FALSE)</f>
        <v>Palena</v>
      </c>
      <c r="AD424" s="20"/>
      <c r="AE424" s="20"/>
      <c r="AF424" s="13" t="s">
        <v>40</v>
      </c>
      <c r="AG424" s="15">
        <f t="shared" si="6"/>
        <v>45505</v>
      </c>
      <c r="AH424" s="13" t="s">
        <v>41</v>
      </c>
      <c r="AI424" s="13" t="str">
        <f t="shared" si="7"/>
        <v>Papeleria</v>
      </c>
      <c r="AJ424" s="13" t="str">
        <f>VLOOKUP(E424,Precios!Z$2:AA$941,2,FALSE)</f>
        <v>Papel Higienico ELITE 50 metros</v>
      </c>
      <c r="AK424" s="14">
        <f>VLOOKUP(E424,Precios!Z$2:BB$941,3,FALSE)*F424</f>
        <v>-8</v>
      </c>
      <c r="AL424" s="17"/>
      <c r="AM424" s="17"/>
      <c r="AN424" s="17"/>
      <c r="AO424" s="17"/>
      <c r="AP424" s="17"/>
      <c r="AQ424" s="17"/>
      <c r="AR424" s="17"/>
      <c r="AS424" s="17"/>
      <c r="AT424" s="17"/>
      <c r="AU424" s="17"/>
      <c r="AV424" s="17"/>
    </row>
    <row r="425" spans="1:48" ht="15.75" customHeight="1">
      <c r="A425" s="21" t="s">
        <v>53</v>
      </c>
      <c r="B425" s="23" t="s">
        <v>1692</v>
      </c>
      <c r="C425" s="25">
        <v>45892</v>
      </c>
      <c r="D425" s="23" t="s">
        <v>288</v>
      </c>
      <c r="E425" s="23" t="s">
        <v>274</v>
      </c>
      <c r="F425" s="14">
        <v>1</v>
      </c>
      <c r="G425" s="12">
        <f>VLOOKUP(E425,Precios!B$2:N$941,12,FALSE)</f>
        <v>22500.104577715188</v>
      </c>
      <c r="H425" s="12">
        <f t="shared" si="0"/>
        <v>22500.104577715188</v>
      </c>
      <c r="I425" s="23" t="s">
        <v>52</v>
      </c>
      <c r="J425" s="23" t="s">
        <v>61</v>
      </c>
      <c r="K425" s="24" t="s">
        <v>177</v>
      </c>
      <c r="L425" s="24">
        <v>174</v>
      </c>
      <c r="M425" s="12">
        <f t="shared" ref="M425:N425" si="430">G425/1.19</f>
        <v>18907.650905643015</v>
      </c>
      <c r="N425" s="12">
        <f t="shared" si="430"/>
        <v>18907.650905643015</v>
      </c>
      <c r="O425" s="12">
        <f t="shared" si="2"/>
        <v>3592.4536720721735</v>
      </c>
      <c r="P425" s="13"/>
      <c r="Q425" s="14">
        <f t="shared" si="3"/>
        <v>2025</v>
      </c>
      <c r="R425" s="15">
        <f>VLOOKUP(MONTH(C425),'Datos Maestros'!M$2:N$14,2,FALSE)</f>
        <v>45505</v>
      </c>
      <c r="S425" s="11" t="str">
        <f>VLOOKUP(E425,Precios!B$2:W$941,3,FALSE)</f>
        <v>Toalla Nova 70 mts</v>
      </c>
      <c r="T425" s="16">
        <f>VLOOKUP(E425,Precios!B$2:N$941,4,FALSE)*F425</f>
        <v>0</v>
      </c>
      <c r="U425" s="17"/>
      <c r="V425" s="12">
        <f>VLOOKUP(E425,Precios!B$2:N$941,13,FALSE)*F425</f>
        <v>5347.650905643015</v>
      </c>
      <c r="W425" s="12">
        <f t="shared" si="4"/>
        <v>5347.650905643015</v>
      </c>
      <c r="X425" s="12">
        <f>VLOOKUP(B425,'Datos Maestros'!$C$2:$D$7,2,FALSE)*V425</f>
        <v>0</v>
      </c>
      <c r="Y425" s="18">
        <f t="shared" si="5"/>
        <v>45887</v>
      </c>
      <c r="Z425" s="13" t="s">
        <v>39</v>
      </c>
      <c r="AA425" s="19" t="str">
        <f>VLOOKUP(D425,Clientes!$A$2:$J$486,9,FALSE)</f>
        <v>Ocacional</v>
      </c>
      <c r="AB425" s="13" t="str">
        <f>VLOOKUP(D425,Clientes!$A$2:$K$486,11,FALSE)</f>
        <v>Persona Natural</v>
      </c>
      <c r="AC425" s="13" t="str">
        <f>VLOOKUP(D425,Clientes!$A$2:$B$486,2,FALSE)</f>
        <v>Palena</v>
      </c>
      <c r="AD425" s="20"/>
      <c r="AE425" s="20"/>
      <c r="AF425" s="13" t="s">
        <v>40</v>
      </c>
      <c r="AG425" s="15">
        <f t="shared" si="6"/>
        <v>45505</v>
      </c>
      <c r="AH425" s="13" t="s">
        <v>41</v>
      </c>
      <c r="AI425" s="13" t="str">
        <f t="shared" si="7"/>
        <v>Papeleria</v>
      </c>
      <c r="AJ425" s="13" t="str">
        <f>VLOOKUP(E425,Precios!Z$2:AA$941,2,FALSE)</f>
        <v>Toalla Papel NOVA 70 metros</v>
      </c>
      <c r="AK425" s="14">
        <f>VLOOKUP(E425,Precios!Z$2:BB$941,3,FALSE)*F425</f>
        <v>-8</v>
      </c>
      <c r="AL425" s="17"/>
      <c r="AM425" s="17"/>
      <c r="AN425" s="17"/>
      <c r="AO425" s="17"/>
      <c r="AP425" s="17"/>
      <c r="AQ425" s="17"/>
      <c r="AR425" s="17"/>
      <c r="AS425" s="17"/>
      <c r="AT425" s="17"/>
      <c r="AU425" s="17"/>
      <c r="AV425" s="17"/>
    </row>
    <row r="426" spans="1:48" ht="15.75" customHeight="1">
      <c r="A426" s="21" t="s">
        <v>53</v>
      </c>
      <c r="B426" s="23" t="s">
        <v>1692</v>
      </c>
      <c r="C426" s="25">
        <v>45892</v>
      </c>
      <c r="D426" s="23" t="s">
        <v>104</v>
      </c>
      <c r="E426" s="23" t="s">
        <v>55</v>
      </c>
      <c r="F426" s="14">
        <v>1</v>
      </c>
      <c r="G426" s="12">
        <f>VLOOKUP(E426,Precios!B$2:N$941,12,FALSE)</f>
        <v>20899.91124296327</v>
      </c>
      <c r="H426" s="12">
        <f t="shared" si="0"/>
        <v>20899.91124296327</v>
      </c>
      <c r="I426" s="23" t="s">
        <v>52</v>
      </c>
      <c r="J426" s="23" t="s">
        <v>61</v>
      </c>
      <c r="K426" s="24" t="s">
        <v>177</v>
      </c>
      <c r="L426" s="24">
        <v>174</v>
      </c>
      <c r="M426" s="12">
        <f t="shared" ref="M426:N426" si="431">G426/1.19</f>
        <v>17562.950624338882</v>
      </c>
      <c r="N426" s="12">
        <f t="shared" si="431"/>
        <v>17562.950624338882</v>
      </c>
      <c r="O426" s="12">
        <f t="shared" si="2"/>
        <v>3336.9606186243873</v>
      </c>
      <c r="P426" s="13"/>
      <c r="Q426" s="14">
        <f t="shared" si="3"/>
        <v>2025</v>
      </c>
      <c r="R426" s="15">
        <f>VLOOKUP(MONTH(C426),'Datos Maestros'!M$2:N$14,2,FALSE)</f>
        <v>45505</v>
      </c>
      <c r="S426" s="11" t="str">
        <f>VLOOKUP(E426,Precios!B$2:W$941,3,FALSE)</f>
        <v>Papel Higiénico ELITE</v>
      </c>
      <c r="T426" s="16">
        <f>VLOOKUP(E426,Precios!B$2:N$941,4,FALSE)*F426</f>
        <v>0</v>
      </c>
      <c r="U426" s="17"/>
      <c r="V426" s="12">
        <f>VLOOKUP(E426,Precios!B$2:N$941,13,FALSE)*F426</f>
        <v>3117.9506243388823</v>
      </c>
      <c r="W426" s="12">
        <f t="shared" si="4"/>
        <v>3117.9506243388823</v>
      </c>
      <c r="X426" s="12">
        <f>VLOOKUP(B426,'Datos Maestros'!$C$2:$D$7,2,FALSE)*V426</f>
        <v>0</v>
      </c>
      <c r="Y426" s="18">
        <f t="shared" si="5"/>
        <v>45887</v>
      </c>
      <c r="Z426" s="13" t="s">
        <v>39</v>
      </c>
      <c r="AA426" s="19" t="str">
        <f>VLOOKUP(D426,Clientes!$A$2:$J$486,9,FALSE)</f>
        <v>Ocacional</v>
      </c>
      <c r="AB426" s="13" t="str">
        <f>VLOOKUP(D426,Clientes!$A$2:$K$486,11,FALSE)</f>
        <v>Persona Natural</v>
      </c>
      <c r="AC426" s="13" t="str">
        <f>VLOOKUP(D426,Clientes!$A$2:$B$486,2,FALSE)</f>
        <v>Jardines de la viña</v>
      </c>
      <c r="AD426" s="20"/>
      <c r="AE426" s="20"/>
      <c r="AF426" s="13" t="s">
        <v>40</v>
      </c>
      <c r="AG426" s="15">
        <f t="shared" si="6"/>
        <v>45505</v>
      </c>
      <c r="AH426" s="13" t="s">
        <v>41</v>
      </c>
      <c r="AI426" s="13" t="str">
        <f t="shared" si="7"/>
        <v>Papeleria</v>
      </c>
      <c r="AJ426" s="13" t="str">
        <f>VLOOKUP(E426,Precios!Z$2:AA$941,2,FALSE)</f>
        <v>Papel Higienico ELITE 50 metros</v>
      </c>
      <c r="AK426" s="14">
        <f>VLOOKUP(E426,Precios!Z$2:BB$941,3,FALSE)*F426</f>
        <v>-8</v>
      </c>
      <c r="AL426" s="17"/>
      <c r="AM426" s="17"/>
      <c r="AN426" s="17"/>
      <c r="AO426" s="17"/>
      <c r="AP426" s="17"/>
      <c r="AQ426" s="17"/>
      <c r="AR426" s="17"/>
      <c r="AS426" s="17"/>
      <c r="AT426" s="17"/>
      <c r="AU426" s="17"/>
      <c r="AV426" s="17"/>
    </row>
    <row r="427" spans="1:48" ht="15.75" customHeight="1">
      <c r="A427" s="21" t="s">
        <v>35</v>
      </c>
      <c r="B427" s="23" t="s">
        <v>1692</v>
      </c>
      <c r="C427" s="25">
        <v>45892</v>
      </c>
      <c r="D427" s="23" t="s">
        <v>104</v>
      </c>
      <c r="E427" s="23" t="s">
        <v>46</v>
      </c>
      <c r="F427" s="14">
        <v>1</v>
      </c>
      <c r="G427" s="12">
        <f>VLOOKUP(E427,Precios!B$2:N$941,12,FALSE)</f>
        <v>6000.1548227279782</v>
      </c>
      <c r="H427" s="12">
        <f t="shared" si="0"/>
        <v>6000.1548227279782</v>
      </c>
      <c r="I427" s="23" t="s">
        <v>52</v>
      </c>
      <c r="J427" s="23" t="s">
        <v>61</v>
      </c>
      <c r="K427" s="24" t="s">
        <v>177</v>
      </c>
      <c r="L427" s="24">
        <v>174</v>
      </c>
      <c r="M427" s="12">
        <f t="shared" ref="M427:N427" si="432">G427/1.19</f>
        <v>5042.1469098554444</v>
      </c>
      <c r="N427" s="12">
        <f t="shared" si="432"/>
        <v>5042.1469098554444</v>
      </c>
      <c r="O427" s="12">
        <f t="shared" si="2"/>
        <v>958.00791287253378</v>
      </c>
      <c r="P427" s="13"/>
      <c r="Q427" s="14">
        <f t="shared" si="3"/>
        <v>2025</v>
      </c>
      <c r="R427" s="15">
        <f>VLOOKUP(MONTH(C427),'Datos Maestros'!M$2:N$14,2,FALSE)</f>
        <v>45505</v>
      </c>
      <c r="S427" s="11" t="str">
        <f>VLOOKUP(E427,Precios!B$2:W$941,3,FALSE)</f>
        <v>Queso Mantecoso</v>
      </c>
      <c r="T427" s="16">
        <f>VLOOKUP(E427,Precios!B$2:N$941,4,FALSE)*F427</f>
        <v>500</v>
      </c>
      <c r="U427" s="17"/>
      <c r="V427" s="12">
        <f>VLOOKUP(E427,Precios!B$2:N$941,13,FALSE)*F427</f>
        <v>1785.4242207798129</v>
      </c>
      <c r="W427" s="12">
        <f t="shared" si="4"/>
        <v>1785.4242207798129</v>
      </c>
      <c r="X427" s="12">
        <f>VLOOKUP(B427,'Datos Maestros'!$C$2:$D$7,2,FALSE)*V427</f>
        <v>0</v>
      </c>
      <c r="Y427" s="18">
        <f t="shared" si="5"/>
        <v>45887</v>
      </c>
      <c r="Z427" s="13" t="s">
        <v>39</v>
      </c>
      <c r="AA427" s="19" t="str">
        <f>VLOOKUP(D427,Clientes!$A$2:$J$486,9,FALSE)</f>
        <v>Ocacional</v>
      </c>
      <c r="AB427" s="13" t="str">
        <f>VLOOKUP(D427,Clientes!$A$2:$K$486,11,FALSE)</f>
        <v>Persona Natural</v>
      </c>
      <c r="AC427" s="13" t="str">
        <f>VLOOKUP(D427,Clientes!$A$2:$B$486,2,FALSE)</f>
        <v>Jardines de la viña</v>
      </c>
      <c r="AD427" s="20"/>
      <c r="AE427" s="20"/>
      <c r="AF427" s="13" t="s">
        <v>40</v>
      </c>
      <c r="AG427" s="15">
        <f t="shared" si="6"/>
        <v>45505</v>
      </c>
      <c r="AH427" s="13" t="s">
        <v>41</v>
      </c>
      <c r="AI427" s="13" t="str">
        <f t="shared" si="7"/>
        <v>Quesos</v>
      </c>
      <c r="AJ427" s="13" t="str">
        <f>VLOOKUP(E427,Precios!Z$2:AA$941,2,FALSE)</f>
        <v>Queso RUNCA Mantecoso</v>
      </c>
      <c r="AK427" s="14">
        <f>VLOOKUP(E427,Precios!Z$2:BB$941,3,FALSE)*F427</f>
        <v>-0.5</v>
      </c>
      <c r="AL427" s="17"/>
      <c r="AM427" s="17"/>
      <c r="AN427" s="17"/>
      <c r="AO427" s="17"/>
      <c r="AP427" s="17"/>
      <c r="AQ427" s="17"/>
      <c r="AR427" s="17"/>
      <c r="AS427" s="17"/>
      <c r="AT427" s="17"/>
      <c r="AU427" s="17"/>
      <c r="AV427" s="17"/>
    </row>
    <row r="428" spans="1:48" ht="15.75" customHeight="1">
      <c r="A428" s="14" t="s">
        <v>43</v>
      </c>
      <c r="B428" s="23" t="s">
        <v>1692</v>
      </c>
      <c r="C428" s="25">
        <v>45892</v>
      </c>
      <c r="D428" s="23" t="s">
        <v>184</v>
      </c>
      <c r="E428" s="13" t="s">
        <v>45</v>
      </c>
      <c r="F428" s="14">
        <v>1</v>
      </c>
      <c r="G428" s="12">
        <f>VLOOKUP(E428,Precios!B$2:N$941,12,FALSE)</f>
        <v>8000.1831784723063</v>
      </c>
      <c r="H428" s="12">
        <f t="shared" si="0"/>
        <v>8000.1831784723063</v>
      </c>
      <c r="I428" s="23" t="s">
        <v>52</v>
      </c>
      <c r="J428" s="23" t="s">
        <v>61</v>
      </c>
      <c r="K428" s="24" t="s">
        <v>177</v>
      </c>
      <c r="L428" s="24">
        <v>174</v>
      </c>
      <c r="M428" s="12">
        <f t="shared" ref="M428:N428" si="433">G428/1.19</f>
        <v>6722.8430071195853</v>
      </c>
      <c r="N428" s="12">
        <f t="shared" si="433"/>
        <v>6722.8430071195853</v>
      </c>
      <c r="O428" s="12">
        <f t="shared" si="2"/>
        <v>1277.340171352721</v>
      </c>
      <c r="P428" s="13"/>
      <c r="Q428" s="14">
        <f t="shared" si="3"/>
        <v>2025</v>
      </c>
      <c r="R428" s="15">
        <f>VLOOKUP(MONTH(C428),'Datos Maestros'!M$2:N$14,2,FALSE)</f>
        <v>45505</v>
      </c>
      <c r="S428" s="11" t="str">
        <f>VLOOKUP(E428,Precios!B$2:W$941,3,FALSE)</f>
        <v>Huevos EXTRA</v>
      </c>
      <c r="T428" s="16">
        <f>VLOOKUP(E428,Precios!B$2:N$941,4,FALSE)*F428</f>
        <v>0</v>
      </c>
      <c r="U428" s="17"/>
      <c r="V428" s="12">
        <f>VLOOKUP(E428,Precios!B$2:N$941,13,FALSE)*F428</f>
        <v>1151.6230071195851</v>
      </c>
      <c r="W428" s="12">
        <f t="shared" si="4"/>
        <v>1151.6230071195851</v>
      </c>
      <c r="X428" s="12">
        <f>VLOOKUP(B428,'Datos Maestros'!$C$2:$D$7,2,FALSE)*V428</f>
        <v>0</v>
      </c>
      <c r="Y428" s="18">
        <f t="shared" si="5"/>
        <v>45887</v>
      </c>
      <c r="Z428" s="13" t="s">
        <v>39</v>
      </c>
      <c r="AA428" s="19" t="str">
        <f>VLOOKUP(D428,Clientes!$A$2:$J$486,9,FALSE)</f>
        <v>Frecuente</v>
      </c>
      <c r="AB428" s="13" t="str">
        <f>VLOOKUP(D428,Clientes!$A$2:$K$486,11,FALSE)</f>
        <v>Persona Natural</v>
      </c>
      <c r="AC428" s="13" t="str">
        <f>VLOOKUP(D428,Clientes!$A$2:$B$486,2,FALSE)</f>
        <v>Jardin del Eden</v>
      </c>
      <c r="AD428" s="20"/>
      <c r="AE428" s="20"/>
      <c r="AF428" s="13" t="s">
        <v>40</v>
      </c>
      <c r="AG428" s="15">
        <f t="shared" si="6"/>
        <v>45505</v>
      </c>
      <c r="AH428" s="13" t="s">
        <v>41</v>
      </c>
      <c r="AI428" s="13" t="str">
        <f t="shared" si="7"/>
        <v>Huevos</v>
      </c>
      <c r="AJ428" s="13" t="str">
        <f>VLOOKUP(E428,Precios!Z$2:AA$941,2,FALSE)</f>
        <v>Bandeja Huevos EXTRA</v>
      </c>
      <c r="AK428" s="14">
        <f>VLOOKUP(E428,Precios!Z$2:BB$941,3,FALSE)*F428</f>
        <v>-1</v>
      </c>
      <c r="AL428" s="17"/>
      <c r="AM428" s="17"/>
      <c r="AN428" s="17"/>
      <c r="AO428" s="17"/>
      <c r="AP428" s="17"/>
      <c r="AQ428" s="17"/>
      <c r="AR428" s="17"/>
      <c r="AS428" s="17"/>
      <c r="AT428" s="17"/>
      <c r="AU428" s="17"/>
      <c r="AV428" s="17"/>
    </row>
    <row r="429" spans="1:48" ht="15.75" customHeight="1">
      <c r="A429" s="21" t="s">
        <v>47</v>
      </c>
      <c r="B429" s="23" t="s">
        <v>1692</v>
      </c>
      <c r="C429" s="25">
        <v>45892</v>
      </c>
      <c r="D429" s="23" t="s">
        <v>184</v>
      </c>
      <c r="E429" s="23" t="s">
        <v>289</v>
      </c>
      <c r="F429" s="14">
        <v>1</v>
      </c>
      <c r="G429" s="12">
        <f>VLOOKUP(E429,Precios!B$2:N$941,12,FALSE)</f>
        <v>3200.065217391304</v>
      </c>
      <c r="H429" s="12">
        <f t="shared" si="0"/>
        <v>3200.065217391304</v>
      </c>
      <c r="I429" s="23" t="s">
        <v>52</v>
      </c>
      <c r="J429" s="23" t="s">
        <v>61</v>
      </c>
      <c r="K429" s="24" t="s">
        <v>177</v>
      </c>
      <c r="L429" s="24">
        <v>174</v>
      </c>
      <c r="M429" s="12">
        <f t="shared" ref="M429:N429" si="434">G429/1.19</f>
        <v>2689.1304347826085</v>
      </c>
      <c r="N429" s="12">
        <f t="shared" si="434"/>
        <v>2689.1304347826085</v>
      </c>
      <c r="O429" s="12">
        <f t="shared" si="2"/>
        <v>510.93478260869551</v>
      </c>
      <c r="P429" s="13"/>
      <c r="Q429" s="14">
        <f t="shared" si="3"/>
        <v>2025</v>
      </c>
      <c r="R429" s="15">
        <f>VLOOKUP(MONTH(C429),'Datos Maestros'!M$2:N$14,2,FALSE)</f>
        <v>45505</v>
      </c>
      <c r="S429" s="11" t="str">
        <f>VLOOKUP(E429,Precios!B$2:W$941,3,FALSE)</f>
        <v>Velas</v>
      </c>
      <c r="T429" s="16">
        <f>VLOOKUP(E429,Precios!B$2:N$941,4,FALSE)*F429</f>
        <v>0</v>
      </c>
      <c r="U429" s="17"/>
      <c r="V429" s="12">
        <f>VLOOKUP(E429,Precios!B$2:N$941,13,FALSE)*F429</f>
        <v>1297.5054347826085</v>
      </c>
      <c r="W429" s="12">
        <f t="shared" si="4"/>
        <v>1297.5054347826085</v>
      </c>
      <c r="X429" s="12">
        <f>VLOOKUP(B429,'Datos Maestros'!$C$2:$D$7,2,FALSE)*V429</f>
        <v>0</v>
      </c>
      <c r="Y429" s="18">
        <f t="shared" si="5"/>
        <v>45887</v>
      </c>
      <c r="Z429" s="13" t="s">
        <v>39</v>
      </c>
      <c r="AA429" s="19" t="str">
        <f>VLOOKUP(D429,Clientes!$A$2:$J$486,9,FALSE)</f>
        <v>Frecuente</v>
      </c>
      <c r="AB429" s="13" t="str">
        <f>VLOOKUP(D429,Clientes!$A$2:$K$486,11,FALSE)</f>
        <v>Persona Natural</v>
      </c>
      <c r="AC429" s="13" t="str">
        <f>VLOOKUP(D429,Clientes!$A$2:$B$486,2,FALSE)</f>
        <v>Jardin del Eden</v>
      </c>
      <c r="AD429" s="20"/>
      <c r="AE429" s="20"/>
      <c r="AF429" s="13" t="s">
        <v>40</v>
      </c>
      <c r="AG429" s="15">
        <f t="shared" si="6"/>
        <v>45505</v>
      </c>
      <c r="AH429" s="13" t="s">
        <v>41</v>
      </c>
      <c r="AI429" s="13" t="str">
        <f t="shared" si="7"/>
        <v>Articulos de Aseo</v>
      </c>
      <c r="AJ429" s="13" t="str">
        <f>VLOOKUP(E429,Precios!Z$2:AA$941,2,FALSE)</f>
        <v>Velas Grandes</v>
      </c>
      <c r="AK429" s="14">
        <f>VLOOKUP(E429,Precios!Z$2:BB$941,3,FALSE)*F429</f>
        <v>-3</v>
      </c>
      <c r="AL429" s="17"/>
      <c r="AM429" s="17"/>
      <c r="AN429" s="17"/>
      <c r="AO429" s="17"/>
      <c r="AP429" s="17"/>
      <c r="AQ429" s="17"/>
      <c r="AR429" s="17"/>
      <c r="AS429" s="17"/>
      <c r="AT429" s="17"/>
      <c r="AU429" s="17"/>
      <c r="AV429" s="17"/>
    </row>
    <row r="430" spans="1:48" ht="15.75" customHeight="1">
      <c r="A430" s="21" t="s">
        <v>73</v>
      </c>
      <c r="B430" s="23" t="s">
        <v>1692</v>
      </c>
      <c r="C430" s="25">
        <v>45892</v>
      </c>
      <c r="D430" s="23" t="s">
        <v>184</v>
      </c>
      <c r="E430" s="23" t="s">
        <v>207</v>
      </c>
      <c r="F430" s="14">
        <v>1</v>
      </c>
      <c r="G430" s="12">
        <f>VLOOKUP(E430,Precios!B$2:N$941,12,FALSE)</f>
        <v>700.14542079207922</v>
      </c>
      <c r="H430" s="12">
        <f t="shared" si="0"/>
        <v>700.14542079207922</v>
      </c>
      <c r="I430" s="23" t="s">
        <v>52</v>
      </c>
      <c r="J430" s="23" t="s">
        <v>61</v>
      </c>
      <c r="K430" s="24" t="s">
        <v>177</v>
      </c>
      <c r="L430" s="24">
        <v>174</v>
      </c>
      <c r="M430" s="12">
        <f t="shared" ref="M430:N430" si="435">G430/1.19</f>
        <v>588.35749646393219</v>
      </c>
      <c r="N430" s="12">
        <f t="shared" si="435"/>
        <v>588.35749646393219</v>
      </c>
      <c r="O430" s="12">
        <f t="shared" si="2"/>
        <v>111.78792432814703</v>
      </c>
      <c r="P430" s="13"/>
      <c r="Q430" s="14">
        <f t="shared" si="3"/>
        <v>2025</v>
      </c>
      <c r="R430" s="15">
        <f>VLOOKUP(MONTH(C430),'Datos Maestros'!M$2:N$14,2,FALSE)</f>
        <v>45505</v>
      </c>
      <c r="S430" s="11" t="str">
        <f>VLOOKUP(E430,Precios!B$2:W$941,3,FALSE)</f>
        <v>Guantes LATEX</v>
      </c>
      <c r="T430" s="16">
        <f>VLOOKUP(E430,Precios!B$2:N$941,4,FALSE)*F430</f>
        <v>0</v>
      </c>
      <c r="U430" s="17"/>
      <c r="V430" s="12">
        <f>VLOOKUP(E430,Precios!B$2:N$941,13,FALSE)*F430</f>
        <v>255.5824964639321</v>
      </c>
      <c r="W430" s="12">
        <f t="shared" si="4"/>
        <v>255.5824964639321</v>
      </c>
      <c r="X430" s="12">
        <f>VLOOKUP(B430,'Datos Maestros'!$C$2:$D$7,2,FALSE)*V430</f>
        <v>0</v>
      </c>
      <c r="Y430" s="18">
        <f t="shared" si="5"/>
        <v>45887</v>
      </c>
      <c r="Z430" s="13" t="s">
        <v>39</v>
      </c>
      <c r="AA430" s="19" t="str">
        <f>VLOOKUP(D430,Clientes!$A$2:$J$486,9,FALSE)</f>
        <v>Frecuente</v>
      </c>
      <c r="AB430" s="13" t="str">
        <f>VLOOKUP(D430,Clientes!$A$2:$K$486,11,FALSE)</f>
        <v>Persona Natural</v>
      </c>
      <c r="AC430" s="13" t="str">
        <f>VLOOKUP(D430,Clientes!$A$2:$B$486,2,FALSE)</f>
        <v>Jardin del Eden</v>
      </c>
      <c r="AD430" s="20"/>
      <c r="AE430" s="20"/>
      <c r="AF430" s="13" t="s">
        <v>40</v>
      </c>
      <c r="AG430" s="15">
        <f t="shared" si="6"/>
        <v>45505</v>
      </c>
      <c r="AH430" s="13" t="s">
        <v>41</v>
      </c>
      <c r="AI430" s="13" t="str">
        <f t="shared" si="7"/>
        <v>Articulos de Sanidad</v>
      </c>
      <c r="AJ430" s="13" t="str">
        <f>VLOOKUP(E430,Precios!Z$2:AA$941,2,FALSE)</f>
        <v>Guantes de Latex Talla M</v>
      </c>
      <c r="AK430" s="14">
        <f>VLOOKUP(E430,Precios!Z$2:BB$941,3,FALSE)*F430</f>
        <v>-1</v>
      </c>
      <c r="AL430" s="17"/>
      <c r="AM430" s="17"/>
      <c r="AN430" s="17"/>
      <c r="AO430" s="17"/>
      <c r="AP430" s="17"/>
      <c r="AQ430" s="17"/>
      <c r="AR430" s="17"/>
      <c r="AS430" s="17"/>
      <c r="AT430" s="17"/>
      <c r="AU430" s="17"/>
      <c r="AV430" s="17"/>
    </row>
    <row r="431" spans="1:48" ht="15.75" customHeight="1">
      <c r="A431" s="21" t="s">
        <v>73</v>
      </c>
      <c r="B431" s="23" t="s">
        <v>1692</v>
      </c>
      <c r="C431" s="25">
        <v>45892</v>
      </c>
      <c r="D431" s="23" t="s">
        <v>184</v>
      </c>
      <c r="E431" s="23" t="s">
        <v>290</v>
      </c>
      <c r="F431" s="14">
        <v>1</v>
      </c>
      <c r="G431" s="12">
        <f>VLOOKUP(E431,Precios!B$2:N$941,12,FALSE)</f>
        <v>700.14542079207922</v>
      </c>
      <c r="H431" s="12">
        <f t="shared" si="0"/>
        <v>700.14542079207922</v>
      </c>
      <c r="I431" s="23" t="s">
        <v>52</v>
      </c>
      <c r="J431" s="23" t="s">
        <v>61</v>
      </c>
      <c r="K431" s="24" t="s">
        <v>177</v>
      </c>
      <c r="L431" s="24">
        <v>174</v>
      </c>
      <c r="M431" s="12">
        <f t="shared" ref="M431:N431" si="436">G431/1.19</f>
        <v>588.35749646393219</v>
      </c>
      <c r="N431" s="12">
        <f t="shared" si="436"/>
        <v>588.35749646393219</v>
      </c>
      <c r="O431" s="12">
        <f t="shared" si="2"/>
        <v>111.78792432814703</v>
      </c>
      <c r="P431" s="13"/>
      <c r="Q431" s="14">
        <f t="shared" si="3"/>
        <v>2025</v>
      </c>
      <c r="R431" s="15">
        <f>VLOOKUP(MONTH(C431),'Datos Maestros'!M$2:N$14,2,FALSE)</f>
        <v>45505</v>
      </c>
      <c r="S431" s="11" t="str">
        <f>VLOOKUP(E431,Precios!B$2:W$941,3,FALSE)</f>
        <v>Guantes LATEX</v>
      </c>
      <c r="T431" s="16">
        <f>VLOOKUP(E431,Precios!B$2:N$941,4,FALSE)*F431</f>
        <v>0</v>
      </c>
      <c r="U431" s="17"/>
      <c r="V431" s="12">
        <f>VLOOKUP(E431,Precios!B$2:N$941,13,FALSE)*F431</f>
        <v>255.5824964639321</v>
      </c>
      <c r="W431" s="12">
        <f t="shared" si="4"/>
        <v>255.5824964639321</v>
      </c>
      <c r="X431" s="12">
        <f>VLOOKUP(B431,'Datos Maestros'!$C$2:$D$7,2,FALSE)*V431</f>
        <v>0</v>
      </c>
      <c r="Y431" s="18">
        <f t="shared" si="5"/>
        <v>45887</v>
      </c>
      <c r="Z431" s="13" t="s">
        <v>39</v>
      </c>
      <c r="AA431" s="19" t="str">
        <f>VLOOKUP(D431,Clientes!$A$2:$J$486,9,FALSE)</f>
        <v>Frecuente</v>
      </c>
      <c r="AB431" s="13" t="str">
        <f>VLOOKUP(D431,Clientes!$A$2:$K$486,11,FALSE)</f>
        <v>Persona Natural</v>
      </c>
      <c r="AC431" s="13" t="str">
        <f>VLOOKUP(D431,Clientes!$A$2:$B$486,2,FALSE)</f>
        <v>Jardin del Eden</v>
      </c>
      <c r="AD431" s="20"/>
      <c r="AE431" s="20"/>
      <c r="AF431" s="13" t="s">
        <v>40</v>
      </c>
      <c r="AG431" s="15">
        <f t="shared" si="6"/>
        <v>45505</v>
      </c>
      <c r="AH431" s="13" t="s">
        <v>41</v>
      </c>
      <c r="AI431" s="13" t="str">
        <f t="shared" si="7"/>
        <v>Articulos de Sanidad</v>
      </c>
      <c r="AJ431" s="13" t="str">
        <f>VLOOKUP(E431,Precios!Z$2:AA$941,2,FALSE)</f>
        <v>Guantes de Latex Talla S</v>
      </c>
      <c r="AK431" s="14">
        <f>VLOOKUP(E431,Precios!Z$2:BB$941,3,FALSE)*F431</f>
        <v>-1</v>
      </c>
      <c r="AL431" s="17"/>
      <c r="AM431" s="17"/>
      <c r="AN431" s="17"/>
      <c r="AO431" s="17"/>
      <c r="AP431" s="17"/>
      <c r="AQ431" s="17"/>
      <c r="AR431" s="17"/>
      <c r="AS431" s="17"/>
      <c r="AT431" s="17"/>
      <c r="AU431" s="17"/>
      <c r="AV431" s="17"/>
    </row>
    <row r="432" spans="1:48" ht="15.75" customHeight="1">
      <c r="A432" s="21" t="s">
        <v>47</v>
      </c>
      <c r="B432" s="23" t="s">
        <v>1692</v>
      </c>
      <c r="C432" s="25">
        <v>45892</v>
      </c>
      <c r="D432" s="23" t="s">
        <v>184</v>
      </c>
      <c r="E432" s="23" t="s">
        <v>107</v>
      </c>
      <c r="F432" s="14">
        <v>1</v>
      </c>
      <c r="G432" s="12">
        <f>VLOOKUP(E432,Precios!B$2:N$941,12,FALSE)</f>
        <v>3000.0000000000005</v>
      </c>
      <c r="H432" s="12">
        <f t="shared" si="0"/>
        <v>3000.0000000000005</v>
      </c>
      <c r="I432" s="23" t="s">
        <v>52</v>
      </c>
      <c r="J432" s="23" t="s">
        <v>61</v>
      </c>
      <c r="K432" s="24" t="s">
        <v>177</v>
      </c>
      <c r="L432" s="24">
        <v>174</v>
      </c>
      <c r="M432" s="12">
        <f t="shared" ref="M432:N432" si="437">G432/1.19</f>
        <v>2521.0084033613452</v>
      </c>
      <c r="N432" s="12">
        <f t="shared" si="437"/>
        <v>2521.0084033613452</v>
      </c>
      <c r="O432" s="12">
        <f t="shared" si="2"/>
        <v>478.99159663865521</v>
      </c>
      <c r="P432" s="13"/>
      <c r="Q432" s="14">
        <f t="shared" si="3"/>
        <v>2025</v>
      </c>
      <c r="R432" s="15">
        <f>VLOOKUP(MONTH(C432),'Datos Maestros'!M$2:N$14,2,FALSE)</f>
        <v>45505</v>
      </c>
      <c r="S432" s="11" t="str">
        <f>VLOOKUP(E432,Precios!B$2:W$941,3,FALSE)</f>
        <v>Bolsa Basura</v>
      </c>
      <c r="T432" s="16">
        <f>VLOOKUP(E432,Precios!B$2:N$941,4,FALSE)*F432</f>
        <v>0</v>
      </c>
      <c r="U432" s="17"/>
      <c r="V432" s="12">
        <f>VLOOKUP(E432,Precios!B$2:N$941,13,FALSE)*F432</f>
        <v>758.82352941176487</v>
      </c>
      <c r="W432" s="12">
        <f t="shared" si="4"/>
        <v>758.82352941176487</v>
      </c>
      <c r="X432" s="12">
        <f>VLOOKUP(B432,'Datos Maestros'!$C$2:$D$7,2,FALSE)*V432</f>
        <v>0</v>
      </c>
      <c r="Y432" s="18">
        <f t="shared" si="5"/>
        <v>45887</v>
      </c>
      <c r="Z432" s="13" t="s">
        <v>39</v>
      </c>
      <c r="AA432" s="19" t="str">
        <f>VLOOKUP(D432,Clientes!$A$2:$J$486,9,FALSE)</f>
        <v>Frecuente</v>
      </c>
      <c r="AB432" s="13" t="str">
        <f>VLOOKUP(D432,Clientes!$A$2:$K$486,11,FALSE)</f>
        <v>Persona Natural</v>
      </c>
      <c r="AC432" s="13" t="str">
        <f>VLOOKUP(D432,Clientes!$A$2:$B$486,2,FALSE)</f>
        <v>Jardin del Eden</v>
      </c>
      <c r="AD432" s="20"/>
      <c r="AE432" s="20"/>
      <c r="AF432" s="13" t="s">
        <v>40</v>
      </c>
      <c r="AG432" s="15">
        <f t="shared" si="6"/>
        <v>45505</v>
      </c>
      <c r="AH432" s="13" t="s">
        <v>41</v>
      </c>
      <c r="AI432" s="13" t="str">
        <f t="shared" si="7"/>
        <v>Articulos de Aseo</v>
      </c>
      <c r="AJ432" s="13" t="str">
        <f>VLOOKUP(E432,Precios!Z$2:AA$941,2,FALSE)</f>
        <v xml:space="preserve">Bolsas Basura TEDDY 90x120 </v>
      </c>
      <c r="AK432" s="14">
        <f>VLOOKUP(E432,Precios!Z$2:BB$941,3,FALSE)*F432</f>
        <v>-1</v>
      </c>
      <c r="AL432" s="17"/>
      <c r="AM432" s="17"/>
      <c r="AN432" s="17"/>
      <c r="AO432" s="17"/>
      <c r="AP432" s="17"/>
      <c r="AQ432" s="17"/>
      <c r="AR432" s="17"/>
      <c r="AS432" s="17"/>
      <c r="AT432" s="17"/>
      <c r="AU432" s="17"/>
      <c r="AV432" s="17"/>
    </row>
    <row r="433" spans="1:48" ht="15.75" customHeight="1">
      <c r="A433" s="21" t="s">
        <v>47</v>
      </c>
      <c r="B433" s="23" t="s">
        <v>1692</v>
      </c>
      <c r="C433" s="25">
        <v>45892</v>
      </c>
      <c r="D433" s="23" t="s">
        <v>184</v>
      </c>
      <c r="E433" s="23" t="s">
        <v>48</v>
      </c>
      <c r="F433" s="14">
        <v>1</v>
      </c>
      <c r="G433" s="12">
        <f>VLOOKUP(E433,Precios!B$2:N$941,12,FALSE)</f>
        <v>1000</v>
      </c>
      <c r="H433" s="12">
        <f t="shared" si="0"/>
        <v>1000</v>
      </c>
      <c r="I433" s="23" t="s">
        <v>52</v>
      </c>
      <c r="J433" s="23" t="s">
        <v>61</v>
      </c>
      <c r="K433" s="24" t="s">
        <v>177</v>
      </c>
      <c r="L433" s="24">
        <v>174</v>
      </c>
      <c r="M433" s="12">
        <f t="shared" ref="M433:N433" si="438">G433/1.19</f>
        <v>840.3361344537816</v>
      </c>
      <c r="N433" s="12">
        <f t="shared" si="438"/>
        <v>840.3361344537816</v>
      </c>
      <c r="O433" s="12">
        <f t="shared" si="2"/>
        <v>159.6638655462184</v>
      </c>
      <c r="P433" s="13"/>
      <c r="Q433" s="14">
        <f t="shared" si="3"/>
        <v>2025</v>
      </c>
      <c r="R433" s="15">
        <f>VLOOKUP(MONTH(C433),'Datos Maestros'!M$2:N$14,2,FALSE)</f>
        <v>45505</v>
      </c>
      <c r="S433" s="11" t="str">
        <f>VLOOKUP(E433,Precios!B$2:W$941,3,FALSE)</f>
        <v>Esponjas</v>
      </c>
      <c r="T433" s="16">
        <f>VLOOKUP(E433,Precios!B$2:N$941,4,FALSE)*F433</f>
        <v>0</v>
      </c>
      <c r="U433" s="17"/>
      <c r="V433" s="12">
        <f>VLOOKUP(E433,Precios!B$2:N$941,13,FALSE)*F433</f>
        <v>330.33613445378148</v>
      </c>
      <c r="W433" s="12">
        <f t="shared" si="4"/>
        <v>330.33613445378148</v>
      </c>
      <c r="X433" s="12">
        <f>VLOOKUP(B433,'Datos Maestros'!$C$2:$D$7,2,FALSE)*V433</f>
        <v>0</v>
      </c>
      <c r="Y433" s="18">
        <f t="shared" si="5"/>
        <v>45887</v>
      </c>
      <c r="Z433" s="13" t="s">
        <v>39</v>
      </c>
      <c r="AA433" s="19" t="str">
        <f>VLOOKUP(D433,Clientes!$A$2:$J$486,9,FALSE)</f>
        <v>Frecuente</v>
      </c>
      <c r="AB433" s="13" t="str">
        <f>VLOOKUP(D433,Clientes!$A$2:$K$486,11,FALSE)</f>
        <v>Persona Natural</v>
      </c>
      <c r="AC433" s="13" t="str">
        <f>VLOOKUP(D433,Clientes!$A$2:$B$486,2,FALSE)</f>
        <v>Jardin del Eden</v>
      </c>
      <c r="AD433" s="20"/>
      <c r="AE433" s="20"/>
      <c r="AF433" s="13" t="s">
        <v>40</v>
      </c>
      <c r="AG433" s="15">
        <f t="shared" si="6"/>
        <v>45505</v>
      </c>
      <c r="AH433" s="13" t="s">
        <v>41</v>
      </c>
      <c r="AI433" s="13" t="str">
        <f t="shared" si="7"/>
        <v>Articulos de Aseo</v>
      </c>
      <c r="AJ433" s="13" t="str">
        <f>VLOOKUP(E433,Precios!Z$2:AA$941,2,FALSE)</f>
        <v>Esponja Acanalada TEDDY</v>
      </c>
      <c r="AK433" s="14">
        <f>VLOOKUP(E433,Precios!Z$2:BB$941,3,FALSE)*F433</f>
        <v>-5</v>
      </c>
      <c r="AL433" s="17"/>
      <c r="AM433" s="17"/>
      <c r="AN433" s="17"/>
      <c r="AO433" s="17"/>
      <c r="AP433" s="17"/>
      <c r="AQ433" s="17"/>
      <c r="AR433" s="17"/>
      <c r="AS433" s="17"/>
      <c r="AT433" s="17"/>
      <c r="AU433" s="17"/>
      <c r="AV433" s="17"/>
    </row>
    <row r="434" spans="1:48" ht="15.75" customHeight="1">
      <c r="A434" s="21" t="s">
        <v>47</v>
      </c>
      <c r="B434" s="23" t="s">
        <v>1692</v>
      </c>
      <c r="C434" s="25">
        <v>45892</v>
      </c>
      <c r="D434" s="23" t="s">
        <v>184</v>
      </c>
      <c r="E434" s="23" t="s">
        <v>105</v>
      </c>
      <c r="F434" s="14">
        <v>1</v>
      </c>
      <c r="G434" s="12">
        <f>VLOOKUP(E434,Precios!B$2:N$941,12,FALSE)</f>
        <v>1100.0000000000002</v>
      </c>
      <c r="H434" s="12">
        <f t="shared" si="0"/>
        <v>1100.0000000000002</v>
      </c>
      <c r="I434" s="23" t="s">
        <v>52</v>
      </c>
      <c r="J434" s="23" t="s">
        <v>61</v>
      </c>
      <c r="K434" s="24" t="s">
        <v>177</v>
      </c>
      <c r="L434" s="24">
        <v>174</v>
      </c>
      <c r="M434" s="12">
        <f t="shared" ref="M434:N434" si="439">G434/1.19</f>
        <v>924.36974789915985</v>
      </c>
      <c r="N434" s="12">
        <f t="shared" si="439"/>
        <v>924.36974789915985</v>
      </c>
      <c r="O434" s="12">
        <f t="shared" si="2"/>
        <v>175.63025210084038</v>
      </c>
      <c r="P434" s="13"/>
      <c r="Q434" s="14">
        <f t="shared" si="3"/>
        <v>2025</v>
      </c>
      <c r="R434" s="15">
        <f>VLOOKUP(MONTH(C434),'Datos Maestros'!M$2:N$14,2,FALSE)</f>
        <v>45505</v>
      </c>
      <c r="S434" s="11" t="str">
        <f>VLOOKUP(E434,Precios!B$2:W$941,3,FALSE)</f>
        <v>Paños esponja Teddy (3)</v>
      </c>
      <c r="T434" s="16">
        <f>VLOOKUP(E434,Precios!B$2:N$941,4,FALSE)*F434</f>
        <v>0</v>
      </c>
      <c r="U434" s="17"/>
      <c r="V434" s="12">
        <f>VLOOKUP(E434,Precios!B$2:N$941,13,FALSE)*F434</f>
        <v>342.857142857143</v>
      </c>
      <c r="W434" s="12">
        <f t="shared" si="4"/>
        <v>342.857142857143</v>
      </c>
      <c r="X434" s="12">
        <f>VLOOKUP(B434,'Datos Maestros'!$C$2:$D$7,2,FALSE)*V434</f>
        <v>0</v>
      </c>
      <c r="Y434" s="18">
        <f t="shared" si="5"/>
        <v>45887</v>
      </c>
      <c r="Z434" s="13" t="s">
        <v>39</v>
      </c>
      <c r="AA434" s="19" t="str">
        <f>VLOOKUP(D434,Clientes!$A$2:$J$486,9,FALSE)</f>
        <v>Frecuente</v>
      </c>
      <c r="AB434" s="13" t="str">
        <f>VLOOKUP(D434,Clientes!$A$2:$K$486,11,FALSE)</f>
        <v>Persona Natural</v>
      </c>
      <c r="AC434" s="13" t="str">
        <f>VLOOKUP(D434,Clientes!$A$2:$B$486,2,FALSE)</f>
        <v>Jardin del Eden</v>
      </c>
      <c r="AD434" s="20"/>
      <c r="AE434" s="20"/>
      <c r="AF434" s="13" t="s">
        <v>40</v>
      </c>
      <c r="AG434" s="15">
        <f t="shared" si="6"/>
        <v>45505</v>
      </c>
      <c r="AH434" s="13" t="s">
        <v>41</v>
      </c>
      <c r="AI434" s="13" t="str">
        <f t="shared" si="7"/>
        <v>Articulos de Aseo</v>
      </c>
      <c r="AJ434" s="13" t="str">
        <f>VLOOKUP(E434,Precios!Z$2:AA$941,2,FALSE)</f>
        <v>Paños Esponja TEDDY</v>
      </c>
      <c r="AK434" s="14">
        <f>VLOOKUP(E434,Precios!Z$2:BB$941,3,FALSE)*F434</f>
        <v>-1</v>
      </c>
      <c r="AL434" s="17"/>
      <c r="AM434" s="17"/>
      <c r="AN434" s="17"/>
      <c r="AO434" s="17"/>
      <c r="AP434" s="17"/>
      <c r="AQ434" s="17"/>
      <c r="AR434" s="17"/>
      <c r="AS434" s="17"/>
      <c r="AT434" s="17"/>
      <c r="AU434" s="17"/>
      <c r="AV434" s="17"/>
    </row>
    <row r="435" spans="1:48" ht="15.75" customHeight="1">
      <c r="A435" s="21" t="s">
        <v>47</v>
      </c>
      <c r="B435" s="23" t="s">
        <v>1692</v>
      </c>
      <c r="C435" s="25">
        <v>45892</v>
      </c>
      <c r="D435" s="23" t="s">
        <v>184</v>
      </c>
      <c r="E435" s="23" t="s">
        <v>94</v>
      </c>
      <c r="F435" s="14">
        <v>1</v>
      </c>
      <c r="G435" s="12">
        <f>VLOOKUP(E435,Precios!B$2:N$941,12,FALSE)</f>
        <v>1650.3649635036495</v>
      </c>
      <c r="H435" s="12">
        <f t="shared" si="0"/>
        <v>1650.3649635036495</v>
      </c>
      <c r="I435" s="23" t="s">
        <v>52</v>
      </c>
      <c r="J435" s="23" t="s">
        <v>61</v>
      </c>
      <c r="K435" s="24" t="s">
        <v>177</v>
      </c>
      <c r="L435" s="24">
        <v>174</v>
      </c>
      <c r="M435" s="12">
        <f t="shared" ref="M435:N435" si="440">G435/1.19</f>
        <v>1386.861313868613</v>
      </c>
      <c r="N435" s="12">
        <f t="shared" si="440"/>
        <v>1386.861313868613</v>
      </c>
      <c r="O435" s="12">
        <f t="shared" si="2"/>
        <v>263.50364963503648</v>
      </c>
      <c r="P435" s="13"/>
      <c r="Q435" s="14">
        <f t="shared" si="3"/>
        <v>2025</v>
      </c>
      <c r="R435" s="15">
        <f>VLOOKUP(MONTH(C435),'Datos Maestros'!M$2:N$14,2,FALSE)</f>
        <v>45505</v>
      </c>
      <c r="S435" s="11" t="str">
        <f>VLOOKUP(E435,Precios!B$2:W$941,3,FALSE)</f>
        <v>Jabon Liquido</v>
      </c>
      <c r="T435" s="16">
        <f>VLOOKUP(E435,Precios!B$2:N$941,4,FALSE)*F435</f>
        <v>0</v>
      </c>
      <c r="U435" s="17"/>
      <c r="V435" s="12">
        <f>VLOOKUP(E435,Precios!B$2:N$941,13,FALSE)*F435</f>
        <v>436.86131386861302</v>
      </c>
      <c r="W435" s="12">
        <f t="shared" si="4"/>
        <v>436.86131386861302</v>
      </c>
      <c r="X435" s="12">
        <f>VLOOKUP(B435,'Datos Maestros'!$C$2:$D$7,2,FALSE)*V435</f>
        <v>0</v>
      </c>
      <c r="Y435" s="18">
        <f t="shared" si="5"/>
        <v>45887</v>
      </c>
      <c r="Z435" s="13" t="s">
        <v>39</v>
      </c>
      <c r="AA435" s="19" t="str">
        <f>VLOOKUP(D435,Clientes!$A$2:$J$486,9,FALSE)</f>
        <v>Frecuente</v>
      </c>
      <c r="AB435" s="13" t="str">
        <f>VLOOKUP(D435,Clientes!$A$2:$K$486,11,FALSE)</f>
        <v>Persona Natural</v>
      </c>
      <c r="AC435" s="13" t="str">
        <f>VLOOKUP(D435,Clientes!$A$2:$B$486,2,FALSE)</f>
        <v>Jardin del Eden</v>
      </c>
      <c r="AD435" s="20"/>
      <c r="AE435" s="20"/>
      <c r="AF435" s="13" t="s">
        <v>40</v>
      </c>
      <c r="AG435" s="15">
        <f t="shared" si="6"/>
        <v>45505</v>
      </c>
      <c r="AH435" s="13" t="s">
        <v>41</v>
      </c>
      <c r="AI435" s="13" t="str">
        <f t="shared" si="7"/>
        <v>Articulos de Aseo</v>
      </c>
      <c r="AJ435" s="13" t="str">
        <f>VLOOKUP(E435,Precios!Z$2:AA$941,2,FALSE)</f>
        <v>Jabón Lìquido BALLERINA</v>
      </c>
      <c r="AK435" s="14">
        <f>VLOOKUP(E435,Precios!Z$2:BB$941,3,FALSE)*F435</f>
        <v>-3</v>
      </c>
      <c r="AL435" s="17"/>
      <c r="AM435" s="17"/>
      <c r="AN435" s="17"/>
      <c r="AO435" s="17"/>
      <c r="AP435" s="17"/>
      <c r="AQ435" s="17"/>
      <c r="AR435" s="17"/>
      <c r="AS435" s="17"/>
      <c r="AT435" s="17"/>
      <c r="AU435" s="17"/>
      <c r="AV435" s="17"/>
    </row>
    <row r="436" spans="1:48" ht="15.75" customHeight="1">
      <c r="A436" s="21" t="s">
        <v>53</v>
      </c>
      <c r="B436" s="23" t="s">
        <v>1692</v>
      </c>
      <c r="C436" s="25">
        <v>45892</v>
      </c>
      <c r="D436" s="23" t="s">
        <v>184</v>
      </c>
      <c r="E436" s="23" t="s">
        <v>97</v>
      </c>
      <c r="F436" s="14">
        <v>1</v>
      </c>
      <c r="G436" s="12">
        <f>VLOOKUP(E436,Precios!B$2:N$941,12,FALSE)</f>
        <v>16500.236769693482</v>
      </c>
      <c r="H436" s="12">
        <f t="shared" si="0"/>
        <v>16500.236769693482</v>
      </c>
      <c r="I436" s="23" t="s">
        <v>52</v>
      </c>
      <c r="J436" s="23" t="s">
        <v>61</v>
      </c>
      <c r="K436" s="24" t="s">
        <v>177</v>
      </c>
      <c r="L436" s="24">
        <v>174</v>
      </c>
      <c r="M436" s="12">
        <f t="shared" ref="M436:N436" si="441">G436/1.19</f>
        <v>13865.745184616371</v>
      </c>
      <c r="N436" s="12">
        <f t="shared" si="441"/>
        <v>13865.745184616371</v>
      </c>
      <c r="O436" s="12">
        <f t="shared" si="2"/>
        <v>2634.4915850771104</v>
      </c>
      <c r="P436" s="13"/>
      <c r="Q436" s="14">
        <f t="shared" si="3"/>
        <v>2025</v>
      </c>
      <c r="R436" s="15">
        <f>VLOOKUP(MONTH(C436),'Datos Maestros'!M$2:N$14,2,FALSE)</f>
        <v>45505</v>
      </c>
      <c r="S436" s="11" t="str">
        <f>VLOOKUP(E436,Precios!B$2:W$941,3,FALSE)</f>
        <v>Papel Higiénico ELITE</v>
      </c>
      <c r="T436" s="16">
        <f>VLOOKUP(E436,Precios!B$2:N$941,4,FALSE)*F436</f>
        <v>0</v>
      </c>
      <c r="U436" s="17"/>
      <c r="V436" s="12">
        <f>VLOOKUP(E436,Precios!B$2:N$941,13,FALSE)*F436</f>
        <v>3031.7451846163694</v>
      </c>
      <c r="W436" s="12">
        <f t="shared" si="4"/>
        <v>3031.7451846163694</v>
      </c>
      <c r="X436" s="12">
        <f>VLOOKUP(B436,'Datos Maestros'!$C$2:$D$7,2,FALSE)*V436</f>
        <v>0</v>
      </c>
      <c r="Y436" s="18">
        <f t="shared" si="5"/>
        <v>45887</v>
      </c>
      <c r="Z436" s="13" t="s">
        <v>39</v>
      </c>
      <c r="AA436" s="19" t="str">
        <f>VLOOKUP(D436,Clientes!$A$2:$J$486,9,FALSE)</f>
        <v>Frecuente</v>
      </c>
      <c r="AB436" s="13" t="str">
        <f>VLOOKUP(D436,Clientes!$A$2:$K$486,11,FALSE)</f>
        <v>Persona Natural</v>
      </c>
      <c r="AC436" s="13" t="str">
        <f>VLOOKUP(D436,Clientes!$A$2:$B$486,2,FALSE)</f>
        <v>Jardin del Eden</v>
      </c>
      <c r="AD436" s="20"/>
      <c r="AE436" s="20"/>
      <c r="AF436" s="13" t="s">
        <v>40</v>
      </c>
      <c r="AG436" s="15">
        <f t="shared" si="6"/>
        <v>45505</v>
      </c>
      <c r="AH436" s="13" t="s">
        <v>41</v>
      </c>
      <c r="AI436" s="13" t="str">
        <f t="shared" si="7"/>
        <v>Papeleria</v>
      </c>
      <c r="AJ436" s="13" t="str">
        <f>VLOOKUP(E436,Precios!Z$2:AA$941,2,FALSE)</f>
        <v>Papel Higienico ELITE 50 metros</v>
      </c>
      <c r="AK436" s="14">
        <f>VLOOKUP(E436,Precios!Z$2:BB$941,3,FALSE)*F436</f>
        <v>-6</v>
      </c>
      <c r="AL436" s="17"/>
      <c r="AM436" s="17"/>
      <c r="AN436" s="17"/>
      <c r="AO436" s="17"/>
      <c r="AP436" s="17"/>
      <c r="AQ436" s="17"/>
      <c r="AR436" s="17"/>
      <c r="AS436" s="17"/>
      <c r="AT436" s="17"/>
      <c r="AU436" s="17"/>
      <c r="AV436" s="17"/>
    </row>
    <row r="437" spans="1:48" ht="15.75" customHeight="1">
      <c r="A437" s="21" t="s">
        <v>53</v>
      </c>
      <c r="B437" s="23" t="s">
        <v>1692</v>
      </c>
      <c r="C437" s="25">
        <v>45892</v>
      </c>
      <c r="D437" s="23" t="s">
        <v>184</v>
      </c>
      <c r="E437" s="23" t="s">
        <v>254</v>
      </c>
      <c r="F437" s="14">
        <v>1</v>
      </c>
      <c r="G437" s="12">
        <f>VLOOKUP(E437,Precios!B$2:N$941,12,FALSE)</f>
        <v>18499.838306629426</v>
      </c>
      <c r="H437" s="12">
        <f t="shared" si="0"/>
        <v>18499.838306629426</v>
      </c>
      <c r="I437" s="23" t="s">
        <v>52</v>
      </c>
      <c r="J437" s="23" t="s">
        <v>61</v>
      </c>
      <c r="K437" s="24" t="s">
        <v>177</v>
      </c>
      <c r="L437" s="24">
        <v>174</v>
      </c>
      <c r="M437" s="12">
        <f t="shared" ref="M437:N437" si="442">G437/1.19</f>
        <v>15546.082610612964</v>
      </c>
      <c r="N437" s="12">
        <f t="shared" si="442"/>
        <v>15546.082610612964</v>
      </c>
      <c r="O437" s="12">
        <f t="shared" si="2"/>
        <v>2953.755696016462</v>
      </c>
      <c r="P437" s="13"/>
      <c r="Q437" s="14">
        <f t="shared" si="3"/>
        <v>2025</v>
      </c>
      <c r="R437" s="15">
        <f>VLOOKUP(MONTH(C437),'Datos Maestros'!M$2:N$14,2,FALSE)</f>
        <v>45505</v>
      </c>
      <c r="S437" s="11" t="str">
        <f>VLOOKUP(E437,Precios!B$2:W$941,3,FALSE)</f>
        <v>Toalla Papel SWAN</v>
      </c>
      <c r="T437" s="16">
        <f>VLOOKUP(E437,Precios!B$2:N$941,4,FALSE)*F437</f>
        <v>100</v>
      </c>
      <c r="U437" s="17"/>
      <c r="V437" s="12">
        <f>VLOOKUP(E437,Precios!B$2:N$941,13,FALSE)*F437</f>
        <v>4970.0826106129643</v>
      </c>
      <c r="W437" s="12">
        <f t="shared" si="4"/>
        <v>4970.0826106129643</v>
      </c>
      <c r="X437" s="12">
        <f>VLOOKUP(B437,'Datos Maestros'!$C$2:$D$7,2,FALSE)*V437</f>
        <v>0</v>
      </c>
      <c r="Y437" s="18">
        <f t="shared" si="5"/>
        <v>45887</v>
      </c>
      <c r="Z437" s="13" t="s">
        <v>39</v>
      </c>
      <c r="AA437" s="19" t="str">
        <f>VLOOKUP(D437,Clientes!$A$2:$J$486,9,FALSE)</f>
        <v>Frecuente</v>
      </c>
      <c r="AB437" s="13" t="str">
        <f>VLOOKUP(D437,Clientes!$A$2:$K$486,11,FALSE)</f>
        <v>Persona Natural</v>
      </c>
      <c r="AC437" s="13" t="str">
        <f>VLOOKUP(D437,Clientes!$A$2:$B$486,2,FALSE)</f>
        <v>Jardin del Eden</v>
      </c>
      <c r="AD437" s="20"/>
      <c r="AE437" s="20"/>
      <c r="AF437" s="13" t="s">
        <v>40</v>
      </c>
      <c r="AG437" s="15">
        <f t="shared" si="6"/>
        <v>45505</v>
      </c>
      <c r="AH437" s="13" t="s">
        <v>41</v>
      </c>
      <c r="AI437" s="13" t="str">
        <f t="shared" si="7"/>
        <v>Papeleria</v>
      </c>
      <c r="AJ437" s="13" t="str">
        <f>VLOOKUP(E437,Precios!Z$2:AA$941,2,FALSE)</f>
        <v>Toalla Papel SWAN D/H NARANJA 100 metros</v>
      </c>
      <c r="AK437" s="14">
        <f>VLOOKUP(E437,Precios!Z$2:BB$941,3,FALSE)*F437</f>
        <v>-6</v>
      </c>
      <c r="AL437" s="17"/>
      <c r="AM437" s="17"/>
      <c r="AN437" s="17"/>
      <c r="AO437" s="17"/>
      <c r="AP437" s="17"/>
      <c r="AQ437" s="17"/>
      <c r="AR437" s="17"/>
      <c r="AS437" s="17"/>
      <c r="AT437" s="17"/>
      <c r="AU437" s="17"/>
      <c r="AV437" s="17"/>
    </row>
    <row r="438" spans="1:48" ht="15.75" customHeight="1">
      <c r="A438" s="21" t="s">
        <v>43</v>
      </c>
      <c r="B438" s="23" t="s">
        <v>1692</v>
      </c>
      <c r="C438" s="22">
        <v>45892</v>
      </c>
      <c r="D438" s="23" t="s">
        <v>241</v>
      </c>
      <c r="E438" s="23" t="s">
        <v>45</v>
      </c>
      <c r="F438" s="21">
        <v>2</v>
      </c>
      <c r="G438" s="12">
        <f>VLOOKUP(E438,Precios!B$2:N$941,12,FALSE)</f>
        <v>8000.1831784723063</v>
      </c>
      <c r="H438" s="12">
        <f t="shared" si="0"/>
        <v>16000.366356944613</v>
      </c>
      <c r="I438" s="23" t="s">
        <v>52</v>
      </c>
      <c r="J438" s="23" t="s">
        <v>61</v>
      </c>
      <c r="K438" s="24" t="s">
        <v>177</v>
      </c>
      <c r="L438" s="24">
        <v>174</v>
      </c>
      <c r="M438" s="12">
        <f t="shared" ref="M438:N438" si="443">G438/1.19</f>
        <v>6722.8430071195853</v>
      </c>
      <c r="N438" s="12">
        <f t="shared" si="443"/>
        <v>13445.686014239171</v>
      </c>
      <c r="O438" s="12">
        <f t="shared" si="2"/>
        <v>2554.6803427054419</v>
      </c>
      <c r="P438" s="13"/>
      <c r="Q438" s="14">
        <f t="shared" si="3"/>
        <v>2025</v>
      </c>
      <c r="R438" s="15">
        <f>VLOOKUP(MONTH(C438),'Datos Maestros'!M$2:N$14,2,FALSE)</f>
        <v>45505</v>
      </c>
      <c r="S438" s="11" t="str">
        <f>VLOOKUP(E438,Precios!B$2:W$941,3,FALSE)</f>
        <v>Huevos EXTRA</v>
      </c>
      <c r="T438" s="16">
        <f>VLOOKUP(E438,Precios!B$2:N$941,4,FALSE)*F438</f>
        <v>0</v>
      </c>
      <c r="U438" s="17"/>
      <c r="V438" s="12">
        <f>VLOOKUP(E438,Precios!B$2:N$941,13,FALSE)*F438</f>
        <v>2303.2460142391701</v>
      </c>
      <c r="W438" s="12">
        <f t="shared" si="4"/>
        <v>2303.2460142391701</v>
      </c>
      <c r="X438" s="12">
        <f>VLOOKUP(B438,'Datos Maestros'!$C$2:$D$7,2,FALSE)*V438</f>
        <v>0</v>
      </c>
      <c r="Y438" s="18">
        <f t="shared" si="5"/>
        <v>45887</v>
      </c>
      <c r="Z438" s="13" t="s">
        <v>39</v>
      </c>
      <c r="AA438" s="19" t="str">
        <f>VLOOKUP(D438,Clientes!$A$2:$J$486,9,FALSE)</f>
        <v>Ocacional</v>
      </c>
      <c r="AB438" s="13" t="str">
        <f>VLOOKUP(D438,Clientes!$A$2:$K$486,11,FALSE)</f>
        <v>Persona Natural</v>
      </c>
      <c r="AC438" s="13" t="str">
        <f>VLOOKUP(D438,Clientes!$A$2:$B$486,2,FALSE)</f>
        <v>Colombia</v>
      </c>
      <c r="AD438" s="20"/>
      <c r="AE438" s="20"/>
      <c r="AF438" s="13" t="s">
        <v>40</v>
      </c>
      <c r="AG438" s="15">
        <f t="shared" si="6"/>
        <v>45505</v>
      </c>
      <c r="AH438" s="13" t="s">
        <v>41</v>
      </c>
      <c r="AI438" s="13" t="str">
        <f t="shared" si="7"/>
        <v>Huevos</v>
      </c>
      <c r="AJ438" s="13" t="str">
        <f>VLOOKUP(E438,Precios!Z$2:AA$941,2,FALSE)</f>
        <v>Bandeja Huevos EXTRA</v>
      </c>
      <c r="AK438" s="14">
        <f>VLOOKUP(E438,Precios!Z$2:BB$941,3,FALSE)*F438</f>
        <v>-2</v>
      </c>
      <c r="AL438" s="17"/>
      <c r="AM438" s="17"/>
      <c r="AN438" s="17"/>
      <c r="AO438" s="17"/>
      <c r="AP438" s="17"/>
      <c r="AQ438" s="17"/>
      <c r="AR438" s="17"/>
      <c r="AS438" s="17"/>
      <c r="AT438" s="17"/>
      <c r="AU438" s="17"/>
      <c r="AV438" s="17"/>
    </row>
    <row r="439" spans="1:48" ht="15.75" customHeight="1">
      <c r="A439" s="21" t="s">
        <v>43</v>
      </c>
      <c r="B439" s="23" t="s">
        <v>1692</v>
      </c>
      <c r="C439" s="22">
        <v>45892</v>
      </c>
      <c r="D439" s="23" t="s">
        <v>291</v>
      </c>
      <c r="E439" s="23" t="s">
        <v>45</v>
      </c>
      <c r="F439" s="14">
        <v>1</v>
      </c>
      <c r="G439" s="12">
        <f>VLOOKUP(E439,Precios!B$2:N$941,12,FALSE)</f>
        <v>8000.1831784723063</v>
      </c>
      <c r="H439" s="12">
        <f t="shared" si="0"/>
        <v>8000.1831784723063</v>
      </c>
      <c r="I439" s="23" t="s">
        <v>52</v>
      </c>
      <c r="J439" s="23" t="s">
        <v>61</v>
      </c>
      <c r="K439" s="24" t="s">
        <v>177</v>
      </c>
      <c r="L439" s="24">
        <v>174</v>
      </c>
      <c r="M439" s="12">
        <f t="shared" ref="M439:N439" si="444">G439/1.19</f>
        <v>6722.8430071195853</v>
      </c>
      <c r="N439" s="12">
        <f t="shared" si="444"/>
        <v>6722.8430071195853</v>
      </c>
      <c r="O439" s="12">
        <f t="shared" si="2"/>
        <v>1277.340171352721</v>
      </c>
      <c r="P439" s="13"/>
      <c r="Q439" s="14">
        <f t="shared" si="3"/>
        <v>2025</v>
      </c>
      <c r="R439" s="15">
        <f>VLOOKUP(MONTH(C439),'Datos Maestros'!M$2:N$14,2,FALSE)</f>
        <v>45505</v>
      </c>
      <c r="S439" s="11" t="str">
        <f>VLOOKUP(E439,Precios!B$2:W$941,3,FALSE)</f>
        <v>Huevos EXTRA</v>
      </c>
      <c r="T439" s="16">
        <f>VLOOKUP(E439,Precios!B$2:N$941,4,FALSE)*F439</f>
        <v>0</v>
      </c>
      <c r="U439" s="17"/>
      <c r="V439" s="12">
        <f>VLOOKUP(E439,Precios!B$2:N$941,13,FALSE)*F439</f>
        <v>1151.6230071195851</v>
      </c>
      <c r="W439" s="12">
        <f t="shared" si="4"/>
        <v>1151.6230071195851</v>
      </c>
      <c r="X439" s="12">
        <f>VLOOKUP(B439,'Datos Maestros'!$C$2:$D$7,2,FALSE)*V439</f>
        <v>0</v>
      </c>
      <c r="Y439" s="18">
        <f t="shared" si="5"/>
        <v>45887</v>
      </c>
      <c r="Z439" s="13" t="s">
        <v>39</v>
      </c>
      <c r="AA439" s="19" t="str">
        <f>VLOOKUP(D439,Clientes!$A$2:$J$486,9,FALSE)</f>
        <v>Ocacional</v>
      </c>
      <c r="AB439" s="13" t="str">
        <f>VLOOKUP(D439,Clientes!$A$2:$K$486,11,FALSE)</f>
        <v>Persona Natural</v>
      </c>
      <c r="AC439" s="13" t="str">
        <f>VLOOKUP(D439,Clientes!$A$2:$B$486,2,FALSE)</f>
        <v>Jardin del eden</v>
      </c>
      <c r="AD439" s="20"/>
      <c r="AE439" s="20"/>
      <c r="AF439" s="13" t="s">
        <v>40</v>
      </c>
      <c r="AG439" s="15">
        <f t="shared" si="6"/>
        <v>45505</v>
      </c>
      <c r="AH439" s="13" t="s">
        <v>41</v>
      </c>
      <c r="AI439" s="13" t="str">
        <f t="shared" si="7"/>
        <v>Huevos</v>
      </c>
      <c r="AJ439" s="13" t="str">
        <f>VLOOKUP(E439,Precios!Z$2:AA$941,2,FALSE)</f>
        <v>Bandeja Huevos EXTRA</v>
      </c>
      <c r="AK439" s="14">
        <f>VLOOKUP(E439,Precios!Z$2:BB$941,3,FALSE)*F439</f>
        <v>-1</v>
      </c>
      <c r="AL439" s="17"/>
      <c r="AM439" s="17"/>
      <c r="AN439" s="17"/>
      <c r="AO439" s="17"/>
      <c r="AP439" s="17"/>
      <c r="AQ439" s="17"/>
      <c r="AR439" s="17"/>
      <c r="AS439" s="17"/>
      <c r="AT439" s="17"/>
      <c r="AU439" s="17"/>
      <c r="AV439" s="17"/>
    </row>
    <row r="440" spans="1:48" ht="15.75" customHeight="1">
      <c r="A440" s="21" t="s">
        <v>35</v>
      </c>
      <c r="B440" s="23" t="s">
        <v>1692</v>
      </c>
      <c r="C440" s="22">
        <v>45891</v>
      </c>
      <c r="D440" s="23" t="s">
        <v>292</v>
      </c>
      <c r="E440" s="23" t="s">
        <v>117</v>
      </c>
      <c r="F440" s="14">
        <v>1</v>
      </c>
      <c r="G440" s="12">
        <f>VLOOKUP(E440,Precios!B$2:N$941,12,FALSE)</f>
        <v>8999.8271341726922</v>
      </c>
      <c r="H440" s="12">
        <f t="shared" si="0"/>
        <v>8999.8271341726922</v>
      </c>
      <c r="I440" s="23" t="s">
        <v>52</v>
      </c>
      <c r="J440" s="23" t="s">
        <v>61</v>
      </c>
      <c r="K440" s="24" t="s">
        <v>177</v>
      </c>
      <c r="L440" s="24">
        <v>173</v>
      </c>
      <c r="M440" s="12">
        <f t="shared" ref="M440:N440" si="445">G440/1.19</f>
        <v>7562.8799446829353</v>
      </c>
      <c r="N440" s="12">
        <f t="shared" si="445"/>
        <v>7562.8799446829353</v>
      </c>
      <c r="O440" s="12">
        <f t="shared" si="2"/>
        <v>1436.947189489757</v>
      </c>
      <c r="P440" s="13"/>
      <c r="Q440" s="14">
        <f t="shared" si="3"/>
        <v>2025</v>
      </c>
      <c r="R440" s="15">
        <f>VLOOKUP(MONTH(C440),'Datos Maestros'!M$2:N$14,2,FALSE)</f>
        <v>45505</v>
      </c>
      <c r="S440" s="11" t="str">
        <f>VLOOKUP(E440,Precios!B$2:W$941,3,FALSE)</f>
        <v>Queso Mantecoso</v>
      </c>
      <c r="T440" s="16">
        <f>VLOOKUP(E440,Precios!B$2:N$941,4,FALSE)*F440</f>
        <v>750</v>
      </c>
      <c r="U440" s="17"/>
      <c r="V440" s="12">
        <f>VLOOKUP(E440,Precios!B$2:N$941,13,FALSE)*F440</f>
        <v>2312.8799446829353</v>
      </c>
      <c r="W440" s="12">
        <f t="shared" si="4"/>
        <v>2312.8799446829353</v>
      </c>
      <c r="X440" s="12">
        <f>VLOOKUP(B440,'Datos Maestros'!$C$2:$D$7,2,FALSE)*V440</f>
        <v>0</v>
      </c>
      <c r="Y440" s="18">
        <f t="shared" si="5"/>
        <v>45887</v>
      </c>
      <c r="Z440" s="13" t="s">
        <v>39</v>
      </c>
      <c r="AA440" s="19" t="str">
        <f>VLOOKUP(D440,Clientes!$A$2:$J$486,9,FALSE)</f>
        <v>Regular</v>
      </c>
      <c r="AB440" s="13" t="str">
        <f>VLOOKUP(D440,Clientes!$A$2:$K$486,11,FALSE)</f>
        <v>Persona Natural</v>
      </c>
      <c r="AC440" s="13" t="str">
        <f>VLOOKUP(D440,Clientes!$A$2:$B$486,2,FALSE)</f>
        <v>Jardines de la viña</v>
      </c>
      <c r="AD440" s="20"/>
      <c r="AE440" s="20"/>
      <c r="AF440" s="13" t="s">
        <v>40</v>
      </c>
      <c r="AG440" s="15">
        <f t="shared" si="6"/>
        <v>45505</v>
      </c>
      <c r="AH440" s="13" t="s">
        <v>41</v>
      </c>
      <c r="AI440" s="13" t="str">
        <f t="shared" si="7"/>
        <v>Quesos</v>
      </c>
      <c r="AJ440" s="13" t="str">
        <f>VLOOKUP(E440,Precios!Z$2:AA$941,2,FALSE)</f>
        <v>Queso RUNCA Laminado Mantecoso</v>
      </c>
      <c r="AK440" s="14">
        <f>VLOOKUP(E440,Precios!Z$2:BB$941,3,FALSE)*F440</f>
        <v>-0.75</v>
      </c>
      <c r="AL440" s="17"/>
      <c r="AM440" s="17"/>
      <c r="AN440" s="17"/>
      <c r="AO440" s="17"/>
      <c r="AP440" s="17"/>
      <c r="AQ440" s="17"/>
      <c r="AR440" s="17"/>
      <c r="AS440" s="17"/>
      <c r="AT440" s="17"/>
      <c r="AU440" s="17"/>
      <c r="AV440" s="17"/>
    </row>
    <row r="441" spans="1:48" ht="15.75" customHeight="1">
      <c r="A441" s="14" t="s">
        <v>43</v>
      </c>
      <c r="B441" s="23" t="s">
        <v>1692</v>
      </c>
      <c r="C441" s="22">
        <v>45891</v>
      </c>
      <c r="D441" s="23" t="s">
        <v>292</v>
      </c>
      <c r="E441" s="13" t="s">
        <v>45</v>
      </c>
      <c r="F441" s="14">
        <v>1</v>
      </c>
      <c r="G441" s="12">
        <f>VLOOKUP(E441,Precios!B$2:N$941,12,FALSE)</f>
        <v>8000.1831784723063</v>
      </c>
      <c r="H441" s="12">
        <f t="shared" si="0"/>
        <v>8000.1831784723063</v>
      </c>
      <c r="I441" s="23" t="s">
        <v>52</v>
      </c>
      <c r="J441" s="23" t="s">
        <v>61</v>
      </c>
      <c r="K441" s="24" t="s">
        <v>177</v>
      </c>
      <c r="L441" s="24">
        <v>173</v>
      </c>
      <c r="M441" s="12">
        <f t="shared" ref="M441:N441" si="446">G441/1.19</f>
        <v>6722.8430071195853</v>
      </c>
      <c r="N441" s="12">
        <f t="shared" si="446"/>
        <v>6722.8430071195853</v>
      </c>
      <c r="O441" s="12">
        <f t="shared" si="2"/>
        <v>1277.340171352721</v>
      </c>
      <c r="P441" s="13"/>
      <c r="Q441" s="14">
        <f t="shared" si="3"/>
        <v>2025</v>
      </c>
      <c r="R441" s="15">
        <f>VLOOKUP(MONTH(C441),'Datos Maestros'!M$2:N$14,2,FALSE)</f>
        <v>45505</v>
      </c>
      <c r="S441" s="11" t="str">
        <f>VLOOKUP(E441,Precios!B$2:W$941,3,FALSE)</f>
        <v>Huevos EXTRA</v>
      </c>
      <c r="T441" s="16">
        <f>VLOOKUP(E441,Precios!B$2:N$941,4,FALSE)*F441</f>
        <v>0</v>
      </c>
      <c r="U441" s="17"/>
      <c r="V441" s="12">
        <f>VLOOKUP(E441,Precios!B$2:N$941,13,FALSE)*F441</f>
        <v>1151.6230071195851</v>
      </c>
      <c r="W441" s="12">
        <f t="shared" si="4"/>
        <v>1151.6230071195851</v>
      </c>
      <c r="X441" s="12">
        <f>VLOOKUP(B441,'Datos Maestros'!$C$2:$D$7,2,FALSE)*V441</f>
        <v>0</v>
      </c>
      <c r="Y441" s="18">
        <f t="shared" si="5"/>
        <v>45887</v>
      </c>
      <c r="Z441" s="13" t="s">
        <v>39</v>
      </c>
      <c r="AA441" s="19" t="str">
        <f>VLOOKUP(D441,Clientes!$A$2:$J$486,9,FALSE)</f>
        <v>Regular</v>
      </c>
      <c r="AB441" s="13" t="str">
        <f>VLOOKUP(D441,Clientes!$A$2:$K$486,11,FALSE)</f>
        <v>Persona Natural</v>
      </c>
      <c r="AC441" s="13" t="str">
        <f>VLOOKUP(D441,Clientes!$A$2:$B$486,2,FALSE)</f>
        <v>Jardines de la viña</v>
      </c>
      <c r="AD441" s="20"/>
      <c r="AE441" s="20"/>
      <c r="AF441" s="13" t="s">
        <v>40</v>
      </c>
      <c r="AG441" s="15">
        <f t="shared" si="6"/>
        <v>45505</v>
      </c>
      <c r="AH441" s="13" t="s">
        <v>41</v>
      </c>
      <c r="AI441" s="13" t="str">
        <f t="shared" si="7"/>
        <v>Huevos</v>
      </c>
      <c r="AJ441" s="13" t="str">
        <f>VLOOKUP(E441,Precios!Z$2:AA$941,2,FALSE)</f>
        <v>Bandeja Huevos EXTRA</v>
      </c>
      <c r="AK441" s="14">
        <f>VLOOKUP(E441,Precios!Z$2:BB$941,3,FALSE)*F441</f>
        <v>-1</v>
      </c>
      <c r="AL441" s="17"/>
      <c r="AM441" s="17"/>
      <c r="AN441" s="17"/>
      <c r="AO441" s="17"/>
      <c r="AP441" s="17"/>
      <c r="AQ441" s="17"/>
      <c r="AR441" s="17"/>
      <c r="AS441" s="17"/>
      <c r="AT441" s="17"/>
      <c r="AU441" s="17"/>
      <c r="AV441" s="17"/>
    </row>
    <row r="442" spans="1:48" ht="15.75" customHeight="1">
      <c r="A442" s="14" t="s">
        <v>43</v>
      </c>
      <c r="B442" s="23" t="s">
        <v>1692</v>
      </c>
      <c r="C442" s="22">
        <v>45891</v>
      </c>
      <c r="D442" s="23" t="s">
        <v>915</v>
      </c>
      <c r="E442" s="13" t="s">
        <v>45</v>
      </c>
      <c r="F442" s="14">
        <v>1</v>
      </c>
      <c r="G442" s="12">
        <f>VLOOKUP(E442,Precios!B$2:N$941,12,FALSE)</f>
        <v>8000.1831784723063</v>
      </c>
      <c r="H442" s="12">
        <f t="shared" si="0"/>
        <v>8000.1831784723063</v>
      </c>
      <c r="I442" s="23" t="s">
        <v>52</v>
      </c>
      <c r="J442" s="23" t="s">
        <v>38</v>
      </c>
      <c r="K442" s="24" t="s">
        <v>177</v>
      </c>
      <c r="L442" s="24">
        <v>173</v>
      </c>
      <c r="M442" s="12">
        <f t="shared" ref="M442:N442" si="447">G442/1.19</f>
        <v>6722.8430071195853</v>
      </c>
      <c r="N442" s="12">
        <f t="shared" si="447"/>
        <v>6722.8430071195853</v>
      </c>
      <c r="O442" s="12">
        <f t="shared" si="2"/>
        <v>1277.340171352721</v>
      </c>
      <c r="P442" s="13"/>
      <c r="Q442" s="14">
        <f t="shared" si="3"/>
        <v>2025</v>
      </c>
      <c r="R442" s="15">
        <f>VLOOKUP(MONTH(C442),'Datos Maestros'!M$2:N$14,2,FALSE)</f>
        <v>45505</v>
      </c>
      <c r="S442" s="11" t="str">
        <f>VLOOKUP(E442,Precios!B$2:W$941,3,FALSE)</f>
        <v>Huevos EXTRA</v>
      </c>
      <c r="T442" s="16">
        <f>VLOOKUP(E442,Precios!B$2:N$941,4,FALSE)*F442</f>
        <v>0</v>
      </c>
      <c r="U442" s="17"/>
      <c r="V442" s="12">
        <f>VLOOKUP(E442,Precios!B$2:N$941,13,FALSE)*F442</f>
        <v>1151.6230071195851</v>
      </c>
      <c r="W442" s="12">
        <f t="shared" si="4"/>
        <v>1151.6230071195851</v>
      </c>
      <c r="X442" s="12">
        <f>VLOOKUP(B442,'Datos Maestros'!$C$2:$D$7,2,FALSE)*V442</f>
        <v>0</v>
      </c>
      <c r="Y442" s="18">
        <f t="shared" si="5"/>
        <v>45887</v>
      </c>
      <c r="Z442" s="13" t="s">
        <v>39</v>
      </c>
      <c r="AA442" s="19" t="str">
        <f>VLOOKUP(D442,Clientes!$A$2:$J$486,9,FALSE)</f>
        <v>Regular</v>
      </c>
      <c r="AB442" s="13" t="str">
        <f>VLOOKUP(D442,Clientes!$A$2:$K$486,11,FALSE)</f>
        <v>Persona Natural</v>
      </c>
      <c r="AC442" s="13" t="str">
        <f>VLOOKUP(D442,Clientes!$A$2:$B$486,2,FALSE)</f>
        <v>Jardin del Eden</v>
      </c>
      <c r="AD442" s="20"/>
      <c r="AE442" s="20"/>
      <c r="AF442" s="13" t="s">
        <v>40</v>
      </c>
      <c r="AG442" s="15">
        <f t="shared" si="6"/>
        <v>45505</v>
      </c>
      <c r="AH442" s="13" t="s">
        <v>41</v>
      </c>
      <c r="AI442" s="13" t="str">
        <f t="shared" si="7"/>
        <v>Huevos</v>
      </c>
      <c r="AJ442" s="13" t="str">
        <f>VLOOKUP(E442,Precios!Z$2:AA$941,2,FALSE)</f>
        <v>Bandeja Huevos EXTRA</v>
      </c>
      <c r="AK442" s="14">
        <f>VLOOKUP(E442,Precios!Z$2:BB$941,3,FALSE)*F442</f>
        <v>-1</v>
      </c>
      <c r="AL442" s="17"/>
      <c r="AM442" s="17"/>
      <c r="AN442" s="17"/>
      <c r="AO442" s="17"/>
      <c r="AP442" s="17"/>
      <c r="AQ442" s="17"/>
      <c r="AR442" s="17"/>
      <c r="AS442" s="17"/>
      <c r="AT442" s="17"/>
      <c r="AU442" s="17"/>
      <c r="AV442" s="17"/>
    </row>
    <row r="443" spans="1:48" ht="15.75" customHeight="1">
      <c r="A443" s="21" t="s">
        <v>43</v>
      </c>
      <c r="B443" s="23" t="s">
        <v>1692</v>
      </c>
      <c r="C443" s="22">
        <v>45890</v>
      </c>
      <c r="D443" s="23" t="s">
        <v>293</v>
      </c>
      <c r="E443" s="23" t="s">
        <v>45</v>
      </c>
      <c r="F443" s="21">
        <v>1</v>
      </c>
      <c r="G443" s="12">
        <f>VLOOKUP(E443,Precios!B$2:N$941,12,FALSE)</f>
        <v>8000.1831784723063</v>
      </c>
      <c r="H443" s="12">
        <f t="shared" si="0"/>
        <v>8000.1831784723063</v>
      </c>
      <c r="I443" s="23" t="s">
        <v>52</v>
      </c>
      <c r="J443" s="23" t="s">
        <v>61</v>
      </c>
      <c r="K443" s="24" t="s">
        <v>177</v>
      </c>
      <c r="L443" s="24">
        <v>173</v>
      </c>
      <c r="M443" s="12">
        <f t="shared" ref="M443:N443" si="448">G443/1.19</f>
        <v>6722.8430071195853</v>
      </c>
      <c r="N443" s="12">
        <f t="shared" si="448"/>
        <v>6722.8430071195853</v>
      </c>
      <c r="O443" s="12">
        <f t="shared" si="2"/>
        <v>1277.340171352721</v>
      </c>
      <c r="P443" s="13"/>
      <c r="Q443" s="14">
        <f t="shared" si="3"/>
        <v>2025</v>
      </c>
      <c r="R443" s="15">
        <f>VLOOKUP(MONTH(C443),'Datos Maestros'!M$2:N$14,2,FALSE)</f>
        <v>45505</v>
      </c>
      <c r="S443" s="11" t="str">
        <f>VLOOKUP(E443,Precios!B$2:W$941,3,FALSE)</f>
        <v>Huevos EXTRA</v>
      </c>
      <c r="T443" s="16">
        <f>VLOOKUP(E443,Precios!B$2:N$941,4,FALSE)*F443</f>
        <v>0</v>
      </c>
      <c r="U443" s="17"/>
      <c r="V443" s="12">
        <f>VLOOKUP(E443,Precios!B$2:N$941,13,FALSE)*F443</f>
        <v>1151.6230071195851</v>
      </c>
      <c r="W443" s="12">
        <f t="shared" si="4"/>
        <v>1151.6230071195851</v>
      </c>
      <c r="X443" s="12">
        <f>VLOOKUP(B443,'Datos Maestros'!$C$2:$D$7,2,FALSE)*V443</f>
        <v>0</v>
      </c>
      <c r="Y443" s="18">
        <f t="shared" si="5"/>
        <v>45887</v>
      </c>
      <c r="Z443" s="13" t="s">
        <v>39</v>
      </c>
      <c r="AA443" s="19" t="str">
        <f>VLOOKUP(D443,Clientes!$A$2:$J$486,9,FALSE)</f>
        <v>Ocacional</v>
      </c>
      <c r="AB443" s="13" t="str">
        <f>VLOOKUP(D443,Clientes!$A$2:$K$486,11,FALSE)</f>
        <v>persona Natural</v>
      </c>
      <c r="AC443" s="13" t="str">
        <f>VLOOKUP(D443,Clientes!$A$2:$B$486,2,FALSE)</f>
        <v>Jardin del eden</v>
      </c>
      <c r="AD443" s="20"/>
      <c r="AE443" s="20"/>
      <c r="AF443" s="13" t="s">
        <v>40</v>
      </c>
      <c r="AG443" s="15">
        <f t="shared" si="6"/>
        <v>45505</v>
      </c>
      <c r="AH443" s="13" t="s">
        <v>41</v>
      </c>
      <c r="AI443" s="13" t="str">
        <f t="shared" si="7"/>
        <v>Huevos</v>
      </c>
      <c r="AJ443" s="13" t="str">
        <f>VLOOKUP(E443,Precios!Z$2:AA$941,2,FALSE)</f>
        <v>Bandeja Huevos EXTRA</v>
      </c>
      <c r="AK443" s="14">
        <f>VLOOKUP(E443,Precios!Z$2:BB$941,3,FALSE)*F443</f>
        <v>-1</v>
      </c>
      <c r="AL443" s="17"/>
      <c r="AM443" s="17"/>
      <c r="AN443" s="17"/>
      <c r="AO443" s="17"/>
      <c r="AP443" s="17"/>
      <c r="AQ443" s="17"/>
      <c r="AR443" s="17"/>
      <c r="AS443" s="17"/>
      <c r="AT443" s="17"/>
      <c r="AU443" s="17"/>
      <c r="AV443" s="17"/>
    </row>
    <row r="444" spans="1:48" ht="15.75" customHeight="1">
      <c r="A444" s="21" t="s">
        <v>43</v>
      </c>
      <c r="B444" s="23" t="s">
        <v>1692</v>
      </c>
      <c r="C444" s="22">
        <v>45890</v>
      </c>
      <c r="D444" s="23" t="s">
        <v>219</v>
      </c>
      <c r="E444" s="23" t="s">
        <v>45</v>
      </c>
      <c r="F444" s="21">
        <v>2</v>
      </c>
      <c r="G444" s="12">
        <f>VLOOKUP(E444,Precios!B$2:N$941,12,FALSE)</f>
        <v>8000.1831784723063</v>
      </c>
      <c r="H444" s="12">
        <f t="shared" si="0"/>
        <v>16000.366356944613</v>
      </c>
      <c r="I444" s="23" t="s">
        <v>52</v>
      </c>
      <c r="J444" s="23" t="s">
        <v>61</v>
      </c>
      <c r="K444" s="24" t="s">
        <v>177</v>
      </c>
      <c r="L444" s="24">
        <v>173</v>
      </c>
      <c r="M444" s="12">
        <f t="shared" ref="M444:N444" si="449">G444/1.19</f>
        <v>6722.8430071195853</v>
      </c>
      <c r="N444" s="12">
        <f t="shared" si="449"/>
        <v>13445.686014239171</v>
      </c>
      <c r="O444" s="12">
        <f t="shared" si="2"/>
        <v>2554.6803427054419</v>
      </c>
      <c r="P444" s="13"/>
      <c r="Q444" s="14">
        <f t="shared" si="3"/>
        <v>2025</v>
      </c>
      <c r="R444" s="15">
        <f>VLOOKUP(MONTH(C444),'Datos Maestros'!M$2:N$14,2,FALSE)</f>
        <v>45505</v>
      </c>
      <c r="S444" s="11" t="str">
        <f>VLOOKUP(E444,Precios!B$2:W$941,3,FALSE)</f>
        <v>Huevos EXTRA</v>
      </c>
      <c r="T444" s="16">
        <f>VLOOKUP(E444,Precios!B$2:N$941,4,FALSE)*F444</f>
        <v>0</v>
      </c>
      <c r="U444" s="17"/>
      <c r="V444" s="12">
        <f>VLOOKUP(E444,Precios!B$2:N$941,13,FALSE)*F444</f>
        <v>2303.2460142391701</v>
      </c>
      <c r="W444" s="12">
        <f t="shared" si="4"/>
        <v>2303.2460142391701</v>
      </c>
      <c r="X444" s="12">
        <f>VLOOKUP(B444,'Datos Maestros'!$C$2:$D$7,2,FALSE)*V444</f>
        <v>0</v>
      </c>
      <c r="Y444" s="18">
        <f t="shared" si="5"/>
        <v>45887</v>
      </c>
      <c r="Z444" s="13" t="s">
        <v>39</v>
      </c>
      <c r="AA444" s="19" t="str">
        <f>VLOOKUP(D444,Clientes!$A$2:$J$486,9,FALSE)</f>
        <v>Ocacional</v>
      </c>
      <c r="AB444" s="13" t="str">
        <f>VLOOKUP(D444,Clientes!$A$2:$K$486,11,FALSE)</f>
        <v>Persona Natural</v>
      </c>
      <c r="AC444" s="13" t="str">
        <f>VLOOKUP(D444,Clientes!$A$2:$B$486,2,FALSE)</f>
        <v>Jardines de la Viña</v>
      </c>
      <c r="AD444" s="20"/>
      <c r="AE444" s="20"/>
      <c r="AF444" s="13" t="s">
        <v>40</v>
      </c>
      <c r="AG444" s="15">
        <f t="shared" si="6"/>
        <v>45505</v>
      </c>
      <c r="AH444" s="13" t="s">
        <v>41</v>
      </c>
      <c r="AI444" s="13" t="str">
        <f t="shared" si="7"/>
        <v>Huevos</v>
      </c>
      <c r="AJ444" s="13" t="str">
        <f>VLOOKUP(E444,Precios!Z$2:AA$941,2,FALSE)</f>
        <v>Bandeja Huevos EXTRA</v>
      </c>
      <c r="AK444" s="14">
        <f>VLOOKUP(E444,Precios!Z$2:BB$941,3,FALSE)*F444</f>
        <v>-2</v>
      </c>
      <c r="AL444" s="17"/>
      <c r="AM444" s="17"/>
      <c r="AN444" s="17"/>
      <c r="AO444" s="17"/>
      <c r="AP444" s="17"/>
      <c r="AQ444" s="17"/>
      <c r="AR444" s="17"/>
      <c r="AS444" s="17"/>
      <c r="AT444" s="17"/>
      <c r="AU444" s="17"/>
      <c r="AV444" s="17"/>
    </row>
    <row r="445" spans="1:48" ht="15.75" customHeight="1">
      <c r="A445" s="21" t="s">
        <v>35</v>
      </c>
      <c r="B445" s="23" t="s">
        <v>1692</v>
      </c>
      <c r="C445" s="22">
        <v>45890</v>
      </c>
      <c r="D445" s="23" t="s">
        <v>132</v>
      </c>
      <c r="E445" s="23" t="s">
        <v>37</v>
      </c>
      <c r="F445" s="21">
        <v>1</v>
      </c>
      <c r="G445" s="12">
        <f>VLOOKUP(E445,Precios!B$2:N$941,12,FALSE)</f>
        <v>11000.014358944907</v>
      </c>
      <c r="H445" s="12">
        <f t="shared" si="0"/>
        <v>11000.014358944907</v>
      </c>
      <c r="I445" s="23" t="s">
        <v>52</v>
      </c>
      <c r="J445" s="23" t="s">
        <v>61</v>
      </c>
      <c r="K445" s="24" t="s">
        <v>177</v>
      </c>
      <c r="L445" s="24">
        <v>173</v>
      </c>
      <c r="M445" s="12">
        <f t="shared" ref="M445:N445" si="450">G445/1.19</f>
        <v>9243.7095453318543</v>
      </c>
      <c r="N445" s="12">
        <f t="shared" si="450"/>
        <v>9243.7095453318543</v>
      </c>
      <c r="O445" s="12">
        <f t="shared" si="2"/>
        <v>1756.3048136130528</v>
      </c>
      <c r="P445" s="13"/>
      <c r="Q445" s="14">
        <f t="shared" si="3"/>
        <v>2025</v>
      </c>
      <c r="R445" s="15">
        <f>VLOOKUP(MONTH(C445),'Datos Maestros'!M$2:N$14,2,FALSE)</f>
        <v>45505</v>
      </c>
      <c r="S445" s="11" t="str">
        <f>VLOOKUP(E445,Precios!B$2:W$941,3,FALSE)</f>
        <v>Queso Mantecoso</v>
      </c>
      <c r="T445" s="16">
        <f>VLOOKUP(E445,Precios!B$2:N$941,4,FALSE)*F445</f>
        <v>1000</v>
      </c>
      <c r="U445" s="17"/>
      <c r="V445" s="12">
        <f>VLOOKUP(E445,Precios!B$2:N$941,13,FALSE)*F445</f>
        <v>2806.1129066763915</v>
      </c>
      <c r="W445" s="12">
        <f t="shared" si="4"/>
        <v>2806.1129066763915</v>
      </c>
      <c r="X445" s="12">
        <f>VLOOKUP(B445,'Datos Maestros'!$C$2:$D$7,2,FALSE)*V445</f>
        <v>0</v>
      </c>
      <c r="Y445" s="18">
        <f t="shared" si="5"/>
        <v>45887</v>
      </c>
      <c r="Z445" s="13" t="s">
        <v>39</v>
      </c>
      <c r="AA445" s="19" t="str">
        <f>VLOOKUP(D445,Clientes!$A$2:$J$486,9,FALSE)</f>
        <v>Ocacional</v>
      </c>
      <c r="AB445" s="13" t="str">
        <f>VLOOKUP(D445,Clientes!$A$2:$K$486,11,FALSE)</f>
        <v>Persona Natural</v>
      </c>
      <c r="AC445" s="13" t="str">
        <f>VLOOKUP(D445,Clientes!$A$2:$B$486,2,FALSE)</f>
        <v>Walker Martinez</v>
      </c>
      <c r="AD445" s="20"/>
      <c r="AE445" s="20"/>
      <c r="AF445" s="13" t="s">
        <v>40</v>
      </c>
      <c r="AG445" s="15">
        <f t="shared" si="6"/>
        <v>45505</v>
      </c>
      <c r="AH445" s="13" t="s">
        <v>41</v>
      </c>
      <c r="AI445" s="13" t="str">
        <f t="shared" si="7"/>
        <v>Quesos</v>
      </c>
      <c r="AJ445" s="13" t="str">
        <f>VLOOKUP(E445,Precios!Z$2:AA$941,2,FALSE)</f>
        <v>Queso RUNCA Mantecoso</v>
      </c>
      <c r="AK445" s="14">
        <f>VLOOKUP(E445,Precios!Z$2:BB$941,3,FALSE)*F445</f>
        <v>-1</v>
      </c>
      <c r="AL445" s="17"/>
      <c r="AM445" s="17"/>
      <c r="AN445" s="17"/>
      <c r="AO445" s="17"/>
      <c r="AP445" s="17"/>
      <c r="AQ445" s="17"/>
      <c r="AR445" s="17"/>
      <c r="AS445" s="17"/>
      <c r="AT445" s="17"/>
      <c r="AU445" s="17"/>
      <c r="AV445" s="17"/>
    </row>
    <row r="446" spans="1:48" ht="15.75" customHeight="1">
      <c r="A446" s="21" t="s">
        <v>35</v>
      </c>
      <c r="B446" s="23" t="s">
        <v>1692</v>
      </c>
      <c r="C446" s="22">
        <v>45890</v>
      </c>
      <c r="D446" s="23" t="s">
        <v>195</v>
      </c>
      <c r="E446" s="23" t="s">
        <v>37</v>
      </c>
      <c r="F446" s="21">
        <v>1</v>
      </c>
      <c r="G446" s="12">
        <f>VLOOKUP(E446,Precios!B$2:N$941,12,FALSE)</f>
        <v>11000.014358944907</v>
      </c>
      <c r="H446" s="12">
        <f t="shared" si="0"/>
        <v>11000.014358944907</v>
      </c>
      <c r="I446" s="23" t="s">
        <v>52</v>
      </c>
      <c r="J446" s="23" t="s">
        <v>61</v>
      </c>
      <c r="K446" s="24" t="s">
        <v>177</v>
      </c>
      <c r="L446" s="24">
        <v>173</v>
      </c>
      <c r="M446" s="12">
        <f t="shared" ref="M446:N446" si="451">G446/1.19</f>
        <v>9243.7095453318543</v>
      </c>
      <c r="N446" s="12">
        <f t="shared" si="451"/>
        <v>9243.7095453318543</v>
      </c>
      <c r="O446" s="12">
        <f t="shared" si="2"/>
        <v>1756.3048136130528</v>
      </c>
      <c r="P446" s="13"/>
      <c r="Q446" s="14">
        <f t="shared" si="3"/>
        <v>2025</v>
      </c>
      <c r="R446" s="15">
        <f>VLOOKUP(MONTH(C446),'Datos Maestros'!M$2:N$14,2,FALSE)</f>
        <v>45505</v>
      </c>
      <c r="S446" s="11" t="str">
        <f>VLOOKUP(E446,Precios!B$2:W$941,3,FALSE)</f>
        <v>Queso Mantecoso</v>
      </c>
      <c r="T446" s="16">
        <f>VLOOKUP(E446,Precios!B$2:N$941,4,FALSE)*F446</f>
        <v>1000</v>
      </c>
      <c r="U446" s="17"/>
      <c r="V446" s="12">
        <f>VLOOKUP(E446,Precios!B$2:N$941,13,FALSE)*F446</f>
        <v>2806.1129066763915</v>
      </c>
      <c r="W446" s="12">
        <f t="shared" si="4"/>
        <v>2806.1129066763915</v>
      </c>
      <c r="X446" s="12">
        <f>VLOOKUP(B446,'Datos Maestros'!$C$2:$D$7,2,FALSE)*V446</f>
        <v>0</v>
      </c>
      <c r="Y446" s="18">
        <f t="shared" si="5"/>
        <v>45887</v>
      </c>
      <c r="Z446" s="13" t="s">
        <v>39</v>
      </c>
      <c r="AA446" s="19" t="str">
        <f>VLOOKUP(D446,Clientes!$A$2:$J$486,9,FALSE)</f>
        <v>Ocacional</v>
      </c>
      <c r="AB446" s="13" t="str">
        <f>VLOOKUP(D446,Clientes!$A$2:$K$486,11,FALSE)</f>
        <v>Persona Natural</v>
      </c>
      <c r="AC446" s="13" t="str">
        <f>VLOOKUP(D446,Clientes!$A$2:$B$486,2,FALSE)</f>
        <v>Diego Portales</v>
      </c>
      <c r="AD446" s="20"/>
      <c r="AE446" s="20"/>
      <c r="AF446" s="13" t="s">
        <v>40</v>
      </c>
      <c r="AG446" s="15">
        <f t="shared" si="6"/>
        <v>45505</v>
      </c>
      <c r="AH446" s="13" t="s">
        <v>41</v>
      </c>
      <c r="AI446" s="13" t="str">
        <f t="shared" si="7"/>
        <v>Quesos</v>
      </c>
      <c r="AJ446" s="13" t="str">
        <f>VLOOKUP(E446,Precios!Z$2:AA$941,2,FALSE)</f>
        <v>Queso RUNCA Mantecoso</v>
      </c>
      <c r="AK446" s="14">
        <f>VLOOKUP(E446,Precios!Z$2:BB$941,3,FALSE)*F446</f>
        <v>-1</v>
      </c>
      <c r="AL446" s="17"/>
      <c r="AM446" s="17"/>
      <c r="AN446" s="17"/>
      <c r="AO446" s="17"/>
      <c r="AP446" s="17"/>
      <c r="AQ446" s="17"/>
      <c r="AR446" s="17"/>
      <c r="AS446" s="17"/>
      <c r="AT446" s="17"/>
      <c r="AU446" s="17"/>
      <c r="AV446" s="17"/>
    </row>
    <row r="447" spans="1:48" ht="15.75" customHeight="1">
      <c r="A447" s="21" t="s">
        <v>35</v>
      </c>
      <c r="B447" s="23" t="s">
        <v>1692</v>
      </c>
      <c r="C447" s="22">
        <v>45890</v>
      </c>
      <c r="D447" s="23" t="s">
        <v>233</v>
      </c>
      <c r="E447" s="23" t="s">
        <v>37</v>
      </c>
      <c r="F447" s="21">
        <v>1</v>
      </c>
      <c r="G447" s="12">
        <f>VLOOKUP(E447,Precios!B$2:N$941,12,FALSE)</f>
        <v>11000.014358944907</v>
      </c>
      <c r="H447" s="12">
        <f t="shared" si="0"/>
        <v>11000.014358944907</v>
      </c>
      <c r="I447" s="23" t="s">
        <v>52</v>
      </c>
      <c r="J447" s="23" t="s">
        <v>61</v>
      </c>
      <c r="K447" s="24" t="s">
        <v>177</v>
      </c>
      <c r="L447" s="24">
        <v>173</v>
      </c>
      <c r="M447" s="12">
        <f t="shared" ref="M447:N447" si="452">G447/1.19</f>
        <v>9243.7095453318543</v>
      </c>
      <c r="N447" s="12">
        <f t="shared" si="452"/>
        <v>9243.7095453318543</v>
      </c>
      <c r="O447" s="12">
        <f t="shared" si="2"/>
        <v>1756.3048136130528</v>
      </c>
      <c r="P447" s="13"/>
      <c r="Q447" s="14">
        <f t="shared" si="3"/>
        <v>2025</v>
      </c>
      <c r="R447" s="15">
        <f>VLOOKUP(MONTH(C447),'Datos Maestros'!M$2:N$14,2,FALSE)</f>
        <v>45505</v>
      </c>
      <c r="S447" s="11" t="str">
        <f>VLOOKUP(E447,Precios!B$2:W$941,3,FALSE)</f>
        <v>Queso Mantecoso</v>
      </c>
      <c r="T447" s="16">
        <f>VLOOKUP(E447,Precios!B$2:N$941,4,FALSE)*F447</f>
        <v>1000</v>
      </c>
      <c r="U447" s="17"/>
      <c r="V447" s="12">
        <f>VLOOKUP(E447,Precios!B$2:N$941,13,FALSE)*F447</f>
        <v>2806.1129066763915</v>
      </c>
      <c r="W447" s="12">
        <f t="shared" si="4"/>
        <v>2806.1129066763915</v>
      </c>
      <c r="X447" s="12">
        <f>VLOOKUP(B447,'Datos Maestros'!$C$2:$D$7,2,FALSE)*V447</f>
        <v>0</v>
      </c>
      <c r="Y447" s="18">
        <f t="shared" si="5"/>
        <v>45887</v>
      </c>
      <c r="Z447" s="13" t="s">
        <v>39</v>
      </c>
      <c r="AA447" s="19" t="str">
        <f>VLOOKUP(D447,Clientes!$A$2:$J$486,9,FALSE)</f>
        <v>Ocacional</v>
      </c>
      <c r="AB447" s="13" t="str">
        <f>VLOOKUP(D447,Clientes!$A$2:$K$486,11,FALSE)</f>
        <v>Persona Natural</v>
      </c>
      <c r="AC447" s="13" t="str">
        <f>VLOOKUP(D447,Clientes!$A$2:$B$486,2,FALSE)</f>
        <v>Jardines de la viña</v>
      </c>
      <c r="AD447" s="20"/>
      <c r="AE447" s="20"/>
      <c r="AF447" s="13" t="s">
        <v>40</v>
      </c>
      <c r="AG447" s="15">
        <f t="shared" si="6"/>
        <v>45505</v>
      </c>
      <c r="AH447" s="13" t="s">
        <v>41</v>
      </c>
      <c r="AI447" s="13" t="str">
        <f t="shared" si="7"/>
        <v>Quesos</v>
      </c>
      <c r="AJ447" s="13" t="str">
        <f>VLOOKUP(E447,Precios!Z$2:AA$941,2,FALSE)</f>
        <v>Queso RUNCA Mantecoso</v>
      </c>
      <c r="AK447" s="14">
        <f>VLOOKUP(E447,Precios!Z$2:BB$941,3,FALSE)*F447</f>
        <v>-1</v>
      </c>
      <c r="AL447" s="17"/>
      <c r="AM447" s="17"/>
      <c r="AN447" s="17"/>
      <c r="AO447" s="17"/>
      <c r="AP447" s="17"/>
      <c r="AQ447" s="17"/>
      <c r="AR447" s="17"/>
      <c r="AS447" s="17"/>
      <c r="AT447" s="17"/>
      <c r="AU447" s="17"/>
      <c r="AV447" s="17"/>
    </row>
    <row r="448" spans="1:48" ht="15.75" customHeight="1">
      <c r="A448" s="21" t="s">
        <v>47</v>
      </c>
      <c r="B448" s="23" t="s">
        <v>1692</v>
      </c>
      <c r="C448" s="22">
        <v>45890</v>
      </c>
      <c r="D448" s="23" t="s">
        <v>233</v>
      </c>
      <c r="E448" s="23" t="s">
        <v>294</v>
      </c>
      <c r="F448" s="21">
        <v>1</v>
      </c>
      <c r="G448" s="12">
        <f>VLOOKUP(E448,Precios!B$2:N$941,12,FALSE)</f>
        <v>4199.9016948855005</v>
      </c>
      <c r="H448" s="12">
        <f t="shared" si="0"/>
        <v>4199.9016948855005</v>
      </c>
      <c r="I448" s="23" t="s">
        <v>52</v>
      </c>
      <c r="J448" s="23" t="s">
        <v>61</v>
      </c>
      <c r="K448" s="24" t="s">
        <v>177</v>
      </c>
      <c r="L448" s="24">
        <v>173</v>
      </c>
      <c r="M448" s="12">
        <f t="shared" ref="M448:N448" si="453">G448/1.19</f>
        <v>3529.3291553659669</v>
      </c>
      <c r="N448" s="12">
        <f t="shared" si="453"/>
        <v>3529.3291553659669</v>
      </c>
      <c r="O448" s="12">
        <f t="shared" si="2"/>
        <v>670.57253951953362</v>
      </c>
      <c r="P448" s="13"/>
      <c r="Q448" s="14">
        <f t="shared" si="3"/>
        <v>2025</v>
      </c>
      <c r="R448" s="15">
        <f>VLOOKUP(MONTH(C448),'Datos Maestros'!M$2:N$14,2,FALSE)</f>
        <v>45505</v>
      </c>
      <c r="S448" s="11" t="str">
        <f>VLOOKUP(E448,Precios!B$2:W$941,3,FALSE)</f>
        <v>Insecticida</v>
      </c>
      <c r="T448" s="16">
        <f>VLOOKUP(E448,Precios!B$2:N$941,4,FALSE)*F448</f>
        <v>0</v>
      </c>
      <c r="U448" s="17"/>
      <c r="V448" s="12">
        <f>VLOOKUP(E448,Precios!B$2:N$941,13,FALSE)*F448</f>
        <v>848.66248869930041</v>
      </c>
      <c r="W448" s="12">
        <f t="shared" si="4"/>
        <v>848.66248869930041</v>
      </c>
      <c r="X448" s="12">
        <f>VLOOKUP(B448,'Datos Maestros'!$C$2:$D$7,2,FALSE)*V448</f>
        <v>0</v>
      </c>
      <c r="Y448" s="18">
        <f t="shared" si="5"/>
        <v>45887</v>
      </c>
      <c r="Z448" s="13" t="s">
        <v>39</v>
      </c>
      <c r="AA448" s="19" t="str">
        <f>VLOOKUP(D448,Clientes!$A$2:$J$486,9,FALSE)</f>
        <v>Ocacional</v>
      </c>
      <c r="AB448" s="13" t="str">
        <f>VLOOKUP(D448,Clientes!$A$2:$K$486,11,FALSE)</f>
        <v>Persona Natural</v>
      </c>
      <c r="AC448" s="13" t="str">
        <f>VLOOKUP(D448,Clientes!$A$2:$B$486,2,FALSE)</f>
        <v>Jardines de la viña</v>
      </c>
      <c r="AD448" s="20"/>
      <c r="AE448" s="20"/>
      <c r="AF448" s="13" t="s">
        <v>40</v>
      </c>
      <c r="AG448" s="15">
        <f t="shared" si="6"/>
        <v>45505</v>
      </c>
      <c r="AH448" s="13" t="s">
        <v>41</v>
      </c>
      <c r="AI448" s="13" t="str">
        <f t="shared" si="7"/>
        <v>Articulos de Aseo</v>
      </c>
      <c r="AJ448" s="13" t="str">
        <f>VLOOKUP(E448,Precios!Z$2:AA$941,2,FALSE)</f>
        <v>Insecticida RAID 360 cc Todo Insecto (Morado)</v>
      </c>
      <c r="AK448" s="14">
        <f>VLOOKUP(E448,Precios!Z$2:BB$941,3,FALSE)*F448</f>
        <v>-1</v>
      </c>
      <c r="AL448" s="17"/>
      <c r="AM448" s="17"/>
      <c r="AN448" s="17"/>
      <c r="AO448" s="17"/>
      <c r="AP448" s="17"/>
      <c r="AQ448" s="17"/>
      <c r="AR448" s="17"/>
      <c r="AS448" s="17"/>
      <c r="AT448" s="17"/>
      <c r="AU448" s="17"/>
      <c r="AV448" s="17"/>
    </row>
    <row r="449" spans="1:48" ht="15.75" customHeight="1">
      <c r="A449" s="21" t="s">
        <v>147</v>
      </c>
      <c r="B449" s="23" t="s">
        <v>1692</v>
      </c>
      <c r="C449" s="22">
        <v>45890</v>
      </c>
      <c r="D449" s="23" t="s">
        <v>233</v>
      </c>
      <c r="E449" s="23" t="s">
        <v>148</v>
      </c>
      <c r="F449" s="21">
        <v>1</v>
      </c>
      <c r="G449" s="12">
        <f>VLOOKUP(E449,Precios!B$2:N$941,12,FALSE)</f>
        <v>1200.0000000000002</v>
      </c>
      <c r="H449" s="12">
        <f t="shared" si="0"/>
        <v>1200.0000000000002</v>
      </c>
      <c r="I449" s="23" t="s">
        <v>52</v>
      </c>
      <c r="J449" s="23" t="s">
        <v>61</v>
      </c>
      <c r="K449" s="24" t="s">
        <v>177</v>
      </c>
      <c r="L449" s="24">
        <v>173</v>
      </c>
      <c r="M449" s="12">
        <f t="shared" ref="M449:N449" si="454">G449/1.19</f>
        <v>1008.4033613445381</v>
      </c>
      <c r="N449" s="12">
        <f t="shared" si="454"/>
        <v>1008.4033613445381</v>
      </c>
      <c r="O449" s="12">
        <f t="shared" si="2"/>
        <v>191.59663865546213</v>
      </c>
      <c r="P449" s="13"/>
      <c r="Q449" s="14">
        <f t="shared" si="3"/>
        <v>2025</v>
      </c>
      <c r="R449" s="15">
        <f>VLOOKUP(MONTH(C449),'Datos Maestros'!M$2:N$14,2,FALSE)</f>
        <v>45505</v>
      </c>
      <c r="S449" s="11" t="str">
        <f>VLOOKUP(E449,Precios!B$2:W$941,3,FALSE)</f>
        <v>Papel Aluminio</v>
      </c>
      <c r="T449" s="16">
        <f>VLOOKUP(E449,Precios!B$2:N$941,4,FALSE)*F449</f>
        <v>0</v>
      </c>
      <c r="U449" s="17"/>
      <c r="V449" s="12">
        <f>VLOOKUP(E449,Precios!B$2:N$941,13,FALSE)*F449</f>
        <v>357.9831932773111</v>
      </c>
      <c r="W449" s="12">
        <f t="shared" si="4"/>
        <v>357.9831932773111</v>
      </c>
      <c r="X449" s="12">
        <f>VLOOKUP(B449,'Datos Maestros'!$C$2:$D$7,2,FALSE)*V449</f>
        <v>0</v>
      </c>
      <c r="Y449" s="18">
        <f t="shared" si="5"/>
        <v>45887</v>
      </c>
      <c r="Z449" s="13" t="s">
        <v>39</v>
      </c>
      <c r="AA449" s="19" t="str">
        <f>VLOOKUP(D449,Clientes!$A$2:$J$486,9,FALSE)</f>
        <v>Ocacional</v>
      </c>
      <c r="AB449" s="13" t="str">
        <f>VLOOKUP(D449,Clientes!$A$2:$K$486,11,FALSE)</f>
        <v>Persona Natural</v>
      </c>
      <c r="AC449" s="13" t="str">
        <f>VLOOKUP(D449,Clientes!$A$2:$B$486,2,FALSE)</f>
        <v>Jardines de la viña</v>
      </c>
      <c r="AD449" s="20"/>
      <c r="AE449" s="20"/>
      <c r="AF449" s="13" t="s">
        <v>40</v>
      </c>
      <c r="AG449" s="15">
        <f t="shared" si="6"/>
        <v>45505</v>
      </c>
      <c r="AH449" s="13" t="s">
        <v>41</v>
      </c>
      <c r="AI449" s="13" t="str">
        <f t="shared" si="7"/>
        <v>Film Plastico-Aluminio</v>
      </c>
      <c r="AJ449" s="13" t="str">
        <f>VLOOKUP(E449,Precios!Z$2:AA$941,2,FALSE)</f>
        <v>Papel Aluminio 7.5 metros</v>
      </c>
      <c r="AK449" s="14">
        <f>VLOOKUP(E449,Precios!Z$2:BB$941,3,FALSE)*F449</f>
        <v>-1</v>
      </c>
      <c r="AL449" s="17"/>
      <c r="AM449" s="17"/>
      <c r="AN449" s="17"/>
      <c r="AO449" s="17"/>
      <c r="AP449" s="17"/>
      <c r="AQ449" s="17"/>
      <c r="AR449" s="17"/>
      <c r="AS449" s="17"/>
      <c r="AT449" s="17"/>
      <c r="AU449" s="17"/>
      <c r="AV449" s="17"/>
    </row>
    <row r="450" spans="1:48" ht="15.75" customHeight="1">
      <c r="A450" s="21" t="s">
        <v>47</v>
      </c>
      <c r="B450" s="23" t="s">
        <v>1692</v>
      </c>
      <c r="C450" s="22">
        <v>45890</v>
      </c>
      <c r="D450" s="23" t="s">
        <v>233</v>
      </c>
      <c r="E450" s="23" t="s">
        <v>295</v>
      </c>
      <c r="F450" s="21">
        <v>1</v>
      </c>
      <c r="G450" s="12">
        <f>VLOOKUP(E450,Precios!B$2:N$941,12,FALSE)</f>
        <v>2599.7755362977696</v>
      </c>
      <c r="H450" s="12">
        <f t="shared" si="0"/>
        <v>2599.7755362977696</v>
      </c>
      <c r="I450" s="23" t="s">
        <v>52</v>
      </c>
      <c r="J450" s="23" t="s">
        <v>61</v>
      </c>
      <c r="K450" s="24" t="s">
        <v>177</v>
      </c>
      <c r="L450" s="24">
        <v>173</v>
      </c>
      <c r="M450" s="12">
        <f t="shared" ref="M450:N450" si="455">G450/1.19</f>
        <v>2184.6853246199744</v>
      </c>
      <c r="N450" s="12">
        <f t="shared" si="455"/>
        <v>2184.6853246199744</v>
      </c>
      <c r="O450" s="12">
        <f t="shared" si="2"/>
        <v>415.0902116777952</v>
      </c>
      <c r="P450" s="13"/>
      <c r="Q450" s="14">
        <f t="shared" si="3"/>
        <v>2025</v>
      </c>
      <c r="R450" s="15">
        <f>VLOOKUP(MONTH(C450),'Datos Maestros'!M$2:N$14,2,FALSE)</f>
        <v>45505</v>
      </c>
      <c r="S450" s="11" t="str">
        <f>VLOOKUP(E450,Precios!B$2:W$941,3,FALSE)</f>
        <v>Trapero Húmedo</v>
      </c>
      <c r="T450" s="16">
        <f>VLOOKUP(E450,Precios!B$2:N$941,4,FALSE)*F450</f>
        <v>0</v>
      </c>
      <c r="U450" s="17"/>
      <c r="V450" s="12">
        <f>VLOOKUP(E450,Precios!B$2:N$941,13,FALSE)*F450</f>
        <v>646.88532461997443</v>
      </c>
      <c r="W450" s="12">
        <f t="shared" si="4"/>
        <v>646.88532461997443</v>
      </c>
      <c r="X450" s="12">
        <f>VLOOKUP(B450,'Datos Maestros'!$C$2:$D$7,2,FALSE)*V450</f>
        <v>0</v>
      </c>
      <c r="Y450" s="18">
        <f t="shared" si="5"/>
        <v>45887</v>
      </c>
      <c r="Z450" s="13" t="s">
        <v>39</v>
      </c>
      <c r="AA450" s="19" t="str">
        <f>VLOOKUP(D450,Clientes!$A$2:$J$486,9,FALSE)</f>
        <v>Ocacional</v>
      </c>
      <c r="AB450" s="13" t="str">
        <f>VLOOKUP(D450,Clientes!$A$2:$K$486,11,FALSE)</f>
        <v>Persona Natural</v>
      </c>
      <c r="AC450" s="13" t="str">
        <f>VLOOKUP(D450,Clientes!$A$2:$B$486,2,FALSE)</f>
        <v>Jardines de la viña</v>
      </c>
      <c r="AD450" s="20"/>
      <c r="AE450" s="20"/>
      <c r="AF450" s="13" t="s">
        <v>40</v>
      </c>
      <c r="AG450" s="15">
        <f t="shared" si="6"/>
        <v>45505</v>
      </c>
      <c r="AH450" s="13" t="s">
        <v>41</v>
      </c>
      <c r="AI450" s="13" t="str">
        <f t="shared" si="7"/>
        <v>Articulos de Aseo</v>
      </c>
      <c r="AJ450" s="13" t="str">
        <f>VLOOKUP(E450,Precios!Z$2:AA$941,2,FALSE)</f>
        <v>Traperos Humedos EXCELL</v>
      </c>
      <c r="AK450" s="14">
        <f>VLOOKUP(E450,Precios!Z$2:BB$941,3,FALSE)*F450</f>
        <v>-1</v>
      </c>
      <c r="AL450" s="17"/>
      <c r="AM450" s="17"/>
      <c r="AN450" s="17"/>
      <c r="AO450" s="17"/>
      <c r="AP450" s="17"/>
      <c r="AQ450" s="17"/>
      <c r="AR450" s="17"/>
      <c r="AS450" s="17"/>
      <c r="AT450" s="17"/>
      <c r="AU450" s="17"/>
      <c r="AV450" s="17"/>
    </row>
    <row r="451" spans="1:48" ht="15.75" customHeight="1">
      <c r="A451" s="21" t="s">
        <v>76</v>
      </c>
      <c r="B451" s="23" t="s">
        <v>1692</v>
      </c>
      <c r="C451" s="22">
        <v>45890</v>
      </c>
      <c r="D451" s="23" t="s">
        <v>233</v>
      </c>
      <c r="E451" s="23" t="s">
        <v>185</v>
      </c>
      <c r="F451" s="21">
        <v>1</v>
      </c>
      <c r="G451" s="12">
        <f>VLOOKUP(E451,Precios!B$2:N$941,12,FALSE)</f>
        <v>3200.1383843625663</v>
      </c>
      <c r="H451" s="12">
        <f t="shared" si="0"/>
        <v>3200.1383843625663</v>
      </c>
      <c r="I451" s="23" t="s">
        <v>52</v>
      </c>
      <c r="J451" s="23" t="s">
        <v>61</v>
      </c>
      <c r="K451" s="24" t="s">
        <v>177</v>
      </c>
      <c r="L451" s="24">
        <v>173</v>
      </c>
      <c r="M451" s="12">
        <f t="shared" ref="M451:N451" si="456">G451/1.19</f>
        <v>2689.1919196324088</v>
      </c>
      <c r="N451" s="12">
        <f t="shared" si="456"/>
        <v>2689.1919196324088</v>
      </c>
      <c r="O451" s="12">
        <f t="shared" si="2"/>
        <v>510.94646473015746</v>
      </c>
      <c r="P451" s="13"/>
      <c r="Q451" s="14">
        <f t="shared" si="3"/>
        <v>2025</v>
      </c>
      <c r="R451" s="15">
        <f>VLOOKUP(MONTH(C451),'Datos Maestros'!M$2:N$14,2,FALSE)</f>
        <v>45505</v>
      </c>
      <c r="S451" s="11" t="str">
        <f>VLOOKUP(E451,Precios!B$2:W$941,3,FALSE)</f>
        <v>LImpia Vidrio</v>
      </c>
      <c r="T451" s="16">
        <f>VLOOKUP(E451,Precios!B$2:N$941,4,FALSE)*F451</f>
        <v>5</v>
      </c>
      <c r="U451" s="17"/>
      <c r="V451" s="12">
        <f>VLOOKUP(E451,Precios!B$2:N$941,13,FALSE)*F451</f>
        <v>1134.570070892913</v>
      </c>
      <c r="W451" s="12">
        <f t="shared" si="4"/>
        <v>1134.570070892913</v>
      </c>
      <c r="X451" s="12">
        <f>VLOOKUP(B451,'Datos Maestros'!$C$2:$D$7,2,FALSE)*V451</f>
        <v>0</v>
      </c>
      <c r="Y451" s="18">
        <f t="shared" si="5"/>
        <v>45887</v>
      </c>
      <c r="Z451" s="13" t="s">
        <v>39</v>
      </c>
      <c r="AA451" s="19" t="str">
        <f>VLOOKUP(D451,Clientes!$A$2:$J$486,9,FALSE)</f>
        <v>Ocacional</v>
      </c>
      <c r="AB451" s="13" t="str">
        <f>VLOOKUP(D451,Clientes!$A$2:$K$486,11,FALSE)</f>
        <v>Persona Natural</v>
      </c>
      <c r="AC451" s="13" t="str">
        <f>VLOOKUP(D451,Clientes!$A$2:$B$486,2,FALSE)</f>
        <v>Jardines de la viña</v>
      </c>
      <c r="AD451" s="20"/>
      <c r="AE451" s="20"/>
      <c r="AF451" s="13" t="s">
        <v>40</v>
      </c>
      <c r="AG451" s="15">
        <f t="shared" si="6"/>
        <v>45505</v>
      </c>
      <c r="AH451" s="13" t="s">
        <v>41</v>
      </c>
      <c r="AI451" s="13" t="str">
        <f t="shared" si="7"/>
        <v>Detergentes</v>
      </c>
      <c r="AJ451" s="13" t="str">
        <f>VLOOKUP(E451,Precios!Z$2:AA$941,2,FALSE)</f>
        <v>Limpia Vidrio SPUM 5 litros</v>
      </c>
      <c r="AK451" s="14">
        <f>VLOOKUP(E451,Precios!Z$2:BB$941,3,FALSE)*F451</f>
        <v>-1</v>
      </c>
      <c r="AL451" s="17"/>
      <c r="AM451" s="17"/>
      <c r="AN451" s="17"/>
      <c r="AO451" s="17"/>
      <c r="AP451" s="17"/>
      <c r="AQ451" s="17"/>
      <c r="AR451" s="17"/>
      <c r="AS451" s="17"/>
      <c r="AT451" s="17"/>
      <c r="AU451" s="17"/>
      <c r="AV451" s="17"/>
    </row>
    <row r="452" spans="1:48" ht="15.75" customHeight="1">
      <c r="A452" s="21" t="s">
        <v>35</v>
      </c>
      <c r="B452" s="23" t="s">
        <v>1692</v>
      </c>
      <c r="C452" s="22">
        <v>45889</v>
      </c>
      <c r="D452" s="23" t="s">
        <v>915</v>
      </c>
      <c r="E452" s="23" t="s">
        <v>37</v>
      </c>
      <c r="F452" s="21">
        <v>1</v>
      </c>
      <c r="G452" s="12">
        <f>VLOOKUP(E452,Precios!B$2:N$941,12,FALSE)</f>
        <v>11000.014358944907</v>
      </c>
      <c r="H452" s="12">
        <f t="shared" si="0"/>
        <v>11000.014358944907</v>
      </c>
      <c r="I452" s="23" t="s">
        <v>52</v>
      </c>
      <c r="J452" s="23" t="s">
        <v>38</v>
      </c>
      <c r="K452" s="24" t="s">
        <v>177</v>
      </c>
      <c r="L452" s="24">
        <v>172</v>
      </c>
      <c r="M452" s="12">
        <f t="shared" ref="M452:N452" si="457">G452/1.19</f>
        <v>9243.7095453318543</v>
      </c>
      <c r="N452" s="12">
        <f t="shared" si="457"/>
        <v>9243.7095453318543</v>
      </c>
      <c r="O452" s="12">
        <f t="shared" si="2"/>
        <v>1756.3048136130528</v>
      </c>
      <c r="P452" s="13"/>
      <c r="Q452" s="14">
        <f t="shared" si="3"/>
        <v>2025</v>
      </c>
      <c r="R452" s="15">
        <f>VLOOKUP(MONTH(C452),'Datos Maestros'!M$2:N$14,2,FALSE)</f>
        <v>45505</v>
      </c>
      <c r="S452" s="11" t="str">
        <f>VLOOKUP(E452,Precios!B$2:W$941,3,FALSE)</f>
        <v>Queso Mantecoso</v>
      </c>
      <c r="T452" s="16">
        <f>VLOOKUP(E452,Precios!B$2:N$941,4,FALSE)*F452</f>
        <v>1000</v>
      </c>
      <c r="U452" s="17"/>
      <c r="V452" s="12">
        <f>VLOOKUP(E452,Precios!B$2:N$941,13,FALSE)*F452</f>
        <v>2806.1129066763915</v>
      </c>
      <c r="W452" s="12">
        <f t="shared" si="4"/>
        <v>2806.1129066763915</v>
      </c>
      <c r="X452" s="12">
        <f>VLOOKUP(B452,'Datos Maestros'!$C$2:$D$7,2,FALSE)*V452</f>
        <v>0</v>
      </c>
      <c r="Y452" s="18">
        <f t="shared" si="5"/>
        <v>45887</v>
      </c>
      <c r="Z452" s="13" t="s">
        <v>39</v>
      </c>
      <c r="AA452" s="19" t="str">
        <f>VLOOKUP(D452,Clientes!$A$2:$J$486,9,FALSE)</f>
        <v>Regular</v>
      </c>
      <c r="AB452" s="13" t="str">
        <f>VLOOKUP(D452,Clientes!$A$2:$K$486,11,FALSE)</f>
        <v>Persona Natural</v>
      </c>
      <c r="AC452" s="13" t="str">
        <f>VLOOKUP(D452,Clientes!$A$2:$B$486,2,FALSE)</f>
        <v>Jardin del Eden</v>
      </c>
      <c r="AD452" s="20"/>
      <c r="AE452" s="20"/>
      <c r="AF452" s="13" t="s">
        <v>40</v>
      </c>
      <c r="AG452" s="15">
        <f t="shared" si="6"/>
        <v>45505</v>
      </c>
      <c r="AH452" s="13" t="s">
        <v>41</v>
      </c>
      <c r="AI452" s="13" t="str">
        <f t="shared" si="7"/>
        <v>Quesos</v>
      </c>
      <c r="AJ452" s="13" t="str">
        <f>VLOOKUP(E452,Precios!Z$2:AA$941,2,FALSE)</f>
        <v>Queso RUNCA Mantecoso</v>
      </c>
      <c r="AK452" s="14">
        <f>VLOOKUP(E452,Precios!Z$2:BB$941,3,FALSE)*F452</f>
        <v>-1</v>
      </c>
      <c r="AL452" s="17"/>
      <c r="AM452" s="17"/>
      <c r="AN452" s="17"/>
      <c r="AO452" s="17"/>
      <c r="AP452" s="17"/>
      <c r="AQ452" s="17"/>
      <c r="AR452" s="17"/>
      <c r="AS452" s="17"/>
      <c r="AT452" s="17"/>
      <c r="AU452" s="17"/>
      <c r="AV452" s="17"/>
    </row>
    <row r="453" spans="1:48" ht="15.75" customHeight="1">
      <c r="A453" s="21" t="s">
        <v>43</v>
      </c>
      <c r="B453" s="23" t="s">
        <v>1692</v>
      </c>
      <c r="C453" s="22">
        <v>45889</v>
      </c>
      <c r="D453" s="23" t="s">
        <v>146</v>
      </c>
      <c r="E453" s="23" t="s">
        <v>45</v>
      </c>
      <c r="F453" s="21">
        <v>1</v>
      </c>
      <c r="G453" s="12">
        <f>VLOOKUP(E453,Precios!B$2:N$941,12,FALSE)</f>
        <v>8000.1831784723063</v>
      </c>
      <c r="H453" s="12">
        <f t="shared" si="0"/>
        <v>8000.1831784723063</v>
      </c>
      <c r="I453" s="23" t="s">
        <v>52</v>
      </c>
      <c r="J453" s="23" t="s">
        <v>61</v>
      </c>
      <c r="K453" s="24" t="s">
        <v>177</v>
      </c>
      <c r="L453" s="24">
        <v>172</v>
      </c>
      <c r="M453" s="12">
        <f t="shared" ref="M453:N453" si="458">G453/1.19</f>
        <v>6722.8430071195853</v>
      </c>
      <c r="N453" s="12">
        <f t="shared" si="458"/>
        <v>6722.8430071195853</v>
      </c>
      <c r="O453" s="12">
        <f t="shared" si="2"/>
        <v>1277.340171352721</v>
      </c>
      <c r="P453" s="13"/>
      <c r="Q453" s="14">
        <f t="shared" si="3"/>
        <v>2025</v>
      </c>
      <c r="R453" s="15">
        <f>VLOOKUP(MONTH(C453),'Datos Maestros'!M$2:N$14,2,FALSE)</f>
        <v>45505</v>
      </c>
      <c r="S453" s="11" t="str">
        <f>VLOOKUP(E453,Precios!B$2:W$941,3,FALSE)</f>
        <v>Huevos EXTRA</v>
      </c>
      <c r="T453" s="16">
        <f>VLOOKUP(E453,Precios!B$2:N$941,4,FALSE)*F453</f>
        <v>0</v>
      </c>
      <c r="U453" s="17"/>
      <c r="V453" s="12">
        <f>VLOOKUP(E453,Precios!B$2:N$941,13,FALSE)*F453</f>
        <v>1151.6230071195851</v>
      </c>
      <c r="W453" s="12">
        <f t="shared" si="4"/>
        <v>1151.6230071195851</v>
      </c>
      <c r="X453" s="12">
        <f>VLOOKUP(B453,'Datos Maestros'!$C$2:$D$7,2,FALSE)*V453</f>
        <v>0</v>
      </c>
      <c r="Y453" s="18">
        <f t="shared" si="5"/>
        <v>45887</v>
      </c>
      <c r="Z453" s="13" t="s">
        <v>39</v>
      </c>
      <c r="AA453" s="19" t="str">
        <f>VLOOKUP(D453,Clientes!$A$2:$J$486,9,FALSE)</f>
        <v>Ocacional</v>
      </c>
      <c r="AB453" s="13" t="str">
        <f>VLOOKUP(D453,Clientes!$A$2:$K$486,11,FALSE)</f>
        <v>Persona Natural</v>
      </c>
      <c r="AC453" s="13" t="str">
        <f>VLOOKUP(D453,Clientes!$A$2:$B$486,2,FALSE)</f>
        <v>Jardin del eden</v>
      </c>
      <c r="AD453" s="20"/>
      <c r="AE453" s="20"/>
      <c r="AF453" s="13" t="s">
        <v>40</v>
      </c>
      <c r="AG453" s="15">
        <f t="shared" si="6"/>
        <v>45505</v>
      </c>
      <c r="AH453" s="13" t="s">
        <v>41</v>
      </c>
      <c r="AI453" s="13" t="str">
        <f t="shared" si="7"/>
        <v>Huevos</v>
      </c>
      <c r="AJ453" s="13" t="str">
        <f>VLOOKUP(E453,Precios!Z$2:AA$941,2,FALSE)</f>
        <v>Bandeja Huevos EXTRA</v>
      </c>
      <c r="AK453" s="14">
        <f>VLOOKUP(E453,Precios!Z$2:BB$941,3,FALSE)*F453</f>
        <v>-1</v>
      </c>
      <c r="AL453" s="17"/>
      <c r="AM453" s="17"/>
      <c r="AN453" s="17"/>
      <c r="AO453" s="17"/>
      <c r="AP453" s="17"/>
      <c r="AQ453" s="17"/>
      <c r="AR453" s="17"/>
      <c r="AS453" s="17"/>
      <c r="AT453" s="17"/>
      <c r="AU453" s="17"/>
      <c r="AV453" s="17"/>
    </row>
    <row r="454" spans="1:48" ht="15.75" customHeight="1">
      <c r="A454" s="21" t="s">
        <v>147</v>
      </c>
      <c r="B454" s="23" t="s">
        <v>1692</v>
      </c>
      <c r="C454" s="22">
        <v>45889</v>
      </c>
      <c r="D454" s="23" t="s">
        <v>231</v>
      </c>
      <c r="E454" s="23" t="s">
        <v>296</v>
      </c>
      <c r="F454" s="21">
        <v>1</v>
      </c>
      <c r="G454" s="12">
        <f>VLOOKUP(E454,Precios!B$2:N$941,12,FALSE)</f>
        <v>6000.0775704921853</v>
      </c>
      <c r="H454" s="12">
        <f t="shared" si="0"/>
        <v>6000.0775704921853</v>
      </c>
      <c r="I454" s="23" t="s">
        <v>52</v>
      </c>
      <c r="J454" s="23" t="s">
        <v>61</v>
      </c>
      <c r="K454" s="24" t="s">
        <v>177</v>
      </c>
      <c r="L454" s="24">
        <v>172</v>
      </c>
      <c r="M454" s="12">
        <f t="shared" ref="M454:N454" si="459">G454/1.19</f>
        <v>5042.0819920102404</v>
      </c>
      <c r="N454" s="12">
        <f t="shared" si="459"/>
        <v>5042.0819920102404</v>
      </c>
      <c r="O454" s="12">
        <f t="shared" si="2"/>
        <v>957.9955784819449</v>
      </c>
      <c r="P454" s="13"/>
      <c r="Q454" s="14">
        <f t="shared" si="3"/>
        <v>2025</v>
      </c>
      <c r="R454" s="15">
        <f>VLOOKUP(MONTH(C454),'Datos Maestros'!M$2:N$14,2,FALSE)</f>
        <v>45505</v>
      </c>
      <c r="S454" s="11" t="str">
        <f>VLOOKUP(E454,Precios!B$2:W$941,3,FALSE)</f>
        <v>Film Embalaje</v>
      </c>
      <c r="T454" s="16">
        <f>VLOOKUP(E454,Precios!B$2:N$941,4,FALSE)*F454</f>
        <v>0</v>
      </c>
      <c r="U454" s="17"/>
      <c r="V454" s="12">
        <f>VLOOKUP(E454,Precios!B$2:N$941,13,FALSE)*F454</f>
        <v>2442.0819920102394</v>
      </c>
      <c r="W454" s="12">
        <f t="shared" si="4"/>
        <v>2442.0819920102394</v>
      </c>
      <c r="X454" s="12">
        <f>VLOOKUP(B454,'Datos Maestros'!$C$2:$D$7,2,FALSE)*V454</f>
        <v>0</v>
      </c>
      <c r="Y454" s="18">
        <f t="shared" si="5"/>
        <v>45887</v>
      </c>
      <c r="Z454" s="13" t="s">
        <v>39</v>
      </c>
      <c r="AA454" s="19" t="str">
        <f>VLOOKUP(D454,Clientes!$A$2:$J$486,9,FALSE)</f>
        <v>Ocacional</v>
      </c>
      <c r="AB454" s="13" t="str">
        <f>VLOOKUP(D454,Clientes!$A$2:$K$486,11,FALSE)</f>
        <v>Persona Natural</v>
      </c>
      <c r="AC454" s="13" t="str">
        <f>VLOOKUP(D454,Clientes!$A$2:$B$486,2,FALSE)</f>
        <v>Sector Santa Delia</v>
      </c>
      <c r="AD454" s="20"/>
      <c r="AE454" s="20"/>
      <c r="AF454" s="13" t="s">
        <v>40</v>
      </c>
      <c r="AG454" s="15">
        <f t="shared" si="6"/>
        <v>45505</v>
      </c>
      <c r="AH454" s="13" t="s">
        <v>41</v>
      </c>
      <c r="AI454" s="13" t="str">
        <f t="shared" si="7"/>
        <v>Film Plastico-Aluminio</v>
      </c>
      <c r="AJ454" s="13" t="str">
        <f>VLOOKUP(E454,Precios!Z$2:AA$941,2,FALSE)</f>
        <v>Film Embalaje</v>
      </c>
      <c r="AK454" s="14">
        <f>VLOOKUP(E454,Precios!Z$2:BB$941,3,FALSE)*F454</f>
        <v>-1</v>
      </c>
      <c r="AL454" s="17"/>
      <c r="AM454" s="17"/>
      <c r="AN454" s="17"/>
      <c r="AO454" s="17"/>
      <c r="AP454" s="17"/>
      <c r="AQ454" s="17"/>
      <c r="AR454" s="17"/>
      <c r="AS454" s="17"/>
      <c r="AT454" s="17"/>
      <c r="AU454" s="17"/>
      <c r="AV454" s="17"/>
    </row>
    <row r="455" spans="1:48" ht="15.75" customHeight="1">
      <c r="A455" s="21" t="s">
        <v>43</v>
      </c>
      <c r="B455" s="23" t="s">
        <v>1692</v>
      </c>
      <c r="C455" s="22">
        <v>45889</v>
      </c>
      <c r="D455" s="23" t="s">
        <v>219</v>
      </c>
      <c r="E455" s="23" t="s">
        <v>45</v>
      </c>
      <c r="F455" s="21">
        <v>1</v>
      </c>
      <c r="G455" s="12">
        <f>VLOOKUP(E455,Precios!B$2:N$941,12,FALSE)</f>
        <v>8000.1831784723063</v>
      </c>
      <c r="H455" s="12">
        <f t="shared" si="0"/>
        <v>8000.1831784723063</v>
      </c>
      <c r="I455" s="23" t="s">
        <v>52</v>
      </c>
      <c r="J455" s="23" t="s">
        <v>61</v>
      </c>
      <c r="K455" s="24" t="s">
        <v>177</v>
      </c>
      <c r="L455" s="24">
        <v>172</v>
      </c>
      <c r="M455" s="12">
        <f t="shared" ref="M455:N455" si="460">G455/1.19</f>
        <v>6722.8430071195853</v>
      </c>
      <c r="N455" s="12">
        <f t="shared" si="460"/>
        <v>6722.8430071195853</v>
      </c>
      <c r="O455" s="12">
        <f t="shared" si="2"/>
        <v>1277.340171352721</v>
      </c>
      <c r="P455" s="13"/>
      <c r="Q455" s="14">
        <f t="shared" si="3"/>
        <v>2025</v>
      </c>
      <c r="R455" s="15">
        <f>VLOOKUP(MONTH(C455),'Datos Maestros'!M$2:N$14,2,FALSE)</f>
        <v>45505</v>
      </c>
      <c r="S455" s="11" t="str">
        <f>VLOOKUP(E455,Precios!B$2:W$941,3,FALSE)</f>
        <v>Huevos EXTRA</v>
      </c>
      <c r="T455" s="16">
        <f>VLOOKUP(E455,Precios!B$2:N$941,4,FALSE)*F455</f>
        <v>0</v>
      </c>
      <c r="U455" s="17"/>
      <c r="V455" s="12">
        <f>VLOOKUP(E455,Precios!B$2:N$941,13,FALSE)*F455</f>
        <v>1151.6230071195851</v>
      </c>
      <c r="W455" s="12">
        <f t="shared" si="4"/>
        <v>1151.6230071195851</v>
      </c>
      <c r="X455" s="12">
        <f>VLOOKUP(B455,'Datos Maestros'!$C$2:$D$7,2,FALSE)*V455</f>
        <v>0</v>
      </c>
      <c r="Y455" s="18">
        <f t="shared" si="5"/>
        <v>45887</v>
      </c>
      <c r="Z455" s="13" t="s">
        <v>39</v>
      </c>
      <c r="AA455" s="19" t="str">
        <f>VLOOKUP(D455,Clientes!$A$2:$J$486,9,FALSE)</f>
        <v>Ocacional</v>
      </c>
      <c r="AB455" s="13" t="str">
        <f>VLOOKUP(D455,Clientes!$A$2:$K$486,11,FALSE)</f>
        <v>Persona Natural</v>
      </c>
      <c r="AC455" s="13" t="str">
        <f>VLOOKUP(D455,Clientes!$A$2:$B$486,2,FALSE)</f>
        <v>Jardines de la Viña</v>
      </c>
      <c r="AD455" s="20"/>
      <c r="AE455" s="20"/>
      <c r="AF455" s="13" t="s">
        <v>40</v>
      </c>
      <c r="AG455" s="15">
        <f t="shared" si="6"/>
        <v>45505</v>
      </c>
      <c r="AH455" s="13" t="s">
        <v>41</v>
      </c>
      <c r="AI455" s="13" t="str">
        <f t="shared" si="7"/>
        <v>Huevos</v>
      </c>
      <c r="AJ455" s="13" t="str">
        <f>VLOOKUP(E455,Precios!Z$2:AA$941,2,FALSE)</f>
        <v>Bandeja Huevos EXTRA</v>
      </c>
      <c r="AK455" s="14">
        <f>VLOOKUP(E455,Precios!Z$2:BB$941,3,FALSE)*F455</f>
        <v>-1</v>
      </c>
      <c r="AL455" s="17"/>
      <c r="AM455" s="17"/>
      <c r="AN455" s="17"/>
      <c r="AO455" s="17"/>
      <c r="AP455" s="17"/>
      <c r="AQ455" s="17"/>
      <c r="AR455" s="17"/>
      <c r="AS455" s="17"/>
      <c r="AT455" s="17"/>
      <c r="AU455" s="17"/>
      <c r="AV455" s="17"/>
    </row>
    <row r="456" spans="1:48" ht="15.75" customHeight="1">
      <c r="A456" s="21" t="s">
        <v>147</v>
      </c>
      <c r="B456" s="23" t="s">
        <v>1692</v>
      </c>
      <c r="C456" s="22">
        <v>45889</v>
      </c>
      <c r="D456" s="23" t="s">
        <v>297</v>
      </c>
      <c r="E456" s="23" t="s">
        <v>257</v>
      </c>
      <c r="F456" s="21">
        <v>1</v>
      </c>
      <c r="G456" s="12">
        <f>VLOOKUP(E456,Precios!B$2:N$941,12,FALSE)</f>
        <v>4000.0000000000005</v>
      </c>
      <c r="H456" s="12">
        <f t="shared" si="0"/>
        <v>4000.0000000000005</v>
      </c>
      <c r="I456" s="23" t="s">
        <v>52</v>
      </c>
      <c r="J456" s="23" t="s">
        <v>61</v>
      </c>
      <c r="K456" s="24" t="s">
        <v>177</v>
      </c>
      <c r="L456" s="24">
        <v>172</v>
      </c>
      <c r="M456" s="12">
        <f t="shared" ref="M456:N456" si="461">G456/1.19</f>
        <v>3361.3445378151264</v>
      </c>
      <c r="N456" s="12">
        <f t="shared" si="461"/>
        <v>3361.3445378151264</v>
      </c>
      <c r="O456" s="12">
        <f t="shared" si="2"/>
        <v>638.65546218487407</v>
      </c>
      <c r="P456" s="13"/>
      <c r="Q456" s="14">
        <f t="shared" si="3"/>
        <v>2025</v>
      </c>
      <c r="R456" s="15">
        <f>VLOOKUP(MONTH(C456),'Datos Maestros'!M$2:N$14,2,FALSE)</f>
        <v>45505</v>
      </c>
      <c r="S456" s="11" t="str">
        <f>VLOOKUP(E456,Precios!B$2:W$941,3,FALSE)</f>
        <v>Film Plastico</v>
      </c>
      <c r="T456" s="16">
        <f>VLOOKUP(E456,Precios!B$2:N$941,4,FALSE)*F456</f>
        <v>0</v>
      </c>
      <c r="U456" s="17"/>
      <c r="V456" s="12">
        <f>VLOOKUP(E456,Precios!B$2:N$941,13,FALSE)*F456</f>
        <v>1680.6722689075632</v>
      </c>
      <c r="W456" s="12">
        <f t="shared" si="4"/>
        <v>1680.6722689075632</v>
      </c>
      <c r="X456" s="12">
        <f>VLOOKUP(B456,'Datos Maestros'!$C$2:$D$7,2,FALSE)*V456</f>
        <v>0</v>
      </c>
      <c r="Y456" s="18">
        <f t="shared" si="5"/>
        <v>45887</v>
      </c>
      <c r="Z456" s="13" t="s">
        <v>39</v>
      </c>
      <c r="AA456" s="19" t="str">
        <f>VLOOKUP(D456,Clientes!$A$2:$J$486,9,FALSE)</f>
        <v>Ocacional</v>
      </c>
      <c r="AB456" s="13" t="str">
        <f>VLOOKUP(D456,Clientes!$A$2:$K$486,11,FALSE)</f>
        <v>Persona Natural</v>
      </c>
      <c r="AC456" s="13" t="str">
        <f>VLOOKUP(D456,Clientes!$A$2:$B$486,2,FALSE)</f>
        <v>Jardines de la viña</v>
      </c>
      <c r="AD456" s="20"/>
      <c r="AE456" s="20"/>
      <c r="AF456" s="13" t="s">
        <v>40</v>
      </c>
      <c r="AG456" s="15">
        <f t="shared" si="6"/>
        <v>45505</v>
      </c>
      <c r="AH456" s="13" t="s">
        <v>41</v>
      </c>
      <c r="AI456" s="13" t="str">
        <f t="shared" si="7"/>
        <v>Film Plastico-Aluminio</v>
      </c>
      <c r="AJ456" s="13" t="str">
        <f>VLOOKUP(E456,Precios!Z$2:AA$941,2,FALSE)</f>
        <v>Film Plástico 100 metros</v>
      </c>
      <c r="AK456" s="14">
        <f>VLOOKUP(E456,Precios!Z$2:BB$941,3,FALSE)*F456</f>
        <v>-1</v>
      </c>
      <c r="AL456" s="17"/>
      <c r="AM456" s="17"/>
      <c r="AN456" s="17"/>
      <c r="AO456" s="17"/>
      <c r="AP456" s="17"/>
      <c r="AQ456" s="17"/>
      <c r="AR456" s="17"/>
      <c r="AS456" s="17"/>
      <c r="AT456" s="17"/>
      <c r="AU456" s="17"/>
      <c r="AV456" s="17"/>
    </row>
    <row r="457" spans="1:48" ht="15.75" customHeight="1">
      <c r="A457" s="21" t="s">
        <v>73</v>
      </c>
      <c r="B457" s="23" t="s">
        <v>1692</v>
      </c>
      <c r="C457" s="22">
        <v>45889</v>
      </c>
      <c r="D457" s="23" t="s">
        <v>298</v>
      </c>
      <c r="E457" s="23" t="s">
        <v>161</v>
      </c>
      <c r="F457" s="21">
        <v>2</v>
      </c>
      <c r="G457" s="12">
        <f>VLOOKUP(E457,Precios!B$2:N$941,12,FALSE)</f>
        <v>4199.9020019599611</v>
      </c>
      <c r="H457" s="12">
        <f t="shared" si="0"/>
        <v>8399.8040039199223</v>
      </c>
      <c r="I457" s="23" t="s">
        <v>52</v>
      </c>
      <c r="J457" s="23" t="s">
        <v>61</v>
      </c>
      <c r="K457" s="24" t="s">
        <v>177</v>
      </c>
      <c r="L457" s="24">
        <v>172</v>
      </c>
      <c r="M457" s="12">
        <f t="shared" ref="M457:N457" si="462">G457/1.19</f>
        <v>3529.3294134117323</v>
      </c>
      <c r="N457" s="12">
        <f t="shared" si="462"/>
        <v>7058.6588268234646</v>
      </c>
      <c r="O457" s="12">
        <f t="shared" si="2"/>
        <v>1341.1451770964577</v>
      </c>
      <c r="P457" s="13"/>
      <c r="Q457" s="14">
        <f t="shared" si="3"/>
        <v>2025</v>
      </c>
      <c r="R457" s="15">
        <f>VLOOKUP(MONTH(C457),'Datos Maestros'!M$2:N$14,2,FALSE)</f>
        <v>45505</v>
      </c>
      <c r="S457" s="11" t="str">
        <f>VLOOKUP(E457,Precios!B$2:W$941,3,FALSE)</f>
        <v>Guantes NITRILO</v>
      </c>
      <c r="T457" s="16">
        <f>VLOOKUP(E457,Precios!B$2:N$941,4,FALSE)*F457</f>
        <v>0</v>
      </c>
      <c r="U457" s="17"/>
      <c r="V457" s="12">
        <f>VLOOKUP(E457,Precios!B$2:N$941,13,FALSE)*F457</f>
        <v>2016.6588268234646</v>
      </c>
      <c r="W457" s="12">
        <f t="shared" si="4"/>
        <v>2016.6588268234646</v>
      </c>
      <c r="X457" s="12">
        <f>VLOOKUP(B457,'Datos Maestros'!$C$2:$D$7,2,FALSE)*V457</f>
        <v>0</v>
      </c>
      <c r="Y457" s="18">
        <f t="shared" si="5"/>
        <v>45887</v>
      </c>
      <c r="Z457" s="13" t="s">
        <v>39</v>
      </c>
      <c r="AA457" s="19" t="str">
        <f>VLOOKUP(D457,Clientes!$A$2:$J$486,9,FALSE)</f>
        <v>Ocacional</v>
      </c>
      <c r="AB457" s="13" t="str">
        <f>VLOOKUP(D457,Clientes!$A$2:$K$486,11,FALSE)</f>
        <v>Persona Natural</v>
      </c>
      <c r="AC457" s="13" t="str">
        <f>VLOOKUP(D457,Clientes!$A$2:$B$486,2,FALSE)</f>
        <v>La Foresta</v>
      </c>
      <c r="AD457" s="20"/>
      <c r="AE457" s="20"/>
      <c r="AF457" s="13" t="s">
        <v>40</v>
      </c>
      <c r="AG457" s="15">
        <f t="shared" si="6"/>
        <v>45505</v>
      </c>
      <c r="AH457" s="13" t="s">
        <v>41</v>
      </c>
      <c r="AI457" s="13" t="str">
        <f t="shared" si="7"/>
        <v>Articulos de Sanidad</v>
      </c>
      <c r="AJ457" s="13" t="str">
        <f>VLOOKUP(E457,Precios!Z$2:AA$941,2,FALSE)</f>
        <v>Guante NITRILO Talla L</v>
      </c>
      <c r="AK457" s="14">
        <f>VLOOKUP(E457,Precios!Z$2:BB$941,3,FALSE)*F457</f>
        <v>-2</v>
      </c>
      <c r="AL457" s="17"/>
      <c r="AM457" s="17"/>
      <c r="AN457" s="17"/>
      <c r="AO457" s="17"/>
      <c r="AP457" s="17"/>
      <c r="AQ457" s="17"/>
      <c r="AR457" s="17"/>
      <c r="AS457" s="17"/>
      <c r="AT457" s="17"/>
      <c r="AU457" s="17"/>
      <c r="AV457" s="17"/>
    </row>
    <row r="458" spans="1:48" ht="15.75" customHeight="1">
      <c r="A458" s="21" t="s">
        <v>147</v>
      </c>
      <c r="B458" s="23" t="s">
        <v>1692</v>
      </c>
      <c r="C458" s="22">
        <v>45889</v>
      </c>
      <c r="D458" s="23" t="s">
        <v>298</v>
      </c>
      <c r="E458" s="23" t="s">
        <v>257</v>
      </c>
      <c r="F458" s="21">
        <v>1</v>
      </c>
      <c r="G458" s="12">
        <f>VLOOKUP(E458,Precios!B$2:N$941,12,FALSE)</f>
        <v>4000.0000000000005</v>
      </c>
      <c r="H458" s="12">
        <f t="shared" si="0"/>
        <v>4000.0000000000005</v>
      </c>
      <c r="I458" s="23" t="s">
        <v>52</v>
      </c>
      <c r="J458" s="23" t="s">
        <v>61</v>
      </c>
      <c r="K458" s="24" t="s">
        <v>177</v>
      </c>
      <c r="L458" s="24">
        <v>172</v>
      </c>
      <c r="M458" s="12">
        <f t="shared" ref="M458:N458" si="463">G458/1.19</f>
        <v>3361.3445378151264</v>
      </c>
      <c r="N458" s="12">
        <f t="shared" si="463"/>
        <v>3361.3445378151264</v>
      </c>
      <c r="O458" s="12">
        <f t="shared" si="2"/>
        <v>638.65546218487407</v>
      </c>
      <c r="P458" s="13"/>
      <c r="Q458" s="14">
        <f t="shared" si="3"/>
        <v>2025</v>
      </c>
      <c r="R458" s="15">
        <f>VLOOKUP(MONTH(C458),'Datos Maestros'!M$2:N$14,2,FALSE)</f>
        <v>45505</v>
      </c>
      <c r="S458" s="11" t="str">
        <f>VLOOKUP(E458,Precios!B$2:W$941,3,FALSE)</f>
        <v>Film Plastico</v>
      </c>
      <c r="T458" s="16">
        <f>VLOOKUP(E458,Precios!B$2:N$941,4,FALSE)*F458</f>
        <v>0</v>
      </c>
      <c r="U458" s="17"/>
      <c r="V458" s="12">
        <f>VLOOKUP(E458,Precios!B$2:N$941,13,FALSE)*F458</f>
        <v>1680.6722689075632</v>
      </c>
      <c r="W458" s="12">
        <f t="shared" si="4"/>
        <v>1680.6722689075632</v>
      </c>
      <c r="X458" s="12">
        <f>VLOOKUP(B458,'Datos Maestros'!$C$2:$D$7,2,FALSE)*V458</f>
        <v>0</v>
      </c>
      <c r="Y458" s="18">
        <f t="shared" si="5"/>
        <v>45887</v>
      </c>
      <c r="Z458" s="13" t="s">
        <v>39</v>
      </c>
      <c r="AA458" s="19" t="str">
        <f>VLOOKUP(D458,Clientes!$A$2:$J$486,9,FALSE)</f>
        <v>Ocacional</v>
      </c>
      <c r="AB458" s="13" t="str">
        <f>VLOOKUP(D458,Clientes!$A$2:$K$486,11,FALSE)</f>
        <v>Persona Natural</v>
      </c>
      <c r="AC458" s="13" t="str">
        <f>VLOOKUP(D458,Clientes!$A$2:$B$486,2,FALSE)</f>
        <v>La Foresta</v>
      </c>
      <c r="AD458" s="20"/>
      <c r="AE458" s="20"/>
      <c r="AF458" s="13" t="s">
        <v>40</v>
      </c>
      <c r="AG458" s="15">
        <f t="shared" si="6"/>
        <v>45505</v>
      </c>
      <c r="AH458" s="13" t="s">
        <v>41</v>
      </c>
      <c r="AI458" s="13" t="str">
        <f t="shared" si="7"/>
        <v>Film Plastico-Aluminio</v>
      </c>
      <c r="AJ458" s="13" t="str">
        <f>VLOOKUP(E458,Precios!Z$2:AA$941,2,FALSE)</f>
        <v>Film Plástico 100 metros</v>
      </c>
      <c r="AK458" s="14">
        <f>VLOOKUP(E458,Precios!Z$2:BB$941,3,FALSE)*F458</f>
        <v>-1</v>
      </c>
      <c r="AL458" s="17"/>
      <c r="AM458" s="17"/>
      <c r="AN458" s="17"/>
      <c r="AO458" s="17"/>
      <c r="AP458" s="17"/>
      <c r="AQ458" s="17"/>
      <c r="AR458" s="17"/>
      <c r="AS458" s="17"/>
      <c r="AT458" s="17"/>
      <c r="AU458" s="17"/>
      <c r="AV458" s="17"/>
    </row>
    <row r="459" spans="1:48" ht="15.75" customHeight="1">
      <c r="A459" s="21" t="s">
        <v>47</v>
      </c>
      <c r="B459" s="23" t="s">
        <v>1692</v>
      </c>
      <c r="C459" s="22">
        <v>45889</v>
      </c>
      <c r="D459" s="23" t="s">
        <v>298</v>
      </c>
      <c r="E459" s="23" t="s">
        <v>295</v>
      </c>
      <c r="F459" s="21">
        <v>1</v>
      </c>
      <c r="G459" s="12">
        <f>VLOOKUP(E459,Precios!B$2:N$941,12,FALSE)</f>
        <v>2599.7755362977696</v>
      </c>
      <c r="H459" s="12">
        <f t="shared" si="0"/>
        <v>2599.7755362977696</v>
      </c>
      <c r="I459" s="23" t="s">
        <v>52</v>
      </c>
      <c r="J459" s="23" t="s">
        <v>61</v>
      </c>
      <c r="K459" s="24" t="s">
        <v>177</v>
      </c>
      <c r="L459" s="24">
        <v>172</v>
      </c>
      <c r="M459" s="12">
        <f t="shared" ref="M459:N459" si="464">G459/1.19</f>
        <v>2184.6853246199744</v>
      </c>
      <c r="N459" s="12">
        <f t="shared" si="464"/>
        <v>2184.6853246199744</v>
      </c>
      <c r="O459" s="12">
        <f t="shared" si="2"/>
        <v>415.0902116777952</v>
      </c>
      <c r="P459" s="13"/>
      <c r="Q459" s="14">
        <f t="shared" si="3"/>
        <v>2025</v>
      </c>
      <c r="R459" s="15">
        <f>VLOOKUP(MONTH(C459),'Datos Maestros'!M$2:N$14,2,FALSE)</f>
        <v>45505</v>
      </c>
      <c r="S459" s="11" t="str">
        <f>VLOOKUP(E459,Precios!B$2:W$941,3,FALSE)</f>
        <v>Trapero Húmedo</v>
      </c>
      <c r="T459" s="16">
        <f>VLOOKUP(E459,Precios!B$2:N$941,4,FALSE)*F459</f>
        <v>0</v>
      </c>
      <c r="U459" s="17"/>
      <c r="V459" s="12">
        <f>VLOOKUP(E459,Precios!B$2:N$941,13,FALSE)*F459</f>
        <v>646.88532461997443</v>
      </c>
      <c r="W459" s="12">
        <f t="shared" si="4"/>
        <v>646.88532461997443</v>
      </c>
      <c r="X459" s="12">
        <f>VLOOKUP(B459,'Datos Maestros'!$C$2:$D$7,2,FALSE)*V459</f>
        <v>0</v>
      </c>
      <c r="Y459" s="18">
        <f t="shared" si="5"/>
        <v>45887</v>
      </c>
      <c r="Z459" s="13" t="s">
        <v>39</v>
      </c>
      <c r="AA459" s="19" t="str">
        <f>VLOOKUP(D459,Clientes!$A$2:$J$486,9,FALSE)</f>
        <v>Ocacional</v>
      </c>
      <c r="AB459" s="13" t="str">
        <f>VLOOKUP(D459,Clientes!$A$2:$K$486,11,FALSE)</f>
        <v>Persona Natural</v>
      </c>
      <c r="AC459" s="13" t="str">
        <f>VLOOKUP(D459,Clientes!$A$2:$B$486,2,FALSE)</f>
        <v>La Foresta</v>
      </c>
      <c r="AD459" s="20"/>
      <c r="AE459" s="20"/>
      <c r="AF459" s="13" t="s">
        <v>40</v>
      </c>
      <c r="AG459" s="15">
        <f t="shared" si="6"/>
        <v>45505</v>
      </c>
      <c r="AH459" s="13" t="s">
        <v>41</v>
      </c>
      <c r="AI459" s="13" t="str">
        <f t="shared" si="7"/>
        <v>Articulos de Aseo</v>
      </c>
      <c r="AJ459" s="13" t="str">
        <f>VLOOKUP(E459,Precios!Z$2:AA$941,2,FALSE)</f>
        <v>Traperos Humedos EXCELL</v>
      </c>
      <c r="AK459" s="14">
        <f>VLOOKUP(E459,Precios!Z$2:BB$941,3,FALSE)*F459</f>
        <v>-1</v>
      </c>
      <c r="AL459" s="17"/>
      <c r="AM459" s="17"/>
      <c r="AN459" s="17"/>
      <c r="AO459" s="17"/>
      <c r="AP459" s="17"/>
      <c r="AQ459" s="17"/>
      <c r="AR459" s="17"/>
      <c r="AS459" s="17"/>
      <c r="AT459" s="17"/>
      <c r="AU459" s="17"/>
      <c r="AV459" s="17"/>
    </row>
    <row r="460" spans="1:48" ht="15.75" customHeight="1">
      <c r="A460" s="21" t="s">
        <v>73</v>
      </c>
      <c r="B460" s="23" t="s">
        <v>1692</v>
      </c>
      <c r="C460" s="22">
        <v>45889</v>
      </c>
      <c r="D460" s="23" t="s">
        <v>299</v>
      </c>
      <c r="E460" s="23" t="s">
        <v>300</v>
      </c>
      <c r="F460" s="21">
        <v>1</v>
      </c>
      <c r="G460" s="12">
        <f>VLOOKUP(E460,Precios!B$2:N$941,12,FALSE)</f>
        <v>1600</v>
      </c>
      <c r="H460" s="12">
        <f t="shared" si="0"/>
        <v>1600</v>
      </c>
      <c r="I460" s="23" t="s">
        <v>52</v>
      </c>
      <c r="J460" s="23" t="s">
        <v>61</v>
      </c>
      <c r="K460" s="24" t="s">
        <v>177</v>
      </c>
      <c r="L460" s="24">
        <v>172</v>
      </c>
      <c r="M460" s="12">
        <f t="shared" ref="M460:N460" si="465">G460/1.19</f>
        <v>1344.5378151260504</v>
      </c>
      <c r="N460" s="12">
        <f t="shared" si="465"/>
        <v>1344.5378151260504</v>
      </c>
      <c r="O460" s="12">
        <f t="shared" si="2"/>
        <v>255.46218487394958</v>
      </c>
      <c r="P460" s="13"/>
      <c r="Q460" s="14">
        <f t="shared" si="3"/>
        <v>2025</v>
      </c>
      <c r="R460" s="15">
        <f>VLOOKUP(MONTH(C460),'Datos Maestros'!M$2:N$14,2,FALSE)</f>
        <v>45505</v>
      </c>
      <c r="S460" s="11" t="str">
        <f>VLOOKUP(E460,Precios!B$2:W$941,3,FALSE)</f>
        <v>Mascarillas</v>
      </c>
      <c r="T460" s="16">
        <f>VLOOKUP(E460,Precios!B$2:N$941,4,FALSE)*F460</f>
        <v>0</v>
      </c>
      <c r="U460" s="17"/>
      <c r="V460" s="12">
        <f>VLOOKUP(E460,Precios!B$2:N$941,13,FALSE)*F460</f>
        <v>638.65546218487395</v>
      </c>
      <c r="W460" s="12">
        <f t="shared" si="4"/>
        <v>638.65546218487395</v>
      </c>
      <c r="X460" s="12">
        <f>VLOOKUP(B460,'Datos Maestros'!$C$2:$D$7,2,FALSE)*V460</f>
        <v>0</v>
      </c>
      <c r="Y460" s="18">
        <f t="shared" si="5"/>
        <v>45887</v>
      </c>
      <c r="Z460" s="13" t="s">
        <v>39</v>
      </c>
      <c r="AA460" s="19" t="str">
        <f>VLOOKUP(D460,Clientes!$A$2:$J$486,9,FALSE)</f>
        <v>Ocacional</v>
      </c>
      <c r="AB460" s="13" t="str">
        <f>VLOOKUP(D460,Clientes!$A$2:$K$486,11,FALSE)</f>
        <v>Persona Natural</v>
      </c>
      <c r="AC460" s="13" t="str">
        <f>VLOOKUP(D460,Clientes!$A$2:$B$486,2,FALSE)</f>
        <v>parque Coordillera</v>
      </c>
      <c r="AD460" s="20"/>
      <c r="AE460" s="20"/>
      <c r="AF460" s="13" t="s">
        <v>40</v>
      </c>
      <c r="AG460" s="15">
        <f t="shared" si="6"/>
        <v>45505</v>
      </c>
      <c r="AH460" s="13" t="s">
        <v>41</v>
      </c>
      <c r="AI460" s="13" t="str">
        <f t="shared" si="7"/>
        <v>Articulos de Sanidad</v>
      </c>
      <c r="AJ460" s="13" t="str">
        <f>VLOOKUP(E460,Precios!Z$2:AA$941,2,FALSE)</f>
        <v>Mascarillas Triple Pliegue</v>
      </c>
      <c r="AK460" s="14">
        <f>VLOOKUP(E460,Precios!Z$2:BB$941,3,FALSE)*F460</f>
        <v>-1</v>
      </c>
      <c r="AL460" s="17"/>
      <c r="AM460" s="17"/>
      <c r="AN460" s="17"/>
      <c r="AO460" s="17"/>
      <c r="AP460" s="17"/>
      <c r="AQ460" s="17"/>
      <c r="AR460" s="17"/>
      <c r="AS460" s="17"/>
      <c r="AT460" s="17"/>
      <c r="AU460" s="17"/>
      <c r="AV460" s="17"/>
    </row>
    <row r="461" spans="1:48" ht="15.75" customHeight="1">
      <c r="A461" s="21" t="s">
        <v>53</v>
      </c>
      <c r="B461" s="23" t="s">
        <v>1692</v>
      </c>
      <c r="C461" s="22">
        <v>45889</v>
      </c>
      <c r="D461" s="23" t="s">
        <v>299</v>
      </c>
      <c r="E461" s="23" t="s">
        <v>97</v>
      </c>
      <c r="F461" s="21">
        <v>1</v>
      </c>
      <c r="G461" s="12">
        <f>VLOOKUP(E461,Precios!B$2:N$941,12,FALSE)</f>
        <v>16500.236769693482</v>
      </c>
      <c r="H461" s="12">
        <f t="shared" si="0"/>
        <v>16500.236769693482</v>
      </c>
      <c r="I461" s="23" t="s">
        <v>52</v>
      </c>
      <c r="J461" s="23" t="s">
        <v>61</v>
      </c>
      <c r="K461" s="24" t="s">
        <v>177</v>
      </c>
      <c r="L461" s="24">
        <v>172</v>
      </c>
      <c r="M461" s="12">
        <f t="shared" ref="M461:N461" si="466">G461/1.19</f>
        <v>13865.745184616371</v>
      </c>
      <c r="N461" s="12">
        <f t="shared" si="466"/>
        <v>13865.745184616371</v>
      </c>
      <c r="O461" s="12">
        <f t="shared" si="2"/>
        <v>2634.4915850771104</v>
      </c>
      <c r="P461" s="13"/>
      <c r="Q461" s="14">
        <f t="shared" si="3"/>
        <v>2025</v>
      </c>
      <c r="R461" s="15">
        <f>VLOOKUP(MONTH(C461),'Datos Maestros'!M$2:N$14,2,FALSE)</f>
        <v>45505</v>
      </c>
      <c r="S461" s="11" t="str">
        <f>VLOOKUP(E461,Precios!B$2:W$941,3,FALSE)</f>
        <v>Papel Higiénico ELITE</v>
      </c>
      <c r="T461" s="16">
        <f>VLOOKUP(E461,Precios!B$2:N$941,4,FALSE)*F461</f>
        <v>0</v>
      </c>
      <c r="U461" s="17"/>
      <c r="V461" s="12">
        <f>VLOOKUP(E461,Precios!B$2:N$941,13,FALSE)*F461</f>
        <v>3031.7451846163694</v>
      </c>
      <c r="W461" s="12">
        <f t="shared" si="4"/>
        <v>3031.7451846163694</v>
      </c>
      <c r="X461" s="12">
        <f>VLOOKUP(B461,'Datos Maestros'!$C$2:$D$7,2,FALSE)*V461</f>
        <v>0</v>
      </c>
      <c r="Y461" s="18">
        <f t="shared" si="5"/>
        <v>45887</v>
      </c>
      <c r="Z461" s="13" t="s">
        <v>39</v>
      </c>
      <c r="AA461" s="19" t="str">
        <f>VLOOKUP(D461,Clientes!$A$2:$J$486,9,FALSE)</f>
        <v>Ocacional</v>
      </c>
      <c r="AB461" s="13" t="str">
        <f>VLOOKUP(D461,Clientes!$A$2:$K$486,11,FALSE)</f>
        <v>Persona Natural</v>
      </c>
      <c r="AC461" s="13" t="str">
        <f>VLOOKUP(D461,Clientes!$A$2:$B$486,2,FALSE)</f>
        <v>parque Coordillera</v>
      </c>
      <c r="AD461" s="20"/>
      <c r="AE461" s="20"/>
      <c r="AF461" s="13" t="s">
        <v>40</v>
      </c>
      <c r="AG461" s="15">
        <f t="shared" si="6"/>
        <v>45505</v>
      </c>
      <c r="AH461" s="13" t="s">
        <v>41</v>
      </c>
      <c r="AI461" s="13" t="str">
        <f t="shared" si="7"/>
        <v>Papeleria</v>
      </c>
      <c r="AJ461" s="13" t="str">
        <f>VLOOKUP(E461,Precios!Z$2:AA$941,2,FALSE)</f>
        <v>Papel Higienico ELITE 50 metros</v>
      </c>
      <c r="AK461" s="14">
        <f>VLOOKUP(E461,Precios!Z$2:BB$941,3,FALSE)*F461</f>
        <v>-6</v>
      </c>
      <c r="AL461" s="17"/>
      <c r="AM461" s="17"/>
      <c r="AN461" s="17"/>
      <c r="AO461" s="17"/>
      <c r="AP461" s="17"/>
      <c r="AQ461" s="17"/>
      <c r="AR461" s="17"/>
      <c r="AS461" s="17"/>
      <c r="AT461" s="17"/>
      <c r="AU461" s="17"/>
      <c r="AV461" s="17"/>
    </row>
    <row r="462" spans="1:48" ht="15.75" customHeight="1">
      <c r="A462" s="21" t="s">
        <v>53</v>
      </c>
      <c r="B462" s="23" t="s">
        <v>1692</v>
      </c>
      <c r="C462" s="22">
        <v>45889</v>
      </c>
      <c r="D462" s="23" t="s">
        <v>299</v>
      </c>
      <c r="E462" s="23" t="s">
        <v>274</v>
      </c>
      <c r="F462" s="21">
        <v>1</v>
      </c>
      <c r="G462" s="12">
        <f>VLOOKUP(E462,Precios!B$2:N$941,12,FALSE)</f>
        <v>22500.104577715188</v>
      </c>
      <c r="H462" s="12">
        <f t="shared" si="0"/>
        <v>22500.104577715188</v>
      </c>
      <c r="I462" s="23" t="s">
        <v>52</v>
      </c>
      <c r="J462" s="23" t="s">
        <v>61</v>
      </c>
      <c r="K462" s="24" t="s">
        <v>177</v>
      </c>
      <c r="L462" s="24">
        <v>172</v>
      </c>
      <c r="M462" s="12">
        <f t="shared" ref="M462:N462" si="467">G462/1.19</f>
        <v>18907.650905643015</v>
      </c>
      <c r="N462" s="12">
        <f t="shared" si="467"/>
        <v>18907.650905643015</v>
      </c>
      <c r="O462" s="12">
        <f t="shared" si="2"/>
        <v>3592.4536720721735</v>
      </c>
      <c r="P462" s="13"/>
      <c r="Q462" s="14">
        <f t="shared" si="3"/>
        <v>2025</v>
      </c>
      <c r="R462" s="15">
        <f>VLOOKUP(MONTH(C462),'Datos Maestros'!M$2:N$14,2,FALSE)</f>
        <v>45505</v>
      </c>
      <c r="S462" s="11" t="str">
        <f>VLOOKUP(E462,Precios!B$2:W$941,3,FALSE)</f>
        <v>Toalla Nova 70 mts</v>
      </c>
      <c r="T462" s="16">
        <f>VLOOKUP(E462,Precios!B$2:N$941,4,FALSE)*F462</f>
        <v>0</v>
      </c>
      <c r="U462" s="17"/>
      <c r="V462" s="12">
        <f>VLOOKUP(E462,Precios!B$2:N$941,13,FALSE)*F462</f>
        <v>5347.650905643015</v>
      </c>
      <c r="W462" s="12">
        <f t="shared" si="4"/>
        <v>5347.650905643015</v>
      </c>
      <c r="X462" s="12">
        <f>VLOOKUP(B462,'Datos Maestros'!$C$2:$D$7,2,FALSE)*V462</f>
        <v>0</v>
      </c>
      <c r="Y462" s="18">
        <f t="shared" si="5"/>
        <v>45887</v>
      </c>
      <c r="Z462" s="13" t="s">
        <v>39</v>
      </c>
      <c r="AA462" s="19" t="str">
        <f>VLOOKUP(D462,Clientes!$A$2:$J$486,9,FALSE)</f>
        <v>Ocacional</v>
      </c>
      <c r="AB462" s="13" t="str">
        <f>VLOOKUP(D462,Clientes!$A$2:$K$486,11,FALSE)</f>
        <v>Persona Natural</v>
      </c>
      <c r="AC462" s="13" t="str">
        <f>VLOOKUP(D462,Clientes!$A$2:$B$486,2,FALSE)</f>
        <v>parque Coordillera</v>
      </c>
      <c r="AD462" s="20"/>
      <c r="AE462" s="20"/>
      <c r="AF462" s="13" t="s">
        <v>40</v>
      </c>
      <c r="AG462" s="15">
        <f t="shared" si="6"/>
        <v>45505</v>
      </c>
      <c r="AH462" s="13" t="s">
        <v>41</v>
      </c>
      <c r="AI462" s="13" t="str">
        <f t="shared" si="7"/>
        <v>Papeleria</v>
      </c>
      <c r="AJ462" s="13" t="str">
        <f>VLOOKUP(E462,Precios!Z$2:AA$941,2,FALSE)</f>
        <v>Toalla Papel NOVA 70 metros</v>
      </c>
      <c r="AK462" s="14">
        <f>VLOOKUP(E462,Precios!Z$2:BB$941,3,FALSE)*F462</f>
        <v>-8</v>
      </c>
      <c r="AL462" s="17"/>
      <c r="AM462" s="17"/>
      <c r="AN462" s="17"/>
      <c r="AO462" s="17"/>
      <c r="AP462" s="17"/>
      <c r="AQ462" s="17"/>
      <c r="AR462" s="17"/>
      <c r="AS462" s="17"/>
      <c r="AT462" s="17"/>
      <c r="AU462" s="17"/>
      <c r="AV462" s="17"/>
    </row>
    <row r="463" spans="1:48" ht="15.75" customHeight="1">
      <c r="A463" s="21" t="s">
        <v>53</v>
      </c>
      <c r="B463" s="23" t="s">
        <v>1692</v>
      </c>
      <c r="C463" s="22">
        <v>45889</v>
      </c>
      <c r="D463" s="23" t="s">
        <v>299</v>
      </c>
      <c r="E463" s="23" t="s">
        <v>70</v>
      </c>
      <c r="F463" s="21">
        <v>1</v>
      </c>
      <c r="G463" s="12">
        <f>VLOOKUP(E463,Precios!B$2:N$941,12,FALSE)</f>
        <v>5000.3257328990221</v>
      </c>
      <c r="H463" s="12">
        <f t="shared" si="0"/>
        <v>5000.3257328990221</v>
      </c>
      <c r="I463" s="23" t="s">
        <v>52</v>
      </c>
      <c r="J463" s="23" t="s">
        <v>61</v>
      </c>
      <c r="K463" s="24" t="s">
        <v>177</v>
      </c>
      <c r="L463" s="24">
        <v>172</v>
      </c>
      <c r="M463" s="12">
        <f t="shared" ref="M463:N463" si="468">G463/1.19</f>
        <v>4201.9543973941363</v>
      </c>
      <c r="N463" s="12">
        <f t="shared" si="468"/>
        <v>4201.9543973941363</v>
      </c>
      <c r="O463" s="12">
        <f t="shared" si="2"/>
        <v>798.37133550488579</v>
      </c>
      <c r="P463" s="13"/>
      <c r="Q463" s="14">
        <f t="shared" si="3"/>
        <v>2025</v>
      </c>
      <c r="R463" s="15">
        <f>VLOOKUP(MONTH(C463),'Datos Maestros'!M$2:N$14,2,FALSE)</f>
        <v>45505</v>
      </c>
      <c r="S463" s="11" t="str">
        <f>VLOOKUP(E463,Precios!B$2:W$941,3,FALSE)</f>
        <v>Servilletas</v>
      </c>
      <c r="T463" s="16">
        <f>VLOOKUP(E463,Precios!B$2:N$941,4,FALSE)*F463</f>
        <v>300</v>
      </c>
      <c r="U463" s="17"/>
      <c r="V463" s="12">
        <f>VLOOKUP(E463,Precios!B$2:N$941,13,FALSE)*F463</f>
        <v>2008.9543973941363</v>
      </c>
      <c r="W463" s="12">
        <f t="shared" si="4"/>
        <v>2008.9543973941363</v>
      </c>
      <c r="X463" s="12">
        <f>VLOOKUP(B463,'Datos Maestros'!$C$2:$D$7,2,FALSE)*V463</f>
        <v>0</v>
      </c>
      <c r="Y463" s="18">
        <f t="shared" si="5"/>
        <v>45887</v>
      </c>
      <c r="Z463" s="13" t="s">
        <v>39</v>
      </c>
      <c r="AA463" s="19" t="str">
        <f>VLOOKUP(D463,Clientes!$A$2:$J$486,9,FALSE)</f>
        <v>Ocacional</v>
      </c>
      <c r="AB463" s="13" t="str">
        <f>VLOOKUP(D463,Clientes!$A$2:$K$486,11,FALSE)</f>
        <v>Persona Natural</v>
      </c>
      <c r="AC463" s="13" t="str">
        <f>VLOOKUP(D463,Clientes!$A$2:$B$486,2,FALSE)</f>
        <v>parque Coordillera</v>
      </c>
      <c r="AD463" s="20"/>
      <c r="AE463" s="20"/>
      <c r="AF463" s="13" t="s">
        <v>40</v>
      </c>
      <c r="AG463" s="15">
        <f t="shared" si="6"/>
        <v>45505</v>
      </c>
      <c r="AH463" s="13" t="s">
        <v>41</v>
      </c>
      <c r="AI463" s="13" t="str">
        <f t="shared" si="7"/>
        <v>Papeleria</v>
      </c>
      <c r="AJ463" s="13" t="str">
        <f>VLOOKUP(E463,Precios!Z$2:AA$941,2,FALSE)</f>
        <v>Servilletas SOFTQUALITY 300 unidades</v>
      </c>
      <c r="AK463" s="14">
        <f>VLOOKUP(E463,Precios!Z$2:BB$941,3,FALSE)*F463</f>
        <v>-3</v>
      </c>
      <c r="AL463" s="17"/>
      <c r="AM463" s="17"/>
      <c r="AN463" s="17"/>
      <c r="AO463" s="17"/>
      <c r="AP463" s="17"/>
      <c r="AQ463" s="17"/>
      <c r="AR463" s="17"/>
      <c r="AS463" s="17"/>
      <c r="AT463" s="17"/>
      <c r="AU463" s="17"/>
      <c r="AV463" s="17"/>
    </row>
    <row r="464" spans="1:48" ht="15.75" customHeight="1">
      <c r="A464" s="21" t="s">
        <v>76</v>
      </c>
      <c r="B464" s="23" t="s">
        <v>1692</v>
      </c>
      <c r="C464" s="22">
        <v>45889</v>
      </c>
      <c r="D464" s="23" t="s">
        <v>299</v>
      </c>
      <c r="E464" s="23" t="s">
        <v>78</v>
      </c>
      <c r="F464" s="21">
        <v>1</v>
      </c>
      <c r="G464" s="12">
        <f>VLOOKUP(E464,Precios!B$2:N$941,12,FALSE)</f>
        <v>3699.7285326475212</v>
      </c>
      <c r="H464" s="12">
        <f t="shared" si="0"/>
        <v>3699.7285326475212</v>
      </c>
      <c r="I464" s="23" t="s">
        <v>52</v>
      </c>
      <c r="J464" s="23" t="s">
        <v>61</v>
      </c>
      <c r="K464" s="24" t="s">
        <v>177</v>
      </c>
      <c r="L464" s="24">
        <v>172</v>
      </c>
      <c r="M464" s="12">
        <f t="shared" ref="M464:N464" si="469">G464/1.19</f>
        <v>3109.0155736533793</v>
      </c>
      <c r="N464" s="12">
        <f t="shared" si="469"/>
        <v>3109.0155736533793</v>
      </c>
      <c r="O464" s="12">
        <f t="shared" si="2"/>
        <v>590.7129589941419</v>
      </c>
      <c r="P464" s="13"/>
      <c r="Q464" s="14">
        <f t="shared" si="3"/>
        <v>2025</v>
      </c>
      <c r="R464" s="15">
        <f>VLOOKUP(MONTH(C464),'Datos Maestros'!M$2:N$14,2,FALSE)</f>
        <v>45505</v>
      </c>
      <c r="S464" s="11" t="str">
        <f>VLOOKUP(E464,Precios!B$2:W$941,3,FALSE)</f>
        <v>Lavaloza</v>
      </c>
      <c r="T464" s="16">
        <f>VLOOKUP(E464,Precios!B$2:N$941,4,FALSE)*F464</f>
        <v>0</v>
      </c>
      <c r="U464" s="17"/>
      <c r="V464" s="12">
        <f>VLOOKUP(E464,Precios!B$2:N$941,13,FALSE)*F464</f>
        <v>933.01557365337931</v>
      </c>
      <c r="W464" s="12">
        <f t="shared" si="4"/>
        <v>933.01557365337931</v>
      </c>
      <c r="X464" s="12">
        <f>VLOOKUP(B464,'Datos Maestros'!$C$2:$D$7,2,FALSE)*V464</f>
        <v>0</v>
      </c>
      <c r="Y464" s="18">
        <f t="shared" si="5"/>
        <v>45887</v>
      </c>
      <c r="Z464" s="13" t="s">
        <v>39</v>
      </c>
      <c r="AA464" s="19" t="str">
        <f>VLOOKUP(D464,Clientes!$A$2:$J$486,9,FALSE)</f>
        <v>Ocacional</v>
      </c>
      <c r="AB464" s="13" t="str">
        <f>VLOOKUP(D464,Clientes!$A$2:$K$486,11,FALSE)</f>
        <v>Persona Natural</v>
      </c>
      <c r="AC464" s="13" t="str">
        <f>VLOOKUP(D464,Clientes!$A$2:$B$486,2,FALSE)</f>
        <v>parque Coordillera</v>
      </c>
      <c r="AD464" s="20"/>
      <c r="AE464" s="20"/>
      <c r="AF464" s="13" t="s">
        <v>40</v>
      </c>
      <c r="AG464" s="15">
        <f t="shared" si="6"/>
        <v>45505</v>
      </c>
      <c r="AH464" s="13" t="s">
        <v>41</v>
      </c>
      <c r="AI464" s="13" t="str">
        <f t="shared" si="7"/>
        <v>Detergentes</v>
      </c>
      <c r="AJ464" s="13" t="str">
        <f>VLOOKUP(E464,Precios!Z$2:AA$941,2,FALSE)</f>
        <v>Lavaloza MAGISTRAL 500 ml</v>
      </c>
      <c r="AK464" s="14">
        <f>VLOOKUP(E464,Precios!Z$2:BB$941,3,FALSE)*F464</f>
        <v>-1</v>
      </c>
      <c r="AL464" s="17"/>
      <c r="AM464" s="17"/>
      <c r="AN464" s="17"/>
      <c r="AO464" s="17"/>
      <c r="AP464" s="17"/>
      <c r="AQ464" s="17"/>
      <c r="AR464" s="17"/>
      <c r="AS464" s="17"/>
      <c r="AT464" s="17"/>
      <c r="AU464" s="17"/>
      <c r="AV464" s="17"/>
    </row>
    <row r="465" spans="1:48" ht="15.75" customHeight="1">
      <c r="A465" s="21" t="s">
        <v>56</v>
      </c>
      <c r="B465" s="23" t="s">
        <v>1692</v>
      </c>
      <c r="C465" s="22">
        <v>45889</v>
      </c>
      <c r="D465" s="23" t="s">
        <v>299</v>
      </c>
      <c r="E465" s="23" t="s">
        <v>62</v>
      </c>
      <c r="F465" s="21">
        <v>1</v>
      </c>
      <c r="G465" s="12">
        <f>VLOOKUP(E465,Precios!B$2:N$941,12,FALSE)</f>
        <v>3700</v>
      </c>
      <c r="H465" s="12">
        <f t="shared" si="0"/>
        <v>3700</v>
      </c>
      <c r="I465" s="23" t="s">
        <v>52</v>
      </c>
      <c r="J465" s="23" t="s">
        <v>61</v>
      </c>
      <c r="K465" s="24" t="s">
        <v>177</v>
      </c>
      <c r="L465" s="24">
        <v>172</v>
      </c>
      <c r="M465" s="12">
        <f t="shared" ref="M465:N465" si="470">G465/1.19</f>
        <v>3109.2436974789916</v>
      </c>
      <c r="N465" s="12">
        <f t="shared" si="470"/>
        <v>3109.2436974789916</v>
      </c>
      <c r="O465" s="12">
        <f t="shared" si="2"/>
        <v>590.75630252100837</v>
      </c>
      <c r="P465" s="13"/>
      <c r="Q465" s="14">
        <f t="shared" si="3"/>
        <v>2025</v>
      </c>
      <c r="R465" s="15">
        <f>VLOOKUP(MONTH(C465),'Datos Maestros'!M$2:N$14,2,FALSE)</f>
        <v>45505</v>
      </c>
      <c r="S465" s="11" t="str">
        <f>VLOOKUP(E465,Precios!B$2:W$941,3,FALSE)</f>
        <v xml:space="preserve">Queso Rueda Sabores </v>
      </c>
      <c r="T465" s="16">
        <f>VLOOKUP(E465,Precios!B$2:N$941,4,FALSE)*F465</f>
        <v>200</v>
      </c>
      <c r="U465" s="17"/>
      <c r="V465" s="12">
        <f>VLOOKUP(E465,Precios!B$2:N$941,13,FALSE)*F465</f>
        <v>1199.159663865546</v>
      </c>
      <c r="W465" s="12">
        <f t="shared" si="4"/>
        <v>1199.159663865546</v>
      </c>
      <c r="X465" s="12">
        <f>VLOOKUP(B465,'Datos Maestros'!$C$2:$D$7,2,FALSE)*V465</f>
        <v>0</v>
      </c>
      <c r="Y465" s="18">
        <f t="shared" si="5"/>
        <v>45887</v>
      </c>
      <c r="Z465" s="13" t="s">
        <v>39</v>
      </c>
      <c r="AA465" s="19" t="str">
        <f>VLOOKUP(D465,Clientes!$A$2:$J$486,9,FALSE)</f>
        <v>Ocacional</v>
      </c>
      <c r="AB465" s="13" t="str">
        <f>VLOOKUP(D465,Clientes!$A$2:$K$486,11,FALSE)</f>
        <v>Persona Natural</v>
      </c>
      <c r="AC465" s="13" t="str">
        <f>VLOOKUP(D465,Clientes!$A$2:$B$486,2,FALSE)</f>
        <v>parque Coordillera</v>
      </c>
      <c r="AD465" s="20"/>
      <c r="AE465" s="20"/>
      <c r="AF465" s="13" t="s">
        <v>40</v>
      </c>
      <c r="AG465" s="15">
        <f t="shared" si="6"/>
        <v>45505</v>
      </c>
      <c r="AH465" s="13" t="s">
        <v>41</v>
      </c>
      <c r="AI465" s="13" t="str">
        <f t="shared" si="7"/>
        <v>Derivados</v>
      </c>
      <c r="AJ465" s="13" t="str">
        <f>VLOOKUP(E465,Precios!Z$2:AA$941,2,FALSE)</f>
        <v>Queso Sabores</v>
      </c>
      <c r="AK465" s="14">
        <f>VLOOKUP(E465,Precios!Z$2:BB$941,3,FALSE)*F465</f>
        <v>-1</v>
      </c>
      <c r="AL465" s="17"/>
      <c r="AM465" s="17"/>
      <c r="AN465" s="17"/>
      <c r="AO465" s="17"/>
      <c r="AP465" s="17"/>
      <c r="AQ465" s="17"/>
      <c r="AR465" s="17"/>
      <c r="AS465" s="17"/>
      <c r="AT465" s="17"/>
      <c r="AU465" s="17"/>
      <c r="AV465" s="17"/>
    </row>
    <row r="466" spans="1:48" ht="15.75" customHeight="1">
      <c r="A466" s="21" t="s">
        <v>35</v>
      </c>
      <c r="B466" s="23" t="s">
        <v>1692</v>
      </c>
      <c r="C466" s="22">
        <v>45888</v>
      </c>
      <c r="D466" s="23" t="s">
        <v>259</v>
      </c>
      <c r="E466" s="23" t="s">
        <v>37</v>
      </c>
      <c r="F466" s="21">
        <v>1</v>
      </c>
      <c r="G466" s="12">
        <f>VLOOKUP(E466,Precios!B$2:N$941,12,FALSE)</f>
        <v>11000.014358944907</v>
      </c>
      <c r="H466" s="12">
        <f t="shared" si="0"/>
        <v>11000.014358944907</v>
      </c>
      <c r="I466" s="23" t="s">
        <v>52</v>
      </c>
      <c r="J466" s="23" t="s">
        <v>61</v>
      </c>
      <c r="K466" s="24" t="s">
        <v>177</v>
      </c>
      <c r="L466" s="24">
        <v>172</v>
      </c>
      <c r="M466" s="12">
        <f t="shared" ref="M466:N466" si="471">G466/1.19</f>
        <v>9243.7095453318543</v>
      </c>
      <c r="N466" s="12">
        <f t="shared" si="471"/>
        <v>9243.7095453318543</v>
      </c>
      <c r="O466" s="12">
        <f t="shared" si="2"/>
        <v>1756.3048136130528</v>
      </c>
      <c r="P466" s="13"/>
      <c r="Q466" s="14">
        <f t="shared" si="3"/>
        <v>2025</v>
      </c>
      <c r="R466" s="15">
        <f>VLOOKUP(MONTH(C466),'Datos Maestros'!M$2:N$14,2,FALSE)</f>
        <v>45505</v>
      </c>
      <c r="S466" s="11" t="str">
        <f>VLOOKUP(E466,Precios!B$2:W$941,3,FALSE)</f>
        <v>Queso Mantecoso</v>
      </c>
      <c r="T466" s="16">
        <f>VLOOKUP(E466,Precios!B$2:N$941,4,FALSE)*F466</f>
        <v>1000</v>
      </c>
      <c r="U466" s="17"/>
      <c r="V466" s="12">
        <f>VLOOKUP(E466,Precios!B$2:N$941,13,FALSE)*F466</f>
        <v>2806.1129066763915</v>
      </c>
      <c r="W466" s="12">
        <f t="shared" si="4"/>
        <v>2806.1129066763915</v>
      </c>
      <c r="X466" s="12">
        <f>VLOOKUP(B466,'Datos Maestros'!$C$2:$D$7,2,FALSE)*V466</f>
        <v>0</v>
      </c>
      <c r="Y466" s="18">
        <f t="shared" si="5"/>
        <v>45887</v>
      </c>
      <c r="Z466" s="13" t="s">
        <v>39</v>
      </c>
      <c r="AA466" s="19" t="str">
        <f>VLOOKUP(D466,Clientes!$A$2:$J$486,9,FALSE)</f>
        <v>Ocacional</v>
      </c>
      <c r="AB466" s="13" t="str">
        <f>VLOOKUP(D466,Clientes!$A$2:$K$486,11,FALSE)</f>
        <v>Persona Natural</v>
      </c>
      <c r="AC466" s="13" t="str">
        <f>VLOOKUP(D466,Clientes!$A$2:$B$486,2,FALSE)</f>
        <v>Rojas Magallanes</v>
      </c>
      <c r="AD466" s="20"/>
      <c r="AE466" s="20"/>
      <c r="AF466" s="13" t="s">
        <v>40</v>
      </c>
      <c r="AG466" s="15">
        <f t="shared" si="6"/>
        <v>45505</v>
      </c>
      <c r="AH466" s="13" t="s">
        <v>41</v>
      </c>
      <c r="AI466" s="13" t="str">
        <f t="shared" si="7"/>
        <v>Quesos</v>
      </c>
      <c r="AJ466" s="13" t="str">
        <f>VLOOKUP(E466,Precios!Z$2:AA$941,2,FALSE)</f>
        <v>Queso RUNCA Mantecoso</v>
      </c>
      <c r="AK466" s="14">
        <f>VLOOKUP(E466,Precios!Z$2:BB$941,3,FALSE)*F466</f>
        <v>-1</v>
      </c>
      <c r="AL466" s="17"/>
      <c r="AM466" s="17"/>
      <c r="AN466" s="17"/>
      <c r="AO466" s="17"/>
      <c r="AP466" s="17"/>
      <c r="AQ466" s="17"/>
      <c r="AR466" s="17"/>
      <c r="AS466" s="17"/>
      <c r="AT466" s="17"/>
      <c r="AU466" s="17"/>
      <c r="AV466" s="17"/>
    </row>
    <row r="467" spans="1:48" ht="15.75" customHeight="1">
      <c r="A467" s="21" t="s">
        <v>47</v>
      </c>
      <c r="B467" s="23" t="s">
        <v>1692</v>
      </c>
      <c r="C467" s="22">
        <v>45888</v>
      </c>
      <c r="D467" s="23" t="s">
        <v>259</v>
      </c>
      <c r="E467" s="23" t="s">
        <v>92</v>
      </c>
      <c r="F467" s="21">
        <v>1</v>
      </c>
      <c r="G467" s="12">
        <f>VLOOKUP(E467,Precios!B$2:N$941,12,FALSE)</f>
        <v>3400.2970989164628</v>
      </c>
      <c r="H467" s="12">
        <f t="shared" si="0"/>
        <v>3400.2970989164628</v>
      </c>
      <c r="I467" s="23" t="s">
        <v>52</v>
      </c>
      <c r="J467" s="23" t="s">
        <v>61</v>
      </c>
      <c r="K467" s="24" t="s">
        <v>177</v>
      </c>
      <c r="L467" s="24">
        <v>172</v>
      </c>
      <c r="M467" s="12">
        <f t="shared" ref="M467:N467" si="472">G467/1.19</f>
        <v>2857.3925200978679</v>
      </c>
      <c r="N467" s="12">
        <f t="shared" si="472"/>
        <v>2857.3925200978679</v>
      </c>
      <c r="O467" s="12">
        <f t="shared" si="2"/>
        <v>542.90457881859493</v>
      </c>
      <c r="P467" s="13"/>
      <c r="Q467" s="14">
        <f t="shared" si="3"/>
        <v>2025</v>
      </c>
      <c r="R467" s="15">
        <f>VLOOKUP(MONTH(C467),'Datos Maestros'!M$2:N$14,2,FALSE)</f>
        <v>45505</v>
      </c>
      <c r="S467" s="11" t="str">
        <f>VLOOKUP(E467,Precios!B$2:W$941,3,FALSE)</f>
        <v>Bolsa Basura</v>
      </c>
      <c r="T467" s="16">
        <f>VLOOKUP(E467,Precios!B$2:N$941,4,FALSE)*F467</f>
        <v>0</v>
      </c>
      <c r="U467" s="17"/>
      <c r="V467" s="12">
        <f>VLOOKUP(E467,Precios!B$2:N$941,13,FALSE)*F467</f>
        <v>1222.3925200978679</v>
      </c>
      <c r="W467" s="12">
        <f t="shared" si="4"/>
        <v>1222.3925200978679</v>
      </c>
      <c r="X467" s="12">
        <f>VLOOKUP(B467,'Datos Maestros'!$C$2:$D$7,2,FALSE)*V467</f>
        <v>0</v>
      </c>
      <c r="Y467" s="18">
        <f t="shared" si="5"/>
        <v>45887</v>
      </c>
      <c r="Z467" s="13" t="s">
        <v>39</v>
      </c>
      <c r="AA467" s="19" t="str">
        <f>VLOOKUP(D467,Clientes!$A$2:$J$486,9,FALSE)</f>
        <v>Ocacional</v>
      </c>
      <c r="AB467" s="13" t="str">
        <f>VLOOKUP(D467,Clientes!$A$2:$K$486,11,FALSE)</f>
        <v>Persona Natural</v>
      </c>
      <c r="AC467" s="13" t="str">
        <f>VLOOKUP(D467,Clientes!$A$2:$B$486,2,FALSE)</f>
        <v>Rojas Magallanes</v>
      </c>
      <c r="AD467" s="20"/>
      <c r="AE467" s="20"/>
      <c r="AF467" s="13" t="s">
        <v>40</v>
      </c>
      <c r="AG467" s="15">
        <f t="shared" si="6"/>
        <v>45505</v>
      </c>
      <c r="AH467" s="13" t="s">
        <v>41</v>
      </c>
      <c r="AI467" s="13" t="str">
        <f t="shared" si="7"/>
        <v>Articulos de Aseo</v>
      </c>
      <c r="AJ467" s="13" t="str">
        <f>VLOOKUP(E467,Precios!Z$2:AA$941,2,FALSE)</f>
        <v xml:space="preserve">Bolsas Basura TEDDY 70x90 </v>
      </c>
      <c r="AK467" s="14">
        <f>VLOOKUP(E467,Precios!Z$2:BB$941,3,FALSE)*F467</f>
        <v>-3</v>
      </c>
      <c r="AL467" s="17"/>
      <c r="AM467" s="17"/>
      <c r="AN467" s="17"/>
      <c r="AO467" s="17"/>
      <c r="AP467" s="17"/>
      <c r="AQ467" s="17"/>
      <c r="AR467" s="17"/>
      <c r="AS467" s="17"/>
      <c r="AT467" s="17"/>
      <c r="AU467" s="17"/>
      <c r="AV467" s="17"/>
    </row>
    <row r="468" spans="1:48" ht="15.75" customHeight="1">
      <c r="A468" s="21" t="s">
        <v>53</v>
      </c>
      <c r="B468" s="23" t="s">
        <v>1692</v>
      </c>
      <c r="C468" s="22">
        <v>45888</v>
      </c>
      <c r="D468" s="23" t="s">
        <v>96</v>
      </c>
      <c r="E468" s="23" t="s">
        <v>97</v>
      </c>
      <c r="F468" s="21">
        <v>1</v>
      </c>
      <c r="G468" s="12">
        <f>VLOOKUP(E468,Precios!B$2:N$941,12,FALSE)</f>
        <v>16500.236769693482</v>
      </c>
      <c r="H468" s="12">
        <f t="shared" si="0"/>
        <v>16500.236769693482</v>
      </c>
      <c r="I468" s="23" t="s">
        <v>52</v>
      </c>
      <c r="J468" s="23" t="s">
        <v>61</v>
      </c>
      <c r="K468" s="24" t="s">
        <v>177</v>
      </c>
      <c r="L468" s="24">
        <v>172</v>
      </c>
      <c r="M468" s="12">
        <f t="shared" ref="M468:N468" si="473">G468/1.19</f>
        <v>13865.745184616371</v>
      </c>
      <c r="N468" s="12">
        <f t="shared" si="473"/>
        <v>13865.745184616371</v>
      </c>
      <c r="O468" s="12">
        <f t="shared" si="2"/>
        <v>2634.4915850771104</v>
      </c>
      <c r="P468" s="13"/>
      <c r="Q468" s="14">
        <f t="shared" si="3"/>
        <v>2025</v>
      </c>
      <c r="R468" s="15">
        <f>VLOOKUP(MONTH(C468),'Datos Maestros'!M$2:N$14,2,FALSE)</f>
        <v>45505</v>
      </c>
      <c r="S468" s="11" t="str">
        <f>VLOOKUP(E468,Precios!B$2:W$941,3,FALSE)</f>
        <v>Papel Higiénico ELITE</v>
      </c>
      <c r="T468" s="16">
        <f>VLOOKUP(E468,Precios!B$2:N$941,4,FALSE)*F468</f>
        <v>0</v>
      </c>
      <c r="U468" s="17"/>
      <c r="V468" s="12">
        <f>VLOOKUP(E468,Precios!B$2:N$941,13,FALSE)*F468</f>
        <v>3031.7451846163694</v>
      </c>
      <c r="W468" s="12">
        <f t="shared" si="4"/>
        <v>3031.7451846163694</v>
      </c>
      <c r="X468" s="12">
        <f>VLOOKUP(B468,'Datos Maestros'!$C$2:$D$7,2,FALSE)*V468</f>
        <v>0</v>
      </c>
      <c r="Y468" s="18">
        <f t="shared" si="5"/>
        <v>45887</v>
      </c>
      <c r="Z468" s="13" t="s">
        <v>39</v>
      </c>
      <c r="AA468" s="19" t="str">
        <f>VLOOKUP(D468,Clientes!$A$2:$J$486,9,FALSE)</f>
        <v>Ocacional</v>
      </c>
      <c r="AB468" s="13" t="str">
        <f>VLOOKUP(D468,Clientes!$A$2:$K$486,11,FALSE)</f>
        <v>Persona Natural</v>
      </c>
      <c r="AC468" s="13" t="str">
        <f>VLOOKUP(D468,Clientes!$A$2:$B$486,2,FALSE)</f>
        <v>Jardin del eden</v>
      </c>
      <c r="AD468" s="20"/>
      <c r="AE468" s="20"/>
      <c r="AF468" s="13" t="s">
        <v>40</v>
      </c>
      <c r="AG468" s="15">
        <f t="shared" si="6"/>
        <v>45505</v>
      </c>
      <c r="AH468" s="13" t="s">
        <v>41</v>
      </c>
      <c r="AI468" s="13" t="str">
        <f t="shared" si="7"/>
        <v>Papeleria</v>
      </c>
      <c r="AJ468" s="13" t="str">
        <f>VLOOKUP(E468,Precios!Z$2:AA$941,2,FALSE)</f>
        <v>Papel Higienico ELITE 50 metros</v>
      </c>
      <c r="AK468" s="14">
        <f>VLOOKUP(E468,Precios!Z$2:BB$941,3,FALSE)*F468</f>
        <v>-6</v>
      </c>
      <c r="AL468" s="17"/>
      <c r="AM468" s="17"/>
      <c r="AN468" s="17"/>
      <c r="AO468" s="17"/>
      <c r="AP468" s="17"/>
      <c r="AQ468" s="17"/>
      <c r="AR468" s="17"/>
      <c r="AS468" s="17"/>
      <c r="AT468" s="17"/>
      <c r="AU468" s="17"/>
      <c r="AV468" s="17"/>
    </row>
    <row r="469" spans="1:48" ht="15.75" customHeight="1">
      <c r="A469" s="21" t="s">
        <v>35</v>
      </c>
      <c r="B469" s="23" t="s">
        <v>1692</v>
      </c>
      <c r="C469" s="22">
        <v>45888</v>
      </c>
      <c r="D469" s="23" t="s">
        <v>96</v>
      </c>
      <c r="E469" s="23" t="s">
        <v>37</v>
      </c>
      <c r="F469" s="21">
        <v>1</v>
      </c>
      <c r="G469" s="12">
        <f>VLOOKUP(E469,Precios!B$2:N$941,12,FALSE)</f>
        <v>11000.014358944907</v>
      </c>
      <c r="H469" s="12">
        <f t="shared" si="0"/>
        <v>11000.014358944907</v>
      </c>
      <c r="I469" s="23" t="s">
        <v>52</v>
      </c>
      <c r="J469" s="23" t="s">
        <v>61</v>
      </c>
      <c r="K469" s="24" t="s">
        <v>177</v>
      </c>
      <c r="L469" s="24">
        <v>172</v>
      </c>
      <c r="M469" s="12">
        <f t="shared" ref="M469:N469" si="474">G469/1.19</f>
        <v>9243.7095453318543</v>
      </c>
      <c r="N469" s="12">
        <f t="shared" si="474"/>
        <v>9243.7095453318543</v>
      </c>
      <c r="O469" s="12">
        <f t="shared" si="2"/>
        <v>1756.3048136130528</v>
      </c>
      <c r="P469" s="13"/>
      <c r="Q469" s="14">
        <f t="shared" si="3"/>
        <v>2025</v>
      </c>
      <c r="R469" s="15">
        <f>VLOOKUP(MONTH(C469),'Datos Maestros'!M$2:N$14,2,FALSE)</f>
        <v>45505</v>
      </c>
      <c r="S469" s="11" t="str">
        <f>VLOOKUP(E469,Precios!B$2:W$941,3,FALSE)</f>
        <v>Queso Mantecoso</v>
      </c>
      <c r="T469" s="16">
        <f>VLOOKUP(E469,Precios!B$2:N$941,4,FALSE)*F469</f>
        <v>1000</v>
      </c>
      <c r="U469" s="17"/>
      <c r="V469" s="12">
        <f>VLOOKUP(E469,Precios!B$2:N$941,13,FALSE)*F469</f>
        <v>2806.1129066763915</v>
      </c>
      <c r="W469" s="12">
        <f t="shared" si="4"/>
        <v>2806.1129066763915</v>
      </c>
      <c r="X469" s="12">
        <f>VLOOKUP(B469,'Datos Maestros'!$C$2:$D$7,2,FALSE)*V469</f>
        <v>0</v>
      </c>
      <c r="Y469" s="18">
        <f t="shared" si="5"/>
        <v>45887</v>
      </c>
      <c r="Z469" s="13" t="s">
        <v>39</v>
      </c>
      <c r="AA469" s="19" t="str">
        <f>VLOOKUP(D469,Clientes!$A$2:$J$486,9,FALSE)</f>
        <v>Ocacional</v>
      </c>
      <c r="AB469" s="13" t="str">
        <f>VLOOKUP(D469,Clientes!$A$2:$K$486,11,FALSE)</f>
        <v>Persona Natural</v>
      </c>
      <c r="AC469" s="13" t="str">
        <f>VLOOKUP(D469,Clientes!$A$2:$B$486,2,FALSE)</f>
        <v>Jardin del eden</v>
      </c>
      <c r="AD469" s="20"/>
      <c r="AE469" s="20"/>
      <c r="AF469" s="13" t="s">
        <v>40</v>
      </c>
      <c r="AG469" s="15">
        <f t="shared" si="6"/>
        <v>45505</v>
      </c>
      <c r="AH469" s="13" t="s">
        <v>41</v>
      </c>
      <c r="AI469" s="13" t="str">
        <f t="shared" si="7"/>
        <v>Quesos</v>
      </c>
      <c r="AJ469" s="13" t="str">
        <f>VLOOKUP(E469,Precios!Z$2:AA$941,2,FALSE)</f>
        <v>Queso RUNCA Mantecoso</v>
      </c>
      <c r="AK469" s="14">
        <f>VLOOKUP(E469,Precios!Z$2:BB$941,3,FALSE)*F469</f>
        <v>-1</v>
      </c>
      <c r="AL469" s="17"/>
      <c r="AM469" s="17"/>
      <c r="AN469" s="17"/>
      <c r="AO469" s="17"/>
      <c r="AP469" s="17"/>
      <c r="AQ469" s="17"/>
      <c r="AR469" s="17"/>
      <c r="AS469" s="17"/>
      <c r="AT469" s="17"/>
      <c r="AU469" s="17"/>
      <c r="AV469" s="17"/>
    </row>
    <row r="470" spans="1:48" ht="15.75" customHeight="1">
      <c r="A470" s="21" t="s">
        <v>43</v>
      </c>
      <c r="B470" s="23" t="s">
        <v>1692</v>
      </c>
      <c r="C470" s="22">
        <v>45888</v>
      </c>
      <c r="D470" s="23" t="s">
        <v>184</v>
      </c>
      <c r="E470" s="23" t="s">
        <v>45</v>
      </c>
      <c r="F470" s="21">
        <v>1</v>
      </c>
      <c r="G470" s="12">
        <f>VLOOKUP(E470,Precios!B$2:N$941,12,FALSE)</f>
        <v>8000.1831784723063</v>
      </c>
      <c r="H470" s="12">
        <f t="shared" si="0"/>
        <v>8000.1831784723063</v>
      </c>
      <c r="I470" s="23" t="s">
        <v>52</v>
      </c>
      <c r="J470" s="23" t="s">
        <v>61</v>
      </c>
      <c r="K470" s="24" t="s">
        <v>177</v>
      </c>
      <c r="L470" s="24">
        <v>172</v>
      </c>
      <c r="M470" s="12">
        <f t="shared" ref="M470:N470" si="475">G470/1.19</f>
        <v>6722.8430071195853</v>
      </c>
      <c r="N470" s="12">
        <f t="shared" si="475"/>
        <v>6722.8430071195853</v>
      </c>
      <c r="O470" s="12">
        <f t="shared" si="2"/>
        <v>1277.340171352721</v>
      </c>
      <c r="P470" s="13"/>
      <c r="Q470" s="14">
        <f t="shared" si="3"/>
        <v>2025</v>
      </c>
      <c r="R470" s="15">
        <f>VLOOKUP(MONTH(C470),'Datos Maestros'!M$2:N$14,2,FALSE)</f>
        <v>45505</v>
      </c>
      <c r="S470" s="11" t="str">
        <f>VLOOKUP(E470,Precios!B$2:W$941,3,FALSE)</f>
        <v>Huevos EXTRA</v>
      </c>
      <c r="T470" s="16">
        <f>VLOOKUP(E470,Precios!B$2:N$941,4,FALSE)*F470</f>
        <v>0</v>
      </c>
      <c r="U470" s="17"/>
      <c r="V470" s="12">
        <f>VLOOKUP(E470,Precios!B$2:N$941,13,FALSE)*F470</f>
        <v>1151.6230071195851</v>
      </c>
      <c r="W470" s="12">
        <f t="shared" si="4"/>
        <v>1151.6230071195851</v>
      </c>
      <c r="X470" s="12">
        <f>VLOOKUP(B470,'Datos Maestros'!$C$2:$D$7,2,FALSE)*V470</f>
        <v>0</v>
      </c>
      <c r="Y470" s="18">
        <f t="shared" si="5"/>
        <v>45887</v>
      </c>
      <c r="Z470" s="13" t="s">
        <v>39</v>
      </c>
      <c r="AA470" s="19" t="str">
        <f>VLOOKUP(D470,Clientes!$A$2:$J$486,9,FALSE)</f>
        <v>Frecuente</v>
      </c>
      <c r="AB470" s="13" t="str">
        <f>VLOOKUP(D470,Clientes!$A$2:$K$486,11,FALSE)</f>
        <v>Persona Natural</v>
      </c>
      <c r="AC470" s="13" t="str">
        <f>VLOOKUP(D470,Clientes!$A$2:$B$486,2,FALSE)</f>
        <v>Jardin del Eden</v>
      </c>
      <c r="AD470" s="20"/>
      <c r="AE470" s="20"/>
      <c r="AF470" s="13" t="s">
        <v>40</v>
      </c>
      <c r="AG470" s="15">
        <f t="shared" si="6"/>
        <v>45505</v>
      </c>
      <c r="AH470" s="13" t="s">
        <v>41</v>
      </c>
      <c r="AI470" s="13" t="str">
        <f t="shared" si="7"/>
        <v>Huevos</v>
      </c>
      <c r="AJ470" s="13" t="str">
        <f>VLOOKUP(E470,Precios!Z$2:AA$941,2,FALSE)</f>
        <v>Bandeja Huevos EXTRA</v>
      </c>
      <c r="AK470" s="14">
        <f>VLOOKUP(E470,Precios!Z$2:BB$941,3,FALSE)*F470</f>
        <v>-1</v>
      </c>
      <c r="AL470" s="17"/>
      <c r="AM470" s="17"/>
      <c r="AN470" s="17"/>
      <c r="AO470" s="17"/>
      <c r="AP470" s="17"/>
      <c r="AQ470" s="17"/>
      <c r="AR470" s="17"/>
      <c r="AS470" s="17"/>
      <c r="AT470" s="17"/>
      <c r="AU470" s="17"/>
      <c r="AV470" s="17"/>
    </row>
    <row r="471" spans="1:48" ht="15.75" customHeight="1">
      <c r="A471" s="21" t="s">
        <v>76</v>
      </c>
      <c r="B471" s="23" t="s">
        <v>1692</v>
      </c>
      <c r="C471" s="22">
        <v>45888</v>
      </c>
      <c r="D471" s="23" t="s">
        <v>125</v>
      </c>
      <c r="E471" s="23" t="s">
        <v>137</v>
      </c>
      <c r="F471" s="21">
        <v>1</v>
      </c>
      <c r="G471" s="12">
        <f>VLOOKUP(E471,Precios!B$2:N$941,12,FALSE)</f>
        <v>3500.0000000000005</v>
      </c>
      <c r="H471" s="12">
        <f t="shared" si="0"/>
        <v>3500.0000000000005</v>
      </c>
      <c r="I471" s="23" t="s">
        <v>52</v>
      </c>
      <c r="J471" s="23" t="s">
        <v>61</v>
      </c>
      <c r="K471" s="24" t="s">
        <v>177</v>
      </c>
      <c r="L471" s="24">
        <v>172</v>
      </c>
      <c r="M471" s="12">
        <f t="shared" ref="M471:N471" si="476">G471/1.19</f>
        <v>2941.1764705882356</v>
      </c>
      <c r="N471" s="12">
        <f t="shared" si="476"/>
        <v>2941.1764705882356</v>
      </c>
      <c r="O471" s="12">
        <f t="shared" si="2"/>
        <v>558.82352941176487</v>
      </c>
      <c r="P471" s="13"/>
      <c r="Q471" s="14">
        <f t="shared" si="3"/>
        <v>2025</v>
      </c>
      <c r="R471" s="15">
        <f>VLOOKUP(MONTH(C471),'Datos Maestros'!M$2:N$14,2,FALSE)</f>
        <v>45505</v>
      </c>
      <c r="S471" s="11" t="str">
        <f>VLOOKUP(E471,Precios!B$2:W$941,3,FALSE)</f>
        <v>Detergente Piel Sensible</v>
      </c>
      <c r="T471" s="16">
        <f>VLOOKUP(E471,Precios!B$2:N$941,4,FALSE)*F471</f>
        <v>5</v>
      </c>
      <c r="U471" s="17"/>
      <c r="V471" s="12">
        <f>VLOOKUP(E471,Precios!B$2:N$941,13,FALSE)*F471</f>
        <v>848.73949579831969</v>
      </c>
      <c r="W471" s="12">
        <f t="shared" si="4"/>
        <v>848.73949579831969</v>
      </c>
      <c r="X471" s="12">
        <f>VLOOKUP(B471,'Datos Maestros'!$C$2:$D$7,2,FALSE)*V471</f>
        <v>0</v>
      </c>
      <c r="Y471" s="18">
        <f t="shared" si="5"/>
        <v>45887</v>
      </c>
      <c r="Z471" s="13" t="s">
        <v>39</v>
      </c>
      <c r="AA471" s="19" t="str">
        <f>VLOOKUP(D471,Clientes!$A$2:$J$486,9,FALSE)</f>
        <v>Frecuente</v>
      </c>
      <c r="AB471" s="13" t="str">
        <f>VLOOKUP(D471,Clientes!$A$2:$K$486,11,FALSE)</f>
        <v>Persona Natural</v>
      </c>
      <c r="AC471" s="13" t="str">
        <f>VLOOKUP(D471,Clientes!$A$2:$B$486,2,FALSE)</f>
        <v>Jardines de la Viña</v>
      </c>
      <c r="AD471" s="20"/>
      <c r="AE471" s="20"/>
      <c r="AF471" s="13" t="s">
        <v>40</v>
      </c>
      <c r="AG471" s="15">
        <f t="shared" si="6"/>
        <v>45505</v>
      </c>
      <c r="AH471" s="13" t="s">
        <v>41</v>
      </c>
      <c r="AI471" s="13" t="str">
        <f t="shared" si="7"/>
        <v>Detergentes</v>
      </c>
      <c r="AJ471" s="13" t="str">
        <f>VLOOKUP(E471,Precios!Z$2:AA$941,2,FALSE)</f>
        <v>Detergente SPUM 5 Litros (Blanco)</v>
      </c>
      <c r="AK471" s="14">
        <f>VLOOKUP(E471,Precios!Z$2:BB$941,3,FALSE)*F471</f>
        <v>-1</v>
      </c>
      <c r="AL471" s="17"/>
      <c r="AM471" s="17"/>
      <c r="AN471" s="17"/>
      <c r="AO471" s="17"/>
      <c r="AP471" s="17"/>
      <c r="AQ471" s="17"/>
      <c r="AR471" s="17"/>
      <c r="AS471" s="17"/>
      <c r="AT471" s="17"/>
      <c r="AU471" s="17"/>
      <c r="AV471" s="17"/>
    </row>
    <row r="472" spans="1:48" ht="15.75" customHeight="1">
      <c r="A472" s="21" t="s">
        <v>53</v>
      </c>
      <c r="B472" s="23" t="s">
        <v>1692</v>
      </c>
      <c r="C472" s="22">
        <v>45888</v>
      </c>
      <c r="D472" s="23" t="s">
        <v>125</v>
      </c>
      <c r="E472" s="23" t="s">
        <v>69</v>
      </c>
      <c r="F472" s="21">
        <v>1</v>
      </c>
      <c r="G472" s="12">
        <f>VLOOKUP(E472,Precios!B$2:N$941,12,FALSE)</f>
        <v>2999.9553810458683</v>
      </c>
      <c r="H472" s="12">
        <f t="shared" si="0"/>
        <v>2999.9553810458683</v>
      </c>
      <c r="I472" s="23" t="s">
        <v>52</v>
      </c>
      <c r="J472" s="23" t="s">
        <v>61</v>
      </c>
      <c r="K472" s="24" t="s">
        <v>177</v>
      </c>
      <c r="L472" s="24">
        <v>172</v>
      </c>
      <c r="M472" s="12">
        <f t="shared" ref="M472:N472" si="477">G472/1.19</f>
        <v>2520.9709084419064</v>
      </c>
      <c r="N472" s="12">
        <f t="shared" si="477"/>
        <v>2520.9709084419064</v>
      </c>
      <c r="O472" s="12">
        <f t="shared" si="2"/>
        <v>478.98447260396188</v>
      </c>
      <c r="P472" s="13"/>
      <c r="Q472" s="14">
        <f t="shared" si="3"/>
        <v>2025</v>
      </c>
      <c r="R472" s="15">
        <f>VLOOKUP(MONTH(C472),'Datos Maestros'!M$2:N$14,2,FALSE)</f>
        <v>45505</v>
      </c>
      <c r="S472" s="11" t="str">
        <f>VLOOKUP(E472,Precios!B$2:W$941,3,FALSE)</f>
        <v>Toalla Nova 70 mts</v>
      </c>
      <c r="T472" s="16">
        <f>VLOOKUP(E472,Precios!B$2:N$941,4,FALSE)*F472</f>
        <v>0</v>
      </c>
      <c r="U472" s="17"/>
      <c r="V472" s="12">
        <f>VLOOKUP(E472,Precios!B$2:N$941,13,FALSE)*F472</f>
        <v>825.97090844190598</v>
      </c>
      <c r="W472" s="12">
        <f t="shared" si="4"/>
        <v>825.97090844190598</v>
      </c>
      <c r="X472" s="12">
        <f>VLOOKUP(B472,'Datos Maestros'!$C$2:$D$7,2,FALSE)*V472</f>
        <v>0</v>
      </c>
      <c r="Y472" s="18">
        <f t="shared" si="5"/>
        <v>45887</v>
      </c>
      <c r="Z472" s="13" t="s">
        <v>39</v>
      </c>
      <c r="AA472" s="19" t="str">
        <f>VLOOKUP(D472,Clientes!$A$2:$J$486,9,FALSE)</f>
        <v>Frecuente</v>
      </c>
      <c r="AB472" s="13" t="str">
        <f>VLOOKUP(D472,Clientes!$A$2:$K$486,11,FALSE)</f>
        <v>Persona Natural</v>
      </c>
      <c r="AC472" s="13" t="str">
        <f>VLOOKUP(D472,Clientes!$A$2:$B$486,2,FALSE)</f>
        <v>Jardines de la Viña</v>
      </c>
      <c r="AD472" s="20"/>
      <c r="AE472" s="20"/>
      <c r="AF472" s="13" t="s">
        <v>40</v>
      </c>
      <c r="AG472" s="15">
        <f t="shared" si="6"/>
        <v>45505</v>
      </c>
      <c r="AH472" s="13" t="s">
        <v>41</v>
      </c>
      <c r="AI472" s="13" t="str">
        <f t="shared" si="7"/>
        <v>Papeleria</v>
      </c>
      <c r="AJ472" s="13" t="str">
        <f>VLOOKUP(E472,Precios!Z$2:AA$941,2,FALSE)</f>
        <v>Toalla Papel NOVA 70 metros</v>
      </c>
      <c r="AK472" s="14">
        <f>VLOOKUP(E472,Precios!Z$2:BB$941,3,FALSE)*F472</f>
        <v>-1</v>
      </c>
      <c r="AL472" s="17"/>
      <c r="AM472" s="17"/>
      <c r="AN472" s="17"/>
      <c r="AO472" s="17"/>
      <c r="AP472" s="17"/>
      <c r="AQ472" s="17"/>
      <c r="AR472" s="17"/>
      <c r="AS472" s="17"/>
      <c r="AT472" s="17"/>
      <c r="AU472" s="17"/>
      <c r="AV472" s="17"/>
    </row>
    <row r="473" spans="1:48" ht="15.75" customHeight="1">
      <c r="A473" s="21" t="s">
        <v>47</v>
      </c>
      <c r="B473" s="23" t="s">
        <v>1692</v>
      </c>
      <c r="C473" s="22">
        <v>45888</v>
      </c>
      <c r="D473" s="23" t="s">
        <v>125</v>
      </c>
      <c r="E473" s="23" t="s">
        <v>107</v>
      </c>
      <c r="F473" s="21">
        <v>1</v>
      </c>
      <c r="G473" s="12">
        <f>VLOOKUP(E473,Precios!B$2:N$941,12,FALSE)</f>
        <v>3000.0000000000005</v>
      </c>
      <c r="H473" s="12">
        <f t="shared" si="0"/>
        <v>3000.0000000000005</v>
      </c>
      <c r="I473" s="23" t="s">
        <v>52</v>
      </c>
      <c r="J473" s="23" t="s">
        <v>61</v>
      </c>
      <c r="K473" s="24" t="s">
        <v>177</v>
      </c>
      <c r="L473" s="24">
        <v>172</v>
      </c>
      <c r="M473" s="12">
        <f t="shared" ref="M473:N473" si="478">G473/1.19</f>
        <v>2521.0084033613452</v>
      </c>
      <c r="N473" s="12">
        <f t="shared" si="478"/>
        <v>2521.0084033613452</v>
      </c>
      <c r="O473" s="12">
        <f t="shared" si="2"/>
        <v>478.99159663865521</v>
      </c>
      <c r="P473" s="13"/>
      <c r="Q473" s="14">
        <f t="shared" si="3"/>
        <v>2025</v>
      </c>
      <c r="R473" s="15">
        <f>VLOOKUP(MONTH(C473),'Datos Maestros'!M$2:N$14,2,FALSE)</f>
        <v>45505</v>
      </c>
      <c r="S473" s="11" t="str">
        <f>VLOOKUP(E473,Precios!B$2:W$941,3,FALSE)</f>
        <v>Bolsa Basura</v>
      </c>
      <c r="T473" s="16">
        <f>VLOOKUP(E473,Precios!B$2:N$941,4,FALSE)*F473</f>
        <v>0</v>
      </c>
      <c r="U473" s="17"/>
      <c r="V473" s="12">
        <f>VLOOKUP(E473,Precios!B$2:N$941,13,FALSE)*F473</f>
        <v>758.82352941176487</v>
      </c>
      <c r="W473" s="12">
        <f t="shared" si="4"/>
        <v>758.82352941176487</v>
      </c>
      <c r="X473" s="12">
        <f>VLOOKUP(B473,'Datos Maestros'!$C$2:$D$7,2,FALSE)*V473</f>
        <v>0</v>
      </c>
      <c r="Y473" s="18">
        <f t="shared" si="5"/>
        <v>45887</v>
      </c>
      <c r="Z473" s="13" t="s">
        <v>39</v>
      </c>
      <c r="AA473" s="19" t="str">
        <f>VLOOKUP(D473,Clientes!$A$2:$J$486,9,FALSE)</f>
        <v>Frecuente</v>
      </c>
      <c r="AB473" s="13" t="str">
        <f>VLOOKUP(D473,Clientes!$A$2:$K$486,11,FALSE)</f>
        <v>Persona Natural</v>
      </c>
      <c r="AC473" s="13" t="str">
        <f>VLOOKUP(D473,Clientes!$A$2:$B$486,2,FALSE)</f>
        <v>Jardines de la Viña</v>
      </c>
      <c r="AD473" s="20"/>
      <c r="AE473" s="20"/>
      <c r="AF473" s="13" t="s">
        <v>40</v>
      </c>
      <c r="AG473" s="15">
        <f t="shared" si="6"/>
        <v>45505</v>
      </c>
      <c r="AH473" s="13" t="s">
        <v>41</v>
      </c>
      <c r="AI473" s="13" t="str">
        <f t="shared" si="7"/>
        <v>Articulos de Aseo</v>
      </c>
      <c r="AJ473" s="13" t="str">
        <f>VLOOKUP(E473,Precios!Z$2:AA$941,2,FALSE)</f>
        <v xml:space="preserve">Bolsas Basura TEDDY 90x120 </v>
      </c>
      <c r="AK473" s="14">
        <f>VLOOKUP(E473,Precios!Z$2:BB$941,3,FALSE)*F473</f>
        <v>-1</v>
      </c>
      <c r="AL473" s="17"/>
      <c r="AM473" s="17"/>
      <c r="AN473" s="17"/>
      <c r="AO473" s="17"/>
      <c r="AP473" s="17"/>
      <c r="AQ473" s="17"/>
      <c r="AR473" s="17"/>
      <c r="AS473" s="17"/>
      <c r="AT473" s="17"/>
      <c r="AU473" s="17"/>
      <c r="AV473" s="17"/>
    </row>
    <row r="474" spans="1:48" ht="15.75" customHeight="1">
      <c r="A474" s="21" t="s">
        <v>43</v>
      </c>
      <c r="B474" s="23" t="s">
        <v>1692</v>
      </c>
      <c r="C474" s="22">
        <v>45888</v>
      </c>
      <c r="D474" s="23" t="s">
        <v>258</v>
      </c>
      <c r="E474" s="23" t="s">
        <v>45</v>
      </c>
      <c r="F474" s="21">
        <v>2</v>
      </c>
      <c r="G474" s="12">
        <f>VLOOKUP(E474,Precios!B$2:N$941,12,FALSE)</f>
        <v>8000.1831784723063</v>
      </c>
      <c r="H474" s="12">
        <f t="shared" si="0"/>
        <v>16000.366356944613</v>
      </c>
      <c r="I474" s="23" t="s">
        <v>52</v>
      </c>
      <c r="J474" s="23" t="s">
        <v>61</v>
      </c>
      <c r="K474" s="24" t="s">
        <v>177</v>
      </c>
      <c r="L474" s="24">
        <v>172</v>
      </c>
      <c r="M474" s="12">
        <f t="shared" ref="M474:N474" si="479">G474/1.19</f>
        <v>6722.8430071195853</v>
      </c>
      <c r="N474" s="12">
        <f t="shared" si="479"/>
        <v>13445.686014239171</v>
      </c>
      <c r="O474" s="12">
        <f t="shared" si="2"/>
        <v>2554.6803427054419</v>
      </c>
      <c r="P474" s="13"/>
      <c r="Q474" s="14">
        <f t="shared" si="3"/>
        <v>2025</v>
      </c>
      <c r="R474" s="15">
        <f>VLOOKUP(MONTH(C474),'Datos Maestros'!M$2:N$14,2,FALSE)</f>
        <v>45505</v>
      </c>
      <c r="S474" s="11" t="str">
        <f>VLOOKUP(E474,Precios!B$2:W$941,3,FALSE)</f>
        <v>Huevos EXTRA</v>
      </c>
      <c r="T474" s="16">
        <f>VLOOKUP(E474,Precios!B$2:N$941,4,FALSE)*F474</f>
        <v>0</v>
      </c>
      <c r="U474" s="17"/>
      <c r="V474" s="12">
        <f>VLOOKUP(E474,Precios!B$2:N$941,13,FALSE)*F474</f>
        <v>2303.2460142391701</v>
      </c>
      <c r="W474" s="12">
        <f t="shared" si="4"/>
        <v>2303.2460142391701</v>
      </c>
      <c r="X474" s="12">
        <f>VLOOKUP(B474,'Datos Maestros'!$C$2:$D$7,2,FALSE)*V474</f>
        <v>0</v>
      </c>
      <c r="Y474" s="18">
        <f t="shared" si="5"/>
        <v>45887</v>
      </c>
      <c r="Z474" s="13" t="s">
        <v>39</v>
      </c>
      <c r="AA474" s="19" t="str">
        <f>VLOOKUP(D474,Clientes!$A$2:$J$486,9,FALSE)</f>
        <v>Regular</v>
      </c>
      <c r="AB474" s="13" t="str">
        <f>VLOOKUP(D474,Clientes!$A$2:$K$486,11,FALSE)</f>
        <v>Persona Natural</v>
      </c>
      <c r="AC474" s="13" t="str">
        <f>VLOOKUP(D474,Clientes!$A$2:$B$486,2,FALSE)</f>
        <v>Colegio Antilhue</v>
      </c>
      <c r="AD474" s="20"/>
      <c r="AE474" s="20"/>
      <c r="AF474" s="13" t="s">
        <v>40</v>
      </c>
      <c r="AG474" s="15">
        <f t="shared" si="6"/>
        <v>45505</v>
      </c>
      <c r="AH474" s="13" t="s">
        <v>41</v>
      </c>
      <c r="AI474" s="13" t="str">
        <f t="shared" si="7"/>
        <v>Huevos</v>
      </c>
      <c r="AJ474" s="13" t="str">
        <f>VLOOKUP(E474,Precios!Z$2:AA$941,2,FALSE)</f>
        <v>Bandeja Huevos EXTRA</v>
      </c>
      <c r="AK474" s="14">
        <f>VLOOKUP(E474,Precios!Z$2:BB$941,3,FALSE)*F474</f>
        <v>-2</v>
      </c>
      <c r="AL474" s="17"/>
      <c r="AM474" s="17"/>
      <c r="AN474" s="17"/>
      <c r="AO474" s="17"/>
      <c r="AP474" s="17"/>
      <c r="AQ474" s="17"/>
      <c r="AR474" s="17"/>
      <c r="AS474" s="17"/>
      <c r="AT474" s="17"/>
      <c r="AU474" s="17"/>
      <c r="AV474" s="17"/>
    </row>
    <row r="475" spans="1:48" ht="15.75" customHeight="1">
      <c r="A475" s="21" t="s">
        <v>43</v>
      </c>
      <c r="B475" s="23" t="s">
        <v>1692</v>
      </c>
      <c r="C475" s="22">
        <v>45888</v>
      </c>
      <c r="D475" s="23" t="s">
        <v>108</v>
      </c>
      <c r="E475" s="23" t="s">
        <v>45</v>
      </c>
      <c r="F475" s="14">
        <v>1</v>
      </c>
      <c r="G475" s="12">
        <f>VLOOKUP(E475,Precios!B$2:N$941,12,FALSE)</f>
        <v>8000.1831784723063</v>
      </c>
      <c r="H475" s="12">
        <f t="shared" si="0"/>
        <v>8000.1831784723063</v>
      </c>
      <c r="I475" s="23" t="s">
        <v>52</v>
      </c>
      <c r="J475" s="23" t="s">
        <v>61</v>
      </c>
      <c r="K475" s="24" t="s">
        <v>177</v>
      </c>
      <c r="L475" s="24">
        <v>172</v>
      </c>
      <c r="M475" s="12">
        <f t="shared" ref="M475:N475" si="480">G475/1.19</f>
        <v>6722.8430071195853</v>
      </c>
      <c r="N475" s="12">
        <f t="shared" si="480"/>
        <v>6722.8430071195853</v>
      </c>
      <c r="O475" s="12">
        <f t="shared" si="2"/>
        <v>1277.340171352721</v>
      </c>
      <c r="P475" s="13"/>
      <c r="Q475" s="14">
        <f t="shared" si="3"/>
        <v>2025</v>
      </c>
      <c r="R475" s="15">
        <f>VLOOKUP(MONTH(C475),'Datos Maestros'!M$2:N$14,2,FALSE)</f>
        <v>45505</v>
      </c>
      <c r="S475" s="11" t="str">
        <f>VLOOKUP(E475,Precios!B$2:W$941,3,FALSE)</f>
        <v>Huevos EXTRA</v>
      </c>
      <c r="T475" s="16">
        <f>VLOOKUP(E475,Precios!B$2:N$941,4,FALSE)*F475</f>
        <v>0</v>
      </c>
      <c r="U475" s="17"/>
      <c r="V475" s="12">
        <f>VLOOKUP(E475,Precios!B$2:N$941,13,FALSE)*F475</f>
        <v>1151.6230071195851</v>
      </c>
      <c r="W475" s="12">
        <f t="shared" si="4"/>
        <v>1151.6230071195851</v>
      </c>
      <c r="X475" s="12">
        <f>VLOOKUP(B475,'Datos Maestros'!$C$2:$D$7,2,FALSE)*V475</f>
        <v>0</v>
      </c>
      <c r="Y475" s="18">
        <f t="shared" si="5"/>
        <v>45887</v>
      </c>
      <c r="Z475" s="13" t="s">
        <v>39</v>
      </c>
      <c r="AA475" s="19" t="str">
        <f>VLOOKUP(D475,Clientes!$A$2:$J$486,9,FALSE)</f>
        <v>Frecuente</v>
      </c>
      <c r="AB475" s="13" t="str">
        <f>VLOOKUP(D475,Clientes!$A$2:$K$486,11,FALSE)</f>
        <v>Persona Natural</v>
      </c>
      <c r="AC475" s="13" t="str">
        <f>VLOOKUP(D475,Clientes!$A$2:$B$486,2,FALSE)</f>
        <v>Jardines de la Viña</v>
      </c>
      <c r="AD475" s="20"/>
      <c r="AE475" s="20"/>
      <c r="AF475" s="13" t="s">
        <v>40</v>
      </c>
      <c r="AG475" s="15">
        <f t="shared" si="6"/>
        <v>45505</v>
      </c>
      <c r="AH475" s="13" t="s">
        <v>41</v>
      </c>
      <c r="AI475" s="13" t="str">
        <f t="shared" si="7"/>
        <v>Huevos</v>
      </c>
      <c r="AJ475" s="13" t="str">
        <f>VLOOKUP(E475,Precios!Z$2:AA$941,2,FALSE)</f>
        <v>Bandeja Huevos EXTRA</v>
      </c>
      <c r="AK475" s="14">
        <f>VLOOKUP(E475,Precios!Z$2:BB$941,3,FALSE)*F475</f>
        <v>-1</v>
      </c>
      <c r="AL475" s="17"/>
      <c r="AM475" s="17"/>
      <c r="AN475" s="17"/>
      <c r="AO475" s="17"/>
      <c r="AP475" s="17"/>
      <c r="AQ475" s="17"/>
      <c r="AR475" s="17"/>
      <c r="AS475" s="17"/>
      <c r="AT475" s="17"/>
      <c r="AU475" s="17"/>
      <c r="AV475" s="17"/>
    </row>
    <row r="476" spans="1:48" ht="15.75" customHeight="1">
      <c r="A476" s="21" t="s">
        <v>76</v>
      </c>
      <c r="B476" s="23" t="s">
        <v>1692</v>
      </c>
      <c r="C476" s="22">
        <v>45888</v>
      </c>
      <c r="D476" s="23" t="s">
        <v>108</v>
      </c>
      <c r="E476" s="23" t="s">
        <v>81</v>
      </c>
      <c r="F476" s="14">
        <v>1</v>
      </c>
      <c r="G476" s="12">
        <f>VLOOKUP(E476,Precios!B$2:N$941,12,FALSE)</f>
        <v>3500.0000000000005</v>
      </c>
      <c r="H476" s="12">
        <f t="shared" si="0"/>
        <v>3500.0000000000005</v>
      </c>
      <c r="I476" s="23" t="s">
        <v>52</v>
      </c>
      <c r="J476" s="23" t="s">
        <v>61</v>
      </c>
      <c r="K476" s="24" t="s">
        <v>177</v>
      </c>
      <c r="L476" s="24">
        <v>172</v>
      </c>
      <c r="M476" s="12">
        <f t="shared" ref="M476:N476" si="481">G476/1.19</f>
        <v>2941.1764705882356</v>
      </c>
      <c r="N476" s="12">
        <f t="shared" si="481"/>
        <v>2941.1764705882356</v>
      </c>
      <c r="O476" s="12">
        <f t="shared" si="2"/>
        <v>558.82352941176487</v>
      </c>
      <c r="P476" s="13"/>
      <c r="Q476" s="14">
        <f t="shared" si="3"/>
        <v>2025</v>
      </c>
      <c r="R476" s="15">
        <f>VLOOKUP(MONTH(C476),'Datos Maestros'!M$2:N$14,2,FALSE)</f>
        <v>45505</v>
      </c>
      <c r="S476" s="11" t="str">
        <f>VLOOKUP(E476,Precios!B$2:W$941,3,FALSE)</f>
        <v>Detergente Premium</v>
      </c>
      <c r="T476" s="16">
        <f>VLOOKUP(E476,Precios!B$2:N$941,4,FALSE)*F476</f>
        <v>5</v>
      </c>
      <c r="U476" s="17"/>
      <c r="V476" s="12">
        <f>VLOOKUP(E476,Precios!B$2:N$941,13,FALSE)*F476</f>
        <v>764.70588235294144</v>
      </c>
      <c r="W476" s="12">
        <f t="shared" si="4"/>
        <v>764.70588235294144</v>
      </c>
      <c r="X476" s="12">
        <f>VLOOKUP(B476,'Datos Maestros'!$C$2:$D$7,2,FALSE)*V476</f>
        <v>0</v>
      </c>
      <c r="Y476" s="18">
        <f t="shared" si="5"/>
        <v>45887</v>
      </c>
      <c r="Z476" s="13" t="s">
        <v>39</v>
      </c>
      <c r="AA476" s="19" t="str">
        <f>VLOOKUP(D476,Clientes!$A$2:$J$486,9,FALSE)</f>
        <v>Frecuente</v>
      </c>
      <c r="AB476" s="13" t="str">
        <f>VLOOKUP(D476,Clientes!$A$2:$K$486,11,FALSE)</f>
        <v>Persona Natural</v>
      </c>
      <c r="AC476" s="13" t="str">
        <f>VLOOKUP(D476,Clientes!$A$2:$B$486,2,FALSE)</f>
        <v>Jardines de la Viña</v>
      </c>
      <c r="AD476" s="20"/>
      <c r="AE476" s="20"/>
      <c r="AF476" s="13" t="s">
        <v>40</v>
      </c>
      <c r="AG476" s="15">
        <f t="shared" si="6"/>
        <v>45505</v>
      </c>
      <c r="AH476" s="13" t="s">
        <v>41</v>
      </c>
      <c r="AI476" s="13" t="str">
        <f t="shared" si="7"/>
        <v>Detergentes</v>
      </c>
      <c r="AJ476" s="13" t="str">
        <f>VLOOKUP(E476,Precios!Z$2:AA$941,2,FALSE)</f>
        <v>Detergente SPUM 5 Litros (Verde)</v>
      </c>
      <c r="AK476" s="14">
        <f>VLOOKUP(E476,Precios!Z$2:BB$941,3,FALSE)*F476</f>
        <v>-1</v>
      </c>
      <c r="AL476" s="17"/>
      <c r="AM476" s="17"/>
      <c r="AN476" s="17"/>
      <c r="AO476" s="17"/>
      <c r="AP476" s="17"/>
      <c r="AQ476" s="17"/>
      <c r="AR476" s="17"/>
      <c r="AS476" s="17"/>
      <c r="AT476" s="17"/>
      <c r="AU476" s="17"/>
      <c r="AV476" s="17"/>
    </row>
    <row r="477" spans="1:48" ht="15.75" customHeight="1">
      <c r="A477" s="21" t="s">
        <v>47</v>
      </c>
      <c r="B477" s="23" t="s">
        <v>1692</v>
      </c>
      <c r="C477" s="22">
        <v>45888</v>
      </c>
      <c r="D477" s="23" t="s">
        <v>108</v>
      </c>
      <c r="E477" s="23" t="s">
        <v>295</v>
      </c>
      <c r="F477" s="14">
        <v>1</v>
      </c>
      <c r="G477" s="12">
        <f>VLOOKUP(E477,Precios!B$2:N$941,12,FALSE)</f>
        <v>2599.7755362977696</v>
      </c>
      <c r="H477" s="12">
        <f t="shared" si="0"/>
        <v>2599.7755362977696</v>
      </c>
      <c r="I477" s="23" t="s">
        <v>52</v>
      </c>
      <c r="J477" s="23" t="s">
        <v>61</v>
      </c>
      <c r="K477" s="24" t="s">
        <v>177</v>
      </c>
      <c r="L477" s="24">
        <v>172</v>
      </c>
      <c r="M477" s="12">
        <f t="shared" ref="M477:N477" si="482">G477/1.19</f>
        <v>2184.6853246199744</v>
      </c>
      <c r="N477" s="12">
        <f t="shared" si="482"/>
        <v>2184.6853246199744</v>
      </c>
      <c r="O477" s="12">
        <f t="shared" si="2"/>
        <v>415.0902116777952</v>
      </c>
      <c r="P477" s="13"/>
      <c r="Q477" s="14">
        <f t="shared" si="3"/>
        <v>2025</v>
      </c>
      <c r="R477" s="15">
        <f>VLOOKUP(MONTH(C477),'Datos Maestros'!M$2:N$14,2,FALSE)</f>
        <v>45505</v>
      </c>
      <c r="S477" s="11" t="str">
        <f>VLOOKUP(E477,Precios!B$2:W$941,3,FALSE)</f>
        <v>Trapero Húmedo</v>
      </c>
      <c r="T477" s="16">
        <f>VLOOKUP(E477,Precios!B$2:N$941,4,FALSE)*F477</f>
        <v>0</v>
      </c>
      <c r="U477" s="17"/>
      <c r="V477" s="12">
        <f>VLOOKUP(E477,Precios!B$2:N$941,13,FALSE)*F477</f>
        <v>646.88532461997443</v>
      </c>
      <c r="W477" s="12">
        <f t="shared" si="4"/>
        <v>646.88532461997443</v>
      </c>
      <c r="X477" s="12">
        <f>VLOOKUP(B477,'Datos Maestros'!$C$2:$D$7,2,FALSE)*V477</f>
        <v>0</v>
      </c>
      <c r="Y477" s="18">
        <f t="shared" si="5"/>
        <v>45887</v>
      </c>
      <c r="Z477" s="13" t="s">
        <v>39</v>
      </c>
      <c r="AA477" s="19" t="str">
        <f>VLOOKUP(D477,Clientes!$A$2:$J$486,9,FALSE)</f>
        <v>Frecuente</v>
      </c>
      <c r="AB477" s="13" t="str">
        <f>VLOOKUP(D477,Clientes!$A$2:$K$486,11,FALSE)</f>
        <v>Persona Natural</v>
      </c>
      <c r="AC477" s="13" t="str">
        <f>VLOOKUP(D477,Clientes!$A$2:$B$486,2,FALSE)</f>
        <v>Jardines de la Viña</v>
      </c>
      <c r="AD477" s="20"/>
      <c r="AE477" s="20"/>
      <c r="AF477" s="13" t="s">
        <v>40</v>
      </c>
      <c r="AG477" s="15">
        <f t="shared" si="6"/>
        <v>45505</v>
      </c>
      <c r="AH477" s="13" t="s">
        <v>41</v>
      </c>
      <c r="AI477" s="13" t="str">
        <f t="shared" si="7"/>
        <v>Articulos de Aseo</v>
      </c>
      <c r="AJ477" s="13" t="str">
        <f>VLOOKUP(E477,Precios!Z$2:AA$941,2,FALSE)</f>
        <v>Traperos Humedos EXCELL</v>
      </c>
      <c r="AK477" s="14">
        <f>VLOOKUP(E477,Precios!Z$2:BB$941,3,FALSE)*F477</f>
        <v>-1</v>
      </c>
      <c r="AL477" s="17"/>
      <c r="AM477" s="17"/>
      <c r="AN477" s="17"/>
      <c r="AO477" s="17"/>
      <c r="AP477" s="17"/>
      <c r="AQ477" s="17"/>
      <c r="AR477" s="17"/>
      <c r="AS477" s="17"/>
      <c r="AT477" s="17"/>
      <c r="AU477" s="17"/>
      <c r="AV477" s="17"/>
    </row>
    <row r="478" spans="1:48" ht="15.75" customHeight="1">
      <c r="A478" s="21" t="s">
        <v>47</v>
      </c>
      <c r="B478" s="23" t="s">
        <v>1692</v>
      </c>
      <c r="C478" s="22">
        <v>45888</v>
      </c>
      <c r="D478" s="23" t="s">
        <v>301</v>
      </c>
      <c r="E478" s="23" t="s">
        <v>153</v>
      </c>
      <c r="F478" s="14">
        <v>1</v>
      </c>
      <c r="G478" s="12">
        <f>VLOOKUP(E478,Precios!B$2:N$941,12,FALSE)</f>
        <v>1900.0533862111042</v>
      </c>
      <c r="H478" s="12">
        <f t="shared" si="0"/>
        <v>1900.0533862111042</v>
      </c>
      <c r="I478" s="23" t="s">
        <v>52</v>
      </c>
      <c r="J478" s="23" t="s">
        <v>61</v>
      </c>
      <c r="K478" s="24" t="s">
        <v>177</v>
      </c>
      <c r="L478" s="24">
        <v>172</v>
      </c>
      <c r="M478" s="12">
        <f t="shared" ref="M478:N478" si="483">G478/1.19</f>
        <v>1596.6835178244573</v>
      </c>
      <c r="N478" s="12">
        <f t="shared" si="483"/>
        <v>1596.6835178244573</v>
      </c>
      <c r="O478" s="12">
        <f t="shared" si="2"/>
        <v>303.36986838664689</v>
      </c>
      <c r="P478" s="13"/>
      <c r="Q478" s="14">
        <f t="shared" si="3"/>
        <v>2025</v>
      </c>
      <c r="R478" s="15">
        <f>VLOOKUP(MONTH(C478),'Datos Maestros'!M$2:N$14,2,FALSE)</f>
        <v>45505</v>
      </c>
      <c r="S478" s="11" t="str">
        <f>VLOOKUP(E478,Precios!B$2:W$941,3,FALSE)</f>
        <v>Escobillon</v>
      </c>
      <c r="T478" s="16">
        <f>VLOOKUP(E478,Precios!B$2:N$941,4,FALSE)*F478</f>
        <v>0</v>
      </c>
      <c r="U478" s="17"/>
      <c r="V478" s="12">
        <f>VLOOKUP(E478,Precios!B$2:N$941,13,FALSE)*F478</f>
        <v>680.74601782445734</v>
      </c>
      <c r="W478" s="12">
        <f t="shared" si="4"/>
        <v>680.74601782445734</v>
      </c>
      <c r="X478" s="12">
        <f>VLOOKUP(B478,'Datos Maestros'!$C$2:$D$7,2,FALSE)*V478</f>
        <v>0</v>
      </c>
      <c r="Y478" s="18">
        <f t="shared" si="5"/>
        <v>45887</v>
      </c>
      <c r="Z478" s="13" t="s">
        <v>39</v>
      </c>
      <c r="AA478" s="19" t="str">
        <f>VLOOKUP(D478,Clientes!$A$2:$J$486,9,FALSE)</f>
        <v>Regular</v>
      </c>
      <c r="AB478" s="13" t="str">
        <f>VLOOKUP(D478,Clientes!$A$2:$K$486,11,FALSE)</f>
        <v>Persona Natural</v>
      </c>
      <c r="AC478" s="13" t="str">
        <f>VLOOKUP(D478,Clientes!$A$2:$B$486,2,FALSE)</f>
        <v>Sector Chilcas</v>
      </c>
      <c r="AD478" s="20"/>
      <c r="AE478" s="20"/>
      <c r="AF478" s="13" t="s">
        <v>40</v>
      </c>
      <c r="AG478" s="15">
        <f t="shared" si="6"/>
        <v>45505</v>
      </c>
      <c r="AH478" s="13" t="s">
        <v>41</v>
      </c>
      <c r="AI478" s="13" t="str">
        <f t="shared" si="7"/>
        <v>Articulos de Aseo</v>
      </c>
      <c r="AJ478" s="13" t="str">
        <f>VLOOKUP(E478,Precios!Z$2:AA$941,2,FALSE)</f>
        <v>Escobillon TEDDY</v>
      </c>
      <c r="AK478" s="14">
        <f>VLOOKUP(E478,Precios!Z$2:BB$941,3,FALSE)*F478</f>
        <v>-1</v>
      </c>
      <c r="AL478" s="17"/>
      <c r="AM478" s="17"/>
      <c r="AN478" s="17"/>
      <c r="AO478" s="17"/>
      <c r="AP478" s="17"/>
      <c r="AQ478" s="17"/>
      <c r="AR478" s="17"/>
      <c r="AS478" s="17"/>
      <c r="AT478" s="17"/>
      <c r="AU478" s="17"/>
      <c r="AV478" s="17"/>
    </row>
    <row r="479" spans="1:48" ht="15.75" customHeight="1">
      <c r="A479" s="21" t="s">
        <v>47</v>
      </c>
      <c r="B479" s="23" t="s">
        <v>1692</v>
      </c>
      <c r="C479" s="22">
        <v>45888</v>
      </c>
      <c r="D479" s="23" t="s">
        <v>301</v>
      </c>
      <c r="E479" s="23" t="s">
        <v>204</v>
      </c>
      <c r="F479" s="14">
        <v>1</v>
      </c>
      <c r="G479" s="12">
        <f>VLOOKUP(E479,Precios!B$2:N$941,12,FALSE)</f>
        <v>1199.9357739242132</v>
      </c>
      <c r="H479" s="12">
        <f t="shared" si="0"/>
        <v>1199.9357739242132</v>
      </c>
      <c r="I479" s="23" t="s">
        <v>52</v>
      </c>
      <c r="J479" s="23" t="s">
        <v>61</v>
      </c>
      <c r="K479" s="24" t="s">
        <v>177</v>
      </c>
      <c r="L479" s="24">
        <v>172</v>
      </c>
      <c r="M479" s="12">
        <f t="shared" ref="M479:N479" si="484">G479/1.19</f>
        <v>1008.3493898522801</v>
      </c>
      <c r="N479" s="12">
        <f t="shared" si="484"/>
        <v>1008.3493898522801</v>
      </c>
      <c r="O479" s="12">
        <f t="shared" si="2"/>
        <v>191.58638407193314</v>
      </c>
      <c r="P479" s="13"/>
      <c r="Q479" s="14">
        <f t="shared" si="3"/>
        <v>2025</v>
      </c>
      <c r="R479" s="15">
        <f>VLOOKUP(MONTH(C479),'Datos Maestros'!M$2:N$14,2,FALSE)</f>
        <v>45505</v>
      </c>
      <c r="S479" s="11" t="str">
        <f>VLOOKUP(E479,Precios!B$2:W$941,3,FALSE)</f>
        <v>Trapero Algodon</v>
      </c>
      <c r="T479" s="16">
        <f>VLOOKUP(E479,Precios!B$2:N$941,4,FALSE)*F479</f>
        <v>0</v>
      </c>
      <c r="U479" s="17"/>
      <c r="V479" s="12">
        <f>VLOOKUP(E479,Precios!B$2:N$941,13,FALSE)*F479</f>
        <v>537.34938985228007</v>
      </c>
      <c r="W479" s="12">
        <f t="shared" si="4"/>
        <v>537.34938985228007</v>
      </c>
      <c r="X479" s="12">
        <f>VLOOKUP(B479,'Datos Maestros'!$C$2:$D$7,2,FALSE)*V479</f>
        <v>0</v>
      </c>
      <c r="Y479" s="18">
        <f t="shared" si="5"/>
        <v>45887</v>
      </c>
      <c r="Z479" s="13" t="s">
        <v>39</v>
      </c>
      <c r="AA479" s="19" t="str">
        <f>VLOOKUP(D479,Clientes!$A$2:$J$486,9,FALSE)</f>
        <v>Regular</v>
      </c>
      <c r="AB479" s="13" t="str">
        <f>VLOOKUP(D479,Clientes!$A$2:$K$486,11,FALSE)</f>
        <v>Persona Natural</v>
      </c>
      <c r="AC479" s="13" t="str">
        <f>VLOOKUP(D479,Clientes!$A$2:$B$486,2,FALSE)</f>
        <v>Sector Chilcas</v>
      </c>
      <c r="AD479" s="20"/>
      <c r="AE479" s="20"/>
      <c r="AF479" s="13" t="s">
        <v>40</v>
      </c>
      <c r="AG479" s="15">
        <f t="shared" si="6"/>
        <v>45505</v>
      </c>
      <c r="AH479" s="13" t="s">
        <v>41</v>
      </c>
      <c r="AI479" s="13" t="str">
        <f t="shared" si="7"/>
        <v>Articulos de Aseo</v>
      </c>
      <c r="AJ479" s="13" t="str">
        <f>VLOOKUP(E479,Precios!Z$2:AA$941,2,FALSE)</f>
        <v>Trapero Algodón TEDDY</v>
      </c>
      <c r="AK479" s="14">
        <f>VLOOKUP(E479,Precios!Z$2:BB$941,3,FALSE)*F479</f>
        <v>-1</v>
      </c>
      <c r="AL479" s="17"/>
      <c r="AM479" s="17"/>
      <c r="AN479" s="17"/>
      <c r="AO479" s="17"/>
      <c r="AP479" s="17"/>
      <c r="AQ479" s="17"/>
      <c r="AR479" s="17"/>
      <c r="AS479" s="17"/>
      <c r="AT479" s="17"/>
      <c r="AU479" s="17"/>
      <c r="AV479" s="17"/>
    </row>
    <row r="480" spans="1:48" ht="15.75" customHeight="1">
      <c r="A480" s="21" t="s">
        <v>47</v>
      </c>
      <c r="B480" s="23" t="s">
        <v>1692</v>
      </c>
      <c r="C480" s="22">
        <v>45888</v>
      </c>
      <c r="D480" s="23" t="s">
        <v>301</v>
      </c>
      <c r="E480" s="23" t="s">
        <v>105</v>
      </c>
      <c r="F480" s="14">
        <v>1</v>
      </c>
      <c r="G480" s="12">
        <f>VLOOKUP(E480,Precios!B$2:N$941,12,FALSE)</f>
        <v>1100.0000000000002</v>
      </c>
      <c r="H480" s="12">
        <f t="shared" si="0"/>
        <v>1100.0000000000002</v>
      </c>
      <c r="I480" s="23" t="s">
        <v>52</v>
      </c>
      <c r="J480" s="23" t="s">
        <v>61</v>
      </c>
      <c r="K480" s="24" t="s">
        <v>177</v>
      </c>
      <c r="L480" s="24">
        <v>172</v>
      </c>
      <c r="M480" s="12">
        <f t="shared" ref="M480:N480" si="485">G480/1.19</f>
        <v>924.36974789915985</v>
      </c>
      <c r="N480" s="12">
        <f t="shared" si="485"/>
        <v>924.36974789915985</v>
      </c>
      <c r="O480" s="12">
        <f t="shared" si="2"/>
        <v>175.63025210084038</v>
      </c>
      <c r="P480" s="13"/>
      <c r="Q480" s="14">
        <f t="shared" si="3"/>
        <v>2025</v>
      </c>
      <c r="R480" s="15">
        <f>VLOOKUP(MONTH(C480),'Datos Maestros'!M$2:N$14,2,FALSE)</f>
        <v>45505</v>
      </c>
      <c r="S480" s="11" t="str">
        <f>VLOOKUP(E480,Precios!B$2:W$941,3,FALSE)</f>
        <v>Paños esponja Teddy (3)</v>
      </c>
      <c r="T480" s="16">
        <f>VLOOKUP(E480,Precios!B$2:N$941,4,FALSE)*F480</f>
        <v>0</v>
      </c>
      <c r="U480" s="17"/>
      <c r="V480" s="12">
        <f>VLOOKUP(E480,Precios!B$2:N$941,13,FALSE)*F480</f>
        <v>342.857142857143</v>
      </c>
      <c r="W480" s="12">
        <f t="shared" si="4"/>
        <v>342.857142857143</v>
      </c>
      <c r="X480" s="12">
        <f>VLOOKUP(B480,'Datos Maestros'!$C$2:$D$7,2,FALSE)*V480</f>
        <v>0</v>
      </c>
      <c r="Y480" s="18">
        <f t="shared" si="5"/>
        <v>45887</v>
      </c>
      <c r="Z480" s="13" t="s">
        <v>39</v>
      </c>
      <c r="AA480" s="19" t="str">
        <f>VLOOKUP(D480,Clientes!$A$2:$J$486,9,FALSE)</f>
        <v>Regular</v>
      </c>
      <c r="AB480" s="13" t="str">
        <f>VLOOKUP(D480,Clientes!$A$2:$K$486,11,FALSE)</f>
        <v>Persona Natural</v>
      </c>
      <c r="AC480" s="13" t="str">
        <f>VLOOKUP(D480,Clientes!$A$2:$B$486,2,FALSE)</f>
        <v>Sector Chilcas</v>
      </c>
      <c r="AD480" s="20"/>
      <c r="AE480" s="20"/>
      <c r="AF480" s="13" t="s">
        <v>40</v>
      </c>
      <c r="AG480" s="15">
        <f t="shared" si="6"/>
        <v>45505</v>
      </c>
      <c r="AH480" s="13" t="s">
        <v>41</v>
      </c>
      <c r="AI480" s="13" t="str">
        <f t="shared" si="7"/>
        <v>Articulos de Aseo</v>
      </c>
      <c r="AJ480" s="13" t="str">
        <f>VLOOKUP(E480,Precios!Z$2:AA$941,2,FALSE)</f>
        <v>Paños Esponja TEDDY</v>
      </c>
      <c r="AK480" s="14">
        <f>VLOOKUP(E480,Precios!Z$2:BB$941,3,FALSE)*F480</f>
        <v>-1</v>
      </c>
      <c r="AL480" s="17"/>
      <c r="AM480" s="17"/>
      <c r="AN480" s="17"/>
      <c r="AO480" s="17"/>
      <c r="AP480" s="17"/>
      <c r="AQ480" s="17"/>
      <c r="AR480" s="17"/>
      <c r="AS480" s="17"/>
      <c r="AT480" s="17"/>
      <c r="AU480" s="17"/>
      <c r="AV480" s="17"/>
    </row>
    <row r="481" spans="1:48" ht="15.75" customHeight="1">
      <c r="A481" s="21" t="s">
        <v>47</v>
      </c>
      <c r="B481" s="23" t="s">
        <v>1692</v>
      </c>
      <c r="C481" s="22">
        <v>45888</v>
      </c>
      <c r="D481" s="23" t="s">
        <v>301</v>
      </c>
      <c r="E481" s="23" t="s">
        <v>295</v>
      </c>
      <c r="F481" s="14">
        <v>1</v>
      </c>
      <c r="G481" s="12">
        <f>VLOOKUP(E481,Precios!B$2:N$941,12,FALSE)</f>
        <v>2599.7755362977696</v>
      </c>
      <c r="H481" s="12">
        <f t="shared" si="0"/>
        <v>2599.7755362977696</v>
      </c>
      <c r="I481" s="23" t="s">
        <v>52</v>
      </c>
      <c r="J481" s="23" t="s">
        <v>61</v>
      </c>
      <c r="K481" s="24" t="s">
        <v>177</v>
      </c>
      <c r="L481" s="24">
        <v>172</v>
      </c>
      <c r="M481" s="12">
        <f t="shared" ref="M481:N481" si="486">G481/1.19</f>
        <v>2184.6853246199744</v>
      </c>
      <c r="N481" s="12">
        <f t="shared" si="486"/>
        <v>2184.6853246199744</v>
      </c>
      <c r="O481" s="12">
        <f t="shared" si="2"/>
        <v>415.0902116777952</v>
      </c>
      <c r="P481" s="13"/>
      <c r="Q481" s="14">
        <f t="shared" si="3"/>
        <v>2025</v>
      </c>
      <c r="R481" s="15">
        <f>VLOOKUP(MONTH(C481),'Datos Maestros'!M$2:N$14,2,FALSE)</f>
        <v>45505</v>
      </c>
      <c r="S481" s="11" t="str">
        <f>VLOOKUP(E481,Precios!B$2:W$941,3,FALSE)</f>
        <v>Trapero Húmedo</v>
      </c>
      <c r="T481" s="16">
        <f>VLOOKUP(E481,Precios!B$2:N$941,4,FALSE)*F481</f>
        <v>0</v>
      </c>
      <c r="U481" s="17"/>
      <c r="V481" s="12">
        <f>VLOOKUP(E481,Precios!B$2:N$941,13,FALSE)*F481</f>
        <v>646.88532461997443</v>
      </c>
      <c r="W481" s="12">
        <f t="shared" si="4"/>
        <v>646.88532461997443</v>
      </c>
      <c r="X481" s="12">
        <f>VLOOKUP(B481,'Datos Maestros'!$C$2:$D$7,2,FALSE)*V481</f>
        <v>0</v>
      </c>
      <c r="Y481" s="18">
        <f t="shared" si="5"/>
        <v>45887</v>
      </c>
      <c r="Z481" s="13" t="s">
        <v>39</v>
      </c>
      <c r="AA481" s="19" t="str">
        <f>VLOOKUP(D481,Clientes!$A$2:$J$486,9,FALSE)</f>
        <v>Regular</v>
      </c>
      <c r="AB481" s="13" t="str">
        <f>VLOOKUP(D481,Clientes!$A$2:$K$486,11,FALSE)</f>
        <v>Persona Natural</v>
      </c>
      <c r="AC481" s="13" t="str">
        <f>VLOOKUP(D481,Clientes!$A$2:$B$486,2,FALSE)</f>
        <v>Sector Chilcas</v>
      </c>
      <c r="AD481" s="20"/>
      <c r="AE481" s="20"/>
      <c r="AF481" s="13" t="s">
        <v>40</v>
      </c>
      <c r="AG481" s="15">
        <f t="shared" si="6"/>
        <v>45505</v>
      </c>
      <c r="AH481" s="13" t="s">
        <v>41</v>
      </c>
      <c r="AI481" s="13" t="str">
        <f t="shared" si="7"/>
        <v>Articulos de Aseo</v>
      </c>
      <c r="AJ481" s="13" t="str">
        <f>VLOOKUP(E481,Precios!Z$2:AA$941,2,FALSE)</f>
        <v>Traperos Humedos EXCELL</v>
      </c>
      <c r="AK481" s="14">
        <f>VLOOKUP(E481,Precios!Z$2:BB$941,3,FALSE)*F481</f>
        <v>-1</v>
      </c>
      <c r="AL481" s="17"/>
      <c r="AM481" s="17"/>
      <c r="AN481" s="17"/>
      <c r="AO481" s="17"/>
      <c r="AP481" s="17"/>
      <c r="AQ481" s="17"/>
      <c r="AR481" s="17"/>
      <c r="AS481" s="17"/>
      <c r="AT481" s="17"/>
      <c r="AU481" s="17"/>
      <c r="AV481" s="17"/>
    </row>
    <row r="482" spans="1:48" ht="15.75" customHeight="1">
      <c r="A482" s="21" t="s">
        <v>76</v>
      </c>
      <c r="B482" s="23" t="s">
        <v>1692</v>
      </c>
      <c r="C482" s="22">
        <v>45888</v>
      </c>
      <c r="D482" s="23" t="s">
        <v>301</v>
      </c>
      <c r="E482" s="23" t="s">
        <v>166</v>
      </c>
      <c r="F482" s="14">
        <v>1</v>
      </c>
      <c r="G482" s="12">
        <f>VLOOKUP(E482,Precios!B$2:N$941,12,FALSE)</f>
        <v>3500.0000000000005</v>
      </c>
      <c r="H482" s="12">
        <f t="shared" si="0"/>
        <v>3500.0000000000005</v>
      </c>
      <c r="I482" s="23" t="s">
        <v>52</v>
      </c>
      <c r="J482" s="23" t="s">
        <v>61</v>
      </c>
      <c r="K482" s="24" t="s">
        <v>177</v>
      </c>
      <c r="L482" s="24">
        <v>172</v>
      </c>
      <c r="M482" s="12">
        <f t="shared" ref="M482:N482" si="487">G482/1.19</f>
        <v>2941.1764705882356</v>
      </c>
      <c r="N482" s="12">
        <f t="shared" si="487"/>
        <v>2941.1764705882356</v>
      </c>
      <c r="O482" s="12">
        <f t="shared" si="2"/>
        <v>558.82352941176487</v>
      </c>
      <c r="P482" s="13"/>
      <c r="Q482" s="14">
        <f t="shared" si="3"/>
        <v>2025</v>
      </c>
      <c r="R482" s="15">
        <f>VLOOKUP(MONTH(C482),'Datos Maestros'!M$2:N$14,2,FALSE)</f>
        <v>45505</v>
      </c>
      <c r="S482" s="11" t="str">
        <f>VLOOKUP(E482,Precios!B$2:W$941,3,FALSE)</f>
        <v>Cloro Gel</v>
      </c>
      <c r="T482" s="16">
        <f>VLOOKUP(E482,Precios!B$2:N$941,4,FALSE)*F482</f>
        <v>5</v>
      </c>
      <c r="U482" s="17"/>
      <c r="V482" s="12">
        <f>VLOOKUP(E482,Precios!B$2:N$941,13,FALSE)*F482</f>
        <v>1016.8067226890757</v>
      </c>
      <c r="W482" s="12">
        <f t="shared" si="4"/>
        <v>1016.8067226890757</v>
      </c>
      <c r="X482" s="12">
        <f>VLOOKUP(B482,'Datos Maestros'!$C$2:$D$7,2,FALSE)*V482</f>
        <v>0</v>
      </c>
      <c r="Y482" s="18">
        <f t="shared" si="5"/>
        <v>45887</v>
      </c>
      <c r="Z482" s="13" t="s">
        <v>39</v>
      </c>
      <c r="AA482" s="19" t="str">
        <f>VLOOKUP(D482,Clientes!$A$2:$J$486,9,FALSE)</f>
        <v>Regular</v>
      </c>
      <c r="AB482" s="13" t="str">
        <f>VLOOKUP(D482,Clientes!$A$2:$K$486,11,FALSE)</f>
        <v>Persona Natural</v>
      </c>
      <c r="AC482" s="13" t="str">
        <f>VLOOKUP(D482,Clientes!$A$2:$B$486,2,FALSE)</f>
        <v>Sector Chilcas</v>
      </c>
      <c r="AD482" s="20"/>
      <c r="AE482" s="20"/>
      <c r="AF482" s="13" t="s">
        <v>40</v>
      </c>
      <c r="AG482" s="15">
        <f t="shared" si="6"/>
        <v>45505</v>
      </c>
      <c r="AH482" s="13" t="s">
        <v>41</v>
      </c>
      <c r="AI482" s="13" t="str">
        <f t="shared" si="7"/>
        <v>Detergentes</v>
      </c>
      <c r="AJ482" s="13" t="str">
        <f>VLOOKUP(E482,Precios!Z$2:AA$941,2,FALSE)</f>
        <v>Cloro GEL SPUM 5 Litros</v>
      </c>
      <c r="AK482" s="14">
        <f>VLOOKUP(E482,Precios!Z$2:BB$941,3,FALSE)*F482</f>
        <v>-1</v>
      </c>
      <c r="AL482" s="17"/>
      <c r="AM482" s="17"/>
      <c r="AN482" s="17"/>
      <c r="AO482" s="17"/>
      <c r="AP482" s="17"/>
      <c r="AQ482" s="17"/>
      <c r="AR482" s="17"/>
      <c r="AS482" s="17"/>
      <c r="AT482" s="17"/>
      <c r="AU482" s="17"/>
      <c r="AV482" s="17"/>
    </row>
    <row r="483" spans="1:48" ht="15.75" customHeight="1">
      <c r="A483" s="21" t="s">
        <v>76</v>
      </c>
      <c r="B483" s="23" t="s">
        <v>1692</v>
      </c>
      <c r="C483" s="22">
        <v>45888</v>
      </c>
      <c r="D483" s="23" t="s">
        <v>301</v>
      </c>
      <c r="E483" s="23" t="s">
        <v>82</v>
      </c>
      <c r="F483" s="14">
        <v>1</v>
      </c>
      <c r="G483" s="12">
        <f>VLOOKUP(E483,Precios!B$2:N$941,12,FALSE)</f>
        <v>2000.0000000000002</v>
      </c>
      <c r="H483" s="12">
        <f t="shared" si="0"/>
        <v>2000.0000000000002</v>
      </c>
      <c r="I483" s="23" t="s">
        <v>52</v>
      </c>
      <c r="J483" s="23" t="s">
        <v>61</v>
      </c>
      <c r="K483" s="24" t="s">
        <v>177</v>
      </c>
      <c r="L483" s="24">
        <v>172</v>
      </c>
      <c r="M483" s="12">
        <f t="shared" ref="M483:N483" si="488">G483/1.19</f>
        <v>1680.6722689075632</v>
      </c>
      <c r="N483" s="12">
        <f t="shared" si="488"/>
        <v>1680.6722689075632</v>
      </c>
      <c r="O483" s="12">
        <f t="shared" si="2"/>
        <v>319.32773109243703</v>
      </c>
      <c r="P483" s="13"/>
      <c r="Q483" s="14">
        <f t="shared" si="3"/>
        <v>2025</v>
      </c>
      <c r="R483" s="15">
        <f>VLOOKUP(MONTH(C483),'Datos Maestros'!M$2:N$14,2,FALSE)</f>
        <v>45505</v>
      </c>
      <c r="S483" s="11" t="str">
        <f>VLOOKUP(E483,Precios!B$2:W$941,3,FALSE)</f>
        <v>Limpiapiso</v>
      </c>
      <c r="T483" s="16">
        <f>VLOOKUP(E483,Precios!B$2:N$941,4,FALSE)*F483</f>
        <v>5</v>
      </c>
      <c r="U483" s="17"/>
      <c r="V483" s="12">
        <f>VLOOKUP(E483,Precios!B$2:N$941,13,FALSE)*F483</f>
        <v>680.67226890756319</v>
      </c>
      <c r="W483" s="12">
        <f t="shared" si="4"/>
        <v>680.67226890756319</v>
      </c>
      <c r="X483" s="12">
        <f>VLOOKUP(B483,'Datos Maestros'!$C$2:$D$7,2,FALSE)*V483</f>
        <v>0</v>
      </c>
      <c r="Y483" s="18">
        <f t="shared" si="5"/>
        <v>45887</v>
      </c>
      <c r="Z483" s="13" t="s">
        <v>39</v>
      </c>
      <c r="AA483" s="19" t="str">
        <f>VLOOKUP(D483,Clientes!$A$2:$J$486,9,FALSE)</f>
        <v>Regular</v>
      </c>
      <c r="AB483" s="13" t="str">
        <f>VLOOKUP(D483,Clientes!$A$2:$K$486,11,FALSE)</f>
        <v>Persona Natural</v>
      </c>
      <c r="AC483" s="13" t="str">
        <f>VLOOKUP(D483,Clientes!$A$2:$B$486,2,FALSE)</f>
        <v>Sector Chilcas</v>
      </c>
      <c r="AD483" s="20"/>
      <c r="AE483" s="20"/>
      <c r="AF483" s="13" t="s">
        <v>40</v>
      </c>
      <c r="AG483" s="15">
        <f t="shared" si="6"/>
        <v>45505</v>
      </c>
      <c r="AH483" s="13" t="s">
        <v>41</v>
      </c>
      <c r="AI483" s="13" t="str">
        <f t="shared" si="7"/>
        <v>Detergentes</v>
      </c>
      <c r="AJ483" s="13" t="str">
        <f>VLOOKUP(E483,Precios!Z$2:AA$941,2,FALSE)</f>
        <v>Limpiapiso SPUM 5 Litros</v>
      </c>
      <c r="AK483" s="14">
        <f>VLOOKUP(E483,Precios!Z$2:BB$941,3,FALSE)*F483</f>
        <v>-1</v>
      </c>
      <c r="AL483" s="17"/>
      <c r="AM483" s="17"/>
      <c r="AN483" s="17"/>
      <c r="AO483" s="17"/>
      <c r="AP483" s="17"/>
      <c r="AQ483" s="17"/>
      <c r="AR483" s="17"/>
      <c r="AS483" s="17"/>
      <c r="AT483" s="17"/>
      <c r="AU483" s="17"/>
      <c r="AV483" s="17"/>
    </row>
    <row r="484" spans="1:48" ht="15.75" customHeight="1">
      <c r="A484" s="21" t="s">
        <v>76</v>
      </c>
      <c r="B484" s="23" t="s">
        <v>1692</v>
      </c>
      <c r="C484" s="22">
        <v>45888</v>
      </c>
      <c r="D484" s="23" t="s">
        <v>301</v>
      </c>
      <c r="E484" s="23" t="s">
        <v>150</v>
      </c>
      <c r="F484" s="14">
        <v>1</v>
      </c>
      <c r="G484" s="12">
        <f>VLOOKUP(E484,Precios!B$2:N$941,12,FALSE)</f>
        <v>1799.8965445892823</v>
      </c>
      <c r="H484" s="12">
        <f t="shared" si="0"/>
        <v>1799.8965445892823</v>
      </c>
      <c r="I484" s="23" t="s">
        <v>52</v>
      </c>
      <c r="J484" s="23" t="s">
        <v>61</v>
      </c>
      <c r="K484" s="24" t="s">
        <v>177</v>
      </c>
      <c r="L484" s="24">
        <v>172</v>
      </c>
      <c r="M484" s="12">
        <f t="shared" ref="M484:N484" si="489">G484/1.19</f>
        <v>1512.518104696876</v>
      </c>
      <c r="N484" s="12">
        <f t="shared" si="489"/>
        <v>1512.518104696876</v>
      </c>
      <c r="O484" s="12">
        <f t="shared" si="2"/>
        <v>287.37843989240628</v>
      </c>
      <c r="P484" s="13"/>
      <c r="Q484" s="14">
        <f t="shared" si="3"/>
        <v>2025</v>
      </c>
      <c r="R484" s="15">
        <f>VLOOKUP(MONTH(C484),'Datos Maestros'!M$2:N$14,2,FALSE)</f>
        <v>45505</v>
      </c>
      <c r="S484" s="11" t="str">
        <f>VLOOKUP(E484,Precios!B$2:W$941,3,FALSE)</f>
        <v>Servilletas</v>
      </c>
      <c r="T484" s="16">
        <f>VLOOKUP(E484,Precios!B$2:N$941,4,FALSE)*F484</f>
        <v>300</v>
      </c>
      <c r="U484" s="17"/>
      <c r="V484" s="12">
        <f>VLOOKUP(E484,Precios!B$2:N$941,13,FALSE)*F484</f>
        <v>781.51810469687575</v>
      </c>
      <c r="W484" s="12">
        <f t="shared" si="4"/>
        <v>781.51810469687575</v>
      </c>
      <c r="X484" s="12">
        <f>VLOOKUP(B484,'Datos Maestros'!$C$2:$D$7,2,FALSE)*V484</f>
        <v>0</v>
      </c>
      <c r="Y484" s="18">
        <f t="shared" si="5"/>
        <v>45887</v>
      </c>
      <c r="Z484" s="13" t="s">
        <v>39</v>
      </c>
      <c r="AA484" s="19" t="str">
        <f>VLOOKUP(D484,Clientes!$A$2:$J$486,9,FALSE)</f>
        <v>Regular</v>
      </c>
      <c r="AB484" s="13" t="str">
        <f>VLOOKUP(D484,Clientes!$A$2:$K$486,11,FALSE)</f>
        <v>Persona Natural</v>
      </c>
      <c r="AC484" s="13" t="str">
        <f>VLOOKUP(D484,Clientes!$A$2:$B$486,2,FALSE)</f>
        <v>Sector Chilcas</v>
      </c>
      <c r="AD484" s="20"/>
      <c r="AE484" s="20"/>
      <c r="AF484" s="13" t="s">
        <v>40</v>
      </c>
      <c r="AG484" s="15">
        <f t="shared" si="6"/>
        <v>45505</v>
      </c>
      <c r="AH484" s="13" t="s">
        <v>41</v>
      </c>
      <c r="AI484" s="13" t="str">
        <f t="shared" si="7"/>
        <v>Detergentes</v>
      </c>
      <c r="AJ484" s="13" t="str">
        <f>VLOOKUP(E484,Precios!Z$2:AA$941,2,FALSE)</f>
        <v>Servilletas SOFTQUALITY 300 unidades</v>
      </c>
      <c r="AK484" s="14">
        <f>VLOOKUP(E484,Precios!Z$2:BB$941,3,FALSE)*F484</f>
        <v>-1</v>
      </c>
      <c r="AL484" s="17"/>
      <c r="AM484" s="17"/>
      <c r="AN484" s="17"/>
      <c r="AO484" s="17"/>
      <c r="AP484" s="17"/>
      <c r="AQ484" s="17"/>
      <c r="AR484" s="17"/>
      <c r="AS484" s="17"/>
      <c r="AT484" s="17"/>
      <c r="AU484" s="17"/>
      <c r="AV484" s="17"/>
    </row>
    <row r="485" spans="1:48" ht="15.75" customHeight="1">
      <c r="A485" s="21" t="s">
        <v>147</v>
      </c>
      <c r="B485" s="23" t="s">
        <v>1692</v>
      </c>
      <c r="C485" s="22">
        <v>45887</v>
      </c>
      <c r="D485" s="23" t="s">
        <v>158</v>
      </c>
      <c r="E485" s="23" t="s">
        <v>159</v>
      </c>
      <c r="F485" s="21">
        <v>1</v>
      </c>
      <c r="G485" s="12">
        <f>VLOOKUP(E485,Precios!B$2:N$941,12,FALSE)</f>
        <v>24000.000000000004</v>
      </c>
      <c r="H485" s="12">
        <f t="shared" si="0"/>
        <v>24000.000000000004</v>
      </c>
      <c r="I485" s="23" t="s">
        <v>52</v>
      </c>
      <c r="J485" s="23" t="s">
        <v>61</v>
      </c>
      <c r="K485" s="24" t="s">
        <v>86</v>
      </c>
      <c r="L485" s="24">
        <v>106</v>
      </c>
      <c r="M485" s="12">
        <f t="shared" ref="M485:N485" si="490">G485/1.19</f>
        <v>20168.067226890762</v>
      </c>
      <c r="N485" s="12">
        <f t="shared" si="490"/>
        <v>20168.067226890762</v>
      </c>
      <c r="O485" s="12">
        <f t="shared" si="2"/>
        <v>3831.9327731092417</v>
      </c>
      <c r="P485" s="13"/>
      <c r="Q485" s="14">
        <f t="shared" si="3"/>
        <v>2025</v>
      </c>
      <c r="R485" s="15">
        <f>VLOOKUP(MONTH(C485),'Datos Maestros'!M$2:N$14,2,FALSE)</f>
        <v>45505</v>
      </c>
      <c r="S485" s="11" t="str">
        <f>VLOOKUP(E485,Precios!B$2:W$941,3,FALSE)</f>
        <v>Film Plastico</v>
      </c>
      <c r="T485" s="16">
        <f>VLOOKUP(E485,Precios!B$2:N$941,4,FALSE)*F485</f>
        <v>0</v>
      </c>
      <c r="U485" s="17"/>
      <c r="V485" s="12">
        <f>VLOOKUP(E485,Precios!B$2:N$941,13,FALSE)*F485</f>
        <v>6861.3445378151282</v>
      </c>
      <c r="W485" s="12">
        <f t="shared" si="4"/>
        <v>6861.3445378151282</v>
      </c>
      <c r="X485" s="12">
        <f>VLOOKUP(B485,'Datos Maestros'!$C$2:$D$7,2,FALSE)*V485</f>
        <v>0</v>
      </c>
      <c r="Y485" s="18">
        <f t="shared" si="5"/>
        <v>45887</v>
      </c>
      <c r="Z485" s="13" t="s">
        <v>39</v>
      </c>
      <c r="AA485" s="19" t="str">
        <f>VLOOKUP(D485,Clientes!$A$2:$J$486,9,FALSE)</f>
        <v>Frecuente</v>
      </c>
      <c r="AB485" s="13" t="str">
        <f>VLOOKUP(D485,Clientes!$A$2:$K$486,11,FALSE)</f>
        <v>Empresa</v>
      </c>
      <c r="AC485" s="13" t="str">
        <f>VLOOKUP(D485,Clientes!$A$2:$B$486,2,FALSE)</f>
        <v>Departamental</v>
      </c>
      <c r="AD485" s="20"/>
      <c r="AE485" s="20"/>
      <c r="AF485" s="13" t="s">
        <v>40</v>
      </c>
      <c r="AG485" s="15">
        <f t="shared" si="6"/>
        <v>45505</v>
      </c>
      <c r="AH485" s="13" t="s">
        <v>41</v>
      </c>
      <c r="AI485" s="13" t="str">
        <f t="shared" si="7"/>
        <v>Film Plastico-Aluminio</v>
      </c>
      <c r="AJ485" s="13" t="str">
        <f>VLOOKUP(E485,Precios!Z$2:AA$941,2,FALSE)</f>
        <v>Film Plástico 1400 metros</v>
      </c>
      <c r="AK485" s="14">
        <f>VLOOKUP(E485,Precios!Z$2:BB$941,3,FALSE)*F485</f>
        <v>-1</v>
      </c>
      <c r="AL485" s="17"/>
      <c r="AM485" s="17"/>
      <c r="AN485" s="17"/>
      <c r="AO485" s="17"/>
      <c r="AP485" s="17"/>
      <c r="AQ485" s="17"/>
      <c r="AR485" s="17"/>
      <c r="AS485" s="17"/>
      <c r="AT485" s="17"/>
      <c r="AU485" s="17"/>
      <c r="AV485" s="17"/>
    </row>
    <row r="486" spans="1:48" ht="15.75" customHeight="1">
      <c r="A486" s="21" t="s">
        <v>147</v>
      </c>
      <c r="B486" s="23" t="s">
        <v>1692</v>
      </c>
      <c r="C486" s="22">
        <v>45887</v>
      </c>
      <c r="D486" s="23" t="s">
        <v>158</v>
      </c>
      <c r="E486" s="23" t="s">
        <v>160</v>
      </c>
      <c r="F486" s="21">
        <v>1</v>
      </c>
      <c r="G486" s="26">
        <v>-500</v>
      </c>
      <c r="H486" s="12">
        <f t="shared" si="0"/>
        <v>-500</v>
      </c>
      <c r="I486" s="23" t="s">
        <v>52</v>
      </c>
      <c r="J486" s="23" t="s">
        <v>61</v>
      </c>
      <c r="K486" s="24" t="s">
        <v>86</v>
      </c>
      <c r="L486" s="24">
        <v>106</v>
      </c>
      <c r="M486" s="12">
        <f t="shared" ref="M486:N486" si="491">G486/1.19</f>
        <v>-420.1680672268908</v>
      </c>
      <c r="N486" s="12">
        <f t="shared" si="491"/>
        <v>-420.1680672268908</v>
      </c>
      <c r="O486" s="12">
        <f t="shared" si="2"/>
        <v>-79.831932773109202</v>
      </c>
      <c r="P486" s="13"/>
      <c r="Q486" s="14">
        <f t="shared" si="3"/>
        <v>2025</v>
      </c>
      <c r="R486" s="15">
        <f>VLOOKUP(MONTH(C486),'Datos Maestros'!M$2:N$14,2,FALSE)</f>
        <v>45505</v>
      </c>
      <c r="S486" s="11" t="str">
        <f>VLOOKUP(E486,Precios!B$2:W$941,3,FALSE)</f>
        <v>Descuentos</v>
      </c>
      <c r="T486" s="16">
        <f>VLOOKUP(E486,Precios!B$2:N$941,4,FALSE)*F486</f>
        <v>1000</v>
      </c>
      <c r="U486" s="17"/>
      <c r="V486" s="26">
        <v>-500</v>
      </c>
      <c r="W486" s="12">
        <f t="shared" si="4"/>
        <v>-500</v>
      </c>
      <c r="X486" s="12">
        <f>VLOOKUP(B486,'Datos Maestros'!$C$2:$D$7,2,FALSE)*V486</f>
        <v>0</v>
      </c>
      <c r="Y486" s="18">
        <f t="shared" si="5"/>
        <v>45887</v>
      </c>
      <c r="Z486" s="13" t="s">
        <v>39</v>
      </c>
      <c r="AA486" s="19" t="str">
        <f>VLOOKUP(D486,Clientes!$A$2:$J$486,9,FALSE)</f>
        <v>Frecuente</v>
      </c>
      <c r="AB486" s="13" t="str">
        <f>VLOOKUP(D486,Clientes!$A$2:$K$486,11,FALSE)</f>
        <v>Empresa</v>
      </c>
      <c r="AC486" s="13" t="str">
        <f>VLOOKUP(D486,Clientes!$A$2:$B$486,2,FALSE)</f>
        <v>Departamental</v>
      </c>
      <c r="AD486" s="20"/>
      <c r="AE486" s="20"/>
      <c r="AF486" s="13" t="s">
        <v>40</v>
      </c>
      <c r="AG486" s="15">
        <f t="shared" si="6"/>
        <v>45505</v>
      </c>
      <c r="AH486" s="13" t="s">
        <v>41</v>
      </c>
      <c r="AI486" s="13" t="str">
        <f t="shared" si="7"/>
        <v>Film Plastico-Aluminio</v>
      </c>
      <c r="AJ486" s="13" t="str">
        <f>VLOOKUP(E486,Precios!Z$2:AA$941,2,FALSE)</f>
        <v>Descuentos</v>
      </c>
      <c r="AK486" s="14">
        <f>VLOOKUP(E486,Precios!Z$2:BB$941,3,FALSE)*F486</f>
        <v>-1</v>
      </c>
      <c r="AL486" s="17"/>
      <c r="AM486" s="17"/>
      <c r="AN486" s="17"/>
      <c r="AO486" s="17"/>
      <c r="AP486" s="17"/>
      <c r="AQ486" s="17"/>
      <c r="AR486" s="17"/>
      <c r="AS486" s="17"/>
      <c r="AT486" s="17"/>
      <c r="AU486" s="17"/>
      <c r="AV486" s="17"/>
    </row>
    <row r="487" spans="1:48" ht="15.75" customHeight="1">
      <c r="A487" s="21" t="s">
        <v>73</v>
      </c>
      <c r="B487" s="23" t="s">
        <v>1692</v>
      </c>
      <c r="C487" s="22">
        <v>45887</v>
      </c>
      <c r="D487" s="23" t="s">
        <v>158</v>
      </c>
      <c r="E487" s="23" t="s">
        <v>161</v>
      </c>
      <c r="F487" s="21">
        <v>3</v>
      </c>
      <c r="G487" s="12">
        <f>VLOOKUP(E487,Precios!B$2:N$941,12,FALSE)</f>
        <v>4199.9020019599611</v>
      </c>
      <c r="H487" s="12">
        <f t="shared" si="0"/>
        <v>12599.706005879883</v>
      </c>
      <c r="I487" s="23" t="s">
        <v>52</v>
      </c>
      <c r="J487" s="23" t="s">
        <v>61</v>
      </c>
      <c r="K487" s="24" t="s">
        <v>86</v>
      </c>
      <c r="L487" s="24">
        <v>106</v>
      </c>
      <c r="M487" s="12">
        <f t="shared" ref="M487:N487" si="492">G487/1.19</f>
        <v>3529.3294134117323</v>
      </c>
      <c r="N487" s="12">
        <f t="shared" si="492"/>
        <v>10587.988240235196</v>
      </c>
      <c r="O487" s="12">
        <f t="shared" si="2"/>
        <v>2011.7177656446875</v>
      </c>
      <c r="P487" s="13"/>
      <c r="Q487" s="14">
        <f t="shared" si="3"/>
        <v>2025</v>
      </c>
      <c r="R487" s="15">
        <f>VLOOKUP(MONTH(C487),'Datos Maestros'!M$2:N$14,2,FALSE)</f>
        <v>45505</v>
      </c>
      <c r="S487" s="11" t="str">
        <f>VLOOKUP(E487,Precios!B$2:W$941,3,FALSE)</f>
        <v>Guantes NITRILO</v>
      </c>
      <c r="T487" s="16">
        <f>VLOOKUP(E487,Precios!B$2:N$941,4,FALSE)*F487</f>
        <v>0</v>
      </c>
      <c r="U487" s="17"/>
      <c r="V487" s="12">
        <f>VLOOKUP(E487,Precios!B$2:N$941,13,FALSE)*F487</f>
        <v>3024.9882402351968</v>
      </c>
      <c r="W487" s="12">
        <f t="shared" si="4"/>
        <v>3024.9882402351968</v>
      </c>
      <c r="X487" s="12">
        <f>VLOOKUP(B487,'Datos Maestros'!$C$2:$D$7,2,FALSE)*V487</f>
        <v>0</v>
      </c>
      <c r="Y487" s="18">
        <f t="shared" si="5"/>
        <v>45887</v>
      </c>
      <c r="Z487" s="13" t="s">
        <v>39</v>
      </c>
      <c r="AA487" s="19" t="str">
        <f>VLOOKUP(D487,Clientes!$A$2:$J$486,9,FALSE)</f>
        <v>Frecuente</v>
      </c>
      <c r="AB487" s="13" t="str">
        <f>VLOOKUP(D487,Clientes!$A$2:$K$486,11,FALSE)</f>
        <v>Empresa</v>
      </c>
      <c r="AC487" s="13" t="str">
        <f>VLOOKUP(D487,Clientes!$A$2:$B$486,2,FALSE)</f>
        <v>Departamental</v>
      </c>
      <c r="AD487" s="20"/>
      <c r="AE487" s="20"/>
      <c r="AF487" s="13" t="s">
        <v>40</v>
      </c>
      <c r="AG487" s="15">
        <f t="shared" si="6"/>
        <v>45505</v>
      </c>
      <c r="AH487" s="13" t="s">
        <v>41</v>
      </c>
      <c r="AI487" s="13" t="str">
        <f t="shared" si="7"/>
        <v>Articulos de Sanidad</v>
      </c>
      <c r="AJ487" s="13" t="str">
        <f>VLOOKUP(E487,Precios!Z$2:AA$941,2,FALSE)</f>
        <v>Guante NITRILO Talla L</v>
      </c>
      <c r="AK487" s="14">
        <f>VLOOKUP(E487,Precios!Z$2:BB$941,3,FALSE)*F487</f>
        <v>-3</v>
      </c>
      <c r="AL487" s="17"/>
      <c r="AM487" s="17"/>
      <c r="AN487" s="17"/>
      <c r="AO487" s="17"/>
      <c r="AP487" s="17"/>
      <c r="AQ487" s="17"/>
      <c r="AR487" s="17"/>
      <c r="AS487" s="17"/>
      <c r="AT487" s="17"/>
      <c r="AU487" s="17"/>
      <c r="AV487" s="17"/>
    </row>
    <row r="488" spans="1:48" ht="15.75" customHeight="1">
      <c r="A488" s="21" t="s">
        <v>53</v>
      </c>
      <c r="B488" s="23" t="s">
        <v>1692</v>
      </c>
      <c r="C488" s="22">
        <v>45887</v>
      </c>
      <c r="D488" s="23" t="s">
        <v>158</v>
      </c>
      <c r="E488" s="23" t="s">
        <v>162</v>
      </c>
      <c r="F488" s="21">
        <v>3</v>
      </c>
      <c r="G488" s="12">
        <f>VLOOKUP(E488,Precios!B$2:N$941,12,FALSE)</f>
        <v>9500.0304006809747</v>
      </c>
      <c r="H488" s="12">
        <f t="shared" si="0"/>
        <v>28500.091202042924</v>
      </c>
      <c r="I488" s="23" t="s">
        <v>52</v>
      </c>
      <c r="J488" s="23" t="s">
        <v>61</v>
      </c>
      <c r="K488" s="24" t="s">
        <v>86</v>
      </c>
      <c r="L488" s="24">
        <v>106</v>
      </c>
      <c r="M488" s="12">
        <f t="shared" ref="M488:N488" si="493">G488/1.19</f>
        <v>7983.2188241016602</v>
      </c>
      <c r="N488" s="12">
        <f t="shared" si="493"/>
        <v>23949.656472304978</v>
      </c>
      <c r="O488" s="12">
        <f t="shared" si="2"/>
        <v>4550.4347297379463</v>
      </c>
      <c r="P488" s="13"/>
      <c r="Q488" s="14">
        <f t="shared" si="3"/>
        <v>2025</v>
      </c>
      <c r="R488" s="15">
        <f>VLOOKUP(MONTH(C488),'Datos Maestros'!M$2:N$14,2,FALSE)</f>
        <v>45505</v>
      </c>
      <c r="S488" s="11" t="str">
        <f>VLOOKUP(E488,Precios!B$2:W$941,3,FALSE)</f>
        <v>Toalla Papel Soft Quality</v>
      </c>
      <c r="T488" s="16">
        <f>VLOOKUP(E488,Precios!B$2:N$941,4,FALSE)*F488</f>
        <v>0</v>
      </c>
      <c r="U488" s="17"/>
      <c r="V488" s="12">
        <f>VLOOKUP(E488,Precios!B$2:N$941,13,FALSE)*F488</f>
        <v>8193.6564723049778</v>
      </c>
      <c r="W488" s="12">
        <f t="shared" si="4"/>
        <v>8193.6564723049778</v>
      </c>
      <c r="X488" s="12">
        <f>VLOOKUP(B488,'Datos Maestros'!$C$2:$D$7,2,FALSE)*V488</f>
        <v>0</v>
      </c>
      <c r="Y488" s="18">
        <f t="shared" si="5"/>
        <v>45887</v>
      </c>
      <c r="Z488" s="13" t="s">
        <v>39</v>
      </c>
      <c r="AA488" s="19" t="str">
        <f>VLOOKUP(D488,Clientes!$A$2:$J$486,9,FALSE)</f>
        <v>Frecuente</v>
      </c>
      <c r="AB488" s="13" t="str">
        <f>VLOOKUP(D488,Clientes!$A$2:$K$486,11,FALSE)</f>
        <v>Empresa</v>
      </c>
      <c r="AC488" s="13" t="str">
        <f>VLOOKUP(D488,Clientes!$A$2:$B$486,2,FALSE)</f>
        <v>Departamental</v>
      </c>
      <c r="AD488" s="20"/>
      <c r="AE488" s="20"/>
      <c r="AF488" s="13" t="s">
        <v>40</v>
      </c>
      <c r="AG488" s="15">
        <f t="shared" si="6"/>
        <v>45505</v>
      </c>
      <c r="AH488" s="13" t="s">
        <v>41</v>
      </c>
      <c r="AI488" s="13" t="str">
        <f t="shared" si="7"/>
        <v>Papeleria</v>
      </c>
      <c r="AJ488" s="13" t="str">
        <f>VLOOKUP(E488,Precios!Z$2:AA$941,2,FALSE)</f>
        <v>Toalla Papel 250 metros dipensador</v>
      </c>
      <c r="AK488" s="14">
        <f>VLOOKUP(E488,Precios!Z$2:BB$941,3,FALSE)*F488</f>
        <v>-3</v>
      </c>
      <c r="AL488" s="17"/>
      <c r="AM488" s="17"/>
      <c r="AN488" s="17"/>
      <c r="AO488" s="17"/>
      <c r="AP488" s="17"/>
      <c r="AQ488" s="17"/>
      <c r="AR488" s="17"/>
      <c r="AS488" s="17"/>
      <c r="AT488" s="17"/>
      <c r="AU488" s="17"/>
      <c r="AV488" s="17"/>
    </row>
    <row r="489" spans="1:48" ht="15.75" customHeight="1">
      <c r="A489" s="21" t="s">
        <v>35</v>
      </c>
      <c r="B489" s="23" t="s">
        <v>1692</v>
      </c>
      <c r="C489" s="22">
        <v>45887</v>
      </c>
      <c r="D489" s="23" t="s">
        <v>198</v>
      </c>
      <c r="E489" s="23" t="s">
        <v>37</v>
      </c>
      <c r="F489" s="21">
        <v>2</v>
      </c>
      <c r="G489" s="12">
        <f>VLOOKUP(E489,Precios!B$2:N$941,12,FALSE)</f>
        <v>11000.014358944907</v>
      </c>
      <c r="H489" s="12">
        <f t="shared" si="0"/>
        <v>22000.028717889814</v>
      </c>
      <c r="I489" s="23" t="s">
        <v>52</v>
      </c>
      <c r="J489" s="23" t="s">
        <v>61</v>
      </c>
      <c r="K489" s="24" t="s">
        <v>177</v>
      </c>
      <c r="L489" s="24">
        <v>172</v>
      </c>
      <c r="M489" s="12">
        <f t="shared" ref="M489:N489" si="494">G489/1.19</f>
        <v>9243.7095453318543</v>
      </c>
      <c r="N489" s="12">
        <f t="shared" si="494"/>
        <v>18487.419090663709</v>
      </c>
      <c r="O489" s="12">
        <f t="shared" si="2"/>
        <v>3512.6096272261057</v>
      </c>
      <c r="P489" s="13"/>
      <c r="Q489" s="14">
        <f t="shared" si="3"/>
        <v>2025</v>
      </c>
      <c r="R489" s="15">
        <f>VLOOKUP(MONTH(C489),'Datos Maestros'!M$2:N$14,2,FALSE)</f>
        <v>45505</v>
      </c>
      <c r="S489" s="11" t="str">
        <f>VLOOKUP(E489,Precios!B$2:W$941,3,FALSE)</f>
        <v>Queso Mantecoso</v>
      </c>
      <c r="T489" s="16">
        <f>VLOOKUP(E489,Precios!B$2:N$941,4,FALSE)*F489</f>
        <v>2000</v>
      </c>
      <c r="U489" s="17"/>
      <c r="V489" s="12">
        <f>VLOOKUP(E489,Precios!B$2:N$941,13,FALSE)*F489</f>
        <v>5612.225813352783</v>
      </c>
      <c r="W489" s="12">
        <f t="shared" si="4"/>
        <v>5612.225813352783</v>
      </c>
      <c r="X489" s="12">
        <f>VLOOKUP(B489,'Datos Maestros'!$C$2:$D$7,2,FALSE)*V489</f>
        <v>0</v>
      </c>
      <c r="Y489" s="18">
        <f t="shared" si="5"/>
        <v>45887</v>
      </c>
      <c r="Z489" s="13" t="s">
        <v>39</v>
      </c>
      <c r="AA489" s="19" t="str">
        <f>VLOOKUP(D489,Clientes!$A$2:$J$486,9,FALSE)</f>
        <v>Frecuente</v>
      </c>
      <c r="AB489" s="13" t="str">
        <f>VLOOKUP(D489,Clientes!$A$2:$K$486,11,FALSE)</f>
        <v>Persona Natural</v>
      </c>
      <c r="AC489" s="13" t="str">
        <f>VLOOKUP(D489,Clientes!$A$2:$B$486,2,FALSE)</f>
        <v>Curso Amalia</v>
      </c>
      <c r="AD489" s="20"/>
      <c r="AE489" s="20"/>
      <c r="AF489" s="13" t="s">
        <v>40</v>
      </c>
      <c r="AG489" s="15">
        <f t="shared" si="6"/>
        <v>45505</v>
      </c>
      <c r="AH489" s="13" t="s">
        <v>41</v>
      </c>
      <c r="AI489" s="13" t="str">
        <f t="shared" si="7"/>
        <v>Quesos</v>
      </c>
      <c r="AJ489" s="13" t="str">
        <f>VLOOKUP(E489,Precios!Z$2:AA$941,2,FALSE)</f>
        <v>Queso RUNCA Mantecoso</v>
      </c>
      <c r="AK489" s="14">
        <f>VLOOKUP(E489,Precios!Z$2:BB$941,3,FALSE)*F489</f>
        <v>-2</v>
      </c>
      <c r="AL489" s="17"/>
      <c r="AM489" s="17"/>
      <c r="AN489" s="17"/>
      <c r="AO489" s="17"/>
      <c r="AP489" s="17"/>
      <c r="AQ489" s="17"/>
      <c r="AR489" s="17"/>
      <c r="AS489" s="17"/>
      <c r="AT489" s="17"/>
      <c r="AU489" s="17"/>
      <c r="AV489" s="17"/>
    </row>
    <row r="490" spans="1:48" ht="15.75" customHeight="1">
      <c r="A490" s="21" t="s">
        <v>43</v>
      </c>
      <c r="B490" s="23" t="s">
        <v>1692</v>
      </c>
      <c r="C490" s="22">
        <v>45887</v>
      </c>
      <c r="D490" s="23" t="s">
        <v>198</v>
      </c>
      <c r="E490" s="23" t="s">
        <v>45</v>
      </c>
      <c r="F490" s="14">
        <v>1</v>
      </c>
      <c r="G490" s="12">
        <f>VLOOKUP(E490,Precios!B$2:N$941,12,FALSE)</f>
        <v>8000.1831784723063</v>
      </c>
      <c r="H490" s="12">
        <f t="shared" si="0"/>
        <v>8000.1831784723063</v>
      </c>
      <c r="I490" s="23" t="s">
        <v>52</v>
      </c>
      <c r="J490" s="23" t="s">
        <v>61</v>
      </c>
      <c r="K490" s="24" t="s">
        <v>177</v>
      </c>
      <c r="L490" s="24">
        <v>172</v>
      </c>
      <c r="M490" s="12">
        <f t="shared" ref="M490:N490" si="495">G490/1.19</f>
        <v>6722.8430071195853</v>
      </c>
      <c r="N490" s="12">
        <f t="shared" si="495"/>
        <v>6722.8430071195853</v>
      </c>
      <c r="O490" s="12">
        <f t="shared" si="2"/>
        <v>1277.340171352721</v>
      </c>
      <c r="P490" s="13"/>
      <c r="Q490" s="14">
        <f t="shared" si="3"/>
        <v>2025</v>
      </c>
      <c r="R490" s="15">
        <f>VLOOKUP(MONTH(C490),'Datos Maestros'!M$2:N$14,2,FALSE)</f>
        <v>45505</v>
      </c>
      <c r="S490" s="11" t="str">
        <f>VLOOKUP(E490,Precios!B$2:W$941,3,FALSE)</f>
        <v>Huevos EXTRA</v>
      </c>
      <c r="T490" s="16">
        <f>VLOOKUP(E490,Precios!B$2:N$941,4,FALSE)*F490</f>
        <v>0</v>
      </c>
      <c r="U490" s="17"/>
      <c r="V490" s="12">
        <f>VLOOKUP(E490,Precios!B$2:N$941,13,FALSE)*F490</f>
        <v>1151.6230071195851</v>
      </c>
      <c r="W490" s="12">
        <f t="shared" si="4"/>
        <v>1151.6230071195851</v>
      </c>
      <c r="X490" s="12">
        <f>VLOOKUP(B490,'Datos Maestros'!$C$2:$D$7,2,FALSE)*V490</f>
        <v>0</v>
      </c>
      <c r="Y490" s="18">
        <f t="shared" si="5"/>
        <v>45887</v>
      </c>
      <c r="Z490" s="13" t="s">
        <v>39</v>
      </c>
      <c r="AA490" s="19" t="str">
        <f>VLOOKUP(D490,Clientes!$A$2:$J$486,9,FALSE)</f>
        <v>Frecuente</v>
      </c>
      <c r="AB490" s="13" t="str">
        <f>VLOOKUP(D490,Clientes!$A$2:$K$486,11,FALSE)</f>
        <v>Persona Natural</v>
      </c>
      <c r="AC490" s="13" t="str">
        <f>VLOOKUP(D490,Clientes!$A$2:$B$486,2,FALSE)</f>
        <v>Curso Amalia</v>
      </c>
      <c r="AD490" s="20"/>
      <c r="AE490" s="20"/>
      <c r="AF490" s="13" t="s">
        <v>40</v>
      </c>
      <c r="AG490" s="15">
        <f t="shared" si="6"/>
        <v>45505</v>
      </c>
      <c r="AH490" s="13" t="s">
        <v>41</v>
      </c>
      <c r="AI490" s="13" t="str">
        <f t="shared" si="7"/>
        <v>Huevos</v>
      </c>
      <c r="AJ490" s="13" t="str">
        <f>VLOOKUP(E490,Precios!Z$2:AA$941,2,FALSE)</f>
        <v>Bandeja Huevos EXTRA</v>
      </c>
      <c r="AK490" s="14">
        <f>VLOOKUP(E490,Precios!Z$2:BB$941,3,FALSE)*F490</f>
        <v>-1</v>
      </c>
      <c r="AL490" s="17"/>
      <c r="AM490" s="17"/>
      <c r="AN490" s="17"/>
      <c r="AO490" s="17"/>
      <c r="AP490" s="17"/>
      <c r="AQ490" s="17"/>
      <c r="AR490" s="17"/>
      <c r="AS490" s="17"/>
      <c r="AT490" s="17"/>
      <c r="AU490" s="17"/>
      <c r="AV490" s="17"/>
    </row>
    <row r="491" spans="1:48" ht="15.75" customHeight="1">
      <c r="A491" s="21" t="s">
        <v>43</v>
      </c>
      <c r="B491" s="23" t="s">
        <v>1692</v>
      </c>
      <c r="C491" s="22">
        <v>45887</v>
      </c>
      <c r="D491" s="23" t="s">
        <v>193</v>
      </c>
      <c r="E491" s="23" t="s">
        <v>45</v>
      </c>
      <c r="F491" s="14">
        <v>1</v>
      </c>
      <c r="G491" s="12">
        <f>VLOOKUP(E491,Precios!B$2:N$941,12,FALSE)</f>
        <v>8000.1831784723063</v>
      </c>
      <c r="H491" s="12">
        <f t="shared" si="0"/>
        <v>8000.1831784723063</v>
      </c>
      <c r="I491" s="23" t="s">
        <v>52</v>
      </c>
      <c r="J491" s="23" t="s">
        <v>61</v>
      </c>
      <c r="K491" s="24" t="s">
        <v>177</v>
      </c>
      <c r="L491" s="24">
        <v>172</v>
      </c>
      <c r="M491" s="12">
        <f t="shared" ref="M491:N491" si="496">G491/1.19</f>
        <v>6722.8430071195853</v>
      </c>
      <c r="N491" s="12">
        <f t="shared" si="496"/>
        <v>6722.8430071195853</v>
      </c>
      <c r="O491" s="12">
        <f t="shared" si="2"/>
        <v>1277.340171352721</v>
      </c>
      <c r="P491" s="13"/>
      <c r="Q491" s="14">
        <f t="shared" si="3"/>
        <v>2025</v>
      </c>
      <c r="R491" s="15">
        <f>VLOOKUP(MONTH(C491),'Datos Maestros'!M$2:N$14,2,FALSE)</f>
        <v>45505</v>
      </c>
      <c r="S491" s="11" t="str">
        <f>VLOOKUP(E491,Precios!B$2:W$941,3,FALSE)</f>
        <v>Huevos EXTRA</v>
      </c>
      <c r="T491" s="16">
        <f>VLOOKUP(E491,Precios!B$2:N$941,4,FALSE)*F491</f>
        <v>0</v>
      </c>
      <c r="U491" s="17"/>
      <c r="V491" s="12">
        <f>VLOOKUP(E491,Precios!B$2:N$941,13,FALSE)*F491</f>
        <v>1151.6230071195851</v>
      </c>
      <c r="W491" s="12">
        <f t="shared" si="4"/>
        <v>1151.6230071195851</v>
      </c>
      <c r="X491" s="12">
        <f>VLOOKUP(B491,'Datos Maestros'!$C$2:$D$7,2,FALSE)*V491</f>
        <v>0</v>
      </c>
      <c r="Y491" s="18">
        <f t="shared" si="5"/>
        <v>45887</v>
      </c>
      <c r="Z491" s="13" t="s">
        <v>39</v>
      </c>
      <c r="AA491" s="19" t="str">
        <f>VLOOKUP(D491,Clientes!$A$2:$J$486,9,FALSE)</f>
        <v>Ocacional</v>
      </c>
      <c r="AB491" s="13" t="str">
        <f>VLOOKUP(D491,Clientes!$A$2:$K$486,11,FALSE)</f>
        <v>Persona Natural</v>
      </c>
      <c r="AC491" s="13" t="str">
        <f>VLOOKUP(D491,Clientes!$A$2:$B$486,2,FALSE)</f>
        <v>Jardines de la viña</v>
      </c>
      <c r="AD491" s="20"/>
      <c r="AE491" s="20"/>
      <c r="AF491" s="13" t="s">
        <v>40</v>
      </c>
      <c r="AG491" s="15">
        <f t="shared" si="6"/>
        <v>45505</v>
      </c>
      <c r="AH491" s="13" t="s">
        <v>41</v>
      </c>
      <c r="AI491" s="13" t="str">
        <f t="shared" si="7"/>
        <v>Huevos</v>
      </c>
      <c r="AJ491" s="13" t="str">
        <f>VLOOKUP(E491,Precios!Z$2:AA$941,2,FALSE)</f>
        <v>Bandeja Huevos EXTRA</v>
      </c>
      <c r="AK491" s="14">
        <f>VLOOKUP(E491,Precios!Z$2:BB$941,3,FALSE)*F491</f>
        <v>-1</v>
      </c>
      <c r="AL491" s="17"/>
      <c r="AM491" s="17"/>
      <c r="AN491" s="17"/>
      <c r="AO491" s="17"/>
      <c r="AP491" s="17"/>
      <c r="AQ491" s="17"/>
      <c r="AR491" s="17"/>
      <c r="AS491" s="17"/>
      <c r="AT491" s="17"/>
      <c r="AU491" s="17"/>
      <c r="AV491" s="17"/>
    </row>
    <row r="492" spans="1:48" ht="15.75" customHeight="1">
      <c r="A492" s="21" t="s">
        <v>53</v>
      </c>
      <c r="B492" s="23" t="s">
        <v>1692</v>
      </c>
      <c r="C492" s="22">
        <v>45887</v>
      </c>
      <c r="D492" s="23" t="s">
        <v>135</v>
      </c>
      <c r="E492" s="23" t="s">
        <v>97</v>
      </c>
      <c r="F492" s="14">
        <v>1</v>
      </c>
      <c r="G492" s="12">
        <f>VLOOKUP(E492,Precios!B$2:N$941,12,FALSE)</f>
        <v>16500.236769693482</v>
      </c>
      <c r="H492" s="12">
        <f t="shared" si="0"/>
        <v>16500.236769693482</v>
      </c>
      <c r="I492" s="23" t="s">
        <v>52</v>
      </c>
      <c r="J492" s="23" t="s">
        <v>61</v>
      </c>
      <c r="K492" s="24" t="s">
        <v>177</v>
      </c>
      <c r="L492" s="24">
        <v>172</v>
      </c>
      <c r="M492" s="12">
        <f t="shared" ref="M492:N492" si="497">G492/1.19</f>
        <v>13865.745184616371</v>
      </c>
      <c r="N492" s="12">
        <f t="shared" si="497"/>
        <v>13865.745184616371</v>
      </c>
      <c r="O492" s="12">
        <f t="shared" si="2"/>
        <v>2634.4915850771104</v>
      </c>
      <c r="P492" s="13"/>
      <c r="Q492" s="14">
        <f t="shared" si="3"/>
        <v>2025</v>
      </c>
      <c r="R492" s="15">
        <f>VLOOKUP(MONTH(C492),'Datos Maestros'!M$2:N$14,2,FALSE)</f>
        <v>45505</v>
      </c>
      <c r="S492" s="11" t="str">
        <f>VLOOKUP(E492,Precios!B$2:W$941,3,FALSE)</f>
        <v>Papel Higiénico ELITE</v>
      </c>
      <c r="T492" s="16">
        <f>VLOOKUP(E492,Precios!B$2:N$941,4,FALSE)*F492</f>
        <v>0</v>
      </c>
      <c r="U492" s="17"/>
      <c r="V492" s="12">
        <f>VLOOKUP(E492,Precios!B$2:N$941,13,FALSE)*F492</f>
        <v>3031.7451846163694</v>
      </c>
      <c r="W492" s="12">
        <f t="shared" si="4"/>
        <v>3031.7451846163694</v>
      </c>
      <c r="X492" s="12">
        <f>VLOOKUP(B492,'Datos Maestros'!$C$2:$D$7,2,FALSE)*V492</f>
        <v>0</v>
      </c>
      <c r="Y492" s="18">
        <f t="shared" si="5"/>
        <v>45887</v>
      </c>
      <c r="Z492" s="13" t="s">
        <v>39</v>
      </c>
      <c r="AA492" s="19" t="str">
        <f>VLOOKUP(D492,Clientes!$A$2:$J$486,9,FALSE)</f>
        <v>Frecuente</v>
      </c>
      <c r="AB492" s="13" t="str">
        <f>VLOOKUP(D492,Clientes!$A$2:$K$486,11,FALSE)</f>
        <v>Persona Natural</v>
      </c>
      <c r="AC492" s="13" t="str">
        <f>VLOOKUP(D492,Clientes!$A$2:$B$486,2,FALSE)</f>
        <v>Ex 4to Antilhue</v>
      </c>
      <c r="AD492" s="20"/>
      <c r="AE492" s="20"/>
      <c r="AF492" s="13" t="s">
        <v>40</v>
      </c>
      <c r="AG492" s="15">
        <f t="shared" si="6"/>
        <v>45505</v>
      </c>
      <c r="AH492" s="13" t="s">
        <v>41</v>
      </c>
      <c r="AI492" s="13" t="str">
        <f t="shared" si="7"/>
        <v>Papeleria</v>
      </c>
      <c r="AJ492" s="13" t="str">
        <f>VLOOKUP(E492,Precios!Z$2:AA$941,2,FALSE)</f>
        <v>Papel Higienico ELITE 50 metros</v>
      </c>
      <c r="AK492" s="14">
        <f>VLOOKUP(E492,Precios!Z$2:BB$941,3,FALSE)*F492</f>
        <v>-6</v>
      </c>
      <c r="AL492" s="17"/>
      <c r="AM492" s="17"/>
      <c r="AN492" s="17"/>
      <c r="AO492" s="17"/>
      <c r="AP492" s="17"/>
      <c r="AQ492" s="17"/>
      <c r="AR492" s="17"/>
      <c r="AS492" s="17"/>
      <c r="AT492" s="17"/>
      <c r="AU492" s="17"/>
      <c r="AV492" s="17"/>
    </row>
    <row r="493" spans="1:48" ht="15.75" customHeight="1">
      <c r="A493" s="21" t="s">
        <v>76</v>
      </c>
      <c r="B493" s="23" t="s">
        <v>1692</v>
      </c>
      <c r="C493" s="22">
        <v>45887</v>
      </c>
      <c r="D493" s="23" t="s">
        <v>135</v>
      </c>
      <c r="E493" s="23" t="s">
        <v>82</v>
      </c>
      <c r="F493" s="14">
        <v>1</v>
      </c>
      <c r="G493" s="12">
        <f>VLOOKUP(E493,Precios!B$2:N$941,12,FALSE)</f>
        <v>2000.0000000000002</v>
      </c>
      <c r="H493" s="12">
        <f t="shared" si="0"/>
        <v>2000.0000000000002</v>
      </c>
      <c r="I493" s="23" t="s">
        <v>52</v>
      </c>
      <c r="J493" s="23" t="s">
        <v>61</v>
      </c>
      <c r="K493" s="24" t="s">
        <v>177</v>
      </c>
      <c r="L493" s="24">
        <v>172</v>
      </c>
      <c r="M493" s="12">
        <f t="shared" ref="M493:N493" si="498">G493/1.19</f>
        <v>1680.6722689075632</v>
      </c>
      <c r="N493" s="12">
        <f t="shared" si="498"/>
        <v>1680.6722689075632</v>
      </c>
      <c r="O493" s="12">
        <f t="shared" si="2"/>
        <v>319.32773109243703</v>
      </c>
      <c r="P493" s="13"/>
      <c r="Q493" s="14">
        <f t="shared" si="3"/>
        <v>2025</v>
      </c>
      <c r="R493" s="15">
        <f>VLOOKUP(MONTH(C493),'Datos Maestros'!M$2:N$14,2,FALSE)</f>
        <v>45505</v>
      </c>
      <c r="S493" s="11" t="str">
        <f>VLOOKUP(E493,Precios!B$2:W$941,3,FALSE)</f>
        <v>Limpiapiso</v>
      </c>
      <c r="T493" s="16">
        <f>VLOOKUP(E493,Precios!B$2:N$941,4,FALSE)*F493</f>
        <v>5</v>
      </c>
      <c r="U493" s="17"/>
      <c r="V493" s="12">
        <f>VLOOKUP(E493,Precios!B$2:N$941,13,FALSE)*F493</f>
        <v>680.67226890756319</v>
      </c>
      <c r="W493" s="12">
        <f t="shared" si="4"/>
        <v>680.67226890756319</v>
      </c>
      <c r="X493" s="12">
        <f>VLOOKUP(B493,'Datos Maestros'!$C$2:$D$7,2,FALSE)*V493</f>
        <v>0</v>
      </c>
      <c r="Y493" s="18">
        <f t="shared" si="5"/>
        <v>45887</v>
      </c>
      <c r="Z493" s="13" t="s">
        <v>39</v>
      </c>
      <c r="AA493" s="19" t="str">
        <f>VLOOKUP(D493,Clientes!$A$2:$J$486,9,FALSE)</f>
        <v>Frecuente</v>
      </c>
      <c r="AB493" s="13" t="str">
        <f>VLOOKUP(D493,Clientes!$A$2:$K$486,11,FALSE)</f>
        <v>Persona Natural</v>
      </c>
      <c r="AC493" s="13" t="str">
        <f>VLOOKUP(D493,Clientes!$A$2:$B$486,2,FALSE)</f>
        <v>Ex 4to Antilhue</v>
      </c>
      <c r="AD493" s="20"/>
      <c r="AE493" s="20"/>
      <c r="AF493" s="13" t="s">
        <v>40</v>
      </c>
      <c r="AG493" s="15">
        <f t="shared" si="6"/>
        <v>45505</v>
      </c>
      <c r="AH493" s="13" t="s">
        <v>41</v>
      </c>
      <c r="AI493" s="13" t="str">
        <f t="shared" si="7"/>
        <v>Detergentes</v>
      </c>
      <c r="AJ493" s="13" t="str">
        <f>VLOOKUP(E493,Precios!Z$2:AA$941,2,FALSE)</f>
        <v>Limpiapiso SPUM 5 Litros</v>
      </c>
      <c r="AK493" s="14">
        <f>VLOOKUP(E493,Precios!Z$2:BB$941,3,FALSE)*F493</f>
        <v>-1</v>
      </c>
      <c r="AL493" s="17"/>
      <c r="AM493" s="17"/>
      <c r="AN493" s="17"/>
      <c r="AO493" s="17"/>
      <c r="AP493" s="17"/>
      <c r="AQ493" s="17"/>
      <c r="AR493" s="17"/>
      <c r="AS493" s="17"/>
      <c r="AT493" s="17"/>
      <c r="AU493" s="17"/>
      <c r="AV493" s="17"/>
    </row>
    <row r="494" spans="1:48" ht="15.75" customHeight="1">
      <c r="A494" s="21" t="s">
        <v>76</v>
      </c>
      <c r="B494" s="23" t="s">
        <v>1692</v>
      </c>
      <c r="C494" s="22">
        <v>45887</v>
      </c>
      <c r="D494" s="23" t="s">
        <v>135</v>
      </c>
      <c r="E494" s="23" t="s">
        <v>137</v>
      </c>
      <c r="F494" s="14">
        <v>1</v>
      </c>
      <c r="G494" s="12">
        <f>VLOOKUP(E494,Precios!B$2:N$941,12,FALSE)</f>
        <v>3500.0000000000005</v>
      </c>
      <c r="H494" s="12">
        <f t="shared" si="0"/>
        <v>3500.0000000000005</v>
      </c>
      <c r="I494" s="23" t="s">
        <v>52</v>
      </c>
      <c r="J494" s="23" t="s">
        <v>61</v>
      </c>
      <c r="K494" s="24" t="s">
        <v>177</v>
      </c>
      <c r="L494" s="24">
        <v>172</v>
      </c>
      <c r="M494" s="12">
        <f t="shared" ref="M494:N494" si="499">G494/1.19</f>
        <v>2941.1764705882356</v>
      </c>
      <c r="N494" s="12">
        <f t="shared" si="499"/>
        <v>2941.1764705882356</v>
      </c>
      <c r="O494" s="12">
        <f t="shared" si="2"/>
        <v>558.82352941176487</v>
      </c>
      <c r="P494" s="13"/>
      <c r="Q494" s="14">
        <f t="shared" si="3"/>
        <v>2025</v>
      </c>
      <c r="R494" s="15">
        <f>VLOOKUP(MONTH(C494),'Datos Maestros'!M$2:N$14,2,FALSE)</f>
        <v>45505</v>
      </c>
      <c r="S494" s="11" t="str">
        <f>VLOOKUP(E494,Precios!B$2:W$941,3,FALSE)</f>
        <v>Detergente Piel Sensible</v>
      </c>
      <c r="T494" s="16">
        <f>VLOOKUP(E494,Precios!B$2:N$941,4,FALSE)*F494</f>
        <v>5</v>
      </c>
      <c r="U494" s="17"/>
      <c r="V494" s="12">
        <f>VLOOKUP(E494,Precios!B$2:N$941,13,FALSE)*F494</f>
        <v>848.73949579831969</v>
      </c>
      <c r="W494" s="12">
        <f t="shared" si="4"/>
        <v>848.73949579831969</v>
      </c>
      <c r="X494" s="12">
        <f>VLOOKUP(B494,'Datos Maestros'!$C$2:$D$7,2,FALSE)*V494</f>
        <v>0</v>
      </c>
      <c r="Y494" s="18">
        <f t="shared" si="5"/>
        <v>45887</v>
      </c>
      <c r="Z494" s="13" t="s">
        <v>39</v>
      </c>
      <c r="AA494" s="19" t="str">
        <f>VLOOKUP(D494,Clientes!$A$2:$J$486,9,FALSE)</f>
        <v>Frecuente</v>
      </c>
      <c r="AB494" s="13" t="str">
        <f>VLOOKUP(D494,Clientes!$A$2:$K$486,11,FALSE)</f>
        <v>Persona Natural</v>
      </c>
      <c r="AC494" s="13" t="str">
        <f>VLOOKUP(D494,Clientes!$A$2:$B$486,2,FALSE)</f>
        <v>Ex 4to Antilhue</v>
      </c>
      <c r="AD494" s="20"/>
      <c r="AE494" s="20"/>
      <c r="AF494" s="13" t="s">
        <v>40</v>
      </c>
      <c r="AG494" s="15">
        <f t="shared" si="6"/>
        <v>45505</v>
      </c>
      <c r="AH494" s="13" t="s">
        <v>41</v>
      </c>
      <c r="AI494" s="13" t="str">
        <f t="shared" si="7"/>
        <v>Detergentes</v>
      </c>
      <c r="AJ494" s="13" t="str">
        <f>VLOOKUP(E494,Precios!Z$2:AA$941,2,FALSE)</f>
        <v>Detergente SPUM 5 Litros (Blanco)</v>
      </c>
      <c r="AK494" s="14">
        <f>VLOOKUP(E494,Precios!Z$2:BB$941,3,FALSE)*F494</f>
        <v>-1</v>
      </c>
      <c r="AL494" s="17"/>
      <c r="AM494" s="17"/>
      <c r="AN494" s="17"/>
      <c r="AO494" s="17"/>
      <c r="AP494" s="17"/>
      <c r="AQ494" s="17"/>
      <c r="AR494" s="17"/>
      <c r="AS494" s="17"/>
      <c r="AT494" s="17"/>
      <c r="AU494" s="17"/>
      <c r="AV494" s="17"/>
    </row>
    <row r="495" spans="1:48" ht="15.75" customHeight="1">
      <c r="A495" s="21" t="s">
        <v>76</v>
      </c>
      <c r="B495" s="23" t="s">
        <v>1692</v>
      </c>
      <c r="C495" s="25">
        <v>45886</v>
      </c>
      <c r="D495" s="23" t="s">
        <v>236</v>
      </c>
      <c r="E495" s="23" t="s">
        <v>81</v>
      </c>
      <c r="F495" s="14">
        <v>1</v>
      </c>
      <c r="G495" s="12">
        <f>VLOOKUP(E495,Precios!B$2:N$941,12,FALSE)</f>
        <v>3500.0000000000005</v>
      </c>
      <c r="H495" s="12">
        <f t="shared" si="0"/>
        <v>3500.0000000000005</v>
      </c>
      <c r="I495" s="23" t="s">
        <v>52</v>
      </c>
      <c r="J495" s="23" t="s">
        <v>61</v>
      </c>
      <c r="K495" s="24" t="s">
        <v>177</v>
      </c>
      <c r="L495" s="24">
        <v>171</v>
      </c>
      <c r="M495" s="12">
        <f t="shared" ref="M495:N495" si="500">G495/1.19</f>
        <v>2941.1764705882356</v>
      </c>
      <c r="N495" s="12">
        <f t="shared" si="500"/>
        <v>2941.1764705882356</v>
      </c>
      <c r="O495" s="12">
        <f t="shared" si="2"/>
        <v>558.82352941176487</v>
      </c>
      <c r="P495" s="13"/>
      <c r="Q495" s="14">
        <f t="shared" si="3"/>
        <v>2025</v>
      </c>
      <c r="R495" s="15">
        <f>VLOOKUP(MONTH(C495),'Datos Maestros'!M$2:N$14,2,FALSE)</f>
        <v>45505</v>
      </c>
      <c r="S495" s="11" t="str">
        <f>VLOOKUP(E495,Precios!B$2:W$941,3,FALSE)</f>
        <v>Detergente Premium</v>
      </c>
      <c r="T495" s="16">
        <f>VLOOKUP(E495,Precios!B$2:N$941,4,FALSE)*F495</f>
        <v>5</v>
      </c>
      <c r="U495" s="17"/>
      <c r="V495" s="12">
        <f>VLOOKUP(E495,Precios!B$2:N$941,13,FALSE)*F495</f>
        <v>764.70588235294144</v>
      </c>
      <c r="W495" s="12">
        <f t="shared" si="4"/>
        <v>764.70588235294144</v>
      </c>
      <c r="X495" s="12">
        <f>VLOOKUP(B495,'Datos Maestros'!$C$2:$D$7,2,FALSE)*V495</f>
        <v>0</v>
      </c>
      <c r="Y495" s="18">
        <f t="shared" si="5"/>
        <v>45880</v>
      </c>
      <c r="Z495" s="13" t="s">
        <v>39</v>
      </c>
      <c r="AA495" s="19" t="str">
        <f>VLOOKUP(D495,Clientes!$A$2:$J$486,9,FALSE)</f>
        <v>Familiar</v>
      </c>
      <c r="AB495" s="13" t="str">
        <f>VLOOKUP(D495,Clientes!$A$2:$K$486,11,FALSE)</f>
        <v>Persona Natural</v>
      </c>
      <c r="AC495" s="13" t="str">
        <f>VLOOKUP(D495,Clientes!$A$2:$B$486,2,FALSE)</f>
        <v>Familiar</v>
      </c>
      <c r="AD495" s="20"/>
      <c r="AE495" s="20"/>
      <c r="AF495" s="13" t="s">
        <v>40</v>
      </c>
      <c r="AG495" s="15">
        <f t="shared" si="6"/>
        <v>45505</v>
      </c>
      <c r="AH495" s="13" t="s">
        <v>41</v>
      </c>
      <c r="AI495" s="13" t="str">
        <f t="shared" si="7"/>
        <v>Detergentes</v>
      </c>
      <c r="AJ495" s="13" t="str">
        <f>VLOOKUP(E495,Precios!Z$2:AA$941,2,FALSE)</f>
        <v>Detergente SPUM 5 Litros (Verde)</v>
      </c>
      <c r="AK495" s="14">
        <f>VLOOKUP(E495,Precios!Z$2:BB$941,3,FALSE)*F495</f>
        <v>-1</v>
      </c>
      <c r="AL495" s="17"/>
      <c r="AM495" s="17"/>
      <c r="AN495" s="17"/>
      <c r="AO495" s="17"/>
      <c r="AP495" s="17"/>
      <c r="AQ495" s="17"/>
      <c r="AR495" s="17"/>
      <c r="AS495" s="17"/>
      <c r="AT495" s="17"/>
      <c r="AU495" s="17"/>
      <c r="AV495" s="17"/>
    </row>
    <row r="496" spans="1:48" ht="15.75" customHeight="1">
      <c r="A496" s="21" t="s">
        <v>43</v>
      </c>
      <c r="B496" s="23" t="s">
        <v>1692</v>
      </c>
      <c r="C496" s="25">
        <v>45886</v>
      </c>
      <c r="D496" s="23" t="s">
        <v>302</v>
      </c>
      <c r="E496" s="23" t="s">
        <v>45</v>
      </c>
      <c r="F496" s="14">
        <v>1</v>
      </c>
      <c r="G496" s="12">
        <f>VLOOKUP(E496,Precios!B$2:N$941,12,FALSE)</f>
        <v>8000.1831784723063</v>
      </c>
      <c r="H496" s="12">
        <f t="shared" si="0"/>
        <v>8000.1831784723063</v>
      </c>
      <c r="I496" s="23" t="s">
        <v>52</v>
      </c>
      <c r="J496" s="23" t="s">
        <v>61</v>
      </c>
      <c r="K496" s="24" t="s">
        <v>177</v>
      </c>
      <c r="L496" s="24">
        <v>171</v>
      </c>
      <c r="M496" s="12">
        <f t="shared" ref="M496:N496" si="501">G496/1.19</f>
        <v>6722.8430071195853</v>
      </c>
      <c r="N496" s="12">
        <f t="shared" si="501"/>
        <v>6722.8430071195853</v>
      </c>
      <c r="O496" s="12">
        <f t="shared" si="2"/>
        <v>1277.340171352721</v>
      </c>
      <c r="P496" s="13"/>
      <c r="Q496" s="14">
        <f t="shared" si="3"/>
        <v>2025</v>
      </c>
      <c r="R496" s="15">
        <f>VLOOKUP(MONTH(C496),'Datos Maestros'!M$2:N$14,2,FALSE)</f>
        <v>45505</v>
      </c>
      <c r="S496" s="11" t="str">
        <f>VLOOKUP(E496,Precios!B$2:W$941,3,FALSE)</f>
        <v>Huevos EXTRA</v>
      </c>
      <c r="T496" s="16">
        <f>VLOOKUP(E496,Precios!B$2:N$941,4,FALSE)*F496</f>
        <v>0</v>
      </c>
      <c r="U496" s="17"/>
      <c r="V496" s="12">
        <f>VLOOKUP(E496,Precios!B$2:N$941,13,FALSE)*F496</f>
        <v>1151.6230071195851</v>
      </c>
      <c r="W496" s="12">
        <f t="shared" si="4"/>
        <v>1151.6230071195851</v>
      </c>
      <c r="X496" s="12">
        <f>VLOOKUP(B496,'Datos Maestros'!$C$2:$D$7,2,FALSE)*V496</f>
        <v>0</v>
      </c>
      <c r="Y496" s="18">
        <f t="shared" si="5"/>
        <v>45880</v>
      </c>
      <c r="Z496" s="13" t="s">
        <v>39</v>
      </c>
      <c r="AA496" s="19" t="str">
        <f>VLOOKUP(D496,Clientes!$A$2:$J$486,9,FALSE)</f>
        <v>Ocacional</v>
      </c>
      <c r="AB496" s="13" t="str">
        <f>VLOOKUP(D496,Clientes!$A$2:$K$486,11,FALSE)</f>
        <v>Persona Natural</v>
      </c>
      <c r="AC496" s="13" t="str">
        <f>VLOOKUP(D496,Clientes!$A$2:$B$486,2,FALSE)</f>
        <v>Jardin del eden</v>
      </c>
      <c r="AD496" s="20"/>
      <c r="AE496" s="20"/>
      <c r="AF496" s="13" t="s">
        <v>40</v>
      </c>
      <c r="AG496" s="15">
        <f t="shared" si="6"/>
        <v>45505</v>
      </c>
      <c r="AH496" s="13" t="s">
        <v>41</v>
      </c>
      <c r="AI496" s="13" t="str">
        <f t="shared" si="7"/>
        <v>Huevos</v>
      </c>
      <c r="AJ496" s="13" t="str">
        <f>VLOOKUP(E496,Precios!Z$2:AA$941,2,FALSE)</f>
        <v>Bandeja Huevos EXTRA</v>
      </c>
      <c r="AK496" s="14">
        <f>VLOOKUP(E496,Precios!Z$2:BB$941,3,FALSE)*F496</f>
        <v>-1</v>
      </c>
      <c r="AL496" s="17"/>
      <c r="AM496" s="17"/>
      <c r="AN496" s="17"/>
      <c r="AO496" s="17"/>
      <c r="AP496" s="17"/>
      <c r="AQ496" s="17"/>
      <c r="AR496" s="17"/>
      <c r="AS496" s="17"/>
      <c r="AT496" s="17"/>
      <c r="AU496" s="17"/>
      <c r="AV496" s="17"/>
    </row>
    <row r="497" spans="1:48" ht="15.75" customHeight="1">
      <c r="A497" s="21" t="s">
        <v>47</v>
      </c>
      <c r="B497" s="23" t="s">
        <v>1692</v>
      </c>
      <c r="C497" s="25">
        <v>45886</v>
      </c>
      <c r="D497" s="23" t="s">
        <v>270</v>
      </c>
      <c r="E497" s="23" t="s">
        <v>206</v>
      </c>
      <c r="F497" s="14">
        <v>1</v>
      </c>
      <c r="G497" s="12">
        <f>VLOOKUP(E497,Precios!B$2:N$941,12,FALSE)</f>
        <v>2499.9842105263156</v>
      </c>
      <c r="H497" s="12">
        <f t="shared" si="0"/>
        <v>2499.9842105263156</v>
      </c>
      <c r="I497" s="23" t="s">
        <v>52</v>
      </c>
      <c r="J497" s="23" t="s">
        <v>61</v>
      </c>
      <c r="K497" s="24" t="s">
        <v>177</v>
      </c>
      <c r="L497" s="24">
        <v>171</v>
      </c>
      <c r="M497" s="12">
        <f t="shared" ref="M497:N497" si="502">G497/1.19</f>
        <v>2100.8270676691727</v>
      </c>
      <c r="N497" s="12">
        <f t="shared" si="502"/>
        <v>2100.8270676691727</v>
      </c>
      <c r="O497" s="12">
        <f t="shared" si="2"/>
        <v>399.15714285714284</v>
      </c>
      <c r="P497" s="13"/>
      <c r="Q497" s="14">
        <f t="shared" si="3"/>
        <v>2025</v>
      </c>
      <c r="R497" s="15">
        <f>VLOOKUP(MONTH(C497),'Datos Maestros'!M$2:N$14,2,FALSE)</f>
        <v>45505</v>
      </c>
      <c r="S497" s="11" t="str">
        <f>VLOOKUP(E497,Precios!B$2:W$941,3,FALSE)</f>
        <v>Paños Cocina</v>
      </c>
      <c r="T497" s="16">
        <f>VLOOKUP(E497,Precios!B$2:N$941,4,FALSE)*F497</f>
        <v>0</v>
      </c>
      <c r="U497" s="17"/>
      <c r="V497" s="12">
        <f>VLOOKUP(E497,Precios!B$2:N$941,13,FALSE)*F497</f>
        <v>1430.2430676691729</v>
      </c>
      <c r="W497" s="12">
        <f t="shared" si="4"/>
        <v>1430.2430676691729</v>
      </c>
      <c r="X497" s="12">
        <f>VLOOKUP(B497,'Datos Maestros'!$C$2:$D$7,2,FALSE)*V497</f>
        <v>0</v>
      </c>
      <c r="Y497" s="18">
        <f t="shared" si="5"/>
        <v>45880</v>
      </c>
      <c r="Z497" s="13" t="s">
        <v>39</v>
      </c>
      <c r="AA497" s="19" t="str">
        <f>VLOOKUP(D497,Clientes!$A$2:$J$486,9,FALSE)</f>
        <v>Familiar</v>
      </c>
      <c r="AB497" s="13" t="str">
        <f>VLOOKUP(D497,Clientes!$A$2:$K$486,11,FALSE)</f>
        <v>Persona Natural</v>
      </c>
      <c r="AC497" s="13" t="str">
        <f>VLOOKUP(D497,Clientes!$A$2:$B$486,2,FALSE)</f>
        <v>Familiar</v>
      </c>
      <c r="AD497" s="20"/>
      <c r="AE497" s="20"/>
      <c r="AF497" s="13" t="s">
        <v>40</v>
      </c>
      <c r="AG497" s="15">
        <f t="shared" si="6"/>
        <v>45505</v>
      </c>
      <c r="AH497" s="13" t="s">
        <v>41</v>
      </c>
      <c r="AI497" s="13" t="str">
        <f t="shared" si="7"/>
        <v>Articulos de Aseo</v>
      </c>
      <c r="AJ497" s="13" t="str">
        <f>VLOOKUP(E497,Precios!Z$2:AA$941,2,FALSE)</f>
        <v>Paños Cocina Teddy</v>
      </c>
      <c r="AK497" s="14">
        <f>VLOOKUP(E497,Precios!Z$2:BB$941,3,FALSE)*F497</f>
        <v>-3</v>
      </c>
      <c r="AL497" s="17"/>
      <c r="AM497" s="17"/>
      <c r="AN497" s="17"/>
      <c r="AO497" s="17"/>
      <c r="AP497" s="17"/>
      <c r="AQ497" s="17"/>
      <c r="AR497" s="17"/>
      <c r="AS497" s="17"/>
      <c r="AT497" s="17"/>
      <c r="AU497" s="17"/>
      <c r="AV497" s="17"/>
    </row>
    <row r="498" spans="1:48" ht="15.75" customHeight="1">
      <c r="A498" s="21" t="s">
        <v>76</v>
      </c>
      <c r="B498" s="23" t="s">
        <v>1692</v>
      </c>
      <c r="C498" s="25">
        <v>45886</v>
      </c>
      <c r="D498" s="23" t="s">
        <v>270</v>
      </c>
      <c r="E498" s="23" t="s">
        <v>187</v>
      </c>
      <c r="F498" s="14">
        <v>1</v>
      </c>
      <c r="G498" s="12">
        <f>VLOOKUP(E498,Precios!B$2:N$941,12,FALSE)</f>
        <v>2699.9280057595392</v>
      </c>
      <c r="H498" s="12">
        <f t="shared" si="0"/>
        <v>2699.9280057595392</v>
      </c>
      <c r="I498" s="23" t="s">
        <v>52</v>
      </c>
      <c r="J498" s="23" t="s">
        <v>61</v>
      </c>
      <c r="K498" s="24" t="s">
        <v>177</v>
      </c>
      <c r="L498" s="24">
        <v>171</v>
      </c>
      <c r="M498" s="12">
        <f t="shared" ref="M498:N498" si="503">G498/1.19</f>
        <v>2268.8470636634784</v>
      </c>
      <c r="N498" s="12">
        <f t="shared" si="503"/>
        <v>2268.8470636634784</v>
      </c>
      <c r="O498" s="12">
        <f t="shared" si="2"/>
        <v>431.08094209606088</v>
      </c>
      <c r="P498" s="13"/>
      <c r="Q498" s="14">
        <f t="shared" si="3"/>
        <v>2025</v>
      </c>
      <c r="R498" s="15">
        <f>VLOOKUP(MONTH(C498),'Datos Maestros'!M$2:N$14,2,FALSE)</f>
        <v>45505</v>
      </c>
      <c r="S498" s="11" t="str">
        <f>VLOOKUP(E498,Precios!B$2:W$941,3,FALSE)</f>
        <v>Lavaloza</v>
      </c>
      <c r="T498" s="16">
        <f>VLOOKUP(E498,Precios!B$2:N$941,4,FALSE)*F498</f>
        <v>0</v>
      </c>
      <c r="U498" s="17"/>
      <c r="V498" s="12">
        <f>VLOOKUP(E498,Precios!B$2:N$941,13,FALSE)*F498</f>
        <v>798.18039699681162</v>
      </c>
      <c r="W498" s="12">
        <f t="shared" si="4"/>
        <v>798.18039699681162</v>
      </c>
      <c r="X498" s="12">
        <f>VLOOKUP(B498,'Datos Maestros'!$C$2:$D$7,2,FALSE)*V498</f>
        <v>0</v>
      </c>
      <c r="Y498" s="18">
        <f t="shared" si="5"/>
        <v>45880</v>
      </c>
      <c r="Z498" s="13" t="s">
        <v>39</v>
      </c>
      <c r="AA498" s="19" t="str">
        <f>VLOOKUP(D498,Clientes!$A$2:$J$486,9,FALSE)</f>
        <v>Familiar</v>
      </c>
      <c r="AB498" s="13" t="str">
        <f>VLOOKUP(D498,Clientes!$A$2:$K$486,11,FALSE)</f>
        <v>Persona Natural</v>
      </c>
      <c r="AC498" s="13" t="str">
        <f>VLOOKUP(D498,Clientes!$A$2:$B$486,2,FALSE)</f>
        <v>Familiar</v>
      </c>
      <c r="AD498" s="20"/>
      <c r="AE498" s="20"/>
      <c r="AF498" s="13" t="s">
        <v>40</v>
      </c>
      <c r="AG498" s="15">
        <f t="shared" si="6"/>
        <v>45505</v>
      </c>
      <c r="AH498" s="13" t="s">
        <v>41</v>
      </c>
      <c r="AI498" s="13" t="str">
        <f t="shared" si="7"/>
        <v>Detergentes</v>
      </c>
      <c r="AJ498" s="13" t="str">
        <f>VLOOKUP(E498,Precios!Z$2:AA$941,2,FALSE)</f>
        <v>Lavaloza WYN 1.5 Litros (recarga)</v>
      </c>
      <c r="AK498" s="14">
        <f>VLOOKUP(E498,Precios!Z$2:BB$941,3,FALSE)*F498</f>
        <v>-1</v>
      </c>
      <c r="AL498" s="17"/>
      <c r="AM498" s="17"/>
      <c r="AN498" s="17"/>
      <c r="AO498" s="17"/>
      <c r="AP498" s="17"/>
      <c r="AQ498" s="17"/>
      <c r="AR498" s="17"/>
      <c r="AS498" s="17"/>
      <c r="AT498" s="17"/>
      <c r="AU498" s="17"/>
      <c r="AV498" s="17"/>
    </row>
    <row r="499" spans="1:48" ht="15.75" customHeight="1">
      <c r="A499" s="21" t="s">
        <v>53</v>
      </c>
      <c r="B499" s="23" t="s">
        <v>1692</v>
      </c>
      <c r="C499" s="25">
        <v>45886</v>
      </c>
      <c r="D499" s="23" t="s">
        <v>270</v>
      </c>
      <c r="E499" s="23" t="s">
        <v>88</v>
      </c>
      <c r="F499" s="14">
        <v>1</v>
      </c>
      <c r="G499" s="12">
        <f>VLOOKUP(E499,Precios!B$2:N$941,12,FALSE)</f>
        <v>1999.9551032624961</v>
      </c>
      <c r="H499" s="12">
        <f t="shared" si="0"/>
        <v>1999.9551032624961</v>
      </c>
      <c r="I499" s="23" t="s">
        <v>52</v>
      </c>
      <c r="J499" s="23" t="s">
        <v>61</v>
      </c>
      <c r="K499" s="24" t="s">
        <v>177</v>
      </c>
      <c r="L499" s="24">
        <v>171</v>
      </c>
      <c r="M499" s="12">
        <f t="shared" ref="M499:N499" si="504">G499/1.19</f>
        <v>1680.6345405567195</v>
      </c>
      <c r="N499" s="12">
        <f t="shared" si="504"/>
        <v>1680.6345405567195</v>
      </c>
      <c r="O499" s="12">
        <f t="shared" si="2"/>
        <v>319.32056270577664</v>
      </c>
      <c r="P499" s="13"/>
      <c r="Q499" s="14">
        <f t="shared" si="3"/>
        <v>2025</v>
      </c>
      <c r="R499" s="15">
        <f>VLOOKUP(MONTH(C499),'Datos Maestros'!M$2:N$14,2,FALSE)</f>
        <v>45505</v>
      </c>
      <c r="S499" s="11" t="str">
        <f>VLOOKUP(E499,Precios!B$2:W$941,3,FALSE)</f>
        <v>Toalla Nova 26 mts</v>
      </c>
      <c r="T499" s="16">
        <f>VLOOKUP(E499,Precios!B$2:N$941,4,FALSE)*F499</f>
        <v>0</v>
      </c>
      <c r="U499" s="17"/>
      <c r="V499" s="12">
        <f>VLOOKUP(E499,Precios!B$2:N$941,13,FALSE)*F499</f>
        <v>557.63454055671946</v>
      </c>
      <c r="W499" s="12">
        <f t="shared" si="4"/>
        <v>557.63454055671946</v>
      </c>
      <c r="X499" s="12">
        <f>VLOOKUP(B499,'Datos Maestros'!$C$2:$D$7,2,FALSE)*V499</f>
        <v>0</v>
      </c>
      <c r="Y499" s="18">
        <f t="shared" si="5"/>
        <v>45880</v>
      </c>
      <c r="Z499" s="13" t="s">
        <v>39</v>
      </c>
      <c r="AA499" s="19" t="str">
        <f>VLOOKUP(D499,Clientes!$A$2:$J$486,9,FALSE)</f>
        <v>Familiar</v>
      </c>
      <c r="AB499" s="13" t="str">
        <f>VLOOKUP(D499,Clientes!$A$2:$K$486,11,FALSE)</f>
        <v>Persona Natural</v>
      </c>
      <c r="AC499" s="13" t="str">
        <f>VLOOKUP(D499,Clientes!$A$2:$B$486,2,FALSE)</f>
        <v>Familiar</v>
      </c>
      <c r="AD499" s="20"/>
      <c r="AE499" s="20"/>
      <c r="AF499" s="13" t="s">
        <v>40</v>
      </c>
      <c r="AG499" s="15">
        <f t="shared" si="6"/>
        <v>45505</v>
      </c>
      <c r="AH499" s="13" t="s">
        <v>41</v>
      </c>
      <c r="AI499" s="13" t="str">
        <f t="shared" si="7"/>
        <v>Papeleria</v>
      </c>
      <c r="AJ499" s="13" t="str">
        <f>VLOOKUP(E499,Precios!Z$2:AA$941,2,FALSE)</f>
        <v>Toalla Papel NOVA 26 metros</v>
      </c>
      <c r="AK499" s="14">
        <f>VLOOKUP(E499,Precios!Z$2:BB$941,3,FALSE)*F499</f>
        <v>-1</v>
      </c>
      <c r="AL499" s="17"/>
      <c r="AM499" s="17"/>
      <c r="AN499" s="17"/>
      <c r="AO499" s="17"/>
      <c r="AP499" s="17"/>
      <c r="AQ499" s="17"/>
      <c r="AR499" s="17"/>
      <c r="AS499" s="17"/>
      <c r="AT499" s="17"/>
      <c r="AU499" s="17"/>
      <c r="AV499" s="17"/>
    </row>
    <row r="500" spans="1:48" ht="15.75" customHeight="1">
      <c r="A500" s="21" t="s">
        <v>47</v>
      </c>
      <c r="B500" s="23" t="s">
        <v>1692</v>
      </c>
      <c r="C500" s="25">
        <v>45886</v>
      </c>
      <c r="D500" s="23" t="s">
        <v>270</v>
      </c>
      <c r="E500" s="23" t="s">
        <v>89</v>
      </c>
      <c r="F500" s="14">
        <v>1</v>
      </c>
      <c r="G500" s="12">
        <f>VLOOKUP(E500,Precios!B$2:N$941,12,FALSE)</f>
        <v>1500.3973988439307</v>
      </c>
      <c r="H500" s="12">
        <f t="shared" si="0"/>
        <v>1500.3973988439307</v>
      </c>
      <c r="I500" s="23" t="s">
        <v>52</v>
      </c>
      <c r="J500" s="23" t="s">
        <v>61</v>
      </c>
      <c r="K500" s="24" t="s">
        <v>177</v>
      </c>
      <c r="L500" s="24">
        <v>171</v>
      </c>
      <c r="M500" s="12">
        <f t="shared" ref="M500:N500" si="505">G500/1.19</f>
        <v>1260.8381502890174</v>
      </c>
      <c r="N500" s="12">
        <f t="shared" si="505"/>
        <v>1260.8381502890174</v>
      </c>
      <c r="O500" s="12">
        <f t="shared" si="2"/>
        <v>239.55924855491321</v>
      </c>
      <c r="P500" s="13"/>
      <c r="Q500" s="14">
        <f t="shared" si="3"/>
        <v>2025</v>
      </c>
      <c r="R500" s="15">
        <f>VLOOKUP(MONTH(C500),'Datos Maestros'!M$2:N$14,2,FALSE)</f>
        <v>45505</v>
      </c>
      <c r="S500" s="11" t="str">
        <f>VLOOKUP(E500,Precios!B$2:W$941,3,FALSE)</f>
        <v>WC</v>
      </c>
      <c r="T500" s="16">
        <f>VLOOKUP(E500,Precios!B$2:N$941,4,FALSE)*F500</f>
        <v>0</v>
      </c>
      <c r="U500" s="17"/>
      <c r="V500" s="12">
        <f>VLOOKUP(E500,Precios!B$2:N$941,13,FALSE)*F500</f>
        <v>562.83815028901745</v>
      </c>
      <c r="W500" s="12">
        <f t="shared" si="4"/>
        <v>562.83815028901745</v>
      </c>
      <c r="X500" s="12">
        <f>VLOOKUP(B500,'Datos Maestros'!$C$2:$D$7,2,FALSE)*V500</f>
        <v>0</v>
      </c>
      <c r="Y500" s="18">
        <f t="shared" si="5"/>
        <v>45880</v>
      </c>
      <c r="Z500" s="13" t="s">
        <v>39</v>
      </c>
      <c r="AA500" s="19" t="str">
        <f>VLOOKUP(D500,Clientes!$A$2:$J$486,9,FALSE)</f>
        <v>Familiar</v>
      </c>
      <c r="AB500" s="13" t="str">
        <f>VLOOKUP(D500,Clientes!$A$2:$K$486,11,FALSE)</f>
        <v>Persona Natural</v>
      </c>
      <c r="AC500" s="13" t="str">
        <f>VLOOKUP(D500,Clientes!$A$2:$B$486,2,FALSE)</f>
        <v>Familiar</v>
      </c>
      <c r="AD500" s="20"/>
      <c r="AE500" s="20"/>
      <c r="AF500" s="13" t="s">
        <v>40</v>
      </c>
      <c r="AG500" s="15">
        <f t="shared" si="6"/>
        <v>45505</v>
      </c>
      <c r="AH500" s="13" t="s">
        <v>41</v>
      </c>
      <c r="AI500" s="13" t="str">
        <f t="shared" si="7"/>
        <v>Articulos de Aseo</v>
      </c>
      <c r="AJ500" s="13" t="str">
        <f>VLOOKUP(E500,Precios!Z$2:AA$941,2,FALSE)</f>
        <v>Pastilla para estanque WC</v>
      </c>
      <c r="AK500" s="14">
        <f>VLOOKUP(E500,Precios!Z$2:BB$941,3,FALSE)*F500</f>
        <v>-1</v>
      </c>
      <c r="AL500" s="17"/>
      <c r="AM500" s="17"/>
      <c r="AN500" s="17"/>
      <c r="AO500" s="17"/>
      <c r="AP500" s="17"/>
      <c r="AQ500" s="17"/>
      <c r="AR500" s="17"/>
      <c r="AS500" s="17"/>
      <c r="AT500" s="17"/>
      <c r="AU500" s="17"/>
      <c r="AV500" s="17"/>
    </row>
    <row r="501" spans="1:48" ht="15.75" customHeight="1">
      <c r="A501" s="21" t="s">
        <v>53</v>
      </c>
      <c r="B501" s="23" t="s">
        <v>1692</v>
      </c>
      <c r="C501" s="25">
        <v>45886</v>
      </c>
      <c r="D501" s="23" t="s">
        <v>270</v>
      </c>
      <c r="E501" s="23" t="s">
        <v>150</v>
      </c>
      <c r="F501" s="14">
        <v>1</v>
      </c>
      <c r="G501" s="12">
        <f>VLOOKUP(E501,Precios!B$2:N$941,12,FALSE)</f>
        <v>1799.8965445892823</v>
      </c>
      <c r="H501" s="12">
        <f t="shared" si="0"/>
        <v>1799.8965445892823</v>
      </c>
      <c r="I501" s="23" t="s">
        <v>52</v>
      </c>
      <c r="J501" s="23" t="s">
        <v>61</v>
      </c>
      <c r="K501" s="24" t="s">
        <v>177</v>
      </c>
      <c r="L501" s="24">
        <v>171</v>
      </c>
      <c r="M501" s="12">
        <f t="shared" ref="M501:N501" si="506">G501/1.19</f>
        <v>1512.518104696876</v>
      </c>
      <c r="N501" s="12">
        <f t="shared" si="506"/>
        <v>1512.518104696876</v>
      </c>
      <c r="O501" s="12">
        <f t="shared" si="2"/>
        <v>287.37843989240628</v>
      </c>
      <c r="P501" s="13"/>
      <c r="Q501" s="14">
        <f t="shared" si="3"/>
        <v>2025</v>
      </c>
      <c r="R501" s="15">
        <f>VLOOKUP(MONTH(C501),'Datos Maestros'!M$2:N$14,2,FALSE)</f>
        <v>45505</v>
      </c>
      <c r="S501" s="11" t="str">
        <f>VLOOKUP(E501,Precios!B$2:W$941,3,FALSE)</f>
        <v>Servilletas</v>
      </c>
      <c r="T501" s="16">
        <f>VLOOKUP(E501,Precios!B$2:N$941,4,FALSE)*F501</f>
        <v>300</v>
      </c>
      <c r="U501" s="17"/>
      <c r="V501" s="12">
        <f>VLOOKUP(E501,Precios!B$2:N$941,13,FALSE)*F501</f>
        <v>781.51810469687575</v>
      </c>
      <c r="W501" s="12">
        <f t="shared" si="4"/>
        <v>781.51810469687575</v>
      </c>
      <c r="X501" s="12">
        <f>VLOOKUP(B501,'Datos Maestros'!$C$2:$D$7,2,FALSE)*V501</f>
        <v>0</v>
      </c>
      <c r="Y501" s="18">
        <f t="shared" si="5"/>
        <v>45880</v>
      </c>
      <c r="Z501" s="13" t="s">
        <v>39</v>
      </c>
      <c r="AA501" s="19" t="str">
        <f>VLOOKUP(D501,Clientes!$A$2:$J$486,9,FALSE)</f>
        <v>Familiar</v>
      </c>
      <c r="AB501" s="13" t="str">
        <f>VLOOKUP(D501,Clientes!$A$2:$K$486,11,FALSE)</f>
        <v>Persona Natural</v>
      </c>
      <c r="AC501" s="13" t="str">
        <f>VLOOKUP(D501,Clientes!$A$2:$B$486,2,FALSE)</f>
        <v>Familiar</v>
      </c>
      <c r="AD501" s="20"/>
      <c r="AE501" s="20"/>
      <c r="AF501" s="13" t="s">
        <v>40</v>
      </c>
      <c r="AG501" s="15">
        <f t="shared" si="6"/>
        <v>45505</v>
      </c>
      <c r="AH501" s="13" t="s">
        <v>41</v>
      </c>
      <c r="AI501" s="13" t="str">
        <f t="shared" si="7"/>
        <v>Papeleria</v>
      </c>
      <c r="AJ501" s="13" t="str">
        <f>VLOOKUP(E501,Precios!Z$2:AA$941,2,FALSE)</f>
        <v>Servilletas SOFTQUALITY 300 unidades</v>
      </c>
      <c r="AK501" s="14">
        <f>VLOOKUP(E501,Precios!Z$2:BB$941,3,FALSE)*F501</f>
        <v>-1</v>
      </c>
      <c r="AL501" s="17"/>
      <c r="AM501" s="17"/>
      <c r="AN501" s="17"/>
      <c r="AO501" s="17"/>
      <c r="AP501" s="17"/>
      <c r="AQ501" s="17"/>
      <c r="AR501" s="17"/>
      <c r="AS501" s="17"/>
      <c r="AT501" s="17"/>
      <c r="AU501" s="17"/>
      <c r="AV501" s="17"/>
    </row>
    <row r="502" spans="1:48" ht="15.75" customHeight="1">
      <c r="A502" s="21" t="s">
        <v>76</v>
      </c>
      <c r="B502" s="23" t="s">
        <v>1692</v>
      </c>
      <c r="C502" s="25">
        <v>45886</v>
      </c>
      <c r="D502" s="23" t="s">
        <v>270</v>
      </c>
      <c r="E502" s="23" t="s">
        <v>81</v>
      </c>
      <c r="F502" s="14">
        <v>1</v>
      </c>
      <c r="G502" s="12">
        <f>VLOOKUP(E502,Precios!B$2:N$941,12,FALSE)</f>
        <v>3500.0000000000005</v>
      </c>
      <c r="H502" s="12">
        <f t="shared" si="0"/>
        <v>3500.0000000000005</v>
      </c>
      <c r="I502" s="23" t="s">
        <v>52</v>
      </c>
      <c r="J502" s="23" t="s">
        <v>61</v>
      </c>
      <c r="K502" s="24" t="s">
        <v>177</v>
      </c>
      <c r="L502" s="24">
        <v>171</v>
      </c>
      <c r="M502" s="12">
        <f t="shared" ref="M502:N502" si="507">G502/1.19</f>
        <v>2941.1764705882356</v>
      </c>
      <c r="N502" s="12">
        <f t="shared" si="507"/>
        <v>2941.1764705882356</v>
      </c>
      <c r="O502" s="12">
        <f t="shared" si="2"/>
        <v>558.82352941176487</v>
      </c>
      <c r="P502" s="13"/>
      <c r="Q502" s="14">
        <f t="shared" si="3"/>
        <v>2025</v>
      </c>
      <c r="R502" s="15">
        <f>VLOOKUP(MONTH(C502),'Datos Maestros'!M$2:N$14,2,FALSE)</f>
        <v>45505</v>
      </c>
      <c r="S502" s="11" t="str">
        <f>VLOOKUP(E502,Precios!B$2:W$941,3,FALSE)</f>
        <v>Detergente Premium</v>
      </c>
      <c r="T502" s="16">
        <f>VLOOKUP(E502,Precios!B$2:N$941,4,FALSE)*F502</f>
        <v>5</v>
      </c>
      <c r="U502" s="17"/>
      <c r="V502" s="12">
        <f>VLOOKUP(E502,Precios!B$2:N$941,13,FALSE)*F502</f>
        <v>764.70588235294144</v>
      </c>
      <c r="W502" s="12">
        <f t="shared" si="4"/>
        <v>764.70588235294144</v>
      </c>
      <c r="X502" s="12">
        <f>VLOOKUP(B502,'Datos Maestros'!$C$2:$D$7,2,FALSE)*V502</f>
        <v>0</v>
      </c>
      <c r="Y502" s="18">
        <f t="shared" si="5"/>
        <v>45880</v>
      </c>
      <c r="Z502" s="13" t="s">
        <v>39</v>
      </c>
      <c r="AA502" s="19" t="str">
        <f>VLOOKUP(D502,Clientes!$A$2:$J$486,9,FALSE)</f>
        <v>Familiar</v>
      </c>
      <c r="AB502" s="13" t="str">
        <f>VLOOKUP(D502,Clientes!$A$2:$K$486,11,FALSE)</f>
        <v>Persona Natural</v>
      </c>
      <c r="AC502" s="13" t="str">
        <f>VLOOKUP(D502,Clientes!$A$2:$B$486,2,FALSE)</f>
        <v>Familiar</v>
      </c>
      <c r="AD502" s="20"/>
      <c r="AE502" s="20"/>
      <c r="AF502" s="13" t="s">
        <v>40</v>
      </c>
      <c r="AG502" s="15">
        <f t="shared" si="6"/>
        <v>45505</v>
      </c>
      <c r="AH502" s="13" t="s">
        <v>41</v>
      </c>
      <c r="AI502" s="13" t="str">
        <f t="shared" si="7"/>
        <v>Detergentes</v>
      </c>
      <c r="AJ502" s="13" t="str">
        <f>VLOOKUP(E502,Precios!Z$2:AA$941,2,FALSE)</f>
        <v>Detergente SPUM 5 Litros (Verde)</v>
      </c>
      <c r="AK502" s="14">
        <f>VLOOKUP(E502,Precios!Z$2:BB$941,3,FALSE)*F502</f>
        <v>-1</v>
      </c>
      <c r="AL502" s="17"/>
      <c r="AM502" s="17"/>
      <c r="AN502" s="17"/>
      <c r="AO502" s="17"/>
      <c r="AP502" s="17"/>
      <c r="AQ502" s="17"/>
      <c r="AR502" s="17"/>
      <c r="AS502" s="17"/>
      <c r="AT502" s="17"/>
      <c r="AU502" s="17"/>
      <c r="AV502" s="17"/>
    </row>
    <row r="503" spans="1:48" ht="15.75" customHeight="1">
      <c r="A503" s="21" t="s">
        <v>76</v>
      </c>
      <c r="B503" s="23" t="s">
        <v>1692</v>
      </c>
      <c r="C503" s="25">
        <v>45886</v>
      </c>
      <c r="D503" s="23" t="s">
        <v>141</v>
      </c>
      <c r="E503" s="23" t="s">
        <v>81</v>
      </c>
      <c r="F503" s="14">
        <v>1</v>
      </c>
      <c r="G503" s="12">
        <f>VLOOKUP(E503,Precios!B$2:N$941,12,FALSE)</f>
        <v>3500.0000000000005</v>
      </c>
      <c r="H503" s="12">
        <f t="shared" si="0"/>
        <v>3500.0000000000005</v>
      </c>
      <c r="I503" s="23" t="s">
        <v>52</v>
      </c>
      <c r="J503" s="13" t="s">
        <v>38</v>
      </c>
      <c r="K503" s="24" t="s">
        <v>177</v>
      </c>
      <c r="L503" s="24">
        <v>171</v>
      </c>
      <c r="M503" s="12">
        <f t="shared" ref="M503:N503" si="508">G503/1.19</f>
        <v>2941.1764705882356</v>
      </c>
      <c r="N503" s="12">
        <f t="shared" si="508"/>
        <v>2941.1764705882356</v>
      </c>
      <c r="O503" s="12">
        <f t="shared" si="2"/>
        <v>558.82352941176487</v>
      </c>
      <c r="P503" s="13"/>
      <c r="Q503" s="14">
        <f t="shared" si="3"/>
        <v>2025</v>
      </c>
      <c r="R503" s="15">
        <f>VLOOKUP(MONTH(C503),'Datos Maestros'!M$2:N$14,2,FALSE)</f>
        <v>45505</v>
      </c>
      <c r="S503" s="11" t="str">
        <f>VLOOKUP(E503,Precios!B$2:W$941,3,FALSE)</f>
        <v>Detergente Premium</v>
      </c>
      <c r="T503" s="16">
        <f>VLOOKUP(E503,Precios!B$2:N$941,4,FALSE)*F503</f>
        <v>5</v>
      </c>
      <c r="U503" s="17"/>
      <c r="V503" s="12">
        <f>VLOOKUP(E503,Precios!B$2:N$941,13,FALSE)*F503</f>
        <v>764.70588235294144</v>
      </c>
      <c r="W503" s="12">
        <f t="shared" si="4"/>
        <v>764.70588235294144</v>
      </c>
      <c r="X503" s="12">
        <f>VLOOKUP(B503,'Datos Maestros'!$C$2:$D$7,2,FALSE)*V503</f>
        <v>0</v>
      </c>
      <c r="Y503" s="18">
        <f t="shared" si="5"/>
        <v>45880</v>
      </c>
      <c r="Z503" s="13" t="s">
        <v>39</v>
      </c>
      <c r="AA503" s="19" t="str">
        <f>VLOOKUP(D503,Clientes!$A$2:$J$486,9,FALSE)</f>
        <v>Familiar</v>
      </c>
      <c r="AB503" s="13" t="str">
        <f>VLOOKUP(D503,Clientes!$A$2:$K$486,11,FALSE)</f>
        <v>Persona Natural</v>
      </c>
      <c r="AC503" s="13" t="str">
        <f>VLOOKUP(D503,Clientes!$A$2:$B$486,2,FALSE)</f>
        <v>Familiar</v>
      </c>
      <c r="AD503" s="20"/>
      <c r="AE503" s="20"/>
      <c r="AF503" s="13" t="s">
        <v>40</v>
      </c>
      <c r="AG503" s="15">
        <f t="shared" si="6"/>
        <v>45505</v>
      </c>
      <c r="AH503" s="13" t="s">
        <v>41</v>
      </c>
      <c r="AI503" s="13" t="str">
        <f t="shared" si="7"/>
        <v>Detergentes</v>
      </c>
      <c r="AJ503" s="13" t="str">
        <f>VLOOKUP(E503,Precios!Z$2:AA$941,2,FALSE)</f>
        <v>Detergente SPUM 5 Litros (Verde)</v>
      </c>
      <c r="AK503" s="14">
        <f>VLOOKUP(E503,Precios!Z$2:BB$941,3,FALSE)*F503</f>
        <v>-1</v>
      </c>
      <c r="AL503" s="17"/>
      <c r="AM503" s="17"/>
      <c r="AN503" s="17"/>
      <c r="AO503" s="17"/>
      <c r="AP503" s="17"/>
      <c r="AQ503" s="17"/>
      <c r="AR503" s="17"/>
      <c r="AS503" s="17"/>
      <c r="AT503" s="17"/>
      <c r="AU503" s="17"/>
      <c r="AV503" s="17"/>
    </row>
    <row r="504" spans="1:48" ht="15.75" customHeight="1">
      <c r="A504" s="21" t="s">
        <v>53</v>
      </c>
      <c r="B504" s="23" t="s">
        <v>1692</v>
      </c>
      <c r="C504" s="25">
        <v>45886</v>
      </c>
      <c r="D504" s="23" t="s">
        <v>141</v>
      </c>
      <c r="E504" s="23" t="s">
        <v>203</v>
      </c>
      <c r="F504" s="14">
        <v>1</v>
      </c>
      <c r="G504" s="12">
        <f>VLOOKUP(E504,Precios!B$2:N$941,12,FALSE)</f>
        <v>10000.35681042507</v>
      </c>
      <c r="H504" s="12">
        <f t="shared" si="0"/>
        <v>10000.35681042507</v>
      </c>
      <c r="I504" s="23" t="s">
        <v>52</v>
      </c>
      <c r="J504" s="13" t="s">
        <v>38</v>
      </c>
      <c r="K504" s="24" t="s">
        <v>177</v>
      </c>
      <c r="L504" s="24">
        <v>171</v>
      </c>
      <c r="M504" s="12">
        <f t="shared" ref="M504:N504" si="509">G504/1.19</f>
        <v>8403.6611852311507</v>
      </c>
      <c r="N504" s="12">
        <f t="shared" si="509"/>
        <v>8403.6611852311507</v>
      </c>
      <c r="O504" s="12">
        <f t="shared" si="2"/>
        <v>1596.6956251939191</v>
      </c>
      <c r="P504" s="13"/>
      <c r="Q504" s="14">
        <f t="shared" si="3"/>
        <v>2025</v>
      </c>
      <c r="R504" s="15">
        <f>VLOOKUP(MONTH(C504),'Datos Maestros'!M$2:N$14,2,FALSE)</f>
        <v>45505</v>
      </c>
      <c r="S504" s="11" t="str">
        <f>VLOOKUP(E504,Precios!B$2:W$941,3,FALSE)</f>
        <v>Papel Higiénico ELITE</v>
      </c>
      <c r="T504" s="16">
        <f>VLOOKUP(E504,Precios!B$2:N$941,4,FALSE)*F504</f>
        <v>0</v>
      </c>
      <c r="U504" s="17"/>
      <c r="V504" s="12">
        <f>VLOOKUP(E504,Precios!B$2:N$941,13,FALSE)*F504</f>
        <v>2986.6611852311507</v>
      </c>
      <c r="W504" s="12">
        <f t="shared" si="4"/>
        <v>2986.6611852311507</v>
      </c>
      <c r="X504" s="12">
        <f>VLOOKUP(B504,'Datos Maestros'!$C$2:$D$7,2,FALSE)*V504</f>
        <v>0</v>
      </c>
      <c r="Y504" s="18">
        <f t="shared" si="5"/>
        <v>45880</v>
      </c>
      <c r="Z504" s="13" t="s">
        <v>39</v>
      </c>
      <c r="AA504" s="19" t="str">
        <f>VLOOKUP(D504,Clientes!$A$2:$J$486,9,FALSE)</f>
        <v>Familiar</v>
      </c>
      <c r="AB504" s="13" t="str">
        <f>VLOOKUP(D504,Clientes!$A$2:$K$486,11,FALSE)</f>
        <v>Persona Natural</v>
      </c>
      <c r="AC504" s="13" t="str">
        <f>VLOOKUP(D504,Clientes!$A$2:$B$486,2,FALSE)</f>
        <v>Familiar</v>
      </c>
      <c r="AD504" s="20"/>
      <c r="AE504" s="20"/>
      <c r="AF504" s="13" t="s">
        <v>40</v>
      </c>
      <c r="AG504" s="15">
        <f t="shared" si="6"/>
        <v>45505</v>
      </c>
      <c r="AH504" s="13" t="s">
        <v>41</v>
      </c>
      <c r="AI504" s="13" t="str">
        <f t="shared" si="7"/>
        <v>Papeleria</v>
      </c>
      <c r="AJ504" s="13" t="str">
        <f>VLOOKUP(E504,Precios!Z$2:AA$941,2,FALSE)</f>
        <v>Papel Higienico ELITE 50 metros</v>
      </c>
      <c r="AK504" s="14">
        <f>VLOOKUP(E504,Precios!Z$2:BB$941,3,FALSE)*F504</f>
        <v>-3</v>
      </c>
      <c r="AL504" s="17"/>
      <c r="AM504" s="17"/>
      <c r="AN504" s="17"/>
      <c r="AO504" s="17"/>
      <c r="AP504" s="17"/>
      <c r="AQ504" s="17"/>
      <c r="AR504" s="17"/>
      <c r="AS504" s="17"/>
      <c r="AT504" s="17"/>
      <c r="AU504" s="17"/>
      <c r="AV504" s="17"/>
    </row>
    <row r="505" spans="1:48" ht="15.75" customHeight="1">
      <c r="A505" s="21" t="s">
        <v>53</v>
      </c>
      <c r="B505" s="23" t="s">
        <v>1692</v>
      </c>
      <c r="C505" s="25">
        <v>45886</v>
      </c>
      <c r="D505" s="23" t="s">
        <v>141</v>
      </c>
      <c r="E505" s="23" t="s">
        <v>88</v>
      </c>
      <c r="F505" s="21">
        <v>3</v>
      </c>
      <c r="G505" s="12">
        <f>VLOOKUP(E505,Precios!B$2:N$941,12,FALSE)</f>
        <v>1999.9551032624961</v>
      </c>
      <c r="H505" s="12">
        <f t="shared" si="0"/>
        <v>5999.8653097874885</v>
      </c>
      <c r="I505" s="23" t="s">
        <v>52</v>
      </c>
      <c r="J505" s="13" t="s">
        <v>38</v>
      </c>
      <c r="K505" s="24" t="s">
        <v>177</v>
      </c>
      <c r="L505" s="24">
        <v>171</v>
      </c>
      <c r="M505" s="12">
        <f t="shared" ref="M505:N505" si="510">G505/1.19</f>
        <v>1680.6345405567195</v>
      </c>
      <c r="N505" s="12">
        <f t="shared" si="510"/>
        <v>5041.9036216701588</v>
      </c>
      <c r="O505" s="12">
        <f t="shared" si="2"/>
        <v>957.96168811732969</v>
      </c>
      <c r="P505" s="13"/>
      <c r="Q505" s="14">
        <f t="shared" si="3"/>
        <v>2025</v>
      </c>
      <c r="R505" s="15">
        <f>VLOOKUP(MONTH(C505),'Datos Maestros'!M$2:N$14,2,FALSE)</f>
        <v>45505</v>
      </c>
      <c r="S505" s="11" t="str">
        <f>VLOOKUP(E505,Precios!B$2:W$941,3,FALSE)</f>
        <v>Toalla Nova 26 mts</v>
      </c>
      <c r="T505" s="16">
        <f>VLOOKUP(E505,Precios!B$2:N$941,4,FALSE)*F505</f>
        <v>0</v>
      </c>
      <c r="U505" s="17"/>
      <c r="V505" s="12">
        <f>VLOOKUP(E505,Precios!B$2:N$941,13,FALSE)*F505</f>
        <v>1672.9036216701584</v>
      </c>
      <c r="W505" s="12">
        <f t="shared" si="4"/>
        <v>1672.9036216701584</v>
      </c>
      <c r="X505" s="12">
        <f>VLOOKUP(B505,'Datos Maestros'!$C$2:$D$7,2,FALSE)*V505</f>
        <v>0</v>
      </c>
      <c r="Y505" s="18">
        <f t="shared" si="5"/>
        <v>45880</v>
      </c>
      <c r="Z505" s="13" t="s">
        <v>39</v>
      </c>
      <c r="AA505" s="19" t="str">
        <f>VLOOKUP(D505,Clientes!$A$2:$J$486,9,FALSE)</f>
        <v>Familiar</v>
      </c>
      <c r="AB505" s="13" t="str">
        <f>VLOOKUP(D505,Clientes!$A$2:$K$486,11,FALSE)</f>
        <v>Persona Natural</v>
      </c>
      <c r="AC505" s="13" t="str">
        <f>VLOOKUP(D505,Clientes!$A$2:$B$486,2,FALSE)</f>
        <v>Familiar</v>
      </c>
      <c r="AD505" s="20"/>
      <c r="AE505" s="20"/>
      <c r="AF505" s="13" t="s">
        <v>40</v>
      </c>
      <c r="AG505" s="15">
        <f t="shared" si="6"/>
        <v>45505</v>
      </c>
      <c r="AH505" s="13" t="s">
        <v>41</v>
      </c>
      <c r="AI505" s="13" t="str">
        <f t="shared" si="7"/>
        <v>Papeleria</v>
      </c>
      <c r="AJ505" s="13" t="str">
        <f>VLOOKUP(E505,Precios!Z$2:AA$941,2,FALSE)</f>
        <v>Toalla Papel NOVA 26 metros</v>
      </c>
      <c r="AK505" s="14">
        <f>VLOOKUP(E505,Precios!Z$2:BB$941,3,FALSE)*F505</f>
        <v>-3</v>
      </c>
      <c r="AL505" s="17"/>
      <c r="AM505" s="17"/>
      <c r="AN505" s="17"/>
      <c r="AO505" s="17"/>
      <c r="AP505" s="17"/>
      <c r="AQ505" s="17"/>
      <c r="AR505" s="17"/>
      <c r="AS505" s="17"/>
      <c r="AT505" s="17"/>
      <c r="AU505" s="17"/>
      <c r="AV505" s="17"/>
    </row>
    <row r="506" spans="1:48" ht="15.75" customHeight="1">
      <c r="A506" s="21" t="s">
        <v>47</v>
      </c>
      <c r="B506" s="23" t="s">
        <v>1692</v>
      </c>
      <c r="C506" s="25">
        <v>45886</v>
      </c>
      <c r="D506" s="23" t="s">
        <v>235</v>
      </c>
      <c r="E506" s="23" t="s">
        <v>95</v>
      </c>
      <c r="F506" s="14">
        <v>1</v>
      </c>
      <c r="G506" s="12">
        <f>VLOOKUP(E506,Precios!B$2:N$941,12,FALSE)</f>
        <v>3399.9999999999995</v>
      </c>
      <c r="H506" s="12">
        <f t="shared" si="0"/>
        <v>3399.9999999999995</v>
      </c>
      <c r="I506" s="23" t="s">
        <v>52</v>
      </c>
      <c r="J506" s="23" t="s">
        <v>61</v>
      </c>
      <c r="K506" s="24" t="s">
        <v>177</v>
      </c>
      <c r="L506" s="24">
        <v>171</v>
      </c>
      <c r="M506" s="12">
        <f t="shared" ref="M506:N506" si="511">G506/1.19</f>
        <v>2857.1428571428569</v>
      </c>
      <c r="N506" s="12">
        <f t="shared" si="511"/>
        <v>2857.1428571428569</v>
      </c>
      <c r="O506" s="12">
        <f t="shared" si="2"/>
        <v>542.85714285714266</v>
      </c>
      <c r="P506" s="13"/>
      <c r="Q506" s="14">
        <f t="shared" si="3"/>
        <v>2025</v>
      </c>
      <c r="R506" s="15">
        <f>VLOOKUP(MONTH(C506),'Datos Maestros'!M$2:N$14,2,FALSE)</f>
        <v>45505</v>
      </c>
      <c r="S506" s="11" t="str">
        <f>VLOOKUP(E506,Precios!B$2:W$941,3,FALSE)</f>
        <v>Pasta de dientes</v>
      </c>
      <c r="T506" s="16">
        <f>VLOOKUP(E506,Precios!B$2:N$941,4,FALSE)*F506</f>
        <v>0</v>
      </c>
      <c r="U506" s="17"/>
      <c r="V506" s="12">
        <f>VLOOKUP(E506,Precios!B$2:N$941,13,FALSE)*F506</f>
        <v>571.4285714285711</v>
      </c>
      <c r="W506" s="12">
        <f t="shared" si="4"/>
        <v>571.4285714285711</v>
      </c>
      <c r="X506" s="12">
        <f>VLOOKUP(B506,'Datos Maestros'!$C$2:$D$7,2,FALSE)*V506</f>
        <v>0</v>
      </c>
      <c r="Y506" s="18">
        <f t="shared" si="5"/>
        <v>45880</v>
      </c>
      <c r="Z506" s="13" t="s">
        <v>39</v>
      </c>
      <c r="AA506" s="19" t="str">
        <f>VLOOKUP(D506,Clientes!$A$2:$J$486,9,FALSE)</f>
        <v>Familiar</v>
      </c>
      <c r="AB506" s="13" t="str">
        <f>VLOOKUP(D506,Clientes!$A$2:$K$486,11,FALSE)</f>
        <v>Persona Natural</v>
      </c>
      <c r="AC506" s="13" t="str">
        <f>VLOOKUP(D506,Clientes!$A$2:$B$486,2,FALSE)</f>
        <v>Familiar</v>
      </c>
      <c r="AD506" s="20"/>
      <c r="AE506" s="20"/>
      <c r="AF506" s="13" t="s">
        <v>40</v>
      </c>
      <c r="AG506" s="15">
        <f t="shared" si="6"/>
        <v>45505</v>
      </c>
      <c r="AH506" s="13" t="s">
        <v>41</v>
      </c>
      <c r="AI506" s="13" t="str">
        <f t="shared" si="7"/>
        <v>Articulos de Aseo</v>
      </c>
      <c r="AJ506" s="13" t="str">
        <f>VLOOKUP(E506,Precios!Z$2:AA$941,2,FALSE)</f>
        <v>Pasta de Dientes</v>
      </c>
      <c r="AK506" s="14">
        <f>VLOOKUP(E506,Precios!Z$2:BB$941,3,FALSE)*F506</f>
        <v>-1</v>
      </c>
      <c r="AL506" s="17"/>
      <c r="AM506" s="17"/>
      <c r="AN506" s="17"/>
      <c r="AO506" s="17"/>
      <c r="AP506" s="17"/>
      <c r="AQ506" s="17"/>
      <c r="AR506" s="17"/>
      <c r="AS506" s="17"/>
      <c r="AT506" s="17"/>
      <c r="AU506" s="17"/>
      <c r="AV506" s="17"/>
    </row>
    <row r="507" spans="1:48" ht="15.75" customHeight="1">
      <c r="A507" s="21" t="s">
        <v>47</v>
      </c>
      <c r="B507" s="23" t="s">
        <v>1692</v>
      </c>
      <c r="C507" s="25">
        <v>45886</v>
      </c>
      <c r="D507" s="23" t="s">
        <v>235</v>
      </c>
      <c r="E507" s="23" t="s">
        <v>194</v>
      </c>
      <c r="F507" s="14">
        <v>1</v>
      </c>
      <c r="G507" s="12">
        <f>VLOOKUP(E507,Precios!B$2:N$941,12,FALSE)</f>
        <v>2400</v>
      </c>
      <c r="H507" s="12">
        <f t="shared" si="0"/>
        <v>2400</v>
      </c>
      <c r="I507" s="23" t="s">
        <v>52</v>
      </c>
      <c r="J507" s="23" t="s">
        <v>61</v>
      </c>
      <c r="K507" s="24" t="s">
        <v>177</v>
      </c>
      <c r="L507" s="24">
        <v>171</v>
      </c>
      <c r="M507" s="12">
        <f t="shared" ref="M507:N507" si="512">G507/1.19</f>
        <v>2016.8067226890757</v>
      </c>
      <c r="N507" s="12">
        <f t="shared" si="512"/>
        <v>2016.8067226890757</v>
      </c>
      <c r="O507" s="12">
        <f t="shared" si="2"/>
        <v>383.19327731092426</v>
      </c>
      <c r="P507" s="13"/>
      <c r="Q507" s="14">
        <f t="shared" si="3"/>
        <v>2025</v>
      </c>
      <c r="R507" s="15">
        <f>VLOOKUP(MONTH(C507),'Datos Maestros'!M$2:N$14,2,FALSE)</f>
        <v>45505</v>
      </c>
      <c r="S507" s="11" t="str">
        <f>VLOOKUP(E507,Precios!B$2:W$941,3,FALSE)</f>
        <v>Cif</v>
      </c>
      <c r="T507" s="16">
        <f>VLOOKUP(E507,Precios!B$2:N$941,4,FALSE)*F507</f>
        <v>0</v>
      </c>
      <c r="U507" s="17"/>
      <c r="V507" s="12">
        <f>VLOOKUP(E507,Precios!B$2:N$941,13,FALSE)*F507</f>
        <v>959.6638655462184</v>
      </c>
      <c r="W507" s="12">
        <f t="shared" si="4"/>
        <v>959.6638655462184</v>
      </c>
      <c r="X507" s="12">
        <f>VLOOKUP(B507,'Datos Maestros'!$C$2:$D$7,2,FALSE)*V507</f>
        <v>0</v>
      </c>
      <c r="Y507" s="18">
        <f t="shared" si="5"/>
        <v>45880</v>
      </c>
      <c r="Z507" s="13" t="s">
        <v>39</v>
      </c>
      <c r="AA507" s="19" t="str">
        <f>VLOOKUP(D507,Clientes!$A$2:$J$486,9,FALSE)</f>
        <v>Familiar</v>
      </c>
      <c r="AB507" s="13" t="str">
        <f>VLOOKUP(D507,Clientes!$A$2:$K$486,11,FALSE)</f>
        <v>Persona Natural</v>
      </c>
      <c r="AC507" s="13" t="str">
        <f>VLOOKUP(D507,Clientes!$A$2:$B$486,2,FALSE)</f>
        <v>Familiar</v>
      </c>
      <c r="AD507" s="20"/>
      <c r="AE507" s="20"/>
      <c r="AF507" s="13" t="s">
        <v>40</v>
      </c>
      <c r="AG507" s="15">
        <f t="shared" si="6"/>
        <v>45505</v>
      </c>
      <c r="AH507" s="13" t="s">
        <v>41</v>
      </c>
      <c r="AI507" s="13" t="str">
        <f t="shared" si="7"/>
        <v>Articulos de Aseo</v>
      </c>
      <c r="AJ507" s="13" t="str">
        <f>VLOOKUP(E507,Precios!Z$2:AA$941,2,FALSE)</f>
        <v>CIF 750 cc</v>
      </c>
      <c r="AK507" s="14">
        <f>VLOOKUP(E507,Precios!Z$2:BB$941,3,FALSE)*F507</f>
        <v>-1</v>
      </c>
      <c r="AL507" s="17"/>
      <c r="AM507" s="17"/>
      <c r="AN507" s="17"/>
      <c r="AO507" s="17"/>
      <c r="AP507" s="17"/>
      <c r="AQ507" s="17"/>
      <c r="AR507" s="17"/>
      <c r="AS507" s="17"/>
      <c r="AT507" s="17"/>
      <c r="AU507" s="17"/>
      <c r="AV507" s="17"/>
    </row>
    <row r="508" spans="1:48" ht="15.75" customHeight="1">
      <c r="A508" s="21" t="s">
        <v>47</v>
      </c>
      <c r="B508" s="23" t="s">
        <v>1692</v>
      </c>
      <c r="C508" s="25">
        <v>45886</v>
      </c>
      <c r="D508" s="23" t="s">
        <v>235</v>
      </c>
      <c r="E508" s="23" t="s">
        <v>206</v>
      </c>
      <c r="F508" s="14">
        <v>1</v>
      </c>
      <c r="G508" s="12">
        <f>VLOOKUP(E508,Precios!B$2:N$941,12,FALSE)</f>
        <v>2499.9842105263156</v>
      </c>
      <c r="H508" s="12">
        <f t="shared" si="0"/>
        <v>2499.9842105263156</v>
      </c>
      <c r="I508" s="23" t="s">
        <v>52</v>
      </c>
      <c r="J508" s="23" t="s">
        <v>61</v>
      </c>
      <c r="K508" s="24" t="s">
        <v>177</v>
      </c>
      <c r="L508" s="24">
        <v>171</v>
      </c>
      <c r="M508" s="12">
        <f t="shared" ref="M508:N508" si="513">G508/1.19</f>
        <v>2100.8270676691727</v>
      </c>
      <c r="N508" s="12">
        <f t="shared" si="513"/>
        <v>2100.8270676691727</v>
      </c>
      <c r="O508" s="12">
        <f t="shared" si="2"/>
        <v>399.15714285714284</v>
      </c>
      <c r="P508" s="13"/>
      <c r="Q508" s="14">
        <f t="shared" si="3"/>
        <v>2025</v>
      </c>
      <c r="R508" s="15">
        <f>VLOOKUP(MONTH(C508),'Datos Maestros'!M$2:N$14,2,FALSE)</f>
        <v>45505</v>
      </c>
      <c r="S508" s="11" t="str">
        <f>VLOOKUP(E508,Precios!B$2:W$941,3,FALSE)</f>
        <v>Paños Cocina</v>
      </c>
      <c r="T508" s="16">
        <f>VLOOKUP(E508,Precios!B$2:N$941,4,FALSE)*F508</f>
        <v>0</v>
      </c>
      <c r="U508" s="17"/>
      <c r="V508" s="12">
        <f>VLOOKUP(E508,Precios!B$2:N$941,13,FALSE)*F508</f>
        <v>1430.2430676691729</v>
      </c>
      <c r="W508" s="12">
        <f t="shared" si="4"/>
        <v>1430.2430676691729</v>
      </c>
      <c r="X508" s="12">
        <f>VLOOKUP(B508,'Datos Maestros'!$C$2:$D$7,2,FALSE)*V508</f>
        <v>0</v>
      </c>
      <c r="Y508" s="18">
        <f t="shared" si="5"/>
        <v>45880</v>
      </c>
      <c r="Z508" s="13" t="s">
        <v>39</v>
      </c>
      <c r="AA508" s="19" t="str">
        <f>VLOOKUP(D508,Clientes!$A$2:$J$486,9,FALSE)</f>
        <v>Familiar</v>
      </c>
      <c r="AB508" s="13" t="str">
        <f>VLOOKUP(D508,Clientes!$A$2:$K$486,11,FALSE)</f>
        <v>Persona Natural</v>
      </c>
      <c r="AC508" s="13" t="str">
        <f>VLOOKUP(D508,Clientes!$A$2:$B$486,2,FALSE)</f>
        <v>Familiar</v>
      </c>
      <c r="AD508" s="20"/>
      <c r="AE508" s="20"/>
      <c r="AF508" s="13" t="s">
        <v>40</v>
      </c>
      <c r="AG508" s="15">
        <f t="shared" si="6"/>
        <v>45505</v>
      </c>
      <c r="AH508" s="13" t="s">
        <v>41</v>
      </c>
      <c r="AI508" s="13" t="str">
        <f t="shared" si="7"/>
        <v>Articulos de Aseo</v>
      </c>
      <c r="AJ508" s="13" t="str">
        <f>VLOOKUP(E508,Precios!Z$2:AA$941,2,FALSE)</f>
        <v>Paños Cocina Teddy</v>
      </c>
      <c r="AK508" s="14">
        <f>VLOOKUP(E508,Precios!Z$2:BB$941,3,FALSE)*F508</f>
        <v>-3</v>
      </c>
      <c r="AL508" s="17"/>
      <c r="AM508" s="17"/>
      <c r="AN508" s="17"/>
      <c r="AO508" s="17"/>
      <c r="AP508" s="17"/>
      <c r="AQ508" s="17"/>
      <c r="AR508" s="17"/>
      <c r="AS508" s="17"/>
      <c r="AT508" s="17"/>
      <c r="AU508" s="17"/>
      <c r="AV508" s="17"/>
    </row>
    <row r="509" spans="1:48" ht="15.75" customHeight="1">
      <c r="A509" s="21" t="s">
        <v>76</v>
      </c>
      <c r="B509" s="23" t="s">
        <v>1692</v>
      </c>
      <c r="C509" s="25">
        <v>45886</v>
      </c>
      <c r="D509" s="23" t="s">
        <v>235</v>
      </c>
      <c r="E509" s="23" t="s">
        <v>187</v>
      </c>
      <c r="F509" s="14">
        <v>1</v>
      </c>
      <c r="G509" s="12">
        <f>VLOOKUP(E509,Precios!B$2:N$941,12,FALSE)</f>
        <v>2699.9280057595392</v>
      </c>
      <c r="H509" s="12">
        <f t="shared" si="0"/>
        <v>2699.9280057595392</v>
      </c>
      <c r="I509" s="23" t="s">
        <v>52</v>
      </c>
      <c r="J509" s="23" t="s">
        <v>61</v>
      </c>
      <c r="K509" s="24" t="s">
        <v>177</v>
      </c>
      <c r="L509" s="24">
        <v>171</v>
      </c>
      <c r="M509" s="12">
        <f t="shared" ref="M509:N509" si="514">G509/1.19</f>
        <v>2268.8470636634784</v>
      </c>
      <c r="N509" s="12">
        <f t="shared" si="514"/>
        <v>2268.8470636634784</v>
      </c>
      <c r="O509" s="12">
        <f t="shared" si="2"/>
        <v>431.08094209606088</v>
      </c>
      <c r="P509" s="13"/>
      <c r="Q509" s="14">
        <f t="shared" si="3"/>
        <v>2025</v>
      </c>
      <c r="R509" s="15">
        <f>VLOOKUP(MONTH(C509),'Datos Maestros'!M$2:N$14,2,FALSE)</f>
        <v>45505</v>
      </c>
      <c r="S509" s="11" t="str">
        <f>VLOOKUP(E509,Precios!B$2:W$941,3,FALSE)</f>
        <v>Lavaloza</v>
      </c>
      <c r="T509" s="16">
        <f>VLOOKUP(E509,Precios!B$2:N$941,4,FALSE)*F509</f>
        <v>0</v>
      </c>
      <c r="U509" s="17"/>
      <c r="V509" s="12">
        <f>VLOOKUP(E509,Precios!B$2:N$941,13,FALSE)*F509</f>
        <v>798.18039699681162</v>
      </c>
      <c r="W509" s="12">
        <f t="shared" si="4"/>
        <v>798.18039699681162</v>
      </c>
      <c r="X509" s="12">
        <f>VLOOKUP(B509,'Datos Maestros'!$C$2:$D$7,2,FALSE)*V509</f>
        <v>0</v>
      </c>
      <c r="Y509" s="18">
        <f t="shared" si="5"/>
        <v>45880</v>
      </c>
      <c r="Z509" s="13" t="s">
        <v>39</v>
      </c>
      <c r="AA509" s="19" t="str">
        <f>VLOOKUP(D509,Clientes!$A$2:$J$486,9,FALSE)</f>
        <v>Familiar</v>
      </c>
      <c r="AB509" s="13" t="str">
        <f>VLOOKUP(D509,Clientes!$A$2:$K$486,11,FALSE)</f>
        <v>Persona Natural</v>
      </c>
      <c r="AC509" s="13" t="str">
        <f>VLOOKUP(D509,Clientes!$A$2:$B$486,2,FALSE)</f>
        <v>Familiar</v>
      </c>
      <c r="AD509" s="20"/>
      <c r="AE509" s="20"/>
      <c r="AF509" s="13" t="s">
        <v>40</v>
      </c>
      <c r="AG509" s="15">
        <f t="shared" si="6"/>
        <v>45505</v>
      </c>
      <c r="AH509" s="13" t="s">
        <v>41</v>
      </c>
      <c r="AI509" s="13" t="str">
        <f t="shared" si="7"/>
        <v>Detergentes</v>
      </c>
      <c r="AJ509" s="13" t="str">
        <f>VLOOKUP(E509,Precios!Z$2:AA$941,2,FALSE)</f>
        <v>Lavaloza WYN 1.5 Litros (recarga)</v>
      </c>
      <c r="AK509" s="14">
        <f>VLOOKUP(E509,Precios!Z$2:BB$941,3,FALSE)*F509</f>
        <v>-1</v>
      </c>
      <c r="AL509" s="17"/>
      <c r="AM509" s="17"/>
      <c r="AN509" s="17"/>
      <c r="AO509" s="17"/>
      <c r="AP509" s="17"/>
      <c r="AQ509" s="17"/>
      <c r="AR509" s="17"/>
      <c r="AS509" s="17"/>
      <c r="AT509" s="17"/>
      <c r="AU509" s="17"/>
      <c r="AV509" s="17"/>
    </row>
    <row r="510" spans="1:48" ht="15.75" customHeight="1">
      <c r="A510" s="21" t="s">
        <v>147</v>
      </c>
      <c r="B510" s="23" t="s">
        <v>1692</v>
      </c>
      <c r="C510" s="25">
        <v>45886</v>
      </c>
      <c r="D510" s="23" t="s">
        <v>235</v>
      </c>
      <c r="E510" s="23" t="s">
        <v>257</v>
      </c>
      <c r="F510" s="14">
        <v>1</v>
      </c>
      <c r="G510" s="12">
        <f>VLOOKUP(E510,Precios!B$2:N$941,12,FALSE)</f>
        <v>4000.0000000000005</v>
      </c>
      <c r="H510" s="12">
        <f t="shared" si="0"/>
        <v>4000.0000000000005</v>
      </c>
      <c r="I510" s="23" t="s">
        <v>52</v>
      </c>
      <c r="J510" s="23" t="s">
        <v>61</v>
      </c>
      <c r="K510" s="24" t="s">
        <v>177</v>
      </c>
      <c r="L510" s="24">
        <v>171</v>
      </c>
      <c r="M510" s="12">
        <f t="shared" ref="M510:N510" si="515">G510/1.19</f>
        <v>3361.3445378151264</v>
      </c>
      <c r="N510" s="12">
        <f t="shared" si="515"/>
        <v>3361.3445378151264</v>
      </c>
      <c r="O510" s="12">
        <f t="shared" si="2"/>
        <v>638.65546218487407</v>
      </c>
      <c r="P510" s="13"/>
      <c r="Q510" s="14">
        <f t="shared" si="3"/>
        <v>2025</v>
      </c>
      <c r="R510" s="15">
        <f>VLOOKUP(MONTH(C510),'Datos Maestros'!M$2:N$14,2,FALSE)</f>
        <v>45505</v>
      </c>
      <c r="S510" s="11" t="str">
        <f>VLOOKUP(E510,Precios!B$2:W$941,3,FALSE)</f>
        <v>Film Plastico</v>
      </c>
      <c r="T510" s="16">
        <f>VLOOKUP(E510,Precios!B$2:N$941,4,FALSE)*F510</f>
        <v>0</v>
      </c>
      <c r="U510" s="17"/>
      <c r="V510" s="12">
        <f>VLOOKUP(E510,Precios!B$2:N$941,13,FALSE)*F510</f>
        <v>1680.6722689075632</v>
      </c>
      <c r="W510" s="12">
        <f t="shared" si="4"/>
        <v>1680.6722689075632</v>
      </c>
      <c r="X510" s="12">
        <f>VLOOKUP(B510,'Datos Maestros'!$C$2:$D$7,2,FALSE)*V510</f>
        <v>0</v>
      </c>
      <c r="Y510" s="18">
        <f t="shared" si="5"/>
        <v>45880</v>
      </c>
      <c r="Z510" s="13" t="s">
        <v>39</v>
      </c>
      <c r="AA510" s="19" t="str">
        <f>VLOOKUP(D510,Clientes!$A$2:$J$486,9,FALSE)</f>
        <v>Familiar</v>
      </c>
      <c r="AB510" s="13" t="str">
        <f>VLOOKUP(D510,Clientes!$A$2:$K$486,11,FALSE)</f>
        <v>Persona Natural</v>
      </c>
      <c r="AC510" s="13" t="str">
        <f>VLOOKUP(D510,Clientes!$A$2:$B$486,2,FALSE)</f>
        <v>Familiar</v>
      </c>
      <c r="AD510" s="20"/>
      <c r="AE510" s="20"/>
      <c r="AF510" s="13" t="s">
        <v>40</v>
      </c>
      <c r="AG510" s="15">
        <f t="shared" si="6"/>
        <v>45505</v>
      </c>
      <c r="AH510" s="13" t="s">
        <v>41</v>
      </c>
      <c r="AI510" s="13" t="str">
        <f t="shared" si="7"/>
        <v>Film Plastico-Aluminio</v>
      </c>
      <c r="AJ510" s="13" t="str">
        <f>VLOOKUP(E510,Precios!Z$2:AA$941,2,FALSE)</f>
        <v>Film Plástico 100 metros</v>
      </c>
      <c r="AK510" s="14">
        <f>VLOOKUP(E510,Precios!Z$2:BB$941,3,FALSE)*F510</f>
        <v>-1</v>
      </c>
      <c r="AL510" s="17"/>
      <c r="AM510" s="17"/>
      <c r="AN510" s="17"/>
      <c r="AO510" s="17"/>
      <c r="AP510" s="17"/>
      <c r="AQ510" s="17"/>
      <c r="AR510" s="17"/>
      <c r="AS510" s="17"/>
      <c r="AT510" s="17"/>
      <c r="AU510" s="17"/>
      <c r="AV510" s="17"/>
    </row>
    <row r="511" spans="1:48" ht="15.75" customHeight="1">
      <c r="A511" s="21" t="s">
        <v>47</v>
      </c>
      <c r="B511" s="23" t="s">
        <v>1692</v>
      </c>
      <c r="C511" s="25">
        <v>45886</v>
      </c>
      <c r="D511" s="23" t="s">
        <v>235</v>
      </c>
      <c r="E511" s="23" t="s">
        <v>171</v>
      </c>
      <c r="F511" s="21">
        <v>2</v>
      </c>
      <c r="G511" s="12">
        <f>VLOOKUP(E511,Precios!B$2:N$941,12,FALSE)</f>
        <v>1599.7931747673217</v>
      </c>
      <c r="H511" s="12">
        <f t="shared" si="0"/>
        <v>3199.5863495346434</v>
      </c>
      <c r="I511" s="23" t="s">
        <v>52</v>
      </c>
      <c r="J511" s="23" t="s">
        <v>61</v>
      </c>
      <c r="K511" s="24" t="s">
        <v>177</v>
      </c>
      <c r="L511" s="24">
        <v>171</v>
      </c>
      <c r="M511" s="12">
        <f t="shared" ref="M511:N511" si="516">G511/1.19</f>
        <v>1344.3640124095141</v>
      </c>
      <c r="N511" s="12">
        <f t="shared" si="516"/>
        <v>2688.7280248190282</v>
      </c>
      <c r="O511" s="12">
        <f t="shared" si="2"/>
        <v>510.85832471561525</v>
      </c>
      <c r="P511" s="13"/>
      <c r="Q511" s="14">
        <f t="shared" si="3"/>
        <v>2025</v>
      </c>
      <c r="R511" s="15">
        <f>VLOOKUP(MONTH(C511),'Datos Maestros'!M$2:N$14,2,FALSE)</f>
        <v>45505</v>
      </c>
      <c r="S511" s="11" t="str">
        <f>VLOOKUP(E511,Precios!B$2:W$941,3,FALSE)</f>
        <v>Cera</v>
      </c>
      <c r="T511" s="16">
        <f>VLOOKUP(E511,Precios!B$2:N$941,4,FALSE)*F511</f>
        <v>0</v>
      </c>
      <c r="U511" s="17"/>
      <c r="V511" s="12">
        <f>VLOOKUP(E511,Precios!B$2:N$941,13,FALSE)*F511</f>
        <v>738.72802481902818</v>
      </c>
      <c r="W511" s="12">
        <f t="shared" si="4"/>
        <v>738.72802481902818</v>
      </c>
      <c r="X511" s="12">
        <f>VLOOKUP(B511,'Datos Maestros'!$C$2:$D$7,2,FALSE)*V511</f>
        <v>0</v>
      </c>
      <c r="Y511" s="18">
        <f t="shared" si="5"/>
        <v>45880</v>
      </c>
      <c r="Z511" s="13" t="s">
        <v>39</v>
      </c>
      <c r="AA511" s="19" t="str">
        <f>VLOOKUP(D511,Clientes!$A$2:$J$486,9,FALSE)</f>
        <v>Familiar</v>
      </c>
      <c r="AB511" s="13" t="str">
        <f>VLOOKUP(D511,Clientes!$A$2:$K$486,11,FALSE)</f>
        <v>Persona Natural</v>
      </c>
      <c r="AC511" s="13" t="str">
        <f>VLOOKUP(D511,Clientes!$A$2:$B$486,2,FALSE)</f>
        <v>Familiar</v>
      </c>
      <c r="AD511" s="20"/>
      <c r="AE511" s="20"/>
      <c r="AF511" s="13" t="s">
        <v>40</v>
      </c>
      <c r="AG511" s="15">
        <f t="shared" si="6"/>
        <v>45505</v>
      </c>
      <c r="AH511" s="13" t="s">
        <v>41</v>
      </c>
      <c r="AI511" s="13" t="str">
        <f t="shared" si="7"/>
        <v>Articulos de Aseo</v>
      </c>
      <c r="AJ511" s="13" t="str">
        <f>VLOOKUP(E511,Precios!Z$2:AA$941,2,FALSE)</f>
        <v>Cera Tierra Color Brillina</v>
      </c>
      <c r="AK511" s="14">
        <f>VLOOKUP(E511,Precios!Z$2:BB$941,3,FALSE)*F511</f>
        <v>-2</v>
      </c>
      <c r="AL511" s="17"/>
      <c r="AM511" s="17"/>
      <c r="AN511" s="17"/>
      <c r="AO511" s="17"/>
      <c r="AP511" s="17"/>
      <c r="AQ511" s="17"/>
      <c r="AR511" s="17"/>
      <c r="AS511" s="17"/>
      <c r="AT511" s="17"/>
      <c r="AU511" s="17"/>
      <c r="AV511" s="17"/>
    </row>
    <row r="512" spans="1:48" ht="15.75" customHeight="1">
      <c r="A512" s="21" t="s">
        <v>47</v>
      </c>
      <c r="B512" s="23" t="s">
        <v>1692</v>
      </c>
      <c r="C512" s="25">
        <v>45886</v>
      </c>
      <c r="D512" s="23" t="s">
        <v>235</v>
      </c>
      <c r="E512" s="23" t="s">
        <v>303</v>
      </c>
      <c r="F512" s="21">
        <v>1</v>
      </c>
      <c r="G512" s="12">
        <f>VLOOKUP(E512,Precios!B$2:N$941,12,FALSE)</f>
        <v>2000.1655971848479</v>
      </c>
      <c r="H512" s="12">
        <f t="shared" si="0"/>
        <v>2000.1655971848479</v>
      </c>
      <c r="I512" s="23" t="s">
        <v>52</v>
      </c>
      <c r="J512" s="23" t="s">
        <v>61</v>
      </c>
      <c r="K512" s="24" t="s">
        <v>177</v>
      </c>
      <c r="L512" s="24">
        <v>171</v>
      </c>
      <c r="M512" s="12">
        <f t="shared" ref="M512:N512" si="517">G512/1.19</f>
        <v>1680.8114262057545</v>
      </c>
      <c r="N512" s="12">
        <f t="shared" si="517"/>
        <v>1680.8114262057545</v>
      </c>
      <c r="O512" s="12">
        <f t="shared" si="2"/>
        <v>319.3541709790934</v>
      </c>
      <c r="P512" s="13"/>
      <c r="Q512" s="14">
        <f t="shared" si="3"/>
        <v>2025</v>
      </c>
      <c r="R512" s="15">
        <f>VLOOKUP(MONTH(C512),'Datos Maestros'!M$2:N$14,2,FALSE)</f>
        <v>45505</v>
      </c>
      <c r="S512" s="11" t="str">
        <f>VLOOKUP(E512,Precios!B$2:W$941,3,FALSE)</f>
        <v>Trapero Fibra</v>
      </c>
      <c r="T512" s="16">
        <f>VLOOKUP(E512,Precios!B$2:N$941,4,FALSE)*F512</f>
        <v>0</v>
      </c>
      <c r="U512" s="17"/>
      <c r="V512" s="12">
        <f>VLOOKUP(E512,Precios!B$2:N$941,13,FALSE)*F512</f>
        <v>462.81142620575451</v>
      </c>
      <c r="W512" s="12">
        <f t="shared" si="4"/>
        <v>462.81142620575451</v>
      </c>
      <c r="X512" s="12">
        <f>VLOOKUP(B512,'Datos Maestros'!$C$2:$D$7,2,FALSE)*V512</f>
        <v>0</v>
      </c>
      <c r="Y512" s="18">
        <f t="shared" si="5"/>
        <v>45880</v>
      </c>
      <c r="Z512" s="13" t="s">
        <v>39</v>
      </c>
      <c r="AA512" s="19" t="str">
        <f>VLOOKUP(D512,Clientes!$A$2:$J$486,9,FALSE)</f>
        <v>Familiar</v>
      </c>
      <c r="AB512" s="13" t="str">
        <f>VLOOKUP(D512,Clientes!$A$2:$K$486,11,FALSE)</f>
        <v>Persona Natural</v>
      </c>
      <c r="AC512" s="13" t="str">
        <f>VLOOKUP(D512,Clientes!$A$2:$B$486,2,FALSE)</f>
        <v>Familiar</v>
      </c>
      <c r="AD512" s="20"/>
      <c r="AE512" s="20"/>
      <c r="AF512" s="13" t="s">
        <v>40</v>
      </c>
      <c r="AG512" s="15">
        <f t="shared" si="6"/>
        <v>45505</v>
      </c>
      <c r="AH512" s="13" t="s">
        <v>41</v>
      </c>
      <c r="AI512" s="13" t="str">
        <f t="shared" si="7"/>
        <v>Articulos de Aseo</v>
      </c>
      <c r="AJ512" s="13" t="str">
        <f>VLOOKUP(E512,Precios!Z$2:AA$941,2,FALSE)</f>
        <v>Trapero Microfibra EXCELL</v>
      </c>
      <c r="AK512" s="14">
        <f>VLOOKUP(E512,Precios!Z$2:BB$941,3,FALSE)*F512</f>
        <v>-1</v>
      </c>
      <c r="AL512" s="17"/>
      <c r="AM512" s="17"/>
      <c r="AN512" s="17"/>
      <c r="AO512" s="17"/>
      <c r="AP512" s="17"/>
      <c r="AQ512" s="17"/>
      <c r="AR512" s="17"/>
      <c r="AS512" s="17"/>
      <c r="AT512" s="17"/>
      <c r="AU512" s="17"/>
      <c r="AV512" s="17"/>
    </row>
    <row r="513" spans="1:48" ht="15.75" customHeight="1">
      <c r="A513" s="21" t="s">
        <v>47</v>
      </c>
      <c r="B513" s="23" t="s">
        <v>1692</v>
      </c>
      <c r="C513" s="25">
        <v>45886</v>
      </c>
      <c r="D513" s="23" t="s">
        <v>235</v>
      </c>
      <c r="E513" s="23" t="s">
        <v>304</v>
      </c>
      <c r="F513" s="21">
        <v>1</v>
      </c>
      <c r="G513" s="12">
        <f>VLOOKUP(E513,Precios!B$2:N$941,12,FALSE)</f>
        <v>3200.2079002079004</v>
      </c>
      <c r="H513" s="12">
        <f t="shared" si="0"/>
        <v>3200.2079002079004</v>
      </c>
      <c r="I513" s="23" t="s">
        <v>52</v>
      </c>
      <c r="J513" s="23" t="s">
        <v>61</v>
      </c>
      <c r="K513" s="24" t="s">
        <v>177</v>
      </c>
      <c r="L513" s="24">
        <v>171</v>
      </c>
      <c r="M513" s="12">
        <f t="shared" ref="M513:N513" si="518">G513/1.19</f>
        <v>2689.25033630916</v>
      </c>
      <c r="N513" s="12">
        <f t="shared" si="518"/>
        <v>2689.25033630916</v>
      </c>
      <c r="O513" s="12">
        <f t="shared" si="2"/>
        <v>510.95756389874032</v>
      </c>
      <c r="P513" s="13"/>
      <c r="Q513" s="14">
        <f t="shared" si="3"/>
        <v>2025</v>
      </c>
      <c r="R513" s="15">
        <f>VLOOKUP(MONTH(C513),'Datos Maestros'!M$2:N$14,2,FALSE)</f>
        <v>45505</v>
      </c>
      <c r="S513" s="11" t="str">
        <f>VLOOKUP(E513,Precios!B$2:W$941,3,FALSE)</f>
        <v>Jabon POPEYE</v>
      </c>
      <c r="T513" s="16">
        <f>VLOOKUP(E513,Precios!B$2:N$941,4,FALSE)*F513</f>
        <v>0</v>
      </c>
      <c r="U513" s="17"/>
      <c r="V513" s="12">
        <f>VLOOKUP(E513,Precios!B$2:N$941,13,FALSE)*F513</f>
        <v>490.25033630916005</v>
      </c>
      <c r="W513" s="12">
        <f t="shared" si="4"/>
        <v>490.25033630916005</v>
      </c>
      <c r="X513" s="12">
        <f>VLOOKUP(B513,'Datos Maestros'!$C$2:$D$7,2,FALSE)*V513</f>
        <v>0</v>
      </c>
      <c r="Y513" s="18">
        <f t="shared" si="5"/>
        <v>45880</v>
      </c>
      <c r="Z513" s="13" t="s">
        <v>39</v>
      </c>
      <c r="AA513" s="19" t="str">
        <f>VLOOKUP(D513,Clientes!$A$2:$J$486,9,FALSE)</f>
        <v>Familiar</v>
      </c>
      <c r="AB513" s="13" t="str">
        <f>VLOOKUP(D513,Clientes!$A$2:$K$486,11,FALSE)</f>
        <v>Persona Natural</v>
      </c>
      <c r="AC513" s="13" t="str">
        <f>VLOOKUP(D513,Clientes!$A$2:$B$486,2,FALSE)</f>
        <v>Familiar</v>
      </c>
      <c r="AD513" s="20"/>
      <c r="AE513" s="20"/>
      <c r="AF513" s="13" t="s">
        <v>40</v>
      </c>
      <c r="AG513" s="15">
        <f t="shared" si="6"/>
        <v>45505</v>
      </c>
      <c r="AH513" s="13" t="s">
        <v>41</v>
      </c>
      <c r="AI513" s="13" t="str">
        <f t="shared" si="7"/>
        <v>Articulos de Aseo</v>
      </c>
      <c r="AJ513" s="13" t="str">
        <f>VLOOKUP(E513,Precios!Z$2:AA$941,2,FALSE)</f>
        <v>Jabón Lìquido BALLERINA</v>
      </c>
      <c r="AK513" s="14">
        <f>VLOOKUP(E513,Precios!Z$2:BB$941,3,FALSE)*F513</f>
        <v>-1</v>
      </c>
      <c r="AL513" s="17"/>
      <c r="AM513" s="17"/>
      <c r="AN513" s="17"/>
      <c r="AO513" s="17"/>
      <c r="AP513" s="17"/>
      <c r="AQ513" s="17"/>
      <c r="AR513" s="17"/>
      <c r="AS513" s="17"/>
      <c r="AT513" s="17"/>
      <c r="AU513" s="17"/>
      <c r="AV513" s="17"/>
    </row>
    <row r="514" spans="1:48" ht="15.75" customHeight="1">
      <c r="A514" s="21" t="s">
        <v>76</v>
      </c>
      <c r="B514" s="23" t="s">
        <v>1692</v>
      </c>
      <c r="C514" s="25">
        <v>45886</v>
      </c>
      <c r="D514" s="23" t="s">
        <v>235</v>
      </c>
      <c r="E514" s="23" t="s">
        <v>110</v>
      </c>
      <c r="F514" s="21">
        <v>1</v>
      </c>
      <c r="G514" s="12">
        <f>VLOOKUP(E514,Precios!B$2:N$941,12,FALSE)</f>
        <v>2000.0000000000005</v>
      </c>
      <c r="H514" s="12">
        <f t="shared" si="0"/>
        <v>2000.0000000000005</v>
      </c>
      <c r="I514" s="23" t="s">
        <v>52</v>
      </c>
      <c r="J514" s="23" t="s">
        <v>61</v>
      </c>
      <c r="K514" s="24" t="s">
        <v>177</v>
      </c>
      <c r="L514" s="24">
        <v>171</v>
      </c>
      <c r="M514" s="12">
        <f t="shared" ref="M514:N514" si="519">G514/1.19</f>
        <v>1680.6722689075634</v>
      </c>
      <c r="N514" s="12">
        <f t="shared" si="519"/>
        <v>1680.6722689075634</v>
      </c>
      <c r="O514" s="12">
        <f t="shared" si="2"/>
        <v>319.32773109243703</v>
      </c>
      <c r="P514" s="13"/>
      <c r="Q514" s="14">
        <f t="shared" si="3"/>
        <v>2025</v>
      </c>
      <c r="R514" s="15">
        <f>VLOOKUP(MONTH(C514),'Datos Maestros'!M$2:N$14,2,FALSE)</f>
        <v>45505</v>
      </c>
      <c r="S514" s="11" t="str">
        <f>VLOOKUP(E514,Precios!B$2:W$941,3,FALSE)</f>
        <v>Cloro</v>
      </c>
      <c r="T514" s="16">
        <f>VLOOKUP(E514,Precios!B$2:N$941,4,FALSE)*F514</f>
        <v>5</v>
      </c>
      <c r="U514" s="17"/>
      <c r="V514" s="12">
        <f>VLOOKUP(E514,Precios!B$2:N$941,13,FALSE)*F514</f>
        <v>756.30252100840369</v>
      </c>
      <c r="W514" s="12">
        <f t="shared" si="4"/>
        <v>756.30252100840369</v>
      </c>
      <c r="X514" s="12">
        <f>VLOOKUP(B514,'Datos Maestros'!$C$2:$D$7,2,FALSE)*V514</f>
        <v>0</v>
      </c>
      <c r="Y514" s="18">
        <f t="shared" si="5"/>
        <v>45880</v>
      </c>
      <c r="Z514" s="13" t="s">
        <v>39</v>
      </c>
      <c r="AA514" s="19" t="str">
        <f>VLOOKUP(D514,Clientes!$A$2:$J$486,9,FALSE)</f>
        <v>Familiar</v>
      </c>
      <c r="AB514" s="13" t="str">
        <f>VLOOKUP(D514,Clientes!$A$2:$K$486,11,FALSE)</f>
        <v>Persona Natural</v>
      </c>
      <c r="AC514" s="13" t="str">
        <f>VLOOKUP(D514,Clientes!$A$2:$B$486,2,FALSE)</f>
        <v>Familiar</v>
      </c>
      <c r="AD514" s="20"/>
      <c r="AE514" s="20"/>
      <c r="AF514" s="13" t="s">
        <v>40</v>
      </c>
      <c r="AG514" s="15">
        <f t="shared" si="6"/>
        <v>45505</v>
      </c>
      <c r="AH514" s="13" t="s">
        <v>41</v>
      </c>
      <c r="AI514" s="13" t="str">
        <f t="shared" si="7"/>
        <v>Detergentes</v>
      </c>
      <c r="AJ514" s="13" t="str">
        <f>VLOOKUP(E514,Precios!Z$2:AA$941,2,FALSE)</f>
        <v>Cloro SPUM 5 Litros</v>
      </c>
      <c r="AK514" s="14">
        <f>VLOOKUP(E514,Precios!Z$2:BB$941,3,FALSE)*F514</f>
        <v>-1</v>
      </c>
      <c r="AL514" s="17"/>
      <c r="AM514" s="17"/>
      <c r="AN514" s="17"/>
      <c r="AO514" s="17"/>
      <c r="AP514" s="17"/>
      <c r="AQ514" s="17"/>
      <c r="AR514" s="17"/>
      <c r="AS514" s="17"/>
      <c r="AT514" s="17"/>
      <c r="AU514" s="17"/>
      <c r="AV514" s="17"/>
    </row>
    <row r="515" spans="1:48" ht="15.75" customHeight="1">
      <c r="A515" s="21" t="s">
        <v>76</v>
      </c>
      <c r="B515" s="23" t="s">
        <v>1692</v>
      </c>
      <c r="C515" s="25">
        <v>45886</v>
      </c>
      <c r="D515" s="23" t="s">
        <v>235</v>
      </c>
      <c r="E515" s="23" t="s">
        <v>185</v>
      </c>
      <c r="F515" s="21">
        <v>1</v>
      </c>
      <c r="G515" s="12">
        <f>VLOOKUP(E515,Precios!B$2:N$941,12,FALSE)</f>
        <v>3200.1383843625663</v>
      </c>
      <c r="H515" s="12">
        <f t="shared" si="0"/>
        <v>3200.1383843625663</v>
      </c>
      <c r="I515" s="23" t="s">
        <v>52</v>
      </c>
      <c r="J515" s="23" t="s">
        <v>61</v>
      </c>
      <c r="K515" s="24" t="s">
        <v>177</v>
      </c>
      <c r="L515" s="24">
        <v>171</v>
      </c>
      <c r="M515" s="12">
        <f t="shared" ref="M515:N515" si="520">G515/1.19</f>
        <v>2689.1919196324088</v>
      </c>
      <c r="N515" s="12">
        <f t="shared" si="520"/>
        <v>2689.1919196324088</v>
      </c>
      <c r="O515" s="12">
        <f t="shared" si="2"/>
        <v>510.94646473015746</v>
      </c>
      <c r="P515" s="13"/>
      <c r="Q515" s="14">
        <f t="shared" si="3"/>
        <v>2025</v>
      </c>
      <c r="R515" s="15">
        <f>VLOOKUP(MONTH(C515),'Datos Maestros'!M$2:N$14,2,FALSE)</f>
        <v>45505</v>
      </c>
      <c r="S515" s="11" t="str">
        <f>VLOOKUP(E515,Precios!B$2:W$941,3,FALSE)</f>
        <v>LImpia Vidrio</v>
      </c>
      <c r="T515" s="16">
        <f>VLOOKUP(E515,Precios!B$2:N$941,4,FALSE)*F515</f>
        <v>5</v>
      </c>
      <c r="U515" s="17"/>
      <c r="V515" s="12">
        <f>VLOOKUP(E515,Precios!B$2:N$941,13,FALSE)*F515</f>
        <v>1134.570070892913</v>
      </c>
      <c r="W515" s="12">
        <f t="shared" si="4"/>
        <v>1134.570070892913</v>
      </c>
      <c r="X515" s="12">
        <f>VLOOKUP(B515,'Datos Maestros'!$C$2:$D$7,2,FALSE)*V515</f>
        <v>0</v>
      </c>
      <c r="Y515" s="18">
        <f t="shared" si="5"/>
        <v>45880</v>
      </c>
      <c r="Z515" s="13" t="s">
        <v>39</v>
      </c>
      <c r="AA515" s="19" t="str">
        <f>VLOOKUP(D515,Clientes!$A$2:$J$486,9,FALSE)</f>
        <v>Familiar</v>
      </c>
      <c r="AB515" s="13" t="str">
        <f>VLOOKUP(D515,Clientes!$A$2:$K$486,11,FALSE)</f>
        <v>Persona Natural</v>
      </c>
      <c r="AC515" s="13" t="str">
        <f>VLOOKUP(D515,Clientes!$A$2:$B$486,2,FALSE)</f>
        <v>Familiar</v>
      </c>
      <c r="AD515" s="20"/>
      <c r="AE515" s="20"/>
      <c r="AF515" s="13" t="s">
        <v>40</v>
      </c>
      <c r="AG515" s="15">
        <f t="shared" si="6"/>
        <v>45505</v>
      </c>
      <c r="AH515" s="13" t="s">
        <v>41</v>
      </c>
      <c r="AI515" s="13" t="str">
        <f t="shared" si="7"/>
        <v>Detergentes</v>
      </c>
      <c r="AJ515" s="13" t="str">
        <f>VLOOKUP(E515,Precios!Z$2:AA$941,2,FALSE)</f>
        <v>Limpia Vidrio SPUM 5 litros</v>
      </c>
      <c r="AK515" s="14">
        <f>VLOOKUP(E515,Precios!Z$2:BB$941,3,FALSE)*F515</f>
        <v>-1</v>
      </c>
      <c r="AL515" s="17"/>
      <c r="AM515" s="17"/>
      <c r="AN515" s="17"/>
      <c r="AO515" s="17"/>
      <c r="AP515" s="17"/>
      <c r="AQ515" s="17"/>
      <c r="AR515" s="17"/>
      <c r="AS515" s="17"/>
      <c r="AT515" s="17"/>
      <c r="AU515" s="17"/>
      <c r="AV515" s="17"/>
    </row>
    <row r="516" spans="1:48" ht="15.75" customHeight="1">
      <c r="A516" s="21" t="s">
        <v>47</v>
      </c>
      <c r="B516" s="23" t="s">
        <v>1692</v>
      </c>
      <c r="C516" s="25">
        <v>45886</v>
      </c>
      <c r="D516" s="23" t="s">
        <v>235</v>
      </c>
      <c r="E516" s="23" t="s">
        <v>305</v>
      </c>
      <c r="F516" s="21">
        <v>1</v>
      </c>
      <c r="G516" s="12">
        <f>VLOOKUP(E516,Precios!B$2:N$941,12,FALSE)</f>
        <v>2999.9015263417036</v>
      </c>
      <c r="H516" s="12">
        <f t="shared" si="0"/>
        <v>2999.9015263417036</v>
      </c>
      <c r="I516" s="23" t="s">
        <v>52</v>
      </c>
      <c r="J516" s="23" t="s">
        <v>61</v>
      </c>
      <c r="K516" s="24" t="s">
        <v>177</v>
      </c>
      <c r="L516" s="24">
        <v>171</v>
      </c>
      <c r="M516" s="12">
        <f t="shared" ref="M516:N516" si="521">G516/1.19</f>
        <v>2520.9256523879862</v>
      </c>
      <c r="N516" s="12">
        <f t="shared" si="521"/>
        <v>2520.9256523879862</v>
      </c>
      <c r="O516" s="12">
        <f t="shared" si="2"/>
        <v>478.97587395371738</v>
      </c>
      <c r="P516" s="13"/>
      <c r="Q516" s="14">
        <f t="shared" si="3"/>
        <v>2025</v>
      </c>
      <c r="R516" s="15">
        <f>VLOOKUP(MONTH(C516),'Datos Maestros'!M$2:N$14,2,FALSE)</f>
        <v>45505</v>
      </c>
      <c r="S516" s="11" t="str">
        <f>VLOOKUP(E516,Precios!B$2:W$941,3,FALSE)</f>
        <v>Toallitas Húmedas Bebe</v>
      </c>
      <c r="T516" s="16">
        <f>VLOOKUP(E516,Precios!B$2:N$941,4,FALSE)*F516</f>
        <v>0</v>
      </c>
      <c r="U516" s="17"/>
      <c r="V516" s="12">
        <f>VLOOKUP(E516,Precios!B$2:N$941,13,FALSE)*F516</f>
        <v>984.92565238798625</v>
      </c>
      <c r="W516" s="12">
        <f t="shared" si="4"/>
        <v>984.92565238798625</v>
      </c>
      <c r="X516" s="12">
        <f>VLOOKUP(B516,'Datos Maestros'!$C$2:$D$7,2,FALSE)*V516</f>
        <v>0</v>
      </c>
      <c r="Y516" s="18">
        <f t="shared" si="5"/>
        <v>45880</v>
      </c>
      <c r="Z516" s="13" t="s">
        <v>39</v>
      </c>
      <c r="AA516" s="19" t="str">
        <f>VLOOKUP(D516,Clientes!$A$2:$J$486,9,FALSE)</f>
        <v>Familiar</v>
      </c>
      <c r="AB516" s="13" t="str">
        <f>VLOOKUP(D516,Clientes!$A$2:$K$486,11,FALSE)</f>
        <v>Persona Natural</v>
      </c>
      <c r="AC516" s="13" t="str">
        <f>VLOOKUP(D516,Clientes!$A$2:$B$486,2,FALSE)</f>
        <v>Familiar</v>
      </c>
      <c r="AD516" s="20"/>
      <c r="AE516" s="20"/>
      <c r="AF516" s="13" t="s">
        <v>40</v>
      </c>
      <c r="AG516" s="15">
        <f t="shared" si="6"/>
        <v>45505</v>
      </c>
      <c r="AH516" s="13" t="s">
        <v>41</v>
      </c>
      <c r="AI516" s="13" t="str">
        <f t="shared" si="7"/>
        <v>Articulos de Aseo</v>
      </c>
      <c r="AJ516" s="13" t="str">
        <f>VLOOKUP(E516,Precios!Z$2:AA$941,2,FALSE)</f>
        <v>Toallas Humedas Bebé TEDDY 80 unidades</v>
      </c>
      <c r="AK516" s="14">
        <f>VLOOKUP(E516,Precios!Z$2:BB$941,3,FALSE)*F516</f>
        <v>-2</v>
      </c>
      <c r="AL516" s="17"/>
      <c r="AM516" s="17"/>
      <c r="AN516" s="17"/>
      <c r="AO516" s="17"/>
      <c r="AP516" s="17"/>
      <c r="AQ516" s="17"/>
      <c r="AR516" s="17"/>
      <c r="AS516" s="17"/>
      <c r="AT516" s="17"/>
      <c r="AU516" s="17"/>
      <c r="AV516" s="17"/>
    </row>
    <row r="517" spans="1:48" ht="15.75" customHeight="1">
      <c r="A517" s="21" t="s">
        <v>35</v>
      </c>
      <c r="B517" s="23" t="s">
        <v>1692</v>
      </c>
      <c r="C517" s="25">
        <v>45886</v>
      </c>
      <c r="D517" s="23" t="s">
        <v>235</v>
      </c>
      <c r="E517" s="23" t="s">
        <v>117</v>
      </c>
      <c r="F517" s="21">
        <v>1</v>
      </c>
      <c r="G517" s="12">
        <f>VLOOKUP(E517,Precios!B$2:N$941,12,FALSE)</f>
        <v>8999.8271341726922</v>
      </c>
      <c r="H517" s="12">
        <f t="shared" si="0"/>
        <v>8999.8271341726922</v>
      </c>
      <c r="I517" s="23" t="s">
        <v>52</v>
      </c>
      <c r="J517" s="23" t="s">
        <v>61</v>
      </c>
      <c r="K517" s="24" t="s">
        <v>177</v>
      </c>
      <c r="L517" s="24">
        <v>171</v>
      </c>
      <c r="M517" s="12">
        <f t="shared" ref="M517:N517" si="522">G517/1.19</f>
        <v>7562.8799446829353</v>
      </c>
      <c r="N517" s="12">
        <f t="shared" si="522"/>
        <v>7562.8799446829353</v>
      </c>
      <c r="O517" s="12">
        <f t="shared" si="2"/>
        <v>1436.947189489757</v>
      </c>
      <c r="P517" s="13"/>
      <c r="Q517" s="14">
        <f t="shared" si="3"/>
        <v>2025</v>
      </c>
      <c r="R517" s="15">
        <f>VLOOKUP(MONTH(C517),'Datos Maestros'!M$2:N$14,2,FALSE)</f>
        <v>45505</v>
      </c>
      <c r="S517" s="11" t="str">
        <f>VLOOKUP(E517,Precios!B$2:W$941,3,FALSE)</f>
        <v>Queso Mantecoso</v>
      </c>
      <c r="T517" s="16">
        <f>VLOOKUP(E517,Precios!B$2:N$941,4,FALSE)*F517</f>
        <v>750</v>
      </c>
      <c r="U517" s="17"/>
      <c r="V517" s="12">
        <f>VLOOKUP(E517,Precios!B$2:N$941,13,FALSE)*F517</f>
        <v>2312.8799446829353</v>
      </c>
      <c r="W517" s="12">
        <f t="shared" si="4"/>
        <v>2312.8799446829353</v>
      </c>
      <c r="X517" s="12">
        <f>VLOOKUP(B517,'Datos Maestros'!$C$2:$D$7,2,FALSE)*V517</f>
        <v>0</v>
      </c>
      <c r="Y517" s="18">
        <f t="shared" si="5"/>
        <v>45880</v>
      </c>
      <c r="Z517" s="13" t="s">
        <v>39</v>
      </c>
      <c r="AA517" s="19" t="str">
        <f>VLOOKUP(D517,Clientes!$A$2:$J$486,9,FALSE)</f>
        <v>Familiar</v>
      </c>
      <c r="AB517" s="13" t="str">
        <f>VLOOKUP(D517,Clientes!$A$2:$K$486,11,FALSE)</f>
        <v>Persona Natural</v>
      </c>
      <c r="AC517" s="13" t="str">
        <f>VLOOKUP(D517,Clientes!$A$2:$B$486,2,FALSE)</f>
        <v>Familiar</v>
      </c>
      <c r="AD517" s="20"/>
      <c r="AE517" s="20"/>
      <c r="AF517" s="13" t="s">
        <v>40</v>
      </c>
      <c r="AG517" s="15">
        <f t="shared" si="6"/>
        <v>45505</v>
      </c>
      <c r="AH517" s="13" t="s">
        <v>41</v>
      </c>
      <c r="AI517" s="13" t="str">
        <f t="shared" si="7"/>
        <v>Quesos</v>
      </c>
      <c r="AJ517" s="13" t="str">
        <f>VLOOKUP(E517,Precios!Z$2:AA$941,2,FALSE)</f>
        <v>Queso RUNCA Laminado Mantecoso</v>
      </c>
      <c r="AK517" s="14">
        <f>VLOOKUP(E517,Precios!Z$2:BB$941,3,FALSE)*F517</f>
        <v>-0.75</v>
      </c>
      <c r="AL517" s="17"/>
      <c r="AM517" s="17"/>
      <c r="AN517" s="17"/>
      <c r="AO517" s="17"/>
      <c r="AP517" s="17"/>
      <c r="AQ517" s="17"/>
      <c r="AR517" s="17"/>
      <c r="AS517" s="17"/>
      <c r="AT517" s="17"/>
      <c r="AU517" s="17"/>
      <c r="AV517" s="17"/>
    </row>
    <row r="518" spans="1:48" ht="15.75" customHeight="1">
      <c r="A518" s="21" t="s">
        <v>47</v>
      </c>
      <c r="B518" s="23" t="s">
        <v>1692</v>
      </c>
      <c r="C518" s="25">
        <v>45886</v>
      </c>
      <c r="D518" s="23" t="s">
        <v>235</v>
      </c>
      <c r="E518" s="23" t="s">
        <v>306</v>
      </c>
      <c r="F518" s="21">
        <v>1</v>
      </c>
      <c r="G518" s="12">
        <f>VLOOKUP(E518,Precios!B$2:N$941,12,FALSE)</f>
        <v>8000.0000000000009</v>
      </c>
      <c r="H518" s="12">
        <f t="shared" si="0"/>
        <v>8000.0000000000009</v>
      </c>
      <c r="I518" s="23" t="s">
        <v>52</v>
      </c>
      <c r="J518" s="23" t="s">
        <v>61</v>
      </c>
      <c r="K518" s="24" t="s">
        <v>177</v>
      </c>
      <c r="L518" s="24">
        <v>171</v>
      </c>
      <c r="M518" s="12">
        <f t="shared" ref="M518:N518" si="523">G518/1.19</f>
        <v>6722.6890756302528</v>
      </c>
      <c r="N518" s="12">
        <f t="shared" si="523"/>
        <v>6722.6890756302528</v>
      </c>
      <c r="O518" s="12">
        <f t="shared" si="2"/>
        <v>1277.3109243697481</v>
      </c>
      <c r="P518" s="13"/>
      <c r="Q518" s="14">
        <f t="shared" si="3"/>
        <v>2025</v>
      </c>
      <c r="R518" s="15">
        <f>VLOOKUP(MONTH(C518),'Datos Maestros'!M$2:N$14,2,FALSE)</f>
        <v>45505</v>
      </c>
      <c r="S518" s="11" t="str">
        <f>VLOOKUP(E518,Precios!B$2:W$941,3,FALSE)</f>
        <v>Trapero Húmedo</v>
      </c>
      <c r="T518" s="16">
        <f>VLOOKUP(E518,Precios!B$2:N$941,4,FALSE)*F518</f>
        <v>0</v>
      </c>
      <c r="U518" s="17"/>
      <c r="V518" s="12">
        <f>VLOOKUP(E518,Precios!B$2:N$941,13,FALSE)*F518</f>
        <v>1781.5126050420176</v>
      </c>
      <c r="W518" s="12">
        <f t="shared" si="4"/>
        <v>1781.5126050420176</v>
      </c>
      <c r="X518" s="12">
        <f>VLOOKUP(B518,'Datos Maestros'!$C$2:$D$7,2,FALSE)*V518</f>
        <v>0</v>
      </c>
      <c r="Y518" s="18">
        <f t="shared" si="5"/>
        <v>45880</v>
      </c>
      <c r="Z518" s="13" t="s">
        <v>39</v>
      </c>
      <c r="AA518" s="19" t="str">
        <f>VLOOKUP(D518,Clientes!$A$2:$J$486,9,FALSE)</f>
        <v>Familiar</v>
      </c>
      <c r="AB518" s="13" t="str">
        <f>VLOOKUP(D518,Clientes!$A$2:$K$486,11,FALSE)</f>
        <v>Persona Natural</v>
      </c>
      <c r="AC518" s="13" t="str">
        <f>VLOOKUP(D518,Clientes!$A$2:$B$486,2,FALSE)</f>
        <v>Familiar</v>
      </c>
      <c r="AD518" s="20"/>
      <c r="AE518" s="20"/>
      <c r="AF518" s="13" t="s">
        <v>40</v>
      </c>
      <c r="AG518" s="15">
        <f t="shared" si="6"/>
        <v>45505</v>
      </c>
      <c r="AH518" s="13" t="s">
        <v>41</v>
      </c>
      <c r="AI518" s="13" t="str">
        <f t="shared" si="7"/>
        <v>Articulos de Aseo</v>
      </c>
      <c r="AJ518" s="13" t="str">
        <f>VLOOKUP(E518,Precios!Z$2:AA$941,2,FALSE)</f>
        <v>Traperos Humedos VIRGINIA</v>
      </c>
      <c r="AK518" s="14">
        <f>VLOOKUP(E518,Precios!Z$2:BB$941,3,FALSE)*F518</f>
        <v>-3</v>
      </c>
      <c r="AL518" s="17"/>
      <c r="AM518" s="17"/>
      <c r="AN518" s="17"/>
      <c r="AO518" s="17"/>
      <c r="AP518" s="17"/>
      <c r="AQ518" s="17"/>
      <c r="AR518" s="17"/>
      <c r="AS518" s="17"/>
      <c r="AT518" s="17"/>
      <c r="AU518" s="17"/>
      <c r="AV518" s="17"/>
    </row>
    <row r="519" spans="1:48" ht="15.75" customHeight="1">
      <c r="A519" s="21" t="s">
        <v>47</v>
      </c>
      <c r="B519" s="23" t="s">
        <v>1692</v>
      </c>
      <c r="C519" s="25">
        <v>45886</v>
      </c>
      <c r="D519" s="23" t="s">
        <v>235</v>
      </c>
      <c r="E519" s="23" t="s">
        <v>205</v>
      </c>
      <c r="F519" s="21">
        <v>1</v>
      </c>
      <c r="G519" s="12">
        <f>VLOOKUP(E519,Precios!B$2:N$941,12,FALSE)</f>
        <v>1100.0468055230517</v>
      </c>
      <c r="H519" s="12">
        <f t="shared" si="0"/>
        <v>1100.0468055230517</v>
      </c>
      <c r="I519" s="23" t="s">
        <v>52</v>
      </c>
      <c r="J519" s="23" t="s">
        <v>61</v>
      </c>
      <c r="K519" s="24" t="s">
        <v>177</v>
      </c>
      <c r="L519" s="24">
        <v>171</v>
      </c>
      <c r="M519" s="12">
        <f t="shared" ref="M519:N519" si="524">G519/1.19</f>
        <v>924.40908027147202</v>
      </c>
      <c r="N519" s="12">
        <f t="shared" si="524"/>
        <v>924.40908027147202</v>
      </c>
      <c r="O519" s="12">
        <f t="shared" si="2"/>
        <v>175.6377252515797</v>
      </c>
      <c r="P519" s="13"/>
      <c r="Q519" s="14">
        <f t="shared" si="3"/>
        <v>2025</v>
      </c>
      <c r="R519" s="15">
        <f>VLOOKUP(MONTH(C519),'Datos Maestros'!M$2:N$14,2,FALSE)</f>
        <v>45505</v>
      </c>
      <c r="S519" s="11" t="str">
        <f>VLOOKUP(E519,Precios!B$2:W$941,3,FALSE)</f>
        <v>Paños MultiUso</v>
      </c>
      <c r="T519" s="16">
        <f>VLOOKUP(E519,Precios!B$2:N$941,4,FALSE)*F519</f>
        <v>0</v>
      </c>
      <c r="U519" s="17"/>
      <c r="V519" s="12">
        <f>VLOOKUP(E519,Precios!B$2:N$941,13,FALSE)*F519</f>
        <v>529.40908027147202</v>
      </c>
      <c r="W519" s="12">
        <f t="shared" si="4"/>
        <v>529.40908027147202</v>
      </c>
      <c r="X519" s="12">
        <f>VLOOKUP(B519,'Datos Maestros'!$C$2:$D$7,2,FALSE)*V519</f>
        <v>0</v>
      </c>
      <c r="Y519" s="18">
        <f t="shared" si="5"/>
        <v>45880</v>
      </c>
      <c r="Z519" s="13" t="s">
        <v>39</v>
      </c>
      <c r="AA519" s="19" t="str">
        <f>VLOOKUP(D519,Clientes!$A$2:$J$486,9,FALSE)</f>
        <v>Familiar</v>
      </c>
      <c r="AB519" s="13" t="str">
        <f>VLOOKUP(D519,Clientes!$A$2:$K$486,11,FALSE)</f>
        <v>Persona Natural</v>
      </c>
      <c r="AC519" s="13" t="str">
        <f>VLOOKUP(D519,Clientes!$A$2:$B$486,2,FALSE)</f>
        <v>Familiar</v>
      </c>
      <c r="AD519" s="20"/>
      <c r="AE519" s="20"/>
      <c r="AF519" s="13" t="s">
        <v>40</v>
      </c>
      <c r="AG519" s="15">
        <f t="shared" si="6"/>
        <v>45505</v>
      </c>
      <c r="AH519" s="13" t="s">
        <v>41</v>
      </c>
      <c r="AI519" s="13" t="str">
        <f t="shared" si="7"/>
        <v>Articulos de Aseo</v>
      </c>
      <c r="AJ519" s="13" t="str">
        <f>VLOOKUP(E519,Precios!Z$2:AA$941,2,FALSE)</f>
        <v>Paño Multiuso</v>
      </c>
      <c r="AK519" s="14">
        <f>VLOOKUP(E519,Precios!Z$2:BB$941,3,FALSE)*F519</f>
        <v>-1</v>
      </c>
      <c r="AL519" s="17"/>
      <c r="AM519" s="17"/>
      <c r="AN519" s="17"/>
      <c r="AO519" s="17"/>
      <c r="AP519" s="17"/>
      <c r="AQ519" s="17"/>
      <c r="AR519" s="17"/>
      <c r="AS519" s="17"/>
      <c r="AT519" s="17"/>
      <c r="AU519" s="17"/>
      <c r="AV519" s="17"/>
    </row>
    <row r="520" spans="1:48" ht="15.75" customHeight="1">
      <c r="A520" s="21" t="s">
        <v>53</v>
      </c>
      <c r="B520" s="23" t="s">
        <v>1692</v>
      </c>
      <c r="C520" s="25">
        <v>45886</v>
      </c>
      <c r="D520" s="23" t="s">
        <v>307</v>
      </c>
      <c r="E520" s="23" t="s">
        <v>192</v>
      </c>
      <c r="F520" s="14">
        <v>1</v>
      </c>
      <c r="G520" s="12">
        <f>VLOOKUP(E520,Precios!B$2:N$941,12,FALSE)</f>
        <v>16000</v>
      </c>
      <c r="H520" s="12">
        <f t="shared" si="0"/>
        <v>16000</v>
      </c>
      <c r="I520" s="23" t="s">
        <v>52</v>
      </c>
      <c r="J520" s="23" t="s">
        <v>61</v>
      </c>
      <c r="K520" s="24" t="s">
        <v>86</v>
      </c>
      <c r="L520" s="24">
        <v>105</v>
      </c>
      <c r="M520" s="12">
        <f t="shared" ref="M520:N520" si="525">G520/1.19</f>
        <v>13445.378151260506</v>
      </c>
      <c r="N520" s="12">
        <f t="shared" si="525"/>
        <v>13445.378151260506</v>
      </c>
      <c r="O520" s="12">
        <f t="shared" si="2"/>
        <v>2554.6218487394945</v>
      </c>
      <c r="P520" s="13"/>
      <c r="Q520" s="14">
        <f t="shared" si="3"/>
        <v>2025</v>
      </c>
      <c r="R520" s="15">
        <f>VLOOKUP(MONTH(C520),'Datos Maestros'!M$2:N$14,2,FALSE)</f>
        <v>45505</v>
      </c>
      <c r="S520" s="11" t="str">
        <f>VLOOKUP(E520,Precios!B$2:W$941,3,FALSE)</f>
        <v>Papel Higiénico SWAN</v>
      </c>
      <c r="T520" s="16">
        <f>VLOOKUP(E520,Precios!B$2:N$941,4,FALSE)*F520</f>
        <v>0</v>
      </c>
      <c r="U520" s="17"/>
      <c r="V520" s="12">
        <f>VLOOKUP(E520,Precios!B$2:N$941,13,FALSE)*F520</f>
        <v>5125.3781512605037</v>
      </c>
      <c r="W520" s="12">
        <f t="shared" si="4"/>
        <v>5125.3781512605037</v>
      </c>
      <c r="X520" s="12">
        <f>VLOOKUP(B520,'Datos Maestros'!$C$2:$D$7,2,FALSE)*V520</f>
        <v>0</v>
      </c>
      <c r="Y520" s="18">
        <f t="shared" si="5"/>
        <v>45880</v>
      </c>
      <c r="Z520" s="13" t="s">
        <v>39</v>
      </c>
      <c r="AA520" s="19" t="str">
        <f>VLOOKUP(D520,Clientes!$A$2:$J$486,9,FALSE)</f>
        <v>regular</v>
      </c>
      <c r="AB520" s="13" t="str">
        <f>VLOOKUP(D520,Clientes!$A$2:$K$486,11,FALSE)</f>
        <v>Empresa</v>
      </c>
      <c r="AC520" s="13" t="str">
        <f>VLOOKUP(D520,Clientes!$A$2:$B$486,2,FALSE)</f>
        <v>Jardines de la viña</v>
      </c>
      <c r="AD520" s="20"/>
      <c r="AE520" s="20"/>
      <c r="AF520" s="13" t="s">
        <v>40</v>
      </c>
      <c r="AG520" s="15">
        <f t="shared" si="6"/>
        <v>45505</v>
      </c>
      <c r="AH520" s="13" t="s">
        <v>41</v>
      </c>
      <c r="AI520" s="13" t="str">
        <f t="shared" si="7"/>
        <v>Papeleria</v>
      </c>
      <c r="AJ520" s="13" t="str">
        <f>VLOOKUP(E520,Precios!Z$2:AA$941,2,FALSE)</f>
        <v>Papel Higienico SWAN 400 hojas</v>
      </c>
      <c r="AK520" s="14">
        <f>VLOOKUP(E520,Precios!Z$2:BB$941,3,FALSE)*F520</f>
        <v>-8</v>
      </c>
      <c r="AL520" s="17"/>
      <c r="AM520" s="17"/>
      <c r="AN520" s="17"/>
      <c r="AO520" s="17"/>
      <c r="AP520" s="17"/>
      <c r="AQ520" s="17"/>
      <c r="AR520" s="17"/>
      <c r="AS520" s="17"/>
      <c r="AT520" s="17"/>
      <c r="AU520" s="17"/>
      <c r="AV520" s="17"/>
    </row>
    <row r="521" spans="1:48" ht="15.75" customHeight="1">
      <c r="A521" s="21" t="s">
        <v>76</v>
      </c>
      <c r="B521" s="23" t="s">
        <v>1692</v>
      </c>
      <c r="C521" s="25">
        <v>45886</v>
      </c>
      <c r="D521" s="23" t="s">
        <v>307</v>
      </c>
      <c r="E521" s="23" t="s">
        <v>110</v>
      </c>
      <c r="F521" s="14">
        <v>1</v>
      </c>
      <c r="G521" s="12">
        <f>VLOOKUP(E521,Precios!B$2:N$941,12,FALSE)</f>
        <v>2000.0000000000005</v>
      </c>
      <c r="H521" s="12">
        <f t="shared" si="0"/>
        <v>2000.0000000000005</v>
      </c>
      <c r="I521" s="23" t="s">
        <v>52</v>
      </c>
      <c r="J521" s="23" t="s">
        <v>61</v>
      </c>
      <c r="K521" s="24" t="s">
        <v>86</v>
      </c>
      <c r="L521" s="24">
        <v>105</v>
      </c>
      <c r="M521" s="12">
        <f t="shared" ref="M521:N521" si="526">G521/1.19</f>
        <v>1680.6722689075634</v>
      </c>
      <c r="N521" s="12">
        <f t="shared" si="526"/>
        <v>1680.6722689075634</v>
      </c>
      <c r="O521" s="12">
        <f t="shared" si="2"/>
        <v>319.32773109243703</v>
      </c>
      <c r="P521" s="13"/>
      <c r="Q521" s="14">
        <f t="shared" si="3"/>
        <v>2025</v>
      </c>
      <c r="R521" s="15">
        <f>VLOOKUP(MONTH(C521),'Datos Maestros'!M$2:N$14,2,FALSE)</f>
        <v>45505</v>
      </c>
      <c r="S521" s="11" t="str">
        <f>VLOOKUP(E521,Precios!B$2:W$941,3,FALSE)</f>
        <v>Cloro</v>
      </c>
      <c r="T521" s="16">
        <f>VLOOKUP(E521,Precios!B$2:N$941,4,FALSE)*F521</f>
        <v>5</v>
      </c>
      <c r="U521" s="17"/>
      <c r="V521" s="12">
        <f>VLOOKUP(E521,Precios!B$2:N$941,13,FALSE)*F521</f>
        <v>756.30252100840369</v>
      </c>
      <c r="W521" s="12">
        <f t="shared" si="4"/>
        <v>756.30252100840369</v>
      </c>
      <c r="X521" s="12">
        <f>VLOOKUP(B521,'Datos Maestros'!$C$2:$D$7,2,FALSE)*V521</f>
        <v>0</v>
      </c>
      <c r="Y521" s="18">
        <f t="shared" si="5"/>
        <v>45880</v>
      </c>
      <c r="Z521" s="13" t="s">
        <v>39</v>
      </c>
      <c r="AA521" s="19" t="str">
        <f>VLOOKUP(D521,Clientes!$A$2:$J$486,9,FALSE)</f>
        <v>regular</v>
      </c>
      <c r="AB521" s="13" t="str">
        <f>VLOOKUP(D521,Clientes!$A$2:$K$486,11,FALSE)</f>
        <v>Empresa</v>
      </c>
      <c r="AC521" s="13" t="str">
        <f>VLOOKUP(D521,Clientes!$A$2:$B$486,2,FALSE)</f>
        <v>Jardines de la viña</v>
      </c>
      <c r="AD521" s="20"/>
      <c r="AE521" s="20"/>
      <c r="AF521" s="13" t="s">
        <v>40</v>
      </c>
      <c r="AG521" s="15">
        <f t="shared" si="6"/>
        <v>45505</v>
      </c>
      <c r="AH521" s="13" t="s">
        <v>41</v>
      </c>
      <c r="AI521" s="13" t="str">
        <f t="shared" si="7"/>
        <v>Detergentes</v>
      </c>
      <c r="AJ521" s="13" t="str">
        <f>VLOOKUP(E521,Precios!Z$2:AA$941,2,FALSE)</f>
        <v>Cloro SPUM 5 Litros</v>
      </c>
      <c r="AK521" s="14">
        <f>VLOOKUP(E521,Precios!Z$2:BB$941,3,FALSE)*F521</f>
        <v>-1</v>
      </c>
      <c r="AL521" s="17"/>
      <c r="AM521" s="17"/>
      <c r="AN521" s="17"/>
      <c r="AO521" s="17"/>
      <c r="AP521" s="17"/>
      <c r="AQ521" s="17"/>
      <c r="AR521" s="17"/>
      <c r="AS521" s="17"/>
      <c r="AT521" s="17"/>
      <c r="AU521" s="17"/>
      <c r="AV521" s="17"/>
    </row>
    <row r="522" spans="1:48" ht="15.75" customHeight="1">
      <c r="A522" s="21" t="s">
        <v>43</v>
      </c>
      <c r="B522" s="23" t="s">
        <v>1692</v>
      </c>
      <c r="C522" s="25">
        <v>45886</v>
      </c>
      <c r="D522" s="23" t="s">
        <v>115</v>
      </c>
      <c r="E522" s="23" t="s">
        <v>45</v>
      </c>
      <c r="F522" s="14">
        <v>1</v>
      </c>
      <c r="G522" s="12">
        <f>VLOOKUP(E522,Precios!B$2:N$941,12,FALSE)</f>
        <v>8000.1831784723063</v>
      </c>
      <c r="H522" s="12">
        <f t="shared" si="0"/>
        <v>8000.1831784723063</v>
      </c>
      <c r="I522" s="23" t="s">
        <v>52</v>
      </c>
      <c r="J522" s="23" t="s">
        <v>61</v>
      </c>
      <c r="K522" s="24" t="s">
        <v>177</v>
      </c>
      <c r="L522" s="24">
        <v>171</v>
      </c>
      <c r="M522" s="12">
        <f t="shared" ref="M522:N522" si="527">G522/1.19</f>
        <v>6722.8430071195853</v>
      </c>
      <c r="N522" s="12">
        <f t="shared" si="527"/>
        <v>6722.8430071195853</v>
      </c>
      <c r="O522" s="12">
        <f t="shared" si="2"/>
        <v>1277.340171352721</v>
      </c>
      <c r="P522" s="13"/>
      <c r="Q522" s="14">
        <f t="shared" si="3"/>
        <v>2025</v>
      </c>
      <c r="R522" s="15">
        <f>VLOOKUP(MONTH(C522),'Datos Maestros'!M$2:N$14,2,FALSE)</f>
        <v>45505</v>
      </c>
      <c r="S522" s="11" t="str">
        <f>VLOOKUP(E522,Precios!B$2:W$941,3,FALSE)</f>
        <v>Huevos EXTRA</v>
      </c>
      <c r="T522" s="16">
        <f>VLOOKUP(E522,Precios!B$2:N$941,4,FALSE)*F522</f>
        <v>0</v>
      </c>
      <c r="U522" s="17"/>
      <c r="V522" s="12">
        <f>VLOOKUP(E522,Precios!B$2:N$941,13,FALSE)*F522</f>
        <v>1151.6230071195851</v>
      </c>
      <c r="W522" s="12">
        <f t="shared" si="4"/>
        <v>1151.6230071195851</v>
      </c>
      <c r="X522" s="12">
        <f>VLOOKUP(B522,'Datos Maestros'!$C$2:$D$7,2,FALSE)*V522</f>
        <v>0</v>
      </c>
      <c r="Y522" s="18">
        <f t="shared" si="5"/>
        <v>45880</v>
      </c>
      <c r="Z522" s="13" t="s">
        <v>39</v>
      </c>
      <c r="AA522" s="19" t="str">
        <f>VLOOKUP(D522,Clientes!$A$2:$J$486,9,FALSE)</f>
        <v>Ocacional</v>
      </c>
      <c r="AB522" s="13" t="str">
        <f>VLOOKUP(D522,Clientes!$A$2:$K$486,11,FALSE)</f>
        <v>Persona Natural</v>
      </c>
      <c r="AC522" s="13" t="str">
        <f>VLOOKUP(D522,Clientes!$A$2:$B$486,2,FALSE)</f>
        <v>Jardines de la viña</v>
      </c>
      <c r="AD522" s="20"/>
      <c r="AE522" s="20"/>
      <c r="AF522" s="13" t="s">
        <v>40</v>
      </c>
      <c r="AG522" s="15">
        <f t="shared" si="6"/>
        <v>45505</v>
      </c>
      <c r="AH522" s="13" t="s">
        <v>41</v>
      </c>
      <c r="AI522" s="13" t="str">
        <f t="shared" si="7"/>
        <v>Huevos</v>
      </c>
      <c r="AJ522" s="13" t="str">
        <f>VLOOKUP(E522,Precios!Z$2:AA$941,2,FALSE)</f>
        <v>Bandeja Huevos EXTRA</v>
      </c>
      <c r="AK522" s="14">
        <f>VLOOKUP(E522,Precios!Z$2:BB$941,3,FALSE)*F522</f>
        <v>-1</v>
      </c>
      <c r="AL522" s="17"/>
      <c r="AM522" s="17"/>
      <c r="AN522" s="17"/>
      <c r="AO522" s="17"/>
      <c r="AP522" s="17"/>
      <c r="AQ522" s="17"/>
      <c r="AR522" s="17"/>
      <c r="AS522" s="17"/>
      <c r="AT522" s="17"/>
      <c r="AU522" s="17"/>
      <c r="AV522" s="17"/>
    </row>
    <row r="523" spans="1:48" ht="15.75" customHeight="1">
      <c r="A523" s="21" t="s">
        <v>43</v>
      </c>
      <c r="B523" s="23" t="s">
        <v>1692</v>
      </c>
      <c r="C523" s="25">
        <v>45886</v>
      </c>
      <c r="D523" s="23" t="s">
        <v>66</v>
      </c>
      <c r="E523" s="23" t="s">
        <v>45</v>
      </c>
      <c r="F523" s="14">
        <v>1</v>
      </c>
      <c r="G523" s="12">
        <f>VLOOKUP(E523,Precios!B$2:N$941,12,FALSE)</f>
        <v>8000.1831784723063</v>
      </c>
      <c r="H523" s="12">
        <f t="shared" si="0"/>
        <v>8000.1831784723063</v>
      </c>
      <c r="I523" s="23" t="s">
        <v>52</v>
      </c>
      <c r="J523" s="23" t="s">
        <v>61</v>
      </c>
      <c r="K523" s="24" t="s">
        <v>177</v>
      </c>
      <c r="L523" s="24">
        <v>171</v>
      </c>
      <c r="M523" s="12">
        <f t="shared" ref="M523:N523" si="528">G523/1.19</f>
        <v>6722.8430071195853</v>
      </c>
      <c r="N523" s="12">
        <f t="shared" si="528"/>
        <v>6722.8430071195853</v>
      </c>
      <c r="O523" s="12">
        <f t="shared" si="2"/>
        <v>1277.340171352721</v>
      </c>
      <c r="P523" s="13"/>
      <c r="Q523" s="14">
        <f t="shared" si="3"/>
        <v>2025</v>
      </c>
      <c r="R523" s="15">
        <f>VLOOKUP(MONTH(C523),'Datos Maestros'!M$2:N$14,2,FALSE)</f>
        <v>45505</v>
      </c>
      <c r="S523" s="11" t="str">
        <f>VLOOKUP(E523,Precios!B$2:W$941,3,FALSE)</f>
        <v>Huevos EXTRA</v>
      </c>
      <c r="T523" s="16">
        <f>VLOOKUP(E523,Precios!B$2:N$941,4,FALSE)*F523</f>
        <v>0</v>
      </c>
      <c r="U523" s="17"/>
      <c r="V523" s="12">
        <f>VLOOKUP(E523,Precios!B$2:N$941,13,FALSE)*F523</f>
        <v>1151.6230071195851</v>
      </c>
      <c r="W523" s="12">
        <f t="shared" si="4"/>
        <v>1151.6230071195851</v>
      </c>
      <c r="X523" s="12">
        <f>VLOOKUP(B523,'Datos Maestros'!$C$2:$D$7,2,FALSE)*V523</f>
        <v>0</v>
      </c>
      <c r="Y523" s="18">
        <f t="shared" si="5"/>
        <v>45880</v>
      </c>
      <c r="Z523" s="13" t="s">
        <v>39</v>
      </c>
      <c r="AA523" s="19" t="str">
        <f>VLOOKUP(D523,Clientes!$A$2:$J$486,9,FALSE)</f>
        <v>Ocacional</v>
      </c>
      <c r="AB523" s="13" t="str">
        <f>VLOOKUP(D523,Clientes!$A$2:$K$486,11,FALSE)</f>
        <v>Persona Natural</v>
      </c>
      <c r="AC523" s="13" t="str">
        <f>VLOOKUP(D523,Clientes!$A$2:$B$486,2,FALSE)</f>
        <v>Jardin Alto</v>
      </c>
      <c r="AD523" s="20"/>
      <c r="AE523" s="20"/>
      <c r="AF523" s="13" t="s">
        <v>40</v>
      </c>
      <c r="AG523" s="15">
        <f t="shared" si="6"/>
        <v>45505</v>
      </c>
      <c r="AH523" s="13" t="s">
        <v>41</v>
      </c>
      <c r="AI523" s="13" t="str">
        <f t="shared" si="7"/>
        <v>Huevos</v>
      </c>
      <c r="AJ523" s="13" t="str">
        <f>VLOOKUP(E523,Precios!Z$2:AA$941,2,FALSE)</f>
        <v>Bandeja Huevos EXTRA</v>
      </c>
      <c r="AK523" s="14">
        <f>VLOOKUP(E523,Precios!Z$2:BB$941,3,FALSE)*F523</f>
        <v>-1</v>
      </c>
      <c r="AL523" s="17"/>
      <c r="AM523" s="17"/>
      <c r="AN523" s="17"/>
      <c r="AO523" s="17"/>
      <c r="AP523" s="17"/>
      <c r="AQ523" s="17"/>
      <c r="AR523" s="17"/>
      <c r="AS523" s="17"/>
      <c r="AT523" s="17"/>
      <c r="AU523" s="17"/>
      <c r="AV523" s="17"/>
    </row>
    <row r="524" spans="1:48" ht="15.75" customHeight="1">
      <c r="A524" s="21" t="s">
        <v>56</v>
      </c>
      <c r="B524" s="23" t="s">
        <v>1692</v>
      </c>
      <c r="C524" s="22">
        <v>45886</v>
      </c>
      <c r="D524" s="23" t="s">
        <v>308</v>
      </c>
      <c r="E524" s="23" t="s">
        <v>60</v>
      </c>
      <c r="F524" s="21">
        <v>1</v>
      </c>
      <c r="G524" s="12">
        <f>VLOOKUP(E524,Precios!B$2:N$941,12,FALSE)</f>
        <v>7000.0000000000018</v>
      </c>
      <c r="H524" s="12">
        <f t="shared" si="0"/>
        <v>7000.0000000000018</v>
      </c>
      <c r="I524" s="23" t="s">
        <v>52</v>
      </c>
      <c r="J524" s="23" t="s">
        <v>61</v>
      </c>
      <c r="K524" s="24" t="s">
        <v>177</v>
      </c>
      <c r="L524" s="24">
        <v>171</v>
      </c>
      <c r="M524" s="12">
        <f t="shared" ref="M524:N524" si="529">G524/1.19</f>
        <v>5882.3529411764721</v>
      </c>
      <c r="N524" s="12">
        <f t="shared" si="529"/>
        <v>5882.3529411764721</v>
      </c>
      <c r="O524" s="12">
        <f t="shared" si="2"/>
        <v>1117.6470588235297</v>
      </c>
      <c r="P524" s="13"/>
      <c r="Q524" s="14">
        <f t="shared" si="3"/>
        <v>2025</v>
      </c>
      <c r="R524" s="15">
        <f>VLOOKUP(MONTH(C524),'Datos Maestros'!M$2:N$14,2,FALSE)</f>
        <v>45505</v>
      </c>
      <c r="S524" s="11" t="str">
        <f>VLOOKUP(E524,Precios!B$2:W$941,3,FALSE)</f>
        <v xml:space="preserve">Queso Rueda Sabores </v>
      </c>
      <c r="T524" s="16">
        <f>VLOOKUP(E524,Precios!B$2:N$941,4,FALSE)*F524</f>
        <v>200</v>
      </c>
      <c r="U524" s="17"/>
      <c r="V524" s="12">
        <f>VLOOKUP(E524,Precios!B$2:N$941,13,FALSE)*F524</f>
        <v>2080.6722689075641</v>
      </c>
      <c r="W524" s="12">
        <f t="shared" si="4"/>
        <v>2080.6722689075641</v>
      </c>
      <c r="X524" s="12">
        <f>VLOOKUP(B524,'Datos Maestros'!$C$2:$D$7,2,FALSE)*V524</f>
        <v>0</v>
      </c>
      <c r="Y524" s="18">
        <f t="shared" si="5"/>
        <v>45880</v>
      </c>
      <c r="Z524" s="13" t="s">
        <v>39</v>
      </c>
      <c r="AA524" s="19" t="str">
        <f>VLOOKUP(D524,Clientes!$A$2:$J$486,9,FALSE)</f>
        <v>Ocacional</v>
      </c>
      <c r="AB524" s="13" t="str">
        <f>VLOOKUP(D524,Clientes!$A$2:$K$486,11,FALSE)</f>
        <v>Persona Natural</v>
      </c>
      <c r="AC524" s="13" t="str">
        <f>VLOOKUP(D524,Clientes!$A$2:$B$486,2,FALSE)</f>
        <v>Paicavi</v>
      </c>
      <c r="AD524" s="20"/>
      <c r="AE524" s="20"/>
      <c r="AF524" s="13" t="s">
        <v>40</v>
      </c>
      <c r="AG524" s="15">
        <f t="shared" si="6"/>
        <v>45505</v>
      </c>
      <c r="AH524" s="13" t="s">
        <v>41</v>
      </c>
      <c r="AI524" s="13" t="str">
        <f t="shared" si="7"/>
        <v>Derivados</v>
      </c>
      <c r="AJ524" s="13" t="str">
        <f>VLOOKUP(E524,Precios!Z$2:AA$941,2,FALSE)</f>
        <v>Queso Sabores</v>
      </c>
      <c r="AK524" s="14">
        <f>VLOOKUP(E524,Precios!Z$2:BB$941,3,FALSE)*F524</f>
        <v>-2</v>
      </c>
      <c r="AL524" s="17"/>
      <c r="AM524" s="17"/>
      <c r="AN524" s="17"/>
      <c r="AO524" s="17"/>
      <c r="AP524" s="17"/>
      <c r="AQ524" s="17"/>
      <c r="AR524" s="17"/>
      <c r="AS524" s="17"/>
      <c r="AT524" s="17"/>
      <c r="AU524" s="17"/>
      <c r="AV524" s="17"/>
    </row>
    <row r="525" spans="1:48" ht="15.75" customHeight="1">
      <c r="A525" s="21" t="s">
        <v>56</v>
      </c>
      <c r="B525" s="23" t="s">
        <v>1692</v>
      </c>
      <c r="C525" s="22">
        <v>45886</v>
      </c>
      <c r="D525" s="23" t="s">
        <v>308</v>
      </c>
      <c r="E525" s="23" t="s">
        <v>62</v>
      </c>
      <c r="F525" s="21">
        <v>1</v>
      </c>
      <c r="G525" s="12">
        <f>VLOOKUP(E525,Precios!B$2:N$941,12,FALSE)</f>
        <v>3700</v>
      </c>
      <c r="H525" s="12">
        <f t="shared" si="0"/>
        <v>3700</v>
      </c>
      <c r="I525" s="23" t="s">
        <v>52</v>
      </c>
      <c r="J525" s="23" t="s">
        <v>61</v>
      </c>
      <c r="K525" s="24" t="s">
        <v>177</v>
      </c>
      <c r="L525" s="24">
        <v>171</v>
      </c>
      <c r="M525" s="12">
        <f t="shared" ref="M525:N525" si="530">G525/1.19</f>
        <v>3109.2436974789916</v>
      </c>
      <c r="N525" s="12">
        <f t="shared" si="530"/>
        <v>3109.2436974789916</v>
      </c>
      <c r="O525" s="12">
        <f t="shared" si="2"/>
        <v>590.75630252100837</v>
      </c>
      <c r="P525" s="13"/>
      <c r="Q525" s="14">
        <f t="shared" si="3"/>
        <v>2025</v>
      </c>
      <c r="R525" s="15">
        <f>VLOOKUP(MONTH(C525),'Datos Maestros'!M$2:N$14,2,FALSE)</f>
        <v>45505</v>
      </c>
      <c r="S525" s="11" t="str">
        <f>VLOOKUP(E525,Precios!B$2:W$941,3,FALSE)</f>
        <v xml:space="preserve">Queso Rueda Sabores </v>
      </c>
      <c r="T525" s="16">
        <f>VLOOKUP(E525,Precios!B$2:N$941,4,FALSE)*F525</f>
        <v>200</v>
      </c>
      <c r="U525" s="17"/>
      <c r="V525" s="12">
        <f>VLOOKUP(E525,Precios!B$2:N$941,13,FALSE)*F525</f>
        <v>1199.159663865546</v>
      </c>
      <c r="W525" s="12">
        <f t="shared" si="4"/>
        <v>1199.159663865546</v>
      </c>
      <c r="X525" s="12">
        <f>VLOOKUP(B525,'Datos Maestros'!$C$2:$D$7,2,FALSE)*V525</f>
        <v>0</v>
      </c>
      <c r="Y525" s="18">
        <f t="shared" si="5"/>
        <v>45880</v>
      </c>
      <c r="Z525" s="13" t="s">
        <v>39</v>
      </c>
      <c r="AA525" s="19" t="str">
        <f>VLOOKUP(D525,Clientes!$A$2:$J$486,9,FALSE)</f>
        <v>Ocacional</v>
      </c>
      <c r="AB525" s="13" t="str">
        <f>VLOOKUP(D525,Clientes!$A$2:$K$486,11,FALSE)</f>
        <v>Persona Natural</v>
      </c>
      <c r="AC525" s="13" t="str">
        <f>VLOOKUP(D525,Clientes!$A$2:$B$486,2,FALSE)</f>
        <v>Paicavi</v>
      </c>
      <c r="AD525" s="20"/>
      <c r="AE525" s="20"/>
      <c r="AF525" s="13" t="s">
        <v>40</v>
      </c>
      <c r="AG525" s="15">
        <f t="shared" si="6"/>
        <v>45505</v>
      </c>
      <c r="AH525" s="13" t="s">
        <v>41</v>
      </c>
      <c r="AI525" s="13" t="str">
        <f t="shared" si="7"/>
        <v>Derivados</v>
      </c>
      <c r="AJ525" s="13" t="str">
        <f>VLOOKUP(E525,Precios!Z$2:AA$941,2,FALSE)</f>
        <v>Queso Sabores</v>
      </c>
      <c r="AK525" s="14">
        <f>VLOOKUP(E525,Precios!Z$2:BB$941,3,FALSE)*F525</f>
        <v>-1</v>
      </c>
      <c r="AL525" s="17"/>
      <c r="AM525" s="17"/>
      <c r="AN525" s="17"/>
      <c r="AO525" s="17"/>
      <c r="AP525" s="17"/>
      <c r="AQ525" s="17"/>
      <c r="AR525" s="17"/>
      <c r="AS525" s="17"/>
      <c r="AT525" s="17"/>
      <c r="AU525" s="17"/>
      <c r="AV525" s="17"/>
    </row>
    <row r="526" spans="1:48" ht="15.75" customHeight="1">
      <c r="A526" s="21" t="s">
        <v>53</v>
      </c>
      <c r="B526" s="23" t="s">
        <v>1692</v>
      </c>
      <c r="C526" s="22">
        <v>45886</v>
      </c>
      <c r="D526" s="23" t="s">
        <v>309</v>
      </c>
      <c r="E526" s="23" t="s">
        <v>221</v>
      </c>
      <c r="F526" s="21">
        <v>2</v>
      </c>
      <c r="G526" s="12">
        <f>VLOOKUP(E526,Precios!B$2:N$941,12,FALSE)</f>
        <v>19499.976369393637</v>
      </c>
      <c r="H526" s="12">
        <f t="shared" si="0"/>
        <v>38999.952738787273</v>
      </c>
      <c r="I526" s="23" t="s">
        <v>52</v>
      </c>
      <c r="J526" s="23" t="s">
        <v>61</v>
      </c>
      <c r="K526" s="24" t="s">
        <v>177</v>
      </c>
      <c r="L526" s="24">
        <v>171</v>
      </c>
      <c r="M526" s="12">
        <f t="shared" ref="M526:N526" si="531">G526/1.19</f>
        <v>16386.534764196334</v>
      </c>
      <c r="N526" s="12">
        <f t="shared" si="531"/>
        <v>32773.069528392669</v>
      </c>
      <c r="O526" s="12">
        <f t="shared" si="2"/>
        <v>6226.8832103946042</v>
      </c>
      <c r="P526" s="13"/>
      <c r="Q526" s="14">
        <f t="shared" si="3"/>
        <v>2025</v>
      </c>
      <c r="R526" s="15">
        <f>VLOOKUP(MONTH(C526),'Datos Maestros'!M$2:N$14,2,FALSE)</f>
        <v>45505</v>
      </c>
      <c r="S526" s="11" t="str">
        <f>VLOOKUP(E526,Precios!B$2:W$941,3,FALSE)</f>
        <v>Papel Higiénico SWAN</v>
      </c>
      <c r="T526" s="16">
        <f>VLOOKUP(E526,Precios!B$2:N$941,4,FALSE)*F526</f>
        <v>0</v>
      </c>
      <c r="U526" s="17"/>
      <c r="V526" s="12">
        <f>VLOOKUP(E526,Precios!B$2:N$941,13,FALSE)*F526</f>
        <v>11969.708183854851</v>
      </c>
      <c r="W526" s="12">
        <f t="shared" si="4"/>
        <v>11969.708183854851</v>
      </c>
      <c r="X526" s="12">
        <f>VLOOKUP(B526,'Datos Maestros'!$C$2:$D$7,2,FALSE)*V526</f>
        <v>0</v>
      </c>
      <c r="Y526" s="18">
        <f t="shared" si="5"/>
        <v>45880</v>
      </c>
      <c r="Z526" s="13" t="s">
        <v>39</v>
      </c>
      <c r="AA526" s="19" t="str">
        <f>VLOOKUP(D526,Clientes!$A$2:$J$486,9,FALSE)</f>
        <v>Ocacional</v>
      </c>
      <c r="AB526" s="13" t="str">
        <f>VLOOKUP(D526,Clientes!$A$2:$K$486,11,FALSE)</f>
        <v>Persona Natural</v>
      </c>
      <c r="AC526" s="13" t="str">
        <f>VLOOKUP(D526,Clientes!$A$2:$B$486,2,FALSE)</f>
        <v>Jardines de la Viña</v>
      </c>
      <c r="AD526" s="20"/>
      <c r="AE526" s="20"/>
      <c r="AF526" s="13" t="s">
        <v>40</v>
      </c>
      <c r="AG526" s="15">
        <f t="shared" si="6"/>
        <v>45505</v>
      </c>
      <c r="AH526" s="13" t="s">
        <v>41</v>
      </c>
      <c r="AI526" s="13" t="str">
        <f t="shared" si="7"/>
        <v>Papeleria</v>
      </c>
      <c r="AJ526" s="13" t="str">
        <f>VLOOKUP(E526,Precios!Z$2:AA$941,2,FALSE)</f>
        <v>Papel Higienico SWAN 400 hojas</v>
      </c>
      <c r="AK526" s="14">
        <f>VLOOKUP(E526,Precios!Z$2:BB$941,3,FALSE)*F526</f>
        <v>-20</v>
      </c>
      <c r="AL526" s="17"/>
      <c r="AM526" s="17"/>
      <c r="AN526" s="17"/>
      <c r="AO526" s="17"/>
      <c r="AP526" s="17"/>
      <c r="AQ526" s="17"/>
      <c r="AR526" s="17"/>
      <c r="AS526" s="17"/>
      <c r="AT526" s="17"/>
      <c r="AU526" s="17"/>
      <c r="AV526" s="17"/>
    </row>
    <row r="527" spans="1:48" ht="15.75" customHeight="1">
      <c r="A527" s="21" t="s">
        <v>56</v>
      </c>
      <c r="B527" s="23" t="s">
        <v>1692</v>
      </c>
      <c r="C527" s="22">
        <v>45886</v>
      </c>
      <c r="D527" s="23" t="s">
        <v>309</v>
      </c>
      <c r="E527" s="23" t="s">
        <v>60</v>
      </c>
      <c r="F527" s="21">
        <v>1</v>
      </c>
      <c r="G527" s="12">
        <f>VLOOKUP(E527,Precios!B$2:N$941,12,FALSE)</f>
        <v>7000.0000000000018</v>
      </c>
      <c r="H527" s="12">
        <f t="shared" si="0"/>
        <v>7000.0000000000018</v>
      </c>
      <c r="I527" s="23" t="s">
        <v>52</v>
      </c>
      <c r="J527" s="23" t="s">
        <v>61</v>
      </c>
      <c r="K527" s="24" t="s">
        <v>177</v>
      </c>
      <c r="L527" s="24">
        <v>171</v>
      </c>
      <c r="M527" s="12">
        <f t="shared" ref="M527:N527" si="532">G527/1.19</f>
        <v>5882.3529411764721</v>
      </c>
      <c r="N527" s="12">
        <f t="shared" si="532"/>
        <v>5882.3529411764721</v>
      </c>
      <c r="O527" s="12">
        <f t="shared" si="2"/>
        <v>1117.6470588235297</v>
      </c>
      <c r="P527" s="13"/>
      <c r="Q527" s="14">
        <f t="shared" si="3"/>
        <v>2025</v>
      </c>
      <c r="R527" s="15">
        <f>VLOOKUP(MONTH(C527),'Datos Maestros'!M$2:N$14,2,FALSE)</f>
        <v>45505</v>
      </c>
      <c r="S527" s="11" t="str">
        <f>VLOOKUP(E527,Precios!B$2:W$941,3,FALSE)</f>
        <v xml:space="preserve">Queso Rueda Sabores </v>
      </c>
      <c r="T527" s="16">
        <f>VLOOKUP(E527,Precios!B$2:N$941,4,FALSE)*F527</f>
        <v>200</v>
      </c>
      <c r="U527" s="17"/>
      <c r="V527" s="12">
        <f>VLOOKUP(E527,Precios!B$2:N$941,13,FALSE)*F527</f>
        <v>2080.6722689075641</v>
      </c>
      <c r="W527" s="12">
        <f t="shared" si="4"/>
        <v>2080.6722689075641</v>
      </c>
      <c r="X527" s="12">
        <f>VLOOKUP(B527,'Datos Maestros'!$C$2:$D$7,2,FALSE)*V527</f>
        <v>0</v>
      </c>
      <c r="Y527" s="18">
        <f t="shared" si="5"/>
        <v>45880</v>
      </c>
      <c r="Z527" s="13" t="s">
        <v>39</v>
      </c>
      <c r="AA527" s="19" t="str">
        <f>VLOOKUP(D527,Clientes!$A$2:$J$486,9,FALSE)</f>
        <v>Ocacional</v>
      </c>
      <c r="AB527" s="13" t="str">
        <f>VLOOKUP(D527,Clientes!$A$2:$K$486,11,FALSE)</f>
        <v>Persona Natural</v>
      </c>
      <c r="AC527" s="13" t="str">
        <f>VLOOKUP(D527,Clientes!$A$2:$B$486,2,FALSE)</f>
        <v>Jardines de la Viña</v>
      </c>
      <c r="AD527" s="20"/>
      <c r="AE527" s="20"/>
      <c r="AF527" s="13" t="s">
        <v>40</v>
      </c>
      <c r="AG527" s="15">
        <f t="shared" si="6"/>
        <v>45505</v>
      </c>
      <c r="AH527" s="13" t="s">
        <v>41</v>
      </c>
      <c r="AI527" s="13" t="str">
        <f t="shared" si="7"/>
        <v>Derivados</v>
      </c>
      <c r="AJ527" s="13" t="str">
        <f>VLOOKUP(E527,Precios!Z$2:AA$941,2,FALSE)</f>
        <v>Queso Sabores</v>
      </c>
      <c r="AK527" s="14">
        <f>VLOOKUP(E527,Precios!Z$2:BB$941,3,FALSE)*F527</f>
        <v>-2</v>
      </c>
      <c r="AL527" s="17"/>
      <c r="AM527" s="17"/>
      <c r="AN527" s="17"/>
      <c r="AO527" s="17"/>
      <c r="AP527" s="17"/>
      <c r="AQ527" s="17"/>
      <c r="AR527" s="17"/>
      <c r="AS527" s="17"/>
      <c r="AT527" s="17"/>
      <c r="AU527" s="17"/>
      <c r="AV527" s="17"/>
    </row>
    <row r="528" spans="1:48" ht="15.75" customHeight="1">
      <c r="A528" s="21" t="s">
        <v>76</v>
      </c>
      <c r="B528" s="23" t="s">
        <v>1692</v>
      </c>
      <c r="C528" s="22">
        <v>45886</v>
      </c>
      <c r="D528" s="23" t="s">
        <v>309</v>
      </c>
      <c r="E528" s="23" t="s">
        <v>110</v>
      </c>
      <c r="F528" s="21">
        <v>1</v>
      </c>
      <c r="G528" s="12">
        <f>VLOOKUP(E528,Precios!B$2:N$941,12,FALSE)</f>
        <v>2000.0000000000005</v>
      </c>
      <c r="H528" s="12">
        <f t="shared" si="0"/>
        <v>2000.0000000000005</v>
      </c>
      <c r="I528" s="23" t="s">
        <v>52</v>
      </c>
      <c r="J528" s="23" t="s">
        <v>61</v>
      </c>
      <c r="K528" s="24" t="s">
        <v>177</v>
      </c>
      <c r="L528" s="24">
        <v>171</v>
      </c>
      <c r="M528" s="12">
        <f t="shared" ref="M528:N528" si="533">G528/1.19</f>
        <v>1680.6722689075634</v>
      </c>
      <c r="N528" s="12">
        <f t="shared" si="533"/>
        <v>1680.6722689075634</v>
      </c>
      <c r="O528" s="12">
        <f t="shared" si="2"/>
        <v>319.32773109243703</v>
      </c>
      <c r="P528" s="13"/>
      <c r="Q528" s="14">
        <f t="shared" si="3"/>
        <v>2025</v>
      </c>
      <c r="R528" s="15">
        <f>VLOOKUP(MONTH(C528),'Datos Maestros'!M$2:N$14,2,FALSE)</f>
        <v>45505</v>
      </c>
      <c r="S528" s="11" t="str">
        <f>VLOOKUP(E528,Precios!B$2:W$941,3,FALSE)</f>
        <v>Cloro</v>
      </c>
      <c r="T528" s="16">
        <f>VLOOKUP(E528,Precios!B$2:N$941,4,FALSE)*F528</f>
        <v>5</v>
      </c>
      <c r="U528" s="17"/>
      <c r="V528" s="12">
        <f>VLOOKUP(E528,Precios!B$2:N$941,13,FALSE)*F528</f>
        <v>756.30252100840369</v>
      </c>
      <c r="W528" s="12">
        <f t="shared" si="4"/>
        <v>756.30252100840369</v>
      </c>
      <c r="X528" s="12">
        <f>VLOOKUP(B528,'Datos Maestros'!$C$2:$D$7,2,FALSE)*V528</f>
        <v>0</v>
      </c>
      <c r="Y528" s="18">
        <f t="shared" si="5"/>
        <v>45880</v>
      </c>
      <c r="Z528" s="13" t="s">
        <v>39</v>
      </c>
      <c r="AA528" s="19" t="str">
        <f>VLOOKUP(D528,Clientes!$A$2:$J$486,9,FALSE)</f>
        <v>Ocacional</v>
      </c>
      <c r="AB528" s="13" t="str">
        <f>VLOOKUP(D528,Clientes!$A$2:$K$486,11,FALSE)</f>
        <v>Persona Natural</v>
      </c>
      <c r="AC528" s="13" t="str">
        <f>VLOOKUP(D528,Clientes!$A$2:$B$486,2,FALSE)</f>
        <v>Jardines de la Viña</v>
      </c>
      <c r="AD528" s="20"/>
      <c r="AE528" s="20"/>
      <c r="AF528" s="13" t="s">
        <v>40</v>
      </c>
      <c r="AG528" s="15">
        <f t="shared" si="6"/>
        <v>45505</v>
      </c>
      <c r="AH528" s="13" t="s">
        <v>41</v>
      </c>
      <c r="AI528" s="13" t="str">
        <f t="shared" si="7"/>
        <v>Detergentes</v>
      </c>
      <c r="AJ528" s="13" t="str">
        <f>VLOOKUP(E528,Precios!Z$2:AA$941,2,FALSE)</f>
        <v>Cloro SPUM 5 Litros</v>
      </c>
      <c r="AK528" s="14">
        <f>VLOOKUP(E528,Precios!Z$2:BB$941,3,FALSE)*F528</f>
        <v>-1</v>
      </c>
      <c r="AL528" s="17"/>
      <c r="AM528" s="17"/>
      <c r="AN528" s="17"/>
      <c r="AO528" s="17"/>
      <c r="AP528" s="17"/>
      <c r="AQ528" s="17"/>
      <c r="AR528" s="17"/>
      <c r="AS528" s="17"/>
      <c r="AT528" s="17"/>
      <c r="AU528" s="17"/>
      <c r="AV528" s="17"/>
    </row>
    <row r="529" spans="1:48" ht="15.75" customHeight="1">
      <c r="A529" s="21" t="s">
        <v>47</v>
      </c>
      <c r="B529" s="23" t="s">
        <v>1692</v>
      </c>
      <c r="C529" s="22">
        <v>45885</v>
      </c>
      <c r="D529" s="23" t="s">
        <v>915</v>
      </c>
      <c r="E529" s="23" t="s">
        <v>305</v>
      </c>
      <c r="F529" s="21">
        <v>1</v>
      </c>
      <c r="G529" s="12">
        <f>VLOOKUP(E529,Precios!B$2:N$941,12,FALSE)</f>
        <v>2999.9015263417036</v>
      </c>
      <c r="H529" s="12">
        <f t="shared" si="0"/>
        <v>2999.9015263417036</v>
      </c>
      <c r="I529" s="23" t="s">
        <v>52</v>
      </c>
      <c r="J529" s="23" t="s">
        <v>38</v>
      </c>
      <c r="K529" s="24" t="s">
        <v>177</v>
      </c>
      <c r="L529" s="24">
        <v>171</v>
      </c>
      <c r="M529" s="12">
        <f t="shared" ref="M529:N529" si="534">G529/1.19</f>
        <v>2520.9256523879862</v>
      </c>
      <c r="N529" s="12">
        <f t="shared" si="534"/>
        <v>2520.9256523879862</v>
      </c>
      <c r="O529" s="12">
        <f t="shared" si="2"/>
        <v>478.97587395371738</v>
      </c>
      <c r="P529" s="13"/>
      <c r="Q529" s="14">
        <f t="shared" si="3"/>
        <v>2025</v>
      </c>
      <c r="R529" s="15">
        <f>VLOOKUP(MONTH(C529),'Datos Maestros'!M$2:N$14,2,FALSE)</f>
        <v>45505</v>
      </c>
      <c r="S529" s="11" t="str">
        <f>VLOOKUP(E529,Precios!B$2:W$941,3,FALSE)</f>
        <v>Toallitas Húmedas Bebe</v>
      </c>
      <c r="T529" s="16">
        <f>VLOOKUP(E529,Precios!B$2:N$941,4,FALSE)*F529</f>
        <v>0</v>
      </c>
      <c r="U529" s="17"/>
      <c r="V529" s="12">
        <f>VLOOKUP(E529,Precios!B$2:N$941,13,FALSE)*F529</f>
        <v>984.92565238798625</v>
      </c>
      <c r="W529" s="12">
        <f t="shared" si="4"/>
        <v>984.92565238798625</v>
      </c>
      <c r="X529" s="12">
        <f>VLOOKUP(B529,'Datos Maestros'!$C$2:$D$7,2,FALSE)*V529</f>
        <v>0</v>
      </c>
      <c r="Y529" s="18">
        <f t="shared" si="5"/>
        <v>45880</v>
      </c>
      <c r="Z529" s="13" t="s">
        <v>39</v>
      </c>
      <c r="AA529" s="19" t="str">
        <f>VLOOKUP(D529,Clientes!$A$2:$J$486,9,FALSE)</f>
        <v>Regular</v>
      </c>
      <c r="AB529" s="13" t="str">
        <f>VLOOKUP(D529,Clientes!$A$2:$K$486,11,FALSE)</f>
        <v>Persona Natural</v>
      </c>
      <c r="AC529" s="13" t="str">
        <f>VLOOKUP(D529,Clientes!$A$2:$B$486,2,FALSE)</f>
        <v>Jardin del Eden</v>
      </c>
      <c r="AD529" s="20"/>
      <c r="AE529" s="20"/>
      <c r="AF529" s="13" t="s">
        <v>40</v>
      </c>
      <c r="AG529" s="15">
        <f t="shared" si="6"/>
        <v>45505</v>
      </c>
      <c r="AH529" s="13" t="s">
        <v>41</v>
      </c>
      <c r="AI529" s="13" t="str">
        <f t="shared" si="7"/>
        <v>Articulos de Aseo</v>
      </c>
      <c r="AJ529" s="13" t="str">
        <f>VLOOKUP(E529,Precios!Z$2:AA$941,2,FALSE)</f>
        <v>Toallas Humedas Bebé TEDDY 80 unidades</v>
      </c>
      <c r="AK529" s="14">
        <f>VLOOKUP(E529,Precios!Z$2:BB$941,3,FALSE)*F529</f>
        <v>-2</v>
      </c>
      <c r="AL529" s="17"/>
      <c r="AM529" s="17"/>
      <c r="AN529" s="17"/>
      <c r="AO529" s="17"/>
      <c r="AP529" s="17"/>
      <c r="AQ529" s="17"/>
      <c r="AR529" s="17"/>
      <c r="AS529" s="17"/>
      <c r="AT529" s="17"/>
      <c r="AU529" s="17"/>
      <c r="AV529" s="17"/>
    </row>
    <row r="530" spans="1:48" ht="15.75" customHeight="1">
      <c r="A530" s="21" t="s">
        <v>35</v>
      </c>
      <c r="B530" s="23" t="s">
        <v>1692</v>
      </c>
      <c r="C530" s="22">
        <v>45885</v>
      </c>
      <c r="D530" s="23" t="s">
        <v>310</v>
      </c>
      <c r="E530" s="23" t="s">
        <v>311</v>
      </c>
      <c r="F530" s="21">
        <v>1</v>
      </c>
      <c r="G530" s="12">
        <f>VLOOKUP(E530,Precios!B$2:N$941,12,FALSE)</f>
        <v>3500.0000000000005</v>
      </c>
      <c r="H530" s="12">
        <f t="shared" si="0"/>
        <v>3500.0000000000005</v>
      </c>
      <c r="I530" s="23" t="s">
        <v>52</v>
      </c>
      <c r="J530" s="23" t="s">
        <v>38</v>
      </c>
      <c r="K530" s="24" t="s">
        <v>177</v>
      </c>
      <c r="L530" s="24">
        <v>171</v>
      </c>
      <c r="M530" s="12">
        <f t="shared" ref="M530:N530" si="535">G530/1.19</f>
        <v>2941.1764705882356</v>
      </c>
      <c r="N530" s="12">
        <f t="shared" si="535"/>
        <v>2941.1764705882356</v>
      </c>
      <c r="O530" s="12">
        <f t="shared" si="2"/>
        <v>558.82352941176487</v>
      </c>
      <c r="P530" s="13"/>
      <c r="Q530" s="14">
        <f t="shared" si="3"/>
        <v>2025</v>
      </c>
      <c r="R530" s="15">
        <f>VLOOKUP(MONTH(C530),'Datos Maestros'!M$2:N$14,2,FALSE)</f>
        <v>45505</v>
      </c>
      <c r="S530" s="11" t="str">
        <f>VLOOKUP(E530,Precios!B$2:W$941,3,FALSE)</f>
        <v>Queso Mantecoso</v>
      </c>
      <c r="T530" s="16">
        <f>VLOOKUP(E530,Precios!B$2:N$941,4,FALSE)*F530</f>
        <v>250</v>
      </c>
      <c r="U530" s="17"/>
      <c r="V530" s="12">
        <f>VLOOKUP(E530,Precios!B$2:N$941,13,FALSE)*F530</f>
        <v>1257.3529411764707</v>
      </c>
      <c r="W530" s="12">
        <f t="shared" si="4"/>
        <v>1257.3529411764707</v>
      </c>
      <c r="X530" s="12">
        <f>VLOOKUP(B530,'Datos Maestros'!$C$2:$D$7,2,FALSE)*V530</f>
        <v>0</v>
      </c>
      <c r="Y530" s="18">
        <f t="shared" si="5"/>
        <v>45880</v>
      </c>
      <c r="Z530" s="13" t="s">
        <v>39</v>
      </c>
      <c r="AA530" s="19" t="str">
        <f>VLOOKUP(D530,Clientes!$A$2:$J$486,9,FALSE)</f>
        <v>Familiar</v>
      </c>
      <c r="AB530" s="13" t="str">
        <f>VLOOKUP(D530,Clientes!$A$2:$K$486,11,FALSE)</f>
        <v>Persona Natural</v>
      </c>
      <c r="AC530" s="13" t="str">
        <f>VLOOKUP(D530,Clientes!$A$2:$B$486,2,FALSE)</f>
        <v>Familiar</v>
      </c>
      <c r="AD530" s="20"/>
      <c r="AE530" s="20"/>
      <c r="AF530" s="13" t="s">
        <v>40</v>
      </c>
      <c r="AG530" s="15">
        <f t="shared" si="6"/>
        <v>45505</v>
      </c>
      <c r="AH530" s="13" t="s">
        <v>41</v>
      </c>
      <c r="AI530" s="13" t="str">
        <f t="shared" si="7"/>
        <v>Quesos</v>
      </c>
      <c r="AJ530" s="13" t="str">
        <f>VLOOKUP(E530,Precios!Z$2:AA$941,2,FALSE)</f>
        <v>Queso RUNCA Mantecoso</v>
      </c>
      <c r="AK530" s="14">
        <f>VLOOKUP(E530,Precios!Z$2:BB$941,3,FALSE)*F530</f>
        <v>-0.25</v>
      </c>
      <c r="AL530" s="17"/>
      <c r="AM530" s="17"/>
      <c r="AN530" s="17"/>
      <c r="AO530" s="17"/>
      <c r="AP530" s="17"/>
      <c r="AQ530" s="17"/>
      <c r="AR530" s="17"/>
      <c r="AS530" s="17"/>
      <c r="AT530" s="17"/>
      <c r="AU530" s="17"/>
      <c r="AV530" s="17"/>
    </row>
    <row r="531" spans="1:48" ht="15.75" customHeight="1">
      <c r="A531" s="21" t="s">
        <v>35</v>
      </c>
      <c r="B531" s="23" t="s">
        <v>1692</v>
      </c>
      <c r="C531" s="22">
        <v>45885</v>
      </c>
      <c r="D531" s="23" t="s">
        <v>310</v>
      </c>
      <c r="E531" s="23" t="s">
        <v>312</v>
      </c>
      <c r="F531" s="21">
        <v>1</v>
      </c>
      <c r="G531" s="12">
        <f>VLOOKUP(E531,Precios!B$2:N$941,12,FALSE)</f>
        <v>5000.092180058381</v>
      </c>
      <c r="H531" s="12">
        <f t="shared" si="0"/>
        <v>5000.092180058381</v>
      </c>
      <c r="I531" s="23" t="s">
        <v>52</v>
      </c>
      <c r="J531" s="23" t="s">
        <v>38</v>
      </c>
      <c r="K531" s="24" t="s">
        <v>177</v>
      </c>
      <c r="L531" s="24">
        <v>171</v>
      </c>
      <c r="M531" s="12">
        <f t="shared" ref="M531:N531" si="536">G531/1.19</f>
        <v>4201.7581345028411</v>
      </c>
      <c r="N531" s="12">
        <f t="shared" si="536"/>
        <v>4201.7581345028411</v>
      </c>
      <c r="O531" s="12">
        <f t="shared" si="2"/>
        <v>798.33404555553989</v>
      </c>
      <c r="P531" s="13"/>
      <c r="Q531" s="14">
        <f t="shared" si="3"/>
        <v>2025</v>
      </c>
      <c r="R531" s="15">
        <f>VLOOKUP(MONTH(C531),'Datos Maestros'!M$2:N$14,2,FALSE)</f>
        <v>45505</v>
      </c>
      <c r="S531" s="11" t="str">
        <f>VLOOKUP(E531,Precios!B$2:W$941,3,FALSE)</f>
        <v>Queso Mantecoso</v>
      </c>
      <c r="T531" s="16">
        <f>VLOOKUP(E531,Precios!B$2:N$941,4,FALSE)*F531</f>
        <v>417</v>
      </c>
      <c r="U531" s="17"/>
      <c r="V531" s="12">
        <f>VLOOKUP(E531,Precios!B$2:N$941,13,FALSE)*F531</f>
        <v>1466.833764754942</v>
      </c>
      <c r="W531" s="12">
        <f t="shared" si="4"/>
        <v>1466.833764754942</v>
      </c>
      <c r="X531" s="12">
        <f>VLOOKUP(B531,'Datos Maestros'!$C$2:$D$7,2,FALSE)*V531</f>
        <v>0</v>
      </c>
      <c r="Y531" s="18">
        <f t="shared" si="5"/>
        <v>45880</v>
      </c>
      <c r="Z531" s="13" t="s">
        <v>39</v>
      </c>
      <c r="AA531" s="19" t="str">
        <f>VLOOKUP(D531,Clientes!$A$2:$J$486,9,FALSE)</f>
        <v>Familiar</v>
      </c>
      <c r="AB531" s="13" t="str">
        <f>VLOOKUP(D531,Clientes!$A$2:$K$486,11,FALSE)</f>
        <v>Persona Natural</v>
      </c>
      <c r="AC531" s="13" t="str">
        <f>VLOOKUP(D531,Clientes!$A$2:$B$486,2,FALSE)</f>
        <v>Familiar</v>
      </c>
      <c r="AD531" s="20"/>
      <c r="AE531" s="20"/>
      <c r="AF531" s="13" t="s">
        <v>40</v>
      </c>
      <c r="AG531" s="15">
        <f t="shared" si="6"/>
        <v>45505</v>
      </c>
      <c r="AH531" s="13" t="s">
        <v>41</v>
      </c>
      <c r="AI531" s="13" t="str">
        <f t="shared" si="7"/>
        <v>Quesos</v>
      </c>
      <c r="AJ531" s="13" t="str">
        <f>VLOOKUP(E531,Precios!Z$2:AA$941,2,FALSE)</f>
        <v>Queso RUNCA Mantecoso</v>
      </c>
      <c r="AK531" s="14">
        <f>VLOOKUP(E531,Precios!Z$2:BB$941,3,FALSE)*F531</f>
        <v>-0.5</v>
      </c>
      <c r="AL531" s="17"/>
      <c r="AM531" s="17"/>
      <c r="AN531" s="17"/>
      <c r="AO531" s="17"/>
      <c r="AP531" s="17"/>
      <c r="AQ531" s="17"/>
      <c r="AR531" s="17"/>
      <c r="AS531" s="17"/>
      <c r="AT531" s="17"/>
      <c r="AU531" s="17"/>
      <c r="AV531" s="17"/>
    </row>
    <row r="532" spans="1:48" ht="15.75" customHeight="1">
      <c r="A532" s="21" t="s">
        <v>56</v>
      </c>
      <c r="B532" s="23" t="s">
        <v>1692</v>
      </c>
      <c r="C532" s="22">
        <v>45885</v>
      </c>
      <c r="D532" s="23" t="s">
        <v>310</v>
      </c>
      <c r="E532" s="23" t="s">
        <v>60</v>
      </c>
      <c r="F532" s="21">
        <v>1</v>
      </c>
      <c r="G532" s="12">
        <f>VLOOKUP(E532,Precios!B$2:N$941,12,FALSE)</f>
        <v>7000.0000000000018</v>
      </c>
      <c r="H532" s="12">
        <f t="shared" si="0"/>
        <v>7000.0000000000018</v>
      </c>
      <c r="I532" s="23" t="s">
        <v>52</v>
      </c>
      <c r="J532" s="23" t="s">
        <v>38</v>
      </c>
      <c r="K532" s="24" t="s">
        <v>177</v>
      </c>
      <c r="L532" s="24">
        <v>171</v>
      </c>
      <c r="M532" s="12">
        <f t="shared" ref="M532:N532" si="537">G532/1.19</f>
        <v>5882.3529411764721</v>
      </c>
      <c r="N532" s="12">
        <f t="shared" si="537"/>
        <v>5882.3529411764721</v>
      </c>
      <c r="O532" s="12">
        <f t="shared" si="2"/>
        <v>1117.6470588235297</v>
      </c>
      <c r="P532" s="13"/>
      <c r="Q532" s="14">
        <f t="shared" si="3"/>
        <v>2025</v>
      </c>
      <c r="R532" s="15">
        <f>VLOOKUP(MONTH(C532),'Datos Maestros'!M$2:N$14,2,FALSE)</f>
        <v>45505</v>
      </c>
      <c r="S532" s="11" t="str">
        <f>VLOOKUP(E532,Precios!B$2:W$941,3,FALSE)</f>
        <v xml:space="preserve">Queso Rueda Sabores </v>
      </c>
      <c r="T532" s="16">
        <f>VLOOKUP(E532,Precios!B$2:N$941,4,FALSE)*F532</f>
        <v>200</v>
      </c>
      <c r="U532" s="17"/>
      <c r="V532" s="12">
        <f>VLOOKUP(E532,Precios!B$2:N$941,13,FALSE)*F532</f>
        <v>2080.6722689075641</v>
      </c>
      <c r="W532" s="12">
        <f t="shared" si="4"/>
        <v>2080.6722689075641</v>
      </c>
      <c r="X532" s="12">
        <f>VLOOKUP(B532,'Datos Maestros'!$C$2:$D$7,2,FALSE)*V532</f>
        <v>0</v>
      </c>
      <c r="Y532" s="18">
        <f t="shared" si="5"/>
        <v>45880</v>
      </c>
      <c r="Z532" s="13" t="s">
        <v>39</v>
      </c>
      <c r="AA532" s="19" t="str">
        <f>VLOOKUP(D532,Clientes!$A$2:$J$486,9,FALSE)</f>
        <v>Familiar</v>
      </c>
      <c r="AB532" s="13" t="str">
        <f>VLOOKUP(D532,Clientes!$A$2:$K$486,11,FALSE)</f>
        <v>Persona Natural</v>
      </c>
      <c r="AC532" s="13" t="str">
        <f>VLOOKUP(D532,Clientes!$A$2:$B$486,2,FALSE)</f>
        <v>Familiar</v>
      </c>
      <c r="AD532" s="20"/>
      <c r="AE532" s="20"/>
      <c r="AF532" s="13" t="s">
        <v>40</v>
      </c>
      <c r="AG532" s="15">
        <f t="shared" si="6"/>
        <v>45505</v>
      </c>
      <c r="AH532" s="13" t="s">
        <v>41</v>
      </c>
      <c r="AI532" s="13" t="str">
        <f t="shared" si="7"/>
        <v>Derivados</v>
      </c>
      <c r="AJ532" s="13" t="str">
        <f>VLOOKUP(E532,Precios!Z$2:AA$941,2,FALSE)</f>
        <v>Queso Sabores</v>
      </c>
      <c r="AK532" s="14">
        <f>VLOOKUP(E532,Precios!Z$2:BB$941,3,FALSE)*F532</f>
        <v>-2</v>
      </c>
      <c r="AL532" s="17"/>
      <c r="AM532" s="17"/>
      <c r="AN532" s="17"/>
      <c r="AO532" s="17"/>
      <c r="AP532" s="17"/>
      <c r="AQ532" s="17"/>
      <c r="AR532" s="17"/>
      <c r="AS532" s="17"/>
      <c r="AT532" s="17"/>
      <c r="AU532" s="17"/>
      <c r="AV532" s="17"/>
    </row>
    <row r="533" spans="1:48" ht="15.75" customHeight="1">
      <c r="A533" s="21" t="s">
        <v>35</v>
      </c>
      <c r="B533" s="23" t="s">
        <v>1692</v>
      </c>
      <c r="C533" s="22">
        <v>45885</v>
      </c>
      <c r="D533" s="23" t="s">
        <v>240</v>
      </c>
      <c r="E533" s="23" t="s">
        <v>37</v>
      </c>
      <c r="F533" s="21">
        <v>1</v>
      </c>
      <c r="G533" s="12">
        <f>VLOOKUP(E533,Precios!B$2:N$941,12,FALSE)</f>
        <v>11000.014358944907</v>
      </c>
      <c r="H533" s="12">
        <f t="shared" si="0"/>
        <v>11000.014358944907</v>
      </c>
      <c r="I533" s="23" t="s">
        <v>52</v>
      </c>
      <c r="J533" s="23" t="s">
        <v>61</v>
      </c>
      <c r="K533" s="24" t="s">
        <v>177</v>
      </c>
      <c r="L533" s="24">
        <v>171</v>
      </c>
      <c r="M533" s="12">
        <f t="shared" ref="M533:N533" si="538">G533/1.19</f>
        <v>9243.7095453318543</v>
      </c>
      <c r="N533" s="12">
        <f t="shared" si="538"/>
        <v>9243.7095453318543</v>
      </c>
      <c r="O533" s="12">
        <f t="shared" si="2"/>
        <v>1756.3048136130528</v>
      </c>
      <c r="P533" s="13"/>
      <c r="Q533" s="14">
        <f t="shared" si="3"/>
        <v>2025</v>
      </c>
      <c r="R533" s="15">
        <f>VLOOKUP(MONTH(C533),'Datos Maestros'!M$2:N$14,2,FALSE)</f>
        <v>45505</v>
      </c>
      <c r="S533" s="11" t="str">
        <f>VLOOKUP(E533,Precios!B$2:W$941,3,FALSE)</f>
        <v>Queso Mantecoso</v>
      </c>
      <c r="T533" s="16">
        <f>VLOOKUP(E533,Precios!B$2:N$941,4,FALSE)*F533</f>
        <v>1000</v>
      </c>
      <c r="U533" s="17"/>
      <c r="V533" s="12">
        <f>VLOOKUP(E533,Precios!B$2:N$941,13,FALSE)*F533</f>
        <v>2806.1129066763915</v>
      </c>
      <c r="W533" s="12">
        <f t="shared" si="4"/>
        <v>2806.1129066763915</v>
      </c>
      <c r="X533" s="12">
        <f>VLOOKUP(B533,'Datos Maestros'!$C$2:$D$7,2,FALSE)*V533</f>
        <v>0</v>
      </c>
      <c r="Y533" s="18">
        <f t="shared" si="5"/>
        <v>45880</v>
      </c>
      <c r="Z533" s="13" t="s">
        <v>39</v>
      </c>
      <c r="AA533" s="19" t="str">
        <f>VLOOKUP(D533,Clientes!$A$2:$J$486,9,FALSE)</f>
        <v>Ocacional</v>
      </c>
      <c r="AB533" s="13" t="str">
        <f>VLOOKUP(D533,Clientes!$A$2:$K$486,11,FALSE)</f>
        <v>Persona Natural</v>
      </c>
      <c r="AC533" s="13" t="str">
        <f>VLOOKUP(D533,Clientes!$A$2:$B$486,2,FALSE)</f>
        <v>Jardines de la viña</v>
      </c>
      <c r="AD533" s="20"/>
      <c r="AE533" s="20"/>
      <c r="AF533" s="13" t="s">
        <v>40</v>
      </c>
      <c r="AG533" s="15">
        <f t="shared" si="6"/>
        <v>45505</v>
      </c>
      <c r="AH533" s="13" t="s">
        <v>41</v>
      </c>
      <c r="AI533" s="13" t="str">
        <f t="shared" si="7"/>
        <v>Quesos</v>
      </c>
      <c r="AJ533" s="13" t="str">
        <f>VLOOKUP(E533,Precios!Z$2:AA$941,2,FALSE)</f>
        <v>Queso RUNCA Mantecoso</v>
      </c>
      <c r="AK533" s="14">
        <f>VLOOKUP(E533,Precios!Z$2:BB$941,3,FALSE)*F533</f>
        <v>-1</v>
      </c>
      <c r="AL533" s="17"/>
      <c r="AM533" s="17"/>
      <c r="AN533" s="17"/>
      <c r="AO533" s="17"/>
      <c r="AP533" s="17"/>
      <c r="AQ533" s="17"/>
      <c r="AR533" s="17"/>
      <c r="AS533" s="17"/>
      <c r="AT533" s="17"/>
      <c r="AU533" s="17"/>
      <c r="AV533" s="17"/>
    </row>
    <row r="534" spans="1:48" ht="15.75" customHeight="1">
      <c r="A534" s="21" t="s">
        <v>35</v>
      </c>
      <c r="B534" s="23" t="s">
        <v>1692</v>
      </c>
      <c r="C534" s="22">
        <v>45885</v>
      </c>
      <c r="D534" s="23" t="s">
        <v>128</v>
      </c>
      <c r="E534" s="23" t="s">
        <v>37</v>
      </c>
      <c r="F534" s="21">
        <v>1</v>
      </c>
      <c r="G534" s="12">
        <f>VLOOKUP(E534,Precios!B$2:N$941,12,FALSE)</f>
        <v>11000.014358944907</v>
      </c>
      <c r="H534" s="12">
        <f t="shared" si="0"/>
        <v>11000.014358944907</v>
      </c>
      <c r="I534" s="23" t="s">
        <v>52</v>
      </c>
      <c r="J534" s="23" t="s">
        <v>61</v>
      </c>
      <c r="K534" s="24" t="s">
        <v>177</v>
      </c>
      <c r="L534" s="24">
        <v>171</v>
      </c>
      <c r="M534" s="12">
        <f t="shared" ref="M534:N534" si="539">G534/1.19</f>
        <v>9243.7095453318543</v>
      </c>
      <c r="N534" s="12">
        <f t="shared" si="539"/>
        <v>9243.7095453318543</v>
      </c>
      <c r="O534" s="12">
        <f t="shared" si="2"/>
        <v>1756.3048136130528</v>
      </c>
      <c r="P534" s="13"/>
      <c r="Q534" s="14">
        <f t="shared" si="3"/>
        <v>2025</v>
      </c>
      <c r="R534" s="15">
        <f>VLOOKUP(MONTH(C534),'Datos Maestros'!M$2:N$14,2,FALSE)</f>
        <v>45505</v>
      </c>
      <c r="S534" s="11" t="str">
        <f>VLOOKUP(E534,Precios!B$2:W$941,3,FALSE)</f>
        <v>Queso Mantecoso</v>
      </c>
      <c r="T534" s="16">
        <f>VLOOKUP(E534,Precios!B$2:N$941,4,FALSE)*F534</f>
        <v>1000</v>
      </c>
      <c r="U534" s="17"/>
      <c r="V534" s="12">
        <f>VLOOKUP(E534,Precios!B$2:N$941,13,FALSE)*F534</f>
        <v>2806.1129066763915</v>
      </c>
      <c r="W534" s="12">
        <f t="shared" si="4"/>
        <v>2806.1129066763915</v>
      </c>
      <c r="X534" s="12">
        <f>VLOOKUP(B534,'Datos Maestros'!$C$2:$D$7,2,FALSE)*V534</f>
        <v>0</v>
      </c>
      <c r="Y534" s="18">
        <f t="shared" si="5"/>
        <v>45880</v>
      </c>
      <c r="Z534" s="13" t="s">
        <v>39</v>
      </c>
      <c r="AA534" s="19" t="str">
        <f>VLOOKUP(D534,Clientes!$A$2:$J$486,9,FALSE)</f>
        <v>Ocacional</v>
      </c>
      <c r="AB534" s="13" t="str">
        <f>VLOOKUP(D534,Clientes!$A$2:$K$486,11,FALSE)</f>
        <v>Persona Natural</v>
      </c>
      <c r="AC534" s="13" t="str">
        <f>VLOOKUP(D534,Clientes!$A$2:$B$486,2,FALSE)</f>
        <v>Jardin del Eden</v>
      </c>
      <c r="AD534" s="20"/>
      <c r="AE534" s="20"/>
      <c r="AF534" s="13" t="s">
        <v>40</v>
      </c>
      <c r="AG534" s="15">
        <f t="shared" si="6"/>
        <v>45505</v>
      </c>
      <c r="AH534" s="13" t="s">
        <v>41</v>
      </c>
      <c r="AI534" s="13" t="str">
        <f t="shared" si="7"/>
        <v>Quesos</v>
      </c>
      <c r="AJ534" s="13" t="str">
        <f>VLOOKUP(E534,Precios!Z$2:AA$941,2,FALSE)</f>
        <v>Queso RUNCA Mantecoso</v>
      </c>
      <c r="AK534" s="14">
        <f>VLOOKUP(E534,Precios!Z$2:BB$941,3,FALSE)*F534</f>
        <v>-1</v>
      </c>
      <c r="AL534" s="17"/>
      <c r="AM534" s="17"/>
      <c r="AN534" s="17"/>
      <c r="AO534" s="17"/>
      <c r="AP534" s="17"/>
      <c r="AQ534" s="17"/>
      <c r="AR534" s="17"/>
      <c r="AS534" s="17"/>
      <c r="AT534" s="17"/>
      <c r="AU534" s="17"/>
      <c r="AV534" s="17"/>
    </row>
    <row r="535" spans="1:48" ht="15.75" customHeight="1">
      <c r="A535" s="21" t="s">
        <v>73</v>
      </c>
      <c r="B535" s="23" t="s">
        <v>1692</v>
      </c>
      <c r="C535" s="22">
        <v>45885</v>
      </c>
      <c r="D535" s="23" t="s">
        <v>68</v>
      </c>
      <c r="E535" s="23" t="s">
        <v>74</v>
      </c>
      <c r="F535" s="21">
        <v>2</v>
      </c>
      <c r="G535" s="12">
        <f>VLOOKUP(E535,Precios!B$2:N$941,12,FALSE)</f>
        <v>4199.9020019599611</v>
      </c>
      <c r="H535" s="12">
        <f t="shared" si="0"/>
        <v>8399.8040039199223</v>
      </c>
      <c r="I535" s="23" t="s">
        <v>52</v>
      </c>
      <c r="J535" s="23" t="s">
        <v>61</v>
      </c>
      <c r="K535" s="24" t="s">
        <v>86</v>
      </c>
      <c r="L535" s="24">
        <v>107</v>
      </c>
      <c r="M535" s="12">
        <f t="shared" ref="M535:N535" si="540">G535/1.19</f>
        <v>3529.3294134117323</v>
      </c>
      <c r="N535" s="12">
        <f t="shared" si="540"/>
        <v>7058.6588268234646</v>
      </c>
      <c r="O535" s="12">
        <f t="shared" si="2"/>
        <v>1341.1451770964577</v>
      </c>
      <c r="P535" s="13"/>
      <c r="Q535" s="14">
        <f t="shared" si="3"/>
        <v>2025</v>
      </c>
      <c r="R535" s="15">
        <f>VLOOKUP(MONTH(C535),'Datos Maestros'!M$2:N$14,2,FALSE)</f>
        <v>45505</v>
      </c>
      <c r="S535" s="11" t="str">
        <f>VLOOKUP(E535,Precios!B$2:W$941,3,FALSE)</f>
        <v>Guantes NITRILO</v>
      </c>
      <c r="T535" s="16">
        <f>VLOOKUP(E535,Precios!B$2:N$941,4,FALSE)*F535</f>
        <v>0</v>
      </c>
      <c r="U535" s="17"/>
      <c r="V535" s="12">
        <f>VLOOKUP(E535,Precios!B$2:N$941,13,FALSE)*F535</f>
        <v>2016.6588268234646</v>
      </c>
      <c r="W535" s="12">
        <f t="shared" si="4"/>
        <v>2016.6588268234646</v>
      </c>
      <c r="X535" s="12">
        <f>VLOOKUP(B535,'Datos Maestros'!$C$2:$D$7,2,FALSE)*V535</f>
        <v>0</v>
      </c>
      <c r="Y535" s="18">
        <f t="shared" si="5"/>
        <v>45880</v>
      </c>
      <c r="Z535" s="13" t="s">
        <v>39</v>
      </c>
      <c r="AA535" s="19" t="str">
        <f>VLOOKUP(D535,Clientes!$A$2:$J$486,9,FALSE)</f>
        <v>Frecuente</v>
      </c>
      <c r="AB535" s="13" t="str">
        <f>VLOOKUP(D535,Clientes!$A$2:$K$486,11,FALSE)</f>
        <v>Empresa</v>
      </c>
      <c r="AC535" s="13" t="str">
        <f>VLOOKUP(D535,Clientes!$A$2:$B$486,2,FALSE)</f>
        <v>Jardines de la viña</v>
      </c>
      <c r="AD535" s="20"/>
      <c r="AE535" s="20"/>
      <c r="AF535" s="13" t="s">
        <v>40</v>
      </c>
      <c r="AG535" s="15">
        <f t="shared" si="6"/>
        <v>45505</v>
      </c>
      <c r="AH535" s="13" t="s">
        <v>41</v>
      </c>
      <c r="AI535" s="13" t="str">
        <f t="shared" si="7"/>
        <v>Articulos de Sanidad</v>
      </c>
      <c r="AJ535" s="13" t="str">
        <f>VLOOKUP(E535,Precios!Z$2:AA$941,2,FALSE)</f>
        <v>Guante NITRILO Talla S</v>
      </c>
      <c r="AK535" s="14">
        <f>VLOOKUP(E535,Precios!Z$2:BB$941,3,FALSE)*F535</f>
        <v>-2</v>
      </c>
      <c r="AL535" s="17"/>
      <c r="AM535" s="17"/>
      <c r="AN535" s="17"/>
      <c r="AO535" s="17"/>
      <c r="AP535" s="17"/>
      <c r="AQ535" s="17"/>
      <c r="AR535" s="17"/>
      <c r="AS535" s="17"/>
      <c r="AT535" s="17"/>
      <c r="AU535" s="17"/>
      <c r="AV535" s="17"/>
    </row>
    <row r="536" spans="1:48" ht="15.75" customHeight="1">
      <c r="A536" s="21" t="s">
        <v>47</v>
      </c>
      <c r="B536" s="23" t="s">
        <v>1692</v>
      </c>
      <c r="C536" s="22">
        <v>45885</v>
      </c>
      <c r="D536" s="23" t="s">
        <v>68</v>
      </c>
      <c r="E536" s="23" t="s">
        <v>71</v>
      </c>
      <c r="F536" s="21">
        <v>2</v>
      </c>
      <c r="G536" s="12">
        <f>VLOOKUP(E536,Precios!B$2:N$941,12,FALSE)</f>
        <v>2700.007670476336</v>
      </c>
      <c r="H536" s="12">
        <f t="shared" si="0"/>
        <v>5400.015340952672</v>
      </c>
      <c r="I536" s="23" t="s">
        <v>52</v>
      </c>
      <c r="J536" s="23" t="s">
        <v>61</v>
      </c>
      <c r="K536" s="24" t="s">
        <v>86</v>
      </c>
      <c r="L536" s="24">
        <v>107</v>
      </c>
      <c r="M536" s="12">
        <f t="shared" ref="M536:N536" si="541">G536/1.19</f>
        <v>2268.9140088036438</v>
      </c>
      <c r="N536" s="12">
        <f t="shared" si="541"/>
        <v>4537.8280176072876</v>
      </c>
      <c r="O536" s="12">
        <f t="shared" si="2"/>
        <v>862.18732334538436</v>
      </c>
      <c r="P536" s="13"/>
      <c r="Q536" s="14">
        <f t="shared" si="3"/>
        <v>2025</v>
      </c>
      <c r="R536" s="15">
        <f>VLOOKUP(MONTH(C536),'Datos Maestros'!M$2:N$14,2,FALSE)</f>
        <v>45505</v>
      </c>
      <c r="S536" s="11" t="str">
        <f>VLOOKUP(E536,Precios!B$2:W$941,3,FALSE)</f>
        <v>Toalla desinfectantes</v>
      </c>
      <c r="T536" s="16">
        <f>VLOOKUP(E536,Precios!B$2:N$941,4,FALSE)*F536</f>
        <v>0</v>
      </c>
      <c r="U536" s="17"/>
      <c r="V536" s="12">
        <f>VLOOKUP(E536,Precios!B$2:N$941,13,FALSE)*F536</f>
        <v>1579.8448243299767</v>
      </c>
      <c r="W536" s="12">
        <f t="shared" si="4"/>
        <v>1579.8448243299767</v>
      </c>
      <c r="X536" s="12">
        <f>VLOOKUP(B536,'Datos Maestros'!$C$2:$D$7,2,FALSE)*V536</f>
        <v>0</v>
      </c>
      <c r="Y536" s="18">
        <f t="shared" si="5"/>
        <v>45880</v>
      </c>
      <c r="Z536" s="13" t="s">
        <v>39</v>
      </c>
      <c r="AA536" s="19" t="str">
        <f>VLOOKUP(D536,Clientes!$A$2:$J$486,9,FALSE)</f>
        <v>Frecuente</v>
      </c>
      <c r="AB536" s="13" t="str">
        <f>VLOOKUP(D536,Clientes!$A$2:$K$486,11,FALSE)</f>
        <v>Empresa</v>
      </c>
      <c r="AC536" s="13" t="str">
        <f>VLOOKUP(D536,Clientes!$A$2:$B$486,2,FALSE)</f>
        <v>Jardines de la viña</v>
      </c>
      <c r="AD536" s="20"/>
      <c r="AE536" s="20"/>
      <c r="AF536" s="13" t="s">
        <v>40</v>
      </c>
      <c r="AG536" s="15">
        <f t="shared" si="6"/>
        <v>45505</v>
      </c>
      <c r="AH536" s="13" t="s">
        <v>41</v>
      </c>
      <c r="AI536" s="13" t="str">
        <f t="shared" si="7"/>
        <v>Articulos de Aseo</v>
      </c>
      <c r="AJ536" s="13" t="str">
        <f>VLOOKUP(E536,Precios!Z$2:AA$941,2,FALSE)</f>
        <v>Toalla desinfectante IGENIX 50 unidades</v>
      </c>
      <c r="AK536" s="14">
        <f>VLOOKUP(E536,Precios!Z$2:BB$941,3,FALSE)*F536</f>
        <v>-2</v>
      </c>
      <c r="AL536" s="17"/>
      <c r="AM536" s="17"/>
      <c r="AN536" s="17"/>
      <c r="AO536" s="17"/>
      <c r="AP536" s="17"/>
      <c r="AQ536" s="17"/>
      <c r="AR536" s="17"/>
      <c r="AS536" s="17"/>
      <c r="AT536" s="17"/>
      <c r="AU536" s="17"/>
      <c r="AV536" s="17"/>
    </row>
    <row r="537" spans="1:48" ht="15.75" customHeight="1">
      <c r="A537" s="21" t="s">
        <v>53</v>
      </c>
      <c r="B537" s="23" t="s">
        <v>1692</v>
      </c>
      <c r="C537" s="22">
        <v>45885</v>
      </c>
      <c r="D537" s="23" t="s">
        <v>68</v>
      </c>
      <c r="E537" s="23" t="s">
        <v>274</v>
      </c>
      <c r="F537" s="21">
        <v>1</v>
      </c>
      <c r="G537" s="12">
        <f>VLOOKUP(E537,Precios!B$2:N$941,12,FALSE)</f>
        <v>22500.104577715188</v>
      </c>
      <c r="H537" s="12">
        <f t="shared" si="0"/>
        <v>22500.104577715188</v>
      </c>
      <c r="I537" s="23" t="s">
        <v>52</v>
      </c>
      <c r="J537" s="23" t="s">
        <v>61</v>
      </c>
      <c r="K537" s="24" t="s">
        <v>86</v>
      </c>
      <c r="L537" s="24">
        <v>107</v>
      </c>
      <c r="M537" s="12">
        <f t="shared" ref="M537:N537" si="542">G537/1.19</f>
        <v>18907.650905643015</v>
      </c>
      <c r="N537" s="12">
        <f t="shared" si="542"/>
        <v>18907.650905643015</v>
      </c>
      <c r="O537" s="12">
        <f t="shared" si="2"/>
        <v>3592.4536720721735</v>
      </c>
      <c r="P537" s="13"/>
      <c r="Q537" s="14">
        <f t="shared" si="3"/>
        <v>2025</v>
      </c>
      <c r="R537" s="15">
        <f>VLOOKUP(MONTH(C537),'Datos Maestros'!M$2:N$14,2,FALSE)</f>
        <v>45505</v>
      </c>
      <c r="S537" s="11" t="str">
        <f>VLOOKUP(E537,Precios!B$2:W$941,3,FALSE)</f>
        <v>Toalla Nova 70 mts</v>
      </c>
      <c r="T537" s="16">
        <f>VLOOKUP(E537,Precios!B$2:N$941,4,FALSE)*F537</f>
        <v>0</v>
      </c>
      <c r="U537" s="17"/>
      <c r="V537" s="12">
        <f>VLOOKUP(E537,Precios!B$2:N$941,13,FALSE)*F537</f>
        <v>5347.650905643015</v>
      </c>
      <c r="W537" s="12">
        <f t="shared" si="4"/>
        <v>5347.650905643015</v>
      </c>
      <c r="X537" s="12">
        <f>VLOOKUP(B537,'Datos Maestros'!$C$2:$D$7,2,FALSE)*V537</f>
        <v>0</v>
      </c>
      <c r="Y537" s="18">
        <f t="shared" si="5"/>
        <v>45880</v>
      </c>
      <c r="Z537" s="13" t="s">
        <v>39</v>
      </c>
      <c r="AA537" s="19" t="str">
        <f>VLOOKUP(D537,Clientes!$A$2:$J$486,9,FALSE)</f>
        <v>Frecuente</v>
      </c>
      <c r="AB537" s="13" t="str">
        <f>VLOOKUP(D537,Clientes!$A$2:$K$486,11,FALSE)</f>
        <v>Empresa</v>
      </c>
      <c r="AC537" s="13" t="str">
        <f>VLOOKUP(D537,Clientes!$A$2:$B$486,2,FALSE)</f>
        <v>Jardines de la viña</v>
      </c>
      <c r="AD537" s="20"/>
      <c r="AE537" s="20"/>
      <c r="AF537" s="13" t="s">
        <v>40</v>
      </c>
      <c r="AG537" s="15">
        <f t="shared" si="6"/>
        <v>45505</v>
      </c>
      <c r="AH537" s="13" t="s">
        <v>41</v>
      </c>
      <c r="AI537" s="13" t="str">
        <f t="shared" si="7"/>
        <v>Papeleria</v>
      </c>
      <c r="AJ537" s="13" t="str">
        <f>VLOOKUP(E537,Precios!Z$2:AA$941,2,FALSE)</f>
        <v>Toalla Papel NOVA 70 metros</v>
      </c>
      <c r="AK537" s="14">
        <f>VLOOKUP(E537,Precios!Z$2:BB$941,3,FALSE)*F537</f>
        <v>-8</v>
      </c>
      <c r="AL537" s="17"/>
      <c r="AM537" s="17"/>
      <c r="AN537" s="17"/>
      <c r="AO537" s="17"/>
      <c r="AP537" s="17"/>
      <c r="AQ537" s="17"/>
      <c r="AR537" s="17"/>
      <c r="AS537" s="17"/>
      <c r="AT537" s="17"/>
      <c r="AU537" s="17"/>
      <c r="AV537" s="17"/>
    </row>
    <row r="538" spans="1:48" ht="15.75" customHeight="1">
      <c r="A538" s="21" t="s">
        <v>53</v>
      </c>
      <c r="B538" s="23" t="s">
        <v>1692</v>
      </c>
      <c r="C538" s="22">
        <v>45885</v>
      </c>
      <c r="D538" s="23" t="s">
        <v>68</v>
      </c>
      <c r="E538" s="23" t="s">
        <v>55</v>
      </c>
      <c r="F538" s="21">
        <v>1</v>
      </c>
      <c r="G538" s="12">
        <f>VLOOKUP(E538,Precios!B$2:N$941,12,FALSE)</f>
        <v>20899.91124296327</v>
      </c>
      <c r="H538" s="12">
        <f t="shared" si="0"/>
        <v>20899.91124296327</v>
      </c>
      <c r="I538" s="23" t="s">
        <v>52</v>
      </c>
      <c r="J538" s="23" t="s">
        <v>61</v>
      </c>
      <c r="K538" s="24" t="s">
        <v>86</v>
      </c>
      <c r="L538" s="24">
        <v>107</v>
      </c>
      <c r="M538" s="12">
        <f t="shared" ref="M538:N538" si="543">G538/1.19</f>
        <v>17562.950624338882</v>
      </c>
      <c r="N538" s="12">
        <f t="shared" si="543"/>
        <v>17562.950624338882</v>
      </c>
      <c r="O538" s="12">
        <f t="shared" si="2"/>
        <v>3336.9606186243873</v>
      </c>
      <c r="P538" s="13"/>
      <c r="Q538" s="14">
        <f t="shared" si="3"/>
        <v>2025</v>
      </c>
      <c r="R538" s="15">
        <f>VLOOKUP(MONTH(C538),'Datos Maestros'!M$2:N$14,2,FALSE)</f>
        <v>45505</v>
      </c>
      <c r="S538" s="11" t="str">
        <f>VLOOKUP(E538,Precios!B$2:W$941,3,FALSE)</f>
        <v>Papel Higiénico ELITE</v>
      </c>
      <c r="T538" s="16">
        <f>VLOOKUP(E538,Precios!B$2:N$941,4,FALSE)*F538</f>
        <v>0</v>
      </c>
      <c r="U538" s="17"/>
      <c r="V538" s="12">
        <f>VLOOKUP(E538,Precios!B$2:N$941,13,FALSE)*F538</f>
        <v>3117.9506243388823</v>
      </c>
      <c r="W538" s="12">
        <f t="shared" si="4"/>
        <v>3117.9506243388823</v>
      </c>
      <c r="X538" s="12">
        <f>VLOOKUP(B538,'Datos Maestros'!$C$2:$D$7,2,FALSE)*V538</f>
        <v>0</v>
      </c>
      <c r="Y538" s="18">
        <f t="shared" si="5"/>
        <v>45880</v>
      </c>
      <c r="Z538" s="13" t="s">
        <v>39</v>
      </c>
      <c r="AA538" s="19" t="str">
        <f>VLOOKUP(D538,Clientes!$A$2:$J$486,9,FALSE)</f>
        <v>Frecuente</v>
      </c>
      <c r="AB538" s="13" t="str">
        <f>VLOOKUP(D538,Clientes!$A$2:$K$486,11,FALSE)</f>
        <v>Empresa</v>
      </c>
      <c r="AC538" s="13" t="str">
        <f>VLOOKUP(D538,Clientes!$A$2:$B$486,2,FALSE)</f>
        <v>Jardines de la viña</v>
      </c>
      <c r="AD538" s="20"/>
      <c r="AE538" s="20"/>
      <c r="AF538" s="13" t="s">
        <v>40</v>
      </c>
      <c r="AG538" s="15">
        <f t="shared" si="6"/>
        <v>45505</v>
      </c>
      <c r="AH538" s="13" t="s">
        <v>41</v>
      </c>
      <c r="AI538" s="13" t="str">
        <f t="shared" si="7"/>
        <v>Papeleria</v>
      </c>
      <c r="AJ538" s="13" t="str">
        <f>VLOOKUP(E538,Precios!Z$2:AA$941,2,FALSE)</f>
        <v>Papel Higienico ELITE 50 metros</v>
      </c>
      <c r="AK538" s="14">
        <f>VLOOKUP(E538,Precios!Z$2:BB$941,3,FALSE)*F538</f>
        <v>-8</v>
      </c>
      <c r="AL538" s="17"/>
      <c r="AM538" s="17"/>
      <c r="AN538" s="17"/>
      <c r="AO538" s="17"/>
      <c r="AP538" s="17"/>
      <c r="AQ538" s="17"/>
      <c r="AR538" s="17"/>
      <c r="AS538" s="17"/>
      <c r="AT538" s="17"/>
      <c r="AU538" s="17"/>
      <c r="AV538" s="17"/>
    </row>
    <row r="539" spans="1:48" ht="15.75" customHeight="1">
      <c r="A539" s="21" t="s">
        <v>76</v>
      </c>
      <c r="B539" s="23" t="s">
        <v>1692</v>
      </c>
      <c r="C539" s="22">
        <v>45885</v>
      </c>
      <c r="D539" s="23" t="s">
        <v>68</v>
      </c>
      <c r="E539" s="23" t="s">
        <v>81</v>
      </c>
      <c r="F539" s="21">
        <v>1</v>
      </c>
      <c r="G539" s="12">
        <f>VLOOKUP(E539,Precios!B$2:N$941,12,FALSE)</f>
        <v>3500.0000000000005</v>
      </c>
      <c r="H539" s="12">
        <f t="shared" si="0"/>
        <v>3500.0000000000005</v>
      </c>
      <c r="I539" s="23" t="s">
        <v>52</v>
      </c>
      <c r="J539" s="23" t="s">
        <v>61</v>
      </c>
      <c r="K539" s="24" t="s">
        <v>86</v>
      </c>
      <c r="L539" s="24">
        <v>107</v>
      </c>
      <c r="M539" s="12">
        <f t="shared" ref="M539:N539" si="544">G539/1.19</f>
        <v>2941.1764705882356</v>
      </c>
      <c r="N539" s="12">
        <f t="shared" si="544"/>
        <v>2941.1764705882356</v>
      </c>
      <c r="O539" s="12">
        <f t="shared" si="2"/>
        <v>558.82352941176487</v>
      </c>
      <c r="P539" s="13"/>
      <c r="Q539" s="14">
        <f t="shared" si="3"/>
        <v>2025</v>
      </c>
      <c r="R539" s="15">
        <f>VLOOKUP(MONTH(C539),'Datos Maestros'!M$2:N$14,2,FALSE)</f>
        <v>45505</v>
      </c>
      <c r="S539" s="11" t="str">
        <f>VLOOKUP(E539,Precios!B$2:W$941,3,FALSE)</f>
        <v>Detergente Premium</v>
      </c>
      <c r="T539" s="16">
        <f>VLOOKUP(E539,Precios!B$2:N$941,4,FALSE)*F539</f>
        <v>5</v>
      </c>
      <c r="U539" s="17"/>
      <c r="V539" s="12">
        <f>VLOOKUP(E539,Precios!B$2:N$941,13,FALSE)*F539</f>
        <v>764.70588235294144</v>
      </c>
      <c r="W539" s="12">
        <f t="shared" si="4"/>
        <v>764.70588235294144</v>
      </c>
      <c r="X539" s="12">
        <f>VLOOKUP(B539,'Datos Maestros'!$C$2:$D$7,2,FALSE)*V539</f>
        <v>0</v>
      </c>
      <c r="Y539" s="18">
        <f t="shared" si="5"/>
        <v>45880</v>
      </c>
      <c r="Z539" s="13" t="s">
        <v>39</v>
      </c>
      <c r="AA539" s="19" t="str">
        <f>VLOOKUP(D539,Clientes!$A$2:$J$486,9,FALSE)</f>
        <v>Frecuente</v>
      </c>
      <c r="AB539" s="13" t="str">
        <f>VLOOKUP(D539,Clientes!$A$2:$K$486,11,FALSE)</f>
        <v>Empresa</v>
      </c>
      <c r="AC539" s="13" t="str">
        <f>VLOOKUP(D539,Clientes!$A$2:$B$486,2,FALSE)</f>
        <v>Jardines de la viña</v>
      </c>
      <c r="AD539" s="20"/>
      <c r="AE539" s="20"/>
      <c r="AF539" s="13" t="s">
        <v>40</v>
      </c>
      <c r="AG539" s="15">
        <f t="shared" si="6"/>
        <v>45505</v>
      </c>
      <c r="AH539" s="13" t="s">
        <v>41</v>
      </c>
      <c r="AI539" s="13" t="str">
        <f t="shared" si="7"/>
        <v>Detergentes</v>
      </c>
      <c r="AJ539" s="13" t="str">
        <f>VLOOKUP(E539,Precios!Z$2:AA$941,2,FALSE)</f>
        <v>Detergente SPUM 5 Litros (Verde)</v>
      </c>
      <c r="AK539" s="14">
        <f>VLOOKUP(E539,Precios!Z$2:BB$941,3,FALSE)*F539</f>
        <v>-1</v>
      </c>
      <c r="AL539" s="17"/>
      <c r="AM539" s="17"/>
      <c r="AN539" s="17"/>
      <c r="AO539" s="17"/>
      <c r="AP539" s="17"/>
      <c r="AQ539" s="17"/>
      <c r="AR539" s="17"/>
      <c r="AS539" s="17"/>
      <c r="AT539" s="17"/>
      <c r="AU539" s="17"/>
      <c r="AV539" s="17"/>
    </row>
    <row r="540" spans="1:48" ht="15.75" customHeight="1">
      <c r="A540" s="21" t="s">
        <v>43</v>
      </c>
      <c r="B540" s="23" t="s">
        <v>1692</v>
      </c>
      <c r="C540" s="22">
        <v>45885</v>
      </c>
      <c r="D540" s="23" t="s">
        <v>68</v>
      </c>
      <c r="E540" s="23" t="s">
        <v>45</v>
      </c>
      <c r="F540" s="21">
        <v>1</v>
      </c>
      <c r="G540" s="12">
        <f>VLOOKUP(E540,Precios!B$2:N$941,12,FALSE)</f>
        <v>8000.1831784723063</v>
      </c>
      <c r="H540" s="12">
        <f t="shared" si="0"/>
        <v>8000.1831784723063</v>
      </c>
      <c r="I540" s="23" t="s">
        <v>52</v>
      </c>
      <c r="J540" s="23" t="s">
        <v>61</v>
      </c>
      <c r="K540" s="24" t="s">
        <v>86</v>
      </c>
      <c r="L540" s="24">
        <v>107</v>
      </c>
      <c r="M540" s="27">
        <f t="shared" ref="M540:N540" si="545">G540/1.19</f>
        <v>6722.8430071195853</v>
      </c>
      <c r="N540" s="12">
        <f t="shared" si="545"/>
        <v>6722.8430071195853</v>
      </c>
      <c r="O540" s="12">
        <f t="shared" si="2"/>
        <v>1277.340171352721</v>
      </c>
      <c r="P540" s="13"/>
      <c r="Q540" s="14">
        <f t="shared" si="3"/>
        <v>2025</v>
      </c>
      <c r="R540" s="15">
        <f>VLOOKUP(MONTH(C540),'Datos Maestros'!M$2:N$14,2,FALSE)</f>
        <v>45505</v>
      </c>
      <c r="S540" s="11" t="str">
        <f>VLOOKUP(E540,Precios!B$2:W$941,3,FALSE)</f>
        <v>Huevos EXTRA</v>
      </c>
      <c r="T540" s="16">
        <f>VLOOKUP(E540,Precios!B$2:N$941,4,FALSE)*F540</f>
        <v>0</v>
      </c>
      <c r="U540" s="17"/>
      <c r="V540" s="12">
        <f>VLOOKUP(E540,Precios!B$2:N$941,13,FALSE)*F540</f>
        <v>1151.6230071195851</v>
      </c>
      <c r="W540" s="12">
        <f t="shared" si="4"/>
        <v>1151.6230071195851</v>
      </c>
      <c r="X540" s="12">
        <f>VLOOKUP(B540,'Datos Maestros'!$C$2:$D$7,2,FALSE)*V540</f>
        <v>0</v>
      </c>
      <c r="Y540" s="18">
        <f t="shared" si="5"/>
        <v>45880</v>
      </c>
      <c r="Z540" s="13" t="s">
        <v>39</v>
      </c>
      <c r="AA540" s="19" t="str">
        <f>VLOOKUP(D540,Clientes!$A$2:$J$486,9,FALSE)</f>
        <v>Frecuente</v>
      </c>
      <c r="AB540" s="13" t="str">
        <f>VLOOKUP(D540,Clientes!$A$2:$K$486,11,FALSE)</f>
        <v>Empresa</v>
      </c>
      <c r="AC540" s="13" t="str">
        <f>VLOOKUP(D540,Clientes!$A$2:$B$486,2,FALSE)</f>
        <v>Jardines de la viña</v>
      </c>
      <c r="AD540" s="20"/>
      <c r="AE540" s="20"/>
      <c r="AF540" s="13" t="s">
        <v>40</v>
      </c>
      <c r="AG540" s="15">
        <f t="shared" si="6"/>
        <v>45505</v>
      </c>
      <c r="AH540" s="13" t="s">
        <v>41</v>
      </c>
      <c r="AI540" s="13" t="str">
        <f t="shared" si="7"/>
        <v>Huevos</v>
      </c>
      <c r="AJ540" s="13" t="str">
        <f>VLOOKUP(E540,Precios!Z$2:AA$941,2,FALSE)</f>
        <v>Bandeja Huevos EXTRA</v>
      </c>
      <c r="AK540" s="14">
        <f>VLOOKUP(E540,Precios!Z$2:BB$941,3,FALSE)*F540</f>
        <v>-1</v>
      </c>
      <c r="AL540" s="17"/>
      <c r="AM540" s="17"/>
      <c r="AN540" s="17"/>
      <c r="AO540" s="17"/>
      <c r="AP540" s="17"/>
      <c r="AQ540" s="17"/>
      <c r="AR540" s="17"/>
      <c r="AS540" s="17"/>
      <c r="AT540" s="17"/>
      <c r="AU540" s="17"/>
      <c r="AV540" s="17"/>
    </row>
    <row r="541" spans="1:48" ht="15.75" customHeight="1">
      <c r="A541" s="21" t="s">
        <v>47</v>
      </c>
      <c r="B541" s="23" t="s">
        <v>1692</v>
      </c>
      <c r="C541" s="22">
        <v>45885</v>
      </c>
      <c r="D541" s="23" t="s">
        <v>68</v>
      </c>
      <c r="E541" s="23" t="s">
        <v>306</v>
      </c>
      <c r="F541" s="21">
        <v>1</v>
      </c>
      <c r="G541" s="12">
        <f>VLOOKUP(E541,Precios!B$2:N$941,12,FALSE)</f>
        <v>8000.0000000000009</v>
      </c>
      <c r="H541" s="12">
        <f t="shared" si="0"/>
        <v>8000.0000000000009</v>
      </c>
      <c r="I541" s="23" t="s">
        <v>52</v>
      </c>
      <c r="J541" s="23" t="s">
        <v>61</v>
      </c>
      <c r="K541" s="24" t="s">
        <v>86</v>
      </c>
      <c r="L541" s="24">
        <v>107</v>
      </c>
      <c r="M541" s="27">
        <f t="shared" ref="M541:N541" si="546">G541/1.19</f>
        <v>6722.6890756302528</v>
      </c>
      <c r="N541" s="12">
        <f t="shared" si="546"/>
        <v>6722.6890756302528</v>
      </c>
      <c r="O541" s="12">
        <f t="shared" si="2"/>
        <v>1277.3109243697481</v>
      </c>
      <c r="P541" s="13"/>
      <c r="Q541" s="14">
        <f t="shared" si="3"/>
        <v>2025</v>
      </c>
      <c r="R541" s="15">
        <f>VLOOKUP(MONTH(C541),'Datos Maestros'!M$2:N$14,2,FALSE)</f>
        <v>45505</v>
      </c>
      <c r="S541" s="11" t="str">
        <f>VLOOKUP(E541,Precios!B$2:W$941,3,FALSE)</f>
        <v>Trapero Húmedo</v>
      </c>
      <c r="T541" s="16">
        <f>VLOOKUP(E541,Precios!B$2:N$941,4,FALSE)*F541</f>
        <v>0</v>
      </c>
      <c r="U541" s="17"/>
      <c r="V541" s="12">
        <f>VLOOKUP(E541,Precios!B$2:N$941,13,FALSE)*F541</f>
        <v>1781.5126050420176</v>
      </c>
      <c r="W541" s="12">
        <f t="shared" si="4"/>
        <v>1781.5126050420176</v>
      </c>
      <c r="X541" s="12">
        <f>VLOOKUP(B541,'Datos Maestros'!$C$2:$D$7,2,FALSE)*V541</f>
        <v>0</v>
      </c>
      <c r="Y541" s="18">
        <f t="shared" si="5"/>
        <v>45880</v>
      </c>
      <c r="Z541" s="13" t="s">
        <v>39</v>
      </c>
      <c r="AA541" s="19" t="str">
        <f>VLOOKUP(D541,Clientes!$A$2:$J$486,9,FALSE)</f>
        <v>Frecuente</v>
      </c>
      <c r="AB541" s="13" t="str">
        <f>VLOOKUP(D541,Clientes!$A$2:$K$486,11,FALSE)</f>
        <v>Empresa</v>
      </c>
      <c r="AC541" s="13" t="str">
        <f>VLOOKUP(D541,Clientes!$A$2:$B$486,2,FALSE)</f>
        <v>Jardines de la viña</v>
      </c>
      <c r="AD541" s="20"/>
      <c r="AE541" s="20"/>
      <c r="AF541" s="13" t="s">
        <v>40</v>
      </c>
      <c r="AG541" s="15">
        <f t="shared" si="6"/>
        <v>45505</v>
      </c>
      <c r="AH541" s="13" t="s">
        <v>41</v>
      </c>
      <c r="AI541" s="13" t="str">
        <f t="shared" si="7"/>
        <v>Articulos de Aseo</v>
      </c>
      <c r="AJ541" s="13" t="str">
        <f>VLOOKUP(E541,Precios!Z$2:AA$941,2,FALSE)</f>
        <v>Traperos Humedos VIRGINIA</v>
      </c>
      <c r="AK541" s="14">
        <f>VLOOKUP(E541,Precios!Z$2:BB$941,3,FALSE)*F541</f>
        <v>-3</v>
      </c>
      <c r="AL541" s="17"/>
      <c r="AM541" s="17"/>
      <c r="AN541" s="17"/>
      <c r="AO541" s="17"/>
      <c r="AP541" s="17"/>
      <c r="AQ541" s="17"/>
      <c r="AR541" s="17"/>
      <c r="AS541" s="17"/>
      <c r="AT541" s="17"/>
      <c r="AU541" s="17"/>
      <c r="AV541" s="17"/>
    </row>
    <row r="542" spans="1:48" ht="15.75" customHeight="1">
      <c r="A542" s="21" t="s">
        <v>53</v>
      </c>
      <c r="B542" s="23" t="s">
        <v>1692</v>
      </c>
      <c r="C542" s="22">
        <v>45885</v>
      </c>
      <c r="D542" s="23" t="s">
        <v>68</v>
      </c>
      <c r="E542" s="23" t="s">
        <v>70</v>
      </c>
      <c r="F542" s="21">
        <v>1</v>
      </c>
      <c r="G542" s="12">
        <f>VLOOKUP(E542,Precios!B$2:N$941,12,FALSE)</f>
        <v>5000.3257328990221</v>
      </c>
      <c r="H542" s="12">
        <f t="shared" si="0"/>
        <v>5000.3257328990221</v>
      </c>
      <c r="I542" s="23" t="s">
        <v>52</v>
      </c>
      <c r="J542" s="23" t="s">
        <v>61</v>
      </c>
      <c r="K542" s="24" t="s">
        <v>86</v>
      </c>
      <c r="L542" s="24">
        <v>107</v>
      </c>
      <c r="M542" s="12">
        <f t="shared" ref="M542:N542" si="547">G542/1.19</f>
        <v>4201.9543973941363</v>
      </c>
      <c r="N542" s="12">
        <f t="shared" si="547"/>
        <v>4201.9543973941363</v>
      </c>
      <c r="O542" s="12">
        <f t="shared" si="2"/>
        <v>798.37133550488579</v>
      </c>
      <c r="P542" s="13"/>
      <c r="Q542" s="14">
        <f t="shared" si="3"/>
        <v>2025</v>
      </c>
      <c r="R542" s="15">
        <f>VLOOKUP(MONTH(C542),'Datos Maestros'!M$2:N$14,2,FALSE)</f>
        <v>45505</v>
      </c>
      <c r="S542" s="11" t="str">
        <f>VLOOKUP(E542,Precios!B$2:W$941,3,FALSE)</f>
        <v>Servilletas</v>
      </c>
      <c r="T542" s="16">
        <f>VLOOKUP(E542,Precios!B$2:N$941,4,FALSE)*F542</f>
        <v>300</v>
      </c>
      <c r="U542" s="17"/>
      <c r="V542" s="12">
        <f>VLOOKUP(E542,Precios!B$2:N$941,13,FALSE)*F542</f>
        <v>2008.9543973941363</v>
      </c>
      <c r="W542" s="12">
        <f t="shared" si="4"/>
        <v>2008.9543973941363</v>
      </c>
      <c r="X542" s="12">
        <f>VLOOKUP(B542,'Datos Maestros'!$C$2:$D$7,2,FALSE)*V542</f>
        <v>0</v>
      </c>
      <c r="Y542" s="18">
        <f t="shared" si="5"/>
        <v>45880</v>
      </c>
      <c r="Z542" s="13" t="s">
        <v>39</v>
      </c>
      <c r="AA542" s="19" t="str">
        <f>VLOOKUP(D542,Clientes!$A$2:$J$486,9,FALSE)</f>
        <v>Frecuente</v>
      </c>
      <c r="AB542" s="13" t="str">
        <f>VLOOKUP(D542,Clientes!$A$2:$K$486,11,FALSE)</f>
        <v>Empresa</v>
      </c>
      <c r="AC542" s="13" t="str">
        <f>VLOOKUP(D542,Clientes!$A$2:$B$486,2,FALSE)</f>
        <v>Jardines de la viña</v>
      </c>
      <c r="AD542" s="20"/>
      <c r="AE542" s="20"/>
      <c r="AF542" s="13" t="s">
        <v>40</v>
      </c>
      <c r="AG542" s="15">
        <f t="shared" si="6"/>
        <v>45505</v>
      </c>
      <c r="AH542" s="13" t="s">
        <v>41</v>
      </c>
      <c r="AI542" s="13" t="str">
        <f t="shared" si="7"/>
        <v>Papeleria</v>
      </c>
      <c r="AJ542" s="13" t="str">
        <f>VLOOKUP(E542,Precios!Z$2:AA$941,2,FALSE)</f>
        <v>Servilletas SOFTQUALITY 300 unidades</v>
      </c>
      <c r="AK542" s="14">
        <f>VLOOKUP(E542,Precios!Z$2:BB$941,3,FALSE)*F542</f>
        <v>-3</v>
      </c>
      <c r="AL542" s="17"/>
      <c r="AM542" s="17"/>
      <c r="AN542" s="17"/>
      <c r="AO542" s="17"/>
      <c r="AP542" s="17"/>
      <c r="AQ542" s="17"/>
      <c r="AR542" s="17"/>
      <c r="AS542" s="17"/>
      <c r="AT542" s="17"/>
      <c r="AU542" s="17"/>
      <c r="AV542" s="17"/>
    </row>
    <row r="543" spans="1:48" ht="15.75" customHeight="1">
      <c r="A543" s="21" t="s">
        <v>47</v>
      </c>
      <c r="B543" s="23" t="s">
        <v>1692</v>
      </c>
      <c r="C543" s="22">
        <v>45885</v>
      </c>
      <c r="D543" s="23" t="s">
        <v>68</v>
      </c>
      <c r="E543" s="23" t="s">
        <v>105</v>
      </c>
      <c r="F543" s="21">
        <v>1</v>
      </c>
      <c r="G543" s="12">
        <f>VLOOKUP(E543,Precios!B$2:N$941,12,FALSE)</f>
        <v>1100.0000000000002</v>
      </c>
      <c r="H543" s="12">
        <f t="shared" si="0"/>
        <v>1100.0000000000002</v>
      </c>
      <c r="I543" s="23" t="s">
        <v>52</v>
      </c>
      <c r="J543" s="23" t="s">
        <v>61</v>
      </c>
      <c r="K543" s="24" t="s">
        <v>86</v>
      </c>
      <c r="L543" s="24">
        <v>107</v>
      </c>
      <c r="M543" s="12">
        <f t="shared" ref="M543:N543" si="548">G543/1.19</f>
        <v>924.36974789915985</v>
      </c>
      <c r="N543" s="12">
        <f t="shared" si="548"/>
        <v>924.36974789915985</v>
      </c>
      <c r="O543" s="12">
        <f t="shared" si="2"/>
        <v>175.63025210084038</v>
      </c>
      <c r="P543" s="13"/>
      <c r="Q543" s="14">
        <f t="shared" si="3"/>
        <v>2025</v>
      </c>
      <c r="R543" s="15">
        <f>VLOOKUP(MONTH(C543),'Datos Maestros'!M$2:N$14,2,FALSE)</f>
        <v>45505</v>
      </c>
      <c r="S543" s="11" t="str">
        <f>VLOOKUP(E543,Precios!B$2:W$941,3,FALSE)</f>
        <v>Paños esponja Teddy (3)</v>
      </c>
      <c r="T543" s="16">
        <f>VLOOKUP(E543,Precios!B$2:N$941,4,FALSE)*F543</f>
        <v>0</v>
      </c>
      <c r="U543" s="17"/>
      <c r="V543" s="12">
        <f>VLOOKUP(E543,Precios!B$2:N$941,13,FALSE)*F543</f>
        <v>342.857142857143</v>
      </c>
      <c r="W543" s="12">
        <f t="shared" si="4"/>
        <v>342.857142857143</v>
      </c>
      <c r="X543" s="12">
        <f>VLOOKUP(B543,'Datos Maestros'!$C$2:$D$7,2,FALSE)*V543</f>
        <v>0</v>
      </c>
      <c r="Y543" s="18">
        <f t="shared" si="5"/>
        <v>45880</v>
      </c>
      <c r="Z543" s="13" t="s">
        <v>39</v>
      </c>
      <c r="AA543" s="19" t="str">
        <f>VLOOKUP(D543,Clientes!$A$2:$J$486,9,FALSE)</f>
        <v>Frecuente</v>
      </c>
      <c r="AB543" s="13" t="str">
        <f>VLOOKUP(D543,Clientes!$A$2:$K$486,11,FALSE)</f>
        <v>Empresa</v>
      </c>
      <c r="AC543" s="13" t="str">
        <f>VLOOKUP(D543,Clientes!$A$2:$B$486,2,FALSE)</f>
        <v>Jardines de la viña</v>
      </c>
      <c r="AD543" s="20"/>
      <c r="AE543" s="20"/>
      <c r="AF543" s="13" t="s">
        <v>40</v>
      </c>
      <c r="AG543" s="15">
        <f t="shared" si="6"/>
        <v>45505</v>
      </c>
      <c r="AH543" s="13" t="s">
        <v>41</v>
      </c>
      <c r="AI543" s="13" t="str">
        <f t="shared" si="7"/>
        <v>Articulos de Aseo</v>
      </c>
      <c r="AJ543" s="13" t="str">
        <f>VLOOKUP(E543,Precios!Z$2:AA$941,2,FALSE)</f>
        <v>Paños Esponja TEDDY</v>
      </c>
      <c r="AK543" s="14">
        <f>VLOOKUP(E543,Precios!Z$2:BB$941,3,FALSE)*F543</f>
        <v>-1</v>
      </c>
      <c r="AL543" s="17"/>
      <c r="AM543" s="17"/>
      <c r="AN543" s="17"/>
      <c r="AO543" s="17"/>
      <c r="AP543" s="17"/>
      <c r="AQ543" s="17"/>
      <c r="AR543" s="17"/>
      <c r="AS543" s="17"/>
      <c r="AT543" s="17"/>
      <c r="AU543" s="17"/>
      <c r="AV543" s="17"/>
    </row>
    <row r="544" spans="1:48" ht="15.75" customHeight="1">
      <c r="A544" s="21" t="s">
        <v>76</v>
      </c>
      <c r="B544" s="23" t="s">
        <v>1692</v>
      </c>
      <c r="C544" s="22">
        <v>45885</v>
      </c>
      <c r="D544" s="23" t="s">
        <v>68</v>
      </c>
      <c r="E544" s="23" t="s">
        <v>98</v>
      </c>
      <c r="F544" s="21">
        <v>1</v>
      </c>
      <c r="G544" s="12">
        <f>VLOOKUP(E544,Precios!B$2:N$941,12,FALSE)</f>
        <v>2600.0000000000005</v>
      </c>
      <c r="H544" s="12">
        <f t="shared" si="0"/>
        <v>2600.0000000000005</v>
      </c>
      <c r="I544" s="23" t="s">
        <v>52</v>
      </c>
      <c r="J544" s="23" t="s">
        <v>61</v>
      </c>
      <c r="K544" s="24" t="s">
        <v>86</v>
      </c>
      <c r="L544" s="24">
        <v>107</v>
      </c>
      <c r="M544" s="12">
        <f t="shared" ref="M544:N544" si="549">G544/1.19</f>
        <v>2184.8739495798322</v>
      </c>
      <c r="N544" s="12">
        <f t="shared" si="549"/>
        <v>2184.8739495798322</v>
      </c>
      <c r="O544" s="12">
        <f t="shared" si="2"/>
        <v>415.12605042016821</v>
      </c>
      <c r="P544" s="13"/>
      <c r="Q544" s="14">
        <f t="shared" si="3"/>
        <v>2025</v>
      </c>
      <c r="R544" s="15">
        <f>VLOOKUP(MONTH(C544),'Datos Maestros'!M$2:N$14,2,FALSE)</f>
        <v>45505</v>
      </c>
      <c r="S544" s="11" t="str">
        <f>VLOOKUP(E544,Precios!B$2:W$941,3,FALSE)</f>
        <v>Lavaloza</v>
      </c>
      <c r="T544" s="16">
        <f>VLOOKUP(E544,Precios!B$2:N$941,4,FALSE)*F544</f>
        <v>0</v>
      </c>
      <c r="U544" s="17"/>
      <c r="V544" s="12">
        <f>VLOOKUP(E544,Precios!B$2:N$941,13,FALSE)*F544</f>
        <v>1052.1008403361348</v>
      </c>
      <c r="W544" s="12">
        <f t="shared" si="4"/>
        <v>1052.1008403361348</v>
      </c>
      <c r="X544" s="12">
        <f>VLOOKUP(B544,'Datos Maestros'!$C$2:$D$7,2,FALSE)*V544</f>
        <v>0</v>
      </c>
      <c r="Y544" s="18">
        <f t="shared" si="5"/>
        <v>45880</v>
      </c>
      <c r="Z544" s="13" t="s">
        <v>39</v>
      </c>
      <c r="AA544" s="19" t="str">
        <f>VLOOKUP(D544,Clientes!$A$2:$J$486,9,FALSE)</f>
        <v>Frecuente</v>
      </c>
      <c r="AB544" s="13" t="str">
        <f>VLOOKUP(D544,Clientes!$A$2:$K$486,11,FALSE)</f>
        <v>Empresa</v>
      </c>
      <c r="AC544" s="13" t="str">
        <f>VLOOKUP(D544,Clientes!$A$2:$B$486,2,FALSE)</f>
        <v>Jardines de la viña</v>
      </c>
      <c r="AD544" s="20"/>
      <c r="AE544" s="20"/>
      <c r="AF544" s="13" t="s">
        <v>40</v>
      </c>
      <c r="AG544" s="15">
        <f t="shared" si="6"/>
        <v>45505</v>
      </c>
      <c r="AH544" s="13" t="s">
        <v>41</v>
      </c>
      <c r="AI544" s="13" t="str">
        <f t="shared" si="7"/>
        <v>Detergentes</v>
      </c>
      <c r="AJ544" s="13" t="str">
        <f>VLOOKUP(E544,Precios!Z$2:AA$941,2,FALSE)</f>
        <v>Lavaloza QUIX 750 cc</v>
      </c>
      <c r="AK544" s="14">
        <f>VLOOKUP(E544,Precios!Z$2:BB$941,3,FALSE)*F544</f>
        <v>-1</v>
      </c>
      <c r="AL544" s="17"/>
      <c r="AM544" s="17"/>
      <c r="AN544" s="17"/>
      <c r="AO544" s="17"/>
      <c r="AP544" s="17"/>
      <c r="AQ544" s="17"/>
      <c r="AR544" s="17"/>
      <c r="AS544" s="17"/>
      <c r="AT544" s="17"/>
      <c r="AU544" s="17"/>
      <c r="AV544" s="17"/>
    </row>
    <row r="545" spans="1:48" ht="15.75" customHeight="1">
      <c r="A545" s="21" t="s">
        <v>76</v>
      </c>
      <c r="B545" s="23" t="s">
        <v>1692</v>
      </c>
      <c r="C545" s="22">
        <v>45885</v>
      </c>
      <c r="D545" s="23" t="s">
        <v>68</v>
      </c>
      <c r="E545" s="23" t="s">
        <v>194</v>
      </c>
      <c r="F545" s="21">
        <v>1</v>
      </c>
      <c r="G545" s="12">
        <f>VLOOKUP(E545,Precios!B$2:N$941,12,FALSE)</f>
        <v>2400</v>
      </c>
      <c r="H545" s="12">
        <f t="shared" si="0"/>
        <v>2400</v>
      </c>
      <c r="I545" s="23" t="s">
        <v>52</v>
      </c>
      <c r="J545" s="23" t="s">
        <v>61</v>
      </c>
      <c r="K545" s="24" t="s">
        <v>86</v>
      </c>
      <c r="L545" s="24">
        <v>107</v>
      </c>
      <c r="M545" s="12">
        <f t="shared" ref="M545:N545" si="550">G545/1.19</f>
        <v>2016.8067226890757</v>
      </c>
      <c r="N545" s="12">
        <f t="shared" si="550"/>
        <v>2016.8067226890757</v>
      </c>
      <c r="O545" s="12">
        <f t="shared" si="2"/>
        <v>383.19327731092426</v>
      </c>
      <c r="P545" s="13"/>
      <c r="Q545" s="14">
        <f t="shared" si="3"/>
        <v>2025</v>
      </c>
      <c r="R545" s="15">
        <f>VLOOKUP(MONTH(C545),'Datos Maestros'!M$2:N$14,2,FALSE)</f>
        <v>45505</v>
      </c>
      <c r="S545" s="11" t="str">
        <f>VLOOKUP(E545,Precios!B$2:W$941,3,FALSE)</f>
        <v>Cif</v>
      </c>
      <c r="T545" s="16">
        <f>VLOOKUP(E545,Precios!B$2:N$941,4,FALSE)*F545</f>
        <v>0</v>
      </c>
      <c r="U545" s="17"/>
      <c r="V545" s="12">
        <f>VLOOKUP(E545,Precios!B$2:N$941,13,FALSE)*F545</f>
        <v>959.6638655462184</v>
      </c>
      <c r="W545" s="12">
        <f t="shared" si="4"/>
        <v>959.6638655462184</v>
      </c>
      <c r="X545" s="12">
        <f>VLOOKUP(B545,'Datos Maestros'!$C$2:$D$7,2,FALSE)*V545</f>
        <v>0</v>
      </c>
      <c r="Y545" s="18">
        <f t="shared" si="5"/>
        <v>45880</v>
      </c>
      <c r="Z545" s="13" t="s">
        <v>39</v>
      </c>
      <c r="AA545" s="19" t="str">
        <f>VLOOKUP(D545,Clientes!$A$2:$J$486,9,FALSE)</f>
        <v>Frecuente</v>
      </c>
      <c r="AB545" s="13" t="str">
        <f>VLOOKUP(D545,Clientes!$A$2:$K$486,11,FALSE)</f>
        <v>Empresa</v>
      </c>
      <c r="AC545" s="13" t="str">
        <f>VLOOKUP(D545,Clientes!$A$2:$B$486,2,FALSE)</f>
        <v>Jardines de la viña</v>
      </c>
      <c r="AD545" s="20"/>
      <c r="AE545" s="20"/>
      <c r="AF545" s="13" t="s">
        <v>40</v>
      </c>
      <c r="AG545" s="15">
        <f t="shared" si="6"/>
        <v>45505</v>
      </c>
      <c r="AH545" s="13" t="s">
        <v>41</v>
      </c>
      <c r="AI545" s="13" t="str">
        <f t="shared" si="7"/>
        <v>Detergentes</v>
      </c>
      <c r="AJ545" s="13" t="str">
        <f>VLOOKUP(E545,Precios!Z$2:AA$941,2,FALSE)</f>
        <v>CIF 750 cc</v>
      </c>
      <c r="AK545" s="14">
        <f>VLOOKUP(E545,Precios!Z$2:BB$941,3,FALSE)*F545</f>
        <v>-1</v>
      </c>
      <c r="AL545" s="17"/>
      <c r="AM545" s="17"/>
      <c r="AN545" s="17"/>
      <c r="AO545" s="17"/>
      <c r="AP545" s="17"/>
      <c r="AQ545" s="17"/>
      <c r="AR545" s="17"/>
      <c r="AS545" s="17"/>
      <c r="AT545" s="17"/>
      <c r="AU545" s="17"/>
      <c r="AV545" s="17"/>
    </row>
    <row r="546" spans="1:48" ht="15.75" customHeight="1">
      <c r="A546" s="21" t="s">
        <v>76</v>
      </c>
      <c r="B546" s="23" t="s">
        <v>1692</v>
      </c>
      <c r="C546" s="22">
        <v>45885</v>
      </c>
      <c r="D546" s="23" t="s">
        <v>68</v>
      </c>
      <c r="E546" s="23" t="s">
        <v>77</v>
      </c>
      <c r="F546" s="21">
        <v>1</v>
      </c>
      <c r="G546" s="12">
        <f>VLOOKUP(E546,Precios!B$2:N$941,12,FALSE)</f>
        <v>1700.1361470388019</v>
      </c>
      <c r="H546" s="12">
        <f t="shared" si="0"/>
        <v>1700.1361470388019</v>
      </c>
      <c r="I546" s="23" t="s">
        <v>52</v>
      </c>
      <c r="J546" s="23" t="s">
        <v>61</v>
      </c>
      <c r="K546" s="24" t="s">
        <v>86</v>
      </c>
      <c r="L546" s="24">
        <v>107</v>
      </c>
      <c r="M546" s="27">
        <f t="shared" ref="M546:N546" si="551">G546/1.19</f>
        <v>1428.6858378477327</v>
      </c>
      <c r="N546" s="12">
        <f t="shared" si="551"/>
        <v>1428.6858378477327</v>
      </c>
      <c r="O546" s="12">
        <f t="shared" si="2"/>
        <v>271.45030919106921</v>
      </c>
      <c r="P546" s="13"/>
      <c r="Q546" s="14">
        <f t="shared" si="3"/>
        <v>2025</v>
      </c>
      <c r="R546" s="15">
        <f>VLOOKUP(MONTH(C546),'Datos Maestros'!M$2:N$14,2,FALSE)</f>
        <v>45505</v>
      </c>
      <c r="S546" s="11" t="str">
        <f>VLOOKUP(E546,Precios!B$2:W$941,3,FALSE)</f>
        <v>Cloro Gel</v>
      </c>
      <c r="T546" s="16">
        <f>VLOOKUP(E546,Precios!B$2:N$941,4,FALSE)*F546</f>
        <v>0</v>
      </c>
      <c r="U546" s="17"/>
      <c r="V546" s="12">
        <f>VLOOKUP(E546,Precios!B$2:N$941,13,FALSE)*F546</f>
        <v>589.19003952840501</v>
      </c>
      <c r="W546" s="12">
        <f t="shared" si="4"/>
        <v>589.19003952840501</v>
      </c>
      <c r="X546" s="12">
        <f>VLOOKUP(B546,'Datos Maestros'!$C$2:$D$7,2,FALSE)*V546</f>
        <v>0</v>
      </c>
      <c r="Y546" s="18">
        <f t="shared" si="5"/>
        <v>45880</v>
      </c>
      <c r="Z546" s="13" t="s">
        <v>39</v>
      </c>
      <c r="AA546" s="19" t="str">
        <f>VLOOKUP(D546,Clientes!$A$2:$J$486,9,FALSE)</f>
        <v>Frecuente</v>
      </c>
      <c r="AB546" s="13" t="str">
        <f>VLOOKUP(D546,Clientes!$A$2:$K$486,11,FALSE)</f>
        <v>Empresa</v>
      </c>
      <c r="AC546" s="13" t="str">
        <f>VLOOKUP(D546,Clientes!$A$2:$B$486,2,FALSE)</f>
        <v>Jardines de la viña</v>
      </c>
      <c r="AD546" s="20"/>
      <c r="AE546" s="20"/>
      <c r="AF546" s="13" t="s">
        <v>40</v>
      </c>
      <c r="AG546" s="15">
        <f t="shared" si="6"/>
        <v>45505</v>
      </c>
      <c r="AH546" s="13" t="s">
        <v>41</v>
      </c>
      <c r="AI546" s="13" t="str">
        <f t="shared" si="7"/>
        <v>Detergentes</v>
      </c>
      <c r="AJ546" s="13" t="str">
        <f>VLOOKUP(E546,Precios!Z$2:AA$941,2,FALSE)</f>
        <v>Cloro GEL IGENIX 900ml</v>
      </c>
      <c r="AK546" s="14">
        <f>VLOOKUP(E546,Precios!Z$2:BB$941,3,FALSE)*F546</f>
        <v>-1</v>
      </c>
      <c r="AL546" s="17"/>
      <c r="AM546" s="17"/>
      <c r="AN546" s="17"/>
      <c r="AO546" s="17"/>
      <c r="AP546" s="17"/>
      <c r="AQ546" s="17"/>
      <c r="AR546" s="17"/>
      <c r="AS546" s="17"/>
      <c r="AT546" s="17"/>
      <c r="AU546" s="17"/>
      <c r="AV546" s="17"/>
    </row>
    <row r="547" spans="1:48" ht="15.75" customHeight="1">
      <c r="A547" s="21" t="s">
        <v>53</v>
      </c>
      <c r="B547" s="23" t="s">
        <v>1692</v>
      </c>
      <c r="C547" s="22">
        <v>45885</v>
      </c>
      <c r="D547" s="23" t="s">
        <v>122</v>
      </c>
      <c r="E547" s="23" t="s">
        <v>97</v>
      </c>
      <c r="F547" s="21">
        <v>1</v>
      </c>
      <c r="G547" s="12">
        <f>VLOOKUP(E547,Precios!B$2:N$941,12,FALSE)</f>
        <v>16500.236769693482</v>
      </c>
      <c r="H547" s="12">
        <f t="shared" si="0"/>
        <v>16500.236769693482</v>
      </c>
      <c r="I547" s="23" t="s">
        <v>52</v>
      </c>
      <c r="J547" s="23" t="s">
        <v>61</v>
      </c>
      <c r="K547" s="24" t="s">
        <v>177</v>
      </c>
      <c r="L547" s="24">
        <v>171</v>
      </c>
      <c r="M547" s="12">
        <f t="shared" ref="M547:N547" si="552">G547/1.19</f>
        <v>13865.745184616371</v>
      </c>
      <c r="N547" s="12">
        <f t="shared" si="552"/>
        <v>13865.745184616371</v>
      </c>
      <c r="O547" s="12">
        <f t="shared" si="2"/>
        <v>2634.4915850771104</v>
      </c>
      <c r="P547" s="13"/>
      <c r="Q547" s="14">
        <f t="shared" si="3"/>
        <v>2025</v>
      </c>
      <c r="R547" s="15">
        <f>VLOOKUP(MONTH(C547),'Datos Maestros'!M$2:N$14,2,FALSE)</f>
        <v>45505</v>
      </c>
      <c r="S547" s="11" t="str">
        <f>VLOOKUP(E547,Precios!B$2:W$941,3,FALSE)</f>
        <v>Papel Higiénico ELITE</v>
      </c>
      <c r="T547" s="16">
        <f>VLOOKUP(E547,Precios!B$2:N$941,4,FALSE)*F547</f>
        <v>0</v>
      </c>
      <c r="U547" s="17"/>
      <c r="V547" s="12">
        <f>VLOOKUP(E547,Precios!B$2:N$941,13,FALSE)*F547</f>
        <v>3031.7451846163694</v>
      </c>
      <c r="W547" s="12">
        <f t="shared" si="4"/>
        <v>3031.7451846163694</v>
      </c>
      <c r="X547" s="12">
        <f>VLOOKUP(B547,'Datos Maestros'!$C$2:$D$7,2,FALSE)*V547</f>
        <v>0</v>
      </c>
      <c r="Y547" s="18">
        <f t="shared" si="5"/>
        <v>45880</v>
      </c>
      <c r="Z547" s="13" t="s">
        <v>39</v>
      </c>
      <c r="AA547" s="19" t="str">
        <f>VLOOKUP(D547,Clientes!$A$2:$J$486,9,FALSE)</f>
        <v>Frecuente</v>
      </c>
      <c r="AB547" s="13" t="str">
        <f>VLOOKUP(D547,Clientes!$A$2:$K$486,11,FALSE)</f>
        <v>Persona Natural</v>
      </c>
      <c r="AC547" s="13" t="str">
        <f>VLOOKUP(D547,Clientes!$A$2:$B$486,2,FALSE)</f>
        <v>Jardines de la Viña</v>
      </c>
      <c r="AD547" s="20"/>
      <c r="AE547" s="20"/>
      <c r="AF547" s="13" t="s">
        <v>40</v>
      </c>
      <c r="AG547" s="15">
        <f t="shared" si="6"/>
        <v>45505</v>
      </c>
      <c r="AH547" s="13" t="s">
        <v>41</v>
      </c>
      <c r="AI547" s="13" t="str">
        <f t="shared" si="7"/>
        <v>Papeleria</v>
      </c>
      <c r="AJ547" s="13" t="str">
        <f>VLOOKUP(E547,Precios!Z$2:AA$941,2,FALSE)</f>
        <v>Papel Higienico ELITE 50 metros</v>
      </c>
      <c r="AK547" s="14">
        <f>VLOOKUP(E547,Precios!Z$2:BB$941,3,FALSE)*F547</f>
        <v>-6</v>
      </c>
      <c r="AL547" s="17"/>
      <c r="AM547" s="17"/>
      <c r="AN547" s="17"/>
      <c r="AO547" s="17"/>
      <c r="AP547" s="17"/>
      <c r="AQ547" s="17"/>
      <c r="AR547" s="17"/>
      <c r="AS547" s="17"/>
      <c r="AT547" s="17"/>
      <c r="AU547" s="17"/>
      <c r="AV547" s="17"/>
    </row>
    <row r="548" spans="1:48" ht="15.75" customHeight="1">
      <c r="A548" s="21" t="s">
        <v>53</v>
      </c>
      <c r="B548" s="23" t="s">
        <v>1692</v>
      </c>
      <c r="C548" s="22">
        <v>45885</v>
      </c>
      <c r="D548" s="23" t="s">
        <v>122</v>
      </c>
      <c r="E548" s="23" t="s">
        <v>274</v>
      </c>
      <c r="F548" s="21">
        <v>1</v>
      </c>
      <c r="G548" s="12">
        <f>VLOOKUP(E548,Precios!B$2:N$941,12,FALSE)</f>
        <v>22500.104577715188</v>
      </c>
      <c r="H548" s="12">
        <f t="shared" si="0"/>
        <v>22500.104577715188</v>
      </c>
      <c r="I548" s="23" t="s">
        <v>52</v>
      </c>
      <c r="J548" s="23" t="s">
        <v>61</v>
      </c>
      <c r="K548" s="24" t="s">
        <v>177</v>
      </c>
      <c r="L548" s="24">
        <v>171</v>
      </c>
      <c r="M548" s="12">
        <f t="shared" ref="M548:N548" si="553">G548/1.19</f>
        <v>18907.650905643015</v>
      </c>
      <c r="N548" s="12">
        <f t="shared" si="553"/>
        <v>18907.650905643015</v>
      </c>
      <c r="O548" s="12">
        <f t="shared" si="2"/>
        <v>3592.4536720721735</v>
      </c>
      <c r="P548" s="13"/>
      <c r="Q548" s="14">
        <f t="shared" si="3"/>
        <v>2025</v>
      </c>
      <c r="R548" s="15">
        <f>VLOOKUP(MONTH(C548),'Datos Maestros'!M$2:N$14,2,FALSE)</f>
        <v>45505</v>
      </c>
      <c r="S548" s="11" t="str">
        <f>VLOOKUP(E548,Precios!B$2:W$941,3,FALSE)</f>
        <v>Toalla Nova 70 mts</v>
      </c>
      <c r="T548" s="16">
        <f>VLOOKUP(E548,Precios!B$2:N$941,4,FALSE)*F548</f>
        <v>0</v>
      </c>
      <c r="U548" s="17"/>
      <c r="V548" s="12">
        <f>VLOOKUP(E548,Precios!B$2:N$941,13,FALSE)*F548</f>
        <v>5347.650905643015</v>
      </c>
      <c r="W548" s="12">
        <f t="shared" si="4"/>
        <v>5347.650905643015</v>
      </c>
      <c r="X548" s="12">
        <f>VLOOKUP(B548,'Datos Maestros'!$C$2:$D$7,2,FALSE)*V548</f>
        <v>0</v>
      </c>
      <c r="Y548" s="18">
        <f t="shared" si="5"/>
        <v>45880</v>
      </c>
      <c r="Z548" s="13" t="s">
        <v>39</v>
      </c>
      <c r="AA548" s="19" t="str">
        <f>VLOOKUP(D548,Clientes!$A$2:$J$486,9,FALSE)</f>
        <v>Frecuente</v>
      </c>
      <c r="AB548" s="13" t="str">
        <f>VLOOKUP(D548,Clientes!$A$2:$K$486,11,FALSE)</f>
        <v>Persona Natural</v>
      </c>
      <c r="AC548" s="13" t="str">
        <f>VLOOKUP(D548,Clientes!$A$2:$B$486,2,FALSE)</f>
        <v>Jardines de la Viña</v>
      </c>
      <c r="AD548" s="20"/>
      <c r="AE548" s="20"/>
      <c r="AF548" s="13" t="s">
        <v>40</v>
      </c>
      <c r="AG548" s="15">
        <f t="shared" si="6"/>
        <v>45505</v>
      </c>
      <c r="AH548" s="13" t="s">
        <v>41</v>
      </c>
      <c r="AI548" s="13" t="str">
        <f t="shared" si="7"/>
        <v>Papeleria</v>
      </c>
      <c r="AJ548" s="13" t="str">
        <f>VLOOKUP(E548,Precios!Z$2:AA$941,2,FALSE)</f>
        <v>Toalla Papel NOVA 70 metros</v>
      </c>
      <c r="AK548" s="14">
        <f>VLOOKUP(E548,Precios!Z$2:BB$941,3,FALSE)*F548</f>
        <v>-8</v>
      </c>
      <c r="AL548" s="17"/>
      <c r="AM548" s="17"/>
      <c r="AN548" s="17"/>
      <c r="AO548" s="17"/>
      <c r="AP548" s="17"/>
      <c r="AQ548" s="17"/>
      <c r="AR548" s="17"/>
      <c r="AS548" s="17"/>
      <c r="AT548" s="17"/>
      <c r="AU548" s="17"/>
      <c r="AV548" s="17"/>
    </row>
    <row r="549" spans="1:48" ht="15.75" customHeight="1">
      <c r="A549" s="21" t="s">
        <v>35</v>
      </c>
      <c r="B549" s="23" t="s">
        <v>1692</v>
      </c>
      <c r="C549" s="22">
        <v>45885</v>
      </c>
      <c r="D549" s="23" t="s">
        <v>122</v>
      </c>
      <c r="E549" s="23" t="s">
        <v>37</v>
      </c>
      <c r="F549" s="21">
        <v>1</v>
      </c>
      <c r="G549" s="12">
        <f>VLOOKUP(E549,Precios!B$2:N$941,12,FALSE)</f>
        <v>11000.014358944907</v>
      </c>
      <c r="H549" s="12">
        <f t="shared" si="0"/>
        <v>11000.014358944907</v>
      </c>
      <c r="I549" s="23" t="s">
        <v>52</v>
      </c>
      <c r="J549" s="23" t="s">
        <v>61</v>
      </c>
      <c r="K549" s="24" t="s">
        <v>177</v>
      </c>
      <c r="L549" s="24">
        <v>171</v>
      </c>
      <c r="M549" s="12">
        <f t="shared" ref="M549:N549" si="554">G549/1.19</f>
        <v>9243.7095453318543</v>
      </c>
      <c r="N549" s="12">
        <f t="shared" si="554"/>
        <v>9243.7095453318543</v>
      </c>
      <c r="O549" s="12">
        <f t="shared" si="2"/>
        <v>1756.3048136130528</v>
      </c>
      <c r="P549" s="13"/>
      <c r="Q549" s="14">
        <f t="shared" si="3"/>
        <v>2025</v>
      </c>
      <c r="R549" s="15">
        <f>VLOOKUP(MONTH(C549),'Datos Maestros'!M$2:N$14,2,FALSE)</f>
        <v>45505</v>
      </c>
      <c r="S549" s="11" t="str">
        <f>VLOOKUP(E549,Precios!B$2:W$941,3,FALSE)</f>
        <v>Queso Mantecoso</v>
      </c>
      <c r="T549" s="16">
        <f>VLOOKUP(E549,Precios!B$2:N$941,4,FALSE)*F549</f>
        <v>1000</v>
      </c>
      <c r="U549" s="17"/>
      <c r="V549" s="12">
        <f>VLOOKUP(E549,Precios!B$2:N$941,13,FALSE)*F549</f>
        <v>2806.1129066763915</v>
      </c>
      <c r="W549" s="12">
        <f t="shared" si="4"/>
        <v>2806.1129066763915</v>
      </c>
      <c r="X549" s="12">
        <f>VLOOKUP(B549,'Datos Maestros'!$C$2:$D$7,2,FALSE)*V549</f>
        <v>0</v>
      </c>
      <c r="Y549" s="18">
        <f t="shared" si="5"/>
        <v>45880</v>
      </c>
      <c r="Z549" s="13" t="s">
        <v>39</v>
      </c>
      <c r="AA549" s="19" t="str">
        <f>VLOOKUP(D549,Clientes!$A$2:$J$486,9,FALSE)</f>
        <v>Frecuente</v>
      </c>
      <c r="AB549" s="13" t="str">
        <f>VLOOKUP(D549,Clientes!$A$2:$K$486,11,FALSE)</f>
        <v>Persona Natural</v>
      </c>
      <c r="AC549" s="13" t="str">
        <f>VLOOKUP(D549,Clientes!$A$2:$B$486,2,FALSE)</f>
        <v>Jardines de la Viña</v>
      </c>
      <c r="AD549" s="20"/>
      <c r="AE549" s="20"/>
      <c r="AF549" s="13" t="s">
        <v>40</v>
      </c>
      <c r="AG549" s="15">
        <f t="shared" si="6"/>
        <v>45505</v>
      </c>
      <c r="AH549" s="13" t="s">
        <v>41</v>
      </c>
      <c r="AI549" s="13" t="str">
        <f t="shared" si="7"/>
        <v>Quesos</v>
      </c>
      <c r="AJ549" s="13" t="str">
        <f>VLOOKUP(E549,Precios!Z$2:AA$941,2,FALSE)</f>
        <v>Queso RUNCA Mantecoso</v>
      </c>
      <c r="AK549" s="14">
        <f>VLOOKUP(E549,Precios!Z$2:BB$941,3,FALSE)*F549</f>
        <v>-1</v>
      </c>
      <c r="AL549" s="17"/>
      <c r="AM549" s="17"/>
      <c r="AN549" s="17"/>
      <c r="AO549" s="17"/>
      <c r="AP549" s="17"/>
      <c r="AQ549" s="17"/>
      <c r="AR549" s="17"/>
      <c r="AS549" s="17"/>
      <c r="AT549" s="17"/>
      <c r="AU549" s="17"/>
      <c r="AV549" s="17"/>
    </row>
    <row r="550" spans="1:48" ht="15.75" customHeight="1">
      <c r="A550" s="21" t="s">
        <v>43</v>
      </c>
      <c r="B550" s="23" t="s">
        <v>1692</v>
      </c>
      <c r="C550" s="22">
        <v>45885</v>
      </c>
      <c r="D550" s="23" t="s">
        <v>313</v>
      </c>
      <c r="E550" s="23" t="s">
        <v>45</v>
      </c>
      <c r="F550" s="21">
        <v>1</v>
      </c>
      <c r="G550" s="12">
        <f>VLOOKUP(E550,Precios!B$2:N$941,12,FALSE)</f>
        <v>8000.1831784723063</v>
      </c>
      <c r="H550" s="12">
        <f t="shared" si="0"/>
        <v>8000.1831784723063</v>
      </c>
      <c r="I550" s="23" t="s">
        <v>52</v>
      </c>
      <c r="J550" s="23" t="s">
        <v>61</v>
      </c>
      <c r="K550" s="24" t="s">
        <v>177</v>
      </c>
      <c r="L550" s="24">
        <v>171</v>
      </c>
      <c r="M550" s="12">
        <f t="shared" ref="M550:N550" si="555">G550/1.19</f>
        <v>6722.8430071195853</v>
      </c>
      <c r="N550" s="12">
        <f t="shared" si="555"/>
        <v>6722.8430071195853</v>
      </c>
      <c r="O550" s="12">
        <f t="shared" si="2"/>
        <v>1277.340171352721</v>
      </c>
      <c r="P550" s="13"/>
      <c r="Q550" s="14">
        <f t="shared" si="3"/>
        <v>2025</v>
      </c>
      <c r="R550" s="15">
        <f>VLOOKUP(MONTH(C550),'Datos Maestros'!M$2:N$14,2,FALSE)</f>
        <v>45505</v>
      </c>
      <c r="S550" s="11" t="str">
        <f>VLOOKUP(E550,Precios!B$2:W$941,3,FALSE)</f>
        <v>Huevos EXTRA</v>
      </c>
      <c r="T550" s="16">
        <f>VLOOKUP(E550,Precios!B$2:N$941,4,FALSE)*F550</f>
        <v>0</v>
      </c>
      <c r="U550" s="17"/>
      <c r="V550" s="12">
        <f>VLOOKUP(E550,Precios!B$2:N$941,13,FALSE)*F550</f>
        <v>1151.6230071195851</v>
      </c>
      <c r="W550" s="12">
        <f t="shared" si="4"/>
        <v>1151.6230071195851</v>
      </c>
      <c r="X550" s="12">
        <f>VLOOKUP(B550,'Datos Maestros'!$C$2:$D$7,2,FALSE)*V550</f>
        <v>0</v>
      </c>
      <c r="Y550" s="18">
        <f t="shared" si="5"/>
        <v>45880</v>
      </c>
      <c r="Z550" s="13" t="s">
        <v>39</v>
      </c>
      <c r="AA550" s="19" t="str">
        <f>VLOOKUP(D550,Clientes!$A$2:$J$486,9,FALSE)</f>
        <v>Ocacional</v>
      </c>
      <c r="AB550" s="13" t="str">
        <f>VLOOKUP(D550,Clientes!$A$2:$K$486,11,FALSE)</f>
        <v>Persona Natural</v>
      </c>
      <c r="AC550" s="13" t="str">
        <f>VLOOKUP(D550,Clientes!$A$2:$B$486,2,FALSE)</f>
        <v>Ecuador</v>
      </c>
      <c r="AD550" s="20"/>
      <c r="AE550" s="20"/>
      <c r="AF550" s="13" t="s">
        <v>40</v>
      </c>
      <c r="AG550" s="15">
        <f t="shared" si="6"/>
        <v>45505</v>
      </c>
      <c r="AH550" s="13" t="s">
        <v>41</v>
      </c>
      <c r="AI550" s="13" t="str">
        <f t="shared" si="7"/>
        <v>Huevos</v>
      </c>
      <c r="AJ550" s="13" t="str">
        <f>VLOOKUP(E550,Precios!Z$2:AA$941,2,FALSE)</f>
        <v>Bandeja Huevos EXTRA</v>
      </c>
      <c r="AK550" s="14">
        <f>VLOOKUP(E550,Precios!Z$2:BB$941,3,FALSE)*F550</f>
        <v>-1</v>
      </c>
      <c r="AL550" s="17"/>
      <c r="AM550" s="17"/>
      <c r="AN550" s="17"/>
      <c r="AO550" s="17"/>
      <c r="AP550" s="17"/>
      <c r="AQ550" s="17"/>
      <c r="AR550" s="17"/>
      <c r="AS550" s="17"/>
      <c r="AT550" s="17"/>
      <c r="AU550" s="17"/>
      <c r="AV550" s="17"/>
    </row>
    <row r="551" spans="1:48" ht="15.75" customHeight="1">
      <c r="A551" s="21" t="s">
        <v>47</v>
      </c>
      <c r="B551" s="23" t="s">
        <v>1692</v>
      </c>
      <c r="C551" s="22">
        <v>45884</v>
      </c>
      <c r="D551" s="23" t="s">
        <v>270</v>
      </c>
      <c r="E551" s="23" t="s">
        <v>314</v>
      </c>
      <c r="F551" s="21">
        <v>1</v>
      </c>
      <c r="G551" s="12">
        <f>VLOOKUP(E551,Precios!B$2:N$941,12,FALSE)</f>
        <v>4000.4198085027374</v>
      </c>
      <c r="H551" s="12">
        <f t="shared" si="0"/>
        <v>4000.4198085027374</v>
      </c>
      <c r="I551" s="23" t="s">
        <v>52</v>
      </c>
      <c r="J551" s="23" t="s">
        <v>61</v>
      </c>
      <c r="K551" s="24" t="s">
        <v>177</v>
      </c>
      <c r="L551" s="24">
        <v>171</v>
      </c>
      <c r="M551" s="12">
        <f t="shared" ref="M551:N551" si="556">G551/1.19</f>
        <v>3361.6973180695272</v>
      </c>
      <c r="N551" s="12">
        <f t="shared" si="556"/>
        <v>3361.6973180695272</v>
      </c>
      <c r="O551" s="12">
        <f t="shared" si="2"/>
        <v>638.72249043321017</v>
      </c>
      <c r="P551" s="13"/>
      <c r="Q551" s="14">
        <f t="shared" si="3"/>
        <v>2025</v>
      </c>
      <c r="R551" s="15">
        <f>VLOOKUP(MONTH(C551),'Datos Maestros'!M$2:N$14,2,FALSE)</f>
        <v>45505</v>
      </c>
      <c r="S551" s="11" t="str">
        <f>VLOOKUP(E551,Precios!B$2:W$941,3,FALSE)</f>
        <v>Toallitas Húmedas Adulto</v>
      </c>
      <c r="T551" s="16">
        <f>VLOOKUP(E551,Precios!B$2:N$941,4,FALSE)*F551</f>
        <v>0</v>
      </c>
      <c r="U551" s="17"/>
      <c r="V551" s="12">
        <f>VLOOKUP(E551,Precios!B$2:N$941,13,FALSE)*F551</f>
        <v>1279.6973180695272</v>
      </c>
      <c r="W551" s="12">
        <f t="shared" si="4"/>
        <v>1279.6973180695272</v>
      </c>
      <c r="X551" s="12">
        <f>VLOOKUP(B551,'Datos Maestros'!$C$2:$D$7,2,FALSE)*V551</f>
        <v>0</v>
      </c>
      <c r="Y551" s="18">
        <f t="shared" si="5"/>
        <v>45880</v>
      </c>
      <c r="Z551" s="13" t="s">
        <v>39</v>
      </c>
      <c r="AA551" s="19" t="str">
        <f>VLOOKUP(D551,Clientes!$A$2:$J$486,9,FALSE)</f>
        <v>Familiar</v>
      </c>
      <c r="AB551" s="13" t="str">
        <f>VLOOKUP(D551,Clientes!$A$2:$K$486,11,FALSE)</f>
        <v>Persona Natural</v>
      </c>
      <c r="AC551" s="13" t="str">
        <f>VLOOKUP(D551,Clientes!$A$2:$B$486,2,FALSE)</f>
        <v>Familiar</v>
      </c>
      <c r="AD551" s="20"/>
      <c r="AE551" s="20"/>
      <c r="AF551" s="13" t="s">
        <v>40</v>
      </c>
      <c r="AG551" s="15">
        <f t="shared" si="6"/>
        <v>45505</v>
      </c>
      <c r="AH551" s="13" t="s">
        <v>41</v>
      </c>
      <c r="AI551" s="13" t="str">
        <f t="shared" si="7"/>
        <v>Articulos de Aseo</v>
      </c>
      <c r="AJ551" s="13" t="str">
        <f>VLOOKUP(E551,Precios!Z$2:AA$941,2,FALSE)</f>
        <v>Toallas Humedas Adultos TEDDY 50 unidades</v>
      </c>
      <c r="AK551" s="14">
        <f>VLOOKUP(E551,Precios!Z$2:BB$941,3,FALSE)*F551</f>
        <v>-2</v>
      </c>
      <c r="AL551" s="17"/>
      <c r="AM551" s="17"/>
      <c r="AN551" s="17"/>
      <c r="AO551" s="17"/>
      <c r="AP551" s="17"/>
      <c r="AQ551" s="17"/>
      <c r="AR551" s="17"/>
      <c r="AS551" s="17"/>
      <c r="AT551" s="17"/>
      <c r="AU551" s="17"/>
      <c r="AV551" s="17"/>
    </row>
    <row r="552" spans="1:48" ht="15.75" customHeight="1">
      <c r="A552" s="21" t="s">
        <v>53</v>
      </c>
      <c r="B552" s="23" t="s">
        <v>1692</v>
      </c>
      <c r="C552" s="22">
        <v>45884</v>
      </c>
      <c r="D552" s="23" t="s">
        <v>315</v>
      </c>
      <c r="E552" s="23" t="s">
        <v>97</v>
      </c>
      <c r="F552" s="21">
        <v>1</v>
      </c>
      <c r="G552" s="12">
        <f>VLOOKUP(E552,Precios!B$2:N$941,12,FALSE)</f>
        <v>16500.236769693482</v>
      </c>
      <c r="H552" s="12">
        <f t="shared" si="0"/>
        <v>16500.236769693482</v>
      </c>
      <c r="I552" s="23" t="s">
        <v>52</v>
      </c>
      <c r="J552" s="23" t="s">
        <v>61</v>
      </c>
      <c r="K552" s="24" t="s">
        <v>177</v>
      </c>
      <c r="L552" s="24">
        <v>171</v>
      </c>
      <c r="M552" s="12">
        <f t="shared" ref="M552:N552" si="557">G552/1.19</f>
        <v>13865.745184616371</v>
      </c>
      <c r="N552" s="12">
        <f t="shared" si="557"/>
        <v>13865.745184616371</v>
      </c>
      <c r="O552" s="12">
        <f t="shared" si="2"/>
        <v>2634.4915850771104</v>
      </c>
      <c r="P552" s="13"/>
      <c r="Q552" s="14">
        <f t="shared" si="3"/>
        <v>2025</v>
      </c>
      <c r="R552" s="15">
        <f>VLOOKUP(MONTH(C552),'Datos Maestros'!M$2:N$14,2,FALSE)</f>
        <v>45505</v>
      </c>
      <c r="S552" s="11" t="str">
        <f>VLOOKUP(E552,Precios!B$2:W$941,3,FALSE)</f>
        <v>Papel Higiénico ELITE</v>
      </c>
      <c r="T552" s="16">
        <f>VLOOKUP(E552,Precios!B$2:N$941,4,FALSE)*F552</f>
        <v>0</v>
      </c>
      <c r="U552" s="17"/>
      <c r="V552" s="12">
        <f>VLOOKUP(E552,Precios!B$2:N$941,13,FALSE)*F552</f>
        <v>3031.7451846163694</v>
      </c>
      <c r="W552" s="12">
        <f t="shared" si="4"/>
        <v>3031.7451846163694</v>
      </c>
      <c r="X552" s="12">
        <f>VLOOKUP(B552,'Datos Maestros'!$C$2:$D$7,2,FALSE)*V552</f>
        <v>0</v>
      </c>
      <c r="Y552" s="18">
        <f t="shared" si="5"/>
        <v>45880</v>
      </c>
      <c r="Z552" s="13" t="s">
        <v>39</v>
      </c>
      <c r="AA552" s="19" t="str">
        <f>VLOOKUP(D552,Clientes!$A$2:$J$486,9,FALSE)</f>
        <v>Ocacional</v>
      </c>
      <c r="AB552" s="13" t="str">
        <f>VLOOKUP(D552,Clientes!$A$2:$K$486,11,FALSE)</f>
        <v>Persona Natural</v>
      </c>
      <c r="AC552" s="13" t="str">
        <f>VLOOKUP(D552,Clientes!$A$2:$B$486,2,FALSE)</f>
        <v>Jardines de la Viña</v>
      </c>
      <c r="AD552" s="20"/>
      <c r="AE552" s="20"/>
      <c r="AF552" s="13" t="s">
        <v>40</v>
      </c>
      <c r="AG552" s="15">
        <f t="shared" si="6"/>
        <v>45505</v>
      </c>
      <c r="AH552" s="13" t="s">
        <v>41</v>
      </c>
      <c r="AI552" s="13" t="str">
        <f t="shared" si="7"/>
        <v>Papeleria</v>
      </c>
      <c r="AJ552" s="13" t="str">
        <f>VLOOKUP(E552,Precios!Z$2:AA$941,2,FALSE)</f>
        <v>Papel Higienico ELITE 50 metros</v>
      </c>
      <c r="AK552" s="14">
        <f>VLOOKUP(E552,Precios!Z$2:BB$941,3,FALSE)*F552</f>
        <v>-6</v>
      </c>
      <c r="AL552" s="17"/>
      <c r="AM552" s="17"/>
      <c r="AN552" s="17"/>
      <c r="AO552" s="17"/>
      <c r="AP552" s="17"/>
      <c r="AQ552" s="17"/>
      <c r="AR552" s="17"/>
      <c r="AS552" s="17"/>
      <c r="AT552" s="17"/>
      <c r="AU552" s="17"/>
      <c r="AV552" s="17"/>
    </row>
    <row r="553" spans="1:48" ht="15.75" customHeight="1">
      <c r="A553" s="21" t="s">
        <v>35</v>
      </c>
      <c r="B553" s="23" t="s">
        <v>1692</v>
      </c>
      <c r="C553" s="22">
        <v>45884</v>
      </c>
      <c r="D553" s="23" t="s">
        <v>124</v>
      </c>
      <c r="E553" s="23" t="s">
        <v>37</v>
      </c>
      <c r="F553" s="21">
        <v>1</v>
      </c>
      <c r="G553" s="12">
        <f>VLOOKUP(E553,Precios!B$2:N$941,12,FALSE)</f>
        <v>11000.014358944907</v>
      </c>
      <c r="H553" s="12">
        <f t="shared" si="0"/>
        <v>11000.014358944907</v>
      </c>
      <c r="I553" s="23" t="s">
        <v>52</v>
      </c>
      <c r="J553" s="23" t="s">
        <v>61</v>
      </c>
      <c r="K553" s="24" t="s">
        <v>177</v>
      </c>
      <c r="L553" s="24">
        <v>171</v>
      </c>
      <c r="M553" s="12">
        <f t="shared" ref="M553:N553" si="558">G553/1.19</f>
        <v>9243.7095453318543</v>
      </c>
      <c r="N553" s="12">
        <f t="shared" si="558"/>
        <v>9243.7095453318543</v>
      </c>
      <c r="O553" s="12">
        <f t="shared" si="2"/>
        <v>1756.3048136130528</v>
      </c>
      <c r="P553" s="13"/>
      <c r="Q553" s="14">
        <f t="shared" si="3"/>
        <v>2025</v>
      </c>
      <c r="R553" s="15">
        <f>VLOOKUP(MONTH(C553),'Datos Maestros'!M$2:N$14,2,FALSE)</f>
        <v>45505</v>
      </c>
      <c r="S553" s="11" t="str">
        <f>VLOOKUP(E553,Precios!B$2:W$941,3,FALSE)</f>
        <v>Queso Mantecoso</v>
      </c>
      <c r="T553" s="16">
        <f>VLOOKUP(E553,Precios!B$2:N$941,4,FALSE)*F553</f>
        <v>1000</v>
      </c>
      <c r="U553" s="17"/>
      <c r="V553" s="12">
        <f>VLOOKUP(E553,Precios!B$2:N$941,13,FALSE)*F553</f>
        <v>2806.1129066763915</v>
      </c>
      <c r="W553" s="12">
        <f t="shared" si="4"/>
        <v>2806.1129066763915</v>
      </c>
      <c r="X553" s="12">
        <f>VLOOKUP(B553,'Datos Maestros'!$C$2:$D$7,2,FALSE)*V553</f>
        <v>0</v>
      </c>
      <c r="Y553" s="18">
        <f t="shared" si="5"/>
        <v>45880</v>
      </c>
      <c r="Z553" s="13" t="s">
        <v>39</v>
      </c>
      <c r="AA553" s="19" t="str">
        <f>VLOOKUP(D553,Clientes!$A$2:$J$486,9,FALSE)</f>
        <v>Regular</v>
      </c>
      <c r="AB553" s="13" t="str">
        <f>VLOOKUP(D553,Clientes!$A$2:$K$486,11,FALSE)</f>
        <v>Persona Natural</v>
      </c>
      <c r="AC553" s="13" t="str">
        <f>VLOOKUP(D553,Clientes!$A$2:$B$486,2,FALSE)</f>
        <v>Jardines de la viña</v>
      </c>
      <c r="AD553" s="20"/>
      <c r="AE553" s="20"/>
      <c r="AF553" s="13" t="s">
        <v>40</v>
      </c>
      <c r="AG553" s="15">
        <f t="shared" si="6"/>
        <v>45505</v>
      </c>
      <c r="AH553" s="13" t="s">
        <v>41</v>
      </c>
      <c r="AI553" s="13" t="str">
        <f t="shared" si="7"/>
        <v>Quesos</v>
      </c>
      <c r="AJ553" s="13" t="str">
        <f>VLOOKUP(E553,Precios!Z$2:AA$941,2,FALSE)</f>
        <v>Queso RUNCA Mantecoso</v>
      </c>
      <c r="AK553" s="14">
        <f>VLOOKUP(E553,Precios!Z$2:BB$941,3,FALSE)*F553</f>
        <v>-1</v>
      </c>
      <c r="AL553" s="17"/>
      <c r="AM553" s="17"/>
      <c r="AN553" s="17"/>
      <c r="AO553" s="17"/>
      <c r="AP553" s="17"/>
      <c r="AQ553" s="17"/>
      <c r="AR553" s="17"/>
      <c r="AS553" s="17"/>
      <c r="AT553" s="17"/>
      <c r="AU553" s="17"/>
      <c r="AV553" s="17"/>
    </row>
    <row r="554" spans="1:48" ht="15.75" customHeight="1">
      <c r="A554" s="21" t="s">
        <v>43</v>
      </c>
      <c r="B554" s="23" t="s">
        <v>1692</v>
      </c>
      <c r="C554" s="22">
        <v>45884</v>
      </c>
      <c r="D554" s="23" t="s">
        <v>124</v>
      </c>
      <c r="E554" s="23" t="s">
        <v>45</v>
      </c>
      <c r="F554" s="21">
        <v>1</v>
      </c>
      <c r="G554" s="12">
        <f>VLOOKUP(E554,Precios!B$2:N$941,12,FALSE)</f>
        <v>8000.1831784723063</v>
      </c>
      <c r="H554" s="12">
        <f t="shared" si="0"/>
        <v>8000.1831784723063</v>
      </c>
      <c r="I554" s="23" t="s">
        <v>52</v>
      </c>
      <c r="J554" s="23" t="s">
        <v>61</v>
      </c>
      <c r="K554" s="24" t="s">
        <v>177</v>
      </c>
      <c r="L554" s="24">
        <v>171</v>
      </c>
      <c r="M554" s="12">
        <f t="shared" ref="M554:N554" si="559">G554/1.19</f>
        <v>6722.8430071195853</v>
      </c>
      <c r="N554" s="12">
        <f t="shared" si="559"/>
        <v>6722.8430071195853</v>
      </c>
      <c r="O554" s="12">
        <f t="shared" si="2"/>
        <v>1277.340171352721</v>
      </c>
      <c r="P554" s="13"/>
      <c r="Q554" s="14">
        <f t="shared" si="3"/>
        <v>2025</v>
      </c>
      <c r="R554" s="15">
        <f>VLOOKUP(MONTH(C554),'Datos Maestros'!M$2:N$14,2,FALSE)</f>
        <v>45505</v>
      </c>
      <c r="S554" s="11" t="str">
        <f>VLOOKUP(E554,Precios!B$2:W$941,3,FALSE)</f>
        <v>Huevos EXTRA</v>
      </c>
      <c r="T554" s="16">
        <f>VLOOKUP(E554,Precios!B$2:N$941,4,FALSE)*F554</f>
        <v>0</v>
      </c>
      <c r="U554" s="17"/>
      <c r="V554" s="12">
        <f>VLOOKUP(E554,Precios!B$2:N$941,13,FALSE)*F554</f>
        <v>1151.6230071195851</v>
      </c>
      <c r="W554" s="12">
        <f t="shared" si="4"/>
        <v>1151.6230071195851</v>
      </c>
      <c r="X554" s="12">
        <f>VLOOKUP(B554,'Datos Maestros'!$C$2:$D$7,2,FALSE)*V554</f>
        <v>0</v>
      </c>
      <c r="Y554" s="18">
        <f t="shared" si="5"/>
        <v>45880</v>
      </c>
      <c r="Z554" s="13" t="s">
        <v>39</v>
      </c>
      <c r="AA554" s="19" t="str">
        <f>VLOOKUP(D554,Clientes!$A$2:$J$486,9,FALSE)</f>
        <v>Regular</v>
      </c>
      <c r="AB554" s="13" t="str">
        <f>VLOOKUP(D554,Clientes!$A$2:$K$486,11,FALSE)</f>
        <v>Persona Natural</v>
      </c>
      <c r="AC554" s="13" t="str">
        <f>VLOOKUP(D554,Clientes!$A$2:$B$486,2,FALSE)</f>
        <v>Jardines de la viña</v>
      </c>
      <c r="AD554" s="20"/>
      <c r="AE554" s="20"/>
      <c r="AF554" s="13" t="s">
        <v>40</v>
      </c>
      <c r="AG554" s="15">
        <f t="shared" si="6"/>
        <v>45505</v>
      </c>
      <c r="AH554" s="13" t="s">
        <v>41</v>
      </c>
      <c r="AI554" s="13" t="str">
        <f t="shared" si="7"/>
        <v>Huevos</v>
      </c>
      <c r="AJ554" s="13" t="str">
        <f>VLOOKUP(E554,Precios!Z$2:AA$941,2,FALSE)</f>
        <v>Bandeja Huevos EXTRA</v>
      </c>
      <c r="AK554" s="14">
        <f>VLOOKUP(E554,Precios!Z$2:BB$941,3,FALSE)*F554</f>
        <v>-1</v>
      </c>
      <c r="AL554" s="17"/>
      <c r="AM554" s="17"/>
      <c r="AN554" s="17"/>
      <c r="AO554" s="17"/>
      <c r="AP554" s="17"/>
      <c r="AQ554" s="17"/>
      <c r="AR554" s="17"/>
      <c r="AS554" s="17"/>
      <c r="AT554" s="17"/>
      <c r="AU554" s="17"/>
      <c r="AV554" s="17"/>
    </row>
    <row r="555" spans="1:48" ht="15.75" customHeight="1">
      <c r="A555" s="21" t="s">
        <v>53</v>
      </c>
      <c r="B555" s="23" t="s">
        <v>1692</v>
      </c>
      <c r="C555" s="22">
        <v>45884</v>
      </c>
      <c r="D555" s="23" t="s">
        <v>126</v>
      </c>
      <c r="E555" s="23" t="s">
        <v>316</v>
      </c>
      <c r="F555" s="21">
        <v>1</v>
      </c>
      <c r="G555" s="12">
        <f>VLOOKUP(E555,Precios!B$2:N$941,12,FALSE)</f>
        <v>3200.0762660158634</v>
      </c>
      <c r="H555" s="12">
        <f t="shared" si="0"/>
        <v>3200.0762660158634</v>
      </c>
      <c r="I555" s="23" t="s">
        <v>52</v>
      </c>
      <c r="J555" s="23" t="s">
        <v>61</v>
      </c>
      <c r="K555" s="24" t="s">
        <v>177</v>
      </c>
      <c r="L555" s="24">
        <v>171</v>
      </c>
      <c r="M555" s="12">
        <f t="shared" ref="M555:N555" si="560">G555/1.19</f>
        <v>2689.1397193410617</v>
      </c>
      <c r="N555" s="12">
        <f t="shared" si="560"/>
        <v>2689.1397193410617</v>
      </c>
      <c r="O555" s="12">
        <f t="shared" si="2"/>
        <v>510.93654667480178</v>
      </c>
      <c r="P555" s="13"/>
      <c r="Q555" s="14">
        <f t="shared" si="3"/>
        <v>2025</v>
      </c>
      <c r="R555" s="15">
        <f>VLOOKUP(MONTH(C555),'Datos Maestros'!M$2:N$14,2,FALSE)</f>
        <v>45505</v>
      </c>
      <c r="S555" s="11" t="str">
        <f>VLOOKUP(E555,Precios!B$2:W$941,3,FALSE)</f>
        <v>Toalla Papel SWAN</v>
      </c>
      <c r="T555" s="16">
        <f>VLOOKUP(E555,Precios!B$2:N$941,4,FALSE)*F555</f>
        <v>100</v>
      </c>
      <c r="U555" s="17"/>
      <c r="V555" s="12">
        <f>VLOOKUP(E555,Precios!B$2:N$941,13,FALSE)*F555</f>
        <v>926.13971934106166</v>
      </c>
      <c r="W555" s="12">
        <f t="shared" si="4"/>
        <v>926.13971934106166</v>
      </c>
      <c r="X555" s="12">
        <f>VLOOKUP(B555,'Datos Maestros'!$C$2:$D$7,2,FALSE)*V555</f>
        <v>0</v>
      </c>
      <c r="Y555" s="18">
        <f t="shared" si="5"/>
        <v>45880</v>
      </c>
      <c r="Z555" s="13" t="s">
        <v>39</v>
      </c>
      <c r="AA555" s="19" t="str">
        <f>VLOOKUP(D555,Clientes!$A$2:$J$486,9,FALSE)</f>
        <v>Frecuente</v>
      </c>
      <c r="AB555" s="13" t="str">
        <f>VLOOKUP(D555,Clientes!$A$2:$K$486,11,FALSE)</f>
        <v>Persona Natural</v>
      </c>
      <c r="AC555" s="13" t="str">
        <f>VLOOKUP(D555,Clientes!$A$2:$B$486,2,FALSE)</f>
        <v>Jardines de la Viña</v>
      </c>
      <c r="AD555" s="20"/>
      <c r="AE555" s="20"/>
      <c r="AF555" s="13" t="s">
        <v>40</v>
      </c>
      <c r="AG555" s="15">
        <f t="shared" si="6"/>
        <v>45505</v>
      </c>
      <c r="AH555" s="13" t="s">
        <v>41</v>
      </c>
      <c r="AI555" s="13" t="str">
        <f t="shared" si="7"/>
        <v>Papeleria</v>
      </c>
      <c r="AJ555" s="13" t="str">
        <f>VLOOKUP(E555,Precios!Z$2:AA$941,2,FALSE)</f>
        <v>Toalla Papel SWAN D/H NARANJA 100 metros</v>
      </c>
      <c r="AK555" s="14">
        <f>VLOOKUP(E555,Precios!Z$2:BB$941,3,FALSE)*F555</f>
        <v>-1</v>
      </c>
      <c r="AL555" s="17"/>
      <c r="AM555" s="17"/>
      <c r="AN555" s="17"/>
      <c r="AO555" s="17"/>
      <c r="AP555" s="17"/>
      <c r="AQ555" s="17"/>
      <c r="AR555" s="17"/>
      <c r="AS555" s="17"/>
      <c r="AT555" s="17"/>
      <c r="AU555" s="17"/>
      <c r="AV555" s="17"/>
    </row>
    <row r="556" spans="1:48" ht="15.75" customHeight="1">
      <c r="A556" s="21" t="s">
        <v>53</v>
      </c>
      <c r="B556" s="23" t="s">
        <v>1692</v>
      </c>
      <c r="C556" s="22">
        <v>45883</v>
      </c>
      <c r="D556" s="23" t="s">
        <v>262</v>
      </c>
      <c r="E556" s="23" t="s">
        <v>317</v>
      </c>
      <c r="F556" s="21">
        <v>1</v>
      </c>
      <c r="G556" s="12">
        <f>VLOOKUP(E556,Precios!B$2:N$941,12,FALSE)</f>
        <v>12499.537091588532</v>
      </c>
      <c r="H556" s="12">
        <f t="shared" si="0"/>
        <v>12499.537091588532</v>
      </c>
      <c r="I556" s="23" t="s">
        <v>52</v>
      </c>
      <c r="J556" s="23" t="s">
        <v>61</v>
      </c>
      <c r="K556" s="24" t="s">
        <v>177</v>
      </c>
      <c r="L556" s="24">
        <v>171</v>
      </c>
      <c r="M556" s="12">
        <f t="shared" ref="M556:N556" si="561">G556/1.19</f>
        <v>10503.81268200717</v>
      </c>
      <c r="N556" s="12">
        <f t="shared" si="561"/>
        <v>10503.81268200717</v>
      </c>
      <c r="O556" s="12">
        <f t="shared" si="2"/>
        <v>1995.7244095813621</v>
      </c>
      <c r="P556" s="13"/>
      <c r="Q556" s="14">
        <f t="shared" si="3"/>
        <v>2025</v>
      </c>
      <c r="R556" s="15">
        <f>VLOOKUP(MONTH(C556),'Datos Maestros'!M$2:N$14,2,FALSE)</f>
        <v>45505</v>
      </c>
      <c r="S556" s="11" t="str">
        <f>VLOOKUP(E556,Precios!B$2:W$941,3,FALSE)</f>
        <v>Papel Higiénico SWAN</v>
      </c>
      <c r="T556" s="16">
        <f>VLOOKUP(E556,Precios!B$2:N$941,4,FALSE)*F556</f>
        <v>0</v>
      </c>
      <c r="U556" s="17"/>
      <c r="V556" s="12">
        <f>VLOOKUP(E556,Precios!B$2:N$941,13,FALSE)*F556</f>
        <v>4263.8126820071702</v>
      </c>
      <c r="W556" s="12">
        <f t="shared" si="4"/>
        <v>4263.8126820071702</v>
      </c>
      <c r="X556" s="12">
        <f>VLOOKUP(B556,'Datos Maestros'!$C$2:$D$7,2,FALSE)*V556</f>
        <v>0</v>
      </c>
      <c r="Y556" s="18">
        <f t="shared" si="5"/>
        <v>45880</v>
      </c>
      <c r="Z556" s="13" t="s">
        <v>39</v>
      </c>
      <c r="AA556" s="19" t="str">
        <f>VLOOKUP(D556,Clientes!$A$2:$J$486,9,FALSE)</f>
        <v>Frecuente</v>
      </c>
      <c r="AB556" s="13" t="str">
        <f>VLOOKUP(D556,Clientes!$A$2:$K$486,11,FALSE)</f>
        <v>Persona Natural</v>
      </c>
      <c r="AC556" s="13" t="str">
        <f>VLOOKUP(D556,Clientes!$A$2:$B$486,2,FALSE)</f>
        <v>Jardines de la Viña</v>
      </c>
      <c r="AD556" s="20"/>
      <c r="AE556" s="20"/>
      <c r="AF556" s="13" t="s">
        <v>40</v>
      </c>
      <c r="AG556" s="15">
        <f t="shared" si="6"/>
        <v>45505</v>
      </c>
      <c r="AH556" s="13" t="s">
        <v>41</v>
      </c>
      <c r="AI556" s="13" t="str">
        <f t="shared" si="7"/>
        <v>Papeleria</v>
      </c>
      <c r="AJ556" s="13" t="str">
        <f>VLOOKUP(E556,Precios!Z$2:AA$941,2,FALSE)</f>
        <v>Papel Higienico SWAN 400 hojas</v>
      </c>
      <c r="AK556" s="14">
        <f>VLOOKUP(E556,Precios!Z$2:BB$941,3,FALSE)*F556</f>
        <v>-6</v>
      </c>
      <c r="AL556" s="17"/>
      <c r="AM556" s="17"/>
      <c r="AN556" s="17"/>
      <c r="AO556" s="17"/>
      <c r="AP556" s="17"/>
      <c r="AQ556" s="17"/>
      <c r="AR556" s="17"/>
      <c r="AS556" s="17"/>
      <c r="AT556" s="17"/>
      <c r="AU556" s="17"/>
      <c r="AV556" s="17"/>
    </row>
    <row r="557" spans="1:48" ht="15.75" customHeight="1">
      <c r="A557" s="21" t="s">
        <v>147</v>
      </c>
      <c r="B557" s="23" t="s">
        <v>1692</v>
      </c>
      <c r="C557" s="22">
        <v>45883</v>
      </c>
      <c r="D557" s="23" t="s">
        <v>293</v>
      </c>
      <c r="E557" s="23" t="s">
        <v>257</v>
      </c>
      <c r="F557" s="21">
        <v>1</v>
      </c>
      <c r="G557" s="12">
        <f>VLOOKUP(E557,Precios!B$2:N$941,12,FALSE)</f>
        <v>4000.0000000000005</v>
      </c>
      <c r="H557" s="12">
        <f t="shared" si="0"/>
        <v>4000.0000000000005</v>
      </c>
      <c r="I557" s="23" t="s">
        <v>52</v>
      </c>
      <c r="J557" s="23" t="s">
        <v>61</v>
      </c>
      <c r="K557" s="24" t="s">
        <v>177</v>
      </c>
      <c r="L557" s="24">
        <v>171</v>
      </c>
      <c r="M557" s="12">
        <f t="shared" ref="M557:N557" si="562">G557/1.19</f>
        <v>3361.3445378151264</v>
      </c>
      <c r="N557" s="12">
        <f t="shared" si="562"/>
        <v>3361.3445378151264</v>
      </c>
      <c r="O557" s="12">
        <f t="shared" si="2"/>
        <v>638.65546218487407</v>
      </c>
      <c r="P557" s="13"/>
      <c r="Q557" s="14">
        <f t="shared" si="3"/>
        <v>2025</v>
      </c>
      <c r="R557" s="15">
        <f>VLOOKUP(MONTH(C557),'Datos Maestros'!M$2:N$14,2,FALSE)</f>
        <v>45505</v>
      </c>
      <c r="S557" s="11" t="str">
        <f>VLOOKUP(E557,Precios!B$2:W$941,3,FALSE)</f>
        <v>Film Plastico</v>
      </c>
      <c r="T557" s="16">
        <f>VLOOKUP(E557,Precios!B$2:N$941,4,FALSE)*F557</f>
        <v>0</v>
      </c>
      <c r="U557" s="17"/>
      <c r="V557" s="12">
        <f>VLOOKUP(E557,Precios!B$2:N$941,13,FALSE)*F557</f>
        <v>1680.6722689075632</v>
      </c>
      <c r="W557" s="12">
        <f t="shared" si="4"/>
        <v>1680.6722689075632</v>
      </c>
      <c r="X557" s="12">
        <f>VLOOKUP(B557,'Datos Maestros'!$C$2:$D$7,2,FALSE)*V557</f>
        <v>0</v>
      </c>
      <c r="Y557" s="18">
        <f t="shared" si="5"/>
        <v>45880</v>
      </c>
      <c r="Z557" s="13" t="s">
        <v>39</v>
      </c>
      <c r="AA557" s="19" t="str">
        <f>VLOOKUP(D557,Clientes!$A$2:$J$486,9,FALSE)</f>
        <v>Ocacional</v>
      </c>
      <c r="AB557" s="13" t="str">
        <f>VLOOKUP(D557,Clientes!$A$2:$K$486,11,FALSE)</f>
        <v>persona Natural</v>
      </c>
      <c r="AC557" s="13" t="str">
        <f>VLOOKUP(D557,Clientes!$A$2:$B$486,2,FALSE)</f>
        <v>Jardin del eden</v>
      </c>
      <c r="AD557" s="20"/>
      <c r="AE557" s="20"/>
      <c r="AF557" s="13" t="s">
        <v>40</v>
      </c>
      <c r="AG557" s="15">
        <f t="shared" si="6"/>
        <v>45505</v>
      </c>
      <c r="AH557" s="13" t="s">
        <v>41</v>
      </c>
      <c r="AI557" s="13" t="str">
        <f t="shared" si="7"/>
        <v>Film Plastico-Aluminio</v>
      </c>
      <c r="AJ557" s="13" t="str">
        <f>VLOOKUP(E557,Precios!Z$2:AA$941,2,FALSE)</f>
        <v>Film Plástico 100 metros</v>
      </c>
      <c r="AK557" s="14">
        <f>VLOOKUP(E557,Precios!Z$2:BB$941,3,FALSE)*F557</f>
        <v>-1</v>
      </c>
      <c r="AL557" s="17"/>
      <c r="AM557" s="17"/>
      <c r="AN557" s="17"/>
      <c r="AO557" s="17"/>
      <c r="AP557" s="17"/>
      <c r="AQ557" s="17"/>
      <c r="AR557" s="17"/>
      <c r="AS557" s="17"/>
      <c r="AT557" s="17"/>
      <c r="AU557" s="17"/>
      <c r="AV557" s="17"/>
    </row>
    <row r="558" spans="1:48" ht="15.75" customHeight="1">
      <c r="A558" s="21" t="s">
        <v>147</v>
      </c>
      <c r="B558" s="23" t="s">
        <v>1692</v>
      </c>
      <c r="C558" s="22">
        <v>45883</v>
      </c>
      <c r="D558" s="23" t="s">
        <v>293</v>
      </c>
      <c r="E558" s="23" t="s">
        <v>249</v>
      </c>
      <c r="F558" s="21">
        <v>1</v>
      </c>
      <c r="G558" s="12">
        <f>VLOOKUP(E558,Precios!B$2:N$941,12,FALSE)</f>
        <v>8500.0000000000018</v>
      </c>
      <c r="H558" s="12">
        <f t="shared" si="0"/>
        <v>8500.0000000000018</v>
      </c>
      <c r="I558" s="23" t="s">
        <v>52</v>
      </c>
      <c r="J558" s="23" t="s">
        <v>61</v>
      </c>
      <c r="K558" s="24" t="s">
        <v>177</v>
      </c>
      <c r="L558" s="24">
        <v>171</v>
      </c>
      <c r="M558" s="12">
        <f t="shared" ref="M558:N558" si="563">G558/1.19</f>
        <v>7142.8571428571449</v>
      </c>
      <c r="N558" s="12">
        <f t="shared" si="563"/>
        <v>7142.8571428571449</v>
      </c>
      <c r="O558" s="12">
        <f t="shared" si="2"/>
        <v>1357.1428571428569</v>
      </c>
      <c r="P558" s="13"/>
      <c r="Q558" s="14">
        <f t="shared" si="3"/>
        <v>2025</v>
      </c>
      <c r="R558" s="15">
        <f>VLOOKUP(MONTH(C558),'Datos Maestros'!M$2:N$14,2,FALSE)</f>
        <v>45505</v>
      </c>
      <c r="S558" s="11" t="str">
        <f>VLOOKUP(E558,Precios!B$2:W$941,3,FALSE)</f>
        <v>Papel Aluminio</v>
      </c>
      <c r="T558" s="16">
        <f>VLOOKUP(E558,Precios!B$2:N$941,4,FALSE)*F558</f>
        <v>0</v>
      </c>
      <c r="U558" s="17"/>
      <c r="V558" s="12">
        <f>VLOOKUP(E558,Precios!B$2:N$941,13,FALSE)*F558</f>
        <v>2212.857142857144</v>
      </c>
      <c r="W558" s="12">
        <f t="shared" si="4"/>
        <v>2212.857142857144</v>
      </c>
      <c r="X558" s="12">
        <f>VLOOKUP(B558,'Datos Maestros'!$C$2:$D$7,2,FALSE)*V558</f>
        <v>0</v>
      </c>
      <c r="Y558" s="18">
        <f t="shared" si="5"/>
        <v>45880</v>
      </c>
      <c r="Z558" s="13" t="s">
        <v>39</v>
      </c>
      <c r="AA558" s="19" t="str">
        <f>VLOOKUP(D558,Clientes!$A$2:$J$486,9,FALSE)</f>
        <v>Ocacional</v>
      </c>
      <c r="AB558" s="13" t="str">
        <f>VLOOKUP(D558,Clientes!$A$2:$K$486,11,FALSE)</f>
        <v>persona Natural</v>
      </c>
      <c r="AC558" s="13" t="str">
        <f>VLOOKUP(D558,Clientes!$A$2:$B$486,2,FALSE)</f>
        <v>Jardin del eden</v>
      </c>
      <c r="AD558" s="20"/>
      <c r="AE558" s="20"/>
      <c r="AF558" s="13" t="s">
        <v>40</v>
      </c>
      <c r="AG558" s="15">
        <f t="shared" si="6"/>
        <v>45505</v>
      </c>
      <c r="AH558" s="13" t="s">
        <v>41</v>
      </c>
      <c r="AI558" s="13" t="str">
        <f t="shared" si="7"/>
        <v>Film Plastico-Aluminio</v>
      </c>
      <c r="AJ558" s="13" t="str">
        <f>VLOOKUP(E558,Precios!Z$2:AA$941,2,FALSE)</f>
        <v>Papel Aluminio 100 metros</v>
      </c>
      <c r="AK558" s="14">
        <f>VLOOKUP(E558,Precios!Z$2:BB$941,3,FALSE)*F558</f>
        <v>-1</v>
      </c>
      <c r="AL558" s="17"/>
      <c r="AM558" s="17"/>
      <c r="AN558" s="17"/>
      <c r="AO558" s="17"/>
      <c r="AP558" s="17"/>
      <c r="AQ558" s="17"/>
      <c r="AR558" s="17"/>
      <c r="AS558" s="17"/>
      <c r="AT558" s="17"/>
      <c r="AU558" s="17"/>
      <c r="AV558" s="17"/>
    </row>
    <row r="559" spans="1:48" ht="15.75" customHeight="1">
      <c r="A559" s="21" t="s">
        <v>35</v>
      </c>
      <c r="B559" s="23" t="s">
        <v>1692</v>
      </c>
      <c r="C559" s="22">
        <v>45882</v>
      </c>
      <c r="D559" s="23" t="s">
        <v>104</v>
      </c>
      <c r="E559" s="23" t="s">
        <v>46</v>
      </c>
      <c r="F559" s="21">
        <v>1</v>
      </c>
      <c r="G559" s="12">
        <f>VLOOKUP(E559,Precios!B$2:N$941,12,FALSE)</f>
        <v>6000.1548227279782</v>
      </c>
      <c r="H559" s="12">
        <f t="shared" si="0"/>
        <v>6000.1548227279782</v>
      </c>
      <c r="I559" s="23" t="s">
        <v>52</v>
      </c>
      <c r="J559" s="23" t="s">
        <v>61</v>
      </c>
      <c r="K559" s="24" t="s">
        <v>177</v>
      </c>
      <c r="L559" s="24">
        <v>170</v>
      </c>
      <c r="M559" s="12">
        <f t="shared" ref="M559:N559" si="564">G559/1.19</f>
        <v>5042.1469098554444</v>
      </c>
      <c r="N559" s="12">
        <f t="shared" si="564"/>
        <v>5042.1469098554444</v>
      </c>
      <c r="O559" s="12">
        <f t="shared" si="2"/>
        <v>958.00791287253378</v>
      </c>
      <c r="P559" s="13"/>
      <c r="Q559" s="14">
        <f t="shared" si="3"/>
        <v>2025</v>
      </c>
      <c r="R559" s="15">
        <f>VLOOKUP(MONTH(C559),'Datos Maestros'!M$2:N$14,2,FALSE)</f>
        <v>45505</v>
      </c>
      <c r="S559" s="11" t="str">
        <f>VLOOKUP(E559,Precios!B$2:W$941,3,FALSE)</f>
        <v>Queso Mantecoso</v>
      </c>
      <c r="T559" s="16">
        <f>VLOOKUP(E559,Precios!B$2:N$941,4,FALSE)*F559</f>
        <v>500</v>
      </c>
      <c r="U559" s="17"/>
      <c r="V559" s="12">
        <f>VLOOKUP(E559,Precios!B$2:N$941,13,FALSE)*F559</f>
        <v>1785.4242207798129</v>
      </c>
      <c r="W559" s="12">
        <f t="shared" si="4"/>
        <v>1785.4242207798129</v>
      </c>
      <c r="X559" s="12">
        <f>VLOOKUP(B559,'Datos Maestros'!$C$2:$D$7,2,FALSE)*V559</f>
        <v>0</v>
      </c>
      <c r="Y559" s="18">
        <f t="shared" si="5"/>
        <v>45880</v>
      </c>
      <c r="Z559" s="13" t="s">
        <v>39</v>
      </c>
      <c r="AA559" s="19" t="str">
        <f>VLOOKUP(D559,Clientes!$A$2:$J$486,9,FALSE)</f>
        <v>Ocacional</v>
      </c>
      <c r="AB559" s="13" t="str">
        <f>VLOOKUP(D559,Clientes!$A$2:$K$486,11,FALSE)</f>
        <v>Persona Natural</v>
      </c>
      <c r="AC559" s="13" t="str">
        <f>VLOOKUP(D559,Clientes!$A$2:$B$486,2,FALSE)</f>
        <v>Jardines de la viña</v>
      </c>
      <c r="AD559" s="20"/>
      <c r="AE559" s="20"/>
      <c r="AF559" s="13" t="s">
        <v>40</v>
      </c>
      <c r="AG559" s="15">
        <f t="shared" si="6"/>
        <v>45505</v>
      </c>
      <c r="AH559" s="13" t="s">
        <v>41</v>
      </c>
      <c r="AI559" s="13" t="str">
        <f t="shared" si="7"/>
        <v>Quesos</v>
      </c>
      <c r="AJ559" s="13" t="str">
        <f>VLOOKUP(E559,Precios!Z$2:AA$941,2,FALSE)</f>
        <v>Queso RUNCA Mantecoso</v>
      </c>
      <c r="AK559" s="14">
        <f>VLOOKUP(E559,Precios!Z$2:BB$941,3,FALSE)*F559</f>
        <v>-0.5</v>
      </c>
      <c r="AL559" s="17"/>
      <c r="AM559" s="17"/>
      <c r="AN559" s="17"/>
      <c r="AO559" s="17"/>
      <c r="AP559" s="17"/>
      <c r="AQ559" s="17"/>
      <c r="AR559" s="17"/>
      <c r="AS559" s="17"/>
      <c r="AT559" s="17"/>
      <c r="AU559" s="17"/>
      <c r="AV559" s="17"/>
    </row>
    <row r="560" spans="1:48" ht="15.75" customHeight="1">
      <c r="A560" s="21" t="s">
        <v>43</v>
      </c>
      <c r="B560" s="23" t="s">
        <v>1692</v>
      </c>
      <c r="C560" s="22">
        <v>45882</v>
      </c>
      <c r="D560" s="23" t="s">
        <v>318</v>
      </c>
      <c r="E560" s="23" t="s">
        <v>45</v>
      </c>
      <c r="F560" s="21">
        <v>2</v>
      </c>
      <c r="G560" s="12">
        <f>VLOOKUP(E560,Precios!B$2:N$941,12,FALSE)</f>
        <v>8000.1831784723063</v>
      </c>
      <c r="H560" s="12">
        <f t="shared" si="0"/>
        <v>16000.366356944613</v>
      </c>
      <c r="I560" s="23" t="s">
        <v>52</v>
      </c>
      <c r="J560" s="23" t="s">
        <v>61</v>
      </c>
      <c r="K560" s="24" t="s">
        <v>177</v>
      </c>
      <c r="L560" s="24">
        <v>170</v>
      </c>
      <c r="M560" s="12">
        <f t="shared" ref="M560:N560" si="565">G560/1.19</f>
        <v>6722.8430071195853</v>
      </c>
      <c r="N560" s="12">
        <f t="shared" si="565"/>
        <v>13445.686014239171</v>
      </c>
      <c r="O560" s="12">
        <f t="shared" si="2"/>
        <v>2554.6803427054419</v>
      </c>
      <c r="P560" s="13"/>
      <c r="Q560" s="14">
        <f t="shared" si="3"/>
        <v>2025</v>
      </c>
      <c r="R560" s="15">
        <f>VLOOKUP(MONTH(C560),'Datos Maestros'!M$2:N$14,2,FALSE)</f>
        <v>45505</v>
      </c>
      <c r="S560" s="11" t="str">
        <f>VLOOKUP(E560,Precios!B$2:W$941,3,FALSE)</f>
        <v>Huevos EXTRA</v>
      </c>
      <c r="T560" s="16">
        <f>VLOOKUP(E560,Precios!B$2:N$941,4,FALSE)*F560</f>
        <v>0</v>
      </c>
      <c r="U560" s="17"/>
      <c r="V560" s="12">
        <f>VLOOKUP(E560,Precios!B$2:N$941,13,FALSE)*F560</f>
        <v>2303.2460142391701</v>
      </c>
      <c r="W560" s="12">
        <f t="shared" si="4"/>
        <v>2303.2460142391701</v>
      </c>
      <c r="X560" s="12">
        <f>VLOOKUP(B560,'Datos Maestros'!$C$2:$D$7,2,FALSE)*V560</f>
        <v>0</v>
      </c>
      <c r="Y560" s="18">
        <f t="shared" si="5"/>
        <v>45880</v>
      </c>
      <c r="Z560" s="13" t="s">
        <v>39</v>
      </c>
      <c r="AA560" s="19" t="str">
        <f>VLOOKUP(D560,Clientes!$A$2:$J$486,9,FALSE)</f>
        <v>Ocacional</v>
      </c>
      <c r="AB560" s="13" t="str">
        <f>VLOOKUP(D560,Clientes!$A$2:$K$486,11,FALSE)</f>
        <v>Persona Natural</v>
      </c>
      <c r="AC560" s="13" t="str">
        <f>VLOOKUP(D560,Clientes!$A$2:$B$486,2,FALSE)</f>
        <v>Jardin del eden</v>
      </c>
      <c r="AD560" s="20"/>
      <c r="AE560" s="20"/>
      <c r="AF560" s="13" t="s">
        <v>40</v>
      </c>
      <c r="AG560" s="15">
        <f t="shared" si="6"/>
        <v>45505</v>
      </c>
      <c r="AH560" s="13" t="s">
        <v>41</v>
      </c>
      <c r="AI560" s="13" t="str">
        <f t="shared" si="7"/>
        <v>Huevos</v>
      </c>
      <c r="AJ560" s="13" t="str">
        <f>VLOOKUP(E560,Precios!Z$2:AA$941,2,FALSE)</f>
        <v>Bandeja Huevos EXTRA</v>
      </c>
      <c r="AK560" s="14">
        <f>VLOOKUP(E560,Precios!Z$2:BB$941,3,FALSE)*F560</f>
        <v>-2</v>
      </c>
      <c r="AL560" s="17"/>
      <c r="AM560" s="17"/>
      <c r="AN560" s="17"/>
      <c r="AO560" s="17"/>
      <c r="AP560" s="17"/>
      <c r="AQ560" s="17"/>
      <c r="AR560" s="17"/>
      <c r="AS560" s="17"/>
      <c r="AT560" s="17"/>
      <c r="AU560" s="17"/>
      <c r="AV560" s="17"/>
    </row>
    <row r="561" spans="1:48" ht="15.75" customHeight="1">
      <c r="A561" s="21" t="s">
        <v>35</v>
      </c>
      <c r="B561" s="23" t="s">
        <v>1692</v>
      </c>
      <c r="C561" s="22">
        <v>45882</v>
      </c>
      <c r="D561" s="23" t="s">
        <v>116</v>
      </c>
      <c r="E561" s="23" t="s">
        <v>117</v>
      </c>
      <c r="F561" s="21">
        <v>1</v>
      </c>
      <c r="G561" s="12">
        <f>VLOOKUP(E561,Precios!B$2:N$941,12,FALSE)</f>
        <v>8999.8271341726922</v>
      </c>
      <c r="H561" s="12">
        <f t="shared" si="0"/>
        <v>8999.8271341726922</v>
      </c>
      <c r="I561" s="23" t="s">
        <v>52</v>
      </c>
      <c r="J561" s="23" t="s">
        <v>61</v>
      </c>
      <c r="K561" s="24" t="s">
        <v>177</v>
      </c>
      <c r="L561" s="24">
        <v>170</v>
      </c>
      <c r="M561" s="12">
        <f t="shared" ref="M561:N561" si="566">G561/1.19</f>
        <v>7562.8799446829353</v>
      </c>
      <c r="N561" s="12">
        <f t="shared" si="566"/>
        <v>7562.8799446829353</v>
      </c>
      <c r="O561" s="12">
        <f t="shared" si="2"/>
        <v>1436.947189489757</v>
      </c>
      <c r="P561" s="13"/>
      <c r="Q561" s="14">
        <f t="shared" si="3"/>
        <v>2025</v>
      </c>
      <c r="R561" s="15">
        <f>VLOOKUP(MONTH(C561),'Datos Maestros'!M$2:N$14,2,FALSE)</f>
        <v>45505</v>
      </c>
      <c r="S561" s="11" t="str">
        <f>VLOOKUP(E561,Precios!B$2:W$941,3,FALSE)</f>
        <v>Queso Mantecoso</v>
      </c>
      <c r="T561" s="16">
        <f>VLOOKUP(E561,Precios!B$2:N$941,4,FALSE)*F561</f>
        <v>750</v>
      </c>
      <c r="U561" s="17"/>
      <c r="V561" s="12">
        <f>VLOOKUP(E561,Precios!B$2:N$941,13,FALSE)*F561</f>
        <v>2312.8799446829353</v>
      </c>
      <c r="W561" s="12">
        <f t="shared" si="4"/>
        <v>2312.8799446829353</v>
      </c>
      <c r="X561" s="12">
        <f>VLOOKUP(B561,'Datos Maestros'!$C$2:$D$7,2,FALSE)*V561</f>
        <v>0</v>
      </c>
      <c r="Y561" s="18">
        <f t="shared" si="5"/>
        <v>45880</v>
      </c>
      <c r="Z561" s="13" t="s">
        <v>39</v>
      </c>
      <c r="AA561" s="19" t="str">
        <f>VLOOKUP(D561,Clientes!$A$2:$J$486,9,FALSE)</f>
        <v>Ocacional</v>
      </c>
      <c r="AB561" s="13" t="str">
        <f>VLOOKUP(D561,Clientes!$A$2:$K$486,11,FALSE)</f>
        <v>Persona Natural</v>
      </c>
      <c r="AC561" s="13">
        <f>VLOOKUP(D561,Clientes!$A$2:$B$486,2,FALSE)</f>
        <v>0</v>
      </c>
      <c r="AD561" s="20"/>
      <c r="AE561" s="20"/>
      <c r="AF561" s="13" t="s">
        <v>40</v>
      </c>
      <c r="AG561" s="15">
        <f t="shared" si="6"/>
        <v>45505</v>
      </c>
      <c r="AH561" s="13" t="s">
        <v>41</v>
      </c>
      <c r="AI561" s="13" t="str">
        <f t="shared" si="7"/>
        <v>Quesos</v>
      </c>
      <c r="AJ561" s="13" t="str">
        <f>VLOOKUP(E561,Precios!Z$2:AA$941,2,FALSE)</f>
        <v>Queso RUNCA Laminado Mantecoso</v>
      </c>
      <c r="AK561" s="14">
        <f>VLOOKUP(E561,Precios!Z$2:BB$941,3,FALSE)*F561</f>
        <v>-0.75</v>
      </c>
      <c r="AL561" s="17"/>
      <c r="AM561" s="17"/>
      <c r="AN561" s="17"/>
      <c r="AO561" s="17"/>
      <c r="AP561" s="17"/>
      <c r="AQ561" s="17"/>
      <c r="AR561" s="17"/>
      <c r="AS561" s="17"/>
      <c r="AT561" s="17"/>
      <c r="AU561" s="17"/>
      <c r="AV561" s="17"/>
    </row>
    <row r="562" spans="1:48" ht="15.75" customHeight="1">
      <c r="A562" s="21" t="s">
        <v>43</v>
      </c>
      <c r="B562" s="23" t="s">
        <v>1692</v>
      </c>
      <c r="C562" s="22">
        <v>45882</v>
      </c>
      <c r="D562" s="23" t="s">
        <v>116</v>
      </c>
      <c r="E562" s="23" t="s">
        <v>45</v>
      </c>
      <c r="F562" s="21">
        <v>1</v>
      </c>
      <c r="G562" s="12">
        <f>VLOOKUP(E562,Precios!B$2:N$941,12,FALSE)</f>
        <v>8000.1831784723063</v>
      </c>
      <c r="H562" s="12">
        <f t="shared" si="0"/>
        <v>8000.1831784723063</v>
      </c>
      <c r="I562" s="23" t="s">
        <v>52</v>
      </c>
      <c r="J562" s="23" t="s">
        <v>61</v>
      </c>
      <c r="K562" s="24" t="s">
        <v>177</v>
      </c>
      <c r="L562" s="24">
        <v>170</v>
      </c>
      <c r="M562" s="12">
        <f t="shared" ref="M562:N562" si="567">G562/1.19</f>
        <v>6722.8430071195853</v>
      </c>
      <c r="N562" s="12">
        <f t="shared" si="567"/>
        <v>6722.8430071195853</v>
      </c>
      <c r="O562" s="12">
        <f t="shared" si="2"/>
        <v>1277.340171352721</v>
      </c>
      <c r="P562" s="13"/>
      <c r="Q562" s="14">
        <f t="shared" si="3"/>
        <v>2025</v>
      </c>
      <c r="R562" s="15">
        <f>VLOOKUP(MONTH(C562),'Datos Maestros'!M$2:N$14,2,FALSE)</f>
        <v>45505</v>
      </c>
      <c r="S562" s="11" t="str">
        <f>VLOOKUP(E562,Precios!B$2:W$941,3,FALSE)</f>
        <v>Huevos EXTRA</v>
      </c>
      <c r="T562" s="16">
        <f>VLOOKUP(E562,Precios!B$2:N$941,4,FALSE)*F562</f>
        <v>0</v>
      </c>
      <c r="U562" s="17"/>
      <c r="V562" s="12">
        <f>VLOOKUP(E562,Precios!B$2:N$941,13,FALSE)*F562</f>
        <v>1151.6230071195851</v>
      </c>
      <c r="W562" s="12">
        <f t="shared" si="4"/>
        <v>1151.6230071195851</v>
      </c>
      <c r="X562" s="12">
        <f>VLOOKUP(B562,'Datos Maestros'!$C$2:$D$7,2,FALSE)*V562</f>
        <v>0</v>
      </c>
      <c r="Y562" s="18">
        <f t="shared" si="5"/>
        <v>45880</v>
      </c>
      <c r="Z562" s="13" t="s">
        <v>39</v>
      </c>
      <c r="AA562" s="19" t="str">
        <f>VLOOKUP(D562,Clientes!$A$2:$J$486,9,FALSE)</f>
        <v>Ocacional</v>
      </c>
      <c r="AB562" s="13" t="str">
        <f>VLOOKUP(D562,Clientes!$A$2:$K$486,11,FALSE)</f>
        <v>Persona Natural</v>
      </c>
      <c r="AC562" s="13">
        <f>VLOOKUP(D562,Clientes!$A$2:$B$486,2,FALSE)</f>
        <v>0</v>
      </c>
      <c r="AD562" s="20"/>
      <c r="AE562" s="20"/>
      <c r="AF562" s="13" t="s">
        <v>40</v>
      </c>
      <c r="AG562" s="15">
        <f t="shared" si="6"/>
        <v>45505</v>
      </c>
      <c r="AH562" s="13" t="s">
        <v>41</v>
      </c>
      <c r="AI562" s="13" t="str">
        <f t="shared" si="7"/>
        <v>Huevos</v>
      </c>
      <c r="AJ562" s="13" t="str">
        <f>VLOOKUP(E562,Precios!Z$2:AA$941,2,FALSE)</f>
        <v>Bandeja Huevos EXTRA</v>
      </c>
      <c r="AK562" s="14">
        <f>VLOOKUP(E562,Precios!Z$2:BB$941,3,FALSE)*F562</f>
        <v>-1</v>
      </c>
      <c r="AL562" s="17"/>
      <c r="AM562" s="17"/>
      <c r="AN562" s="17"/>
      <c r="AO562" s="17"/>
      <c r="AP562" s="17"/>
      <c r="AQ562" s="17"/>
      <c r="AR562" s="17"/>
      <c r="AS562" s="17"/>
      <c r="AT562" s="17"/>
      <c r="AU562" s="17"/>
      <c r="AV562" s="17"/>
    </row>
    <row r="563" spans="1:48" ht="15.75" customHeight="1">
      <c r="A563" s="21" t="s">
        <v>56</v>
      </c>
      <c r="B563" s="23" t="s">
        <v>1692</v>
      </c>
      <c r="C563" s="22">
        <v>45882</v>
      </c>
      <c r="D563" s="23" t="s">
        <v>319</v>
      </c>
      <c r="E563" s="23" t="s">
        <v>190</v>
      </c>
      <c r="F563" s="21">
        <v>1</v>
      </c>
      <c r="G563" s="12">
        <f>VLOOKUP(E563,Precios!B$2:N$941,12,FALSE)</f>
        <v>2499.8855507868384</v>
      </c>
      <c r="H563" s="12">
        <f t="shared" si="0"/>
        <v>2499.8855507868384</v>
      </c>
      <c r="I563" s="23" t="s">
        <v>52</v>
      </c>
      <c r="J563" s="23" t="s">
        <v>38</v>
      </c>
      <c r="K563" s="24" t="s">
        <v>177</v>
      </c>
      <c r="L563" s="24">
        <v>170</v>
      </c>
      <c r="M563" s="12">
        <f t="shared" ref="M563:N563" si="568">G563/1.19</f>
        <v>2100.7441603250745</v>
      </c>
      <c r="N563" s="12">
        <f t="shared" si="568"/>
        <v>2100.7441603250745</v>
      </c>
      <c r="O563" s="12">
        <f t="shared" si="2"/>
        <v>399.14139046176388</v>
      </c>
      <c r="P563" s="13"/>
      <c r="Q563" s="14">
        <f t="shared" si="3"/>
        <v>2025</v>
      </c>
      <c r="R563" s="15">
        <f>VLOOKUP(MONTH(C563),'Datos Maestros'!M$2:N$14,2,FALSE)</f>
        <v>45505</v>
      </c>
      <c r="S563" s="11" t="str">
        <f>VLOOKUP(E563,Precios!B$2:W$941,3,FALSE)</f>
        <v>Mantequilla</v>
      </c>
      <c r="T563" s="16">
        <f>VLOOKUP(E563,Precios!B$2:N$941,4,FALSE)*F563</f>
        <v>200</v>
      </c>
      <c r="U563" s="17"/>
      <c r="V563" s="12">
        <f>VLOOKUP(E563,Precios!B$2:N$941,13,FALSE)*F563</f>
        <v>632.32399225784707</v>
      </c>
      <c r="W563" s="12">
        <f t="shared" si="4"/>
        <v>632.32399225784707</v>
      </c>
      <c r="X563" s="12">
        <f>VLOOKUP(B563,'Datos Maestros'!$C$2:$D$7,2,FALSE)*V563</f>
        <v>0</v>
      </c>
      <c r="Y563" s="18">
        <f t="shared" si="5"/>
        <v>45880</v>
      </c>
      <c r="Z563" s="13" t="s">
        <v>39</v>
      </c>
      <c r="AA563" s="19" t="str">
        <f>VLOOKUP(D563,Clientes!$A$2:$J$486,9,FALSE)</f>
        <v>Ocacional</v>
      </c>
      <c r="AB563" s="13" t="str">
        <f>VLOOKUP(D563,Clientes!$A$2:$K$486,11,FALSE)</f>
        <v>Persona Natural</v>
      </c>
      <c r="AC563" s="13" t="str">
        <f>VLOOKUP(D563,Clientes!$A$2:$B$486,2,FALSE)</f>
        <v>Santa Amalia</v>
      </c>
      <c r="AD563" s="20"/>
      <c r="AE563" s="20"/>
      <c r="AF563" s="13" t="s">
        <v>40</v>
      </c>
      <c r="AG563" s="15">
        <f t="shared" si="6"/>
        <v>45505</v>
      </c>
      <c r="AH563" s="13" t="s">
        <v>41</v>
      </c>
      <c r="AI563" s="13" t="str">
        <f t="shared" si="7"/>
        <v>Derivados</v>
      </c>
      <c r="AJ563" s="13" t="str">
        <f>VLOOKUP(E563,Precios!Z$2:AA$941,2,FALSE)</f>
        <v>Mantequilla RUMAY</v>
      </c>
      <c r="AK563" s="14">
        <f>VLOOKUP(E563,Precios!Z$2:BB$941,3,FALSE)*F563</f>
        <v>-1</v>
      </c>
      <c r="AL563" s="17"/>
      <c r="AM563" s="17"/>
      <c r="AN563" s="17"/>
      <c r="AO563" s="17"/>
      <c r="AP563" s="17"/>
      <c r="AQ563" s="17"/>
      <c r="AR563" s="17"/>
      <c r="AS563" s="17"/>
      <c r="AT563" s="17"/>
      <c r="AU563" s="17"/>
      <c r="AV563" s="17"/>
    </row>
    <row r="564" spans="1:48" ht="15.75" customHeight="1">
      <c r="A564" s="21" t="s">
        <v>35</v>
      </c>
      <c r="B564" s="23" t="s">
        <v>1692</v>
      </c>
      <c r="C564" s="22">
        <v>45882</v>
      </c>
      <c r="D564" s="23" t="s">
        <v>319</v>
      </c>
      <c r="E564" s="23" t="s">
        <v>312</v>
      </c>
      <c r="F564" s="21">
        <v>1</v>
      </c>
      <c r="G564" s="12">
        <f>VLOOKUP(E564,Precios!B$2:N$941,12,FALSE)</f>
        <v>5000.092180058381</v>
      </c>
      <c r="H564" s="12">
        <f t="shared" si="0"/>
        <v>5000.092180058381</v>
      </c>
      <c r="I564" s="23" t="s">
        <v>52</v>
      </c>
      <c r="J564" s="23" t="s">
        <v>38</v>
      </c>
      <c r="K564" s="24" t="s">
        <v>177</v>
      </c>
      <c r="L564" s="24">
        <v>170</v>
      </c>
      <c r="M564" s="12">
        <f t="shared" ref="M564:N564" si="569">G564/1.19</f>
        <v>4201.7581345028411</v>
      </c>
      <c r="N564" s="12">
        <f t="shared" si="569"/>
        <v>4201.7581345028411</v>
      </c>
      <c r="O564" s="12">
        <f t="shared" si="2"/>
        <v>798.33404555553989</v>
      </c>
      <c r="P564" s="13"/>
      <c r="Q564" s="14">
        <f t="shared" si="3"/>
        <v>2025</v>
      </c>
      <c r="R564" s="15">
        <f>VLOOKUP(MONTH(C564),'Datos Maestros'!M$2:N$14,2,FALSE)</f>
        <v>45505</v>
      </c>
      <c r="S564" s="11" t="str">
        <f>VLOOKUP(E564,Precios!B$2:W$941,3,FALSE)</f>
        <v>Queso Mantecoso</v>
      </c>
      <c r="T564" s="16">
        <f>VLOOKUP(E564,Precios!B$2:N$941,4,FALSE)*F564</f>
        <v>417</v>
      </c>
      <c r="U564" s="17"/>
      <c r="V564" s="12">
        <f>VLOOKUP(E564,Precios!B$2:N$941,13,FALSE)*F564</f>
        <v>1466.833764754942</v>
      </c>
      <c r="W564" s="12">
        <f t="shared" si="4"/>
        <v>1466.833764754942</v>
      </c>
      <c r="X564" s="12">
        <f>VLOOKUP(B564,'Datos Maestros'!$C$2:$D$7,2,FALSE)*V564</f>
        <v>0</v>
      </c>
      <c r="Y564" s="18">
        <f t="shared" si="5"/>
        <v>45880</v>
      </c>
      <c r="Z564" s="13" t="s">
        <v>39</v>
      </c>
      <c r="AA564" s="19" t="str">
        <f>VLOOKUP(D564,Clientes!$A$2:$J$486,9,FALSE)</f>
        <v>Ocacional</v>
      </c>
      <c r="AB564" s="13" t="str">
        <f>VLOOKUP(D564,Clientes!$A$2:$K$486,11,FALSE)</f>
        <v>Persona Natural</v>
      </c>
      <c r="AC564" s="13" t="str">
        <f>VLOOKUP(D564,Clientes!$A$2:$B$486,2,FALSE)</f>
        <v>Santa Amalia</v>
      </c>
      <c r="AD564" s="20"/>
      <c r="AE564" s="20"/>
      <c r="AF564" s="13" t="s">
        <v>40</v>
      </c>
      <c r="AG564" s="15">
        <f t="shared" si="6"/>
        <v>45505</v>
      </c>
      <c r="AH564" s="13" t="s">
        <v>41</v>
      </c>
      <c r="AI564" s="13" t="str">
        <f t="shared" si="7"/>
        <v>Quesos</v>
      </c>
      <c r="AJ564" s="13" t="str">
        <f>VLOOKUP(E564,Precios!Z$2:AA$941,2,FALSE)</f>
        <v>Queso RUNCA Mantecoso</v>
      </c>
      <c r="AK564" s="14">
        <f>VLOOKUP(E564,Precios!Z$2:BB$941,3,FALSE)*F564</f>
        <v>-0.5</v>
      </c>
      <c r="AL564" s="17"/>
      <c r="AM564" s="17"/>
      <c r="AN564" s="17"/>
      <c r="AO564" s="17"/>
      <c r="AP564" s="17"/>
      <c r="AQ564" s="17"/>
      <c r="AR564" s="17"/>
      <c r="AS564" s="17"/>
      <c r="AT564" s="17"/>
      <c r="AU564" s="17"/>
      <c r="AV564" s="17"/>
    </row>
    <row r="565" spans="1:48" ht="15.75" customHeight="1">
      <c r="A565" s="21" t="s">
        <v>43</v>
      </c>
      <c r="B565" s="23" t="s">
        <v>1692</v>
      </c>
      <c r="C565" s="22">
        <v>45882</v>
      </c>
      <c r="D565" s="23" t="s">
        <v>319</v>
      </c>
      <c r="E565" s="23" t="s">
        <v>45</v>
      </c>
      <c r="F565" s="21">
        <v>1</v>
      </c>
      <c r="G565" s="12">
        <f>VLOOKUP(E565,Precios!B$2:N$941,12,FALSE)</f>
        <v>8000.1831784723063</v>
      </c>
      <c r="H565" s="12">
        <f t="shared" si="0"/>
        <v>8000.1831784723063</v>
      </c>
      <c r="I565" s="23" t="s">
        <v>52</v>
      </c>
      <c r="J565" s="23" t="s">
        <v>38</v>
      </c>
      <c r="K565" s="24" t="s">
        <v>177</v>
      </c>
      <c r="L565" s="24">
        <v>170</v>
      </c>
      <c r="M565" s="12">
        <f t="shared" ref="M565:N565" si="570">G565/1.19</f>
        <v>6722.8430071195853</v>
      </c>
      <c r="N565" s="12">
        <f t="shared" si="570"/>
        <v>6722.8430071195853</v>
      </c>
      <c r="O565" s="12">
        <f t="shared" si="2"/>
        <v>1277.340171352721</v>
      </c>
      <c r="P565" s="13"/>
      <c r="Q565" s="14">
        <f t="shared" si="3"/>
        <v>2025</v>
      </c>
      <c r="R565" s="15">
        <f>VLOOKUP(MONTH(C565),'Datos Maestros'!M$2:N$14,2,FALSE)</f>
        <v>45505</v>
      </c>
      <c r="S565" s="11" t="str">
        <f>VLOOKUP(E565,Precios!B$2:W$941,3,FALSE)</f>
        <v>Huevos EXTRA</v>
      </c>
      <c r="T565" s="16">
        <f>VLOOKUP(E565,Precios!B$2:N$941,4,FALSE)*F565</f>
        <v>0</v>
      </c>
      <c r="U565" s="17"/>
      <c r="V565" s="12">
        <f>VLOOKUP(E565,Precios!B$2:N$941,13,FALSE)*F565</f>
        <v>1151.6230071195851</v>
      </c>
      <c r="W565" s="12">
        <f t="shared" si="4"/>
        <v>1151.6230071195851</v>
      </c>
      <c r="X565" s="12">
        <f>VLOOKUP(B565,'Datos Maestros'!$C$2:$D$7,2,FALSE)*V565</f>
        <v>0</v>
      </c>
      <c r="Y565" s="18">
        <f t="shared" si="5"/>
        <v>45880</v>
      </c>
      <c r="Z565" s="13" t="s">
        <v>39</v>
      </c>
      <c r="AA565" s="19" t="str">
        <f>VLOOKUP(D565,Clientes!$A$2:$J$486,9,FALSE)</f>
        <v>Ocacional</v>
      </c>
      <c r="AB565" s="13" t="str">
        <f>VLOOKUP(D565,Clientes!$A$2:$K$486,11,FALSE)</f>
        <v>Persona Natural</v>
      </c>
      <c r="AC565" s="13" t="str">
        <f>VLOOKUP(D565,Clientes!$A$2:$B$486,2,FALSE)</f>
        <v>Santa Amalia</v>
      </c>
      <c r="AD565" s="20"/>
      <c r="AE565" s="20"/>
      <c r="AF565" s="13" t="s">
        <v>40</v>
      </c>
      <c r="AG565" s="15">
        <f t="shared" si="6"/>
        <v>45505</v>
      </c>
      <c r="AH565" s="13" t="s">
        <v>41</v>
      </c>
      <c r="AI565" s="13" t="str">
        <f t="shared" si="7"/>
        <v>Huevos</v>
      </c>
      <c r="AJ565" s="13" t="str">
        <f>VLOOKUP(E565,Precios!Z$2:AA$941,2,FALSE)</f>
        <v>Bandeja Huevos EXTRA</v>
      </c>
      <c r="AK565" s="14">
        <f>VLOOKUP(E565,Precios!Z$2:BB$941,3,FALSE)*F565</f>
        <v>-1</v>
      </c>
      <c r="AL565" s="17"/>
      <c r="AM565" s="17"/>
      <c r="AN565" s="17"/>
      <c r="AO565" s="17"/>
      <c r="AP565" s="17"/>
      <c r="AQ565" s="17"/>
      <c r="AR565" s="17"/>
      <c r="AS565" s="17"/>
      <c r="AT565" s="17"/>
      <c r="AU565" s="17"/>
      <c r="AV565" s="17"/>
    </row>
    <row r="566" spans="1:48" ht="15.75" customHeight="1">
      <c r="A566" s="21" t="s">
        <v>76</v>
      </c>
      <c r="B566" s="23" t="s">
        <v>1692</v>
      </c>
      <c r="C566" s="22">
        <v>45882</v>
      </c>
      <c r="D566" s="23" t="s">
        <v>319</v>
      </c>
      <c r="E566" s="23" t="s">
        <v>81</v>
      </c>
      <c r="F566" s="21">
        <v>1</v>
      </c>
      <c r="G566" s="12">
        <f>VLOOKUP(E566,Precios!B$2:N$941,12,FALSE)</f>
        <v>3500.0000000000005</v>
      </c>
      <c r="H566" s="12">
        <f t="shared" si="0"/>
        <v>3500.0000000000005</v>
      </c>
      <c r="I566" s="23" t="s">
        <v>52</v>
      </c>
      <c r="J566" s="23" t="s">
        <v>38</v>
      </c>
      <c r="K566" s="24" t="s">
        <v>177</v>
      </c>
      <c r="L566" s="24">
        <v>170</v>
      </c>
      <c r="M566" s="12">
        <f t="shared" ref="M566:N566" si="571">G566/1.19</f>
        <v>2941.1764705882356</v>
      </c>
      <c r="N566" s="12">
        <f t="shared" si="571"/>
        <v>2941.1764705882356</v>
      </c>
      <c r="O566" s="12">
        <f t="shared" si="2"/>
        <v>558.82352941176487</v>
      </c>
      <c r="P566" s="13"/>
      <c r="Q566" s="14">
        <f t="shared" si="3"/>
        <v>2025</v>
      </c>
      <c r="R566" s="15">
        <f>VLOOKUP(MONTH(C566),'Datos Maestros'!M$2:N$14,2,FALSE)</f>
        <v>45505</v>
      </c>
      <c r="S566" s="11" t="str">
        <f>VLOOKUP(E566,Precios!B$2:W$941,3,FALSE)</f>
        <v>Detergente Premium</v>
      </c>
      <c r="T566" s="16">
        <f>VLOOKUP(E566,Precios!B$2:N$941,4,FALSE)*F566</f>
        <v>5</v>
      </c>
      <c r="U566" s="17"/>
      <c r="V566" s="12">
        <f>VLOOKUP(E566,Precios!B$2:N$941,13,FALSE)*F566</f>
        <v>764.70588235294144</v>
      </c>
      <c r="W566" s="12">
        <f t="shared" si="4"/>
        <v>764.70588235294144</v>
      </c>
      <c r="X566" s="12">
        <f>VLOOKUP(B566,'Datos Maestros'!$C$2:$D$7,2,FALSE)*V566</f>
        <v>0</v>
      </c>
      <c r="Y566" s="18">
        <f t="shared" si="5"/>
        <v>45880</v>
      </c>
      <c r="Z566" s="13" t="s">
        <v>39</v>
      </c>
      <c r="AA566" s="19" t="str">
        <f>VLOOKUP(D566,Clientes!$A$2:$J$486,9,FALSE)</f>
        <v>Ocacional</v>
      </c>
      <c r="AB566" s="13" t="str">
        <f>VLOOKUP(D566,Clientes!$A$2:$K$486,11,FALSE)</f>
        <v>Persona Natural</v>
      </c>
      <c r="AC566" s="13" t="str">
        <f>VLOOKUP(D566,Clientes!$A$2:$B$486,2,FALSE)</f>
        <v>Santa Amalia</v>
      </c>
      <c r="AD566" s="20"/>
      <c r="AE566" s="20"/>
      <c r="AF566" s="13" t="s">
        <v>40</v>
      </c>
      <c r="AG566" s="15">
        <f t="shared" si="6"/>
        <v>45505</v>
      </c>
      <c r="AH566" s="13" t="s">
        <v>41</v>
      </c>
      <c r="AI566" s="13" t="str">
        <f t="shared" si="7"/>
        <v>Detergentes</v>
      </c>
      <c r="AJ566" s="13" t="str">
        <f>VLOOKUP(E566,Precios!Z$2:AA$941,2,FALSE)</f>
        <v>Detergente SPUM 5 Litros (Verde)</v>
      </c>
      <c r="AK566" s="14">
        <f>VLOOKUP(E566,Precios!Z$2:BB$941,3,FALSE)*F566</f>
        <v>-1</v>
      </c>
      <c r="AL566" s="17"/>
      <c r="AM566" s="17"/>
      <c r="AN566" s="17"/>
      <c r="AO566" s="17"/>
      <c r="AP566" s="17"/>
      <c r="AQ566" s="17"/>
      <c r="AR566" s="17"/>
      <c r="AS566" s="17"/>
      <c r="AT566" s="17"/>
      <c r="AU566" s="17"/>
      <c r="AV566" s="17"/>
    </row>
    <row r="567" spans="1:48" ht="15.75" customHeight="1">
      <c r="A567" s="21" t="s">
        <v>53</v>
      </c>
      <c r="B567" s="23" t="s">
        <v>1692</v>
      </c>
      <c r="C567" s="22">
        <v>45882</v>
      </c>
      <c r="D567" s="23" t="s">
        <v>319</v>
      </c>
      <c r="E567" s="23" t="s">
        <v>150</v>
      </c>
      <c r="F567" s="21">
        <v>1</v>
      </c>
      <c r="G567" s="12">
        <f>VLOOKUP(E567,Precios!B$2:N$941,12,FALSE)</f>
        <v>1799.8965445892823</v>
      </c>
      <c r="H567" s="12">
        <f t="shared" si="0"/>
        <v>1799.8965445892823</v>
      </c>
      <c r="I567" s="23" t="s">
        <v>52</v>
      </c>
      <c r="J567" s="23" t="s">
        <v>38</v>
      </c>
      <c r="K567" s="24" t="s">
        <v>177</v>
      </c>
      <c r="L567" s="24">
        <v>170</v>
      </c>
      <c r="M567" s="12">
        <f t="shared" ref="M567:N567" si="572">G567/1.19</f>
        <v>1512.518104696876</v>
      </c>
      <c r="N567" s="12">
        <f t="shared" si="572"/>
        <v>1512.518104696876</v>
      </c>
      <c r="O567" s="12">
        <f t="shared" si="2"/>
        <v>287.37843989240628</v>
      </c>
      <c r="P567" s="13"/>
      <c r="Q567" s="14">
        <f t="shared" si="3"/>
        <v>2025</v>
      </c>
      <c r="R567" s="15">
        <f>VLOOKUP(MONTH(C567),'Datos Maestros'!M$2:N$14,2,FALSE)</f>
        <v>45505</v>
      </c>
      <c r="S567" s="11" t="str">
        <f>VLOOKUP(E567,Precios!B$2:W$941,3,FALSE)</f>
        <v>Servilletas</v>
      </c>
      <c r="T567" s="16">
        <f>VLOOKUP(E567,Precios!B$2:N$941,4,FALSE)*F567</f>
        <v>300</v>
      </c>
      <c r="U567" s="17"/>
      <c r="V567" s="12">
        <f>VLOOKUP(E567,Precios!B$2:N$941,13,FALSE)*F567</f>
        <v>781.51810469687575</v>
      </c>
      <c r="W567" s="12">
        <f t="shared" si="4"/>
        <v>781.51810469687575</v>
      </c>
      <c r="X567" s="12">
        <f>VLOOKUP(B567,'Datos Maestros'!$C$2:$D$7,2,FALSE)*V567</f>
        <v>0</v>
      </c>
      <c r="Y567" s="18">
        <f t="shared" si="5"/>
        <v>45880</v>
      </c>
      <c r="Z567" s="13" t="s">
        <v>39</v>
      </c>
      <c r="AA567" s="19" t="str">
        <f>VLOOKUP(D567,Clientes!$A$2:$J$486,9,FALSE)</f>
        <v>Ocacional</v>
      </c>
      <c r="AB567" s="13" t="str">
        <f>VLOOKUP(D567,Clientes!$A$2:$K$486,11,FALSE)</f>
        <v>Persona Natural</v>
      </c>
      <c r="AC567" s="13" t="str">
        <f>VLOOKUP(D567,Clientes!$A$2:$B$486,2,FALSE)</f>
        <v>Santa Amalia</v>
      </c>
      <c r="AD567" s="20"/>
      <c r="AE567" s="20"/>
      <c r="AF567" s="13" t="s">
        <v>40</v>
      </c>
      <c r="AG567" s="15">
        <f t="shared" si="6"/>
        <v>45505</v>
      </c>
      <c r="AH567" s="13" t="s">
        <v>41</v>
      </c>
      <c r="AI567" s="13" t="str">
        <f t="shared" si="7"/>
        <v>Papeleria</v>
      </c>
      <c r="AJ567" s="13" t="str">
        <f>VLOOKUP(E567,Precios!Z$2:AA$941,2,FALSE)</f>
        <v>Servilletas SOFTQUALITY 300 unidades</v>
      </c>
      <c r="AK567" s="14">
        <f>VLOOKUP(E567,Precios!Z$2:BB$941,3,FALSE)*F567</f>
        <v>-1</v>
      </c>
      <c r="AL567" s="17"/>
      <c r="AM567" s="17"/>
      <c r="AN567" s="17"/>
      <c r="AO567" s="17"/>
      <c r="AP567" s="17"/>
      <c r="AQ567" s="17"/>
      <c r="AR567" s="17"/>
      <c r="AS567" s="17"/>
      <c r="AT567" s="17"/>
      <c r="AU567" s="17"/>
      <c r="AV567" s="17"/>
    </row>
    <row r="568" spans="1:48" ht="15.75" customHeight="1">
      <c r="A568" s="21" t="s">
        <v>53</v>
      </c>
      <c r="B568" s="23" t="s">
        <v>1692</v>
      </c>
      <c r="C568" s="22">
        <v>45882</v>
      </c>
      <c r="D568" s="23" t="s">
        <v>319</v>
      </c>
      <c r="E568" s="23" t="s">
        <v>320</v>
      </c>
      <c r="F568" s="21">
        <v>1</v>
      </c>
      <c r="G568" s="12">
        <f>VLOOKUP(E568,Precios!B$2:N$941,12,FALSE)</f>
        <v>7000.0000000000009</v>
      </c>
      <c r="H568" s="12">
        <f t="shared" si="0"/>
        <v>7000.0000000000009</v>
      </c>
      <c r="I568" s="23" t="s">
        <v>52</v>
      </c>
      <c r="J568" s="23" t="s">
        <v>38</v>
      </c>
      <c r="K568" s="24" t="s">
        <v>177</v>
      </c>
      <c r="L568" s="24">
        <v>170</v>
      </c>
      <c r="M568" s="12">
        <f t="shared" ref="M568:N568" si="573">G568/1.19</f>
        <v>5882.3529411764712</v>
      </c>
      <c r="N568" s="12">
        <f t="shared" si="573"/>
        <v>5882.3529411764712</v>
      </c>
      <c r="O568" s="12">
        <f t="shared" si="2"/>
        <v>1117.6470588235297</v>
      </c>
      <c r="P568" s="13"/>
      <c r="Q568" s="14">
        <f t="shared" si="3"/>
        <v>2025</v>
      </c>
      <c r="R568" s="15">
        <f>VLOOKUP(MONTH(C568),'Datos Maestros'!M$2:N$14,2,FALSE)</f>
        <v>45505</v>
      </c>
      <c r="S568" s="11" t="str">
        <f>VLOOKUP(E568,Precios!B$2:W$941,3,FALSE)</f>
        <v>Papel Higiénico SWAN</v>
      </c>
      <c r="T568" s="16">
        <f>VLOOKUP(E568,Precios!B$2:N$941,4,FALSE)*F568</f>
        <v>0</v>
      </c>
      <c r="U568" s="17"/>
      <c r="V568" s="12">
        <f>VLOOKUP(E568,Precios!B$2:N$941,13,FALSE)*F568</f>
        <v>2762.3529411764712</v>
      </c>
      <c r="W568" s="12">
        <f t="shared" si="4"/>
        <v>2762.3529411764712</v>
      </c>
      <c r="X568" s="12">
        <f>VLOOKUP(B568,'Datos Maestros'!$C$2:$D$7,2,FALSE)*V568</f>
        <v>0</v>
      </c>
      <c r="Y568" s="18">
        <f t="shared" si="5"/>
        <v>45880</v>
      </c>
      <c r="Z568" s="13" t="s">
        <v>39</v>
      </c>
      <c r="AA568" s="19" t="str">
        <f>VLOOKUP(D568,Clientes!$A$2:$J$486,9,FALSE)</f>
        <v>Ocacional</v>
      </c>
      <c r="AB568" s="13" t="str">
        <f>VLOOKUP(D568,Clientes!$A$2:$K$486,11,FALSE)</f>
        <v>Persona Natural</v>
      </c>
      <c r="AC568" s="13" t="str">
        <f>VLOOKUP(D568,Clientes!$A$2:$B$486,2,FALSE)</f>
        <v>Santa Amalia</v>
      </c>
      <c r="AD568" s="20"/>
      <c r="AE568" s="20"/>
      <c r="AF568" s="13" t="s">
        <v>40</v>
      </c>
      <c r="AG568" s="15">
        <f t="shared" si="6"/>
        <v>45505</v>
      </c>
      <c r="AH568" s="13" t="s">
        <v>41</v>
      </c>
      <c r="AI568" s="13" t="str">
        <f t="shared" si="7"/>
        <v>Papeleria</v>
      </c>
      <c r="AJ568" s="13" t="str">
        <f>VLOOKUP(E568,Precios!Z$2:AA$941,2,FALSE)</f>
        <v>Papel Higienico SWAN 400 hojas</v>
      </c>
      <c r="AK568" s="14">
        <f>VLOOKUP(E568,Precios!Z$2:BB$941,3,FALSE)*F568</f>
        <v>-3</v>
      </c>
      <c r="AL568" s="17"/>
      <c r="AM568" s="17"/>
      <c r="AN568" s="17"/>
      <c r="AO568" s="17"/>
      <c r="AP568" s="17"/>
      <c r="AQ568" s="17"/>
      <c r="AR568" s="17"/>
      <c r="AS568" s="17"/>
      <c r="AT568" s="17"/>
      <c r="AU568" s="17"/>
      <c r="AV568" s="17"/>
    </row>
    <row r="569" spans="1:48" ht="15.75" customHeight="1">
      <c r="A569" s="21" t="s">
        <v>53</v>
      </c>
      <c r="B569" s="23" t="s">
        <v>1692</v>
      </c>
      <c r="C569" s="22">
        <v>45882</v>
      </c>
      <c r="D569" s="23" t="s">
        <v>168</v>
      </c>
      <c r="E569" s="23" t="s">
        <v>55</v>
      </c>
      <c r="F569" s="21">
        <v>2</v>
      </c>
      <c r="G569" s="12">
        <f>VLOOKUP(E569,Precios!B$2:N$941,12,FALSE)</f>
        <v>20899.91124296327</v>
      </c>
      <c r="H569" s="12">
        <f t="shared" si="0"/>
        <v>41799.822485926539</v>
      </c>
      <c r="I569" s="23" t="s">
        <v>52</v>
      </c>
      <c r="J569" s="23" t="s">
        <v>61</v>
      </c>
      <c r="K569" s="24" t="s">
        <v>177</v>
      </c>
      <c r="L569" s="24">
        <v>170</v>
      </c>
      <c r="M569" s="12">
        <f t="shared" ref="M569:N569" si="574">G569/1.19</f>
        <v>17562.950624338882</v>
      </c>
      <c r="N569" s="12">
        <f t="shared" si="574"/>
        <v>35125.901248677765</v>
      </c>
      <c r="O569" s="12">
        <f t="shared" si="2"/>
        <v>6673.9212372487746</v>
      </c>
      <c r="P569" s="13"/>
      <c r="Q569" s="14">
        <f t="shared" si="3"/>
        <v>2025</v>
      </c>
      <c r="R569" s="15">
        <f>VLOOKUP(MONTH(C569),'Datos Maestros'!M$2:N$14,2,FALSE)</f>
        <v>45505</v>
      </c>
      <c r="S569" s="11" t="str">
        <f>VLOOKUP(E569,Precios!B$2:W$941,3,FALSE)</f>
        <v>Papel Higiénico ELITE</v>
      </c>
      <c r="T569" s="16">
        <f>VLOOKUP(E569,Precios!B$2:N$941,4,FALSE)*F569</f>
        <v>0</v>
      </c>
      <c r="U569" s="17"/>
      <c r="V569" s="12">
        <f>VLOOKUP(E569,Precios!B$2:N$941,13,FALSE)*F569</f>
        <v>6235.9012486777647</v>
      </c>
      <c r="W569" s="12">
        <f t="shared" si="4"/>
        <v>6235.9012486777647</v>
      </c>
      <c r="X569" s="12">
        <f>VLOOKUP(B569,'Datos Maestros'!$C$2:$D$7,2,FALSE)*V569</f>
        <v>0</v>
      </c>
      <c r="Y569" s="18">
        <f t="shared" si="5"/>
        <v>45880</v>
      </c>
      <c r="Z569" s="13" t="s">
        <v>39</v>
      </c>
      <c r="AA569" s="19" t="str">
        <f>VLOOKUP(D569,Clientes!$A$2:$J$486,9,FALSE)</f>
        <v>Frecuente</v>
      </c>
      <c r="AB569" s="13" t="str">
        <f>VLOOKUP(D569,Clientes!$A$2:$K$486,11,FALSE)</f>
        <v>Persona Natural</v>
      </c>
      <c r="AC569" s="13" t="str">
        <f>VLOOKUP(D569,Clientes!$A$2:$B$486,2,FALSE)</f>
        <v>Jardin del Eden</v>
      </c>
      <c r="AD569" s="20"/>
      <c r="AE569" s="20"/>
      <c r="AF569" s="13" t="s">
        <v>40</v>
      </c>
      <c r="AG569" s="15">
        <f t="shared" si="6"/>
        <v>45505</v>
      </c>
      <c r="AH569" s="13" t="s">
        <v>41</v>
      </c>
      <c r="AI569" s="13" t="str">
        <f t="shared" si="7"/>
        <v>Papeleria</v>
      </c>
      <c r="AJ569" s="13" t="str">
        <f>VLOOKUP(E569,Precios!Z$2:AA$941,2,FALSE)</f>
        <v>Papel Higienico ELITE 50 metros</v>
      </c>
      <c r="AK569" s="14">
        <f>VLOOKUP(E569,Precios!Z$2:BB$941,3,FALSE)*F569</f>
        <v>-16</v>
      </c>
      <c r="AL569" s="17"/>
      <c r="AM569" s="17"/>
      <c r="AN569" s="17"/>
      <c r="AO569" s="17"/>
      <c r="AP569" s="17"/>
      <c r="AQ569" s="17"/>
      <c r="AR569" s="17"/>
      <c r="AS569" s="17"/>
      <c r="AT569" s="17"/>
      <c r="AU569" s="17"/>
      <c r="AV569" s="17"/>
    </row>
    <row r="570" spans="1:48" ht="15.75" customHeight="1">
      <c r="A570" s="21" t="s">
        <v>53</v>
      </c>
      <c r="B570" s="23" t="s">
        <v>1692</v>
      </c>
      <c r="C570" s="22">
        <v>45882</v>
      </c>
      <c r="D570" s="23" t="s">
        <v>168</v>
      </c>
      <c r="E570" s="23" t="s">
        <v>274</v>
      </c>
      <c r="F570" s="21">
        <v>1</v>
      </c>
      <c r="G570" s="12">
        <f>VLOOKUP(E570,Precios!B$2:N$941,12,FALSE)</f>
        <v>22500.104577715188</v>
      </c>
      <c r="H570" s="12">
        <f t="shared" si="0"/>
        <v>22500.104577715188</v>
      </c>
      <c r="I570" s="23" t="s">
        <v>52</v>
      </c>
      <c r="J570" s="23" t="s">
        <v>61</v>
      </c>
      <c r="K570" s="24" t="s">
        <v>177</v>
      </c>
      <c r="L570" s="24">
        <v>170</v>
      </c>
      <c r="M570" s="12">
        <f t="shared" ref="M570:N570" si="575">G570/1.19</f>
        <v>18907.650905643015</v>
      </c>
      <c r="N570" s="12">
        <f t="shared" si="575"/>
        <v>18907.650905643015</v>
      </c>
      <c r="O570" s="12">
        <f t="shared" si="2"/>
        <v>3592.4536720721735</v>
      </c>
      <c r="P570" s="13"/>
      <c r="Q570" s="14">
        <f t="shared" si="3"/>
        <v>2025</v>
      </c>
      <c r="R570" s="15">
        <f>VLOOKUP(MONTH(C570),'Datos Maestros'!M$2:N$14,2,FALSE)</f>
        <v>45505</v>
      </c>
      <c r="S570" s="11" t="str">
        <f>VLOOKUP(E570,Precios!B$2:W$941,3,FALSE)</f>
        <v>Toalla Nova 70 mts</v>
      </c>
      <c r="T570" s="16">
        <f>VLOOKUP(E570,Precios!B$2:N$941,4,FALSE)*F570</f>
        <v>0</v>
      </c>
      <c r="U570" s="17"/>
      <c r="V570" s="12">
        <f>VLOOKUP(E570,Precios!B$2:N$941,13,FALSE)*F570</f>
        <v>5347.650905643015</v>
      </c>
      <c r="W570" s="12">
        <f t="shared" si="4"/>
        <v>5347.650905643015</v>
      </c>
      <c r="X570" s="12">
        <f>VLOOKUP(B570,'Datos Maestros'!$C$2:$D$7,2,FALSE)*V570</f>
        <v>0</v>
      </c>
      <c r="Y570" s="18">
        <f t="shared" si="5"/>
        <v>45880</v>
      </c>
      <c r="Z570" s="13" t="s">
        <v>39</v>
      </c>
      <c r="AA570" s="19" t="str">
        <f>VLOOKUP(D570,Clientes!$A$2:$J$486,9,FALSE)</f>
        <v>Frecuente</v>
      </c>
      <c r="AB570" s="13" t="str">
        <f>VLOOKUP(D570,Clientes!$A$2:$K$486,11,FALSE)</f>
        <v>Persona Natural</v>
      </c>
      <c r="AC570" s="13" t="str">
        <f>VLOOKUP(D570,Clientes!$A$2:$B$486,2,FALSE)</f>
        <v>Jardin del Eden</v>
      </c>
      <c r="AD570" s="20"/>
      <c r="AE570" s="20"/>
      <c r="AF570" s="13" t="s">
        <v>40</v>
      </c>
      <c r="AG570" s="15">
        <f t="shared" si="6"/>
        <v>45505</v>
      </c>
      <c r="AH570" s="13" t="s">
        <v>41</v>
      </c>
      <c r="AI570" s="13" t="str">
        <f t="shared" si="7"/>
        <v>Papeleria</v>
      </c>
      <c r="AJ570" s="13" t="str">
        <f>VLOOKUP(E570,Precios!Z$2:AA$941,2,FALSE)</f>
        <v>Toalla Papel NOVA 70 metros</v>
      </c>
      <c r="AK570" s="14">
        <f>VLOOKUP(E570,Precios!Z$2:BB$941,3,FALSE)*F570</f>
        <v>-8</v>
      </c>
      <c r="AL570" s="17"/>
      <c r="AM570" s="17"/>
      <c r="AN570" s="17"/>
      <c r="AO570" s="17"/>
      <c r="AP570" s="17"/>
      <c r="AQ570" s="17"/>
      <c r="AR570" s="17"/>
      <c r="AS570" s="17"/>
      <c r="AT570" s="17"/>
      <c r="AU570" s="17"/>
      <c r="AV570" s="17"/>
    </row>
    <row r="571" spans="1:48" ht="15.75" customHeight="1">
      <c r="A571" s="21" t="s">
        <v>53</v>
      </c>
      <c r="B571" s="23" t="s">
        <v>1692</v>
      </c>
      <c r="C571" s="22">
        <v>45882</v>
      </c>
      <c r="D571" s="23" t="s">
        <v>168</v>
      </c>
      <c r="E571" s="23" t="s">
        <v>280</v>
      </c>
      <c r="F571" s="21">
        <v>1</v>
      </c>
      <c r="G571" s="12">
        <f>VLOOKUP(E571,Precios!B$2:N$941,12,FALSE)</f>
        <v>13500.442251291839</v>
      </c>
      <c r="H571" s="12">
        <f t="shared" si="0"/>
        <v>13500.442251291839</v>
      </c>
      <c r="I571" s="23" t="s">
        <v>52</v>
      </c>
      <c r="J571" s="23" t="s">
        <v>61</v>
      </c>
      <c r="K571" s="24" t="s">
        <v>177</v>
      </c>
      <c r="L571" s="24">
        <v>170</v>
      </c>
      <c r="M571" s="12">
        <f t="shared" ref="M571:N571" si="576">G571/1.19</f>
        <v>11344.909454867093</v>
      </c>
      <c r="N571" s="12">
        <f t="shared" si="576"/>
        <v>11344.909454867093</v>
      </c>
      <c r="O571" s="12">
        <f t="shared" si="2"/>
        <v>2155.5327964247463</v>
      </c>
      <c r="P571" s="13"/>
      <c r="Q571" s="14">
        <f t="shared" si="3"/>
        <v>2025</v>
      </c>
      <c r="R571" s="15">
        <f>VLOOKUP(MONTH(C571),'Datos Maestros'!M$2:N$14,2,FALSE)</f>
        <v>45505</v>
      </c>
      <c r="S571" s="11" t="str">
        <f>VLOOKUP(E571,Precios!B$2:W$941,3,FALSE)</f>
        <v>Servilletas</v>
      </c>
      <c r="T571" s="16">
        <f>VLOOKUP(E571,Precios!B$2:N$941,4,FALSE)*F571</f>
        <v>300</v>
      </c>
      <c r="U571" s="17"/>
      <c r="V571" s="12">
        <f>VLOOKUP(E571,Precios!B$2:N$941,13,FALSE)*F571</f>
        <v>4033.909454867091</v>
      </c>
      <c r="W571" s="12">
        <f t="shared" si="4"/>
        <v>4033.909454867091</v>
      </c>
      <c r="X571" s="12">
        <f>VLOOKUP(B571,'Datos Maestros'!$C$2:$D$7,2,FALSE)*V571</f>
        <v>0</v>
      </c>
      <c r="Y571" s="18">
        <f t="shared" si="5"/>
        <v>45880</v>
      </c>
      <c r="Z571" s="13" t="s">
        <v>39</v>
      </c>
      <c r="AA571" s="19" t="str">
        <f>VLOOKUP(D571,Clientes!$A$2:$J$486,9,FALSE)</f>
        <v>Frecuente</v>
      </c>
      <c r="AB571" s="13" t="str">
        <f>VLOOKUP(D571,Clientes!$A$2:$K$486,11,FALSE)</f>
        <v>Persona Natural</v>
      </c>
      <c r="AC571" s="13" t="str">
        <f>VLOOKUP(D571,Clientes!$A$2:$B$486,2,FALSE)</f>
        <v>Jardin del Eden</v>
      </c>
      <c r="AD571" s="20"/>
      <c r="AE571" s="20"/>
      <c r="AF571" s="13" t="s">
        <v>40</v>
      </c>
      <c r="AG571" s="15">
        <f t="shared" si="6"/>
        <v>45505</v>
      </c>
      <c r="AH571" s="13" t="s">
        <v>41</v>
      </c>
      <c r="AI571" s="13" t="str">
        <f t="shared" si="7"/>
        <v>Papeleria</v>
      </c>
      <c r="AJ571" s="13" t="str">
        <f>VLOOKUP(E571,Precios!Z$2:AA$941,2,FALSE)</f>
        <v>Servilletas SOFTQUALITY 300 unidades</v>
      </c>
      <c r="AK571" s="14">
        <f>VLOOKUP(E571,Precios!Z$2:BB$941,3,FALSE)*F571</f>
        <v>-10</v>
      </c>
      <c r="AL571" s="17"/>
      <c r="AM571" s="17"/>
      <c r="AN571" s="17"/>
      <c r="AO571" s="17"/>
      <c r="AP571" s="17"/>
      <c r="AQ571" s="17"/>
      <c r="AR571" s="17"/>
      <c r="AS571" s="17"/>
      <c r="AT571" s="17"/>
      <c r="AU571" s="17"/>
      <c r="AV571" s="17"/>
    </row>
    <row r="572" spans="1:48" ht="15.75" customHeight="1">
      <c r="A572" s="21" t="s">
        <v>47</v>
      </c>
      <c r="B572" s="23" t="s">
        <v>1692</v>
      </c>
      <c r="C572" s="22">
        <v>45882</v>
      </c>
      <c r="D572" s="23" t="s">
        <v>168</v>
      </c>
      <c r="E572" s="23" t="s">
        <v>71</v>
      </c>
      <c r="F572" s="21">
        <v>1</v>
      </c>
      <c r="G572" s="12">
        <f>VLOOKUP(E572,Precios!B$2:N$941,12,FALSE)</f>
        <v>2700.007670476336</v>
      </c>
      <c r="H572" s="12">
        <f t="shared" si="0"/>
        <v>2700.007670476336</v>
      </c>
      <c r="I572" s="23" t="s">
        <v>52</v>
      </c>
      <c r="J572" s="23" t="s">
        <v>61</v>
      </c>
      <c r="K572" s="24" t="s">
        <v>177</v>
      </c>
      <c r="L572" s="24">
        <v>170</v>
      </c>
      <c r="M572" s="12">
        <f t="shared" ref="M572:N572" si="577">G572/1.19</f>
        <v>2268.9140088036438</v>
      </c>
      <c r="N572" s="12">
        <f t="shared" si="577"/>
        <v>2268.9140088036438</v>
      </c>
      <c r="O572" s="12">
        <f t="shared" si="2"/>
        <v>431.09366167269218</v>
      </c>
      <c r="P572" s="13"/>
      <c r="Q572" s="14">
        <f t="shared" si="3"/>
        <v>2025</v>
      </c>
      <c r="R572" s="15">
        <f>VLOOKUP(MONTH(C572),'Datos Maestros'!M$2:N$14,2,FALSE)</f>
        <v>45505</v>
      </c>
      <c r="S572" s="11" t="str">
        <f>VLOOKUP(E572,Precios!B$2:W$941,3,FALSE)</f>
        <v>Toalla desinfectantes</v>
      </c>
      <c r="T572" s="16">
        <f>VLOOKUP(E572,Precios!B$2:N$941,4,FALSE)*F572</f>
        <v>0</v>
      </c>
      <c r="U572" s="17"/>
      <c r="V572" s="12">
        <f>VLOOKUP(E572,Precios!B$2:N$941,13,FALSE)*F572</f>
        <v>789.92241216498837</v>
      </c>
      <c r="W572" s="12">
        <f t="shared" si="4"/>
        <v>789.92241216498837</v>
      </c>
      <c r="X572" s="12">
        <f>VLOOKUP(B572,'Datos Maestros'!$C$2:$D$7,2,FALSE)*V572</f>
        <v>0</v>
      </c>
      <c r="Y572" s="18">
        <f t="shared" si="5"/>
        <v>45880</v>
      </c>
      <c r="Z572" s="13" t="s">
        <v>39</v>
      </c>
      <c r="AA572" s="19" t="str">
        <f>VLOOKUP(D572,Clientes!$A$2:$J$486,9,FALSE)</f>
        <v>Frecuente</v>
      </c>
      <c r="AB572" s="13" t="str">
        <f>VLOOKUP(D572,Clientes!$A$2:$K$486,11,FALSE)</f>
        <v>Persona Natural</v>
      </c>
      <c r="AC572" s="13" t="str">
        <f>VLOOKUP(D572,Clientes!$A$2:$B$486,2,FALSE)</f>
        <v>Jardin del Eden</v>
      </c>
      <c r="AD572" s="20"/>
      <c r="AE572" s="20"/>
      <c r="AF572" s="13" t="s">
        <v>40</v>
      </c>
      <c r="AG572" s="15">
        <f t="shared" si="6"/>
        <v>45505</v>
      </c>
      <c r="AH572" s="13" t="s">
        <v>41</v>
      </c>
      <c r="AI572" s="13" t="str">
        <f t="shared" si="7"/>
        <v>Articulos de Aseo</v>
      </c>
      <c r="AJ572" s="13" t="str">
        <f>VLOOKUP(E572,Precios!Z$2:AA$941,2,FALSE)</f>
        <v>Toalla desinfectante IGENIX 50 unidades</v>
      </c>
      <c r="AK572" s="14">
        <f>VLOOKUP(E572,Precios!Z$2:BB$941,3,FALSE)*F572</f>
        <v>-1</v>
      </c>
      <c r="AL572" s="17"/>
      <c r="AM572" s="17"/>
      <c r="AN572" s="17"/>
      <c r="AO572" s="17"/>
      <c r="AP572" s="17"/>
      <c r="AQ572" s="17"/>
      <c r="AR572" s="17"/>
      <c r="AS572" s="17"/>
      <c r="AT572" s="17"/>
      <c r="AU572" s="17"/>
      <c r="AV572" s="17"/>
    </row>
    <row r="573" spans="1:48" ht="15.75" customHeight="1">
      <c r="A573" s="21" t="s">
        <v>43</v>
      </c>
      <c r="B573" s="23" t="s">
        <v>1692</v>
      </c>
      <c r="C573" s="22">
        <v>45882</v>
      </c>
      <c r="D573" s="23" t="s">
        <v>83</v>
      </c>
      <c r="E573" s="23" t="s">
        <v>45</v>
      </c>
      <c r="F573" s="21">
        <v>2</v>
      </c>
      <c r="G573" s="12">
        <f>VLOOKUP(E573,Precios!B$2:N$941,12,FALSE)</f>
        <v>8000.1831784723063</v>
      </c>
      <c r="H573" s="12">
        <f t="shared" si="0"/>
        <v>16000.366356944613</v>
      </c>
      <c r="I573" s="23" t="s">
        <v>52</v>
      </c>
      <c r="J573" s="23" t="s">
        <v>61</v>
      </c>
      <c r="K573" s="24" t="s">
        <v>177</v>
      </c>
      <c r="L573" s="24">
        <v>170</v>
      </c>
      <c r="M573" s="12">
        <f t="shared" ref="M573:N573" si="578">G573/1.19</f>
        <v>6722.8430071195853</v>
      </c>
      <c r="N573" s="12">
        <f t="shared" si="578"/>
        <v>13445.686014239171</v>
      </c>
      <c r="O573" s="12">
        <f t="shared" si="2"/>
        <v>2554.6803427054419</v>
      </c>
      <c r="P573" s="13"/>
      <c r="Q573" s="14">
        <f t="shared" si="3"/>
        <v>2025</v>
      </c>
      <c r="R573" s="15">
        <f>VLOOKUP(MONTH(C573),'Datos Maestros'!M$2:N$14,2,FALSE)</f>
        <v>45505</v>
      </c>
      <c r="S573" s="11" t="str">
        <f>VLOOKUP(E573,Precios!B$2:W$941,3,FALSE)</f>
        <v>Huevos EXTRA</v>
      </c>
      <c r="T573" s="16">
        <f>VLOOKUP(E573,Precios!B$2:N$941,4,FALSE)*F573</f>
        <v>0</v>
      </c>
      <c r="U573" s="17"/>
      <c r="V573" s="12">
        <f>VLOOKUP(E573,Precios!B$2:N$941,13,FALSE)*F573</f>
        <v>2303.2460142391701</v>
      </c>
      <c r="W573" s="12">
        <f t="shared" si="4"/>
        <v>2303.2460142391701</v>
      </c>
      <c r="X573" s="12">
        <f>VLOOKUP(B573,'Datos Maestros'!$C$2:$D$7,2,FALSE)*V573</f>
        <v>0</v>
      </c>
      <c r="Y573" s="18">
        <f t="shared" si="5"/>
        <v>45880</v>
      </c>
      <c r="Z573" s="13" t="s">
        <v>39</v>
      </c>
      <c r="AA573" s="19" t="str">
        <f>VLOOKUP(D573,Clientes!$A$2:$J$486,9,FALSE)</f>
        <v>Ocacional</v>
      </c>
      <c r="AB573" s="13" t="str">
        <f>VLOOKUP(D573,Clientes!$A$2:$K$486,11,FALSE)</f>
        <v>Persona Natural</v>
      </c>
      <c r="AC573" s="13" t="str">
        <f>VLOOKUP(D573,Clientes!$A$2:$B$486,2,FALSE)</f>
        <v>Vicuña Mackena</v>
      </c>
      <c r="AD573" s="20"/>
      <c r="AE573" s="20"/>
      <c r="AF573" s="13" t="s">
        <v>40</v>
      </c>
      <c r="AG573" s="15">
        <f t="shared" si="6"/>
        <v>45505</v>
      </c>
      <c r="AH573" s="13" t="s">
        <v>41</v>
      </c>
      <c r="AI573" s="13" t="str">
        <f t="shared" si="7"/>
        <v>Huevos</v>
      </c>
      <c r="AJ573" s="13" t="str">
        <f>VLOOKUP(E573,Precios!Z$2:AA$941,2,FALSE)</f>
        <v>Bandeja Huevos EXTRA</v>
      </c>
      <c r="AK573" s="14">
        <f>VLOOKUP(E573,Precios!Z$2:BB$941,3,FALSE)*F573</f>
        <v>-2</v>
      </c>
      <c r="AL573" s="17"/>
      <c r="AM573" s="17"/>
      <c r="AN573" s="17"/>
      <c r="AO573" s="17"/>
      <c r="AP573" s="17"/>
      <c r="AQ573" s="17"/>
      <c r="AR573" s="17"/>
      <c r="AS573" s="17"/>
      <c r="AT573" s="17"/>
      <c r="AU573" s="17"/>
      <c r="AV573" s="17"/>
    </row>
    <row r="574" spans="1:48" ht="15.75" customHeight="1">
      <c r="A574" s="21" t="s">
        <v>53</v>
      </c>
      <c r="B574" s="23" t="s">
        <v>1692</v>
      </c>
      <c r="C574" s="22">
        <v>45882</v>
      </c>
      <c r="D574" s="23" t="s">
        <v>321</v>
      </c>
      <c r="E574" s="23" t="s">
        <v>97</v>
      </c>
      <c r="F574" s="21">
        <v>1</v>
      </c>
      <c r="G574" s="12">
        <f>VLOOKUP(E574,Precios!B$2:N$941,12,FALSE)</f>
        <v>16500.236769693482</v>
      </c>
      <c r="H574" s="12">
        <f t="shared" si="0"/>
        <v>16500.236769693482</v>
      </c>
      <c r="I574" s="23" t="s">
        <v>52</v>
      </c>
      <c r="J574" s="23" t="s">
        <v>61</v>
      </c>
      <c r="K574" s="24" t="s">
        <v>177</v>
      </c>
      <c r="L574" s="24">
        <v>170</v>
      </c>
      <c r="M574" s="12">
        <f t="shared" ref="M574:N574" si="579">G574/1.19</f>
        <v>13865.745184616371</v>
      </c>
      <c r="N574" s="12">
        <f t="shared" si="579"/>
        <v>13865.745184616371</v>
      </c>
      <c r="O574" s="12">
        <f t="shared" si="2"/>
        <v>2634.4915850771104</v>
      </c>
      <c r="P574" s="13"/>
      <c r="Q574" s="14">
        <f t="shared" si="3"/>
        <v>2025</v>
      </c>
      <c r="R574" s="15">
        <f>VLOOKUP(MONTH(C574),'Datos Maestros'!M$2:N$14,2,FALSE)</f>
        <v>45505</v>
      </c>
      <c r="S574" s="11" t="str">
        <f>VLOOKUP(E574,Precios!B$2:W$941,3,FALSE)</f>
        <v>Papel Higiénico ELITE</v>
      </c>
      <c r="T574" s="16">
        <f>VLOOKUP(E574,Precios!B$2:N$941,4,FALSE)*F574</f>
        <v>0</v>
      </c>
      <c r="U574" s="17"/>
      <c r="V574" s="12">
        <f>VLOOKUP(E574,Precios!B$2:N$941,13,FALSE)*F574</f>
        <v>3031.7451846163694</v>
      </c>
      <c r="W574" s="12">
        <f t="shared" si="4"/>
        <v>3031.7451846163694</v>
      </c>
      <c r="X574" s="12">
        <f>VLOOKUP(B574,'Datos Maestros'!$C$2:$D$7,2,FALSE)*V574</f>
        <v>0</v>
      </c>
      <c r="Y574" s="18">
        <f t="shared" si="5"/>
        <v>45880</v>
      </c>
      <c r="Z574" s="13" t="s">
        <v>39</v>
      </c>
      <c r="AA574" s="19" t="str">
        <f>VLOOKUP(D574,Clientes!$A$2:$J$486,9,FALSE)</f>
        <v>Frecuente</v>
      </c>
      <c r="AB574" s="13" t="str">
        <f>VLOOKUP(D574,Clientes!$A$2:$K$486,11,FALSE)</f>
        <v>Persona Natural</v>
      </c>
      <c r="AC574" s="13" t="str">
        <f>VLOOKUP(D574,Clientes!$A$2:$B$486,2,FALSE)</f>
        <v>Colegio Antilhue</v>
      </c>
      <c r="AD574" s="20"/>
      <c r="AE574" s="20"/>
      <c r="AF574" s="13" t="s">
        <v>40</v>
      </c>
      <c r="AG574" s="15">
        <f t="shared" si="6"/>
        <v>45505</v>
      </c>
      <c r="AH574" s="13" t="s">
        <v>41</v>
      </c>
      <c r="AI574" s="13" t="str">
        <f t="shared" si="7"/>
        <v>Papeleria</v>
      </c>
      <c r="AJ574" s="13" t="str">
        <f>VLOOKUP(E574,Precios!Z$2:AA$941,2,FALSE)</f>
        <v>Papel Higienico ELITE 50 metros</v>
      </c>
      <c r="AK574" s="14">
        <f>VLOOKUP(E574,Precios!Z$2:BB$941,3,FALSE)*F574</f>
        <v>-6</v>
      </c>
      <c r="AL574" s="17"/>
      <c r="AM574" s="17"/>
      <c r="AN574" s="17"/>
      <c r="AO574" s="17"/>
      <c r="AP574" s="17"/>
      <c r="AQ574" s="17"/>
      <c r="AR574" s="17"/>
      <c r="AS574" s="17"/>
      <c r="AT574" s="17"/>
      <c r="AU574" s="17"/>
      <c r="AV574" s="17"/>
    </row>
    <row r="575" spans="1:48" ht="15.75" customHeight="1">
      <c r="A575" s="21" t="s">
        <v>53</v>
      </c>
      <c r="B575" s="23" t="s">
        <v>1692</v>
      </c>
      <c r="C575" s="22">
        <v>45882</v>
      </c>
      <c r="D575" s="23" t="s">
        <v>321</v>
      </c>
      <c r="E575" s="23" t="s">
        <v>114</v>
      </c>
      <c r="F575" s="21">
        <v>1</v>
      </c>
      <c r="G575" s="12">
        <f>VLOOKUP(E575,Precios!B$2:N$941,12,FALSE)</f>
        <v>10500</v>
      </c>
      <c r="H575" s="12">
        <f t="shared" si="0"/>
        <v>10500</v>
      </c>
      <c r="I575" s="23" t="s">
        <v>52</v>
      </c>
      <c r="J575" s="23" t="s">
        <v>61</v>
      </c>
      <c r="K575" s="24" t="s">
        <v>177</v>
      </c>
      <c r="L575" s="24">
        <v>170</v>
      </c>
      <c r="M575" s="12">
        <f t="shared" ref="M575:N575" si="580">G575/1.19</f>
        <v>8823.5294117647063</v>
      </c>
      <c r="N575" s="12">
        <f t="shared" si="580"/>
        <v>8823.5294117647063</v>
      </c>
      <c r="O575" s="12">
        <f t="shared" si="2"/>
        <v>1676.4705882352937</v>
      </c>
      <c r="P575" s="13"/>
      <c r="Q575" s="14">
        <f t="shared" si="3"/>
        <v>2025</v>
      </c>
      <c r="R575" s="15">
        <f>VLOOKUP(MONTH(C575),'Datos Maestros'!M$2:N$14,2,FALSE)</f>
        <v>45505</v>
      </c>
      <c r="S575" s="11" t="str">
        <f>VLOOKUP(E575,Precios!B$2:W$941,3,FALSE)</f>
        <v>Toalla Nova 3 rollos</v>
      </c>
      <c r="T575" s="16">
        <f>VLOOKUP(E575,Precios!B$2:N$941,4,FALSE)*F575</f>
        <v>0</v>
      </c>
      <c r="U575" s="17"/>
      <c r="V575" s="12">
        <f>VLOOKUP(E575,Precios!B$2:N$941,13,FALSE)*F575</f>
        <v>2403.3613445378151</v>
      </c>
      <c r="W575" s="12">
        <f t="shared" si="4"/>
        <v>2403.3613445378151</v>
      </c>
      <c r="X575" s="12">
        <f>VLOOKUP(B575,'Datos Maestros'!$C$2:$D$7,2,FALSE)*V575</f>
        <v>0</v>
      </c>
      <c r="Y575" s="18">
        <f t="shared" si="5"/>
        <v>45880</v>
      </c>
      <c r="Z575" s="13" t="s">
        <v>39</v>
      </c>
      <c r="AA575" s="19" t="str">
        <f>VLOOKUP(D575,Clientes!$A$2:$J$486,9,FALSE)</f>
        <v>Frecuente</v>
      </c>
      <c r="AB575" s="13" t="str">
        <f>VLOOKUP(D575,Clientes!$A$2:$K$486,11,FALSE)</f>
        <v>Persona Natural</v>
      </c>
      <c r="AC575" s="13" t="str">
        <f>VLOOKUP(D575,Clientes!$A$2:$B$486,2,FALSE)</f>
        <v>Colegio Antilhue</v>
      </c>
      <c r="AD575" s="20"/>
      <c r="AE575" s="20"/>
      <c r="AF575" s="13" t="s">
        <v>40</v>
      </c>
      <c r="AG575" s="15">
        <f t="shared" si="6"/>
        <v>45505</v>
      </c>
      <c r="AH575" s="13" t="s">
        <v>41</v>
      </c>
      <c r="AI575" s="13" t="str">
        <f t="shared" si="7"/>
        <v>Papeleria</v>
      </c>
      <c r="AJ575" s="13" t="str">
        <f>VLOOKUP(E575,Precios!Z$2:AA$941,2,FALSE)</f>
        <v>Toalla Papel NOVA 12 metros</v>
      </c>
      <c r="AK575" s="14">
        <f>VLOOKUP(E575,Precios!Z$2:BB$941,3,FALSE)*F575</f>
        <v>-8</v>
      </c>
      <c r="AL575" s="17"/>
      <c r="AM575" s="17"/>
      <c r="AN575" s="17"/>
      <c r="AO575" s="17"/>
      <c r="AP575" s="17"/>
      <c r="AQ575" s="17"/>
      <c r="AR575" s="17"/>
      <c r="AS575" s="17"/>
      <c r="AT575" s="17"/>
      <c r="AU575" s="17"/>
      <c r="AV575" s="17"/>
    </row>
    <row r="576" spans="1:48" ht="15.75" customHeight="1">
      <c r="A576" s="21" t="s">
        <v>76</v>
      </c>
      <c r="B576" s="23" t="s">
        <v>1692</v>
      </c>
      <c r="C576" s="22">
        <v>45882</v>
      </c>
      <c r="D576" s="23" t="s">
        <v>321</v>
      </c>
      <c r="E576" s="23" t="s">
        <v>81</v>
      </c>
      <c r="F576" s="21">
        <v>1</v>
      </c>
      <c r="G576" s="12">
        <f>VLOOKUP(E576,Precios!B$2:N$941,12,FALSE)</f>
        <v>3500.0000000000005</v>
      </c>
      <c r="H576" s="12">
        <f t="shared" si="0"/>
        <v>3500.0000000000005</v>
      </c>
      <c r="I576" s="23" t="s">
        <v>52</v>
      </c>
      <c r="J576" s="23" t="s">
        <v>61</v>
      </c>
      <c r="K576" s="24" t="s">
        <v>177</v>
      </c>
      <c r="L576" s="24">
        <v>170</v>
      </c>
      <c r="M576" s="12">
        <f t="shared" ref="M576:N576" si="581">G576/1.19</f>
        <v>2941.1764705882356</v>
      </c>
      <c r="N576" s="12">
        <f t="shared" si="581"/>
        <v>2941.1764705882356</v>
      </c>
      <c r="O576" s="12">
        <f t="shared" si="2"/>
        <v>558.82352941176487</v>
      </c>
      <c r="P576" s="13"/>
      <c r="Q576" s="14">
        <f t="shared" si="3"/>
        <v>2025</v>
      </c>
      <c r="R576" s="15">
        <f>VLOOKUP(MONTH(C576),'Datos Maestros'!M$2:N$14,2,FALSE)</f>
        <v>45505</v>
      </c>
      <c r="S576" s="11" t="str">
        <f>VLOOKUP(E576,Precios!B$2:W$941,3,FALSE)</f>
        <v>Detergente Premium</v>
      </c>
      <c r="T576" s="16">
        <f>VLOOKUP(E576,Precios!B$2:N$941,4,FALSE)*F576</f>
        <v>5</v>
      </c>
      <c r="U576" s="17"/>
      <c r="V576" s="12">
        <f>VLOOKUP(E576,Precios!B$2:N$941,13,FALSE)*F576</f>
        <v>764.70588235294144</v>
      </c>
      <c r="W576" s="12">
        <f t="shared" si="4"/>
        <v>764.70588235294144</v>
      </c>
      <c r="X576" s="12">
        <f>VLOOKUP(B576,'Datos Maestros'!$C$2:$D$7,2,FALSE)*V576</f>
        <v>0</v>
      </c>
      <c r="Y576" s="18">
        <f t="shared" si="5"/>
        <v>45880</v>
      </c>
      <c r="Z576" s="13" t="s">
        <v>39</v>
      </c>
      <c r="AA576" s="19" t="str">
        <f>VLOOKUP(D576,Clientes!$A$2:$J$486,9,FALSE)</f>
        <v>Frecuente</v>
      </c>
      <c r="AB576" s="13" t="str">
        <f>VLOOKUP(D576,Clientes!$A$2:$K$486,11,FALSE)</f>
        <v>Persona Natural</v>
      </c>
      <c r="AC576" s="13" t="str">
        <f>VLOOKUP(D576,Clientes!$A$2:$B$486,2,FALSE)</f>
        <v>Colegio Antilhue</v>
      </c>
      <c r="AD576" s="20"/>
      <c r="AE576" s="20"/>
      <c r="AF576" s="13" t="s">
        <v>40</v>
      </c>
      <c r="AG576" s="15">
        <f t="shared" si="6"/>
        <v>45505</v>
      </c>
      <c r="AH576" s="13" t="s">
        <v>41</v>
      </c>
      <c r="AI576" s="13" t="str">
        <f t="shared" si="7"/>
        <v>Detergentes</v>
      </c>
      <c r="AJ576" s="13" t="str">
        <f>VLOOKUP(E576,Precios!Z$2:AA$941,2,FALSE)</f>
        <v>Detergente SPUM 5 Litros (Verde)</v>
      </c>
      <c r="AK576" s="14">
        <f>VLOOKUP(E576,Precios!Z$2:BB$941,3,FALSE)*F576</f>
        <v>-1</v>
      </c>
      <c r="AL576" s="17"/>
      <c r="AM576" s="17"/>
      <c r="AN576" s="17"/>
      <c r="AO576" s="17"/>
      <c r="AP576" s="17"/>
      <c r="AQ576" s="17"/>
      <c r="AR576" s="17"/>
      <c r="AS576" s="17"/>
      <c r="AT576" s="17"/>
      <c r="AU576" s="17"/>
      <c r="AV576" s="17"/>
    </row>
    <row r="577" spans="1:48" ht="15.75" customHeight="1">
      <c r="A577" s="21" t="s">
        <v>47</v>
      </c>
      <c r="B577" s="23" t="s">
        <v>1692</v>
      </c>
      <c r="C577" s="22">
        <v>45882</v>
      </c>
      <c r="D577" s="23" t="s">
        <v>321</v>
      </c>
      <c r="E577" s="23" t="s">
        <v>155</v>
      </c>
      <c r="F577" s="21">
        <v>1</v>
      </c>
      <c r="G577" s="12">
        <f>VLOOKUP(E577,Precios!B$2:N$941,12,FALSE)</f>
        <v>3400</v>
      </c>
      <c r="H577" s="12">
        <f t="shared" si="0"/>
        <v>3400</v>
      </c>
      <c r="I577" s="23" t="s">
        <v>52</v>
      </c>
      <c r="J577" s="23" t="s">
        <v>61</v>
      </c>
      <c r="K577" s="24" t="s">
        <v>177</v>
      </c>
      <c r="L577" s="24">
        <v>170</v>
      </c>
      <c r="M577" s="12">
        <f t="shared" ref="M577:N577" si="582">G577/1.19</f>
        <v>2857.1428571428573</v>
      </c>
      <c r="N577" s="12">
        <f t="shared" si="582"/>
        <v>2857.1428571428573</v>
      </c>
      <c r="O577" s="12">
        <f t="shared" si="2"/>
        <v>542.85714285714266</v>
      </c>
      <c r="P577" s="13"/>
      <c r="Q577" s="14">
        <f t="shared" si="3"/>
        <v>2025</v>
      </c>
      <c r="R577" s="15">
        <f>VLOOKUP(MONTH(C577),'Datos Maestros'!M$2:N$14,2,FALSE)</f>
        <v>45505</v>
      </c>
      <c r="S577" s="11" t="str">
        <f>VLOOKUP(E577,Precios!B$2:W$941,3,FALSE)</f>
        <v>Bolsa Basura</v>
      </c>
      <c r="T577" s="16">
        <f>VLOOKUP(E577,Precios!B$2:N$941,4,FALSE)*F577</f>
        <v>0</v>
      </c>
      <c r="U577" s="17"/>
      <c r="V577" s="12">
        <f>VLOOKUP(E577,Precios!B$2:N$941,13,FALSE)*F577</f>
        <v>1255.1428571428573</v>
      </c>
      <c r="W577" s="12">
        <f t="shared" si="4"/>
        <v>1255.1428571428573</v>
      </c>
      <c r="X577" s="12">
        <f>VLOOKUP(B577,'Datos Maestros'!$C$2:$D$7,2,FALSE)*V577</f>
        <v>0</v>
      </c>
      <c r="Y577" s="18">
        <f t="shared" si="5"/>
        <v>45880</v>
      </c>
      <c r="Z577" s="13" t="s">
        <v>39</v>
      </c>
      <c r="AA577" s="19" t="str">
        <f>VLOOKUP(D577,Clientes!$A$2:$J$486,9,FALSE)</f>
        <v>Frecuente</v>
      </c>
      <c r="AB577" s="13" t="str">
        <f>VLOOKUP(D577,Clientes!$A$2:$K$486,11,FALSE)</f>
        <v>Persona Natural</v>
      </c>
      <c r="AC577" s="13" t="str">
        <f>VLOOKUP(D577,Clientes!$A$2:$B$486,2,FALSE)</f>
        <v>Colegio Antilhue</v>
      </c>
      <c r="AD577" s="20"/>
      <c r="AE577" s="20"/>
      <c r="AF577" s="13" t="s">
        <v>40</v>
      </c>
      <c r="AG577" s="15">
        <f t="shared" si="6"/>
        <v>45505</v>
      </c>
      <c r="AH577" s="13" t="s">
        <v>41</v>
      </c>
      <c r="AI577" s="13" t="str">
        <f t="shared" si="7"/>
        <v>Articulos de Aseo</v>
      </c>
      <c r="AJ577" s="13" t="str">
        <f>VLOOKUP(E577,Precios!Z$2:AA$941,2,FALSE)</f>
        <v xml:space="preserve">Bolsas Basura TEDDY 50x70 </v>
      </c>
      <c r="AK577" s="14">
        <f>VLOOKUP(E577,Precios!Z$2:BB$941,3,FALSE)*F577</f>
        <v>-6</v>
      </c>
      <c r="AL577" s="17"/>
      <c r="AM577" s="17"/>
      <c r="AN577" s="17"/>
      <c r="AO577" s="17"/>
      <c r="AP577" s="17"/>
      <c r="AQ577" s="17"/>
      <c r="AR577" s="17"/>
      <c r="AS577" s="17"/>
      <c r="AT577" s="17"/>
      <c r="AU577" s="17"/>
      <c r="AV577" s="17"/>
    </row>
    <row r="578" spans="1:48" ht="15.75" customHeight="1">
      <c r="A578" s="21" t="s">
        <v>47</v>
      </c>
      <c r="B578" s="23" t="s">
        <v>1692</v>
      </c>
      <c r="C578" s="22">
        <v>45882</v>
      </c>
      <c r="D578" s="23" t="s">
        <v>321</v>
      </c>
      <c r="E578" s="23" t="s">
        <v>85</v>
      </c>
      <c r="F578" s="21">
        <v>1</v>
      </c>
      <c r="G578" s="12">
        <f>VLOOKUP(E578,Precios!B$2:N$941,12,FALSE)</f>
        <v>3000.268216361198</v>
      </c>
      <c r="H578" s="12">
        <f t="shared" si="0"/>
        <v>3000.268216361198</v>
      </c>
      <c r="I578" s="23" t="s">
        <v>52</v>
      </c>
      <c r="J578" s="23" t="s">
        <v>61</v>
      </c>
      <c r="K578" s="24" t="s">
        <v>177</v>
      </c>
      <c r="L578" s="24">
        <v>170</v>
      </c>
      <c r="M578" s="12">
        <f t="shared" ref="M578:N578" si="583">G578/1.19</f>
        <v>2521.2337952615112</v>
      </c>
      <c r="N578" s="12">
        <f t="shared" si="583"/>
        <v>2521.2337952615112</v>
      </c>
      <c r="O578" s="12">
        <f t="shared" si="2"/>
        <v>479.03442109968682</v>
      </c>
      <c r="P578" s="13"/>
      <c r="Q578" s="14">
        <f t="shared" si="3"/>
        <v>2025</v>
      </c>
      <c r="R578" s="15">
        <f>VLOOKUP(MONTH(C578),'Datos Maestros'!M$2:N$14,2,FALSE)</f>
        <v>45505</v>
      </c>
      <c r="S578" s="11" t="str">
        <f>VLOOKUP(E578,Precios!B$2:W$941,3,FALSE)</f>
        <v>Bolsa Basura</v>
      </c>
      <c r="T578" s="16">
        <f>VLOOKUP(E578,Precios!B$2:N$941,4,FALSE)*F578</f>
        <v>0</v>
      </c>
      <c r="U578" s="17"/>
      <c r="V578" s="12">
        <f>VLOOKUP(E578,Precios!B$2:N$941,13,FALSE)*F578</f>
        <v>829.23379526151075</v>
      </c>
      <c r="W578" s="12">
        <f t="shared" si="4"/>
        <v>829.23379526151075</v>
      </c>
      <c r="X578" s="12">
        <f>VLOOKUP(B578,'Datos Maestros'!$C$2:$D$7,2,FALSE)*V578</f>
        <v>0</v>
      </c>
      <c r="Y578" s="18">
        <f t="shared" si="5"/>
        <v>45880</v>
      </c>
      <c r="Z578" s="13" t="s">
        <v>39</v>
      </c>
      <c r="AA578" s="19" t="str">
        <f>VLOOKUP(D578,Clientes!$A$2:$J$486,9,FALSE)</f>
        <v>Frecuente</v>
      </c>
      <c r="AB578" s="13" t="str">
        <f>VLOOKUP(D578,Clientes!$A$2:$K$486,11,FALSE)</f>
        <v>Persona Natural</v>
      </c>
      <c r="AC578" s="13" t="str">
        <f>VLOOKUP(D578,Clientes!$A$2:$B$486,2,FALSE)</f>
        <v>Colegio Antilhue</v>
      </c>
      <c r="AD578" s="20"/>
      <c r="AE578" s="20"/>
      <c r="AF578" s="13" t="s">
        <v>40</v>
      </c>
      <c r="AG578" s="15">
        <f t="shared" si="6"/>
        <v>45505</v>
      </c>
      <c r="AH578" s="13" t="s">
        <v>41</v>
      </c>
      <c r="AI578" s="13" t="str">
        <f t="shared" si="7"/>
        <v>Articulos de Aseo</v>
      </c>
      <c r="AJ578" s="13" t="str">
        <f>VLOOKUP(E578,Precios!Z$2:AA$941,2,FALSE)</f>
        <v xml:space="preserve">Bolsas Basura TEDDY 45x55 con Asas </v>
      </c>
      <c r="AK578" s="14">
        <f>VLOOKUP(E578,Precios!Z$2:BB$941,3,FALSE)*F578</f>
        <v>-6</v>
      </c>
      <c r="AL578" s="17"/>
      <c r="AM578" s="17"/>
      <c r="AN578" s="17"/>
      <c r="AO578" s="17"/>
      <c r="AP578" s="17"/>
      <c r="AQ578" s="17"/>
      <c r="AR578" s="17"/>
      <c r="AS578" s="17"/>
      <c r="AT578" s="17"/>
      <c r="AU578" s="17"/>
      <c r="AV578" s="17"/>
    </row>
    <row r="579" spans="1:48" ht="15.75" customHeight="1">
      <c r="A579" s="21" t="s">
        <v>47</v>
      </c>
      <c r="B579" s="23" t="s">
        <v>1692</v>
      </c>
      <c r="C579" s="22">
        <v>45882</v>
      </c>
      <c r="D579" s="23" t="s">
        <v>321</v>
      </c>
      <c r="E579" s="23" t="s">
        <v>322</v>
      </c>
      <c r="F579" s="21">
        <v>1</v>
      </c>
      <c r="G579" s="12">
        <f>VLOOKUP(E579,Precios!B$2:N$941,12,FALSE)</f>
        <v>4500.0000000000009</v>
      </c>
      <c r="H579" s="12">
        <f t="shared" si="0"/>
        <v>4500.0000000000009</v>
      </c>
      <c r="I579" s="23" t="s">
        <v>52</v>
      </c>
      <c r="J579" s="23" t="s">
        <v>61</v>
      </c>
      <c r="K579" s="24" t="s">
        <v>177</v>
      </c>
      <c r="L579" s="24">
        <v>170</v>
      </c>
      <c r="M579" s="12">
        <f t="shared" ref="M579:N579" si="584">G579/1.19</f>
        <v>3781.5126050420176</v>
      </c>
      <c r="N579" s="12">
        <f t="shared" si="584"/>
        <v>3781.5126050420176</v>
      </c>
      <c r="O579" s="12">
        <f t="shared" si="2"/>
        <v>718.48739495798327</v>
      </c>
      <c r="P579" s="13"/>
      <c r="Q579" s="14">
        <f t="shared" si="3"/>
        <v>2025</v>
      </c>
      <c r="R579" s="15">
        <f>VLOOKUP(MONTH(C579),'Datos Maestros'!M$2:N$14,2,FALSE)</f>
        <v>45505</v>
      </c>
      <c r="S579" s="11" t="str">
        <f>VLOOKUP(E579,Precios!B$2:W$941,3,FALSE)</f>
        <v>Cif</v>
      </c>
      <c r="T579" s="16">
        <f>VLOOKUP(E579,Precios!B$2:N$941,4,FALSE)*F579</f>
        <v>0</v>
      </c>
      <c r="U579" s="17"/>
      <c r="V579" s="12">
        <f>VLOOKUP(E579,Precios!B$2:N$941,13,FALSE)*F579</f>
        <v>1667.2268907563034</v>
      </c>
      <c r="W579" s="12">
        <f t="shared" si="4"/>
        <v>1667.2268907563034</v>
      </c>
      <c r="X579" s="12">
        <f>VLOOKUP(B579,'Datos Maestros'!$C$2:$D$7,2,FALSE)*V579</f>
        <v>0</v>
      </c>
      <c r="Y579" s="18">
        <f t="shared" si="5"/>
        <v>45880</v>
      </c>
      <c r="Z579" s="13" t="s">
        <v>39</v>
      </c>
      <c r="AA579" s="19" t="str">
        <f>VLOOKUP(D579,Clientes!$A$2:$J$486,9,FALSE)</f>
        <v>Frecuente</v>
      </c>
      <c r="AB579" s="13" t="str">
        <f>VLOOKUP(D579,Clientes!$A$2:$K$486,11,FALSE)</f>
        <v>Persona Natural</v>
      </c>
      <c r="AC579" s="13" t="str">
        <f>VLOOKUP(D579,Clientes!$A$2:$B$486,2,FALSE)</f>
        <v>Colegio Antilhue</v>
      </c>
      <c r="AD579" s="20"/>
      <c r="AE579" s="20"/>
      <c r="AF579" s="13" t="s">
        <v>40</v>
      </c>
      <c r="AG579" s="15">
        <f t="shared" si="6"/>
        <v>45505</v>
      </c>
      <c r="AH579" s="13" t="s">
        <v>41</v>
      </c>
      <c r="AI579" s="13" t="str">
        <f t="shared" si="7"/>
        <v>Articulos de Aseo</v>
      </c>
      <c r="AJ579" s="13" t="str">
        <f>VLOOKUP(E579,Precios!Z$2:AA$941,2,FALSE)</f>
        <v>CIF 750 cc</v>
      </c>
      <c r="AK579" s="14">
        <f>VLOOKUP(E579,Precios!Z$2:BB$941,3,FALSE)*F579</f>
        <v>-2</v>
      </c>
      <c r="AL579" s="17"/>
      <c r="AM579" s="17"/>
      <c r="AN579" s="17"/>
      <c r="AO579" s="17"/>
      <c r="AP579" s="17"/>
      <c r="AQ579" s="17"/>
      <c r="AR579" s="17"/>
      <c r="AS579" s="17"/>
      <c r="AT579" s="17"/>
      <c r="AU579" s="17"/>
      <c r="AV579" s="17"/>
    </row>
    <row r="580" spans="1:48" ht="15.75" customHeight="1">
      <c r="A580" s="21" t="s">
        <v>76</v>
      </c>
      <c r="B580" s="23" t="s">
        <v>1692</v>
      </c>
      <c r="C580" s="22">
        <v>45882</v>
      </c>
      <c r="D580" s="23" t="s">
        <v>321</v>
      </c>
      <c r="E580" s="23" t="s">
        <v>216</v>
      </c>
      <c r="F580" s="21">
        <v>1</v>
      </c>
      <c r="G580" s="12">
        <f>VLOOKUP(E580,Precios!B$2:N$941,12,FALSE)</f>
        <v>4300</v>
      </c>
      <c r="H580" s="12">
        <f t="shared" si="0"/>
        <v>4300</v>
      </c>
      <c r="I580" s="23" t="s">
        <v>52</v>
      </c>
      <c r="J580" s="23" t="s">
        <v>61</v>
      </c>
      <c r="K580" s="24" t="s">
        <v>177</v>
      </c>
      <c r="L580" s="24">
        <v>170</v>
      </c>
      <c r="M580" s="12">
        <f t="shared" ref="M580:N580" si="585">G580/1.19</f>
        <v>3613.4453781512607</v>
      </c>
      <c r="N580" s="12">
        <f t="shared" si="585"/>
        <v>3613.4453781512607</v>
      </c>
      <c r="O580" s="12">
        <f t="shared" si="2"/>
        <v>686.55462184873932</v>
      </c>
      <c r="P580" s="13"/>
      <c r="Q580" s="14">
        <f t="shared" si="3"/>
        <v>2025</v>
      </c>
      <c r="R580" s="15">
        <f>VLOOKUP(MONTH(C580),'Datos Maestros'!M$2:N$14,2,FALSE)</f>
        <v>45505</v>
      </c>
      <c r="S580" s="11" t="str">
        <f>VLOOKUP(E580,Precios!B$2:W$941,3,FALSE)</f>
        <v>Lavaloza</v>
      </c>
      <c r="T580" s="16">
        <f>VLOOKUP(E580,Precios!B$2:N$941,4,FALSE)*F580</f>
        <v>5</v>
      </c>
      <c r="U580" s="17"/>
      <c r="V580" s="12">
        <f>VLOOKUP(E580,Precios!B$2:N$941,13,FALSE)*F580</f>
        <v>1134.453781512605</v>
      </c>
      <c r="W580" s="12">
        <f t="shared" si="4"/>
        <v>1134.453781512605</v>
      </c>
      <c r="X580" s="12">
        <f>VLOOKUP(B580,'Datos Maestros'!$C$2:$D$7,2,FALSE)*V580</f>
        <v>0</v>
      </c>
      <c r="Y580" s="18">
        <f t="shared" si="5"/>
        <v>45880</v>
      </c>
      <c r="Z580" s="13" t="s">
        <v>39</v>
      </c>
      <c r="AA580" s="19" t="str">
        <f>VLOOKUP(D580,Clientes!$A$2:$J$486,9,FALSE)</f>
        <v>Frecuente</v>
      </c>
      <c r="AB580" s="13" t="str">
        <f>VLOOKUP(D580,Clientes!$A$2:$K$486,11,FALSE)</f>
        <v>Persona Natural</v>
      </c>
      <c r="AC580" s="13" t="str">
        <f>VLOOKUP(D580,Clientes!$A$2:$B$486,2,FALSE)</f>
        <v>Colegio Antilhue</v>
      </c>
      <c r="AD580" s="20"/>
      <c r="AE580" s="20"/>
      <c r="AF580" s="13" t="s">
        <v>40</v>
      </c>
      <c r="AG580" s="15">
        <f t="shared" si="6"/>
        <v>45505</v>
      </c>
      <c r="AH580" s="13" t="s">
        <v>41</v>
      </c>
      <c r="AI580" s="13" t="str">
        <f t="shared" si="7"/>
        <v>Detergentes</v>
      </c>
      <c r="AJ580" s="13" t="str">
        <f>VLOOKUP(E580,Precios!Z$2:AA$941,2,FALSE)</f>
        <v>Lavaloza SPUM 5 Litros</v>
      </c>
      <c r="AK580" s="14">
        <f>VLOOKUP(E580,Precios!Z$2:BB$941,3,FALSE)*F580</f>
        <v>-1</v>
      </c>
      <c r="AL580" s="17"/>
      <c r="AM580" s="17"/>
      <c r="AN580" s="17"/>
      <c r="AO580" s="17"/>
      <c r="AP580" s="17"/>
      <c r="AQ580" s="17"/>
      <c r="AR580" s="17"/>
      <c r="AS580" s="17"/>
      <c r="AT580" s="17"/>
      <c r="AU580" s="17"/>
      <c r="AV580" s="17"/>
    </row>
    <row r="581" spans="1:48" ht="15.75" customHeight="1">
      <c r="A581" s="21" t="s">
        <v>47</v>
      </c>
      <c r="B581" s="23" t="s">
        <v>1692</v>
      </c>
      <c r="C581" s="22">
        <v>45882</v>
      </c>
      <c r="D581" s="23" t="s">
        <v>321</v>
      </c>
      <c r="E581" s="23" t="s">
        <v>267</v>
      </c>
      <c r="F581" s="21">
        <v>1</v>
      </c>
      <c r="G581" s="12">
        <f>VLOOKUP(E581,Precios!B$2:N$941,12,FALSE)</f>
        <v>7499.8770659745942</v>
      </c>
      <c r="H581" s="12">
        <f t="shared" si="0"/>
        <v>7499.8770659745942</v>
      </c>
      <c r="I581" s="23" t="s">
        <v>52</v>
      </c>
      <c r="J581" s="23" t="s">
        <v>61</v>
      </c>
      <c r="K581" s="24" t="s">
        <v>177</v>
      </c>
      <c r="L581" s="24">
        <v>170</v>
      </c>
      <c r="M581" s="12">
        <f t="shared" ref="M581:N581" si="586">G581/1.19</f>
        <v>6302.4177024996588</v>
      </c>
      <c r="N581" s="12">
        <f t="shared" si="586"/>
        <v>6302.4177024996588</v>
      </c>
      <c r="O581" s="12">
        <f t="shared" si="2"/>
        <v>1197.4593634749353</v>
      </c>
      <c r="P581" s="13"/>
      <c r="Q581" s="14">
        <f t="shared" si="3"/>
        <v>2025</v>
      </c>
      <c r="R581" s="15">
        <f>VLOOKUP(MONTH(C581),'Datos Maestros'!M$2:N$14,2,FALSE)</f>
        <v>45505</v>
      </c>
      <c r="S581" s="11" t="str">
        <f>VLOOKUP(E581,Precios!B$2:W$941,3,FALSE)</f>
        <v>Trapero Húmedo</v>
      </c>
      <c r="T581" s="16">
        <f>VLOOKUP(E581,Precios!B$2:N$941,4,FALSE)*F581</f>
        <v>0</v>
      </c>
      <c r="U581" s="17"/>
      <c r="V581" s="12">
        <f>VLOOKUP(E581,Precios!B$2:N$941,13,FALSE)*F581</f>
        <v>1688.4177024996588</v>
      </c>
      <c r="W581" s="12">
        <f t="shared" si="4"/>
        <v>1688.4177024996588</v>
      </c>
      <c r="X581" s="12">
        <f>VLOOKUP(B581,'Datos Maestros'!$C$2:$D$7,2,FALSE)*V581</f>
        <v>0</v>
      </c>
      <c r="Y581" s="18">
        <f t="shared" si="5"/>
        <v>45880</v>
      </c>
      <c r="Z581" s="13" t="s">
        <v>39</v>
      </c>
      <c r="AA581" s="19" t="str">
        <f>VLOOKUP(D581,Clientes!$A$2:$J$486,9,FALSE)</f>
        <v>Frecuente</v>
      </c>
      <c r="AB581" s="13" t="str">
        <f>VLOOKUP(D581,Clientes!$A$2:$K$486,11,FALSE)</f>
        <v>Persona Natural</v>
      </c>
      <c r="AC581" s="13" t="str">
        <f>VLOOKUP(D581,Clientes!$A$2:$B$486,2,FALSE)</f>
        <v>Colegio Antilhue</v>
      </c>
      <c r="AD581" s="20"/>
      <c r="AE581" s="20"/>
      <c r="AF581" s="13" t="s">
        <v>40</v>
      </c>
      <c r="AG581" s="15">
        <f t="shared" si="6"/>
        <v>45505</v>
      </c>
      <c r="AH581" s="13" t="s">
        <v>41</v>
      </c>
      <c r="AI581" s="13" t="str">
        <f t="shared" si="7"/>
        <v>Articulos de Aseo</v>
      </c>
      <c r="AJ581" s="13" t="str">
        <f>VLOOKUP(E581,Precios!Z$2:AA$941,2,FALSE)</f>
        <v>Traperos Humedos EXCELL</v>
      </c>
      <c r="AK581" s="14">
        <f>VLOOKUP(E581,Precios!Z$2:BB$941,3,FALSE)*F581</f>
        <v>-3</v>
      </c>
      <c r="AL581" s="17"/>
      <c r="AM581" s="17"/>
      <c r="AN581" s="17"/>
      <c r="AO581" s="17"/>
      <c r="AP581" s="17"/>
      <c r="AQ581" s="17"/>
      <c r="AR581" s="17"/>
      <c r="AS581" s="17"/>
      <c r="AT581" s="17"/>
      <c r="AU581" s="17"/>
      <c r="AV581" s="17"/>
    </row>
    <row r="582" spans="1:48" ht="15.75" customHeight="1">
      <c r="A582" s="21" t="s">
        <v>47</v>
      </c>
      <c r="B582" s="23" t="s">
        <v>1692</v>
      </c>
      <c r="C582" s="22">
        <v>45882</v>
      </c>
      <c r="D582" s="23" t="s">
        <v>321</v>
      </c>
      <c r="E582" s="23" t="s">
        <v>143</v>
      </c>
      <c r="F582" s="21">
        <v>1</v>
      </c>
      <c r="G582" s="12">
        <f>VLOOKUP(E582,Precios!B$2:N$941,12,FALSE)</f>
        <v>2999.9379074821477</v>
      </c>
      <c r="H582" s="12">
        <f t="shared" si="0"/>
        <v>2999.9379074821477</v>
      </c>
      <c r="I582" s="23" t="s">
        <v>52</v>
      </c>
      <c r="J582" s="23" t="s">
        <v>61</v>
      </c>
      <c r="K582" s="24" t="s">
        <v>177</v>
      </c>
      <c r="L582" s="24">
        <v>170</v>
      </c>
      <c r="M582" s="12">
        <f t="shared" ref="M582:N582" si="587">G582/1.19</f>
        <v>2520.9562247749141</v>
      </c>
      <c r="N582" s="12">
        <f t="shared" si="587"/>
        <v>2520.9562247749141</v>
      </c>
      <c r="O582" s="12">
        <f t="shared" si="2"/>
        <v>478.98168270723363</v>
      </c>
      <c r="P582" s="13"/>
      <c r="Q582" s="14">
        <f t="shared" si="3"/>
        <v>2025</v>
      </c>
      <c r="R582" s="15">
        <f>VLOOKUP(MONTH(C582),'Datos Maestros'!M$2:N$14,2,FALSE)</f>
        <v>45505</v>
      </c>
      <c r="S582" s="11" t="str">
        <f>VLOOKUP(E582,Precios!B$2:W$941,3,FALSE)</f>
        <v>Toalla desinfectantes</v>
      </c>
      <c r="T582" s="16">
        <f>VLOOKUP(E582,Precios!B$2:N$941,4,FALSE)*F582</f>
        <v>0</v>
      </c>
      <c r="U582" s="17"/>
      <c r="V582" s="12">
        <f>VLOOKUP(E582,Precios!B$2:N$941,13,FALSE)*F582</f>
        <v>1708.9562247749141</v>
      </c>
      <c r="W582" s="12">
        <f t="shared" si="4"/>
        <v>1708.9562247749141</v>
      </c>
      <c r="X582" s="12">
        <f>VLOOKUP(B582,'Datos Maestros'!$C$2:$D$7,2,FALSE)*V582</f>
        <v>0</v>
      </c>
      <c r="Y582" s="18">
        <f t="shared" si="5"/>
        <v>45880</v>
      </c>
      <c r="Z582" s="13" t="s">
        <v>39</v>
      </c>
      <c r="AA582" s="19" t="str">
        <f>VLOOKUP(D582,Clientes!$A$2:$J$486,9,FALSE)</f>
        <v>Frecuente</v>
      </c>
      <c r="AB582" s="13" t="str">
        <f>VLOOKUP(D582,Clientes!$A$2:$K$486,11,FALSE)</f>
        <v>Persona Natural</v>
      </c>
      <c r="AC582" s="13" t="str">
        <f>VLOOKUP(D582,Clientes!$A$2:$B$486,2,FALSE)</f>
        <v>Colegio Antilhue</v>
      </c>
      <c r="AD582" s="20"/>
      <c r="AE582" s="20"/>
      <c r="AF582" s="13" t="s">
        <v>40</v>
      </c>
      <c r="AG582" s="15">
        <f t="shared" si="6"/>
        <v>45505</v>
      </c>
      <c r="AH582" s="13" t="s">
        <v>41</v>
      </c>
      <c r="AI582" s="13" t="str">
        <f t="shared" si="7"/>
        <v>Articulos de Aseo</v>
      </c>
      <c r="AJ582" s="13" t="str">
        <f>VLOOKUP(E582,Precios!Z$2:AA$941,2,FALSE)</f>
        <v>Toalla desinfectante TEDDY 80 unidades</v>
      </c>
      <c r="AK582" s="14">
        <f>VLOOKUP(E582,Precios!Z$2:BB$941,3,FALSE)*F582</f>
        <v>-1</v>
      </c>
      <c r="AL582" s="17"/>
      <c r="AM582" s="17"/>
      <c r="AN582" s="17"/>
      <c r="AO582" s="17"/>
      <c r="AP582" s="17"/>
      <c r="AQ582" s="17"/>
      <c r="AR582" s="17"/>
      <c r="AS582" s="17"/>
      <c r="AT582" s="17"/>
      <c r="AU582" s="17"/>
      <c r="AV582" s="17"/>
    </row>
    <row r="583" spans="1:48" ht="15.75" customHeight="1">
      <c r="A583" s="21" t="s">
        <v>43</v>
      </c>
      <c r="B583" s="23" t="s">
        <v>1692</v>
      </c>
      <c r="C583" s="22">
        <v>45882</v>
      </c>
      <c r="D583" s="23" t="s">
        <v>321</v>
      </c>
      <c r="E583" s="23" t="s">
        <v>45</v>
      </c>
      <c r="F583" s="21">
        <v>1</v>
      </c>
      <c r="G583" s="12">
        <f>VLOOKUP(E583,Precios!B$2:N$941,12,FALSE)</f>
        <v>8000.1831784723063</v>
      </c>
      <c r="H583" s="12">
        <f t="shared" si="0"/>
        <v>8000.1831784723063</v>
      </c>
      <c r="I583" s="23" t="s">
        <v>52</v>
      </c>
      <c r="J583" s="23" t="s">
        <v>61</v>
      </c>
      <c r="K583" s="24" t="s">
        <v>177</v>
      </c>
      <c r="L583" s="24">
        <v>170</v>
      </c>
      <c r="M583" s="12">
        <f t="shared" ref="M583:N583" si="588">G583/1.19</f>
        <v>6722.8430071195853</v>
      </c>
      <c r="N583" s="12">
        <f t="shared" si="588"/>
        <v>6722.8430071195853</v>
      </c>
      <c r="O583" s="12">
        <f t="shared" si="2"/>
        <v>1277.340171352721</v>
      </c>
      <c r="P583" s="13"/>
      <c r="Q583" s="14">
        <f t="shared" si="3"/>
        <v>2025</v>
      </c>
      <c r="R583" s="15">
        <f>VLOOKUP(MONTH(C583),'Datos Maestros'!M$2:N$14,2,FALSE)</f>
        <v>45505</v>
      </c>
      <c r="S583" s="11" t="str">
        <f>VLOOKUP(E583,Precios!B$2:W$941,3,FALSE)</f>
        <v>Huevos EXTRA</v>
      </c>
      <c r="T583" s="16">
        <f>VLOOKUP(E583,Precios!B$2:N$941,4,FALSE)*F583</f>
        <v>0</v>
      </c>
      <c r="U583" s="17"/>
      <c r="V583" s="12">
        <f>VLOOKUP(E583,Precios!B$2:N$941,13,FALSE)*F583</f>
        <v>1151.6230071195851</v>
      </c>
      <c r="W583" s="12">
        <f t="shared" si="4"/>
        <v>1151.6230071195851</v>
      </c>
      <c r="X583" s="12">
        <f>VLOOKUP(B583,'Datos Maestros'!$C$2:$D$7,2,FALSE)*V583</f>
        <v>0</v>
      </c>
      <c r="Y583" s="18">
        <f t="shared" si="5"/>
        <v>45880</v>
      </c>
      <c r="Z583" s="13" t="s">
        <v>39</v>
      </c>
      <c r="AA583" s="19" t="str">
        <f>VLOOKUP(D583,Clientes!$A$2:$J$486,9,FALSE)</f>
        <v>Frecuente</v>
      </c>
      <c r="AB583" s="13" t="str">
        <f>VLOOKUP(D583,Clientes!$A$2:$K$486,11,FALSE)</f>
        <v>Persona Natural</v>
      </c>
      <c r="AC583" s="13" t="str">
        <f>VLOOKUP(D583,Clientes!$A$2:$B$486,2,FALSE)</f>
        <v>Colegio Antilhue</v>
      </c>
      <c r="AD583" s="20"/>
      <c r="AE583" s="20"/>
      <c r="AF583" s="13" t="s">
        <v>40</v>
      </c>
      <c r="AG583" s="15">
        <f t="shared" si="6"/>
        <v>45505</v>
      </c>
      <c r="AH583" s="13" t="s">
        <v>41</v>
      </c>
      <c r="AI583" s="13" t="str">
        <f t="shared" si="7"/>
        <v>Huevos</v>
      </c>
      <c r="AJ583" s="13" t="str">
        <f>VLOOKUP(E583,Precios!Z$2:AA$941,2,FALSE)</f>
        <v>Bandeja Huevos EXTRA</v>
      </c>
      <c r="AK583" s="14">
        <f>VLOOKUP(E583,Precios!Z$2:BB$941,3,FALSE)*F583</f>
        <v>-1</v>
      </c>
      <c r="AL583" s="17"/>
      <c r="AM583" s="17"/>
      <c r="AN583" s="17"/>
      <c r="AO583" s="17"/>
      <c r="AP583" s="17"/>
      <c r="AQ583" s="17"/>
      <c r="AR583" s="17"/>
      <c r="AS583" s="17"/>
      <c r="AT583" s="17"/>
      <c r="AU583" s="17"/>
      <c r="AV583" s="17"/>
    </row>
    <row r="584" spans="1:48" ht="15.75" customHeight="1">
      <c r="A584" s="21" t="s">
        <v>43</v>
      </c>
      <c r="B584" s="23" t="s">
        <v>1692</v>
      </c>
      <c r="C584" s="22">
        <v>45882</v>
      </c>
      <c r="D584" s="23" t="s">
        <v>227</v>
      </c>
      <c r="E584" s="23" t="s">
        <v>45</v>
      </c>
      <c r="F584" s="21">
        <v>2</v>
      </c>
      <c r="G584" s="12">
        <f>VLOOKUP(E584,Precios!B$2:N$941,12,FALSE)</f>
        <v>8000.1831784723063</v>
      </c>
      <c r="H584" s="12">
        <f t="shared" si="0"/>
        <v>16000.366356944613</v>
      </c>
      <c r="I584" s="23" t="s">
        <v>52</v>
      </c>
      <c r="J584" s="23" t="s">
        <v>61</v>
      </c>
      <c r="K584" s="24" t="s">
        <v>177</v>
      </c>
      <c r="L584" s="24">
        <v>170</v>
      </c>
      <c r="M584" s="12">
        <f t="shared" ref="M584:N584" si="589">G584/1.19</f>
        <v>6722.8430071195853</v>
      </c>
      <c r="N584" s="12">
        <f t="shared" si="589"/>
        <v>13445.686014239171</v>
      </c>
      <c r="O584" s="12">
        <f t="shared" si="2"/>
        <v>2554.6803427054419</v>
      </c>
      <c r="P584" s="13"/>
      <c r="Q584" s="14">
        <f t="shared" si="3"/>
        <v>2025</v>
      </c>
      <c r="R584" s="15">
        <f>VLOOKUP(MONTH(C584),'Datos Maestros'!M$2:N$14,2,FALSE)</f>
        <v>45505</v>
      </c>
      <c r="S584" s="11" t="str">
        <f>VLOOKUP(E584,Precios!B$2:W$941,3,FALSE)</f>
        <v>Huevos EXTRA</v>
      </c>
      <c r="T584" s="16">
        <f>VLOOKUP(E584,Precios!B$2:N$941,4,FALSE)*F584</f>
        <v>0</v>
      </c>
      <c r="U584" s="17"/>
      <c r="V584" s="12">
        <f>VLOOKUP(E584,Precios!B$2:N$941,13,FALSE)*F584</f>
        <v>2303.2460142391701</v>
      </c>
      <c r="W584" s="12">
        <f t="shared" si="4"/>
        <v>2303.2460142391701</v>
      </c>
      <c r="X584" s="12">
        <f>VLOOKUP(B584,'Datos Maestros'!$C$2:$D$7,2,FALSE)*V584</f>
        <v>0</v>
      </c>
      <c r="Y584" s="18">
        <f t="shared" si="5"/>
        <v>45880</v>
      </c>
      <c r="Z584" s="13" t="s">
        <v>39</v>
      </c>
      <c r="AA584" s="19" t="str">
        <f>VLOOKUP(D584,Clientes!$A$2:$J$486,9,FALSE)</f>
        <v>Frecuente</v>
      </c>
      <c r="AB584" s="13" t="str">
        <f>VLOOKUP(D584,Clientes!$A$2:$K$486,11,FALSE)</f>
        <v>Persona Natural</v>
      </c>
      <c r="AC584" s="13" t="str">
        <f>VLOOKUP(D584,Clientes!$A$2:$B$486,2,FALSE)</f>
        <v>Sector Santa Amalia</v>
      </c>
      <c r="AD584" s="20"/>
      <c r="AE584" s="20"/>
      <c r="AF584" s="13" t="s">
        <v>40</v>
      </c>
      <c r="AG584" s="15">
        <f t="shared" si="6"/>
        <v>45505</v>
      </c>
      <c r="AH584" s="13" t="s">
        <v>41</v>
      </c>
      <c r="AI584" s="13" t="str">
        <f t="shared" si="7"/>
        <v>Huevos</v>
      </c>
      <c r="AJ584" s="13" t="str">
        <f>VLOOKUP(E584,Precios!Z$2:AA$941,2,FALSE)</f>
        <v>Bandeja Huevos EXTRA</v>
      </c>
      <c r="AK584" s="14">
        <f>VLOOKUP(E584,Precios!Z$2:BB$941,3,FALSE)*F584</f>
        <v>-2</v>
      </c>
      <c r="AL584" s="17"/>
      <c r="AM584" s="17"/>
      <c r="AN584" s="17"/>
      <c r="AO584" s="17"/>
      <c r="AP584" s="17"/>
      <c r="AQ584" s="17"/>
      <c r="AR584" s="17"/>
      <c r="AS584" s="17"/>
      <c r="AT584" s="17"/>
      <c r="AU584" s="17"/>
      <c r="AV584" s="17"/>
    </row>
    <row r="585" spans="1:48" ht="15.75" customHeight="1">
      <c r="A585" s="21" t="s">
        <v>35</v>
      </c>
      <c r="B585" s="23" t="s">
        <v>1692</v>
      </c>
      <c r="C585" s="22">
        <v>45881</v>
      </c>
      <c r="D585" s="23" t="s">
        <v>142</v>
      </c>
      <c r="E585" s="23" t="s">
        <v>37</v>
      </c>
      <c r="F585" s="21">
        <v>1</v>
      </c>
      <c r="G585" s="12">
        <f>VLOOKUP(E585,Precios!B$2:N$941,12,FALSE)</f>
        <v>11000.014358944907</v>
      </c>
      <c r="H585" s="12">
        <f t="shared" si="0"/>
        <v>11000.014358944907</v>
      </c>
      <c r="I585" s="23" t="s">
        <v>52</v>
      </c>
      <c r="J585" s="23" t="s">
        <v>61</v>
      </c>
      <c r="K585" s="24" t="s">
        <v>177</v>
      </c>
      <c r="L585" s="24">
        <v>169</v>
      </c>
      <c r="M585" s="12">
        <f t="shared" ref="M585:N585" si="590">G585/1.19</f>
        <v>9243.7095453318543</v>
      </c>
      <c r="N585" s="12">
        <f t="shared" si="590"/>
        <v>9243.7095453318543</v>
      </c>
      <c r="O585" s="12">
        <f t="shared" si="2"/>
        <v>1756.3048136130528</v>
      </c>
      <c r="P585" s="13"/>
      <c r="Q585" s="14">
        <f t="shared" si="3"/>
        <v>2025</v>
      </c>
      <c r="R585" s="15">
        <f>VLOOKUP(MONTH(C585),'Datos Maestros'!M$2:N$14,2,FALSE)</f>
        <v>45505</v>
      </c>
      <c r="S585" s="11" t="str">
        <f>VLOOKUP(E585,Precios!B$2:W$941,3,FALSE)</f>
        <v>Queso Mantecoso</v>
      </c>
      <c r="T585" s="16">
        <f>VLOOKUP(E585,Precios!B$2:N$941,4,FALSE)*F585</f>
        <v>1000</v>
      </c>
      <c r="U585" s="17"/>
      <c r="V585" s="12">
        <f>VLOOKUP(E585,Precios!B$2:N$941,13,FALSE)*F585</f>
        <v>2806.1129066763915</v>
      </c>
      <c r="W585" s="12">
        <f t="shared" si="4"/>
        <v>2806.1129066763915</v>
      </c>
      <c r="X585" s="12">
        <f>VLOOKUP(B585,'Datos Maestros'!$C$2:$D$7,2,FALSE)*V585</f>
        <v>0</v>
      </c>
      <c r="Y585" s="18">
        <f t="shared" si="5"/>
        <v>45880</v>
      </c>
      <c r="Z585" s="13" t="s">
        <v>39</v>
      </c>
      <c r="AA585" s="19" t="str">
        <f>VLOOKUP(D585,Clientes!$A$2:$J$486,9,FALSE)</f>
        <v>Frecuente</v>
      </c>
      <c r="AB585" s="13" t="str">
        <f>VLOOKUP(D585,Clientes!$A$2:$K$486,11,FALSE)</f>
        <v>Persona Natural</v>
      </c>
      <c r="AC585" s="13" t="str">
        <f>VLOOKUP(D585,Clientes!$A$2:$B$486,2,FALSE)</f>
        <v>Curso Amalia</v>
      </c>
      <c r="AD585" s="20"/>
      <c r="AE585" s="20"/>
      <c r="AF585" s="13" t="s">
        <v>40</v>
      </c>
      <c r="AG585" s="15">
        <f t="shared" si="6"/>
        <v>45505</v>
      </c>
      <c r="AH585" s="13" t="s">
        <v>41</v>
      </c>
      <c r="AI585" s="13" t="str">
        <f t="shared" si="7"/>
        <v>Quesos</v>
      </c>
      <c r="AJ585" s="13" t="str">
        <f>VLOOKUP(E585,Precios!Z$2:AA$941,2,FALSE)</f>
        <v>Queso RUNCA Mantecoso</v>
      </c>
      <c r="AK585" s="14">
        <f>VLOOKUP(E585,Precios!Z$2:BB$941,3,FALSE)*F585</f>
        <v>-1</v>
      </c>
      <c r="AL585" s="17"/>
      <c r="AM585" s="17"/>
      <c r="AN585" s="17"/>
      <c r="AO585" s="17"/>
      <c r="AP585" s="17"/>
      <c r="AQ585" s="17"/>
      <c r="AR585" s="17"/>
      <c r="AS585" s="17"/>
      <c r="AT585" s="17"/>
      <c r="AU585" s="17"/>
      <c r="AV585" s="17"/>
    </row>
    <row r="586" spans="1:48" ht="15.75" customHeight="1">
      <c r="A586" s="21" t="s">
        <v>43</v>
      </c>
      <c r="B586" s="23" t="s">
        <v>1692</v>
      </c>
      <c r="C586" s="22">
        <v>45881</v>
      </c>
      <c r="D586" s="23" t="s">
        <v>142</v>
      </c>
      <c r="E586" s="23" t="s">
        <v>45</v>
      </c>
      <c r="F586" s="21">
        <v>1</v>
      </c>
      <c r="G586" s="12">
        <f>VLOOKUP(E586,Precios!B$2:N$941,12,FALSE)</f>
        <v>8000.1831784723063</v>
      </c>
      <c r="H586" s="12">
        <f t="shared" si="0"/>
        <v>8000.1831784723063</v>
      </c>
      <c r="I586" s="23" t="s">
        <v>52</v>
      </c>
      <c r="J586" s="23" t="s">
        <v>61</v>
      </c>
      <c r="K586" s="24" t="s">
        <v>177</v>
      </c>
      <c r="L586" s="24">
        <v>169</v>
      </c>
      <c r="M586" s="12">
        <f t="shared" ref="M586:N586" si="591">G586/1.19</f>
        <v>6722.8430071195853</v>
      </c>
      <c r="N586" s="12">
        <f t="shared" si="591"/>
        <v>6722.8430071195853</v>
      </c>
      <c r="O586" s="12">
        <f t="shared" si="2"/>
        <v>1277.340171352721</v>
      </c>
      <c r="P586" s="13"/>
      <c r="Q586" s="14">
        <f t="shared" si="3"/>
        <v>2025</v>
      </c>
      <c r="R586" s="15">
        <f>VLOOKUP(MONTH(C586),'Datos Maestros'!M$2:N$14,2,FALSE)</f>
        <v>45505</v>
      </c>
      <c r="S586" s="11" t="str">
        <f>VLOOKUP(E586,Precios!B$2:W$941,3,FALSE)</f>
        <v>Huevos EXTRA</v>
      </c>
      <c r="T586" s="16">
        <f>VLOOKUP(E586,Precios!B$2:N$941,4,FALSE)*F586</f>
        <v>0</v>
      </c>
      <c r="U586" s="17"/>
      <c r="V586" s="12">
        <f>VLOOKUP(E586,Precios!B$2:N$941,13,FALSE)*F586</f>
        <v>1151.6230071195851</v>
      </c>
      <c r="W586" s="12">
        <f t="shared" si="4"/>
        <v>1151.6230071195851</v>
      </c>
      <c r="X586" s="12">
        <f>VLOOKUP(B586,'Datos Maestros'!$C$2:$D$7,2,FALSE)*V586</f>
        <v>0</v>
      </c>
      <c r="Y586" s="18">
        <f t="shared" si="5"/>
        <v>45880</v>
      </c>
      <c r="Z586" s="13" t="s">
        <v>39</v>
      </c>
      <c r="AA586" s="19" t="str">
        <f>VLOOKUP(D586,Clientes!$A$2:$J$486,9,FALSE)</f>
        <v>Frecuente</v>
      </c>
      <c r="AB586" s="13" t="str">
        <f>VLOOKUP(D586,Clientes!$A$2:$K$486,11,FALSE)</f>
        <v>Persona Natural</v>
      </c>
      <c r="AC586" s="13" t="str">
        <f>VLOOKUP(D586,Clientes!$A$2:$B$486,2,FALSE)</f>
        <v>Curso Amalia</v>
      </c>
      <c r="AD586" s="20"/>
      <c r="AE586" s="20"/>
      <c r="AF586" s="13" t="s">
        <v>40</v>
      </c>
      <c r="AG586" s="15">
        <f t="shared" si="6"/>
        <v>45505</v>
      </c>
      <c r="AH586" s="13" t="s">
        <v>41</v>
      </c>
      <c r="AI586" s="13" t="str">
        <f t="shared" si="7"/>
        <v>Huevos</v>
      </c>
      <c r="AJ586" s="13" t="str">
        <f>VLOOKUP(E586,Precios!Z$2:AA$941,2,FALSE)</f>
        <v>Bandeja Huevos EXTRA</v>
      </c>
      <c r="AK586" s="14">
        <f>VLOOKUP(E586,Precios!Z$2:BB$941,3,FALSE)*F586</f>
        <v>-1</v>
      </c>
      <c r="AL586" s="17"/>
      <c r="AM586" s="17"/>
      <c r="AN586" s="17"/>
      <c r="AO586" s="17"/>
      <c r="AP586" s="17"/>
      <c r="AQ586" s="17"/>
      <c r="AR586" s="17"/>
      <c r="AS586" s="17"/>
      <c r="AT586" s="17"/>
      <c r="AU586" s="17"/>
      <c r="AV586" s="17"/>
    </row>
    <row r="587" spans="1:48" ht="15.75" customHeight="1">
      <c r="A587" s="21" t="s">
        <v>47</v>
      </c>
      <c r="B587" s="23" t="s">
        <v>1692</v>
      </c>
      <c r="C587" s="22">
        <v>45881</v>
      </c>
      <c r="D587" s="23" t="s">
        <v>142</v>
      </c>
      <c r="E587" s="23" t="s">
        <v>89</v>
      </c>
      <c r="F587" s="21">
        <v>1</v>
      </c>
      <c r="G587" s="12">
        <f>VLOOKUP(E587,Precios!B$2:N$941,12,FALSE)</f>
        <v>1500.3973988439307</v>
      </c>
      <c r="H587" s="12">
        <f t="shared" si="0"/>
        <v>1500.3973988439307</v>
      </c>
      <c r="I587" s="23" t="s">
        <v>52</v>
      </c>
      <c r="J587" s="23" t="s">
        <v>61</v>
      </c>
      <c r="K587" s="24" t="s">
        <v>177</v>
      </c>
      <c r="L587" s="24">
        <v>169</v>
      </c>
      <c r="M587" s="12">
        <f t="shared" ref="M587:N587" si="592">G587/1.19</f>
        <v>1260.8381502890174</v>
      </c>
      <c r="N587" s="12">
        <f t="shared" si="592"/>
        <v>1260.8381502890174</v>
      </c>
      <c r="O587" s="12">
        <f t="shared" si="2"/>
        <v>239.55924855491321</v>
      </c>
      <c r="P587" s="13"/>
      <c r="Q587" s="14">
        <f t="shared" si="3"/>
        <v>2025</v>
      </c>
      <c r="R587" s="15">
        <f>VLOOKUP(MONTH(C587),'Datos Maestros'!M$2:N$14,2,FALSE)</f>
        <v>45505</v>
      </c>
      <c r="S587" s="11" t="str">
        <f>VLOOKUP(E587,Precios!B$2:W$941,3,FALSE)</f>
        <v>WC</v>
      </c>
      <c r="T587" s="16">
        <f>VLOOKUP(E587,Precios!B$2:N$941,4,FALSE)*F587</f>
        <v>0</v>
      </c>
      <c r="U587" s="17"/>
      <c r="V587" s="12">
        <f>VLOOKUP(E587,Precios!B$2:N$941,13,FALSE)*F587</f>
        <v>562.83815028901745</v>
      </c>
      <c r="W587" s="12">
        <f t="shared" si="4"/>
        <v>562.83815028901745</v>
      </c>
      <c r="X587" s="12">
        <f>VLOOKUP(B587,'Datos Maestros'!$C$2:$D$7,2,FALSE)*V587</f>
        <v>0</v>
      </c>
      <c r="Y587" s="18">
        <f t="shared" si="5"/>
        <v>45880</v>
      </c>
      <c r="Z587" s="13" t="s">
        <v>39</v>
      </c>
      <c r="AA587" s="19" t="str">
        <f>VLOOKUP(D587,Clientes!$A$2:$J$486,9,FALSE)</f>
        <v>Frecuente</v>
      </c>
      <c r="AB587" s="13" t="str">
        <f>VLOOKUP(D587,Clientes!$A$2:$K$486,11,FALSE)</f>
        <v>Persona Natural</v>
      </c>
      <c r="AC587" s="13" t="str">
        <f>VLOOKUP(D587,Clientes!$A$2:$B$486,2,FALSE)</f>
        <v>Curso Amalia</v>
      </c>
      <c r="AD587" s="20"/>
      <c r="AE587" s="20"/>
      <c r="AF587" s="13" t="s">
        <v>40</v>
      </c>
      <c r="AG587" s="15">
        <f t="shared" si="6"/>
        <v>45505</v>
      </c>
      <c r="AH587" s="13" t="s">
        <v>41</v>
      </c>
      <c r="AI587" s="13" t="str">
        <f t="shared" si="7"/>
        <v>Articulos de Aseo</v>
      </c>
      <c r="AJ587" s="13" t="str">
        <f>VLOOKUP(E587,Precios!Z$2:AA$941,2,FALSE)</f>
        <v>Pastilla para estanque WC</v>
      </c>
      <c r="AK587" s="14">
        <f>VLOOKUP(E587,Precios!Z$2:BB$941,3,FALSE)*F587</f>
        <v>-1</v>
      </c>
      <c r="AL587" s="17"/>
      <c r="AM587" s="17"/>
      <c r="AN587" s="17"/>
      <c r="AO587" s="17"/>
      <c r="AP587" s="17"/>
      <c r="AQ587" s="17"/>
      <c r="AR587" s="17"/>
      <c r="AS587" s="17"/>
      <c r="AT587" s="17"/>
      <c r="AU587" s="17"/>
      <c r="AV587" s="17"/>
    </row>
    <row r="588" spans="1:48" ht="15.75" customHeight="1">
      <c r="A588" s="21" t="s">
        <v>47</v>
      </c>
      <c r="B588" s="23" t="s">
        <v>1692</v>
      </c>
      <c r="C588" s="22">
        <v>45881</v>
      </c>
      <c r="D588" s="23" t="s">
        <v>142</v>
      </c>
      <c r="E588" s="23" t="s">
        <v>71</v>
      </c>
      <c r="F588" s="21">
        <v>1</v>
      </c>
      <c r="G588" s="12">
        <f>VLOOKUP(E588,Precios!B$2:N$941,12,FALSE)</f>
        <v>2700.007670476336</v>
      </c>
      <c r="H588" s="12">
        <f t="shared" si="0"/>
        <v>2700.007670476336</v>
      </c>
      <c r="I588" s="23" t="s">
        <v>52</v>
      </c>
      <c r="J588" s="23" t="s">
        <v>61</v>
      </c>
      <c r="K588" s="24" t="s">
        <v>177</v>
      </c>
      <c r="L588" s="24">
        <v>169</v>
      </c>
      <c r="M588" s="12">
        <f t="shared" ref="M588:N588" si="593">G588/1.19</f>
        <v>2268.9140088036438</v>
      </c>
      <c r="N588" s="12">
        <f t="shared" si="593"/>
        <v>2268.9140088036438</v>
      </c>
      <c r="O588" s="12">
        <f t="shared" si="2"/>
        <v>431.09366167269218</v>
      </c>
      <c r="P588" s="13"/>
      <c r="Q588" s="14">
        <f t="shared" si="3"/>
        <v>2025</v>
      </c>
      <c r="R588" s="15">
        <f>VLOOKUP(MONTH(C588),'Datos Maestros'!M$2:N$14,2,FALSE)</f>
        <v>45505</v>
      </c>
      <c r="S588" s="11" t="str">
        <f>VLOOKUP(E588,Precios!B$2:W$941,3,FALSE)</f>
        <v>Toalla desinfectantes</v>
      </c>
      <c r="T588" s="16">
        <f>VLOOKUP(E588,Precios!B$2:N$941,4,FALSE)*F588</f>
        <v>0</v>
      </c>
      <c r="U588" s="17"/>
      <c r="V588" s="12">
        <f>VLOOKUP(E588,Precios!B$2:N$941,13,FALSE)*F588</f>
        <v>789.92241216498837</v>
      </c>
      <c r="W588" s="12">
        <f t="shared" si="4"/>
        <v>789.92241216498837</v>
      </c>
      <c r="X588" s="12">
        <f>VLOOKUP(B588,'Datos Maestros'!$C$2:$D$7,2,FALSE)*V588</f>
        <v>0</v>
      </c>
      <c r="Y588" s="18">
        <f t="shared" si="5"/>
        <v>45880</v>
      </c>
      <c r="Z588" s="13" t="s">
        <v>39</v>
      </c>
      <c r="AA588" s="19" t="str">
        <f>VLOOKUP(D588,Clientes!$A$2:$J$486,9,FALSE)</f>
        <v>Frecuente</v>
      </c>
      <c r="AB588" s="13" t="str">
        <f>VLOOKUP(D588,Clientes!$A$2:$K$486,11,FALSE)</f>
        <v>Persona Natural</v>
      </c>
      <c r="AC588" s="13" t="str">
        <f>VLOOKUP(D588,Clientes!$A$2:$B$486,2,FALSE)</f>
        <v>Curso Amalia</v>
      </c>
      <c r="AD588" s="20"/>
      <c r="AE588" s="20"/>
      <c r="AF588" s="13" t="s">
        <v>40</v>
      </c>
      <c r="AG588" s="15">
        <f t="shared" si="6"/>
        <v>45505</v>
      </c>
      <c r="AH588" s="13" t="s">
        <v>41</v>
      </c>
      <c r="AI588" s="13" t="str">
        <f t="shared" si="7"/>
        <v>Articulos de Aseo</v>
      </c>
      <c r="AJ588" s="13" t="str">
        <f>VLOOKUP(E588,Precios!Z$2:AA$941,2,FALSE)</f>
        <v>Toalla desinfectante IGENIX 50 unidades</v>
      </c>
      <c r="AK588" s="14">
        <f>VLOOKUP(E588,Precios!Z$2:BB$941,3,FALSE)*F588</f>
        <v>-1</v>
      </c>
      <c r="AL588" s="17"/>
      <c r="AM588" s="17"/>
      <c r="AN588" s="17"/>
      <c r="AO588" s="17"/>
      <c r="AP588" s="17"/>
      <c r="AQ588" s="17"/>
      <c r="AR588" s="17"/>
      <c r="AS588" s="17"/>
      <c r="AT588" s="17"/>
      <c r="AU588" s="17"/>
      <c r="AV588" s="17"/>
    </row>
    <row r="589" spans="1:48" ht="15.75" customHeight="1">
      <c r="A589" s="21" t="s">
        <v>47</v>
      </c>
      <c r="B589" s="23" t="s">
        <v>1692</v>
      </c>
      <c r="C589" s="22">
        <v>45881</v>
      </c>
      <c r="D589" s="23" t="s">
        <v>142</v>
      </c>
      <c r="E589" s="23" t="s">
        <v>155</v>
      </c>
      <c r="F589" s="21">
        <v>1</v>
      </c>
      <c r="G589" s="12">
        <f>VLOOKUP(E589,Precios!B$2:N$941,12,FALSE)</f>
        <v>3400</v>
      </c>
      <c r="H589" s="12">
        <f t="shared" si="0"/>
        <v>3400</v>
      </c>
      <c r="I589" s="23" t="s">
        <v>52</v>
      </c>
      <c r="J589" s="23" t="s">
        <v>61</v>
      </c>
      <c r="K589" s="24" t="s">
        <v>177</v>
      </c>
      <c r="L589" s="24">
        <v>169</v>
      </c>
      <c r="M589" s="12">
        <f t="shared" ref="M589:N589" si="594">G589/1.19</f>
        <v>2857.1428571428573</v>
      </c>
      <c r="N589" s="12">
        <f t="shared" si="594"/>
        <v>2857.1428571428573</v>
      </c>
      <c r="O589" s="12">
        <f t="shared" si="2"/>
        <v>542.85714285714266</v>
      </c>
      <c r="P589" s="13"/>
      <c r="Q589" s="14">
        <f t="shared" si="3"/>
        <v>2025</v>
      </c>
      <c r="R589" s="15">
        <f>VLOOKUP(MONTH(C589),'Datos Maestros'!M$2:N$14,2,FALSE)</f>
        <v>45505</v>
      </c>
      <c r="S589" s="11" t="str">
        <f>VLOOKUP(E589,Precios!B$2:W$941,3,FALSE)</f>
        <v>Bolsa Basura</v>
      </c>
      <c r="T589" s="16">
        <f>VLOOKUP(E589,Precios!B$2:N$941,4,FALSE)*F589</f>
        <v>0</v>
      </c>
      <c r="U589" s="17"/>
      <c r="V589" s="12">
        <f>VLOOKUP(E589,Precios!B$2:N$941,13,FALSE)*F589</f>
        <v>1255.1428571428573</v>
      </c>
      <c r="W589" s="12">
        <f t="shared" si="4"/>
        <v>1255.1428571428573</v>
      </c>
      <c r="X589" s="12">
        <f>VLOOKUP(B589,'Datos Maestros'!$C$2:$D$7,2,FALSE)*V589</f>
        <v>0</v>
      </c>
      <c r="Y589" s="18">
        <f t="shared" si="5"/>
        <v>45880</v>
      </c>
      <c r="Z589" s="13" t="s">
        <v>39</v>
      </c>
      <c r="AA589" s="19" t="str">
        <f>VLOOKUP(D589,Clientes!$A$2:$J$486,9,FALSE)</f>
        <v>Frecuente</v>
      </c>
      <c r="AB589" s="13" t="str">
        <f>VLOOKUP(D589,Clientes!$A$2:$K$486,11,FALSE)</f>
        <v>Persona Natural</v>
      </c>
      <c r="AC589" s="13" t="str">
        <f>VLOOKUP(D589,Clientes!$A$2:$B$486,2,FALSE)</f>
        <v>Curso Amalia</v>
      </c>
      <c r="AD589" s="20"/>
      <c r="AE589" s="20"/>
      <c r="AF589" s="13" t="s">
        <v>40</v>
      </c>
      <c r="AG589" s="15">
        <f t="shared" si="6"/>
        <v>45505</v>
      </c>
      <c r="AH589" s="13" t="s">
        <v>41</v>
      </c>
      <c r="AI589" s="13" t="str">
        <f t="shared" si="7"/>
        <v>Articulos de Aseo</v>
      </c>
      <c r="AJ589" s="13" t="str">
        <f>VLOOKUP(E589,Precios!Z$2:AA$941,2,FALSE)</f>
        <v xml:space="preserve">Bolsas Basura TEDDY 50x70 </v>
      </c>
      <c r="AK589" s="14">
        <f>VLOOKUP(E589,Precios!Z$2:BB$941,3,FALSE)*F589</f>
        <v>-6</v>
      </c>
      <c r="AL589" s="17"/>
      <c r="AM589" s="17"/>
      <c r="AN589" s="17"/>
      <c r="AO589" s="17"/>
      <c r="AP589" s="17"/>
      <c r="AQ589" s="17"/>
      <c r="AR589" s="17"/>
      <c r="AS589" s="17"/>
      <c r="AT589" s="17"/>
      <c r="AU589" s="17"/>
      <c r="AV589" s="17"/>
    </row>
    <row r="590" spans="1:48" ht="15.75" customHeight="1">
      <c r="A590" s="21" t="s">
        <v>47</v>
      </c>
      <c r="B590" s="23" t="s">
        <v>1692</v>
      </c>
      <c r="C590" s="22">
        <v>45881</v>
      </c>
      <c r="D590" s="23" t="s">
        <v>142</v>
      </c>
      <c r="E590" s="23" t="s">
        <v>49</v>
      </c>
      <c r="F590" s="21">
        <v>1</v>
      </c>
      <c r="G590" s="12">
        <f>VLOOKUP(E590,Precios!B$2:N$941,12,FALSE)</f>
        <v>4500.0000000000009</v>
      </c>
      <c r="H590" s="12">
        <f t="shared" si="0"/>
        <v>4500.0000000000009</v>
      </c>
      <c r="I590" s="23" t="s">
        <v>52</v>
      </c>
      <c r="J590" s="23" t="s">
        <v>61</v>
      </c>
      <c r="K590" s="24" t="s">
        <v>177</v>
      </c>
      <c r="L590" s="24">
        <v>169</v>
      </c>
      <c r="M590" s="12">
        <f t="shared" ref="M590:N590" si="595">G590/1.19</f>
        <v>3781.5126050420176</v>
      </c>
      <c r="N590" s="12">
        <f t="shared" si="595"/>
        <v>3781.5126050420176</v>
      </c>
      <c r="O590" s="12">
        <f t="shared" si="2"/>
        <v>718.48739495798327</v>
      </c>
      <c r="P590" s="13"/>
      <c r="Q590" s="14">
        <f t="shared" si="3"/>
        <v>2025</v>
      </c>
      <c r="R590" s="15">
        <f>VLOOKUP(MONTH(C590),'Datos Maestros'!M$2:N$14,2,FALSE)</f>
        <v>45505</v>
      </c>
      <c r="S590" s="11" t="str">
        <f>VLOOKUP(E590,Precios!B$2:W$941,3,FALSE)</f>
        <v>Jabon Liquido</v>
      </c>
      <c r="T590" s="16">
        <f>VLOOKUP(E590,Precios!B$2:N$941,4,FALSE)*F590</f>
        <v>0</v>
      </c>
      <c r="U590" s="17"/>
      <c r="V590" s="12">
        <f>VLOOKUP(E590,Precios!B$2:N$941,13,FALSE)*F590</f>
        <v>988.23529411764775</v>
      </c>
      <c r="W590" s="12">
        <f t="shared" si="4"/>
        <v>988.23529411764775</v>
      </c>
      <c r="X590" s="12">
        <f>VLOOKUP(B590,'Datos Maestros'!$C$2:$D$7,2,FALSE)*V590</f>
        <v>0</v>
      </c>
      <c r="Y590" s="18">
        <f t="shared" si="5"/>
        <v>45880</v>
      </c>
      <c r="Z590" s="13" t="s">
        <v>39</v>
      </c>
      <c r="AA590" s="19" t="str">
        <f>VLOOKUP(D590,Clientes!$A$2:$J$486,9,FALSE)</f>
        <v>Frecuente</v>
      </c>
      <c r="AB590" s="13" t="str">
        <f>VLOOKUP(D590,Clientes!$A$2:$K$486,11,FALSE)</f>
        <v>Persona Natural</v>
      </c>
      <c r="AC590" s="13" t="str">
        <f>VLOOKUP(D590,Clientes!$A$2:$B$486,2,FALSE)</f>
        <v>Curso Amalia</v>
      </c>
      <c r="AD590" s="20"/>
      <c r="AE590" s="20"/>
      <c r="AF590" s="13" t="s">
        <v>40</v>
      </c>
      <c r="AG590" s="15">
        <f t="shared" si="6"/>
        <v>45505</v>
      </c>
      <c r="AH590" s="13" t="s">
        <v>41</v>
      </c>
      <c r="AI590" s="13" t="str">
        <f t="shared" si="7"/>
        <v>Articulos de Aseo</v>
      </c>
      <c r="AJ590" s="13" t="str">
        <f>VLOOKUP(E590,Precios!Z$2:AA$941,2,FALSE)</f>
        <v>Jabón Lìquido BALLERINA</v>
      </c>
      <c r="AK590" s="14">
        <f>VLOOKUP(E590,Precios!Z$2:BB$941,3,FALSE)*F590</f>
        <v>-3</v>
      </c>
      <c r="AL590" s="17"/>
      <c r="AM590" s="17"/>
      <c r="AN590" s="17"/>
      <c r="AO590" s="17"/>
      <c r="AP590" s="17"/>
      <c r="AQ590" s="17"/>
      <c r="AR590" s="17"/>
      <c r="AS590" s="17"/>
      <c r="AT590" s="17"/>
      <c r="AU590" s="17"/>
      <c r="AV590" s="17"/>
    </row>
    <row r="591" spans="1:48" ht="15.75" customHeight="1">
      <c r="A591" s="21" t="s">
        <v>76</v>
      </c>
      <c r="B591" s="23" t="s">
        <v>1692</v>
      </c>
      <c r="C591" s="22">
        <v>45881</v>
      </c>
      <c r="D591" s="23" t="s">
        <v>142</v>
      </c>
      <c r="E591" s="23" t="s">
        <v>156</v>
      </c>
      <c r="F591" s="21">
        <v>1</v>
      </c>
      <c r="G591" s="12">
        <f>VLOOKUP(E591,Precios!B$2:N$941,12,FALSE)</f>
        <v>4800</v>
      </c>
      <c r="H591" s="12">
        <f t="shared" si="0"/>
        <v>4800</v>
      </c>
      <c r="I591" s="23" t="s">
        <v>52</v>
      </c>
      <c r="J591" s="23" t="s">
        <v>61</v>
      </c>
      <c r="K591" s="24" t="s">
        <v>177</v>
      </c>
      <c r="L591" s="24">
        <v>169</v>
      </c>
      <c r="M591" s="12">
        <f t="shared" ref="M591:N591" si="596">G591/1.19</f>
        <v>4033.6134453781515</v>
      </c>
      <c r="N591" s="12">
        <f t="shared" si="596"/>
        <v>4033.6134453781515</v>
      </c>
      <c r="O591" s="12">
        <f t="shared" si="2"/>
        <v>766.38655462184852</v>
      </c>
      <c r="P591" s="13"/>
      <c r="Q591" s="14">
        <f t="shared" si="3"/>
        <v>2025</v>
      </c>
      <c r="R591" s="15">
        <f>VLOOKUP(MONTH(C591),'Datos Maestros'!M$2:N$14,2,FALSE)</f>
        <v>45505</v>
      </c>
      <c r="S591" s="11" t="str">
        <f>VLOOKUP(E591,Precios!B$2:W$941,3,FALSE)</f>
        <v>Lavaloza</v>
      </c>
      <c r="T591" s="16">
        <f>VLOOKUP(E591,Precios!B$2:N$941,4,FALSE)*F591</f>
        <v>0</v>
      </c>
      <c r="U591" s="17"/>
      <c r="V591" s="12">
        <f>VLOOKUP(E591,Precios!B$2:N$941,13,FALSE)*F591</f>
        <v>1768.0672268907565</v>
      </c>
      <c r="W591" s="12">
        <f t="shared" si="4"/>
        <v>1768.0672268907565</v>
      </c>
      <c r="X591" s="12">
        <f>VLOOKUP(B591,'Datos Maestros'!$C$2:$D$7,2,FALSE)*V591</f>
        <v>0</v>
      </c>
      <c r="Y591" s="18">
        <f t="shared" si="5"/>
        <v>45880</v>
      </c>
      <c r="Z591" s="13" t="s">
        <v>39</v>
      </c>
      <c r="AA591" s="19" t="str">
        <f>VLOOKUP(D591,Clientes!$A$2:$J$486,9,FALSE)</f>
        <v>Frecuente</v>
      </c>
      <c r="AB591" s="13" t="str">
        <f>VLOOKUP(D591,Clientes!$A$2:$K$486,11,FALSE)</f>
        <v>Persona Natural</v>
      </c>
      <c r="AC591" s="13" t="str">
        <f>VLOOKUP(D591,Clientes!$A$2:$B$486,2,FALSE)</f>
        <v>Curso Amalia</v>
      </c>
      <c r="AD591" s="20"/>
      <c r="AE591" s="20"/>
      <c r="AF591" s="13" t="s">
        <v>40</v>
      </c>
      <c r="AG591" s="15">
        <f t="shared" si="6"/>
        <v>45505</v>
      </c>
      <c r="AH591" s="13" t="s">
        <v>41</v>
      </c>
      <c r="AI591" s="13" t="str">
        <f t="shared" si="7"/>
        <v>Detergentes</v>
      </c>
      <c r="AJ591" s="13" t="str">
        <f>VLOOKUP(E591,Precios!Z$2:AA$941,2,FALSE)</f>
        <v>Lavaloza QUIX 750 cc</v>
      </c>
      <c r="AK591" s="14">
        <f>VLOOKUP(E591,Precios!Z$2:BB$941,3,FALSE)*F591</f>
        <v>-2</v>
      </c>
      <c r="AL591" s="17"/>
      <c r="AM591" s="17"/>
      <c r="AN591" s="17"/>
      <c r="AO591" s="17"/>
      <c r="AP591" s="17"/>
      <c r="AQ591" s="17"/>
      <c r="AR591" s="17"/>
      <c r="AS591" s="17"/>
      <c r="AT591" s="17"/>
      <c r="AU591" s="17"/>
      <c r="AV591" s="17"/>
    </row>
    <row r="592" spans="1:48" ht="15.75" customHeight="1">
      <c r="A592" s="21" t="s">
        <v>76</v>
      </c>
      <c r="B592" s="23" t="s">
        <v>1692</v>
      </c>
      <c r="C592" s="22">
        <v>45881</v>
      </c>
      <c r="D592" s="23" t="s">
        <v>142</v>
      </c>
      <c r="E592" s="23" t="s">
        <v>77</v>
      </c>
      <c r="F592" s="21">
        <v>1</v>
      </c>
      <c r="G592" s="12">
        <f>VLOOKUP(E592,Precios!B$2:N$941,12,FALSE)</f>
        <v>1700.1361470388019</v>
      </c>
      <c r="H592" s="12">
        <f t="shared" si="0"/>
        <v>1700.1361470388019</v>
      </c>
      <c r="I592" s="23" t="s">
        <v>52</v>
      </c>
      <c r="J592" s="23" t="s">
        <v>61</v>
      </c>
      <c r="K592" s="24" t="s">
        <v>177</v>
      </c>
      <c r="L592" s="24">
        <v>169</v>
      </c>
      <c r="M592" s="12">
        <f t="shared" ref="M592:N592" si="597">G592/1.19</f>
        <v>1428.6858378477327</v>
      </c>
      <c r="N592" s="12">
        <f t="shared" si="597"/>
        <v>1428.6858378477327</v>
      </c>
      <c r="O592" s="12">
        <f t="shared" si="2"/>
        <v>271.45030919106921</v>
      </c>
      <c r="P592" s="13"/>
      <c r="Q592" s="14">
        <f t="shared" si="3"/>
        <v>2025</v>
      </c>
      <c r="R592" s="15">
        <f>VLOOKUP(MONTH(C592),'Datos Maestros'!M$2:N$14,2,FALSE)</f>
        <v>45505</v>
      </c>
      <c r="S592" s="11" t="str">
        <f>VLOOKUP(E592,Precios!B$2:W$941,3,FALSE)</f>
        <v>Cloro Gel</v>
      </c>
      <c r="T592" s="16">
        <f>VLOOKUP(E592,Precios!B$2:N$941,4,FALSE)*F592</f>
        <v>0</v>
      </c>
      <c r="U592" s="17"/>
      <c r="V592" s="12">
        <f>VLOOKUP(E592,Precios!B$2:N$941,13,FALSE)*F592</f>
        <v>589.19003952840501</v>
      </c>
      <c r="W592" s="12">
        <f t="shared" si="4"/>
        <v>589.19003952840501</v>
      </c>
      <c r="X592" s="12">
        <f>VLOOKUP(B592,'Datos Maestros'!$C$2:$D$7,2,FALSE)*V592</f>
        <v>0</v>
      </c>
      <c r="Y592" s="18">
        <f t="shared" si="5"/>
        <v>45880</v>
      </c>
      <c r="Z592" s="13" t="s">
        <v>39</v>
      </c>
      <c r="AA592" s="19" t="str">
        <f>VLOOKUP(D592,Clientes!$A$2:$J$486,9,FALSE)</f>
        <v>Frecuente</v>
      </c>
      <c r="AB592" s="13" t="str">
        <f>VLOOKUP(D592,Clientes!$A$2:$K$486,11,FALSE)</f>
        <v>Persona Natural</v>
      </c>
      <c r="AC592" s="13" t="str">
        <f>VLOOKUP(D592,Clientes!$A$2:$B$486,2,FALSE)</f>
        <v>Curso Amalia</v>
      </c>
      <c r="AD592" s="20"/>
      <c r="AE592" s="20"/>
      <c r="AF592" s="13" t="s">
        <v>40</v>
      </c>
      <c r="AG592" s="15">
        <f t="shared" si="6"/>
        <v>45505</v>
      </c>
      <c r="AH592" s="13" t="s">
        <v>41</v>
      </c>
      <c r="AI592" s="13" t="str">
        <f t="shared" si="7"/>
        <v>Detergentes</v>
      </c>
      <c r="AJ592" s="13" t="str">
        <f>VLOOKUP(E592,Precios!Z$2:AA$941,2,FALSE)</f>
        <v>Cloro GEL IGENIX 900ml</v>
      </c>
      <c r="AK592" s="14">
        <f>VLOOKUP(E592,Precios!Z$2:BB$941,3,FALSE)*F592</f>
        <v>-1</v>
      </c>
      <c r="AL592" s="17"/>
      <c r="AM592" s="17"/>
      <c r="AN592" s="17"/>
      <c r="AO592" s="17"/>
      <c r="AP592" s="17"/>
      <c r="AQ592" s="17"/>
      <c r="AR592" s="17"/>
      <c r="AS592" s="17"/>
      <c r="AT592" s="17"/>
      <c r="AU592" s="17"/>
      <c r="AV592" s="17"/>
    </row>
    <row r="593" spans="1:48" ht="15.75" customHeight="1">
      <c r="A593" s="21" t="s">
        <v>76</v>
      </c>
      <c r="B593" s="23" t="s">
        <v>1692</v>
      </c>
      <c r="C593" s="22">
        <v>45881</v>
      </c>
      <c r="D593" s="23" t="s">
        <v>142</v>
      </c>
      <c r="E593" s="23" t="s">
        <v>82</v>
      </c>
      <c r="F593" s="21">
        <v>1</v>
      </c>
      <c r="G593" s="12">
        <f>VLOOKUP(E593,Precios!B$2:N$941,12,FALSE)</f>
        <v>2000.0000000000002</v>
      </c>
      <c r="H593" s="12">
        <f t="shared" si="0"/>
        <v>2000.0000000000002</v>
      </c>
      <c r="I593" s="23" t="s">
        <v>52</v>
      </c>
      <c r="J593" s="23" t="s">
        <v>61</v>
      </c>
      <c r="K593" s="24" t="s">
        <v>177</v>
      </c>
      <c r="L593" s="24">
        <v>169</v>
      </c>
      <c r="M593" s="12">
        <f t="shared" ref="M593:N593" si="598">G593/1.19</f>
        <v>1680.6722689075632</v>
      </c>
      <c r="N593" s="12">
        <f t="shared" si="598"/>
        <v>1680.6722689075632</v>
      </c>
      <c r="O593" s="12">
        <f t="shared" si="2"/>
        <v>319.32773109243703</v>
      </c>
      <c r="P593" s="13"/>
      <c r="Q593" s="14">
        <f t="shared" si="3"/>
        <v>2025</v>
      </c>
      <c r="R593" s="15">
        <f>VLOOKUP(MONTH(C593),'Datos Maestros'!M$2:N$14,2,FALSE)</f>
        <v>45505</v>
      </c>
      <c r="S593" s="11" t="str">
        <f>VLOOKUP(E593,Precios!B$2:W$941,3,FALSE)</f>
        <v>Limpiapiso</v>
      </c>
      <c r="T593" s="16">
        <f>VLOOKUP(E593,Precios!B$2:N$941,4,FALSE)*F593</f>
        <v>5</v>
      </c>
      <c r="U593" s="17"/>
      <c r="V593" s="12">
        <f>VLOOKUP(E593,Precios!B$2:N$941,13,FALSE)*F593</f>
        <v>680.67226890756319</v>
      </c>
      <c r="W593" s="12">
        <f t="shared" si="4"/>
        <v>680.67226890756319</v>
      </c>
      <c r="X593" s="12">
        <f>VLOOKUP(B593,'Datos Maestros'!$C$2:$D$7,2,FALSE)*V593</f>
        <v>0</v>
      </c>
      <c r="Y593" s="18">
        <f t="shared" si="5"/>
        <v>45880</v>
      </c>
      <c r="Z593" s="13" t="s">
        <v>39</v>
      </c>
      <c r="AA593" s="19" t="str">
        <f>VLOOKUP(D593,Clientes!$A$2:$J$486,9,FALSE)</f>
        <v>Frecuente</v>
      </c>
      <c r="AB593" s="13" t="str">
        <f>VLOOKUP(D593,Clientes!$A$2:$K$486,11,FALSE)</f>
        <v>Persona Natural</v>
      </c>
      <c r="AC593" s="13" t="str">
        <f>VLOOKUP(D593,Clientes!$A$2:$B$486,2,FALSE)</f>
        <v>Curso Amalia</v>
      </c>
      <c r="AD593" s="20"/>
      <c r="AE593" s="20"/>
      <c r="AF593" s="13" t="s">
        <v>40</v>
      </c>
      <c r="AG593" s="15">
        <f t="shared" si="6"/>
        <v>45505</v>
      </c>
      <c r="AH593" s="13" t="s">
        <v>41</v>
      </c>
      <c r="AI593" s="13" t="str">
        <f t="shared" si="7"/>
        <v>Detergentes</v>
      </c>
      <c r="AJ593" s="13" t="str">
        <f>VLOOKUP(E593,Precios!Z$2:AA$941,2,FALSE)</f>
        <v>Limpiapiso SPUM 5 Litros</v>
      </c>
      <c r="AK593" s="14">
        <f>VLOOKUP(E593,Precios!Z$2:BB$941,3,FALSE)*F593</f>
        <v>-1</v>
      </c>
      <c r="AL593" s="17"/>
      <c r="AM593" s="17"/>
      <c r="AN593" s="17"/>
      <c r="AO593" s="17"/>
      <c r="AP593" s="17"/>
      <c r="AQ593" s="17"/>
      <c r="AR593" s="17"/>
      <c r="AS593" s="17"/>
      <c r="AT593" s="17"/>
      <c r="AU593" s="17"/>
      <c r="AV593" s="17"/>
    </row>
    <row r="594" spans="1:48" ht="15.75" customHeight="1">
      <c r="A594" s="21" t="s">
        <v>53</v>
      </c>
      <c r="B594" s="23" t="s">
        <v>1692</v>
      </c>
      <c r="C594" s="22">
        <v>45881</v>
      </c>
      <c r="D594" s="23" t="s">
        <v>142</v>
      </c>
      <c r="E594" s="23" t="s">
        <v>97</v>
      </c>
      <c r="F594" s="21">
        <v>1</v>
      </c>
      <c r="G594" s="12">
        <f>VLOOKUP(E594,Precios!B$2:N$941,12,FALSE)</f>
        <v>16500.236769693482</v>
      </c>
      <c r="H594" s="12">
        <f t="shared" si="0"/>
        <v>16500.236769693482</v>
      </c>
      <c r="I594" s="23" t="s">
        <v>52</v>
      </c>
      <c r="J594" s="23" t="s">
        <v>61</v>
      </c>
      <c r="K594" s="24" t="s">
        <v>177</v>
      </c>
      <c r="L594" s="24">
        <v>169</v>
      </c>
      <c r="M594" s="12">
        <f t="shared" ref="M594:N594" si="599">G594/1.19</f>
        <v>13865.745184616371</v>
      </c>
      <c r="N594" s="12">
        <f t="shared" si="599"/>
        <v>13865.745184616371</v>
      </c>
      <c r="O594" s="12">
        <f t="shared" si="2"/>
        <v>2634.4915850771104</v>
      </c>
      <c r="P594" s="13"/>
      <c r="Q594" s="14">
        <f t="shared" si="3"/>
        <v>2025</v>
      </c>
      <c r="R594" s="15">
        <f>VLOOKUP(MONTH(C594),'Datos Maestros'!M$2:N$14,2,FALSE)</f>
        <v>45505</v>
      </c>
      <c r="S594" s="11" t="str">
        <f>VLOOKUP(E594,Precios!B$2:W$941,3,FALSE)</f>
        <v>Papel Higiénico ELITE</v>
      </c>
      <c r="T594" s="16">
        <f>VLOOKUP(E594,Precios!B$2:N$941,4,FALSE)*F594</f>
        <v>0</v>
      </c>
      <c r="U594" s="17"/>
      <c r="V594" s="12">
        <f>VLOOKUP(E594,Precios!B$2:N$941,13,FALSE)*F594</f>
        <v>3031.7451846163694</v>
      </c>
      <c r="W594" s="12">
        <f t="shared" si="4"/>
        <v>3031.7451846163694</v>
      </c>
      <c r="X594" s="12">
        <f>VLOOKUP(B594,'Datos Maestros'!$C$2:$D$7,2,FALSE)*V594</f>
        <v>0</v>
      </c>
      <c r="Y594" s="18">
        <f t="shared" si="5"/>
        <v>45880</v>
      </c>
      <c r="Z594" s="13" t="s">
        <v>39</v>
      </c>
      <c r="AA594" s="19" t="str">
        <f>VLOOKUP(D594,Clientes!$A$2:$J$486,9,FALSE)</f>
        <v>Frecuente</v>
      </c>
      <c r="AB594" s="13" t="str">
        <f>VLOOKUP(D594,Clientes!$A$2:$K$486,11,FALSE)</f>
        <v>Persona Natural</v>
      </c>
      <c r="AC594" s="13" t="str">
        <f>VLOOKUP(D594,Clientes!$A$2:$B$486,2,FALSE)</f>
        <v>Curso Amalia</v>
      </c>
      <c r="AD594" s="20"/>
      <c r="AE594" s="20"/>
      <c r="AF594" s="13" t="s">
        <v>40</v>
      </c>
      <c r="AG594" s="15">
        <f t="shared" si="6"/>
        <v>45505</v>
      </c>
      <c r="AH594" s="13" t="s">
        <v>41</v>
      </c>
      <c r="AI594" s="13" t="str">
        <f t="shared" si="7"/>
        <v>Papeleria</v>
      </c>
      <c r="AJ594" s="13" t="str">
        <f>VLOOKUP(E594,Precios!Z$2:AA$941,2,FALSE)</f>
        <v>Papel Higienico ELITE 50 metros</v>
      </c>
      <c r="AK594" s="14">
        <f>VLOOKUP(E594,Precios!Z$2:BB$941,3,FALSE)*F594</f>
        <v>-6</v>
      </c>
      <c r="AL594" s="17"/>
      <c r="AM594" s="17"/>
      <c r="AN594" s="17"/>
      <c r="AO594" s="17"/>
      <c r="AP594" s="17"/>
      <c r="AQ594" s="17"/>
      <c r="AR594" s="17"/>
      <c r="AS594" s="17"/>
      <c r="AT594" s="17"/>
      <c r="AU594" s="17"/>
      <c r="AV594" s="17"/>
    </row>
    <row r="595" spans="1:48" ht="15.75" customHeight="1">
      <c r="A595" s="21" t="s">
        <v>53</v>
      </c>
      <c r="B595" s="23" t="s">
        <v>1692</v>
      </c>
      <c r="C595" s="22">
        <v>45881</v>
      </c>
      <c r="D595" s="23" t="s">
        <v>142</v>
      </c>
      <c r="E595" s="23" t="s">
        <v>157</v>
      </c>
      <c r="F595" s="21">
        <v>1</v>
      </c>
      <c r="G595" s="12">
        <f>VLOOKUP(E595,Precios!B$2:N$941,12,FALSE)</f>
        <v>11499.714937286204</v>
      </c>
      <c r="H595" s="12">
        <f t="shared" si="0"/>
        <v>11499.714937286204</v>
      </c>
      <c r="I595" s="23" t="s">
        <v>52</v>
      </c>
      <c r="J595" s="23" t="s">
        <v>61</v>
      </c>
      <c r="K595" s="24" t="s">
        <v>177</v>
      </c>
      <c r="L595" s="24">
        <v>169</v>
      </c>
      <c r="M595" s="12">
        <f t="shared" ref="M595:N595" si="600">G595/1.19</f>
        <v>9663.6259977195004</v>
      </c>
      <c r="N595" s="12">
        <f t="shared" si="600"/>
        <v>9663.6259977195004</v>
      </c>
      <c r="O595" s="12">
        <f t="shared" si="2"/>
        <v>1836.0889395667036</v>
      </c>
      <c r="P595" s="13"/>
      <c r="Q595" s="14">
        <f t="shared" si="3"/>
        <v>2025</v>
      </c>
      <c r="R595" s="15">
        <f>VLOOKUP(MONTH(C595),'Datos Maestros'!M$2:N$14,2,FALSE)</f>
        <v>45505</v>
      </c>
      <c r="S595" s="11" t="str">
        <f>VLOOKUP(E595,Precios!B$2:W$941,3,FALSE)</f>
        <v>Toalla Nova 70 mts</v>
      </c>
      <c r="T595" s="16">
        <f>VLOOKUP(E595,Precios!B$2:N$941,4,FALSE)*F595</f>
        <v>0</v>
      </c>
      <c r="U595" s="17"/>
      <c r="V595" s="12">
        <f>VLOOKUP(E595,Precios!B$2:N$941,13,FALSE)*F595</f>
        <v>2883.6259977194986</v>
      </c>
      <c r="W595" s="12">
        <f t="shared" si="4"/>
        <v>2883.6259977194986</v>
      </c>
      <c r="X595" s="12">
        <f>VLOOKUP(B595,'Datos Maestros'!$C$2:$D$7,2,FALSE)*V595</f>
        <v>0</v>
      </c>
      <c r="Y595" s="18">
        <f t="shared" si="5"/>
        <v>45880</v>
      </c>
      <c r="Z595" s="13" t="s">
        <v>39</v>
      </c>
      <c r="AA595" s="19" t="str">
        <f>VLOOKUP(D595,Clientes!$A$2:$J$486,9,FALSE)</f>
        <v>Frecuente</v>
      </c>
      <c r="AB595" s="13" t="str">
        <f>VLOOKUP(D595,Clientes!$A$2:$K$486,11,FALSE)</f>
        <v>Persona Natural</v>
      </c>
      <c r="AC595" s="13" t="str">
        <f>VLOOKUP(D595,Clientes!$A$2:$B$486,2,FALSE)</f>
        <v>Curso Amalia</v>
      </c>
      <c r="AD595" s="20"/>
      <c r="AE595" s="20"/>
      <c r="AF595" s="13" t="s">
        <v>40</v>
      </c>
      <c r="AG595" s="15">
        <f t="shared" si="6"/>
        <v>45505</v>
      </c>
      <c r="AH595" s="13" t="s">
        <v>41</v>
      </c>
      <c r="AI595" s="13" t="str">
        <f t="shared" si="7"/>
        <v>Papeleria</v>
      </c>
      <c r="AJ595" s="13" t="str">
        <f>VLOOKUP(E595,Precios!Z$2:AA$941,2,FALSE)</f>
        <v>Toalla Papel NOVA 70 metros</v>
      </c>
      <c r="AK595" s="14">
        <f>VLOOKUP(E595,Precios!Z$2:BB$941,3,FALSE)*F595</f>
        <v>-4</v>
      </c>
      <c r="AL595" s="17"/>
      <c r="AM595" s="17"/>
      <c r="AN595" s="17"/>
      <c r="AO595" s="17"/>
      <c r="AP595" s="17"/>
      <c r="AQ595" s="17"/>
      <c r="AR595" s="17"/>
      <c r="AS595" s="17"/>
      <c r="AT595" s="17"/>
      <c r="AU595" s="17"/>
      <c r="AV595" s="17"/>
    </row>
    <row r="596" spans="1:48" ht="15.75" customHeight="1">
      <c r="A596" s="21" t="s">
        <v>76</v>
      </c>
      <c r="B596" s="23" t="s">
        <v>1692</v>
      </c>
      <c r="C596" s="22">
        <v>45881</v>
      </c>
      <c r="D596" s="23" t="s">
        <v>142</v>
      </c>
      <c r="E596" s="23" t="s">
        <v>137</v>
      </c>
      <c r="F596" s="21">
        <v>1</v>
      </c>
      <c r="G596" s="12">
        <f>VLOOKUP(E596,Precios!B$2:N$941,12,FALSE)</f>
        <v>3500.0000000000005</v>
      </c>
      <c r="H596" s="12">
        <f t="shared" si="0"/>
        <v>3500.0000000000005</v>
      </c>
      <c r="I596" s="23" t="s">
        <v>52</v>
      </c>
      <c r="J596" s="23" t="s">
        <v>61</v>
      </c>
      <c r="K596" s="24" t="s">
        <v>177</v>
      </c>
      <c r="L596" s="24">
        <v>169</v>
      </c>
      <c r="M596" s="12">
        <f t="shared" ref="M596:N596" si="601">G596/1.19</f>
        <v>2941.1764705882356</v>
      </c>
      <c r="N596" s="12">
        <f t="shared" si="601"/>
        <v>2941.1764705882356</v>
      </c>
      <c r="O596" s="12">
        <f t="shared" si="2"/>
        <v>558.82352941176487</v>
      </c>
      <c r="P596" s="13"/>
      <c r="Q596" s="14">
        <f t="shared" si="3"/>
        <v>2025</v>
      </c>
      <c r="R596" s="15">
        <f>VLOOKUP(MONTH(C596),'Datos Maestros'!M$2:N$14,2,FALSE)</f>
        <v>45505</v>
      </c>
      <c r="S596" s="11" t="str">
        <f>VLOOKUP(E596,Precios!B$2:W$941,3,FALSE)</f>
        <v>Detergente Piel Sensible</v>
      </c>
      <c r="T596" s="16">
        <f>VLOOKUP(E596,Precios!B$2:N$941,4,FALSE)*F596</f>
        <v>5</v>
      </c>
      <c r="U596" s="17"/>
      <c r="V596" s="12">
        <f>VLOOKUP(E596,Precios!B$2:N$941,13,FALSE)*F596</f>
        <v>848.73949579831969</v>
      </c>
      <c r="W596" s="12">
        <f t="shared" si="4"/>
        <v>848.73949579831969</v>
      </c>
      <c r="X596" s="12">
        <f>VLOOKUP(B596,'Datos Maestros'!$C$2:$D$7,2,FALSE)*V596</f>
        <v>0</v>
      </c>
      <c r="Y596" s="18">
        <f t="shared" si="5"/>
        <v>45880</v>
      </c>
      <c r="Z596" s="13" t="s">
        <v>39</v>
      </c>
      <c r="AA596" s="19" t="str">
        <f>VLOOKUP(D596,Clientes!$A$2:$J$486,9,FALSE)</f>
        <v>Frecuente</v>
      </c>
      <c r="AB596" s="13" t="str">
        <f>VLOOKUP(D596,Clientes!$A$2:$K$486,11,FALSE)</f>
        <v>Persona Natural</v>
      </c>
      <c r="AC596" s="13" t="str">
        <f>VLOOKUP(D596,Clientes!$A$2:$B$486,2,FALSE)</f>
        <v>Curso Amalia</v>
      </c>
      <c r="AD596" s="20"/>
      <c r="AE596" s="20"/>
      <c r="AF596" s="13" t="s">
        <v>40</v>
      </c>
      <c r="AG596" s="15">
        <f t="shared" si="6"/>
        <v>45505</v>
      </c>
      <c r="AH596" s="13" t="s">
        <v>41</v>
      </c>
      <c r="AI596" s="13" t="str">
        <f t="shared" si="7"/>
        <v>Detergentes</v>
      </c>
      <c r="AJ596" s="13" t="str">
        <f>VLOOKUP(E596,Precios!Z$2:AA$941,2,FALSE)</f>
        <v>Detergente SPUM 5 Litros (Blanco)</v>
      </c>
      <c r="AK596" s="14">
        <f>VLOOKUP(E596,Precios!Z$2:BB$941,3,FALSE)*F596</f>
        <v>-1</v>
      </c>
      <c r="AL596" s="17"/>
      <c r="AM596" s="17"/>
      <c r="AN596" s="17"/>
      <c r="AO596" s="17"/>
      <c r="AP596" s="17"/>
      <c r="AQ596" s="17"/>
      <c r="AR596" s="17"/>
      <c r="AS596" s="17"/>
      <c r="AT596" s="17"/>
      <c r="AU596" s="17"/>
      <c r="AV596" s="17"/>
    </row>
    <row r="597" spans="1:48" ht="15.75" customHeight="1">
      <c r="A597" s="21" t="s">
        <v>43</v>
      </c>
      <c r="B597" s="23" t="s">
        <v>1692</v>
      </c>
      <c r="C597" s="22">
        <v>45881</v>
      </c>
      <c r="D597" s="23" t="s">
        <v>227</v>
      </c>
      <c r="E597" s="23" t="s">
        <v>45</v>
      </c>
      <c r="F597" s="21">
        <v>1</v>
      </c>
      <c r="G597" s="12">
        <f>VLOOKUP(E597,Precios!B$2:N$941,12,FALSE)</f>
        <v>8000.1831784723063</v>
      </c>
      <c r="H597" s="12">
        <f t="shared" si="0"/>
        <v>8000.1831784723063</v>
      </c>
      <c r="I597" s="23" t="s">
        <v>52</v>
      </c>
      <c r="J597" s="23" t="s">
        <v>61</v>
      </c>
      <c r="K597" s="24" t="s">
        <v>177</v>
      </c>
      <c r="L597" s="24">
        <v>169</v>
      </c>
      <c r="M597" s="12">
        <f t="shared" ref="M597:N597" si="602">G597/1.19</f>
        <v>6722.8430071195853</v>
      </c>
      <c r="N597" s="12">
        <f t="shared" si="602"/>
        <v>6722.8430071195853</v>
      </c>
      <c r="O597" s="12">
        <f t="shared" si="2"/>
        <v>1277.340171352721</v>
      </c>
      <c r="P597" s="13"/>
      <c r="Q597" s="14">
        <f t="shared" si="3"/>
        <v>2025</v>
      </c>
      <c r="R597" s="15">
        <f>VLOOKUP(MONTH(C597),'Datos Maestros'!M$2:N$14,2,FALSE)</f>
        <v>45505</v>
      </c>
      <c r="S597" s="11" t="str">
        <f>VLOOKUP(E597,Precios!B$2:W$941,3,FALSE)</f>
        <v>Huevos EXTRA</v>
      </c>
      <c r="T597" s="16">
        <f>VLOOKUP(E597,Precios!B$2:N$941,4,FALSE)*F597</f>
        <v>0</v>
      </c>
      <c r="U597" s="17"/>
      <c r="V597" s="12">
        <f>VLOOKUP(E597,Precios!B$2:N$941,13,FALSE)*F597</f>
        <v>1151.6230071195851</v>
      </c>
      <c r="W597" s="12">
        <f t="shared" si="4"/>
        <v>1151.6230071195851</v>
      </c>
      <c r="X597" s="12">
        <f>VLOOKUP(B597,'Datos Maestros'!$C$2:$D$7,2,FALSE)*V597</f>
        <v>0</v>
      </c>
      <c r="Y597" s="18">
        <f t="shared" si="5"/>
        <v>45880</v>
      </c>
      <c r="Z597" s="13" t="s">
        <v>39</v>
      </c>
      <c r="AA597" s="19" t="str">
        <f>VLOOKUP(D597,Clientes!$A$2:$J$486,9,FALSE)</f>
        <v>Frecuente</v>
      </c>
      <c r="AB597" s="13" t="str">
        <f>VLOOKUP(D597,Clientes!$A$2:$K$486,11,FALSE)</f>
        <v>Persona Natural</v>
      </c>
      <c r="AC597" s="13" t="str">
        <f>VLOOKUP(D597,Clientes!$A$2:$B$486,2,FALSE)</f>
        <v>Sector Santa Amalia</v>
      </c>
      <c r="AD597" s="20"/>
      <c r="AE597" s="20"/>
      <c r="AF597" s="13" t="s">
        <v>40</v>
      </c>
      <c r="AG597" s="15">
        <f t="shared" si="6"/>
        <v>45505</v>
      </c>
      <c r="AH597" s="13" t="s">
        <v>41</v>
      </c>
      <c r="AI597" s="13" t="str">
        <f t="shared" si="7"/>
        <v>Huevos</v>
      </c>
      <c r="AJ597" s="13" t="str">
        <f>VLOOKUP(E597,Precios!Z$2:AA$941,2,FALSE)</f>
        <v>Bandeja Huevos EXTRA</v>
      </c>
      <c r="AK597" s="14">
        <f>VLOOKUP(E597,Precios!Z$2:BB$941,3,FALSE)*F597</f>
        <v>-1</v>
      </c>
      <c r="AL597" s="17"/>
      <c r="AM597" s="17"/>
      <c r="AN597" s="17"/>
      <c r="AO597" s="17"/>
      <c r="AP597" s="17"/>
      <c r="AQ597" s="17"/>
      <c r="AR597" s="17"/>
      <c r="AS597" s="17"/>
      <c r="AT597" s="17"/>
      <c r="AU597" s="17"/>
      <c r="AV597" s="17"/>
    </row>
    <row r="598" spans="1:48" ht="15.75" customHeight="1">
      <c r="A598" s="21" t="s">
        <v>35</v>
      </c>
      <c r="B598" s="23" t="s">
        <v>1692</v>
      </c>
      <c r="C598" s="22">
        <v>45881</v>
      </c>
      <c r="D598" s="23" t="s">
        <v>42</v>
      </c>
      <c r="E598" s="23" t="s">
        <v>37</v>
      </c>
      <c r="F598" s="21">
        <v>1</v>
      </c>
      <c r="G598" s="12">
        <f>VLOOKUP(E598,Precios!B$2:N$941,12,FALSE)</f>
        <v>11000.014358944907</v>
      </c>
      <c r="H598" s="12">
        <f t="shared" si="0"/>
        <v>11000.014358944907</v>
      </c>
      <c r="I598" s="23" t="s">
        <v>52</v>
      </c>
      <c r="J598" s="23" t="s">
        <v>38</v>
      </c>
      <c r="K598" s="24" t="s">
        <v>177</v>
      </c>
      <c r="L598" s="24">
        <v>169</v>
      </c>
      <c r="M598" s="12">
        <f t="shared" ref="M598:N598" si="603">G598/1.19</f>
        <v>9243.7095453318543</v>
      </c>
      <c r="N598" s="12">
        <f t="shared" si="603"/>
        <v>9243.7095453318543</v>
      </c>
      <c r="O598" s="12">
        <f t="shared" si="2"/>
        <v>1756.3048136130528</v>
      </c>
      <c r="P598" s="13"/>
      <c r="Q598" s="14">
        <f t="shared" si="3"/>
        <v>2025</v>
      </c>
      <c r="R598" s="15">
        <f>VLOOKUP(MONTH(C598),'Datos Maestros'!M$2:N$14,2,FALSE)</f>
        <v>45505</v>
      </c>
      <c r="S598" s="11" t="str">
        <f>VLOOKUP(E598,Precios!B$2:W$941,3,FALSE)</f>
        <v>Queso Mantecoso</v>
      </c>
      <c r="T598" s="16">
        <f>VLOOKUP(E598,Precios!B$2:N$941,4,FALSE)*F598</f>
        <v>1000</v>
      </c>
      <c r="U598" s="17"/>
      <c r="V598" s="12">
        <f>VLOOKUP(E598,Precios!B$2:N$941,13,FALSE)*F598</f>
        <v>2806.1129066763915</v>
      </c>
      <c r="W598" s="12">
        <f t="shared" si="4"/>
        <v>2806.1129066763915</v>
      </c>
      <c r="X598" s="12">
        <f>VLOOKUP(B598,'Datos Maestros'!$C$2:$D$7,2,FALSE)*V598</f>
        <v>0</v>
      </c>
      <c r="Y598" s="18">
        <f t="shared" si="5"/>
        <v>45880</v>
      </c>
      <c r="Z598" s="13" t="s">
        <v>39</v>
      </c>
      <c r="AA598" s="19" t="str">
        <f>VLOOKUP(D598,Clientes!$A$2:$J$486,9,FALSE)</f>
        <v>Frecuente</v>
      </c>
      <c r="AB598" s="13" t="str">
        <f>VLOOKUP(D598,Clientes!$A$2:$K$486,11,FALSE)</f>
        <v>Persona Natural</v>
      </c>
      <c r="AC598" s="13" t="str">
        <f>VLOOKUP(D598,Clientes!$A$2:$B$486,2,FALSE)</f>
        <v>Sector Diego Portales</v>
      </c>
      <c r="AD598" s="20"/>
      <c r="AE598" s="20"/>
      <c r="AF598" s="13" t="s">
        <v>40</v>
      </c>
      <c r="AG598" s="15">
        <f t="shared" si="6"/>
        <v>45505</v>
      </c>
      <c r="AH598" s="13" t="s">
        <v>41</v>
      </c>
      <c r="AI598" s="13" t="str">
        <f t="shared" si="7"/>
        <v>Quesos</v>
      </c>
      <c r="AJ598" s="13" t="str">
        <f>VLOOKUP(E598,Precios!Z$2:AA$941,2,FALSE)</f>
        <v>Queso RUNCA Mantecoso</v>
      </c>
      <c r="AK598" s="14">
        <f>VLOOKUP(E598,Precios!Z$2:BB$941,3,FALSE)*F598</f>
        <v>-1</v>
      </c>
      <c r="AL598" s="17"/>
      <c r="AM598" s="17"/>
      <c r="AN598" s="17"/>
      <c r="AO598" s="17"/>
      <c r="AP598" s="17"/>
      <c r="AQ598" s="17"/>
      <c r="AR598" s="17"/>
      <c r="AS598" s="17"/>
      <c r="AT598" s="17"/>
      <c r="AU598" s="17"/>
      <c r="AV598" s="17"/>
    </row>
    <row r="599" spans="1:48" ht="15.75" customHeight="1">
      <c r="A599" s="21" t="s">
        <v>35</v>
      </c>
      <c r="B599" s="23" t="s">
        <v>1692</v>
      </c>
      <c r="C599" s="22">
        <v>45881</v>
      </c>
      <c r="D599" s="23" t="s">
        <v>323</v>
      </c>
      <c r="E599" s="23" t="s">
        <v>37</v>
      </c>
      <c r="F599" s="21">
        <v>1</v>
      </c>
      <c r="G599" s="12">
        <f>VLOOKUP(E599,Precios!B$2:N$941,12,FALSE)</f>
        <v>11000.014358944907</v>
      </c>
      <c r="H599" s="12">
        <f t="shared" si="0"/>
        <v>11000.014358944907</v>
      </c>
      <c r="I599" s="23" t="s">
        <v>52</v>
      </c>
      <c r="J599" s="23" t="s">
        <v>61</v>
      </c>
      <c r="K599" s="24" t="s">
        <v>177</v>
      </c>
      <c r="L599" s="24">
        <v>169</v>
      </c>
      <c r="M599" s="12">
        <f t="shared" ref="M599:N599" si="604">G599/1.19</f>
        <v>9243.7095453318543</v>
      </c>
      <c r="N599" s="12">
        <f t="shared" si="604"/>
        <v>9243.7095453318543</v>
      </c>
      <c r="O599" s="12">
        <f t="shared" si="2"/>
        <v>1756.3048136130528</v>
      </c>
      <c r="P599" s="13"/>
      <c r="Q599" s="14">
        <f t="shared" si="3"/>
        <v>2025</v>
      </c>
      <c r="R599" s="15">
        <f>VLOOKUP(MONTH(C599),'Datos Maestros'!M$2:N$14,2,FALSE)</f>
        <v>45505</v>
      </c>
      <c r="S599" s="11" t="str">
        <f>VLOOKUP(E599,Precios!B$2:W$941,3,FALSE)</f>
        <v>Queso Mantecoso</v>
      </c>
      <c r="T599" s="16">
        <f>VLOOKUP(E599,Precios!B$2:N$941,4,FALSE)*F599</f>
        <v>1000</v>
      </c>
      <c r="U599" s="17"/>
      <c r="V599" s="12">
        <f>VLOOKUP(E599,Precios!B$2:N$941,13,FALSE)*F599</f>
        <v>2806.1129066763915</v>
      </c>
      <c r="W599" s="12">
        <f t="shared" si="4"/>
        <v>2806.1129066763915</v>
      </c>
      <c r="X599" s="12">
        <f>VLOOKUP(B599,'Datos Maestros'!$C$2:$D$7,2,FALSE)*V599</f>
        <v>0</v>
      </c>
      <c r="Y599" s="18">
        <f t="shared" si="5"/>
        <v>45880</v>
      </c>
      <c r="Z599" s="13" t="s">
        <v>39</v>
      </c>
      <c r="AA599" s="19" t="str">
        <f>VLOOKUP(D599,Clientes!$A$2:$J$486,9,FALSE)</f>
        <v>Ocacional</v>
      </c>
      <c r="AB599" s="13" t="str">
        <f>VLOOKUP(D599,Clientes!$A$2:$K$486,11,FALSE)</f>
        <v>Persona Natural</v>
      </c>
      <c r="AC599" s="13" t="str">
        <f>VLOOKUP(D599,Clientes!$A$2:$B$486,2,FALSE)</f>
        <v>Diego Portales</v>
      </c>
      <c r="AD599" s="20"/>
      <c r="AE599" s="20"/>
      <c r="AF599" s="13" t="s">
        <v>40</v>
      </c>
      <c r="AG599" s="15">
        <f t="shared" si="6"/>
        <v>45505</v>
      </c>
      <c r="AH599" s="13" t="s">
        <v>41</v>
      </c>
      <c r="AI599" s="13" t="str">
        <f t="shared" si="7"/>
        <v>Quesos</v>
      </c>
      <c r="AJ599" s="13" t="str">
        <f>VLOOKUP(E599,Precios!Z$2:AA$941,2,FALSE)</f>
        <v>Queso RUNCA Mantecoso</v>
      </c>
      <c r="AK599" s="14">
        <f>VLOOKUP(E599,Precios!Z$2:BB$941,3,FALSE)*F599</f>
        <v>-1</v>
      </c>
      <c r="AL599" s="17"/>
      <c r="AM599" s="17"/>
      <c r="AN599" s="17"/>
      <c r="AO599" s="17"/>
      <c r="AP599" s="17"/>
      <c r="AQ599" s="17"/>
      <c r="AR599" s="17"/>
      <c r="AS599" s="17"/>
      <c r="AT599" s="17"/>
      <c r="AU599" s="17"/>
      <c r="AV599" s="17"/>
    </row>
    <row r="600" spans="1:48" ht="15.75" customHeight="1">
      <c r="A600" s="21" t="s">
        <v>56</v>
      </c>
      <c r="B600" s="23" t="s">
        <v>1692</v>
      </c>
      <c r="C600" s="22">
        <v>45881</v>
      </c>
      <c r="D600" s="23" t="s">
        <v>323</v>
      </c>
      <c r="E600" s="23" t="s">
        <v>67</v>
      </c>
      <c r="F600" s="21">
        <v>1</v>
      </c>
      <c r="G600" s="12">
        <f>VLOOKUP(E600,Precios!B$2:N$941,12,FALSE)</f>
        <v>7000.0000000000009</v>
      </c>
      <c r="H600" s="12">
        <f t="shared" si="0"/>
        <v>7000.0000000000009</v>
      </c>
      <c r="I600" s="23" t="s">
        <v>52</v>
      </c>
      <c r="J600" s="23" t="s">
        <v>61</v>
      </c>
      <c r="K600" s="24" t="s">
        <v>177</v>
      </c>
      <c r="L600" s="24">
        <v>169</v>
      </c>
      <c r="M600" s="12">
        <f t="shared" ref="M600:N600" si="605">G600/1.19</f>
        <v>5882.3529411764712</v>
      </c>
      <c r="N600" s="12">
        <f t="shared" si="605"/>
        <v>5882.3529411764712</v>
      </c>
      <c r="O600" s="12">
        <f t="shared" si="2"/>
        <v>1117.6470588235297</v>
      </c>
      <c r="P600" s="13"/>
      <c r="Q600" s="14">
        <f t="shared" si="3"/>
        <v>2025</v>
      </c>
      <c r="R600" s="15">
        <f>VLOOKUP(MONTH(C600),'Datos Maestros'!M$2:N$14,2,FALSE)</f>
        <v>45505</v>
      </c>
      <c r="S600" s="11" t="str">
        <f>VLOOKUP(E600,Precios!B$2:W$941,3,FALSE)</f>
        <v>Mantequilla</v>
      </c>
      <c r="T600" s="16">
        <f>VLOOKUP(E600,Precios!B$2:N$941,4,FALSE)*F600</f>
        <v>200</v>
      </c>
      <c r="U600" s="17"/>
      <c r="V600" s="12">
        <f>VLOOKUP(E600,Precios!B$2:N$941,13,FALSE)*F600</f>
        <v>1512.6050420168067</v>
      </c>
      <c r="W600" s="12">
        <f t="shared" si="4"/>
        <v>1512.6050420168067</v>
      </c>
      <c r="X600" s="12">
        <f>VLOOKUP(B600,'Datos Maestros'!$C$2:$D$7,2,FALSE)*V600</f>
        <v>0</v>
      </c>
      <c r="Y600" s="18">
        <f t="shared" si="5"/>
        <v>45880</v>
      </c>
      <c r="Z600" s="13" t="s">
        <v>39</v>
      </c>
      <c r="AA600" s="19" t="str">
        <f>VLOOKUP(D600,Clientes!$A$2:$J$486,9,FALSE)</f>
        <v>Ocacional</v>
      </c>
      <c r="AB600" s="13" t="str">
        <f>VLOOKUP(D600,Clientes!$A$2:$K$486,11,FALSE)</f>
        <v>Persona Natural</v>
      </c>
      <c r="AC600" s="13" t="str">
        <f>VLOOKUP(D600,Clientes!$A$2:$B$486,2,FALSE)</f>
        <v>Diego Portales</v>
      </c>
      <c r="AD600" s="20"/>
      <c r="AE600" s="20"/>
      <c r="AF600" s="13" t="s">
        <v>40</v>
      </c>
      <c r="AG600" s="15">
        <f t="shared" si="6"/>
        <v>45505</v>
      </c>
      <c r="AH600" s="13" t="s">
        <v>41</v>
      </c>
      <c r="AI600" s="13" t="str">
        <f t="shared" si="7"/>
        <v>Derivados</v>
      </c>
      <c r="AJ600" s="13" t="str">
        <f>VLOOKUP(E600,Precios!Z$2:AA$941,2,FALSE)</f>
        <v>Mantequilla RUMAY</v>
      </c>
      <c r="AK600" s="14">
        <f>VLOOKUP(E600,Precios!Z$2:BB$941,3,FALSE)*F600</f>
        <v>-3</v>
      </c>
      <c r="AL600" s="17"/>
      <c r="AM600" s="17"/>
      <c r="AN600" s="17"/>
      <c r="AO600" s="17"/>
      <c r="AP600" s="17"/>
      <c r="AQ600" s="17"/>
      <c r="AR600" s="17"/>
      <c r="AS600" s="17"/>
      <c r="AT600" s="17"/>
      <c r="AU600" s="17"/>
      <c r="AV600" s="17"/>
    </row>
    <row r="601" spans="1:48" ht="15.75" customHeight="1">
      <c r="A601" s="21" t="s">
        <v>56</v>
      </c>
      <c r="B601" s="23" t="s">
        <v>1692</v>
      </c>
      <c r="C601" s="22">
        <v>45881</v>
      </c>
      <c r="D601" s="23" t="s">
        <v>323</v>
      </c>
      <c r="E601" s="23" t="s">
        <v>204</v>
      </c>
      <c r="F601" s="21">
        <v>1</v>
      </c>
      <c r="G601" s="12">
        <f>VLOOKUP(E601,Precios!B$2:N$941,12,FALSE)</f>
        <v>1199.9357739242132</v>
      </c>
      <c r="H601" s="12">
        <f t="shared" si="0"/>
        <v>1199.9357739242132</v>
      </c>
      <c r="I601" s="23" t="s">
        <v>52</v>
      </c>
      <c r="J601" s="23" t="s">
        <v>61</v>
      </c>
      <c r="K601" s="24" t="s">
        <v>177</v>
      </c>
      <c r="L601" s="24">
        <v>169</v>
      </c>
      <c r="M601" s="12">
        <f t="shared" ref="M601:N601" si="606">G601/1.19</f>
        <v>1008.3493898522801</v>
      </c>
      <c r="N601" s="12">
        <f t="shared" si="606"/>
        <v>1008.3493898522801</v>
      </c>
      <c r="O601" s="12">
        <f t="shared" si="2"/>
        <v>191.58638407193314</v>
      </c>
      <c r="P601" s="13"/>
      <c r="Q601" s="14">
        <f t="shared" si="3"/>
        <v>2025</v>
      </c>
      <c r="R601" s="15">
        <f>VLOOKUP(MONTH(C601),'Datos Maestros'!M$2:N$14,2,FALSE)</f>
        <v>45505</v>
      </c>
      <c r="S601" s="11" t="str">
        <f>VLOOKUP(E601,Precios!B$2:W$941,3,FALSE)</f>
        <v>Trapero Algodon</v>
      </c>
      <c r="T601" s="16">
        <f>VLOOKUP(E601,Precios!B$2:N$941,4,FALSE)*F601</f>
        <v>0</v>
      </c>
      <c r="U601" s="17"/>
      <c r="V601" s="12">
        <f>VLOOKUP(E601,Precios!B$2:N$941,13,FALSE)*F601</f>
        <v>537.34938985228007</v>
      </c>
      <c r="W601" s="12">
        <f t="shared" si="4"/>
        <v>537.34938985228007</v>
      </c>
      <c r="X601" s="12">
        <f>VLOOKUP(B601,'Datos Maestros'!$C$2:$D$7,2,FALSE)*V601</f>
        <v>0</v>
      </c>
      <c r="Y601" s="18">
        <f t="shared" si="5"/>
        <v>45880</v>
      </c>
      <c r="Z601" s="13" t="s">
        <v>39</v>
      </c>
      <c r="AA601" s="19" t="str">
        <f>VLOOKUP(D601,Clientes!$A$2:$J$486,9,FALSE)</f>
        <v>Ocacional</v>
      </c>
      <c r="AB601" s="13" t="str">
        <f>VLOOKUP(D601,Clientes!$A$2:$K$486,11,FALSE)</f>
        <v>Persona Natural</v>
      </c>
      <c r="AC601" s="13" t="str">
        <f>VLOOKUP(D601,Clientes!$A$2:$B$486,2,FALSE)</f>
        <v>Diego Portales</v>
      </c>
      <c r="AD601" s="20"/>
      <c r="AE601" s="20"/>
      <c r="AF601" s="13" t="s">
        <v>40</v>
      </c>
      <c r="AG601" s="15">
        <f t="shared" si="6"/>
        <v>45505</v>
      </c>
      <c r="AH601" s="13" t="s">
        <v>41</v>
      </c>
      <c r="AI601" s="13" t="str">
        <f t="shared" si="7"/>
        <v>Derivados</v>
      </c>
      <c r="AJ601" s="13" t="str">
        <f>VLOOKUP(E601,Precios!Z$2:AA$941,2,FALSE)</f>
        <v>Trapero Algodón TEDDY</v>
      </c>
      <c r="AK601" s="14">
        <f>VLOOKUP(E601,Precios!Z$2:BB$941,3,FALSE)*F601</f>
        <v>-1</v>
      </c>
      <c r="AL601" s="17"/>
      <c r="AM601" s="17"/>
      <c r="AN601" s="17"/>
      <c r="AO601" s="17"/>
      <c r="AP601" s="17"/>
      <c r="AQ601" s="17"/>
      <c r="AR601" s="17"/>
      <c r="AS601" s="17"/>
      <c r="AT601" s="17"/>
      <c r="AU601" s="17"/>
      <c r="AV601" s="17"/>
    </row>
    <row r="602" spans="1:48" ht="15.75" customHeight="1">
      <c r="A602" s="21" t="s">
        <v>56</v>
      </c>
      <c r="B602" s="23" t="s">
        <v>1692</v>
      </c>
      <c r="C602" s="22">
        <v>45881</v>
      </c>
      <c r="D602" s="23" t="s">
        <v>323</v>
      </c>
      <c r="E602" s="23" t="s">
        <v>211</v>
      </c>
      <c r="F602" s="21">
        <v>1</v>
      </c>
      <c r="G602" s="26">
        <v>-1600</v>
      </c>
      <c r="H602" s="12">
        <f t="shared" si="0"/>
        <v>-1600</v>
      </c>
      <c r="I602" s="23" t="s">
        <v>52</v>
      </c>
      <c r="J602" s="23" t="s">
        <v>61</v>
      </c>
      <c r="K602" s="24" t="s">
        <v>177</v>
      </c>
      <c r="L602" s="24">
        <v>169</v>
      </c>
      <c r="M602" s="12">
        <f t="shared" ref="M602:N602" si="607">G602/1.19</f>
        <v>-1344.5378151260504</v>
      </c>
      <c r="N602" s="12">
        <f t="shared" si="607"/>
        <v>-1344.5378151260504</v>
      </c>
      <c r="O602" s="12">
        <f t="shared" si="2"/>
        <v>-255.46218487394958</v>
      </c>
      <c r="P602" s="13"/>
      <c r="Q602" s="14">
        <f t="shared" si="3"/>
        <v>2025</v>
      </c>
      <c r="R602" s="15">
        <f>VLOOKUP(MONTH(C602),'Datos Maestros'!M$2:N$14,2,FALSE)</f>
        <v>45505</v>
      </c>
      <c r="S602" s="11" t="str">
        <f>VLOOKUP(E602,Precios!B$2:W$941,3,FALSE)</f>
        <v>Transporte</v>
      </c>
      <c r="T602" s="16">
        <f>VLOOKUP(E602,Precios!B$2:N$941,4,FALSE)*F602</f>
        <v>0</v>
      </c>
      <c r="U602" s="17"/>
      <c r="V602" s="26">
        <v>-1600</v>
      </c>
      <c r="W602" s="12">
        <f t="shared" si="4"/>
        <v>-1600</v>
      </c>
      <c r="X602" s="12">
        <f>VLOOKUP(B602,'Datos Maestros'!$C$2:$D$7,2,FALSE)*V602</f>
        <v>0</v>
      </c>
      <c r="Y602" s="18">
        <f t="shared" si="5"/>
        <v>45880</v>
      </c>
      <c r="Z602" s="13" t="s">
        <v>39</v>
      </c>
      <c r="AA602" s="19" t="str">
        <f>VLOOKUP(D602,Clientes!$A$2:$J$486,9,FALSE)</f>
        <v>Ocacional</v>
      </c>
      <c r="AB602" s="13" t="str">
        <f>VLOOKUP(D602,Clientes!$A$2:$K$486,11,FALSE)</f>
        <v>Persona Natural</v>
      </c>
      <c r="AC602" s="13" t="str">
        <f>VLOOKUP(D602,Clientes!$A$2:$B$486,2,FALSE)</f>
        <v>Diego Portales</v>
      </c>
      <c r="AD602" s="20"/>
      <c r="AE602" s="20"/>
      <c r="AF602" s="13" t="s">
        <v>40</v>
      </c>
      <c r="AG602" s="15">
        <f t="shared" si="6"/>
        <v>45505</v>
      </c>
      <c r="AH602" s="13" t="s">
        <v>41</v>
      </c>
      <c r="AI602" s="13" t="str">
        <f t="shared" si="7"/>
        <v>Derivados</v>
      </c>
      <c r="AJ602" s="13" t="str">
        <f>VLOOKUP(E602,Precios!Z$2:AA$941,2,FALSE)</f>
        <v>Transporte</v>
      </c>
      <c r="AK602" s="14">
        <f>VLOOKUP(E602,Precios!Z$2:BB$941,3,FALSE)*F602</f>
        <v>-1</v>
      </c>
      <c r="AL602" s="17"/>
      <c r="AM602" s="17"/>
      <c r="AN602" s="17"/>
      <c r="AO602" s="17"/>
      <c r="AP602" s="17"/>
      <c r="AQ602" s="17"/>
      <c r="AR602" s="17"/>
      <c r="AS602" s="17"/>
      <c r="AT602" s="17"/>
      <c r="AU602" s="17"/>
      <c r="AV602" s="17"/>
    </row>
    <row r="603" spans="1:48" ht="15.75" customHeight="1">
      <c r="A603" s="21" t="s">
        <v>53</v>
      </c>
      <c r="B603" s="23" t="s">
        <v>1692</v>
      </c>
      <c r="C603" s="22">
        <v>45881</v>
      </c>
      <c r="D603" s="23" t="s">
        <v>324</v>
      </c>
      <c r="E603" s="23" t="s">
        <v>254</v>
      </c>
      <c r="F603" s="21">
        <v>1</v>
      </c>
      <c r="G603" s="12">
        <f>VLOOKUP(E603,Precios!B$2:N$941,12,FALSE)</f>
        <v>18499.838306629426</v>
      </c>
      <c r="H603" s="12">
        <f t="shared" si="0"/>
        <v>18499.838306629426</v>
      </c>
      <c r="I603" s="23" t="s">
        <v>52</v>
      </c>
      <c r="J603" s="23" t="s">
        <v>61</v>
      </c>
      <c r="K603" s="24" t="s">
        <v>86</v>
      </c>
      <c r="L603" s="24">
        <v>104</v>
      </c>
      <c r="M603" s="12">
        <f t="shared" ref="M603:N603" si="608">G603/1.19</f>
        <v>15546.082610612964</v>
      </c>
      <c r="N603" s="12">
        <f t="shared" si="608"/>
        <v>15546.082610612964</v>
      </c>
      <c r="O603" s="12">
        <f t="shared" si="2"/>
        <v>2953.755696016462</v>
      </c>
      <c r="P603" s="13"/>
      <c r="Q603" s="14">
        <f t="shared" si="3"/>
        <v>2025</v>
      </c>
      <c r="R603" s="15">
        <f>VLOOKUP(MONTH(C603),'Datos Maestros'!M$2:N$14,2,FALSE)</f>
        <v>45505</v>
      </c>
      <c r="S603" s="11" t="str">
        <f>VLOOKUP(E603,Precios!B$2:W$941,3,FALSE)</f>
        <v>Toalla Papel SWAN</v>
      </c>
      <c r="T603" s="16">
        <f>VLOOKUP(E603,Precios!B$2:N$941,4,FALSE)*F603</f>
        <v>100</v>
      </c>
      <c r="U603" s="17"/>
      <c r="V603" s="12">
        <f>VLOOKUP(E603,Precios!B$2:N$941,13,FALSE)*F603</f>
        <v>4970.0826106129643</v>
      </c>
      <c r="W603" s="12">
        <f t="shared" si="4"/>
        <v>4970.0826106129643</v>
      </c>
      <c r="X603" s="12">
        <f>VLOOKUP(B603,'Datos Maestros'!$C$2:$D$7,2,FALSE)*V603</f>
        <v>0</v>
      </c>
      <c r="Y603" s="18">
        <f t="shared" si="5"/>
        <v>45880</v>
      </c>
      <c r="Z603" s="13" t="s">
        <v>39</v>
      </c>
      <c r="AA603" s="19" t="str">
        <f>VLOOKUP(D603,Clientes!$A$2:$J$486,9,FALSE)</f>
        <v>Frecuente</v>
      </c>
      <c r="AB603" s="13" t="str">
        <f>VLOOKUP(D603,Clientes!$A$2:$K$486,11,FALSE)</f>
        <v>Empresa</v>
      </c>
      <c r="AC603" s="13" t="str">
        <f>VLOOKUP(D603,Clientes!$A$2:$B$486,2,FALSE)</f>
        <v>Jardin de la viña</v>
      </c>
      <c r="AD603" s="20"/>
      <c r="AE603" s="20"/>
      <c r="AF603" s="13" t="s">
        <v>40</v>
      </c>
      <c r="AG603" s="15">
        <f t="shared" si="6"/>
        <v>45505</v>
      </c>
      <c r="AH603" s="13" t="s">
        <v>41</v>
      </c>
      <c r="AI603" s="13" t="str">
        <f t="shared" si="7"/>
        <v>Papeleria</v>
      </c>
      <c r="AJ603" s="13" t="str">
        <f>VLOOKUP(E603,Precios!Z$2:AA$941,2,FALSE)</f>
        <v>Toalla Papel SWAN D/H NARANJA 100 metros</v>
      </c>
      <c r="AK603" s="14">
        <f>VLOOKUP(E603,Precios!Z$2:BB$941,3,FALSE)*F603</f>
        <v>-6</v>
      </c>
      <c r="AL603" s="17"/>
      <c r="AM603" s="17"/>
      <c r="AN603" s="17"/>
      <c r="AO603" s="17"/>
      <c r="AP603" s="17"/>
      <c r="AQ603" s="17"/>
      <c r="AR603" s="17"/>
      <c r="AS603" s="17"/>
      <c r="AT603" s="17"/>
      <c r="AU603" s="17"/>
      <c r="AV603" s="17"/>
    </row>
    <row r="604" spans="1:48" ht="15.75" customHeight="1">
      <c r="A604" s="21" t="s">
        <v>47</v>
      </c>
      <c r="B604" s="23" t="s">
        <v>1692</v>
      </c>
      <c r="C604" s="22">
        <v>45881</v>
      </c>
      <c r="D604" s="23" t="s">
        <v>324</v>
      </c>
      <c r="E604" s="23" t="s">
        <v>94</v>
      </c>
      <c r="F604" s="21">
        <v>1</v>
      </c>
      <c r="G604" s="12">
        <f>VLOOKUP(E604,Precios!B$2:N$941,12,FALSE)</f>
        <v>1650.3649635036495</v>
      </c>
      <c r="H604" s="12">
        <f t="shared" si="0"/>
        <v>1650.3649635036495</v>
      </c>
      <c r="I604" s="23" t="s">
        <v>52</v>
      </c>
      <c r="J604" s="23" t="s">
        <v>61</v>
      </c>
      <c r="K604" s="24" t="s">
        <v>86</v>
      </c>
      <c r="L604" s="24">
        <v>104</v>
      </c>
      <c r="M604" s="12">
        <f t="shared" ref="M604:N604" si="609">G604/1.19</f>
        <v>1386.861313868613</v>
      </c>
      <c r="N604" s="12">
        <f t="shared" si="609"/>
        <v>1386.861313868613</v>
      </c>
      <c r="O604" s="12">
        <f t="shared" si="2"/>
        <v>263.50364963503648</v>
      </c>
      <c r="P604" s="13"/>
      <c r="Q604" s="14">
        <f t="shared" si="3"/>
        <v>2025</v>
      </c>
      <c r="R604" s="15">
        <f>VLOOKUP(MONTH(C604),'Datos Maestros'!M$2:N$14,2,FALSE)</f>
        <v>45505</v>
      </c>
      <c r="S604" s="11" t="str">
        <f>VLOOKUP(E604,Precios!B$2:W$941,3,FALSE)</f>
        <v>Jabon Liquido</v>
      </c>
      <c r="T604" s="16">
        <f>VLOOKUP(E604,Precios!B$2:N$941,4,FALSE)*F604</f>
        <v>0</v>
      </c>
      <c r="U604" s="17"/>
      <c r="V604" s="12">
        <f>VLOOKUP(E604,Precios!B$2:N$941,13,FALSE)*F604</f>
        <v>436.86131386861302</v>
      </c>
      <c r="W604" s="12">
        <f t="shared" si="4"/>
        <v>436.86131386861302</v>
      </c>
      <c r="X604" s="12">
        <f>VLOOKUP(B604,'Datos Maestros'!$C$2:$D$7,2,FALSE)*V604</f>
        <v>0</v>
      </c>
      <c r="Y604" s="18">
        <f t="shared" si="5"/>
        <v>45880</v>
      </c>
      <c r="Z604" s="13" t="s">
        <v>39</v>
      </c>
      <c r="AA604" s="19" t="str">
        <f>VLOOKUP(D604,Clientes!$A$2:$J$486,9,FALSE)</f>
        <v>Frecuente</v>
      </c>
      <c r="AB604" s="13" t="str">
        <f>VLOOKUP(D604,Clientes!$A$2:$K$486,11,FALSE)</f>
        <v>Empresa</v>
      </c>
      <c r="AC604" s="13" t="str">
        <f>VLOOKUP(D604,Clientes!$A$2:$B$486,2,FALSE)</f>
        <v>Jardin de la viña</v>
      </c>
      <c r="AD604" s="20"/>
      <c r="AE604" s="20"/>
      <c r="AF604" s="13" t="s">
        <v>40</v>
      </c>
      <c r="AG604" s="15">
        <f t="shared" si="6"/>
        <v>45505</v>
      </c>
      <c r="AH604" s="13" t="s">
        <v>41</v>
      </c>
      <c r="AI604" s="13" t="str">
        <f t="shared" si="7"/>
        <v>Articulos de Aseo</v>
      </c>
      <c r="AJ604" s="13" t="str">
        <f>VLOOKUP(E604,Precios!Z$2:AA$941,2,FALSE)</f>
        <v>Jabón Lìquido BALLERINA</v>
      </c>
      <c r="AK604" s="14">
        <f>VLOOKUP(E604,Precios!Z$2:BB$941,3,FALSE)*F604</f>
        <v>-3</v>
      </c>
      <c r="AL604" s="17"/>
      <c r="AM604" s="17"/>
      <c r="AN604" s="17"/>
      <c r="AO604" s="17"/>
      <c r="AP604" s="17"/>
      <c r="AQ604" s="17"/>
      <c r="AR604" s="17"/>
      <c r="AS604" s="17"/>
      <c r="AT604" s="17"/>
      <c r="AU604" s="17"/>
      <c r="AV604" s="17"/>
    </row>
    <row r="605" spans="1:48" ht="15.75" customHeight="1">
      <c r="A605" s="21" t="s">
        <v>76</v>
      </c>
      <c r="B605" s="23" t="s">
        <v>1692</v>
      </c>
      <c r="C605" s="22">
        <v>45881</v>
      </c>
      <c r="D605" s="23" t="s">
        <v>324</v>
      </c>
      <c r="E605" s="23" t="s">
        <v>325</v>
      </c>
      <c r="F605" s="21">
        <v>1</v>
      </c>
      <c r="G605" s="12">
        <f>VLOOKUP(E605,Precios!B$2:N$941,12,FALSE)</f>
        <v>7000.3784806704516</v>
      </c>
      <c r="H605" s="12">
        <f t="shared" si="0"/>
        <v>7000.3784806704516</v>
      </c>
      <c r="I605" s="23" t="s">
        <v>52</v>
      </c>
      <c r="J605" s="23" t="s">
        <v>61</v>
      </c>
      <c r="K605" s="24" t="s">
        <v>86</v>
      </c>
      <c r="L605" s="24">
        <v>104</v>
      </c>
      <c r="M605" s="12">
        <f t="shared" ref="M605:N605" si="610">G605/1.19</f>
        <v>5882.6709921600441</v>
      </c>
      <c r="N605" s="12">
        <f t="shared" si="610"/>
        <v>5882.6709921600441</v>
      </c>
      <c r="O605" s="12">
        <f t="shared" si="2"/>
        <v>1117.7074885104075</v>
      </c>
      <c r="P605" s="13"/>
      <c r="Q605" s="14">
        <f t="shared" si="3"/>
        <v>2025</v>
      </c>
      <c r="R605" s="15">
        <f>VLOOKUP(MONTH(C605),'Datos Maestros'!M$2:N$14,2,FALSE)</f>
        <v>45505</v>
      </c>
      <c r="S605" s="11" t="str">
        <f>VLOOKUP(E605,Precios!B$2:W$941,3,FALSE)</f>
        <v>Lavaloza</v>
      </c>
      <c r="T605" s="16">
        <f>VLOOKUP(E605,Precios!B$2:N$941,4,FALSE)*F605</f>
        <v>0</v>
      </c>
      <c r="U605" s="17"/>
      <c r="V605" s="12">
        <f>VLOOKUP(E605,Precios!B$2:N$941,13,FALSE)*F605</f>
        <v>1530.6709921600432</v>
      </c>
      <c r="W605" s="12">
        <f t="shared" si="4"/>
        <v>1530.6709921600432</v>
      </c>
      <c r="X605" s="12">
        <f>VLOOKUP(B605,'Datos Maestros'!$C$2:$D$7,2,FALSE)*V605</f>
        <v>0</v>
      </c>
      <c r="Y605" s="18">
        <f t="shared" si="5"/>
        <v>45880</v>
      </c>
      <c r="Z605" s="13" t="s">
        <v>39</v>
      </c>
      <c r="AA605" s="19" t="str">
        <f>VLOOKUP(D605,Clientes!$A$2:$J$486,9,FALSE)</f>
        <v>Frecuente</v>
      </c>
      <c r="AB605" s="13" t="str">
        <f>VLOOKUP(D605,Clientes!$A$2:$K$486,11,FALSE)</f>
        <v>Empresa</v>
      </c>
      <c r="AC605" s="13" t="str">
        <f>VLOOKUP(D605,Clientes!$A$2:$B$486,2,FALSE)</f>
        <v>Jardin de la viña</v>
      </c>
      <c r="AD605" s="20"/>
      <c r="AE605" s="20"/>
      <c r="AF605" s="13" t="s">
        <v>40</v>
      </c>
      <c r="AG605" s="15">
        <f t="shared" si="6"/>
        <v>45505</v>
      </c>
      <c r="AH605" s="13" t="s">
        <v>41</v>
      </c>
      <c r="AI605" s="13" t="str">
        <f t="shared" si="7"/>
        <v>Detergentes</v>
      </c>
      <c r="AJ605" s="13" t="str">
        <f>VLOOKUP(E605,Precios!Z$2:AA$941,2,FALSE)</f>
        <v>Lavaloza MAGISTRAL 500 ml</v>
      </c>
      <c r="AK605" s="14">
        <f>VLOOKUP(E605,Precios!Z$2:BB$941,3,FALSE)*F605</f>
        <v>-2</v>
      </c>
      <c r="AL605" s="17"/>
      <c r="AM605" s="17"/>
      <c r="AN605" s="17"/>
      <c r="AO605" s="17"/>
      <c r="AP605" s="17"/>
      <c r="AQ605" s="17"/>
      <c r="AR605" s="17"/>
      <c r="AS605" s="17"/>
      <c r="AT605" s="17"/>
      <c r="AU605" s="17"/>
      <c r="AV605" s="17"/>
    </row>
    <row r="606" spans="1:48" ht="15.75" customHeight="1">
      <c r="A606" s="21" t="s">
        <v>47</v>
      </c>
      <c r="B606" s="23" t="s">
        <v>1692</v>
      </c>
      <c r="C606" s="22">
        <v>45881</v>
      </c>
      <c r="D606" s="23" t="s">
        <v>324</v>
      </c>
      <c r="E606" s="23" t="s">
        <v>306</v>
      </c>
      <c r="F606" s="21">
        <v>4</v>
      </c>
      <c r="G606" s="12">
        <f>VLOOKUP(E606,Precios!B$2:N$941,12,FALSE)</f>
        <v>8000.0000000000009</v>
      </c>
      <c r="H606" s="12">
        <f t="shared" si="0"/>
        <v>32000.000000000004</v>
      </c>
      <c r="I606" s="23" t="s">
        <v>52</v>
      </c>
      <c r="J606" s="23" t="s">
        <v>61</v>
      </c>
      <c r="K606" s="24" t="s">
        <v>86</v>
      </c>
      <c r="L606" s="24">
        <v>104</v>
      </c>
      <c r="M606" s="12">
        <f t="shared" ref="M606:N606" si="611">G606/1.19</f>
        <v>6722.6890756302528</v>
      </c>
      <c r="N606" s="12">
        <f t="shared" si="611"/>
        <v>26890.756302521011</v>
      </c>
      <c r="O606" s="12">
        <f t="shared" si="2"/>
        <v>5109.2436974789925</v>
      </c>
      <c r="P606" s="13"/>
      <c r="Q606" s="14">
        <f t="shared" si="3"/>
        <v>2025</v>
      </c>
      <c r="R606" s="15">
        <f>VLOOKUP(MONTH(C606),'Datos Maestros'!M$2:N$14,2,FALSE)</f>
        <v>45505</v>
      </c>
      <c r="S606" s="11" t="str">
        <f>VLOOKUP(E606,Precios!B$2:W$941,3,FALSE)</f>
        <v>Trapero Húmedo</v>
      </c>
      <c r="T606" s="16">
        <f>VLOOKUP(E606,Precios!B$2:N$941,4,FALSE)*F606</f>
        <v>0</v>
      </c>
      <c r="U606" s="17"/>
      <c r="V606" s="12">
        <f>VLOOKUP(E606,Precios!B$2:N$941,13,FALSE)*F606</f>
        <v>7126.0504201680706</v>
      </c>
      <c r="W606" s="12">
        <f t="shared" si="4"/>
        <v>7126.0504201680706</v>
      </c>
      <c r="X606" s="12">
        <f>VLOOKUP(B606,'Datos Maestros'!$C$2:$D$7,2,FALSE)*V606</f>
        <v>0</v>
      </c>
      <c r="Y606" s="18">
        <f t="shared" si="5"/>
        <v>45880</v>
      </c>
      <c r="Z606" s="13" t="s">
        <v>39</v>
      </c>
      <c r="AA606" s="19" t="str">
        <f>VLOOKUP(D606,Clientes!$A$2:$J$486,9,FALSE)</f>
        <v>Frecuente</v>
      </c>
      <c r="AB606" s="13" t="str">
        <f>VLOOKUP(D606,Clientes!$A$2:$K$486,11,FALSE)</f>
        <v>Empresa</v>
      </c>
      <c r="AC606" s="13" t="str">
        <f>VLOOKUP(D606,Clientes!$A$2:$B$486,2,FALSE)</f>
        <v>Jardin de la viña</v>
      </c>
      <c r="AD606" s="20"/>
      <c r="AE606" s="20"/>
      <c r="AF606" s="13" t="s">
        <v>40</v>
      </c>
      <c r="AG606" s="15">
        <f t="shared" si="6"/>
        <v>45505</v>
      </c>
      <c r="AH606" s="13" t="s">
        <v>41</v>
      </c>
      <c r="AI606" s="13" t="str">
        <f t="shared" si="7"/>
        <v>Articulos de Aseo</v>
      </c>
      <c r="AJ606" s="13" t="str">
        <f>VLOOKUP(E606,Precios!Z$2:AA$941,2,FALSE)</f>
        <v>Traperos Humedos VIRGINIA</v>
      </c>
      <c r="AK606" s="14">
        <f>VLOOKUP(E606,Precios!Z$2:BB$941,3,FALSE)*F606</f>
        <v>-12</v>
      </c>
      <c r="AL606" s="17"/>
      <c r="AM606" s="17"/>
      <c r="AN606" s="17"/>
      <c r="AO606" s="17"/>
      <c r="AP606" s="17"/>
      <c r="AQ606" s="17"/>
      <c r="AR606" s="17"/>
      <c r="AS606" s="17"/>
      <c r="AT606" s="17"/>
      <c r="AU606" s="17"/>
      <c r="AV606" s="17"/>
    </row>
    <row r="607" spans="1:48" ht="15.75" customHeight="1">
      <c r="A607" s="21" t="s">
        <v>47</v>
      </c>
      <c r="B607" s="23" t="s">
        <v>1692</v>
      </c>
      <c r="C607" s="22">
        <v>45881</v>
      </c>
      <c r="D607" s="23" t="s">
        <v>324</v>
      </c>
      <c r="E607" s="23" t="s">
        <v>155</v>
      </c>
      <c r="F607" s="21">
        <v>2</v>
      </c>
      <c r="G607" s="12">
        <f>VLOOKUP(E607,Precios!B$2:N$941,12,FALSE)</f>
        <v>3400</v>
      </c>
      <c r="H607" s="12">
        <f t="shared" si="0"/>
        <v>6800</v>
      </c>
      <c r="I607" s="23" t="s">
        <v>52</v>
      </c>
      <c r="J607" s="23" t="s">
        <v>61</v>
      </c>
      <c r="K607" s="24" t="s">
        <v>86</v>
      </c>
      <c r="L607" s="24">
        <v>104</v>
      </c>
      <c r="M607" s="12">
        <f t="shared" ref="M607:N607" si="612">G607/1.19</f>
        <v>2857.1428571428573</v>
      </c>
      <c r="N607" s="12">
        <f t="shared" si="612"/>
        <v>5714.2857142857147</v>
      </c>
      <c r="O607" s="12">
        <f t="shared" si="2"/>
        <v>1085.7142857142853</v>
      </c>
      <c r="P607" s="13"/>
      <c r="Q607" s="14">
        <f t="shared" si="3"/>
        <v>2025</v>
      </c>
      <c r="R607" s="15">
        <f>VLOOKUP(MONTH(C607),'Datos Maestros'!M$2:N$14,2,FALSE)</f>
        <v>45505</v>
      </c>
      <c r="S607" s="11" t="str">
        <f>VLOOKUP(E607,Precios!B$2:W$941,3,FALSE)</f>
        <v>Bolsa Basura</v>
      </c>
      <c r="T607" s="16">
        <f>VLOOKUP(E607,Precios!B$2:N$941,4,FALSE)*F607</f>
        <v>0</v>
      </c>
      <c r="U607" s="17"/>
      <c r="V607" s="12">
        <f>VLOOKUP(E607,Precios!B$2:N$941,13,FALSE)*F607</f>
        <v>2510.2857142857147</v>
      </c>
      <c r="W607" s="12">
        <f t="shared" si="4"/>
        <v>2510.2857142857147</v>
      </c>
      <c r="X607" s="12">
        <f>VLOOKUP(B607,'Datos Maestros'!$C$2:$D$7,2,FALSE)*V607</f>
        <v>0</v>
      </c>
      <c r="Y607" s="18">
        <f t="shared" si="5"/>
        <v>45880</v>
      </c>
      <c r="Z607" s="13" t="s">
        <v>39</v>
      </c>
      <c r="AA607" s="19" t="str">
        <f>VLOOKUP(D607,Clientes!$A$2:$J$486,9,FALSE)</f>
        <v>Frecuente</v>
      </c>
      <c r="AB607" s="13" t="str">
        <f>VLOOKUP(D607,Clientes!$A$2:$K$486,11,FALSE)</f>
        <v>Empresa</v>
      </c>
      <c r="AC607" s="13" t="str">
        <f>VLOOKUP(D607,Clientes!$A$2:$B$486,2,FALSE)</f>
        <v>Jardin de la viña</v>
      </c>
      <c r="AD607" s="20"/>
      <c r="AE607" s="20"/>
      <c r="AF607" s="13" t="s">
        <v>40</v>
      </c>
      <c r="AG607" s="15">
        <f t="shared" si="6"/>
        <v>45505</v>
      </c>
      <c r="AH607" s="13" t="s">
        <v>41</v>
      </c>
      <c r="AI607" s="13" t="str">
        <f t="shared" si="7"/>
        <v>Articulos de Aseo</v>
      </c>
      <c r="AJ607" s="13" t="str">
        <f>VLOOKUP(E607,Precios!Z$2:AA$941,2,FALSE)</f>
        <v xml:space="preserve">Bolsas Basura TEDDY 50x70 </v>
      </c>
      <c r="AK607" s="14">
        <f>VLOOKUP(E607,Precios!Z$2:BB$941,3,FALSE)*F607</f>
        <v>-12</v>
      </c>
      <c r="AL607" s="17"/>
      <c r="AM607" s="17"/>
      <c r="AN607" s="17"/>
      <c r="AO607" s="17"/>
      <c r="AP607" s="17"/>
      <c r="AQ607" s="17"/>
      <c r="AR607" s="17"/>
      <c r="AS607" s="17"/>
      <c r="AT607" s="17"/>
      <c r="AU607" s="17"/>
      <c r="AV607" s="17"/>
    </row>
    <row r="608" spans="1:48" ht="15.75" customHeight="1">
      <c r="A608" s="21" t="s">
        <v>53</v>
      </c>
      <c r="B608" s="23" t="s">
        <v>1692</v>
      </c>
      <c r="C608" s="22">
        <v>45881</v>
      </c>
      <c r="D608" s="23" t="s">
        <v>324</v>
      </c>
      <c r="E608" s="23" t="s">
        <v>55</v>
      </c>
      <c r="F608" s="21">
        <v>1</v>
      </c>
      <c r="G608" s="12">
        <f>VLOOKUP(E608,Precios!B$2:N$941,12,FALSE)</f>
        <v>20899.91124296327</v>
      </c>
      <c r="H608" s="12">
        <f t="shared" si="0"/>
        <v>20899.91124296327</v>
      </c>
      <c r="I608" s="23" t="s">
        <v>52</v>
      </c>
      <c r="J608" s="23" t="s">
        <v>61</v>
      </c>
      <c r="K608" s="24" t="s">
        <v>86</v>
      </c>
      <c r="L608" s="24">
        <v>104</v>
      </c>
      <c r="M608" s="12">
        <f t="shared" ref="M608:N608" si="613">G608/1.19</f>
        <v>17562.950624338882</v>
      </c>
      <c r="N608" s="12">
        <f t="shared" si="613"/>
        <v>17562.950624338882</v>
      </c>
      <c r="O608" s="12">
        <f t="shared" si="2"/>
        <v>3336.9606186243873</v>
      </c>
      <c r="P608" s="13"/>
      <c r="Q608" s="14">
        <f t="shared" si="3"/>
        <v>2025</v>
      </c>
      <c r="R608" s="15">
        <f>VLOOKUP(MONTH(C608),'Datos Maestros'!M$2:N$14,2,FALSE)</f>
        <v>45505</v>
      </c>
      <c r="S608" s="11" t="str">
        <f>VLOOKUP(E608,Precios!B$2:W$941,3,FALSE)</f>
        <v>Papel Higiénico ELITE</v>
      </c>
      <c r="T608" s="16">
        <f>VLOOKUP(E608,Precios!B$2:N$941,4,FALSE)*F608</f>
        <v>0</v>
      </c>
      <c r="U608" s="17"/>
      <c r="V608" s="12">
        <f>VLOOKUP(E608,Precios!B$2:N$941,13,FALSE)*F608</f>
        <v>3117.9506243388823</v>
      </c>
      <c r="W608" s="12">
        <f t="shared" si="4"/>
        <v>3117.9506243388823</v>
      </c>
      <c r="X608" s="12">
        <f>VLOOKUP(B608,'Datos Maestros'!$C$2:$D$7,2,FALSE)*V608</f>
        <v>0</v>
      </c>
      <c r="Y608" s="18">
        <f t="shared" si="5"/>
        <v>45880</v>
      </c>
      <c r="Z608" s="13" t="s">
        <v>39</v>
      </c>
      <c r="AA608" s="19" t="str">
        <f>VLOOKUP(D608,Clientes!$A$2:$J$486,9,FALSE)</f>
        <v>Frecuente</v>
      </c>
      <c r="AB608" s="13" t="str">
        <f>VLOOKUP(D608,Clientes!$A$2:$K$486,11,FALSE)</f>
        <v>Empresa</v>
      </c>
      <c r="AC608" s="13" t="str">
        <f>VLOOKUP(D608,Clientes!$A$2:$B$486,2,FALSE)</f>
        <v>Jardin de la viña</v>
      </c>
      <c r="AD608" s="20"/>
      <c r="AE608" s="20"/>
      <c r="AF608" s="13" t="s">
        <v>40</v>
      </c>
      <c r="AG608" s="15">
        <f t="shared" si="6"/>
        <v>45505</v>
      </c>
      <c r="AH608" s="13" t="s">
        <v>41</v>
      </c>
      <c r="AI608" s="13" t="str">
        <f t="shared" si="7"/>
        <v>Papeleria</v>
      </c>
      <c r="AJ608" s="13" t="str">
        <f>VLOOKUP(E608,Precios!Z$2:AA$941,2,FALSE)</f>
        <v>Papel Higienico ELITE 50 metros</v>
      </c>
      <c r="AK608" s="14">
        <f>VLOOKUP(E608,Precios!Z$2:BB$941,3,FALSE)*F608</f>
        <v>-8</v>
      </c>
      <c r="AL608" s="17"/>
      <c r="AM608" s="17"/>
      <c r="AN608" s="17"/>
      <c r="AO608" s="17"/>
      <c r="AP608" s="17"/>
      <c r="AQ608" s="17"/>
      <c r="AR608" s="17"/>
      <c r="AS608" s="17"/>
      <c r="AT608" s="17"/>
      <c r="AU608" s="17"/>
      <c r="AV608" s="17"/>
    </row>
    <row r="609" spans="1:48" ht="15.75" customHeight="1">
      <c r="A609" s="21" t="s">
        <v>147</v>
      </c>
      <c r="B609" s="23" t="s">
        <v>1692</v>
      </c>
      <c r="C609" s="22">
        <v>45881</v>
      </c>
      <c r="D609" s="23" t="s">
        <v>324</v>
      </c>
      <c r="E609" s="23" t="s">
        <v>149</v>
      </c>
      <c r="F609" s="21">
        <v>1</v>
      </c>
      <c r="G609" s="12">
        <f>VLOOKUP(E609,Precios!B$2:N$941,12,FALSE)</f>
        <v>1700</v>
      </c>
      <c r="H609" s="12">
        <f t="shared" si="0"/>
        <v>1700</v>
      </c>
      <c r="I609" s="23" t="s">
        <v>52</v>
      </c>
      <c r="J609" s="23" t="s">
        <v>61</v>
      </c>
      <c r="K609" s="24" t="s">
        <v>86</v>
      </c>
      <c r="L609" s="24">
        <v>104</v>
      </c>
      <c r="M609" s="12">
        <f t="shared" ref="M609:N609" si="614">G609/1.19</f>
        <v>1428.5714285714287</v>
      </c>
      <c r="N609" s="12">
        <f t="shared" si="614"/>
        <v>1428.5714285714287</v>
      </c>
      <c r="O609" s="12">
        <f t="shared" si="2"/>
        <v>271.42857142857133</v>
      </c>
      <c r="P609" s="13"/>
      <c r="Q609" s="14">
        <f t="shared" si="3"/>
        <v>2025</v>
      </c>
      <c r="R609" s="15">
        <f>VLOOKUP(MONTH(C609),'Datos Maestros'!M$2:N$14,2,FALSE)</f>
        <v>45505</v>
      </c>
      <c r="S609" s="11" t="str">
        <f>VLOOKUP(E609,Precios!B$2:W$941,3,FALSE)</f>
        <v>Film Plastico</v>
      </c>
      <c r="T609" s="16">
        <f>VLOOKUP(E609,Precios!B$2:N$941,4,FALSE)*F609</f>
        <v>0</v>
      </c>
      <c r="U609" s="17"/>
      <c r="V609" s="12">
        <f>VLOOKUP(E609,Precios!B$2:N$941,13,FALSE)*F609</f>
        <v>774.78991596638662</v>
      </c>
      <c r="W609" s="12">
        <f t="shared" si="4"/>
        <v>774.78991596638662</v>
      </c>
      <c r="X609" s="12">
        <f>VLOOKUP(B609,'Datos Maestros'!$C$2:$D$7,2,FALSE)*V609</f>
        <v>0</v>
      </c>
      <c r="Y609" s="18">
        <f t="shared" si="5"/>
        <v>45880</v>
      </c>
      <c r="Z609" s="13" t="s">
        <v>39</v>
      </c>
      <c r="AA609" s="19" t="str">
        <f>VLOOKUP(D609,Clientes!$A$2:$J$486,9,FALSE)</f>
        <v>Frecuente</v>
      </c>
      <c r="AB609" s="13" t="str">
        <f>VLOOKUP(D609,Clientes!$A$2:$K$486,11,FALSE)</f>
        <v>Empresa</v>
      </c>
      <c r="AC609" s="13" t="str">
        <f>VLOOKUP(D609,Clientes!$A$2:$B$486,2,FALSE)</f>
        <v>Jardin de la viña</v>
      </c>
      <c r="AD609" s="20"/>
      <c r="AE609" s="20"/>
      <c r="AF609" s="13" t="s">
        <v>40</v>
      </c>
      <c r="AG609" s="15">
        <f t="shared" si="6"/>
        <v>45505</v>
      </c>
      <c r="AH609" s="13" t="s">
        <v>41</v>
      </c>
      <c r="AI609" s="13" t="str">
        <f t="shared" si="7"/>
        <v>Film Plastico-Aluminio</v>
      </c>
      <c r="AJ609" s="13" t="str">
        <f>VLOOKUP(E609,Precios!Z$2:AA$941,2,FALSE)</f>
        <v>Film Plástico 30 metros</v>
      </c>
      <c r="AK609" s="14">
        <f>VLOOKUP(E609,Precios!Z$2:BB$941,3,FALSE)*F609</f>
        <v>-1</v>
      </c>
      <c r="AL609" s="17"/>
      <c r="AM609" s="17"/>
      <c r="AN609" s="17"/>
      <c r="AO609" s="17"/>
      <c r="AP609" s="17"/>
      <c r="AQ609" s="17"/>
      <c r="AR609" s="17"/>
      <c r="AS609" s="17"/>
      <c r="AT609" s="17"/>
      <c r="AU609" s="17"/>
      <c r="AV609" s="17"/>
    </row>
    <row r="610" spans="1:48" ht="15.75" customHeight="1">
      <c r="A610" s="21" t="s">
        <v>147</v>
      </c>
      <c r="B610" s="23" t="s">
        <v>1692</v>
      </c>
      <c r="C610" s="22">
        <v>45881</v>
      </c>
      <c r="D610" s="23" t="s">
        <v>324</v>
      </c>
      <c r="E610" s="23" t="s">
        <v>148</v>
      </c>
      <c r="F610" s="21">
        <v>1</v>
      </c>
      <c r="G610" s="12">
        <f>VLOOKUP(E610,Precios!B$2:N$941,12,FALSE)</f>
        <v>1200.0000000000002</v>
      </c>
      <c r="H610" s="12">
        <f t="shared" si="0"/>
        <v>1200.0000000000002</v>
      </c>
      <c r="I610" s="23" t="s">
        <v>52</v>
      </c>
      <c r="J610" s="23" t="s">
        <v>61</v>
      </c>
      <c r="K610" s="24" t="s">
        <v>86</v>
      </c>
      <c r="L610" s="24">
        <v>104</v>
      </c>
      <c r="M610" s="12">
        <f t="shared" ref="M610:N610" si="615">G610/1.19</f>
        <v>1008.4033613445381</v>
      </c>
      <c r="N610" s="12">
        <f t="shared" si="615"/>
        <v>1008.4033613445381</v>
      </c>
      <c r="O610" s="12">
        <f t="shared" si="2"/>
        <v>191.59663865546213</v>
      </c>
      <c r="P610" s="13"/>
      <c r="Q610" s="14">
        <f t="shared" si="3"/>
        <v>2025</v>
      </c>
      <c r="R610" s="15">
        <f>VLOOKUP(MONTH(C610),'Datos Maestros'!M$2:N$14,2,FALSE)</f>
        <v>45505</v>
      </c>
      <c r="S610" s="11" t="str">
        <f>VLOOKUP(E610,Precios!B$2:W$941,3,FALSE)</f>
        <v>Papel Aluminio</v>
      </c>
      <c r="T610" s="16">
        <f>VLOOKUP(E610,Precios!B$2:N$941,4,FALSE)*F610</f>
        <v>0</v>
      </c>
      <c r="U610" s="17"/>
      <c r="V610" s="12">
        <f>VLOOKUP(E610,Precios!B$2:N$941,13,FALSE)*F610</f>
        <v>357.9831932773111</v>
      </c>
      <c r="W610" s="12">
        <f t="shared" si="4"/>
        <v>357.9831932773111</v>
      </c>
      <c r="X610" s="12">
        <f>VLOOKUP(B610,'Datos Maestros'!$C$2:$D$7,2,FALSE)*V610</f>
        <v>0</v>
      </c>
      <c r="Y610" s="18">
        <f t="shared" si="5"/>
        <v>45880</v>
      </c>
      <c r="Z610" s="13" t="s">
        <v>39</v>
      </c>
      <c r="AA610" s="19" t="str">
        <f>VLOOKUP(D610,Clientes!$A$2:$J$486,9,FALSE)</f>
        <v>Frecuente</v>
      </c>
      <c r="AB610" s="13" t="str">
        <f>VLOOKUP(D610,Clientes!$A$2:$K$486,11,FALSE)</f>
        <v>Empresa</v>
      </c>
      <c r="AC610" s="13" t="str">
        <f>VLOOKUP(D610,Clientes!$A$2:$B$486,2,FALSE)</f>
        <v>Jardin de la viña</v>
      </c>
      <c r="AD610" s="20"/>
      <c r="AE610" s="20"/>
      <c r="AF610" s="13" t="s">
        <v>40</v>
      </c>
      <c r="AG610" s="15">
        <f t="shared" si="6"/>
        <v>45505</v>
      </c>
      <c r="AH610" s="13" t="s">
        <v>41</v>
      </c>
      <c r="AI610" s="13" t="str">
        <f t="shared" si="7"/>
        <v>Film Plastico-Aluminio</v>
      </c>
      <c r="AJ610" s="13" t="str">
        <f>VLOOKUP(E610,Precios!Z$2:AA$941,2,FALSE)</f>
        <v>Papel Aluminio 7.5 metros</v>
      </c>
      <c r="AK610" s="14">
        <f>VLOOKUP(E610,Precios!Z$2:BB$941,3,FALSE)*F610</f>
        <v>-1</v>
      </c>
      <c r="AL610" s="17"/>
      <c r="AM610" s="17"/>
      <c r="AN610" s="17"/>
      <c r="AO610" s="17"/>
      <c r="AP610" s="17"/>
      <c r="AQ610" s="17"/>
      <c r="AR610" s="17"/>
      <c r="AS610" s="17"/>
      <c r="AT610" s="17"/>
      <c r="AU610" s="17"/>
      <c r="AV610" s="17"/>
    </row>
    <row r="611" spans="1:48" ht="15.75" customHeight="1">
      <c r="A611" s="21" t="s">
        <v>53</v>
      </c>
      <c r="B611" s="23" t="s">
        <v>1692</v>
      </c>
      <c r="C611" s="22">
        <v>45881</v>
      </c>
      <c r="D611" s="23" t="s">
        <v>324</v>
      </c>
      <c r="E611" s="23" t="s">
        <v>326</v>
      </c>
      <c r="F611" s="21">
        <v>1</v>
      </c>
      <c r="G611" s="12">
        <f>VLOOKUP(E611,Precios!B$2:N$941,12,FALSE)</f>
        <v>7600.2445509220424</v>
      </c>
      <c r="H611" s="12">
        <f t="shared" si="0"/>
        <v>7600.2445509220424</v>
      </c>
      <c r="I611" s="23" t="s">
        <v>52</v>
      </c>
      <c r="J611" s="23" t="s">
        <v>61</v>
      </c>
      <c r="K611" s="24" t="s">
        <v>86</v>
      </c>
      <c r="L611" s="24">
        <v>104</v>
      </c>
      <c r="M611" s="12">
        <f t="shared" ref="M611:N611" si="616">G611/1.19</f>
        <v>6386.7601268252456</v>
      </c>
      <c r="N611" s="12">
        <f t="shared" si="616"/>
        <v>6386.7601268252456</v>
      </c>
      <c r="O611" s="12">
        <f t="shared" si="2"/>
        <v>1213.4844240967968</v>
      </c>
      <c r="P611" s="13"/>
      <c r="Q611" s="14">
        <f t="shared" si="3"/>
        <v>2025</v>
      </c>
      <c r="R611" s="15">
        <f>VLOOKUP(MONTH(C611),'Datos Maestros'!M$2:N$14,2,FALSE)</f>
        <v>45505</v>
      </c>
      <c r="S611" s="11" t="str">
        <f>VLOOKUP(E611,Precios!B$2:W$941,3,FALSE)</f>
        <v>Toalla Nova 26 mts</v>
      </c>
      <c r="T611" s="16">
        <f>VLOOKUP(E611,Precios!B$2:N$941,4,FALSE)*F611</f>
        <v>0</v>
      </c>
      <c r="U611" s="17"/>
      <c r="V611" s="12">
        <f>VLOOKUP(E611,Precios!B$2:N$941,13,FALSE)*F611</f>
        <v>1894.7601268252456</v>
      </c>
      <c r="W611" s="12">
        <f t="shared" si="4"/>
        <v>1894.7601268252456</v>
      </c>
      <c r="X611" s="12">
        <f>VLOOKUP(B611,'Datos Maestros'!$C$2:$D$7,2,FALSE)*V611</f>
        <v>0</v>
      </c>
      <c r="Y611" s="18">
        <f t="shared" si="5"/>
        <v>45880</v>
      </c>
      <c r="Z611" s="13" t="s">
        <v>39</v>
      </c>
      <c r="AA611" s="19" t="str">
        <f>VLOOKUP(D611,Clientes!$A$2:$J$486,9,FALSE)</f>
        <v>Frecuente</v>
      </c>
      <c r="AB611" s="13" t="str">
        <f>VLOOKUP(D611,Clientes!$A$2:$K$486,11,FALSE)</f>
        <v>Empresa</v>
      </c>
      <c r="AC611" s="13" t="str">
        <f>VLOOKUP(D611,Clientes!$A$2:$B$486,2,FALSE)</f>
        <v>Jardin de la viña</v>
      </c>
      <c r="AD611" s="20"/>
      <c r="AE611" s="20"/>
      <c r="AF611" s="13" t="s">
        <v>40</v>
      </c>
      <c r="AG611" s="15">
        <f t="shared" si="6"/>
        <v>45505</v>
      </c>
      <c r="AH611" s="13" t="s">
        <v>41</v>
      </c>
      <c r="AI611" s="13" t="str">
        <f t="shared" si="7"/>
        <v>Papeleria</v>
      </c>
      <c r="AJ611" s="13" t="str">
        <f>VLOOKUP(E611,Precios!Z$2:AA$941,2,FALSE)</f>
        <v>Toalla Papel NOVA 26 metros</v>
      </c>
      <c r="AK611" s="14">
        <f>VLOOKUP(E611,Precios!Z$2:BB$941,3,FALSE)*F611</f>
        <v>-4</v>
      </c>
      <c r="AL611" s="17"/>
      <c r="AM611" s="17"/>
      <c r="AN611" s="17"/>
      <c r="AO611" s="17"/>
      <c r="AP611" s="17"/>
      <c r="AQ611" s="17"/>
      <c r="AR611" s="17"/>
      <c r="AS611" s="17"/>
      <c r="AT611" s="17"/>
      <c r="AU611" s="17"/>
      <c r="AV611" s="17"/>
    </row>
    <row r="612" spans="1:48" ht="15.75" customHeight="1">
      <c r="A612" s="21" t="s">
        <v>35</v>
      </c>
      <c r="B612" s="23" t="s">
        <v>1692</v>
      </c>
      <c r="C612" s="22">
        <v>45881</v>
      </c>
      <c r="D612" s="23" t="s">
        <v>276</v>
      </c>
      <c r="E612" s="23" t="s">
        <v>117</v>
      </c>
      <c r="F612" s="21">
        <v>1</v>
      </c>
      <c r="G612" s="12">
        <f>VLOOKUP(E612,Precios!B$2:N$941,12,FALSE)</f>
        <v>8999.8271341726922</v>
      </c>
      <c r="H612" s="12">
        <f t="shared" si="0"/>
        <v>8999.8271341726922</v>
      </c>
      <c r="I612" s="23" t="s">
        <v>52</v>
      </c>
      <c r="J612" s="23" t="s">
        <v>61</v>
      </c>
      <c r="K612" s="24" t="s">
        <v>177</v>
      </c>
      <c r="L612" s="24">
        <v>169</v>
      </c>
      <c r="M612" s="12">
        <f t="shared" ref="M612:N612" si="617">G612/1.19</f>
        <v>7562.8799446829353</v>
      </c>
      <c r="N612" s="12">
        <f t="shared" si="617"/>
        <v>7562.8799446829353</v>
      </c>
      <c r="O612" s="12">
        <f t="shared" si="2"/>
        <v>1436.947189489757</v>
      </c>
      <c r="P612" s="13"/>
      <c r="Q612" s="14">
        <f t="shared" si="3"/>
        <v>2025</v>
      </c>
      <c r="R612" s="15">
        <f>VLOOKUP(MONTH(C612),'Datos Maestros'!M$2:N$14,2,FALSE)</f>
        <v>45505</v>
      </c>
      <c r="S612" s="11" t="str">
        <f>VLOOKUP(E612,Precios!B$2:W$941,3,FALSE)</f>
        <v>Queso Mantecoso</v>
      </c>
      <c r="T612" s="16">
        <f>VLOOKUP(E612,Precios!B$2:N$941,4,FALSE)*F612</f>
        <v>750</v>
      </c>
      <c r="U612" s="17"/>
      <c r="V612" s="12">
        <f>VLOOKUP(E612,Precios!B$2:N$941,13,FALSE)*F612</f>
        <v>2312.8799446829353</v>
      </c>
      <c r="W612" s="12">
        <f t="shared" si="4"/>
        <v>2312.8799446829353</v>
      </c>
      <c r="X612" s="12">
        <f>VLOOKUP(B612,'Datos Maestros'!$C$2:$D$7,2,FALSE)*V612</f>
        <v>0</v>
      </c>
      <c r="Y612" s="18">
        <f t="shared" si="5"/>
        <v>45880</v>
      </c>
      <c r="Z612" s="13" t="s">
        <v>39</v>
      </c>
      <c r="AA612" s="19" t="str">
        <f>VLOOKUP(D612,Clientes!$A$2:$J$486,9,FALSE)</f>
        <v>Ocacional</v>
      </c>
      <c r="AB612" s="13" t="str">
        <f>VLOOKUP(D612,Clientes!$A$2:$K$486,11,FALSE)</f>
        <v>Persona Natural</v>
      </c>
      <c r="AC612" s="13" t="str">
        <f>VLOOKUP(D612,Clientes!$A$2:$B$486,2,FALSE)</f>
        <v>Jardin del eden</v>
      </c>
      <c r="AD612" s="20"/>
      <c r="AE612" s="20"/>
      <c r="AF612" s="13" t="s">
        <v>40</v>
      </c>
      <c r="AG612" s="15">
        <f t="shared" si="6"/>
        <v>45505</v>
      </c>
      <c r="AH612" s="13" t="s">
        <v>41</v>
      </c>
      <c r="AI612" s="13" t="str">
        <f t="shared" si="7"/>
        <v>Quesos</v>
      </c>
      <c r="AJ612" s="13" t="str">
        <f>VLOOKUP(E612,Precios!Z$2:AA$941,2,FALSE)</f>
        <v>Queso RUNCA Laminado Mantecoso</v>
      </c>
      <c r="AK612" s="14">
        <f>VLOOKUP(E612,Precios!Z$2:BB$941,3,FALSE)*F612</f>
        <v>-0.75</v>
      </c>
      <c r="AL612" s="17"/>
      <c r="AM612" s="17"/>
      <c r="AN612" s="17"/>
      <c r="AO612" s="17"/>
      <c r="AP612" s="17"/>
      <c r="AQ612" s="17"/>
      <c r="AR612" s="17"/>
      <c r="AS612" s="17"/>
      <c r="AT612" s="17"/>
      <c r="AU612" s="17"/>
      <c r="AV612" s="17"/>
    </row>
    <row r="613" spans="1:48" ht="15.75" customHeight="1">
      <c r="A613" s="21" t="s">
        <v>47</v>
      </c>
      <c r="B613" s="23" t="s">
        <v>1692</v>
      </c>
      <c r="C613" s="22">
        <v>45881</v>
      </c>
      <c r="D613" s="23" t="s">
        <v>276</v>
      </c>
      <c r="E613" s="23" t="s">
        <v>89</v>
      </c>
      <c r="F613" s="21">
        <v>1</v>
      </c>
      <c r="G613" s="12">
        <f>VLOOKUP(E613,Precios!B$2:N$941,12,FALSE)</f>
        <v>1500.3973988439307</v>
      </c>
      <c r="H613" s="12">
        <f t="shared" si="0"/>
        <v>1500.3973988439307</v>
      </c>
      <c r="I613" s="23" t="s">
        <v>52</v>
      </c>
      <c r="J613" s="23" t="s">
        <v>61</v>
      </c>
      <c r="K613" s="24" t="s">
        <v>177</v>
      </c>
      <c r="L613" s="24">
        <v>169</v>
      </c>
      <c r="M613" s="12">
        <f t="shared" ref="M613:N613" si="618">G613/1.19</f>
        <v>1260.8381502890174</v>
      </c>
      <c r="N613" s="12">
        <f t="shared" si="618"/>
        <v>1260.8381502890174</v>
      </c>
      <c r="O613" s="12">
        <f t="shared" si="2"/>
        <v>239.55924855491321</v>
      </c>
      <c r="P613" s="13"/>
      <c r="Q613" s="14">
        <f t="shared" si="3"/>
        <v>2025</v>
      </c>
      <c r="R613" s="15">
        <f>VLOOKUP(MONTH(C613),'Datos Maestros'!M$2:N$14,2,FALSE)</f>
        <v>45505</v>
      </c>
      <c r="S613" s="11" t="str">
        <f>VLOOKUP(E613,Precios!B$2:W$941,3,FALSE)</f>
        <v>WC</v>
      </c>
      <c r="T613" s="16">
        <f>VLOOKUP(E613,Precios!B$2:N$941,4,FALSE)*F613</f>
        <v>0</v>
      </c>
      <c r="U613" s="17"/>
      <c r="V613" s="12">
        <f>VLOOKUP(E613,Precios!B$2:N$941,13,FALSE)*F613</f>
        <v>562.83815028901745</v>
      </c>
      <c r="W613" s="12">
        <f t="shared" si="4"/>
        <v>562.83815028901745</v>
      </c>
      <c r="X613" s="12">
        <f>VLOOKUP(B613,'Datos Maestros'!$C$2:$D$7,2,FALSE)*V613</f>
        <v>0</v>
      </c>
      <c r="Y613" s="18">
        <f t="shared" si="5"/>
        <v>45880</v>
      </c>
      <c r="Z613" s="13" t="s">
        <v>39</v>
      </c>
      <c r="AA613" s="19" t="str">
        <f>VLOOKUP(D613,Clientes!$A$2:$J$486,9,FALSE)</f>
        <v>Ocacional</v>
      </c>
      <c r="AB613" s="13" t="str">
        <f>VLOOKUP(D613,Clientes!$A$2:$K$486,11,FALSE)</f>
        <v>Persona Natural</v>
      </c>
      <c r="AC613" s="13" t="str">
        <f>VLOOKUP(D613,Clientes!$A$2:$B$486,2,FALSE)</f>
        <v>Jardin del eden</v>
      </c>
      <c r="AD613" s="20"/>
      <c r="AE613" s="20"/>
      <c r="AF613" s="13" t="s">
        <v>40</v>
      </c>
      <c r="AG613" s="15">
        <f t="shared" si="6"/>
        <v>45505</v>
      </c>
      <c r="AH613" s="13" t="s">
        <v>41</v>
      </c>
      <c r="AI613" s="13" t="str">
        <f t="shared" si="7"/>
        <v>Articulos de Aseo</v>
      </c>
      <c r="AJ613" s="13" t="str">
        <f>VLOOKUP(E613,Precios!Z$2:AA$941,2,FALSE)</f>
        <v>Pastilla para estanque WC</v>
      </c>
      <c r="AK613" s="14">
        <f>VLOOKUP(E613,Precios!Z$2:BB$941,3,FALSE)*F613</f>
        <v>-1</v>
      </c>
      <c r="AL613" s="17"/>
      <c r="AM613" s="17"/>
      <c r="AN613" s="17"/>
      <c r="AO613" s="17"/>
      <c r="AP613" s="17"/>
      <c r="AQ613" s="17"/>
      <c r="AR613" s="17"/>
      <c r="AS613" s="17"/>
      <c r="AT613" s="17"/>
      <c r="AU613" s="17"/>
      <c r="AV613" s="17"/>
    </row>
    <row r="614" spans="1:48" ht="15.75" customHeight="1">
      <c r="A614" s="21" t="s">
        <v>47</v>
      </c>
      <c r="B614" s="23" t="s">
        <v>1692</v>
      </c>
      <c r="C614" s="22">
        <v>45881</v>
      </c>
      <c r="D614" s="23" t="s">
        <v>276</v>
      </c>
      <c r="E614" s="23" t="s">
        <v>327</v>
      </c>
      <c r="F614" s="21">
        <v>1</v>
      </c>
      <c r="G614" s="12">
        <f>VLOOKUP(E614,Precios!B$2:N$941,12,FALSE)</f>
        <v>1299.5153465346536</v>
      </c>
      <c r="H614" s="12">
        <f t="shared" si="0"/>
        <v>1299.5153465346536</v>
      </c>
      <c r="I614" s="23" t="s">
        <v>52</v>
      </c>
      <c r="J614" s="23" t="s">
        <v>61</v>
      </c>
      <c r="K614" s="24" t="s">
        <v>177</v>
      </c>
      <c r="L614" s="24">
        <v>169</v>
      </c>
      <c r="M614" s="12">
        <f t="shared" ref="M614:N614" si="619">G614/1.19</f>
        <v>1092.0297029702972</v>
      </c>
      <c r="N614" s="12">
        <f t="shared" si="619"/>
        <v>1092.0297029702972</v>
      </c>
      <c r="O614" s="12">
        <f t="shared" si="2"/>
        <v>207.48564356435645</v>
      </c>
      <c r="P614" s="13"/>
      <c r="Q614" s="14">
        <f t="shared" si="3"/>
        <v>2025</v>
      </c>
      <c r="R614" s="15">
        <f>VLOOKUP(MONTH(C614),'Datos Maestros'!M$2:N$14,2,FALSE)</f>
        <v>45505</v>
      </c>
      <c r="S614" s="11" t="str">
        <f>VLOOKUP(E614,Precios!B$2:W$941,3,FALSE)</f>
        <v>Virutilla</v>
      </c>
      <c r="T614" s="16">
        <f>VLOOKUP(E614,Precios!B$2:N$941,4,FALSE)*F614</f>
        <v>0</v>
      </c>
      <c r="U614" s="17"/>
      <c r="V614" s="12">
        <f>VLOOKUP(E614,Precios!B$2:N$941,13,FALSE)*F614</f>
        <v>562.61370297029714</v>
      </c>
      <c r="W614" s="12">
        <f t="shared" si="4"/>
        <v>562.61370297029714</v>
      </c>
      <c r="X614" s="12">
        <f>VLOOKUP(B614,'Datos Maestros'!$C$2:$D$7,2,FALSE)*V614</f>
        <v>0</v>
      </c>
      <c r="Y614" s="18">
        <f t="shared" si="5"/>
        <v>45880</v>
      </c>
      <c r="Z614" s="13" t="s">
        <v>39</v>
      </c>
      <c r="AA614" s="19" t="str">
        <f>VLOOKUP(D614,Clientes!$A$2:$J$486,9,FALSE)</f>
        <v>Ocacional</v>
      </c>
      <c r="AB614" s="13" t="str">
        <f>VLOOKUP(D614,Clientes!$A$2:$K$486,11,FALSE)</f>
        <v>Persona Natural</v>
      </c>
      <c r="AC614" s="13" t="str">
        <f>VLOOKUP(D614,Clientes!$A$2:$B$486,2,FALSE)</f>
        <v>Jardin del eden</v>
      </c>
      <c r="AD614" s="20"/>
      <c r="AE614" s="20"/>
      <c r="AF614" s="13" t="s">
        <v>40</v>
      </c>
      <c r="AG614" s="15">
        <f t="shared" si="6"/>
        <v>45505</v>
      </c>
      <c r="AH614" s="13" t="s">
        <v>41</v>
      </c>
      <c r="AI614" s="13" t="str">
        <f t="shared" si="7"/>
        <v>Articulos de Aseo</v>
      </c>
      <c r="AJ614" s="13" t="str">
        <f>VLOOKUP(E614,Precios!Z$2:AA$941,2,FALSE)</f>
        <v>Virutilla Plateada</v>
      </c>
      <c r="AK614" s="14">
        <f>VLOOKUP(E614,Precios!Z$2:BB$941,3,FALSE)*F614</f>
        <v>-6</v>
      </c>
      <c r="AL614" s="17"/>
      <c r="AM614" s="17"/>
      <c r="AN614" s="17"/>
      <c r="AO614" s="17"/>
      <c r="AP614" s="17"/>
      <c r="AQ614" s="17"/>
      <c r="AR614" s="17"/>
      <c r="AS614" s="17"/>
      <c r="AT614" s="17"/>
      <c r="AU614" s="17"/>
      <c r="AV614" s="17"/>
    </row>
    <row r="615" spans="1:48" ht="15.75" customHeight="1">
      <c r="A615" s="21" t="s">
        <v>47</v>
      </c>
      <c r="B615" s="23" t="s">
        <v>1692</v>
      </c>
      <c r="C615" s="22">
        <v>45881</v>
      </c>
      <c r="D615" s="23" t="s">
        <v>276</v>
      </c>
      <c r="E615" s="23" t="s">
        <v>171</v>
      </c>
      <c r="F615" s="21">
        <v>1</v>
      </c>
      <c r="G615" s="12">
        <f>VLOOKUP(E615,Precios!B$2:N$941,12,FALSE)</f>
        <v>1599.7931747673217</v>
      </c>
      <c r="H615" s="12">
        <f t="shared" si="0"/>
        <v>1599.7931747673217</v>
      </c>
      <c r="I615" s="23" t="s">
        <v>52</v>
      </c>
      <c r="J615" s="23" t="s">
        <v>61</v>
      </c>
      <c r="K615" s="24" t="s">
        <v>177</v>
      </c>
      <c r="L615" s="24">
        <v>169</v>
      </c>
      <c r="M615" s="12">
        <f t="shared" ref="M615:N615" si="620">G615/1.19</f>
        <v>1344.3640124095141</v>
      </c>
      <c r="N615" s="12">
        <f t="shared" si="620"/>
        <v>1344.3640124095141</v>
      </c>
      <c r="O615" s="12">
        <f t="shared" si="2"/>
        <v>255.42916235780763</v>
      </c>
      <c r="P615" s="13"/>
      <c r="Q615" s="14">
        <f t="shared" si="3"/>
        <v>2025</v>
      </c>
      <c r="R615" s="15">
        <f>VLOOKUP(MONTH(C615),'Datos Maestros'!M$2:N$14,2,FALSE)</f>
        <v>45505</v>
      </c>
      <c r="S615" s="11" t="str">
        <f>VLOOKUP(E615,Precios!B$2:W$941,3,FALSE)</f>
        <v>Cera</v>
      </c>
      <c r="T615" s="16">
        <f>VLOOKUP(E615,Precios!B$2:N$941,4,FALSE)*F615</f>
        <v>0</v>
      </c>
      <c r="U615" s="17"/>
      <c r="V615" s="12">
        <f>VLOOKUP(E615,Precios!B$2:N$941,13,FALSE)*F615</f>
        <v>369.36401240951409</v>
      </c>
      <c r="W615" s="12">
        <f t="shared" si="4"/>
        <v>369.36401240951409</v>
      </c>
      <c r="X615" s="12">
        <f>VLOOKUP(B615,'Datos Maestros'!$C$2:$D$7,2,FALSE)*V615</f>
        <v>0</v>
      </c>
      <c r="Y615" s="18">
        <f t="shared" si="5"/>
        <v>45880</v>
      </c>
      <c r="Z615" s="13" t="s">
        <v>39</v>
      </c>
      <c r="AA615" s="19" t="str">
        <f>VLOOKUP(D615,Clientes!$A$2:$J$486,9,FALSE)</f>
        <v>Ocacional</v>
      </c>
      <c r="AB615" s="13" t="str">
        <f>VLOOKUP(D615,Clientes!$A$2:$K$486,11,FALSE)</f>
        <v>Persona Natural</v>
      </c>
      <c r="AC615" s="13" t="str">
        <f>VLOOKUP(D615,Clientes!$A$2:$B$486,2,FALSE)</f>
        <v>Jardin del eden</v>
      </c>
      <c r="AD615" s="20"/>
      <c r="AE615" s="20"/>
      <c r="AF615" s="13" t="s">
        <v>40</v>
      </c>
      <c r="AG615" s="15">
        <f t="shared" si="6"/>
        <v>45505</v>
      </c>
      <c r="AH615" s="13" t="s">
        <v>41</v>
      </c>
      <c r="AI615" s="13" t="str">
        <f t="shared" si="7"/>
        <v>Articulos de Aseo</v>
      </c>
      <c r="AJ615" s="13" t="str">
        <f>VLOOKUP(E615,Precios!Z$2:AA$941,2,FALSE)</f>
        <v>Cera Tierra Color Brillina</v>
      </c>
      <c r="AK615" s="14">
        <f>VLOOKUP(E615,Precios!Z$2:BB$941,3,FALSE)*F615</f>
        <v>-1</v>
      </c>
      <c r="AL615" s="17"/>
      <c r="AM615" s="17"/>
      <c r="AN615" s="17"/>
      <c r="AO615" s="17"/>
      <c r="AP615" s="17"/>
      <c r="AQ615" s="17"/>
      <c r="AR615" s="17"/>
      <c r="AS615" s="17"/>
      <c r="AT615" s="17"/>
      <c r="AU615" s="17"/>
      <c r="AV615" s="17"/>
    </row>
    <row r="616" spans="1:48" ht="15.75" customHeight="1">
      <c r="A616" s="21" t="s">
        <v>47</v>
      </c>
      <c r="B616" s="23" t="s">
        <v>1692</v>
      </c>
      <c r="C616" s="22">
        <v>45881</v>
      </c>
      <c r="D616" s="23" t="s">
        <v>276</v>
      </c>
      <c r="E616" s="23" t="s">
        <v>328</v>
      </c>
      <c r="F616" s="21">
        <v>1</v>
      </c>
      <c r="G616" s="12">
        <f>VLOOKUP(E616,Precios!B$2:N$941,12,FALSE)</f>
        <v>1400</v>
      </c>
      <c r="H616" s="12">
        <f t="shared" si="0"/>
        <v>1400</v>
      </c>
      <c r="I616" s="23" t="s">
        <v>52</v>
      </c>
      <c r="J616" s="23" t="s">
        <v>61</v>
      </c>
      <c r="K616" s="24" t="s">
        <v>177</v>
      </c>
      <c r="L616" s="24">
        <v>169</v>
      </c>
      <c r="M616" s="12">
        <f t="shared" ref="M616:N616" si="621">G616/1.19</f>
        <v>1176.4705882352941</v>
      </c>
      <c r="N616" s="12">
        <f t="shared" si="621"/>
        <v>1176.4705882352941</v>
      </c>
      <c r="O616" s="12">
        <f t="shared" si="2"/>
        <v>223.52941176470586</v>
      </c>
      <c r="P616" s="13"/>
      <c r="Q616" s="14">
        <f t="shared" si="3"/>
        <v>2025</v>
      </c>
      <c r="R616" s="15">
        <f>VLOOKUP(MONTH(C616),'Datos Maestros'!M$2:N$14,2,FALSE)</f>
        <v>45505</v>
      </c>
      <c r="S616" s="11" t="str">
        <f>VLOOKUP(E616,Precios!B$2:W$941,3,FALSE)</f>
        <v>Jabon Liquido</v>
      </c>
      <c r="T616" s="16">
        <f>VLOOKUP(E616,Precios!B$2:N$941,4,FALSE)*F616</f>
        <v>0</v>
      </c>
      <c r="U616" s="17"/>
      <c r="V616" s="12">
        <f>VLOOKUP(E616,Precios!B$2:N$941,13,FALSE)*F616</f>
        <v>512.47058823529414</v>
      </c>
      <c r="W616" s="12">
        <f t="shared" si="4"/>
        <v>512.47058823529414</v>
      </c>
      <c r="X616" s="12">
        <f>VLOOKUP(B616,'Datos Maestros'!$C$2:$D$7,2,FALSE)*V616</f>
        <v>0</v>
      </c>
      <c r="Y616" s="18">
        <f t="shared" si="5"/>
        <v>45880</v>
      </c>
      <c r="Z616" s="13" t="s">
        <v>39</v>
      </c>
      <c r="AA616" s="19" t="str">
        <f>VLOOKUP(D616,Clientes!$A$2:$J$486,9,FALSE)</f>
        <v>Ocacional</v>
      </c>
      <c r="AB616" s="13" t="str">
        <f>VLOOKUP(D616,Clientes!$A$2:$K$486,11,FALSE)</f>
        <v>Persona Natural</v>
      </c>
      <c r="AC616" s="13" t="str">
        <f>VLOOKUP(D616,Clientes!$A$2:$B$486,2,FALSE)</f>
        <v>Jardin del eden</v>
      </c>
      <c r="AD616" s="20"/>
      <c r="AE616" s="20"/>
      <c r="AF616" s="13" t="s">
        <v>40</v>
      </c>
      <c r="AG616" s="15">
        <f t="shared" si="6"/>
        <v>45505</v>
      </c>
      <c r="AH616" s="13" t="s">
        <v>41</v>
      </c>
      <c r="AI616" s="13" t="str">
        <f t="shared" si="7"/>
        <v>Articulos de Aseo</v>
      </c>
      <c r="AJ616" s="13" t="str">
        <f>VLOOKUP(E616,Precios!Z$2:AA$941,2,FALSE)</f>
        <v>Jabón Líquido TEDDY</v>
      </c>
      <c r="AK616" s="14">
        <f>VLOOKUP(E616,Precios!Z$2:BB$941,3,FALSE)*F616</f>
        <v>-1</v>
      </c>
      <c r="AL616" s="17"/>
      <c r="AM616" s="17"/>
      <c r="AN616" s="17"/>
      <c r="AO616" s="17"/>
      <c r="AP616" s="17"/>
      <c r="AQ616" s="17"/>
      <c r="AR616" s="17"/>
      <c r="AS616" s="17"/>
      <c r="AT616" s="17"/>
      <c r="AU616" s="17"/>
      <c r="AV616" s="17"/>
    </row>
    <row r="617" spans="1:48" ht="15.75" customHeight="1">
      <c r="A617" s="21" t="s">
        <v>47</v>
      </c>
      <c r="B617" s="23" t="s">
        <v>1692</v>
      </c>
      <c r="C617" s="22">
        <v>45881</v>
      </c>
      <c r="D617" s="23" t="s">
        <v>276</v>
      </c>
      <c r="E617" s="23" t="s">
        <v>304</v>
      </c>
      <c r="F617" s="21">
        <v>1</v>
      </c>
      <c r="G617" s="12">
        <f>VLOOKUP(E617,Precios!B$2:N$941,12,FALSE)</f>
        <v>3200.2079002079004</v>
      </c>
      <c r="H617" s="12">
        <f t="shared" si="0"/>
        <v>3200.2079002079004</v>
      </c>
      <c r="I617" s="23" t="s">
        <v>52</v>
      </c>
      <c r="J617" s="23" t="s">
        <v>61</v>
      </c>
      <c r="K617" s="24" t="s">
        <v>177</v>
      </c>
      <c r="L617" s="24">
        <v>169</v>
      </c>
      <c r="M617" s="12">
        <f t="shared" ref="M617:N617" si="622">G617/1.19</f>
        <v>2689.25033630916</v>
      </c>
      <c r="N617" s="12">
        <f t="shared" si="622"/>
        <v>2689.25033630916</v>
      </c>
      <c r="O617" s="12">
        <f t="shared" si="2"/>
        <v>510.95756389874032</v>
      </c>
      <c r="P617" s="13"/>
      <c r="Q617" s="14">
        <f t="shared" si="3"/>
        <v>2025</v>
      </c>
      <c r="R617" s="15">
        <f>VLOOKUP(MONTH(C617),'Datos Maestros'!M$2:N$14,2,FALSE)</f>
        <v>45505</v>
      </c>
      <c r="S617" s="11" t="str">
        <f>VLOOKUP(E617,Precios!B$2:W$941,3,FALSE)</f>
        <v>Jabon POPEYE</v>
      </c>
      <c r="T617" s="16">
        <f>VLOOKUP(E617,Precios!B$2:N$941,4,FALSE)*F617</f>
        <v>0</v>
      </c>
      <c r="U617" s="17"/>
      <c r="V617" s="12">
        <f>VLOOKUP(E617,Precios!B$2:N$941,13,FALSE)*F617</f>
        <v>490.25033630916005</v>
      </c>
      <c r="W617" s="12">
        <f t="shared" si="4"/>
        <v>490.25033630916005</v>
      </c>
      <c r="X617" s="12">
        <f>VLOOKUP(B617,'Datos Maestros'!$C$2:$D$7,2,FALSE)*V617</f>
        <v>0</v>
      </c>
      <c r="Y617" s="18">
        <f t="shared" si="5"/>
        <v>45880</v>
      </c>
      <c r="Z617" s="13" t="s">
        <v>39</v>
      </c>
      <c r="AA617" s="19" t="str">
        <f>VLOOKUP(D617,Clientes!$A$2:$J$486,9,FALSE)</f>
        <v>Ocacional</v>
      </c>
      <c r="AB617" s="13" t="str">
        <f>VLOOKUP(D617,Clientes!$A$2:$K$486,11,FALSE)</f>
        <v>Persona Natural</v>
      </c>
      <c r="AC617" s="13" t="str">
        <f>VLOOKUP(D617,Clientes!$A$2:$B$486,2,FALSE)</f>
        <v>Jardin del eden</v>
      </c>
      <c r="AD617" s="20"/>
      <c r="AE617" s="20"/>
      <c r="AF617" s="13" t="s">
        <v>40</v>
      </c>
      <c r="AG617" s="15">
        <f t="shared" si="6"/>
        <v>45505</v>
      </c>
      <c r="AH617" s="13" t="s">
        <v>41</v>
      </c>
      <c r="AI617" s="13" t="str">
        <f t="shared" si="7"/>
        <v>Articulos de Aseo</v>
      </c>
      <c r="AJ617" s="13" t="str">
        <f>VLOOKUP(E617,Precios!Z$2:AA$941,2,FALSE)</f>
        <v>Jabón Lìquido BALLERINA</v>
      </c>
      <c r="AK617" s="14">
        <f>VLOOKUP(E617,Precios!Z$2:BB$941,3,FALSE)*F617</f>
        <v>-1</v>
      </c>
      <c r="AL617" s="17"/>
      <c r="AM617" s="17"/>
      <c r="AN617" s="17"/>
      <c r="AO617" s="17"/>
      <c r="AP617" s="17"/>
      <c r="AQ617" s="17"/>
      <c r="AR617" s="17"/>
      <c r="AS617" s="17"/>
      <c r="AT617" s="17"/>
      <c r="AU617" s="17"/>
      <c r="AV617" s="17"/>
    </row>
    <row r="618" spans="1:48" ht="15.75" customHeight="1">
      <c r="A618" s="21" t="s">
        <v>76</v>
      </c>
      <c r="B618" s="23" t="s">
        <v>1692</v>
      </c>
      <c r="C618" s="22">
        <v>45881</v>
      </c>
      <c r="D618" s="23" t="s">
        <v>276</v>
      </c>
      <c r="E618" s="23" t="s">
        <v>110</v>
      </c>
      <c r="F618" s="21">
        <v>1</v>
      </c>
      <c r="G618" s="12">
        <f>VLOOKUP(E618,Precios!B$2:N$941,12,FALSE)</f>
        <v>2000.0000000000005</v>
      </c>
      <c r="H618" s="12">
        <f t="shared" si="0"/>
        <v>2000.0000000000005</v>
      </c>
      <c r="I618" s="23" t="s">
        <v>52</v>
      </c>
      <c r="J618" s="23" t="s">
        <v>61</v>
      </c>
      <c r="K618" s="24" t="s">
        <v>177</v>
      </c>
      <c r="L618" s="24">
        <v>169</v>
      </c>
      <c r="M618" s="12">
        <f t="shared" ref="M618:N618" si="623">G618/1.19</f>
        <v>1680.6722689075634</v>
      </c>
      <c r="N618" s="12">
        <f t="shared" si="623"/>
        <v>1680.6722689075634</v>
      </c>
      <c r="O618" s="12">
        <f t="shared" si="2"/>
        <v>319.32773109243703</v>
      </c>
      <c r="P618" s="13"/>
      <c r="Q618" s="14">
        <f t="shared" si="3"/>
        <v>2025</v>
      </c>
      <c r="R618" s="15">
        <f>VLOOKUP(MONTH(C618),'Datos Maestros'!M$2:N$14,2,FALSE)</f>
        <v>45505</v>
      </c>
      <c r="S618" s="11" t="str">
        <f>VLOOKUP(E618,Precios!B$2:W$941,3,FALSE)</f>
        <v>Cloro</v>
      </c>
      <c r="T618" s="16">
        <f>VLOOKUP(E618,Precios!B$2:N$941,4,FALSE)*F618</f>
        <v>5</v>
      </c>
      <c r="U618" s="17"/>
      <c r="V618" s="12">
        <f>VLOOKUP(E618,Precios!B$2:N$941,13,FALSE)*F618</f>
        <v>756.30252100840369</v>
      </c>
      <c r="W618" s="12">
        <f t="shared" si="4"/>
        <v>756.30252100840369</v>
      </c>
      <c r="X618" s="12">
        <f>VLOOKUP(B618,'Datos Maestros'!$C$2:$D$7,2,FALSE)*V618</f>
        <v>0</v>
      </c>
      <c r="Y618" s="18">
        <f t="shared" si="5"/>
        <v>45880</v>
      </c>
      <c r="Z618" s="13" t="s">
        <v>39</v>
      </c>
      <c r="AA618" s="19" t="str">
        <f>VLOOKUP(D618,Clientes!$A$2:$J$486,9,FALSE)</f>
        <v>Ocacional</v>
      </c>
      <c r="AB618" s="13" t="str">
        <f>VLOOKUP(D618,Clientes!$A$2:$K$486,11,FALSE)</f>
        <v>Persona Natural</v>
      </c>
      <c r="AC618" s="13" t="str">
        <f>VLOOKUP(D618,Clientes!$A$2:$B$486,2,FALSE)</f>
        <v>Jardin del eden</v>
      </c>
      <c r="AD618" s="20"/>
      <c r="AE618" s="20"/>
      <c r="AF618" s="13" t="s">
        <v>40</v>
      </c>
      <c r="AG618" s="15">
        <f t="shared" si="6"/>
        <v>45505</v>
      </c>
      <c r="AH618" s="13" t="s">
        <v>41</v>
      </c>
      <c r="AI618" s="13" t="str">
        <f t="shared" si="7"/>
        <v>Detergentes</v>
      </c>
      <c r="AJ618" s="13" t="str">
        <f>VLOOKUP(E618,Precios!Z$2:AA$941,2,FALSE)</f>
        <v>Cloro SPUM 5 Litros</v>
      </c>
      <c r="AK618" s="14">
        <f>VLOOKUP(E618,Precios!Z$2:BB$941,3,FALSE)*F618</f>
        <v>-1</v>
      </c>
      <c r="AL618" s="17"/>
      <c r="AM618" s="17"/>
      <c r="AN618" s="17"/>
      <c r="AO618" s="17"/>
      <c r="AP618" s="17"/>
      <c r="AQ618" s="17"/>
      <c r="AR618" s="17"/>
      <c r="AS618" s="17"/>
      <c r="AT618" s="17"/>
      <c r="AU618" s="17"/>
      <c r="AV618" s="17"/>
    </row>
    <row r="619" spans="1:48" ht="15.75" customHeight="1">
      <c r="A619" s="21" t="s">
        <v>76</v>
      </c>
      <c r="B619" s="23" t="s">
        <v>1692</v>
      </c>
      <c r="C619" s="22">
        <v>45881</v>
      </c>
      <c r="D619" s="23" t="s">
        <v>276</v>
      </c>
      <c r="E619" s="23" t="s">
        <v>82</v>
      </c>
      <c r="F619" s="21">
        <v>1</v>
      </c>
      <c r="G619" s="12">
        <f>VLOOKUP(E619,Precios!B$2:N$941,12,FALSE)</f>
        <v>2000.0000000000002</v>
      </c>
      <c r="H619" s="12">
        <f t="shared" si="0"/>
        <v>2000.0000000000002</v>
      </c>
      <c r="I619" s="23" t="s">
        <v>52</v>
      </c>
      <c r="J619" s="23" t="s">
        <v>61</v>
      </c>
      <c r="K619" s="24" t="s">
        <v>177</v>
      </c>
      <c r="L619" s="24">
        <v>169</v>
      </c>
      <c r="M619" s="12">
        <f t="shared" ref="M619:N619" si="624">G619/1.19</f>
        <v>1680.6722689075632</v>
      </c>
      <c r="N619" s="12">
        <f t="shared" si="624"/>
        <v>1680.6722689075632</v>
      </c>
      <c r="O619" s="12">
        <f t="shared" si="2"/>
        <v>319.32773109243703</v>
      </c>
      <c r="P619" s="13"/>
      <c r="Q619" s="14">
        <f t="shared" si="3"/>
        <v>2025</v>
      </c>
      <c r="R619" s="15">
        <f>VLOOKUP(MONTH(C619),'Datos Maestros'!M$2:N$14,2,FALSE)</f>
        <v>45505</v>
      </c>
      <c r="S619" s="11" t="str">
        <f>VLOOKUP(E619,Precios!B$2:W$941,3,FALSE)</f>
        <v>Limpiapiso</v>
      </c>
      <c r="T619" s="16">
        <f>VLOOKUP(E619,Precios!B$2:N$941,4,FALSE)*F619</f>
        <v>5</v>
      </c>
      <c r="U619" s="17"/>
      <c r="V619" s="12">
        <f>VLOOKUP(E619,Precios!B$2:N$941,13,FALSE)*F619</f>
        <v>680.67226890756319</v>
      </c>
      <c r="W619" s="12">
        <f t="shared" si="4"/>
        <v>680.67226890756319</v>
      </c>
      <c r="X619" s="12">
        <f>VLOOKUP(B619,'Datos Maestros'!$C$2:$D$7,2,FALSE)*V619</f>
        <v>0</v>
      </c>
      <c r="Y619" s="18">
        <f t="shared" si="5"/>
        <v>45880</v>
      </c>
      <c r="Z619" s="13" t="s">
        <v>39</v>
      </c>
      <c r="AA619" s="19" t="str">
        <f>VLOOKUP(D619,Clientes!$A$2:$J$486,9,FALSE)</f>
        <v>Ocacional</v>
      </c>
      <c r="AB619" s="13" t="str">
        <f>VLOOKUP(D619,Clientes!$A$2:$K$486,11,FALSE)</f>
        <v>Persona Natural</v>
      </c>
      <c r="AC619" s="13" t="str">
        <f>VLOOKUP(D619,Clientes!$A$2:$B$486,2,FALSE)</f>
        <v>Jardin del eden</v>
      </c>
      <c r="AD619" s="20"/>
      <c r="AE619" s="20"/>
      <c r="AF619" s="13" t="s">
        <v>40</v>
      </c>
      <c r="AG619" s="15">
        <f t="shared" si="6"/>
        <v>45505</v>
      </c>
      <c r="AH619" s="13" t="s">
        <v>41</v>
      </c>
      <c r="AI619" s="13" t="str">
        <f t="shared" si="7"/>
        <v>Detergentes</v>
      </c>
      <c r="AJ619" s="13" t="str">
        <f>VLOOKUP(E619,Precios!Z$2:AA$941,2,FALSE)</f>
        <v>Limpiapiso SPUM 5 Litros</v>
      </c>
      <c r="AK619" s="14">
        <f>VLOOKUP(E619,Precios!Z$2:BB$941,3,FALSE)*F619</f>
        <v>-1</v>
      </c>
      <c r="AL619" s="17"/>
      <c r="AM619" s="17"/>
      <c r="AN619" s="17"/>
      <c r="AO619" s="17"/>
      <c r="AP619" s="17"/>
      <c r="AQ619" s="17"/>
      <c r="AR619" s="17"/>
      <c r="AS619" s="17"/>
      <c r="AT619" s="17"/>
      <c r="AU619" s="17"/>
      <c r="AV619" s="17"/>
    </row>
    <row r="620" spans="1:48" ht="15.75" customHeight="1">
      <c r="A620" s="21" t="s">
        <v>53</v>
      </c>
      <c r="B620" s="23" t="s">
        <v>1692</v>
      </c>
      <c r="C620" s="22">
        <v>45881</v>
      </c>
      <c r="D620" s="23" t="s">
        <v>276</v>
      </c>
      <c r="E620" s="23" t="s">
        <v>136</v>
      </c>
      <c r="F620" s="21">
        <v>1</v>
      </c>
      <c r="G620" s="12">
        <f>VLOOKUP(E620,Precios!B$2:N$941,12,FALSE)</f>
        <v>14900.292682926829</v>
      </c>
      <c r="H620" s="12">
        <f t="shared" si="0"/>
        <v>14900.292682926829</v>
      </c>
      <c r="I620" s="23" t="s">
        <v>52</v>
      </c>
      <c r="J620" s="23" t="s">
        <v>61</v>
      </c>
      <c r="K620" s="24" t="s">
        <v>177</v>
      </c>
      <c r="L620" s="24">
        <v>169</v>
      </c>
      <c r="M620" s="12">
        <f t="shared" ref="M620:N620" si="625">G620/1.19</f>
        <v>12521.254355400697</v>
      </c>
      <c r="N620" s="12">
        <f t="shared" si="625"/>
        <v>12521.254355400697</v>
      </c>
      <c r="O620" s="12">
        <f t="shared" si="2"/>
        <v>2379.038327526132</v>
      </c>
      <c r="P620" s="13"/>
      <c r="Q620" s="14">
        <f t="shared" si="3"/>
        <v>2025</v>
      </c>
      <c r="R620" s="15">
        <f>VLOOKUP(MONTH(C620),'Datos Maestros'!M$2:N$14,2,FALSE)</f>
        <v>45505</v>
      </c>
      <c r="S620" s="11" t="str">
        <f>VLOOKUP(E620,Precios!B$2:W$941,3,FALSE)</f>
        <v>Toalla Nova 26 mts</v>
      </c>
      <c r="T620" s="16">
        <f>VLOOKUP(E620,Precios!B$2:N$941,4,FALSE)*F620</f>
        <v>0</v>
      </c>
      <c r="U620" s="17"/>
      <c r="V620" s="12">
        <f>VLOOKUP(E620,Precios!B$2:N$941,13,FALSE)*F620</f>
        <v>3537.254355400697</v>
      </c>
      <c r="W620" s="12">
        <f t="shared" si="4"/>
        <v>3537.254355400697</v>
      </c>
      <c r="X620" s="12">
        <f>VLOOKUP(B620,'Datos Maestros'!$C$2:$D$7,2,FALSE)*V620</f>
        <v>0</v>
      </c>
      <c r="Y620" s="18">
        <f t="shared" si="5"/>
        <v>45880</v>
      </c>
      <c r="Z620" s="13" t="s">
        <v>39</v>
      </c>
      <c r="AA620" s="19" t="str">
        <f>VLOOKUP(D620,Clientes!$A$2:$J$486,9,FALSE)</f>
        <v>Ocacional</v>
      </c>
      <c r="AB620" s="13" t="str">
        <f>VLOOKUP(D620,Clientes!$A$2:$K$486,11,FALSE)</f>
        <v>Persona Natural</v>
      </c>
      <c r="AC620" s="13" t="str">
        <f>VLOOKUP(D620,Clientes!$A$2:$B$486,2,FALSE)</f>
        <v>Jardin del eden</v>
      </c>
      <c r="AD620" s="20"/>
      <c r="AE620" s="20"/>
      <c r="AF620" s="13" t="s">
        <v>40</v>
      </c>
      <c r="AG620" s="15">
        <f t="shared" si="6"/>
        <v>45505</v>
      </c>
      <c r="AH620" s="13" t="s">
        <v>41</v>
      </c>
      <c r="AI620" s="13" t="str">
        <f t="shared" si="7"/>
        <v>Papeleria</v>
      </c>
      <c r="AJ620" s="13" t="str">
        <f>VLOOKUP(E620,Precios!Z$2:AA$941,2,FALSE)</f>
        <v>Toalla Papel NOVA 26 metros</v>
      </c>
      <c r="AK620" s="14">
        <f>VLOOKUP(E620,Precios!Z$2:BB$941,3,FALSE)*F620</f>
        <v>-8</v>
      </c>
      <c r="AL620" s="17"/>
      <c r="AM620" s="17"/>
      <c r="AN620" s="17"/>
      <c r="AO620" s="17"/>
      <c r="AP620" s="17"/>
      <c r="AQ620" s="17"/>
      <c r="AR620" s="17"/>
      <c r="AS620" s="17"/>
      <c r="AT620" s="17"/>
      <c r="AU620" s="17"/>
      <c r="AV620" s="17"/>
    </row>
    <row r="621" spans="1:48" ht="15.75" customHeight="1">
      <c r="A621" s="21" t="s">
        <v>53</v>
      </c>
      <c r="B621" s="23" t="s">
        <v>1692</v>
      </c>
      <c r="C621" s="22">
        <v>45881</v>
      </c>
      <c r="D621" s="23" t="s">
        <v>276</v>
      </c>
      <c r="E621" s="23" t="s">
        <v>97</v>
      </c>
      <c r="F621" s="21">
        <v>1</v>
      </c>
      <c r="G621" s="12">
        <f>VLOOKUP(E621,Precios!B$2:N$941,12,FALSE)</f>
        <v>16500.236769693482</v>
      </c>
      <c r="H621" s="12">
        <f t="shared" si="0"/>
        <v>16500.236769693482</v>
      </c>
      <c r="I621" s="23" t="s">
        <v>52</v>
      </c>
      <c r="J621" s="23" t="s">
        <v>61</v>
      </c>
      <c r="K621" s="24" t="s">
        <v>177</v>
      </c>
      <c r="L621" s="24">
        <v>169</v>
      </c>
      <c r="M621" s="12">
        <f t="shared" ref="M621:N621" si="626">G621/1.19</f>
        <v>13865.745184616371</v>
      </c>
      <c r="N621" s="12">
        <f t="shared" si="626"/>
        <v>13865.745184616371</v>
      </c>
      <c r="O621" s="12">
        <f t="shared" si="2"/>
        <v>2634.4915850771104</v>
      </c>
      <c r="P621" s="13"/>
      <c r="Q621" s="14">
        <f t="shared" si="3"/>
        <v>2025</v>
      </c>
      <c r="R621" s="15">
        <f>VLOOKUP(MONTH(C621),'Datos Maestros'!M$2:N$14,2,FALSE)</f>
        <v>45505</v>
      </c>
      <c r="S621" s="11" t="str">
        <f>VLOOKUP(E621,Precios!B$2:W$941,3,FALSE)</f>
        <v>Papel Higiénico ELITE</v>
      </c>
      <c r="T621" s="16">
        <f>VLOOKUP(E621,Precios!B$2:N$941,4,FALSE)*F621</f>
        <v>0</v>
      </c>
      <c r="U621" s="17"/>
      <c r="V621" s="12">
        <f>VLOOKUP(E621,Precios!B$2:N$941,13,FALSE)*F621</f>
        <v>3031.7451846163694</v>
      </c>
      <c r="W621" s="12">
        <f t="shared" si="4"/>
        <v>3031.7451846163694</v>
      </c>
      <c r="X621" s="12">
        <f>VLOOKUP(B621,'Datos Maestros'!$C$2:$D$7,2,FALSE)*V621</f>
        <v>0</v>
      </c>
      <c r="Y621" s="18">
        <f t="shared" si="5"/>
        <v>45880</v>
      </c>
      <c r="Z621" s="13" t="s">
        <v>39</v>
      </c>
      <c r="AA621" s="19" t="str">
        <f>VLOOKUP(D621,Clientes!$A$2:$J$486,9,FALSE)</f>
        <v>Ocacional</v>
      </c>
      <c r="AB621" s="13" t="str">
        <f>VLOOKUP(D621,Clientes!$A$2:$K$486,11,FALSE)</f>
        <v>Persona Natural</v>
      </c>
      <c r="AC621" s="13" t="str">
        <f>VLOOKUP(D621,Clientes!$A$2:$B$486,2,FALSE)</f>
        <v>Jardin del eden</v>
      </c>
      <c r="AD621" s="20"/>
      <c r="AE621" s="20"/>
      <c r="AF621" s="13" t="s">
        <v>40</v>
      </c>
      <c r="AG621" s="15">
        <f t="shared" si="6"/>
        <v>45505</v>
      </c>
      <c r="AH621" s="13" t="s">
        <v>41</v>
      </c>
      <c r="AI621" s="13" t="str">
        <f t="shared" si="7"/>
        <v>Papeleria</v>
      </c>
      <c r="AJ621" s="13" t="str">
        <f>VLOOKUP(E621,Precios!Z$2:AA$941,2,FALSE)</f>
        <v>Papel Higienico ELITE 50 metros</v>
      </c>
      <c r="AK621" s="14">
        <f>VLOOKUP(E621,Precios!Z$2:BB$941,3,FALSE)*F621</f>
        <v>-6</v>
      </c>
      <c r="AL621" s="17"/>
      <c r="AM621" s="17"/>
      <c r="AN621" s="17"/>
      <c r="AO621" s="17"/>
      <c r="AP621" s="17"/>
      <c r="AQ621" s="17"/>
      <c r="AR621" s="17"/>
      <c r="AS621" s="17"/>
      <c r="AT621" s="17"/>
      <c r="AU621" s="17"/>
      <c r="AV621" s="17"/>
    </row>
    <row r="622" spans="1:48" ht="15.75" customHeight="1">
      <c r="A622" s="21" t="s">
        <v>47</v>
      </c>
      <c r="B622" s="23" t="s">
        <v>1692</v>
      </c>
      <c r="C622" s="22">
        <v>45881</v>
      </c>
      <c r="D622" s="23" t="s">
        <v>276</v>
      </c>
      <c r="E622" s="23" t="s">
        <v>289</v>
      </c>
      <c r="F622" s="21">
        <v>1</v>
      </c>
      <c r="G622" s="12">
        <f>VLOOKUP(E622,Precios!B$2:N$941,12,FALSE)</f>
        <v>3200.065217391304</v>
      </c>
      <c r="H622" s="12">
        <f t="shared" si="0"/>
        <v>3200.065217391304</v>
      </c>
      <c r="I622" s="23" t="s">
        <v>52</v>
      </c>
      <c r="J622" s="23" t="s">
        <v>61</v>
      </c>
      <c r="K622" s="24" t="s">
        <v>177</v>
      </c>
      <c r="L622" s="24">
        <v>169</v>
      </c>
      <c r="M622" s="12">
        <f t="shared" ref="M622:N622" si="627">G622/1.19</f>
        <v>2689.1304347826085</v>
      </c>
      <c r="N622" s="12">
        <f t="shared" si="627"/>
        <v>2689.1304347826085</v>
      </c>
      <c r="O622" s="12">
        <f t="shared" si="2"/>
        <v>510.93478260869551</v>
      </c>
      <c r="P622" s="13"/>
      <c r="Q622" s="14">
        <f t="shared" si="3"/>
        <v>2025</v>
      </c>
      <c r="R622" s="15">
        <f>VLOOKUP(MONTH(C622),'Datos Maestros'!M$2:N$14,2,FALSE)</f>
        <v>45505</v>
      </c>
      <c r="S622" s="11" t="str">
        <f>VLOOKUP(E622,Precios!B$2:W$941,3,FALSE)</f>
        <v>Velas</v>
      </c>
      <c r="T622" s="16">
        <f>VLOOKUP(E622,Precios!B$2:N$941,4,FALSE)*F622</f>
        <v>0</v>
      </c>
      <c r="U622" s="17"/>
      <c r="V622" s="12">
        <f>VLOOKUP(E622,Precios!B$2:N$941,13,FALSE)*F622</f>
        <v>1297.5054347826085</v>
      </c>
      <c r="W622" s="12">
        <f t="shared" si="4"/>
        <v>1297.5054347826085</v>
      </c>
      <c r="X622" s="12">
        <f>VLOOKUP(B622,'Datos Maestros'!$C$2:$D$7,2,FALSE)*V622</f>
        <v>0</v>
      </c>
      <c r="Y622" s="18">
        <f t="shared" si="5"/>
        <v>45880</v>
      </c>
      <c r="Z622" s="13" t="s">
        <v>39</v>
      </c>
      <c r="AA622" s="19" t="str">
        <f>VLOOKUP(D622,Clientes!$A$2:$J$486,9,FALSE)</f>
        <v>Ocacional</v>
      </c>
      <c r="AB622" s="13" t="str">
        <f>VLOOKUP(D622,Clientes!$A$2:$K$486,11,FALSE)</f>
        <v>Persona Natural</v>
      </c>
      <c r="AC622" s="13" t="str">
        <f>VLOOKUP(D622,Clientes!$A$2:$B$486,2,FALSE)</f>
        <v>Jardin del eden</v>
      </c>
      <c r="AD622" s="20"/>
      <c r="AE622" s="20"/>
      <c r="AF622" s="13" t="s">
        <v>40</v>
      </c>
      <c r="AG622" s="15">
        <f t="shared" si="6"/>
        <v>45505</v>
      </c>
      <c r="AH622" s="13" t="s">
        <v>41</v>
      </c>
      <c r="AI622" s="13" t="str">
        <f t="shared" si="7"/>
        <v>Articulos de Aseo</v>
      </c>
      <c r="AJ622" s="13" t="str">
        <f>VLOOKUP(E622,Precios!Z$2:AA$941,2,FALSE)</f>
        <v>Velas Grandes</v>
      </c>
      <c r="AK622" s="14">
        <f>VLOOKUP(E622,Precios!Z$2:BB$941,3,FALSE)*F622</f>
        <v>-3</v>
      </c>
      <c r="AL622" s="17"/>
      <c r="AM622" s="17"/>
      <c r="AN622" s="17"/>
      <c r="AO622" s="17"/>
      <c r="AP622" s="17"/>
      <c r="AQ622" s="17"/>
      <c r="AR622" s="17"/>
      <c r="AS622" s="17"/>
      <c r="AT622" s="17"/>
      <c r="AU622" s="17"/>
      <c r="AV622" s="17"/>
    </row>
    <row r="623" spans="1:48" ht="15.75" customHeight="1">
      <c r="A623" s="21" t="s">
        <v>43</v>
      </c>
      <c r="B623" s="23" t="s">
        <v>1692</v>
      </c>
      <c r="C623" s="22">
        <v>45881</v>
      </c>
      <c r="D623" s="23" t="s">
        <v>276</v>
      </c>
      <c r="E623" s="23" t="s">
        <v>45</v>
      </c>
      <c r="F623" s="21">
        <v>1</v>
      </c>
      <c r="G623" s="12">
        <f>VLOOKUP(E623,Precios!B$2:N$941,12,FALSE)</f>
        <v>8000.1831784723063</v>
      </c>
      <c r="H623" s="12">
        <f t="shared" si="0"/>
        <v>8000.1831784723063</v>
      </c>
      <c r="I623" s="23" t="s">
        <v>52</v>
      </c>
      <c r="J623" s="23" t="s">
        <v>61</v>
      </c>
      <c r="K623" s="24" t="s">
        <v>177</v>
      </c>
      <c r="L623" s="24">
        <v>169</v>
      </c>
      <c r="M623" s="12">
        <f t="shared" ref="M623:N623" si="628">G623/1.19</f>
        <v>6722.8430071195853</v>
      </c>
      <c r="N623" s="12">
        <f t="shared" si="628"/>
        <v>6722.8430071195853</v>
      </c>
      <c r="O623" s="12">
        <f t="shared" si="2"/>
        <v>1277.340171352721</v>
      </c>
      <c r="P623" s="13"/>
      <c r="Q623" s="14">
        <f t="shared" si="3"/>
        <v>2025</v>
      </c>
      <c r="R623" s="15">
        <f>VLOOKUP(MONTH(C623),'Datos Maestros'!M$2:N$14,2,FALSE)</f>
        <v>45505</v>
      </c>
      <c r="S623" s="11" t="str">
        <f>VLOOKUP(E623,Precios!B$2:W$941,3,FALSE)</f>
        <v>Huevos EXTRA</v>
      </c>
      <c r="T623" s="16">
        <f>VLOOKUP(E623,Precios!B$2:N$941,4,FALSE)*F623</f>
        <v>0</v>
      </c>
      <c r="U623" s="17"/>
      <c r="V623" s="12">
        <f>VLOOKUP(E623,Precios!B$2:N$941,13,FALSE)*F623</f>
        <v>1151.6230071195851</v>
      </c>
      <c r="W623" s="12">
        <f t="shared" si="4"/>
        <v>1151.6230071195851</v>
      </c>
      <c r="X623" s="12">
        <f>VLOOKUP(B623,'Datos Maestros'!$C$2:$D$7,2,FALSE)*V623</f>
        <v>0</v>
      </c>
      <c r="Y623" s="18">
        <f t="shared" si="5"/>
        <v>45880</v>
      </c>
      <c r="Z623" s="13" t="s">
        <v>39</v>
      </c>
      <c r="AA623" s="19" t="str">
        <f>VLOOKUP(D623,Clientes!$A$2:$J$486,9,FALSE)</f>
        <v>Ocacional</v>
      </c>
      <c r="AB623" s="13" t="str">
        <f>VLOOKUP(D623,Clientes!$A$2:$K$486,11,FALSE)</f>
        <v>Persona Natural</v>
      </c>
      <c r="AC623" s="13" t="str">
        <f>VLOOKUP(D623,Clientes!$A$2:$B$486,2,FALSE)</f>
        <v>Jardin del eden</v>
      </c>
      <c r="AD623" s="20"/>
      <c r="AE623" s="20"/>
      <c r="AF623" s="13" t="s">
        <v>40</v>
      </c>
      <c r="AG623" s="15">
        <f t="shared" si="6"/>
        <v>45505</v>
      </c>
      <c r="AH623" s="13" t="s">
        <v>41</v>
      </c>
      <c r="AI623" s="13" t="str">
        <f t="shared" si="7"/>
        <v>Huevos</v>
      </c>
      <c r="AJ623" s="13" t="str">
        <f>VLOOKUP(E623,Precios!Z$2:AA$941,2,FALSE)</f>
        <v>Bandeja Huevos EXTRA</v>
      </c>
      <c r="AK623" s="14">
        <f>VLOOKUP(E623,Precios!Z$2:BB$941,3,FALSE)*F623</f>
        <v>-1</v>
      </c>
      <c r="AL623" s="17"/>
      <c r="AM623" s="17"/>
      <c r="AN623" s="17"/>
      <c r="AO623" s="17"/>
      <c r="AP623" s="17"/>
      <c r="AQ623" s="17"/>
      <c r="AR623" s="17"/>
      <c r="AS623" s="17"/>
      <c r="AT623" s="17"/>
      <c r="AU623" s="17"/>
      <c r="AV623" s="17"/>
    </row>
    <row r="624" spans="1:48" ht="15.75" customHeight="1">
      <c r="A624" s="21" t="s">
        <v>35</v>
      </c>
      <c r="B624" s="23" t="s">
        <v>1692</v>
      </c>
      <c r="C624" s="22">
        <v>45881</v>
      </c>
      <c r="D624" s="23" t="s">
        <v>146</v>
      </c>
      <c r="E624" s="23" t="s">
        <v>117</v>
      </c>
      <c r="F624" s="21">
        <v>1</v>
      </c>
      <c r="G624" s="12">
        <f>VLOOKUP(E624,Precios!B$2:N$941,12,FALSE)</f>
        <v>8999.8271341726922</v>
      </c>
      <c r="H624" s="12">
        <f t="shared" si="0"/>
        <v>8999.8271341726922</v>
      </c>
      <c r="I624" s="23" t="s">
        <v>52</v>
      </c>
      <c r="J624" s="23" t="s">
        <v>61</v>
      </c>
      <c r="K624" s="24" t="s">
        <v>177</v>
      </c>
      <c r="L624" s="24">
        <v>169</v>
      </c>
      <c r="M624" s="12">
        <f t="shared" ref="M624:N624" si="629">G624/1.19</f>
        <v>7562.8799446829353</v>
      </c>
      <c r="N624" s="12">
        <f t="shared" si="629"/>
        <v>7562.8799446829353</v>
      </c>
      <c r="O624" s="12">
        <f t="shared" si="2"/>
        <v>1436.947189489757</v>
      </c>
      <c r="P624" s="13"/>
      <c r="Q624" s="14">
        <f t="shared" si="3"/>
        <v>2025</v>
      </c>
      <c r="R624" s="15">
        <f>VLOOKUP(MONTH(C624),'Datos Maestros'!M$2:N$14,2,FALSE)</f>
        <v>45505</v>
      </c>
      <c r="S624" s="11" t="str">
        <f>VLOOKUP(E624,Precios!B$2:W$941,3,FALSE)</f>
        <v>Queso Mantecoso</v>
      </c>
      <c r="T624" s="16">
        <f>VLOOKUP(E624,Precios!B$2:N$941,4,FALSE)*F624</f>
        <v>750</v>
      </c>
      <c r="U624" s="17"/>
      <c r="V624" s="12">
        <f>VLOOKUP(E624,Precios!B$2:N$941,13,FALSE)*F624</f>
        <v>2312.8799446829353</v>
      </c>
      <c r="W624" s="12">
        <f t="shared" si="4"/>
        <v>2312.8799446829353</v>
      </c>
      <c r="X624" s="12">
        <f>VLOOKUP(B624,'Datos Maestros'!$C$2:$D$7,2,FALSE)*V624</f>
        <v>0</v>
      </c>
      <c r="Y624" s="18">
        <f t="shared" si="5"/>
        <v>45880</v>
      </c>
      <c r="Z624" s="13" t="s">
        <v>39</v>
      </c>
      <c r="AA624" s="19" t="str">
        <f>VLOOKUP(D624,Clientes!$A$2:$J$486,9,FALSE)</f>
        <v>Ocacional</v>
      </c>
      <c r="AB624" s="13" t="str">
        <f>VLOOKUP(D624,Clientes!$A$2:$K$486,11,FALSE)</f>
        <v>Persona Natural</v>
      </c>
      <c r="AC624" s="13" t="str">
        <f>VLOOKUP(D624,Clientes!$A$2:$B$486,2,FALSE)</f>
        <v>Jardin del eden</v>
      </c>
      <c r="AD624" s="20"/>
      <c r="AE624" s="20"/>
      <c r="AF624" s="13" t="s">
        <v>40</v>
      </c>
      <c r="AG624" s="15">
        <f t="shared" si="6"/>
        <v>45505</v>
      </c>
      <c r="AH624" s="13" t="s">
        <v>41</v>
      </c>
      <c r="AI624" s="13" t="str">
        <f t="shared" si="7"/>
        <v>Quesos</v>
      </c>
      <c r="AJ624" s="13" t="str">
        <f>VLOOKUP(E624,Precios!Z$2:AA$941,2,FALSE)</f>
        <v>Queso RUNCA Laminado Mantecoso</v>
      </c>
      <c r="AK624" s="14">
        <f>VLOOKUP(E624,Precios!Z$2:BB$941,3,FALSE)*F624</f>
        <v>-0.75</v>
      </c>
      <c r="AL624" s="17"/>
      <c r="AM624" s="17"/>
      <c r="AN624" s="17"/>
      <c r="AO624" s="17"/>
      <c r="AP624" s="17"/>
      <c r="AQ624" s="17"/>
      <c r="AR624" s="17"/>
      <c r="AS624" s="17"/>
      <c r="AT624" s="17"/>
      <c r="AU624" s="17"/>
      <c r="AV624" s="17"/>
    </row>
    <row r="625" spans="1:48" ht="15.75" customHeight="1">
      <c r="A625" s="21" t="s">
        <v>53</v>
      </c>
      <c r="B625" s="23" t="s">
        <v>1692</v>
      </c>
      <c r="C625" s="22">
        <v>45881</v>
      </c>
      <c r="D625" s="23" t="s">
        <v>146</v>
      </c>
      <c r="E625" s="23" t="s">
        <v>97</v>
      </c>
      <c r="F625" s="21">
        <v>1</v>
      </c>
      <c r="G625" s="12">
        <f>VLOOKUP(E625,Precios!B$2:N$941,12,FALSE)</f>
        <v>16500.236769693482</v>
      </c>
      <c r="H625" s="12">
        <f t="shared" si="0"/>
        <v>16500.236769693482</v>
      </c>
      <c r="I625" s="23" t="s">
        <v>52</v>
      </c>
      <c r="J625" s="23" t="s">
        <v>61</v>
      </c>
      <c r="K625" s="24" t="s">
        <v>177</v>
      </c>
      <c r="L625" s="24">
        <v>169</v>
      </c>
      <c r="M625" s="12">
        <f t="shared" ref="M625:N625" si="630">G625/1.19</f>
        <v>13865.745184616371</v>
      </c>
      <c r="N625" s="12">
        <f t="shared" si="630"/>
        <v>13865.745184616371</v>
      </c>
      <c r="O625" s="12">
        <f t="shared" si="2"/>
        <v>2634.4915850771104</v>
      </c>
      <c r="P625" s="13"/>
      <c r="Q625" s="14">
        <f t="shared" si="3"/>
        <v>2025</v>
      </c>
      <c r="R625" s="15">
        <f>VLOOKUP(MONTH(C625),'Datos Maestros'!M$2:N$14,2,FALSE)</f>
        <v>45505</v>
      </c>
      <c r="S625" s="11" t="str">
        <f>VLOOKUP(E625,Precios!B$2:W$941,3,FALSE)</f>
        <v>Papel Higiénico ELITE</v>
      </c>
      <c r="T625" s="16">
        <f>VLOOKUP(E625,Precios!B$2:N$941,4,FALSE)*F625</f>
        <v>0</v>
      </c>
      <c r="U625" s="17"/>
      <c r="V625" s="12">
        <f>VLOOKUP(E625,Precios!B$2:N$941,13,FALSE)*F625</f>
        <v>3031.7451846163694</v>
      </c>
      <c r="W625" s="12">
        <f t="shared" si="4"/>
        <v>3031.7451846163694</v>
      </c>
      <c r="X625" s="12">
        <f>VLOOKUP(B625,'Datos Maestros'!$C$2:$D$7,2,FALSE)*V625</f>
        <v>0</v>
      </c>
      <c r="Y625" s="18">
        <f t="shared" si="5"/>
        <v>45880</v>
      </c>
      <c r="Z625" s="13" t="s">
        <v>39</v>
      </c>
      <c r="AA625" s="19" t="str">
        <f>VLOOKUP(D625,Clientes!$A$2:$J$486,9,FALSE)</f>
        <v>Ocacional</v>
      </c>
      <c r="AB625" s="13" t="str">
        <f>VLOOKUP(D625,Clientes!$A$2:$K$486,11,FALSE)</f>
        <v>Persona Natural</v>
      </c>
      <c r="AC625" s="13" t="str">
        <f>VLOOKUP(D625,Clientes!$A$2:$B$486,2,FALSE)</f>
        <v>Jardin del eden</v>
      </c>
      <c r="AD625" s="20"/>
      <c r="AE625" s="20"/>
      <c r="AF625" s="13" t="s">
        <v>40</v>
      </c>
      <c r="AG625" s="15">
        <f t="shared" si="6"/>
        <v>45505</v>
      </c>
      <c r="AH625" s="13" t="s">
        <v>41</v>
      </c>
      <c r="AI625" s="13" t="str">
        <f t="shared" si="7"/>
        <v>Papeleria</v>
      </c>
      <c r="AJ625" s="13" t="str">
        <f>VLOOKUP(E625,Precios!Z$2:AA$941,2,FALSE)</f>
        <v>Papel Higienico ELITE 50 metros</v>
      </c>
      <c r="AK625" s="14">
        <f>VLOOKUP(E625,Precios!Z$2:BB$941,3,FALSE)*F625</f>
        <v>-6</v>
      </c>
      <c r="AL625" s="17"/>
      <c r="AM625" s="17"/>
      <c r="AN625" s="17"/>
      <c r="AO625" s="17"/>
      <c r="AP625" s="17"/>
      <c r="AQ625" s="17"/>
      <c r="AR625" s="17"/>
      <c r="AS625" s="17"/>
      <c r="AT625" s="17"/>
      <c r="AU625" s="17"/>
      <c r="AV625" s="17"/>
    </row>
    <row r="626" spans="1:48" ht="15.75" customHeight="1">
      <c r="A626" s="21" t="s">
        <v>47</v>
      </c>
      <c r="B626" s="23" t="s">
        <v>1692</v>
      </c>
      <c r="C626" s="22">
        <v>45880</v>
      </c>
      <c r="D626" s="23" t="s">
        <v>915</v>
      </c>
      <c r="E626" s="23" t="s">
        <v>92</v>
      </c>
      <c r="F626" s="21">
        <v>1</v>
      </c>
      <c r="G626" s="12">
        <f>VLOOKUP(E626,Precios!B$2:N$941,12,FALSE)</f>
        <v>3400.2970989164628</v>
      </c>
      <c r="H626" s="12">
        <f t="shared" si="0"/>
        <v>3400.2970989164628</v>
      </c>
      <c r="I626" s="23" t="s">
        <v>52</v>
      </c>
      <c r="J626" s="23" t="s">
        <v>38</v>
      </c>
      <c r="K626" s="24" t="s">
        <v>177</v>
      </c>
      <c r="L626" s="24">
        <v>169</v>
      </c>
      <c r="M626" s="12">
        <f t="shared" ref="M626:N626" si="631">G626/1.19</f>
        <v>2857.3925200978679</v>
      </c>
      <c r="N626" s="12">
        <f t="shared" si="631"/>
        <v>2857.3925200978679</v>
      </c>
      <c r="O626" s="12">
        <f t="shared" si="2"/>
        <v>542.90457881859493</v>
      </c>
      <c r="P626" s="13"/>
      <c r="Q626" s="14">
        <f t="shared" si="3"/>
        <v>2025</v>
      </c>
      <c r="R626" s="15">
        <f>VLOOKUP(MONTH(C626),'Datos Maestros'!M$2:N$14,2,FALSE)</f>
        <v>45505</v>
      </c>
      <c r="S626" s="11" t="str">
        <f>VLOOKUP(E626,Precios!B$2:W$941,3,FALSE)</f>
        <v>Bolsa Basura</v>
      </c>
      <c r="T626" s="16">
        <f>VLOOKUP(E626,Precios!B$2:N$941,4,FALSE)*F626</f>
        <v>0</v>
      </c>
      <c r="U626" s="17"/>
      <c r="V626" s="12">
        <f>VLOOKUP(E626,Precios!B$2:N$941,13,FALSE)*F626</f>
        <v>1222.3925200978679</v>
      </c>
      <c r="W626" s="12">
        <f t="shared" si="4"/>
        <v>1222.3925200978679</v>
      </c>
      <c r="X626" s="12">
        <f>VLOOKUP(B626,'Datos Maestros'!$C$2:$D$7,2,FALSE)*V626</f>
        <v>0</v>
      </c>
      <c r="Y626" s="18">
        <f t="shared" si="5"/>
        <v>45880</v>
      </c>
      <c r="Z626" s="13" t="s">
        <v>39</v>
      </c>
      <c r="AA626" s="19" t="str">
        <f>VLOOKUP(D626,Clientes!$A$2:$J$486,9,FALSE)</f>
        <v>Regular</v>
      </c>
      <c r="AB626" s="13" t="str">
        <f>VLOOKUP(D626,Clientes!$A$2:$K$486,11,FALSE)</f>
        <v>Persona Natural</v>
      </c>
      <c r="AC626" s="13" t="str">
        <f>VLOOKUP(D626,Clientes!$A$2:$B$486,2,FALSE)</f>
        <v>Jardin del Eden</v>
      </c>
      <c r="AD626" s="20"/>
      <c r="AE626" s="20"/>
      <c r="AF626" s="13" t="s">
        <v>40</v>
      </c>
      <c r="AG626" s="15">
        <f t="shared" si="6"/>
        <v>45505</v>
      </c>
      <c r="AH626" s="13" t="s">
        <v>41</v>
      </c>
      <c r="AI626" s="13" t="str">
        <f t="shared" si="7"/>
        <v>Articulos de Aseo</v>
      </c>
      <c r="AJ626" s="13" t="str">
        <f>VLOOKUP(E626,Precios!Z$2:AA$941,2,FALSE)</f>
        <v xml:space="preserve">Bolsas Basura TEDDY 70x90 </v>
      </c>
      <c r="AK626" s="14">
        <f>VLOOKUP(E626,Precios!Z$2:BB$941,3,FALSE)*F626</f>
        <v>-3</v>
      </c>
      <c r="AL626" s="17"/>
      <c r="AM626" s="17"/>
      <c r="AN626" s="17"/>
      <c r="AO626" s="17"/>
      <c r="AP626" s="17"/>
      <c r="AQ626" s="17"/>
      <c r="AR626" s="17"/>
      <c r="AS626" s="17"/>
      <c r="AT626" s="17"/>
      <c r="AU626" s="17"/>
      <c r="AV626" s="17"/>
    </row>
    <row r="627" spans="1:48" ht="15.75" customHeight="1">
      <c r="A627" s="21" t="s">
        <v>43</v>
      </c>
      <c r="B627" s="23" t="s">
        <v>1692</v>
      </c>
      <c r="C627" s="22">
        <v>45880</v>
      </c>
      <c r="D627" s="23" t="s">
        <v>184</v>
      </c>
      <c r="E627" s="23" t="s">
        <v>45</v>
      </c>
      <c r="F627" s="21">
        <v>1</v>
      </c>
      <c r="G627" s="12">
        <f>VLOOKUP(E627,Precios!B$2:N$941,12,FALSE)</f>
        <v>8000.1831784723063</v>
      </c>
      <c r="H627" s="12">
        <f t="shared" si="0"/>
        <v>8000.1831784723063</v>
      </c>
      <c r="I627" s="23" t="s">
        <v>52</v>
      </c>
      <c r="J627" s="23" t="s">
        <v>61</v>
      </c>
      <c r="K627" s="24" t="s">
        <v>177</v>
      </c>
      <c r="L627" s="24">
        <v>169</v>
      </c>
      <c r="M627" s="12">
        <f t="shared" ref="M627:N627" si="632">G627/1.19</f>
        <v>6722.8430071195853</v>
      </c>
      <c r="N627" s="12">
        <f t="shared" si="632"/>
        <v>6722.8430071195853</v>
      </c>
      <c r="O627" s="12">
        <f t="shared" si="2"/>
        <v>1277.340171352721</v>
      </c>
      <c r="P627" s="13"/>
      <c r="Q627" s="14">
        <f t="shared" si="3"/>
        <v>2025</v>
      </c>
      <c r="R627" s="15">
        <f>VLOOKUP(MONTH(C627),'Datos Maestros'!M$2:N$14,2,FALSE)</f>
        <v>45505</v>
      </c>
      <c r="S627" s="11" t="str">
        <f>VLOOKUP(E627,Precios!B$2:W$941,3,FALSE)</f>
        <v>Huevos EXTRA</v>
      </c>
      <c r="T627" s="16">
        <f>VLOOKUP(E627,Precios!B$2:N$941,4,FALSE)*F627</f>
        <v>0</v>
      </c>
      <c r="U627" s="17"/>
      <c r="V627" s="12">
        <f>VLOOKUP(E627,Precios!B$2:N$941,13,FALSE)*F627</f>
        <v>1151.6230071195851</v>
      </c>
      <c r="W627" s="12">
        <f t="shared" si="4"/>
        <v>1151.6230071195851</v>
      </c>
      <c r="X627" s="12">
        <f>VLOOKUP(B627,'Datos Maestros'!$C$2:$D$7,2,FALSE)*V627</f>
        <v>0</v>
      </c>
      <c r="Y627" s="18">
        <f t="shared" si="5"/>
        <v>45880</v>
      </c>
      <c r="Z627" s="13" t="s">
        <v>39</v>
      </c>
      <c r="AA627" s="19" t="str">
        <f>VLOOKUP(D627,Clientes!$A$2:$J$486,9,FALSE)</f>
        <v>Frecuente</v>
      </c>
      <c r="AB627" s="13" t="str">
        <f>VLOOKUP(D627,Clientes!$A$2:$K$486,11,FALSE)</f>
        <v>Persona Natural</v>
      </c>
      <c r="AC627" s="13" t="str">
        <f>VLOOKUP(D627,Clientes!$A$2:$B$486,2,FALSE)</f>
        <v>Jardin del Eden</v>
      </c>
      <c r="AD627" s="20"/>
      <c r="AE627" s="20"/>
      <c r="AF627" s="13" t="s">
        <v>40</v>
      </c>
      <c r="AG627" s="15">
        <f t="shared" si="6"/>
        <v>45505</v>
      </c>
      <c r="AH627" s="13" t="s">
        <v>41</v>
      </c>
      <c r="AI627" s="13" t="str">
        <f t="shared" si="7"/>
        <v>Huevos</v>
      </c>
      <c r="AJ627" s="13" t="str">
        <f>VLOOKUP(E627,Precios!Z$2:AA$941,2,FALSE)</f>
        <v>Bandeja Huevos EXTRA</v>
      </c>
      <c r="AK627" s="14">
        <f>VLOOKUP(E627,Precios!Z$2:BB$941,3,FALSE)*F627</f>
        <v>-1</v>
      </c>
      <c r="AL627" s="17"/>
      <c r="AM627" s="17"/>
      <c r="AN627" s="17"/>
      <c r="AO627" s="17"/>
      <c r="AP627" s="17"/>
      <c r="AQ627" s="17"/>
      <c r="AR627" s="17"/>
      <c r="AS627" s="17"/>
      <c r="AT627" s="17"/>
      <c r="AU627" s="17"/>
      <c r="AV627" s="17"/>
    </row>
    <row r="628" spans="1:48" ht="15.75" customHeight="1">
      <c r="A628" s="21" t="s">
        <v>53</v>
      </c>
      <c r="B628" s="23" t="s">
        <v>1692</v>
      </c>
      <c r="C628" s="22">
        <v>45879</v>
      </c>
      <c r="D628" s="23" t="s">
        <v>329</v>
      </c>
      <c r="E628" s="23" t="s">
        <v>55</v>
      </c>
      <c r="F628" s="21">
        <v>1</v>
      </c>
      <c r="G628" s="12">
        <f>VLOOKUP(E628,Precios!B$2:N$941,12,FALSE)</f>
        <v>20899.91124296327</v>
      </c>
      <c r="H628" s="12">
        <f t="shared" si="0"/>
        <v>20899.91124296327</v>
      </c>
      <c r="I628" s="23" t="s">
        <v>52</v>
      </c>
      <c r="J628" s="23" t="s">
        <v>61</v>
      </c>
      <c r="K628" s="24" t="s">
        <v>177</v>
      </c>
      <c r="L628" s="24">
        <v>168</v>
      </c>
      <c r="M628" s="12">
        <f t="shared" ref="M628:N628" si="633">G628/1.19</f>
        <v>17562.950624338882</v>
      </c>
      <c r="N628" s="12">
        <f t="shared" si="633"/>
        <v>17562.950624338882</v>
      </c>
      <c r="O628" s="12">
        <f t="shared" si="2"/>
        <v>3336.9606186243873</v>
      </c>
      <c r="P628" s="13"/>
      <c r="Q628" s="14">
        <f t="shared" si="3"/>
        <v>2025</v>
      </c>
      <c r="R628" s="15">
        <f>VLOOKUP(MONTH(C628),'Datos Maestros'!M$2:N$14,2,FALSE)</f>
        <v>45505</v>
      </c>
      <c r="S628" s="11" t="str">
        <f>VLOOKUP(E628,Precios!B$2:W$941,3,FALSE)</f>
        <v>Papel Higiénico ELITE</v>
      </c>
      <c r="T628" s="16">
        <f>VLOOKUP(E628,Precios!B$2:N$941,4,FALSE)*F628</f>
        <v>0</v>
      </c>
      <c r="U628" s="17"/>
      <c r="V628" s="12">
        <f>VLOOKUP(E628,Precios!B$2:N$941,13,FALSE)*F628</f>
        <v>3117.9506243388823</v>
      </c>
      <c r="W628" s="12">
        <f t="shared" si="4"/>
        <v>3117.9506243388823</v>
      </c>
      <c r="X628" s="12">
        <f>VLOOKUP(B628,'Datos Maestros'!$C$2:$D$7,2,FALSE)*V628</f>
        <v>0</v>
      </c>
      <c r="Y628" s="18">
        <f t="shared" si="5"/>
        <v>45873</v>
      </c>
      <c r="Z628" s="13" t="s">
        <v>39</v>
      </c>
      <c r="AA628" s="19" t="str">
        <f>VLOOKUP(D628,Clientes!$A$2:$J$486,9,FALSE)</f>
        <v>Ocacional</v>
      </c>
      <c r="AB628" s="13" t="str">
        <f>VLOOKUP(D628,Clientes!$A$2:$K$486,11,FALSE)</f>
        <v>Persona Natural</v>
      </c>
      <c r="AC628" s="13" t="str">
        <f>VLOOKUP(D628,Clientes!$A$2:$B$486,2,FALSE)</f>
        <v>Sector Enrique Olivares</v>
      </c>
      <c r="AD628" s="20"/>
      <c r="AE628" s="20"/>
      <c r="AF628" s="13" t="s">
        <v>40</v>
      </c>
      <c r="AG628" s="15">
        <f t="shared" si="6"/>
        <v>45505</v>
      </c>
      <c r="AH628" s="13" t="s">
        <v>41</v>
      </c>
      <c r="AI628" s="13" t="str">
        <f t="shared" si="7"/>
        <v>Papeleria</v>
      </c>
      <c r="AJ628" s="13" t="str">
        <f>VLOOKUP(E628,Precios!Z$2:AA$941,2,FALSE)</f>
        <v>Papel Higienico ELITE 50 metros</v>
      </c>
      <c r="AK628" s="14">
        <f>VLOOKUP(E628,Precios!Z$2:BB$941,3,FALSE)*F628</f>
        <v>-8</v>
      </c>
      <c r="AL628" s="17"/>
      <c r="AM628" s="17"/>
      <c r="AN628" s="17"/>
      <c r="AO628" s="17"/>
      <c r="AP628" s="17"/>
      <c r="AQ628" s="17"/>
      <c r="AR628" s="17"/>
      <c r="AS628" s="17"/>
      <c r="AT628" s="17"/>
      <c r="AU628" s="17"/>
      <c r="AV628" s="17"/>
    </row>
    <row r="629" spans="1:48" ht="15.75" customHeight="1">
      <c r="A629" s="21" t="s">
        <v>76</v>
      </c>
      <c r="B629" s="23" t="s">
        <v>1692</v>
      </c>
      <c r="C629" s="22">
        <v>45879</v>
      </c>
      <c r="D629" s="23" t="s">
        <v>329</v>
      </c>
      <c r="E629" s="23" t="s">
        <v>77</v>
      </c>
      <c r="F629" s="21">
        <v>2</v>
      </c>
      <c r="G629" s="12">
        <f>VLOOKUP(E629,Precios!B$2:N$941,12,FALSE)</f>
        <v>1700.1361470388019</v>
      </c>
      <c r="H629" s="12">
        <f t="shared" si="0"/>
        <v>3400.2722940776039</v>
      </c>
      <c r="I629" s="23" t="s">
        <v>52</v>
      </c>
      <c r="J629" s="23" t="s">
        <v>61</v>
      </c>
      <c r="K629" s="24" t="s">
        <v>177</v>
      </c>
      <c r="L629" s="24">
        <v>168</v>
      </c>
      <c r="M629" s="12">
        <f t="shared" ref="M629:N629" si="634">G629/1.19</f>
        <v>1428.6858378477327</v>
      </c>
      <c r="N629" s="12">
        <f t="shared" si="634"/>
        <v>2857.3716756954655</v>
      </c>
      <c r="O629" s="12">
        <f t="shared" si="2"/>
        <v>542.90061838213842</v>
      </c>
      <c r="P629" s="13"/>
      <c r="Q629" s="14">
        <f t="shared" si="3"/>
        <v>2025</v>
      </c>
      <c r="R629" s="15">
        <f>VLOOKUP(MONTH(C629),'Datos Maestros'!M$2:N$14,2,FALSE)</f>
        <v>45505</v>
      </c>
      <c r="S629" s="11" t="str">
        <f>VLOOKUP(E629,Precios!B$2:W$941,3,FALSE)</f>
        <v>Cloro Gel</v>
      </c>
      <c r="T629" s="16">
        <f>VLOOKUP(E629,Precios!B$2:N$941,4,FALSE)*F629</f>
        <v>0</v>
      </c>
      <c r="U629" s="17"/>
      <c r="V629" s="12">
        <f>VLOOKUP(E629,Precios!B$2:N$941,13,FALSE)*F629</f>
        <v>1178.38007905681</v>
      </c>
      <c r="W629" s="12">
        <f t="shared" si="4"/>
        <v>1178.38007905681</v>
      </c>
      <c r="X629" s="12">
        <f>VLOOKUP(B629,'Datos Maestros'!$C$2:$D$7,2,FALSE)*V629</f>
        <v>0</v>
      </c>
      <c r="Y629" s="18">
        <f t="shared" si="5"/>
        <v>45873</v>
      </c>
      <c r="Z629" s="13" t="s">
        <v>39</v>
      </c>
      <c r="AA629" s="19" t="str">
        <f>VLOOKUP(D629,Clientes!$A$2:$J$486,9,FALSE)</f>
        <v>Ocacional</v>
      </c>
      <c r="AB629" s="13" t="str">
        <f>VLOOKUP(D629,Clientes!$A$2:$K$486,11,FALSE)</f>
        <v>Persona Natural</v>
      </c>
      <c r="AC629" s="13" t="str">
        <f>VLOOKUP(D629,Clientes!$A$2:$B$486,2,FALSE)</f>
        <v>Sector Enrique Olivares</v>
      </c>
      <c r="AD629" s="20"/>
      <c r="AE629" s="20"/>
      <c r="AF629" s="13" t="s">
        <v>40</v>
      </c>
      <c r="AG629" s="15">
        <f t="shared" si="6"/>
        <v>45505</v>
      </c>
      <c r="AH629" s="13" t="s">
        <v>41</v>
      </c>
      <c r="AI629" s="13" t="str">
        <f t="shared" si="7"/>
        <v>Detergentes</v>
      </c>
      <c r="AJ629" s="13" t="str">
        <f>VLOOKUP(E629,Precios!Z$2:AA$941,2,FALSE)</f>
        <v>Cloro GEL IGENIX 900ml</v>
      </c>
      <c r="AK629" s="14">
        <f>VLOOKUP(E629,Precios!Z$2:BB$941,3,FALSE)*F629</f>
        <v>-2</v>
      </c>
      <c r="AL629" s="17"/>
      <c r="AM629" s="17"/>
      <c r="AN629" s="17"/>
      <c r="AO629" s="17"/>
      <c r="AP629" s="17"/>
      <c r="AQ629" s="17"/>
      <c r="AR629" s="17"/>
      <c r="AS629" s="17"/>
      <c r="AT629" s="17"/>
      <c r="AU629" s="17"/>
      <c r="AV629" s="17"/>
    </row>
    <row r="630" spans="1:48" ht="15.75" customHeight="1">
      <c r="A630" s="21" t="s">
        <v>35</v>
      </c>
      <c r="B630" s="23" t="s">
        <v>1692</v>
      </c>
      <c r="C630" s="22">
        <v>45879</v>
      </c>
      <c r="D630" s="23" t="s">
        <v>115</v>
      </c>
      <c r="E630" s="23" t="s">
        <v>37</v>
      </c>
      <c r="F630" s="21">
        <v>1</v>
      </c>
      <c r="G630" s="12">
        <f>VLOOKUP(E630,Precios!B$2:N$941,12,FALSE)</f>
        <v>11000.014358944907</v>
      </c>
      <c r="H630" s="12">
        <f t="shared" si="0"/>
        <v>11000.014358944907</v>
      </c>
      <c r="I630" s="23" t="s">
        <v>52</v>
      </c>
      <c r="J630" s="23" t="s">
        <v>61</v>
      </c>
      <c r="K630" s="24" t="s">
        <v>177</v>
      </c>
      <c r="L630" s="24">
        <v>168</v>
      </c>
      <c r="M630" s="12">
        <f t="shared" ref="M630:N630" si="635">G630/1.19</f>
        <v>9243.7095453318543</v>
      </c>
      <c r="N630" s="12">
        <f t="shared" si="635"/>
        <v>9243.7095453318543</v>
      </c>
      <c r="O630" s="12">
        <f t="shared" si="2"/>
        <v>1756.3048136130528</v>
      </c>
      <c r="P630" s="13"/>
      <c r="Q630" s="14">
        <f t="shared" si="3"/>
        <v>2025</v>
      </c>
      <c r="R630" s="15">
        <f>VLOOKUP(MONTH(C630),'Datos Maestros'!M$2:N$14,2,FALSE)</f>
        <v>45505</v>
      </c>
      <c r="S630" s="11" t="str">
        <f>VLOOKUP(E630,Precios!B$2:W$941,3,FALSE)</f>
        <v>Queso Mantecoso</v>
      </c>
      <c r="T630" s="16">
        <f>VLOOKUP(E630,Precios!B$2:N$941,4,FALSE)*F630</f>
        <v>1000</v>
      </c>
      <c r="U630" s="17"/>
      <c r="V630" s="12">
        <f>VLOOKUP(E630,Precios!B$2:N$941,13,FALSE)*F630</f>
        <v>2806.1129066763915</v>
      </c>
      <c r="W630" s="12">
        <f t="shared" si="4"/>
        <v>2806.1129066763915</v>
      </c>
      <c r="X630" s="12">
        <f>VLOOKUP(B630,'Datos Maestros'!$C$2:$D$7,2,FALSE)*V630</f>
        <v>0</v>
      </c>
      <c r="Y630" s="18">
        <f t="shared" si="5"/>
        <v>45873</v>
      </c>
      <c r="Z630" s="13" t="s">
        <v>39</v>
      </c>
      <c r="AA630" s="19" t="str">
        <f>VLOOKUP(D630,Clientes!$A$2:$J$486,9,FALSE)</f>
        <v>Ocacional</v>
      </c>
      <c r="AB630" s="13" t="str">
        <f>VLOOKUP(D630,Clientes!$A$2:$K$486,11,FALSE)</f>
        <v>Persona Natural</v>
      </c>
      <c r="AC630" s="13" t="str">
        <f>VLOOKUP(D630,Clientes!$A$2:$B$486,2,FALSE)</f>
        <v>Jardines de la viña</v>
      </c>
      <c r="AD630" s="20"/>
      <c r="AE630" s="20"/>
      <c r="AF630" s="13" t="s">
        <v>40</v>
      </c>
      <c r="AG630" s="15">
        <f t="shared" si="6"/>
        <v>45505</v>
      </c>
      <c r="AH630" s="13" t="s">
        <v>41</v>
      </c>
      <c r="AI630" s="13" t="str">
        <f t="shared" si="7"/>
        <v>Quesos</v>
      </c>
      <c r="AJ630" s="13" t="str">
        <f>VLOOKUP(E630,Precios!Z$2:AA$941,2,FALSE)</f>
        <v>Queso RUNCA Mantecoso</v>
      </c>
      <c r="AK630" s="14">
        <f>VLOOKUP(E630,Precios!Z$2:BB$941,3,FALSE)*F630</f>
        <v>-1</v>
      </c>
      <c r="AL630" s="17"/>
      <c r="AM630" s="17"/>
      <c r="AN630" s="17"/>
      <c r="AO630" s="17"/>
      <c r="AP630" s="17"/>
      <c r="AQ630" s="17"/>
      <c r="AR630" s="17"/>
      <c r="AS630" s="17"/>
      <c r="AT630" s="17"/>
      <c r="AU630" s="17"/>
      <c r="AV630" s="17"/>
    </row>
    <row r="631" spans="1:48" ht="15.75" customHeight="1">
      <c r="A631" s="14" t="s">
        <v>43</v>
      </c>
      <c r="B631" s="23" t="s">
        <v>1692</v>
      </c>
      <c r="C631" s="25">
        <v>45878</v>
      </c>
      <c r="D631" s="23" t="s">
        <v>66</v>
      </c>
      <c r="E631" s="13" t="s">
        <v>45</v>
      </c>
      <c r="F631" s="21">
        <v>1</v>
      </c>
      <c r="G631" s="12">
        <f>VLOOKUP(E631,Precios!B$2:N$941,12,FALSE)</f>
        <v>8000.1831784723063</v>
      </c>
      <c r="H631" s="12">
        <f t="shared" si="0"/>
        <v>8000.1831784723063</v>
      </c>
      <c r="I631" s="23" t="s">
        <v>52</v>
      </c>
      <c r="J631" s="23" t="s">
        <v>61</v>
      </c>
      <c r="K631" s="24" t="s">
        <v>177</v>
      </c>
      <c r="L631" s="24">
        <v>168</v>
      </c>
      <c r="M631" s="12">
        <f t="shared" ref="M631:N631" si="636">G631/1.19</f>
        <v>6722.8430071195853</v>
      </c>
      <c r="N631" s="12">
        <f t="shared" si="636"/>
        <v>6722.8430071195853</v>
      </c>
      <c r="O631" s="12">
        <f t="shared" si="2"/>
        <v>1277.340171352721</v>
      </c>
      <c r="P631" s="13"/>
      <c r="Q631" s="14">
        <f t="shared" si="3"/>
        <v>2025</v>
      </c>
      <c r="R631" s="15">
        <f>VLOOKUP(MONTH(C631),'Datos Maestros'!M$2:N$14,2,FALSE)</f>
        <v>45505</v>
      </c>
      <c r="S631" s="11" t="str">
        <f>VLOOKUP(E631,Precios!B$2:W$941,3,FALSE)</f>
        <v>Huevos EXTRA</v>
      </c>
      <c r="T631" s="16">
        <f>VLOOKUP(E631,Precios!B$2:N$941,4,FALSE)*F631</f>
        <v>0</v>
      </c>
      <c r="U631" s="17"/>
      <c r="V631" s="12">
        <f>VLOOKUP(E631,Precios!B$2:N$941,13,FALSE)*F631</f>
        <v>1151.6230071195851</v>
      </c>
      <c r="W631" s="12">
        <f t="shared" si="4"/>
        <v>1151.6230071195851</v>
      </c>
      <c r="X631" s="12">
        <f>VLOOKUP(B631,'Datos Maestros'!$C$2:$D$7,2,FALSE)*V631</f>
        <v>0</v>
      </c>
      <c r="Y631" s="18">
        <f t="shared" si="5"/>
        <v>45873</v>
      </c>
      <c r="Z631" s="13" t="s">
        <v>39</v>
      </c>
      <c r="AA631" s="19" t="str">
        <f>VLOOKUP(D631,Clientes!$A$2:$J$486,9,FALSE)</f>
        <v>Ocacional</v>
      </c>
      <c r="AB631" s="13" t="str">
        <f>VLOOKUP(D631,Clientes!$A$2:$K$486,11,FALSE)</f>
        <v>Persona Natural</v>
      </c>
      <c r="AC631" s="13" t="str">
        <f>VLOOKUP(D631,Clientes!$A$2:$B$486,2,FALSE)</f>
        <v>Jardin Alto</v>
      </c>
      <c r="AD631" s="20"/>
      <c r="AE631" s="20"/>
      <c r="AF631" s="13" t="s">
        <v>40</v>
      </c>
      <c r="AG631" s="15">
        <f t="shared" si="6"/>
        <v>45505</v>
      </c>
      <c r="AH631" s="13" t="s">
        <v>41</v>
      </c>
      <c r="AI631" s="13" t="str">
        <f t="shared" si="7"/>
        <v>Huevos</v>
      </c>
      <c r="AJ631" s="13" t="str">
        <f>VLOOKUP(E631,Precios!Z$2:AA$941,2,FALSE)</f>
        <v>Bandeja Huevos EXTRA</v>
      </c>
      <c r="AK631" s="14">
        <f>VLOOKUP(E631,Precios!Z$2:BB$941,3,FALSE)*F631</f>
        <v>-1</v>
      </c>
      <c r="AL631" s="17"/>
      <c r="AM631" s="17"/>
      <c r="AN631" s="17"/>
      <c r="AO631" s="17"/>
      <c r="AP631" s="17"/>
      <c r="AQ631" s="17"/>
      <c r="AR631" s="17"/>
      <c r="AS631" s="17"/>
      <c r="AT631" s="17"/>
      <c r="AU631" s="17"/>
      <c r="AV631" s="17"/>
    </row>
    <row r="632" spans="1:48" ht="15.75" customHeight="1">
      <c r="A632" s="21" t="s">
        <v>53</v>
      </c>
      <c r="B632" s="23" t="s">
        <v>1692</v>
      </c>
      <c r="C632" s="25">
        <v>45878</v>
      </c>
      <c r="D632" s="23" t="s">
        <v>330</v>
      </c>
      <c r="E632" s="23" t="s">
        <v>55</v>
      </c>
      <c r="F632" s="21">
        <v>1</v>
      </c>
      <c r="G632" s="12">
        <f>VLOOKUP(E632,Precios!B$2:N$941,12,FALSE)</f>
        <v>20899.91124296327</v>
      </c>
      <c r="H632" s="12">
        <f t="shared" si="0"/>
        <v>20899.91124296327</v>
      </c>
      <c r="I632" s="23" t="s">
        <v>52</v>
      </c>
      <c r="J632" s="23" t="s">
        <v>61</v>
      </c>
      <c r="K632" s="24" t="s">
        <v>177</v>
      </c>
      <c r="L632" s="24">
        <v>168</v>
      </c>
      <c r="M632" s="12">
        <f t="shared" ref="M632:N632" si="637">G632/1.19</f>
        <v>17562.950624338882</v>
      </c>
      <c r="N632" s="12">
        <f t="shared" si="637"/>
        <v>17562.950624338882</v>
      </c>
      <c r="O632" s="12">
        <f t="shared" si="2"/>
        <v>3336.9606186243873</v>
      </c>
      <c r="P632" s="13"/>
      <c r="Q632" s="14">
        <f t="shared" si="3"/>
        <v>2025</v>
      </c>
      <c r="R632" s="15">
        <f>VLOOKUP(MONTH(C632),'Datos Maestros'!M$2:N$14,2,FALSE)</f>
        <v>45505</v>
      </c>
      <c r="S632" s="11" t="str">
        <f>VLOOKUP(E632,Precios!B$2:W$941,3,FALSE)</f>
        <v>Papel Higiénico ELITE</v>
      </c>
      <c r="T632" s="16">
        <f>VLOOKUP(E632,Precios!B$2:N$941,4,FALSE)*F632</f>
        <v>0</v>
      </c>
      <c r="U632" s="17"/>
      <c r="V632" s="12">
        <f>VLOOKUP(E632,Precios!B$2:N$941,13,FALSE)*F632</f>
        <v>3117.9506243388823</v>
      </c>
      <c r="W632" s="12">
        <f t="shared" si="4"/>
        <v>3117.9506243388823</v>
      </c>
      <c r="X632" s="12">
        <f>VLOOKUP(B632,'Datos Maestros'!$C$2:$D$7,2,FALSE)*V632</f>
        <v>0</v>
      </c>
      <c r="Y632" s="18">
        <f t="shared" si="5"/>
        <v>45873</v>
      </c>
      <c r="Z632" s="13" t="s">
        <v>39</v>
      </c>
      <c r="AA632" s="19" t="str">
        <f>VLOOKUP(D632,Clientes!$A$2:$J$486,9,FALSE)</f>
        <v>Ocacional</v>
      </c>
      <c r="AB632" s="13" t="str">
        <f>VLOOKUP(D632,Clientes!$A$2:$K$486,11,FALSE)</f>
        <v>Persona Natural</v>
      </c>
      <c r="AC632" s="13" t="str">
        <f>VLOOKUP(D632,Clientes!$A$2:$B$486,2,FALSE)</f>
        <v>Jardin Alto</v>
      </c>
      <c r="AD632" s="20"/>
      <c r="AE632" s="20"/>
      <c r="AF632" s="13" t="s">
        <v>40</v>
      </c>
      <c r="AG632" s="15">
        <f t="shared" si="6"/>
        <v>45505</v>
      </c>
      <c r="AH632" s="13" t="s">
        <v>41</v>
      </c>
      <c r="AI632" s="13" t="str">
        <f t="shared" si="7"/>
        <v>Papeleria</v>
      </c>
      <c r="AJ632" s="13" t="str">
        <f>VLOOKUP(E632,Precios!Z$2:AA$941,2,FALSE)</f>
        <v>Papel Higienico ELITE 50 metros</v>
      </c>
      <c r="AK632" s="14">
        <f>VLOOKUP(E632,Precios!Z$2:BB$941,3,FALSE)*F632</f>
        <v>-8</v>
      </c>
      <c r="AL632" s="17"/>
      <c r="AM632" s="17"/>
      <c r="AN632" s="17"/>
      <c r="AO632" s="17"/>
      <c r="AP632" s="17"/>
      <c r="AQ632" s="17"/>
      <c r="AR632" s="17"/>
      <c r="AS632" s="17"/>
      <c r="AT632" s="17"/>
      <c r="AU632" s="17"/>
      <c r="AV632" s="17"/>
    </row>
    <row r="633" spans="1:48" ht="15.75" customHeight="1">
      <c r="A633" s="21" t="s">
        <v>53</v>
      </c>
      <c r="B633" s="23" t="s">
        <v>1692</v>
      </c>
      <c r="C633" s="25">
        <v>45878</v>
      </c>
      <c r="D633" s="23" t="s">
        <v>330</v>
      </c>
      <c r="E633" s="23" t="s">
        <v>114</v>
      </c>
      <c r="F633" s="21">
        <v>1</v>
      </c>
      <c r="G633" s="12">
        <f>VLOOKUP(E633,Precios!B$2:N$941,12,FALSE)</f>
        <v>10500</v>
      </c>
      <c r="H633" s="12">
        <f t="shared" si="0"/>
        <v>10500</v>
      </c>
      <c r="I633" s="23" t="s">
        <v>52</v>
      </c>
      <c r="J633" s="23" t="s">
        <v>61</v>
      </c>
      <c r="K633" s="24" t="s">
        <v>177</v>
      </c>
      <c r="L633" s="24">
        <v>168</v>
      </c>
      <c r="M633" s="12">
        <f t="shared" ref="M633:N633" si="638">G633/1.19</f>
        <v>8823.5294117647063</v>
      </c>
      <c r="N633" s="12">
        <f t="shared" si="638"/>
        <v>8823.5294117647063</v>
      </c>
      <c r="O633" s="12">
        <f t="shared" si="2"/>
        <v>1676.4705882352937</v>
      </c>
      <c r="P633" s="13"/>
      <c r="Q633" s="14">
        <f t="shared" si="3"/>
        <v>2025</v>
      </c>
      <c r="R633" s="15">
        <f>VLOOKUP(MONTH(C633),'Datos Maestros'!M$2:N$14,2,FALSE)</f>
        <v>45505</v>
      </c>
      <c r="S633" s="11" t="str">
        <f>VLOOKUP(E633,Precios!B$2:W$941,3,FALSE)</f>
        <v>Toalla Nova 3 rollos</v>
      </c>
      <c r="T633" s="16">
        <f>VLOOKUP(E633,Precios!B$2:N$941,4,FALSE)*F633</f>
        <v>0</v>
      </c>
      <c r="U633" s="17"/>
      <c r="V633" s="12">
        <f>VLOOKUP(E633,Precios!B$2:N$941,13,FALSE)*F633</f>
        <v>2403.3613445378151</v>
      </c>
      <c r="W633" s="12">
        <f t="shared" si="4"/>
        <v>2403.3613445378151</v>
      </c>
      <c r="X633" s="12">
        <f>VLOOKUP(B633,'Datos Maestros'!$C$2:$D$7,2,FALSE)*V633</f>
        <v>0</v>
      </c>
      <c r="Y633" s="18">
        <f t="shared" si="5"/>
        <v>45873</v>
      </c>
      <c r="Z633" s="13" t="s">
        <v>39</v>
      </c>
      <c r="AA633" s="19" t="str">
        <f>VLOOKUP(D633,Clientes!$A$2:$J$486,9,FALSE)</f>
        <v>Ocacional</v>
      </c>
      <c r="AB633" s="13" t="str">
        <f>VLOOKUP(D633,Clientes!$A$2:$K$486,11,FALSE)</f>
        <v>Persona Natural</v>
      </c>
      <c r="AC633" s="13" t="str">
        <f>VLOOKUP(D633,Clientes!$A$2:$B$486,2,FALSE)</f>
        <v>Jardin Alto</v>
      </c>
      <c r="AD633" s="20"/>
      <c r="AE633" s="20"/>
      <c r="AF633" s="13" t="s">
        <v>40</v>
      </c>
      <c r="AG633" s="15">
        <f t="shared" si="6"/>
        <v>45505</v>
      </c>
      <c r="AH633" s="13" t="s">
        <v>41</v>
      </c>
      <c r="AI633" s="13" t="str">
        <f t="shared" si="7"/>
        <v>Papeleria</v>
      </c>
      <c r="AJ633" s="13" t="str">
        <f>VLOOKUP(E633,Precios!Z$2:AA$941,2,FALSE)</f>
        <v>Toalla Papel NOVA 12 metros</v>
      </c>
      <c r="AK633" s="14">
        <f>VLOOKUP(E633,Precios!Z$2:BB$941,3,FALSE)*F633</f>
        <v>-8</v>
      </c>
      <c r="AL633" s="17"/>
      <c r="AM633" s="17"/>
      <c r="AN633" s="17"/>
      <c r="AO633" s="17"/>
      <c r="AP633" s="17"/>
      <c r="AQ633" s="17"/>
      <c r="AR633" s="17"/>
      <c r="AS633" s="17"/>
      <c r="AT633" s="17"/>
      <c r="AU633" s="17"/>
      <c r="AV633" s="17"/>
    </row>
    <row r="634" spans="1:48" ht="15.75" customHeight="1">
      <c r="A634" s="21" t="s">
        <v>47</v>
      </c>
      <c r="B634" s="23" t="s">
        <v>1692</v>
      </c>
      <c r="C634" s="25">
        <v>45878</v>
      </c>
      <c r="D634" s="23" t="s">
        <v>330</v>
      </c>
      <c r="E634" s="23" t="s">
        <v>305</v>
      </c>
      <c r="F634" s="21">
        <v>1</v>
      </c>
      <c r="G634" s="12">
        <f>VLOOKUP(E634,Precios!B$2:N$941,12,FALSE)</f>
        <v>2999.9015263417036</v>
      </c>
      <c r="H634" s="12">
        <f t="shared" si="0"/>
        <v>2999.9015263417036</v>
      </c>
      <c r="I634" s="23" t="s">
        <v>52</v>
      </c>
      <c r="J634" s="23" t="s">
        <v>61</v>
      </c>
      <c r="K634" s="24" t="s">
        <v>177</v>
      </c>
      <c r="L634" s="24">
        <v>168</v>
      </c>
      <c r="M634" s="12">
        <f t="shared" ref="M634:N634" si="639">G634/1.19</f>
        <v>2520.9256523879862</v>
      </c>
      <c r="N634" s="12">
        <f t="shared" si="639"/>
        <v>2520.9256523879862</v>
      </c>
      <c r="O634" s="12">
        <f t="shared" si="2"/>
        <v>478.97587395371738</v>
      </c>
      <c r="P634" s="13"/>
      <c r="Q634" s="14">
        <f t="shared" si="3"/>
        <v>2025</v>
      </c>
      <c r="R634" s="15">
        <f>VLOOKUP(MONTH(C634),'Datos Maestros'!M$2:N$14,2,FALSE)</f>
        <v>45505</v>
      </c>
      <c r="S634" s="11" t="str">
        <f>VLOOKUP(E634,Precios!B$2:W$941,3,FALSE)</f>
        <v>Toallitas Húmedas Bebe</v>
      </c>
      <c r="T634" s="16">
        <f>VLOOKUP(E634,Precios!B$2:N$941,4,FALSE)*F634</f>
        <v>0</v>
      </c>
      <c r="U634" s="17"/>
      <c r="V634" s="12">
        <f>VLOOKUP(E634,Precios!B$2:N$941,13,FALSE)*F634</f>
        <v>984.92565238798625</v>
      </c>
      <c r="W634" s="12">
        <f t="shared" si="4"/>
        <v>984.92565238798625</v>
      </c>
      <c r="X634" s="12">
        <f>VLOOKUP(B634,'Datos Maestros'!$C$2:$D$7,2,FALSE)*V634</f>
        <v>0</v>
      </c>
      <c r="Y634" s="18">
        <f t="shared" si="5"/>
        <v>45873</v>
      </c>
      <c r="Z634" s="13" t="s">
        <v>39</v>
      </c>
      <c r="AA634" s="19" t="str">
        <f>VLOOKUP(D634,Clientes!$A$2:$J$486,9,FALSE)</f>
        <v>Ocacional</v>
      </c>
      <c r="AB634" s="13" t="str">
        <f>VLOOKUP(D634,Clientes!$A$2:$K$486,11,FALSE)</f>
        <v>Persona Natural</v>
      </c>
      <c r="AC634" s="13" t="str">
        <f>VLOOKUP(D634,Clientes!$A$2:$B$486,2,FALSE)</f>
        <v>Jardin Alto</v>
      </c>
      <c r="AD634" s="20"/>
      <c r="AE634" s="20"/>
      <c r="AF634" s="13" t="s">
        <v>40</v>
      </c>
      <c r="AG634" s="15">
        <f t="shared" si="6"/>
        <v>45505</v>
      </c>
      <c r="AH634" s="13" t="s">
        <v>41</v>
      </c>
      <c r="AI634" s="13" t="str">
        <f t="shared" si="7"/>
        <v>Articulos de Aseo</v>
      </c>
      <c r="AJ634" s="13" t="str">
        <f>VLOOKUP(E634,Precios!Z$2:AA$941,2,FALSE)</f>
        <v>Toallas Humedas Bebé TEDDY 80 unidades</v>
      </c>
      <c r="AK634" s="14">
        <f>VLOOKUP(E634,Precios!Z$2:BB$941,3,FALSE)*F634</f>
        <v>-2</v>
      </c>
      <c r="AL634" s="17"/>
      <c r="AM634" s="17"/>
      <c r="AN634" s="17"/>
      <c r="AO634" s="17"/>
      <c r="AP634" s="17"/>
      <c r="AQ634" s="17"/>
      <c r="AR634" s="17"/>
      <c r="AS634" s="17"/>
      <c r="AT634" s="17"/>
      <c r="AU634" s="17"/>
      <c r="AV634" s="17"/>
    </row>
    <row r="635" spans="1:48" ht="15.75" customHeight="1">
      <c r="A635" s="21" t="s">
        <v>35</v>
      </c>
      <c r="B635" s="23" t="s">
        <v>1692</v>
      </c>
      <c r="C635" s="25">
        <v>45878</v>
      </c>
      <c r="D635" s="23" t="s">
        <v>180</v>
      </c>
      <c r="E635" s="23" t="s">
        <v>37</v>
      </c>
      <c r="F635" s="21">
        <v>1</v>
      </c>
      <c r="G635" s="12">
        <f>VLOOKUP(E635,Precios!B$2:N$941,12,FALSE)</f>
        <v>11000.014358944907</v>
      </c>
      <c r="H635" s="12">
        <f t="shared" si="0"/>
        <v>11000.014358944907</v>
      </c>
      <c r="I635" s="23" t="s">
        <v>52</v>
      </c>
      <c r="J635" s="23" t="s">
        <v>61</v>
      </c>
      <c r="K635" s="24" t="s">
        <v>177</v>
      </c>
      <c r="L635" s="24">
        <v>168</v>
      </c>
      <c r="M635" s="12">
        <f t="shared" ref="M635:N635" si="640">G635/1.19</f>
        <v>9243.7095453318543</v>
      </c>
      <c r="N635" s="12">
        <f t="shared" si="640"/>
        <v>9243.7095453318543</v>
      </c>
      <c r="O635" s="12">
        <f t="shared" si="2"/>
        <v>1756.3048136130528</v>
      </c>
      <c r="P635" s="13"/>
      <c r="Q635" s="14">
        <f t="shared" si="3"/>
        <v>2025</v>
      </c>
      <c r="R635" s="15">
        <f>VLOOKUP(MONTH(C635),'Datos Maestros'!M$2:N$14,2,FALSE)</f>
        <v>45505</v>
      </c>
      <c r="S635" s="11" t="str">
        <f>VLOOKUP(E635,Precios!B$2:W$941,3,FALSE)</f>
        <v>Queso Mantecoso</v>
      </c>
      <c r="T635" s="16">
        <f>VLOOKUP(E635,Precios!B$2:N$941,4,FALSE)*F635</f>
        <v>1000</v>
      </c>
      <c r="U635" s="17"/>
      <c r="V635" s="12">
        <f>VLOOKUP(E635,Precios!B$2:N$941,13,FALSE)*F635</f>
        <v>2806.1129066763915</v>
      </c>
      <c r="W635" s="12">
        <f t="shared" si="4"/>
        <v>2806.1129066763915</v>
      </c>
      <c r="X635" s="12">
        <f>VLOOKUP(B635,'Datos Maestros'!$C$2:$D$7,2,FALSE)*V635</f>
        <v>0</v>
      </c>
      <c r="Y635" s="18">
        <f t="shared" si="5"/>
        <v>45873</v>
      </c>
      <c r="Z635" s="13" t="s">
        <v>39</v>
      </c>
      <c r="AA635" s="19" t="str">
        <f>VLOOKUP(D635,Clientes!$A$2:$J$486,9,FALSE)</f>
        <v>Familiar</v>
      </c>
      <c r="AB635" s="13" t="str">
        <f>VLOOKUP(D635,Clientes!$A$2:$K$486,11,FALSE)</f>
        <v>Persona Natural</v>
      </c>
      <c r="AC635" s="13" t="str">
        <f>VLOOKUP(D635,Clientes!$A$2:$B$486,2,FALSE)</f>
        <v>Familiar</v>
      </c>
      <c r="AD635" s="20"/>
      <c r="AE635" s="20"/>
      <c r="AF635" s="13" t="s">
        <v>40</v>
      </c>
      <c r="AG635" s="15">
        <f t="shared" si="6"/>
        <v>45505</v>
      </c>
      <c r="AH635" s="13" t="s">
        <v>41</v>
      </c>
      <c r="AI635" s="13" t="str">
        <f t="shared" si="7"/>
        <v>Quesos</v>
      </c>
      <c r="AJ635" s="13" t="str">
        <f>VLOOKUP(E635,Precios!Z$2:AA$941,2,FALSE)</f>
        <v>Queso RUNCA Mantecoso</v>
      </c>
      <c r="AK635" s="14">
        <f>VLOOKUP(E635,Precios!Z$2:BB$941,3,FALSE)*F635</f>
        <v>-1</v>
      </c>
      <c r="AL635" s="17"/>
      <c r="AM635" s="17"/>
      <c r="AN635" s="17"/>
      <c r="AO635" s="17"/>
      <c r="AP635" s="17"/>
      <c r="AQ635" s="17"/>
      <c r="AR635" s="17"/>
      <c r="AS635" s="17"/>
      <c r="AT635" s="17"/>
      <c r="AU635" s="17"/>
      <c r="AV635" s="17"/>
    </row>
    <row r="636" spans="1:48" ht="15.75" customHeight="1">
      <c r="A636" s="21" t="s">
        <v>35</v>
      </c>
      <c r="B636" s="23" t="s">
        <v>1692</v>
      </c>
      <c r="C636" s="25">
        <v>45878</v>
      </c>
      <c r="D636" s="23" t="s">
        <v>180</v>
      </c>
      <c r="E636" s="23" t="s">
        <v>117</v>
      </c>
      <c r="F636" s="21">
        <v>1</v>
      </c>
      <c r="G636" s="12">
        <f>VLOOKUP(E636,Precios!B$2:N$941,12,FALSE)</f>
        <v>8999.8271341726922</v>
      </c>
      <c r="H636" s="12">
        <f t="shared" si="0"/>
        <v>8999.8271341726922</v>
      </c>
      <c r="I636" s="23" t="s">
        <v>52</v>
      </c>
      <c r="J636" s="23" t="s">
        <v>61</v>
      </c>
      <c r="K636" s="24" t="s">
        <v>177</v>
      </c>
      <c r="L636" s="24">
        <v>168</v>
      </c>
      <c r="M636" s="12">
        <f t="shared" ref="M636:N636" si="641">G636/1.19</f>
        <v>7562.8799446829353</v>
      </c>
      <c r="N636" s="12">
        <f t="shared" si="641"/>
        <v>7562.8799446829353</v>
      </c>
      <c r="O636" s="12">
        <f t="shared" si="2"/>
        <v>1436.947189489757</v>
      </c>
      <c r="P636" s="13"/>
      <c r="Q636" s="14">
        <f t="shared" si="3"/>
        <v>2025</v>
      </c>
      <c r="R636" s="15">
        <f>VLOOKUP(MONTH(C636),'Datos Maestros'!M$2:N$14,2,FALSE)</f>
        <v>45505</v>
      </c>
      <c r="S636" s="11" t="str">
        <f>VLOOKUP(E636,Precios!B$2:W$941,3,FALSE)</f>
        <v>Queso Mantecoso</v>
      </c>
      <c r="T636" s="16">
        <f>VLOOKUP(E636,Precios!B$2:N$941,4,FALSE)*F636</f>
        <v>750</v>
      </c>
      <c r="U636" s="17"/>
      <c r="V636" s="12">
        <f>VLOOKUP(E636,Precios!B$2:N$941,13,FALSE)*F636</f>
        <v>2312.8799446829353</v>
      </c>
      <c r="W636" s="12">
        <f t="shared" si="4"/>
        <v>2312.8799446829353</v>
      </c>
      <c r="X636" s="12">
        <f>VLOOKUP(B636,'Datos Maestros'!$C$2:$D$7,2,FALSE)*V636</f>
        <v>0</v>
      </c>
      <c r="Y636" s="18">
        <f t="shared" si="5"/>
        <v>45873</v>
      </c>
      <c r="Z636" s="13" t="s">
        <v>39</v>
      </c>
      <c r="AA636" s="19" t="str">
        <f>VLOOKUP(D636,Clientes!$A$2:$J$486,9,FALSE)</f>
        <v>Familiar</v>
      </c>
      <c r="AB636" s="13" t="str">
        <f>VLOOKUP(D636,Clientes!$A$2:$K$486,11,FALSE)</f>
        <v>Persona Natural</v>
      </c>
      <c r="AC636" s="13" t="str">
        <f>VLOOKUP(D636,Clientes!$A$2:$B$486,2,FALSE)</f>
        <v>Familiar</v>
      </c>
      <c r="AD636" s="20"/>
      <c r="AE636" s="20"/>
      <c r="AF636" s="13" t="s">
        <v>40</v>
      </c>
      <c r="AG636" s="15">
        <f t="shared" si="6"/>
        <v>45505</v>
      </c>
      <c r="AH636" s="13" t="s">
        <v>41</v>
      </c>
      <c r="AI636" s="13" t="str">
        <f t="shared" si="7"/>
        <v>Quesos</v>
      </c>
      <c r="AJ636" s="13" t="str">
        <f>VLOOKUP(E636,Precios!Z$2:AA$941,2,FALSE)</f>
        <v>Queso RUNCA Laminado Mantecoso</v>
      </c>
      <c r="AK636" s="14">
        <f>VLOOKUP(E636,Precios!Z$2:BB$941,3,FALSE)*F636</f>
        <v>-0.75</v>
      </c>
      <c r="AL636" s="17"/>
      <c r="AM636" s="17"/>
      <c r="AN636" s="17"/>
      <c r="AO636" s="17"/>
      <c r="AP636" s="17"/>
      <c r="AQ636" s="17"/>
      <c r="AR636" s="17"/>
      <c r="AS636" s="17"/>
      <c r="AT636" s="17"/>
      <c r="AU636" s="17"/>
      <c r="AV636" s="17"/>
    </row>
    <row r="637" spans="1:48" ht="15.75" customHeight="1">
      <c r="A637" s="14" t="s">
        <v>43</v>
      </c>
      <c r="B637" s="23" t="s">
        <v>1692</v>
      </c>
      <c r="C637" s="25">
        <v>45878</v>
      </c>
      <c r="D637" s="23" t="s">
        <v>331</v>
      </c>
      <c r="E637" s="13" t="s">
        <v>45</v>
      </c>
      <c r="F637" s="21">
        <v>2</v>
      </c>
      <c r="G637" s="12">
        <f>VLOOKUP(E637,Precios!B$2:N$941,12,FALSE)</f>
        <v>8000.1831784723063</v>
      </c>
      <c r="H637" s="12">
        <f t="shared" si="0"/>
        <v>16000.366356944613</v>
      </c>
      <c r="I637" s="23" t="s">
        <v>52</v>
      </c>
      <c r="J637" s="23" t="s">
        <v>61</v>
      </c>
      <c r="K637" s="24" t="s">
        <v>177</v>
      </c>
      <c r="L637" s="24">
        <v>168</v>
      </c>
      <c r="M637" s="12">
        <f t="shared" ref="M637:N637" si="642">G637/1.19</f>
        <v>6722.8430071195853</v>
      </c>
      <c r="N637" s="12">
        <f t="shared" si="642"/>
        <v>13445.686014239171</v>
      </c>
      <c r="O637" s="12">
        <f t="shared" si="2"/>
        <v>2554.6803427054419</v>
      </c>
      <c r="P637" s="13"/>
      <c r="Q637" s="14">
        <f t="shared" si="3"/>
        <v>2025</v>
      </c>
      <c r="R637" s="15">
        <f>VLOOKUP(MONTH(C637),'Datos Maestros'!M$2:N$14,2,FALSE)</f>
        <v>45505</v>
      </c>
      <c r="S637" s="11" t="str">
        <f>VLOOKUP(E637,Precios!B$2:W$941,3,FALSE)</f>
        <v>Huevos EXTRA</v>
      </c>
      <c r="T637" s="16">
        <f>VLOOKUP(E637,Precios!B$2:N$941,4,FALSE)*F637</f>
        <v>0</v>
      </c>
      <c r="U637" s="17"/>
      <c r="V637" s="12">
        <f>VLOOKUP(E637,Precios!B$2:N$941,13,FALSE)*F637</f>
        <v>2303.2460142391701</v>
      </c>
      <c r="W637" s="12">
        <f t="shared" si="4"/>
        <v>2303.2460142391701</v>
      </c>
      <c r="X637" s="12">
        <f>VLOOKUP(B637,'Datos Maestros'!$C$2:$D$7,2,FALSE)*V637</f>
        <v>0</v>
      </c>
      <c r="Y637" s="18">
        <f t="shared" si="5"/>
        <v>45873</v>
      </c>
      <c r="Z637" s="13" t="s">
        <v>39</v>
      </c>
      <c r="AA637" s="19" t="str">
        <f>VLOOKUP(D637,Clientes!$A$2:$J$486,9,FALSE)</f>
        <v>Frecuente</v>
      </c>
      <c r="AB637" s="13" t="str">
        <f>VLOOKUP(D637,Clientes!$A$2:$K$486,11,FALSE)</f>
        <v>Persona Natural</v>
      </c>
      <c r="AC637" s="13" t="str">
        <f>VLOOKUP(D637,Clientes!$A$2:$B$486,2,FALSE)</f>
        <v>Sector Palena</v>
      </c>
      <c r="AD637" s="20"/>
      <c r="AE637" s="20"/>
      <c r="AF637" s="13" t="s">
        <v>40</v>
      </c>
      <c r="AG637" s="15">
        <f t="shared" si="6"/>
        <v>45505</v>
      </c>
      <c r="AH637" s="13" t="s">
        <v>41</v>
      </c>
      <c r="AI637" s="13" t="str">
        <f t="shared" si="7"/>
        <v>Huevos</v>
      </c>
      <c r="AJ637" s="13" t="str">
        <f>VLOOKUP(E637,Precios!Z$2:AA$941,2,FALSE)</f>
        <v>Bandeja Huevos EXTRA</v>
      </c>
      <c r="AK637" s="14">
        <f>VLOOKUP(E637,Precios!Z$2:BB$941,3,FALSE)*F637</f>
        <v>-2</v>
      </c>
      <c r="AL637" s="17"/>
      <c r="AM637" s="17"/>
      <c r="AN637" s="17"/>
      <c r="AO637" s="17"/>
      <c r="AP637" s="17"/>
      <c r="AQ637" s="17"/>
      <c r="AR637" s="17"/>
      <c r="AS637" s="17"/>
      <c r="AT637" s="17"/>
      <c r="AU637" s="17"/>
      <c r="AV637" s="17"/>
    </row>
    <row r="638" spans="1:48" ht="15.75" customHeight="1">
      <c r="A638" s="21" t="s">
        <v>43</v>
      </c>
      <c r="B638" s="23" t="s">
        <v>1692</v>
      </c>
      <c r="C638" s="22">
        <v>45878</v>
      </c>
      <c r="D638" s="23" t="s">
        <v>332</v>
      </c>
      <c r="E638" s="23" t="s">
        <v>45</v>
      </c>
      <c r="F638" s="14">
        <v>1</v>
      </c>
      <c r="G638" s="12">
        <f>VLOOKUP(E638,Precios!B$2:N$941,12,FALSE)</f>
        <v>8000.1831784723063</v>
      </c>
      <c r="H638" s="12">
        <f t="shared" si="0"/>
        <v>8000.1831784723063</v>
      </c>
      <c r="I638" s="23" t="s">
        <v>52</v>
      </c>
      <c r="J638" s="23" t="s">
        <v>61</v>
      </c>
      <c r="K638" s="24" t="s">
        <v>177</v>
      </c>
      <c r="L638" s="24">
        <v>168</v>
      </c>
      <c r="M638" s="12">
        <f t="shared" ref="M638:N638" si="643">G638/1.19</f>
        <v>6722.8430071195853</v>
      </c>
      <c r="N638" s="12">
        <f t="shared" si="643"/>
        <v>6722.8430071195853</v>
      </c>
      <c r="O638" s="12">
        <f t="shared" si="2"/>
        <v>1277.340171352721</v>
      </c>
      <c r="P638" s="13"/>
      <c r="Q638" s="14">
        <f t="shared" si="3"/>
        <v>2025</v>
      </c>
      <c r="R638" s="15">
        <f>VLOOKUP(MONTH(C638),'Datos Maestros'!M$2:N$14,2,FALSE)</f>
        <v>45505</v>
      </c>
      <c r="S638" s="11" t="str">
        <f>VLOOKUP(E638,Precios!B$2:W$941,3,FALSE)</f>
        <v>Huevos EXTRA</v>
      </c>
      <c r="T638" s="16">
        <f>VLOOKUP(E638,Precios!B$2:N$941,4,FALSE)*F638</f>
        <v>0</v>
      </c>
      <c r="U638" s="17"/>
      <c r="V638" s="12">
        <f>VLOOKUP(E638,Precios!B$2:N$941,13,FALSE)*F638</f>
        <v>1151.6230071195851</v>
      </c>
      <c r="W638" s="12">
        <f t="shared" si="4"/>
        <v>1151.6230071195851</v>
      </c>
      <c r="X638" s="12">
        <f>VLOOKUP(B638,'Datos Maestros'!$C$2:$D$7,2,FALSE)*V638</f>
        <v>0</v>
      </c>
      <c r="Y638" s="18">
        <f t="shared" si="5"/>
        <v>45873</v>
      </c>
      <c r="Z638" s="13" t="s">
        <v>39</v>
      </c>
      <c r="AA638" s="19" t="str">
        <f>VLOOKUP(D638,Clientes!$A$2:$J$486,9,FALSE)</f>
        <v>Ocacional</v>
      </c>
      <c r="AB638" s="13" t="str">
        <f>VLOOKUP(D638,Clientes!$A$2:$K$486,11,FALSE)</f>
        <v>Persona Natural</v>
      </c>
      <c r="AC638" s="13" t="str">
        <f>VLOOKUP(D638,Clientes!$A$2:$B$486,2,FALSE)</f>
        <v>Jardines de la Viña</v>
      </c>
      <c r="AD638" s="20"/>
      <c r="AE638" s="20"/>
      <c r="AF638" s="13" t="s">
        <v>40</v>
      </c>
      <c r="AG638" s="15">
        <f t="shared" si="6"/>
        <v>45505</v>
      </c>
      <c r="AH638" s="13" t="s">
        <v>41</v>
      </c>
      <c r="AI638" s="13" t="str">
        <f t="shared" si="7"/>
        <v>Huevos</v>
      </c>
      <c r="AJ638" s="13" t="str">
        <f>VLOOKUP(E638,Precios!Z$2:AA$941,2,FALSE)</f>
        <v>Bandeja Huevos EXTRA</v>
      </c>
      <c r="AK638" s="14">
        <f>VLOOKUP(E638,Precios!Z$2:BB$941,3,FALSE)*F638</f>
        <v>-1</v>
      </c>
      <c r="AL638" s="17"/>
      <c r="AM638" s="17"/>
      <c r="AN638" s="17"/>
      <c r="AO638" s="17"/>
      <c r="AP638" s="17"/>
      <c r="AQ638" s="17"/>
      <c r="AR638" s="17"/>
      <c r="AS638" s="17"/>
      <c r="AT638" s="17"/>
      <c r="AU638" s="17"/>
      <c r="AV638" s="17"/>
    </row>
    <row r="639" spans="1:48" ht="15.75" customHeight="1">
      <c r="A639" s="21" t="s">
        <v>35</v>
      </c>
      <c r="B639" s="23" t="s">
        <v>1692</v>
      </c>
      <c r="C639" s="22">
        <v>45878</v>
      </c>
      <c r="D639" s="23" t="s">
        <v>198</v>
      </c>
      <c r="E639" s="23" t="s">
        <v>37</v>
      </c>
      <c r="F639" s="21">
        <v>2</v>
      </c>
      <c r="G639" s="12">
        <f>VLOOKUP(E639,Precios!B$2:N$941,12,FALSE)</f>
        <v>11000.014358944907</v>
      </c>
      <c r="H639" s="12">
        <f t="shared" si="0"/>
        <v>22000.028717889814</v>
      </c>
      <c r="I639" s="23" t="s">
        <v>52</v>
      </c>
      <c r="J639" s="23" t="s">
        <v>61</v>
      </c>
      <c r="K639" s="24" t="s">
        <v>177</v>
      </c>
      <c r="L639" s="24">
        <v>168</v>
      </c>
      <c r="M639" s="12">
        <f t="shared" ref="M639:N639" si="644">G639/1.19</f>
        <v>9243.7095453318543</v>
      </c>
      <c r="N639" s="12">
        <f t="shared" si="644"/>
        <v>18487.419090663709</v>
      </c>
      <c r="O639" s="12">
        <f t="shared" si="2"/>
        <v>3512.6096272261057</v>
      </c>
      <c r="P639" s="13"/>
      <c r="Q639" s="14">
        <f t="shared" si="3"/>
        <v>2025</v>
      </c>
      <c r="R639" s="15">
        <f>VLOOKUP(MONTH(C639),'Datos Maestros'!M$2:N$14,2,FALSE)</f>
        <v>45505</v>
      </c>
      <c r="S639" s="11" t="str">
        <f>VLOOKUP(E639,Precios!B$2:W$941,3,FALSE)</f>
        <v>Queso Mantecoso</v>
      </c>
      <c r="T639" s="16">
        <f>VLOOKUP(E639,Precios!B$2:N$941,4,FALSE)*F639</f>
        <v>2000</v>
      </c>
      <c r="U639" s="17"/>
      <c r="V639" s="12">
        <f>VLOOKUP(E639,Precios!B$2:N$941,13,FALSE)*F639</f>
        <v>5612.225813352783</v>
      </c>
      <c r="W639" s="12">
        <f t="shared" si="4"/>
        <v>5612.225813352783</v>
      </c>
      <c r="X639" s="12">
        <f>VLOOKUP(B639,'Datos Maestros'!$C$2:$D$7,2,FALSE)*V639</f>
        <v>0</v>
      </c>
      <c r="Y639" s="18">
        <f t="shared" si="5"/>
        <v>45873</v>
      </c>
      <c r="Z639" s="13" t="s">
        <v>39</v>
      </c>
      <c r="AA639" s="19" t="str">
        <f>VLOOKUP(D639,Clientes!$A$2:$J$486,9,FALSE)</f>
        <v>Frecuente</v>
      </c>
      <c r="AB639" s="13" t="str">
        <f>VLOOKUP(D639,Clientes!$A$2:$K$486,11,FALSE)</f>
        <v>Persona Natural</v>
      </c>
      <c r="AC639" s="13" t="str">
        <f>VLOOKUP(D639,Clientes!$A$2:$B$486,2,FALSE)</f>
        <v>Curso Amalia</v>
      </c>
      <c r="AD639" s="20"/>
      <c r="AE639" s="20"/>
      <c r="AF639" s="13" t="s">
        <v>40</v>
      </c>
      <c r="AG639" s="15">
        <f t="shared" si="6"/>
        <v>45505</v>
      </c>
      <c r="AH639" s="13" t="s">
        <v>41</v>
      </c>
      <c r="AI639" s="13" t="str">
        <f t="shared" si="7"/>
        <v>Quesos</v>
      </c>
      <c r="AJ639" s="13" t="str">
        <f>VLOOKUP(E639,Precios!Z$2:AA$941,2,FALSE)</f>
        <v>Queso RUNCA Mantecoso</v>
      </c>
      <c r="AK639" s="14">
        <f>VLOOKUP(E639,Precios!Z$2:BB$941,3,FALSE)*F639</f>
        <v>-2</v>
      </c>
      <c r="AL639" s="17"/>
      <c r="AM639" s="17"/>
      <c r="AN639" s="17"/>
      <c r="AO639" s="17"/>
      <c r="AP639" s="17"/>
      <c r="AQ639" s="17"/>
      <c r="AR639" s="17"/>
      <c r="AS639" s="17"/>
      <c r="AT639" s="17"/>
      <c r="AU639" s="17"/>
      <c r="AV639" s="17"/>
    </row>
    <row r="640" spans="1:48" ht="15.75" customHeight="1">
      <c r="A640" s="21" t="s">
        <v>53</v>
      </c>
      <c r="B640" s="23" t="s">
        <v>1692</v>
      </c>
      <c r="C640" s="22">
        <v>45878</v>
      </c>
      <c r="D640" s="23" t="s">
        <v>279</v>
      </c>
      <c r="E640" s="23" t="s">
        <v>192</v>
      </c>
      <c r="F640" s="14">
        <v>1</v>
      </c>
      <c r="G640" s="12">
        <f>VLOOKUP(E640,Precios!B$2:N$941,12,FALSE)</f>
        <v>16000</v>
      </c>
      <c r="H640" s="12">
        <f t="shared" si="0"/>
        <v>16000</v>
      </c>
      <c r="I640" s="23" t="s">
        <v>52</v>
      </c>
      <c r="J640" s="23" t="s">
        <v>61</v>
      </c>
      <c r="K640" s="24" t="s">
        <v>177</v>
      </c>
      <c r="L640" s="24">
        <v>168</v>
      </c>
      <c r="M640" s="12">
        <f t="shared" ref="M640:N640" si="645">G640/1.19</f>
        <v>13445.378151260506</v>
      </c>
      <c r="N640" s="12">
        <f t="shared" si="645"/>
        <v>13445.378151260506</v>
      </c>
      <c r="O640" s="12">
        <f t="shared" si="2"/>
        <v>2554.6218487394945</v>
      </c>
      <c r="P640" s="13"/>
      <c r="Q640" s="14">
        <f t="shared" si="3"/>
        <v>2025</v>
      </c>
      <c r="R640" s="15">
        <f>VLOOKUP(MONTH(C640),'Datos Maestros'!M$2:N$14,2,FALSE)</f>
        <v>45505</v>
      </c>
      <c r="S640" s="11" t="str">
        <f>VLOOKUP(E640,Precios!B$2:W$941,3,FALSE)</f>
        <v>Papel Higiénico SWAN</v>
      </c>
      <c r="T640" s="16">
        <f>VLOOKUP(E640,Precios!B$2:N$941,4,FALSE)*F640</f>
        <v>0</v>
      </c>
      <c r="U640" s="17"/>
      <c r="V640" s="12">
        <f>VLOOKUP(E640,Precios!B$2:N$941,13,FALSE)*F640</f>
        <v>5125.3781512605037</v>
      </c>
      <c r="W640" s="12">
        <f t="shared" si="4"/>
        <v>5125.3781512605037</v>
      </c>
      <c r="X640" s="12">
        <f>VLOOKUP(B640,'Datos Maestros'!$C$2:$D$7,2,FALSE)*V640</f>
        <v>0</v>
      </c>
      <c r="Y640" s="18">
        <f t="shared" si="5"/>
        <v>45873</v>
      </c>
      <c r="Z640" s="13" t="s">
        <v>39</v>
      </c>
      <c r="AA640" s="19" t="str">
        <f>VLOOKUP(D640,Clientes!$A$2:$J$486,9,FALSE)</f>
        <v>Ocacional</v>
      </c>
      <c r="AB640" s="13" t="str">
        <f>VLOOKUP(D640,Clientes!$A$2:$K$486,11,FALSE)</f>
        <v>Persona Natural</v>
      </c>
      <c r="AC640" s="13" t="str">
        <f>VLOOKUP(D640,Clientes!$A$2:$B$486,2,FALSE)</f>
        <v>Jardin del eden</v>
      </c>
      <c r="AD640" s="20"/>
      <c r="AE640" s="20"/>
      <c r="AF640" s="13" t="s">
        <v>40</v>
      </c>
      <c r="AG640" s="15">
        <f t="shared" si="6"/>
        <v>45505</v>
      </c>
      <c r="AH640" s="13" t="s">
        <v>41</v>
      </c>
      <c r="AI640" s="13" t="str">
        <f t="shared" si="7"/>
        <v>Papeleria</v>
      </c>
      <c r="AJ640" s="13" t="str">
        <f>VLOOKUP(E640,Precios!Z$2:AA$941,2,FALSE)</f>
        <v>Papel Higienico SWAN 400 hojas</v>
      </c>
      <c r="AK640" s="14">
        <f>VLOOKUP(E640,Precios!Z$2:BB$941,3,FALSE)*F640</f>
        <v>-8</v>
      </c>
      <c r="AL640" s="17"/>
      <c r="AM640" s="17"/>
      <c r="AN640" s="17"/>
      <c r="AO640" s="17"/>
      <c r="AP640" s="17"/>
      <c r="AQ640" s="17"/>
      <c r="AR640" s="17"/>
      <c r="AS640" s="17"/>
      <c r="AT640" s="17"/>
      <c r="AU640" s="17"/>
      <c r="AV640" s="17"/>
    </row>
    <row r="641" spans="1:48" ht="15.75" customHeight="1">
      <c r="A641" s="21" t="s">
        <v>43</v>
      </c>
      <c r="B641" s="23" t="s">
        <v>1692</v>
      </c>
      <c r="C641" s="22">
        <v>45878</v>
      </c>
      <c r="D641" s="23" t="s">
        <v>279</v>
      </c>
      <c r="E641" s="23" t="s">
        <v>45</v>
      </c>
      <c r="F641" s="14">
        <v>1</v>
      </c>
      <c r="G641" s="12">
        <f>VLOOKUP(E641,Precios!B$2:N$941,12,FALSE)</f>
        <v>8000.1831784723063</v>
      </c>
      <c r="H641" s="12">
        <f t="shared" si="0"/>
        <v>8000.1831784723063</v>
      </c>
      <c r="I641" s="23" t="s">
        <v>52</v>
      </c>
      <c r="J641" s="23" t="s">
        <v>61</v>
      </c>
      <c r="K641" s="24" t="s">
        <v>177</v>
      </c>
      <c r="L641" s="24">
        <v>168</v>
      </c>
      <c r="M641" s="12">
        <f t="shared" ref="M641:N641" si="646">G641/1.19</f>
        <v>6722.8430071195853</v>
      </c>
      <c r="N641" s="12">
        <f t="shared" si="646"/>
        <v>6722.8430071195853</v>
      </c>
      <c r="O641" s="12">
        <f t="shared" si="2"/>
        <v>1277.340171352721</v>
      </c>
      <c r="P641" s="13"/>
      <c r="Q641" s="14">
        <f t="shared" si="3"/>
        <v>2025</v>
      </c>
      <c r="R641" s="15">
        <f>VLOOKUP(MONTH(C641),'Datos Maestros'!M$2:N$14,2,FALSE)</f>
        <v>45505</v>
      </c>
      <c r="S641" s="11" t="str">
        <f>VLOOKUP(E641,Precios!B$2:W$941,3,FALSE)</f>
        <v>Huevos EXTRA</v>
      </c>
      <c r="T641" s="16">
        <f>VLOOKUP(E641,Precios!B$2:N$941,4,FALSE)*F641</f>
        <v>0</v>
      </c>
      <c r="U641" s="17"/>
      <c r="V641" s="12">
        <f>VLOOKUP(E641,Precios!B$2:N$941,13,FALSE)*F641</f>
        <v>1151.6230071195851</v>
      </c>
      <c r="W641" s="12">
        <f t="shared" si="4"/>
        <v>1151.6230071195851</v>
      </c>
      <c r="X641" s="12">
        <f>VLOOKUP(B641,'Datos Maestros'!$C$2:$D$7,2,FALSE)*V641</f>
        <v>0</v>
      </c>
      <c r="Y641" s="18">
        <f t="shared" si="5"/>
        <v>45873</v>
      </c>
      <c r="Z641" s="13" t="s">
        <v>39</v>
      </c>
      <c r="AA641" s="19" t="str">
        <f>VLOOKUP(D641,Clientes!$A$2:$J$486,9,FALSE)</f>
        <v>Ocacional</v>
      </c>
      <c r="AB641" s="13" t="str">
        <f>VLOOKUP(D641,Clientes!$A$2:$K$486,11,FALSE)</f>
        <v>Persona Natural</v>
      </c>
      <c r="AC641" s="13" t="str">
        <f>VLOOKUP(D641,Clientes!$A$2:$B$486,2,FALSE)</f>
        <v>Jardin del eden</v>
      </c>
      <c r="AD641" s="20"/>
      <c r="AE641" s="20"/>
      <c r="AF641" s="13" t="s">
        <v>40</v>
      </c>
      <c r="AG641" s="15">
        <f t="shared" si="6"/>
        <v>45505</v>
      </c>
      <c r="AH641" s="13" t="s">
        <v>41</v>
      </c>
      <c r="AI641" s="13" t="str">
        <f t="shared" si="7"/>
        <v>Huevos</v>
      </c>
      <c r="AJ641" s="13" t="str">
        <f>VLOOKUP(E641,Precios!Z$2:AA$941,2,FALSE)</f>
        <v>Bandeja Huevos EXTRA</v>
      </c>
      <c r="AK641" s="14">
        <f>VLOOKUP(E641,Precios!Z$2:BB$941,3,FALSE)*F641</f>
        <v>-1</v>
      </c>
      <c r="AL641" s="17"/>
      <c r="AM641" s="17"/>
      <c r="AN641" s="17"/>
      <c r="AO641" s="17"/>
      <c r="AP641" s="17"/>
      <c r="AQ641" s="17"/>
      <c r="AR641" s="17"/>
      <c r="AS641" s="17"/>
      <c r="AT641" s="17"/>
      <c r="AU641" s="17"/>
      <c r="AV641" s="17"/>
    </row>
    <row r="642" spans="1:48" ht="15.75" customHeight="1">
      <c r="A642" s="21" t="s">
        <v>73</v>
      </c>
      <c r="B642" s="23" t="s">
        <v>1692</v>
      </c>
      <c r="C642" s="22">
        <v>45878</v>
      </c>
      <c r="D642" s="23" t="s">
        <v>279</v>
      </c>
      <c r="E642" s="23" t="s">
        <v>90</v>
      </c>
      <c r="F642" s="14">
        <v>1</v>
      </c>
      <c r="G642" s="12">
        <f>VLOOKUP(E642,Precios!B$2:N$941,12,FALSE)</f>
        <v>4199.9020019599611</v>
      </c>
      <c r="H642" s="12">
        <f t="shared" si="0"/>
        <v>4199.9020019599611</v>
      </c>
      <c r="I642" s="23" t="s">
        <v>52</v>
      </c>
      <c r="J642" s="23" t="s">
        <v>61</v>
      </c>
      <c r="K642" s="24" t="s">
        <v>177</v>
      </c>
      <c r="L642" s="24">
        <v>168</v>
      </c>
      <c r="M642" s="12">
        <f t="shared" ref="M642:N642" si="647">G642/1.19</f>
        <v>3529.3294134117323</v>
      </c>
      <c r="N642" s="12">
        <f t="shared" si="647"/>
        <v>3529.3294134117323</v>
      </c>
      <c r="O642" s="12">
        <f t="shared" si="2"/>
        <v>670.57258854822885</v>
      </c>
      <c r="P642" s="13"/>
      <c r="Q642" s="14">
        <f t="shared" si="3"/>
        <v>2025</v>
      </c>
      <c r="R642" s="15">
        <f>VLOOKUP(MONTH(C642),'Datos Maestros'!M$2:N$14,2,FALSE)</f>
        <v>45505</v>
      </c>
      <c r="S642" s="11" t="str">
        <f>VLOOKUP(E642,Precios!B$2:W$941,3,FALSE)</f>
        <v>Guantes NITRILO</v>
      </c>
      <c r="T642" s="16">
        <f>VLOOKUP(E642,Precios!B$2:N$941,4,FALSE)*F642</f>
        <v>0</v>
      </c>
      <c r="U642" s="17"/>
      <c r="V642" s="12">
        <f>VLOOKUP(E642,Precios!B$2:N$941,13,FALSE)*F642</f>
        <v>1008.3294134117323</v>
      </c>
      <c r="W642" s="12">
        <f t="shared" si="4"/>
        <v>1008.3294134117323</v>
      </c>
      <c r="X642" s="12">
        <f>VLOOKUP(B642,'Datos Maestros'!$C$2:$D$7,2,FALSE)*V642</f>
        <v>0</v>
      </c>
      <c r="Y642" s="18">
        <f t="shared" si="5"/>
        <v>45873</v>
      </c>
      <c r="Z642" s="13" t="s">
        <v>39</v>
      </c>
      <c r="AA642" s="19" t="str">
        <f>VLOOKUP(D642,Clientes!$A$2:$J$486,9,FALSE)</f>
        <v>Ocacional</v>
      </c>
      <c r="AB642" s="13" t="str">
        <f>VLOOKUP(D642,Clientes!$A$2:$K$486,11,FALSE)</f>
        <v>Persona Natural</v>
      </c>
      <c r="AC642" s="13" t="str">
        <f>VLOOKUP(D642,Clientes!$A$2:$B$486,2,FALSE)</f>
        <v>Jardin del eden</v>
      </c>
      <c r="AD642" s="20"/>
      <c r="AE642" s="20"/>
      <c r="AF642" s="13" t="s">
        <v>40</v>
      </c>
      <c r="AG642" s="15">
        <f t="shared" si="6"/>
        <v>45505</v>
      </c>
      <c r="AH642" s="13" t="s">
        <v>41</v>
      </c>
      <c r="AI642" s="13" t="str">
        <f t="shared" si="7"/>
        <v>Articulos de Sanidad</v>
      </c>
      <c r="AJ642" s="13" t="str">
        <f>VLOOKUP(E642,Precios!Z$2:AA$941,2,FALSE)</f>
        <v>Guante NITRILO Talla M</v>
      </c>
      <c r="AK642" s="14">
        <f>VLOOKUP(E642,Precios!Z$2:BB$941,3,FALSE)*F642</f>
        <v>-1</v>
      </c>
      <c r="AL642" s="17"/>
      <c r="AM642" s="17"/>
      <c r="AN642" s="17"/>
      <c r="AO642" s="17"/>
      <c r="AP642" s="17"/>
      <c r="AQ642" s="17"/>
      <c r="AR642" s="17"/>
      <c r="AS642" s="17"/>
      <c r="AT642" s="17"/>
      <c r="AU642" s="17"/>
      <c r="AV642" s="17"/>
    </row>
    <row r="643" spans="1:48" ht="15.75" customHeight="1">
      <c r="A643" s="21" t="s">
        <v>43</v>
      </c>
      <c r="B643" s="23" t="s">
        <v>1692</v>
      </c>
      <c r="C643" s="22">
        <v>45878</v>
      </c>
      <c r="D643" s="23" t="s">
        <v>291</v>
      </c>
      <c r="E643" s="23" t="s">
        <v>45</v>
      </c>
      <c r="F643" s="14">
        <v>1</v>
      </c>
      <c r="G643" s="12">
        <f>VLOOKUP(E643,Precios!B$2:N$941,12,FALSE)</f>
        <v>8000.1831784723063</v>
      </c>
      <c r="H643" s="12">
        <f t="shared" si="0"/>
        <v>8000.1831784723063</v>
      </c>
      <c r="I643" s="23" t="s">
        <v>52</v>
      </c>
      <c r="J643" s="23" t="s">
        <v>61</v>
      </c>
      <c r="K643" s="24" t="s">
        <v>177</v>
      </c>
      <c r="L643" s="24">
        <v>168</v>
      </c>
      <c r="M643" s="12">
        <f t="shared" ref="M643:N643" si="648">G643/1.19</f>
        <v>6722.8430071195853</v>
      </c>
      <c r="N643" s="12">
        <f t="shared" si="648"/>
        <v>6722.8430071195853</v>
      </c>
      <c r="O643" s="12">
        <f t="shared" si="2"/>
        <v>1277.340171352721</v>
      </c>
      <c r="P643" s="13"/>
      <c r="Q643" s="14">
        <f t="shared" si="3"/>
        <v>2025</v>
      </c>
      <c r="R643" s="15">
        <f>VLOOKUP(MONTH(C643),'Datos Maestros'!M$2:N$14,2,FALSE)</f>
        <v>45505</v>
      </c>
      <c r="S643" s="11" t="str">
        <f>VLOOKUP(E643,Precios!B$2:W$941,3,FALSE)</f>
        <v>Huevos EXTRA</v>
      </c>
      <c r="T643" s="16">
        <f>VLOOKUP(E643,Precios!B$2:N$941,4,FALSE)*F643</f>
        <v>0</v>
      </c>
      <c r="U643" s="17"/>
      <c r="V643" s="12">
        <f>VLOOKUP(E643,Precios!B$2:N$941,13,FALSE)*F643</f>
        <v>1151.6230071195851</v>
      </c>
      <c r="W643" s="12">
        <f t="shared" si="4"/>
        <v>1151.6230071195851</v>
      </c>
      <c r="X643" s="12">
        <f>VLOOKUP(B643,'Datos Maestros'!$C$2:$D$7,2,FALSE)*V643</f>
        <v>0</v>
      </c>
      <c r="Y643" s="18">
        <f t="shared" si="5"/>
        <v>45873</v>
      </c>
      <c r="Z643" s="13" t="s">
        <v>39</v>
      </c>
      <c r="AA643" s="19" t="str">
        <f>VLOOKUP(D643,Clientes!$A$2:$J$486,9,FALSE)</f>
        <v>Ocacional</v>
      </c>
      <c r="AB643" s="13" t="str">
        <f>VLOOKUP(D643,Clientes!$A$2:$K$486,11,FALSE)</f>
        <v>Persona Natural</v>
      </c>
      <c r="AC643" s="13" t="str">
        <f>VLOOKUP(D643,Clientes!$A$2:$B$486,2,FALSE)</f>
        <v>Jardin del eden</v>
      </c>
      <c r="AD643" s="20"/>
      <c r="AE643" s="20"/>
      <c r="AF643" s="13" t="s">
        <v>40</v>
      </c>
      <c r="AG643" s="15">
        <f t="shared" si="6"/>
        <v>45505</v>
      </c>
      <c r="AH643" s="13" t="s">
        <v>41</v>
      </c>
      <c r="AI643" s="13" t="str">
        <f t="shared" si="7"/>
        <v>Huevos</v>
      </c>
      <c r="AJ643" s="13" t="str">
        <f>VLOOKUP(E643,Precios!Z$2:AA$941,2,FALSE)</f>
        <v>Bandeja Huevos EXTRA</v>
      </c>
      <c r="AK643" s="14">
        <f>VLOOKUP(E643,Precios!Z$2:BB$941,3,FALSE)*F643</f>
        <v>-1</v>
      </c>
      <c r="AL643" s="17"/>
      <c r="AM643" s="17"/>
      <c r="AN643" s="17"/>
      <c r="AO643" s="17"/>
      <c r="AP643" s="17"/>
      <c r="AQ643" s="17"/>
      <c r="AR643" s="17"/>
      <c r="AS643" s="17"/>
      <c r="AT643" s="17"/>
      <c r="AU643" s="17"/>
      <c r="AV643" s="17"/>
    </row>
    <row r="644" spans="1:48" ht="15.75" customHeight="1">
      <c r="A644" s="21" t="s">
        <v>53</v>
      </c>
      <c r="B644" s="23" t="s">
        <v>1692</v>
      </c>
      <c r="C644" s="22">
        <v>45877</v>
      </c>
      <c r="D644" s="23" t="s">
        <v>189</v>
      </c>
      <c r="E644" s="23" t="s">
        <v>69</v>
      </c>
      <c r="F644" s="21">
        <v>2</v>
      </c>
      <c r="G644" s="12">
        <f>VLOOKUP(E644,Precios!B$2:N$941,12,FALSE)</f>
        <v>2999.9553810458683</v>
      </c>
      <c r="H644" s="12">
        <f t="shared" si="0"/>
        <v>5999.9107620917366</v>
      </c>
      <c r="I644" s="23" t="s">
        <v>52</v>
      </c>
      <c r="J644" s="23" t="s">
        <v>61</v>
      </c>
      <c r="K644" s="24" t="s">
        <v>177</v>
      </c>
      <c r="L644" s="24">
        <v>168</v>
      </c>
      <c r="M644" s="12">
        <f t="shared" ref="M644:N644" si="649">G644/1.19</f>
        <v>2520.9709084419064</v>
      </c>
      <c r="N644" s="12">
        <f t="shared" si="649"/>
        <v>5041.9418168838129</v>
      </c>
      <c r="O644" s="12">
        <f t="shared" si="2"/>
        <v>957.96894520792375</v>
      </c>
      <c r="P644" s="13"/>
      <c r="Q644" s="14">
        <f t="shared" si="3"/>
        <v>2025</v>
      </c>
      <c r="R644" s="15">
        <f>VLOOKUP(MONTH(C644),'Datos Maestros'!M$2:N$14,2,FALSE)</f>
        <v>45505</v>
      </c>
      <c r="S644" s="11" t="str">
        <f>VLOOKUP(E644,Precios!B$2:W$941,3,FALSE)</f>
        <v>Toalla Nova 70 mts</v>
      </c>
      <c r="T644" s="16">
        <f>VLOOKUP(E644,Precios!B$2:N$941,4,FALSE)*F644</f>
        <v>0</v>
      </c>
      <c r="U644" s="17"/>
      <c r="V644" s="12">
        <f>VLOOKUP(E644,Precios!B$2:N$941,13,FALSE)*F644</f>
        <v>1651.941816883812</v>
      </c>
      <c r="W644" s="12">
        <f t="shared" si="4"/>
        <v>1651.941816883812</v>
      </c>
      <c r="X644" s="12">
        <f>VLOOKUP(B644,'Datos Maestros'!$C$2:$D$7,2,FALSE)*V644</f>
        <v>0</v>
      </c>
      <c r="Y644" s="18">
        <f t="shared" si="5"/>
        <v>45873</v>
      </c>
      <c r="Z644" s="13" t="s">
        <v>39</v>
      </c>
      <c r="AA644" s="19" t="str">
        <f>VLOOKUP(D644,Clientes!$A$2:$J$486,9,FALSE)</f>
        <v>Frecuente</v>
      </c>
      <c r="AB644" s="13" t="str">
        <f>VLOOKUP(D644,Clientes!$A$2:$K$486,11,FALSE)</f>
        <v>Persona Natural</v>
      </c>
      <c r="AC644" s="13" t="str">
        <f>VLOOKUP(D644,Clientes!$A$2:$B$486,2,FALSE)</f>
        <v>Jardines de la Viña</v>
      </c>
      <c r="AD644" s="20"/>
      <c r="AE644" s="20"/>
      <c r="AF644" s="13" t="s">
        <v>40</v>
      </c>
      <c r="AG644" s="15">
        <f t="shared" si="6"/>
        <v>45505</v>
      </c>
      <c r="AH644" s="13" t="s">
        <v>41</v>
      </c>
      <c r="AI644" s="13" t="str">
        <f t="shared" si="7"/>
        <v>Papeleria</v>
      </c>
      <c r="AJ644" s="13" t="str">
        <f>VLOOKUP(E644,Precios!Z$2:AA$941,2,FALSE)</f>
        <v>Toalla Papel NOVA 70 metros</v>
      </c>
      <c r="AK644" s="14">
        <f>VLOOKUP(E644,Precios!Z$2:BB$941,3,FALSE)*F644</f>
        <v>-2</v>
      </c>
      <c r="AL644" s="17"/>
      <c r="AM644" s="17"/>
      <c r="AN644" s="17"/>
      <c r="AO644" s="17"/>
      <c r="AP644" s="17"/>
      <c r="AQ644" s="17"/>
      <c r="AR644" s="17"/>
      <c r="AS644" s="17"/>
      <c r="AT644" s="17"/>
      <c r="AU644" s="17"/>
      <c r="AV644" s="17"/>
    </row>
    <row r="645" spans="1:48" ht="15.75" customHeight="1">
      <c r="A645" s="21" t="s">
        <v>53</v>
      </c>
      <c r="B645" s="23" t="s">
        <v>1692</v>
      </c>
      <c r="C645" s="22">
        <v>45877</v>
      </c>
      <c r="D645" s="23" t="s">
        <v>189</v>
      </c>
      <c r="E645" s="23" t="s">
        <v>150</v>
      </c>
      <c r="F645" s="21">
        <v>1</v>
      </c>
      <c r="G645" s="12">
        <f>VLOOKUP(E645,Precios!B$2:N$941,12,FALSE)</f>
        <v>1799.8965445892823</v>
      </c>
      <c r="H645" s="12">
        <f t="shared" si="0"/>
        <v>1799.8965445892823</v>
      </c>
      <c r="I645" s="23" t="s">
        <v>52</v>
      </c>
      <c r="J645" s="23" t="s">
        <v>61</v>
      </c>
      <c r="K645" s="24" t="s">
        <v>177</v>
      </c>
      <c r="L645" s="24">
        <v>168</v>
      </c>
      <c r="M645" s="12">
        <f t="shared" ref="M645:N645" si="650">G645/1.19</f>
        <v>1512.518104696876</v>
      </c>
      <c r="N645" s="12">
        <f t="shared" si="650"/>
        <v>1512.518104696876</v>
      </c>
      <c r="O645" s="12">
        <f t="shared" si="2"/>
        <v>287.37843989240628</v>
      </c>
      <c r="P645" s="13"/>
      <c r="Q645" s="14">
        <f t="shared" si="3"/>
        <v>2025</v>
      </c>
      <c r="R645" s="15">
        <f>VLOOKUP(MONTH(C645),'Datos Maestros'!M$2:N$14,2,FALSE)</f>
        <v>45505</v>
      </c>
      <c r="S645" s="11" t="str">
        <f>VLOOKUP(E645,Precios!B$2:W$941,3,FALSE)</f>
        <v>Servilletas</v>
      </c>
      <c r="T645" s="16">
        <f>VLOOKUP(E645,Precios!B$2:N$941,4,FALSE)*F645</f>
        <v>300</v>
      </c>
      <c r="U645" s="17"/>
      <c r="V645" s="12">
        <f>VLOOKUP(E645,Precios!B$2:N$941,13,FALSE)*F645</f>
        <v>781.51810469687575</v>
      </c>
      <c r="W645" s="12">
        <f t="shared" si="4"/>
        <v>781.51810469687575</v>
      </c>
      <c r="X645" s="12">
        <f>VLOOKUP(B645,'Datos Maestros'!$C$2:$D$7,2,FALSE)*V645</f>
        <v>0</v>
      </c>
      <c r="Y645" s="18">
        <f t="shared" si="5"/>
        <v>45873</v>
      </c>
      <c r="Z645" s="13" t="s">
        <v>39</v>
      </c>
      <c r="AA645" s="19" t="str">
        <f>VLOOKUP(D645,Clientes!$A$2:$J$486,9,FALSE)</f>
        <v>Frecuente</v>
      </c>
      <c r="AB645" s="13" t="str">
        <f>VLOOKUP(D645,Clientes!$A$2:$K$486,11,FALSE)</f>
        <v>Persona Natural</v>
      </c>
      <c r="AC645" s="13" t="str">
        <f>VLOOKUP(D645,Clientes!$A$2:$B$486,2,FALSE)</f>
        <v>Jardines de la Viña</v>
      </c>
      <c r="AD645" s="20"/>
      <c r="AE645" s="20"/>
      <c r="AF645" s="13" t="s">
        <v>40</v>
      </c>
      <c r="AG645" s="15">
        <f t="shared" si="6"/>
        <v>45505</v>
      </c>
      <c r="AH645" s="13" t="s">
        <v>41</v>
      </c>
      <c r="AI645" s="13" t="str">
        <f t="shared" si="7"/>
        <v>Papeleria</v>
      </c>
      <c r="AJ645" s="13" t="str">
        <f>VLOOKUP(E645,Precios!Z$2:AA$941,2,FALSE)</f>
        <v>Servilletas SOFTQUALITY 300 unidades</v>
      </c>
      <c r="AK645" s="14">
        <f>VLOOKUP(E645,Precios!Z$2:BB$941,3,FALSE)*F645</f>
        <v>-1</v>
      </c>
      <c r="AL645" s="17"/>
      <c r="AM645" s="17"/>
      <c r="AN645" s="17"/>
      <c r="AO645" s="17"/>
      <c r="AP645" s="17"/>
      <c r="AQ645" s="17"/>
      <c r="AR645" s="17"/>
      <c r="AS645" s="17"/>
      <c r="AT645" s="17"/>
      <c r="AU645" s="17"/>
      <c r="AV645" s="17"/>
    </row>
    <row r="646" spans="1:48" ht="15.75" customHeight="1">
      <c r="A646" s="21" t="s">
        <v>76</v>
      </c>
      <c r="B646" s="23" t="s">
        <v>1692</v>
      </c>
      <c r="C646" s="22">
        <v>45877</v>
      </c>
      <c r="D646" s="23" t="s">
        <v>333</v>
      </c>
      <c r="E646" s="23" t="s">
        <v>137</v>
      </c>
      <c r="F646" s="21">
        <v>2</v>
      </c>
      <c r="G646" s="12">
        <f>VLOOKUP(E646,Precios!B$2:N$941,12,FALSE)</f>
        <v>3500.0000000000005</v>
      </c>
      <c r="H646" s="12">
        <f t="shared" si="0"/>
        <v>7000.0000000000009</v>
      </c>
      <c r="I646" s="23" t="s">
        <v>52</v>
      </c>
      <c r="J646" s="23" t="s">
        <v>61</v>
      </c>
      <c r="K646" s="24" t="s">
        <v>177</v>
      </c>
      <c r="L646" s="24">
        <v>168</v>
      </c>
      <c r="M646" s="12">
        <f t="shared" ref="M646:N646" si="651">G646/1.19</f>
        <v>2941.1764705882356</v>
      </c>
      <c r="N646" s="12">
        <f t="shared" si="651"/>
        <v>5882.3529411764712</v>
      </c>
      <c r="O646" s="12">
        <f t="shared" si="2"/>
        <v>1117.6470588235297</v>
      </c>
      <c r="P646" s="13"/>
      <c r="Q646" s="14">
        <f t="shared" si="3"/>
        <v>2025</v>
      </c>
      <c r="R646" s="15">
        <f>VLOOKUP(MONTH(C646),'Datos Maestros'!M$2:N$14,2,FALSE)</f>
        <v>45505</v>
      </c>
      <c r="S646" s="11" t="str">
        <f>VLOOKUP(E646,Precios!B$2:W$941,3,FALSE)</f>
        <v>Detergente Piel Sensible</v>
      </c>
      <c r="T646" s="16">
        <f>VLOOKUP(E646,Precios!B$2:N$941,4,FALSE)*F646</f>
        <v>10</v>
      </c>
      <c r="U646" s="17"/>
      <c r="V646" s="12">
        <f>VLOOKUP(E646,Precios!B$2:N$941,13,FALSE)*F646</f>
        <v>1697.4789915966394</v>
      </c>
      <c r="W646" s="12">
        <f t="shared" si="4"/>
        <v>1697.4789915966394</v>
      </c>
      <c r="X646" s="12">
        <f>VLOOKUP(B646,'Datos Maestros'!$C$2:$D$7,2,FALSE)*V646</f>
        <v>0</v>
      </c>
      <c r="Y646" s="18">
        <f t="shared" si="5"/>
        <v>45873</v>
      </c>
      <c r="Z646" s="13" t="s">
        <v>39</v>
      </c>
      <c r="AA646" s="19" t="str">
        <f>VLOOKUP(D646,Clientes!$A$2:$J$486,9,FALSE)</f>
        <v>Ocacional</v>
      </c>
      <c r="AB646" s="13" t="str">
        <f>VLOOKUP(D646,Clientes!$A$2:$K$486,11,FALSE)</f>
        <v>Persona Natural</v>
      </c>
      <c r="AC646" s="13" t="str">
        <f>VLOOKUP(D646,Clientes!$A$2:$B$486,2,FALSE)</f>
        <v>Curso Amalia</v>
      </c>
      <c r="AD646" s="20"/>
      <c r="AE646" s="20"/>
      <c r="AF646" s="13" t="s">
        <v>40</v>
      </c>
      <c r="AG646" s="15">
        <f t="shared" si="6"/>
        <v>45505</v>
      </c>
      <c r="AH646" s="13" t="s">
        <v>41</v>
      </c>
      <c r="AI646" s="13" t="str">
        <f t="shared" si="7"/>
        <v>Detergentes</v>
      </c>
      <c r="AJ646" s="13" t="str">
        <f>VLOOKUP(E646,Precios!Z$2:AA$941,2,FALSE)</f>
        <v>Detergente SPUM 5 Litros (Blanco)</v>
      </c>
      <c r="AK646" s="14">
        <f>VLOOKUP(E646,Precios!Z$2:BB$941,3,FALSE)*F646</f>
        <v>-2</v>
      </c>
      <c r="AL646" s="17"/>
      <c r="AM646" s="17"/>
      <c r="AN646" s="17"/>
      <c r="AO646" s="17"/>
      <c r="AP646" s="17"/>
      <c r="AQ646" s="17"/>
      <c r="AR646" s="17"/>
      <c r="AS646" s="17"/>
      <c r="AT646" s="17"/>
      <c r="AU646" s="17"/>
      <c r="AV646" s="17"/>
    </row>
    <row r="647" spans="1:48" ht="15.75" customHeight="1">
      <c r="A647" s="21" t="s">
        <v>35</v>
      </c>
      <c r="B647" s="23" t="s">
        <v>1692</v>
      </c>
      <c r="C647" s="22">
        <v>45876</v>
      </c>
      <c r="D647" s="23" t="s">
        <v>132</v>
      </c>
      <c r="E647" s="23" t="s">
        <v>37</v>
      </c>
      <c r="F647" s="14">
        <v>1</v>
      </c>
      <c r="G647" s="12">
        <f>VLOOKUP(E647,Precios!B$2:N$941,12,FALSE)</f>
        <v>11000.014358944907</v>
      </c>
      <c r="H647" s="12">
        <f t="shared" si="0"/>
        <v>11000.014358944907</v>
      </c>
      <c r="I647" s="23" t="s">
        <v>52</v>
      </c>
      <c r="J647" s="23" t="s">
        <v>61</v>
      </c>
      <c r="K647" s="24" t="s">
        <v>177</v>
      </c>
      <c r="L647" s="24">
        <v>168</v>
      </c>
      <c r="M647" s="12">
        <f t="shared" ref="M647:N647" si="652">G647/1.19</f>
        <v>9243.7095453318543</v>
      </c>
      <c r="N647" s="12">
        <f t="shared" si="652"/>
        <v>9243.7095453318543</v>
      </c>
      <c r="O647" s="12">
        <f t="shared" si="2"/>
        <v>1756.3048136130528</v>
      </c>
      <c r="P647" s="13"/>
      <c r="Q647" s="14">
        <f t="shared" si="3"/>
        <v>2025</v>
      </c>
      <c r="R647" s="15">
        <f>VLOOKUP(MONTH(C647),'Datos Maestros'!M$2:N$14,2,FALSE)</f>
        <v>45505</v>
      </c>
      <c r="S647" s="11" t="str">
        <f>VLOOKUP(E647,Precios!B$2:W$941,3,FALSE)</f>
        <v>Queso Mantecoso</v>
      </c>
      <c r="T647" s="16">
        <f>VLOOKUP(E647,Precios!B$2:N$941,4,FALSE)*F647</f>
        <v>1000</v>
      </c>
      <c r="U647" s="17"/>
      <c r="V647" s="12">
        <f>VLOOKUP(E647,Precios!B$2:N$941,13,FALSE)*F647</f>
        <v>2806.1129066763915</v>
      </c>
      <c r="W647" s="12">
        <f t="shared" si="4"/>
        <v>2806.1129066763915</v>
      </c>
      <c r="X647" s="12">
        <f>VLOOKUP(B647,'Datos Maestros'!$C$2:$D$7,2,FALSE)*V647</f>
        <v>0</v>
      </c>
      <c r="Y647" s="18">
        <f t="shared" si="5"/>
        <v>45873</v>
      </c>
      <c r="Z647" s="13" t="s">
        <v>39</v>
      </c>
      <c r="AA647" s="19" t="str">
        <f>VLOOKUP(D647,Clientes!$A$2:$J$486,9,FALSE)</f>
        <v>Ocacional</v>
      </c>
      <c r="AB647" s="13" t="str">
        <f>VLOOKUP(D647,Clientes!$A$2:$K$486,11,FALSE)</f>
        <v>Persona Natural</v>
      </c>
      <c r="AC647" s="13" t="str">
        <f>VLOOKUP(D647,Clientes!$A$2:$B$486,2,FALSE)</f>
        <v>Walker Martinez</v>
      </c>
      <c r="AD647" s="20"/>
      <c r="AE647" s="20"/>
      <c r="AF647" s="13" t="s">
        <v>40</v>
      </c>
      <c r="AG647" s="15">
        <f t="shared" si="6"/>
        <v>45505</v>
      </c>
      <c r="AH647" s="13" t="s">
        <v>41</v>
      </c>
      <c r="AI647" s="13" t="str">
        <f t="shared" si="7"/>
        <v>Quesos</v>
      </c>
      <c r="AJ647" s="13" t="str">
        <f>VLOOKUP(E647,Precios!Z$2:AA$941,2,FALSE)</f>
        <v>Queso RUNCA Mantecoso</v>
      </c>
      <c r="AK647" s="14">
        <f>VLOOKUP(E647,Precios!Z$2:BB$941,3,FALSE)*F647</f>
        <v>-1</v>
      </c>
      <c r="AL647" s="17"/>
      <c r="AM647" s="17"/>
      <c r="AN647" s="17"/>
      <c r="AO647" s="17"/>
      <c r="AP647" s="17"/>
      <c r="AQ647" s="17"/>
      <c r="AR647" s="17"/>
      <c r="AS647" s="17"/>
      <c r="AT647" s="17"/>
      <c r="AU647" s="17"/>
      <c r="AV647" s="17"/>
    </row>
    <row r="648" spans="1:48" ht="15.75" customHeight="1">
      <c r="A648" s="21" t="s">
        <v>47</v>
      </c>
      <c r="B648" s="23" t="s">
        <v>1692</v>
      </c>
      <c r="C648" s="22">
        <v>45876</v>
      </c>
      <c r="D648" s="23" t="s">
        <v>87</v>
      </c>
      <c r="E648" s="23" t="s">
        <v>334</v>
      </c>
      <c r="F648" s="14">
        <v>1</v>
      </c>
      <c r="G648" s="12">
        <f>VLOOKUP(E648,Precios!B$2:N$941,12,FALSE)</f>
        <v>4200.0000000000009</v>
      </c>
      <c r="H648" s="12">
        <f t="shared" si="0"/>
        <v>4200.0000000000009</v>
      </c>
      <c r="I648" s="23" t="s">
        <v>52</v>
      </c>
      <c r="J648" s="23" t="s">
        <v>61</v>
      </c>
      <c r="K648" s="24" t="s">
        <v>177</v>
      </c>
      <c r="L648" s="24">
        <v>168</v>
      </c>
      <c r="M648" s="12">
        <f t="shared" ref="M648:N648" si="653">G648/1.19</f>
        <v>3529.4117647058833</v>
      </c>
      <c r="N648" s="12">
        <f t="shared" si="653"/>
        <v>3529.4117647058833</v>
      </c>
      <c r="O648" s="12">
        <f t="shared" si="2"/>
        <v>670.58823529411757</v>
      </c>
      <c r="P648" s="13"/>
      <c r="Q648" s="14">
        <f t="shared" si="3"/>
        <v>2025</v>
      </c>
      <c r="R648" s="15">
        <f>VLOOKUP(MONTH(C648),'Datos Maestros'!M$2:N$14,2,FALSE)</f>
        <v>45505</v>
      </c>
      <c r="S648" s="11" t="str">
        <f>VLOOKUP(E648,Precios!B$2:W$941,3,FALSE)</f>
        <v>WC</v>
      </c>
      <c r="T648" s="16">
        <f>VLOOKUP(E648,Precios!B$2:N$941,4,FALSE)*F648</f>
        <v>0</v>
      </c>
      <c r="U648" s="17"/>
      <c r="V648" s="12">
        <f>VLOOKUP(E648,Precios!B$2:N$941,13,FALSE)*F648</f>
        <v>1435.4117647058829</v>
      </c>
      <c r="W648" s="12">
        <f t="shared" si="4"/>
        <v>1435.4117647058829</v>
      </c>
      <c r="X648" s="12">
        <f>VLOOKUP(B648,'Datos Maestros'!$C$2:$D$7,2,FALSE)*V648</f>
        <v>0</v>
      </c>
      <c r="Y648" s="18">
        <f t="shared" si="5"/>
        <v>45873</v>
      </c>
      <c r="Z648" s="13" t="s">
        <v>39</v>
      </c>
      <c r="AA648" s="19" t="str">
        <f>VLOOKUP(D648,Clientes!$A$2:$J$486,9,FALSE)</f>
        <v>Frecuente</v>
      </c>
      <c r="AB648" s="13" t="str">
        <f>VLOOKUP(D648,Clientes!$A$2:$K$486,11,FALSE)</f>
        <v>Persona Natural</v>
      </c>
      <c r="AC648" s="13" t="str">
        <f>VLOOKUP(D648,Clientes!$A$2:$B$486,2,FALSE)</f>
        <v>Jardines de la viña</v>
      </c>
      <c r="AD648" s="20"/>
      <c r="AE648" s="20"/>
      <c r="AF648" s="13" t="s">
        <v>40</v>
      </c>
      <c r="AG648" s="15">
        <f t="shared" si="6"/>
        <v>45505</v>
      </c>
      <c r="AH648" s="13" t="s">
        <v>41</v>
      </c>
      <c r="AI648" s="13" t="str">
        <f t="shared" si="7"/>
        <v>Articulos de Aseo</v>
      </c>
      <c r="AJ648" s="13" t="str">
        <f>VLOOKUP(E648,Precios!Z$2:AA$941,2,FALSE)</f>
        <v>Pastilla para estanque WC</v>
      </c>
      <c r="AK648" s="14">
        <f>VLOOKUP(E648,Precios!Z$2:BB$941,3,FALSE)*F648</f>
        <v>-3</v>
      </c>
      <c r="AL648" s="17"/>
      <c r="AM648" s="17"/>
      <c r="AN648" s="17"/>
      <c r="AO648" s="17"/>
      <c r="AP648" s="17"/>
      <c r="AQ648" s="17"/>
      <c r="AR648" s="17"/>
      <c r="AS648" s="17"/>
      <c r="AT648" s="17"/>
      <c r="AU648" s="17"/>
      <c r="AV648" s="17"/>
    </row>
    <row r="649" spans="1:48" ht="15.75" customHeight="1">
      <c r="A649" s="21" t="s">
        <v>47</v>
      </c>
      <c r="B649" s="23" t="s">
        <v>1692</v>
      </c>
      <c r="C649" s="22">
        <v>45876</v>
      </c>
      <c r="D649" s="23" t="s">
        <v>87</v>
      </c>
      <c r="E649" s="23" t="s">
        <v>206</v>
      </c>
      <c r="F649" s="14">
        <v>1</v>
      </c>
      <c r="G649" s="12">
        <f>VLOOKUP(E649,Precios!B$2:N$941,12,FALSE)</f>
        <v>2499.9842105263156</v>
      </c>
      <c r="H649" s="12">
        <f t="shared" si="0"/>
        <v>2499.9842105263156</v>
      </c>
      <c r="I649" s="23" t="s">
        <v>52</v>
      </c>
      <c r="J649" s="23" t="s">
        <v>61</v>
      </c>
      <c r="K649" s="24" t="s">
        <v>177</v>
      </c>
      <c r="L649" s="24">
        <v>168</v>
      </c>
      <c r="M649" s="12">
        <f t="shared" ref="M649:N649" si="654">G649/1.19</f>
        <v>2100.8270676691727</v>
      </c>
      <c r="N649" s="12">
        <f t="shared" si="654"/>
        <v>2100.8270676691727</v>
      </c>
      <c r="O649" s="12">
        <f t="shared" si="2"/>
        <v>399.15714285714284</v>
      </c>
      <c r="P649" s="13"/>
      <c r="Q649" s="14">
        <f t="shared" si="3"/>
        <v>2025</v>
      </c>
      <c r="R649" s="15">
        <f>VLOOKUP(MONTH(C649),'Datos Maestros'!M$2:N$14,2,FALSE)</f>
        <v>45505</v>
      </c>
      <c r="S649" s="11" t="str">
        <f>VLOOKUP(E649,Precios!B$2:W$941,3,FALSE)</f>
        <v>Paños Cocina</v>
      </c>
      <c r="T649" s="16">
        <f>VLOOKUP(E649,Precios!B$2:N$941,4,FALSE)*F649</f>
        <v>0</v>
      </c>
      <c r="U649" s="17"/>
      <c r="V649" s="12">
        <f>VLOOKUP(E649,Precios!B$2:N$941,13,FALSE)*F649</f>
        <v>1430.2430676691729</v>
      </c>
      <c r="W649" s="12">
        <f t="shared" si="4"/>
        <v>1430.2430676691729</v>
      </c>
      <c r="X649" s="12">
        <f>VLOOKUP(B649,'Datos Maestros'!$C$2:$D$7,2,FALSE)*V649</f>
        <v>0</v>
      </c>
      <c r="Y649" s="18">
        <f t="shared" si="5"/>
        <v>45873</v>
      </c>
      <c r="Z649" s="13" t="s">
        <v>39</v>
      </c>
      <c r="AA649" s="19" t="str">
        <f>VLOOKUP(D649,Clientes!$A$2:$J$486,9,FALSE)</f>
        <v>Frecuente</v>
      </c>
      <c r="AB649" s="13" t="str">
        <f>VLOOKUP(D649,Clientes!$A$2:$K$486,11,FALSE)</f>
        <v>Persona Natural</v>
      </c>
      <c r="AC649" s="13" t="str">
        <f>VLOOKUP(D649,Clientes!$A$2:$B$486,2,FALSE)</f>
        <v>Jardines de la viña</v>
      </c>
      <c r="AD649" s="20"/>
      <c r="AE649" s="20"/>
      <c r="AF649" s="13" t="s">
        <v>40</v>
      </c>
      <c r="AG649" s="15">
        <f t="shared" si="6"/>
        <v>45505</v>
      </c>
      <c r="AH649" s="13" t="s">
        <v>41</v>
      </c>
      <c r="AI649" s="13" t="str">
        <f t="shared" si="7"/>
        <v>Articulos de Aseo</v>
      </c>
      <c r="AJ649" s="13" t="str">
        <f>VLOOKUP(E649,Precios!Z$2:AA$941,2,FALSE)</f>
        <v>Paños Cocina Teddy</v>
      </c>
      <c r="AK649" s="14">
        <f>VLOOKUP(E649,Precios!Z$2:BB$941,3,FALSE)*F649</f>
        <v>-3</v>
      </c>
      <c r="AL649" s="17"/>
      <c r="AM649" s="17"/>
      <c r="AN649" s="17"/>
      <c r="AO649" s="17"/>
      <c r="AP649" s="17"/>
      <c r="AQ649" s="17"/>
      <c r="AR649" s="17"/>
      <c r="AS649" s="17"/>
      <c r="AT649" s="17"/>
      <c r="AU649" s="17"/>
      <c r="AV649" s="17"/>
    </row>
    <row r="650" spans="1:48" ht="15.75" customHeight="1">
      <c r="A650" s="21" t="s">
        <v>47</v>
      </c>
      <c r="B650" s="23" t="s">
        <v>1692</v>
      </c>
      <c r="C650" s="22">
        <v>45876</v>
      </c>
      <c r="D650" s="23" t="s">
        <v>87</v>
      </c>
      <c r="E650" s="23" t="s">
        <v>48</v>
      </c>
      <c r="F650" s="21">
        <v>2</v>
      </c>
      <c r="G650" s="12">
        <f>VLOOKUP(E650,Precios!B$2:N$941,12,FALSE)</f>
        <v>1000</v>
      </c>
      <c r="H650" s="12">
        <f t="shared" si="0"/>
        <v>2000</v>
      </c>
      <c r="I650" s="23" t="s">
        <v>52</v>
      </c>
      <c r="J650" s="23" t="s">
        <v>61</v>
      </c>
      <c r="K650" s="24" t="s">
        <v>177</v>
      </c>
      <c r="L650" s="24">
        <v>168</v>
      </c>
      <c r="M650" s="12">
        <f t="shared" ref="M650:N650" si="655">G650/1.19</f>
        <v>840.3361344537816</v>
      </c>
      <c r="N650" s="12">
        <f t="shared" si="655"/>
        <v>1680.6722689075632</v>
      </c>
      <c r="O650" s="12">
        <f t="shared" si="2"/>
        <v>319.32773109243681</v>
      </c>
      <c r="P650" s="13"/>
      <c r="Q650" s="14">
        <f t="shared" si="3"/>
        <v>2025</v>
      </c>
      <c r="R650" s="15">
        <f>VLOOKUP(MONTH(C650),'Datos Maestros'!M$2:N$14,2,FALSE)</f>
        <v>45505</v>
      </c>
      <c r="S650" s="11" t="str">
        <f>VLOOKUP(E650,Precios!B$2:W$941,3,FALSE)</f>
        <v>Esponjas</v>
      </c>
      <c r="T650" s="16">
        <f>VLOOKUP(E650,Precios!B$2:N$941,4,FALSE)*F650</f>
        <v>0</v>
      </c>
      <c r="U650" s="17"/>
      <c r="V650" s="12">
        <f>VLOOKUP(E650,Precios!B$2:N$941,13,FALSE)*F650</f>
        <v>660.67226890756297</v>
      </c>
      <c r="W650" s="12">
        <f t="shared" si="4"/>
        <v>660.67226890756297</v>
      </c>
      <c r="X650" s="12">
        <f>VLOOKUP(B650,'Datos Maestros'!$C$2:$D$7,2,FALSE)*V650</f>
        <v>0</v>
      </c>
      <c r="Y650" s="18">
        <f t="shared" si="5"/>
        <v>45873</v>
      </c>
      <c r="Z650" s="13" t="s">
        <v>39</v>
      </c>
      <c r="AA650" s="19" t="str">
        <f>VLOOKUP(D650,Clientes!$A$2:$J$486,9,FALSE)</f>
        <v>Frecuente</v>
      </c>
      <c r="AB650" s="13" t="str">
        <f>VLOOKUP(D650,Clientes!$A$2:$K$486,11,FALSE)</f>
        <v>Persona Natural</v>
      </c>
      <c r="AC650" s="13" t="str">
        <f>VLOOKUP(D650,Clientes!$A$2:$B$486,2,FALSE)</f>
        <v>Jardines de la viña</v>
      </c>
      <c r="AD650" s="20"/>
      <c r="AE650" s="20"/>
      <c r="AF650" s="13" t="s">
        <v>40</v>
      </c>
      <c r="AG650" s="15">
        <f t="shared" si="6"/>
        <v>45505</v>
      </c>
      <c r="AH650" s="13" t="s">
        <v>41</v>
      </c>
      <c r="AI650" s="13" t="str">
        <f t="shared" si="7"/>
        <v>Articulos de Aseo</v>
      </c>
      <c r="AJ650" s="13" t="str">
        <f>VLOOKUP(E650,Precios!Z$2:AA$941,2,FALSE)</f>
        <v>Esponja Acanalada TEDDY</v>
      </c>
      <c r="AK650" s="14">
        <f>VLOOKUP(E650,Precios!Z$2:BB$941,3,FALSE)*F650</f>
        <v>-10</v>
      </c>
      <c r="AL650" s="17"/>
      <c r="AM650" s="17"/>
      <c r="AN650" s="17"/>
      <c r="AO650" s="17"/>
      <c r="AP650" s="17"/>
      <c r="AQ650" s="17"/>
      <c r="AR650" s="17"/>
      <c r="AS650" s="17"/>
      <c r="AT650" s="17"/>
      <c r="AU650" s="17"/>
      <c r="AV650" s="17"/>
    </row>
    <row r="651" spans="1:48" ht="15.75" customHeight="1">
      <c r="A651" s="21" t="s">
        <v>47</v>
      </c>
      <c r="B651" s="23" t="s">
        <v>1692</v>
      </c>
      <c r="C651" s="22">
        <v>45876</v>
      </c>
      <c r="D651" s="23" t="s">
        <v>87</v>
      </c>
      <c r="E651" s="23" t="s">
        <v>335</v>
      </c>
      <c r="F651" s="21">
        <v>1</v>
      </c>
      <c r="G651" s="12">
        <f>VLOOKUP(E651,Precios!B$2:N$941,12,FALSE)</f>
        <v>2999.6809189534142</v>
      </c>
      <c r="H651" s="12">
        <f t="shared" si="0"/>
        <v>2999.6809189534142</v>
      </c>
      <c r="I651" s="23" t="s">
        <v>52</v>
      </c>
      <c r="J651" s="23" t="s">
        <v>61</v>
      </c>
      <c r="K651" s="24" t="s">
        <v>177</v>
      </c>
      <c r="L651" s="24">
        <v>168</v>
      </c>
      <c r="M651" s="12">
        <f t="shared" ref="M651:N651" si="656">G651/1.19</f>
        <v>2520.7402680280793</v>
      </c>
      <c r="N651" s="12">
        <f t="shared" si="656"/>
        <v>2520.7402680280793</v>
      </c>
      <c r="O651" s="12">
        <f t="shared" si="2"/>
        <v>478.94065092533492</v>
      </c>
      <c r="P651" s="13"/>
      <c r="Q651" s="14">
        <f t="shared" si="3"/>
        <v>2025</v>
      </c>
      <c r="R651" s="15">
        <f>VLOOKUP(MONTH(C651),'Datos Maestros'!M$2:N$14,2,FALSE)</f>
        <v>45505</v>
      </c>
      <c r="S651" s="11" t="str">
        <f>VLOOKUP(E651,Precios!B$2:W$941,3,FALSE)</f>
        <v>Paños MultiUso</v>
      </c>
      <c r="T651" s="16">
        <f>VLOOKUP(E651,Precios!B$2:N$941,4,FALSE)*F651</f>
        <v>0</v>
      </c>
      <c r="U651" s="17"/>
      <c r="V651" s="12">
        <f>VLOOKUP(E651,Precios!B$2:N$941,13,FALSE)*F651</f>
        <v>1335.7402680280793</v>
      </c>
      <c r="W651" s="12">
        <f t="shared" si="4"/>
        <v>1335.7402680280793</v>
      </c>
      <c r="X651" s="12">
        <f>VLOOKUP(B651,'Datos Maestros'!$C$2:$D$7,2,FALSE)*V651</f>
        <v>0</v>
      </c>
      <c r="Y651" s="18">
        <f t="shared" si="5"/>
        <v>45873</v>
      </c>
      <c r="Z651" s="13" t="s">
        <v>39</v>
      </c>
      <c r="AA651" s="19" t="str">
        <f>VLOOKUP(D651,Clientes!$A$2:$J$486,9,FALSE)</f>
        <v>Frecuente</v>
      </c>
      <c r="AB651" s="13" t="str">
        <f>VLOOKUP(D651,Clientes!$A$2:$K$486,11,FALSE)</f>
        <v>Persona Natural</v>
      </c>
      <c r="AC651" s="13" t="str">
        <f>VLOOKUP(D651,Clientes!$A$2:$B$486,2,FALSE)</f>
        <v>Jardines de la viña</v>
      </c>
      <c r="AD651" s="20"/>
      <c r="AE651" s="20"/>
      <c r="AF651" s="13" t="s">
        <v>40</v>
      </c>
      <c r="AG651" s="15">
        <f t="shared" si="6"/>
        <v>45505</v>
      </c>
      <c r="AH651" s="13" t="s">
        <v>41</v>
      </c>
      <c r="AI651" s="13" t="str">
        <f t="shared" si="7"/>
        <v>Articulos de Aseo</v>
      </c>
      <c r="AJ651" s="13" t="str">
        <f>VLOOKUP(E651,Precios!Z$2:AA$941,2,FALSE)</f>
        <v>Paño Multiuso</v>
      </c>
      <c r="AK651" s="14">
        <f>VLOOKUP(E651,Precios!Z$2:BB$941,3,FALSE)*F651</f>
        <v>-3</v>
      </c>
      <c r="AL651" s="17"/>
      <c r="AM651" s="17"/>
      <c r="AN651" s="17"/>
      <c r="AO651" s="17"/>
      <c r="AP651" s="17"/>
      <c r="AQ651" s="17"/>
      <c r="AR651" s="17"/>
      <c r="AS651" s="17"/>
      <c r="AT651" s="17"/>
      <c r="AU651" s="17"/>
      <c r="AV651" s="17"/>
    </row>
    <row r="652" spans="1:48" ht="15.75" customHeight="1">
      <c r="A652" s="21" t="s">
        <v>47</v>
      </c>
      <c r="B652" s="23" t="s">
        <v>1692</v>
      </c>
      <c r="C652" s="22">
        <v>45876</v>
      </c>
      <c r="D652" s="23" t="s">
        <v>87</v>
      </c>
      <c r="E652" s="23" t="s">
        <v>336</v>
      </c>
      <c r="F652" s="21">
        <v>2</v>
      </c>
      <c r="G652" s="12">
        <f>VLOOKUP(E652,Precios!B$2:N$941,12,FALSE)</f>
        <v>2799.540003285691</v>
      </c>
      <c r="H652" s="12">
        <f t="shared" si="0"/>
        <v>5599.080006571382</v>
      </c>
      <c r="I652" s="23" t="s">
        <v>52</v>
      </c>
      <c r="J652" s="23" t="s">
        <v>61</v>
      </c>
      <c r="K652" s="24" t="s">
        <v>177</v>
      </c>
      <c r="L652" s="24">
        <v>168</v>
      </c>
      <c r="M652" s="12">
        <f t="shared" ref="M652:N652" si="657">G652/1.19</f>
        <v>2352.5546246098243</v>
      </c>
      <c r="N652" s="12">
        <f t="shared" si="657"/>
        <v>4705.1092492196485</v>
      </c>
      <c r="O652" s="12">
        <f t="shared" si="2"/>
        <v>893.97075735173348</v>
      </c>
      <c r="P652" s="13"/>
      <c r="Q652" s="14">
        <f t="shared" si="3"/>
        <v>2025</v>
      </c>
      <c r="R652" s="15">
        <f>VLOOKUP(MONTH(C652),'Datos Maestros'!M$2:N$14,2,FALSE)</f>
        <v>45505</v>
      </c>
      <c r="S652" s="11" t="str">
        <f>VLOOKUP(E652,Precios!B$2:W$941,3,FALSE)</f>
        <v xml:space="preserve">Ambiental </v>
      </c>
      <c r="T652" s="16">
        <f>VLOOKUP(E652,Precios!B$2:N$941,4,FALSE)*F652</f>
        <v>0</v>
      </c>
      <c r="U652" s="17"/>
      <c r="V652" s="12">
        <f>VLOOKUP(E652,Precios!B$2:N$941,13,FALSE)*F652</f>
        <v>1841.1092492196485</v>
      </c>
      <c r="W652" s="12">
        <f t="shared" si="4"/>
        <v>1841.1092492196485</v>
      </c>
      <c r="X652" s="12">
        <f>VLOOKUP(B652,'Datos Maestros'!$C$2:$D$7,2,FALSE)*V652</f>
        <v>0</v>
      </c>
      <c r="Y652" s="18">
        <f t="shared" si="5"/>
        <v>45873</v>
      </c>
      <c r="Z652" s="13" t="s">
        <v>39</v>
      </c>
      <c r="AA652" s="19" t="str">
        <f>VLOOKUP(D652,Clientes!$A$2:$J$486,9,FALSE)</f>
        <v>Frecuente</v>
      </c>
      <c r="AB652" s="13" t="str">
        <f>VLOOKUP(D652,Clientes!$A$2:$K$486,11,FALSE)</f>
        <v>Persona Natural</v>
      </c>
      <c r="AC652" s="13" t="str">
        <f>VLOOKUP(D652,Clientes!$A$2:$B$486,2,FALSE)</f>
        <v>Jardines de la viña</v>
      </c>
      <c r="AD652" s="20"/>
      <c r="AE652" s="20"/>
      <c r="AF652" s="13" t="s">
        <v>40</v>
      </c>
      <c r="AG652" s="15">
        <f t="shared" si="6"/>
        <v>45505</v>
      </c>
      <c r="AH652" s="13" t="s">
        <v>41</v>
      </c>
      <c r="AI652" s="13" t="str">
        <f t="shared" si="7"/>
        <v>Articulos de Aseo</v>
      </c>
      <c r="AJ652" s="13" t="str">
        <f>VLOOKUP(E652,Precios!Z$2:AA$941,2,FALSE)</f>
        <v>Ambiental Tubo TEDDY</v>
      </c>
      <c r="AK652" s="14">
        <f>VLOOKUP(E652,Precios!Z$2:BB$941,3,FALSE)*F652</f>
        <v>-4</v>
      </c>
      <c r="AL652" s="17"/>
      <c r="AM652" s="17"/>
      <c r="AN652" s="17"/>
      <c r="AO652" s="17"/>
      <c r="AP652" s="17"/>
      <c r="AQ652" s="17"/>
      <c r="AR652" s="17"/>
      <c r="AS652" s="17"/>
      <c r="AT652" s="17"/>
      <c r="AU652" s="17"/>
      <c r="AV652" s="17"/>
    </row>
    <row r="653" spans="1:48" ht="15.75" customHeight="1">
      <c r="A653" s="21" t="s">
        <v>76</v>
      </c>
      <c r="B653" s="23" t="s">
        <v>1692</v>
      </c>
      <c r="C653" s="22">
        <v>45876</v>
      </c>
      <c r="D653" s="23" t="s">
        <v>87</v>
      </c>
      <c r="E653" s="23" t="s">
        <v>216</v>
      </c>
      <c r="F653" s="21">
        <v>1</v>
      </c>
      <c r="G653" s="12">
        <f>VLOOKUP(E653,Precios!B$2:N$941,12,FALSE)</f>
        <v>4300</v>
      </c>
      <c r="H653" s="12">
        <f t="shared" si="0"/>
        <v>4300</v>
      </c>
      <c r="I653" s="23" t="s">
        <v>52</v>
      </c>
      <c r="J653" s="23" t="s">
        <v>61</v>
      </c>
      <c r="K653" s="24" t="s">
        <v>177</v>
      </c>
      <c r="L653" s="24">
        <v>168</v>
      </c>
      <c r="M653" s="12">
        <f t="shared" ref="M653:N653" si="658">G653/1.19</f>
        <v>3613.4453781512607</v>
      </c>
      <c r="N653" s="12">
        <f t="shared" si="658"/>
        <v>3613.4453781512607</v>
      </c>
      <c r="O653" s="12">
        <f t="shared" si="2"/>
        <v>686.55462184873932</v>
      </c>
      <c r="P653" s="13"/>
      <c r="Q653" s="14">
        <f t="shared" si="3"/>
        <v>2025</v>
      </c>
      <c r="R653" s="15">
        <f>VLOOKUP(MONTH(C653),'Datos Maestros'!M$2:N$14,2,FALSE)</f>
        <v>45505</v>
      </c>
      <c r="S653" s="11" t="str">
        <f>VLOOKUP(E653,Precios!B$2:W$941,3,FALSE)</f>
        <v>Lavaloza</v>
      </c>
      <c r="T653" s="16">
        <f>VLOOKUP(E653,Precios!B$2:N$941,4,FALSE)*F653</f>
        <v>5</v>
      </c>
      <c r="U653" s="17"/>
      <c r="V653" s="12">
        <f>VLOOKUP(E653,Precios!B$2:N$941,13,FALSE)*F653</f>
        <v>1134.453781512605</v>
      </c>
      <c r="W653" s="12">
        <f t="shared" si="4"/>
        <v>1134.453781512605</v>
      </c>
      <c r="X653" s="12">
        <f>VLOOKUP(B653,'Datos Maestros'!$C$2:$D$7,2,FALSE)*V653</f>
        <v>0</v>
      </c>
      <c r="Y653" s="18">
        <f t="shared" si="5"/>
        <v>45873</v>
      </c>
      <c r="Z653" s="13" t="s">
        <v>39</v>
      </c>
      <c r="AA653" s="19" t="str">
        <f>VLOOKUP(D653,Clientes!$A$2:$J$486,9,FALSE)</f>
        <v>Frecuente</v>
      </c>
      <c r="AB653" s="13" t="str">
        <f>VLOOKUP(D653,Clientes!$A$2:$K$486,11,FALSE)</f>
        <v>Persona Natural</v>
      </c>
      <c r="AC653" s="13" t="str">
        <f>VLOOKUP(D653,Clientes!$A$2:$B$486,2,FALSE)</f>
        <v>Jardines de la viña</v>
      </c>
      <c r="AD653" s="20"/>
      <c r="AE653" s="20"/>
      <c r="AF653" s="13" t="s">
        <v>40</v>
      </c>
      <c r="AG653" s="15">
        <f t="shared" si="6"/>
        <v>45505</v>
      </c>
      <c r="AH653" s="13" t="s">
        <v>41</v>
      </c>
      <c r="AI653" s="13" t="str">
        <f t="shared" si="7"/>
        <v>Detergentes</v>
      </c>
      <c r="AJ653" s="13" t="str">
        <f>VLOOKUP(E653,Precios!Z$2:AA$941,2,FALSE)</f>
        <v>Lavaloza SPUM 5 Litros</v>
      </c>
      <c r="AK653" s="14">
        <f>VLOOKUP(E653,Precios!Z$2:BB$941,3,FALSE)*F653</f>
        <v>-1</v>
      </c>
      <c r="AL653" s="17"/>
      <c r="AM653" s="17"/>
      <c r="AN653" s="17"/>
      <c r="AO653" s="17"/>
      <c r="AP653" s="17"/>
      <c r="AQ653" s="17"/>
      <c r="AR653" s="17"/>
      <c r="AS653" s="17"/>
      <c r="AT653" s="17"/>
      <c r="AU653" s="17"/>
      <c r="AV653" s="17"/>
    </row>
    <row r="654" spans="1:48" ht="15.75" customHeight="1">
      <c r="A654" s="21" t="s">
        <v>76</v>
      </c>
      <c r="B654" s="23" t="s">
        <v>1692</v>
      </c>
      <c r="C654" s="22">
        <v>45876</v>
      </c>
      <c r="D654" s="23" t="s">
        <v>87</v>
      </c>
      <c r="E654" s="23" t="s">
        <v>322</v>
      </c>
      <c r="F654" s="21">
        <v>1</v>
      </c>
      <c r="G654" s="12">
        <f>VLOOKUP(E654,Precios!B$2:N$941,12,FALSE)</f>
        <v>4500.0000000000009</v>
      </c>
      <c r="H654" s="12">
        <f t="shared" si="0"/>
        <v>4500.0000000000009</v>
      </c>
      <c r="I654" s="23" t="s">
        <v>52</v>
      </c>
      <c r="J654" s="23" t="s">
        <v>61</v>
      </c>
      <c r="K654" s="24" t="s">
        <v>177</v>
      </c>
      <c r="L654" s="24">
        <v>168</v>
      </c>
      <c r="M654" s="12">
        <f t="shared" ref="M654:N654" si="659">G654/1.19</f>
        <v>3781.5126050420176</v>
      </c>
      <c r="N654" s="12">
        <f t="shared" si="659"/>
        <v>3781.5126050420176</v>
      </c>
      <c r="O654" s="12">
        <f t="shared" si="2"/>
        <v>718.48739495798327</v>
      </c>
      <c r="P654" s="13"/>
      <c r="Q654" s="14">
        <f t="shared" si="3"/>
        <v>2025</v>
      </c>
      <c r="R654" s="15">
        <f>VLOOKUP(MONTH(C654),'Datos Maestros'!M$2:N$14,2,FALSE)</f>
        <v>45505</v>
      </c>
      <c r="S654" s="11" t="str">
        <f>VLOOKUP(E654,Precios!B$2:W$941,3,FALSE)</f>
        <v>Cif</v>
      </c>
      <c r="T654" s="16">
        <f>VLOOKUP(E654,Precios!B$2:N$941,4,FALSE)*F654</f>
        <v>0</v>
      </c>
      <c r="U654" s="17"/>
      <c r="V654" s="12">
        <f>VLOOKUP(E654,Precios!B$2:N$941,13,FALSE)*F654</f>
        <v>1667.2268907563034</v>
      </c>
      <c r="W654" s="12">
        <f t="shared" si="4"/>
        <v>1667.2268907563034</v>
      </c>
      <c r="X654" s="12">
        <f>VLOOKUP(B654,'Datos Maestros'!$C$2:$D$7,2,FALSE)*V654</f>
        <v>0</v>
      </c>
      <c r="Y654" s="18">
        <f t="shared" si="5"/>
        <v>45873</v>
      </c>
      <c r="Z654" s="13" t="s">
        <v>39</v>
      </c>
      <c r="AA654" s="19" t="str">
        <f>VLOOKUP(D654,Clientes!$A$2:$J$486,9,FALSE)</f>
        <v>Frecuente</v>
      </c>
      <c r="AB654" s="13" t="str">
        <f>VLOOKUP(D654,Clientes!$A$2:$K$486,11,FALSE)</f>
        <v>Persona Natural</v>
      </c>
      <c r="AC654" s="13" t="str">
        <f>VLOOKUP(D654,Clientes!$A$2:$B$486,2,FALSE)</f>
        <v>Jardines de la viña</v>
      </c>
      <c r="AD654" s="20"/>
      <c r="AE654" s="20"/>
      <c r="AF654" s="13" t="s">
        <v>40</v>
      </c>
      <c r="AG654" s="15">
        <f t="shared" si="6"/>
        <v>45505</v>
      </c>
      <c r="AH654" s="13" t="s">
        <v>41</v>
      </c>
      <c r="AI654" s="13" t="str">
        <f t="shared" si="7"/>
        <v>Detergentes</v>
      </c>
      <c r="AJ654" s="13" t="str">
        <f>VLOOKUP(E654,Precios!Z$2:AA$941,2,FALSE)</f>
        <v>CIF 750 cc</v>
      </c>
      <c r="AK654" s="14">
        <f>VLOOKUP(E654,Precios!Z$2:BB$941,3,FALSE)*F654</f>
        <v>-2</v>
      </c>
      <c r="AL654" s="17"/>
      <c r="AM654" s="17"/>
      <c r="AN654" s="17"/>
      <c r="AO654" s="17"/>
      <c r="AP654" s="17"/>
      <c r="AQ654" s="17"/>
      <c r="AR654" s="17"/>
      <c r="AS654" s="17"/>
      <c r="AT654" s="17"/>
      <c r="AU654" s="17"/>
      <c r="AV654" s="17"/>
    </row>
    <row r="655" spans="1:48" ht="15.75" customHeight="1">
      <c r="A655" s="21" t="s">
        <v>76</v>
      </c>
      <c r="B655" s="23" t="s">
        <v>1692</v>
      </c>
      <c r="C655" s="22">
        <v>45876</v>
      </c>
      <c r="D655" s="23" t="s">
        <v>87</v>
      </c>
      <c r="E655" s="23" t="s">
        <v>337</v>
      </c>
      <c r="F655" s="21">
        <v>3</v>
      </c>
      <c r="G655" s="12">
        <f>VLOOKUP(E655,Precios!B$2:N$941,12,FALSE)</f>
        <v>1599.9448225124147</v>
      </c>
      <c r="H655" s="12">
        <f t="shared" si="0"/>
        <v>4799.8344675372446</v>
      </c>
      <c r="I655" s="23" t="s">
        <v>52</v>
      </c>
      <c r="J655" s="23" t="s">
        <v>61</v>
      </c>
      <c r="K655" s="24" t="s">
        <v>177</v>
      </c>
      <c r="L655" s="24">
        <v>168</v>
      </c>
      <c r="M655" s="12">
        <f t="shared" ref="M655:N655" si="660">G655/1.19</f>
        <v>1344.4914474894242</v>
      </c>
      <c r="N655" s="12">
        <f t="shared" si="660"/>
        <v>4033.4743424682729</v>
      </c>
      <c r="O655" s="12">
        <f t="shared" si="2"/>
        <v>766.36012506897168</v>
      </c>
      <c r="P655" s="13"/>
      <c r="Q655" s="14">
        <f t="shared" si="3"/>
        <v>2025</v>
      </c>
      <c r="R655" s="15">
        <f>VLOOKUP(MONTH(C655),'Datos Maestros'!M$2:N$14,2,FALSE)</f>
        <v>45505</v>
      </c>
      <c r="S655" s="11" t="str">
        <f>VLOOKUP(E655,Precios!B$2:W$941,3,FALSE)</f>
        <v>Limpia Inodoro</v>
      </c>
      <c r="T655" s="16">
        <f>VLOOKUP(E655,Precios!B$2:N$941,4,FALSE)*F655</f>
        <v>0</v>
      </c>
      <c r="U655" s="17"/>
      <c r="V655" s="12">
        <f>VLOOKUP(E655,Precios!B$2:N$941,13,FALSE)*F655</f>
        <v>1840.4743424682727</v>
      </c>
      <c r="W655" s="12">
        <f t="shared" si="4"/>
        <v>1840.4743424682727</v>
      </c>
      <c r="X655" s="12">
        <f>VLOOKUP(B655,'Datos Maestros'!$C$2:$D$7,2,FALSE)*V655</f>
        <v>0</v>
      </c>
      <c r="Y655" s="18">
        <f t="shared" si="5"/>
        <v>45873</v>
      </c>
      <c r="Z655" s="13" t="s">
        <v>39</v>
      </c>
      <c r="AA655" s="19" t="str">
        <f>VLOOKUP(D655,Clientes!$A$2:$J$486,9,FALSE)</f>
        <v>Frecuente</v>
      </c>
      <c r="AB655" s="13" t="str">
        <f>VLOOKUP(D655,Clientes!$A$2:$K$486,11,FALSE)</f>
        <v>Persona Natural</v>
      </c>
      <c r="AC655" s="13" t="str">
        <f>VLOOKUP(D655,Clientes!$A$2:$B$486,2,FALSE)</f>
        <v>Jardines de la viña</v>
      </c>
      <c r="AD655" s="20"/>
      <c r="AE655" s="20"/>
      <c r="AF655" s="13" t="s">
        <v>40</v>
      </c>
      <c r="AG655" s="15">
        <f t="shared" si="6"/>
        <v>45505</v>
      </c>
      <c r="AH655" s="13" t="s">
        <v>41</v>
      </c>
      <c r="AI655" s="13" t="str">
        <f t="shared" si="7"/>
        <v>Detergentes</v>
      </c>
      <c r="AJ655" s="13" t="str">
        <f>VLOOKUP(E655,Precios!Z$2:AA$941,2,FALSE)</f>
        <v>Limpia Inodoro TEDDY</v>
      </c>
      <c r="AK655" s="14">
        <f>VLOOKUP(E655,Precios!Z$2:BB$941,3,FALSE)*F655</f>
        <v>-3</v>
      </c>
      <c r="AL655" s="17"/>
      <c r="AM655" s="17"/>
      <c r="AN655" s="17"/>
      <c r="AO655" s="17"/>
      <c r="AP655" s="17"/>
      <c r="AQ655" s="17"/>
      <c r="AR655" s="17"/>
      <c r="AS655" s="17"/>
      <c r="AT655" s="17"/>
      <c r="AU655" s="17"/>
      <c r="AV655" s="17"/>
    </row>
    <row r="656" spans="1:48" ht="15.75" customHeight="1">
      <c r="A656" s="21" t="s">
        <v>76</v>
      </c>
      <c r="B656" s="23" t="s">
        <v>1692</v>
      </c>
      <c r="C656" s="22">
        <v>45876</v>
      </c>
      <c r="D656" s="23" t="s">
        <v>87</v>
      </c>
      <c r="E656" s="23" t="s">
        <v>166</v>
      </c>
      <c r="F656" s="21">
        <v>1</v>
      </c>
      <c r="G656" s="12">
        <f>VLOOKUP(E656,Precios!B$2:N$941,12,FALSE)</f>
        <v>3500.0000000000005</v>
      </c>
      <c r="H656" s="12">
        <f t="shared" si="0"/>
        <v>3500.0000000000005</v>
      </c>
      <c r="I656" s="23" t="s">
        <v>52</v>
      </c>
      <c r="J656" s="23" t="s">
        <v>61</v>
      </c>
      <c r="K656" s="24" t="s">
        <v>177</v>
      </c>
      <c r="L656" s="24">
        <v>168</v>
      </c>
      <c r="M656" s="12">
        <f t="shared" ref="M656:N656" si="661">G656/1.19</f>
        <v>2941.1764705882356</v>
      </c>
      <c r="N656" s="12">
        <f t="shared" si="661"/>
        <v>2941.1764705882356</v>
      </c>
      <c r="O656" s="12">
        <f t="shared" si="2"/>
        <v>558.82352941176487</v>
      </c>
      <c r="P656" s="13"/>
      <c r="Q656" s="14">
        <f t="shared" si="3"/>
        <v>2025</v>
      </c>
      <c r="R656" s="15">
        <f>VLOOKUP(MONTH(C656),'Datos Maestros'!M$2:N$14,2,FALSE)</f>
        <v>45505</v>
      </c>
      <c r="S656" s="11" t="str">
        <f>VLOOKUP(E656,Precios!B$2:W$941,3,FALSE)</f>
        <v>Cloro Gel</v>
      </c>
      <c r="T656" s="16">
        <f>VLOOKUP(E656,Precios!B$2:N$941,4,FALSE)*F656</f>
        <v>5</v>
      </c>
      <c r="U656" s="17"/>
      <c r="V656" s="12">
        <f>VLOOKUP(E656,Precios!B$2:N$941,13,FALSE)*F656</f>
        <v>1016.8067226890757</v>
      </c>
      <c r="W656" s="12">
        <f t="shared" si="4"/>
        <v>1016.8067226890757</v>
      </c>
      <c r="X656" s="12">
        <f>VLOOKUP(B656,'Datos Maestros'!$C$2:$D$7,2,FALSE)*V656</f>
        <v>0</v>
      </c>
      <c r="Y656" s="18">
        <f t="shared" si="5"/>
        <v>45873</v>
      </c>
      <c r="Z656" s="13" t="s">
        <v>39</v>
      </c>
      <c r="AA656" s="19" t="str">
        <f>VLOOKUP(D656,Clientes!$A$2:$J$486,9,FALSE)</f>
        <v>Frecuente</v>
      </c>
      <c r="AB656" s="13" t="str">
        <f>VLOOKUP(D656,Clientes!$A$2:$K$486,11,FALSE)</f>
        <v>Persona Natural</v>
      </c>
      <c r="AC656" s="13" t="str">
        <f>VLOOKUP(D656,Clientes!$A$2:$B$486,2,FALSE)</f>
        <v>Jardines de la viña</v>
      </c>
      <c r="AD656" s="20"/>
      <c r="AE656" s="20"/>
      <c r="AF656" s="13" t="s">
        <v>40</v>
      </c>
      <c r="AG656" s="15">
        <f t="shared" si="6"/>
        <v>45505</v>
      </c>
      <c r="AH656" s="13" t="s">
        <v>41</v>
      </c>
      <c r="AI656" s="13" t="str">
        <f t="shared" si="7"/>
        <v>Detergentes</v>
      </c>
      <c r="AJ656" s="13" t="str">
        <f>VLOOKUP(E656,Precios!Z$2:AA$941,2,FALSE)</f>
        <v>Cloro GEL SPUM 5 Litros</v>
      </c>
      <c r="AK656" s="14">
        <f>VLOOKUP(E656,Precios!Z$2:BB$941,3,FALSE)*F656</f>
        <v>-1</v>
      </c>
      <c r="AL656" s="17"/>
      <c r="AM656" s="17"/>
      <c r="AN656" s="17"/>
      <c r="AO656" s="17"/>
      <c r="AP656" s="17"/>
      <c r="AQ656" s="17"/>
      <c r="AR656" s="17"/>
      <c r="AS656" s="17"/>
      <c r="AT656" s="17"/>
      <c r="AU656" s="17"/>
      <c r="AV656" s="17"/>
    </row>
    <row r="657" spans="1:48" ht="15.75" customHeight="1">
      <c r="A657" s="21" t="s">
        <v>76</v>
      </c>
      <c r="B657" s="23" t="s">
        <v>1692</v>
      </c>
      <c r="C657" s="22">
        <v>45876</v>
      </c>
      <c r="D657" s="23" t="s">
        <v>87</v>
      </c>
      <c r="E657" s="23" t="s">
        <v>81</v>
      </c>
      <c r="F657" s="21">
        <v>4</v>
      </c>
      <c r="G657" s="12">
        <f>VLOOKUP(E657,Precios!B$2:N$941,12,FALSE)</f>
        <v>3500.0000000000005</v>
      </c>
      <c r="H657" s="12">
        <f t="shared" si="0"/>
        <v>14000.000000000002</v>
      </c>
      <c r="I657" s="23" t="s">
        <v>52</v>
      </c>
      <c r="J657" s="23" t="s">
        <v>61</v>
      </c>
      <c r="K657" s="24" t="s">
        <v>177</v>
      </c>
      <c r="L657" s="24">
        <v>168</v>
      </c>
      <c r="M657" s="12">
        <f t="shared" ref="M657:N657" si="662">G657/1.19</f>
        <v>2941.1764705882356</v>
      </c>
      <c r="N657" s="12">
        <f t="shared" si="662"/>
        <v>11764.705882352942</v>
      </c>
      <c r="O657" s="12">
        <f t="shared" si="2"/>
        <v>2235.2941176470595</v>
      </c>
      <c r="P657" s="13"/>
      <c r="Q657" s="14">
        <f t="shared" si="3"/>
        <v>2025</v>
      </c>
      <c r="R657" s="15">
        <f>VLOOKUP(MONTH(C657),'Datos Maestros'!M$2:N$14,2,FALSE)</f>
        <v>45505</v>
      </c>
      <c r="S657" s="11" t="str">
        <f>VLOOKUP(E657,Precios!B$2:W$941,3,FALSE)</f>
        <v>Detergente Premium</v>
      </c>
      <c r="T657" s="16">
        <f>VLOOKUP(E657,Precios!B$2:N$941,4,FALSE)*F657</f>
        <v>20</v>
      </c>
      <c r="U657" s="17"/>
      <c r="V657" s="12">
        <f>VLOOKUP(E657,Precios!B$2:N$941,13,FALSE)*F657</f>
        <v>3058.8235294117658</v>
      </c>
      <c r="W657" s="12">
        <f t="shared" si="4"/>
        <v>3058.8235294117658</v>
      </c>
      <c r="X657" s="12">
        <f>VLOOKUP(B657,'Datos Maestros'!$C$2:$D$7,2,FALSE)*V657</f>
        <v>0</v>
      </c>
      <c r="Y657" s="18">
        <f t="shared" si="5"/>
        <v>45873</v>
      </c>
      <c r="Z657" s="13" t="s">
        <v>39</v>
      </c>
      <c r="AA657" s="19" t="str">
        <f>VLOOKUP(D657,Clientes!$A$2:$J$486,9,FALSE)</f>
        <v>Frecuente</v>
      </c>
      <c r="AB657" s="13" t="str">
        <f>VLOOKUP(D657,Clientes!$A$2:$K$486,11,FALSE)</f>
        <v>Persona Natural</v>
      </c>
      <c r="AC657" s="13" t="str">
        <f>VLOOKUP(D657,Clientes!$A$2:$B$486,2,FALSE)</f>
        <v>Jardines de la viña</v>
      </c>
      <c r="AD657" s="20"/>
      <c r="AE657" s="20"/>
      <c r="AF657" s="13" t="s">
        <v>40</v>
      </c>
      <c r="AG657" s="15">
        <f t="shared" si="6"/>
        <v>45505</v>
      </c>
      <c r="AH657" s="13" t="s">
        <v>41</v>
      </c>
      <c r="AI657" s="13" t="str">
        <f t="shared" si="7"/>
        <v>Detergentes</v>
      </c>
      <c r="AJ657" s="13" t="str">
        <f>VLOOKUP(E657,Precios!Z$2:AA$941,2,FALSE)</f>
        <v>Detergente SPUM 5 Litros (Verde)</v>
      </c>
      <c r="AK657" s="14">
        <f>VLOOKUP(E657,Precios!Z$2:BB$941,3,FALSE)*F657</f>
        <v>-4</v>
      </c>
      <c r="AL657" s="17"/>
      <c r="AM657" s="17"/>
      <c r="AN657" s="17"/>
      <c r="AO657" s="17"/>
      <c r="AP657" s="17"/>
      <c r="AQ657" s="17"/>
      <c r="AR657" s="17"/>
      <c r="AS657" s="17"/>
      <c r="AT657" s="17"/>
      <c r="AU657" s="17"/>
      <c r="AV657" s="17"/>
    </row>
    <row r="658" spans="1:48" ht="15.75" customHeight="1">
      <c r="A658" s="21" t="s">
        <v>76</v>
      </c>
      <c r="B658" s="23" t="s">
        <v>1692</v>
      </c>
      <c r="C658" s="22">
        <v>45876</v>
      </c>
      <c r="D658" s="23" t="s">
        <v>87</v>
      </c>
      <c r="E658" s="23" t="s">
        <v>212</v>
      </c>
      <c r="F658" s="21">
        <v>2</v>
      </c>
      <c r="G658" s="12">
        <f>VLOOKUP(E658,Precios!B$2:N$941,12,FALSE)</f>
        <v>3000.0000000000005</v>
      </c>
      <c r="H658" s="12">
        <f t="shared" si="0"/>
        <v>6000.0000000000009</v>
      </c>
      <c r="I658" s="23" t="s">
        <v>52</v>
      </c>
      <c r="J658" s="23" t="s">
        <v>61</v>
      </c>
      <c r="K658" s="24" t="s">
        <v>177</v>
      </c>
      <c r="L658" s="24">
        <v>168</v>
      </c>
      <c r="M658" s="12">
        <f t="shared" ref="M658:N658" si="663">G658/1.19</f>
        <v>2521.0084033613452</v>
      </c>
      <c r="N658" s="12">
        <f t="shared" si="663"/>
        <v>5042.0168067226905</v>
      </c>
      <c r="O658" s="12">
        <f t="shared" si="2"/>
        <v>957.98319327731042</v>
      </c>
      <c r="P658" s="13"/>
      <c r="Q658" s="14">
        <f t="shared" si="3"/>
        <v>2025</v>
      </c>
      <c r="R658" s="15">
        <f>VLOOKUP(MONTH(C658),'Datos Maestros'!M$2:N$14,2,FALSE)</f>
        <v>45505</v>
      </c>
      <c r="S658" s="11" t="str">
        <f>VLOOKUP(E658,Precios!B$2:W$941,3,FALSE)</f>
        <v>Suavizante</v>
      </c>
      <c r="T658" s="16">
        <f>VLOOKUP(E658,Precios!B$2:N$941,4,FALSE)*F658</f>
        <v>10</v>
      </c>
      <c r="U658" s="17"/>
      <c r="V658" s="12">
        <f>VLOOKUP(E658,Precios!B$2:N$941,13,FALSE)*F658</f>
        <v>1529.4117647058829</v>
      </c>
      <c r="W658" s="12">
        <f t="shared" si="4"/>
        <v>1529.4117647058829</v>
      </c>
      <c r="X658" s="12">
        <f>VLOOKUP(B658,'Datos Maestros'!$C$2:$D$7,2,FALSE)*V658</f>
        <v>0</v>
      </c>
      <c r="Y658" s="18">
        <f t="shared" si="5"/>
        <v>45873</v>
      </c>
      <c r="Z658" s="13" t="s">
        <v>39</v>
      </c>
      <c r="AA658" s="19" t="str">
        <f>VLOOKUP(D658,Clientes!$A$2:$J$486,9,FALSE)</f>
        <v>Frecuente</v>
      </c>
      <c r="AB658" s="13" t="str">
        <f>VLOOKUP(D658,Clientes!$A$2:$K$486,11,FALSE)</f>
        <v>Persona Natural</v>
      </c>
      <c r="AC658" s="13" t="str">
        <f>VLOOKUP(D658,Clientes!$A$2:$B$486,2,FALSE)</f>
        <v>Jardines de la viña</v>
      </c>
      <c r="AD658" s="20"/>
      <c r="AE658" s="20"/>
      <c r="AF658" s="13" t="s">
        <v>40</v>
      </c>
      <c r="AG658" s="15">
        <f t="shared" si="6"/>
        <v>45505</v>
      </c>
      <c r="AH658" s="13" t="s">
        <v>41</v>
      </c>
      <c r="AI658" s="13" t="str">
        <f t="shared" si="7"/>
        <v>Detergentes</v>
      </c>
      <c r="AJ658" s="13" t="str">
        <f>VLOOKUP(E658,Precios!Z$2:AA$941,2,FALSE)</f>
        <v>Suavizante SPUM 5 Litros</v>
      </c>
      <c r="AK658" s="14">
        <f>VLOOKUP(E658,Precios!Z$2:BB$941,3,FALSE)*F658</f>
        <v>-2</v>
      </c>
      <c r="AL658" s="17"/>
      <c r="AM658" s="17"/>
      <c r="AN658" s="17"/>
      <c r="AO658" s="17"/>
      <c r="AP658" s="17"/>
      <c r="AQ658" s="17"/>
      <c r="AR658" s="17"/>
      <c r="AS658" s="17"/>
      <c r="AT658" s="17"/>
      <c r="AU658" s="17"/>
      <c r="AV658" s="17"/>
    </row>
    <row r="659" spans="1:48" ht="15.75" customHeight="1">
      <c r="A659" s="21" t="s">
        <v>53</v>
      </c>
      <c r="B659" s="23" t="s">
        <v>1692</v>
      </c>
      <c r="C659" s="22">
        <v>45876</v>
      </c>
      <c r="D659" s="23" t="s">
        <v>87</v>
      </c>
      <c r="E659" s="23" t="s">
        <v>136</v>
      </c>
      <c r="F659" s="21">
        <v>1</v>
      </c>
      <c r="G659" s="12">
        <f>VLOOKUP(E659,Precios!B$2:N$941,12,FALSE)</f>
        <v>14900.292682926829</v>
      </c>
      <c r="H659" s="12">
        <f t="shared" si="0"/>
        <v>14900.292682926829</v>
      </c>
      <c r="I659" s="23" t="s">
        <v>52</v>
      </c>
      <c r="J659" s="23" t="s">
        <v>61</v>
      </c>
      <c r="K659" s="24" t="s">
        <v>177</v>
      </c>
      <c r="L659" s="24">
        <v>168</v>
      </c>
      <c r="M659" s="12">
        <f t="shared" ref="M659:N659" si="664">G659/1.19</f>
        <v>12521.254355400697</v>
      </c>
      <c r="N659" s="12">
        <f t="shared" si="664"/>
        <v>12521.254355400697</v>
      </c>
      <c r="O659" s="12">
        <f t="shared" si="2"/>
        <v>2379.038327526132</v>
      </c>
      <c r="P659" s="13"/>
      <c r="Q659" s="14">
        <f t="shared" si="3"/>
        <v>2025</v>
      </c>
      <c r="R659" s="15">
        <f>VLOOKUP(MONTH(C659),'Datos Maestros'!M$2:N$14,2,FALSE)</f>
        <v>45505</v>
      </c>
      <c r="S659" s="11" t="str">
        <f>VLOOKUP(E659,Precios!B$2:W$941,3,FALSE)</f>
        <v>Toalla Nova 26 mts</v>
      </c>
      <c r="T659" s="16">
        <f>VLOOKUP(E659,Precios!B$2:N$941,4,FALSE)*F659</f>
        <v>0</v>
      </c>
      <c r="U659" s="17"/>
      <c r="V659" s="12">
        <f>VLOOKUP(E659,Precios!B$2:N$941,13,FALSE)*F659</f>
        <v>3537.254355400697</v>
      </c>
      <c r="W659" s="12">
        <f t="shared" si="4"/>
        <v>3537.254355400697</v>
      </c>
      <c r="X659" s="12">
        <f>VLOOKUP(B659,'Datos Maestros'!$C$2:$D$7,2,FALSE)*V659</f>
        <v>0</v>
      </c>
      <c r="Y659" s="18">
        <f t="shared" si="5"/>
        <v>45873</v>
      </c>
      <c r="Z659" s="13" t="s">
        <v>39</v>
      </c>
      <c r="AA659" s="19" t="str">
        <f>VLOOKUP(D659,Clientes!$A$2:$J$486,9,FALSE)</f>
        <v>Frecuente</v>
      </c>
      <c r="AB659" s="13" t="str">
        <f>VLOOKUP(D659,Clientes!$A$2:$K$486,11,FALSE)</f>
        <v>Persona Natural</v>
      </c>
      <c r="AC659" s="13" t="str">
        <f>VLOOKUP(D659,Clientes!$A$2:$B$486,2,FALSE)</f>
        <v>Jardines de la viña</v>
      </c>
      <c r="AD659" s="20"/>
      <c r="AE659" s="20"/>
      <c r="AF659" s="13" t="s">
        <v>40</v>
      </c>
      <c r="AG659" s="15">
        <f t="shared" si="6"/>
        <v>45505</v>
      </c>
      <c r="AH659" s="13" t="s">
        <v>41</v>
      </c>
      <c r="AI659" s="13" t="str">
        <f t="shared" si="7"/>
        <v>Papeleria</v>
      </c>
      <c r="AJ659" s="13" t="str">
        <f>VLOOKUP(E659,Precios!Z$2:AA$941,2,FALSE)</f>
        <v>Toalla Papel NOVA 26 metros</v>
      </c>
      <c r="AK659" s="14">
        <f>VLOOKUP(E659,Precios!Z$2:BB$941,3,FALSE)*F659</f>
        <v>-8</v>
      </c>
      <c r="AL659" s="17"/>
      <c r="AM659" s="17"/>
      <c r="AN659" s="17"/>
      <c r="AO659" s="17"/>
      <c r="AP659" s="17"/>
      <c r="AQ659" s="17"/>
      <c r="AR659" s="17"/>
      <c r="AS659" s="17"/>
      <c r="AT659" s="17"/>
      <c r="AU659" s="17"/>
      <c r="AV659" s="17"/>
    </row>
    <row r="660" spans="1:48" ht="15.75" customHeight="1">
      <c r="A660" s="21" t="s">
        <v>53</v>
      </c>
      <c r="B660" s="23" t="s">
        <v>1692</v>
      </c>
      <c r="C660" s="22">
        <v>45876</v>
      </c>
      <c r="D660" s="23" t="s">
        <v>87</v>
      </c>
      <c r="E660" s="23" t="s">
        <v>211</v>
      </c>
      <c r="F660" s="21">
        <v>1</v>
      </c>
      <c r="G660" s="26">
        <v>1500</v>
      </c>
      <c r="H660" s="12">
        <f t="shared" si="0"/>
        <v>1500</v>
      </c>
      <c r="I660" s="23" t="s">
        <v>52</v>
      </c>
      <c r="J660" s="23" t="s">
        <v>61</v>
      </c>
      <c r="K660" s="24" t="s">
        <v>177</v>
      </c>
      <c r="L660" s="24">
        <v>168</v>
      </c>
      <c r="M660" s="12">
        <f t="shared" ref="M660:N660" si="665">G660/1.19</f>
        <v>1260.5042016806724</v>
      </c>
      <c r="N660" s="12">
        <f t="shared" si="665"/>
        <v>1260.5042016806724</v>
      </c>
      <c r="O660" s="12">
        <f t="shared" si="2"/>
        <v>239.4957983193276</v>
      </c>
      <c r="P660" s="13"/>
      <c r="Q660" s="14">
        <f t="shared" si="3"/>
        <v>2025</v>
      </c>
      <c r="R660" s="15">
        <f>VLOOKUP(MONTH(C660),'Datos Maestros'!M$2:N$14,2,FALSE)</f>
        <v>45505</v>
      </c>
      <c r="S660" s="11" t="str">
        <f>VLOOKUP(E660,Precios!B$2:W$941,3,FALSE)</f>
        <v>Transporte</v>
      </c>
      <c r="T660" s="16">
        <f>VLOOKUP(E660,Precios!B$2:N$941,4,FALSE)*F660</f>
        <v>0</v>
      </c>
      <c r="U660" s="17"/>
      <c r="V660" s="26">
        <v>1500</v>
      </c>
      <c r="W660" s="12">
        <f t="shared" si="4"/>
        <v>1500</v>
      </c>
      <c r="X660" s="12">
        <f>VLOOKUP(B660,'Datos Maestros'!$C$2:$D$7,2,FALSE)*V660</f>
        <v>0</v>
      </c>
      <c r="Y660" s="18">
        <f t="shared" si="5"/>
        <v>45873</v>
      </c>
      <c r="Z660" s="13" t="s">
        <v>39</v>
      </c>
      <c r="AA660" s="19" t="str">
        <f>VLOOKUP(D660,Clientes!$A$2:$J$486,9,FALSE)</f>
        <v>Frecuente</v>
      </c>
      <c r="AB660" s="13" t="str">
        <f>VLOOKUP(D660,Clientes!$A$2:$K$486,11,FALSE)</f>
        <v>Persona Natural</v>
      </c>
      <c r="AC660" s="13" t="str">
        <f>VLOOKUP(D660,Clientes!$A$2:$B$486,2,FALSE)</f>
        <v>Jardines de la viña</v>
      </c>
      <c r="AD660" s="20"/>
      <c r="AE660" s="20"/>
      <c r="AF660" s="13" t="s">
        <v>40</v>
      </c>
      <c r="AG660" s="15">
        <f t="shared" si="6"/>
        <v>45505</v>
      </c>
      <c r="AH660" s="13" t="s">
        <v>41</v>
      </c>
      <c r="AI660" s="13" t="str">
        <f t="shared" si="7"/>
        <v>Papeleria</v>
      </c>
      <c r="AJ660" s="13" t="str">
        <f>VLOOKUP(E660,Precios!Z$2:AA$941,2,FALSE)</f>
        <v>Transporte</v>
      </c>
      <c r="AK660" s="14">
        <f>VLOOKUP(E660,Precios!Z$2:BB$941,3,FALSE)*F660</f>
        <v>-1</v>
      </c>
      <c r="AL660" s="17"/>
      <c r="AM660" s="17"/>
      <c r="AN660" s="17"/>
      <c r="AO660" s="17"/>
      <c r="AP660" s="17"/>
      <c r="AQ660" s="17"/>
      <c r="AR660" s="17"/>
      <c r="AS660" s="17"/>
      <c r="AT660" s="17"/>
      <c r="AU660" s="17"/>
      <c r="AV660" s="17"/>
    </row>
    <row r="661" spans="1:48" ht="15.75" customHeight="1">
      <c r="A661" s="21" t="s">
        <v>53</v>
      </c>
      <c r="B661" s="23" t="s">
        <v>1692</v>
      </c>
      <c r="C661" s="22">
        <v>45876</v>
      </c>
      <c r="D661" s="23" t="s">
        <v>87</v>
      </c>
      <c r="E661" s="23" t="s">
        <v>211</v>
      </c>
      <c r="F661" s="21">
        <v>1</v>
      </c>
      <c r="G661" s="26">
        <v>-9500</v>
      </c>
      <c r="H661" s="12">
        <f t="shared" si="0"/>
        <v>-9500</v>
      </c>
      <c r="I661" s="23" t="s">
        <v>52</v>
      </c>
      <c r="J661" s="23" t="s">
        <v>61</v>
      </c>
      <c r="K661" s="24" t="s">
        <v>177</v>
      </c>
      <c r="L661" s="24">
        <v>168</v>
      </c>
      <c r="M661" s="12">
        <f t="shared" ref="M661:N661" si="666">G661/1.19</f>
        <v>-7983.1932773109247</v>
      </c>
      <c r="N661" s="12">
        <f t="shared" si="666"/>
        <v>-7983.1932773109247</v>
      </c>
      <c r="O661" s="12">
        <f t="shared" si="2"/>
        <v>-1516.8067226890753</v>
      </c>
      <c r="P661" s="13"/>
      <c r="Q661" s="14">
        <f t="shared" si="3"/>
        <v>2025</v>
      </c>
      <c r="R661" s="15">
        <f>VLOOKUP(MONTH(C661),'Datos Maestros'!M$2:N$14,2,FALSE)</f>
        <v>45505</v>
      </c>
      <c r="S661" s="11" t="str">
        <f>VLOOKUP(E661,Precios!B$2:W$941,3,FALSE)</f>
        <v>Transporte</v>
      </c>
      <c r="T661" s="16">
        <f>VLOOKUP(E661,Precios!B$2:N$941,4,FALSE)*F661</f>
        <v>0</v>
      </c>
      <c r="U661" s="17"/>
      <c r="V661" s="26">
        <v>-9500</v>
      </c>
      <c r="W661" s="12">
        <f t="shared" si="4"/>
        <v>-9500</v>
      </c>
      <c r="X661" s="12">
        <f>VLOOKUP(B661,'Datos Maestros'!$C$2:$D$7,2,FALSE)*V661</f>
        <v>0</v>
      </c>
      <c r="Y661" s="18">
        <f t="shared" si="5"/>
        <v>45873</v>
      </c>
      <c r="Z661" s="13" t="s">
        <v>39</v>
      </c>
      <c r="AA661" s="19" t="str">
        <f>VLOOKUP(D661,Clientes!$A$2:$J$486,9,FALSE)</f>
        <v>Frecuente</v>
      </c>
      <c r="AB661" s="13" t="str">
        <f>VLOOKUP(D661,Clientes!$A$2:$K$486,11,FALSE)</f>
        <v>Persona Natural</v>
      </c>
      <c r="AC661" s="13" t="str">
        <f>VLOOKUP(D661,Clientes!$A$2:$B$486,2,FALSE)</f>
        <v>Jardines de la viña</v>
      </c>
      <c r="AD661" s="20"/>
      <c r="AE661" s="20"/>
      <c r="AF661" s="13" t="s">
        <v>40</v>
      </c>
      <c r="AG661" s="15">
        <f t="shared" si="6"/>
        <v>45505</v>
      </c>
      <c r="AH661" s="13" t="s">
        <v>41</v>
      </c>
      <c r="AI661" s="13" t="str">
        <f t="shared" si="7"/>
        <v>Papeleria</v>
      </c>
      <c r="AJ661" s="13" t="str">
        <f>VLOOKUP(E661,Precios!Z$2:AA$941,2,FALSE)</f>
        <v>Transporte</v>
      </c>
      <c r="AK661" s="14">
        <f>VLOOKUP(E661,Precios!Z$2:BB$941,3,FALSE)*F661</f>
        <v>-1</v>
      </c>
      <c r="AL661" s="17"/>
      <c r="AM661" s="17"/>
      <c r="AN661" s="17"/>
      <c r="AO661" s="17"/>
      <c r="AP661" s="17"/>
      <c r="AQ661" s="17"/>
      <c r="AR661" s="17"/>
      <c r="AS661" s="17"/>
      <c r="AT661" s="17"/>
      <c r="AU661" s="17"/>
      <c r="AV661" s="17"/>
    </row>
    <row r="662" spans="1:48" ht="15.75" customHeight="1">
      <c r="A662" s="21" t="s">
        <v>35</v>
      </c>
      <c r="B662" s="23" t="s">
        <v>1692</v>
      </c>
      <c r="C662" s="22">
        <v>45875</v>
      </c>
      <c r="D662" s="23" t="s">
        <v>124</v>
      </c>
      <c r="E662" s="23" t="s">
        <v>37</v>
      </c>
      <c r="F662" s="21">
        <v>1</v>
      </c>
      <c r="G662" s="12">
        <f>VLOOKUP(E662,Precios!B$2:N$941,12,FALSE)</f>
        <v>11000.014358944907</v>
      </c>
      <c r="H662" s="12">
        <f t="shared" si="0"/>
        <v>11000.014358944907</v>
      </c>
      <c r="I662" s="23" t="s">
        <v>52</v>
      </c>
      <c r="J662" s="23" t="s">
        <v>61</v>
      </c>
      <c r="K662" s="24" t="s">
        <v>177</v>
      </c>
      <c r="L662" s="24">
        <v>168</v>
      </c>
      <c r="M662" s="12">
        <f t="shared" ref="M662:N662" si="667">G662/1.19</f>
        <v>9243.7095453318543</v>
      </c>
      <c r="N662" s="12">
        <f t="shared" si="667"/>
        <v>9243.7095453318543</v>
      </c>
      <c r="O662" s="12">
        <f t="shared" si="2"/>
        <v>1756.3048136130528</v>
      </c>
      <c r="P662" s="13"/>
      <c r="Q662" s="14">
        <f t="shared" si="3"/>
        <v>2025</v>
      </c>
      <c r="R662" s="15">
        <f>VLOOKUP(MONTH(C662),'Datos Maestros'!M$2:N$14,2,FALSE)</f>
        <v>45505</v>
      </c>
      <c r="S662" s="11" t="str">
        <f>VLOOKUP(E662,Precios!B$2:W$941,3,FALSE)</f>
        <v>Queso Mantecoso</v>
      </c>
      <c r="T662" s="16">
        <f>VLOOKUP(E662,Precios!B$2:N$941,4,FALSE)*F662</f>
        <v>1000</v>
      </c>
      <c r="U662" s="17"/>
      <c r="V662" s="12">
        <f>VLOOKUP(E662,Precios!B$2:N$941,13,FALSE)*F662</f>
        <v>2806.1129066763915</v>
      </c>
      <c r="W662" s="12">
        <f t="shared" si="4"/>
        <v>2806.1129066763915</v>
      </c>
      <c r="X662" s="12">
        <f>VLOOKUP(B662,'Datos Maestros'!$C$2:$D$7,2,FALSE)*V662</f>
        <v>0</v>
      </c>
      <c r="Y662" s="18">
        <f t="shared" si="5"/>
        <v>45873</v>
      </c>
      <c r="Z662" s="13" t="s">
        <v>39</v>
      </c>
      <c r="AA662" s="19" t="str">
        <f>VLOOKUP(D662,Clientes!$A$2:$J$486,9,FALSE)</f>
        <v>Regular</v>
      </c>
      <c r="AB662" s="13" t="str">
        <f>VLOOKUP(D662,Clientes!$A$2:$K$486,11,FALSE)</f>
        <v>Persona Natural</v>
      </c>
      <c r="AC662" s="13" t="str">
        <f>VLOOKUP(D662,Clientes!$A$2:$B$486,2,FALSE)</f>
        <v>Jardines de la viña</v>
      </c>
      <c r="AD662" s="20"/>
      <c r="AE662" s="20"/>
      <c r="AF662" s="13" t="s">
        <v>40</v>
      </c>
      <c r="AG662" s="15">
        <f t="shared" si="6"/>
        <v>45505</v>
      </c>
      <c r="AH662" s="13" t="s">
        <v>41</v>
      </c>
      <c r="AI662" s="13" t="str">
        <f t="shared" si="7"/>
        <v>Quesos</v>
      </c>
      <c r="AJ662" s="13" t="str">
        <f>VLOOKUP(E662,Precios!Z$2:AA$941,2,FALSE)</f>
        <v>Queso RUNCA Mantecoso</v>
      </c>
      <c r="AK662" s="14">
        <f>VLOOKUP(E662,Precios!Z$2:BB$941,3,FALSE)*F662</f>
        <v>-1</v>
      </c>
      <c r="AL662" s="17"/>
      <c r="AM662" s="17"/>
      <c r="AN662" s="17"/>
      <c r="AO662" s="17"/>
      <c r="AP662" s="17"/>
      <c r="AQ662" s="17"/>
      <c r="AR662" s="17"/>
      <c r="AS662" s="17"/>
      <c r="AT662" s="17"/>
      <c r="AU662" s="17"/>
      <c r="AV662" s="17"/>
    </row>
    <row r="663" spans="1:48" ht="15.75" customHeight="1">
      <c r="A663" s="21" t="s">
        <v>53</v>
      </c>
      <c r="B663" s="23" t="s">
        <v>1692</v>
      </c>
      <c r="C663" s="22">
        <v>45875</v>
      </c>
      <c r="D663" s="23" t="s">
        <v>338</v>
      </c>
      <c r="E663" s="23" t="s">
        <v>339</v>
      </c>
      <c r="F663" s="21">
        <v>1</v>
      </c>
      <c r="G663" s="12">
        <f>VLOOKUP(E663,Precios!B$2:N$941,12,FALSE)</f>
        <v>4000.0000000000005</v>
      </c>
      <c r="H663" s="12">
        <f t="shared" si="0"/>
        <v>4000.0000000000005</v>
      </c>
      <c r="I663" s="23" t="s">
        <v>52</v>
      </c>
      <c r="J663" s="23" t="s">
        <v>61</v>
      </c>
      <c r="K663" s="24" t="s">
        <v>177</v>
      </c>
      <c r="L663" s="24">
        <v>168</v>
      </c>
      <c r="M663" s="12">
        <f t="shared" ref="M663:N663" si="668">G663/1.19</f>
        <v>3361.3445378151264</v>
      </c>
      <c r="N663" s="12">
        <f t="shared" si="668"/>
        <v>3361.3445378151264</v>
      </c>
      <c r="O663" s="12">
        <f t="shared" si="2"/>
        <v>638.65546218487407</v>
      </c>
      <c r="P663" s="13"/>
      <c r="Q663" s="14">
        <f t="shared" si="3"/>
        <v>2025</v>
      </c>
      <c r="R663" s="15">
        <f>VLOOKUP(MONTH(C663),'Datos Maestros'!M$2:N$14,2,FALSE)</f>
        <v>45505</v>
      </c>
      <c r="S663" s="11" t="str">
        <f>VLOOKUP(E663,Precios!B$2:W$941,3,FALSE)</f>
        <v>Toalla Nova 3 rollos</v>
      </c>
      <c r="T663" s="16">
        <f>VLOOKUP(E663,Precios!B$2:N$941,4,FALSE)*F663</f>
        <v>0</v>
      </c>
      <c r="U663" s="17"/>
      <c r="V663" s="12">
        <f>VLOOKUP(E663,Precios!B$2:N$941,13,FALSE)*F663</f>
        <v>953.78151260504228</v>
      </c>
      <c r="W663" s="12">
        <f t="shared" si="4"/>
        <v>953.78151260504228</v>
      </c>
      <c r="X663" s="12">
        <f>VLOOKUP(B663,'Datos Maestros'!$C$2:$D$7,2,FALSE)*V663</f>
        <v>0</v>
      </c>
      <c r="Y663" s="18">
        <f t="shared" si="5"/>
        <v>45873</v>
      </c>
      <c r="Z663" s="13" t="s">
        <v>39</v>
      </c>
      <c r="AA663" s="19" t="str">
        <f>VLOOKUP(D663,Clientes!$A$2:$J$486,9,FALSE)</f>
        <v>Frecuente</v>
      </c>
      <c r="AB663" s="13" t="str">
        <f>VLOOKUP(D663,Clientes!$A$2:$K$486,11,FALSE)</f>
        <v>Persona Natural</v>
      </c>
      <c r="AC663" s="13" t="str">
        <f>VLOOKUP(D663,Clientes!$A$2:$B$486,2,FALSE)</f>
        <v>Sector Colombia</v>
      </c>
      <c r="AD663" s="20"/>
      <c r="AE663" s="20"/>
      <c r="AF663" s="13" t="s">
        <v>40</v>
      </c>
      <c r="AG663" s="15">
        <f t="shared" si="6"/>
        <v>45505</v>
      </c>
      <c r="AH663" s="13" t="s">
        <v>41</v>
      </c>
      <c r="AI663" s="13" t="str">
        <f t="shared" si="7"/>
        <v>Papeleria</v>
      </c>
      <c r="AJ663" s="13" t="str">
        <f>VLOOKUP(E663,Precios!Z$2:AA$941,2,FALSE)</f>
        <v>Toalla Papel NOVA 12 metros</v>
      </c>
      <c r="AK663" s="14">
        <f>VLOOKUP(E663,Precios!Z$2:BB$941,3,FALSE)*F663</f>
        <v>-3</v>
      </c>
      <c r="AL663" s="17"/>
      <c r="AM663" s="17"/>
      <c r="AN663" s="17"/>
      <c r="AO663" s="17"/>
      <c r="AP663" s="17"/>
      <c r="AQ663" s="17"/>
      <c r="AR663" s="17"/>
      <c r="AS663" s="17"/>
      <c r="AT663" s="17"/>
      <c r="AU663" s="17"/>
      <c r="AV663" s="17"/>
    </row>
    <row r="664" spans="1:48" ht="15.75" customHeight="1">
      <c r="A664" s="21" t="s">
        <v>47</v>
      </c>
      <c r="B664" s="23" t="s">
        <v>1692</v>
      </c>
      <c r="C664" s="22">
        <v>45875</v>
      </c>
      <c r="D664" s="23" t="s">
        <v>338</v>
      </c>
      <c r="E664" s="23" t="s">
        <v>267</v>
      </c>
      <c r="F664" s="21">
        <v>1</v>
      </c>
      <c r="G664" s="12">
        <f>VLOOKUP(E664,Precios!B$2:N$941,12,FALSE)</f>
        <v>7499.8770659745942</v>
      </c>
      <c r="H664" s="12">
        <f t="shared" si="0"/>
        <v>7499.8770659745942</v>
      </c>
      <c r="I664" s="23" t="s">
        <v>52</v>
      </c>
      <c r="J664" s="23" t="s">
        <v>61</v>
      </c>
      <c r="K664" s="24" t="s">
        <v>177</v>
      </c>
      <c r="L664" s="24">
        <v>168</v>
      </c>
      <c r="M664" s="12">
        <f t="shared" ref="M664:N664" si="669">G664/1.19</f>
        <v>6302.4177024996588</v>
      </c>
      <c r="N664" s="12">
        <f t="shared" si="669"/>
        <v>6302.4177024996588</v>
      </c>
      <c r="O664" s="12">
        <f t="shared" si="2"/>
        <v>1197.4593634749353</v>
      </c>
      <c r="P664" s="13"/>
      <c r="Q664" s="14">
        <f t="shared" si="3"/>
        <v>2025</v>
      </c>
      <c r="R664" s="15">
        <f>VLOOKUP(MONTH(C664),'Datos Maestros'!M$2:N$14,2,FALSE)</f>
        <v>45505</v>
      </c>
      <c r="S664" s="11" t="str">
        <f>VLOOKUP(E664,Precios!B$2:W$941,3,FALSE)</f>
        <v>Trapero Húmedo</v>
      </c>
      <c r="T664" s="16">
        <f>VLOOKUP(E664,Precios!B$2:N$941,4,FALSE)*F664</f>
        <v>0</v>
      </c>
      <c r="U664" s="17"/>
      <c r="V664" s="12">
        <f>VLOOKUP(E664,Precios!B$2:N$941,13,FALSE)*F664</f>
        <v>1688.4177024996588</v>
      </c>
      <c r="W664" s="12">
        <f t="shared" si="4"/>
        <v>1688.4177024996588</v>
      </c>
      <c r="X664" s="12">
        <f>VLOOKUP(B664,'Datos Maestros'!$C$2:$D$7,2,FALSE)*V664</f>
        <v>0</v>
      </c>
      <c r="Y664" s="18">
        <f t="shared" si="5"/>
        <v>45873</v>
      </c>
      <c r="Z664" s="13" t="s">
        <v>39</v>
      </c>
      <c r="AA664" s="19" t="str">
        <f>VLOOKUP(D664,Clientes!$A$2:$J$486,9,FALSE)</f>
        <v>Frecuente</v>
      </c>
      <c r="AB664" s="13" t="str">
        <f>VLOOKUP(D664,Clientes!$A$2:$K$486,11,FALSE)</f>
        <v>Persona Natural</v>
      </c>
      <c r="AC664" s="13" t="str">
        <f>VLOOKUP(D664,Clientes!$A$2:$B$486,2,FALSE)</f>
        <v>Sector Colombia</v>
      </c>
      <c r="AD664" s="20"/>
      <c r="AE664" s="20"/>
      <c r="AF664" s="13" t="s">
        <v>40</v>
      </c>
      <c r="AG664" s="15">
        <f t="shared" si="6"/>
        <v>45505</v>
      </c>
      <c r="AH664" s="13" t="s">
        <v>41</v>
      </c>
      <c r="AI664" s="13" t="str">
        <f t="shared" si="7"/>
        <v>Articulos de Aseo</v>
      </c>
      <c r="AJ664" s="13" t="str">
        <f>VLOOKUP(E664,Precios!Z$2:AA$941,2,FALSE)</f>
        <v>Traperos Humedos EXCELL</v>
      </c>
      <c r="AK664" s="14">
        <f>VLOOKUP(E664,Precios!Z$2:BB$941,3,FALSE)*F664</f>
        <v>-3</v>
      </c>
      <c r="AL664" s="17"/>
      <c r="AM664" s="17"/>
      <c r="AN664" s="17"/>
      <c r="AO664" s="17"/>
      <c r="AP664" s="17"/>
      <c r="AQ664" s="17"/>
      <c r="AR664" s="17"/>
      <c r="AS664" s="17"/>
      <c r="AT664" s="17"/>
      <c r="AU664" s="17"/>
      <c r="AV664" s="17"/>
    </row>
    <row r="665" spans="1:48" ht="15.75" customHeight="1">
      <c r="A665" s="21" t="s">
        <v>76</v>
      </c>
      <c r="B665" s="23" t="s">
        <v>1692</v>
      </c>
      <c r="C665" s="22">
        <v>45875</v>
      </c>
      <c r="D665" s="23" t="s">
        <v>338</v>
      </c>
      <c r="E665" s="23" t="s">
        <v>110</v>
      </c>
      <c r="F665" s="21">
        <v>1</v>
      </c>
      <c r="G665" s="12">
        <f>VLOOKUP(E665,Precios!B$2:N$941,12,FALSE)</f>
        <v>2000.0000000000005</v>
      </c>
      <c r="H665" s="12">
        <f t="shared" si="0"/>
        <v>2000.0000000000005</v>
      </c>
      <c r="I665" s="23" t="s">
        <v>52</v>
      </c>
      <c r="J665" s="23" t="s">
        <v>61</v>
      </c>
      <c r="K665" s="24" t="s">
        <v>177</v>
      </c>
      <c r="L665" s="24">
        <v>168</v>
      </c>
      <c r="M665" s="12">
        <f t="shared" ref="M665:N665" si="670">G665/1.19</f>
        <v>1680.6722689075634</v>
      </c>
      <c r="N665" s="12">
        <f t="shared" si="670"/>
        <v>1680.6722689075634</v>
      </c>
      <c r="O665" s="12">
        <f t="shared" si="2"/>
        <v>319.32773109243703</v>
      </c>
      <c r="P665" s="13"/>
      <c r="Q665" s="14">
        <f t="shared" si="3"/>
        <v>2025</v>
      </c>
      <c r="R665" s="15">
        <f>VLOOKUP(MONTH(C665),'Datos Maestros'!M$2:N$14,2,FALSE)</f>
        <v>45505</v>
      </c>
      <c r="S665" s="11" t="str">
        <f>VLOOKUP(E665,Precios!B$2:W$941,3,FALSE)</f>
        <v>Cloro</v>
      </c>
      <c r="T665" s="16">
        <f>VLOOKUP(E665,Precios!B$2:N$941,4,FALSE)*F665</f>
        <v>5</v>
      </c>
      <c r="U665" s="17"/>
      <c r="V665" s="12">
        <f>VLOOKUP(E665,Precios!B$2:N$941,13,FALSE)*F665</f>
        <v>756.30252100840369</v>
      </c>
      <c r="W665" s="12">
        <f t="shared" si="4"/>
        <v>756.30252100840369</v>
      </c>
      <c r="X665" s="12">
        <f>VLOOKUP(B665,'Datos Maestros'!$C$2:$D$7,2,FALSE)*V665</f>
        <v>0</v>
      </c>
      <c r="Y665" s="18">
        <f t="shared" si="5"/>
        <v>45873</v>
      </c>
      <c r="Z665" s="13" t="s">
        <v>39</v>
      </c>
      <c r="AA665" s="19" t="str">
        <f>VLOOKUP(D665,Clientes!$A$2:$J$486,9,FALSE)</f>
        <v>Frecuente</v>
      </c>
      <c r="AB665" s="13" t="str">
        <f>VLOOKUP(D665,Clientes!$A$2:$K$486,11,FALSE)</f>
        <v>Persona Natural</v>
      </c>
      <c r="AC665" s="13" t="str">
        <f>VLOOKUP(D665,Clientes!$A$2:$B$486,2,FALSE)</f>
        <v>Sector Colombia</v>
      </c>
      <c r="AD665" s="20"/>
      <c r="AE665" s="20"/>
      <c r="AF665" s="13" t="s">
        <v>40</v>
      </c>
      <c r="AG665" s="15">
        <f t="shared" si="6"/>
        <v>45505</v>
      </c>
      <c r="AH665" s="13" t="s">
        <v>41</v>
      </c>
      <c r="AI665" s="13" t="str">
        <f t="shared" si="7"/>
        <v>Detergentes</v>
      </c>
      <c r="AJ665" s="13" t="str">
        <f>VLOOKUP(E665,Precios!Z$2:AA$941,2,FALSE)</f>
        <v>Cloro SPUM 5 Litros</v>
      </c>
      <c r="AK665" s="14">
        <f>VLOOKUP(E665,Precios!Z$2:BB$941,3,FALSE)*F665</f>
        <v>-1</v>
      </c>
      <c r="AL665" s="17"/>
      <c r="AM665" s="17"/>
      <c r="AN665" s="17"/>
      <c r="AO665" s="17"/>
      <c r="AP665" s="17"/>
      <c r="AQ665" s="17"/>
      <c r="AR665" s="17"/>
      <c r="AS665" s="17"/>
      <c r="AT665" s="17"/>
      <c r="AU665" s="17"/>
      <c r="AV665" s="17"/>
    </row>
    <row r="666" spans="1:48" ht="15.75" customHeight="1">
      <c r="A666" s="21" t="s">
        <v>76</v>
      </c>
      <c r="B666" s="23" t="s">
        <v>1692</v>
      </c>
      <c r="C666" s="22">
        <v>45875</v>
      </c>
      <c r="D666" s="23" t="s">
        <v>338</v>
      </c>
      <c r="E666" s="23" t="s">
        <v>137</v>
      </c>
      <c r="F666" s="21">
        <v>2</v>
      </c>
      <c r="G666" s="12">
        <f>VLOOKUP(E666,Precios!B$2:N$941,12,FALSE)</f>
        <v>3500.0000000000005</v>
      </c>
      <c r="H666" s="12">
        <f t="shared" si="0"/>
        <v>7000.0000000000009</v>
      </c>
      <c r="I666" s="23" t="s">
        <v>52</v>
      </c>
      <c r="J666" s="23" t="s">
        <v>61</v>
      </c>
      <c r="K666" s="24" t="s">
        <v>177</v>
      </c>
      <c r="L666" s="24">
        <v>168</v>
      </c>
      <c r="M666" s="12">
        <f t="shared" ref="M666:N666" si="671">G666/1.19</f>
        <v>2941.1764705882356</v>
      </c>
      <c r="N666" s="12">
        <f t="shared" si="671"/>
        <v>5882.3529411764712</v>
      </c>
      <c r="O666" s="12">
        <f t="shared" si="2"/>
        <v>1117.6470588235297</v>
      </c>
      <c r="P666" s="13"/>
      <c r="Q666" s="14">
        <f t="shared" si="3"/>
        <v>2025</v>
      </c>
      <c r="R666" s="15">
        <f>VLOOKUP(MONTH(C666),'Datos Maestros'!M$2:N$14,2,FALSE)</f>
        <v>45505</v>
      </c>
      <c r="S666" s="11" t="str">
        <f>VLOOKUP(E666,Precios!B$2:W$941,3,FALSE)</f>
        <v>Detergente Piel Sensible</v>
      </c>
      <c r="T666" s="16">
        <f>VLOOKUP(E666,Precios!B$2:N$941,4,FALSE)*F666</f>
        <v>10</v>
      </c>
      <c r="U666" s="17"/>
      <c r="V666" s="12">
        <f>VLOOKUP(E666,Precios!B$2:N$941,13,FALSE)*F666</f>
        <v>1697.4789915966394</v>
      </c>
      <c r="W666" s="12">
        <f t="shared" si="4"/>
        <v>1697.4789915966394</v>
      </c>
      <c r="X666" s="12">
        <f>VLOOKUP(B666,'Datos Maestros'!$C$2:$D$7,2,FALSE)*V666</f>
        <v>0</v>
      </c>
      <c r="Y666" s="18">
        <f t="shared" si="5"/>
        <v>45873</v>
      </c>
      <c r="Z666" s="13" t="s">
        <v>39</v>
      </c>
      <c r="AA666" s="19" t="str">
        <f>VLOOKUP(D666,Clientes!$A$2:$J$486,9,FALSE)</f>
        <v>Frecuente</v>
      </c>
      <c r="AB666" s="13" t="str">
        <f>VLOOKUP(D666,Clientes!$A$2:$K$486,11,FALSE)</f>
        <v>Persona Natural</v>
      </c>
      <c r="AC666" s="13" t="str">
        <f>VLOOKUP(D666,Clientes!$A$2:$B$486,2,FALSE)</f>
        <v>Sector Colombia</v>
      </c>
      <c r="AD666" s="20"/>
      <c r="AE666" s="20"/>
      <c r="AF666" s="13" t="s">
        <v>40</v>
      </c>
      <c r="AG666" s="15">
        <f t="shared" si="6"/>
        <v>45505</v>
      </c>
      <c r="AH666" s="13" t="s">
        <v>41</v>
      </c>
      <c r="AI666" s="13" t="str">
        <f t="shared" si="7"/>
        <v>Detergentes</v>
      </c>
      <c r="AJ666" s="13" t="str">
        <f>VLOOKUP(E666,Precios!Z$2:AA$941,2,FALSE)</f>
        <v>Detergente SPUM 5 Litros (Blanco)</v>
      </c>
      <c r="AK666" s="14">
        <f>VLOOKUP(E666,Precios!Z$2:BB$941,3,FALSE)*F666</f>
        <v>-2</v>
      </c>
      <c r="AL666" s="17"/>
      <c r="AM666" s="17"/>
      <c r="AN666" s="17"/>
      <c r="AO666" s="17"/>
      <c r="AP666" s="17"/>
      <c r="AQ666" s="17"/>
      <c r="AR666" s="17"/>
      <c r="AS666" s="17"/>
      <c r="AT666" s="17"/>
      <c r="AU666" s="17"/>
      <c r="AV666" s="17"/>
    </row>
    <row r="667" spans="1:48" ht="15.75" customHeight="1">
      <c r="A667" s="21" t="s">
        <v>35</v>
      </c>
      <c r="B667" s="23" t="s">
        <v>1692</v>
      </c>
      <c r="C667" s="22">
        <v>45875</v>
      </c>
      <c r="D667" s="23" t="s">
        <v>122</v>
      </c>
      <c r="E667" s="23" t="s">
        <v>37</v>
      </c>
      <c r="F667" s="14">
        <v>1</v>
      </c>
      <c r="G667" s="12">
        <f>VLOOKUP(E667,Precios!B$2:N$941,12,FALSE)</f>
        <v>11000.014358944907</v>
      </c>
      <c r="H667" s="12">
        <f t="shared" si="0"/>
        <v>11000.014358944907</v>
      </c>
      <c r="I667" s="23" t="s">
        <v>52</v>
      </c>
      <c r="J667" s="23" t="s">
        <v>61</v>
      </c>
      <c r="K667" s="24" t="s">
        <v>177</v>
      </c>
      <c r="L667" s="24">
        <v>168</v>
      </c>
      <c r="M667" s="12">
        <f t="shared" ref="M667:N667" si="672">G667/1.19</f>
        <v>9243.7095453318543</v>
      </c>
      <c r="N667" s="12">
        <f t="shared" si="672"/>
        <v>9243.7095453318543</v>
      </c>
      <c r="O667" s="12">
        <f t="shared" si="2"/>
        <v>1756.3048136130528</v>
      </c>
      <c r="P667" s="13"/>
      <c r="Q667" s="14">
        <f t="shared" si="3"/>
        <v>2025</v>
      </c>
      <c r="R667" s="15">
        <f>VLOOKUP(MONTH(C667),'Datos Maestros'!M$2:N$14,2,FALSE)</f>
        <v>45505</v>
      </c>
      <c r="S667" s="11" t="str">
        <f>VLOOKUP(E667,Precios!B$2:W$941,3,FALSE)</f>
        <v>Queso Mantecoso</v>
      </c>
      <c r="T667" s="16">
        <f>VLOOKUP(E667,Precios!B$2:N$941,4,FALSE)*F667</f>
        <v>1000</v>
      </c>
      <c r="U667" s="17"/>
      <c r="V667" s="12">
        <f>VLOOKUP(E667,Precios!B$2:N$941,13,FALSE)*F667</f>
        <v>2806.1129066763915</v>
      </c>
      <c r="W667" s="12">
        <f t="shared" si="4"/>
        <v>2806.1129066763915</v>
      </c>
      <c r="X667" s="12">
        <f>VLOOKUP(B667,'Datos Maestros'!$C$2:$D$7,2,FALSE)*V667</f>
        <v>0</v>
      </c>
      <c r="Y667" s="18">
        <f t="shared" si="5"/>
        <v>45873</v>
      </c>
      <c r="Z667" s="13" t="s">
        <v>39</v>
      </c>
      <c r="AA667" s="19" t="str">
        <f>VLOOKUP(D667,Clientes!$A$2:$J$486,9,FALSE)</f>
        <v>Frecuente</v>
      </c>
      <c r="AB667" s="13" t="str">
        <f>VLOOKUP(D667,Clientes!$A$2:$K$486,11,FALSE)</f>
        <v>Persona Natural</v>
      </c>
      <c r="AC667" s="13" t="str">
        <f>VLOOKUP(D667,Clientes!$A$2:$B$486,2,FALSE)</f>
        <v>Jardines de la Viña</v>
      </c>
      <c r="AD667" s="20"/>
      <c r="AE667" s="20"/>
      <c r="AF667" s="13" t="s">
        <v>40</v>
      </c>
      <c r="AG667" s="15">
        <f t="shared" si="6"/>
        <v>45505</v>
      </c>
      <c r="AH667" s="13" t="s">
        <v>41</v>
      </c>
      <c r="AI667" s="13" t="str">
        <f t="shared" si="7"/>
        <v>Quesos</v>
      </c>
      <c r="AJ667" s="13" t="str">
        <f>VLOOKUP(E667,Precios!Z$2:AA$941,2,FALSE)</f>
        <v>Queso RUNCA Mantecoso</v>
      </c>
      <c r="AK667" s="14">
        <f>VLOOKUP(E667,Precios!Z$2:BB$941,3,FALSE)*F667</f>
        <v>-1</v>
      </c>
      <c r="AL667" s="17"/>
      <c r="AM667" s="17"/>
      <c r="AN667" s="17"/>
      <c r="AO667" s="17"/>
      <c r="AP667" s="17"/>
      <c r="AQ667" s="17"/>
      <c r="AR667" s="17"/>
      <c r="AS667" s="17"/>
      <c r="AT667" s="17"/>
      <c r="AU667" s="17"/>
      <c r="AV667" s="17"/>
    </row>
    <row r="668" spans="1:48" ht="15.75" customHeight="1">
      <c r="A668" s="21" t="s">
        <v>43</v>
      </c>
      <c r="B668" s="23" t="s">
        <v>1692</v>
      </c>
      <c r="C668" s="22">
        <v>45875</v>
      </c>
      <c r="D668" s="23" t="s">
        <v>219</v>
      </c>
      <c r="E668" s="23" t="s">
        <v>45</v>
      </c>
      <c r="F668" s="21">
        <v>2</v>
      </c>
      <c r="G668" s="12">
        <f>VLOOKUP(E668,Precios!B$2:N$941,12,FALSE)</f>
        <v>8000.1831784723063</v>
      </c>
      <c r="H668" s="12">
        <f t="shared" si="0"/>
        <v>16000.366356944613</v>
      </c>
      <c r="I668" s="23" t="s">
        <v>52</v>
      </c>
      <c r="J668" s="23" t="s">
        <v>61</v>
      </c>
      <c r="K668" s="24" t="s">
        <v>177</v>
      </c>
      <c r="L668" s="24">
        <v>168</v>
      </c>
      <c r="M668" s="12">
        <f t="shared" ref="M668:N668" si="673">G668/1.19</f>
        <v>6722.8430071195853</v>
      </c>
      <c r="N668" s="12">
        <f t="shared" si="673"/>
        <v>13445.686014239171</v>
      </c>
      <c r="O668" s="12">
        <f t="shared" si="2"/>
        <v>2554.6803427054419</v>
      </c>
      <c r="P668" s="13"/>
      <c r="Q668" s="14">
        <f t="shared" si="3"/>
        <v>2025</v>
      </c>
      <c r="R668" s="15">
        <f>VLOOKUP(MONTH(C668),'Datos Maestros'!M$2:N$14,2,FALSE)</f>
        <v>45505</v>
      </c>
      <c r="S668" s="11" t="str">
        <f>VLOOKUP(E668,Precios!B$2:W$941,3,FALSE)</f>
        <v>Huevos EXTRA</v>
      </c>
      <c r="T668" s="16">
        <f>VLOOKUP(E668,Precios!B$2:N$941,4,FALSE)*F668</f>
        <v>0</v>
      </c>
      <c r="U668" s="17"/>
      <c r="V668" s="12">
        <f>VLOOKUP(E668,Precios!B$2:N$941,13,FALSE)*F668</f>
        <v>2303.2460142391701</v>
      </c>
      <c r="W668" s="12">
        <f t="shared" si="4"/>
        <v>2303.2460142391701</v>
      </c>
      <c r="X668" s="12">
        <f>VLOOKUP(B668,'Datos Maestros'!$C$2:$D$7,2,FALSE)*V668</f>
        <v>0</v>
      </c>
      <c r="Y668" s="18">
        <f t="shared" si="5"/>
        <v>45873</v>
      </c>
      <c r="Z668" s="13" t="s">
        <v>39</v>
      </c>
      <c r="AA668" s="19" t="str">
        <f>VLOOKUP(D668,Clientes!$A$2:$J$486,9,FALSE)</f>
        <v>Ocacional</v>
      </c>
      <c r="AB668" s="13" t="str">
        <f>VLOOKUP(D668,Clientes!$A$2:$K$486,11,FALSE)</f>
        <v>Persona Natural</v>
      </c>
      <c r="AC668" s="13" t="str">
        <f>VLOOKUP(D668,Clientes!$A$2:$B$486,2,FALSE)</f>
        <v>Jardines de la Viña</v>
      </c>
      <c r="AD668" s="20"/>
      <c r="AE668" s="20"/>
      <c r="AF668" s="13" t="s">
        <v>40</v>
      </c>
      <c r="AG668" s="15">
        <f t="shared" si="6"/>
        <v>45505</v>
      </c>
      <c r="AH668" s="13" t="s">
        <v>41</v>
      </c>
      <c r="AI668" s="13" t="str">
        <f t="shared" si="7"/>
        <v>Huevos</v>
      </c>
      <c r="AJ668" s="13" t="str">
        <f>VLOOKUP(E668,Precios!Z$2:AA$941,2,FALSE)</f>
        <v>Bandeja Huevos EXTRA</v>
      </c>
      <c r="AK668" s="14">
        <f>VLOOKUP(E668,Precios!Z$2:BB$941,3,FALSE)*F668</f>
        <v>-2</v>
      </c>
      <c r="AL668" s="17"/>
      <c r="AM668" s="17"/>
      <c r="AN668" s="17"/>
      <c r="AO668" s="17"/>
      <c r="AP668" s="17"/>
      <c r="AQ668" s="17"/>
      <c r="AR668" s="17"/>
      <c r="AS668" s="17"/>
      <c r="AT668" s="17"/>
      <c r="AU668" s="17"/>
      <c r="AV668" s="17"/>
    </row>
    <row r="669" spans="1:48" ht="15.75" customHeight="1">
      <c r="A669" s="21" t="s">
        <v>43</v>
      </c>
      <c r="B669" s="23" t="s">
        <v>1692</v>
      </c>
      <c r="C669" s="22">
        <v>45875</v>
      </c>
      <c r="D669" s="23" t="s">
        <v>120</v>
      </c>
      <c r="E669" s="23" t="s">
        <v>45</v>
      </c>
      <c r="F669" s="14">
        <v>1</v>
      </c>
      <c r="G669" s="12">
        <f>VLOOKUP(E669,Precios!B$2:N$941,12,FALSE)</f>
        <v>8000.1831784723063</v>
      </c>
      <c r="H669" s="12">
        <f t="shared" si="0"/>
        <v>8000.1831784723063</v>
      </c>
      <c r="I669" s="23" t="s">
        <v>52</v>
      </c>
      <c r="J669" s="23" t="s">
        <v>61</v>
      </c>
      <c r="K669" s="24" t="s">
        <v>177</v>
      </c>
      <c r="L669" s="24">
        <v>168</v>
      </c>
      <c r="M669" s="12">
        <f t="shared" ref="M669:N669" si="674">G669/1.19</f>
        <v>6722.8430071195853</v>
      </c>
      <c r="N669" s="12">
        <f t="shared" si="674"/>
        <v>6722.8430071195853</v>
      </c>
      <c r="O669" s="12">
        <f t="shared" si="2"/>
        <v>1277.340171352721</v>
      </c>
      <c r="P669" s="13"/>
      <c r="Q669" s="14">
        <f t="shared" si="3"/>
        <v>2025</v>
      </c>
      <c r="R669" s="15">
        <f>VLOOKUP(MONTH(C669),'Datos Maestros'!M$2:N$14,2,FALSE)</f>
        <v>45505</v>
      </c>
      <c r="S669" s="11" t="str">
        <f>VLOOKUP(E669,Precios!B$2:W$941,3,FALSE)</f>
        <v>Huevos EXTRA</v>
      </c>
      <c r="T669" s="16">
        <f>VLOOKUP(E669,Precios!B$2:N$941,4,FALSE)*F669</f>
        <v>0</v>
      </c>
      <c r="U669" s="17"/>
      <c r="V669" s="12">
        <f>VLOOKUP(E669,Precios!B$2:N$941,13,FALSE)*F669</f>
        <v>1151.6230071195851</v>
      </c>
      <c r="W669" s="12">
        <f t="shared" si="4"/>
        <v>1151.6230071195851</v>
      </c>
      <c r="X669" s="12">
        <f>VLOOKUP(B669,'Datos Maestros'!$C$2:$D$7,2,FALSE)*V669</f>
        <v>0</v>
      </c>
      <c r="Y669" s="18">
        <f t="shared" si="5"/>
        <v>45873</v>
      </c>
      <c r="Z669" s="13" t="s">
        <v>39</v>
      </c>
      <c r="AA669" s="19" t="str">
        <f>VLOOKUP(D669,Clientes!$A$2:$J$486,9,FALSE)</f>
        <v>Ocacional</v>
      </c>
      <c r="AB669" s="13" t="str">
        <f>VLOOKUP(D669,Clientes!$A$2:$K$486,11,FALSE)</f>
        <v>Persona Natural</v>
      </c>
      <c r="AC669" s="13" t="str">
        <f>VLOOKUP(D669,Clientes!$A$2:$B$486,2,FALSE)</f>
        <v>Jardines de la viña</v>
      </c>
      <c r="AD669" s="20"/>
      <c r="AE669" s="20"/>
      <c r="AF669" s="13" t="s">
        <v>40</v>
      </c>
      <c r="AG669" s="15">
        <f t="shared" si="6"/>
        <v>45505</v>
      </c>
      <c r="AH669" s="13" t="s">
        <v>41</v>
      </c>
      <c r="AI669" s="13" t="str">
        <f t="shared" si="7"/>
        <v>Huevos</v>
      </c>
      <c r="AJ669" s="13" t="str">
        <f>VLOOKUP(E669,Precios!Z$2:AA$941,2,FALSE)</f>
        <v>Bandeja Huevos EXTRA</v>
      </c>
      <c r="AK669" s="14">
        <f>VLOOKUP(E669,Precios!Z$2:BB$941,3,FALSE)*F669</f>
        <v>-1</v>
      </c>
      <c r="AL669" s="17"/>
      <c r="AM669" s="17"/>
      <c r="AN669" s="17"/>
      <c r="AO669" s="17"/>
      <c r="AP669" s="17"/>
      <c r="AQ669" s="17"/>
      <c r="AR669" s="17"/>
      <c r="AS669" s="17"/>
      <c r="AT669" s="17"/>
      <c r="AU669" s="17"/>
      <c r="AV669" s="17"/>
    </row>
    <row r="670" spans="1:48" ht="15.75" customHeight="1">
      <c r="A670" s="21" t="s">
        <v>35</v>
      </c>
      <c r="B670" s="23" t="s">
        <v>1692</v>
      </c>
      <c r="C670" s="22">
        <v>45875</v>
      </c>
      <c r="D670" s="23" t="s">
        <v>340</v>
      </c>
      <c r="E670" s="23" t="s">
        <v>46</v>
      </c>
      <c r="F670" s="14">
        <v>1</v>
      </c>
      <c r="G670" s="12">
        <f>VLOOKUP(E670,Precios!B$2:N$941,12,FALSE)</f>
        <v>6000.1548227279782</v>
      </c>
      <c r="H670" s="12">
        <f t="shared" si="0"/>
        <v>6000.1548227279782</v>
      </c>
      <c r="I670" s="23" t="s">
        <v>52</v>
      </c>
      <c r="J670" s="23" t="s">
        <v>61</v>
      </c>
      <c r="K670" s="24" t="s">
        <v>177</v>
      </c>
      <c r="L670" s="24">
        <v>168</v>
      </c>
      <c r="M670" s="12">
        <f t="shared" ref="M670:N670" si="675">G670/1.19</f>
        <v>5042.1469098554444</v>
      </c>
      <c r="N670" s="12">
        <f t="shared" si="675"/>
        <v>5042.1469098554444</v>
      </c>
      <c r="O670" s="12">
        <f t="shared" si="2"/>
        <v>958.00791287253378</v>
      </c>
      <c r="P670" s="13"/>
      <c r="Q670" s="14">
        <f t="shared" si="3"/>
        <v>2025</v>
      </c>
      <c r="R670" s="15">
        <f>VLOOKUP(MONTH(C670),'Datos Maestros'!M$2:N$14,2,FALSE)</f>
        <v>45505</v>
      </c>
      <c r="S670" s="11" t="str">
        <f>VLOOKUP(E670,Precios!B$2:W$941,3,FALSE)</f>
        <v>Queso Mantecoso</v>
      </c>
      <c r="T670" s="16">
        <f>VLOOKUP(E670,Precios!B$2:N$941,4,FALSE)*F670</f>
        <v>500</v>
      </c>
      <c r="U670" s="17"/>
      <c r="V670" s="12">
        <f>VLOOKUP(E670,Precios!B$2:N$941,13,FALSE)*F670</f>
        <v>1785.4242207798129</v>
      </c>
      <c r="W670" s="12">
        <f t="shared" si="4"/>
        <v>1785.4242207798129</v>
      </c>
      <c r="X670" s="12">
        <f>VLOOKUP(B670,'Datos Maestros'!$C$2:$D$7,2,FALSE)*V670</f>
        <v>0</v>
      </c>
      <c r="Y670" s="18">
        <f t="shared" si="5"/>
        <v>45873</v>
      </c>
      <c r="Z670" s="13" t="s">
        <v>39</v>
      </c>
      <c r="AA670" s="19" t="str">
        <f>VLOOKUP(D670,Clientes!$A$2:$J$486,9,FALSE)</f>
        <v>Ocacional</v>
      </c>
      <c r="AB670" s="13" t="str">
        <f>VLOOKUP(D670,Clientes!$A$2:$K$486,11,FALSE)</f>
        <v>Persona Natural</v>
      </c>
      <c r="AC670" s="13" t="str">
        <f>VLOOKUP(D670,Clientes!$A$2:$B$486,2,FALSE)</f>
        <v>Sector Santa Delia</v>
      </c>
      <c r="AD670" s="20"/>
      <c r="AE670" s="20"/>
      <c r="AF670" s="13" t="s">
        <v>40</v>
      </c>
      <c r="AG670" s="15">
        <f t="shared" si="6"/>
        <v>45505</v>
      </c>
      <c r="AH670" s="13" t="s">
        <v>41</v>
      </c>
      <c r="AI670" s="13" t="str">
        <f t="shared" si="7"/>
        <v>Quesos</v>
      </c>
      <c r="AJ670" s="13" t="str">
        <f>VLOOKUP(E670,Precios!Z$2:AA$941,2,FALSE)</f>
        <v>Queso RUNCA Mantecoso</v>
      </c>
      <c r="AK670" s="14">
        <f>VLOOKUP(E670,Precios!Z$2:BB$941,3,FALSE)*F670</f>
        <v>-0.5</v>
      </c>
      <c r="AL670" s="17"/>
      <c r="AM670" s="17"/>
      <c r="AN670" s="17"/>
      <c r="AO670" s="17"/>
      <c r="AP670" s="17"/>
      <c r="AQ670" s="17"/>
      <c r="AR670" s="17"/>
      <c r="AS670" s="17"/>
      <c r="AT670" s="17"/>
      <c r="AU670" s="17"/>
      <c r="AV670" s="17"/>
    </row>
    <row r="671" spans="1:48" ht="15.75" customHeight="1">
      <c r="A671" s="21" t="s">
        <v>76</v>
      </c>
      <c r="B671" s="23" t="s">
        <v>1692</v>
      </c>
      <c r="C671" s="22">
        <v>45875</v>
      </c>
      <c r="D671" s="23" t="s">
        <v>340</v>
      </c>
      <c r="E671" s="23" t="s">
        <v>77</v>
      </c>
      <c r="F671" s="14">
        <v>1</v>
      </c>
      <c r="G671" s="12">
        <f>VLOOKUP(E671,Precios!B$2:N$941,12,FALSE)</f>
        <v>1700.1361470388019</v>
      </c>
      <c r="H671" s="12">
        <f t="shared" si="0"/>
        <v>1700.1361470388019</v>
      </c>
      <c r="I671" s="23" t="s">
        <v>52</v>
      </c>
      <c r="J671" s="23" t="s">
        <v>61</v>
      </c>
      <c r="K671" s="24" t="s">
        <v>177</v>
      </c>
      <c r="L671" s="24">
        <v>168</v>
      </c>
      <c r="M671" s="12">
        <f t="shared" ref="M671:N671" si="676">G671/1.19</f>
        <v>1428.6858378477327</v>
      </c>
      <c r="N671" s="12">
        <f t="shared" si="676"/>
        <v>1428.6858378477327</v>
      </c>
      <c r="O671" s="12">
        <f t="shared" si="2"/>
        <v>271.45030919106921</v>
      </c>
      <c r="P671" s="13"/>
      <c r="Q671" s="14">
        <f t="shared" si="3"/>
        <v>2025</v>
      </c>
      <c r="R671" s="15">
        <f>VLOOKUP(MONTH(C671),'Datos Maestros'!M$2:N$14,2,FALSE)</f>
        <v>45505</v>
      </c>
      <c r="S671" s="11" t="str">
        <f>VLOOKUP(E671,Precios!B$2:W$941,3,FALSE)</f>
        <v>Cloro Gel</v>
      </c>
      <c r="T671" s="16">
        <f>VLOOKUP(E671,Precios!B$2:N$941,4,FALSE)*F671</f>
        <v>0</v>
      </c>
      <c r="U671" s="17"/>
      <c r="V671" s="12">
        <f>VLOOKUP(E671,Precios!B$2:N$941,13,FALSE)*F671</f>
        <v>589.19003952840501</v>
      </c>
      <c r="W671" s="12">
        <f t="shared" si="4"/>
        <v>589.19003952840501</v>
      </c>
      <c r="X671" s="12">
        <f>VLOOKUP(B671,'Datos Maestros'!$C$2:$D$7,2,FALSE)*V671</f>
        <v>0</v>
      </c>
      <c r="Y671" s="18">
        <f t="shared" si="5"/>
        <v>45873</v>
      </c>
      <c r="Z671" s="13" t="s">
        <v>39</v>
      </c>
      <c r="AA671" s="19" t="str">
        <f>VLOOKUP(D671,Clientes!$A$2:$J$486,9,FALSE)</f>
        <v>Ocacional</v>
      </c>
      <c r="AB671" s="13" t="str">
        <f>VLOOKUP(D671,Clientes!$A$2:$K$486,11,FALSE)</f>
        <v>Persona Natural</v>
      </c>
      <c r="AC671" s="13" t="str">
        <f>VLOOKUP(D671,Clientes!$A$2:$B$486,2,FALSE)</f>
        <v>Sector Santa Delia</v>
      </c>
      <c r="AD671" s="20"/>
      <c r="AE671" s="20"/>
      <c r="AF671" s="13" t="s">
        <v>40</v>
      </c>
      <c r="AG671" s="15">
        <f t="shared" si="6"/>
        <v>45505</v>
      </c>
      <c r="AH671" s="13" t="s">
        <v>41</v>
      </c>
      <c r="AI671" s="13" t="str">
        <f t="shared" si="7"/>
        <v>Detergentes</v>
      </c>
      <c r="AJ671" s="13" t="str">
        <f>VLOOKUP(E671,Precios!Z$2:AA$941,2,FALSE)</f>
        <v>Cloro GEL IGENIX 900ml</v>
      </c>
      <c r="AK671" s="14">
        <f>VLOOKUP(E671,Precios!Z$2:BB$941,3,FALSE)*F671</f>
        <v>-1</v>
      </c>
      <c r="AL671" s="17"/>
      <c r="AM671" s="17"/>
      <c r="AN671" s="17"/>
      <c r="AO671" s="17"/>
      <c r="AP671" s="17"/>
      <c r="AQ671" s="17"/>
      <c r="AR671" s="17"/>
      <c r="AS671" s="17"/>
      <c r="AT671" s="17"/>
      <c r="AU671" s="17"/>
      <c r="AV671" s="17"/>
    </row>
    <row r="672" spans="1:48" ht="15.75" customHeight="1">
      <c r="A672" s="21" t="s">
        <v>47</v>
      </c>
      <c r="B672" s="23" t="s">
        <v>1692</v>
      </c>
      <c r="C672" s="22">
        <v>45875</v>
      </c>
      <c r="D672" s="23" t="s">
        <v>340</v>
      </c>
      <c r="E672" s="23" t="s">
        <v>255</v>
      </c>
      <c r="F672" s="14">
        <v>1</v>
      </c>
      <c r="G672" s="12">
        <f>VLOOKUP(E672,Precios!B$2:N$941,12,FALSE)</f>
        <v>1800</v>
      </c>
      <c r="H672" s="12">
        <f t="shared" si="0"/>
        <v>1800</v>
      </c>
      <c r="I672" s="23" t="s">
        <v>52</v>
      </c>
      <c r="J672" s="23" t="s">
        <v>61</v>
      </c>
      <c r="K672" s="24" t="s">
        <v>177</v>
      </c>
      <c r="L672" s="24">
        <v>168</v>
      </c>
      <c r="M672" s="12">
        <f t="shared" ref="M672:N672" si="677">G672/1.19</f>
        <v>1512.6050420168067</v>
      </c>
      <c r="N672" s="12">
        <f t="shared" si="677"/>
        <v>1512.6050420168067</v>
      </c>
      <c r="O672" s="12">
        <f t="shared" si="2"/>
        <v>287.39495798319331</v>
      </c>
      <c r="P672" s="13"/>
      <c r="Q672" s="14">
        <f t="shared" si="3"/>
        <v>2025</v>
      </c>
      <c r="R672" s="15">
        <f>VLOOKUP(MONTH(C672),'Datos Maestros'!M$2:N$14,2,FALSE)</f>
        <v>45505</v>
      </c>
      <c r="S672" s="11" t="str">
        <f>VLOOKUP(E672,Precios!B$2:W$941,3,FALSE)</f>
        <v>Toalla desinfectantes</v>
      </c>
      <c r="T672" s="16">
        <f>VLOOKUP(E672,Precios!B$2:N$941,4,FALSE)*F672</f>
        <v>0</v>
      </c>
      <c r="U672" s="17"/>
      <c r="V672" s="12">
        <f>VLOOKUP(E672,Precios!B$2:N$941,13,FALSE)*F672</f>
        <v>531.09243697478985</v>
      </c>
      <c r="W672" s="12">
        <f t="shared" si="4"/>
        <v>531.09243697478985</v>
      </c>
      <c r="X672" s="12">
        <f>VLOOKUP(B672,'Datos Maestros'!$C$2:$D$7,2,FALSE)*V672</f>
        <v>0</v>
      </c>
      <c r="Y672" s="18">
        <f t="shared" si="5"/>
        <v>45873</v>
      </c>
      <c r="Z672" s="13" t="s">
        <v>39</v>
      </c>
      <c r="AA672" s="19" t="str">
        <f>VLOOKUP(D672,Clientes!$A$2:$J$486,9,FALSE)</f>
        <v>Ocacional</v>
      </c>
      <c r="AB672" s="13" t="str">
        <f>VLOOKUP(D672,Clientes!$A$2:$K$486,11,FALSE)</f>
        <v>Persona Natural</v>
      </c>
      <c r="AC672" s="13" t="str">
        <f>VLOOKUP(D672,Clientes!$A$2:$B$486,2,FALSE)</f>
        <v>Sector Santa Delia</v>
      </c>
      <c r="AD672" s="20"/>
      <c r="AE672" s="20"/>
      <c r="AF672" s="13" t="s">
        <v>40</v>
      </c>
      <c r="AG672" s="15">
        <f t="shared" si="6"/>
        <v>45505</v>
      </c>
      <c r="AH672" s="13" t="s">
        <v>41</v>
      </c>
      <c r="AI672" s="13" t="str">
        <f t="shared" si="7"/>
        <v>Articulos de Aseo</v>
      </c>
      <c r="AJ672" s="13" t="str">
        <f>VLOOKUP(E672,Precios!Z$2:AA$941,2,FALSE)</f>
        <v>Toalla desinfectante VIRUTEX 30 unidades</v>
      </c>
      <c r="AK672" s="14">
        <f>VLOOKUP(E672,Precios!Z$2:BB$941,3,FALSE)*F672</f>
        <v>-1</v>
      </c>
      <c r="AL672" s="17"/>
      <c r="AM672" s="17"/>
      <c r="AN672" s="17"/>
      <c r="AO672" s="17"/>
      <c r="AP672" s="17"/>
      <c r="AQ672" s="17"/>
      <c r="AR672" s="17"/>
      <c r="AS672" s="17"/>
      <c r="AT672" s="17"/>
      <c r="AU672" s="17"/>
      <c r="AV672" s="17"/>
    </row>
    <row r="673" spans="1:48" ht="15.75" customHeight="1">
      <c r="A673" s="21" t="s">
        <v>47</v>
      </c>
      <c r="B673" s="23" t="s">
        <v>1692</v>
      </c>
      <c r="C673" s="22">
        <v>45875</v>
      </c>
      <c r="D673" s="23" t="s">
        <v>340</v>
      </c>
      <c r="E673" s="23" t="s">
        <v>94</v>
      </c>
      <c r="F673" s="14">
        <v>1</v>
      </c>
      <c r="G673" s="12">
        <f>VLOOKUP(E673,Precios!B$2:N$941,12,FALSE)</f>
        <v>1650.3649635036495</v>
      </c>
      <c r="H673" s="12">
        <f t="shared" si="0"/>
        <v>1650.3649635036495</v>
      </c>
      <c r="I673" s="23" t="s">
        <v>52</v>
      </c>
      <c r="J673" s="23" t="s">
        <v>61</v>
      </c>
      <c r="K673" s="24" t="s">
        <v>177</v>
      </c>
      <c r="L673" s="24">
        <v>168</v>
      </c>
      <c r="M673" s="12">
        <f t="shared" ref="M673:N673" si="678">G673/1.19</f>
        <v>1386.861313868613</v>
      </c>
      <c r="N673" s="12">
        <f t="shared" si="678"/>
        <v>1386.861313868613</v>
      </c>
      <c r="O673" s="12">
        <f t="shared" si="2"/>
        <v>263.50364963503648</v>
      </c>
      <c r="P673" s="13"/>
      <c r="Q673" s="14">
        <f t="shared" si="3"/>
        <v>2025</v>
      </c>
      <c r="R673" s="15">
        <f>VLOOKUP(MONTH(C673),'Datos Maestros'!M$2:N$14,2,FALSE)</f>
        <v>45505</v>
      </c>
      <c r="S673" s="11" t="str">
        <f>VLOOKUP(E673,Precios!B$2:W$941,3,FALSE)</f>
        <v>Jabon Liquido</v>
      </c>
      <c r="T673" s="16">
        <f>VLOOKUP(E673,Precios!B$2:N$941,4,FALSE)*F673</f>
        <v>0</v>
      </c>
      <c r="U673" s="17"/>
      <c r="V673" s="12">
        <f>VLOOKUP(E673,Precios!B$2:N$941,13,FALSE)*F673</f>
        <v>436.86131386861302</v>
      </c>
      <c r="W673" s="12">
        <f t="shared" si="4"/>
        <v>436.86131386861302</v>
      </c>
      <c r="X673" s="12">
        <f>VLOOKUP(B673,'Datos Maestros'!$C$2:$D$7,2,FALSE)*V673</f>
        <v>0</v>
      </c>
      <c r="Y673" s="18">
        <f t="shared" si="5"/>
        <v>45873</v>
      </c>
      <c r="Z673" s="13" t="s">
        <v>39</v>
      </c>
      <c r="AA673" s="19" t="str">
        <f>VLOOKUP(D673,Clientes!$A$2:$J$486,9,FALSE)</f>
        <v>Ocacional</v>
      </c>
      <c r="AB673" s="13" t="str">
        <f>VLOOKUP(D673,Clientes!$A$2:$K$486,11,FALSE)</f>
        <v>Persona Natural</v>
      </c>
      <c r="AC673" s="13" t="str">
        <f>VLOOKUP(D673,Clientes!$A$2:$B$486,2,FALSE)</f>
        <v>Sector Santa Delia</v>
      </c>
      <c r="AD673" s="20"/>
      <c r="AE673" s="20"/>
      <c r="AF673" s="13" t="s">
        <v>40</v>
      </c>
      <c r="AG673" s="15">
        <f t="shared" si="6"/>
        <v>45505</v>
      </c>
      <c r="AH673" s="13" t="s">
        <v>41</v>
      </c>
      <c r="AI673" s="13" t="str">
        <f t="shared" si="7"/>
        <v>Articulos de Aseo</v>
      </c>
      <c r="AJ673" s="13" t="str">
        <f>VLOOKUP(E673,Precios!Z$2:AA$941,2,FALSE)</f>
        <v>Jabón Lìquido BALLERINA</v>
      </c>
      <c r="AK673" s="14">
        <f>VLOOKUP(E673,Precios!Z$2:BB$941,3,FALSE)*F673</f>
        <v>-3</v>
      </c>
      <c r="AL673" s="17"/>
      <c r="AM673" s="17"/>
      <c r="AN673" s="17"/>
      <c r="AO673" s="17"/>
      <c r="AP673" s="17"/>
      <c r="AQ673" s="17"/>
      <c r="AR673" s="17"/>
      <c r="AS673" s="17"/>
      <c r="AT673" s="17"/>
      <c r="AU673" s="17"/>
      <c r="AV673" s="17"/>
    </row>
    <row r="674" spans="1:48" ht="15.75" customHeight="1">
      <c r="A674" s="21" t="s">
        <v>43</v>
      </c>
      <c r="B674" s="23" t="s">
        <v>1692</v>
      </c>
      <c r="C674" s="25">
        <v>45874</v>
      </c>
      <c r="D674" s="23" t="s">
        <v>915</v>
      </c>
      <c r="E674" s="23" t="s">
        <v>45</v>
      </c>
      <c r="F674" s="14">
        <v>1</v>
      </c>
      <c r="G674" s="12">
        <f>VLOOKUP(E674,Precios!B$2:N$941,12,FALSE)</f>
        <v>8000.1831784723063</v>
      </c>
      <c r="H674" s="12">
        <f t="shared" si="0"/>
        <v>8000.1831784723063</v>
      </c>
      <c r="I674" s="13" t="s">
        <v>52</v>
      </c>
      <c r="J674" s="13" t="s">
        <v>38</v>
      </c>
      <c r="K674" s="24" t="s">
        <v>177</v>
      </c>
      <c r="L674" s="24">
        <v>167</v>
      </c>
      <c r="M674" s="12">
        <f t="shared" ref="M674:N674" si="679">G674/1.19</f>
        <v>6722.8430071195853</v>
      </c>
      <c r="N674" s="12">
        <f t="shared" si="679"/>
        <v>6722.8430071195853</v>
      </c>
      <c r="O674" s="12">
        <f t="shared" si="2"/>
        <v>1277.340171352721</v>
      </c>
      <c r="P674" s="13"/>
      <c r="Q674" s="14">
        <f t="shared" si="3"/>
        <v>2025</v>
      </c>
      <c r="R674" s="15">
        <f>VLOOKUP(MONTH(C674),'Datos Maestros'!M$2:N$14,2,FALSE)</f>
        <v>45505</v>
      </c>
      <c r="S674" s="11" t="str">
        <f>VLOOKUP(E674,Precios!B$2:W$941,3,FALSE)</f>
        <v>Huevos EXTRA</v>
      </c>
      <c r="T674" s="16">
        <f>VLOOKUP(E674,Precios!B$2:N$941,4,FALSE)*F674</f>
        <v>0</v>
      </c>
      <c r="U674" s="17"/>
      <c r="V674" s="12">
        <f>VLOOKUP(E674,Precios!B$2:N$941,13,FALSE)*F674</f>
        <v>1151.6230071195851</v>
      </c>
      <c r="W674" s="12">
        <f t="shared" si="4"/>
        <v>1151.6230071195851</v>
      </c>
      <c r="X674" s="12">
        <f>VLOOKUP(B674,'Datos Maestros'!$C$2:$D$7,2,FALSE)*V674</f>
        <v>0</v>
      </c>
      <c r="Y674" s="18">
        <f t="shared" si="5"/>
        <v>45873</v>
      </c>
      <c r="Z674" s="13" t="s">
        <v>39</v>
      </c>
      <c r="AA674" s="19" t="str">
        <f>VLOOKUP(D674,Clientes!$A$2:$J$486,9,FALSE)</f>
        <v>Regular</v>
      </c>
      <c r="AB674" s="13" t="str">
        <f>VLOOKUP(D674,Clientes!$A$2:$K$486,11,FALSE)</f>
        <v>Persona Natural</v>
      </c>
      <c r="AC674" s="13" t="str">
        <f>VLOOKUP(D674,Clientes!$A$2:$B$486,2,FALSE)</f>
        <v>Jardin del Eden</v>
      </c>
      <c r="AD674" s="20"/>
      <c r="AE674" s="20"/>
      <c r="AF674" s="13" t="s">
        <v>40</v>
      </c>
      <c r="AG674" s="15">
        <f t="shared" si="6"/>
        <v>45505</v>
      </c>
      <c r="AH674" s="13" t="s">
        <v>41</v>
      </c>
      <c r="AI674" s="13" t="str">
        <f t="shared" si="7"/>
        <v>Huevos</v>
      </c>
      <c r="AJ674" s="13" t="str">
        <f>VLOOKUP(E674,Precios!Z$2:AA$941,2,FALSE)</f>
        <v>Bandeja Huevos EXTRA</v>
      </c>
      <c r="AK674" s="14">
        <f>VLOOKUP(E674,Precios!Z$2:BB$941,3,FALSE)*F674</f>
        <v>-1</v>
      </c>
      <c r="AL674" s="17"/>
      <c r="AM674" s="17"/>
      <c r="AN674" s="17"/>
      <c r="AO674" s="17"/>
      <c r="AP674" s="17"/>
      <c r="AQ674" s="17"/>
      <c r="AR674" s="17"/>
      <c r="AS674" s="17"/>
      <c r="AT674" s="17"/>
      <c r="AU674" s="17"/>
      <c r="AV674" s="17"/>
    </row>
    <row r="675" spans="1:48" ht="15.75" customHeight="1">
      <c r="A675" s="21" t="s">
        <v>53</v>
      </c>
      <c r="B675" s="23" t="s">
        <v>1692</v>
      </c>
      <c r="C675" s="22">
        <v>45874</v>
      </c>
      <c r="D675" s="23" t="s">
        <v>172</v>
      </c>
      <c r="E675" s="23" t="s">
        <v>55</v>
      </c>
      <c r="F675" s="21">
        <v>1</v>
      </c>
      <c r="G675" s="12">
        <f>VLOOKUP(E675,Precios!B$2:N$941,12,FALSE)</f>
        <v>20899.91124296327</v>
      </c>
      <c r="H675" s="12">
        <f t="shared" si="0"/>
        <v>20899.91124296327</v>
      </c>
      <c r="I675" s="23" t="s">
        <v>52</v>
      </c>
      <c r="J675" s="23" t="s">
        <v>61</v>
      </c>
      <c r="K675" s="24" t="s">
        <v>177</v>
      </c>
      <c r="L675" s="24">
        <v>167</v>
      </c>
      <c r="M675" s="12">
        <f t="shared" ref="M675:N675" si="680">G675/1.19</f>
        <v>17562.950624338882</v>
      </c>
      <c r="N675" s="12">
        <f t="shared" si="680"/>
        <v>17562.950624338882</v>
      </c>
      <c r="O675" s="12">
        <f t="shared" si="2"/>
        <v>3336.9606186243873</v>
      </c>
      <c r="P675" s="13"/>
      <c r="Q675" s="14">
        <f t="shared" si="3"/>
        <v>2025</v>
      </c>
      <c r="R675" s="15">
        <f>VLOOKUP(MONTH(C675),'Datos Maestros'!M$2:N$14,2,FALSE)</f>
        <v>45505</v>
      </c>
      <c r="S675" s="11" t="str">
        <f>VLOOKUP(E675,Precios!B$2:W$941,3,FALSE)</f>
        <v>Papel Higiénico ELITE</v>
      </c>
      <c r="T675" s="16">
        <f>VLOOKUP(E675,Precios!B$2:N$941,4,FALSE)*F675</f>
        <v>0</v>
      </c>
      <c r="U675" s="17"/>
      <c r="V675" s="12">
        <f>VLOOKUP(E675,Precios!B$2:N$941,13,FALSE)*F675</f>
        <v>3117.9506243388823</v>
      </c>
      <c r="W675" s="12">
        <f t="shared" si="4"/>
        <v>3117.9506243388823</v>
      </c>
      <c r="X675" s="12">
        <f>VLOOKUP(B675,'Datos Maestros'!$C$2:$D$7,2,FALSE)*V675</f>
        <v>0</v>
      </c>
      <c r="Y675" s="18">
        <f t="shared" si="5"/>
        <v>45873</v>
      </c>
      <c r="Z675" s="13" t="s">
        <v>39</v>
      </c>
      <c r="AA675" s="19" t="str">
        <f>VLOOKUP(D675,Clientes!$A$2:$J$486,9,FALSE)</f>
        <v>Frecuente</v>
      </c>
      <c r="AB675" s="13" t="str">
        <f>VLOOKUP(D675,Clientes!$A$2:$K$486,11,FALSE)</f>
        <v>Persona Natural</v>
      </c>
      <c r="AC675" s="13" t="str">
        <f>VLOOKUP(D675,Clientes!$A$2:$B$486,2,FALSE)</f>
        <v>Jardin del Eden</v>
      </c>
      <c r="AD675" s="20"/>
      <c r="AE675" s="20"/>
      <c r="AF675" s="13" t="s">
        <v>40</v>
      </c>
      <c r="AG675" s="15">
        <f t="shared" si="6"/>
        <v>45505</v>
      </c>
      <c r="AH675" s="13" t="s">
        <v>41</v>
      </c>
      <c r="AI675" s="13" t="str">
        <f t="shared" si="7"/>
        <v>Papeleria</v>
      </c>
      <c r="AJ675" s="13" t="str">
        <f>VLOOKUP(E675,Precios!Z$2:AA$941,2,FALSE)</f>
        <v>Papel Higienico ELITE 50 metros</v>
      </c>
      <c r="AK675" s="14">
        <f>VLOOKUP(E675,Precios!Z$2:BB$941,3,FALSE)*F675</f>
        <v>-8</v>
      </c>
      <c r="AL675" s="17"/>
      <c r="AM675" s="17"/>
      <c r="AN675" s="17"/>
      <c r="AO675" s="17"/>
      <c r="AP675" s="17"/>
      <c r="AQ675" s="17"/>
      <c r="AR675" s="17"/>
      <c r="AS675" s="17"/>
      <c r="AT675" s="17"/>
      <c r="AU675" s="17"/>
      <c r="AV675" s="17"/>
    </row>
    <row r="676" spans="1:48" ht="15.75" customHeight="1">
      <c r="A676" s="21" t="s">
        <v>47</v>
      </c>
      <c r="B676" s="23" t="s">
        <v>1692</v>
      </c>
      <c r="C676" s="22">
        <v>45874</v>
      </c>
      <c r="D676" s="23" t="s">
        <v>172</v>
      </c>
      <c r="E676" s="23" t="s">
        <v>194</v>
      </c>
      <c r="F676" s="21">
        <v>1</v>
      </c>
      <c r="G676" s="12">
        <f>VLOOKUP(E676,Precios!B$2:N$941,12,FALSE)</f>
        <v>2400</v>
      </c>
      <c r="H676" s="12">
        <f t="shared" si="0"/>
        <v>2400</v>
      </c>
      <c r="I676" s="23" t="s">
        <v>52</v>
      </c>
      <c r="J676" s="23" t="s">
        <v>61</v>
      </c>
      <c r="K676" s="24" t="s">
        <v>177</v>
      </c>
      <c r="L676" s="24">
        <v>167</v>
      </c>
      <c r="M676" s="12">
        <f t="shared" ref="M676:N676" si="681">G676/1.19</f>
        <v>2016.8067226890757</v>
      </c>
      <c r="N676" s="12">
        <f t="shared" si="681"/>
        <v>2016.8067226890757</v>
      </c>
      <c r="O676" s="12">
        <f t="shared" si="2"/>
        <v>383.19327731092426</v>
      </c>
      <c r="P676" s="13"/>
      <c r="Q676" s="14">
        <f t="shared" si="3"/>
        <v>2025</v>
      </c>
      <c r="R676" s="15">
        <f>VLOOKUP(MONTH(C676),'Datos Maestros'!M$2:N$14,2,FALSE)</f>
        <v>45505</v>
      </c>
      <c r="S676" s="11" t="str">
        <f>VLOOKUP(E676,Precios!B$2:W$941,3,FALSE)</f>
        <v>Cif</v>
      </c>
      <c r="T676" s="16">
        <f>VLOOKUP(E676,Precios!B$2:N$941,4,FALSE)*F676</f>
        <v>0</v>
      </c>
      <c r="U676" s="17"/>
      <c r="V676" s="12">
        <f>VLOOKUP(E676,Precios!B$2:N$941,13,FALSE)*F676</f>
        <v>959.6638655462184</v>
      </c>
      <c r="W676" s="12">
        <f t="shared" si="4"/>
        <v>959.6638655462184</v>
      </c>
      <c r="X676" s="12">
        <f>VLOOKUP(B676,'Datos Maestros'!$C$2:$D$7,2,FALSE)*V676</f>
        <v>0</v>
      </c>
      <c r="Y676" s="18">
        <f t="shared" si="5"/>
        <v>45873</v>
      </c>
      <c r="Z676" s="13" t="s">
        <v>39</v>
      </c>
      <c r="AA676" s="19" t="str">
        <f>VLOOKUP(D676,Clientes!$A$2:$J$486,9,FALSE)</f>
        <v>Frecuente</v>
      </c>
      <c r="AB676" s="13" t="str">
        <f>VLOOKUP(D676,Clientes!$A$2:$K$486,11,FALSE)</f>
        <v>Persona Natural</v>
      </c>
      <c r="AC676" s="13" t="str">
        <f>VLOOKUP(D676,Clientes!$A$2:$B$486,2,FALSE)</f>
        <v>Jardin del Eden</v>
      </c>
      <c r="AD676" s="20"/>
      <c r="AE676" s="20"/>
      <c r="AF676" s="13" t="s">
        <v>40</v>
      </c>
      <c r="AG676" s="15">
        <f t="shared" si="6"/>
        <v>45505</v>
      </c>
      <c r="AH676" s="13" t="s">
        <v>41</v>
      </c>
      <c r="AI676" s="13" t="str">
        <f t="shared" si="7"/>
        <v>Articulos de Aseo</v>
      </c>
      <c r="AJ676" s="13" t="str">
        <f>VLOOKUP(E676,Precios!Z$2:AA$941,2,FALSE)</f>
        <v>CIF 750 cc</v>
      </c>
      <c r="AK676" s="14">
        <f>VLOOKUP(E676,Precios!Z$2:BB$941,3,FALSE)*F676</f>
        <v>-1</v>
      </c>
      <c r="AL676" s="17"/>
      <c r="AM676" s="17"/>
      <c r="AN676" s="17"/>
      <c r="AO676" s="17"/>
      <c r="AP676" s="17"/>
      <c r="AQ676" s="17"/>
      <c r="AR676" s="17"/>
      <c r="AS676" s="17"/>
      <c r="AT676" s="17"/>
      <c r="AU676" s="17"/>
      <c r="AV676" s="17"/>
    </row>
    <row r="677" spans="1:48" ht="15.75" customHeight="1">
      <c r="A677" s="21" t="s">
        <v>47</v>
      </c>
      <c r="B677" s="23" t="s">
        <v>1692</v>
      </c>
      <c r="C677" s="22">
        <v>45874</v>
      </c>
      <c r="D677" s="23" t="s">
        <v>172</v>
      </c>
      <c r="E677" s="23" t="s">
        <v>187</v>
      </c>
      <c r="F677" s="21">
        <v>1</v>
      </c>
      <c r="G677" s="12">
        <f>VLOOKUP(E677,Precios!B$2:N$941,12,FALSE)</f>
        <v>2699.9280057595392</v>
      </c>
      <c r="H677" s="12">
        <f t="shared" si="0"/>
        <v>2699.9280057595392</v>
      </c>
      <c r="I677" s="23" t="s">
        <v>52</v>
      </c>
      <c r="J677" s="23" t="s">
        <v>61</v>
      </c>
      <c r="K677" s="24" t="s">
        <v>177</v>
      </c>
      <c r="L677" s="24">
        <v>167</v>
      </c>
      <c r="M677" s="12">
        <f t="shared" ref="M677:N677" si="682">G677/1.19</f>
        <v>2268.8470636634784</v>
      </c>
      <c r="N677" s="12">
        <f t="shared" si="682"/>
        <v>2268.8470636634784</v>
      </c>
      <c r="O677" s="12">
        <f t="shared" si="2"/>
        <v>431.08094209606088</v>
      </c>
      <c r="P677" s="13"/>
      <c r="Q677" s="14">
        <f t="shared" si="3"/>
        <v>2025</v>
      </c>
      <c r="R677" s="15">
        <f>VLOOKUP(MONTH(C677),'Datos Maestros'!M$2:N$14,2,FALSE)</f>
        <v>45505</v>
      </c>
      <c r="S677" s="11" t="str">
        <f>VLOOKUP(E677,Precios!B$2:W$941,3,FALSE)</f>
        <v>Lavaloza</v>
      </c>
      <c r="T677" s="16">
        <f>VLOOKUP(E677,Precios!B$2:N$941,4,FALSE)*F677</f>
        <v>0</v>
      </c>
      <c r="U677" s="17"/>
      <c r="V677" s="12">
        <f>VLOOKUP(E677,Precios!B$2:N$941,13,FALSE)*F677</f>
        <v>798.18039699681162</v>
      </c>
      <c r="W677" s="12">
        <f t="shared" si="4"/>
        <v>798.18039699681162</v>
      </c>
      <c r="X677" s="12">
        <f>VLOOKUP(B677,'Datos Maestros'!$C$2:$D$7,2,FALSE)*V677</f>
        <v>0</v>
      </c>
      <c r="Y677" s="18">
        <f t="shared" si="5"/>
        <v>45873</v>
      </c>
      <c r="Z677" s="13" t="s">
        <v>39</v>
      </c>
      <c r="AA677" s="19" t="str">
        <f>VLOOKUP(D677,Clientes!$A$2:$J$486,9,FALSE)</f>
        <v>Frecuente</v>
      </c>
      <c r="AB677" s="13" t="str">
        <f>VLOOKUP(D677,Clientes!$A$2:$K$486,11,FALSE)</f>
        <v>Persona Natural</v>
      </c>
      <c r="AC677" s="13" t="str">
        <f>VLOOKUP(D677,Clientes!$A$2:$B$486,2,FALSE)</f>
        <v>Jardin del Eden</v>
      </c>
      <c r="AD677" s="20"/>
      <c r="AE677" s="20"/>
      <c r="AF677" s="13" t="s">
        <v>40</v>
      </c>
      <c r="AG677" s="15">
        <f t="shared" si="6"/>
        <v>45505</v>
      </c>
      <c r="AH677" s="13" t="s">
        <v>41</v>
      </c>
      <c r="AI677" s="13" t="str">
        <f t="shared" si="7"/>
        <v>Articulos de Aseo</v>
      </c>
      <c r="AJ677" s="13" t="str">
        <f>VLOOKUP(E677,Precios!Z$2:AA$941,2,FALSE)</f>
        <v>Lavaloza WYN 1.5 Litros (recarga)</v>
      </c>
      <c r="AK677" s="14">
        <f>VLOOKUP(E677,Precios!Z$2:BB$941,3,FALSE)*F677</f>
        <v>-1</v>
      </c>
      <c r="AL677" s="17"/>
      <c r="AM677" s="17"/>
      <c r="AN677" s="17"/>
      <c r="AO677" s="17"/>
      <c r="AP677" s="17"/>
      <c r="AQ677" s="17"/>
      <c r="AR677" s="17"/>
      <c r="AS677" s="17"/>
      <c r="AT677" s="17"/>
      <c r="AU677" s="17"/>
      <c r="AV677" s="17"/>
    </row>
    <row r="678" spans="1:48" ht="15.75" customHeight="1">
      <c r="A678" s="21" t="s">
        <v>53</v>
      </c>
      <c r="B678" s="23" t="s">
        <v>1692</v>
      </c>
      <c r="C678" s="22">
        <v>45874</v>
      </c>
      <c r="D678" s="23" t="s">
        <v>172</v>
      </c>
      <c r="E678" s="23" t="s">
        <v>69</v>
      </c>
      <c r="F678" s="21">
        <v>3</v>
      </c>
      <c r="G678" s="12">
        <f>VLOOKUP(E678,Precios!B$2:N$941,12,FALSE)</f>
        <v>2999.9553810458683</v>
      </c>
      <c r="H678" s="12">
        <f t="shared" si="0"/>
        <v>8999.8661431376058</v>
      </c>
      <c r="I678" s="23" t="s">
        <v>52</v>
      </c>
      <c r="J678" s="23" t="s">
        <v>61</v>
      </c>
      <c r="K678" s="24" t="s">
        <v>177</v>
      </c>
      <c r="L678" s="24">
        <v>167</v>
      </c>
      <c r="M678" s="12">
        <f t="shared" ref="M678:N678" si="683">G678/1.19</f>
        <v>2520.9709084419064</v>
      </c>
      <c r="N678" s="12">
        <f t="shared" si="683"/>
        <v>7562.9127253257193</v>
      </c>
      <c r="O678" s="12">
        <f t="shared" si="2"/>
        <v>1436.9534178118865</v>
      </c>
      <c r="P678" s="13"/>
      <c r="Q678" s="14">
        <f t="shared" si="3"/>
        <v>2025</v>
      </c>
      <c r="R678" s="15">
        <f>VLOOKUP(MONTH(C678),'Datos Maestros'!M$2:N$14,2,FALSE)</f>
        <v>45505</v>
      </c>
      <c r="S678" s="11" t="str">
        <f>VLOOKUP(E678,Precios!B$2:W$941,3,FALSE)</f>
        <v>Toalla Nova 70 mts</v>
      </c>
      <c r="T678" s="16">
        <f>VLOOKUP(E678,Precios!B$2:N$941,4,FALSE)*F678</f>
        <v>0</v>
      </c>
      <c r="U678" s="17"/>
      <c r="V678" s="12">
        <f>VLOOKUP(E678,Precios!B$2:N$941,13,FALSE)*F678</f>
        <v>2477.9127253257179</v>
      </c>
      <c r="W678" s="12">
        <f t="shared" si="4"/>
        <v>2477.9127253257179</v>
      </c>
      <c r="X678" s="12">
        <f>VLOOKUP(B678,'Datos Maestros'!$C$2:$D$7,2,FALSE)*V678</f>
        <v>0</v>
      </c>
      <c r="Y678" s="18">
        <f t="shared" si="5"/>
        <v>45873</v>
      </c>
      <c r="Z678" s="13" t="s">
        <v>39</v>
      </c>
      <c r="AA678" s="19" t="str">
        <f>VLOOKUP(D678,Clientes!$A$2:$J$486,9,FALSE)</f>
        <v>Frecuente</v>
      </c>
      <c r="AB678" s="13" t="str">
        <f>VLOOKUP(D678,Clientes!$A$2:$K$486,11,FALSE)</f>
        <v>Persona Natural</v>
      </c>
      <c r="AC678" s="13" t="str">
        <f>VLOOKUP(D678,Clientes!$A$2:$B$486,2,FALSE)</f>
        <v>Jardin del Eden</v>
      </c>
      <c r="AD678" s="20"/>
      <c r="AE678" s="20"/>
      <c r="AF678" s="13" t="s">
        <v>40</v>
      </c>
      <c r="AG678" s="15">
        <f t="shared" si="6"/>
        <v>45505</v>
      </c>
      <c r="AH678" s="13" t="s">
        <v>41</v>
      </c>
      <c r="AI678" s="13" t="str">
        <f t="shared" si="7"/>
        <v>Papeleria</v>
      </c>
      <c r="AJ678" s="13" t="str">
        <f>VLOOKUP(E678,Precios!Z$2:AA$941,2,FALSE)</f>
        <v>Toalla Papel NOVA 70 metros</v>
      </c>
      <c r="AK678" s="14">
        <f>VLOOKUP(E678,Precios!Z$2:BB$941,3,FALSE)*F678</f>
        <v>-3</v>
      </c>
      <c r="AL678" s="17"/>
      <c r="AM678" s="17"/>
      <c r="AN678" s="17"/>
      <c r="AO678" s="17"/>
      <c r="AP678" s="17"/>
      <c r="AQ678" s="17"/>
      <c r="AR678" s="17"/>
      <c r="AS678" s="17"/>
      <c r="AT678" s="17"/>
      <c r="AU678" s="17"/>
      <c r="AV678" s="17"/>
    </row>
    <row r="679" spans="1:48" ht="15.75" customHeight="1">
      <c r="A679" s="21" t="s">
        <v>47</v>
      </c>
      <c r="B679" s="23" t="s">
        <v>1692</v>
      </c>
      <c r="C679" s="22">
        <v>45874</v>
      </c>
      <c r="D679" s="23" t="s">
        <v>172</v>
      </c>
      <c r="E679" s="23" t="s">
        <v>107</v>
      </c>
      <c r="F679" s="21">
        <v>1</v>
      </c>
      <c r="G679" s="12">
        <f>VLOOKUP(E679,Precios!B$2:N$941,12,FALSE)</f>
        <v>3000.0000000000005</v>
      </c>
      <c r="H679" s="12">
        <f t="shared" si="0"/>
        <v>3000.0000000000005</v>
      </c>
      <c r="I679" s="23" t="s">
        <v>52</v>
      </c>
      <c r="J679" s="23" t="s">
        <v>61</v>
      </c>
      <c r="K679" s="24" t="s">
        <v>177</v>
      </c>
      <c r="L679" s="24">
        <v>167</v>
      </c>
      <c r="M679" s="12">
        <f t="shared" ref="M679:N679" si="684">G679/1.19</f>
        <v>2521.0084033613452</v>
      </c>
      <c r="N679" s="12">
        <f t="shared" si="684"/>
        <v>2521.0084033613452</v>
      </c>
      <c r="O679" s="12">
        <f t="shared" si="2"/>
        <v>478.99159663865521</v>
      </c>
      <c r="P679" s="13"/>
      <c r="Q679" s="14">
        <f t="shared" si="3"/>
        <v>2025</v>
      </c>
      <c r="R679" s="15">
        <f>VLOOKUP(MONTH(C679),'Datos Maestros'!M$2:N$14,2,FALSE)</f>
        <v>45505</v>
      </c>
      <c r="S679" s="11" t="str">
        <f>VLOOKUP(E679,Precios!B$2:W$941,3,FALSE)</f>
        <v>Bolsa Basura</v>
      </c>
      <c r="T679" s="16">
        <f>VLOOKUP(E679,Precios!B$2:N$941,4,FALSE)*F679</f>
        <v>0</v>
      </c>
      <c r="U679" s="17"/>
      <c r="V679" s="12">
        <f>VLOOKUP(E679,Precios!B$2:N$941,13,FALSE)*F679</f>
        <v>758.82352941176487</v>
      </c>
      <c r="W679" s="12">
        <f t="shared" si="4"/>
        <v>758.82352941176487</v>
      </c>
      <c r="X679" s="12">
        <f>VLOOKUP(B679,'Datos Maestros'!$C$2:$D$7,2,FALSE)*V679</f>
        <v>0</v>
      </c>
      <c r="Y679" s="18">
        <f t="shared" si="5"/>
        <v>45873</v>
      </c>
      <c r="Z679" s="13" t="s">
        <v>39</v>
      </c>
      <c r="AA679" s="19" t="str">
        <f>VLOOKUP(D679,Clientes!$A$2:$J$486,9,FALSE)</f>
        <v>Frecuente</v>
      </c>
      <c r="AB679" s="13" t="str">
        <f>VLOOKUP(D679,Clientes!$A$2:$K$486,11,FALSE)</f>
        <v>Persona Natural</v>
      </c>
      <c r="AC679" s="13" t="str">
        <f>VLOOKUP(D679,Clientes!$A$2:$B$486,2,FALSE)</f>
        <v>Jardin del Eden</v>
      </c>
      <c r="AD679" s="20"/>
      <c r="AE679" s="20"/>
      <c r="AF679" s="13" t="s">
        <v>40</v>
      </c>
      <c r="AG679" s="15">
        <f t="shared" si="6"/>
        <v>45505</v>
      </c>
      <c r="AH679" s="13" t="s">
        <v>41</v>
      </c>
      <c r="AI679" s="13" t="str">
        <f t="shared" si="7"/>
        <v>Articulos de Aseo</v>
      </c>
      <c r="AJ679" s="13" t="str">
        <f>VLOOKUP(E679,Precios!Z$2:AA$941,2,FALSE)</f>
        <v xml:space="preserve">Bolsas Basura TEDDY 90x120 </v>
      </c>
      <c r="AK679" s="14">
        <f>VLOOKUP(E679,Precios!Z$2:BB$941,3,FALSE)*F679</f>
        <v>-1</v>
      </c>
      <c r="AL679" s="17"/>
      <c r="AM679" s="17"/>
      <c r="AN679" s="17"/>
      <c r="AO679" s="17"/>
      <c r="AP679" s="17"/>
      <c r="AQ679" s="17"/>
      <c r="AR679" s="17"/>
      <c r="AS679" s="17"/>
      <c r="AT679" s="17"/>
      <c r="AU679" s="17"/>
      <c r="AV679" s="17"/>
    </row>
    <row r="680" spans="1:48" ht="15.75" customHeight="1">
      <c r="A680" s="21" t="s">
        <v>47</v>
      </c>
      <c r="B680" s="23" t="s">
        <v>1692</v>
      </c>
      <c r="C680" s="22">
        <v>45874</v>
      </c>
      <c r="D680" s="23" t="s">
        <v>172</v>
      </c>
      <c r="E680" s="23" t="s">
        <v>100</v>
      </c>
      <c r="F680" s="21">
        <v>1</v>
      </c>
      <c r="G680" s="12">
        <f>VLOOKUP(E680,Precios!B$2:N$941,12,FALSE)</f>
        <v>650.00000000000011</v>
      </c>
      <c r="H680" s="12">
        <f t="shared" si="0"/>
        <v>650.00000000000011</v>
      </c>
      <c r="I680" s="23" t="s">
        <v>52</v>
      </c>
      <c r="J680" s="23" t="s">
        <v>61</v>
      </c>
      <c r="K680" s="24" t="s">
        <v>177</v>
      </c>
      <c r="L680" s="24">
        <v>167</v>
      </c>
      <c r="M680" s="12">
        <f t="shared" ref="M680:N680" si="685">G680/1.19</f>
        <v>546.21848739495806</v>
      </c>
      <c r="N680" s="12">
        <f t="shared" si="685"/>
        <v>546.21848739495806</v>
      </c>
      <c r="O680" s="12">
        <f t="shared" si="2"/>
        <v>103.78151260504205</v>
      </c>
      <c r="P680" s="13"/>
      <c r="Q680" s="14">
        <f t="shared" si="3"/>
        <v>2025</v>
      </c>
      <c r="R680" s="15">
        <f>VLOOKUP(MONTH(C680),'Datos Maestros'!M$2:N$14,2,FALSE)</f>
        <v>45505</v>
      </c>
      <c r="S680" s="11" t="str">
        <f>VLOOKUP(E680,Precios!B$2:W$941,3,FALSE)</f>
        <v>Bolsa Basura</v>
      </c>
      <c r="T680" s="16">
        <f>VLOOKUP(E680,Precios!B$2:N$941,4,FALSE)*F680</f>
        <v>0</v>
      </c>
      <c r="U680" s="17"/>
      <c r="V680" s="12">
        <f>VLOOKUP(E680,Precios!B$2:N$941,13,FALSE)*F680</f>
        <v>231.09243697478996</v>
      </c>
      <c r="W680" s="12">
        <f t="shared" si="4"/>
        <v>231.09243697478996</v>
      </c>
      <c r="X680" s="12">
        <f>VLOOKUP(B680,'Datos Maestros'!$C$2:$D$7,2,FALSE)*V680</f>
        <v>0</v>
      </c>
      <c r="Y680" s="18">
        <f t="shared" si="5"/>
        <v>45873</v>
      </c>
      <c r="Z680" s="13" t="s">
        <v>39</v>
      </c>
      <c r="AA680" s="19" t="str">
        <f>VLOOKUP(D680,Clientes!$A$2:$J$486,9,FALSE)</f>
        <v>Frecuente</v>
      </c>
      <c r="AB680" s="13" t="str">
        <f>VLOOKUP(D680,Clientes!$A$2:$K$486,11,FALSE)</f>
        <v>Persona Natural</v>
      </c>
      <c r="AC680" s="13" t="str">
        <f>VLOOKUP(D680,Clientes!$A$2:$B$486,2,FALSE)</f>
        <v>Jardin del Eden</v>
      </c>
      <c r="AD680" s="20"/>
      <c r="AE680" s="20"/>
      <c r="AF680" s="13" t="s">
        <v>40</v>
      </c>
      <c r="AG680" s="15">
        <f t="shared" si="6"/>
        <v>45505</v>
      </c>
      <c r="AH680" s="13" t="s">
        <v>41</v>
      </c>
      <c r="AI680" s="13" t="str">
        <f t="shared" si="7"/>
        <v>Articulos de Aseo</v>
      </c>
      <c r="AJ680" s="13" t="str">
        <f>VLOOKUP(E680,Precios!Z$2:AA$941,2,FALSE)</f>
        <v xml:space="preserve">Bolsas Basura TEDDY 50x70 </v>
      </c>
      <c r="AK680" s="14">
        <f>VLOOKUP(E680,Precios!Z$2:BB$941,3,FALSE)*F680</f>
        <v>-1</v>
      </c>
      <c r="AL680" s="17"/>
      <c r="AM680" s="17"/>
      <c r="AN680" s="17"/>
      <c r="AO680" s="17"/>
      <c r="AP680" s="17"/>
      <c r="AQ680" s="17"/>
      <c r="AR680" s="17"/>
      <c r="AS680" s="17"/>
      <c r="AT680" s="17"/>
      <c r="AU680" s="17"/>
      <c r="AV680" s="17"/>
    </row>
    <row r="681" spans="1:48" ht="15.75" customHeight="1">
      <c r="A681" s="21" t="s">
        <v>35</v>
      </c>
      <c r="B681" s="23" t="s">
        <v>1692</v>
      </c>
      <c r="C681" s="22">
        <v>45874</v>
      </c>
      <c r="D681" s="23" t="s">
        <v>172</v>
      </c>
      <c r="E681" s="23" t="s">
        <v>311</v>
      </c>
      <c r="F681" s="21">
        <v>1</v>
      </c>
      <c r="G681" s="12">
        <f>VLOOKUP(E681,Precios!B$2:N$941,12,FALSE)</f>
        <v>3500.0000000000005</v>
      </c>
      <c r="H681" s="12">
        <f t="shared" si="0"/>
        <v>3500.0000000000005</v>
      </c>
      <c r="I681" s="23" t="s">
        <v>52</v>
      </c>
      <c r="J681" s="23" t="s">
        <v>61</v>
      </c>
      <c r="K681" s="24" t="s">
        <v>177</v>
      </c>
      <c r="L681" s="24">
        <v>167</v>
      </c>
      <c r="M681" s="12">
        <f t="shared" ref="M681:N681" si="686">G681/1.19</f>
        <v>2941.1764705882356</v>
      </c>
      <c r="N681" s="12">
        <f t="shared" si="686"/>
        <v>2941.1764705882356</v>
      </c>
      <c r="O681" s="12">
        <f t="shared" si="2"/>
        <v>558.82352941176487</v>
      </c>
      <c r="P681" s="13"/>
      <c r="Q681" s="14">
        <f t="shared" si="3"/>
        <v>2025</v>
      </c>
      <c r="R681" s="15">
        <f>VLOOKUP(MONTH(C681),'Datos Maestros'!M$2:N$14,2,FALSE)</f>
        <v>45505</v>
      </c>
      <c r="S681" s="11" t="str">
        <f>VLOOKUP(E681,Precios!B$2:W$941,3,FALSE)</f>
        <v>Queso Mantecoso</v>
      </c>
      <c r="T681" s="16">
        <f>VLOOKUP(E681,Precios!B$2:N$941,4,FALSE)*F681</f>
        <v>250</v>
      </c>
      <c r="U681" s="17"/>
      <c r="V681" s="12">
        <f>VLOOKUP(E681,Precios!B$2:N$941,13,FALSE)*F681</f>
        <v>1257.3529411764707</v>
      </c>
      <c r="W681" s="12">
        <f t="shared" si="4"/>
        <v>1257.3529411764707</v>
      </c>
      <c r="X681" s="12">
        <f>VLOOKUP(B681,'Datos Maestros'!$C$2:$D$7,2,FALSE)*V681</f>
        <v>0</v>
      </c>
      <c r="Y681" s="18">
        <f t="shared" si="5"/>
        <v>45873</v>
      </c>
      <c r="Z681" s="13" t="s">
        <v>39</v>
      </c>
      <c r="AA681" s="19" t="str">
        <f>VLOOKUP(D681,Clientes!$A$2:$J$486,9,FALSE)</f>
        <v>Frecuente</v>
      </c>
      <c r="AB681" s="13" t="str">
        <f>VLOOKUP(D681,Clientes!$A$2:$K$486,11,FALSE)</f>
        <v>Persona Natural</v>
      </c>
      <c r="AC681" s="13" t="str">
        <f>VLOOKUP(D681,Clientes!$A$2:$B$486,2,FALSE)</f>
        <v>Jardin del Eden</v>
      </c>
      <c r="AD681" s="20"/>
      <c r="AE681" s="20"/>
      <c r="AF681" s="13" t="s">
        <v>40</v>
      </c>
      <c r="AG681" s="15">
        <f t="shared" si="6"/>
        <v>45505</v>
      </c>
      <c r="AH681" s="13" t="s">
        <v>41</v>
      </c>
      <c r="AI681" s="13" t="str">
        <f t="shared" si="7"/>
        <v>Quesos</v>
      </c>
      <c r="AJ681" s="13" t="str">
        <f>VLOOKUP(E681,Precios!Z$2:AA$941,2,FALSE)</f>
        <v>Queso RUNCA Mantecoso</v>
      </c>
      <c r="AK681" s="14">
        <f>VLOOKUP(E681,Precios!Z$2:BB$941,3,FALSE)*F681</f>
        <v>-0.25</v>
      </c>
      <c r="AL681" s="17"/>
      <c r="AM681" s="17"/>
      <c r="AN681" s="17"/>
      <c r="AO681" s="17"/>
      <c r="AP681" s="17"/>
      <c r="AQ681" s="17"/>
      <c r="AR681" s="17"/>
      <c r="AS681" s="17"/>
      <c r="AT681" s="17"/>
      <c r="AU681" s="17"/>
      <c r="AV681" s="17"/>
    </row>
    <row r="682" spans="1:48" ht="15.75" customHeight="1">
      <c r="A682" s="21" t="s">
        <v>43</v>
      </c>
      <c r="B682" s="23" t="s">
        <v>1692</v>
      </c>
      <c r="C682" s="22">
        <v>45874</v>
      </c>
      <c r="D682" s="23" t="s">
        <v>172</v>
      </c>
      <c r="E682" s="23" t="s">
        <v>45</v>
      </c>
      <c r="F682" s="21">
        <v>1</v>
      </c>
      <c r="G682" s="12">
        <f>VLOOKUP(E682,Precios!B$2:N$941,12,FALSE)</f>
        <v>8000.1831784723063</v>
      </c>
      <c r="H682" s="12">
        <f t="shared" si="0"/>
        <v>8000.1831784723063</v>
      </c>
      <c r="I682" s="23" t="s">
        <v>52</v>
      </c>
      <c r="J682" s="23" t="s">
        <v>61</v>
      </c>
      <c r="K682" s="24" t="s">
        <v>177</v>
      </c>
      <c r="L682" s="24">
        <v>167</v>
      </c>
      <c r="M682" s="12">
        <f t="shared" ref="M682:N682" si="687">G682/1.19</f>
        <v>6722.8430071195853</v>
      </c>
      <c r="N682" s="12">
        <f t="shared" si="687"/>
        <v>6722.8430071195853</v>
      </c>
      <c r="O682" s="12">
        <f t="shared" si="2"/>
        <v>1277.340171352721</v>
      </c>
      <c r="P682" s="13"/>
      <c r="Q682" s="14">
        <f t="shared" si="3"/>
        <v>2025</v>
      </c>
      <c r="R682" s="15">
        <f>VLOOKUP(MONTH(C682),'Datos Maestros'!M$2:N$14,2,FALSE)</f>
        <v>45505</v>
      </c>
      <c r="S682" s="11" t="str">
        <f>VLOOKUP(E682,Precios!B$2:W$941,3,FALSE)</f>
        <v>Huevos EXTRA</v>
      </c>
      <c r="T682" s="16">
        <f>VLOOKUP(E682,Precios!B$2:N$941,4,FALSE)*F682</f>
        <v>0</v>
      </c>
      <c r="U682" s="17"/>
      <c r="V682" s="12">
        <f>VLOOKUP(E682,Precios!B$2:N$941,13,FALSE)*F682</f>
        <v>1151.6230071195851</v>
      </c>
      <c r="W682" s="12">
        <f t="shared" si="4"/>
        <v>1151.6230071195851</v>
      </c>
      <c r="X682" s="12">
        <f>VLOOKUP(B682,'Datos Maestros'!$C$2:$D$7,2,FALSE)*V682</f>
        <v>0</v>
      </c>
      <c r="Y682" s="18">
        <f t="shared" si="5"/>
        <v>45873</v>
      </c>
      <c r="Z682" s="13" t="s">
        <v>39</v>
      </c>
      <c r="AA682" s="19" t="str">
        <f>VLOOKUP(D682,Clientes!$A$2:$J$486,9,FALSE)</f>
        <v>Frecuente</v>
      </c>
      <c r="AB682" s="13" t="str">
        <f>VLOOKUP(D682,Clientes!$A$2:$K$486,11,FALSE)</f>
        <v>Persona Natural</v>
      </c>
      <c r="AC682" s="13" t="str">
        <f>VLOOKUP(D682,Clientes!$A$2:$B$486,2,FALSE)</f>
        <v>Jardin del Eden</v>
      </c>
      <c r="AD682" s="20"/>
      <c r="AE682" s="20"/>
      <c r="AF682" s="13" t="s">
        <v>40</v>
      </c>
      <c r="AG682" s="15">
        <f t="shared" si="6"/>
        <v>45505</v>
      </c>
      <c r="AH682" s="13" t="s">
        <v>41</v>
      </c>
      <c r="AI682" s="13" t="str">
        <f t="shared" si="7"/>
        <v>Huevos</v>
      </c>
      <c r="AJ682" s="13" t="str">
        <f>VLOOKUP(E682,Precios!Z$2:AA$941,2,FALSE)</f>
        <v>Bandeja Huevos EXTRA</v>
      </c>
      <c r="AK682" s="14">
        <f>VLOOKUP(E682,Precios!Z$2:BB$941,3,FALSE)*F682</f>
        <v>-1</v>
      </c>
      <c r="AL682" s="17"/>
      <c r="AM682" s="17"/>
      <c r="AN682" s="17"/>
      <c r="AO682" s="17"/>
      <c r="AP682" s="17"/>
      <c r="AQ682" s="17"/>
      <c r="AR682" s="17"/>
      <c r="AS682" s="17"/>
      <c r="AT682" s="17"/>
      <c r="AU682" s="17"/>
      <c r="AV682" s="17"/>
    </row>
    <row r="683" spans="1:48" ht="15.75" customHeight="1">
      <c r="A683" s="21" t="s">
        <v>53</v>
      </c>
      <c r="B683" s="23" t="s">
        <v>1692</v>
      </c>
      <c r="C683" s="22">
        <v>45874</v>
      </c>
      <c r="D683" s="23" t="s">
        <v>341</v>
      </c>
      <c r="E683" s="23" t="s">
        <v>55</v>
      </c>
      <c r="F683" s="21">
        <v>1</v>
      </c>
      <c r="G683" s="12">
        <f>VLOOKUP(E683,Precios!B$2:N$941,12,FALSE)</f>
        <v>20899.91124296327</v>
      </c>
      <c r="H683" s="12">
        <f t="shared" si="0"/>
        <v>20899.91124296327</v>
      </c>
      <c r="I683" s="23" t="s">
        <v>52</v>
      </c>
      <c r="J683" s="23" t="s">
        <v>61</v>
      </c>
      <c r="K683" s="24" t="s">
        <v>177</v>
      </c>
      <c r="L683" s="24">
        <v>167</v>
      </c>
      <c r="M683" s="12">
        <f t="shared" ref="M683:N683" si="688">G683/1.19</f>
        <v>17562.950624338882</v>
      </c>
      <c r="N683" s="12">
        <f t="shared" si="688"/>
        <v>17562.950624338882</v>
      </c>
      <c r="O683" s="12">
        <f t="shared" si="2"/>
        <v>3336.9606186243873</v>
      </c>
      <c r="P683" s="13"/>
      <c r="Q683" s="14">
        <f t="shared" si="3"/>
        <v>2025</v>
      </c>
      <c r="R683" s="15">
        <f>VLOOKUP(MONTH(C683),'Datos Maestros'!M$2:N$14,2,FALSE)</f>
        <v>45505</v>
      </c>
      <c r="S683" s="11" t="str">
        <f>VLOOKUP(E683,Precios!B$2:W$941,3,FALSE)</f>
        <v>Papel Higiénico ELITE</v>
      </c>
      <c r="T683" s="16">
        <f>VLOOKUP(E683,Precios!B$2:N$941,4,FALSE)*F683</f>
        <v>0</v>
      </c>
      <c r="U683" s="17"/>
      <c r="V683" s="12">
        <f>VLOOKUP(E683,Precios!B$2:N$941,13,FALSE)*F683</f>
        <v>3117.9506243388823</v>
      </c>
      <c r="W683" s="12">
        <f t="shared" si="4"/>
        <v>3117.9506243388823</v>
      </c>
      <c r="X683" s="12">
        <f>VLOOKUP(B683,'Datos Maestros'!$C$2:$D$7,2,FALSE)*V683</f>
        <v>0</v>
      </c>
      <c r="Y683" s="18">
        <f t="shared" si="5"/>
        <v>45873</v>
      </c>
      <c r="Z683" s="13" t="s">
        <v>39</v>
      </c>
      <c r="AA683" s="19" t="str">
        <f>VLOOKUP(D683,Clientes!$A$2:$J$486,9,FALSE)</f>
        <v>Ocacional</v>
      </c>
      <c r="AB683" s="13" t="str">
        <f>VLOOKUP(D683,Clientes!$A$2:$K$486,11,FALSE)</f>
        <v>Persona Natural</v>
      </c>
      <c r="AC683" s="13" t="str">
        <f>VLOOKUP(D683,Clientes!$A$2:$B$486,2,FALSE)</f>
        <v>Alonso de Ercilla</v>
      </c>
      <c r="AD683" s="20"/>
      <c r="AE683" s="20"/>
      <c r="AF683" s="13" t="s">
        <v>40</v>
      </c>
      <c r="AG683" s="15">
        <f t="shared" si="6"/>
        <v>45505</v>
      </c>
      <c r="AH683" s="13" t="s">
        <v>41</v>
      </c>
      <c r="AI683" s="13" t="str">
        <f t="shared" si="7"/>
        <v>Papeleria</v>
      </c>
      <c r="AJ683" s="13" t="str">
        <f>VLOOKUP(E683,Precios!Z$2:AA$941,2,FALSE)</f>
        <v>Papel Higienico ELITE 50 metros</v>
      </c>
      <c r="AK683" s="14">
        <f>VLOOKUP(E683,Precios!Z$2:BB$941,3,FALSE)*F683</f>
        <v>-8</v>
      </c>
      <c r="AL683" s="17"/>
      <c r="AM683" s="17"/>
      <c r="AN683" s="17"/>
      <c r="AO683" s="17"/>
      <c r="AP683" s="17"/>
      <c r="AQ683" s="17"/>
      <c r="AR683" s="17"/>
      <c r="AS683" s="17"/>
      <c r="AT683" s="17"/>
      <c r="AU683" s="17"/>
      <c r="AV683" s="17"/>
    </row>
    <row r="684" spans="1:48" ht="15.75" customHeight="1">
      <c r="A684" s="21" t="s">
        <v>53</v>
      </c>
      <c r="B684" s="23" t="s">
        <v>1692</v>
      </c>
      <c r="C684" s="22">
        <v>45874</v>
      </c>
      <c r="D684" s="23" t="s">
        <v>245</v>
      </c>
      <c r="E684" s="23" t="s">
        <v>97</v>
      </c>
      <c r="F684" s="21">
        <v>1</v>
      </c>
      <c r="G684" s="12">
        <f>VLOOKUP(E684,Precios!B$2:N$941,12,FALSE)</f>
        <v>16500.236769693482</v>
      </c>
      <c r="H684" s="12">
        <f t="shared" si="0"/>
        <v>16500.236769693482</v>
      </c>
      <c r="I684" s="23" t="s">
        <v>52</v>
      </c>
      <c r="J684" s="23" t="s">
        <v>61</v>
      </c>
      <c r="K684" s="24" t="s">
        <v>177</v>
      </c>
      <c r="L684" s="24">
        <v>167</v>
      </c>
      <c r="M684" s="12">
        <f t="shared" ref="M684:N684" si="689">G684/1.19</f>
        <v>13865.745184616371</v>
      </c>
      <c r="N684" s="12">
        <f t="shared" si="689"/>
        <v>13865.745184616371</v>
      </c>
      <c r="O684" s="12">
        <f t="shared" si="2"/>
        <v>2634.4915850771104</v>
      </c>
      <c r="P684" s="13"/>
      <c r="Q684" s="14">
        <f t="shared" si="3"/>
        <v>2025</v>
      </c>
      <c r="R684" s="15">
        <f>VLOOKUP(MONTH(C684),'Datos Maestros'!M$2:N$14,2,FALSE)</f>
        <v>45505</v>
      </c>
      <c r="S684" s="11" t="str">
        <f>VLOOKUP(E684,Precios!B$2:W$941,3,FALSE)</f>
        <v>Papel Higiénico ELITE</v>
      </c>
      <c r="T684" s="16">
        <f>VLOOKUP(E684,Precios!B$2:N$941,4,FALSE)*F684</f>
        <v>0</v>
      </c>
      <c r="U684" s="17"/>
      <c r="V684" s="12">
        <f>VLOOKUP(E684,Precios!B$2:N$941,13,FALSE)*F684</f>
        <v>3031.7451846163694</v>
      </c>
      <c r="W684" s="12">
        <f t="shared" si="4"/>
        <v>3031.7451846163694</v>
      </c>
      <c r="X684" s="12">
        <f>VLOOKUP(B684,'Datos Maestros'!$C$2:$D$7,2,FALSE)*V684</f>
        <v>0</v>
      </c>
      <c r="Y684" s="18">
        <f t="shared" si="5"/>
        <v>45873</v>
      </c>
      <c r="Z684" s="13" t="s">
        <v>39</v>
      </c>
      <c r="AA684" s="19" t="str">
        <f>VLOOKUP(D684,Clientes!$A$2:$J$486,9,FALSE)</f>
        <v>Ocacional</v>
      </c>
      <c r="AB684" s="13" t="str">
        <f>VLOOKUP(D684,Clientes!$A$2:$K$486,11,FALSE)</f>
        <v>Persona Natural</v>
      </c>
      <c r="AC684" s="13" t="str">
        <f>VLOOKUP(D684,Clientes!$A$2:$B$486,2,FALSE)</f>
        <v>Curso Amalia</v>
      </c>
      <c r="AD684" s="20"/>
      <c r="AE684" s="20"/>
      <c r="AF684" s="13" t="s">
        <v>40</v>
      </c>
      <c r="AG684" s="15">
        <f t="shared" si="6"/>
        <v>45505</v>
      </c>
      <c r="AH684" s="13" t="s">
        <v>41</v>
      </c>
      <c r="AI684" s="13" t="str">
        <f t="shared" si="7"/>
        <v>Papeleria</v>
      </c>
      <c r="AJ684" s="13" t="str">
        <f>VLOOKUP(E684,Precios!Z$2:AA$941,2,FALSE)</f>
        <v>Papel Higienico ELITE 50 metros</v>
      </c>
      <c r="AK684" s="14">
        <f>VLOOKUP(E684,Precios!Z$2:BB$941,3,FALSE)*F684</f>
        <v>-6</v>
      </c>
      <c r="AL684" s="17"/>
      <c r="AM684" s="17"/>
      <c r="AN684" s="17"/>
      <c r="AO684" s="17"/>
      <c r="AP684" s="17"/>
      <c r="AQ684" s="17"/>
      <c r="AR684" s="17"/>
      <c r="AS684" s="17"/>
      <c r="AT684" s="17"/>
      <c r="AU684" s="17"/>
      <c r="AV684" s="17"/>
    </row>
    <row r="685" spans="1:48" ht="15.75" customHeight="1">
      <c r="A685" s="21" t="s">
        <v>47</v>
      </c>
      <c r="B685" s="23" t="s">
        <v>1692</v>
      </c>
      <c r="C685" s="22">
        <v>45874</v>
      </c>
      <c r="D685" s="23" t="s">
        <v>245</v>
      </c>
      <c r="E685" s="23" t="s">
        <v>205</v>
      </c>
      <c r="F685" s="21">
        <v>1</v>
      </c>
      <c r="G685" s="12">
        <f>VLOOKUP(E685,Precios!B$2:N$941,12,FALSE)</f>
        <v>1100.0468055230517</v>
      </c>
      <c r="H685" s="12">
        <f t="shared" si="0"/>
        <v>1100.0468055230517</v>
      </c>
      <c r="I685" s="23" t="s">
        <v>52</v>
      </c>
      <c r="J685" s="23" t="s">
        <v>61</v>
      </c>
      <c r="K685" s="24" t="s">
        <v>177</v>
      </c>
      <c r="L685" s="24">
        <v>167</v>
      </c>
      <c r="M685" s="12">
        <f t="shared" ref="M685:N685" si="690">G685/1.19</f>
        <v>924.40908027147202</v>
      </c>
      <c r="N685" s="12">
        <f t="shared" si="690"/>
        <v>924.40908027147202</v>
      </c>
      <c r="O685" s="12">
        <f t="shared" si="2"/>
        <v>175.6377252515797</v>
      </c>
      <c r="P685" s="13"/>
      <c r="Q685" s="14">
        <f t="shared" si="3"/>
        <v>2025</v>
      </c>
      <c r="R685" s="15">
        <f>VLOOKUP(MONTH(C685),'Datos Maestros'!M$2:N$14,2,FALSE)</f>
        <v>45505</v>
      </c>
      <c r="S685" s="11" t="str">
        <f>VLOOKUP(E685,Precios!B$2:W$941,3,FALSE)</f>
        <v>Paños MultiUso</v>
      </c>
      <c r="T685" s="16">
        <f>VLOOKUP(E685,Precios!B$2:N$941,4,FALSE)*F685</f>
        <v>0</v>
      </c>
      <c r="U685" s="17"/>
      <c r="V685" s="12">
        <f>VLOOKUP(E685,Precios!B$2:N$941,13,FALSE)*F685</f>
        <v>529.40908027147202</v>
      </c>
      <c r="W685" s="12">
        <f t="shared" si="4"/>
        <v>529.40908027147202</v>
      </c>
      <c r="X685" s="12">
        <f>VLOOKUP(B685,'Datos Maestros'!$C$2:$D$7,2,FALSE)*V685</f>
        <v>0</v>
      </c>
      <c r="Y685" s="18">
        <f t="shared" si="5"/>
        <v>45873</v>
      </c>
      <c r="Z685" s="13" t="s">
        <v>39</v>
      </c>
      <c r="AA685" s="19" t="str">
        <f>VLOOKUP(D685,Clientes!$A$2:$J$486,9,FALSE)</f>
        <v>Ocacional</v>
      </c>
      <c r="AB685" s="13" t="str">
        <f>VLOOKUP(D685,Clientes!$A$2:$K$486,11,FALSE)</f>
        <v>Persona Natural</v>
      </c>
      <c r="AC685" s="13" t="str">
        <f>VLOOKUP(D685,Clientes!$A$2:$B$486,2,FALSE)</f>
        <v>Curso Amalia</v>
      </c>
      <c r="AD685" s="20"/>
      <c r="AE685" s="20"/>
      <c r="AF685" s="13" t="s">
        <v>40</v>
      </c>
      <c r="AG685" s="15">
        <f t="shared" si="6"/>
        <v>45505</v>
      </c>
      <c r="AH685" s="13" t="s">
        <v>41</v>
      </c>
      <c r="AI685" s="13" t="str">
        <f t="shared" si="7"/>
        <v>Articulos de Aseo</v>
      </c>
      <c r="AJ685" s="13" t="str">
        <f>VLOOKUP(E685,Precios!Z$2:AA$941,2,FALSE)</f>
        <v>Paño Multiuso</v>
      </c>
      <c r="AK685" s="14">
        <f>VLOOKUP(E685,Precios!Z$2:BB$941,3,FALSE)*F685</f>
        <v>-1</v>
      </c>
      <c r="AL685" s="17"/>
      <c r="AM685" s="17"/>
      <c r="AN685" s="17"/>
      <c r="AO685" s="17"/>
      <c r="AP685" s="17"/>
      <c r="AQ685" s="17"/>
      <c r="AR685" s="17"/>
      <c r="AS685" s="17"/>
      <c r="AT685" s="17"/>
      <c r="AU685" s="17"/>
      <c r="AV685" s="17"/>
    </row>
    <row r="686" spans="1:48" ht="15.75" customHeight="1">
      <c r="A686" s="21" t="s">
        <v>43</v>
      </c>
      <c r="B686" s="23" t="s">
        <v>1692</v>
      </c>
      <c r="C686" s="22">
        <v>45874</v>
      </c>
      <c r="D686" s="23" t="s">
        <v>131</v>
      </c>
      <c r="E686" s="23" t="s">
        <v>45</v>
      </c>
      <c r="F686" s="21">
        <v>1</v>
      </c>
      <c r="G686" s="12">
        <f>VLOOKUP(E686,Precios!B$2:N$941,12,FALSE)</f>
        <v>8000.1831784723063</v>
      </c>
      <c r="H686" s="12">
        <f t="shared" si="0"/>
        <v>8000.1831784723063</v>
      </c>
      <c r="I686" s="23" t="s">
        <v>52</v>
      </c>
      <c r="J686" s="23" t="s">
        <v>61</v>
      </c>
      <c r="K686" s="24" t="s">
        <v>177</v>
      </c>
      <c r="L686" s="24">
        <v>167</v>
      </c>
      <c r="M686" s="12">
        <f t="shared" ref="M686:N686" si="691">G686/1.19</f>
        <v>6722.8430071195853</v>
      </c>
      <c r="N686" s="12">
        <f t="shared" si="691"/>
        <v>6722.8430071195853</v>
      </c>
      <c r="O686" s="12">
        <f t="shared" si="2"/>
        <v>1277.340171352721</v>
      </c>
      <c r="P686" s="13"/>
      <c r="Q686" s="14">
        <f t="shared" si="3"/>
        <v>2025</v>
      </c>
      <c r="R686" s="15">
        <f>VLOOKUP(MONTH(C686),'Datos Maestros'!M$2:N$14,2,FALSE)</f>
        <v>45505</v>
      </c>
      <c r="S686" s="11" t="str">
        <f>VLOOKUP(E686,Precios!B$2:W$941,3,FALSE)</f>
        <v>Huevos EXTRA</v>
      </c>
      <c r="T686" s="16">
        <f>VLOOKUP(E686,Precios!B$2:N$941,4,FALSE)*F686</f>
        <v>0</v>
      </c>
      <c r="U686" s="17"/>
      <c r="V686" s="12">
        <f>VLOOKUP(E686,Precios!B$2:N$941,13,FALSE)*F686</f>
        <v>1151.6230071195851</v>
      </c>
      <c r="W686" s="12">
        <f t="shared" si="4"/>
        <v>1151.6230071195851</v>
      </c>
      <c r="X686" s="12">
        <f>VLOOKUP(B686,'Datos Maestros'!$C$2:$D$7,2,FALSE)*V686</f>
        <v>0</v>
      </c>
      <c r="Y686" s="18">
        <f t="shared" si="5"/>
        <v>45873</v>
      </c>
      <c r="Z686" s="13" t="s">
        <v>39</v>
      </c>
      <c r="AA686" s="19" t="str">
        <f>VLOOKUP(D686,Clientes!$A$2:$J$486,9,FALSE)</f>
        <v>Frecuente</v>
      </c>
      <c r="AB686" s="13" t="str">
        <f>VLOOKUP(D686,Clientes!$A$2:$K$486,11,FALSE)</f>
        <v>Persona Natural</v>
      </c>
      <c r="AC686" s="13" t="str">
        <f>VLOOKUP(D686,Clientes!$A$2:$B$486,2,FALSE)</f>
        <v>Jardines de la viña</v>
      </c>
      <c r="AD686" s="20"/>
      <c r="AE686" s="20"/>
      <c r="AF686" s="13" t="s">
        <v>40</v>
      </c>
      <c r="AG686" s="15">
        <f t="shared" si="6"/>
        <v>45505</v>
      </c>
      <c r="AH686" s="13" t="s">
        <v>41</v>
      </c>
      <c r="AI686" s="13" t="str">
        <f t="shared" si="7"/>
        <v>Huevos</v>
      </c>
      <c r="AJ686" s="13" t="str">
        <f>VLOOKUP(E686,Precios!Z$2:AA$941,2,FALSE)</f>
        <v>Bandeja Huevos EXTRA</v>
      </c>
      <c r="AK686" s="14">
        <f>VLOOKUP(E686,Precios!Z$2:BB$941,3,FALSE)*F686</f>
        <v>-1</v>
      </c>
      <c r="AL686" s="17"/>
      <c r="AM686" s="17"/>
      <c r="AN686" s="17"/>
      <c r="AO686" s="17"/>
      <c r="AP686" s="17"/>
      <c r="AQ686" s="17"/>
      <c r="AR686" s="17"/>
      <c r="AS686" s="17"/>
      <c r="AT686" s="17"/>
      <c r="AU686" s="17"/>
      <c r="AV686" s="17"/>
    </row>
    <row r="687" spans="1:48" ht="15.75" customHeight="1">
      <c r="A687" s="21" t="s">
        <v>147</v>
      </c>
      <c r="B687" s="23" t="s">
        <v>1692</v>
      </c>
      <c r="C687" s="22">
        <v>45874</v>
      </c>
      <c r="D687" s="23" t="s">
        <v>158</v>
      </c>
      <c r="E687" s="23" t="s">
        <v>159</v>
      </c>
      <c r="F687" s="21">
        <v>2</v>
      </c>
      <c r="G687" s="12">
        <f>VLOOKUP(E687,Precios!B$2:N$941,12,FALSE)</f>
        <v>24000.000000000004</v>
      </c>
      <c r="H687" s="12">
        <f t="shared" si="0"/>
        <v>48000.000000000007</v>
      </c>
      <c r="I687" s="23" t="s">
        <v>52</v>
      </c>
      <c r="J687" s="23" t="s">
        <v>61</v>
      </c>
      <c r="K687" s="24" t="s">
        <v>86</v>
      </c>
      <c r="L687" s="24">
        <v>103</v>
      </c>
      <c r="M687" s="12">
        <f t="shared" ref="M687:N687" si="692">G687/1.19</f>
        <v>20168.067226890762</v>
      </c>
      <c r="N687" s="12">
        <f t="shared" si="692"/>
        <v>40336.134453781524</v>
      </c>
      <c r="O687" s="12">
        <f t="shared" si="2"/>
        <v>7663.8655462184834</v>
      </c>
      <c r="P687" s="13"/>
      <c r="Q687" s="14">
        <f t="shared" si="3"/>
        <v>2025</v>
      </c>
      <c r="R687" s="15">
        <f>VLOOKUP(MONTH(C687),'Datos Maestros'!M$2:N$14,2,FALSE)</f>
        <v>45505</v>
      </c>
      <c r="S687" s="11" t="str">
        <f>VLOOKUP(E687,Precios!B$2:W$941,3,FALSE)</f>
        <v>Film Plastico</v>
      </c>
      <c r="T687" s="16">
        <f>VLOOKUP(E687,Precios!B$2:N$941,4,FALSE)*F687</f>
        <v>0</v>
      </c>
      <c r="U687" s="17"/>
      <c r="V687" s="12">
        <f>VLOOKUP(E687,Precios!B$2:N$941,13,FALSE)*F687</f>
        <v>13722.689075630256</v>
      </c>
      <c r="W687" s="12">
        <f t="shared" si="4"/>
        <v>13722.689075630256</v>
      </c>
      <c r="X687" s="12">
        <f>VLOOKUP(B687,'Datos Maestros'!$C$2:$D$7,2,FALSE)*V687</f>
        <v>0</v>
      </c>
      <c r="Y687" s="18">
        <f t="shared" si="5"/>
        <v>45873</v>
      </c>
      <c r="Z687" s="13" t="s">
        <v>39</v>
      </c>
      <c r="AA687" s="19" t="str">
        <f>VLOOKUP(D687,Clientes!$A$2:$J$486,9,FALSE)</f>
        <v>Frecuente</v>
      </c>
      <c r="AB687" s="13" t="str">
        <f>VLOOKUP(D687,Clientes!$A$2:$K$486,11,FALSE)</f>
        <v>Empresa</v>
      </c>
      <c r="AC687" s="13" t="str">
        <f>VLOOKUP(D687,Clientes!$A$2:$B$486,2,FALSE)</f>
        <v>Departamental</v>
      </c>
      <c r="AD687" s="20"/>
      <c r="AE687" s="20"/>
      <c r="AF687" s="13" t="s">
        <v>40</v>
      </c>
      <c r="AG687" s="15">
        <f t="shared" si="6"/>
        <v>45505</v>
      </c>
      <c r="AH687" s="13" t="s">
        <v>41</v>
      </c>
      <c r="AI687" s="13" t="str">
        <f t="shared" si="7"/>
        <v>Film Plastico-Aluminio</v>
      </c>
      <c r="AJ687" s="13" t="str">
        <f>VLOOKUP(E687,Precios!Z$2:AA$941,2,FALSE)</f>
        <v>Film Plástico 1400 metros</v>
      </c>
      <c r="AK687" s="14">
        <f>VLOOKUP(E687,Precios!Z$2:BB$941,3,FALSE)*F687</f>
        <v>-2</v>
      </c>
      <c r="AL687" s="17"/>
      <c r="AM687" s="17"/>
      <c r="AN687" s="17"/>
      <c r="AO687" s="17"/>
      <c r="AP687" s="17"/>
      <c r="AQ687" s="17"/>
      <c r="AR687" s="17"/>
      <c r="AS687" s="17"/>
      <c r="AT687" s="17"/>
      <c r="AU687" s="17"/>
      <c r="AV687" s="17"/>
    </row>
    <row r="688" spans="1:48" ht="15.75" customHeight="1">
      <c r="A688" s="21" t="s">
        <v>73</v>
      </c>
      <c r="B688" s="23" t="s">
        <v>1692</v>
      </c>
      <c r="C688" s="22">
        <v>45874</v>
      </c>
      <c r="D688" s="23" t="s">
        <v>158</v>
      </c>
      <c r="E688" s="23" t="s">
        <v>161</v>
      </c>
      <c r="F688" s="21">
        <v>2</v>
      </c>
      <c r="G688" s="12">
        <f>VLOOKUP(E688,Precios!B$2:N$941,12,FALSE)</f>
        <v>4199.9020019599611</v>
      </c>
      <c r="H688" s="12">
        <f t="shared" si="0"/>
        <v>8399.8040039199223</v>
      </c>
      <c r="I688" s="23" t="s">
        <v>52</v>
      </c>
      <c r="J688" s="23" t="s">
        <v>61</v>
      </c>
      <c r="K688" s="24" t="s">
        <v>86</v>
      </c>
      <c r="L688" s="24">
        <v>103</v>
      </c>
      <c r="M688" s="12">
        <f t="shared" ref="M688:N688" si="693">G688/1.19</f>
        <v>3529.3294134117323</v>
      </c>
      <c r="N688" s="12">
        <f t="shared" si="693"/>
        <v>7058.6588268234646</v>
      </c>
      <c r="O688" s="12">
        <f t="shared" si="2"/>
        <v>1341.1451770964577</v>
      </c>
      <c r="P688" s="13"/>
      <c r="Q688" s="14">
        <f t="shared" si="3"/>
        <v>2025</v>
      </c>
      <c r="R688" s="15">
        <f>VLOOKUP(MONTH(C688),'Datos Maestros'!M$2:N$14,2,FALSE)</f>
        <v>45505</v>
      </c>
      <c r="S688" s="11" t="str">
        <f>VLOOKUP(E688,Precios!B$2:W$941,3,FALSE)</f>
        <v>Guantes NITRILO</v>
      </c>
      <c r="T688" s="16">
        <f>VLOOKUP(E688,Precios!B$2:N$941,4,FALSE)*F688</f>
        <v>0</v>
      </c>
      <c r="U688" s="17"/>
      <c r="V688" s="12">
        <f>VLOOKUP(E688,Precios!B$2:N$941,13,FALSE)*F688</f>
        <v>2016.6588268234646</v>
      </c>
      <c r="W688" s="12">
        <f t="shared" si="4"/>
        <v>2016.6588268234646</v>
      </c>
      <c r="X688" s="12">
        <f>VLOOKUP(B688,'Datos Maestros'!$C$2:$D$7,2,FALSE)*V688</f>
        <v>0</v>
      </c>
      <c r="Y688" s="18">
        <f t="shared" si="5"/>
        <v>45873</v>
      </c>
      <c r="Z688" s="13" t="s">
        <v>39</v>
      </c>
      <c r="AA688" s="19" t="str">
        <f>VLOOKUP(D688,Clientes!$A$2:$J$486,9,FALSE)</f>
        <v>Frecuente</v>
      </c>
      <c r="AB688" s="13" t="str">
        <f>VLOOKUP(D688,Clientes!$A$2:$K$486,11,FALSE)</f>
        <v>Empresa</v>
      </c>
      <c r="AC688" s="13" t="str">
        <f>VLOOKUP(D688,Clientes!$A$2:$B$486,2,FALSE)</f>
        <v>Departamental</v>
      </c>
      <c r="AD688" s="20"/>
      <c r="AE688" s="20"/>
      <c r="AF688" s="13" t="s">
        <v>40</v>
      </c>
      <c r="AG688" s="15">
        <f t="shared" si="6"/>
        <v>45505</v>
      </c>
      <c r="AH688" s="13" t="s">
        <v>41</v>
      </c>
      <c r="AI688" s="13" t="str">
        <f t="shared" si="7"/>
        <v>Articulos de Sanidad</v>
      </c>
      <c r="AJ688" s="13" t="str">
        <f>VLOOKUP(E688,Precios!Z$2:AA$941,2,FALSE)</f>
        <v>Guante NITRILO Talla L</v>
      </c>
      <c r="AK688" s="14">
        <f>VLOOKUP(E688,Precios!Z$2:BB$941,3,FALSE)*F688</f>
        <v>-2</v>
      </c>
      <c r="AL688" s="17"/>
      <c r="AM688" s="17"/>
      <c r="AN688" s="17"/>
      <c r="AO688" s="17"/>
      <c r="AP688" s="17"/>
      <c r="AQ688" s="17"/>
      <c r="AR688" s="17"/>
      <c r="AS688" s="17"/>
      <c r="AT688" s="17"/>
      <c r="AU688" s="17"/>
      <c r="AV688" s="17"/>
    </row>
    <row r="689" spans="1:48" ht="15.75" customHeight="1">
      <c r="A689" s="21" t="s">
        <v>147</v>
      </c>
      <c r="B689" s="23" t="s">
        <v>1692</v>
      </c>
      <c r="C689" s="22">
        <v>45874</v>
      </c>
      <c r="D689" s="23" t="s">
        <v>158</v>
      </c>
      <c r="E689" s="23" t="s">
        <v>160</v>
      </c>
      <c r="F689" s="21">
        <v>1</v>
      </c>
      <c r="G689" s="26">
        <v>-1000</v>
      </c>
      <c r="H689" s="12">
        <f t="shared" si="0"/>
        <v>-1000</v>
      </c>
      <c r="I689" s="23" t="s">
        <v>52</v>
      </c>
      <c r="J689" s="23" t="s">
        <v>61</v>
      </c>
      <c r="K689" s="24" t="s">
        <v>86</v>
      </c>
      <c r="L689" s="24">
        <v>103</v>
      </c>
      <c r="M689" s="12">
        <f t="shared" ref="M689:N689" si="694">G689/1.19</f>
        <v>-840.3361344537816</v>
      </c>
      <c r="N689" s="12">
        <f t="shared" si="694"/>
        <v>-840.3361344537816</v>
      </c>
      <c r="O689" s="12">
        <f t="shared" si="2"/>
        <v>-159.6638655462184</v>
      </c>
      <c r="P689" s="13"/>
      <c r="Q689" s="14">
        <f t="shared" si="3"/>
        <v>2025</v>
      </c>
      <c r="R689" s="15">
        <f>VLOOKUP(MONTH(C689),'Datos Maestros'!M$2:N$14,2,FALSE)</f>
        <v>45505</v>
      </c>
      <c r="S689" s="11" t="str">
        <f>VLOOKUP(E689,Precios!B$2:W$941,3,FALSE)</f>
        <v>Descuentos</v>
      </c>
      <c r="T689" s="16">
        <f>VLOOKUP(E689,Precios!B$2:N$941,4,FALSE)*F689</f>
        <v>1000</v>
      </c>
      <c r="U689" s="17"/>
      <c r="V689" s="26">
        <v>-1000</v>
      </c>
      <c r="W689" s="12">
        <f t="shared" si="4"/>
        <v>-1000</v>
      </c>
      <c r="X689" s="12">
        <f>VLOOKUP(B689,'Datos Maestros'!$C$2:$D$7,2,FALSE)*V689</f>
        <v>0</v>
      </c>
      <c r="Y689" s="18">
        <f t="shared" si="5"/>
        <v>45873</v>
      </c>
      <c r="Z689" s="13" t="s">
        <v>39</v>
      </c>
      <c r="AA689" s="19" t="str">
        <f>VLOOKUP(D689,Clientes!$A$2:$J$486,9,FALSE)</f>
        <v>Frecuente</v>
      </c>
      <c r="AB689" s="13" t="str">
        <f>VLOOKUP(D689,Clientes!$A$2:$K$486,11,FALSE)</f>
        <v>Empresa</v>
      </c>
      <c r="AC689" s="13" t="str">
        <f>VLOOKUP(D689,Clientes!$A$2:$B$486,2,FALSE)</f>
        <v>Departamental</v>
      </c>
      <c r="AD689" s="20"/>
      <c r="AE689" s="20"/>
      <c r="AF689" s="13" t="s">
        <v>40</v>
      </c>
      <c r="AG689" s="15">
        <f t="shared" si="6"/>
        <v>45505</v>
      </c>
      <c r="AH689" s="13" t="s">
        <v>41</v>
      </c>
      <c r="AI689" s="13" t="str">
        <f t="shared" si="7"/>
        <v>Film Plastico-Aluminio</v>
      </c>
      <c r="AJ689" s="13" t="str">
        <f>VLOOKUP(E689,Precios!Z$2:AA$941,2,FALSE)</f>
        <v>Descuentos</v>
      </c>
      <c r="AK689" s="14">
        <f>VLOOKUP(E689,Precios!Z$2:BB$941,3,FALSE)*F689</f>
        <v>-1</v>
      </c>
      <c r="AL689" s="17"/>
      <c r="AM689" s="17"/>
      <c r="AN689" s="17"/>
      <c r="AO689" s="17"/>
      <c r="AP689" s="17"/>
      <c r="AQ689" s="17"/>
      <c r="AR689" s="17"/>
      <c r="AS689" s="17"/>
      <c r="AT689" s="17"/>
      <c r="AU689" s="17"/>
      <c r="AV689" s="17"/>
    </row>
    <row r="690" spans="1:48" ht="15.75" customHeight="1">
      <c r="A690" s="21" t="s">
        <v>56</v>
      </c>
      <c r="B690" s="23" t="s">
        <v>1692</v>
      </c>
      <c r="C690" s="22">
        <v>45873</v>
      </c>
      <c r="D690" s="23" t="s">
        <v>915</v>
      </c>
      <c r="E690" s="23" t="s">
        <v>190</v>
      </c>
      <c r="F690" s="21">
        <v>1</v>
      </c>
      <c r="G690" s="12">
        <f>VLOOKUP(E690,Precios!B$2:N$941,12,FALSE)</f>
        <v>2499.8855507868384</v>
      </c>
      <c r="H690" s="12">
        <f t="shared" si="0"/>
        <v>2499.8855507868384</v>
      </c>
      <c r="I690" s="23" t="s">
        <v>52</v>
      </c>
      <c r="J690" s="23" t="s">
        <v>38</v>
      </c>
      <c r="K690" s="24" t="s">
        <v>177</v>
      </c>
      <c r="L690" s="24">
        <v>167</v>
      </c>
      <c r="M690" s="12">
        <f t="shared" ref="M690:N690" si="695">G690/1.19</f>
        <v>2100.7441603250745</v>
      </c>
      <c r="N690" s="12">
        <f t="shared" si="695"/>
        <v>2100.7441603250745</v>
      </c>
      <c r="O690" s="12">
        <f t="shared" si="2"/>
        <v>399.14139046176388</v>
      </c>
      <c r="P690" s="13"/>
      <c r="Q690" s="14">
        <f t="shared" si="3"/>
        <v>2025</v>
      </c>
      <c r="R690" s="15">
        <f>VLOOKUP(MONTH(C690),'Datos Maestros'!M$2:N$14,2,FALSE)</f>
        <v>45505</v>
      </c>
      <c r="S690" s="11" t="str">
        <f>VLOOKUP(E690,Precios!B$2:W$941,3,FALSE)</f>
        <v>Mantequilla</v>
      </c>
      <c r="T690" s="16">
        <f>VLOOKUP(E690,Precios!B$2:N$941,4,FALSE)*F690</f>
        <v>200</v>
      </c>
      <c r="U690" s="17"/>
      <c r="V690" s="12">
        <f>VLOOKUP(E690,Precios!B$2:N$941,13,FALSE)*F690</f>
        <v>632.32399225784707</v>
      </c>
      <c r="W690" s="12">
        <f t="shared" si="4"/>
        <v>632.32399225784707</v>
      </c>
      <c r="X690" s="12">
        <f>VLOOKUP(B690,'Datos Maestros'!$C$2:$D$7,2,FALSE)*V690</f>
        <v>0</v>
      </c>
      <c r="Y690" s="18">
        <f t="shared" si="5"/>
        <v>45873</v>
      </c>
      <c r="Z690" s="13" t="s">
        <v>39</v>
      </c>
      <c r="AA690" s="19" t="str">
        <f>VLOOKUP(D690,Clientes!$A$2:$J$486,9,FALSE)</f>
        <v>Regular</v>
      </c>
      <c r="AB690" s="13" t="str">
        <f>VLOOKUP(D690,Clientes!$A$2:$K$486,11,FALSE)</f>
        <v>Persona Natural</v>
      </c>
      <c r="AC690" s="13" t="str">
        <f>VLOOKUP(D690,Clientes!$A$2:$B$486,2,FALSE)</f>
        <v>Jardin del Eden</v>
      </c>
      <c r="AD690" s="20"/>
      <c r="AE690" s="20"/>
      <c r="AF690" s="13" t="s">
        <v>40</v>
      </c>
      <c r="AG690" s="15">
        <f t="shared" si="6"/>
        <v>45505</v>
      </c>
      <c r="AH690" s="13" t="s">
        <v>41</v>
      </c>
      <c r="AI690" s="13" t="str">
        <f t="shared" si="7"/>
        <v>Derivados</v>
      </c>
      <c r="AJ690" s="13" t="str">
        <f>VLOOKUP(E690,Precios!Z$2:AA$941,2,FALSE)</f>
        <v>Mantequilla RUMAY</v>
      </c>
      <c r="AK690" s="14">
        <f>VLOOKUP(E690,Precios!Z$2:BB$941,3,FALSE)*F690</f>
        <v>-1</v>
      </c>
      <c r="AL690" s="17"/>
      <c r="AM690" s="17"/>
      <c r="AN690" s="17"/>
      <c r="AO690" s="17"/>
      <c r="AP690" s="17"/>
      <c r="AQ690" s="17"/>
      <c r="AR690" s="17"/>
      <c r="AS690" s="17"/>
      <c r="AT690" s="17"/>
      <c r="AU690" s="17"/>
      <c r="AV690" s="17"/>
    </row>
    <row r="691" spans="1:48" ht="15.75" customHeight="1">
      <c r="A691" s="21" t="s">
        <v>43</v>
      </c>
      <c r="B691" s="23" t="s">
        <v>1692</v>
      </c>
      <c r="C691" s="22">
        <v>45873</v>
      </c>
      <c r="D691" s="23" t="s">
        <v>237</v>
      </c>
      <c r="E691" s="23" t="s">
        <v>45</v>
      </c>
      <c r="F691" s="21">
        <v>1</v>
      </c>
      <c r="G691" s="12">
        <f>VLOOKUP(E691,Precios!B$2:N$941,12,FALSE)</f>
        <v>8000.1831784723063</v>
      </c>
      <c r="H691" s="12">
        <f t="shared" si="0"/>
        <v>8000.1831784723063</v>
      </c>
      <c r="I691" s="23" t="s">
        <v>52</v>
      </c>
      <c r="J691" s="23" t="s">
        <v>61</v>
      </c>
      <c r="K691" s="24" t="s">
        <v>177</v>
      </c>
      <c r="L691" s="24">
        <v>167</v>
      </c>
      <c r="M691" s="12">
        <f t="shared" ref="M691:N691" si="696">G691/1.19</f>
        <v>6722.8430071195853</v>
      </c>
      <c r="N691" s="12">
        <f t="shared" si="696"/>
        <v>6722.8430071195853</v>
      </c>
      <c r="O691" s="12">
        <f t="shared" si="2"/>
        <v>1277.340171352721</v>
      </c>
      <c r="P691" s="13"/>
      <c r="Q691" s="14">
        <f t="shared" si="3"/>
        <v>2025</v>
      </c>
      <c r="R691" s="15">
        <f>VLOOKUP(MONTH(C691),'Datos Maestros'!M$2:N$14,2,FALSE)</f>
        <v>45505</v>
      </c>
      <c r="S691" s="11" t="str">
        <f>VLOOKUP(E691,Precios!B$2:W$941,3,FALSE)</f>
        <v>Huevos EXTRA</v>
      </c>
      <c r="T691" s="16">
        <f>VLOOKUP(E691,Precios!B$2:N$941,4,FALSE)*F691</f>
        <v>0</v>
      </c>
      <c r="U691" s="17"/>
      <c r="V691" s="12">
        <f>VLOOKUP(E691,Precios!B$2:N$941,13,FALSE)*F691</f>
        <v>1151.6230071195851</v>
      </c>
      <c r="W691" s="12">
        <f t="shared" si="4"/>
        <v>1151.6230071195851</v>
      </c>
      <c r="X691" s="12">
        <f>VLOOKUP(B691,'Datos Maestros'!$C$2:$D$7,2,FALSE)*V691</f>
        <v>0</v>
      </c>
      <c r="Y691" s="18">
        <f t="shared" si="5"/>
        <v>45873</v>
      </c>
      <c r="Z691" s="13" t="s">
        <v>39</v>
      </c>
      <c r="AA691" s="19" t="str">
        <f>VLOOKUP(D691,Clientes!$A$2:$J$486,9,FALSE)</f>
        <v>Ocacional</v>
      </c>
      <c r="AB691" s="13" t="str">
        <f>VLOOKUP(D691,Clientes!$A$2:$K$486,11,FALSE)</f>
        <v>Persona Natural</v>
      </c>
      <c r="AC691" s="13" t="str">
        <f>VLOOKUP(D691,Clientes!$A$2:$B$486,2,FALSE)</f>
        <v>Jardines de la viña</v>
      </c>
      <c r="AD691" s="20"/>
      <c r="AE691" s="20"/>
      <c r="AF691" s="13" t="s">
        <v>40</v>
      </c>
      <c r="AG691" s="15">
        <f t="shared" si="6"/>
        <v>45505</v>
      </c>
      <c r="AH691" s="13" t="s">
        <v>41</v>
      </c>
      <c r="AI691" s="13" t="str">
        <f t="shared" si="7"/>
        <v>Huevos</v>
      </c>
      <c r="AJ691" s="13" t="str">
        <f>VLOOKUP(E691,Precios!Z$2:AA$941,2,FALSE)</f>
        <v>Bandeja Huevos EXTRA</v>
      </c>
      <c r="AK691" s="14">
        <f>VLOOKUP(E691,Precios!Z$2:BB$941,3,FALSE)*F691</f>
        <v>-1</v>
      </c>
      <c r="AL691" s="17"/>
      <c r="AM691" s="17"/>
      <c r="AN691" s="17"/>
      <c r="AO691" s="17"/>
      <c r="AP691" s="17"/>
      <c r="AQ691" s="17"/>
      <c r="AR691" s="17"/>
      <c r="AS691" s="17"/>
      <c r="AT691" s="17"/>
      <c r="AU691" s="17"/>
      <c r="AV691" s="17"/>
    </row>
    <row r="692" spans="1:48" ht="15.75" customHeight="1">
      <c r="A692" s="21" t="s">
        <v>35</v>
      </c>
      <c r="B692" s="23" t="s">
        <v>1692</v>
      </c>
      <c r="C692" s="22">
        <v>45873</v>
      </c>
      <c r="D692" s="23" t="s">
        <v>237</v>
      </c>
      <c r="E692" s="23" t="s">
        <v>46</v>
      </c>
      <c r="F692" s="21">
        <v>1</v>
      </c>
      <c r="G692" s="12">
        <f>VLOOKUP(E692,Precios!B$2:N$941,12,FALSE)</f>
        <v>6000.1548227279782</v>
      </c>
      <c r="H692" s="12">
        <f t="shared" si="0"/>
        <v>6000.1548227279782</v>
      </c>
      <c r="I692" s="23" t="s">
        <v>52</v>
      </c>
      <c r="J692" s="23" t="s">
        <v>61</v>
      </c>
      <c r="K692" s="24" t="s">
        <v>177</v>
      </c>
      <c r="L692" s="24">
        <v>167</v>
      </c>
      <c r="M692" s="12">
        <f t="shared" ref="M692:N692" si="697">G692/1.19</f>
        <v>5042.1469098554444</v>
      </c>
      <c r="N692" s="12">
        <f t="shared" si="697"/>
        <v>5042.1469098554444</v>
      </c>
      <c r="O692" s="12">
        <f t="shared" si="2"/>
        <v>958.00791287253378</v>
      </c>
      <c r="P692" s="13"/>
      <c r="Q692" s="14">
        <f t="shared" si="3"/>
        <v>2025</v>
      </c>
      <c r="R692" s="15">
        <f>VLOOKUP(MONTH(C692),'Datos Maestros'!M$2:N$14,2,FALSE)</f>
        <v>45505</v>
      </c>
      <c r="S692" s="11" t="str">
        <f>VLOOKUP(E692,Precios!B$2:W$941,3,FALSE)</f>
        <v>Queso Mantecoso</v>
      </c>
      <c r="T692" s="16">
        <f>VLOOKUP(E692,Precios!B$2:N$941,4,FALSE)*F692</f>
        <v>500</v>
      </c>
      <c r="U692" s="17"/>
      <c r="V692" s="12">
        <f>VLOOKUP(E692,Precios!B$2:N$941,13,FALSE)*F692</f>
        <v>1785.4242207798129</v>
      </c>
      <c r="W692" s="12">
        <f t="shared" si="4"/>
        <v>1785.4242207798129</v>
      </c>
      <c r="X692" s="12">
        <f>VLOOKUP(B692,'Datos Maestros'!$C$2:$D$7,2,FALSE)*V692</f>
        <v>0</v>
      </c>
      <c r="Y692" s="18">
        <f t="shared" si="5"/>
        <v>45873</v>
      </c>
      <c r="Z692" s="13" t="s">
        <v>39</v>
      </c>
      <c r="AA692" s="19" t="str">
        <f>VLOOKUP(D692,Clientes!$A$2:$J$486,9,FALSE)</f>
        <v>Ocacional</v>
      </c>
      <c r="AB692" s="13" t="str">
        <f>VLOOKUP(D692,Clientes!$A$2:$K$486,11,FALSE)</f>
        <v>Persona Natural</v>
      </c>
      <c r="AC692" s="13" t="str">
        <f>VLOOKUP(D692,Clientes!$A$2:$B$486,2,FALSE)</f>
        <v>Jardines de la viña</v>
      </c>
      <c r="AD692" s="20"/>
      <c r="AE692" s="20"/>
      <c r="AF692" s="13" t="s">
        <v>40</v>
      </c>
      <c r="AG692" s="15">
        <f t="shared" si="6"/>
        <v>45505</v>
      </c>
      <c r="AH692" s="13" t="s">
        <v>41</v>
      </c>
      <c r="AI692" s="13" t="str">
        <f t="shared" si="7"/>
        <v>Quesos</v>
      </c>
      <c r="AJ692" s="13" t="str">
        <f>VLOOKUP(E692,Precios!Z$2:AA$941,2,FALSE)</f>
        <v>Queso RUNCA Mantecoso</v>
      </c>
      <c r="AK692" s="14">
        <f>VLOOKUP(E692,Precios!Z$2:BB$941,3,FALSE)*F692</f>
        <v>-0.5</v>
      </c>
      <c r="AL692" s="17"/>
      <c r="AM692" s="17"/>
      <c r="AN692" s="17"/>
      <c r="AO692" s="17"/>
      <c r="AP692" s="17"/>
      <c r="AQ692" s="17"/>
      <c r="AR692" s="17"/>
      <c r="AS692" s="17"/>
      <c r="AT692" s="17"/>
      <c r="AU692" s="17"/>
      <c r="AV692" s="17"/>
    </row>
    <row r="693" spans="1:48" ht="15.75" customHeight="1">
      <c r="A693" s="21" t="s">
        <v>73</v>
      </c>
      <c r="B693" s="23" t="s">
        <v>1692</v>
      </c>
      <c r="C693" s="22">
        <v>45873</v>
      </c>
      <c r="D693" s="23" t="s">
        <v>342</v>
      </c>
      <c r="E693" s="23" t="s">
        <v>161</v>
      </c>
      <c r="F693" s="21">
        <v>1</v>
      </c>
      <c r="G693" s="12">
        <f>VLOOKUP(E693,Precios!B$2:N$941,12,FALSE)</f>
        <v>4199.9020019599611</v>
      </c>
      <c r="H693" s="12">
        <f t="shared" si="0"/>
        <v>4199.9020019599611</v>
      </c>
      <c r="I693" s="23" t="s">
        <v>52</v>
      </c>
      <c r="J693" s="23" t="s">
        <v>61</v>
      </c>
      <c r="K693" s="24" t="s">
        <v>177</v>
      </c>
      <c r="L693" s="24">
        <v>167</v>
      </c>
      <c r="M693" s="12">
        <f t="shared" ref="M693:N693" si="698">G693/1.19</f>
        <v>3529.3294134117323</v>
      </c>
      <c r="N693" s="12">
        <f t="shared" si="698"/>
        <v>3529.3294134117323</v>
      </c>
      <c r="O693" s="12">
        <f t="shared" si="2"/>
        <v>670.57258854822885</v>
      </c>
      <c r="P693" s="13"/>
      <c r="Q693" s="14">
        <f t="shared" si="3"/>
        <v>2025</v>
      </c>
      <c r="R693" s="15">
        <f>VLOOKUP(MONTH(C693),'Datos Maestros'!M$2:N$14,2,FALSE)</f>
        <v>45505</v>
      </c>
      <c r="S693" s="11" t="str">
        <f>VLOOKUP(E693,Precios!B$2:W$941,3,FALSE)</f>
        <v>Guantes NITRILO</v>
      </c>
      <c r="T693" s="16">
        <f>VLOOKUP(E693,Precios!B$2:N$941,4,FALSE)*F693</f>
        <v>0</v>
      </c>
      <c r="U693" s="17"/>
      <c r="V693" s="12">
        <f>VLOOKUP(E693,Precios!B$2:N$941,13,FALSE)*F693</f>
        <v>1008.3294134117323</v>
      </c>
      <c r="W693" s="12">
        <f t="shared" si="4"/>
        <v>1008.3294134117323</v>
      </c>
      <c r="X693" s="12">
        <f>VLOOKUP(B693,'Datos Maestros'!$C$2:$D$7,2,FALSE)*V693</f>
        <v>0</v>
      </c>
      <c r="Y693" s="18">
        <f t="shared" si="5"/>
        <v>45873</v>
      </c>
      <c r="Z693" s="13" t="s">
        <v>39</v>
      </c>
      <c r="AA693" s="19" t="str">
        <f>VLOOKUP(D693,Clientes!$A$2:$J$486,9,FALSE)</f>
        <v>Ocacional</v>
      </c>
      <c r="AB693" s="13" t="str">
        <f>VLOOKUP(D693,Clientes!$A$2:$K$486,11,FALSE)</f>
        <v>Persona Natural</v>
      </c>
      <c r="AC693" s="13" t="str">
        <f>VLOOKUP(D693,Clientes!$A$2:$B$486,2,FALSE)</f>
        <v>La Foresta</v>
      </c>
      <c r="AD693" s="20"/>
      <c r="AE693" s="20"/>
      <c r="AF693" s="13" t="s">
        <v>40</v>
      </c>
      <c r="AG693" s="15">
        <f t="shared" si="6"/>
        <v>45505</v>
      </c>
      <c r="AH693" s="13" t="s">
        <v>41</v>
      </c>
      <c r="AI693" s="13" t="str">
        <f t="shared" si="7"/>
        <v>Articulos de Sanidad</v>
      </c>
      <c r="AJ693" s="13" t="str">
        <f>VLOOKUP(E693,Precios!Z$2:AA$941,2,FALSE)</f>
        <v>Guante NITRILO Talla L</v>
      </c>
      <c r="AK693" s="14">
        <f>VLOOKUP(E693,Precios!Z$2:BB$941,3,FALSE)*F693</f>
        <v>-1</v>
      </c>
      <c r="AL693" s="17"/>
      <c r="AM693" s="17"/>
      <c r="AN693" s="17"/>
      <c r="AO693" s="17"/>
      <c r="AP693" s="17"/>
      <c r="AQ693" s="17"/>
      <c r="AR693" s="17"/>
      <c r="AS693" s="17"/>
      <c r="AT693" s="17"/>
      <c r="AU693" s="17"/>
      <c r="AV693" s="17"/>
    </row>
    <row r="694" spans="1:48" ht="15.75" customHeight="1">
      <c r="A694" s="21" t="s">
        <v>76</v>
      </c>
      <c r="B694" s="23" t="s">
        <v>1692</v>
      </c>
      <c r="C694" s="22">
        <v>45873</v>
      </c>
      <c r="D694" s="23" t="s">
        <v>342</v>
      </c>
      <c r="E694" s="23" t="s">
        <v>81</v>
      </c>
      <c r="F694" s="21">
        <v>1</v>
      </c>
      <c r="G694" s="12">
        <f>VLOOKUP(E694,Precios!B$2:N$941,12,FALSE)</f>
        <v>3500.0000000000005</v>
      </c>
      <c r="H694" s="12">
        <f t="shared" si="0"/>
        <v>3500.0000000000005</v>
      </c>
      <c r="I694" s="23" t="s">
        <v>52</v>
      </c>
      <c r="J694" s="23" t="s">
        <v>61</v>
      </c>
      <c r="K694" s="24" t="s">
        <v>177</v>
      </c>
      <c r="L694" s="24">
        <v>167</v>
      </c>
      <c r="M694" s="12">
        <f t="shared" ref="M694:N694" si="699">G694/1.19</f>
        <v>2941.1764705882356</v>
      </c>
      <c r="N694" s="12">
        <f t="shared" si="699"/>
        <v>2941.1764705882356</v>
      </c>
      <c r="O694" s="12">
        <f t="shared" si="2"/>
        <v>558.82352941176487</v>
      </c>
      <c r="P694" s="13"/>
      <c r="Q694" s="14">
        <f t="shared" si="3"/>
        <v>2025</v>
      </c>
      <c r="R694" s="15">
        <f>VLOOKUP(MONTH(C694),'Datos Maestros'!M$2:N$14,2,FALSE)</f>
        <v>45505</v>
      </c>
      <c r="S694" s="11" t="str">
        <f>VLOOKUP(E694,Precios!B$2:W$941,3,FALSE)</f>
        <v>Detergente Premium</v>
      </c>
      <c r="T694" s="16">
        <f>VLOOKUP(E694,Precios!B$2:N$941,4,FALSE)*F694</f>
        <v>5</v>
      </c>
      <c r="U694" s="17"/>
      <c r="V694" s="12">
        <f>VLOOKUP(E694,Precios!B$2:N$941,13,FALSE)*F694</f>
        <v>764.70588235294144</v>
      </c>
      <c r="W694" s="12">
        <f t="shared" si="4"/>
        <v>764.70588235294144</v>
      </c>
      <c r="X694" s="12">
        <f>VLOOKUP(B694,'Datos Maestros'!$C$2:$D$7,2,FALSE)*V694</f>
        <v>0</v>
      </c>
      <c r="Y694" s="18">
        <f t="shared" si="5"/>
        <v>45873</v>
      </c>
      <c r="Z694" s="13" t="s">
        <v>39</v>
      </c>
      <c r="AA694" s="19" t="str">
        <f>VLOOKUP(D694,Clientes!$A$2:$J$486,9,FALSE)</f>
        <v>Ocacional</v>
      </c>
      <c r="AB694" s="13" t="str">
        <f>VLOOKUP(D694,Clientes!$A$2:$K$486,11,FALSE)</f>
        <v>Persona Natural</v>
      </c>
      <c r="AC694" s="13" t="str">
        <f>VLOOKUP(D694,Clientes!$A$2:$B$486,2,FALSE)</f>
        <v>La Foresta</v>
      </c>
      <c r="AD694" s="20"/>
      <c r="AE694" s="20"/>
      <c r="AF694" s="13" t="s">
        <v>40</v>
      </c>
      <c r="AG694" s="15">
        <f t="shared" si="6"/>
        <v>45505</v>
      </c>
      <c r="AH694" s="13" t="s">
        <v>41</v>
      </c>
      <c r="AI694" s="13" t="str">
        <f t="shared" si="7"/>
        <v>Detergentes</v>
      </c>
      <c r="AJ694" s="13" t="str">
        <f>VLOOKUP(E694,Precios!Z$2:AA$941,2,FALSE)</f>
        <v>Detergente SPUM 5 Litros (Verde)</v>
      </c>
      <c r="AK694" s="14">
        <f>VLOOKUP(E694,Precios!Z$2:BB$941,3,FALSE)*F694</f>
        <v>-1</v>
      </c>
      <c r="AL694" s="17"/>
      <c r="AM694" s="17"/>
      <c r="AN694" s="17"/>
      <c r="AO694" s="17"/>
      <c r="AP694" s="17"/>
      <c r="AQ694" s="17"/>
      <c r="AR694" s="17"/>
      <c r="AS694" s="17"/>
      <c r="AT694" s="17"/>
      <c r="AU694" s="17"/>
      <c r="AV694" s="17"/>
    </row>
    <row r="695" spans="1:48" ht="15.75" customHeight="1">
      <c r="A695" s="21" t="s">
        <v>47</v>
      </c>
      <c r="B695" s="23" t="s">
        <v>1692</v>
      </c>
      <c r="C695" s="22">
        <v>45873</v>
      </c>
      <c r="D695" s="23" t="s">
        <v>342</v>
      </c>
      <c r="E695" s="23" t="s">
        <v>153</v>
      </c>
      <c r="F695" s="21">
        <v>1</v>
      </c>
      <c r="G695" s="12">
        <f>VLOOKUP(E695,Precios!B$2:N$941,12,FALSE)</f>
        <v>1900.0533862111042</v>
      </c>
      <c r="H695" s="12">
        <f t="shared" si="0"/>
        <v>1900.0533862111042</v>
      </c>
      <c r="I695" s="23" t="s">
        <v>52</v>
      </c>
      <c r="J695" s="23" t="s">
        <v>61</v>
      </c>
      <c r="K695" s="24" t="s">
        <v>177</v>
      </c>
      <c r="L695" s="24">
        <v>167</v>
      </c>
      <c r="M695" s="12">
        <f t="shared" ref="M695:N695" si="700">G695/1.19</f>
        <v>1596.6835178244573</v>
      </c>
      <c r="N695" s="12">
        <f t="shared" si="700"/>
        <v>1596.6835178244573</v>
      </c>
      <c r="O695" s="12">
        <f t="shared" si="2"/>
        <v>303.36986838664689</v>
      </c>
      <c r="P695" s="13"/>
      <c r="Q695" s="14">
        <f t="shared" si="3"/>
        <v>2025</v>
      </c>
      <c r="R695" s="15">
        <f>VLOOKUP(MONTH(C695),'Datos Maestros'!M$2:N$14,2,FALSE)</f>
        <v>45505</v>
      </c>
      <c r="S695" s="11" t="str">
        <f>VLOOKUP(E695,Precios!B$2:W$941,3,FALSE)</f>
        <v>Escobillon</v>
      </c>
      <c r="T695" s="16">
        <f>VLOOKUP(E695,Precios!B$2:N$941,4,FALSE)*F695</f>
        <v>0</v>
      </c>
      <c r="U695" s="17"/>
      <c r="V695" s="12">
        <f>VLOOKUP(E695,Precios!B$2:N$941,13,FALSE)*F695</f>
        <v>680.74601782445734</v>
      </c>
      <c r="W695" s="12">
        <f t="shared" si="4"/>
        <v>680.74601782445734</v>
      </c>
      <c r="X695" s="12">
        <f>VLOOKUP(B695,'Datos Maestros'!$C$2:$D$7,2,FALSE)*V695</f>
        <v>0</v>
      </c>
      <c r="Y695" s="18">
        <f t="shared" si="5"/>
        <v>45873</v>
      </c>
      <c r="Z695" s="13" t="s">
        <v>39</v>
      </c>
      <c r="AA695" s="19" t="str">
        <f>VLOOKUP(D695,Clientes!$A$2:$J$486,9,FALSE)</f>
        <v>Ocacional</v>
      </c>
      <c r="AB695" s="13" t="str">
        <f>VLOOKUP(D695,Clientes!$A$2:$K$486,11,FALSE)</f>
        <v>Persona Natural</v>
      </c>
      <c r="AC695" s="13" t="str">
        <f>VLOOKUP(D695,Clientes!$A$2:$B$486,2,FALSE)</f>
        <v>La Foresta</v>
      </c>
      <c r="AD695" s="20"/>
      <c r="AE695" s="20"/>
      <c r="AF695" s="13" t="s">
        <v>40</v>
      </c>
      <c r="AG695" s="15">
        <f t="shared" si="6"/>
        <v>45505</v>
      </c>
      <c r="AH695" s="13" t="s">
        <v>41</v>
      </c>
      <c r="AI695" s="13" t="str">
        <f t="shared" si="7"/>
        <v>Articulos de Aseo</v>
      </c>
      <c r="AJ695" s="13" t="str">
        <f>VLOOKUP(E695,Precios!Z$2:AA$941,2,FALSE)</f>
        <v>Escobillon TEDDY</v>
      </c>
      <c r="AK695" s="14">
        <f>VLOOKUP(E695,Precios!Z$2:BB$941,3,FALSE)*F695</f>
        <v>-1</v>
      </c>
      <c r="AL695" s="17"/>
      <c r="AM695" s="17"/>
      <c r="AN695" s="17"/>
      <c r="AO695" s="17"/>
      <c r="AP695" s="17"/>
      <c r="AQ695" s="17"/>
      <c r="AR695" s="17"/>
      <c r="AS695" s="17"/>
      <c r="AT695" s="17"/>
      <c r="AU695" s="17"/>
      <c r="AV695" s="17"/>
    </row>
    <row r="696" spans="1:48" ht="15.75" customHeight="1">
      <c r="A696" s="21" t="s">
        <v>147</v>
      </c>
      <c r="B696" s="23" t="s">
        <v>1692</v>
      </c>
      <c r="C696" s="22">
        <v>45873</v>
      </c>
      <c r="D696" s="23" t="s">
        <v>214</v>
      </c>
      <c r="E696" s="23" t="s">
        <v>159</v>
      </c>
      <c r="F696" s="21">
        <v>1</v>
      </c>
      <c r="G696" s="12">
        <f>VLOOKUP(E696,Precios!B$2:N$941,12,FALSE)</f>
        <v>24000.000000000004</v>
      </c>
      <c r="H696" s="12">
        <f t="shared" si="0"/>
        <v>24000.000000000004</v>
      </c>
      <c r="I696" s="23" t="s">
        <v>52</v>
      </c>
      <c r="J696" s="23" t="s">
        <v>61</v>
      </c>
      <c r="K696" s="24" t="s">
        <v>86</v>
      </c>
      <c r="L696" s="24">
        <v>101</v>
      </c>
      <c r="M696" s="12">
        <f t="shared" ref="M696:N696" si="701">G696/1.19</f>
        <v>20168.067226890762</v>
      </c>
      <c r="N696" s="12">
        <f t="shared" si="701"/>
        <v>20168.067226890762</v>
      </c>
      <c r="O696" s="12">
        <f t="shared" si="2"/>
        <v>3831.9327731092417</v>
      </c>
      <c r="P696" s="13"/>
      <c r="Q696" s="14">
        <f t="shared" si="3"/>
        <v>2025</v>
      </c>
      <c r="R696" s="15">
        <f>VLOOKUP(MONTH(C696),'Datos Maestros'!M$2:N$14,2,FALSE)</f>
        <v>45505</v>
      </c>
      <c r="S696" s="11" t="str">
        <f>VLOOKUP(E696,Precios!B$2:W$941,3,FALSE)</f>
        <v>Film Plastico</v>
      </c>
      <c r="T696" s="16">
        <f>VLOOKUP(E696,Precios!B$2:N$941,4,FALSE)*F696</f>
        <v>0</v>
      </c>
      <c r="U696" s="17"/>
      <c r="V696" s="12">
        <f>VLOOKUP(E696,Precios!B$2:N$941,13,FALSE)*F696</f>
        <v>6861.3445378151282</v>
      </c>
      <c r="W696" s="12">
        <f t="shared" si="4"/>
        <v>6861.3445378151282</v>
      </c>
      <c r="X696" s="12">
        <f>VLOOKUP(B696,'Datos Maestros'!$C$2:$D$7,2,FALSE)*V696</f>
        <v>0</v>
      </c>
      <c r="Y696" s="18">
        <f t="shared" si="5"/>
        <v>45873</v>
      </c>
      <c r="Z696" s="13" t="s">
        <v>39</v>
      </c>
      <c r="AA696" s="19" t="str">
        <f>VLOOKUP(D696,Clientes!$A$2:$J$486,9,FALSE)</f>
        <v>Ocacional</v>
      </c>
      <c r="AB696" s="13" t="str">
        <f>VLOOKUP(D696,Clientes!$A$2:$K$486,11,FALSE)</f>
        <v>Empresa</v>
      </c>
      <c r="AC696" s="13" t="str">
        <f>VLOOKUP(D696,Clientes!$A$2:$B$486,2,FALSE)</f>
        <v>Pudahuel</v>
      </c>
      <c r="AD696" s="20"/>
      <c r="AE696" s="20"/>
      <c r="AF696" s="13" t="s">
        <v>40</v>
      </c>
      <c r="AG696" s="15">
        <f t="shared" si="6"/>
        <v>45505</v>
      </c>
      <c r="AH696" s="13" t="s">
        <v>41</v>
      </c>
      <c r="AI696" s="13" t="str">
        <f t="shared" si="7"/>
        <v>Film Plastico-Aluminio</v>
      </c>
      <c r="AJ696" s="13" t="str">
        <f>VLOOKUP(E696,Precios!Z$2:AA$941,2,FALSE)</f>
        <v>Film Plástico 1400 metros</v>
      </c>
      <c r="AK696" s="14">
        <f>VLOOKUP(E696,Precios!Z$2:BB$941,3,FALSE)*F696</f>
        <v>-1</v>
      </c>
      <c r="AL696" s="17"/>
      <c r="AM696" s="17"/>
      <c r="AN696" s="17"/>
      <c r="AO696" s="17"/>
      <c r="AP696" s="17"/>
      <c r="AQ696" s="17"/>
      <c r="AR696" s="17"/>
      <c r="AS696" s="17"/>
      <c r="AT696" s="17"/>
      <c r="AU696" s="17"/>
      <c r="AV696" s="17"/>
    </row>
    <row r="697" spans="1:48" ht="15.75" customHeight="1">
      <c r="A697" s="21" t="s">
        <v>53</v>
      </c>
      <c r="B697" s="23" t="s">
        <v>1692</v>
      </c>
      <c r="C697" s="22">
        <v>45873</v>
      </c>
      <c r="D697" s="23" t="s">
        <v>54</v>
      </c>
      <c r="E697" s="23" t="s">
        <v>55</v>
      </c>
      <c r="F697" s="21">
        <v>1</v>
      </c>
      <c r="G697" s="12">
        <f>VLOOKUP(E697,Precios!B$2:N$941,12,FALSE)</f>
        <v>20899.91124296327</v>
      </c>
      <c r="H697" s="12">
        <f t="shared" si="0"/>
        <v>20899.91124296327</v>
      </c>
      <c r="I697" s="23" t="s">
        <v>52</v>
      </c>
      <c r="J697" s="23" t="s">
        <v>61</v>
      </c>
      <c r="K697" s="24" t="s">
        <v>177</v>
      </c>
      <c r="L697" s="24">
        <v>167</v>
      </c>
      <c r="M697" s="12">
        <f t="shared" ref="M697:N697" si="702">G697/1.19</f>
        <v>17562.950624338882</v>
      </c>
      <c r="N697" s="12">
        <f t="shared" si="702"/>
        <v>17562.950624338882</v>
      </c>
      <c r="O697" s="12">
        <f t="shared" si="2"/>
        <v>3336.9606186243873</v>
      </c>
      <c r="P697" s="13"/>
      <c r="Q697" s="14">
        <f t="shared" si="3"/>
        <v>2025</v>
      </c>
      <c r="R697" s="15">
        <f>VLOOKUP(MONTH(C697),'Datos Maestros'!M$2:N$14,2,FALSE)</f>
        <v>45505</v>
      </c>
      <c r="S697" s="11" t="str">
        <f>VLOOKUP(E697,Precios!B$2:W$941,3,FALSE)</f>
        <v>Papel Higiénico ELITE</v>
      </c>
      <c r="T697" s="16">
        <f>VLOOKUP(E697,Precios!B$2:N$941,4,FALSE)*F697</f>
        <v>0</v>
      </c>
      <c r="U697" s="17"/>
      <c r="V697" s="12">
        <f>VLOOKUP(E697,Precios!B$2:N$941,13,FALSE)*F697</f>
        <v>3117.9506243388823</v>
      </c>
      <c r="W697" s="12">
        <f t="shared" si="4"/>
        <v>3117.9506243388823</v>
      </c>
      <c r="X697" s="12">
        <f>VLOOKUP(B697,'Datos Maestros'!$C$2:$D$7,2,FALSE)*V697</f>
        <v>0</v>
      </c>
      <c r="Y697" s="18">
        <f t="shared" si="5"/>
        <v>45873</v>
      </c>
      <c r="Z697" s="13" t="s">
        <v>39</v>
      </c>
      <c r="AA697" s="19" t="str">
        <f>VLOOKUP(D697,Clientes!$A$2:$J$486,9,FALSE)</f>
        <v>Ocacional</v>
      </c>
      <c r="AB697" s="13" t="str">
        <f>VLOOKUP(D697,Clientes!$A$2:$K$486,11,FALSE)</f>
        <v>Persona Natural</v>
      </c>
      <c r="AC697" s="13" t="str">
        <f>VLOOKUP(D697,Clientes!$A$2:$B$486,2,FALSE)</f>
        <v>Sector Santa Delia</v>
      </c>
      <c r="AD697" s="20"/>
      <c r="AE697" s="20"/>
      <c r="AF697" s="13" t="s">
        <v>40</v>
      </c>
      <c r="AG697" s="15">
        <f t="shared" si="6"/>
        <v>45505</v>
      </c>
      <c r="AH697" s="13" t="s">
        <v>41</v>
      </c>
      <c r="AI697" s="13" t="str">
        <f t="shared" si="7"/>
        <v>Papeleria</v>
      </c>
      <c r="AJ697" s="13" t="str">
        <f>VLOOKUP(E697,Precios!Z$2:AA$941,2,FALSE)</f>
        <v>Papel Higienico ELITE 50 metros</v>
      </c>
      <c r="AK697" s="14">
        <f>VLOOKUP(E697,Precios!Z$2:BB$941,3,FALSE)*F697</f>
        <v>-8</v>
      </c>
      <c r="AL697" s="17"/>
      <c r="AM697" s="17"/>
      <c r="AN697" s="17"/>
      <c r="AO697" s="17"/>
      <c r="AP697" s="17"/>
      <c r="AQ697" s="17"/>
      <c r="AR697" s="17"/>
      <c r="AS697" s="17"/>
      <c r="AT697" s="17"/>
      <c r="AU697" s="17"/>
      <c r="AV697" s="17"/>
    </row>
    <row r="698" spans="1:48" ht="15.75" customHeight="1">
      <c r="A698" s="21" t="s">
        <v>53</v>
      </c>
      <c r="B698" s="23" t="s">
        <v>1692</v>
      </c>
      <c r="C698" s="22">
        <v>45873</v>
      </c>
      <c r="D698" s="23" t="s">
        <v>54</v>
      </c>
      <c r="E698" s="23" t="s">
        <v>136</v>
      </c>
      <c r="F698" s="21">
        <v>1</v>
      </c>
      <c r="G698" s="12">
        <f>VLOOKUP(E698,Precios!B$2:N$941,12,FALSE)</f>
        <v>14900.292682926829</v>
      </c>
      <c r="H698" s="12">
        <f t="shared" si="0"/>
        <v>14900.292682926829</v>
      </c>
      <c r="I698" s="23" t="s">
        <v>52</v>
      </c>
      <c r="J698" s="23" t="s">
        <v>61</v>
      </c>
      <c r="K698" s="24" t="s">
        <v>177</v>
      </c>
      <c r="L698" s="24">
        <v>167</v>
      </c>
      <c r="M698" s="12">
        <f t="shared" ref="M698:N698" si="703">G698/1.19</f>
        <v>12521.254355400697</v>
      </c>
      <c r="N698" s="12">
        <f t="shared" si="703"/>
        <v>12521.254355400697</v>
      </c>
      <c r="O698" s="12">
        <f t="shared" si="2"/>
        <v>2379.038327526132</v>
      </c>
      <c r="P698" s="13"/>
      <c r="Q698" s="14">
        <f t="shared" si="3"/>
        <v>2025</v>
      </c>
      <c r="R698" s="15">
        <f>VLOOKUP(MONTH(C698),'Datos Maestros'!M$2:N$14,2,FALSE)</f>
        <v>45505</v>
      </c>
      <c r="S698" s="11" t="str">
        <f>VLOOKUP(E698,Precios!B$2:W$941,3,FALSE)</f>
        <v>Toalla Nova 26 mts</v>
      </c>
      <c r="T698" s="16">
        <f>VLOOKUP(E698,Precios!B$2:N$941,4,FALSE)*F698</f>
        <v>0</v>
      </c>
      <c r="U698" s="17"/>
      <c r="V698" s="12">
        <f>VLOOKUP(E698,Precios!B$2:N$941,13,FALSE)*F698</f>
        <v>3537.254355400697</v>
      </c>
      <c r="W698" s="12">
        <f t="shared" si="4"/>
        <v>3537.254355400697</v>
      </c>
      <c r="X698" s="12">
        <f>VLOOKUP(B698,'Datos Maestros'!$C$2:$D$7,2,FALSE)*V698</f>
        <v>0</v>
      </c>
      <c r="Y698" s="18">
        <f t="shared" si="5"/>
        <v>45873</v>
      </c>
      <c r="Z698" s="13" t="s">
        <v>39</v>
      </c>
      <c r="AA698" s="19" t="str">
        <f>VLOOKUP(D698,Clientes!$A$2:$J$486,9,FALSE)</f>
        <v>Ocacional</v>
      </c>
      <c r="AB698" s="13" t="str">
        <f>VLOOKUP(D698,Clientes!$A$2:$K$486,11,FALSE)</f>
        <v>Persona Natural</v>
      </c>
      <c r="AC698" s="13" t="str">
        <f>VLOOKUP(D698,Clientes!$A$2:$B$486,2,FALSE)</f>
        <v>Sector Santa Delia</v>
      </c>
      <c r="AD698" s="20"/>
      <c r="AE698" s="20"/>
      <c r="AF698" s="13" t="s">
        <v>40</v>
      </c>
      <c r="AG698" s="15">
        <f t="shared" si="6"/>
        <v>45505</v>
      </c>
      <c r="AH698" s="13" t="s">
        <v>41</v>
      </c>
      <c r="AI698" s="13" t="str">
        <f t="shared" si="7"/>
        <v>Papeleria</v>
      </c>
      <c r="AJ698" s="13" t="str">
        <f>VLOOKUP(E698,Precios!Z$2:AA$941,2,FALSE)</f>
        <v>Toalla Papel NOVA 26 metros</v>
      </c>
      <c r="AK698" s="14">
        <f>VLOOKUP(E698,Precios!Z$2:BB$941,3,FALSE)*F698</f>
        <v>-8</v>
      </c>
      <c r="AL698" s="17"/>
      <c r="AM698" s="17"/>
      <c r="AN698" s="17"/>
      <c r="AO698" s="17"/>
      <c r="AP698" s="17"/>
      <c r="AQ698" s="17"/>
      <c r="AR698" s="17"/>
      <c r="AS698" s="17"/>
      <c r="AT698" s="17"/>
      <c r="AU698" s="17"/>
      <c r="AV698" s="17"/>
    </row>
    <row r="699" spans="1:48" ht="15.75" customHeight="1">
      <c r="A699" s="21" t="s">
        <v>76</v>
      </c>
      <c r="B699" s="23" t="s">
        <v>1692</v>
      </c>
      <c r="C699" s="22">
        <v>45872</v>
      </c>
      <c r="D699" s="23" t="s">
        <v>184</v>
      </c>
      <c r="E699" s="23" t="s">
        <v>137</v>
      </c>
      <c r="F699" s="21">
        <v>2</v>
      </c>
      <c r="G699" s="12">
        <f>VLOOKUP(E699,Precios!B$2:N$941,12,FALSE)</f>
        <v>3500.0000000000005</v>
      </c>
      <c r="H699" s="12">
        <f t="shared" si="0"/>
        <v>7000.0000000000009</v>
      </c>
      <c r="I699" s="23" t="s">
        <v>52</v>
      </c>
      <c r="J699" s="23" t="s">
        <v>61</v>
      </c>
      <c r="K699" s="24" t="s">
        <v>177</v>
      </c>
      <c r="L699" s="24">
        <v>166</v>
      </c>
      <c r="M699" s="12">
        <f t="shared" ref="M699:N699" si="704">G699/1.19</f>
        <v>2941.1764705882356</v>
      </c>
      <c r="N699" s="12">
        <f t="shared" si="704"/>
        <v>5882.3529411764712</v>
      </c>
      <c r="O699" s="12">
        <f t="shared" si="2"/>
        <v>1117.6470588235297</v>
      </c>
      <c r="P699" s="13"/>
      <c r="Q699" s="14">
        <f t="shared" si="3"/>
        <v>2025</v>
      </c>
      <c r="R699" s="15">
        <f>VLOOKUP(MONTH(C699),'Datos Maestros'!M$2:N$14,2,FALSE)</f>
        <v>45505</v>
      </c>
      <c r="S699" s="11" t="str">
        <f>VLOOKUP(E699,Precios!B$2:W$941,3,FALSE)</f>
        <v>Detergente Piel Sensible</v>
      </c>
      <c r="T699" s="16">
        <f>VLOOKUP(E699,Precios!B$2:N$941,4,FALSE)*F699</f>
        <v>10</v>
      </c>
      <c r="U699" s="17"/>
      <c r="V699" s="12">
        <f>VLOOKUP(E699,Precios!B$2:N$941,13,FALSE)*F699</f>
        <v>1697.4789915966394</v>
      </c>
      <c r="W699" s="12">
        <f t="shared" si="4"/>
        <v>1697.4789915966394</v>
      </c>
      <c r="X699" s="12">
        <f>VLOOKUP(B699,'Datos Maestros'!$C$2:$D$7,2,FALSE)*V699</f>
        <v>0</v>
      </c>
      <c r="Y699" s="18">
        <f t="shared" si="5"/>
        <v>45866</v>
      </c>
      <c r="Z699" s="13" t="s">
        <v>39</v>
      </c>
      <c r="AA699" s="19" t="str">
        <f>VLOOKUP(D699,Clientes!$A$2:$J$486,9,FALSE)</f>
        <v>Frecuente</v>
      </c>
      <c r="AB699" s="13" t="str">
        <f>VLOOKUP(D699,Clientes!$A$2:$K$486,11,FALSE)</f>
        <v>Persona Natural</v>
      </c>
      <c r="AC699" s="13" t="str">
        <f>VLOOKUP(D699,Clientes!$A$2:$B$486,2,FALSE)</f>
        <v>Jardin del Eden</v>
      </c>
      <c r="AD699" s="20"/>
      <c r="AE699" s="20"/>
      <c r="AF699" s="13" t="s">
        <v>40</v>
      </c>
      <c r="AG699" s="15">
        <f t="shared" si="6"/>
        <v>45505</v>
      </c>
      <c r="AH699" s="13" t="s">
        <v>41</v>
      </c>
      <c r="AI699" s="13" t="str">
        <f t="shared" si="7"/>
        <v>Detergentes</v>
      </c>
      <c r="AJ699" s="13" t="str">
        <f>VLOOKUP(E699,Precios!Z$2:AA$941,2,FALSE)</f>
        <v>Detergente SPUM 5 Litros (Blanco)</v>
      </c>
      <c r="AK699" s="14">
        <f>VLOOKUP(E699,Precios!Z$2:BB$941,3,FALSE)*F699</f>
        <v>-2</v>
      </c>
      <c r="AL699" s="17"/>
      <c r="AM699" s="17"/>
      <c r="AN699" s="17"/>
      <c r="AO699" s="17"/>
      <c r="AP699" s="17"/>
      <c r="AQ699" s="17"/>
      <c r="AR699" s="17"/>
      <c r="AS699" s="17"/>
      <c r="AT699" s="17"/>
      <c r="AU699" s="17"/>
      <c r="AV699" s="17"/>
    </row>
    <row r="700" spans="1:48" ht="15.75" customHeight="1">
      <c r="A700" s="21" t="s">
        <v>76</v>
      </c>
      <c r="B700" s="23" t="s">
        <v>1692</v>
      </c>
      <c r="C700" s="22">
        <v>45872</v>
      </c>
      <c r="D700" s="23" t="s">
        <v>184</v>
      </c>
      <c r="E700" s="23" t="s">
        <v>110</v>
      </c>
      <c r="F700" s="21">
        <v>1</v>
      </c>
      <c r="G700" s="12">
        <f>VLOOKUP(E700,Precios!B$2:N$941,12,FALSE)</f>
        <v>2000.0000000000005</v>
      </c>
      <c r="H700" s="12">
        <f t="shared" si="0"/>
        <v>2000.0000000000005</v>
      </c>
      <c r="I700" s="23" t="s">
        <v>52</v>
      </c>
      <c r="J700" s="23" t="s">
        <v>61</v>
      </c>
      <c r="K700" s="24" t="s">
        <v>177</v>
      </c>
      <c r="L700" s="24">
        <v>166</v>
      </c>
      <c r="M700" s="12">
        <f t="shared" ref="M700:N700" si="705">G700/1.19</f>
        <v>1680.6722689075634</v>
      </c>
      <c r="N700" s="12">
        <f t="shared" si="705"/>
        <v>1680.6722689075634</v>
      </c>
      <c r="O700" s="12">
        <f t="shared" si="2"/>
        <v>319.32773109243703</v>
      </c>
      <c r="P700" s="13"/>
      <c r="Q700" s="14">
        <f t="shared" si="3"/>
        <v>2025</v>
      </c>
      <c r="R700" s="15">
        <f>VLOOKUP(MONTH(C700),'Datos Maestros'!M$2:N$14,2,FALSE)</f>
        <v>45505</v>
      </c>
      <c r="S700" s="11" t="str">
        <f>VLOOKUP(E700,Precios!B$2:W$941,3,FALSE)</f>
        <v>Cloro</v>
      </c>
      <c r="T700" s="16">
        <f>VLOOKUP(E700,Precios!B$2:N$941,4,FALSE)*F700</f>
        <v>5</v>
      </c>
      <c r="U700" s="17"/>
      <c r="V700" s="12">
        <f>VLOOKUP(E700,Precios!B$2:N$941,13,FALSE)*F700</f>
        <v>756.30252100840369</v>
      </c>
      <c r="W700" s="12">
        <f t="shared" si="4"/>
        <v>756.30252100840369</v>
      </c>
      <c r="X700" s="12">
        <f>VLOOKUP(B700,'Datos Maestros'!$C$2:$D$7,2,FALSE)*V700</f>
        <v>0</v>
      </c>
      <c r="Y700" s="18">
        <f t="shared" si="5"/>
        <v>45866</v>
      </c>
      <c r="Z700" s="13" t="s">
        <v>39</v>
      </c>
      <c r="AA700" s="19" t="str">
        <f>VLOOKUP(D700,Clientes!$A$2:$J$486,9,FALSE)</f>
        <v>Frecuente</v>
      </c>
      <c r="AB700" s="13" t="str">
        <f>VLOOKUP(D700,Clientes!$A$2:$K$486,11,FALSE)</f>
        <v>Persona Natural</v>
      </c>
      <c r="AC700" s="13" t="str">
        <f>VLOOKUP(D700,Clientes!$A$2:$B$486,2,FALSE)</f>
        <v>Jardin del Eden</v>
      </c>
      <c r="AD700" s="20"/>
      <c r="AE700" s="20"/>
      <c r="AF700" s="13" t="s">
        <v>40</v>
      </c>
      <c r="AG700" s="15">
        <f t="shared" si="6"/>
        <v>45505</v>
      </c>
      <c r="AH700" s="13" t="s">
        <v>41</v>
      </c>
      <c r="AI700" s="13" t="str">
        <f t="shared" si="7"/>
        <v>Detergentes</v>
      </c>
      <c r="AJ700" s="13" t="str">
        <f>VLOOKUP(E700,Precios!Z$2:AA$941,2,FALSE)</f>
        <v>Cloro SPUM 5 Litros</v>
      </c>
      <c r="AK700" s="14">
        <f>VLOOKUP(E700,Precios!Z$2:BB$941,3,FALSE)*F700</f>
        <v>-1</v>
      </c>
      <c r="AL700" s="17"/>
      <c r="AM700" s="17"/>
      <c r="AN700" s="17"/>
      <c r="AO700" s="17"/>
      <c r="AP700" s="17"/>
      <c r="AQ700" s="17"/>
      <c r="AR700" s="17"/>
      <c r="AS700" s="17"/>
      <c r="AT700" s="17"/>
      <c r="AU700" s="17"/>
      <c r="AV700" s="17"/>
    </row>
    <row r="701" spans="1:48" ht="15.75" customHeight="1">
      <c r="A701" s="21" t="s">
        <v>76</v>
      </c>
      <c r="B701" s="23" t="s">
        <v>1692</v>
      </c>
      <c r="C701" s="22">
        <v>45872</v>
      </c>
      <c r="D701" s="23" t="s">
        <v>184</v>
      </c>
      <c r="E701" s="23" t="s">
        <v>166</v>
      </c>
      <c r="F701" s="21">
        <v>1</v>
      </c>
      <c r="G701" s="12">
        <f>VLOOKUP(E701,Precios!B$2:N$941,12,FALSE)</f>
        <v>3500.0000000000005</v>
      </c>
      <c r="H701" s="12">
        <f t="shared" si="0"/>
        <v>3500.0000000000005</v>
      </c>
      <c r="I701" s="23" t="s">
        <v>52</v>
      </c>
      <c r="J701" s="23" t="s">
        <v>61</v>
      </c>
      <c r="K701" s="24" t="s">
        <v>177</v>
      </c>
      <c r="L701" s="24">
        <v>166</v>
      </c>
      <c r="M701" s="12">
        <f t="shared" ref="M701:N701" si="706">G701/1.19</f>
        <v>2941.1764705882356</v>
      </c>
      <c r="N701" s="12">
        <f t="shared" si="706"/>
        <v>2941.1764705882356</v>
      </c>
      <c r="O701" s="12">
        <f t="shared" si="2"/>
        <v>558.82352941176487</v>
      </c>
      <c r="P701" s="13"/>
      <c r="Q701" s="14">
        <f t="shared" si="3"/>
        <v>2025</v>
      </c>
      <c r="R701" s="15">
        <f>VLOOKUP(MONTH(C701),'Datos Maestros'!M$2:N$14,2,FALSE)</f>
        <v>45505</v>
      </c>
      <c r="S701" s="11" t="str">
        <f>VLOOKUP(E701,Precios!B$2:W$941,3,FALSE)</f>
        <v>Cloro Gel</v>
      </c>
      <c r="T701" s="16">
        <f>VLOOKUP(E701,Precios!B$2:N$941,4,FALSE)*F701</f>
        <v>5</v>
      </c>
      <c r="U701" s="17"/>
      <c r="V701" s="12">
        <f>VLOOKUP(E701,Precios!B$2:N$941,13,FALSE)*F701</f>
        <v>1016.8067226890757</v>
      </c>
      <c r="W701" s="12">
        <f t="shared" si="4"/>
        <v>1016.8067226890757</v>
      </c>
      <c r="X701" s="12">
        <f>VLOOKUP(B701,'Datos Maestros'!$C$2:$D$7,2,FALSE)*V701</f>
        <v>0</v>
      </c>
      <c r="Y701" s="18">
        <f t="shared" si="5"/>
        <v>45866</v>
      </c>
      <c r="Z701" s="13" t="s">
        <v>39</v>
      </c>
      <c r="AA701" s="19" t="str">
        <f>VLOOKUP(D701,Clientes!$A$2:$J$486,9,FALSE)</f>
        <v>Frecuente</v>
      </c>
      <c r="AB701" s="13" t="str">
        <f>VLOOKUP(D701,Clientes!$A$2:$K$486,11,FALSE)</f>
        <v>Persona Natural</v>
      </c>
      <c r="AC701" s="13" t="str">
        <f>VLOOKUP(D701,Clientes!$A$2:$B$486,2,FALSE)</f>
        <v>Jardin del Eden</v>
      </c>
      <c r="AD701" s="20"/>
      <c r="AE701" s="20"/>
      <c r="AF701" s="13" t="s">
        <v>40</v>
      </c>
      <c r="AG701" s="15">
        <f t="shared" si="6"/>
        <v>45505</v>
      </c>
      <c r="AH701" s="13" t="s">
        <v>41</v>
      </c>
      <c r="AI701" s="13" t="str">
        <f t="shared" si="7"/>
        <v>Detergentes</v>
      </c>
      <c r="AJ701" s="13" t="str">
        <f>VLOOKUP(E701,Precios!Z$2:AA$941,2,FALSE)</f>
        <v>Cloro GEL SPUM 5 Litros</v>
      </c>
      <c r="AK701" s="14">
        <f>VLOOKUP(E701,Precios!Z$2:BB$941,3,FALSE)*F701</f>
        <v>-1</v>
      </c>
      <c r="AL701" s="17"/>
      <c r="AM701" s="17"/>
      <c r="AN701" s="17"/>
      <c r="AO701" s="17"/>
      <c r="AP701" s="17"/>
      <c r="AQ701" s="17"/>
      <c r="AR701" s="17"/>
      <c r="AS701" s="17"/>
      <c r="AT701" s="17"/>
      <c r="AU701" s="17"/>
      <c r="AV701" s="17"/>
    </row>
    <row r="702" spans="1:48" ht="15.75" customHeight="1">
      <c r="A702" s="21" t="s">
        <v>43</v>
      </c>
      <c r="B702" s="23" t="s">
        <v>1692</v>
      </c>
      <c r="C702" s="22">
        <v>45872</v>
      </c>
      <c r="D702" s="23" t="s">
        <v>184</v>
      </c>
      <c r="E702" s="23" t="s">
        <v>45</v>
      </c>
      <c r="F702" s="21">
        <v>1</v>
      </c>
      <c r="G702" s="12">
        <f>VLOOKUP(E702,Precios!B$2:N$941,12,FALSE)</f>
        <v>8000.1831784723063</v>
      </c>
      <c r="H702" s="12">
        <f t="shared" si="0"/>
        <v>8000.1831784723063</v>
      </c>
      <c r="I702" s="23" t="s">
        <v>52</v>
      </c>
      <c r="J702" s="23" t="s">
        <v>61</v>
      </c>
      <c r="K702" s="24" t="s">
        <v>177</v>
      </c>
      <c r="L702" s="24">
        <v>166</v>
      </c>
      <c r="M702" s="12">
        <f t="shared" ref="M702:N702" si="707">G702/1.19</f>
        <v>6722.8430071195853</v>
      </c>
      <c r="N702" s="12">
        <f t="shared" si="707"/>
        <v>6722.8430071195853</v>
      </c>
      <c r="O702" s="12">
        <f t="shared" si="2"/>
        <v>1277.340171352721</v>
      </c>
      <c r="P702" s="13"/>
      <c r="Q702" s="14">
        <f t="shared" si="3"/>
        <v>2025</v>
      </c>
      <c r="R702" s="15">
        <f>VLOOKUP(MONTH(C702),'Datos Maestros'!M$2:N$14,2,FALSE)</f>
        <v>45505</v>
      </c>
      <c r="S702" s="11" t="str">
        <f>VLOOKUP(E702,Precios!B$2:W$941,3,FALSE)</f>
        <v>Huevos EXTRA</v>
      </c>
      <c r="T702" s="16">
        <f>VLOOKUP(E702,Precios!B$2:N$941,4,FALSE)*F702</f>
        <v>0</v>
      </c>
      <c r="U702" s="17"/>
      <c r="V702" s="12">
        <f>VLOOKUP(E702,Precios!B$2:N$941,13,FALSE)*F702</f>
        <v>1151.6230071195851</v>
      </c>
      <c r="W702" s="12">
        <f t="shared" si="4"/>
        <v>1151.6230071195851</v>
      </c>
      <c r="X702" s="12">
        <f>VLOOKUP(B702,'Datos Maestros'!$C$2:$D$7,2,FALSE)*V702</f>
        <v>0</v>
      </c>
      <c r="Y702" s="18">
        <f t="shared" si="5"/>
        <v>45866</v>
      </c>
      <c r="Z702" s="13" t="s">
        <v>39</v>
      </c>
      <c r="AA702" s="19" t="str">
        <f>VLOOKUP(D702,Clientes!$A$2:$J$486,9,FALSE)</f>
        <v>Frecuente</v>
      </c>
      <c r="AB702" s="13" t="str">
        <f>VLOOKUP(D702,Clientes!$A$2:$K$486,11,FALSE)</f>
        <v>Persona Natural</v>
      </c>
      <c r="AC702" s="13" t="str">
        <f>VLOOKUP(D702,Clientes!$A$2:$B$486,2,FALSE)</f>
        <v>Jardin del Eden</v>
      </c>
      <c r="AD702" s="20"/>
      <c r="AE702" s="20"/>
      <c r="AF702" s="13" t="s">
        <v>40</v>
      </c>
      <c r="AG702" s="15">
        <f t="shared" si="6"/>
        <v>45505</v>
      </c>
      <c r="AH702" s="13" t="s">
        <v>41</v>
      </c>
      <c r="AI702" s="13" t="str">
        <f t="shared" si="7"/>
        <v>Huevos</v>
      </c>
      <c r="AJ702" s="13" t="str">
        <f>VLOOKUP(E702,Precios!Z$2:AA$941,2,FALSE)</f>
        <v>Bandeja Huevos EXTRA</v>
      </c>
      <c r="AK702" s="14">
        <f>VLOOKUP(E702,Precios!Z$2:BB$941,3,FALSE)*F702</f>
        <v>-1</v>
      </c>
      <c r="AL702" s="17"/>
      <c r="AM702" s="17"/>
      <c r="AN702" s="17"/>
      <c r="AO702" s="17"/>
      <c r="AP702" s="17"/>
      <c r="AQ702" s="17"/>
      <c r="AR702" s="17"/>
      <c r="AS702" s="17"/>
      <c r="AT702" s="17"/>
      <c r="AU702" s="17"/>
      <c r="AV702" s="17"/>
    </row>
    <row r="703" spans="1:48" ht="15.75" customHeight="1">
      <c r="A703" s="21" t="s">
        <v>76</v>
      </c>
      <c r="B703" s="23" t="s">
        <v>1692</v>
      </c>
      <c r="C703" s="22">
        <v>45872</v>
      </c>
      <c r="D703" s="23" t="s">
        <v>87</v>
      </c>
      <c r="E703" s="23" t="s">
        <v>216</v>
      </c>
      <c r="F703" s="14">
        <v>1</v>
      </c>
      <c r="G703" s="12">
        <f>VLOOKUP(E703,Precios!B$2:N$941,12,FALSE)</f>
        <v>4300</v>
      </c>
      <c r="H703" s="12">
        <f t="shared" si="0"/>
        <v>4300</v>
      </c>
      <c r="I703" s="23" t="s">
        <v>52</v>
      </c>
      <c r="J703" s="23" t="s">
        <v>61</v>
      </c>
      <c r="K703" s="24" t="s">
        <v>177</v>
      </c>
      <c r="L703" s="24">
        <v>166</v>
      </c>
      <c r="M703" s="12">
        <f t="shared" ref="M703:N703" si="708">G703/1.19</f>
        <v>3613.4453781512607</v>
      </c>
      <c r="N703" s="12">
        <f t="shared" si="708"/>
        <v>3613.4453781512607</v>
      </c>
      <c r="O703" s="12">
        <f t="shared" si="2"/>
        <v>686.55462184873932</v>
      </c>
      <c r="P703" s="13"/>
      <c r="Q703" s="14">
        <f t="shared" si="3"/>
        <v>2025</v>
      </c>
      <c r="R703" s="15">
        <f>VLOOKUP(MONTH(C703),'Datos Maestros'!M$2:N$14,2,FALSE)</f>
        <v>45505</v>
      </c>
      <c r="S703" s="11" t="str">
        <f>VLOOKUP(E703,Precios!B$2:W$941,3,FALSE)</f>
        <v>Lavaloza</v>
      </c>
      <c r="T703" s="16">
        <f>VLOOKUP(E703,Precios!B$2:N$941,4,FALSE)*F703</f>
        <v>5</v>
      </c>
      <c r="U703" s="17"/>
      <c r="V703" s="12">
        <f>VLOOKUP(E703,Precios!B$2:N$941,13,FALSE)*F703</f>
        <v>1134.453781512605</v>
      </c>
      <c r="W703" s="12">
        <f t="shared" si="4"/>
        <v>1134.453781512605</v>
      </c>
      <c r="X703" s="12">
        <f>VLOOKUP(B703,'Datos Maestros'!$C$2:$D$7,2,FALSE)*V703</f>
        <v>0</v>
      </c>
      <c r="Y703" s="18">
        <f t="shared" si="5"/>
        <v>45866</v>
      </c>
      <c r="Z703" s="13" t="s">
        <v>39</v>
      </c>
      <c r="AA703" s="19" t="str">
        <f>VLOOKUP(D703,Clientes!$A$2:$J$486,9,FALSE)</f>
        <v>Frecuente</v>
      </c>
      <c r="AB703" s="13" t="str">
        <f>VLOOKUP(D703,Clientes!$A$2:$K$486,11,FALSE)</f>
        <v>Persona Natural</v>
      </c>
      <c r="AC703" s="13" t="str">
        <f>VLOOKUP(D703,Clientes!$A$2:$B$486,2,FALSE)</f>
        <v>Jardines de la viña</v>
      </c>
      <c r="AD703" s="20"/>
      <c r="AE703" s="20"/>
      <c r="AF703" s="13" t="s">
        <v>40</v>
      </c>
      <c r="AG703" s="15">
        <f t="shared" si="6"/>
        <v>45505</v>
      </c>
      <c r="AH703" s="13" t="s">
        <v>41</v>
      </c>
      <c r="AI703" s="13" t="str">
        <f t="shared" si="7"/>
        <v>Detergentes</v>
      </c>
      <c r="AJ703" s="13" t="str">
        <f>VLOOKUP(E703,Precios!Z$2:AA$941,2,FALSE)</f>
        <v>Lavaloza SPUM 5 Litros</v>
      </c>
      <c r="AK703" s="14">
        <f>VLOOKUP(E703,Precios!Z$2:BB$941,3,FALSE)*F703</f>
        <v>-1</v>
      </c>
      <c r="AL703" s="17"/>
      <c r="AM703" s="17"/>
      <c r="AN703" s="17"/>
      <c r="AO703" s="17"/>
      <c r="AP703" s="17"/>
      <c r="AQ703" s="17"/>
      <c r="AR703" s="17"/>
      <c r="AS703" s="17"/>
      <c r="AT703" s="17"/>
      <c r="AU703" s="17"/>
      <c r="AV703" s="17"/>
    </row>
    <row r="704" spans="1:48" ht="15.75" customHeight="1">
      <c r="A704" s="21" t="s">
        <v>53</v>
      </c>
      <c r="B704" s="23" t="s">
        <v>1692</v>
      </c>
      <c r="C704" s="22">
        <v>45872</v>
      </c>
      <c r="D704" s="23" t="s">
        <v>87</v>
      </c>
      <c r="E704" s="23" t="s">
        <v>326</v>
      </c>
      <c r="F704" s="14">
        <v>1</v>
      </c>
      <c r="G704" s="12">
        <f>VLOOKUP(E704,Precios!B$2:N$941,12,FALSE)</f>
        <v>7600.2445509220424</v>
      </c>
      <c r="H704" s="12">
        <f t="shared" si="0"/>
        <v>7600.2445509220424</v>
      </c>
      <c r="I704" s="23" t="s">
        <v>52</v>
      </c>
      <c r="J704" s="23" t="s">
        <v>61</v>
      </c>
      <c r="K704" s="24" t="s">
        <v>177</v>
      </c>
      <c r="L704" s="24">
        <v>166</v>
      </c>
      <c r="M704" s="12">
        <f t="shared" ref="M704:N704" si="709">G704/1.19</f>
        <v>6386.7601268252456</v>
      </c>
      <c r="N704" s="12">
        <f t="shared" si="709"/>
        <v>6386.7601268252456</v>
      </c>
      <c r="O704" s="12">
        <f t="shared" si="2"/>
        <v>1213.4844240967968</v>
      </c>
      <c r="P704" s="13"/>
      <c r="Q704" s="14">
        <f t="shared" si="3"/>
        <v>2025</v>
      </c>
      <c r="R704" s="15">
        <f>VLOOKUP(MONTH(C704),'Datos Maestros'!M$2:N$14,2,FALSE)</f>
        <v>45505</v>
      </c>
      <c r="S704" s="11" t="str">
        <f>VLOOKUP(E704,Precios!B$2:W$941,3,FALSE)</f>
        <v>Toalla Nova 26 mts</v>
      </c>
      <c r="T704" s="16">
        <f>VLOOKUP(E704,Precios!B$2:N$941,4,FALSE)*F704</f>
        <v>0</v>
      </c>
      <c r="U704" s="17"/>
      <c r="V704" s="12">
        <f>VLOOKUP(E704,Precios!B$2:N$941,13,FALSE)*F704</f>
        <v>1894.7601268252456</v>
      </c>
      <c r="W704" s="12">
        <f t="shared" si="4"/>
        <v>1894.7601268252456</v>
      </c>
      <c r="X704" s="12">
        <f>VLOOKUP(B704,'Datos Maestros'!$C$2:$D$7,2,FALSE)*V704</f>
        <v>0</v>
      </c>
      <c r="Y704" s="18">
        <f t="shared" si="5"/>
        <v>45866</v>
      </c>
      <c r="Z704" s="13" t="s">
        <v>39</v>
      </c>
      <c r="AA704" s="19" t="str">
        <f>VLOOKUP(D704,Clientes!$A$2:$J$486,9,FALSE)</f>
        <v>Frecuente</v>
      </c>
      <c r="AB704" s="13" t="str">
        <f>VLOOKUP(D704,Clientes!$A$2:$K$486,11,FALSE)</f>
        <v>Persona Natural</v>
      </c>
      <c r="AC704" s="13" t="str">
        <f>VLOOKUP(D704,Clientes!$A$2:$B$486,2,FALSE)</f>
        <v>Jardines de la viña</v>
      </c>
      <c r="AD704" s="20"/>
      <c r="AE704" s="20"/>
      <c r="AF704" s="13" t="s">
        <v>40</v>
      </c>
      <c r="AG704" s="15">
        <f t="shared" si="6"/>
        <v>45505</v>
      </c>
      <c r="AH704" s="13" t="s">
        <v>41</v>
      </c>
      <c r="AI704" s="13" t="str">
        <f t="shared" si="7"/>
        <v>Papeleria</v>
      </c>
      <c r="AJ704" s="13" t="str">
        <f>VLOOKUP(E704,Precios!Z$2:AA$941,2,FALSE)</f>
        <v>Toalla Papel NOVA 26 metros</v>
      </c>
      <c r="AK704" s="14">
        <f>VLOOKUP(E704,Precios!Z$2:BB$941,3,FALSE)*F704</f>
        <v>-4</v>
      </c>
      <c r="AL704" s="17"/>
      <c r="AM704" s="17"/>
      <c r="AN704" s="17"/>
      <c r="AO704" s="17"/>
      <c r="AP704" s="17"/>
      <c r="AQ704" s="17"/>
      <c r="AR704" s="17"/>
      <c r="AS704" s="17"/>
      <c r="AT704" s="17"/>
      <c r="AU704" s="17"/>
      <c r="AV704" s="17"/>
    </row>
    <row r="705" spans="1:48" ht="15.75" customHeight="1">
      <c r="A705" s="21" t="s">
        <v>47</v>
      </c>
      <c r="B705" s="23" t="s">
        <v>1692</v>
      </c>
      <c r="C705" s="22">
        <v>45872</v>
      </c>
      <c r="D705" s="23" t="s">
        <v>87</v>
      </c>
      <c r="E705" s="23" t="s">
        <v>48</v>
      </c>
      <c r="F705" s="21">
        <v>2</v>
      </c>
      <c r="G705" s="12">
        <f>VLOOKUP(E705,Precios!B$2:N$941,12,FALSE)</f>
        <v>1000</v>
      </c>
      <c r="H705" s="12">
        <f t="shared" si="0"/>
        <v>2000</v>
      </c>
      <c r="I705" s="23" t="s">
        <v>52</v>
      </c>
      <c r="J705" s="23" t="s">
        <v>61</v>
      </c>
      <c r="K705" s="24" t="s">
        <v>177</v>
      </c>
      <c r="L705" s="24">
        <v>166</v>
      </c>
      <c r="M705" s="12">
        <f t="shared" ref="M705:N705" si="710">G705/1.19</f>
        <v>840.3361344537816</v>
      </c>
      <c r="N705" s="12">
        <f t="shared" si="710"/>
        <v>1680.6722689075632</v>
      </c>
      <c r="O705" s="12">
        <f t="shared" si="2"/>
        <v>319.32773109243681</v>
      </c>
      <c r="P705" s="13"/>
      <c r="Q705" s="14">
        <f t="shared" si="3"/>
        <v>2025</v>
      </c>
      <c r="R705" s="15">
        <f>VLOOKUP(MONTH(C705),'Datos Maestros'!M$2:N$14,2,FALSE)</f>
        <v>45505</v>
      </c>
      <c r="S705" s="11" t="str">
        <f>VLOOKUP(E705,Precios!B$2:W$941,3,FALSE)</f>
        <v>Esponjas</v>
      </c>
      <c r="T705" s="16">
        <f>VLOOKUP(E705,Precios!B$2:N$941,4,FALSE)*F705</f>
        <v>0</v>
      </c>
      <c r="U705" s="17"/>
      <c r="V705" s="12">
        <f>VLOOKUP(E705,Precios!B$2:N$941,13,FALSE)*F705</f>
        <v>660.67226890756297</v>
      </c>
      <c r="W705" s="12">
        <f t="shared" si="4"/>
        <v>660.67226890756297</v>
      </c>
      <c r="X705" s="12">
        <f>VLOOKUP(B705,'Datos Maestros'!$C$2:$D$7,2,FALSE)*V705</f>
        <v>0</v>
      </c>
      <c r="Y705" s="18">
        <f t="shared" si="5"/>
        <v>45866</v>
      </c>
      <c r="Z705" s="13" t="s">
        <v>39</v>
      </c>
      <c r="AA705" s="19" t="str">
        <f>VLOOKUP(D705,Clientes!$A$2:$J$486,9,FALSE)</f>
        <v>Frecuente</v>
      </c>
      <c r="AB705" s="13" t="str">
        <f>VLOOKUP(D705,Clientes!$A$2:$K$486,11,FALSE)</f>
        <v>Persona Natural</v>
      </c>
      <c r="AC705" s="13" t="str">
        <f>VLOOKUP(D705,Clientes!$A$2:$B$486,2,FALSE)</f>
        <v>Jardines de la viña</v>
      </c>
      <c r="AD705" s="20"/>
      <c r="AE705" s="20"/>
      <c r="AF705" s="13" t="s">
        <v>40</v>
      </c>
      <c r="AG705" s="15">
        <f t="shared" si="6"/>
        <v>45505</v>
      </c>
      <c r="AH705" s="13" t="s">
        <v>41</v>
      </c>
      <c r="AI705" s="13" t="str">
        <f t="shared" si="7"/>
        <v>Articulos de Aseo</v>
      </c>
      <c r="AJ705" s="13" t="str">
        <f>VLOOKUP(E705,Precios!Z$2:AA$941,2,FALSE)</f>
        <v>Esponja Acanalada TEDDY</v>
      </c>
      <c r="AK705" s="14">
        <f>VLOOKUP(E705,Precios!Z$2:BB$941,3,FALSE)*F705</f>
        <v>-10</v>
      </c>
      <c r="AL705" s="17"/>
      <c r="AM705" s="17"/>
      <c r="AN705" s="17"/>
      <c r="AO705" s="17"/>
      <c r="AP705" s="17"/>
      <c r="AQ705" s="17"/>
      <c r="AR705" s="17"/>
      <c r="AS705" s="17"/>
      <c r="AT705" s="17"/>
      <c r="AU705" s="17"/>
      <c r="AV705" s="17"/>
    </row>
    <row r="706" spans="1:48" ht="15.75" customHeight="1">
      <c r="A706" s="21" t="s">
        <v>35</v>
      </c>
      <c r="B706" s="23" t="s">
        <v>1692</v>
      </c>
      <c r="C706" s="22">
        <v>45872</v>
      </c>
      <c r="D706" s="23" t="s">
        <v>189</v>
      </c>
      <c r="E706" s="23" t="s">
        <v>46</v>
      </c>
      <c r="F706" s="14">
        <v>1</v>
      </c>
      <c r="G706" s="12">
        <f>VLOOKUP(E706,Precios!B$2:N$941,12,FALSE)</f>
        <v>6000.1548227279782</v>
      </c>
      <c r="H706" s="12">
        <f t="shared" si="0"/>
        <v>6000.1548227279782</v>
      </c>
      <c r="I706" s="23" t="s">
        <v>52</v>
      </c>
      <c r="J706" s="23" t="s">
        <v>61</v>
      </c>
      <c r="K706" s="24" t="s">
        <v>177</v>
      </c>
      <c r="L706" s="24">
        <v>166</v>
      </c>
      <c r="M706" s="12">
        <f t="shared" ref="M706:N706" si="711">G706/1.19</f>
        <v>5042.1469098554444</v>
      </c>
      <c r="N706" s="12">
        <f t="shared" si="711"/>
        <v>5042.1469098554444</v>
      </c>
      <c r="O706" s="12">
        <f t="shared" si="2"/>
        <v>958.00791287253378</v>
      </c>
      <c r="P706" s="13"/>
      <c r="Q706" s="14">
        <f t="shared" si="3"/>
        <v>2025</v>
      </c>
      <c r="R706" s="15">
        <f>VLOOKUP(MONTH(C706),'Datos Maestros'!M$2:N$14,2,FALSE)</f>
        <v>45505</v>
      </c>
      <c r="S706" s="11" t="str">
        <f>VLOOKUP(E706,Precios!B$2:W$941,3,FALSE)</f>
        <v>Queso Mantecoso</v>
      </c>
      <c r="T706" s="16">
        <f>VLOOKUP(E706,Precios!B$2:N$941,4,FALSE)*F706</f>
        <v>500</v>
      </c>
      <c r="U706" s="17"/>
      <c r="V706" s="12">
        <f>VLOOKUP(E706,Precios!B$2:N$941,13,FALSE)*F706</f>
        <v>1785.4242207798129</v>
      </c>
      <c r="W706" s="12">
        <f t="shared" si="4"/>
        <v>1785.4242207798129</v>
      </c>
      <c r="X706" s="12">
        <f>VLOOKUP(B706,'Datos Maestros'!$C$2:$D$7,2,FALSE)*V706</f>
        <v>0</v>
      </c>
      <c r="Y706" s="18">
        <f t="shared" si="5"/>
        <v>45866</v>
      </c>
      <c r="Z706" s="13" t="s">
        <v>39</v>
      </c>
      <c r="AA706" s="19" t="str">
        <f>VLOOKUP(D706,Clientes!$A$2:$J$486,9,FALSE)</f>
        <v>Frecuente</v>
      </c>
      <c r="AB706" s="13" t="str">
        <f>VLOOKUP(D706,Clientes!$A$2:$K$486,11,FALSE)</f>
        <v>Persona Natural</v>
      </c>
      <c r="AC706" s="13" t="str">
        <f>VLOOKUP(D706,Clientes!$A$2:$B$486,2,FALSE)</f>
        <v>Jardines de la Viña</v>
      </c>
      <c r="AD706" s="20"/>
      <c r="AE706" s="20"/>
      <c r="AF706" s="13" t="s">
        <v>40</v>
      </c>
      <c r="AG706" s="15">
        <f t="shared" si="6"/>
        <v>45505</v>
      </c>
      <c r="AH706" s="13" t="s">
        <v>41</v>
      </c>
      <c r="AI706" s="13" t="str">
        <f t="shared" si="7"/>
        <v>Quesos</v>
      </c>
      <c r="AJ706" s="13" t="str">
        <f>VLOOKUP(E706,Precios!Z$2:AA$941,2,FALSE)</f>
        <v>Queso RUNCA Mantecoso</v>
      </c>
      <c r="AK706" s="14">
        <f>VLOOKUP(E706,Precios!Z$2:BB$941,3,FALSE)*F706</f>
        <v>-0.5</v>
      </c>
      <c r="AL706" s="17"/>
      <c r="AM706" s="17"/>
      <c r="AN706" s="17"/>
      <c r="AO706" s="17"/>
      <c r="AP706" s="17"/>
      <c r="AQ706" s="17"/>
      <c r="AR706" s="17"/>
      <c r="AS706" s="17"/>
      <c r="AT706" s="17"/>
      <c r="AU706" s="17"/>
      <c r="AV706" s="17"/>
    </row>
    <row r="707" spans="1:48" ht="15.75" customHeight="1">
      <c r="A707" s="21" t="s">
        <v>43</v>
      </c>
      <c r="B707" s="23" t="s">
        <v>1692</v>
      </c>
      <c r="C707" s="22">
        <v>45872</v>
      </c>
      <c r="D707" s="23" t="s">
        <v>189</v>
      </c>
      <c r="E707" s="23" t="s">
        <v>45</v>
      </c>
      <c r="F707" s="14">
        <v>1</v>
      </c>
      <c r="G707" s="12">
        <f>VLOOKUP(E707,Precios!B$2:N$941,12,FALSE)</f>
        <v>8000.1831784723063</v>
      </c>
      <c r="H707" s="12">
        <f t="shared" si="0"/>
        <v>8000.1831784723063</v>
      </c>
      <c r="I707" s="23" t="s">
        <v>52</v>
      </c>
      <c r="J707" s="23" t="s">
        <v>61</v>
      </c>
      <c r="K707" s="24" t="s">
        <v>177</v>
      </c>
      <c r="L707" s="24">
        <v>166</v>
      </c>
      <c r="M707" s="12">
        <f t="shared" ref="M707:N707" si="712">G707/1.19</f>
        <v>6722.8430071195853</v>
      </c>
      <c r="N707" s="12">
        <f t="shared" si="712"/>
        <v>6722.8430071195853</v>
      </c>
      <c r="O707" s="12">
        <f t="shared" si="2"/>
        <v>1277.340171352721</v>
      </c>
      <c r="P707" s="13"/>
      <c r="Q707" s="14">
        <f t="shared" si="3"/>
        <v>2025</v>
      </c>
      <c r="R707" s="15">
        <f>VLOOKUP(MONTH(C707),'Datos Maestros'!M$2:N$14,2,FALSE)</f>
        <v>45505</v>
      </c>
      <c r="S707" s="11" t="str">
        <f>VLOOKUP(E707,Precios!B$2:W$941,3,FALSE)</f>
        <v>Huevos EXTRA</v>
      </c>
      <c r="T707" s="16">
        <f>VLOOKUP(E707,Precios!B$2:N$941,4,FALSE)*F707</f>
        <v>0</v>
      </c>
      <c r="U707" s="17"/>
      <c r="V707" s="12">
        <f>VLOOKUP(E707,Precios!B$2:N$941,13,FALSE)*F707</f>
        <v>1151.6230071195851</v>
      </c>
      <c r="W707" s="12">
        <f t="shared" si="4"/>
        <v>1151.6230071195851</v>
      </c>
      <c r="X707" s="12">
        <f>VLOOKUP(B707,'Datos Maestros'!$C$2:$D$7,2,FALSE)*V707</f>
        <v>0</v>
      </c>
      <c r="Y707" s="18">
        <f t="shared" si="5"/>
        <v>45866</v>
      </c>
      <c r="Z707" s="13" t="s">
        <v>39</v>
      </c>
      <c r="AA707" s="19" t="str">
        <f>VLOOKUP(D707,Clientes!$A$2:$J$486,9,FALSE)</f>
        <v>Frecuente</v>
      </c>
      <c r="AB707" s="13" t="str">
        <f>VLOOKUP(D707,Clientes!$A$2:$K$486,11,FALSE)</f>
        <v>Persona Natural</v>
      </c>
      <c r="AC707" s="13" t="str">
        <f>VLOOKUP(D707,Clientes!$A$2:$B$486,2,FALSE)</f>
        <v>Jardines de la Viña</v>
      </c>
      <c r="AD707" s="20"/>
      <c r="AE707" s="20"/>
      <c r="AF707" s="13" t="s">
        <v>40</v>
      </c>
      <c r="AG707" s="15">
        <f t="shared" si="6"/>
        <v>45505</v>
      </c>
      <c r="AH707" s="13" t="s">
        <v>41</v>
      </c>
      <c r="AI707" s="13" t="str">
        <f t="shared" si="7"/>
        <v>Huevos</v>
      </c>
      <c r="AJ707" s="13" t="str">
        <f>VLOOKUP(E707,Precios!Z$2:AA$941,2,FALSE)</f>
        <v>Bandeja Huevos EXTRA</v>
      </c>
      <c r="AK707" s="14">
        <f>VLOOKUP(E707,Precios!Z$2:BB$941,3,FALSE)*F707</f>
        <v>-1</v>
      </c>
      <c r="AL707" s="17"/>
      <c r="AM707" s="17"/>
      <c r="AN707" s="17"/>
      <c r="AO707" s="17"/>
      <c r="AP707" s="17"/>
      <c r="AQ707" s="17"/>
      <c r="AR707" s="17"/>
      <c r="AS707" s="17"/>
      <c r="AT707" s="17"/>
      <c r="AU707" s="17"/>
      <c r="AV707" s="17"/>
    </row>
    <row r="708" spans="1:48" ht="15.75" customHeight="1">
      <c r="A708" s="21" t="s">
        <v>56</v>
      </c>
      <c r="B708" s="23" t="s">
        <v>1692</v>
      </c>
      <c r="C708" s="22">
        <v>45872</v>
      </c>
      <c r="D708" s="23" t="s">
        <v>189</v>
      </c>
      <c r="E708" s="23" t="s">
        <v>190</v>
      </c>
      <c r="F708" s="21">
        <v>2</v>
      </c>
      <c r="G708" s="12">
        <f>VLOOKUP(E708,Precios!B$2:N$941,12,FALSE)</f>
        <v>2499.8855507868384</v>
      </c>
      <c r="H708" s="12">
        <f t="shared" si="0"/>
        <v>4999.7711015736768</v>
      </c>
      <c r="I708" s="23" t="s">
        <v>52</v>
      </c>
      <c r="J708" s="23" t="s">
        <v>61</v>
      </c>
      <c r="K708" s="24" t="s">
        <v>177</v>
      </c>
      <c r="L708" s="24">
        <v>166</v>
      </c>
      <c r="M708" s="12">
        <f t="shared" ref="M708:N708" si="713">G708/1.19</f>
        <v>2100.7441603250745</v>
      </c>
      <c r="N708" s="12">
        <f t="shared" si="713"/>
        <v>4201.488320650149</v>
      </c>
      <c r="O708" s="12">
        <f t="shared" si="2"/>
        <v>798.28278092352775</v>
      </c>
      <c r="P708" s="13"/>
      <c r="Q708" s="14">
        <f t="shared" si="3"/>
        <v>2025</v>
      </c>
      <c r="R708" s="15">
        <f>VLOOKUP(MONTH(C708),'Datos Maestros'!M$2:N$14,2,FALSE)</f>
        <v>45505</v>
      </c>
      <c r="S708" s="11" t="str">
        <f>VLOOKUP(E708,Precios!B$2:W$941,3,FALSE)</f>
        <v>Mantequilla</v>
      </c>
      <c r="T708" s="16">
        <f>VLOOKUP(E708,Precios!B$2:N$941,4,FALSE)*F708</f>
        <v>400</v>
      </c>
      <c r="U708" s="17"/>
      <c r="V708" s="12">
        <f>VLOOKUP(E708,Precios!B$2:N$941,13,FALSE)*F708</f>
        <v>1264.6479845156941</v>
      </c>
      <c r="W708" s="12">
        <f t="shared" si="4"/>
        <v>1264.6479845156941</v>
      </c>
      <c r="X708" s="12">
        <f>VLOOKUP(B708,'Datos Maestros'!$C$2:$D$7,2,FALSE)*V708</f>
        <v>0</v>
      </c>
      <c r="Y708" s="18">
        <f t="shared" si="5"/>
        <v>45866</v>
      </c>
      <c r="Z708" s="13" t="s">
        <v>39</v>
      </c>
      <c r="AA708" s="19" t="str">
        <f>VLOOKUP(D708,Clientes!$A$2:$J$486,9,FALSE)</f>
        <v>Frecuente</v>
      </c>
      <c r="AB708" s="13" t="str">
        <f>VLOOKUP(D708,Clientes!$A$2:$K$486,11,FALSE)</f>
        <v>Persona Natural</v>
      </c>
      <c r="AC708" s="13" t="str">
        <f>VLOOKUP(D708,Clientes!$A$2:$B$486,2,FALSE)</f>
        <v>Jardines de la Viña</v>
      </c>
      <c r="AD708" s="20"/>
      <c r="AE708" s="20"/>
      <c r="AF708" s="13" t="s">
        <v>40</v>
      </c>
      <c r="AG708" s="15">
        <f t="shared" si="6"/>
        <v>45505</v>
      </c>
      <c r="AH708" s="13" t="s">
        <v>41</v>
      </c>
      <c r="AI708" s="13" t="str">
        <f t="shared" si="7"/>
        <v>Derivados</v>
      </c>
      <c r="AJ708" s="13" t="str">
        <f>VLOOKUP(E708,Precios!Z$2:AA$941,2,FALSE)</f>
        <v>Mantequilla RUMAY</v>
      </c>
      <c r="AK708" s="14">
        <f>VLOOKUP(E708,Precios!Z$2:BB$941,3,FALSE)*F708</f>
        <v>-2</v>
      </c>
      <c r="AL708" s="17"/>
      <c r="AM708" s="17"/>
      <c r="AN708" s="17"/>
      <c r="AO708" s="17"/>
      <c r="AP708" s="17"/>
      <c r="AQ708" s="17"/>
      <c r="AR708" s="17"/>
      <c r="AS708" s="17"/>
      <c r="AT708" s="17"/>
      <c r="AU708" s="17"/>
      <c r="AV708" s="17"/>
    </row>
    <row r="709" spans="1:48" ht="15.75" customHeight="1">
      <c r="A709" s="21" t="s">
        <v>76</v>
      </c>
      <c r="B709" s="23" t="s">
        <v>1692</v>
      </c>
      <c r="C709" s="22">
        <v>45872</v>
      </c>
      <c r="D709" s="23" t="s">
        <v>915</v>
      </c>
      <c r="E709" s="23" t="s">
        <v>81</v>
      </c>
      <c r="F709" s="14">
        <v>1</v>
      </c>
      <c r="G709" s="12">
        <f>VLOOKUP(E709,Precios!B$2:N$941,12,FALSE)</f>
        <v>3500.0000000000005</v>
      </c>
      <c r="H709" s="12">
        <f t="shared" si="0"/>
        <v>3500.0000000000005</v>
      </c>
      <c r="I709" s="23" t="s">
        <v>52</v>
      </c>
      <c r="J709" s="23" t="s">
        <v>38</v>
      </c>
      <c r="K709" s="24" t="s">
        <v>177</v>
      </c>
      <c r="L709" s="24">
        <v>166</v>
      </c>
      <c r="M709" s="12">
        <f t="shared" ref="M709:N709" si="714">G709/1.19</f>
        <v>2941.1764705882356</v>
      </c>
      <c r="N709" s="12">
        <f t="shared" si="714"/>
        <v>2941.1764705882356</v>
      </c>
      <c r="O709" s="12">
        <f t="shared" si="2"/>
        <v>558.82352941176487</v>
      </c>
      <c r="P709" s="13"/>
      <c r="Q709" s="14">
        <f t="shared" si="3"/>
        <v>2025</v>
      </c>
      <c r="R709" s="15">
        <f>VLOOKUP(MONTH(C709),'Datos Maestros'!M$2:N$14,2,FALSE)</f>
        <v>45505</v>
      </c>
      <c r="S709" s="11" t="str">
        <f>VLOOKUP(E709,Precios!B$2:W$941,3,FALSE)</f>
        <v>Detergente Premium</v>
      </c>
      <c r="T709" s="16">
        <f>VLOOKUP(E709,Precios!B$2:N$941,4,FALSE)*F709</f>
        <v>5</v>
      </c>
      <c r="U709" s="17"/>
      <c r="V709" s="12">
        <f>VLOOKUP(E709,Precios!B$2:N$941,13,FALSE)*F709</f>
        <v>764.70588235294144</v>
      </c>
      <c r="W709" s="12">
        <f t="shared" si="4"/>
        <v>764.70588235294144</v>
      </c>
      <c r="X709" s="12">
        <f>VLOOKUP(B709,'Datos Maestros'!$C$2:$D$7,2,FALSE)*V709</f>
        <v>0</v>
      </c>
      <c r="Y709" s="18">
        <f t="shared" si="5"/>
        <v>45866</v>
      </c>
      <c r="Z709" s="13" t="s">
        <v>39</v>
      </c>
      <c r="AA709" s="19" t="str">
        <f>VLOOKUP(D709,Clientes!$A$2:$J$486,9,FALSE)</f>
        <v>Regular</v>
      </c>
      <c r="AB709" s="13" t="str">
        <f>VLOOKUP(D709,Clientes!$A$2:$K$486,11,FALSE)</f>
        <v>Persona Natural</v>
      </c>
      <c r="AC709" s="13" t="str">
        <f>VLOOKUP(D709,Clientes!$A$2:$B$486,2,FALSE)</f>
        <v>Jardin del Eden</v>
      </c>
      <c r="AD709" s="20"/>
      <c r="AE709" s="20"/>
      <c r="AF709" s="13" t="s">
        <v>40</v>
      </c>
      <c r="AG709" s="15">
        <f t="shared" si="6"/>
        <v>45505</v>
      </c>
      <c r="AH709" s="13" t="s">
        <v>41</v>
      </c>
      <c r="AI709" s="13" t="str">
        <f t="shared" si="7"/>
        <v>Detergentes</v>
      </c>
      <c r="AJ709" s="13" t="str">
        <f>VLOOKUP(E709,Precios!Z$2:AA$941,2,FALSE)</f>
        <v>Detergente SPUM 5 Litros (Verde)</v>
      </c>
      <c r="AK709" s="14">
        <f>VLOOKUP(E709,Precios!Z$2:BB$941,3,FALSE)*F709</f>
        <v>-1</v>
      </c>
      <c r="AL709" s="17"/>
      <c r="AM709" s="17"/>
      <c r="AN709" s="17"/>
      <c r="AO709" s="17"/>
      <c r="AP709" s="17"/>
      <c r="AQ709" s="17"/>
      <c r="AR709" s="17"/>
      <c r="AS709" s="17"/>
      <c r="AT709" s="17"/>
      <c r="AU709" s="17"/>
      <c r="AV709" s="17"/>
    </row>
    <row r="710" spans="1:48" ht="15.75" customHeight="1">
      <c r="A710" s="21" t="s">
        <v>43</v>
      </c>
      <c r="B710" s="23" t="s">
        <v>1692</v>
      </c>
      <c r="C710" s="22">
        <v>45872</v>
      </c>
      <c r="D710" s="23" t="s">
        <v>228</v>
      </c>
      <c r="E710" s="23" t="s">
        <v>45</v>
      </c>
      <c r="F710" s="14">
        <v>1</v>
      </c>
      <c r="G710" s="12">
        <f>VLOOKUP(E710,Precios!B$2:N$941,12,FALSE)</f>
        <v>8000.1831784723063</v>
      </c>
      <c r="H710" s="12">
        <f t="shared" si="0"/>
        <v>8000.1831784723063</v>
      </c>
      <c r="I710" s="23" t="s">
        <v>52</v>
      </c>
      <c r="J710" s="23" t="s">
        <v>61</v>
      </c>
      <c r="K710" s="24" t="s">
        <v>177</v>
      </c>
      <c r="L710" s="24">
        <v>166</v>
      </c>
      <c r="M710" s="12">
        <f t="shared" ref="M710:N710" si="715">G710/1.19</f>
        <v>6722.8430071195853</v>
      </c>
      <c r="N710" s="12">
        <f t="shared" si="715"/>
        <v>6722.8430071195853</v>
      </c>
      <c r="O710" s="12">
        <f t="shared" si="2"/>
        <v>1277.340171352721</v>
      </c>
      <c r="P710" s="13"/>
      <c r="Q710" s="14">
        <f t="shared" si="3"/>
        <v>2025</v>
      </c>
      <c r="R710" s="15">
        <f>VLOOKUP(MONTH(C710),'Datos Maestros'!M$2:N$14,2,FALSE)</f>
        <v>45505</v>
      </c>
      <c r="S710" s="11" t="str">
        <f>VLOOKUP(E710,Precios!B$2:W$941,3,FALSE)</f>
        <v>Huevos EXTRA</v>
      </c>
      <c r="T710" s="16">
        <f>VLOOKUP(E710,Precios!B$2:N$941,4,FALSE)*F710</f>
        <v>0</v>
      </c>
      <c r="U710" s="17"/>
      <c r="V710" s="12">
        <f>VLOOKUP(E710,Precios!B$2:N$941,13,FALSE)*F710</f>
        <v>1151.6230071195851</v>
      </c>
      <c r="W710" s="12">
        <f t="shared" si="4"/>
        <v>1151.6230071195851</v>
      </c>
      <c r="X710" s="12">
        <f>VLOOKUP(B710,'Datos Maestros'!$C$2:$D$7,2,FALSE)*V710</f>
        <v>0</v>
      </c>
      <c r="Y710" s="18">
        <f t="shared" si="5"/>
        <v>45866</v>
      </c>
      <c r="Z710" s="13" t="s">
        <v>39</v>
      </c>
      <c r="AA710" s="19" t="str">
        <f>VLOOKUP(D710,Clientes!$A$2:$J$486,9,FALSE)</f>
        <v>Ocacional</v>
      </c>
      <c r="AB710" s="13" t="str">
        <f>VLOOKUP(D710,Clientes!$A$2:$K$486,11,FALSE)</f>
        <v>Persona Natural</v>
      </c>
      <c r="AC710" s="13" t="str">
        <f>VLOOKUP(D710,Clientes!$A$2:$B$486,2,FALSE)</f>
        <v>Santa Julia</v>
      </c>
      <c r="AD710" s="20"/>
      <c r="AE710" s="20"/>
      <c r="AF710" s="13" t="s">
        <v>40</v>
      </c>
      <c r="AG710" s="15">
        <f t="shared" si="6"/>
        <v>45505</v>
      </c>
      <c r="AH710" s="13" t="s">
        <v>41</v>
      </c>
      <c r="AI710" s="13" t="str">
        <f t="shared" si="7"/>
        <v>Huevos</v>
      </c>
      <c r="AJ710" s="13" t="str">
        <f>VLOOKUP(E710,Precios!Z$2:AA$941,2,FALSE)</f>
        <v>Bandeja Huevos EXTRA</v>
      </c>
      <c r="AK710" s="14">
        <f>VLOOKUP(E710,Precios!Z$2:BB$941,3,FALSE)*F710</f>
        <v>-1</v>
      </c>
      <c r="AL710" s="17"/>
      <c r="AM710" s="17"/>
      <c r="AN710" s="17"/>
      <c r="AO710" s="17"/>
      <c r="AP710" s="17"/>
      <c r="AQ710" s="17"/>
      <c r="AR710" s="17"/>
      <c r="AS710" s="17"/>
      <c r="AT710" s="17"/>
      <c r="AU710" s="17"/>
      <c r="AV710" s="17"/>
    </row>
    <row r="711" spans="1:48" ht="15.75" customHeight="1">
      <c r="A711" s="21" t="s">
        <v>47</v>
      </c>
      <c r="B711" s="23" t="s">
        <v>1692</v>
      </c>
      <c r="C711" s="22">
        <v>45872</v>
      </c>
      <c r="D711" s="23" t="s">
        <v>228</v>
      </c>
      <c r="E711" s="23" t="s">
        <v>153</v>
      </c>
      <c r="F711" s="14">
        <v>1</v>
      </c>
      <c r="G711" s="12">
        <f>VLOOKUP(E711,Precios!B$2:N$941,12,FALSE)</f>
        <v>1900.0533862111042</v>
      </c>
      <c r="H711" s="12">
        <f t="shared" si="0"/>
        <v>1900.0533862111042</v>
      </c>
      <c r="I711" s="23" t="s">
        <v>52</v>
      </c>
      <c r="J711" s="23" t="s">
        <v>61</v>
      </c>
      <c r="K711" s="24" t="s">
        <v>177</v>
      </c>
      <c r="L711" s="24">
        <v>166</v>
      </c>
      <c r="M711" s="12">
        <f t="shared" ref="M711:N711" si="716">G711/1.19</f>
        <v>1596.6835178244573</v>
      </c>
      <c r="N711" s="12">
        <f t="shared" si="716"/>
        <v>1596.6835178244573</v>
      </c>
      <c r="O711" s="12">
        <f t="shared" si="2"/>
        <v>303.36986838664689</v>
      </c>
      <c r="P711" s="13"/>
      <c r="Q711" s="14">
        <f t="shared" si="3"/>
        <v>2025</v>
      </c>
      <c r="R711" s="15">
        <f>VLOOKUP(MONTH(C711),'Datos Maestros'!M$2:N$14,2,FALSE)</f>
        <v>45505</v>
      </c>
      <c r="S711" s="11" t="str">
        <f>VLOOKUP(E711,Precios!B$2:W$941,3,FALSE)</f>
        <v>Escobillon</v>
      </c>
      <c r="T711" s="16">
        <f>VLOOKUP(E711,Precios!B$2:N$941,4,FALSE)*F711</f>
        <v>0</v>
      </c>
      <c r="U711" s="17"/>
      <c r="V711" s="12">
        <f>VLOOKUP(E711,Precios!B$2:N$941,13,FALSE)*F711</f>
        <v>680.74601782445734</v>
      </c>
      <c r="W711" s="12">
        <f t="shared" si="4"/>
        <v>680.74601782445734</v>
      </c>
      <c r="X711" s="12">
        <f>VLOOKUP(B711,'Datos Maestros'!$C$2:$D$7,2,FALSE)*V711</f>
        <v>0</v>
      </c>
      <c r="Y711" s="18">
        <f t="shared" si="5"/>
        <v>45866</v>
      </c>
      <c r="Z711" s="13" t="s">
        <v>39</v>
      </c>
      <c r="AA711" s="19" t="str">
        <f>VLOOKUP(D711,Clientes!$A$2:$J$486,9,FALSE)</f>
        <v>Ocacional</v>
      </c>
      <c r="AB711" s="13" t="str">
        <f>VLOOKUP(D711,Clientes!$A$2:$K$486,11,FALSE)</f>
        <v>Persona Natural</v>
      </c>
      <c r="AC711" s="13" t="str">
        <f>VLOOKUP(D711,Clientes!$A$2:$B$486,2,FALSE)</f>
        <v>Santa Julia</v>
      </c>
      <c r="AD711" s="20"/>
      <c r="AE711" s="20"/>
      <c r="AF711" s="13" t="s">
        <v>40</v>
      </c>
      <c r="AG711" s="15">
        <f t="shared" si="6"/>
        <v>45505</v>
      </c>
      <c r="AH711" s="13" t="s">
        <v>41</v>
      </c>
      <c r="AI711" s="13" t="str">
        <f t="shared" si="7"/>
        <v>Articulos de Aseo</v>
      </c>
      <c r="AJ711" s="13" t="str">
        <f>VLOOKUP(E711,Precios!Z$2:AA$941,2,FALSE)</f>
        <v>Escobillon TEDDY</v>
      </c>
      <c r="AK711" s="14">
        <f>VLOOKUP(E711,Precios!Z$2:BB$941,3,FALSE)*F711</f>
        <v>-1</v>
      </c>
      <c r="AL711" s="17"/>
      <c r="AM711" s="17"/>
      <c r="AN711" s="17"/>
      <c r="AO711" s="17"/>
      <c r="AP711" s="17"/>
      <c r="AQ711" s="17"/>
      <c r="AR711" s="17"/>
      <c r="AS711" s="17"/>
      <c r="AT711" s="17"/>
      <c r="AU711" s="17"/>
      <c r="AV711" s="17"/>
    </row>
    <row r="712" spans="1:48" ht="15.75" customHeight="1">
      <c r="A712" s="21" t="s">
        <v>47</v>
      </c>
      <c r="B712" s="23" t="s">
        <v>1692</v>
      </c>
      <c r="C712" s="22">
        <v>45872</v>
      </c>
      <c r="D712" s="23" t="s">
        <v>228</v>
      </c>
      <c r="E712" s="23" t="s">
        <v>107</v>
      </c>
      <c r="F712" s="14">
        <v>1</v>
      </c>
      <c r="G712" s="12">
        <f>VLOOKUP(E712,Precios!B$2:N$941,12,FALSE)</f>
        <v>3000.0000000000005</v>
      </c>
      <c r="H712" s="12">
        <f t="shared" si="0"/>
        <v>3000.0000000000005</v>
      </c>
      <c r="I712" s="23" t="s">
        <v>52</v>
      </c>
      <c r="J712" s="23" t="s">
        <v>61</v>
      </c>
      <c r="K712" s="24" t="s">
        <v>177</v>
      </c>
      <c r="L712" s="24">
        <v>166</v>
      </c>
      <c r="M712" s="12">
        <f t="shared" ref="M712:N712" si="717">G712/1.19</f>
        <v>2521.0084033613452</v>
      </c>
      <c r="N712" s="12">
        <f t="shared" si="717"/>
        <v>2521.0084033613452</v>
      </c>
      <c r="O712" s="12">
        <f t="shared" si="2"/>
        <v>478.99159663865521</v>
      </c>
      <c r="P712" s="13"/>
      <c r="Q712" s="14">
        <f t="shared" si="3"/>
        <v>2025</v>
      </c>
      <c r="R712" s="15">
        <f>VLOOKUP(MONTH(C712),'Datos Maestros'!M$2:N$14,2,FALSE)</f>
        <v>45505</v>
      </c>
      <c r="S712" s="11" t="str">
        <f>VLOOKUP(E712,Precios!B$2:W$941,3,FALSE)</f>
        <v>Bolsa Basura</v>
      </c>
      <c r="T712" s="16">
        <f>VLOOKUP(E712,Precios!B$2:N$941,4,FALSE)*F712</f>
        <v>0</v>
      </c>
      <c r="U712" s="17"/>
      <c r="V712" s="12">
        <f>VLOOKUP(E712,Precios!B$2:N$941,13,FALSE)*F712</f>
        <v>758.82352941176487</v>
      </c>
      <c r="W712" s="12">
        <f t="shared" si="4"/>
        <v>758.82352941176487</v>
      </c>
      <c r="X712" s="12">
        <f>VLOOKUP(B712,'Datos Maestros'!$C$2:$D$7,2,FALSE)*V712</f>
        <v>0</v>
      </c>
      <c r="Y712" s="18">
        <f t="shared" si="5"/>
        <v>45866</v>
      </c>
      <c r="Z712" s="13" t="s">
        <v>39</v>
      </c>
      <c r="AA712" s="19" t="str">
        <f>VLOOKUP(D712,Clientes!$A$2:$J$486,9,FALSE)</f>
        <v>Ocacional</v>
      </c>
      <c r="AB712" s="13" t="str">
        <f>VLOOKUP(D712,Clientes!$A$2:$K$486,11,FALSE)</f>
        <v>Persona Natural</v>
      </c>
      <c r="AC712" s="13" t="str">
        <f>VLOOKUP(D712,Clientes!$A$2:$B$486,2,FALSE)</f>
        <v>Santa Julia</v>
      </c>
      <c r="AD712" s="20"/>
      <c r="AE712" s="20"/>
      <c r="AF712" s="13" t="s">
        <v>40</v>
      </c>
      <c r="AG712" s="15">
        <f t="shared" si="6"/>
        <v>45505</v>
      </c>
      <c r="AH712" s="13" t="s">
        <v>41</v>
      </c>
      <c r="AI712" s="13" t="str">
        <f t="shared" si="7"/>
        <v>Articulos de Aseo</v>
      </c>
      <c r="AJ712" s="13" t="str">
        <f>VLOOKUP(E712,Precios!Z$2:AA$941,2,FALSE)</f>
        <v xml:space="preserve">Bolsas Basura TEDDY 90x120 </v>
      </c>
      <c r="AK712" s="14">
        <f>VLOOKUP(E712,Precios!Z$2:BB$941,3,FALSE)*F712</f>
        <v>-1</v>
      </c>
      <c r="AL712" s="17"/>
      <c r="AM712" s="17"/>
      <c r="AN712" s="17"/>
      <c r="AO712" s="17"/>
      <c r="AP712" s="17"/>
      <c r="AQ712" s="17"/>
      <c r="AR712" s="17"/>
      <c r="AS712" s="17"/>
      <c r="AT712" s="17"/>
      <c r="AU712" s="17"/>
      <c r="AV712" s="17"/>
    </row>
    <row r="713" spans="1:48" ht="15.75" customHeight="1">
      <c r="A713" s="21" t="s">
        <v>47</v>
      </c>
      <c r="B713" s="23" t="s">
        <v>1692</v>
      </c>
      <c r="C713" s="22">
        <v>45872</v>
      </c>
      <c r="D713" s="23" t="s">
        <v>228</v>
      </c>
      <c r="E713" s="23" t="s">
        <v>343</v>
      </c>
      <c r="F713" s="14">
        <v>1</v>
      </c>
      <c r="G713" s="12">
        <f>VLOOKUP(E713,Precios!B$2:N$941,12,FALSE)</f>
        <v>2500</v>
      </c>
      <c r="H713" s="12">
        <f t="shared" si="0"/>
        <v>2500</v>
      </c>
      <c r="I713" s="23" t="s">
        <v>52</v>
      </c>
      <c r="J713" s="23" t="s">
        <v>61</v>
      </c>
      <c r="K713" s="24" t="s">
        <v>177</v>
      </c>
      <c r="L713" s="24">
        <v>166</v>
      </c>
      <c r="M713" s="12">
        <f t="shared" ref="M713:N713" si="718">G713/1.19</f>
        <v>2100.840336134454</v>
      </c>
      <c r="N713" s="12">
        <f t="shared" si="718"/>
        <v>2100.840336134454</v>
      </c>
      <c r="O713" s="12">
        <f t="shared" si="2"/>
        <v>399.15966386554601</v>
      </c>
      <c r="P713" s="13"/>
      <c r="Q713" s="14">
        <f t="shared" si="3"/>
        <v>2025</v>
      </c>
      <c r="R713" s="15">
        <f>VLOOKUP(MONTH(C713),'Datos Maestros'!M$2:N$14,2,FALSE)</f>
        <v>45505</v>
      </c>
      <c r="S713" s="11" t="str">
        <f>VLOOKUP(E713,Precios!B$2:W$941,3,FALSE)</f>
        <v>Toalla desinfectantes</v>
      </c>
      <c r="T713" s="16">
        <f>VLOOKUP(E713,Precios!B$2:N$941,4,FALSE)*F713</f>
        <v>0</v>
      </c>
      <c r="U713" s="17"/>
      <c r="V713" s="12">
        <f>VLOOKUP(E713,Precios!B$2:N$941,13,FALSE)*F713</f>
        <v>621.84873949579855</v>
      </c>
      <c r="W713" s="12">
        <f t="shared" si="4"/>
        <v>621.84873949579855</v>
      </c>
      <c r="X713" s="12">
        <f>VLOOKUP(B713,'Datos Maestros'!$C$2:$D$7,2,FALSE)*V713</f>
        <v>0</v>
      </c>
      <c r="Y713" s="18">
        <f t="shared" si="5"/>
        <v>45866</v>
      </c>
      <c r="Z713" s="13" t="s">
        <v>39</v>
      </c>
      <c r="AA713" s="19" t="str">
        <f>VLOOKUP(D713,Clientes!$A$2:$J$486,9,FALSE)</f>
        <v>Ocacional</v>
      </c>
      <c r="AB713" s="13" t="str">
        <f>VLOOKUP(D713,Clientes!$A$2:$K$486,11,FALSE)</f>
        <v>Persona Natural</v>
      </c>
      <c r="AC713" s="13" t="str">
        <f>VLOOKUP(D713,Clientes!$A$2:$B$486,2,FALSE)</f>
        <v>Santa Julia</v>
      </c>
      <c r="AD713" s="20"/>
      <c r="AE713" s="20"/>
      <c r="AF713" s="13" t="s">
        <v>40</v>
      </c>
      <c r="AG713" s="15">
        <f t="shared" si="6"/>
        <v>45505</v>
      </c>
      <c r="AH713" s="13" t="s">
        <v>41</v>
      </c>
      <c r="AI713" s="13" t="str">
        <f t="shared" si="7"/>
        <v>Articulos de Aseo</v>
      </c>
      <c r="AJ713" s="13" t="str">
        <f>VLOOKUP(E713,Precios!Z$2:AA$941,2,FALSE)</f>
        <v>Toalla desinfectante IGENIX 50 unidades</v>
      </c>
      <c r="AK713" s="14">
        <f>VLOOKUP(E713,Precios!Z$2:BB$941,3,FALSE)*F713</f>
        <v>-1</v>
      </c>
      <c r="AL713" s="17"/>
      <c r="AM713" s="17"/>
      <c r="AN713" s="17"/>
      <c r="AO713" s="17"/>
      <c r="AP713" s="17"/>
      <c r="AQ713" s="17"/>
      <c r="AR713" s="17"/>
      <c r="AS713" s="17"/>
      <c r="AT713" s="17"/>
      <c r="AU713" s="17"/>
      <c r="AV713" s="17"/>
    </row>
    <row r="714" spans="1:48" ht="15.75" customHeight="1">
      <c r="A714" s="21" t="s">
        <v>76</v>
      </c>
      <c r="B714" s="23" t="s">
        <v>1692</v>
      </c>
      <c r="C714" s="22">
        <v>45872</v>
      </c>
      <c r="D714" s="23" t="s">
        <v>228</v>
      </c>
      <c r="E714" s="23" t="s">
        <v>110</v>
      </c>
      <c r="F714" s="14">
        <v>1</v>
      </c>
      <c r="G714" s="12">
        <f>VLOOKUP(E714,Precios!B$2:N$941,12,FALSE)</f>
        <v>2000.0000000000005</v>
      </c>
      <c r="H714" s="12">
        <f t="shared" si="0"/>
        <v>2000.0000000000005</v>
      </c>
      <c r="I714" s="23" t="s">
        <v>52</v>
      </c>
      <c r="J714" s="23" t="s">
        <v>61</v>
      </c>
      <c r="K714" s="24" t="s">
        <v>177</v>
      </c>
      <c r="L714" s="24">
        <v>166</v>
      </c>
      <c r="M714" s="12">
        <f t="shared" ref="M714:N714" si="719">G714/1.19</f>
        <v>1680.6722689075634</v>
      </c>
      <c r="N714" s="12">
        <f t="shared" si="719"/>
        <v>1680.6722689075634</v>
      </c>
      <c r="O714" s="12">
        <f t="shared" si="2"/>
        <v>319.32773109243703</v>
      </c>
      <c r="P714" s="13"/>
      <c r="Q714" s="14">
        <f t="shared" si="3"/>
        <v>2025</v>
      </c>
      <c r="R714" s="15">
        <f>VLOOKUP(MONTH(C714),'Datos Maestros'!M$2:N$14,2,FALSE)</f>
        <v>45505</v>
      </c>
      <c r="S714" s="11" t="str">
        <f>VLOOKUP(E714,Precios!B$2:W$941,3,FALSE)</f>
        <v>Cloro</v>
      </c>
      <c r="T714" s="16">
        <f>VLOOKUP(E714,Precios!B$2:N$941,4,FALSE)*F714</f>
        <v>5</v>
      </c>
      <c r="U714" s="17"/>
      <c r="V714" s="12">
        <f>VLOOKUP(E714,Precios!B$2:N$941,13,FALSE)*F714</f>
        <v>756.30252100840369</v>
      </c>
      <c r="W714" s="12">
        <f t="shared" si="4"/>
        <v>756.30252100840369</v>
      </c>
      <c r="X714" s="12">
        <f>VLOOKUP(B714,'Datos Maestros'!$C$2:$D$7,2,FALSE)*V714</f>
        <v>0</v>
      </c>
      <c r="Y714" s="18">
        <f t="shared" si="5"/>
        <v>45866</v>
      </c>
      <c r="Z714" s="13" t="s">
        <v>39</v>
      </c>
      <c r="AA714" s="19" t="str">
        <f>VLOOKUP(D714,Clientes!$A$2:$J$486,9,FALSE)</f>
        <v>Ocacional</v>
      </c>
      <c r="AB714" s="13" t="str">
        <f>VLOOKUP(D714,Clientes!$A$2:$K$486,11,FALSE)</f>
        <v>Persona Natural</v>
      </c>
      <c r="AC714" s="13" t="str">
        <f>VLOOKUP(D714,Clientes!$A$2:$B$486,2,FALSE)</f>
        <v>Santa Julia</v>
      </c>
      <c r="AD714" s="20"/>
      <c r="AE714" s="20"/>
      <c r="AF714" s="13" t="s">
        <v>40</v>
      </c>
      <c r="AG714" s="15">
        <f t="shared" si="6"/>
        <v>45505</v>
      </c>
      <c r="AH714" s="13" t="s">
        <v>41</v>
      </c>
      <c r="AI714" s="13" t="str">
        <f t="shared" si="7"/>
        <v>Detergentes</v>
      </c>
      <c r="AJ714" s="13" t="str">
        <f>VLOOKUP(E714,Precios!Z$2:AA$941,2,FALSE)</f>
        <v>Cloro SPUM 5 Litros</v>
      </c>
      <c r="AK714" s="14">
        <f>VLOOKUP(E714,Precios!Z$2:BB$941,3,FALSE)*F714</f>
        <v>-1</v>
      </c>
      <c r="AL714" s="17"/>
      <c r="AM714" s="17"/>
      <c r="AN714" s="17"/>
      <c r="AO714" s="17"/>
      <c r="AP714" s="17"/>
      <c r="AQ714" s="17"/>
      <c r="AR714" s="17"/>
      <c r="AS714" s="17"/>
      <c r="AT714" s="17"/>
      <c r="AU714" s="17"/>
      <c r="AV714" s="17"/>
    </row>
    <row r="715" spans="1:48" ht="15.75" customHeight="1">
      <c r="A715" s="21" t="s">
        <v>76</v>
      </c>
      <c r="B715" s="23" t="s">
        <v>1692</v>
      </c>
      <c r="C715" s="22">
        <v>45872</v>
      </c>
      <c r="D715" s="23" t="s">
        <v>228</v>
      </c>
      <c r="E715" s="23" t="s">
        <v>81</v>
      </c>
      <c r="F715" s="14">
        <v>1</v>
      </c>
      <c r="G715" s="12">
        <f>VLOOKUP(E715,Precios!B$2:N$941,12,FALSE)</f>
        <v>3500.0000000000005</v>
      </c>
      <c r="H715" s="12">
        <f t="shared" si="0"/>
        <v>3500.0000000000005</v>
      </c>
      <c r="I715" s="23" t="s">
        <v>52</v>
      </c>
      <c r="J715" s="23" t="s">
        <v>61</v>
      </c>
      <c r="K715" s="24" t="s">
        <v>177</v>
      </c>
      <c r="L715" s="24">
        <v>166</v>
      </c>
      <c r="M715" s="12">
        <f t="shared" ref="M715:N715" si="720">G715/1.19</f>
        <v>2941.1764705882356</v>
      </c>
      <c r="N715" s="12">
        <f t="shared" si="720"/>
        <v>2941.1764705882356</v>
      </c>
      <c r="O715" s="12">
        <f t="shared" si="2"/>
        <v>558.82352941176487</v>
      </c>
      <c r="P715" s="13"/>
      <c r="Q715" s="14">
        <f t="shared" si="3"/>
        <v>2025</v>
      </c>
      <c r="R715" s="15">
        <f>VLOOKUP(MONTH(C715),'Datos Maestros'!M$2:N$14,2,FALSE)</f>
        <v>45505</v>
      </c>
      <c r="S715" s="11" t="str">
        <f>VLOOKUP(E715,Precios!B$2:W$941,3,FALSE)</f>
        <v>Detergente Premium</v>
      </c>
      <c r="T715" s="16">
        <f>VLOOKUP(E715,Precios!B$2:N$941,4,FALSE)*F715</f>
        <v>5</v>
      </c>
      <c r="U715" s="17"/>
      <c r="V715" s="12">
        <f>VLOOKUP(E715,Precios!B$2:N$941,13,FALSE)*F715</f>
        <v>764.70588235294144</v>
      </c>
      <c r="W715" s="12">
        <f t="shared" si="4"/>
        <v>764.70588235294144</v>
      </c>
      <c r="X715" s="12">
        <f>VLOOKUP(B715,'Datos Maestros'!$C$2:$D$7,2,FALSE)*V715</f>
        <v>0</v>
      </c>
      <c r="Y715" s="18">
        <f t="shared" si="5"/>
        <v>45866</v>
      </c>
      <c r="Z715" s="13" t="s">
        <v>39</v>
      </c>
      <c r="AA715" s="19" t="str">
        <f>VLOOKUP(D715,Clientes!$A$2:$J$486,9,FALSE)</f>
        <v>Ocacional</v>
      </c>
      <c r="AB715" s="13" t="str">
        <f>VLOOKUP(D715,Clientes!$A$2:$K$486,11,FALSE)</f>
        <v>Persona Natural</v>
      </c>
      <c r="AC715" s="13" t="str">
        <f>VLOOKUP(D715,Clientes!$A$2:$B$486,2,FALSE)</f>
        <v>Santa Julia</v>
      </c>
      <c r="AD715" s="20"/>
      <c r="AE715" s="20"/>
      <c r="AF715" s="13" t="s">
        <v>40</v>
      </c>
      <c r="AG715" s="15">
        <f t="shared" si="6"/>
        <v>45505</v>
      </c>
      <c r="AH715" s="13" t="s">
        <v>41</v>
      </c>
      <c r="AI715" s="13" t="str">
        <f t="shared" si="7"/>
        <v>Detergentes</v>
      </c>
      <c r="AJ715" s="13" t="str">
        <f>VLOOKUP(E715,Precios!Z$2:AA$941,2,FALSE)</f>
        <v>Detergente SPUM 5 Litros (Verde)</v>
      </c>
      <c r="AK715" s="14">
        <f>VLOOKUP(E715,Precios!Z$2:BB$941,3,FALSE)*F715</f>
        <v>-1</v>
      </c>
      <c r="AL715" s="17"/>
      <c r="AM715" s="17"/>
      <c r="AN715" s="17"/>
      <c r="AO715" s="17"/>
      <c r="AP715" s="17"/>
      <c r="AQ715" s="17"/>
      <c r="AR715" s="17"/>
      <c r="AS715" s="17"/>
      <c r="AT715" s="17"/>
      <c r="AU715" s="17"/>
      <c r="AV715" s="17"/>
    </row>
    <row r="716" spans="1:48" ht="15.75" customHeight="1">
      <c r="A716" s="21" t="s">
        <v>47</v>
      </c>
      <c r="B716" s="23" t="s">
        <v>1692</v>
      </c>
      <c r="C716" s="22">
        <v>45872</v>
      </c>
      <c r="D716" s="23" t="s">
        <v>228</v>
      </c>
      <c r="E716" s="23" t="s">
        <v>48</v>
      </c>
      <c r="F716" s="14">
        <v>1</v>
      </c>
      <c r="G716" s="12">
        <f>VLOOKUP(E716,Precios!B$2:N$941,12,FALSE)</f>
        <v>1000</v>
      </c>
      <c r="H716" s="12">
        <f t="shared" si="0"/>
        <v>1000</v>
      </c>
      <c r="I716" s="23" t="s">
        <v>52</v>
      </c>
      <c r="J716" s="23" t="s">
        <v>61</v>
      </c>
      <c r="K716" s="24" t="s">
        <v>177</v>
      </c>
      <c r="L716" s="24">
        <v>166</v>
      </c>
      <c r="M716" s="12">
        <f t="shared" ref="M716:N716" si="721">G716/1.19</f>
        <v>840.3361344537816</v>
      </c>
      <c r="N716" s="12">
        <f t="shared" si="721"/>
        <v>840.3361344537816</v>
      </c>
      <c r="O716" s="12">
        <f t="shared" si="2"/>
        <v>159.6638655462184</v>
      </c>
      <c r="P716" s="13"/>
      <c r="Q716" s="14">
        <f t="shared" si="3"/>
        <v>2025</v>
      </c>
      <c r="R716" s="15">
        <f>VLOOKUP(MONTH(C716),'Datos Maestros'!M$2:N$14,2,FALSE)</f>
        <v>45505</v>
      </c>
      <c r="S716" s="11" t="str">
        <f>VLOOKUP(E716,Precios!B$2:W$941,3,FALSE)</f>
        <v>Esponjas</v>
      </c>
      <c r="T716" s="16">
        <f>VLOOKUP(E716,Precios!B$2:N$941,4,FALSE)*F716</f>
        <v>0</v>
      </c>
      <c r="U716" s="17"/>
      <c r="V716" s="12">
        <f>VLOOKUP(E716,Precios!B$2:N$941,13,FALSE)*F716</f>
        <v>330.33613445378148</v>
      </c>
      <c r="W716" s="12">
        <f t="shared" si="4"/>
        <v>330.33613445378148</v>
      </c>
      <c r="X716" s="12">
        <f>VLOOKUP(B716,'Datos Maestros'!$C$2:$D$7,2,FALSE)*V716</f>
        <v>0</v>
      </c>
      <c r="Y716" s="18">
        <f t="shared" si="5"/>
        <v>45866</v>
      </c>
      <c r="Z716" s="13" t="s">
        <v>39</v>
      </c>
      <c r="AA716" s="19" t="str">
        <f>VLOOKUP(D716,Clientes!$A$2:$J$486,9,FALSE)</f>
        <v>Ocacional</v>
      </c>
      <c r="AB716" s="13" t="str">
        <f>VLOOKUP(D716,Clientes!$A$2:$K$486,11,FALSE)</f>
        <v>Persona Natural</v>
      </c>
      <c r="AC716" s="13" t="str">
        <f>VLOOKUP(D716,Clientes!$A$2:$B$486,2,FALSE)</f>
        <v>Santa Julia</v>
      </c>
      <c r="AD716" s="20"/>
      <c r="AE716" s="20"/>
      <c r="AF716" s="13" t="s">
        <v>40</v>
      </c>
      <c r="AG716" s="15">
        <f t="shared" si="6"/>
        <v>45505</v>
      </c>
      <c r="AH716" s="13" t="s">
        <v>41</v>
      </c>
      <c r="AI716" s="13" t="str">
        <f t="shared" si="7"/>
        <v>Articulos de Aseo</v>
      </c>
      <c r="AJ716" s="13" t="str">
        <f>VLOOKUP(E716,Precios!Z$2:AA$941,2,FALSE)</f>
        <v>Esponja Acanalada TEDDY</v>
      </c>
      <c r="AK716" s="14">
        <f>VLOOKUP(E716,Precios!Z$2:BB$941,3,FALSE)*F716</f>
        <v>-5</v>
      </c>
      <c r="AL716" s="17"/>
      <c r="AM716" s="17"/>
      <c r="AN716" s="17"/>
      <c r="AO716" s="17"/>
      <c r="AP716" s="17"/>
      <c r="AQ716" s="17"/>
      <c r="AR716" s="17"/>
      <c r="AS716" s="17"/>
      <c r="AT716" s="17"/>
      <c r="AU716" s="17"/>
      <c r="AV716" s="17"/>
    </row>
    <row r="717" spans="1:48" ht="15.75" customHeight="1">
      <c r="A717" s="21" t="s">
        <v>47</v>
      </c>
      <c r="B717" s="23" t="s">
        <v>1692</v>
      </c>
      <c r="C717" s="22">
        <v>45872</v>
      </c>
      <c r="D717" s="23" t="s">
        <v>228</v>
      </c>
      <c r="E717" s="23" t="s">
        <v>344</v>
      </c>
      <c r="F717" s="14">
        <v>1</v>
      </c>
      <c r="G717" s="12">
        <f>VLOOKUP(E717,Precios!B$2:N$941,12,FALSE)</f>
        <v>2399.7797710905352</v>
      </c>
      <c r="H717" s="12">
        <f t="shared" si="0"/>
        <v>2399.7797710905352</v>
      </c>
      <c r="I717" s="23" t="s">
        <v>52</v>
      </c>
      <c r="J717" s="23" t="s">
        <v>61</v>
      </c>
      <c r="K717" s="24" t="s">
        <v>177</v>
      </c>
      <c r="L717" s="24">
        <v>166</v>
      </c>
      <c r="M717" s="12">
        <f t="shared" ref="M717:N717" si="722">G717/1.19</f>
        <v>2016.6216563786011</v>
      </c>
      <c r="N717" s="12">
        <f t="shared" si="722"/>
        <v>2016.6216563786011</v>
      </c>
      <c r="O717" s="12">
        <f t="shared" si="2"/>
        <v>383.1581147119341</v>
      </c>
      <c r="P717" s="13"/>
      <c r="Q717" s="14">
        <f t="shared" si="3"/>
        <v>2025</v>
      </c>
      <c r="R717" s="15">
        <f>VLOOKUP(MONTH(C717),'Datos Maestros'!M$2:N$14,2,FALSE)</f>
        <v>45505</v>
      </c>
      <c r="S717" s="11" t="str">
        <f>VLOOKUP(E717,Precios!B$2:W$941,3,FALSE)</f>
        <v>Trapero Húmedo</v>
      </c>
      <c r="T717" s="16">
        <f>VLOOKUP(E717,Precios!B$2:N$941,4,FALSE)*F717</f>
        <v>0</v>
      </c>
      <c r="U717" s="17"/>
      <c r="V717" s="12">
        <f>VLOOKUP(E717,Precios!B$2:N$941,13,FALSE)*F717</f>
        <v>971.20498971193433</v>
      </c>
      <c r="W717" s="12">
        <f t="shared" si="4"/>
        <v>971.20498971193433</v>
      </c>
      <c r="X717" s="12">
        <f>VLOOKUP(B717,'Datos Maestros'!$C$2:$D$7,2,FALSE)*V717</f>
        <v>0</v>
      </c>
      <c r="Y717" s="18">
        <f t="shared" si="5"/>
        <v>45866</v>
      </c>
      <c r="Z717" s="13" t="s">
        <v>39</v>
      </c>
      <c r="AA717" s="19" t="str">
        <f>VLOOKUP(D717,Clientes!$A$2:$J$486,9,FALSE)</f>
        <v>Ocacional</v>
      </c>
      <c r="AB717" s="13" t="str">
        <f>VLOOKUP(D717,Clientes!$A$2:$K$486,11,FALSE)</f>
        <v>Persona Natural</v>
      </c>
      <c r="AC717" s="13" t="str">
        <f>VLOOKUP(D717,Clientes!$A$2:$B$486,2,FALSE)</f>
        <v>Santa Julia</v>
      </c>
      <c r="AD717" s="20"/>
      <c r="AE717" s="20"/>
      <c r="AF717" s="13" t="s">
        <v>40</v>
      </c>
      <c r="AG717" s="15">
        <f t="shared" si="6"/>
        <v>45505</v>
      </c>
      <c r="AH717" s="13" t="s">
        <v>41</v>
      </c>
      <c r="AI717" s="13" t="str">
        <f t="shared" si="7"/>
        <v>Articulos de Aseo</v>
      </c>
      <c r="AJ717" s="13" t="str">
        <f>VLOOKUP(E717,Precios!Z$2:AA$941,2,FALSE)</f>
        <v>Traperos Humedos TEDDY</v>
      </c>
      <c r="AK717" s="14">
        <f>VLOOKUP(E717,Precios!Z$2:BB$941,3,FALSE)*F717</f>
        <v>-1</v>
      </c>
      <c r="AL717" s="17"/>
      <c r="AM717" s="17"/>
      <c r="AN717" s="17"/>
      <c r="AO717" s="17"/>
      <c r="AP717" s="17"/>
      <c r="AQ717" s="17"/>
      <c r="AR717" s="17"/>
      <c r="AS717" s="17"/>
      <c r="AT717" s="17"/>
      <c r="AU717" s="17"/>
      <c r="AV717" s="17"/>
    </row>
    <row r="718" spans="1:48" ht="15.75" customHeight="1">
      <c r="A718" s="21" t="s">
        <v>56</v>
      </c>
      <c r="B718" s="23" t="s">
        <v>1692</v>
      </c>
      <c r="C718" s="22">
        <v>45872</v>
      </c>
      <c r="D718" s="23" t="s">
        <v>310</v>
      </c>
      <c r="E718" s="23" t="s">
        <v>60</v>
      </c>
      <c r="F718" s="14">
        <v>1</v>
      </c>
      <c r="G718" s="12">
        <f>VLOOKUP(E718,Precios!B$2:N$941,12,FALSE)</f>
        <v>7000.0000000000018</v>
      </c>
      <c r="H718" s="12">
        <f t="shared" si="0"/>
        <v>7000.0000000000018</v>
      </c>
      <c r="I718" s="23" t="s">
        <v>52</v>
      </c>
      <c r="J718" s="23" t="s">
        <v>38</v>
      </c>
      <c r="K718" s="24" t="s">
        <v>177</v>
      </c>
      <c r="L718" s="24">
        <v>166</v>
      </c>
      <c r="M718" s="12">
        <f t="shared" ref="M718:N718" si="723">G718/1.19</f>
        <v>5882.3529411764721</v>
      </c>
      <c r="N718" s="12">
        <f t="shared" si="723"/>
        <v>5882.3529411764721</v>
      </c>
      <c r="O718" s="12">
        <f t="shared" si="2"/>
        <v>1117.6470588235297</v>
      </c>
      <c r="P718" s="13"/>
      <c r="Q718" s="14">
        <f t="shared" si="3"/>
        <v>2025</v>
      </c>
      <c r="R718" s="15">
        <f>VLOOKUP(MONTH(C718),'Datos Maestros'!M$2:N$14,2,FALSE)</f>
        <v>45505</v>
      </c>
      <c r="S718" s="11" t="str">
        <f>VLOOKUP(E718,Precios!B$2:W$941,3,FALSE)</f>
        <v xml:space="preserve">Queso Rueda Sabores </v>
      </c>
      <c r="T718" s="16">
        <f>VLOOKUP(E718,Precios!B$2:N$941,4,FALSE)*F718</f>
        <v>200</v>
      </c>
      <c r="U718" s="17"/>
      <c r="V718" s="12">
        <f>VLOOKUP(E718,Precios!B$2:N$941,13,FALSE)*F718</f>
        <v>2080.6722689075641</v>
      </c>
      <c r="W718" s="12">
        <f t="shared" si="4"/>
        <v>2080.6722689075641</v>
      </c>
      <c r="X718" s="12">
        <f>VLOOKUP(B718,'Datos Maestros'!$C$2:$D$7,2,FALSE)*V718</f>
        <v>0</v>
      </c>
      <c r="Y718" s="18">
        <f t="shared" si="5"/>
        <v>45866</v>
      </c>
      <c r="Z718" s="13" t="s">
        <v>39</v>
      </c>
      <c r="AA718" s="19" t="str">
        <f>VLOOKUP(D718,Clientes!$A$2:$J$486,9,FALSE)</f>
        <v>Familiar</v>
      </c>
      <c r="AB718" s="13" t="str">
        <f>VLOOKUP(D718,Clientes!$A$2:$K$486,11,FALSE)</f>
        <v>Persona Natural</v>
      </c>
      <c r="AC718" s="13" t="str">
        <f>VLOOKUP(D718,Clientes!$A$2:$B$486,2,FALSE)</f>
        <v>Familiar</v>
      </c>
      <c r="AD718" s="20"/>
      <c r="AE718" s="20"/>
      <c r="AF718" s="13" t="s">
        <v>40</v>
      </c>
      <c r="AG718" s="15">
        <f t="shared" si="6"/>
        <v>45505</v>
      </c>
      <c r="AH718" s="13" t="s">
        <v>41</v>
      </c>
      <c r="AI718" s="13" t="str">
        <f t="shared" si="7"/>
        <v>Derivados</v>
      </c>
      <c r="AJ718" s="13" t="str">
        <f>VLOOKUP(E718,Precios!Z$2:AA$941,2,FALSE)</f>
        <v>Queso Sabores</v>
      </c>
      <c r="AK718" s="14">
        <f>VLOOKUP(E718,Precios!Z$2:BB$941,3,FALSE)*F718</f>
        <v>-2</v>
      </c>
      <c r="AL718" s="17"/>
      <c r="AM718" s="17"/>
      <c r="AN718" s="17"/>
      <c r="AO718" s="17"/>
      <c r="AP718" s="17"/>
      <c r="AQ718" s="17"/>
      <c r="AR718" s="17"/>
      <c r="AS718" s="17"/>
      <c r="AT718" s="17"/>
      <c r="AU718" s="17"/>
      <c r="AV718" s="17"/>
    </row>
    <row r="719" spans="1:48" ht="15.75" customHeight="1">
      <c r="A719" s="21" t="s">
        <v>53</v>
      </c>
      <c r="B719" s="23" t="s">
        <v>1692</v>
      </c>
      <c r="C719" s="22">
        <v>45872</v>
      </c>
      <c r="D719" s="23" t="s">
        <v>236</v>
      </c>
      <c r="E719" s="23" t="s">
        <v>192</v>
      </c>
      <c r="F719" s="14">
        <v>1</v>
      </c>
      <c r="G719" s="12">
        <f>VLOOKUP(E719,Precios!B$2:N$941,12,FALSE)</f>
        <v>16000</v>
      </c>
      <c r="H719" s="12">
        <f t="shared" si="0"/>
        <v>16000</v>
      </c>
      <c r="I719" s="23" t="s">
        <v>52</v>
      </c>
      <c r="J719" s="23" t="s">
        <v>61</v>
      </c>
      <c r="K719" s="24" t="s">
        <v>177</v>
      </c>
      <c r="L719" s="24">
        <v>166</v>
      </c>
      <c r="M719" s="12">
        <f t="shared" ref="M719:N719" si="724">G719/1.19</f>
        <v>13445.378151260506</v>
      </c>
      <c r="N719" s="12">
        <f t="shared" si="724"/>
        <v>13445.378151260506</v>
      </c>
      <c r="O719" s="12">
        <f t="shared" si="2"/>
        <v>2554.6218487394945</v>
      </c>
      <c r="P719" s="13"/>
      <c r="Q719" s="14">
        <f t="shared" si="3"/>
        <v>2025</v>
      </c>
      <c r="R719" s="15">
        <f>VLOOKUP(MONTH(C719),'Datos Maestros'!M$2:N$14,2,FALSE)</f>
        <v>45505</v>
      </c>
      <c r="S719" s="11" t="str">
        <f>VLOOKUP(E719,Precios!B$2:W$941,3,FALSE)</f>
        <v>Papel Higiénico SWAN</v>
      </c>
      <c r="T719" s="16">
        <f>VLOOKUP(E719,Precios!B$2:N$941,4,FALSE)*F719</f>
        <v>0</v>
      </c>
      <c r="U719" s="17"/>
      <c r="V719" s="12">
        <f>VLOOKUP(E719,Precios!B$2:N$941,13,FALSE)*F719</f>
        <v>5125.3781512605037</v>
      </c>
      <c r="W719" s="12">
        <f t="shared" si="4"/>
        <v>5125.3781512605037</v>
      </c>
      <c r="X719" s="12">
        <f>VLOOKUP(B719,'Datos Maestros'!$C$2:$D$7,2,FALSE)*V719</f>
        <v>0</v>
      </c>
      <c r="Y719" s="18">
        <f t="shared" si="5"/>
        <v>45866</v>
      </c>
      <c r="Z719" s="13" t="s">
        <v>39</v>
      </c>
      <c r="AA719" s="19" t="str">
        <f>VLOOKUP(D719,Clientes!$A$2:$J$486,9,FALSE)</f>
        <v>Familiar</v>
      </c>
      <c r="AB719" s="13" t="str">
        <f>VLOOKUP(D719,Clientes!$A$2:$K$486,11,FALSE)</f>
        <v>Persona Natural</v>
      </c>
      <c r="AC719" s="13" t="str">
        <f>VLOOKUP(D719,Clientes!$A$2:$B$486,2,FALSE)</f>
        <v>Familiar</v>
      </c>
      <c r="AD719" s="20"/>
      <c r="AE719" s="20"/>
      <c r="AF719" s="13" t="s">
        <v>40</v>
      </c>
      <c r="AG719" s="15">
        <f t="shared" si="6"/>
        <v>45505</v>
      </c>
      <c r="AH719" s="13" t="s">
        <v>41</v>
      </c>
      <c r="AI719" s="13" t="str">
        <f t="shared" si="7"/>
        <v>Papeleria</v>
      </c>
      <c r="AJ719" s="13" t="str">
        <f>VLOOKUP(E719,Precios!Z$2:AA$941,2,FALSE)</f>
        <v>Papel Higienico SWAN 400 hojas</v>
      </c>
      <c r="AK719" s="14">
        <f>VLOOKUP(E719,Precios!Z$2:BB$941,3,FALSE)*F719</f>
        <v>-8</v>
      </c>
      <c r="AL719" s="17"/>
      <c r="AM719" s="17"/>
      <c r="AN719" s="17"/>
      <c r="AO719" s="17"/>
      <c r="AP719" s="17"/>
      <c r="AQ719" s="17"/>
      <c r="AR719" s="17"/>
      <c r="AS719" s="17"/>
      <c r="AT719" s="17"/>
      <c r="AU719" s="17"/>
      <c r="AV719" s="17"/>
    </row>
    <row r="720" spans="1:48" ht="15.75" customHeight="1">
      <c r="A720" s="21" t="s">
        <v>53</v>
      </c>
      <c r="B720" s="23" t="s">
        <v>1692</v>
      </c>
      <c r="C720" s="22">
        <v>45872</v>
      </c>
      <c r="D720" s="23" t="s">
        <v>236</v>
      </c>
      <c r="E720" s="23" t="s">
        <v>114</v>
      </c>
      <c r="F720" s="14">
        <v>1</v>
      </c>
      <c r="G720" s="12">
        <f>VLOOKUP(E720,Precios!B$2:N$941,12,FALSE)</f>
        <v>10500</v>
      </c>
      <c r="H720" s="12">
        <f t="shared" si="0"/>
        <v>10500</v>
      </c>
      <c r="I720" s="23" t="s">
        <v>52</v>
      </c>
      <c r="J720" s="23" t="s">
        <v>61</v>
      </c>
      <c r="K720" s="24" t="s">
        <v>177</v>
      </c>
      <c r="L720" s="24">
        <v>166</v>
      </c>
      <c r="M720" s="12">
        <f t="shared" ref="M720:N720" si="725">G720/1.19</f>
        <v>8823.5294117647063</v>
      </c>
      <c r="N720" s="12">
        <f t="shared" si="725"/>
        <v>8823.5294117647063</v>
      </c>
      <c r="O720" s="12">
        <f t="shared" si="2"/>
        <v>1676.4705882352937</v>
      </c>
      <c r="P720" s="13"/>
      <c r="Q720" s="14">
        <f t="shared" si="3"/>
        <v>2025</v>
      </c>
      <c r="R720" s="15">
        <f>VLOOKUP(MONTH(C720),'Datos Maestros'!M$2:N$14,2,FALSE)</f>
        <v>45505</v>
      </c>
      <c r="S720" s="11" t="str">
        <f>VLOOKUP(E720,Precios!B$2:W$941,3,FALSE)</f>
        <v>Toalla Nova 3 rollos</v>
      </c>
      <c r="T720" s="16">
        <f>VLOOKUP(E720,Precios!B$2:N$941,4,FALSE)*F720</f>
        <v>0</v>
      </c>
      <c r="U720" s="17"/>
      <c r="V720" s="12">
        <f>VLOOKUP(E720,Precios!B$2:N$941,13,FALSE)*F720</f>
        <v>2403.3613445378151</v>
      </c>
      <c r="W720" s="12">
        <f t="shared" si="4"/>
        <v>2403.3613445378151</v>
      </c>
      <c r="X720" s="12">
        <f>VLOOKUP(B720,'Datos Maestros'!$C$2:$D$7,2,FALSE)*V720</f>
        <v>0</v>
      </c>
      <c r="Y720" s="18">
        <f t="shared" si="5"/>
        <v>45866</v>
      </c>
      <c r="Z720" s="13" t="s">
        <v>39</v>
      </c>
      <c r="AA720" s="19" t="str">
        <f>VLOOKUP(D720,Clientes!$A$2:$J$486,9,FALSE)</f>
        <v>Familiar</v>
      </c>
      <c r="AB720" s="13" t="str">
        <f>VLOOKUP(D720,Clientes!$A$2:$K$486,11,FALSE)</f>
        <v>Persona Natural</v>
      </c>
      <c r="AC720" s="13" t="str">
        <f>VLOOKUP(D720,Clientes!$A$2:$B$486,2,FALSE)</f>
        <v>Familiar</v>
      </c>
      <c r="AD720" s="20"/>
      <c r="AE720" s="20"/>
      <c r="AF720" s="13" t="s">
        <v>40</v>
      </c>
      <c r="AG720" s="15">
        <f t="shared" si="6"/>
        <v>45505</v>
      </c>
      <c r="AH720" s="13" t="s">
        <v>41</v>
      </c>
      <c r="AI720" s="13" t="str">
        <f t="shared" si="7"/>
        <v>Papeleria</v>
      </c>
      <c r="AJ720" s="13" t="str">
        <f>VLOOKUP(E720,Precios!Z$2:AA$941,2,FALSE)</f>
        <v>Toalla Papel NOVA 12 metros</v>
      </c>
      <c r="AK720" s="14">
        <f>VLOOKUP(E720,Precios!Z$2:BB$941,3,FALSE)*F720</f>
        <v>-8</v>
      </c>
      <c r="AL720" s="17"/>
      <c r="AM720" s="17"/>
      <c r="AN720" s="17"/>
      <c r="AO720" s="17"/>
      <c r="AP720" s="17"/>
      <c r="AQ720" s="17"/>
      <c r="AR720" s="17"/>
      <c r="AS720" s="17"/>
      <c r="AT720" s="17"/>
      <c r="AU720" s="17"/>
      <c r="AV720" s="17"/>
    </row>
    <row r="721" spans="1:48" ht="15.75" customHeight="1">
      <c r="A721" s="21" t="s">
        <v>47</v>
      </c>
      <c r="B721" s="23" t="s">
        <v>1692</v>
      </c>
      <c r="C721" s="22">
        <v>45872</v>
      </c>
      <c r="D721" s="23" t="s">
        <v>236</v>
      </c>
      <c r="E721" s="23" t="s">
        <v>334</v>
      </c>
      <c r="F721" s="14">
        <v>1</v>
      </c>
      <c r="G721" s="12">
        <f>VLOOKUP(E721,Precios!B$2:N$941,12,FALSE)</f>
        <v>4200.0000000000009</v>
      </c>
      <c r="H721" s="12">
        <f t="shared" si="0"/>
        <v>4200.0000000000009</v>
      </c>
      <c r="I721" s="23" t="s">
        <v>52</v>
      </c>
      <c r="J721" s="23" t="s">
        <v>61</v>
      </c>
      <c r="K721" s="24" t="s">
        <v>177</v>
      </c>
      <c r="L721" s="24">
        <v>166</v>
      </c>
      <c r="M721" s="12">
        <f t="shared" ref="M721:N721" si="726">G721/1.19</f>
        <v>3529.4117647058833</v>
      </c>
      <c r="N721" s="12">
        <f t="shared" si="726"/>
        <v>3529.4117647058833</v>
      </c>
      <c r="O721" s="12">
        <f t="shared" si="2"/>
        <v>670.58823529411757</v>
      </c>
      <c r="P721" s="13"/>
      <c r="Q721" s="14">
        <f t="shared" si="3"/>
        <v>2025</v>
      </c>
      <c r="R721" s="15">
        <f>VLOOKUP(MONTH(C721),'Datos Maestros'!M$2:N$14,2,FALSE)</f>
        <v>45505</v>
      </c>
      <c r="S721" s="11" t="str">
        <f>VLOOKUP(E721,Precios!B$2:W$941,3,FALSE)</f>
        <v>WC</v>
      </c>
      <c r="T721" s="16">
        <f>VLOOKUP(E721,Precios!B$2:N$941,4,FALSE)*F721</f>
        <v>0</v>
      </c>
      <c r="U721" s="17"/>
      <c r="V721" s="12">
        <f>VLOOKUP(E721,Precios!B$2:N$941,13,FALSE)*F721</f>
        <v>1435.4117647058829</v>
      </c>
      <c r="W721" s="12">
        <f t="shared" si="4"/>
        <v>1435.4117647058829</v>
      </c>
      <c r="X721" s="12">
        <f>VLOOKUP(B721,'Datos Maestros'!$C$2:$D$7,2,FALSE)*V721</f>
        <v>0</v>
      </c>
      <c r="Y721" s="18">
        <f t="shared" si="5"/>
        <v>45866</v>
      </c>
      <c r="Z721" s="13" t="s">
        <v>39</v>
      </c>
      <c r="AA721" s="19" t="str">
        <f>VLOOKUP(D721,Clientes!$A$2:$J$486,9,FALSE)</f>
        <v>Familiar</v>
      </c>
      <c r="AB721" s="13" t="str">
        <f>VLOOKUP(D721,Clientes!$A$2:$K$486,11,FALSE)</f>
        <v>Persona Natural</v>
      </c>
      <c r="AC721" s="13" t="str">
        <f>VLOOKUP(D721,Clientes!$A$2:$B$486,2,FALSE)</f>
        <v>Familiar</v>
      </c>
      <c r="AD721" s="20"/>
      <c r="AE721" s="20"/>
      <c r="AF721" s="13" t="s">
        <v>40</v>
      </c>
      <c r="AG721" s="15">
        <f t="shared" si="6"/>
        <v>45505</v>
      </c>
      <c r="AH721" s="13" t="s">
        <v>41</v>
      </c>
      <c r="AI721" s="13" t="str">
        <f t="shared" si="7"/>
        <v>Articulos de Aseo</v>
      </c>
      <c r="AJ721" s="13" t="str">
        <f>VLOOKUP(E721,Precios!Z$2:AA$941,2,FALSE)</f>
        <v>Pastilla para estanque WC</v>
      </c>
      <c r="AK721" s="14">
        <f>VLOOKUP(E721,Precios!Z$2:BB$941,3,FALSE)*F721</f>
        <v>-3</v>
      </c>
      <c r="AL721" s="17"/>
      <c r="AM721" s="17"/>
      <c r="AN721" s="17"/>
      <c r="AO721" s="17"/>
      <c r="AP721" s="17"/>
      <c r="AQ721" s="17"/>
      <c r="AR721" s="17"/>
      <c r="AS721" s="17"/>
      <c r="AT721" s="17"/>
      <c r="AU721" s="17"/>
      <c r="AV721" s="17"/>
    </row>
    <row r="722" spans="1:48" ht="15.75" customHeight="1">
      <c r="A722" s="21" t="s">
        <v>47</v>
      </c>
      <c r="B722" s="23" t="s">
        <v>1692</v>
      </c>
      <c r="C722" s="22">
        <v>45872</v>
      </c>
      <c r="D722" s="23" t="s">
        <v>141</v>
      </c>
      <c r="E722" s="23" t="s">
        <v>334</v>
      </c>
      <c r="F722" s="14">
        <v>1</v>
      </c>
      <c r="G722" s="12">
        <f>VLOOKUP(E722,Precios!B$2:N$941,12,FALSE)</f>
        <v>4200.0000000000009</v>
      </c>
      <c r="H722" s="12">
        <f t="shared" si="0"/>
        <v>4200.0000000000009</v>
      </c>
      <c r="I722" s="23" t="s">
        <v>52</v>
      </c>
      <c r="J722" s="23" t="s">
        <v>38</v>
      </c>
      <c r="K722" s="24" t="s">
        <v>177</v>
      </c>
      <c r="L722" s="24">
        <v>166</v>
      </c>
      <c r="M722" s="12">
        <f t="shared" ref="M722:N722" si="727">G722/1.19</f>
        <v>3529.4117647058833</v>
      </c>
      <c r="N722" s="12">
        <f t="shared" si="727"/>
        <v>3529.4117647058833</v>
      </c>
      <c r="O722" s="12">
        <f t="shared" si="2"/>
        <v>670.58823529411757</v>
      </c>
      <c r="P722" s="13"/>
      <c r="Q722" s="14">
        <f t="shared" si="3"/>
        <v>2025</v>
      </c>
      <c r="R722" s="15">
        <f>VLOOKUP(MONTH(C722),'Datos Maestros'!M$2:N$14,2,FALSE)</f>
        <v>45505</v>
      </c>
      <c r="S722" s="11" t="str">
        <f>VLOOKUP(E722,Precios!B$2:W$941,3,FALSE)</f>
        <v>WC</v>
      </c>
      <c r="T722" s="16">
        <f>VLOOKUP(E722,Precios!B$2:N$941,4,FALSE)*F722</f>
        <v>0</v>
      </c>
      <c r="U722" s="17"/>
      <c r="V722" s="12">
        <f>VLOOKUP(E722,Precios!B$2:N$941,13,FALSE)*F722</f>
        <v>1435.4117647058829</v>
      </c>
      <c r="W722" s="12">
        <f t="shared" si="4"/>
        <v>1435.4117647058829</v>
      </c>
      <c r="X722" s="12">
        <f>VLOOKUP(B722,'Datos Maestros'!$C$2:$D$7,2,FALSE)*V722</f>
        <v>0</v>
      </c>
      <c r="Y722" s="18">
        <f t="shared" si="5"/>
        <v>45866</v>
      </c>
      <c r="Z722" s="13" t="s">
        <v>39</v>
      </c>
      <c r="AA722" s="19" t="str">
        <f>VLOOKUP(D722,Clientes!$A$2:$J$486,9,FALSE)</f>
        <v>Familiar</v>
      </c>
      <c r="AB722" s="13" t="str">
        <f>VLOOKUP(D722,Clientes!$A$2:$K$486,11,FALSE)</f>
        <v>Persona Natural</v>
      </c>
      <c r="AC722" s="13" t="str">
        <f>VLOOKUP(D722,Clientes!$A$2:$B$486,2,FALSE)</f>
        <v>Familiar</v>
      </c>
      <c r="AD722" s="20"/>
      <c r="AE722" s="20"/>
      <c r="AF722" s="13" t="s">
        <v>40</v>
      </c>
      <c r="AG722" s="15">
        <f t="shared" si="6"/>
        <v>45505</v>
      </c>
      <c r="AH722" s="13" t="s">
        <v>41</v>
      </c>
      <c r="AI722" s="13" t="str">
        <f t="shared" si="7"/>
        <v>Articulos de Aseo</v>
      </c>
      <c r="AJ722" s="13" t="str">
        <f>VLOOKUP(E722,Precios!Z$2:AA$941,2,FALSE)</f>
        <v>Pastilla para estanque WC</v>
      </c>
      <c r="AK722" s="14">
        <f>VLOOKUP(E722,Precios!Z$2:BB$941,3,FALSE)*F722</f>
        <v>-3</v>
      </c>
      <c r="AL722" s="17"/>
      <c r="AM722" s="17"/>
      <c r="AN722" s="17"/>
      <c r="AO722" s="17"/>
      <c r="AP722" s="17"/>
      <c r="AQ722" s="17"/>
      <c r="AR722" s="17"/>
      <c r="AS722" s="17"/>
      <c r="AT722" s="17"/>
      <c r="AU722" s="17"/>
      <c r="AV722" s="17"/>
    </row>
    <row r="723" spans="1:48" ht="15.75" customHeight="1">
      <c r="A723" s="21" t="s">
        <v>76</v>
      </c>
      <c r="B723" s="23" t="s">
        <v>1692</v>
      </c>
      <c r="C723" s="22">
        <v>45872</v>
      </c>
      <c r="D723" s="23" t="s">
        <v>141</v>
      </c>
      <c r="E723" s="23" t="s">
        <v>77</v>
      </c>
      <c r="F723" s="21">
        <v>2</v>
      </c>
      <c r="G723" s="12">
        <f>VLOOKUP(E723,Precios!B$2:N$941,12,FALSE)</f>
        <v>1700.1361470388019</v>
      </c>
      <c r="H723" s="12">
        <f t="shared" si="0"/>
        <v>3400.2722940776039</v>
      </c>
      <c r="I723" s="23" t="s">
        <v>52</v>
      </c>
      <c r="J723" s="23" t="s">
        <v>38</v>
      </c>
      <c r="K723" s="24" t="s">
        <v>177</v>
      </c>
      <c r="L723" s="24">
        <v>166</v>
      </c>
      <c r="M723" s="12">
        <f t="shared" ref="M723:N723" si="728">G723/1.19</f>
        <v>1428.6858378477327</v>
      </c>
      <c r="N723" s="12">
        <f t="shared" si="728"/>
        <v>2857.3716756954655</v>
      </c>
      <c r="O723" s="12">
        <f t="shared" si="2"/>
        <v>542.90061838213842</v>
      </c>
      <c r="P723" s="13"/>
      <c r="Q723" s="14">
        <f t="shared" si="3"/>
        <v>2025</v>
      </c>
      <c r="R723" s="15">
        <f>VLOOKUP(MONTH(C723),'Datos Maestros'!M$2:N$14,2,FALSE)</f>
        <v>45505</v>
      </c>
      <c r="S723" s="11" t="str">
        <f>VLOOKUP(E723,Precios!B$2:W$941,3,FALSE)</f>
        <v>Cloro Gel</v>
      </c>
      <c r="T723" s="16">
        <f>VLOOKUP(E723,Precios!B$2:N$941,4,FALSE)*F723</f>
        <v>0</v>
      </c>
      <c r="U723" s="17"/>
      <c r="V723" s="12">
        <f>VLOOKUP(E723,Precios!B$2:N$941,13,FALSE)*F723</f>
        <v>1178.38007905681</v>
      </c>
      <c r="W723" s="12">
        <f t="shared" si="4"/>
        <v>1178.38007905681</v>
      </c>
      <c r="X723" s="12">
        <f>VLOOKUP(B723,'Datos Maestros'!$C$2:$D$7,2,FALSE)*V723</f>
        <v>0</v>
      </c>
      <c r="Y723" s="18">
        <f t="shared" si="5"/>
        <v>45866</v>
      </c>
      <c r="Z723" s="13" t="s">
        <v>39</v>
      </c>
      <c r="AA723" s="19" t="str">
        <f>VLOOKUP(D723,Clientes!$A$2:$J$486,9,FALSE)</f>
        <v>Familiar</v>
      </c>
      <c r="AB723" s="13" t="str">
        <f>VLOOKUP(D723,Clientes!$A$2:$K$486,11,FALSE)</f>
        <v>Persona Natural</v>
      </c>
      <c r="AC723" s="13" t="str">
        <f>VLOOKUP(D723,Clientes!$A$2:$B$486,2,FALSE)</f>
        <v>Familiar</v>
      </c>
      <c r="AD723" s="20"/>
      <c r="AE723" s="20"/>
      <c r="AF723" s="13" t="s">
        <v>40</v>
      </c>
      <c r="AG723" s="15">
        <f t="shared" si="6"/>
        <v>45505</v>
      </c>
      <c r="AH723" s="13" t="s">
        <v>41</v>
      </c>
      <c r="AI723" s="13" t="str">
        <f t="shared" si="7"/>
        <v>Detergentes</v>
      </c>
      <c r="AJ723" s="13" t="str">
        <f>VLOOKUP(E723,Precios!Z$2:AA$941,2,FALSE)</f>
        <v>Cloro GEL IGENIX 900ml</v>
      </c>
      <c r="AK723" s="14">
        <f>VLOOKUP(E723,Precios!Z$2:BB$941,3,FALSE)*F723</f>
        <v>-2</v>
      </c>
      <c r="AL723" s="17"/>
      <c r="AM723" s="17"/>
      <c r="AN723" s="17"/>
      <c r="AO723" s="17"/>
      <c r="AP723" s="17"/>
      <c r="AQ723" s="17"/>
      <c r="AR723" s="17"/>
      <c r="AS723" s="17"/>
      <c r="AT723" s="17"/>
      <c r="AU723" s="17"/>
      <c r="AV723" s="17"/>
    </row>
    <row r="724" spans="1:48" ht="15.75" customHeight="1">
      <c r="A724" s="21" t="s">
        <v>35</v>
      </c>
      <c r="B724" s="23" t="s">
        <v>1692</v>
      </c>
      <c r="C724" s="22">
        <v>45872</v>
      </c>
      <c r="D724" s="23" t="s">
        <v>141</v>
      </c>
      <c r="E724" s="23" t="s">
        <v>37</v>
      </c>
      <c r="F724" s="21">
        <v>1</v>
      </c>
      <c r="G724" s="12">
        <f>VLOOKUP(E724,Precios!B$2:N$941,12,FALSE)</f>
        <v>11000.014358944907</v>
      </c>
      <c r="H724" s="12">
        <f t="shared" si="0"/>
        <v>11000.014358944907</v>
      </c>
      <c r="I724" s="23" t="s">
        <v>52</v>
      </c>
      <c r="J724" s="23" t="s">
        <v>38</v>
      </c>
      <c r="K724" s="24" t="s">
        <v>177</v>
      </c>
      <c r="L724" s="24">
        <v>166</v>
      </c>
      <c r="M724" s="12">
        <f t="shared" ref="M724:N724" si="729">G724/1.19</f>
        <v>9243.7095453318543</v>
      </c>
      <c r="N724" s="12">
        <f t="shared" si="729"/>
        <v>9243.7095453318543</v>
      </c>
      <c r="O724" s="12">
        <f t="shared" si="2"/>
        <v>1756.3048136130528</v>
      </c>
      <c r="P724" s="13"/>
      <c r="Q724" s="14">
        <f t="shared" si="3"/>
        <v>2025</v>
      </c>
      <c r="R724" s="15">
        <f>VLOOKUP(MONTH(C724),'Datos Maestros'!M$2:N$14,2,FALSE)</f>
        <v>45505</v>
      </c>
      <c r="S724" s="11" t="str">
        <f>VLOOKUP(E724,Precios!B$2:W$941,3,FALSE)</f>
        <v>Queso Mantecoso</v>
      </c>
      <c r="T724" s="16">
        <f>VLOOKUP(E724,Precios!B$2:N$941,4,FALSE)*F724</f>
        <v>1000</v>
      </c>
      <c r="U724" s="17"/>
      <c r="V724" s="12">
        <f>VLOOKUP(E724,Precios!B$2:N$941,13,FALSE)*F724</f>
        <v>2806.1129066763915</v>
      </c>
      <c r="W724" s="12">
        <f t="shared" si="4"/>
        <v>2806.1129066763915</v>
      </c>
      <c r="X724" s="12">
        <f>VLOOKUP(B724,'Datos Maestros'!$C$2:$D$7,2,FALSE)*V724</f>
        <v>0</v>
      </c>
      <c r="Y724" s="18">
        <f t="shared" si="5"/>
        <v>45866</v>
      </c>
      <c r="Z724" s="13" t="s">
        <v>39</v>
      </c>
      <c r="AA724" s="19" t="str">
        <f>VLOOKUP(D724,Clientes!$A$2:$J$486,9,FALSE)</f>
        <v>Familiar</v>
      </c>
      <c r="AB724" s="13" t="str">
        <f>VLOOKUP(D724,Clientes!$A$2:$K$486,11,FALSE)</f>
        <v>Persona Natural</v>
      </c>
      <c r="AC724" s="13" t="str">
        <f>VLOOKUP(D724,Clientes!$A$2:$B$486,2,FALSE)</f>
        <v>Familiar</v>
      </c>
      <c r="AD724" s="20"/>
      <c r="AE724" s="20"/>
      <c r="AF724" s="13" t="s">
        <v>40</v>
      </c>
      <c r="AG724" s="15">
        <f t="shared" si="6"/>
        <v>45505</v>
      </c>
      <c r="AH724" s="13" t="s">
        <v>41</v>
      </c>
      <c r="AI724" s="13" t="str">
        <f t="shared" si="7"/>
        <v>Quesos</v>
      </c>
      <c r="AJ724" s="13" t="str">
        <f>VLOOKUP(E724,Precios!Z$2:AA$941,2,FALSE)</f>
        <v>Queso RUNCA Mantecoso</v>
      </c>
      <c r="AK724" s="14">
        <f>VLOOKUP(E724,Precios!Z$2:BB$941,3,FALSE)*F724</f>
        <v>-1</v>
      </c>
      <c r="AL724" s="17"/>
      <c r="AM724" s="17"/>
      <c r="AN724" s="17"/>
      <c r="AO724" s="17"/>
      <c r="AP724" s="17"/>
      <c r="AQ724" s="17"/>
      <c r="AR724" s="17"/>
      <c r="AS724" s="17"/>
      <c r="AT724" s="17"/>
      <c r="AU724" s="17"/>
      <c r="AV724" s="17"/>
    </row>
    <row r="725" spans="1:48" ht="15.75" customHeight="1">
      <c r="A725" s="21" t="s">
        <v>76</v>
      </c>
      <c r="B725" s="23" t="s">
        <v>1692</v>
      </c>
      <c r="C725" s="22">
        <v>45872</v>
      </c>
      <c r="D725" s="23" t="s">
        <v>285</v>
      </c>
      <c r="E725" s="23" t="s">
        <v>137</v>
      </c>
      <c r="F725" s="21">
        <v>4</v>
      </c>
      <c r="G725" s="12">
        <f>VLOOKUP(E725,Precios!B$2:N$941,12,FALSE)</f>
        <v>3500.0000000000005</v>
      </c>
      <c r="H725" s="12">
        <f t="shared" si="0"/>
        <v>14000.000000000002</v>
      </c>
      <c r="I725" s="23" t="s">
        <v>52</v>
      </c>
      <c r="J725" s="23" t="s">
        <v>61</v>
      </c>
      <c r="K725" s="24" t="s">
        <v>177</v>
      </c>
      <c r="L725" s="24">
        <v>166</v>
      </c>
      <c r="M725" s="12">
        <f t="shared" ref="M725:N725" si="730">G725/1.19</f>
        <v>2941.1764705882356</v>
      </c>
      <c r="N725" s="12">
        <f t="shared" si="730"/>
        <v>11764.705882352942</v>
      </c>
      <c r="O725" s="12">
        <f t="shared" si="2"/>
        <v>2235.2941176470595</v>
      </c>
      <c r="P725" s="13"/>
      <c r="Q725" s="14">
        <f t="shared" si="3"/>
        <v>2025</v>
      </c>
      <c r="R725" s="15">
        <f>VLOOKUP(MONTH(C725),'Datos Maestros'!M$2:N$14,2,FALSE)</f>
        <v>45505</v>
      </c>
      <c r="S725" s="11" t="str">
        <f>VLOOKUP(E725,Precios!B$2:W$941,3,FALSE)</f>
        <v>Detergente Piel Sensible</v>
      </c>
      <c r="T725" s="16">
        <f>VLOOKUP(E725,Precios!B$2:N$941,4,FALSE)*F725</f>
        <v>20</v>
      </c>
      <c r="U725" s="17"/>
      <c r="V725" s="12">
        <f>VLOOKUP(E725,Precios!B$2:N$941,13,FALSE)*F725</f>
        <v>3394.9579831932788</v>
      </c>
      <c r="W725" s="12">
        <f t="shared" si="4"/>
        <v>3394.9579831932788</v>
      </c>
      <c r="X725" s="12">
        <f>VLOOKUP(B725,'Datos Maestros'!$C$2:$D$7,2,FALSE)*V725</f>
        <v>0</v>
      </c>
      <c r="Y725" s="18">
        <f t="shared" si="5"/>
        <v>45866</v>
      </c>
      <c r="Z725" s="13" t="s">
        <v>39</v>
      </c>
      <c r="AA725" s="19" t="str">
        <f>VLOOKUP(D725,Clientes!$A$2:$J$486,9,FALSE)</f>
        <v>Familiar</v>
      </c>
      <c r="AB725" s="13" t="str">
        <f>VLOOKUP(D725,Clientes!$A$2:$K$486,11,FALSE)</f>
        <v>Persona Natural</v>
      </c>
      <c r="AC725" s="13" t="str">
        <f>VLOOKUP(D725,Clientes!$A$2:$B$486,2,FALSE)</f>
        <v>Familiar</v>
      </c>
      <c r="AD725" s="20"/>
      <c r="AE725" s="20"/>
      <c r="AF725" s="13" t="s">
        <v>40</v>
      </c>
      <c r="AG725" s="15">
        <f t="shared" si="6"/>
        <v>45505</v>
      </c>
      <c r="AH725" s="13" t="s">
        <v>41</v>
      </c>
      <c r="AI725" s="13" t="str">
        <f t="shared" si="7"/>
        <v>Detergentes</v>
      </c>
      <c r="AJ725" s="13" t="str">
        <f>VLOOKUP(E725,Precios!Z$2:AA$941,2,FALSE)</f>
        <v>Detergente SPUM 5 Litros (Blanco)</v>
      </c>
      <c r="AK725" s="14">
        <f>VLOOKUP(E725,Precios!Z$2:BB$941,3,FALSE)*F725</f>
        <v>-4</v>
      </c>
      <c r="AL725" s="17"/>
      <c r="AM725" s="17"/>
      <c r="AN725" s="17"/>
      <c r="AO725" s="17"/>
      <c r="AP725" s="17"/>
      <c r="AQ725" s="17"/>
      <c r="AR725" s="17"/>
      <c r="AS725" s="17"/>
      <c r="AT725" s="17"/>
      <c r="AU725" s="17"/>
      <c r="AV725" s="17"/>
    </row>
    <row r="726" spans="1:48" ht="15.75" customHeight="1">
      <c r="A726" s="21" t="s">
        <v>76</v>
      </c>
      <c r="B726" s="23" t="s">
        <v>1692</v>
      </c>
      <c r="C726" s="22">
        <v>45872</v>
      </c>
      <c r="D726" s="23" t="s">
        <v>285</v>
      </c>
      <c r="E726" s="23" t="s">
        <v>212</v>
      </c>
      <c r="F726" s="21">
        <v>2</v>
      </c>
      <c r="G726" s="12">
        <f>VLOOKUP(E726,Precios!B$2:N$941,12,FALSE)</f>
        <v>3000.0000000000005</v>
      </c>
      <c r="H726" s="12">
        <f t="shared" si="0"/>
        <v>6000.0000000000009</v>
      </c>
      <c r="I726" s="23" t="s">
        <v>52</v>
      </c>
      <c r="J726" s="23" t="s">
        <v>61</v>
      </c>
      <c r="K726" s="24" t="s">
        <v>177</v>
      </c>
      <c r="L726" s="24">
        <v>166</v>
      </c>
      <c r="M726" s="12">
        <f t="shared" ref="M726:N726" si="731">G726/1.19</f>
        <v>2521.0084033613452</v>
      </c>
      <c r="N726" s="12">
        <f t="shared" si="731"/>
        <v>5042.0168067226905</v>
      </c>
      <c r="O726" s="12">
        <f t="shared" si="2"/>
        <v>957.98319327731042</v>
      </c>
      <c r="P726" s="13"/>
      <c r="Q726" s="14">
        <f t="shared" si="3"/>
        <v>2025</v>
      </c>
      <c r="R726" s="15">
        <f>VLOOKUP(MONTH(C726),'Datos Maestros'!M$2:N$14,2,FALSE)</f>
        <v>45505</v>
      </c>
      <c r="S726" s="11" t="str">
        <f>VLOOKUP(E726,Precios!B$2:W$941,3,FALSE)</f>
        <v>Suavizante</v>
      </c>
      <c r="T726" s="16">
        <f>VLOOKUP(E726,Precios!B$2:N$941,4,FALSE)*F726</f>
        <v>10</v>
      </c>
      <c r="U726" s="17"/>
      <c r="V726" s="12">
        <f>VLOOKUP(E726,Precios!B$2:N$941,13,FALSE)*F726</f>
        <v>1529.4117647058829</v>
      </c>
      <c r="W726" s="12">
        <f t="shared" si="4"/>
        <v>1529.4117647058829</v>
      </c>
      <c r="X726" s="12">
        <f>VLOOKUP(B726,'Datos Maestros'!$C$2:$D$7,2,FALSE)*V726</f>
        <v>0</v>
      </c>
      <c r="Y726" s="18">
        <f t="shared" si="5"/>
        <v>45866</v>
      </c>
      <c r="Z726" s="13" t="s">
        <v>39</v>
      </c>
      <c r="AA726" s="19" t="str">
        <f>VLOOKUP(D726,Clientes!$A$2:$J$486,9,FALSE)</f>
        <v>Familiar</v>
      </c>
      <c r="AB726" s="13" t="str">
        <f>VLOOKUP(D726,Clientes!$A$2:$K$486,11,FALSE)</f>
        <v>Persona Natural</v>
      </c>
      <c r="AC726" s="13" t="str">
        <f>VLOOKUP(D726,Clientes!$A$2:$B$486,2,FALSE)</f>
        <v>Familiar</v>
      </c>
      <c r="AD726" s="20"/>
      <c r="AE726" s="20"/>
      <c r="AF726" s="13" t="s">
        <v>40</v>
      </c>
      <c r="AG726" s="15">
        <f t="shared" si="6"/>
        <v>45505</v>
      </c>
      <c r="AH726" s="13" t="s">
        <v>41</v>
      </c>
      <c r="AI726" s="13" t="str">
        <f t="shared" si="7"/>
        <v>Detergentes</v>
      </c>
      <c r="AJ726" s="13" t="str">
        <f>VLOOKUP(E726,Precios!Z$2:AA$941,2,FALSE)</f>
        <v>Suavizante SPUM 5 Litros</v>
      </c>
      <c r="AK726" s="14">
        <f>VLOOKUP(E726,Precios!Z$2:BB$941,3,FALSE)*F726</f>
        <v>-2</v>
      </c>
      <c r="AL726" s="17"/>
      <c r="AM726" s="17"/>
      <c r="AN726" s="17"/>
      <c r="AO726" s="17"/>
      <c r="AP726" s="17"/>
      <c r="AQ726" s="17"/>
      <c r="AR726" s="17"/>
      <c r="AS726" s="17"/>
      <c r="AT726" s="17"/>
      <c r="AU726" s="17"/>
      <c r="AV726" s="17"/>
    </row>
    <row r="727" spans="1:48" ht="15.75" customHeight="1">
      <c r="A727" s="21" t="s">
        <v>53</v>
      </c>
      <c r="B727" s="23" t="s">
        <v>1692</v>
      </c>
      <c r="C727" s="22">
        <v>45872</v>
      </c>
      <c r="D727" s="23" t="s">
        <v>345</v>
      </c>
      <c r="E727" s="23" t="s">
        <v>192</v>
      </c>
      <c r="F727" s="14">
        <v>1</v>
      </c>
      <c r="G727" s="12">
        <f>VLOOKUP(E727,Precios!B$2:N$941,12,FALSE)</f>
        <v>16000</v>
      </c>
      <c r="H727" s="12">
        <f t="shared" si="0"/>
        <v>16000</v>
      </c>
      <c r="I727" s="23" t="s">
        <v>52</v>
      </c>
      <c r="J727" s="23" t="s">
        <v>61</v>
      </c>
      <c r="K727" s="24" t="s">
        <v>177</v>
      </c>
      <c r="L727" s="24">
        <v>166</v>
      </c>
      <c r="M727" s="12">
        <f t="shared" ref="M727:N727" si="732">G727/1.19</f>
        <v>13445.378151260506</v>
      </c>
      <c r="N727" s="12">
        <f t="shared" si="732"/>
        <v>13445.378151260506</v>
      </c>
      <c r="O727" s="12">
        <f t="shared" si="2"/>
        <v>2554.6218487394945</v>
      </c>
      <c r="P727" s="13"/>
      <c r="Q727" s="14">
        <f t="shared" si="3"/>
        <v>2025</v>
      </c>
      <c r="R727" s="15">
        <f>VLOOKUP(MONTH(C727),'Datos Maestros'!M$2:N$14,2,FALSE)</f>
        <v>45505</v>
      </c>
      <c r="S727" s="11" t="str">
        <f>VLOOKUP(E727,Precios!B$2:W$941,3,FALSE)</f>
        <v>Papel Higiénico SWAN</v>
      </c>
      <c r="T727" s="16">
        <f>VLOOKUP(E727,Precios!B$2:N$941,4,FALSE)*F727</f>
        <v>0</v>
      </c>
      <c r="U727" s="17"/>
      <c r="V727" s="12">
        <f>VLOOKUP(E727,Precios!B$2:N$941,13,FALSE)*F727</f>
        <v>5125.3781512605037</v>
      </c>
      <c r="W727" s="12">
        <f t="shared" si="4"/>
        <v>5125.3781512605037</v>
      </c>
      <c r="X727" s="12">
        <f>VLOOKUP(B727,'Datos Maestros'!$C$2:$D$7,2,FALSE)*V727</f>
        <v>0</v>
      </c>
      <c r="Y727" s="18">
        <f t="shared" si="5"/>
        <v>45866</v>
      </c>
      <c r="Z727" s="13" t="s">
        <v>39</v>
      </c>
      <c r="AA727" s="19" t="str">
        <f>VLOOKUP(D727,Clientes!$A$2:$J$486,9,FALSE)</f>
        <v>Ocacional</v>
      </c>
      <c r="AB727" s="13" t="str">
        <f>VLOOKUP(D727,Clientes!$A$2:$K$486,11,FALSE)</f>
        <v>Persona Natural</v>
      </c>
      <c r="AC727" s="13" t="str">
        <f>VLOOKUP(D727,Clientes!$A$2:$B$486,2,FALSE)</f>
        <v>Familiar</v>
      </c>
      <c r="AD727" s="20"/>
      <c r="AE727" s="20"/>
      <c r="AF727" s="13" t="s">
        <v>40</v>
      </c>
      <c r="AG727" s="15">
        <f t="shared" si="6"/>
        <v>45505</v>
      </c>
      <c r="AH727" s="13" t="s">
        <v>41</v>
      </c>
      <c r="AI727" s="13" t="str">
        <f t="shared" si="7"/>
        <v>Papeleria</v>
      </c>
      <c r="AJ727" s="13" t="str">
        <f>VLOOKUP(E727,Precios!Z$2:AA$941,2,FALSE)</f>
        <v>Papel Higienico SWAN 400 hojas</v>
      </c>
      <c r="AK727" s="14">
        <f>VLOOKUP(E727,Precios!Z$2:BB$941,3,FALSE)*F727</f>
        <v>-8</v>
      </c>
      <c r="AL727" s="17"/>
      <c r="AM727" s="17"/>
      <c r="AN727" s="17"/>
      <c r="AO727" s="17"/>
      <c r="AP727" s="17"/>
      <c r="AQ727" s="17"/>
      <c r="AR727" s="17"/>
      <c r="AS727" s="17"/>
      <c r="AT727" s="17"/>
      <c r="AU727" s="17"/>
      <c r="AV727" s="17"/>
    </row>
    <row r="728" spans="1:48" ht="15.75" customHeight="1">
      <c r="A728" s="21" t="s">
        <v>47</v>
      </c>
      <c r="B728" s="23" t="s">
        <v>1692</v>
      </c>
      <c r="C728" s="22">
        <v>45872</v>
      </c>
      <c r="D728" s="23" t="s">
        <v>345</v>
      </c>
      <c r="E728" s="23" t="s">
        <v>305</v>
      </c>
      <c r="F728" s="21">
        <v>2</v>
      </c>
      <c r="G728" s="12">
        <f>VLOOKUP(E728,Precios!B$2:N$941,12,FALSE)</f>
        <v>2999.9015263417036</v>
      </c>
      <c r="H728" s="12">
        <f t="shared" si="0"/>
        <v>5999.8030526834073</v>
      </c>
      <c r="I728" s="23" t="s">
        <v>52</v>
      </c>
      <c r="J728" s="23" t="s">
        <v>61</v>
      </c>
      <c r="K728" s="24" t="s">
        <v>177</v>
      </c>
      <c r="L728" s="24">
        <v>166</v>
      </c>
      <c r="M728" s="12">
        <f t="shared" ref="M728:N728" si="733">G728/1.19</f>
        <v>2520.9256523879862</v>
      </c>
      <c r="N728" s="12">
        <f t="shared" si="733"/>
        <v>5041.8513047759725</v>
      </c>
      <c r="O728" s="12">
        <f t="shared" si="2"/>
        <v>957.95174790743476</v>
      </c>
      <c r="P728" s="13"/>
      <c r="Q728" s="14">
        <f t="shared" si="3"/>
        <v>2025</v>
      </c>
      <c r="R728" s="15">
        <f>VLOOKUP(MONTH(C728),'Datos Maestros'!M$2:N$14,2,FALSE)</f>
        <v>45505</v>
      </c>
      <c r="S728" s="11" t="str">
        <f>VLOOKUP(E728,Precios!B$2:W$941,3,FALSE)</f>
        <v>Toallitas Húmedas Bebe</v>
      </c>
      <c r="T728" s="16">
        <f>VLOOKUP(E728,Precios!B$2:N$941,4,FALSE)*F728</f>
        <v>0</v>
      </c>
      <c r="U728" s="17"/>
      <c r="V728" s="12">
        <f>VLOOKUP(E728,Precios!B$2:N$941,13,FALSE)*F728</f>
        <v>1969.8513047759725</v>
      </c>
      <c r="W728" s="12">
        <f t="shared" si="4"/>
        <v>1969.8513047759725</v>
      </c>
      <c r="X728" s="12">
        <f>VLOOKUP(B728,'Datos Maestros'!$C$2:$D$7,2,FALSE)*V728</f>
        <v>0</v>
      </c>
      <c r="Y728" s="18">
        <f t="shared" si="5"/>
        <v>45866</v>
      </c>
      <c r="Z728" s="13" t="s">
        <v>39</v>
      </c>
      <c r="AA728" s="19" t="str">
        <f>VLOOKUP(D728,Clientes!$A$2:$J$486,9,FALSE)</f>
        <v>Ocacional</v>
      </c>
      <c r="AB728" s="13" t="str">
        <f>VLOOKUP(D728,Clientes!$A$2:$K$486,11,FALSE)</f>
        <v>Persona Natural</v>
      </c>
      <c r="AC728" s="13" t="str">
        <f>VLOOKUP(D728,Clientes!$A$2:$B$486,2,FALSE)</f>
        <v>Familiar</v>
      </c>
      <c r="AD728" s="20"/>
      <c r="AE728" s="20"/>
      <c r="AF728" s="13" t="s">
        <v>40</v>
      </c>
      <c r="AG728" s="15">
        <f t="shared" si="6"/>
        <v>45505</v>
      </c>
      <c r="AH728" s="13" t="s">
        <v>41</v>
      </c>
      <c r="AI728" s="13" t="str">
        <f t="shared" si="7"/>
        <v>Articulos de Aseo</v>
      </c>
      <c r="AJ728" s="13" t="str">
        <f>VLOOKUP(E728,Precios!Z$2:AA$941,2,FALSE)</f>
        <v>Toallas Humedas Bebé TEDDY 80 unidades</v>
      </c>
      <c r="AK728" s="14">
        <f>VLOOKUP(E728,Precios!Z$2:BB$941,3,FALSE)*F728</f>
        <v>-4</v>
      </c>
      <c r="AL728" s="17"/>
      <c r="AM728" s="17"/>
      <c r="AN728" s="17"/>
      <c r="AO728" s="17"/>
      <c r="AP728" s="17"/>
      <c r="AQ728" s="17"/>
      <c r="AR728" s="17"/>
      <c r="AS728" s="17"/>
      <c r="AT728" s="17"/>
      <c r="AU728" s="17"/>
      <c r="AV728" s="17"/>
    </row>
    <row r="729" spans="1:48" ht="15.75" customHeight="1">
      <c r="A729" s="21" t="s">
        <v>35</v>
      </c>
      <c r="B729" s="23" t="s">
        <v>1692</v>
      </c>
      <c r="C729" s="22">
        <v>45872</v>
      </c>
      <c r="D729" s="23" t="s">
        <v>345</v>
      </c>
      <c r="E729" s="23" t="s">
        <v>117</v>
      </c>
      <c r="F729" s="14">
        <v>1</v>
      </c>
      <c r="G729" s="12">
        <f>VLOOKUP(E729,Precios!B$2:N$941,12,FALSE)</f>
        <v>8999.8271341726922</v>
      </c>
      <c r="H729" s="12">
        <f t="shared" si="0"/>
        <v>8999.8271341726922</v>
      </c>
      <c r="I729" s="23" t="s">
        <v>52</v>
      </c>
      <c r="J729" s="23" t="s">
        <v>61</v>
      </c>
      <c r="K729" s="24" t="s">
        <v>177</v>
      </c>
      <c r="L729" s="24">
        <v>166</v>
      </c>
      <c r="M729" s="12">
        <f t="shared" ref="M729:N729" si="734">G729/1.19</f>
        <v>7562.8799446829353</v>
      </c>
      <c r="N729" s="12">
        <f t="shared" si="734"/>
        <v>7562.8799446829353</v>
      </c>
      <c r="O729" s="12">
        <f t="shared" si="2"/>
        <v>1436.947189489757</v>
      </c>
      <c r="P729" s="13"/>
      <c r="Q729" s="14">
        <f t="shared" si="3"/>
        <v>2025</v>
      </c>
      <c r="R729" s="15">
        <f>VLOOKUP(MONTH(C729),'Datos Maestros'!M$2:N$14,2,FALSE)</f>
        <v>45505</v>
      </c>
      <c r="S729" s="11" t="str">
        <f>VLOOKUP(E729,Precios!B$2:W$941,3,FALSE)</f>
        <v>Queso Mantecoso</v>
      </c>
      <c r="T729" s="16">
        <f>VLOOKUP(E729,Precios!B$2:N$941,4,FALSE)*F729</f>
        <v>750</v>
      </c>
      <c r="U729" s="17"/>
      <c r="V729" s="12">
        <f>VLOOKUP(E729,Precios!B$2:N$941,13,FALSE)*F729</f>
        <v>2312.8799446829353</v>
      </c>
      <c r="W729" s="12">
        <f t="shared" si="4"/>
        <v>2312.8799446829353</v>
      </c>
      <c r="X729" s="12">
        <f>VLOOKUP(B729,'Datos Maestros'!$C$2:$D$7,2,FALSE)*V729</f>
        <v>0</v>
      </c>
      <c r="Y729" s="18">
        <f t="shared" si="5"/>
        <v>45866</v>
      </c>
      <c r="Z729" s="13" t="s">
        <v>39</v>
      </c>
      <c r="AA729" s="19" t="str">
        <f>VLOOKUP(D729,Clientes!$A$2:$J$486,9,FALSE)</f>
        <v>Ocacional</v>
      </c>
      <c r="AB729" s="13" t="str">
        <f>VLOOKUP(D729,Clientes!$A$2:$K$486,11,FALSE)</f>
        <v>Persona Natural</v>
      </c>
      <c r="AC729" s="13" t="str">
        <f>VLOOKUP(D729,Clientes!$A$2:$B$486,2,FALSE)</f>
        <v>Familiar</v>
      </c>
      <c r="AD729" s="20"/>
      <c r="AE729" s="20"/>
      <c r="AF729" s="13" t="s">
        <v>40</v>
      </c>
      <c r="AG729" s="15">
        <f t="shared" si="6"/>
        <v>45505</v>
      </c>
      <c r="AH729" s="13" t="s">
        <v>41</v>
      </c>
      <c r="AI729" s="13" t="str">
        <f t="shared" si="7"/>
        <v>Quesos</v>
      </c>
      <c r="AJ729" s="13" t="str">
        <f>VLOOKUP(E729,Precios!Z$2:AA$941,2,FALSE)</f>
        <v>Queso RUNCA Laminado Mantecoso</v>
      </c>
      <c r="AK729" s="14">
        <f>VLOOKUP(E729,Precios!Z$2:BB$941,3,FALSE)*F729</f>
        <v>-0.75</v>
      </c>
      <c r="AL729" s="17"/>
      <c r="AM729" s="17"/>
      <c r="AN729" s="17"/>
      <c r="AO729" s="17"/>
      <c r="AP729" s="17"/>
      <c r="AQ729" s="17"/>
      <c r="AR729" s="17"/>
      <c r="AS729" s="17"/>
      <c r="AT729" s="17"/>
      <c r="AU729" s="17"/>
      <c r="AV729" s="17"/>
    </row>
    <row r="730" spans="1:48" ht="15.75" customHeight="1">
      <c r="A730" s="21" t="s">
        <v>53</v>
      </c>
      <c r="B730" s="23" t="s">
        <v>1692</v>
      </c>
      <c r="C730" s="22">
        <v>45872</v>
      </c>
      <c r="D730" s="23" t="s">
        <v>229</v>
      </c>
      <c r="E730" s="23" t="s">
        <v>97</v>
      </c>
      <c r="F730" s="14">
        <v>1</v>
      </c>
      <c r="G730" s="12">
        <f>VLOOKUP(E730,Precios!B$2:N$941,12,FALSE)</f>
        <v>16500.236769693482</v>
      </c>
      <c r="H730" s="12">
        <f t="shared" si="0"/>
        <v>16500.236769693482</v>
      </c>
      <c r="I730" s="23" t="s">
        <v>52</v>
      </c>
      <c r="J730" s="23" t="s">
        <v>61</v>
      </c>
      <c r="K730" s="24" t="s">
        <v>177</v>
      </c>
      <c r="L730" s="24">
        <v>166</v>
      </c>
      <c r="M730" s="12">
        <f t="shared" ref="M730:N730" si="735">G730/1.19</f>
        <v>13865.745184616371</v>
      </c>
      <c r="N730" s="12">
        <f t="shared" si="735"/>
        <v>13865.745184616371</v>
      </c>
      <c r="O730" s="12">
        <f t="shared" si="2"/>
        <v>2634.4915850771104</v>
      </c>
      <c r="P730" s="13"/>
      <c r="Q730" s="14">
        <f t="shared" si="3"/>
        <v>2025</v>
      </c>
      <c r="R730" s="15">
        <f>VLOOKUP(MONTH(C730),'Datos Maestros'!M$2:N$14,2,FALSE)</f>
        <v>45505</v>
      </c>
      <c r="S730" s="11" t="str">
        <f>VLOOKUP(E730,Precios!B$2:W$941,3,FALSE)</f>
        <v>Papel Higiénico ELITE</v>
      </c>
      <c r="T730" s="16">
        <f>VLOOKUP(E730,Precios!B$2:N$941,4,FALSE)*F730</f>
        <v>0</v>
      </c>
      <c r="U730" s="17"/>
      <c r="V730" s="12">
        <f>VLOOKUP(E730,Precios!B$2:N$941,13,FALSE)*F730</f>
        <v>3031.7451846163694</v>
      </c>
      <c r="W730" s="12">
        <f t="shared" si="4"/>
        <v>3031.7451846163694</v>
      </c>
      <c r="X730" s="12">
        <f>VLOOKUP(B730,'Datos Maestros'!$C$2:$D$7,2,FALSE)*V730</f>
        <v>0</v>
      </c>
      <c r="Y730" s="18">
        <f t="shared" si="5"/>
        <v>45866</v>
      </c>
      <c r="Z730" s="13" t="s">
        <v>39</v>
      </c>
      <c r="AA730" s="19" t="str">
        <f>VLOOKUP(D730,Clientes!$A$2:$J$486,9,FALSE)</f>
        <v>Frecuente</v>
      </c>
      <c r="AB730" s="13" t="str">
        <f>VLOOKUP(D730,Clientes!$A$2:$K$486,11,FALSE)</f>
        <v>Persona Natural</v>
      </c>
      <c r="AC730" s="13" t="str">
        <f>VLOOKUP(D730,Clientes!$A$2:$B$486,2,FALSE)</f>
        <v>Sector Santa Delia</v>
      </c>
      <c r="AD730" s="20"/>
      <c r="AE730" s="20"/>
      <c r="AF730" s="13" t="s">
        <v>40</v>
      </c>
      <c r="AG730" s="15">
        <f t="shared" si="6"/>
        <v>45505</v>
      </c>
      <c r="AH730" s="13" t="s">
        <v>41</v>
      </c>
      <c r="AI730" s="13" t="str">
        <f t="shared" si="7"/>
        <v>Papeleria</v>
      </c>
      <c r="AJ730" s="13" t="str">
        <f>VLOOKUP(E730,Precios!Z$2:AA$941,2,FALSE)</f>
        <v>Papel Higienico ELITE 50 metros</v>
      </c>
      <c r="AK730" s="14">
        <f>VLOOKUP(E730,Precios!Z$2:BB$941,3,FALSE)*F730</f>
        <v>-6</v>
      </c>
      <c r="AL730" s="17"/>
      <c r="AM730" s="17"/>
      <c r="AN730" s="17"/>
      <c r="AO730" s="17"/>
      <c r="AP730" s="17"/>
      <c r="AQ730" s="17"/>
      <c r="AR730" s="17"/>
      <c r="AS730" s="17"/>
      <c r="AT730" s="17"/>
      <c r="AU730" s="17"/>
      <c r="AV730" s="17"/>
    </row>
    <row r="731" spans="1:48" ht="15.75" customHeight="1">
      <c r="A731" s="21" t="s">
        <v>50</v>
      </c>
      <c r="B731" s="23" t="s">
        <v>1692</v>
      </c>
      <c r="C731" s="22">
        <v>45872</v>
      </c>
      <c r="D731" s="23" t="s">
        <v>229</v>
      </c>
      <c r="E731" s="23" t="s">
        <v>51</v>
      </c>
      <c r="F731" s="14">
        <v>1</v>
      </c>
      <c r="G731" s="12">
        <f>VLOOKUP(E731,Precios!B$2:N$941,12,FALSE)</f>
        <v>1000.0000000000001</v>
      </c>
      <c r="H731" s="12">
        <f t="shared" si="0"/>
        <v>1000.0000000000001</v>
      </c>
      <c r="I731" s="23" t="s">
        <v>52</v>
      </c>
      <c r="J731" s="23" t="s">
        <v>61</v>
      </c>
      <c r="K731" s="24" t="s">
        <v>177</v>
      </c>
      <c r="L731" s="24">
        <v>166</v>
      </c>
      <c r="M731" s="12">
        <f t="shared" ref="M731:N731" si="736">G731/1.19</f>
        <v>840.3361344537816</v>
      </c>
      <c r="N731" s="12">
        <f t="shared" si="736"/>
        <v>840.3361344537816</v>
      </c>
      <c r="O731" s="12">
        <f t="shared" si="2"/>
        <v>159.66386554621852</v>
      </c>
      <c r="P731" s="13"/>
      <c r="Q731" s="14">
        <f t="shared" si="3"/>
        <v>2025</v>
      </c>
      <c r="R731" s="15">
        <f>VLOOKUP(MONTH(C731),'Datos Maestros'!M$2:N$14,2,FALSE)</f>
        <v>45505</v>
      </c>
      <c r="S731" s="11" t="str">
        <f>VLOOKUP(E731,Precios!B$2:W$941,3,FALSE)</f>
        <v>Hielo 1 Kilo</v>
      </c>
      <c r="T731" s="16">
        <f>VLOOKUP(E731,Precios!B$2:N$941,4,FALSE)*F731</f>
        <v>0</v>
      </c>
      <c r="U731" s="17"/>
      <c r="V731" s="12">
        <f>VLOOKUP(E731,Precios!B$2:N$941,13,FALSE)*F731</f>
        <v>440.3361344537816</v>
      </c>
      <c r="W731" s="12">
        <f t="shared" si="4"/>
        <v>440.3361344537816</v>
      </c>
      <c r="X731" s="12">
        <f>VLOOKUP(B731,'Datos Maestros'!$C$2:$D$7,2,FALSE)*V731</f>
        <v>0</v>
      </c>
      <c r="Y731" s="18">
        <f t="shared" si="5"/>
        <v>45866</v>
      </c>
      <c r="Z731" s="13" t="s">
        <v>39</v>
      </c>
      <c r="AA731" s="19" t="str">
        <f>VLOOKUP(D731,Clientes!$A$2:$J$486,9,FALSE)</f>
        <v>Frecuente</v>
      </c>
      <c r="AB731" s="13" t="str">
        <f>VLOOKUP(D731,Clientes!$A$2:$K$486,11,FALSE)</f>
        <v>Persona Natural</v>
      </c>
      <c r="AC731" s="13" t="str">
        <f>VLOOKUP(D731,Clientes!$A$2:$B$486,2,FALSE)</f>
        <v>Sector Santa Delia</v>
      </c>
      <c r="AD731" s="20"/>
      <c r="AE731" s="20"/>
      <c r="AF731" s="13" t="s">
        <v>40</v>
      </c>
      <c r="AG731" s="15">
        <f t="shared" si="6"/>
        <v>45505</v>
      </c>
      <c r="AH731" s="13" t="s">
        <v>41</v>
      </c>
      <c r="AI731" s="13" t="str">
        <f t="shared" si="7"/>
        <v>Licores</v>
      </c>
      <c r="AJ731" s="13" t="str">
        <f>VLOOKUP(E731,Precios!Z$2:AA$941,2,FALSE)</f>
        <v>Hielo 1 Kilo</v>
      </c>
      <c r="AK731" s="14">
        <f>VLOOKUP(E731,Precios!Z$2:BB$941,3,FALSE)*F731</f>
        <v>-1</v>
      </c>
      <c r="AL731" s="17"/>
      <c r="AM731" s="17"/>
      <c r="AN731" s="17"/>
      <c r="AO731" s="17"/>
      <c r="AP731" s="17"/>
      <c r="AQ731" s="17"/>
      <c r="AR731" s="17"/>
      <c r="AS731" s="17"/>
      <c r="AT731" s="17"/>
      <c r="AU731" s="17"/>
      <c r="AV731" s="17"/>
    </row>
    <row r="732" spans="1:48" ht="15.75" customHeight="1">
      <c r="A732" s="21" t="s">
        <v>53</v>
      </c>
      <c r="B732" s="23" t="s">
        <v>1692</v>
      </c>
      <c r="C732" s="22">
        <v>45872</v>
      </c>
      <c r="D732" s="23" t="s">
        <v>346</v>
      </c>
      <c r="E732" s="23" t="s">
        <v>55</v>
      </c>
      <c r="F732" s="14">
        <v>1</v>
      </c>
      <c r="G732" s="12">
        <f>VLOOKUP(E732,Precios!B$2:N$941,12,FALSE)</f>
        <v>20899.91124296327</v>
      </c>
      <c r="H732" s="12">
        <f t="shared" si="0"/>
        <v>20899.91124296327</v>
      </c>
      <c r="I732" s="23" t="s">
        <v>52</v>
      </c>
      <c r="J732" s="23" t="s">
        <v>61</v>
      </c>
      <c r="K732" s="24" t="s">
        <v>177</v>
      </c>
      <c r="L732" s="24">
        <v>166</v>
      </c>
      <c r="M732" s="12">
        <f t="shared" ref="M732:N732" si="737">G732/1.19</f>
        <v>17562.950624338882</v>
      </c>
      <c r="N732" s="12">
        <f t="shared" si="737"/>
        <v>17562.950624338882</v>
      </c>
      <c r="O732" s="12">
        <f t="shared" si="2"/>
        <v>3336.9606186243873</v>
      </c>
      <c r="P732" s="13"/>
      <c r="Q732" s="14">
        <f t="shared" si="3"/>
        <v>2025</v>
      </c>
      <c r="R732" s="15">
        <f>VLOOKUP(MONTH(C732),'Datos Maestros'!M$2:N$14,2,FALSE)</f>
        <v>45505</v>
      </c>
      <c r="S732" s="11" t="str">
        <f>VLOOKUP(E732,Precios!B$2:W$941,3,FALSE)</f>
        <v>Papel Higiénico ELITE</v>
      </c>
      <c r="T732" s="16">
        <f>VLOOKUP(E732,Precios!B$2:N$941,4,FALSE)*F732</f>
        <v>0</v>
      </c>
      <c r="U732" s="17"/>
      <c r="V732" s="12">
        <f>VLOOKUP(E732,Precios!B$2:N$941,13,FALSE)*F732</f>
        <v>3117.9506243388823</v>
      </c>
      <c r="W732" s="12">
        <f t="shared" si="4"/>
        <v>3117.9506243388823</v>
      </c>
      <c r="X732" s="12">
        <f>VLOOKUP(B732,'Datos Maestros'!$C$2:$D$7,2,FALSE)*V732</f>
        <v>0</v>
      </c>
      <c r="Y732" s="18">
        <f t="shared" si="5"/>
        <v>45866</v>
      </c>
      <c r="Z732" s="13" t="s">
        <v>39</v>
      </c>
      <c r="AA732" s="19" t="str">
        <f>VLOOKUP(D732,Clientes!$A$2:$J$486,9,FALSE)</f>
        <v>Ocacional</v>
      </c>
      <c r="AB732" s="13" t="str">
        <f>VLOOKUP(D732,Clientes!$A$2:$K$486,11,FALSE)</f>
        <v>Persona Natural</v>
      </c>
      <c r="AC732" s="13" t="str">
        <f>VLOOKUP(D732,Clientes!$A$2:$B$486,2,FALSE)</f>
        <v>Sector Delia</v>
      </c>
      <c r="AD732" s="20"/>
      <c r="AE732" s="20"/>
      <c r="AF732" s="13" t="s">
        <v>40</v>
      </c>
      <c r="AG732" s="15">
        <f t="shared" si="6"/>
        <v>45505</v>
      </c>
      <c r="AH732" s="13" t="s">
        <v>41</v>
      </c>
      <c r="AI732" s="13" t="str">
        <f t="shared" si="7"/>
        <v>Papeleria</v>
      </c>
      <c r="AJ732" s="13" t="str">
        <f>VLOOKUP(E732,Precios!Z$2:AA$941,2,FALSE)</f>
        <v>Papel Higienico ELITE 50 metros</v>
      </c>
      <c r="AK732" s="14">
        <f>VLOOKUP(E732,Precios!Z$2:BB$941,3,FALSE)*F732</f>
        <v>-8</v>
      </c>
      <c r="AL732" s="17"/>
      <c r="AM732" s="17"/>
      <c r="AN732" s="17"/>
      <c r="AO732" s="17"/>
      <c r="AP732" s="17"/>
      <c r="AQ732" s="17"/>
      <c r="AR732" s="17"/>
      <c r="AS732" s="17"/>
      <c r="AT732" s="17"/>
      <c r="AU732" s="17"/>
      <c r="AV732" s="17"/>
    </row>
    <row r="733" spans="1:48" ht="15.75" customHeight="1">
      <c r="A733" s="21" t="s">
        <v>53</v>
      </c>
      <c r="B733" s="23" t="s">
        <v>1692</v>
      </c>
      <c r="C733" s="22">
        <v>45872</v>
      </c>
      <c r="D733" s="23" t="s">
        <v>346</v>
      </c>
      <c r="E733" s="23" t="s">
        <v>136</v>
      </c>
      <c r="F733" s="14">
        <v>1</v>
      </c>
      <c r="G733" s="12">
        <f>VLOOKUP(E733,Precios!B$2:N$941,12,FALSE)</f>
        <v>14900.292682926829</v>
      </c>
      <c r="H733" s="12">
        <f t="shared" si="0"/>
        <v>14900.292682926829</v>
      </c>
      <c r="I733" s="23" t="s">
        <v>52</v>
      </c>
      <c r="J733" s="23" t="s">
        <v>61</v>
      </c>
      <c r="K733" s="24" t="s">
        <v>177</v>
      </c>
      <c r="L733" s="24">
        <v>166</v>
      </c>
      <c r="M733" s="12">
        <f t="shared" ref="M733:N733" si="738">G733/1.19</f>
        <v>12521.254355400697</v>
      </c>
      <c r="N733" s="12">
        <f t="shared" si="738"/>
        <v>12521.254355400697</v>
      </c>
      <c r="O733" s="12">
        <f t="shared" si="2"/>
        <v>2379.038327526132</v>
      </c>
      <c r="P733" s="13"/>
      <c r="Q733" s="14">
        <f t="shared" si="3"/>
        <v>2025</v>
      </c>
      <c r="R733" s="15">
        <f>VLOOKUP(MONTH(C733),'Datos Maestros'!M$2:N$14,2,FALSE)</f>
        <v>45505</v>
      </c>
      <c r="S733" s="11" t="str">
        <f>VLOOKUP(E733,Precios!B$2:W$941,3,FALSE)</f>
        <v>Toalla Nova 26 mts</v>
      </c>
      <c r="T733" s="16">
        <f>VLOOKUP(E733,Precios!B$2:N$941,4,FALSE)*F733</f>
        <v>0</v>
      </c>
      <c r="U733" s="17"/>
      <c r="V733" s="12">
        <f>VLOOKUP(E733,Precios!B$2:N$941,13,FALSE)*F733</f>
        <v>3537.254355400697</v>
      </c>
      <c r="W733" s="12">
        <f t="shared" si="4"/>
        <v>3537.254355400697</v>
      </c>
      <c r="X733" s="12">
        <f>VLOOKUP(B733,'Datos Maestros'!$C$2:$D$7,2,FALSE)*V733</f>
        <v>0</v>
      </c>
      <c r="Y733" s="18">
        <f t="shared" si="5"/>
        <v>45866</v>
      </c>
      <c r="Z733" s="13" t="s">
        <v>39</v>
      </c>
      <c r="AA733" s="19" t="str">
        <f>VLOOKUP(D733,Clientes!$A$2:$J$486,9,FALSE)</f>
        <v>Ocacional</v>
      </c>
      <c r="AB733" s="13" t="str">
        <f>VLOOKUP(D733,Clientes!$A$2:$K$486,11,FALSE)</f>
        <v>Persona Natural</v>
      </c>
      <c r="AC733" s="13" t="str">
        <f>VLOOKUP(D733,Clientes!$A$2:$B$486,2,FALSE)</f>
        <v>Sector Delia</v>
      </c>
      <c r="AD733" s="20"/>
      <c r="AE733" s="20"/>
      <c r="AF733" s="13" t="s">
        <v>40</v>
      </c>
      <c r="AG733" s="15">
        <f t="shared" si="6"/>
        <v>45505</v>
      </c>
      <c r="AH733" s="13" t="s">
        <v>41</v>
      </c>
      <c r="AI733" s="13" t="str">
        <f t="shared" si="7"/>
        <v>Papeleria</v>
      </c>
      <c r="AJ733" s="13" t="str">
        <f>VLOOKUP(E733,Precios!Z$2:AA$941,2,FALSE)</f>
        <v>Toalla Papel NOVA 26 metros</v>
      </c>
      <c r="AK733" s="14">
        <f>VLOOKUP(E733,Precios!Z$2:BB$941,3,FALSE)*F733</f>
        <v>-8</v>
      </c>
      <c r="AL733" s="17"/>
      <c r="AM733" s="17"/>
      <c r="AN733" s="17"/>
      <c r="AO733" s="17"/>
      <c r="AP733" s="17"/>
      <c r="AQ733" s="17"/>
      <c r="AR733" s="17"/>
      <c r="AS733" s="17"/>
      <c r="AT733" s="17"/>
      <c r="AU733" s="17"/>
      <c r="AV733" s="17"/>
    </row>
    <row r="734" spans="1:48" ht="15.75" customHeight="1">
      <c r="A734" s="21" t="s">
        <v>147</v>
      </c>
      <c r="B734" s="23" t="s">
        <v>1692</v>
      </c>
      <c r="C734" s="22">
        <v>45872</v>
      </c>
      <c r="D734" s="23" t="s">
        <v>347</v>
      </c>
      <c r="E734" s="23" t="s">
        <v>260</v>
      </c>
      <c r="F734" s="14">
        <v>1</v>
      </c>
      <c r="G734" s="12">
        <f>VLOOKUP(E734,Precios!B$2:N$941,12,FALSE)</f>
        <v>19500.476927043055</v>
      </c>
      <c r="H734" s="12">
        <f t="shared" si="0"/>
        <v>19500.476927043055</v>
      </c>
      <c r="I734" s="23" t="s">
        <v>52</v>
      </c>
      <c r="J734" s="23" t="s">
        <v>61</v>
      </c>
      <c r="K734" s="24" t="s">
        <v>86</v>
      </c>
      <c r="L734" s="24">
        <v>102</v>
      </c>
      <c r="M734" s="12">
        <f t="shared" ref="M734:N734" si="739">G734/1.19</f>
        <v>16386.955400876519</v>
      </c>
      <c r="N734" s="12">
        <f t="shared" si="739"/>
        <v>16386.955400876519</v>
      </c>
      <c r="O734" s="12">
        <f t="shared" si="2"/>
        <v>3113.5215261665362</v>
      </c>
      <c r="P734" s="13"/>
      <c r="Q734" s="14">
        <f t="shared" si="3"/>
        <v>2025</v>
      </c>
      <c r="R734" s="15">
        <f>VLOOKUP(MONTH(C734),'Datos Maestros'!M$2:N$14,2,FALSE)</f>
        <v>45505</v>
      </c>
      <c r="S734" s="11" t="str">
        <f>VLOOKUP(E734,Precios!B$2:W$941,3,FALSE)</f>
        <v>Papel Aluminio</v>
      </c>
      <c r="T734" s="16">
        <f>VLOOKUP(E734,Precios!B$2:N$941,4,FALSE)*F734</f>
        <v>0</v>
      </c>
      <c r="U734" s="17"/>
      <c r="V734" s="12">
        <f>VLOOKUP(E734,Precios!B$2:N$941,13,FALSE)*F734</f>
        <v>3673.9554008765153</v>
      </c>
      <c r="W734" s="12">
        <f t="shared" si="4"/>
        <v>3673.9554008765153</v>
      </c>
      <c r="X734" s="12">
        <f>VLOOKUP(B734,'Datos Maestros'!$C$2:$D$7,2,FALSE)*V734</f>
        <v>0</v>
      </c>
      <c r="Y734" s="18">
        <f t="shared" si="5"/>
        <v>45866</v>
      </c>
      <c r="Z734" s="13" t="s">
        <v>39</v>
      </c>
      <c r="AA734" s="19" t="str">
        <f>VLOOKUP(D734,Clientes!$A$2:$J$486,9,FALSE)</f>
        <v>Ocacional</v>
      </c>
      <c r="AB734" s="13" t="str">
        <f>VLOOKUP(D734,Clientes!$A$2:$K$486,11,FALSE)</f>
        <v>Empresa</v>
      </c>
      <c r="AC734" s="13" t="str">
        <f>VLOOKUP(D734,Clientes!$A$2:$B$486,2,FALSE)</f>
        <v>Jardin del eden</v>
      </c>
      <c r="AD734" s="20"/>
      <c r="AE734" s="20"/>
      <c r="AF734" s="13" t="s">
        <v>40</v>
      </c>
      <c r="AG734" s="15">
        <f t="shared" si="6"/>
        <v>45505</v>
      </c>
      <c r="AH734" s="13" t="s">
        <v>41</v>
      </c>
      <c r="AI734" s="13" t="str">
        <f t="shared" si="7"/>
        <v>Film Plastico-Aluminio</v>
      </c>
      <c r="AJ734" s="13" t="str">
        <f>VLOOKUP(E734,Precios!Z$2:AA$941,2,FALSE)</f>
        <v>Papel Aluminio 300 metros</v>
      </c>
      <c r="AK734" s="14">
        <f>VLOOKUP(E734,Precios!Z$2:BB$941,3,FALSE)*F734</f>
        <v>-1</v>
      </c>
      <c r="AL734" s="17"/>
      <c r="AM734" s="17"/>
      <c r="AN734" s="17"/>
      <c r="AO734" s="17"/>
      <c r="AP734" s="17"/>
      <c r="AQ734" s="17"/>
      <c r="AR734" s="17"/>
      <c r="AS734" s="17"/>
      <c r="AT734" s="17"/>
      <c r="AU734" s="17"/>
      <c r="AV734" s="17"/>
    </row>
    <row r="735" spans="1:48" ht="15.75" customHeight="1">
      <c r="A735" s="21" t="s">
        <v>53</v>
      </c>
      <c r="B735" s="23" t="s">
        <v>1692</v>
      </c>
      <c r="C735" s="22">
        <v>45872</v>
      </c>
      <c r="D735" s="23" t="s">
        <v>292</v>
      </c>
      <c r="E735" s="23" t="s">
        <v>55</v>
      </c>
      <c r="F735" s="14">
        <v>1</v>
      </c>
      <c r="G735" s="12">
        <f>VLOOKUP(E735,Precios!B$2:N$941,12,FALSE)</f>
        <v>20899.91124296327</v>
      </c>
      <c r="H735" s="12">
        <f t="shared" si="0"/>
        <v>20899.91124296327</v>
      </c>
      <c r="I735" s="23" t="s">
        <v>52</v>
      </c>
      <c r="J735" s="23" t="s">
        <v>61</v>
      </c>
      <c r="K735" s="24" t="s">
        <v>177</v>
      </c>
      <c r="L735" s="24">
        <v>166</v>
      </c>
      <c r="M735" s="12">
        <f t="shared" ref="M735:N735" si="740">G735/1.19</f>
        <v>17562.950624338882</v>
      </c>
      <c r="N735" s="12">
        <f t="shared" si="740"/>
        <v>17562.950624338882</v>
      </c>
      <c r="O735" s="12">
        <f t="shared" si="2"/>
        <v>3336.9606186243873</v>
      </c>
      <c r="P735" s="13"/>
      <c r="Q735" s="14">
        <f t="shared" si="3"/>
        <v>2025</v>
      </c>
      <c r="R735" s="15">
        <f>VLOOKUP(MONTH(C735),'Datos Maestros'!M$2:N$14,2,FALSE)</f>
        <v>45505</v>
      </c>
      <c r="S735" s="11" t="str">
        <f>VLOOKUP(E735,Precios!B$2:W$941,3,FALSE)</f>
        <v>Papel Higiénico ELITE</v>
      </c>
      <c r="T735" s="16">
        <f>VLOOKUP(E735,Precios!B$2:N$941,4,FALSE)*F735</f>
        <v>0</v>
      </c>
      <c r="U735" s="17"/>
      <c r="V735" s="12">
        <f>VLOOKUP(E735,Precios!B$2:N$941,13,FALSE)*F735</f>
        <v>3117.9506243388823</v>
      </c>
      <c r="W735" s="12">
        <f t="shared" si="4"/>
        <v>3117.9506243388823</v>
      </c>
      <c r="X735" s="12">
        <f>VLOOKUP(B735,'Datos Maestros'!$C$2:$D$7,2,FALSE)*V735</f>
        <v>0</v>
      </c>
      <c r="Y735" s="18">
        <f t="shared" si="5"/>
        <v>45866</v>
      </c>
      <c r="Z735" s="13" t="s">
        <v>39</v>
      </c>
      <c r="AA735" s="19" t="str">
        <f>VLOOKUP(D735,Clientes!$A$2:$J$486,9,FALSE)</f>
        <v>Regular</v>
      </c>
      <c r="AB735" s="13" t="str">
        <f>VLOOKUP(D735,Clientes!$A$2:$K$486,11,FALSE)</f>
        <v>Persona Natural</v>
      </c>
      <c r="AC735" s="13" t="str">
        <f>VLOOKUP(D735,Clientes!$A$2:$B$486,2,FALSE)</f>
        <v>Jardines de la viña</v>
      </c>
      <c r="AD735" s="20"/>
      <c r="AE735" s="20"/>
      <c r="AF735" s="13" t="s">
        <v>40</v>
      </c>
      <c r="AG735" s="15">
        <f t="shared" si="6"/>
        <v>45505</v>
      </c>
      <c r="AH735" s="13" t="s">
        <v>41</v>
      </c>
      <c r="AI735" s="13" t="str">
        <f t="shared" si="7"/>
        <v>Papeleria</v>
      </c>
      <c r="AJ735" s="13" t="str">
        <f>VLOOKUP(E735,Precios!Z$2:AA$941,2,FALSE)</f>
        <v>Papel Higienico ELITE 50 metros</v>
      </c>
      <c r="AK735" s="14">
        <f>VLOOKUP(E735,Precios!Z$2:BB$941,3,FALSE)*F735</f>
        <v>-8</v>
      </c>
      <c r="AL735" s="17"/>
      <c r="AM735" s="17"/>
      <c r="AN735" s="17"/>
      <c r="AO735" s="17"/>
      <c r="AP735" s="17"/>
      <c r="AQ735" s="17"/>
      <c r="AR735" s="17"/>
      <c r="AS735" s="17"/>
      <c r="AT735" s="17"/>
      <c r="AU735" s="17"/>
      <c r="AV735" s="17"/>
    </row>
    <row r="736" spans="1:48" ht="15.75" customHeight="1">
      <c r="A736" s="14" t="s">
        <v>43</v>
      </c>
      <c r="B736" s="23" t="s">
        <v>1692</v>
      </c>
      <c r="C736" s="22">
        <v>45871</v>
      </c>
      <c r="D736" s="23" t="s">
        <v>292</v>
      </c>
      <c r="E736" s="13" t="s">
        <v>45</v>
      </c>
      <c r="F736" s="14">
        <v>1</v>
      </c>
      <c r="G736" s="12">
        <f>VLOOKUP(E736,Precios!B$2:N$941,12,FALSE)</f>
        <v>8000.1831784723063</v>
      </c>
      <c r="H736" s="12">
        <f t="shared" si="0"/>
        <v>8000.1831784723063</v>
      </c>
      <c r="I736" s="13" t="s">
        <v>52</v>
      </c>
      <c r="J736" s="23" t="s">
        <v>61</v>
      </c>
      <c r="K736" s="24" t="s">
        <v>177</v>
      </c>
      <c r="L736" s="24">
        <v>166</v>
      </c>
      <c r="M736" s="12">
        <f t="shared" ref="M736:N736" si="741">G736/1.19</f>
        <v>6722.8430071195853</v>
      </c>
      <c r="N736" s="12">
        <f t="shared" si="741"/>
        <v>6722.8430071195853</v>
      </c>
      <c r="O736" s="12">
        <f t="shared" si="2"/>
        <v>1277.340171352721</v>
      </c>
      <c r="P736" s="13"/>
      <c r="Q736" s="14">
        <f t="shared" si="3"/>
        <v>2025</v>
      </c>
      <c r="R736" s="15">
        <f>VLOOKUP(MONTH(C736),'Datos Maestros'!M$2:N$14,2,FALSE)</f>
        <v>45505</v>
      </c>
      <c r="S736" s="11" t="str">
        <f>VLOOKUP(E736,Precios!B$2:W$941,3,FALSE)</f>
        <v>Huevos EXTRA</v>
      </c>
      <c r="T736" s="16">
        <f>VLOOKUP(E736,Precios!B$2:N$941,4,FALSE)*F736</f>
        <v>0</v>
      </c>
      <c r="U736" s="17"/>
      <c r="V736" s="12">
        <f>VLOOKUP(E736,Precios!B$2:N$941,13,FALSE)*F736</f>
        <v>1151.6230071195851</v>
      </c>
      <c r="W736" s="12">
        <f t="shared" si="4"/>
        <v>1151.6230071195851</v>
      </c>
      <c r="X736" s="12">
        <f>VLOOKUP(B736,'Datos Maestros'!$C$2:$D$7,2,FALSE)*V736</f>
        <v>0</v>
      </c>
      <c r="Y736" s="18">
        <f t="shared" si="5"/>
        <v>45866</v>
      </c>
      <c r="Z736" s="13" t="s">
        <v>39</v>
      </c>
      <c r="AA736" s="19" t="str">
        <f>VLOOKUP(D736,Clientes!$A$2:$J$486,9,FALSE)</f>
        <v>Regular</v>
      </c>
      <c r="AB736" s="13" t="str">
        <f>VLOOKUP(D736,Clientes!$A$2:$K$486,11,FALSE)</f>
        <v>Persona Natural</v>
      </c>
      <c r="AC736" s="13" t="str">
        <f>VLOOKUP(D736,Clientes!$A$2:$B$486,2,FALSE)</f>
        <v>Jardines de la viña</v>
      </c>
      <c r="AD736" s="20"/>
      <c r="AE736" s="20"/>
      <c r="AF736" s="13" t="s">
        <v>40</v>
      </c>
      <c r="AG736" s="15">
        <f t="shared" si="6"/>
        <v>45505</v>
      </c>
      <c r="AH736" s="13" t="s">
        <v>41</v>
      </c>
      <c r="AI736" s="13" t="str">
        <f t="shared" si="7"/>
        <v>Huevos</v>
      </c>
      <c r="AJ736" s="13" t="str">
        <f>VLOOKUP(E736,Precios!Z$2:AA$941,2,FALSE)</f>
        <v>Bandeja Huevos EXTRA</v>
      </c>
      <c r="AK736" s="14">
        <f>VLOOKUP(E736,Precios!Z$2:BB$941,3,FALSE)*F736</f>
        <v>-1</v>
      </c>
      <c r="AL736" s="17"/>
      <c r="AM736" s="17"/>
      <c r="AN736" s="17"/>
      <c r="AO736" s="17"/>
      <c r="AP736" s="17"/>
      <c r="AQ736" s="17"/>
      <c r="AR736" s="17"/>
      <c r="AS736" s="17"/>
      <c r="AT736" s="17"/>
      <c r="AU736" s="17"/>
      <c r="AV736" s="17"/>
    </row>
    <row r="737" spans="1:48" ht="15.75" customHeight="1">
      <c r="A737" s="21" t="s">
        <v>35</v>
      </c>
      <c r="B737" s="23" t="s">
        <v>1692</v>
      </c>
      <c r="C737" s="22">
        <v>45870</v>
      </c>
      <c r="D737" s="23" t="s">
        <v>146</v>
      </c>
      <c r="E737" s="23" t="s">
        <v>46</v>
      </c>
      <c r="F737" s="21">
        <v>1</v>
      </c>
      <c r="G737" s="12">
        <f>VLOOKUP(E737,Precios!B$2:N$941,12,FALSE)</f>
        <v>6000.1548227279782</v>
      </c>
      <c r="H737" s="12">
        <f t="shared" si="0"/>
        <v>6000.1548227279782</v>
      </c>
      <c r="I737" s="23" t="s">
        <v>52</v>
      </c>
      <c r="J737" s="23" t="s">
        <v>61</v>
      </c>
      <c r="K737" s="24" t="s">
        <v>177</v>
      </c>
      <c r="L737" s="24">
        <v>166</v>
      </c>
      <c r="M737" s="12">
        <f t="shared" ref="M737:N737" si="742">G737/1.19</f>
        <v>5042.1469098554444</v>
      </c>
      <c r="N737" s="12">
        <f t="shared" si="742"/>
        <v>5042.1469098554444</v>
      </c>
      <c r="O737" s="12">
        <f t="shared" si="2"/>
        <v>958.00791287253378</v>
      </c>
      <c r="P737" s="13"/>
      <c r="Q737" s="14">
        <f t="shared" si="3"/>
        <v>2025</v>
      </c>
      <c r="R737" s="15">
        <f>VLOOKUP(MONTH(C737),'Datos Maestros'!M$2:N$14,2,FALSE)</f>
        <v>45505</v>
      </c>
      <c r="S737" s="11" t="str">
        <f>VLOOKUP(E737,Precios!B$2:W$941,3,FALSE)</f>
        <v>Queso Mantecoso</v>
      </c>
      <c r="T737" s="16">
        <f>VLOOKUP(E737,Precios!B$2:N$941,4,FALSE)*F737</f>
        <v>500</v>
      </c>
      <c r="U737" s="17"/>
      <c r="V737" s="12">
        <f>VLOOKUP(E737,Precios!B$2:N$941,13,FALSE)*F737</f>
        <v>1785.4242207798129</v>
      </c>
      <c r="W737" s="12">
        <f t="shared" si="4"/>
        <v>1785.4242207798129</v>
      </c>
      <c r="X737" s="12">
        <f>VLOOKUP(B737,'Datos Maestros'!$C$2:$D$7,2,FALSE)*V737</f>
        <v>0</v>
      </c>
      <c r="Y737" s="18">
        <f t="shared" si="5"/>
        <v>45866</v>
      </c>
      <c r="Z737" s="13" t="s">
        <v>39</v>
      </c>
      <c r="AA737" s="19" t="str">
        <f>VLOOKUP(D737,Clientes!$A$2:$J$486,9,FALSE)</f>
        <v>Ocacional</v>
      </c>
      <c r="AB737" s="13" t="str">
        <f>VLOOKUP(D737,Clientes!$A$2:$K$486,11,FALSE)</f>
        <v>Persona Natural</v>
      </c>
      <c r="AC737" s="13" t="str">
        <f>VLOOKUP(D737,Clientes!$A$2:$B$486,2,FALSE)</f>
        <v>Jardin del eden</v>
      </c>
      <c r="AD737" s="20"/>
      <c r="AE737" s="20"/>
      <c r="AF737" s="13" t="s">
        <v>40</v>
      </c>
      <c r="AG737" s="15">
        <f t="shared" si="6"/>
        <v>45505</v>
      </c>
      <c r="AH737" s="13" t="s">
        <v>41</v>
      </c>
      <c r="AI737" s="13" t="str">
        <f t="shared" si="7"/>
        <v>Quesos</v>
      </c>
      <c r="AJ737" s="13" t="str">
        <f>VLOOKUP(E737,Precios!Z$2:AA$941,2,FALSE)</f>
        <v>Queso RUNCA Mantecoso</v>
      </c>
      <c r="AK737" s="14">
        <f>VLOOKUP(E737,Precios!Z$2:BB$941,3,FALSE)*F737</f>
        <v>-0.5</v>
      </c>
      <c r="AL737" s="17"/>
      <c r="AM737" s="17"/>
      <c r="AN737" s="17"/>
      <c r="AO737" s="17"/>
      <c r="AP737" s="17"/>
      <c r="AQ737" s="17"/>
      <c r="AR737" s="17"/>
      <c r="AS737" s="17"/>
      <c r="AT737" s="17"/>
      <c r="AU737" s="17"/>
      <c r="AV737" s="17"/>
    </row>
    <row r="738" spans="1:48" ht="15.75" customHeight="1">
      <c r="A738" s="21" t="s">
        <v>43</v>
      </c>
      <c r="B738" s="23" t="s">
        <v>1692</v>
      </c>
      <c r="C738" s="22">
        <v>45870</v>
      </c>
      <c r="D738" s="23" t="s">
        <v>146</v>
      </c>
      <c r="E738" s="23" t="s">
        <v>45</v>
      </c>
      <c r="F738" s="21">
        <v>1</v>
      </c>
      <c r="G738" s="12">
        <f>VLOOKUP(E738,Precios!B$2:N$941,12,FALSE)</f>
        <v>8000.1831784723063</v>
      </c>
      <c r="H738" s="12">
        <f t="shared" si="0"/>
        <v>8000.1831784723063</v>
      </c>
      <c r="I738" s="23" t="s">
        <v>52</v>
      </c>
      <c r="J738" s="23" t="s">
        <v>61</v>
      </c>
      <c r="K738" s="24" t="s">
        <v>177</v>
      </c>
      <c r="L738" s="24">
        <v>166</v>
      </c>
      <c r="M738" s="12">
        <f t="shared" ref="M738:N738" si="743">G738/1.19</f>
        <v>6722.8430071195853</v>
      </c>
      <c r="N738" s="12">
        <f t="shared" si="743"/>
        <v>6722.8430071195853</v>
      </c>
      <c r="O738" s="12">
        <f t="shared" si="2"/>
        <v>1277.340171352721</v>
      </c>
      <c r="P738" s="13"/>
      <c r="Q738" s="14">
        <f t="shared" si="3"/>
        <v>2025</v>
      </c>
      <c r="R738" s="15">
        <f>VLOOKUP(MONTH(C738),'Datos Maestros'!M$2:N$14,2,FALSE)</f>
        <v>45505</v>
      </c>
      <c r="S738" s="11" t="str">
        <f>VLOOKUP(E738,Precios!B$2:W$941,3,FALSE)</f>
        <v>Huevos EXTRA</v>
      </c>
      <c r="T738" s="16">
        <f>VLOOKUP(E738,Precios!B$2:N$941,4,FALSE)*F738</f>
        <v>0</v>
      </c>
      <c r="U738" s="17"/>
      <c r="V738" s="12">
        <f>VLOOKUP(E738,Precios!B$2:N$941,13,FALSE)*F738</f>
        <v>1151.6230071195851</v>
      </c>
      <c r="W738" s="12">
        <f t="shared" si="4"/>
        <v>1151.6230071195851</v>
      </c>
      <c r="X738" s="12">
        <f>VLOOKUP(B738,'Datos Maestros'!$C$2:$D$7,2,FALSE)*V738</f>
        <v>0</v>
      </c>
      <c r="Y738" s="18">
        <f t="shared" si="5"/>
        <v>45866</v>
      </c>
      <c r="Z738" s="13" t="s">
        <v>39</v>
      </c>
      <c r="AA738" s="19" t="str">
        <f>VLOOKUP(D738,Clientes!$A$2:$J$486,9,FALSE)</f>
        <v>Ocacional</v>
      </c>
      <c r="AB738" s="13" t="str">
        <f>VLOOKUP(D738,Clientes!$A$2:$K$486,11,FALSE)</f>
        <v>Persona Natural</v>
      </c>
      <c r="AC738" s="13" t="str">
        <f>VLOOKUP(D738,Clientes!$A$2:$B$486,2,FALSE)</f>
        <v>Jardin del eden</v>
      </c>
      <c r="AD738" s="20"/>
      <c r="AE738" s="20"/>
      <c r="AF738" s="13" t="s">
        <v>40</v>
      </c>
      <c r="AG738" s="15">
        <f t="shared" si="6"/>
        <v>45505</v>
      </c>
      <c r="AH738" s="13" t="s">
        <v>41</v>
      </c>
      <c r="AI738" s="13" t="str">
        <f t="shared" si="7"/>
        <v>Huevos</v>
      </c>
      <c r="AJ738" s="13" t="str">
        <f>VLOOKUP(E738,Precios!Z$2:AA$941,2,FALSE)</f>
        <v>Bandeja Huevos EXTRA</v>
      </c>
      <c r="AK738" s="14">
        <f>VLOOKUP(E738,Precios!Z$2:BB$941,3,FALSE)*F738</f>
        <v>-1</v>
      </c>
      <c r="AL738" s="17"/>
      <c r="AM738" s="17"/>
      <c r="AN738" s="17"/>
      <c r="AO738" s="17"/>
      <c r="AP738" s="17"/>
      <c r="AQ738" s="17"/>
      <c r="AR738" s="17"/>
      <c r="AS738" s="17"/>
      <c r="AT738" s="17"/>
      <c r="AU738" s="17"/>
      <c r="AV738" s="17"/>
    </row>
    <row r="739" spans="1:48" ht="15.75" customHeight="1">
      <c r="A739" s="21" t="s">
        <v>47</v>
      </c>
      <c r="B739" s="23" t="s">
        <v>1692</v>
      </c>
      <c r="C739" s="22">
        <v>45870</v>
      </c>
      <c r="D739" s="23" t="s">
        <v>68</v>
      </c>
      <c r="E739" s="23" t="s">
        <v>100</v>
      </c>
      <c r="F739" s="21">
        <v>1</v>
      </c>
      <c r="G739" s="12">
        <f>VLOOKUP(E739,Precios!B$2:N$941,12,FALSE)</f>
        <v>650.00000000000011</v>
      </c>
      <c r="H739" s="12">
        <f t="shared" si="0"/>
        <v>650.00000000000011</v>
      </c>
      <c r="I739" s="23" t="s">
        <v>52</v>
      </c>
      <c r="J739" s="23" t="s">
        <v>61</v>
      </c>
      <c r="K739" s="24" t="s">
        <v>86</v>
      </c>
      <c r="L739" s="24">
        <v>107</v>
      </c>
      <c r="M739" s="27">
        <f t="shared" ref="M739:N739" si="744">G739/1.19</f>
        <v>546.21848739495806</v>
      </c>
      <c r="N739" s="12">
        <f t="shared" si="744"/>
        <v>546.21848739495806</v>
      </c>
      <c r="O739" s="12">
        <f t="shared" si="2"/>
        <v>103.78151260504205</v>
      </c>
      <c r="P739" s="13"/>
      <c r="Q739" s="14">
        <f t="shared" si="3"/>
        <v>2025</v>
      </c>
      <c r="R739" s="15">
        <f>VLOOKUP(MONTH(C739),'Datos Maestros'!M$2:N$14,2,FALSE)</f>
        <v>45505</v>
      </c>
      <c r="S739" s="11" t="str">
        <f>VLOOKUP(E739,Precios!B$2:W$941,3,FALSE)</f>
        <v>Bolsa Basura</v>
      </c>
      <c r="T739" s="16">
        <f>VLOOKUP(E739,Precios!B$2:N$941,4,FALSE)*F739</f>
        <v>0</v>
      </c>
      <c r="U739" s="17"/>
      <c r="V739" s="12">
        <f>VLOOKUP(E739,Precios!B$2:N$941,13,FALSE)*F739</f>
        <v>231.09243697478996</v>
      </c>
      <c r="W739" s="12">
        <f t="shared" si="4"/>
        <v>231.09243697478996</v>
      </c>
      <c r="X739" s="12">
        <f>VLOOKUP(B739,'Datos Maestros'!$C$2:$D$7,2,FALSE)*V739</f>
        <v>0</v>
      </c>
      <c r="Y739" s="18">
        <f t="shared" si="5"/>
        <v>45866</v>
      </c>
      <c r="Z739" s="13" t="s">
        <v>39</v>
      </c>
      <c r="AA739" s="19" t="str">
        <f>VLOOKUP(D739,Clientes!$A$2:$J$486,9,FALSE)</f>
        <v>Frecuente</v>
      </c>
      <c r="AB739" s="13" t="str">
        <f>VLOOKUP(D739,Clientes!$A$2:$K$486,11,FALSE)</f>
        <v>Empresa</v>
      </c>
      <c r="AC739" s="13" t="str">
        <f>VLOOKUP(D739,Clientes!$A$2:$B$486,2,FALSE)</f>
        <v>Jardines de la viña</v>
      </c>
      <c r="AD739" s="20"/>
      <c r="AE739" s="20"/>
      <c r="AF739" s="13" t="s">
        <v>40</v>
      </c>
      <c r="AG739" s="15">
        <f t="shared" si="6"/>
        <v>45505</v>
      </c>
      <c r="AH739" s="13" t="s">
        <v>41</v>
      </c>
      <c r="AI739" s="13" t="str">
        <f t="shared" si="7"/>
        <v>Articulos de Aseo</v>
      </c>
      <c r="AJ739" s="13" t="str">
        <f>VLOOKUP(E739,Precios!Z$2:AA$941,2,FALSE)</f>
        <v xml:space="preserve">Bolsas Basura TEDDY 50x70 </v>
      </c>
      <c r="AK739" s="14">
        <f>VLOOKUP(E739,Precios!Z$2:BB$941,3,FALSE)*F739</f>
        <v>-1</v>
      </c>
      <c r="AL739" s="17"/>
      <c r="AM739" s="17"/>
      <c r="AN739" s="17"/>
      <c r="AO739" s="17"/>
      <c r="AP739" s="17"/>
      <c r="AQ739" s="17"/>
      <c r="AR739" s="17"/>
      <c r="AS739" s="17"/>
      <c r="AT739" s="17"/>
      <c r="AU739" s="17"/>
      <c r="AV739" s="17"/>
    </row>
    <row r="740" spans="1:48" ht="15.75" customHeight="1">
      <c r="A740" s="21" t="s">
        <v>56</v>
      </c>
      <c r="B740" s="23" t="s">
        <v>1692</v>
      </c>
      <c r="C740" s="22">
        <v>45870</v>
      </c>
      <c r="D740" s="23" t="s">
        <v>348</v>
      </c>
      <c r="E740" s="23" t="s">
        <v>190</v>
      </c>
      <c r="F740" s="21">
        <v>2</v>
      </c>
      <c r="G740" s="12">
        <f>VLOOKUP(E740,Precios!B$2:N$941,12,FALSE)</f>
        <v>2499.8855507868384</v>
      </c>
      <c r="H740" s="12">
        <f t="shared" si="0"/>
        <v>4999.7711015736768</v>
      </c>
      <c r="I740" s="23" t="s">
        <v>52</v>
      </c>
      <c r="J740" s="23" t="s">
        <v>61</v>
      </c>
      <c r="K740" s="24" t="s">
        <v>177</v>
      </c>
      <c r="L740" s="24">
        <v>166</v>
      </c>
      <c r="M740" s="12">
        <f t="shared" ref="M740:N740" si="745">G740/1.19</f>
        <v>2100.7441603250745</v>
      </c>
      <c r="N740" s="12">
        <f t="shared" si="745"/>
        <v>4201.488320650149</v>
      </c>
      <c r="O740" s="12">
        <f t="shared" si="2"/>
        <v>798.28278092352775</v>
      </c>
      <c r="P740" s="13"/>
      <c r="Q740" s="14">
        <f t="shared" si="3"/>
        <v>2025</v>
      </c>
      <c r="R740" s="15">
        <f>VLOOKUP(MONTH(C740),'Datos Maestros'!M$2:N$14,2,FALSE)</f>
        <v>45505</v>
      </c>
      <c r="S740" s="11" t="str">
        <f>VLOOKUP(E740,Precios!B$2:W$941,3,FALSE)</f>
        <v>Mantequilla</v>
      </c>
      <c r="T740" s="16">
        <f>VLOOKUP(E740,Precios!B$2:N$941,4,FALSE)*F740</f>
        <v>400</v>
      </c>
      <c r="U740" s="17"/>
      <c r="V740" s="12">
        <f>VLOOKUP(E740,Precios!B$2:N$941,13,FALSE)*F740</f>
        <v>1264.6479845156941</v>
      </c>
      <c r="W740" s="12">
        <f t="shared" si="4"/>
        <v>1264.6479845156941</v>
      </c>
      <c r="X740" s="12">
        <f>VLOOKUP(B740,'Datos Maestros'!$C$2:$D$7,2,FALSE)*V740</f>
        <v>0</v>
      </c>
      <c r="Y740" s="18">
        <f t="shared" si="5"/>
        <v>45866</v>
      </c>
      <c r="Z740" s="13" t="s">
        <v>39</v>
      </c>
      <c r="AA740" s="19" t="str">
        <f>VLOOKUP(D740,Clientes!$A$2:$J$486,9,FALSE)</f>
        <v>Regular</v>
      </c>
      <c r="AB740" s="13" t="str">
        <f>VLOOKUP(D740,Clientes!$A$2:$K$486,11,FALSE)</f>
        <v>Persona Natural</v>
      </c>
      <c r="AC740" s="13" t="str">
        <f>VLOOKUP(D740,Clientes!$A$2:$B$486,2,FALSE)</f>
        <v>Jardines de la Viña</v>
      </c>
      <c r="AD740" s="20"/>
      <c r="AE740" s="20"/>
      <c r="AF740" s="13" t="s">
        <v>40</v>
      </c>
      <c r="AG740" s="15">
        <f t="shared" si="6"/>
        <v>45505</v>
      </c>
      <c r="AH740" s="13" t="s">
        <v>41</v>
      </c>
      <c r="AI740" s="13" t="str">
        <f t="shared" si="7"/>
        <v>Derivados</v>
      </c>
      <c r="AJ740" s="13" t="str">
        <f>VLOOKUP(E740,Precios!Z$2:AA$941,2,FALSE)</f>
        <v>Mantequilla RUMAY</v>
      </c>
      <c r="AK740" s="14">
        <f>VLOOKUP(E740,Precios!Z$2:BB$941,3,FALSE)*F740</f>
        <v>-2</v>
      </c>
      <c r="AL740" s="17"/>
      <c r="AM740" s="17"/>
      <c r="AN740" s="17"/>
      <c r="AO740" s="17"/>
      <c r="AP740" s="17"/>
      <c r="AQ740" s="17"/>
      <c r="AR740" s="17"/>
      <c r="AS740" s="17"/>
      <c r="AT740" s="17"/>
      <c r="AU740" s="17"/>
      <c r="AV740" s="17"/>
    </row>
    <row r="741" spans="1:48" ht="15.75" customHeight="1">
      <c r="A741" s="21" t="s">
        <v>47</v>
      </c>
      <c r="B741" s="23" t="s">
        <v>1692</v>
      </c>
      <c r="C741" s="22">
        <v>45869</v>
      </c>
      <c r="D741" s="23" t="s">
        <v>308</v>
      </c>
      <c r="E741" s="23" t="s">
        <v>48</v>
      </c>
      <c r="F741" s="21">
        <v>1</v>
      </c>
      <c r="G741" s="12">
        <f>VLOOKUP(E741,Precios!B$2:N$941,12,FALSE)</f>
        <v>1000</v>
      </c>
      <c r="H741" s="12">
        <f t="shared" si="0"/>
        <v>1000</v>
      </c>
      <c r="I741" s="23" t="s">
        <v>52</v>
      </c>
      <c r="J741" s="23" t="s">
        <v>61</v>
      </c>
      <c r="K741" s="24" t="s">
        <v>177</v>
      </c>
      <c r="L741" s="24">
        <v>165</v>
      </c>
      <c r="M741" s="12">
        <f t="shared" ref="M741:N741" si="746">G741/1.19</f>
        <v>840.3361344537816</v>
      </c>
      <c r="N741" s="12">
        <f t="shared" si="746"/>
        <v>840.3361344537816</v>
      </c>
      <c r="O741" s="12">
        <f t="shared" si="2"/>
        <v>159.6638655462184</v>
      </c>
      <c r="P741" s="13"/>
      <c r="Q741" s="14">
        <f t="shared" si="3"/>
        <v>2025</v>
      </c>
      <c r="R741" s="15">
        <f>VLOOKUP(MONTH(C741),'Datos Maestros'!M$2:N$14,2,FALSE)</f>
        <v>45474</v>
      </c>
      <c r="S741" s="11" t="str">
        <f>VLOOKUP(E741,Precios!B$2:W$941,3,FALSE)</f>
        <v>Esponjas</v>
      </c>
      <c r="T741" s="16">
        <f>VLOOKUP(E741,Precios!B$2:N$941,4,FALSE)*F741</f>
        <v>0</v>
      </c>
      <c r="U741" s="17"/>
      <c r="V741" s="12">
        <f>VLOOKUP(E741,Precios!B$2:N$941,13,FALSE)*F741</f>
        <v>330.33613445378148</v>
      </c>
      <c r="W741" s="12">
        <f t="shared" si="4"/>
        <v>330.33613445378148</v>
      </c>
      <c r="X741" s="12">
        <f>VLOOKUP(B741,'Datos Maestros'!$C$2:$D$7,2,FALSE)*V741</f>
        <v>0</v>
      </c>
      <c r="Y741" s="18">
        <f t="shared" si="5"/>
        <v>45866</v>
      </c>
      <c r="Z741" s="13" t="s">
        <v>39</v>
      </c>
      <c r="AA741" s="19" t="str">
        <f>VLOOKUP(D741,Clientes!$A$2:$J$486,9,FALSE)</f>
        <v>Ocacional</v>
      </c>
      <c r="AB741" s="13" t="str">
        <f>VLOOKUP(D741,Clientes!$A$2:$K$486,11,FALSE)</f>
        <v>Persona Natural</v>
      </c>
      <c r="AC741" s="13" t="str">
        <f>VLOOKUP(D741,Clientes!$A$2:$B$486,2,FALSE)</f>
        <v>Paicavi</v>
      </c>
      <c r="AD741" s="20"/>
      <c r="AE741" s="20"/>
      <c r="AF741" s="13" t="s">
        <v>40</v>
      </c>
      <c r="AG741" s="15">
        <f t="shared" si="6"/>
        <v>45474</v>
      </c>
      <c r="AH741" s="13" t="s">
        <v>41</v>
      </c>
      <c r="AI741" s="13" t="str">
        <f t="shared" si="7"/>
        <v>Articulos de Aseo</v>
      </c>
      <c r="AJ741" s="13" t="str">
        <f>VLOOKUP(E741,Precios!Z$2:AA$941,2,FALSE)</f>
        <v>Esponja Acanalada TEDDY</v>
      </c>
      <c r="AK741" s="14">
        <f>VLOOKUP(E741,Precios!Z$2:BB$941,3,FALSE)*F741</f>
        <v>-5</v>
      </c>
      <c r="AL741" s="17"/>
      <c r="AM741" s="17"/>
      <c r="AN741" s="17"/>
      <c r="AO741" s="17"/>
      <c r="AP741" s="17"/>
      <c r="AQ741" s="17"/>
      <c r="AR741" s="17"/>
      <c r="AS741" s="17"/>
      <c r="AT741" s="17"/>
      <c r="AU741" s="17"/>
      <c r="AV741" s="17"/>
    </row>
    <row r="742" spans="1:48" ht="15.75" customHeight="1">
      <c r="A742" s="21" t="s">
        <v>76</v>
      </c>
      <c r="B742" s="23" t="s">
        <v>1692</v>
      </c>
      <c r="C742" s="22">
        <v>45869</v>
      </c>
      <c r="D742" s="23" t="s">
        <v>308</v>
      </c>
      <c r="E742" s="23" t="s">
        <v>82</v>
      </c>
      <c r="F742" s="21">
        <v>1</v>
      </c>
      <c r="G742" s="12">
        <f>VLOOKUP(E742,Precios!B$2:N$941,12,FALSE)</f>
        <v>2000.0000000000002</v>
      </c>
      <c r="H742" s="12">
        <f t="shared" si="0"/>
        <v>2000.0000000000002</v>
      </c>
      <c r="I742" s="23" t="s">
        <v>52</v>
      </c>
      <c r="J742" s="23" t="s">
        <v>61</v>
      </c>
      <c r="K742" s="24" t="s">
        <v>177</v>
      </c>
      <c r="L742" s="24">
        <v>165</v>
      </c>
      <c r="M742" s="12">
        <f t="shared" ref="M742:N742" si="747">G742/1.19</f>
        <v>1680.6722689075632</v>
      </c>
      <c r="N742" s="12">
        <f t="shared" si="747"/>
        <v>1680.6722689075632</v>
      </c>
      <c r="O742" s="12">
        <f t="shared" si="2"/>
        <v>319.32773109243703</v>
      </c>
      <c r="P742" s="13"/>
      <c r="Q742" s="14">
        <f t="shared" si="3"/>
        <v>2025</v>
      </c>
      <c r="R742" s="15">
        <f>VLOOKUP(MONTH(C742),'Datos Maestros'!M$2:N$14,2,FALSE)</f>
        <v>45474</v>
      </c>
      <c r="S742" s="11" t="str">
        <f>VLOOKUP(E742,Precios!B$2:W$941,3,FALSE)</f>
        <v>Limpiapiso</v>
      </c>
      <c r="T742" s="16">
        <f>VLOOKUP(E742,Precios!B$2:N$941,4,FALSE)*F742</f>
        <v>5</v>
      </c>
      <c r="U742" s="17"/>
      <c r="V742" s="12">
        <f>VLOOKUP(E742,Precios!B$2:N$941,13,FALSE)*F742</f>
        <v>680.67226890756319</v>
      </c>
      <c r="W742" s="12">
        <f t="shared" si="4"/>
        <v>680.67226890756319</v>
      </c>
      <c r="X742" s="12">
        <f>VLOOKUP(B742,'Datos Maestros'!$C$2:$D$7,2,FALSE)*V742</f>
        <v>0</v>
      </c>
      <c r="Y742" s="18">
        <f t="shared" si="5"/>
        <v>45866</v>
      </c>
      <c r="Z742" s="13" t="s">
        <v>39</v>
      </c>
      <c r="AA742" s="19" t="str">
        <f>VLOOKUP(D742,Clientes!$A$2:$J$486,9,FALSE)</f>
        <v>Ocacional</v>
      </c>
      <c r="AB742" s="13" t="str">
        <f>VLOOKUP(D742,Clientes!$A$2:$K$486,11,FALSE)</f>
        <v>Persona Natural</v>
      </c>
      <c r="AC742" s="13" t="str">
        <f>VLOOKUP(D742,Clientes!$A$2:$B$486,2,FALSE)</f>
        <v>Paicavi</v>
      </c>
      <c r="AD742" s="20"/>
      <c r="AE742" s="20"/>
      <c r="AF742" s="13" t="s">
        <v>40</v>
      </c>
      <c r="AG742" s="15">
        <f t="shared" si="6"/>
        <v>45474</v>
      </c>
      <c r="AH742" s="13" t="s">
        <v>41</v>
      </c>
      <c r="AI742" s="13" t="str">
        <f t="shared" si="7"/>
        <v>Detergentes</v>
      </c>
      <c r="AJ742" s="13" t="str">
        <f>VLOOKUP(E742,Precios!Z$2:AA$941,2,FALSE)</f>
        <v>Limpiapiso SPUM 5 Litros</v>
      </c>
      <c r="AK742" s="14">
        <f>VLOOKUP(E742,Precios!Z$2:BB$941,3,FALSE)*F742</f>
        <v>-1</v>
      </c>
      <c r="AL742" s="17"/>
      <c r="AM742" s="17"/>
      <c r="AN742" s="17"/>
      <c r="AO742" s="17"/>
      <c r="AP742" s="17"/>
      <c r="AQ742" s="17"/>
      <c r="AR742" s="17"/>
      <c r="AS742" s="17"/>
      <c r="AT742" s="17"/>
      <c r="AU742" s="17"/>
      <c r="AV742" s="17"/>
    </row>
    <row r="743" spans="1:48" ht="15.75" customHeight="1">
      <c r="A743" s="21" t="s">
        <v>76</v>
      </c>
      <c r="B743" s="23" t="s">
        <v>1692</v>
      </c>
      <c r="C743" s="22">
        <v>45869</v>
      </c>
      <c r="D743" s="23" t="s">
        <v>308</v>
      </c>
      <c r="E743" s="23" t="s">
        <v>137</v>
      </c>
      <c r="F743" s="21">
        <v>1</v>
      </c>
      <c r="G743" s="12">
        <f>VLOOKUP(E743,Precios!B$2:N$941,12,FALSE)</f>
        <v>3500.0000000000005</v>
      </c>
      <c r="H743" s="12">
        <f t="shared" si="0"/>
        <v>3500.0000000000005</v>
      </c>
      <c r="I743" s="23" t="s">
        <v>52</v>
      </c>
      <c r="J743" s="23" t="s">
        <v>61</v>
      </c>
      <c r="K743" s="24" t="s">
        <v>177</v>
      </c>
      <c r="L743" s="24">
        <v>165</v>
      </c>
      <c r="M743" s="12">
        <f t="shared" ref="M743:N743" si="748">G743/1.19</f>
        <v>2941.1764705882356</v>
      </c>
      <c r="N743" s="12">
        <f t="shared" si="748"/>
        <v>2941.1764705882356</v>
      </c>
      <c r="O743" s="12">
        <f t="shared" si="2"/>
        <v>558.82352941176487</v>
      </c>
      <c r="P743" s="13"/>
      <c r="Q743" s="14">
        <f t="shared" si="3"/>
        <v>2025</v>
      </c>
      <c r="R743" s="15">
        <f>VLOOKUP(MONTH(C743),'Datos Maestros'!M$2:N$14,2,FALSE)</f>
        <v>45474</v>
      </c>
      <c r="S743" s="11" t="str">
        <f>VLOOKUP(E743,Precios!B$2:W$941,3,FALSE)</f>
        <v>Detergente Piel Sensible</v>
      </c>
      <c r="T743" s="16">
        <f>VLOOKUP(E743,Precios!B$2:N$941,4,FALSE)*F743</f>
        <v>5</v>
      </c>
      <c r="U743" s="17"/>
      <c r="V743" s="12">
        <f>VLOOKUP(E743,Precios!B$2:N$941,13,FALSE)*F743</f>
        <v>848.73949579831969</v>
      </c>
      <c r="W743" s="12">
        <f t="shared" si="4"/>
        <v>848.73949579831969</v>
      </c>
      <c r="X743" s="12">
        <f>VLOOKUP(B743,'Datos Maestros'!$C$2:$D$7,2,FALSE)*V743</f>
        <v>0</v>
      </c>
      <c r="Y743" s="18">
        <f t="shared" si="5"/>
        <v>45866</v>
      </c>
      <c r="Z743" s="13" t="s">
        <v>39</v>
      </c>
      <c r="AA743" s="19" t="str">
        <f>VLOOKUP(D743,Clientes!$A$2:$J$486,9,FALSE)</f>
        <v>Ocacional</v>
      </c>
      <c r="AB743" s="13" t="str">
        <f>VLOOKUP(D743,Clientes!$A$2:$K$486,11,FALSE)</f>
        <v>Persona Natural</v>
      </c>
      <c r="AC743" s="13" t="str">
        <f>VLOOKUP(D743,Clientes!$A$2:$B$486,2,FALSE)</f>
        <v>Paicavi</v>
      </c>
      <c r="AD743" s="20"/>
      <c r="AE743" s="20"/>
      <c r="AF743" s="13" t="s">
        <v>40</v>
      </c>
      <c r="AG743" s="15">
        <f t="shared" si="6"/>
        <v>45474</v>
      </c>
      <c r="AH743" s="13" t="s">
        <v>41</v>
      </c>
      <c r="AI743" s="13" t="str">
        <f t="shared" si="7"/>
        <v>Detergentes</v>
      </c>
      <c r="AJ743" s="13" t="str">
        <f>VLOOKUP(E743,Precios!Z$2:AA$941,2,FALSE)</f>
        <v>Detergente SPUM 5 Litros (Blanco)</v>
      </c>
      <c r="AK743" s="14">
        <f>VLOOKUP(E743,Precios!Z$2:BB$941,3,FALSE)*F743</f>
        <v>-1</v>
      </c>
      <c r="AL743" s="17"/>
      <c r="AM743" s="17"/>
      <c r="AN743" s="17"/>
      <c r="AO743" s="17"/>
      <c r="AP743" s="17"/>
      <c r="AQ743" s="17"/>
      <c r="AR743" s="17"/>
      <c r="AS743" s="17"/>
      <c r="AT743" s="17"/>
      <c r="AU743" s="17"/>
      <c r="AV743" s="17"/>
    </row>
    <row r="744" spans="1:48" ht="15.75" customHeight="1">
      <c r="A744" s="21" t="s">
        <v>76</v>
      </c>
      <c r="B744" s="23" t="s">
        <v>1692</v>
      </c>
      <c r="C744" s="22">
        <v>45869</v>
      </c>
      <c r="D744" s="23" t="s">
        <v>308</v>
      </c>
      <c r="E744" s="23" t="s">
        <v>349</v>
      </c>
      <c r="F744" s="21">
        <v>1</v>
      </c>
      <c r="G744" s="12">
        <f>VLOOKUP(E744,Precios!B$2:N$941,12,FALSE)</f>
        <v>3999.8127946357149</v>
      </c>
      <c r="H744" s="12">
        <f t="shared" si="0"/>
        <v>3999.8127946357149</v>
      </c>
      <c r="I744" s="23" t="s">
        <v>52</v>
      </c>
      <c r="J744" s="23" t="s">
        <v>61</v>
      </c>
      <c r="K744" s="24" t="s">
        <v>177</v>
      </c>
      <c r="L744" s="24">
        <v>165</v>
      </c>
      <c r="M744" s="12">
        <f t="shared" ref="M744:N744" si="749">G744/1.19</f>
        <v>3361.1872223829537</v>
      </c>
      <c r="N744" s="12">
        <f t="shared" si="749"/>
        <v>3361.1872223829537</v>
      </c>
      <c r="O744" s="12">
        <f t="shared" si="2"/>
        <v>638.62557225276123</v>
      </c>
      <c r="P744" s="13"/>
      <c r="Q744" s="14">
        <f t="shared" si="3"/>
        <v>2025</v>
      </c>
      <c r="R744" s="15">
        <f>VLOOKUP(MONTH(C744),'Datos Maestros'!M$2:N$14,2,FALSE)</f>
        <v>45474</v>
      </c>
      <c r="S744" s="11" t="str">
        <f>VLOOKUP(E744,Precios!B$2:W$941,3,FALSE)</f>
        <v>Antigrasa</v>
      </c>
      <c r="T744" s="16">
        <f>VLOOKUP(E744,Precios!B$2:N$941,4,FALSE)*F744</f>
        <v>5</v>
      </c>
      <c r="U744" s="17"/>
      <c r="V744" s="12">
        <f>VLOOKUP(E744,Precios!B$2:N$941,13,FALSE)*F744</f>
        <v>1386.1872223829537</v>
      </c>
      <c r="W744" s="12">
        <f t="shared" si="4"/>
        <v>1386.1872223829537</v>
      </c>
      <c r="X744" s="12">
        <f>VLOOKUP(B744,'Datos Maestros'!$C$2:$D$7,2,FALSE)*V744</f>
        <v>0</v>
      </c>
      <c r="Y744" s="18">
        <f t="shared" si="5"/>
        <v>45866</v>
      </c>
      <c r="Z744" s="13" t="s">
        <v>39</v>
      </c>
      <c r="AA744" s="19" t="str">
        <f>VLOOKUP(D744,Clientes!$A$2:$J$486,9,FALSE)</f>
        <v>Ocacional</v>
      </c>
      <c r="AB744" s="13" t="str">
        <f>VLOOKUP(D744,Clientes!$A$2:$K$486,11,FALSE)</f>
        <v>Persona Natural</v>
      </c>
      <c r="AC744" s="13" t="str">
        <f>VLOOKUP(D744,Clientes!$A$2:$B$486,2,FALSE)</f>
        <v>Paicavi</v>
      </c>
      <c r="AD744" s="20"/>
      <c r="AE744" s="20"/>
      <c r="AF744" s="13" t="s">
        <v>40</v>
      </c>
      <c r="AG744" s="15">
        <f t="shared" si="6"/>
        <v>45474</v>
      </c>
      <c r="AH744" s="13" t="s">
        <v>41</v>
      </c>
      <c r="AI744" s="13" t="str">
        <f t="shared" si="7"/>
        <v>Detergentes</v>
      </c>
      <c r="AJ744" s="13" t="str">
        <f>VLOOKUP(E744,Precios!Z$2:AA$941,2,FALSE)</f>
        <v>Antigrasa SPUM 5 Litros</v>
      </c>
      <c r="AK744" s="14">
        <f>VLOOKUP(E744,Precios!Z$2:BB$941,3,FALSE)*F744</f>
        <v>-1</v>
      </c>
      <c r="AL744" s="17"/>
      <c r="AM744" s="17"/>
      <c r="AN744" s="17"/>
      <c r="AO744" s="17"/>
      <c r="AP744" s="17"/>
      <c r="AQ744" s="17"/>
      <c r="AR744" s="17"/>
      <c r="AS744" s="17"/>
      <c r="AT744" s="17"/>
      <c r="AU744" s="17"/>
      <c r="AV744" s="17"/>
    </row>
    <row r="745" spans="1:48" ht="15.75" customHeight="1">
      <c r="A745" s="21" t="s">
        <v>53</v>
      </c>
      <c r="B745" s="23" t="s">
        <v>1692</v>
      </c>
      <c r="C745" s="22">
        <v>45869</v>
      </c>
      <c r="D745" s="23" t="s">
        <v>308</v>
      </c>
      <c r="E745" s="23" t="s">
        <v>55</v>
      </c>
      <c r="F745" s="21">
        <v>1</v>
      </c>
      <c r="G745" s="12">
        <f>VLOOKUP(E745,Precios!B$2:N$941,12,FALSE)</f>
        <v>20899.91124296327</v>
      </c>
      <c r="H745" s="12">
        <f t="shared" si="0"/>
        <v>20899.91124296327</v>
      </c>
      <c r="I745" s="23" t="s">
        <v>52</v>
      </c>
      <c r="J745" s="23" t="s">
        <v>61</v>
      </c>
      <c r="K745" s="24" t="s">
        <v>177</v>
      </c>
      <c r="L745" s="24">
        <v>165</v>
      </c>
      <c r="M745" s="12">
        <f t="shared" ref="M745:N745" si="750">G745/1.19</f>
        <v>17562.950624338882</v>
      </c>
      <c r="N745" s="12">
        <f t="shared" si="750"/>
        <v>17562.950624338882</v>
      </c>
      <c r="O745" s="12">
        <f t="shared" si="2"/>
        <v>3336.9606186243873</v>
      </c>
      <c r="P745" s="13"/>
      <c r="Q745" s="14">
        <f t="shared" si="3"/>
        <v>2025</v>
      </c>
      <c r="R745" s="15">
        <f>VLOOKUP(MONTH(C745),'Datos Maestros'!M$2:N$14,2,FALSE)</f>
        <v>45474</v>
      </c>
      <c r="S745" s="11" t="str">
        <f>VLOOKUP(E745,Precios!B$2:W$941,3,FALSE)</f>
        <v>Papel Higiénico ELITE</v>
      </c>
      <c r="T745" s="16">
        <f>VLOOKUP(E745,Precios!B$2:N$941,4,FALSE)*F745</f>
        <v>0</v>
      </c>
      <c r="U745" s="17"/>
      <c r="V745" s="12">
        <f>VLOOKUP(E745,Precios!B$2:N$941,13,FALSE)*F745</f>
        <v>3117.9506243388823</v>
      </c>
      <c r="W745" s="12">
        <f t="shared" si="4"/>
        <v>3117.9506243388823</v>
      </c>
      <c r="X745" s="12">
        <f>VLOOKUP(B745,'Datos Maestros'!$C$2:$D$7,2,FALSE)*V745</f>
        <v>0</v>
      </c>
      <c r="Y745" s="18">
        <f t="shared" si="5"/>
        <v>45866</v>
      </c>
      <c r="Z745" s="13" t="s">
        <v>39</v>
      </c>
      <c r="AA745" s="19" t="str">
        <f>VLOOKUP(D745,Clientes!$A$2:$J$486,9,FALSE)</f>
        <v>Ocacional</v>
      </c>
      <c r="AB745" s="13" t="str">
        <f>VLOOKUP(D745,Clientes!$A$2:$K$486,11,FALSE)</f>
        <v>Persona Natural</v>
      </c>
      <c r="AC745" s="13" t="str">
        <f>VLOOKUP(D745,Clientes!$A$2:$B$486,2,FALSE)</f>
        <v>Paicavi</v>
      </c>
      <c r="AD745" s="20"/>
      <c r="AE745" s="20"/>
      <c r="AF745" s="13" t="s">
        <v>40</v>
      </c>
      <c r="AG745" s="15">
        <f t="shared" si="6"/>
        <v>45474</v>
      </c>
      <c r="AH745" s="13" t="s">
        <v>41</v>
      </c>
      <c r="AI745" s="13" t="str">
        <f t="shared" si="7"/>
        <v>Papeleria</v>
      </c>
      <c r="AJ745" s="13" t="str">
        <f>VLOOKUP(E745,Precios!Z$2:AA$941,2,FALSE)</f>
        <v>Papel Higienico ELITE 50 metros</v>
      </c>
      <c r="AK745" s="14">
        <f>VLOOKUP(E745,Precios!Z$2:BB$941,3,FALSE)*F745</f>
        <v>-8</v>
      </c>
      <c r="AL745" s="17"/>
      <c r="AM745" s="17"/>
      <c r="AN745" s="17"/>
      <c r="AO745" s="17"/>
      <c r="AP745" s="17"/>
      <c r="AQ745" s="17"/>
      <c r="AR745" s="17"/>
      <c r="AS745" s="17"/>
      <c r="AT745" s="17"/>
      <c r="AU745" s="17"/>
      <c r="AV745" s="17"/>
    </row>
    <row r="746" spans="1:48" ht="15.75" customHeight="1">
      <c r="A746" s="21" t="s">
        <v>53</v>
      </c>
      <c r="B746" s="23" t="s">
        <v>1692</v>
      </c>
      <c r="C746" s="22">
        <v>45869</v>
      </c>
      <c r="D746" s="23" t="s">
        <v>308</v>
      </c>
      <c r="E746" s="23" t="s">
        <v>316</v>
      </c>
      <c r="F746" s="21">
        <v>1</v>
      </c>
      <c r="G746" s="12">
        <f>VLOOKUP(E746,Precios!B$2:N$941,12,FALSE)</f>
        <v>3200.0762660158634</v>
      </c>
      <c r="H746" s="12">
        <f t="shared" si="0"/>
        <v>3200.0762660158634</v>
      </c>
      <c r="I746" s="23" t="s">
        <v>52</v>
      </c>
      <c r="J746" s="23" t="s">
        <v>61</v>
      </c>
      <c r="K746" s="24" t="s">
        <v>177</v>
      </c>
      <c r="L746" s="24">
        <v>165</v>
      </c>
      <c r="M746" s="12">
        <f t="shared" ref="M746:N746" si="751">G746/1.19</f>
        <v>2689.1397193410617</v>
      </c>
      <c r="N746" s="12">
        <f t="shared" si="751"/>
        <v>2689.1397193410617</v>
      </c>
      <c r="O746" s="12">
        <f t="shared" si="2"/>
        <v>510.93654667480178</v>
      </c>
      <c r="P746" s="13"/>
      <c r="Q746" s="14">
        <f t="shared" si="3"/>
        <v>2025</v>
      </c>
      <c r="R746" s="15">
        <f>VLOOKUP(MONTH(C746),'Datos Maestros'!M$2:N$14,2,FALSE)</f>
        <v>45474</v>
      </c>
      <c r="S746" s="11" t="str">
        <f>VLOOKUP(E746,Precios!B$2:W$941,3,FALSE)</f>
        <v>Toalla Papel SWAN</v>
      </c>
      <c r="T746" s="16">
        <f>VLOOKUP(E746,Precios!B$2:N$941,4,FALSE)*F746</f>
        <v>100</v>
      </c>
      <c r="U746" s="17"/>
      <c r="V746" s="12">
        <f>VLOOKUP(E746,Precios!B$2:N$941,13,FALSE)*F746</f>
        <v>926.13971934106166</v>
      </c>
      <c r="W746" s="12">
        <f t="shared" si="4"/>
        <v>926.13971934106166</v>
      </c>
      <c r="X746" s="12">
        <f>VLOOKUP(B746,'Datos Maestros'!$C$2:$D$7,2,FALSE)*V746</f>
        <v>0</v>
      </c>
      <c r="Y746" s="18">
        <f t="shared" si="5"/>
        <v>45866</v>
      </c>
      <c r="Z746" s="13" t="s">
        <v>39</v>
      </c>
      <c r="AA746" s="19" t="str">
        <f>VLOOKUP(D746,Clientes!$A$2:$J$486,9,FALSE)</f>
        <v>Ocacional</v>
      </c>
      <c r="AB746" s="13" t="str">
        <f>VLOOKUP(D746,Clientes!$A$2:$K$486,11,FALSE)</f>
        <v>Persona Natural</v>
      </c>
      <c r="AC746" s="13" t="str">
        <f>VLOOKUP(D746,Clientes!$A$2:$B$486,2,FALSE)</f>
        <v>Paicavi</v>
      </c>
      <c r="AD746" s="20"/>
      <c r="AE746" s="20"/>
      <c r="AF746" s="13" t="s">
        <v>40</v>
      </c>
      <c r="AG746" s="15">
        <f t="shared" si="6"/>
        <v>45474</v>
      </c>
      <c r="AH746" s="13" t="s">
        <v>41</v>
      </c>
      <c r="AI746" s="13" t="str">
        <f t="shared" si="7"/>
        <v>Papeleria</v>
      </c>
      <c r="AJ746" s="13" t="str">
        <f>VLOOKUP(E746,Precios!Z$2:AA$941,2,FALSE)</f>
        <v>Toalla Papel SWAN D/H NARANJA 100 metros</v>
      </c>
      <c r="AK746" s="14">
        <f>VLOOKUP(E746,Precios!Z$2:BB$941,3,FALSE)*F746</f>
        <v>-1</v>
      </c>
      <c r="AL746" s="17"/>
      <c r="AM746" s="17"/>
      <c r="AN746" s="17"/>
      <c r="AO746" s="17"/>
      <c r="AP746" s="17"/>
      <c r="AQ746" s="17"/>
      <c r="AR746" s="17"/>
      <c r="AS746" s="17"/>
      <c r="AT746" s="17"/>
      <c r="AU746" s="17"/>
      <c r="AV746" s="17"/>
    </row>
    <row r="747" spans="1:48" ht="15.75" customHeight="1">
      <c r="A747" s="21" t="s">
        <v>35</v>
      </c>
      <c r="B747" s="23" t="s">
        <v>1692</v>
      </c>
      <c r="C747" s="22">
        <v>45869</v>
      </c>
      <c r="D747" s="23" t="s">
        <v>198</v>
      </c>
      <c r="E747" s="23" t="s">
        <v>37</v>
      </c>
      <c r="F747" s="21">
        <v>2</v>
      </c>
      <c r="G747" s="12">
        <f>VLOOKUP(E747,Precios!B$2:N$941,12,FALSE)</f>
        <v>11000.014358944907</v>
      </c>
      <c r="H747" s="12">
        <f t="shared" si="0"/>
        <v>22000.028717889814</v>
      </c>
      <c r="I747" s="23" t="s">
        <v>52</v>
      </c>
      <c r="J747" s="23" t="s">
        <v>61</v>
      </c>
      <c r="K747" s="24" t="s">
        <v>177</v>
      </c>
      <c r="L747" s="24">
        <v>165</v>
      </c>
      <c r="M747" s="12">
        <f t="shared" ref="M747:N747" si="752">G747/1.19</f>
        <v>9243.7095453318543</v>
      </c>
      <c r="N747" s="12">
        <f t="shared" si="752"/>
        <v>18487.419090663709</v>
      </c>
      <c r="O747" s="12">
        <f t="shared" si="2"/>
        <v>3512.6096272261057</v>
      </c>
      <c r="P747" s="13"/>
      <c r="Q747" s="14">
        <f t="shared" si="3"/>
        <v>2025</v>
      </c>
      <c r="R747" s="15">
        <f>VLOOKUP(MONTH(C747),'Datos Maestros'!M$2:N$14,2,FALSE)</f>
        <v>45474</v>
      </c>
      <c r="S747" s="11" t="str">
        <f>VLOOKUP(E747,Precios!B$2:W$941,3,FALSE)</f>
        <v>Queso Mantecoso</v>
      </c>
      <c r="T747" s="16">
        <f>VLOOKUP(E747,Precios!B$2:N$941,4,FALSE)*F747</f>
        <v>2000</v>
      </c>
      <c r="U747" s="17"/>
      <c r="V747" s="12">
        <f>VLOOKUP(E747,Precios!B$2:N$941,13,FALSE)*F747</f>
        <v>5612.225813352783</v>
      </c>
      <c r="W747" s="12">
        <f t="shared" si="4"/>
        <v>5612.225813352783</v>
      </c>
      <c r="X747" s="12">
        <f>VLOOKUP(B747,'Datos Maestros'!$C$2:$D$7,2,FALSE)*V747</f>
        <v>0</v>
      </c>
      <c r="Y747" s="18">
        <f t="shared" si="5"/>
        <v>45866</v>
      </c>
      <c r="Z747" s="13" t="s">
        <v>39</v>
      </c>
      <c r="AA747" s="19" t="str">
        <f>VLOOKUP(D747,Clientes!$A$2:$J$486,9,FALSE)</f>
        <v>Frecuente</v>
      </c>
      <c r="AB747" s="13" t="str">
        <f>VLOOKUP(D747,Clientes!$A$2:$K$486,11,FALSE)</f>
        <v>Persona Natural</v>
      </c>
      <c r="AC747" s="13" t="str">
        <f>VLOOKUP(D747,Clientes!$A$2:$B$486,2,FALSE)</f>
        <v>Curso Amalia</v>
      </c>
      <c r="AD747" s="20"/>
      <c r="AE747" s="20"/>
      <c r="AF747" s="13" t="s">
        <v>40</v>
      </c>
      <c r="AG747" s="15">
        <f t="shared" si="6"/>
        <v>45474</v>
      </c>
      <c r="AH747" s="13" t="s">
        <v>41</v>
      </c>
      <c r="AI747" s="13" t="str">
        <f t="shared" si="7"/>
        <v>Quesos</v>
      </c>
      <c r="AJ747" s="13" t="str">
        <f>VLOOKUP(E747,Precios!Z$2:AA$941,2,FALSE)</f>
        <v>Queso RUNCA Mantecoso</v>
      </c>
      <c r="AK747" s="14">
        <f>VLOOKUP(E747,Precios!Z$2:BB$941,3,FALSE)*F747</f>
        <v>-2</v>
      </c>
      <c r="AL747" s="17"/>
      <c r="AM747" s="17"/>
      <c r="AN747" s="17"/>
      <c r="AO747" s="17"/>
      <c r="AP747" s="17"/>
      <c r="AQ747" s="17"/>
      <c r="AR747" s="17"/>
      <c r="AS747" s="17"/>
      <c r="AT747" s="17"/>
      <c r="AU747" s="17"/>
      <c r="AV747" s="17"/>
    </row>
    <row r="748" spans="1:48" ht="15.75" customHeight="1">
      <c r="A748" s="21" t="s">
        <v>47</v>
      </c>
      <c r="B748" s="23" t="s">
        <v>1692</v>
      </c>
      <c r="C748" s="22">
        <v>45869</v>
      </c>
      <c r="D748" s="23" t="s">
        <v>125</v>
      </c>
      <c r="E748" s="23" t="s">
        <v>107</v>
      </c>
      <c r="F748" s="21">
        <v>1</v>
      </c>
      <c r="G748" s="12">
        <f>VLOOKUP(E748,Precios!B$2:N$941,12,FALSE)</f>
        <v>3000.0000000000005</v>
      </c>
      <c r="H748" s="12">
        <f t="shared" si="0"/>
        <v>3000.0000000000005</v>
      </c>
      <c r="I748" s="23" t="s">
        <v>52</v>
      </c>
      <c r="J748" s="23" t="s">
        <v>61</v>
      </c>
      <c r="K748" s="24" t="s">
        <v>177</v>
      </c>
      <c r="L748" s="24">
        <v>165</v>
      </c>
      <c r="M748" s="12">
        <f t="shared" ref="M748:N748" si="753">G748/1.19</f>
        <v>2521.0084033613452</v>
      </c>
      <c r="N748" s="12">
        <f t="shared" si="753"/>
        <v>2521.0084033613452</v>
      </c>
      <c r="O748" s="12">
        <f t="shared" si="2"/>
        <v>478.99159663865521</v>
      </c>
      <c r="P748" s="13"/>
      <c r="Q748" s="14">
        <f t="shared" si="3"/>
        <v>2025</v>
      </c>
      <c r="R748" s="15">
        <f>VLOOKUP(MONTH(C748),'Datos Maestros'!M$2:N$14,2,FALSE)</f>
        <v>45474</v>
      </c>
      <c r="S748" s="11" t="str">
        <f>VLOOKUP(E748,Precios!B$2:W$941,3,FALSE)</f>
        <v>Bolsa Basura</v>
      </c>
      <c r="T748" s="16">
        <f>VLOOKUP(E748,Precios!B$2:N$941,4,FALSE)*F748</f>
        <v>0</v>
      </c>
      <c r="U748" s="17"/>
      <c r="V748" s="12">
        <f>VLOOKUP(E748,Precios!B$2:N$941,13,FALSE)*F748</f>
        <v>758.82352941176487</v>
      </c>
      <c r="W748" s="12">
        <f t="shared" si="4"/>
        <v>758.82352941176487</v>
      </c>
      <c r="X748" s="12">
        <f>VLOOKUP(B748,'Datos Maestros'!$C$2:$D$7,2,FALSE)*V748</f>
        <v>0</v>
      </c>
      <c r="Y748" s="18">
        <f t="shared" si="5"/>
        <v>45866</v>
      </c>
      <c r="Z748" s="13" t="s">
        <v>39</v>
      </c>
      <c r="AA748" s="19" t="str">
        <f>VLOOKUP(D748,Clientes!$A$2:$J$486,9,FALSE)</f>
        <v>Frecuente</v>
      </c>
      <c r="AB748" s="13" t="str">
        <f>VLOOKUP(D748,Clientes!$A$2:$K$486,11,FALSE)</f>
        <v>Persona Natural</v>
      </c>
      <c r="AC748" s="13" t="str">
        <f>VLOOKUP(D748,Clientes!$A$2:$B$486,2,FALSE)</f>
        <v>Jardines de la Viña</v>
      </c>
      <c r="AD748" s="20"/>
      <c r="AE748" s="20"/>
      <c r="AF748" s="13" t="s">
        <v>40</v>
      </c>
      <c r="AG748" s="15">
        <f t="shared" si="6"/>
        <v>45474</v>
      </c>
      <c r="AH748" s="13" t="s">
        <v>41</v>
      </c>
      <c r="AI748" s="13" t="str">
        <f t="shared" si="7"/>
        <v>Articulos de Aseo</v>
      </c>
      <c r="AJ748" s="13" t="str">
        <f>VLOOKUP(E748,Precios!Z$2:AA$941,2,FALSE)</f>
        <v xml:space="preserve">Bolsas Basura TEDDY 90x120 </v>
      </c>
      <c r="AK748" s="14">
        <f>VLOOKUP(E748,Precios!Z$2:BB$941,3,FALSE)*F748</f>
        <v>-1</v>
      </c>
      <c r="AL748" s="17"/>
      <c r="AM748" s="17"/>
      <c r="AN748" s="17"/>
      <c r="AO748" s="17"/>
      <c r="AP748" s="17"/>
      <c r="AQ748" s="17"/>
      <c r="AR748" s="17"/>
      <c r="AS748" s="17"/>
      <c r="AT748" s="17"/>
      <c r="AU748" s="17"/>
      <c r="AV748" s="17"/>
    </row>
    <row r="749" spans="1:48" ht="15.75" customHeight="1">
      <c r="A749" s="21" t="s">
        <v>43</v>
      </c>
      <c r="B749" s="23" t="s">
        <v>1692</v>
      </c>
      <c r="C749" s="22">
        <v>45869</v>
      </c>
      <c r="D749" s="23" t="s">
        <v>286</v>
      </c>
      <c r="E749" s="23" t="s">
        <v>45</v>
      </c>
      <c r="F749" s="21">
        <v>2</v>
      </c>
      <c r="G749" s="12">
        <f>VLOOKUP(E749,Precios!B$2:N$941,12,FALSE)</f>
        <v>8000.1831784723063</v>
      </c>
      <c r="H749" s="12">
        <f t="shared" si="0"/>
        <v>16000.366356944613</v>
      </c>
      <c r="I749" s="23" t="s">
        <v>52</v>
      </c>
      <c r="J749" s="23" t="s">
        <v>61</v>
      </c>
      <c r="K749" s="24" t="s">
        <v>177</v>
      </c>
      <c r="L749" s="24">
        <v>165</v>
      </c>
      <c r="M749" s="12">
        <f t="shared" ref="M749:N749" si="754">G749/1.19</f>
        <v>6722.8430071195853</v>
      </c>
      <c r="N749" s="12">
        <f t="shared" si="754"/>
        <v>13445.686014239171</v>
      </c>
      <c r="O749" s="12">
        <f t="shared" si="2"/>
        <v>2554.6803427054419</v>
      </c>
      <c r="P749" s="13"/>
      <c r="Q749" s="14">
        <f t="shared" si="3"/>
        <v>2025</v>
      </c>
      <c r="R749" s="15">
        <f>VLOOKUP(MONTH(C749),'Datos Maestros'!M$2:N$14,2,FALSE)</f>
        <v>45474</v>
      </c>
      <c r="S749" s="11" t="str">
        <f>VLOOKUP(E749,Precios!B$2:W$941,3,FALSE)</f>
        <v>Huevos EXTRA</v>
      </c>
      <c r="T749" s="16">
        <f>VLOOKUP(E749,Precios!B$2:N$941,4,FALSE)*F749</f>
        <v>0</v>
      </c>
      <c r="U749" s="17"/>
      <c r="V749" s="12">
        <f>VLOOKUP(E749,Precios!B$2:N$941,13,FALSE)*F749</f>
        <v>2303.2460142391701</v>
      </c>
      <c r="W749" s="12">
        <f t="shared" si="4"/>
        <v>2303.2460142391701</v>
      </c>
      <c r="X749" s="12">
        <f>VLOOKUP(B749,'Datos Maestros'!$C$2:$D$7,2,FALSE)*V749</f>
        <v>0</v>
      </c>
      <c r="Y749" s="18">
        <f t="shared" si="5"/>
        <v>45866</v>
      </c>
      <c r="Z749" s="13" t="s">
        <v>39</v>
      </c>
      <c r="AA749" s="19" t="str">
        <f>VLOOKUP(D749,Clientes!$A$2:$J$486,9,FALSE)</f>
        <v>Ocacional</v>
      </c>
      <c r="AB749" s="13" t="str">
        <f>VLOOKUP(D749,Clientes!$A$2:$K$486,11,FALSE)</f>
        <v>Persona Natural</v>
      </c>
      <c r="AC749" s="13" t="str">
        <f>VLOOKUP(D749,Clientes!$A$2:$B$486,2,FALSE)</f>
        <v>Santa Adriana</v>
      </c>
      <c r="AD749" s="20"/>
      <c r="AE749" s="20"/>
      <c r="AF749" s="13" t="s">
        <v>40</v>
      </c>
      <c r="AG749" s="15">
        <f t="shared" si="6"/>
        <v>45474</v>
      </c>
      <c r="AH749" s="13" t="s">
        <v>41</v>
      </c>
      <c r="AI749" s="13" t="str">
        <f t="shared" si="7"/>
        <v>Huevos</v>
      </c>
      <c r="AJ749" s="13" t="str">
        <f>VLOOKUP(E749,Precios!Z$2:AA$941,2,FALSE)</f>
        <v>Bandeja Huevos EXTRA</v>
      </c>
      <c r="AK749" s="14">
        <f>VLOOKUP(E749,Precios!Z$2:BB$941,3,FALSE)*F749</f>
        <v>-2</v>
      </c>
      <c r="AL749" s="17"/>
      <c r="AM749" s="17"/>
      <c r="AN749" s="17"/>
      <c r="AO749" s="17"/>
      <c r="AP749" s="17"/>
      <c r="AQ749" s="17"/>
      <c r="AR749" s="17"/>
      <c r="AS749" s="17"/>
      <c r="AT749" s="17"/>
      <c r="AU749" s="17"/>
      <c r="AV749" s="17"/>
    </row>
    <row r="750" spans="1:48" ht="15.75" customHeight="1">
      <c r="A750" s="21" t="s">
        <v>43</v>
      </c>
      <c r="B750" s="23" t="s">
        <v>1692</v>
      </c>
      <c r="C750" s="22">
        <v>45869</v>
      </c>
      <c r="D750" s="23" t="s">
        <v>350</v>
      </c>
      <c r="E750" s="23" t="s">
        <v>45</v>
      </c>
      <c r="F750" s="21">
        <v>2</v>
      </c>
      <c r="G750" s="12">
        <f>VLOOKUP(E750,Precios!B$2:N$941,12,FALSE)</f>
        <v>8000.1831784723063</v>
      </c>
      <c r="H750" s="12">
        <f t="shared" si="0"/>
        <v>16000.366356944613</v>
      </c>
      <c r="I750" s="23" t="s">
        <v>52</v>
      </c>
      <c r="J750" s="23" t="s">
        <v>61</v>
      </c>
      <c r="K750" s="24" t="s">
        <v>177</v>
      </c>
      <c r="L750" s="24">
        <v>165</v>
      </c>
      <c r="M750" s="12">
        <f t="shared" ref="M750:N750" si="755">G750/1.19</f>
        <v>6722.8430071195853</v>
      </c>
      <c r="N750" s="12">
        <f t="shared" si="755"/>
        <v>13445.686014239171</v>
      </c>
      <c r="O750" s="12">
        <f t="shared" si="2"/>
        <v>2554.6803427054419</v>
      </c>
      <c r="P750" s="13"/>
      <c r="Q750" s="14">
        <f t="shared" si="3"/>
        <v>2025</v>
      </c>
      <c r="R750" s="15">
        <f>VLOOKUP(MONTH(C750),'Datos Maestros'!M$2:N$14,2,FALSE)</f>
        <v>45474</v>
      </c>
      <c r="S750" s="11" t="str">
        <f>VLOOKUP(E750,Precios!B$2:W$941,3,FALSE)</f>
        <v>Huevos EXTRA</v>
      </c>
      <c r="T750" s="16">
        <f>VLOOKUP(E750,Precios!B$2:N$941,4,FALSE)*F750</f>
        <v>0</v>
      </c>
      <c r="U750" s="17"/>
      <c r="V750" s="12">
        <f>VLOOKUP(E750,Precios!B$2:N$941,13,FALSE)*F750</f>
        <v>2303.2460142391701</v>
      </c>
      <c r="W750" s="12">
        <f t="shared" si="4"/>
        <v>2303.2460142391701</v>
      </c>
      <c r="X750" s="12">
        <f>VLOOKUP(B750,'Datos Maestros'!$C$2:$D$7,2,FALSE)*V750</f>
        <v>0</v>
      </c>
      <c r="Y750" s="18">
        <f t="shared" si="5"/>
        <v>45866</v>
      </c>
      <c r="Z750" s="13" t="s">
        <v>39</v>
      </c>
      <c r="AA750" s="19" t="str">
        <f>VLOOKUP(D750,Clientes!$A$2:$J$486,9,FALSE)</f>
        <v>Ocacional</v>
      </c>
      <c r="AB750" s="13" t="str">
        <f>VLOOKUP(D750,Clientes!$A$2:$K$486,11,FALSE)</f>
        <v>Persona Natural</v>
      </c>
      <c r="AC750" s="13" t="str">
        <f>VLOOKUP(D750,Clientes!$A$2:$B$486,2,FALSE)</f>
        <v>Walker Martinez</v>
      </c>
      <c r="AD750" s="20"/>
      <c r="AE750" s="20"/>
      <c r="AF750" s="13" t="s">
        <v>40</v>
      </c>
      <c r="AG750" s="15">
        <f t="shared" si="6"/>
        <v>45474</v>
      </c>
      <c r="AH750" s="13" t="s">
        <v>41</v>
      </c>
      <c r="AI750" s="13" t="str">
        <f t="shared" si="7"/>
        <v>Huevos</v>
      </c>
      <c r="AJ750" s="13" t="str">
        <f>VLOOKUP(E750,Precios!Z$2:AA$941,2,FALSE)</f>
        <v>Bandeja Huevos EXTRA</v>
      </c>
      <c r="AK750" s="14">
        <f>VLOOKUP(E750,Precios!Z$2:BB$941,3,FALSE)*F750</f>
        <v>-2</v>
      </c>
      <c r="AL750" s="17"/>
      <c r="AM750" s="17"/>
      <c r="AN750" s="17"/>
      <c r="AO750" s="17"/>
      <c r="AP750" s="17"/>
      <c r="AQ750" s="17"/>
      <c r="AR750" s="17"/>
      <c r="AS750" s="17"/>
      <c r="AT750" s="17"/>
      <c r="AU750" s="17"/>
      <c r="AV750" s="17"/>
    </row>
    <row r="751" spans="1:48" ht="15.75" customHeight="1">
      <c r="A751" s="21" t="s">
        <v>43</v>
      </c>
      <c r="B751" s="23" t="s">
        <v>1692</v>
      </c>
      <c r="C751" s="22">
        <v>45869</v>
      </c>
      <c r="D751" s="23" t="s">
        <v>351</v>
      </c>
      <c r="E751" s="23" t="s">
        <v>45</v>
      </c>
      <c r="F751" s="21">
        <v>1</v>
      </c>
      <c r="G751" s="12">
        <f>VLOOKUP(E751,Precios!B$2:N$941,12,FALSE)</f>
        <v>8000.1831784723063</v>
      </c>
      <c r="H751" s="12">
        <f t="shared" si="0"/>
        <v>8000.1831784723063</v>
      </c>
      <c r="I751" s="23" t="s">
        <v>52</v>
      </c>
      <c r="J751" s="23" t="s">
        <v>61</v>
      </c>
      <c r="K751" s="24" t="s">
        <v>86</v>
      </c>
      <c r="L751" s="24">
        <v>99</v>
      </c>
      <c r="M751" s="12">
        <f t="shared" ref="M751:N751" si="756">G751/1.19</f>
        <v>6722.8430071195853</v>
      </c>
      <c r="N751" s="12">
        <f t="shared" si="756"/>
        <v>6722.8430071195853</v>
      </c>
      <c r="O751" s="12">
        <f t="shared" si="2"/>
        <v>1277.340171352721</v>
      </c>
      <c r="P751" s="13"/>
      <c r="Q751" s="14">
        <f t="shared" si="3"/>
        <v>2025</v>
      </c>
      <c r="R751" s="15">
        <f>VLOOKUP(MONTH(C751),'Datos Maestros'!M$2:N$14,2,FALSE)</f>
        <v>45474</v>
      </c>
      <c r="S751" s="11" t="str">
        <f>VLOOKUP(E751,Precios!B$2:W$941,3,FALSE)</f>
        <v>Huevos EXTRA</v>
      </c>
      <c r="T751" s="16">
        <f>VLOOKUP(E751,Precios!B$2:N$941,4,FALSE)*F751</f>
        <v>0</v>
      </c>
      <c r="U751" s="17"/>
      <c r="V751" s="12">
        <f>VLOOKUP(E751,Precios!B$2:N$941,13,FALSE)*F751</f>
        <v>1151.6230071195851</v>
      </c>
      <c r="W751" s="12">
        <f t="shared" si="4"/>
        <v>1151.6230071195851</v>
      </c>
      <c r="X751" s="12">
        <f>VLOOKUP(B751,'Datos Maestros'!$C$2:$D$7,2,FALSE)*V751</f>
        <v>0</v>
      </c>
      <c r="Y751" s="18">
        <f t="shared" si="5"/>
        <v>45866</v>
      </c>
      <c r="Z751" s="13" t="s">
        <v>39</v>
      </c>
      <c r="AA751" s="19" t="str">
        <f>VLOOKUP(D751,Clientes!$A$2:$J$486,9,FALSE)</f>
        <v>Ocacional</v>
      </c>
      <c r="AB751" s="13" t="str">
        <f>VLOOKUP(D751,Clientes!$A$2:$K$486,11,FALSE)</f>
        <v>Empresa</v>
      </c>
      <c r="AC751" s="13" t="str">
        <f>VLOOKUP(D751,Clientes!$A$2:$B$486,2,FALSE)</f>
        <v>Jardines de la viña</v>
      </c>
      <c r="AD751" s="20"/>
      <c r="AE751" s="20"/>
      <c r="AF751" s="13" t="s">
        <v>40</v>
      </c>
      <c r="AG751" s="15">
        <f t="shared" si="6"/>
        <v>45474</v>
      </c>
      <c r="AH751" s="13" t="s">
        <v>41</v>
      </c>
      <c r="AI751" s="13" t="str">
        <f t="shared" si="7"/>
        <v>Huevos</v>
      </c>
      <c r="AJ751" s="13" t="str">
        <f>VLOOKUP(E751,Precios!Z$2:AA$941,2,FALSE)</f>
        <v>Bandeja Huevos EXTRA</v>
      </c>
      <c r="AK751" s="14">
        <f>VLOOKUP(E751,Precios!Z$2:BB$941,3,FALSE)*F751</f>
        <v>-1</v>
      </c>
      <c r="AL751" s="17"/>
      <c r="AM751" s="17"/>
      <c r="AN751" s="17"/>
      <c r="AO751" s="17"/>
      <c r="AP751" s="17"/>
      <c r="AQ751" s="17"/>
      <c r="AR751" s="17"/>
      <c r="AS751" s="17"/>
      <c r="AT751" s="17"/>
      <c r="AU751" s="17"/>
      <c r="AV751" s="17"/>
    </row>
    <row r="752" spans="1:48" ht="15.75" customHeight="1">
      <c r="A752" s="21" t="s">
        <v>56</v>
      </c>
      <c r="B752" s="23" t="s">
        <v>1692</v>
      </c>
      <c r="C752" s="22">
        <v>45869</v>
      </c>
      <c r="D752" s="23" t="s">
        <v>351</v>
      </c>
      <c r="E752" s="23" t="s">
        <v>67</v>
      </c>
      <c r="F752" s="21">
        <v>1</v>
      </c>
      <c r="G752" s="12">
        <f>VLOOKUP(E752,Precios!B$2:N$941,12,FALSE)</f>
        <v>7000.0000000000009</v>
      </c>
      <c r="H752" s="12">
        <f t="shared" si="0"/>
        <v>7000.0000000000009</v>
      </c>
      <c r="I752" s="23" t="s">
        <v>52</v>
      </c>
      <c r="J752" s="23" t="s">
        <v>61</v>
      </c>
      <c r="K752" s="24" t="s">
        <v>86</v>
      </c>
      <c r="L752" s="24">
        <v>99</v>
      </c>
      <c r="M752" s="12">
        <f t="shared" ref="M752:N752" si="757">G752/1.19</f>
        <v>5882.3529411764712</v>
      </c>
      <c r="N752" s="12">
        <f t="shared" si="757"/>
        <v>5882.3529411764712</v>
      </c>
      <c r="O752" s="12">
        <f t="shared" si="2"/>
        <v>1117.6470588235297</v>
      </c>
      <c r="P752" s="13"/>
      <c r="Q752" s="14">
        <f t="shared" si="3"/>
        <v>2025</v>
      </c>
      <c r="R752" s="15">
        <f>VLOOKUP(MONTH(C752),'Datos Maestros'!M$2:N$14,2,FALSE)</f>
        <v>45474</v>
      </c>
      <c r="S752" s="11" t="str">
        <f>VLOOKUP(E752,Precios!B$2:W$941,3,FALSE)</f>
        <v>Mantequilla</v>
      </c>
      <c r="T752" s="16">
        <f>VLOOKUP(E752,Precios!B$2:N$941,4,FALSE)*F752</f>
        <v>200</v>
      </c>
      <c r="U752" s="17"/>
      <c r="V752" s="12">
        <f>VLOOKUP(E752,Precios!B$2:N$941,13,FALSE)*F752</f>
        <v>1512.6050420168067</v>
      </c>
      <c r="W752" s="12">
        <f t="shared" si="4"/>
        <v>1512.6050420168067</v>
      </c>
      <c r="X752" s="12">
        <f>VLOOKUP(B752,'Datos Maestros'!$C$2:$D$7,2,FALSE)*V752</f>
        <v>0</v>
      </c>
      <c r="Y752" s="18">
        <f t="shared" si="5"/>
        <v>45866</v>
      </c>
      <c r="Z752" s="13" t="s">
        <v>39</v>
      </c>
      <c r="AA752" s="19" t="str">
        <f>VLOOKUP(D752,Clientes!$A$2:$J$486,9,FALSE)</f>
        <v>Ocacional</v>
      </c>
      <c r="AB752" s="13" t="str">
        <f>VLOOKUP(D752,Clientes!$A$2:$K$486,11,FALSE)</f>
        <v>Empresa</v>
      </c>
      <c r="AC752" s="13" t="str">
        <f>VLOOKUP(D752,Clientes!$A$2:$B$486,2,FALSE)</f>
        <v>Jardines de la viña</v>
      </c>
      <c r="AD752" s="20"/>
      <c r="AE752" s="20"/>
      <c r="AF752" s="13" t="s">
        <v>40</v>
      </c>
      <c r="AG752" s="15">
        <f t="shared" si="6"/>
        <v>45474</v>
      </c>
      <c r="AH752" s="13" t="s">
        <v>41</v>
      </c>
      <c r="AI752" s="13" t="str">
        <f t="shared" si="7"/>
        <v>Derivados</v>
      </c>
      <c r="AJ752" s="13" t="str">
        <f>VLOOKUP(E752,Precios!Z$2:AA$941,2,FALSE)</f>
        <v>Mantequilla RUMAY</v>
      </c>
      <c r="AK752" s="14">
        <f>VLOOKUP(E752,Precios!Z$2:BB$941,3,FALSE)*F752</f>
        <v>-3</v>
      </c>
      <c r="AL752" s="17"/>
      <c r="AM752" s="17"/>
      <c r="AN752" s="17"/>
      <c r="AO752" s="17"/>
      <c r="AP752" s="17"/>
      <c r="AQ752" s="17"/>
      <c r="AR752" s="17"/>
      <c r="AS752" s="17"/>
      <c r="AT752" s="17"/>
      <c r="AU752" s="17"/>
      <c r="AV752" s="17"/>
    </row>
    <row r="753" spans="1:48" ht="15.75" customHeight="1">
      <c r="A753" s="21" t="s">
        <v>47</v>
      </c>
      <c r="B753" s="23" t="s">
        <v>1692</v>
      </c>
      <c r="C753" s="22">
        <v>45869</v>
      </c>
      <c r="D753" s="23" t="s">
        <v>351</v>
      </c>
      <c r="E753" s="23" t="s">
        <v>305</v>
      </c>
      <c r="F753" s="21">
        <v>1</v>
      </c>
      <c r="G753" s="12">
        <f>VLOOKUP(E753,Precios!B$2:N$941,12,FALSE)</f>
        <v>2999.9015263417036</v>
      </c>
      <c r="H753" s="12">
        <f t="shared" si="0"/>
        <v>2999.9015263417036</v>
      </c>
      <c r="I753" s="23" t="s">
        <v>52</v>
      </c>
      <c r="J753" s="23" t="s">
        <v>61</v>
      </c>
      <c r="K753" s="24" t="s">
        <v>86</v>
      </c>
      <c r="L753" s="24">
        <v>99</v>
      </c>
      <c r="M753" s="12">
        <f t="shared" ref="M753:N753" si="758">G753/1.19</f>
        <v>2520.9256523879862</v>
      </c>
      <c r="N753" s="12">
        <f t="shared" si="758"/>
        <v>2520.9256523879862</v>
      </c>
      <c r="O753" s="12">
        <f t="shared" si="2"/>
        <v>478.97587395371738</v>
      </c>
      <c r="P753" s="13"/>
      <c r="Q753" s="14">
        <f t="shared" si="3"/>
        <v>2025</v>
      </c>
      <c r="R753" s="15">
        <f>VLOOKUP(MONTH(C753),'Datos Maestros'!M$2:N$14,2,FALSE)</f>
        <v>45474</v>
      </c>
      <c r="S753" s="11" t="str">
        <f>VLOOKUP(E753,Precios!B$2:W$941,3,FALSE)</f>
        <v>Toallitas Húmedas Bebe</v>
      </c>
      <c r="T753" s="16">
        <f>VLOOKUP(E753,Precios!B$2:N$941,4,FALSE)*F753</f>
        <v>0</v>
      </c>
      <c r="U753" s="17"/>
      <c r="V753" s="12">
        <f>VLOOKUP(E753,Precios!B$2:N$941,13,FALSE)*F753</f>
        <v>984.92565238798625</v>
      </c>
      <c r="W753" s="12">
        <f t="shared" si="4"/>
        <v>984.92565238798625</v>
      </c>
      <c r="X753" s="12">
        <f>VLOOKUP(B753,'Datos Maestros'!$C$2:$D$7,2,FALSE)*V753</f>
        <v>0</v>
      </c>
      <c r="Y753" s="18">
        <f t="shared" si="5"/>
        <v>45866</v>
      </c>
      <c r="Z753" s="13" t="s">
        <v>39</v>
      </c>
      <c r="AA753" s="19" t="str">
        <f>VLOOKUP(D753,Clientes!$A$2:$J$486,9,FALSE)</f>
        <v>Ocacional</v>
      </c>
      <c r="AB753" s="13" t="str">
        <f>VLOOKUP(D753,Clientes!$A$2:$K$486,11,FALSE)</f>
        <v>Empresa</v>
      </c>
      <c r="AC753" s="13" t="str">
        <f>VLOOKUP(D753,Clientes!$A$2:$B$486,2,FALSE)</f>
        <v>Jardines de la viña</v>
      </c>
      <c r="AD753" s="20"/>
      <c r="AE753" s="20"/>
      <c r="AF753" s="13" t="s">
        <v>40</v>
      </c>
      <c r="AG753" s="15">
        <f t="shared" si="6"/>
        <v>45474</v>
      </c>
      <c r="AH753" s="13" t="s">
        <v>41</v>
      </c>
      <c r="AI753" s="13" t="str">
        <f t="shared" si="7"/>
        <v>Articulos de Aseo</v>
      </c>
      <c r="AJ753" s="13" t="str">
        <f>VLOOKUP(E753,Precios!Z$2:AA$941,2,FALSE)</f>
        <v>Toallas Humedas Bebé TEDDY 80 unidades</v>
      </c>
      <c r="AK753" s="14">
        <f>VLOOKUP(E753,Precios!Z$2:BB$941,3,FALSE)*F753</f>
        <v>-2</v>
      </c>
      <c r="AL753" s="17"/>
      <c r="AM753" s="17"/>
      <c r="AN753" s="17"/>
      <c r="AO753" s="17"/>
      <c r="AP753" s="17"/>
      <c r="AQ753" s="17"/>
      <c r="AR753" s="17"/>
      <c r="AS753" s="17"/>
      <c r="AT753" s="17"/>
      <c r="AU753" s="17"/>
      <c r="AV753" s="17"/>
    </row>
    <row r="754" spans="1:48" ht="15.75" customHeight="1">
      <c r="A754" s="21" t="s">
        <v>47</v>
      </c>
      <c r="B754" s="23" t="s">
        <v>1692</v>
      </c>
      <c r="C754" s="22">
        <v>45869</v>
      </c>
      <c r="D754" s="23" t="s">
        <v>351</v>
      </c>
      <c r="E754" s="23" t="s">
        <v>200</v>
      </c>
      <c r="F754" s="21">
        <v>1</v>
      </c>
      <c r="G754" s="12">
        <f>VLOOKUP(E754,Precios!B$2:N$941,12,FALSE)</f>
        <v>1799.8604716059717</v>
      </c>
      <c r="H754" s="12">
        <f t="shared" si="0"/>
        <v>1799.8604716059717</v>
      </c>
      <c r="I754" s="23" t="s">
        <v>52</v>
      </c>
      <c r="J754" s="23" t="s">
        <v>61</v>
      </c>
      <c r="K754" s="24" t="s">
        <v>86</v>
      </c>
      <c r="L754" s="24">
        <v>99</v>
      </c>
      <c r="M754" s="12">
        <f t="shared" ref="M754:N754" si="759">G754/1.19</f>
        <v>1512.4877912655224</v>
      </c>
      <c r="N754" s="12">
        <f t="shared" si="759"/>
        <v>1512.4877912655224</v>
      </c>
      <c r="O754" s="12">
        <f t="shared" si="2"/>
        <v>287.37268034044928</v>
      </c>
      <c r="P754" s="13"/>
      <c r="Q754" s="14">
        <f t="shared" si="3"/>
        <v>2025</v>
      </c>
      <c r="R754" s="15">
        <f>VLOOKUP(MONTH(C754),'Datos Maestros'!M$2:N$14,2,FALSE)</f>
        <v>45474</v>
      </c>
      <c r="S754" s="11" t="str">
        <f>VLOOKUP(E754,Precios!B$2:W$941,3,FALSE)</f>
        <v xml:space="preserve">Ambiental </v>
      </c>
      <c r="T754" s="16">
        <f>VLOOKUP(E754,Precios!B$2:N$941,4,FALSE)*F754</f>
        <v>0</v>
      </c>
      <c r="U754" s="17"/>
      <c r="V754" s="12">
        <f>VLOOKUP(E754,Precios!B$2:N$941,13,FALSE)*F754</f>
        <v>428.48779126552245</v>
      </c>
      <c r="W754" s="12">
        <f t="shared" si="4"/>
        <v>428.48779126552245</v>
      </c>
      <c r="X754" s="12">
        <f>VLOOKUP(B754,'Datos Maestros'!$C$2:$D$7,2,FALSE)*V754</f>
        <v>0</v>
      </c>
      <c r="Y754" s="18">
        <f t="shared" si="5"/>
        <v>45866</v>
      </c>
      <c r="Z754" s="13" t="s">
        <v>39</v>
      </c>
      <c r="AA754" s="19" t="str">
        <f>VLOOKUP(D754,Clientes!$A$2:$J$486,9,FALSE)</f>
        <v>Ocacional</v>
      </c>
      <c r="AB754" s="13" t="str">
        <f>VLOOKUP(D754,Clientes!$A$2:$K$486,11,FALSE)</f>
        <v>Empresa</v>
      </c>
      <c r="AC754" s="13" t="str">
        <f>VLOOKUP(D754,Clientes!$A$2:$B$486,2,FALSE)</f>
        <v>Jardines de la viña</v>
      </c>
      <c r="AD754" s="20"/>
      <c r="AE754" s="20"/>
      <c r="AF754" s="13" t="s">
        <v>40</v>
      </c>
      <c r="AG754" s="15">
        <f t="shared" si="6"/>
        <v>45474</v>
      </c>
      <c r="AH754" s="13" t="s">
        <v>41</v>
      </c>
      <c r="AI754" s="13" t="str">
        <f t="shared" si="7"/>
        <v>Articulos de Aseo</v>
      </c>
      <c r="AJ754" s="13" t="str">
        <f>VLOOKUP(E754,Precios!Z$2:AA$941,2,FALSE)</f>
        <v>Ambiental Tubo AROM</v>
      </c>
      <c r="AK754" s="14">
        <f>VLOOKUP(E754,Precios!Z$2:BB$941,3,FALSE)*F754</f>
        <v>-1</v>
      </c>
      <c r="AL754" s="17"/>
      <c r="AM754" s="17"/>
      <c r="AN754" s="17"/>
      <c r="AO754" s="17"/>
      <c r="AP754" s="17"/>
      <c r="AQ754" s="17"/>
      <c r="AR754" s="17"/>
      <c r="AS754" s="17"/>
      <c r="AT754" s="17"/>
      <c r="AU754" s="17"/>
      <c r="AV754" s="17"/>
    </row>
    <row r="755" spans="1:48" ht="15.75" customHeight="1">
      <c r="A755" s="21" t="s">
        <v>76</v>
      </c>
      <c r="B755" s="23" t="s">
        <v>1692</v>
      </c>
      <c r="C755" s="22">
        <v>45869</v>
      </c>
      <c r="D755" s="23" t="s">
        <v>351</v>
      </c>
      <c r="E755" s="23" t="s">
        <v>166</v>
      </c>
      <c r="F755" s="21">
        <v>1</v>
      </c>
      <c r="G755" s="12">
        <f>VLOOKUP(E755,Precios!B$2:N$941,12,FALSE)</f>
        <v>3500.0000000000005</v>
      </c>
      <c r="H755" s="12">
        <f t="shared" si="0"/>
        <v>3500.0000000000005</v>
      </c>
      <c r="I755" s="23" t="s">
        <v>52</v>
      </c>
      <c r="J755" s="23" t="s">
        <v>61</v>
      </c>
      <c r="K755" s="24" t="s">
        <v>86</v>
      </c>
      <c r="L755" s="24">
        <v>99</v>
      </c>
      <c r="M755" s="12">
        <f t="shared" ref="M755:N755" si="760">G755/1.19</f>
        <v>2941.1764705882356</v>
      </c>
      <c r="N755" s="12">
        <f t="shared" si="760"/>
        <v>2941.1764705882356</v>
      </c>
      <c r="O755" s="12">
        <f t="shared" si="2"/>
        <v>558.82352941176487</v>
      </c>
      <c r="P755" s="13"/>
      <c r="Q755" s="14">
        <f t="shared" si="3"/>
        <v>2025</v>
      </c>
      <c r="R755" s="15">
        <f>VLOOKUP(MONTH(C755),'Datos Maestros'!M$2:N$14,2,FALSE)</f>
        <v>45474</v>
      </c>
      <c r="S755" s="11" t="str">
        <f>VLOOKUP(E755,Precios!B$2:W$941,3,FALSE)</f>
        <v>Cloro Gel</v>
      </c>
      <c r="T755" s="16">
        <f>VLOOKUP(E755,Precios!B$2:N$941,4,FALSE)*F755</f>
        <v>5</v>
      </c>
      <c r="U755" s="17"/>
      <c r="V755" s="12">
        <f>VLOOKUP(E755,Precios!B$2:N$941,13,FALSE)*F755</f>
        <v>1016.8067226890757</v>
      </c>
      <c r="W755" s="12">
        <f t="shared" si="4"/>
        <v>1016.8067226890757</v>
      </c>
      <c r="X755" s="12">
        <f>VLOOKUP(B755,'Datos Maestros'!$C$2:$D$7,2,FALSE)*V755</f>
        <v>0</v>
      </c>
      <c r="Y755" s="18">
        <f t="shared" si="5"/>
        <v>45866</v>
      </c>
      <c r="Z755" s="13" t="s">
        <v>39</v>
      </c>
      <c r="AA755" s="19" t="str">
        <f>VLOOKUP(D755,Clientes!$A$2:$J$486,9,FALSE)</f>
        <v>Ocacional</v>
      </c>
      <c r="AB755" s="13" t="str">
        <f>VLOOKUP(D755,Clientes!$A$2:$K$486,11,FALSE)</f>
        <v>Empresa</v>
      </c>
      <c r="AC755" s="13" t="str">
        <f>VLOOKUP(D755,Clientes!$A$2:$B$486,2,FALSE)</f>
        <v>Jardines de la viña</v>
      </c>
      <c r="AD755" s="20"/>
      <c r="AE755" s="20"/>
      <c r="AF755" s="13" t="s">
        <v>40</v>
      </c>
      <c r="AG755" s="15">
        <f t="shared" si="6"/>
        <v>45474</v>
      </c>
      <c r="AH755" s="13" t="s">
        <v>41</v>
      </c>
      <c r="AI755" s="13" t="str">
        <f t="shared" si="7"/>
        <v>Detergentes</v>
      </c>
      <c r="AJ755" s="13" t="str">
        <f>VLOOKUP(E755,Precios!Z$2:AA$941,2,FALSE)</f>
        <v>Cloro GEL SPUM 5 Litros</v>
      </c>
      <c r="AK755" s="14">
        <f>VLOOKUP(E755,Precios!Z$2:BB$941,3,FALSE)*F755</f>
        <v>-1</v>
      </c>
      <c r="AL755" s="17"/>
      <c r="AM755" s="17"/>
      <c r="AN755" s="17"/>
      <c r="AO755" s="17"/>
      <c r="AP755" s="17"/>
      <c r="AQ755" s="17"/>
      <c r="AR755" s="17"/>
      <c r="AS755" s="17"/>
      <c r="AT755" s="17"/>
      <c r="AU755" s="17"/>
      <c r="AV755" s="17"/>
    </row>
    <row r="756" spans="1:48" ht="15.75" customHeight="1">
      <c r="A756" s="21" t="s">
        <v>76</v>
      </c>
      <c r="B756" s="23" t="s">
        <v>1692</v>
      </c>
      <c r="C756" s="22">
        <v>45869</v>
      </c>
      <c r="D756" s="23" t="s">
        <v>351</v>
      </c>
      <c r="E756" s="23" t="s">
        <v>349</v>
      </c>
      <c r="F756" s="21">
        <v>1</v>
      </c>
      <c r="G756" s="12">
        <f>VLOOKUP(E756,Precios!B$2:N$941,12,FALSE)</f>
        <v>3999.8127946357149</v>
      </c>
      <c r="H756" s="12">
        <f t="shared" si="0"/>
        <v>3999.8127946357149</v>
      </c>
      <c r="I756" s="23" t="s">
        <v>52</v>
      </c>
      <c r="J756" s="23" t="s">
        <v>61</v>
      </c>
      <c r="K756" s="24" t="s">
        <v>86</v>
      </c>
      <c r="L756" s="24">
        <v>99</v>
      </c>
      <c r="M756" s="12">
        <f t="shared" ref="M756:N756" si="761">G756/1.19</f>
        <v>3361.1872223829537</v>
      </c>
      <c r="N756" s="12">
        <f t="shared" si="761"/>
        <v>3361.1872223829537</v>
      </c>
      <c r="O756" s="12">
        <f t="shared" si="2"/>
        <v>638.62557225276123</v>
      </c>
      <c r="P756" s="13"/>
      <c r="Q756" s="14">
        <f t="shared" si="3"/>
        <v>2025</v>
      </c>
      <c r="R756" s="15">
        <f>VLOOKUP(MONTH(C756),'Datos Maestros'!M$2:N$14,2,FALSE)</f>
        <v>45474</v>
      </c>
      <c r="S756" s="11" t="str">
        <f>VLOOKUP(E756,Precios!B$2:W$941,3,FALSE)</f>
        <v>Antigrasa</v>
      </c>
      <c r="T756" s="16">
        <f>VLOOKUP(E756,Precios!B$2:N$941,4,FALSE)*F756</f>
        <v>5</v>
      </c>
      <c r="U756" s="17"/>
      <c r="V756" s="12">
        <f>VLOOKUP(E756,Precios!B$2:N$941,13,FALSE)*F756</f>
        <v>1386.1872223829537</v>
      </c>
      <c r="W756" s="12">
        <f t="shared" si="4"/>
        <v>1386.1872223829537</v>
      </c>
      <c r="X756" s="12">
        <f>VLOOKUP(B756,'Datos Maestros'!$C$2:$D$7,2,FALSE)*V756</f>
        <v>0</v>
      </c>
      <c r="Y756" s="18">
        <f t="shared" si="5"/>
        <v>45866</v>
      </c>
      <c r="Z756" s="13" t="s">
        <v>39</v>
      </c>
      <c r="AA756" s="19" t="str">
        <f>VLOOKUP(D756,Clientes!$A$2:$J$486,9,FALSE)</f>
        <v>Ocacional</v>
      </c>
      <c r="AB756" s="13" t="str">
        <f>VLOOKUP(D756,Clientes!$A$2:$K$486,11,FALSE)</f>
        <v>Empresa</v>
      </c>
      <c r="AC756" s="13" t="str">
        <f>VLOOKUP(D756,Clientes!$A$2:$B$486,2,FALSE)</f>
        <v>Jardines de la viña</v>
      </c>
      <c r="AD756" s="20"/>
      <c r="AE756" s="20"/>
      <c r="AF756" s="13" t="s">
        <v>40</v>
      </c>
      <c r="AG756" s="15">
        <f t="shared" si="6"/>
        <v>45474</v>
      </c>
      <c r="AH756" s="13" t="s">
        <v>41</v>
      </c>
      <c r="AI756" s="13" t="str">
        <f t="shared" si="7"/>
        <v>Detergentes</v>
      </c>
      <c r="AJ756" s="13" t="str">
        <f>VLOOKUP(E756,Precios!Z$2:AA$941,2,FALSE)</f>
        <v>Antigrasa SPUM 5 Litros</v>
      </c>
      <c r="AK756" s="14">
        <f>VLOOKUP(E756,Precios!Z$2:BB$941,3,FALSE)*F756</f>
        <v>-1</v>
      </c>
      <c r="AL756" s="17"/>
      <c r="AM756" s="17"/>
      <c r="AN756" s="17"/>
      <c r="AO756" s="17"/>
      <c r="AP756" s="17"/>
      <c r="AQ756" s="17"/>
      <c r="AR756" s="17"/>
      <c r="AS756" s="17"/>
      <c r="AT756" s="17"/>
      <c r="AU756" s="17"/>
      <c r="AV756" s="17"/>
    </row>
    <row r="757" spans="1:48" ht="15.75" customHeight="1">
      <c r="A757" s="21" t="s">
        <v>76</v>
      </c>
      <c r="B757" s="23" t="s">
        <v>1692</v>
      </c>
      <c r="C757" s="22">
        <v>45869</v>
      </c>
      <c r="D757" s="23" t="s">
        <v>351</v>
      </c>
      <c r="E757" s="23" t="s">
        <v>81</v>
      </c>
      <c r="F757" s="21">
        <v>1</v>
      </c>
      <c r="G757" s="12">
        <f>VLOOKUP(E757,Precios!B$2:N$941,12,FALSE)</f>
        <v>3500.0000000000005</v>
      </c>
      <c r="H757" s="12">
        <f t="shared" si="0"/>
        <v>3500.0000000000005</v>
      </c>
      <c r="I757" s="23" t="s">
        <v>52</v>
      </c>
      <c r="J757" s="23" t="s">
        <v>61</v>
      </c>
      <c r="K757" s="24" t="s">
        <v>86</v>
      </c>
      <c r="L757" s="24">
        <v>99</v>
      </c>
      <c r="M757" s="12">
        <f t="shared" ref="M757:N757" si="762">G757/1.19</f>
        <v>2941.1764705882356</v>
      </c>
      <c r="N757" s="12">
        <f t="shared" si="762"/>
        <v>2941.1764705882356</v>
      </c>
      <c r="O757" s="12">
        <f t="shared" si="2"/>
        <v>558.82352941176487</v>
      </c>
      <c r="P757" s="13"/>
      <c r="Q757" s="14">
        <f t="shared" si="3"/>
        <v>2025</v>
      </c>
      <c r="R757" s="15">
        <f>VLOOKUP(MONTH(C757),'Datos Maestros'!M$2:N$14,2,FALSE)</f>
        <v>45474</v>
      </c>
      <c r="S757" s="11" t="str">
        <f>VLOOKUP(E757,Precios!B$2:W$941,3,FALSE)</f>
        <v>Detergente Premium</v>
      </c>
      <c r="T757" s="16">
        <f>VLOOKUP(E757,Precios!B$2:N$941,4,FALSE)*F757</f>
        <v>5</v>
      </c>
      <c r="U757" s="17"/>
      <c r="V757" s="12">
        <f>VLOOKUP(E757,Precios!B$2:N$941,13,FALSE)*F757</f>
        <v>764.70588235294144</v>
      </c>
      <c r="W757" s="12">
        <f t="shared" si="4"/>
        <v>764.70588235294144</v>
      </c>
      <c r="X757" s="12">
        <f>VLOOKUP(B757,'Datos Maestros'!$C$2:$D$7,2,FALSE)*V757</f>
        <v>0</v>
      </c>
      <c r="Y757" s="18">
        <f t="shared" si="5"/>
        <v>45866</v>
      </c>
      <c r="Z757" s="13" t="s">
        <v>39</v>
      </c>
      <c r="AA757" s="19" t="str">
        <f>VLOOKUP(D757,Clientes!$A$2:$J$486,9,FALSE)</f>
        <v>Ocacional</v>
      </c>
      <c r="AB757" s="13" t="str">
        <f>VLOOKUP(D757,Clientes!$A$2:$K$486,11,FALSE)</f>
        <v>Empresa</v>
      </c>
      <c r="AC757" s="13" t="str">
        <f>VLOOKUP(D757,Clientes!$A$2:$B$486,2,FALSE)</f>
        <v>Jardines de la viña</v>
      </c>
      <c r="AD757" s="20"/>
      <c r="AE757" s="20"/>
      <c r="AF757" s="13" t="s">
        <v>40</v>
      </c>
      <c r="AG757" s="15">
        <f t="shared" si="6"/>
        <v>45474</v>
      </c>
      <c r="AH757" s="13" t="s">
        <v>41</v>
      </c>
      <c r="AI757" s="13" t="str">
        <f t="shared" si="7"/>
        <v>Detergentes</v>
      </c>
      <c r="AJ757" s="13" t="str">
        <f>VLOOKUP(E757,Precios!Z$2:AA$941,2,FALSE)</f>
        <v>Detergente SPUM 5 Litros (Verde)</v>
      </c>
      <c r="AK757" s="14">
        <f>VLOOKUP(E757,Precios!Z$2:BB$941,3,FALSE)*F757</f>
        <v>-1</v>
      </c>
      <c r="AL757" s="17"/>
      <c r="AM757" s="17"/>
      <c r="AN757" s="17"/>
      <c r="AO757" s="17"/>
      <c r="AP757" s="17"/>
      <c r="AQ757" s="17"/>
      <c r="AR757" s="17"/>
      <c r="AS757" s="17"/>
      <c r="AT757" s="17"/>
      <c r="AU757" s="17"/>
      <c r="AV757" s="17"/>
    </row>
    <row r="758" spans="1:48" ht="15.75" customHeight="1">
      <c r="A758" s="21" t="s">
        <v>53</v>
      </c>
      <c r="B758" s="23" t="s">
        <v>1692</v>
      </c>
      <c r="C758" s="22">
        <v>45869</v>
      </c>
      <c r="D758" s="23" t="s">
        <v>351</v>
      </c>
      <c r="E758" s="23" t="s">
        <v>55</v>
      </c>
      <c r="F758" s="21">
        <v>1</v>
      </c>
      <c r="G758" s="12">
        <f>VLOOKUP(E758,Precios!B$2:N$941,12,FALSE)</f>
        <v>20899.91124296327</v>
      </c>
      <c r="H758" s="12">
        <f t="shared" si="0"/>
        <v>20899.91124296327</v>
      </c>
      <c r="I758" s="23" t="s">
        <v>52</v>
      </c>
      <c r="J758" s="23" t="s">
        <v>61</v>
      </c>
      <c r="K758" s="24" t="s">
        <v>86</v>
      </c>
      <c r="L758" s="24">
        <v>99</v>
      </c>
      <c r="M758" s="12">
        <f t="shared" ref="M758:N758" si="763">G758/1.19</f>
        <v>17562.950624338882</v>
      </c>
      <c r="N758" s="12">
        <f t="shared" si="763"/>
        <v>17562.950624338882</v>
      </c>
      <c r="O758" s="12">
        <f t="shared" si="2"/>
        <v>3336.9606186243873</v>
      </c>
      <c r="P758" s="13"/>
      <c r="Q758" s="14">
        <f t="shared" si="3"/>
        <v>2025</v>
      </c>
      <c r="R758" s="15">
        <f>VLOOKUP(MONTH(C758),'Datos Maestros'!M$2:N$14,2,FALSE)</f>
        <v>45474</v>
      </c>
      <c r="S758" s="11" t="str">
        <f>VLOOKUP(E758,Precios!B$2:W$941,3,FALSE)</f>
        <v>Papel Higiénico ELITE</v>
      </c>
      <c r="T758" s="16">
        <f>VLOOKUP(E758,Precios!B$2:N$941,4,FALSE)*F758</f>
        <v>0</v>
      </c>
      <c r="U758" s="17"/>
      <c r="V758" s="12">
        <f>VLOOKUP(E758,Precios!B$2:N$941,13,FALSE)*F758</f>
        <v>3117.9506243388823</v>
      </c>
      <c r="W758" s="12">
        <f t="shared" si="4"/>
        <v>3117.9506243388823</v>
      </c>
      <c r="X758" s="12">
        <f>VLOOKUP(B758,'Datos Maestros'!$C$2:$D$7,2,FALSE)*V758</f>
        <v>0</v>
      </c>
      <c r="Y758" s="18">
        <f t="shared" si="5"/>
        <v>45866</v>
      </c>
      <c r="Z758" s="13" t="s">
        <v>39</v>
      </c>
      <c r="AA758" s="19" t="str">
        <f>VLOOKUP(D758,Clientes!$A$2:$J$486,9,FALSE)</f>
        <v>Ocacional</v>
      </c>
      <c r="AB758" s="13" t="str">
        <f>VLOOKUP(D758,Clientes!$A$2:$K$486,11,FALSE)</f>
        <v>Empresa</v>
      </c>
      <c r="AC758" s="13" t="str">
        <f>VLOOKUP(D758,Clientes!$A$2:$B$486,2,FALSE)</f>
        <v>Jardines de la viña</v>
      </c>
      <c r="AD758" s="20"/>
      <c r="AE758" s="20"/>
      <c r="AF758" s="13" t="s">
        <v>40</v>
      </c>
      <c r="AG758" s="15">
        <f t="shared" si="6"/>
        <v>45474</v>
      </c>
      <c r="AH758" s="13" t="s">
        <v>41</v>
      </c>
      <c r="AI758" s="13" t="str">
        <f t="shared" si="7"/>
        <v>Papeleria</v>
      </c>
      <c r="AJ758" s="13" t="str">
        <f>VLOOKUP(E758,Precios!Z$2:AA$941,2,FALSE)</f>
        <v>Papel Higienico ELITE 50 metros</v>
      </c>
      <c r="AK758" s="14">
        <f>VLOOKUP(E758,Precios!Z$2:BB$941,3,FALSE)*F758</f>
        <v>-8</v>
      </c>
      <c r="AL758" s="17"/>
      <c r="AM758" s="17"/>
      <c r="AN758" s="17"/>
      <c r="AO758" s="17"/>
      <c r="AP758" s="17"/>
      <c r="AQ758" s="17"/>
      <c r="AR758" s="17"/>
      <c r="AS758" s="17"/>
      <c r="AT758" s="17"/>
      <c r="AU758" s="17"/>
      <c r="AV758" s="17"/>
    </row>
    <row r="759" spans="1:48" ht="15.75" customHeight="1">
      <c r="A759" s="21" t="s">
        <v>47</v>
      </c>
      <c r="B759" s="23" t="s">
        <v>1692</v>
      </c>
      <c r="C759" s="22">
        <v>45869</v>
      </c>
      <c r="D759" s="23" t="s">
        <v>301</v>
      </c>
      <c r="E759" s="23" t="s">
        <v>74</v>
      </c>
      <c r="F759" s="21">
        <v>1</v>
      </c>
      <c r="G759" s="12">
        <f>VLOOKUP(E759,Precios!B$2:N$941,12,FALSE)</f>
        <v>4199.9020019599611</v>
      </c>
      <c r="H759" s="12">
        <f t="shared" si="0"/>
        <v>4199.9020019599611</v>
      </c>
      <c r="I759" s="23" t="s">
        <v>52</v>
      </c>
      <c r="J759" s="23" t="s">
        <v>61</v>
      </c>
      <c r="K759" s="24" t="s">
        <v>177</v>
      </c>
      <c r="L759" s="24">
        <v>165</v>
      </c>
      <c r="M759" s="12">
        <f t="shared" ref="M759:N759" si="764">G759/1.19</f>
        <v>3529.3294134117323</v>
      </c>
      <c r="N759" s="12">
        <f t="shared" si="764"/>
        <v>3529.3294134117323</v>
      </c>
      <c r="O759" s="12">
        <f t="shared" si="2"/>
        <v>670.57258854822885</v>
      </c>
      <c r="P759" s="13"/>
      <c r="Q759" s="14">
        <f t="shared" si="3"/>
        <v>2025</v>
      </c>
      <c r="R759" s="15">
        <f>VLOOKUP(MONTH(C759),'Datos Maestros'!M$2:N$14,2,FALSE)</f>
        <v>45474</v>
      </c>
      <c r="S759" s="11" t="str">
        <f>VLOOKUP(E759,Precios!B$2:W$941,3,FALSE)</f>
        <v>Guantes NITRILO</v>
      </c>
      <c r="T759" s="16">
        <f>VLOOKUP(E759,Precios!B$2:N$941,4,FALSE)*F759</f>
        <v>0</v>
      </c>
      <c r="U759" s="17"/>
      <c r="V759" s="12">
        <f>VLOOKUP(E759,Precios!B$2:N$941,13,FALSE)*F759</f>
        <v>1008.3294134117323</v>
      </c>
      <c r="W759" s="12">
        <f t="shared" si="4"/>
        <v>1008.3294134117323</v>
      </c>
      <c r="X759" s="12">
        <f>VLOOKUP(B759,'Datos Maestros'!$C$2:$D$7,2,FALSE)*V759</f>
        <v>0</v>
      </c>
      <c r="Y759" s="18">
        <f t="shared" si="5"/>
        <v>45866</v>
      </c>
      <c r="Z759" s="13" t="s">
        <v>39</v>
      </c>
      <c r="AA759" s="19" t="str">
        <f>VLOOKUP(D759,Clientes!$A$2:$J$486,9,FALSE)</f>
        <v>Regular</v>
      </c>
      <c r="AB759" s="13" t="str">
        <f>VLOOKUP(D759,Clientes!$A$2:$K$486,11,FALSE)</f>
        <v>Persona Natural</v>
      </c>
      <c r="AC759" s="13" t="str">
        <f>VLOOKUP(D759,Clientes!$A$2:$B$486,2,FALSE)</f>
        <v>Sector Chilcas</v>
      </c>
      <c r="AD759" s="20"/>
      <c r="AE759" s="20"/>
      <c r="AF759" s="13" t="s">
        <v>40</v>
      </c>
      <c r="AG759" s="15">
        <f t="shared" si="6"/>
        <v>45474</v>
      </c>
      <c r="AH759" s="13" t="s">
        <v>41</v>
      </c>
      <c r="AI759" s="13" t="str">
        <f t="shared" si="7"/>
        <v>Articulos de Aseo</v>
      </c>
      <c r="AJ759" s="13" t="str">
        <f>VLOOKUP(E759,Precios!Z$2:AA$941,2,FALSE)</f>
        <v>Guante NITRILO Talla S</v>
      </c>
      <c r="AK759" s="14">
        <f>VLOOKUP(E759,Precios!Z$2:BB$941,3,FALSE)*F759</f>
        <v>-1</v>
      </c>
      <c r="AL759" s="17"/>
      <c r="AM759" s="17"/>
      <c r="AN759" s="17"/>
      <c r="AO759" s="17"/>
      <c r="AP759" s="17"/>
      <c r="AQ759" s="17"/>
      <c r="AR759" s="17"/>
      <c r="AS759" s="17"/>
      <c r="AT759" s="17"/>
      <c r="AU759" s="17"/>
      <c r="AV759" s="17"/>
    </row>
    <row r="760" spans="1:48" ht="15.75" customHeight="1">
      <c r="A760" s="21" t="s">
        <v>47</v>
      </c>
      <c r="B760" s="23" t="s">
        <v>1692</v>
      </c>
      <c r="C760" s="22">
        <v>45869</v>
      </c>
      <c r="D760" s="23" t="s">
        <v>301</v>
      </c>
      <c r="E760" s="23" t="s">
        <v>165</v>
      </c>
      <c r="F760" s="21">
        <v>1</v>
      </c>
      <c r="G760" s="12">
        <f>VLOOKUP(E760,Precios!B$2:N$941,12,FALSE)</f>
        <v>1200.1375515818431</v>
      </c>
      <c r="H760" s="12">
        <f t="shared" si="0"/>
        <v>1200.1375515818431</v>
      </c>
      <c r="I760" s="23" t="s">
        <v>52</v>
      </c>
      <c r="J760" s="23" t="s">
        <v>61</v>
      </c>
      <c r="K760" s="24" t="s">
        <v>177</v>
      </c>
      <c r="L760" s="24">
        <v>165</v>
      </c>
      <c r="M760" s="12">
        <f t="shared" ref="M760:N760" si="765">G760/1.19</f>
        <v>1008.5189509091119</v>
      </c>
      <c r="N760" s="12">
        <f t="shared" si="765"/>
        <v>1008.5189509091119</v>
      </c>
      <c r="O760" s="12">
        <f t="shared" si="2"/>
        <v>191.61860067273119</v>
      </c>
      <c r="P760" s="13"/>
      <c r="Q760" s="14">
        <f t="shared" si="3"/>
        <v>2025</v>
      </c>
      <c r="R760" s="15">
        <f>VLOOKUP(MONTH(C760),'Datos Maestros'!M$2:N$14,2,FALSE)</f>
        <v>45474</v>
      </c>
      <c r="S760" s="11" t="str">
        <f>VLOOKUP(E760,Precios!B$2:W$941,3,FALSE)</f>
        <v>Jabon POPEYE</v>
      </c>
      <c r="T760" s="16">
        <f>VLOOKUP(E760,Precios!B$2:N$941,4,FALSE)*F760</f>
        <v>0</v>
      </c>
      <c r="U760" s="17"/>
      <c r="V760" s="12">
        <f>VLOOKUP(E760,Precios!B$2:N$941,13,FALSE)*F760</f>
        <v>275.32567359818756</v>
      </c>
      <c r="W760" s="12">
        <f t="shared" si="4"/>
        <v>275.32567359818756</v>
      </c>
      <c r="X760" s="12">
        <f>VLOOKUP(B760,'Datos Maestros'!$C$2:$D$7,2,FALSE)*V760</f>
        <v>0</v>
      </c>
      <c r="Y760" s="18">
        <f t="shared" si="5"/>
        <v>45866</v>
      </c>
      <c r="Z760" s="13" t="s">
        <v>39</v>
      </c>
      <c r="AA760" s="19" t="str">
        <f>VLOOKUP(D760,Clientes!$A$2:$J$486,9,FALSE)</f>
        <v>Regular</v>
      </c>
      <c r="AB760" s="13" t="str">
        <f>VLOOKUP(D760,Clientes!$A$2:$K$486,11,FALSE)</f>
        <v>Persona Natural</v>
      </c>
      <c r="AC760" s="13" t="str">
        <f>VLOOKUP(D760,Clientes!$A$2:$B$486,2,FALSE)</f>
        <v>Sector Chilcas</v>
      </c>
      <c r="AD760" s="20"/>
      <c r="AE760" s="20"/>
      <c r="AF760" s="13" t="s">
        <v>40</v>
      </c>
      <c r="AG760" s="15">
        <f t="shared" si="6"/>
        <v>45474</v>
      </c>
      <c r="AH760" s="13" t="s">
        <v>41</v>
      </c>
      <c r="AI760" s="13" t="str">
        <f t="shared" si="7"/>
        <v>Articulos de Aseo</v>
      </c>
      <c r="AJ760" s="13" t="str">
        <f>VLOOKUP(E760,Precios!Z$2:AA$941,2,FALSE)</f>
        <v>Jabón Lìquido BALLERINA</v>
      </c>
      <c r="AK760" s="14">
        <f>VLOOKUP(E760,Precios!Z$2:BB$941,3,FALSE)*F760</f>
        <v>-1</v>
      </c>
      <c r="AL760" s="17"/>
      <c r="AM760" s="17"/>
      <c r="AN760" s="17"/>
      <c r="AO760" s="17"/>
      <c r="AP760" s="17"/>
      <c r="AQ760" s="17"/>
      <c r="AR760" s="17"/>
      <c r="AS760" s="17"/>
      <c r="AT760" s="17"/>
      <c r="AU760" s="17"/>
      <c r="AV760" s="17"/>
    </row>
    <row r="761" spans="1:48" ht="15.75" customHeight="1">
      <c r="A761" s="21" t="s">
        <v>53</v>
      </c>
      <c r="B761" s="23" t="s">
        <v>1692</v>
      </c>
      <c r="C761" s="22">
        <v>45869</v>
      </c>
      <c r="D761" s="23" t="s">
        <v>352</v>
      </c>
      <c r="E761" s="23" t="s">
        <v>97</v>
      </c>
      <c r="F761" s="21">
        <v>1</v>
      </c>
      <c r="G761" s="12">
        <f>VLOOKUP(E761,Precios!B$2:N$941,12,FALSE)</f>
        <v>16500.236769693482</v>
      </c>
      <c r="H761" s="12">
        <f t="shared" si="0"/>
        <v>16500.236769693482</v>
      </c>
      <c r="I761" s="23" t="s">
        <v>52</v>
      </c>
      <c r="J761" s="23" t="s">
        <v>61</v>
      </c>
      <c r="K761" s="24" t="s">
        <v>177</v>
      </c>
      <c r="L761" s="24">
        <v>165</v>
      </c>
      <c r="M761" s="12">
        <f t="shared" ref="M761:N761" si="766">G761/1.19</f>
        <v>13865.745184616371</v>
      </c>
      <c r="N761" s="12">
        <f t="shared" si="766"/>
        <v>13865.745184616371</v>
      </c>
      <c r="O761" s="12">
        <f t="shared" si="2"/>
        <v>2634.4915850771104</v>
      </c>
      <c r="P761" s="13"/>
      <c r="Q761" s="14">
        <f t="shared" si="3"/>
        <v>2025</v>
      </c>
      <c r="R761" s="15">
        <f>VLOOKUP(MONTH(C761),'Datos Maestros'!M$2:N$14,2,FALSE)</f>
        <v>45474</v>
      </c>
      <c r="S761" s="11" t="str">
        <f>VLOOKUP(E761,Precios!B$2:W$941,3,FALSE)</f>
        <v>Papel Higiénico ELITE</v>
      </c>
      <c r="T761" s="16">
        <f>VLOOKUP(E761,Precios!B$2:N$941,4,FALSE)*F761</f>
        <v>0</v>
      </c>
      <c r="U761" s="17"/>
      <c r="V761" s="12">
        <f>VLOOKUP(E761,Precios!B$2:N$941,13,FALSE)*F761</f>
        <v>3031.7451846163694</v>
      </c>
      <c r="W761" s="12">
        <f t="shared" si="4"/>
        <v>3031.7451846163694</v>
      </c>
      <c r="X761" s="12">
        <f>VLOOKUP(B761,'Datos Maestros'!$C$2:$D$7,2,FALSE)*V761</f>
        <v>0</v>
      </c>
      <c r="Y761" s="18">
        <f t="shared" si="5"/>
        <v>45866</v>
      </c>
      <c r="Z761" s="13" t="s">
        <v>39</v>
      </c>
      <c r="AA761" s="19" t="str">
        <f>VLOOKUP(D761,Clientes!$A$2:$J$486,9,FALSE)</f>
        <v>Frecuente</v>
      </c>
      <c r="AB761" s="13" t="str">
        <f>VLOOKUP(D761,Clientes!$A$2:$K$486,11,FALSE)</f>
        <v>Persona Natural</v>
      </c>
      <c r="AC761" s="13" t="str">
        <f>VLOOKUP(D761,Clientes!$A$2:$B$486,2,FALSE)</f>
        <v>Curso Amalia</v>
      </c>
      <c r="AD761" s="20"/>
      <c r="AE761" s="20"/>
      <c r="AF761" s="13" t="s">
        <v>40</v>
      </c>
      <c r="AG761" s="15">
        <f t="shared" si="6"/>
        <v>45474</v>
      </c>
      <c r="AH761" s="13" t="s">
        <v>41</v>
      </c>
      <c r="AI761" s="13" t="str">
        <f t="shared" si="7"/>
        <v>Papeleria</v>
      </c>
      <c r="AJ761" s="13" t="str">
        <f>VLOOKUP(E761,Precios!Z$2:AA$941,2,FALSE)</f>
        <v>Papel Higienico ELITE 50 metros</v>
      </c>
      <c r="AK761" s="14">
        <f>VLOOKUP(E761,Precios!Z$2:BB$941,3,FALSE)*F761</f>
        <v>-6</v>
      </c>
      <c r="AL761" s="17"/>
      <c r="AM761" s="17"/>
      <c r="AN761" s="17"/>
      <c r="AO761" s="17"/>
      <c r="AP761" s="17"/>
      <c r="AQ761" s="17"/>
      <c r="AR761" s="17"/>
      <c r="AS761" s="17"/>
      <c r="AT761" s="17"/>
      <c r="AU761" s="17"/>
      <c r="AV761" s="17"/>
    </row>
    <row r="762" spans="1:48" ht="15.75" customHeight="1">
      <c r="A762" s="21" t="s">
        <v>47</v>
      </c>
      <c r="B762" s="23" t="s">
        <v>1692</v>
      </c>
      <c r="C762" s="22">
        <v>45869</v>
      </c>
      <c r="D762" s="23" t="s">
        <v>352</v>
      </c>
      <c r="E762" s="23" t="s">
        <v>343</v>
      </c>
      <c r="F762" s="21">
        <v>1</v>
      </c>
      <c r="G762" s="12">
        <f>VLOOKUP(E762,Precios!B$2:N$941,12,FALSE)</f>
        <v>2500</v>
      </c>
      <c r="H762" s="12">
        <f t="shared" si="0"/>
        <v>2500</v>
      </c>
      <c r="I762" s="23" t="s">
        <v>52</v>
      </c>
      <c r="J762" s="23" t="s">
        <v>61</v>
      </c>
      <c r="K762" s="24" t="s">
        <v>177</v>
      </c>
      <c r="L762" s="24">
        <v>165</v>
      </c>
      <c r="M762" s="12">
        <f t="shared" ref="M762:N762" si="767">G762/1.19</f>
        <v>2100.840336134454</v>
      </c>
      <c r="N762" s="12">
        <f t="shared" si="767"/>
        <v>2100.840336134454</v>
      </c>
      <c r="O762" s="12">
        <f t="shared" si="2"/>
        <v>399.15966386554601</v>
      </c>
      <c r="P762" s="13"/>
      <c r="Q762" s="14">
        <f t="shared" si="3"/>
        <v>2025</v>
      </c>
      <c r="R762" s="15">
        <f>VLOOKUP(MONTH(C762),'Datos Maestros'!M$2:N$14,2,FALSE)</f>
        <v>45474</v>
      </c>
      <c r="S762" s="11" t="str">
        <f>VLOOKUP(E762,Precios!B$2:W$941,3,FALSE)</f>
        <v>Toalla desinfectantes</v>
      </c>
      <c r="T762" s="16">
        <f>VLOOKUP(E762,Precios!B$2:N$941,4,FALSE)*F762</f>
        <v>0</v>
      </c>
      <c r="U762" s="17"/>
      <c r="V762" s="12">
        <f>VLOOKUP(E762,Precios!B$2:N$941,13,FALSE)*F762</f>
        <v>621.84873949579855</v>
      </c>
      <c r="W762" s="12">
        <f t="shared" si="4"/>
        <v>621.84873949579855</v>
      </c>
      <c r="X762" s="12">
        <f>VLOOKUP(B762,'Datos Maestros'!$C$2:$D$7,2,FALSE)*V762</f>
        <v>0</v>
      </c>
      <c r="Y762" s="18">
        <f t="shared" si="5"/>
        <v>45866</v>
      </c>
      <c r="Z762" s="13" t="s">
        <v>39</v>
      </c>
      <c r="AA762" s="19" t="str">
        <f>VLOOKUP(D762,Clientes!$A$2:$J$486,9,FALSE)</f>
        <v>Frecuente</v>
      </c>
      <c r="AB762" s="13" t="str">
        <f>VLOOKUP(D762,Clientes!$A$2:$K$486,11,FALSE)</f>
        <v>Persona Natural</v>
      </c>
      <c r="AC762" s="13" t="str">
        <f>VLOOKUP(D762,Clientes!$A$2:$B$486,2,FALSE)</f>
        <v>Curso Amalia</v>
      </c>
      <c r="AD762" s="20"/>
      <c r="AE762" s="20"/>
      <c r="AF762" s="13" t="s">
        <v>40</v>
      </c>
      <c r="AG762" s="15">
        <f t="shared" si="6"/>
        <v>45474</v>
      </c>
      <c r="AH762" s="13" t="s">
        <v>41</v>
      </c>
      <c r="AI762" s="13" t="str">
        <f t="shared" si="7"/>
        <v>Articulos de Aseo</v>
      </c>
      <c r="AJ762" s="13" t="str">
        <f>VLOOKUP(E762,Precios!Z$2:AA$941,2,FALSE)</f>
        <v>Toalla desinfectante IGENIX 50 unidades</v>
      </c>
      <c r="AK762" s="14">
        <f>VLOOKUP(E762,Precios!Z$2:BB$941,3,FALSE)*F762</f>
        <v>-1</v>
      </c>
      <c r="AL762" s="17"/>
      <c r="AM762" s="17"/>
      <c r="AN762" s="17"/>
      <c r="AO762" s="17"/>
      <c r="AP762" s="17"/>
      <c r="AQ762" s="17"/>
      <c r="AR762" s="17"/>
      <c r="AS762" s="17"/>
      <c r="AT762" s="17"/>
      <c r="AU762" s="17"/>
      <c r="AV762" s="17"/>
    </row>
    <row r="763" spans="1:48" ht="15.75" customHeight="1">
      <c r="A763" s="21" t="s">
        <v>43</v>
      </c>
      <c r="B763" s="23" t="s">
        <v>1692</v>
      </c>
      <c r="C763" s="22">
        <v>45869</v>
      </c>
      <c r="D763" s="23" t="s">
        <v>352</v>
      </c>
      <c r="E763" s="23" t="s">
        <v>45</v>
      </c>
      <c r="F763" s="21">
        <v>1</v>
      </c>
      <c r="G763" s="12">
        <f>VLOOKUP(E763,Precios!B$2:N$941,12,FALSE)</f>
        <v>8000.1831784723063</v>
      </c>
      <c r="H763" s="12">
        <f t="shared" si="0"/>
        <v>8000.1831784723063</v>
      </c>
      <c r="I763" s="23" t="s">
        <v>52</v>
      </c>
      <c r="J763" s="23" t="s">
        <v>61</v>
      </c>
      <c r="K763" s="24" t="s">
        <v>177</v>
      </c>
      <c r="L763" s="24">
        <v>165</v>
      </c>
      <c r="M763" s="12">
        <f t="shared" ref="M763:N763" si="768">G763/1.19</f>
        <v>6722.8430071195853</v>
      </c>
      <c r="N763" s="12">
        <f t="shared" si="768"/>
        <v>6722.8430071195853</v>
      </c>
      <c r="O763" s="12">
        <f t="shared" si="2"/>
        <v>1277.340171352721</v>
      </c>
      <c r="P763" s="13"/>
      <c r="Q763" s="14">
        <f t="shared" si="3"/>
        <v>2025</v>
      </c>
      <c r="R763" s="15">
        <f>VLOOKUP(MONTH(C763),'Datos Maestros'!M$2:N$14,2,FALSE)</f>
        <v>45474</v>
      </c>
      <c r="S763" s="11" t="str">
        <f>VLOOKUP(E763,Precios!B$2:W$941,3,FALSE)</f>
        <v>Huevos EXTRA</v>
      </c>
      <c r="T763" s="16">
        <f>VLOOKUP(E763,Precios!B$2:N$941,4,FALSE)*F763</f>
        <v>0</v>
      </c>
      <c r="U763" s="17"/>
      <c r="V763" s="12">
        <f>VLOOKUP(E763,Precios!B$2:N$941,13,FALSE)*F763</f>
        <v>1151.6230071195851</v>
      </c>
      <c r="W763" s="12">
        <f t="shared" si="4"/>
        <v>1151.6230071195851</v>
      </c>
      <c r="X763" s="12">
        <f>VLOOKUP(B763,'Datos Maestros'!$C$2:$D$7,2,FALSE)*V763</f>
        <v>0</v>
      </c>
      <c r="Y763" s="18">
        <f t="shared" si="5"/>
        <v>45866</v>
      </c>
      <c r="Z763" s="13" t="s">
        <v>39</v>
      </c>
      <c r="AA763" s="19" t="str">
        <f>VLOOKUP(D763,Clientes!$A$2:$J$486,9,FALSE)</f>
        <v>Frecuente</v>
      </c>
      <c r="AB763" s="13" t="str">
        <f>VLOOKUP(D763,Clientes!$A$2:$K$486,11,FALSE)</f>
        <v>Persona Natural</v>
      </c>
      <c r="AC763" s="13" t="str">
        <f>VLOOKUP(D763,Clientes!$A$2:$B$486,2,FALSE)</f>
        <v>Curso Amalia</v>
      </c>
      <c r="AD763" s="20"/>
      <c r="AE763" s="20"/>
      <c r="AF763" s="13" t="s">
        <v>40</v>
      </c>
      <c r="AG763" s="15">
        <f t="shared" si="6"/>
        <v>45474</v>
      </c>
      <c r="AH763" s="13" t="s">
        <v>41</v>
      </c>
      <c r="AI763" s="13" t="str">
        <f t="shared" si="7"/>
        <v>Huevos</v>
      </c>
      <c r="AJ763" s="13" t="str">
        <f>VLOOKUP(E763,Precios!Z$2:AA$941,2,FALSE)</f>
        <v>Bandeja Huevos EXTRA</v>
      </c>
      <c r="AK763" s="14">
        <f>VLOOKUP(E763,Precios!Z$2:BB$941,3,FALSE)*F763</f>
        <v>-1</v>
      </c>
      <c r="AL763" s="17"/>
      <c r="AM763" s="17"/>
      <c r="AN763" s="17"/>
      <c r="AO763" s="17"/>
      <c r="AP763" s="17"/>
      <c r="AQ763" s="17"/>
      <c r="AR763" s="17"/>
      <c r="AS763" s="17"/>
      <c r="AT763" s="17"/>
      <c r="AU763" s="17"/>
      <c r="AV763" s="17"/>
    </row>
    <row r="764" spans="1:48" ht="15.75" customHeight="1">
      <c r="A764" s="21" t="s">
        <v>53</v>
      </c>
      <c r="B764" s="23" t="s">
        <v>1692</v>
      </c>
      <c r="C764" s="22">
        <v>45869</v>
      </c>
      <c r="D764" s="23" t="s">
        <v>353</v>
      </c>
      <c r="E764" s="23" t="s">
        <v>55</v>
      </c>
      <c r="F764" s="21">
        <v>1</v>
      </c>
      <c r="G764" s="12">
        <f>VLOOKUP(E764,Precios!B$2:N$941,12,FALSE)</f>
        <v>20899.91124296327</v>
      </c>
      <c r="H764" s="12">
        <f t="shared" si="0"/>
        <v>20899.91124296327</v>
      </c>
      <c r="I764" s="23" t="s">
        <v>52</v>
      </c>
      <c r="J764" s="23" t="s">
        <v>61</v>
      </c>
      <c r="K764" s="24" t="s">
        <v>177</v>
      </c>
      <c r="L764" s="24">
        <v>165</v>
      </c>
      <c r="M764" s="12">
        <f t="shared" ref="M764:N764" si="769">G764/1.19</f>
        <v>17562.950624338882</v>
      </c>
      <c r="N764" s="12">
        <f t="shared" si="769"/>
        <v>17562.950624338882</v>
      </c>
      <c r="O764" s="12">
        <f t="shared" si="2"/>
        <v>3336.9606186243873</v>
      </c>
      <c r="P764" s="13"/>
      <c r="Q764" s="14">
        <f t="shared" si="3"/>
        <v>2025</v>
      </c>
      <c r="R764" s="15">
        <f>VLOOKUP(MONTH(C764),'Datos Maestros'!M$2:N$14,2,FALSE)</f>
        <v>45474</v>
      </c>
      <c r="S764" s="11" t="str">
        <f>VLOOKUP(E764,Precios!B$2:W$941,3,FALSE)</f>
        <v>Papel Higiénico ELITE</v>
      </c>
      <c r="T764" s="16">
        <f>VLOOKUP(E764,Precios!B$2:N$941,4,FALSE)*F764</f>
        <v>0</v>
      </c>
      <c r="U764" s="17"/>
      <c r="V764" s="12">
        <f>VLOOKUP(E764,Precios!B$2:N$941,13,FALSE)*F764</f>
        <v>3117.9506243388823</v>
      </c>
      <c r="W764" s="12">
        <f t="shared" si="4"/>
        <v>3117.9506243388823</v>
      </c>
      <c r="X764" s="12">
        <f>VLOOKUP(B764,'Datos Maestros'!$C$2:$D$7,2,FALSE)*V764</f>
        <v>0</v>
      </c>
      <c r="Y764" s="18">
        <f t="shared" si="5"/>
        <v>45866</v>
      </c>
      <c r="Z764" s="13" t="s">
        <v>39</v>
      </c>
      <c r="AA764" s="19" t="str">
        <f>VLOOKUP(D764,Clientes!$A$2:$J$486,9,FALSE)</f>
        <v>Ocacional</v>
      </c>
      <c r="AB764" s="13" t="str">
        <f>VLOOKUP(D764,Clientes!$A$2:$K$486,11,FALSE)</f>
        <v>Persona Natural</v>
      </c>
      <c r="AC764" s="13" t="str">
        <f>VLOOKUP(D764,Clientes!$A$2:$B$486,2,FALSE)</f>
        <v>Jardin del eden</v>
      </c>
      <c r="AD764" s="20"/>
      <c r="AE764" s="20"/>
      <c r="AF764" s="13" t="s">
        <v>40</v>
      </c>
      <c r="AG764" s="15">
        <f t="shared" si="6"/>
        <v>45474</v>
      </c>
      <c r="AH764" s="13" t="s">
        <v>41</v>
      </c>
      <c r="AI764" s="13" t="str">
        <f t="shared" si="7"/>
        <v>Papeleria</v>
      </c>
      <c r="AJ764" s="13" t="str">
        <f>VLOOKUP(E764,Precios!Z$2:AA$941,2,FALSE)</f>
        <v>Papel Higienico ELITE 50 metros</v>
      </c>
      <c r="AK764" s="14">
        <f>VLOOKUP(E764,Precios!Z$2:BB$941,3,FALSE)*F764</f>
        <v>-8</v>
      </c>
      <c r="AL764" s="17"/>
      <c r="AM764" s="17"/>
      <c r="AN764" s="17"/>
      <c r="AO764" s="17"/>
      <c r="AP764" s="17"/>
      <c r="AQ764" s="17"/>
      <c r="AR764" s="17"/>
      <c r="AS764" s="17"/>
      <c r="AT764" s="17"/>
      <c r="AU764" s="17"/>
      <c r="AV764" s="17"/>
    </row>
    <row r="765" spans="1:48" ht="15.75" customHeight="1">
      <c r="A765" s="21" t="s">
        <v>43</v>
      </c>
      <c r="B765" s="23" t="s">
        <v>1692</v>
      </c>
      <c r="C765" s="22">
        <v>45869</v>
      </c>
      <c r="D765" s="23" t="s">
        <v>83</v>
      </c>
      <c r="E765" s="23" t="s">
        <v>45</v>
      </c>
      <c r="F765" s="21">
        <v>2</v>
      </c>
      <c r="G765" s="12">
        <f>VLOOKUP(E765,Precios!B$2:N$941,12,FALSE)</f>
        <v>8000.1831784723063</v>
      </c>
      <c r="H765" s="12">
        <f t="shared" si="0"/>
        <v>16000.366356944613</v>
      </c>
      <c r="I765" s="23" t="s">
        <v>52</v>
      </c>
      <c r="J765" s="23" t="s">
        <v>61</v>
      </c>
      <c r="K765" s="24" t="s">
        <v>177</v>
      </c>
      <c r="L765" s="24">
        <v>165</v>
      </c>
      <c r="M765" s="12">
        <f t="shared" ref="M765:N765" si="770">G765/1.19</f>
        <v>6722.8430071195853</v>
      </c>
      <c r="N765" s="12">
        <f t="shared" si="770"/>
        <v>13445.686014239171</v>
      </c>
      <c r="O765" s="12">
        <f t="shared" si="2"/>
        <v>2554.6803427054419</v>
      </c>
      <c r="P765" s="13"/>
      <c r="Q765" s="14">
        <f t="shared" si="3"/>
        <v>2025</v>
      </c>
      <c r="R765" s="15">
        <f>VLOOKUP(MONTH(C765),'Datos Maestros'!M$2:N$14,2,FALSE)</f>
        <v>45474</v>
      </c>
      <c r="S765" s="11" t="str">
        <f>VLOOKUP(E765,Precios!B$2:W$941,3,FALSE)</f>
        <v>Huevos EXTRA</v>
      </c>
      <c r="T765" s="16">
        <f>VLOOKUP(E765,Precios!B$2:N$941,4,FALSE)*F765</f>
        <v>0</v>
      </c>
      <c r="U765" s="17"/>
      <c r="V765" s="12">
        <f>VLOOKUP(E765,Precios!B$2:N$941,13,FALSE)*F765</f>
        <v>2303.2460142391701</v>
      </c>
      <c r="W765" s="12">
        <f t="shared" si="4"/>
        <v>2303.2460142391701</v>
      </c>
      <c r="X765" s="12">
        <f>VLOOKUP(B765,'Datos Maestros'!$C$2:$D$7,2,FALSE)*V765</f>
        <v>0</v>
      </c>
      <c r="Y765" s="18">
        <f t="shared" si="5"/>
        <v>45866</v>
      </c>
      <c r="Z765" s="13" t="s">
        <v>39</v>
      </c>
      <c r="AA765" s="19" t="str">
        <f>VLOOKUP(D765,Clientes!$A$2:$J$486,9,FALSE)</f>
        <v>Ocacional</v>
      </c>
      <c r="AB765" s="13" t="str">
        <f>VLOOKUP(D765,Clientes!$A$2:$K$486,11,FALSE)</f>
        <v>Persona Natural</v>
      </c>
      <c r="AC765" s="13" t="str">
        <f>VLOOKUP(D765,Clientes!$A$2:$B$486,2,FALSE)</f>
        <v>Vicuña Mackena</v>
      </c>
      <c r="AD765" s="20"/>
      <c r="AE765" s="20"/>
      <c r="AF765" s="13" t="s">
        <v>40</v>
      </c>
      <c r="AG765" s="15">
        <f t="shared" si="6"/>
        <v>45474</v>
      </c>
      <c r="AH765" s="13" t="s">
        <v>41</v>
      </c>
      <c r="AI765" s="13" t="str">
        <f t="shared" si="7"/>
        <v>Huevos</v>
      </c>
      <c r="AJ765" s="13" t="str">
        <f>VLOOKUP(E765,Precios!Z$2:AA$941,2,FALSE)</f>
        <v>Bandeja Huevos EXTRA</v>
      </c>
      <c r="AK765" s="14">
        <f>VLOOKUP(E765,Precios!Z$2:BB$941,3,FALSE)*F765</f>
        <v>-2</v>
      </c>
      <c r="AL765" s="17"/>
      <c r="AM765" s="17"/>
      <c r="AN765" s="17"/>
      <c r="AO765" s="17"/>
      <c r="AP765" s="17"/>
      <c r="AQ765" s="17"/>
      <c r="AR765" s="17"/>
      <c r="AS765" s="17"/>
      <c r="AT765" s="17"/>
      <c r="AU765" s="17"/>
      <c r="AV765" s="17"/>
    </row>
    <row r="766" spans="1:48" ht="15.75" customHeight="1">
      <c r="A766" s="21" t="s">
        <v>43</v>
      </c>
      <c r="B766" s="23" t="s">
        <v>1692</v>
      </c>
      <c r="C766" s="22">
        <v>45869</v>
      </c>
      <c r="D766" s="23" t="s">
        <v>268</v>
      </c>
      <c r="E766" s="23" t="s">
        <v>45</v>
      </c>
      <c r="F766" s="21">
        <v>1</v>
      </c>
      <c r="G766" s="12">
        <f>VLOOKUP(E766,Precios!B$2:N$941,12,FALSE)</f>
        <v>8000.1831784723063</v>
      </c>
      <c r="H766" s="12">
        <f t="shared" si="0"/>
        <v>8000.1831784723063</v>
      </c>
      <c r="I766" s="23" t="s">
        <v>52</v>
      </c>
      <c r="J766" s="23" t="s">
        <v>61</v>
      </c>
      <c r="K766" s="24" t="s">
        <v>177</v>
      </c>
      <c r="L766" s="24">
        <v>165</v>
      </c>
      <c r="M766" s="12">
        <f t="shared" ref="M766:N766" si="771">G766/1.19</f>
        <v>6722.8430071195853</v>
      </c>
      <c r="N766" s="12">
        <f t="shared" si="771"/>
        <v>6722.8430071195853</v>
      </c>
      <c r="O766" s="12">
        <f t="shared" si="2"/>
        <v>1277.340171352721</v>
      </c>
      <c r="P766" s="13"/>
      <c r="Q766" s="14">
        <f t="shared" si="3"/>
        <v>2025</v>
      </c>
      <c r="R766" s="15">
        <f>VLOOKUP(MONTH(C766),'Datos Maestros'!M$2:N$14,2,FALSE)</f>
        <v>45474</v>
      </c>
      <c r="S766" s="11" t="str">
        <f>VLOOKUP(E766,Precios!B$2:W$941,3,FALSE)</f>
        <v>Huevos EXTRA</v>
      </c>
      <c r="T766" s="16">
        <f>VLOOKUP(E766,Precios!B$2:N$941,4,FALSE)*F766</f>
        <v>0</v>
      </c>
      <c r="U766" s="17"/>
      <c r="V766" s="12">
        <f>VLOOKUP(E766,Precios!B$2:N$941,13,FALSE)*F766</f>
        <v>1151.6230071195851</v>
      </c>
      <c r="W766" s="12">
        <f t="shared" si="4"/>
        <v>1151.6230071195851</v>
      </c>
      <c r="X766" s="12">
        <f>VLOOKUP(B766,'Datos Maestros'!$C$2:$D$7,2,FALSE)*V766</f>
        <v>0</v>
      </c>
      <c r="Y766" s="18">
        <f t="shared" si="5"/>
        <v>45866</v>
      </c>
      <c r="Z766" s="13" t="s">
        <v>39</v>
      </c>
      <c r="AA766" s="19" t="str">
        <f>VLOOKUP(D766,Clientes!$A$2:$J$486,9,FALSE)</f>
        <v>Ocacional</v>
      </c>
      <c r="AB766" s="13" t="str">
        <f>VLOOKUP(D766,Clientes!$A$2:$K$486,11,FALSE)</f>
        <v>Persona Natural</v>
      </c>
      <c r="AC766" s="13" t="str">
        <f>VLOOKUP(D766,Clientes!$A$2:$B$486,2,FALSE)</f>
        <v>Las Cumbres</v>
      </c>
      <c r="AD766" s="20"/>
      <c r="AE766" s="20"/>
      <c r="AF766" s="13" t="s">
        <v>40</v>
      </c>
      <c r="AG766" s="15">
        <f t="shared" si="6"/>
        <v>45474</v>
      </c>
      <c r="AH766" s="13" t="s">
        <v>41</v>
      </c>
      <c r="AI766" s="13" t="str">
        <f t="shared" si="7"/>
        <v>Huevos</v>
      </c>
      <c r="AJ766" s="13" t="str">
        <f>VLOOKUP(E766,Precios!Z$2:AA$941,2,FALSE)</f>
        <v>Bandeja Huevos EXTRA</v>
      </c>
      <c r="AK766" s="14">
        <f>VLOOKUP(E766,Precios!Z$2:BB$941,3,FALSE)*F766</f>
        <v>-1</v>
      </c>
      <c r="AL766" s="17"/>
      <c r="AM766" s="17"/>
      <c r="AN766" s="17"/>
      <c r="AO766" s="17"/>
      <c r="AP766" s="17"/>
      <c r="AQ766" s="17"/>
      <c r="AR766" s="17"/>
      <c r="AS766" s="17"/>
      <c r="AT766" s="17"/>
      <c r="AU766" s="17"/>
      <c r="AV766" s="17"/>
    </row>
    <row r="767" spans="1:48" ht="15.75" customHeight="1">
      <c r="A767" s="21" t="s">
        <v>43</v>
      </c>
      <c r="B767" s="23" t="s">
        <v>1692</v>
      </c>
      <c r="C767" s="22">
        <v>45869</v>
      </c>
      <c r="D767" s="23" t="s">
        <v>276</v>
      </c>
      <c r="E767" s="23" t="s">
        <v>45</v>
      </c>
      <c r="F767" s="21">
        <v>2</v>
      </c>
      <c r="G767" s="12">
        <f>VLOOKUP(E767,Precios!B$2:N$941,12,FALSE)</f>
        <v>8000.1831784723063</v>
      </c>
      <c r="H767" s="12">
        <f t="shared" si="0"/>
        <v>16000.366356944613</v>
      </c>
      <c r="I767" s="23" t="s">
        <v>52</v>
      </c>
      <c r="J767" s="23" t="s">
        <v>61</v>
      </c>
      <c r="K767" s="24" t="s">
        <v>177</v>
      </c>
      <c r="L767" s="24">
        <v>165</v>
      </c>
      <c r="M767" s="12">
        <f t="shared" ref="M767:N767" si="772">G767/1.19</f>
        <v>6722.8430071195853</v>
      </c>
      <c r="N767" s="12">
        <f t="shared" si="772"/>
        <v>13445.686014239171</v>
      </c>
      <c r="O767" s="12">
        <f t="shared" si="2"/>
        <v>2554.6803427054419</v>
      </c>
      <c r="P767" s="13"/>
      <c r="Q767" s="14">
        <f t="shared" si="3"/>
        <v>2025</v>
      </c>
      <c r="R767" s="15">
        <f>VLOOKUP(MONTH(C767),'Datos Maestros'!M$2:N$14,2,FALSE)</f>
        <v>45474</v>
      </c>
      <c r="S767" s="11" t="str">
        <f>VLOOKUP(E767,Precios!B$2:W$941,3,FALSE)</f>
        <v>Huevos EXTRA</v>
      </c>
      <c r="T767" s="16">
        <f>VLOOKUP(E767,Precios!B$2:N$941,4,FALSE)*F767</f>
        <v>0</v>
      </c>
      <c r="U767" s="17"/>
      <c r="V767" s="12">
        <f>VLOOKUP(E767,Precios!B$2:N$941,13,FALSE)*F767</f>
        <v>2303.2460142391701</v>
      </c>
      <c r="W767" s="12">
        <f t="shared" si="4"/>
        <v>2303.2460142391701</v>
      </c>
      <c r="X767" s="12">
        <f>VLOOKUP(B767,'Datos Maestros'!$C$2:$D$7,2,FALSE)*V767</f>
        <v>0</v>
      </c>
      <c r="Y767" s="18">
        <f t="shared" si="5"/>
        <v>45866</v>
      </c>
      <c r="Z767" s="13" t="s">
        <v>39</v>
      </c>
      <c r="AA767" s="19" t="str">
        <f>VLOOKUP(D767,Clientes!$A$2:$J$486,9,FALSE)</f>
        <v>Ocacional</v>
      </c>
      <c r="AB767" s="13" t="str">
        <f>VLOOKUP(D767,Clientes!$A$2:$K$486,11,FALSE)</f>
        <v>Persona Natural</v>
      </c>
      <c r="AC767" s="13" t="str">
        <f>VLOOKUP(D767,Clientes!$A$2:$B$486,2,FALSE)</f>
        <v>Jardin del eden</v>
      </c>
      <c r="AD767" s="20"/>
      <c r="AE767" s="20"/>
      <c r="AF767" s="13" t="s">
        <v>40</v>
      </c>
      <c r="AG767" s="15">
        <f t="shared" si="6"/>
        <v>45474</v>
      </c>
      <c r="AH767" s="13" t="s">
        <v>41</v>
      </c>
      <c r="AI767" s="13" t="str">
        <f t="shared" si="7"/>
        <v>Huevos</v>
      </c>
      <c r="AJ767" s="13" t="str">
        <f>VLOOKUP(E767,Precios!Z$2:AA$941,2,FALSE)</f>
        <v>Bandeja Huevos EXTRA</v>
      </c>
      <c r="AK767" s="14">
        <f>VLOOKUP(E767,Precios!Z$2:BB$941,3,FALSE)*F767</f>
        <v>-2</v>
      </c>
      <c r="AL767" s="17"/>
      <c r="AM767" s="17"/>
      <c r="AN767" s="17"/>
      <c r="AO767" s="17"/>
      <c r="AP767" s="17"/>
      <c r="AQ767" s="17"/>
      <c r="AR767" s="17"/>
      <c r="AS767" s="17"/>
      <c r="AT767" s="17"/>
      <c r="AU767" s="17"/>
      <c r="AV767" s="17"/>
    </row>
    <row r="768" spans="1:48" ht="15.75" customHeight="1">
      <c r="A768" s="21" t="s">
        <v>43</v>
      </c>
      <c r="B768" s="23" t="s">
        <v>1692</v>
      </c>
      <c r="C768" s="22">
        <v>45869</v>
      </c>
      <c r="D768" s="23" t="s">
        <v>191</v>
      </c>
      <c r="E768" s="23" t="s">
        <v>45</v>
      </c>
      <c r="F768" s="21">
        <v>1</v>
      </c>
      <c r="G768" s="12">
        <f>VLOOKUP(E768,Precios!B$2:N$941,12,FALSE)</f>
        <v>8000.1831784723063</v>
      </c>
      <c r="H768" s="12">
        <f t="shared" si="0"/>
        <v>8000.1831784723063</v>
      </c>
      <c r="I768" s="23" t="s">
        <v>52</v>
      </c>
      <c r="J768" s="23" t="s">
        <v>61</v>
      </c>
      <c r="K768" s="24" t="s">
        <v>177</v>
      </c>
      <c r="L768" s="24">
        <v>165</v>
      </c>
      <c r="M768" s="12">
        <f t="shared" ref="M768:N768" si="773">G768/1.19</f>
        <v>6722.8430071195853</v>
      </c>
      <c r="N768" s="12">
        <f t="shared" si="773"/>
        <v>6722.8430071195853</v>
      </c>
      <c r="O768" s="12">
        <f t="shared" si="2"/>
        <v>1277.340171352721</v>
      </c>
      <c r="P768" s="13"/>
      <c r="Q768" s="14">
        <f t="shared" si="3"/>
        <v>2025</v>
      </c>
      <c r="R768" s="15">
        <f>VLOOKUP(MONTH(C768),'Datos Maestros'!M$2:N$14,2,FALSE)</f>
        <v>45474</v>
      </c>
      <c r="S768" s="11" t="str">
        <f>VLOOKUP(E768,Precios!B$2:W$941,3,FALSE)</f>
        <v>Huevos EXTRA</v>
      </c>
      <c r="T768" s="16">
        <f>VLOOKUP(E768,Precios!B$2:N$941,4,FALSE)*F768</f>
        <v>0</v>
      </c>
      <c r="U768" s="17"/>
      <c r="V768" s="12">
        <f>VLOOKUP(E768,Precios!B$2:N$941,13,FALSE)*F768</f>
        <v>1151.6230071195851</v>
      </c>
      <c r="W768" s="12">
        <f t="shared" si="4"/>
        <v>1151.6230071195851</v>
      </c>
      <c r="X768" s="12">
        <f>VLOOKUP(B768,'Datos Maestros'!$C$2:$D$7,2,FALSE)*V768</f>
        <v>0</v>
      </c>
      <c r="Y768" s="18">
        <f t="shared" si="5"/>
        <v>45866</v>
      </c>
      <c r="Z768" s="13" t="s">
        <v>39</v>
      </c>
      <c r="AA768" s="19" t="str">
        <f>VLOOKUP(D768,Clientes!$A$2:$J$486,9,FALSE)</f>
        <v>Ocacional</v>
      </c>
      <c r="AB768" s="13" t="str">
        <f>VLOOKUP(D768,Clientes!$A$2:$K$486,11,FALSE)</f>
        <v>Persona Natural</v>
      </c>
      <c r="AC768" s="13" t="str">
        <f>VLOOKUP(D768,Clientes!$A$2:$B$486,2,FALSE)</f>
        <v>Jardin del Eden</v>
      </c>
      <c r="AD768" s="20"/>
      <c r="AE768" s="20"/>
      <c r="AF768" s="13" t="s">
        <v>40</v>
      </c>
      <c r="AG768" s="15">
        <f t="shared" si="6"/>
        <v>45474</v>
      </c>
      <c r="AH768" s="13" t="s">
        <v>41</v>
      </c>
      <c r="AI768" s="13" t="str">
        <f t="shared" si="7"/>
        <v>Huevos</v>
      </c>
      <c r="AJ768" s="13" t="str">
        <f>VLOOKUP(E768,Precios!Z$2:AA$941,2,FALSE)</f>
        <v>Bandeja Huevos EXTRA</v>
      </c>
      <c r="AK768" s="14">
        <f>VLOOKUP(E768,Precios!Z$2:BB$941,3,FALSE)*F768</f>
        <v>-1</v>
      </c>
      <c r="AL768" s="17"/>
      <c r="AM768" s="17"/>
      <c r="AN768" s="17"/>
      <c r="AO768" s="17"/>
      <c r="AP768" s="17"/>
      <c r="AQ768" s="17"/>
      <c r="AR768" s="17"/>
      <c r="AS768" s="17"/>
      <c r="AT768" s="17"/>
      <c r="AU768" s="17"/>
      <c r="AV768" s="17"/>
    </row>
    <row r="769" spans="1:48" ht="15.75" customHeight="1">
      <c r="A769" s="21" t="s">
        <v>76</v>
      </c>
      <c r="B769" s="23" t="s">
        <v>1692</v>
      </c>
      <c r="C769" s="22">
        <v>45868</v>
      </c>
      <c r="D769" s="23" t="s">
        <v>214</v>
      </c>
      <c r="E769" s="23" t="s">
        <v>201</v>
      </c>
      <c r="F769" s="21">
        <v>2</v>
      </c>
      <c r="G769" s="12">
        <f>VLOOKUP(E769,Precios!B$2:N$941,12,FALSE)</f>
        <v>1499.8684349015896</v>
      </c>
      <c r="H769" s="12">
        <f t="shared" si="0"/>
        <v>2999.7368698031792</v>
      </c>
      <c r="I769" s="23" t="s">
        <v>52</v>
      </c>
      <c r="J769" s="23" t="s">
        <v>61</v>
      </c>
      <c r="K769" s="24" t="s">
        <v>86</v>
      </c>
      <c r="L769" s="24">
        <v>98</v>
      </c>
      <c r="M769" s="12">
        <f t="shared" ref="M769:N769" si="774">G769/1.19</f>
        <v>1260.393642774445</v>
      </c>
      <c r="N769" s="12">
        <f t="shared" si="774"/>
        <v>2520.7872855488899</v>
      </c>
      <c r="O769" s="12">
        <f t="shared" si="2"/>
        <v>478.94958425428922</v>
      </c>
      <c r="P769" s="13"/>
      <c r="Q769" s="14">
        <f t="shared" si="3"/>
        <v>2025</v>
      </c>
      <c r="R769" s="15">
        <f>VLOOKUP(MONTH(C769),'Datos Maestros'!M$2:N$14,2,FALSE)</f>
        <v>45474</v>
      </c>
      <c r="S769" s="11" t="str">
        <f>VLOOKUP(E769,Precios!B$2:W$941,3,FALSE)</f>
        <v>Lavaloza</v>
      </c>
      <c r="T769" s="16">
        <f>VLOOKUP(E769,Precios!B$2:N$941,4,FALSE)*F769</f>
        <v>0</v>
      </c>
      <c r="U769" s="17"/>
      <c r="V769" s="12">
        <f>VLOOKUP(E769,Precios!B$2:N$941,13,FALSE)*F769</f>
        <v>924.1206188822232</v>
      </c>
      <c r="W769" s="12">
        <f t="shared" si="4"/>
        <v>924.1206188822232</v>
      </c>
      <c r="X769" s="12">
        <f>VLOOKUP(B769,'Datos Maestros'!$C$2:$D$7,2,FALSE)*V769</f>
        <v>0</v>
      </c>
      <c r="Y769" s="18">
        <f t="shared" si="5"/>
        <v>45866</v>
      </c>
      <c r="Z769" s="13" t="s">
        <v>39</v>
      </c>
      <c r="AA769" s="19" t="str">
        <f>VLOOKUP(D769,Clientes!$A$2:$J$486,9,FALSE)</f>
        <v>Ocacional</v>
      </c>
      <c r="AB769" s="13" t="str">
        <f>VLOOKUP(D769,Clientes!$A$2:$K$486,11,FALSE)</f>
        <v>Empresa</v>
      </c>
      <c r="AC769" s="13" t="str">
        <f>VLOOKUP(D769,Clientes!$A$2:$B$486,2,FALSE)</f>
        <v>Pudahuel</v>
      </c>
      <c r="AD769" s="20"/>
      <c r="AE769" s="20"/>
      <c r="AF769" s="13" t="s">
        <v>40</v>
      </c>
      <c r="AG769" s="15">
        <f t="shared" si="6"/>
        <v>45474</v>
      </c>
      <c r="AH769" s="13" t="s">
        <v>41</v>
      </c>
      <c r="AI769" s="13" t="str">
        <f t="shared" si="7"/>
        <v>Detergentes</v>
      </c>
      <c r="AJ769" s="13" t="str">
        <f>VLOOKUP(E769,Precios!Z$2:AA$941,2,FALSE)</f>
        <v>Lavaloza WYN 750 ml</v>
      </c>
      <c r="AK769" s="14">
        <f>VLOOKUP(E769,Precios!Z$2:BB$941,3,FALSE)*F769</f>
        <v>-2</v>
      </c>
      <c r="AL769" s="17"/>
      <c r="AM769" s="17"/>
      <c r="AN769" s="17"/>
      <c r="AO769" s="17"/>
      <c r="AP769" s="17"/>
      <c r="AQ769" s="17"/>
      <c r="AR769" s="17"/>
      <c r="AS769" s="17"/>
      <c r="AT769" s="17"/>
      <c r="AU769" s="17"/>
      <c r="AV769" s="17"/>
    </row>
    <row r="770" spans="1:48" ht="15.75" customHeight="1">
      <c r="A770" s="21" t="s">
        <v>76</v>
      </c>
      <c r="B770" s="23" t="s">
        <v>1692</v>
      </c>
      <c r="C770" s="22">
        <v>45868</v>
      </c>
      <c r="D770" s="23" t="s">
        <v>214</v>
      </c>
      <c r="E770" s="23" t="s">
        <v>154</v>
      </c>
      <c r="F770" s="21">
        <v>2</v>
      </c>
      <c r="G770" s="12">
        <f>VLOOKUP(E770,Precios!B$2:N$941,12,FALSE)</f>
        <v>4000.0936329588012</v>
      </c>
      <c r="H770" s="12">
        <f t="shared" si="0"/>
        <v>8000.1872659176024</v>
      </c>
      <c r="I770" s="23" t="s">
        <v>52</v>
      </c>
      <c r="J770" s="23" t="s">
        <v>61</v>
      </c>
      <c r="K770" s="24" t="s">
        <v>86</v>
      </c>
      <c r="L770" s="24">
        <v>98</v>
      </c>
      <c r="M770" s="12">
        <f t="shared" ref="M770:N770" si="775">G770/1.19</f>
        <v>3361.4232209737825</v>
      </c>
      <c r="N770" s="12">
        <f t="shared" si="775"/>
        <v>6722.8464419475649</v>
      </c>
      <c r="O770" s="12">
        <f t="shared" si="2"/>
        <v>1277.3408239700375</v>
      </c>
      <c r="P770" s="13"/>
      <c r="Q770" s="14">
        <f t="shared" si="3"/>
        <v>2025</v>
      </c>
      <c r="R770" s="15">
        <f>VLOOKUP(MONTH(C770),'Datos Maestros'!M$2:N$14,2,FALSE)</f>
        <v>45474</v>
      </c>
      <c r="S770" s="11" t="str">
        <f>VLOOKUP(E770,Precios!B$2:W$941,3,FALSE)</f>
        <v>Desinfectantes</v>
      </c>
      <c r="T770" s="16">
        <f>VLOOKUP(E770,Precios!B$2:N$941,4,FALSE)*F770</f>
        <v>0</v>
      </c>
      <c r="U770" s="17"/>
      <c r="V770" s="12">
        <f>VLOOKUP(E770,Precios!B$2:N$941,13,FALSE)*F770</f>
        <v>1696.8464419475649</v>
      </c>
      <c r="W770" s="12">
        <f t="shared" si="4"/>
        <v>1696.8464419475649</v>
      </c>
      <c r="X770" s="12">
        <f>VLOOKUP(B770,'Datos Maestros'!$C$2:$D$7,2,FALSE)*V770</f>
        <v>0</v>
      </c>
      <c r="Y770" s="18">
        <f t="shared" si="5"/>
        <v>45866</v>
      </c>
      <c r="Z770" s="13" t="s">
        <v>39</v>
      </c>
      <c r="AA770" s="19" t="str">
        <f>VLOOKUP(D770,Clientes!$A$2:$J$486,9,FALSE)</f>
        <v>Ocacional</v>
      </c>
      <c r="AB770" s="13" t="str">
        <f>VLOOKUP(D770,Clientes!$A$2:$K$486,11,FALSE)</f>
        <v>Empresa</v>
      </c>
      <c r="AC770" s="13" t="str">
        <f>VLOOKUP(D770,Clientes!$A$2:$B$486,2,FALSE)</f>
        <v>Pudahuel</v>
      </c>
      <c r="AD770" s="20"/>
      <c r="AE770" s="20"/>
      <c r="AF770" s="13" t="s">
        <v>40</v>
      </c>
      <c r="AG770" s="15">
        <f t="shared" si="6"/>
        <v>45474</v>
      </c>
      <c r="AH770" s="13" t="s">
        <v>41</v>
      </c>
      <c r="AI770" s="13" t="str">
        <f t="shared" si="7"/>
        <v>Detergentes</v>
      </c>
      <c r="AJ770" s="13" t="str">
        <f>VLOOKUP(E770,Precios!Z$2:AA$941,2,FALSE)</f>
        <v>Lysoform 360 cc</v>
      </c>
      <c r="AK770" s="14">
        <f>VLOOKUP(E770,Precios!Z$2:BB$941,3,FALSE)*F770</f>
        <v>-2</v>
      </c>
      <c r="AL770" s="17"/>
      <c r="AM770" s="17"/>
      <c r="AN770" s="17"/>
      <c r="AO770" s="17"/>
      <c r="AP770" s="17"/>
      <c r="AQ770" s="17"/>
      <c r="AR770" s="17"/>
      <c r="AS770" s="17"/>
      <c r="AT770" s="17"/>
      <c r="AU770" s="17"/>
      <c r="AV770" s="17"/>
    </row>
    <row r="771" spans="1:48" ht="15.75" customHeight="1">
      <c r="A771" s="21" t="s">
        <v>73</v>
      </c>
      <c r="B771" s="23" t="s">
        <v>1692</v>
      </c>
      <c r="C771" s="22">
        <v>45868</v>
      </c>
      <c r="D771" s="23" t="s">
        <v>247</v>
      </c>
      <c r="E771" s="23" t="s">
        <v>161</v>
      </c>
      <c r="F771" s="21">
        <v>1</v>
      </c>
      <c r="G771" s="12">
        <f>VLOOKUP(E771,Precios!B$2:N$941,12,FALSE)</f>
        <v>4199.9020019599611</v>
      </c>
      <c r="H771" s="12">
        <f t="shared" si="0"/>
        <v>4199.9020019599611</v>
      </c>
      <c r="I771" s="23" t="s">
        <v>52</v>
      </c>
      <c r="J771" s="23" t="s">
        <v>61</v>
      </c>
      <c r="K771" s="24" t="s">
        <v>177</v>
      </c>
      <c r="L771" s="24">
        <v>164</v>
      </c>
      <c r="M771" s="12">
        <f t="shared" ref="M771:N771" si="776">G771/1.19</f>
        <v>3529.3294134117323</v>
      </c>
      <c r="N771" s="12">
        <f t="shared" si="776"/>
        <v>3529.3294134117323</v>
      </c>
      <c r="O771" s="12">
        <f t="shared" si="2"/>
        <v>670.57258854822885</v>
      </c>
      <c r="P771" s="13"/>
      <c r="Q771" s="14">
        <f t="shared" si="3"/>
        <v>2025</v>
      </c>
      <c r="R771" s="15">
        <f>VLOOKUP(MONTH(C771),'Datos Maestros'!M$2:N$14,2,FALSE)</f>
        <v>45474</v>
      </c>
      <c r="S771" s="11" t="str">
        <f>VLOOKUP(E771,Precios!B$2:W$941,3,FALSE)</f>
        <v>Guantes NITRILO</v>
      </c>
      <c r="T771" s="16">
        <f>VLOOKUP(E771,Precios!B$2:N$941,4,FALSE)*F771</f>
        <v>0</v>
      </c>
      <c r="U771" s="17"/>
      <c r="V771" s="12">
        <f>VLOOKUP(E771,Precios!B$2:N$941,13,FALSE)*F771</f>
        <v>1008.3294134117323</v>
      </c>
      <c r="W771" s="12">
        <f t="shared" si="4"/>
        <v>1008.3294134117323</v>
      </c>
      <c r="X771" s="12">
        <f>VLOOKUP(B771,'Datos Maestros'!$C$2:$D$7,2,FALSE)*V771</f>
        <v>0</v>
      </c>
      <c r="Y771" s="18">
        <f t="shared" si="5"/>
        <v>45866</v>
      </c>
      <c r="Z771" s="13" t="s">
        <v>39</v>
      </c>
      <c r="AA771" s="19" t="str">
        <f>VLOOKUP(D771,Clientes!$A$2:$J$486,9,FALSE)</f>
        <v>Frecuente</v>
      </c>
      <c r="AB771" s="13" t="str">
        <f>VLOOKUP(D771,Clientes!$A$2:$K$486,11,FALSE)</f>
        <v>Persona Natural</v>
      </c>
      <c r="AC771" s="13" t="str">
        <f>VLOOKUP(D771,Clientes!$A$2:$B$486,2,FALSE)</f>
        <v>Jardin del eden</v>
      </c>
      <c r="AD771" s="20"/>
      <c r="AE771" s="20"/>
      <c r="AF771" s="13" t="s">
        <v>40</v>
      </c>
      <c r="AG771" s="15">
        <f t="shared" si="6"/>
        <v>45474</v>
      </c>
      <c r="AH771" s="13" t="s">
        <v>41</v>
      </c>
      <c r="AI771" s="13" t="str">
        <f t="shared" si="7"/>
        <v>Articulos de Sanidad</v>
      </c>
      <c r="AJ771" s="13" t="str">
        <f>VLOOKUP(E771,Precios!Z$2:AA$941,2,FALSE)</f>
        <v>Guante NITRILO Talla L</v>
      </c>
      <c r="AK771" s="14">
        <f>VLOOKUP(E771,Precios!Z$2:BB$941,3,FALSE)*F771</f>
        <v>-1</v>
      </c>
      <c r="AL771" s="17"/>
      <c r="AM771" s="17"/>
      <c r="AN771" s="17"/>
      <c r="AO771" s="17"/>
      <c r="AP771" s="17"/>
      <c r="AQ771" s="17"/>
      <c r="AR771" s="17"/>
      <c r="AS771" s="17"/>
      <c r="AT771" s="17"/>
      <c r="AU771" s="17"/>
      <c r="AV771" s="17"/>
    </row>
    <row r="772" spans="1:48" ht="15.75" customHeight="1">
      <c r="A772" s="21" t="s">
        <v>73</v>
      </c>
      <c r="B772" s="23" t="s">
        <v>1692</v>
      </c>
      <c r="C772" s="22">
        <v>45868</v>
      </c>
      <c r="D772" s="23" t="s">
        <v>247</v>
      </c>
      <c r="E772" s="23" t="s">
        <v>300</v>
      </c>
      <c r="F772" s="21">
        <v>2</v>
      </c>
      <c r="G772" s="12">
        <f>VLOOKUP(E772,Precios!B$2:N$941,12,FALSE)</f>
        <v>1600</v>
      </c>
      <c r="H772" s="12">
        <f t="shared" si="0"/>
        <v>3200</v>
      </c>
      <c r="I772" s="23" t="s">
        <v>52</v>
      </c>
      <c r="J772" s="23" t="s">
        <v>61</v>
      </c>
      <c r="K772" s="24" t="s">
        <v>177</v>
      </c>
      <c r="L772" s="24">
        <v>164</v>
      </c>
      <c r="M772" s="12">
        <f t="shared" ref="M772:N772" si="777">G772/1.19</f>
        <v>1344.5378151260504</v>
      </c>
      <c r="N772" s="12">
        <f t="shared" si="777"/>
        <v>2689.0756302521008</v>
      </c>
      <c r="O772" s="12">
        <f t="shared" si="2"/>
        <v>510.92436974789916</v>
      </c>
      <c r="P772" s="13"/>
      <c r="Q772" s="14">
        <f t="shared" si="3"/>
        <v>2025</v>
      </c>
      <c r="R772" s="15">
        <f>VLOOKUP(MONTH(C772),'Datos Maestros'!M$2:N$14,2,FALSE)</f>
        <v>45474</v>
      </c>
      <c r="S772" s="11" t="str">
        <f>VLOOKUP(E772,Precios!B$2:W$941,3,FALSE)</f>
        <v>Mascarillas</v>
      </c>
      <c r="T772" s="16">
        <f>VLOOKUP(E772,Precios!B$2:N$941,4,FALSE)*F772</f>
        <v>0</v>
      </c>
      <c r="U772" s="17"/>
      <c r="V772" s="12">
        <f>VLOOKUP(E772,Precios!B$2:N$941,13,FALSE)*F772</f>
        <v>1277.3109243697479</v>
      </c>
      <c r="W772" s="12">
        <f t="shared" si="4"/>
        <v>1277.3109243697479</v>
      </c>
      <c r="X772" s="12">
        <f>VLOOKUP(B772,'Datos Maestros'!$C$2:$D$7,2,FALSE)*V772</f>
        <v>0</v>
      </c>
      <c r="Y772" s="18">
        <f t="shared" si="5"/>
        <v>45866</v>
      </c>
      <c r="Z772" s="13" t="s">
        <v>39</v>
      </c>
      <c r="AA772" s="19" t="str">
        <f>VLOOKUP(D772,Clientes!$A$2:$J$486,9,FALSE)</f>
        <v>Frecuente</v>
      </c>
      <c r="AB772" s="13" t="str">
        <f>VLOOKUP(D772,Clientes!$A$2:$K$486,11,FALSE)</f>
        <v>Persona Natural</v>
      </c>
      <c r="AC772" s="13" t="str">
        <f>VLOOKUP(D772,Clientes!$A$2:$B$486,2,FALSE)</f>
        <v>Jardin del eden</v>
      </c>
      <c r="AD772" s="20"/>
      <c r="AE772" s="20"/>
      <c r="AF772" s="13" t="s">
        <v>40</v>
      </c>
      <c r="AG772" s="15">
        <f t="shared" si="6"/>
        <v>45474</v>
      </c>
      <c r="AH772" s="13" t="s">
        <v>41</v>
      </c>
      <c r="AI772" s="13" t="str">
        <f t="shared" si="7"/>
        <v>Articulos de Sanidad</v>
      </c>
      <c r="AJ772" s="13" t="str">
        <f>VLOOKUP(E772,Precios!Z$2:AA$941,2,FALSE)</f>
        <v>Mascarillas Triple Pliegue</v>
      </c>
      <c r="AK772" s="14">
        <f>VLOOKUP(E772,Precios!Z$2:BB$941,3,FALSE)*F772</f>
        <v>-2</v>
      </c>
      <c r="AL772" s="17"/>
      <c r="AM772" s="17"/>
      <c r="AN772" s="17"/>
      <c r="AO772" s="17"/>
      <c r="AP772" s="17"/>
      <c r="AQ772" s="17"/>
      <c r="AR772" s="17"/>
      <c r="AS772" s="17"/>
      <c r="AT772" s="17"/>
      <c r="AU772" s="17"/>
      <c r="AV772" s="17"/>
    </row>
    <row r="773" spans="1:48" ht="15.75" customHeight="1">
      <c r="A773" s="21" t="s">
        <v>147</v>
      </c>
      <c r="B773" s="23" t="s">
        <v>1692</v>
      </c>
      <c r="C773" s="22">
        <v>45868</v>
      </c>
      <c r="D773" s="23" t="s">
        <v>247</v>
      </c>
      <c r="E773" s="23" t="s">
        <v>257</v>
      </c>
      <c r="F773" s="21">
        <v>1</v>
      </c>
      <c r="G773" s="12">
        <f>VLOOKUP(E773,Precios!B$2:N$941,12,FALSE)</f>
        <v>4000.0000000000005</v>
      </c>
      <c r="H773" s="12">
        <f t="shared" si="0"/>
        <v>4000.0000000000005</v>
      </c>
      <c r="I773" s="23" t="s">
        <v>52</v>
      </c>
      <c r="J773" s="23" t="s">
        <v>61</v>
      </c>
      <c r="K773" s="24" t="s">
        <v>177</v>
      </c>
      <c r="L773" s="24">
        <v>164</v>
      </c>
      <c r="M773" s="12">
        <f t="shared" ref="M773:N773" si="778">G773/1.19</f>
        <v>3361.3445378151264</v>
      </c>
      <c r="N773" s="12">
        <f t="shared" si="778"/>
        <v>3361.3445378151264</v>
      </c>
      <c r="O773" s="12">
        <f t="shared" si="2"/>
        <v>638.65546218487407</v>
      </c>
      <c r="P773" s="13"/>
      <c r="Q773" s="14">
        <f t="shared" si="3"/>
        <v>2025</v>
      </c>
      <c r="R773" s="15">
        <f>VLOOKUP(MONTH(C773),'Datos Maestros'!M$2:N$14,2,FALSE)</f>
        <v>45474</v>
      </c>
      <c r="S773" s="11" t="str">
        <f>VLOOKUP(E773,Precios!B$2:W$941,3,FALSE)</f>
        <v>Film Plastico</v>
      </c>
      <c r="T773" s="16">
        <f>VLOOKUP(E773,Precios!B$2:N$941,4,FALSE)*F773</f>
        <v>0</v>
      </c>
      <c r="U773" s="17"/>
      <c r="V773" s="12">
        <f>VLOOKUP(E773,Precios!B$2:N$941,13,FALSE)*F773</f>
        <v>1680.6722689075632</v>
      </c>
      <c r="W773" s="12">
        <f t="shared" si="4"/>
        <v>1680.6722689075632</v>
      </c>
      <c r="X773" s="12">
        <f>VLOOKUP(B773,'Datos Maestros'!$C$2:$D$7,2,FALSE)*V773</f>
        <v>0</v>
      </c>
      <c r="Y773" s="18">
        <f t="shared" si="5"/>
        <v>45866</v>
      </c>
      <c r="Z773" s="13" t="s">
        <v>39</v>
      </c>
      <c r="AA773" s="19" t="str">
        <f>VLOOKUP(D773,Clientes!$A$2:$J$486,9,FALSE)</f>
        <v>Frecuente</v>
      </c>
      <c r="AB773" s="13" t="str">
        <f>VLOOKUP(D773,Clientes!$A$2:$K$486,11,FALSE)</f>
        <v>Persona Natural</v>
      </c>
      <c r="AC773" s="13" t="str">
        <f>VLOOKUP(D773,Clientes!$A$2:$B$486,2,FALSE)</f>
        <v>Jardin del eden</v>
      </c>
      <c r="AD773" s="20"/>
      <c r="AE773" s="20"/>
      <c r="AF773" s="13" t="s">
        <v>40</v>
      </c>
      <c r="AG773" s="15">
        <f t="shared" si="6"/>
        <v>45474</v>
      </c>
      <c r="AH773" s="13" t="s">
        <v>41</v>
      </c>
      <c r="AI773" s="13" t="str">
        <f t="shared" si="7"/>
        <v>Film Plastico-Aluminio</v>
      </c>
      <c r="AJ773" s="13" t="str">
        <f>VLOOKUP(E773,Precios!Z$2:AA$941,2,FALSE)</f>
        <v>Film Plástico 100 metros</v>
      </c>
      <c r="AK773" s="14">
        <f>VLOOKUP(E773,Precios!Z$2:BB$941,3,FALSE)*F773</f>
        <v>-1</v>
      </c>
      <c r="AL773" s="17"/>
      <c r="AM773" s="17"/>
      <c r="AN773" s="17"/>
      <c r="AO773" s="17"/>
      <c r="AP773" s="17"/>
      <c r="AQ773" s="17"/>
      <c r="AR773" s="17"/>
      <c r="AS773" s="17"/>
      <c r="AT773" s="17"/>
      <c r="AU773" s="17"/>
      <c r="AV773" s="17"/>
    </row>
    <row r="774" spans="1:48" ht="15.75" customHeight="1">
      <c r="A774" s="21" t="s">
        <v>147</v>
      </c>
      <c r="B774" s="23" t="s">
        <v>1692</v>
      </c>
      <c r="C774" s="22">
        <v>45868</v>
      </c>
      <c r="D774" s="23" t="s">
        <v>247</v>
      </c>
      <c r="E774" s="23" t="s">
        <v>249</v>
      </c>
      <c r="F774" s="21">
        <v>1</v>
      </c>
      <c r="G774" s="12">
        <f>VLOOKUP(E774,Precios!B$2:N$941,12,FALSE)</f>
        <v>8500.0000000000018</v>
      </c>
      <c r="H774" s="12">
        <f t="shared" si="0"/>
        <v>8500.0000000000018</v>
      </c>
      <c r="I774" s="23" t="s">
        <v>52</v>
      </c>
      <c r="J774" s="23" t="s">
        <v>61</v>
      </c>
      <c r="K774" s="24" t="s">
        <v>177</v>
      </c>
      <c r="L774" s="24">
        <v>164</v>
      </c>
      <c r="M774" s="12">
        <f t="shared" ref="M774:N774" si="779">G774/1.19</f>
        <v>7142.8571428571449</v>
      </c>
      <c r="N774" s="12">
        <f t="shared" si="779"/>
        <v>7142.8571428571449</v>
      </c>
      <c r="O774" s="12">
        <f t="shared" si="2"/>
        <v>1357.1428571428569</v>
      </c>
      <c r="P774" s="13"/>
      <c r="Q774" s="14">
        <f t="shared" si="3"/>
        <v>2025</v>
      </c>
      <c r="R774" s="15">
        <f>VLOOKUP(MONTH(C774),'Datos Maestros'!M$2:N$14,2,FALSE)</f>
        <v>45474</v>
      </c>
      <c r="S774" s="11" t="str">
        <f>VLOOKUP(E774,Precios!B$2:W$941,3,FALSE)</f>
        <v>Papel Aluminio</v>
      </c>
      <c r="T774" s="16">
        <f>VLOOKUP(E774,Precios!B$2:N$941,4,FALSE)*F774</f>
        <v>0</v>
      </c>
      <c r="U774" s="17"/>
      <c r="V774" s="12">
        <f>VLOOKUP(E774,Precios!B$2:N$941,13,FALSE)*F774</f>
        <v>2212.857142857144</v>
      </c>
      <c r="W774" s="12">
        <f t="shared" si="4"/>
        <v>2212.857142857144</v>
      </c>
      <c r="X774" s="12">
        <f>VLOOKUP(B774,'Datos Maestros'!$C$2:$D$7,2,FALSE)*V774</f>
        <v>0</v>
      </c>
      <c r="Y774" s="18">
        <f t="shared" si="5"/>
        <v>45866</v>
      </c>
      <c r="Z774" s="13" t="s">
        <v>39</v>
      </c>
      <c r="AA774" s="19" t="str">
        <f>VLOOKUP(D774,Clientes!$A$2:$J$486,9,FALSE)</f>
        <v>Frecuente</v>
      </c>
      <c r="AB774" s="13" t="str">
        <f>VLOOKUP(D774,Clientes!$A$2:$K$486,11,FALSE)</f>
        <v>Persona Natural</v>
      </c>
      <c r="AC774" s="13" t="str">
        <f>VLOOKUP(D774,Clientes!$A$2:$B$486,2,FALSE)</f>
        <v>Jardin del eden</v>
      </c>
      <c r="AD774" s="20"/>
      <c r="AE774" s="20"/>
      <c r="AF774" s="13" t="s">
        <v>40</v>
      </c>
      <c r="AG774" s="15">
        <f t="shared" si="6"/>
        <v>45474</v>
      </c>
      <c r="AH774" s="13" t="s">
        <v>41</v>
      </c>
      <c r="AI774" s="13" t="str">
        <f t="shared" si="7"/>
        <v>Film Plastico-Aluminio</v>
      </c>
      <c r="AJ774" s="13" t="str">
        <f>VLOOKUP(E774,Precios!Z$2:AA$941,2,FALSE)</f>
        <v>Papel Aluminio 100 metros</v>
      </c>
      <c r="AK774" s="14">
        <f>VLOOKUP(E774,Precios!Z$2:BB$941,3,FALSE)*F774</f>
        <v>-1</v>
      </c>
      <c r="AL774" s="17"/>
      <c r="AM774" s="17"/>
      <c r="AN774" s="17"/>
      <c r="AO774" s="17"/>
      <c r="AP774" s="17"/>
      <c r="AQ774" s="17"/>
      <c r="AR774" s="17"/>
      <c r="AS774" s="17"/>
      <c r="AT774" s="17"/>
      <c r="AU774" s="17"/>
      <c r="AV774" s="17"/>
    </row>
    <row r="775" spans="1:48" ht="15.75" customHeight="1">
      <c r="A775" s="21" t="s">
        <v>47</v>
      </c>
      <c r="B775" s="23" t="s">
        <v>1692</v>
      </c>
      <c r="C775" s="22">
        <v>45868</v>
      </c>
      <c r="D775" s="23" t="s">
        <v>247</v>
      </c>
      <c r="E775" s="23" t="s">
        <v>207</v>
      </c>
      <c r="F775" s="21">
        <v>1</v>
      </c>
      <c r="G775" s="12">
        <f>VLOOKUP(E775,Precios!B$2:N$941,12,FALSE)</f>
        <v>700.14542079207922</v>
      </c>
      <c r="H775" s="12">
        <f t="shared" si="0"/>
        <v>700.14542079207922</v>
      </c>
      <c r="I775" s="23" t="s">
        <v>52</v>
      </c>
      <c r="J775" s="23" t="s">
        <v>61</v>
      </c>
      <c r="K775" s="24" t="s">
        <v>177</v>
      </c>
      <c r="L775" s="24">
        <v>164</v>
      </c>
      <c r="M775" s="12">
        <f t="shared" ref="M775:N775" si="780">G775/1.19</f>
        <v>588.35749646393219</v>
      </c>
      <c r="N775" s="12">
        <f t="shared" si="780"/>
        <v>588.35749646393219</v>
      </c>
      <c r="O775" s="12">
        <f t="shared" si="2"/>
        <v>111.78792432814703</v>
      </c>
      <c r="P775" s="13"/>
      <c r="Q775" s="14">
        <f t="shared" si="3"/>
        <v>2025</v>
      </c>
      <c r="R775" s="15">
        <f>VLOOKUP(MONTH(C775),'Datos Maestros'!M$2:N$14,2,FALSE)</f>
        <v>45474</v>
      </c>
      <c r="S775" s="11" t="str">
        <f>VLOOKUP(E775,Precios!B$2:W$941,3,FALSE)</f>
        <v>Guantes LATEX</v>
      </c>
      <c r="T775" s="16">
        <f>VLOOKUP(E775,Precios!B$2:N$941,4,FALSE)*F775</f>
        <v>0</v>
      </c>
      <c r="U775" s="17"/>
      <c r="V775" s="12">
        <f>VLOOKUP(E775,Precios!B$2:N$941,13,FALSE)*F775</f>
        <v>255.5824964639321</v>
      </c>
      <c r="W775" s="12">
        <f t="shared" si="4"/>
        <v>255.5824964639321</v>
      </c>
      <c r="X775" s="12">
        <f>VLOOKUP(B775,'Datos Maestros'!$C$2:$D$7,2,FALSE)*V775</f>
        <v>0</v>
      </c>
      <c r="Y775" s="18">
        <f t="shared" si="5"/>
        <v>45866</v>
      </c>
      <c r="Z775" s="13" t="s">
        <v>39</v>
      </c>
      <c r="AA775" s="19" t="str">
        <f>VLOOKUP(D775,Clientes!$A$2:$J$486,9,FALSE)</f>
        <v>Frecuente</v>
      </c>
      <c r="AB775" s="13" t="str">
        <f>VLOOKUP(D775,Clientes!$A$2:$K$486,11,FALSE)</f>
        <v>Persona Natural</v>
      </c>
      <c r="AC775" s="13" t="str">
        <f>VLOOKUP(D775,Clientes!$A$2:$B$486,2,FALSE)</f>
        <v>Jardin del eden</v>
      </c>
      <c r="AD775" s="20"/>
      <c r="AE775" s="20"/>
      <c r="AF775" s="13" t="s">
        <v>40</v>
      </c>
      <c r="AG775" s="15">
        <f t="shared" si="6"/>
        <v>45474</v>
      </c>
      <c r="AH775" s="13" t="s">
        <v>41</v>
      </c>
      <c r="AI775" s="13" t="str">
        <f t="shared" si="7"/>
        <v>Articulos de Aseo</v>
      </c>
      <c r="AJ775" s="13" t="str">
        <f>VLOOKUP(E775,Precios!Z$2:AA$941,2,FALSE)</f>
        <v>Guantes de Latex Talla M</v>
      </c>
      <c r="AK775" s="14">
        <f>VLOOKUP(E775,Precios!Z$2:BB$941,3,FALSE)*F775</f>
        <v>-1</v>
      </c>
      <c r="AL775" s="17"/>
      <c r="AM775" s="17"/>
      <c r="AN775" s="17"/>
      <c r="AO775" s="17"/>
      <c r="AP775" s="17"/>
      <c r="AQ775" s="17"/>
      <c r="AR775" s="17"/>
      <c r="AS775" s="17"/>
      <c r="AT775" s="17"/>
      <c r="AU775" s="17"/>
      <c r="AV775" s="17"/>
    </row>
    <row r="776" spans="1:48" ht="15.75" customHeight="1">
      <c r="A776" s="21" t="s">
        <v>47</v>
      </c>
      <c r="B776" s="23" t="s">
        <v>1692</v>
      </c>
      <c r="C776" s="22">
        <v>45868</v>
      </c>
      <c r="D776" s="23" t="s">
        <v>247</v>
      </c>
      <c r="E776" s="23" t="s">
        <v>250</v>
      </c>
      <c r="F776" s="21">
        <v>2</v>
      </c>
      <c r="G776" s="12">
        <f>VLOOKUP(E776,Precios!B$2:N$941,12,FALSE)</f>
        <v>1599.7551360934403</v>
      </c>
      <c r="H776" s="12">
        <f t="shared" si="0"/>
        <v>3199.5102721868807</v>
      </c>
      <c r="I776" s="23" t="s">
        <v>52</v>
      </c>
      <c r="J776" s="23" t="s">
        <v>61</v>
      </c>
      <c r="K776" s="24" t="s">
        <v>177</v>
      </c>
      <c r="L776" s="24">
        <v>164</v>
      </c>
      <c r="M776" s="12">
        <f t="shared" ref="M776:N776" si="781">G776/1.19</f>
        <v>1344.3320471373449</v>
      </c>
      <c r="N776" s="12">
        <f t="shared" si="781"/>
        <v>2688.6640942746899</v>
      </c>
      <c r="O776" s="12">
        <f t="shared" si="2"/>
        <v>510.8461779121908</v>
      </c>
      <c r="P776" s="13"/>
      <c r="Q776" s="14">
        <f t="shared" si="3"/>
        <v>2025</v>
      </c>
      <c r="R776" s="15">
        <f>VLOOKUP(MONTH(C776),'Datos Maestros'!M$2:N$14,2,FALSE)</f>
        <v>45474</v>
      </c>
      <c r="S776" s="11" t="str">
        <f>VLOOKUP(E776,Precios!B$2:W$941,3,FALSE)</f>
        <v>Mopa</v>
      </c>
      <c r="T776" s="16">
        <f>VLOOKUP(E776,Precios!B$2:N$941,4,FALSE)*F776</f>
        <v>0</v>
      </c>
      <c r="U776" s="17"/>
      <c r="V776" s="12">
        <f>VLOOKUP(E776,Precios!B$2:N$941,13,FALSE)*F776</f>
        <v>1399.5840942746895</v>
      </c>
      <c r="W776" s="12">
        <f t="shared" si="4"/>
        <v>1399.5840942746895</v>
      </c>
      <c r="X776" s="12">
        <f>VLOOKUP(B776,'Datos Maestros'!$C$2:$D$7,2,FALSE)*V776</f>
        <v>0</v>
      </c>
      <c r="Y776" s="18">
        <f t="shared" si="5"/>
        <v>45866</v>
      </c>
      <c r="Z776" s="13" t="s">
        <v>39</v>
      </c>
      <c r="AA776" s="19" t="str">
        <f>VLOOKUP(D776,Clientes!$A$2:$J$486,9,FALSE)</f>
        <v>Frecuente</v>
      </c>
      <c r="AB776" s="13" t="str">
        <f>VLOOKUP(D776,Clientes!$A$2:$K$486,11,FALSE)</f>
        <v>Persona Natural</v>
      </c>
      <c r="AC776" s="13" t="str">
        <f>VLOOKUP(D776,Clientes!$A$2:$B$486,2,FALSE)</f>
        <v>Jardin del eden</v>
      </c>
      <c r="AD776" s="20"/>
      <c r="AE776" s="20"/>
      <c r="AF776" s="13" t="s">
        <v>40</v>
      </c>
      <c r="AG776" s="15">
        <f t="shared" si="6"/>
        <v>45474</v>
      </c>
      <c r="AH776" s="13" t="s">
        <v>41</v>
      </c>
      <c r="AI776" s="13" t="str">
        <f t="shared" si="7"/>
        <v>Articulos de Aseo</v>
      </c>
      <c r="AJ776" s="13" t="str">
        <f>VLOOKUP(E776,Precios!Z$2:AA$941,2,FALSE)</f>
        <v>Mopa Repuesto</v>
      </c>
      <c r="AK776" s="14">
        <f>VLOOKUP(E776,Precios!Z$2:BB$941,3,FALSE)*F776</f>
        <v>-2</v>
      </c>
      <c r="AL776" s="17"/>
      <c r="AM776" s="17"/>
      <c r="AN776" s="17"/>
      <c r="AO776" s="17"/>
      <c r="AP776" s="17"/>
      <c r="AQ776" s="17"/>
      <c r="AR776" s="17"/>
      <c r="AS776" s="17"/>
      <c r="AT776" s="17"/>
      <c r="AU776" s="17"/>
      <c r="AV776" s="17"/>
    </row>
    <row r="777" spans="1:48" ht="15.75" customHeight="1">
      <c r="A777" s="21" t="s">
        <v>47</v>
      </c>
      <c r="B777" s="23" t="s">
        <v>1692</v>
      </c>
      <c r="C777" s="22">
        <v>45868</v>
      </c>
      <c r="D777" s="23" t="s">
        <v>247</v>
      </c>
      <c r="E777" s="23" t="s">
        <v>92</v>
      </c>
      <c r="F777" s="21">
        <v>1</v>
      </c>
      <c r="G777" s="12">
        <f>VLOOKUP(E777,Precios!B$2:N$941,12,FALSE)</f>
        <v>3400.2970989164628</v>
      </c>
      <c r="H777" s="12">
        <f t="shared" si="0"/>
        <v>3400.2970989164628</v>
      </c>
      <c r="I777" s="23" t="s">
        <v>52</v>
      </c>
      <c r="J777" s="23" t="s">
        <v>61</v>
      </c>
      <c r="K777" s="24" t="s">
        <v>177</v>
      </c>
      <c r="L777" s="24">
        <v>164</v>
      </c>
      <c r="M777" s="12">
        <f t="shared" ref="M777:N777" si="782">G777/1.19</f>
        <v>2857.3925200978679</v>
      </c>
      <c r="N777" s="12">
        <f t="shared" si="782"/>
        <v>2857.3925200978679</v>
      </c>
      <c r="O777" s="12">
        <f t="shared" si="2"/>
        <v>542.90457881859493</v>
      </c>
      <c r="P777" s="13"/>
      <c r="Q777" s="14">
        <f t="shared" si="3"/>
        <v>2025</v>
      </c>
      <c r="R777" s="15">
        <f>VLOOKUP(MONTH(C777),'Datos Maestros'!M$2:N$14,2,FALSE)</f>
        <v>45474</v>
      </c>
      <c r="S777" s="11" t="str">
        <f>VLOOKUP(E777,Precios!B$2:W$941,3,FALSE)</f>
        <v>Bolsa Basura</v>
      </c>
      <c r="T777" s="16">
        <f>VLOOKUP(E777,Precios!B$2:N$941,4,FALSE)*F777</f>
        <v>0</v>
      </c>
      <c r="U777" s="17"/>
      <c r="V777" s="12">
        <f>VLOOKUP(E777,Precios!B$2:N$941,13,FALSE)*F777</f>
        <v>1222.3925200978679</v>
      </c>
      <c r="W777" s="12">
        <f t="shared" si="4"/>
        <v>1222.3925200978679</v>
      </c>
      <c r="X777" s="12">
        <f>VLOOKUP(B777,'Datos Maestros'!$C$2:$D$7,2,FALSE)*V777</f>
        <v>0</v>
      </c>
      <c r="Y777" s="18">
        <f t="shared" si="5"/>
        <v>45866</v>
      </c>
      <c r="Z777" s="13" t="s">
        <v>39</v>
      </c>
      <c r="AA777" s="19" t="str">
        <f>VLOOKUP(D777,Clientes!$A$2:$J$486,9,FALSE)</f>
        <v>Frecuente</v>
      </c>
      <c r="AB777" s="13" t="str">
        <f>VLOOKUP(D777,Clientes!$A$2:$K$486,11,FALSE)</f>
        <v>Persona Natural</v>
      </c>
      <c r="AC777" s="13" t="str">
        <f>VLOOKUP(D777,Clientes!$A$2:$B$486,2,FALSE)</f>
        <v>Jardin del eden</v>
      </c>
      <c r="AD777" s="20"/>
      <c r="AE777" s="20"/>
      <c r="AF777" s="13" t="s">
        <v>40</v>
      </c>
      <c r="AG777" s="15">
        <f t="shared" si="6"/>
        <v>45474</v>
      </c>
      <c r="AH777" s="13" t="s">
        <v>41</v>
      </c>
      <c r="AI777" s="13" t="str">
        <f t="shared" si="7"/>
        <v>Articulos de Aseo</v>
      </c>
      <c r="AJ777" s="13" t="str">
        <f>VLOOKUP(E777,Precios!Z$2:AA$941,2,FALSE)</f>
        <v xml:space="preserve">Bolsas Basura TEDDY 70x90 </v>
      </c>
      <c r="AK777" s="14">
        <f>VLOOKUP(E777,Precios!Z$2:BB$941,3,FALSE)*F777</f>
        <v>-3</v>
      </c>
      <c r="AL777" s="17"/>
      <c r="AM777" s="17"/>
      <c r="AN777" s="17"/>
      <c r="AO777" s="17"/>
      <c r="AP777" s="17"/>
      <c r="AQ777" s="17"/>
      <c r="AR777" s="17"/>
      <c r="AS777" s="17"/>
      <c r="AT777" s="17"/>
      <c r="AU777" s="17"/>
      <c r="AV777" s="17"/>
    </row>
    <row r="778" spans="1:48" ht="15.75" customHeight="1">
      <c r="A778" s="21" t="s">
        <v>47</v>
      </c>
      <c r="B778" s="23" t="s">
        <v>1692</v>
      </c>
      <c r="C778" s="22">
        <v>45868</v>
      </c>
      <c r="D778" s="23" t="s">
        <v>247</v>
      </c>
      <c r="E778" s="23" t="s">
        <v>169</v>
      </c>
      <c r="F778" s="21">
        <v>1</v>
      </c>
      <c r="G778" s="12">
        <f>VLOOKUP(E778,Precios!B$2:N$941,12,FALSE)</f>
        <v>1650.3934426229507</v>
      </c>
      <c r="H778" s="12">
        <f t="shared" si="0"/>
        <v>1650.3934426229507</v>
      </c>
      <c r="I778" s="23" t="s">
        <v>52</v>
      </c>
      <c r="J778" s="23" t="s">
        <v>61</v>
      </c>
      <c r="K778" s="24" t="s">
        <v>177</v>
      </c>
      <c r="L778" s="24">
        <v>164</v>
      </c>
      <c r="M778" s="12">
        <f t="shared" ref="M778:N778" si="783">G778/1.19</f>
        <v>1386.8852459016393</v>
      </c>
      <c r="N778" s="12">
        <f t="shared" si="783"/>
        <v>1386.8852459016393</v>
      </c>
      <c r="O778" s="12">
        <f t="shared" si="2"/>
        <v>263.50819672131138</v>
      </c>
      <c r="P778" s="13"/>
      <c r="Q778" s="14">
        <f t="shared" si="3"/>
        <v>2025</v>
      </c>
      <c r="R778" s="15">
        <f>VLOOKUP(MONTH(C778),'Datos Maestros'!M$2:N$14,2,FALSE)</f>
        <v>45474</v>
      </c>
      <c r="S778" s="11" t="str">
        <f>VLOOKUP(E778,Precios!B$2:W$941,3,FALSE)</f>
        <v>Bolsa Basura</v>
      </c>
      <c r="T778" s="16">
        <f>VLOOKUP(E778,Precios!B$2:N$941,4,FALSE)*F778</f>
        <v>0</v>
      </c>
      <c r="U778" s="17"/>
      <c r="V778" s="12">
        <f>VLOOKUP(E778,Precios!B$2:N$941,13,FALSE)*F778</f>
        <v>540.88524590163934</v>
      </c>
      <c r="W778" s="12">
        <f t="shared" si="4"/>
        <v>540.88524590163934</v>
      </c>
      <c r="X778" s="12">
        <f>VLOOKUP(B778,'Datos Maestros'!$C$2:$D$7,2,FALSE)*V778</f>
        <v>0</v>
      </c>
      <c r="Y778" s="18">
        <f t="shared" si="5"/>
        <v>45866</v>
      </c>
      <c r="Z778" s="13" t="s">
        <v>39</v>
      </c>
      <c r="AA778" s="19" t="str">
        <f>VLOOKUP(D778,Clientes!$A$2:$J$486,9,FALSE)</f>
        <v>Frecuente</v>
      </c>
      <c r="AB778" s="13" t="str">
        <f>VLOOKUP(D778,Clientes!$A$2:$K$486,11,FALSE)</f>
        <v>Persona Natural</v>
      </c>
      <c r="AC778" s="13" t="str">
        <f>VLOOKUP(D778,Clientes!$A$2:$B$486,2,FALSE)</f>
        <v>Jardin del eden</v>
      </c>
      <c r="AD778" s="20"/>
      <c r="AE778" s="20"/>
      <c r="AF778" s="13" t="s">
        <v>40</v>
      </c>
      <c r="AG778" s="15">
        <f t="shared" si="6"/>
        <v>45474</v>
      </c>
      <c r="AH778" s="13" t="s">
        <v>41</v>
      </c>
      <c r="AI778" s="13" t="str">
        <f t="shared" si="7"/>
        <v>Articulos de Aseo</v>
      </c>
      <c r="AJ778" s="13" t="str">
        <f>VLOOKUP(E778,Precios!Z$2:AA$941,2,FALSE)</f>
        <v xml:space="preserve">Bolsas Basura TEDDY 45x55 con Asas </v>
      </c>
      <c r="AK778" s="14">
        <f>VLOOKUP(E778,Precios!Z$2:BB$941,3,FALSE)*F778</f>
        <v>-3</v>
      </c>
      <c r="AL778" s="17"/>
      <c r="AM778" s="17"/>
      <c r="AN778" s="17"/>
      <c r="AO778" s="17"/>
      <c r="AP778" s="17"/>
      <c r="AQ778" s="17"/>
      <c r="AR778" s="17"/>
      <c r="AS778" s="17"/>
      <c r="AT778" s="17"/>
      <c r="AU778" s="17"/>
      <c r="AV778" s="17"/>
    </row>
    <row r="779" spans="1:48" ht="15.75" customHeight="1">
      <c r="A779" s="21" t="s">
        <v>47</v>
      </c>
      <c r="B779" s="23" t="s">
        <v>1692</v>
      </c>
      <c r="C779" s="22">
        <v>45868</v>
      </c>
      <c r="D779" s="23" t="s">
        <v>247</v>
      </c>
      <c r="E779" s="23" t="s">
        <v>49</v>
      </c>
      <c r="F779" s="21">
        <v>1</v>
      </c>
      <c r="G779" s="12">
        <f>VLOOKUP(E779,Precios!B$2:N$941,12,FALSE)</f>
        <v>4500.0000000000009</v>
      </c>
      <c r="H779" s="12">
        <f t="shared" si="0"/>
        <v>4500.0000000000009</v>
      </c>
      <c r="I779" s="23" t="s">
        <v>52</v>
      </c>
      <c r="J779" s="23" t="s">
        <v>61</v>
      </c>
      <c r="K779" s="24" t="s">
        <v>177</v>
      </c>
      <c r="L779" s="24">
        <v>164</v>
      </c>
      <c r="M779" s="12">
        <f t="shared" ref="M779:N779" si="784">G779/1.19</f>
        <v>3781.5126050420176</v>
      </c>
      <c r="N779" s="12">
        <f t="shared" si="784"/>
        <v>3781.5126050420176</v>
      </c>
      <c r="O779" s="12">
        <f t="shared" si="2"/>
        <v>718.48739495798327</v>
      </c>
      <c r="P779" s="13"/>
      <c r="Q779" s="14">
        <f t="shared" si="3"/>
        <v>2025</v>
      </c>
      <c r="R779" s="15">
        <f>VLOOKUP(MONTH(C779),'Datos Maestros'!M$2:N$14,2,FALSE)</f>
        <v>45474</v>
      </c>
      <c r="S779" s="11" t="str">
        <f>VLOOKUP(E779,Precios!B$2:W$941,3,FALSE)</f>
        <v>Jabon Liquido</v>
      </c>
      <c r="T779" s="16">
        <f>VLOOKUP(E779,Precios!B$2:N$941,4,FALSE)*F779</f>
        <v>0</v>
      </c>
      <c r="U779" s="17"/>
      <c r="V779" s="12">
        <f>VLOOKUP(E779,Precios!B$2:N$941,13,FALSE)*F779</f>
        <v>988.23529411764775</v>
      </c>
      <c r="W779" s="12">
        <f t="shared" si="4"/>
        <v>988.23529411764775</v>
      </c>
      <c r="X779" s="12">
        <f>VLOOKUP(B779,'Datos Maestros'!$C$2:$D$7,2,FALSE)*V779</f>
        <v>0</v>
      </c>
      <c r="Y779" s="18">
        <f t="shared" si="5"/>
        <v>45866</v>
      </c>
      <c r="Z779" s="13" t="s">
        <v>39</v>
      </c>
      <c r="AA779" s="19" t="str">
        <f>VLOOKUP(D779,Clientes!$A$2:$J$486,9,FALSE)</f>
        <v>Frecuente</v>
      </c>
      <c r="AB779" s="13" t="str">
        <f>VLOOKUP(D779,Clientes!$A$2:$K$486,11,FALSE)</f>
        <v>Persona Natural</v>
      </c>
      <c r="AC779" s="13" t="str">
        <f>VLOOKUP(D779,Clientes!$A$2:$B$486,2,FALSE)</f>
        <v>Jardin del eden</v>
      </c>
      <c r="AD779" s="20"/>
      <c r="AE779" s="20"/>
      <c r="AF779" s="13" t="s">
        <v>40</v>
      </c>
      <c r="AG779" s="15">
        <f t="shared" si="6"/>
        <v>45474</v>
      </c>
      <c r="AH779" s="13" t="s">
        <v>41</v>
      </c>
      <c r="AI779" s="13" t="str">
        <f t="shared" si="7"/>
        <v>Articulos de Aseo</v>
      </c>
      <c r="AJ779" s="13" t="str">
        <f>VLOOKUP(E779,Precios!Z$2:AA$941,2,FALSE)</f>
        <v>Jabón Lìquido BALLERINA</v>
      </c>
      <c r="AK779" s="14">
        <f>VLOOKUP(E779,Precios!Z$2:BB$941,3,FALSE)*F779</f>
        <v>-3</v>
      </c>
      <c r="AL779" s="17"/>
      <c r="AM779" s="17"/>
      <c r="AN779" s="17"/>
      <c r="AO779" s="17"/>
      <c r="AP779" s="17"/>
      <c r="AQ779" s="17"/>
      <c r="AR779" s="17"/>
      <c r="AS779" s="17"/>
      <c r="AT779" s="17"/>
      <c r="AU779" s="17"/>
      <c r="AV779" s="17"/>
    </row>
    <row r="780" spans="1:48" ht="15.75" customHeight="1">
      <c r="A780" s="21" t="s">
        <v>47</v>
      </c>
      <c r="B780" s="23" t="s">
        <v>1692</v>
      </c>
      <c r="C780" s="22">
        <v>45868</v>
      </c>
      <c r="D780" s="23" t="s">
        <v>247</v>
      </c>
      <c r="E780" s="23" t="s">
        <v>251</v>
      </c>
      <c r="F780" s="21">
        <v>1</v>
      </c>
      <c r="G780" s="12">
        <f>VLOOKUP(E780,Precios!B$2:N$941,12,FALSE)</f>
        <v>4199.9016948855005</v>
      </c>
      <c r="H780" s="12">
        <f t="shared" si="0"/>
        <v>4199.9016948855005</v>
      </c>
      <c r="I780" s="23" t="s">
        <v>52</v>
      </c>
      <c r="J780" s="23" t="s">
        <v>61</v>
      </c>
      <c r="K780" s="24" t="s">
        <v>177</v>
      </c>
      <c r="L780" s="24">
        <v>164</v>
      </c>
      <c r="M780" s="12">
        <f t="shared" ref="M780:N780" si="785">G780/1.19</f>
        <v>3529.3291553659669</v>
      </c>
      <c r="N780" s="12">
        <f t="shared" si="785"/>
        <v>3529.3291553659669</v>
      </c>
      <c r="O780" s="12">
        <f t="shared" si="2"/>
        <v>670.57253951953362</v>
      </c>
      <c r="P780" s="13"/>
      <c r="Q780" s="14">
        <f t="shared" si="3"/>
        <v>2025</v>
      </c>
      <c r="R780" s="15">
        <f>VLOOKUP(MONTH(C780),'Datos Maestros'!M$2:N$14,2,FALSE)</f>
        <v>45474</v>
      </c>
      <c r="S780" s="11" t="str">
        <f>VLOOKUP(E780,Precios!B$2:W$941,3,FALSE)</f>
        <v>Insecticida</v>
      </c>
      <c r="T780" s="16">
        <f>VLOOKUP(E780,Precios!B$2:N$941,4,FALSE)*F780</f>
        <v>0</v>
      </c>
      <c r="U780" s="17"/>
      <c r="V780" s="12">
        <f>VLOOKUP(E780,Precios!B$2:N$941,13,FALSE)*F780</f>
        <v>848.66248869930041</v>
      </c>
      <c r="W780" s="12">
        <f t="shared" si="4"/>
        <v>848.66248869930041</v>
      </c>
      <c r="X780" s="12">
        <f>VLOOKUP(B780,'Datos Maestros'!$C$2:$D$7,2,FALSE)*V780</f>
        <v>0</v>
      </c>
      <c r="Y780" s="18">
        <f t="shared" si="5"/>
        <v>45866</v>
      </c>
      <c r="Z780" s="13" t="s">
        <v>39</v>
      </c>
      <c r="AA780" s="19" t="str">
        <f>VLOOKUP(D780,Clientes!$A$2:$J$486,9,FALSE)</f>
        <v>Frecuente</v>
      </c>
      <c r="AB780" s="13" t="str">
        <f>VLOOKUP(D780,Clientes!$A$2:$K$486,11,FALSE)</f>
        <v>Persona Natural</v>
      </c>
      <c r="AC780" s="13" t="str">
        <f>VLOOKUP(D780,Clientes!$A$2:$B$486,2,FALSE)</f>
        <v>Jardin del eden</v>
      </c>
      <c r="AD780" s="20"/>
      <c r="AE780" s="20"/>
      <c r="AF780" s="13" t="s">
        <v>40</v>
      </c>
      <c r="AG780" s="15">
        <f t="shared" si="6"/>
        <v>45474</v>
      </c>
      <c r="AH780" s="13" t="s">
        <v>41</v>
      </c>
      <c r="AI780" s="13" t="str">
        <f t="shared" si="7"/>
        <v>Articulos de Aseo</v>
      </c>
      <c r="AJ780" s="13" t="str">
        <f>VLOOKUP(E780,Precios!Z$2:AA$941,2,FALSE)</f>
        <v>Insecticida RAID 360 cc Casa Jardin (Naranjo)</v>
      </c>
      <c r="AK780" s="14">
        <f>VLOOKUP(E780,Precios!Z$2:BB$941,3,FALSE)*F780</f>
        <v>-1</v>
      </c>
      <c r="AL780" s="17"/>
      <c r="AM780" s="17"/>
      <c r="AN780" s="17"/>
      <c r="AO780" s="17"/>
      <c r="AP780" s="17"/>
      <c r="AQ780" s="17"/>
      <c r="AR780" s="17"/>
      <c r="AS780" s="17"/>
      <c r="AT780" s="17"/>
      <c r="AU780" s="17"/>
      <c r="AV780" s="17"/>
    </row>
    <row r="781" spans="1:48" ht="15.75" customHeight="1">
      <c r="A781" s="21" t="s">
        <v>76</v>
      </c>
      <c r="B781" s="23" t="s">
        <v>1692</v>
      </c>
      <c r="C781" s="22">
        <v>45868</v>
      </c>
      <c r="D781" s="23" t="s">
        <v>247</v>
      </c>
      <c r="E781" s="23" t="s">
        <v>77</v>
      </c>
      <c r="F781" s="21">
        <v>2</v>
      </c>
      <c r="G781" s="12">
        <f>VLOOKUP(E781,Precios!B$2:N$941,12,FALSE)</f>
        <v>1700.1361470388019</v>
      </c>
      <c r="H781" s="12">
        <f t="shared" si="0"/>
        <v>3400.2722940776039</v>
      </c>
      <c r="I781" s="23" t="s">
        <v>52</v>
      </c>
      <c r="J781" s="23" t="s">
        <v>61</v>
      </c>
      <c r="K781" s="24" t="s">
        <v>177</v>
      </c>
      <c r="L781" s="24">
        <v>164</v>
      </c>
      <c r="M781" s="12">
        <f t="shared" ref="M781:N781" si="786">G781/1.19</f>
        <v>1428.6858378477327</v>
      </c>
      <c r="N781" s="12">
        <f t="shared" si="786"/>
        <v>2857.3716756954655</v>
      </c>
      <c r="O781" s="12">
        <f t="shared" si="2"/>
        <v>542.90061838213842</v>
      </c>
      <c r="P781" s="13"/>
      <c r="Q781" s="14">
        <f t="shared" si="3"/>
        <v>2025</v>
      </c>
      <c r="R781" s="15">
        <f>VLOOKUP(MONTH(C781),'Datos Maestros'!M$2:N$14,2,FALSE)</f>
        <v>45474</v>
      </c>
      <c r="S781" s="11" t="str">
        <f>VLOOKUP(E781,Precios!B$2:W$941,3,FALSE)</f>
        <v>Cloro Gel</v>
      </c>
      <c r="T781" s="16">
        <f>VLOOKUP(E781,Precios!B$2:N$941,4,FALSE)*F781</f>
        <v>0</v>
      </c>
      <c r="U781" s="17"/>
      <c r="V781" s="12">
        <f>VLOOKUP(E781,Precios!B$2:N$941,13,FALSE)*F781</f>
        <v>1178.38007905681</v>
      </c>
      <c r="W781" s="12">
        <f t="shared" si="4"/>
        <v>1178.38007905681</v>
      </c>
      <c r="X781" s="12">
        <f>VLOOKUP(B781,'Datos Maestros'!$C$2:$D$7,2,FALSE)*V781</f>
        <v>0</v>
      </c>
      <c r="Y781" s="18">
        <f t="shared" si="5"/>
        <v>45866</v>
      </c>
      <c r="Z781" s="13" t="s">
        <v>39</v>
      </c>
      <c r="AA781" s="19" t="str">
        <f>VLOOKUP(D781,Clientes!$A$2:$J$486,9,FALSE)</f>
        <v>Frecuente</v>
      </c>
      <c r="AB781" s="13" t="str">
        <f>VLOOKUP(D781,Clientes!$A$2:$K$486,11,FALSE)</f>
        <v>Persona Natural</v>
      </c>
      <c r="AC781" s="13" t="str">
        <f>VLOOKUP(D781,Clientes!$A$2:$B$486,2,FALSE)</f>
        <v>Jardin del eden</v>
      </c>
      <c r="AD781" s="20"/>
      <c r="AE781" s="20"/>
      <c r="AF781" s="13" t="s">
        <v>40</v>
      </c>
      <c r="AG781" s="15">
        <f t="shared" si="6"/>
        <v>45474</v>
      </c>
      <c r="AH781" s="13" t="s">
        <v>41</v>
      </c>
      <c r="AI781" s="13" t="str">
        <f t="shared" si="7"/>
        <v>Detergentes</v>
      </c>
      <c r="AJ781" s="13" t="str">
        <f>VLOOKUP(E781,Precios!Z$2:AA$941,2,FALSE)</f>
        <v>Cloro GEL IGENIX 900ml</v>
      </c>
      <c r="AK781" s="14">
        <f>VLOOKUP(E781,Precios!Z$2:BB$941,3,FALSE)*F781</f>
        <v>-2</v>
      </c>
      <c r="AL781" s="17"/>
      <c r="AM781" s="17"/>
      <c r="AN781" s="17"/>
      <c r="AO781" s="17"/>
      <c r="AP781" s="17"/>
      <c r="AQ781" s="17"/>
      <c r="AR781" s="17"/>
      <c r="AS781" s="17"/>
      <c r="AT781" s="17"/>
      <c r="AU781" s="17"/>
      <c r="AV781" s="17"/>
    </row>
    <row r="782" spans="1:48" ht="15.75" customHeight="1">
      <c r="A782" s="21" t="s">
        <v>53</v>
      </c>
      <c r="B782" s="23" t="s">
        <v>1692</v>
      </c>
      <c r="C782" s="22">
        <v>45868</v>
      </c>
      <c r="D782" s="23" t="s">
        <v>247</v>
      </c>
      <c r="E782" s="23" t="s">
        <v>55</v>
      </c>
      <c r="F782" s="21">
        <v>1</v>
      </c>
      <c r="G782" s="12">
        <f>VLOOKUP(E782,Precios!B$2:N$941,12,FALSE)</f>
        <v>20899.91124296327</v>
      </c>
      <c r="H782" s="12">
        <f t="shared" si="0"/>
        <v>20899.91124296327</v>
      </c>
      <c r="I782" s="23" t="s">
        <v>52</v>
      </c>
      <c r="J782" s="23" t="s">
        <v>61</v>
      </c>
      <c r="K782" s="24" t="s">
        <v>177</v>
      </c>
      <c r="L782" s="24">
        <v>164</v>
      </c>
      <c r="M782" s="12">
        <f t="shared" ref="M782:N782" si="787">G782/1.19</f>
        <v>17562.950624338882</v>
      </c>
      <c r="N782" s="12">
        <f t="shared" si="787"/>
        <v>17562.950624338882</v>
      </c>
      <c r="O782" s="12">
        <f t="shared" si="2"/>
        <v>3336.9606186243873</v>
      </c>
      <c r="P782" s="13"/>
      <c r="Q782" s="14">
        <f t="shared" si="3"/>
        <v>2025</v>
      </c>
      <c r="R782" s="15">
        <f>VLOOKUP(MONTH(C782),'Datos Maestros'!M$2:N$14,2,FALSE)</f>
        <v>45474</v>
      </c>
      <c r="S782" s="11" t="str">
        <f>VLOOKUP(E782,Precios!B$2:W$941,3,FALSE)</f>
        <v>Papel Higiénico ELITE</v>
      </c>
      <c r="T782" s="16">
        <f>VLOOKUP(E782,Precios!B$2:N$941,4,FALSE)*F782</f>
        <v>0</v>
      </c>
      <c r="U782" s="17"/>
      <c r="V782" s="12">
        <f>VLOOKUP(E782,Precios!B$2:N$941,13,FALSE)*F782</f>
        <v>3117.9506243388823</v>
      </c>
      <c r="W782" s="12">
        <f t="shared" si="4"/>
        <v>3117.9506243388823</v>
      </c>
      <c r="X782" s="12">
        <f>VLOOKUP(B782,'Datos Maestros'!$C$2:$D$7,2,FALSE)*V782</f>
        <v>0</v>
      </c>
      <c r="Y782" s="18">
        <f t="shared" si="5"/>
        <v>45866</v>
      </c>
      <c r="Z782" s="13" t="s">
        <v>39</v>
      </c>
      <c r="AA782" s="19" t="str">
        <f>VLOOKUP(D782,Clientes!$A$2:$J$486,9,FALSE)</f>
        <v>Frecuente</v>
      </c>
      <c r="AB782" s="13" t="str">
        <f>VLOOKUP(D782,Clientes!$A$2:$K$486,11,FALSE)</f>
        <v>Persona Natural</v>
      </c>
      <c r="AC782" s="13" t="str">
        <f>VLOOKUP(D782,Clientes!$A$2:$B$486,2,FALSE)</f>
        <v>Jardin del eden</v>
      </c>
      <c r="AD782" s="20"/>
      <c r="AE782" s="20"/>
      <c r="AF782" s="13" t="s">
        <v>40</v>
      </c>
      <c r="AG782" s="15">
        <f t="shared" si="6"/>
        <v>45474</v>
      </c>
      <c r="AH782" s="13" t="s">
        <v>41</v>
      </c>
      <c r="AI782" s="13" t="str">
        <f t="shared" si="7"/>
        <v>Papeleria</v>
      </c>
      <c r="AJ782" s="13" t="str">
        <f>VLOOKUP(E782,Precios!Z$2:AA$941,2,FALSE)</f>
        <v>Papel Higienico ELITE 50 metros</v>
      </c>
      <c r="AK782" s="14">
        <f>VLOOKUP(E782,Precios!Z$2:BB$941,3,FALSE)*F782</f>
        <v>-8</v>
      </c>
      <c r="AL782" s="17"/>
      <c r="AM782" s="17"/>
      <c r="AN782" s="17"/>
      <c r="AO782" s="17"/>
      <c r="AP782" s="17"/>
      <c r="AQ782" s="17"/>
      <c r="AR782" s="17"/>
      <c r="AS782" s="17"/>
      <c r="AT782" s="17"/>
      <c r="AU782" s="17"/>
      <c r="AV782" s="17"/>
    </row>
    <row r="783" spans="1:48" ht="15.75" customHeight="1">
      <c r="A783" s="21" t="s">
        <v>53</v>
      </c>
      <c r="B783" s="23" t="s">
        <v>1692</v>
      </c>
      <c r="C783" s="22">
        <v>45868</v>
      </c>
      <c r="D783" s="23" t="s">
        <v>247</v>
      </c>
      <c r="E783" s="23" t="s">
        <v>253</v>
      </c>
      <c r="F783" s="21">
        <v>1</v>
      </c>
      <c r="G783" s="12">
        <f>VLOOKUP(E783,Precios!B$2:N$941,12,FALSE)</f>
        <v>21500.472527761005</v>
      </c>
      <c r="H783" s="12">
        <f t="shared" si="0"/>
        <v>21500.472527761005</v>
      </c>
      <c r="I783" s="23" t="s">
        <v>52</v>
      </c>
      <c r="J783" s="23" t="s">
        <v>61</v>
      </c>
      <c r="K783" s="24" t="s">
        <v>177</v>
      </c>
      <c r="L783" s="24">
        <v>164</v>
      </c>
      <c r="M783" s="12">
        <f t="shared" ref="M783:N783" si="788">G783/1.19</f>
        <v>18067.623972908408</v>
      </c>
      <c r="N783" s="12">
        <f t="shared" si="788"/>
        <v>18067.623972908408</v>
      </c>
      <c r="O783" s="12">
        <f t="shared" si="2"/>
        <v>3432.8485548525969</v>
      </c>
      <c r="P783" s="13"/>
      <c r="Q783" s="14">
        <f t="shared" si="3"/>
        <v>2025</v>
      </c>
      <c r="R783" s="15">
        <f>VLOOKUP(MONTH(C783),'Datos Maestros'!M$2:N$14,2,FALSE)</f>
        <v>45474</v>
      </c>
      <c r="S783" s="11" t="str">
        <f>VLOOKUP(E783,Precios!B$2:W$941,3,FALSE)</f>
        <v>Toalla Papel OVELLA</v>
      </c>
      <c r="T783" s="16">
        <f>VLOOKUP(E783,Precios!B$2:N$941,4,FALSE)*F783</f>
        <v>100</v>
      </c>
      <c r="U783" s="17"/>
      <c r="V783" s="12">
        <f>VLOOKUP(E783,Precios!B$2:N$941,13,FALSE)*F783</f>
        <v>4302.6239729084082</v>
      </c>
      <c r="W783" s="12">
        <f t="shared" si="4"/>
        <v>4302.6239729084082</v>
      </c>
      <c r="X783" s="12">
        <f>VLOOKUP(B783,'Datos Maestros'!$C$2:$D$7,2,FALSE)*V783</f>
        <v>0</v>
      </c>
      <c r="Y783" s="18">
        <f t="shared" si="5"/>
        <v>45866</v>
      </c>
      <c r="Z783" s="13" t="s">
        <v>39</v>
      </c>
      <c r="AA783" s="19" t="str">
        <f>VLOOKUP(D783,Clientes!$A$2:$J$486,9,FALSE)</f>
        <v>Frecuente</v>
      </c>
      <c r="AB783" s="13" t="str">
        <f>VLOOKUP(D783,Clientes!$A$2:$K$486,11,FALSE)</f>
        <v>Persona Natural</v>
      </c>
      <c r="AC783" s="13" t="str">
        <f>VLOOKUP(D783,Clientes!$A$2:$B$486,2,FALSE)</f>
        <v>Jardin del eden</v>
      </c>
      <c r="AD783" s="20"/>
      <c r="AE783" s="20"/>
      <c r="AF783" s="13" t="s">
        <v>40</v>
      </c>
      <c r="AG783" s="15">
        <f t="shared" si="6"/>
        <v>45474</v>
      </c>
      <c r="AH783" s="13" t="s">
        <v>41</v>
      </c>
      <c r="AI783" s="13" t="str">
        <f t="shared" si="7"/>
        <v>Papeleria</v>
      </c>
      <c r="AJ783" s="13" t="str">
        <f>VLOOKUP(E783,Precios!Z$2:AA$941,2,FALSE)</f>
        <v>Toalla Papel OVELLA D/H 100 metros</v>
      </c>
      <c r="AK783" s="14">
        <f>VLOOKUP(E783,Precios!Z$2:BB$941,3,FALSE)*F783</f>
        <v>-6</v>
      </c>
      <c r="AL783" s="17"/>
      <c r="AM783" s="17"/>
      <c r="AN783" s="17"/>
      <c r="AO783" s="17"/>
      <c r="AP783" s="17"/>
      <c r="AQ783" s="17"/>
      <c r="AR783" s="17"/>
      <c r="AS783" s="17"/>
      <c r="AT783" s="17"/>
      <c r="AU783" s="17"/>
      <c r="AV783" s="17"/>
    </row>
    <row r="784" spans="1:48" ht="15.75" customHeight="1">
      <c r="A784" s="21" t="s">
        <v>76</v>
      </c>
      <c r="B784" s="23" t="s">
        <v>1692</v>
      </c>
      <c r="C784" s="22">
        <v>45868</v>
      </c>
      <c r="D784" s="23" t="s">
        <v>247</v>
      </c>
      <c r="E784" s="23" t="s">
        <v>252</v>
      </c>
      <c r="F784" s="21">
        <v>2</v>
      </c>
      <c r="G784" s="12">
        <f>VLOOKUP(E784,Precios!B$2:N$941,12,FALSE)</f>
        <v>1599.969512195122</v>
      </c>
      <c r="H784" s="12">
        <f t="shared" si="0"/>
        <v>3199.939024390244</v>
      </c>
      <c r="I784" s="23" t="s">
        <v>52</v>
      </c>
      <c r="J784" s="23" t="s">
        <v>61</v>
      </c>
      <c r="K784" s="24" t="s">
        <v>177</v>
      </c>
      <c r="L784" s="24">
        <v>164</v>
      </c>
      <c r="M784" s="12">
        <f t="shared" ref="M784:N784" si="789">G784/1.19</f>
        <v>1344.5121951219512</v>
      </c>
      <c r="N784" s="12">
        <f t="shared" si="789"/>
        <v>2689.0243902439024</v>
      </c>
      <c r="O784" s="12">
        <f t="shared" si="2"/>
        <v>510.91463414634154</v>
      </c>
      <c r="P784" s="13"/>
      <c r="Q784" s="14">
        <f t="shared" si="3"/>
        <v>2025</v>
      </c>
      <c r="R784" s="15">
        <f>VLOOKUP(MONTH(C784),'Datos Maestros'!M$2:N$14,2,FALSE)</f>
        <v>45474</v>
      </c>
      <c r="S784" s="11" t="str">
        <f>VLOOKUP(E784,Precios!B$2:W$941,3,FALSE)</f>
        <v>Limpiapiso POETT 900ml</v>
      </c>
      <c r="T784" s="16">
        <f>VLOOKUP(E784,Precios!B$2:N$941,4,FALSE)*F784</f>
        <v>0</v>
      </c>
      <c r="U784" s="17"/>
      <c r="V784" s="12">
        <f>VLOOKUP(E784,Precios!B$2:N$941,13,FALSE)*F784</f>
        <v>925.02439024390242</v>
      </c>
      <c r="W784" s="12">
        <f t="shared" si="4"/>
        <v>925.02439024390242</v>
      </c>
      <c r="X784" s="12">
        <f>VLOOKUP(B784,'Datos Maestros'!$C$2:$D$7,2,FALSE)*V784</f>
        <v>0</v>
      </c>
      <c r="Y784" s="18">
        <f t="shared" si="5"/>
        <v>45866</v>
      </c>
      <c r="Z784" s="13" t="s">
        <v>39</v>
      </c>
      <c r="AA784" s="19" t="str">
        <f>VLOOKUP(D784,Clientes!$A$2:$J$486,9,FALSE)</f>
        <v>Frecuente</v>
      </c>
      <c r="AB784" s="13" t="str">
        <f>VLOOKUP(D784,Clientes!$A$2:$K$486,11,FALSE)</f>
        <v>Persona Natural</v>
      </c>
      <c r="AC784" s="13" t="str">
        <f>VLOOKUP(D784,Clientes!$A$2:$B$486,2,FALSE)</f>
        <v>Jardin del eden</v>
      </c>
      <c r="AD784" s="20"/>
      <c r="AE784" s="20"/>
      <c r="AF784" s="13" t="s">
        <v>40</v>
      </c>
      <c r="AG784" s="15">
        <f t="shared" si="6"/>
        <v>45474</v>
      </c>
      <c r="AH784" s="13" t="s">
        <v>41</v>
      </c>
      <c r="AI784" s="13" t="str">
        <f t="shared" si="7"/>
        <v>Detergentes</v>
      </c>
      <c r="AJ784" s="13" t="str">
        <f>VLOOKUP(E784,Precios!Z$2:AA$941,2,FALSE)</f>
        <v>Limpiapiso POETT 900 ml</v>
      </c>
      <c r="AK784" s="14">
        <f>VLOOKUP(E784,Precios!Z$2:BB$941,3,FALSE)*F784</f>
        <v>-2</v>
      </c>
      <c r="AL784" s="17"/>
      <c r="AM784" s="17"/>
      <c r="AN784" s="17"/>
      <c r="AO784" s="17"/>
      <c r="AP784" s="17"/>
      <c r="AQ784" s="17"/>
      <c r="AR784" s="17"/>
      <c r="AS784" s="17"/>
      <c r="AT784" s="17"/>
      <c r="AU784" s="17"/>
      <c r="AV784" s="17"/>
    </row>
    <row r="785" spans="1:48" ht="15.75" customHeight="1">
      <c r="A785" s="21" t="s">
        <v>56</v>
      </c>
      <c r="B785" s="23" t="s">
        <v>1692</v>
      </c>
      <c r="C785" s="22">
        <v>45868</v>
      </c>
      <c r="D785" s="23" t="s">
        <v>348</v>
      </c>
      <c r="E785" s="23" t="s">
        <v>190</v>
      </c>
      <c r="F785" s="21">
        <v>1</v>
      </c>
      <c r="G785" s="12">
        <f>VLOOKUP(E785,Precios!B$2:N$941,12,FALSE)</f>
        <v>2499.8855507868384</v>
      </c>
      <c r="H785" s="12">
        <f t="shared" si="0"/>
        <v>2499.8855507868384</v>
      </c>
      <c r="I785" s="23" t="s">
        <v>52</v>
      </c>
      <c r="J785" s="23" t="s">
        <v>61</v>
      </c>
      <c r="K785" s="24" t="s">
        <v>177</v>
      </c>
      <c r="L785" s="24">
        <v>163</v>
      </c>
      <c r="M785" s="12">
        <f t="shared" ref="M785:N785" si="790">G785/1.19</f>
        <v>2100.7441603250745</v>
      </c>
      <c r="N785" s="12">
        <f t="shared" si="790"/>
        <v>2100.7441603250745</v>
      </c>
      <c r="O785" s="12">
        <f t="shared" si="2"/>
        <v>399.14139046176388</v>
      </c>
      <c r="P785" s="13"/>
      <c r="Q785" s="14">
        <f t="shared" si="3"/>
        <v>2025</v>
      </c>
      <c r="R785" s="15">
        <f>VLOOKUP(MONTH(C785),'Datos Maestros'!M$2:N$14,2,FALSE)</f>
        <v>45474</v>
      </c>
      <c r="S785" s="11" t="str">
        <f>VLOOKUP(E785,Precios!B$2:W$941,3,FALSE)</f>
        <v>Mantequilla</v>
      </c>
      <c r="T785" s="16">
        <f>VLOOKUP(E785,Precios!B$2:N$941,4,FALSE)*F785</f>
        <v>200</v>
      </c>
      <c r="U785" s="17"/>
      <c r="V785" s="12">
        <f>VLOOKUP(E785,Precios!B$2:N$941,13,FALSE)*F785</f>
        <v>632.32399225784707</v>
      </c>
      <c r="W785" s="12">
        <f t="shared" si="4"/>
        <v>632.32399225784707</v>
      </c>
      <c r="X785" s="12">
        <f>VLOOKUP(B785,'Datos Maestros'!$C$2:$D$7,2,FALSE)*V785</f>
        <v>0</v>
      </c>
      <c r="Y785" s="18">
        <f t="shared" si="5"/>
        <v>45866</v>
      </c>
      <c r="Z785" s="13" t="s">
        <v>39</v>
      </c>
      <c r="AA785" s="19" t="str">
        <f>VLOOKUP(D785,Clientes!$A$2:$J$486,9,FALSE)</f>
        <v>Regular</v>
      </c>
      <c r="AB785" s="13" t="str">
        <f>VLOOKUP(D785,Clientes!$A$2:$K$486,11,FALSE)</f>
        <v>Persona Natural</v>
      </c>
      <c r="AC785" s="13" t="str">
        <f>VLOOKUP(D785,Clientes!$A$2:$B$486,2,FALSE)</f>
        <v>Jardines de la Viña</v>
      </c>
      <c r="AD785" s="20"/>
      <c r="AE785" s="20"/>
      <c r="AF785" s="13" t="s">
        <v>40</v>
      </c>
      <c r="AG785" s="15">
        <f t="shared" si="6"/>
        <v>45474</v>
      </c>
      <c r="AH785" s="13" t="s">
        <v>41</v>
      </c>
      <c r="AI785" s="13" t="str">
        <f t="shared" si="7"/>
        <v>Derivados</v>
      </c>
      <c r="AJ785" s="13" t="str">
        <f>VLOOKUP(E785,Precios!Z$2:AA$941,2,FALSE)</f>
        <v>Mantequilla RUMAY</v>
      </c>
      <c r="AK785" s="14">
        <f>VLOOKUP(E785,Precios!Z$2:BB$941,3,FALSE)*F785</f>
        <v>-1</v>
      </c>
      <c r="AL785" s="17"/>
      <c r="AM785" s="17"/>
      <c r="AN785" s="17"/>
      <c r="AO785" s="17"/>
      <c r="AP785" s="17"/>
      <c r="AQ785" s="17"/>
      <c r="AR785" s="17"/>
      <c r="AS785" s="17"/>
      <c r="AT785" s="17"/>
      <c r="AU785" s="17"/>
      <c r="AV785" s="17"/>
    </row>
    <row r="786" spans="1:48" ht="15.75" customHeight="1">
      <c r="A786" s="21" t="s">
        <v>56</v>
      </c>
      <c r="B786" s="23" t="s">
        <v>1692</v>
      </c>
      <c r="C786" s="22">
        <v>45868</v>
      </c>
      <c r="D786" s="23" t="s">
        <v>348</v>
      </c>
      <c r="E786" s="23" t="s">
        <v>190</v>
      </c>
      <c r="F786" s="21">
        <v>1</v>
      </c>
      <c r="G786" s="12">
        <f>VLOOKUP(E786,Precios!B$2:N$941,12,FALSE)</f>
        <v>2499.8855507868384</v>
      </c>
      <c r="H786" s="12">
        <f t="shared" si="0"/>
        <v>2499.8855507868384</v>
      </c>
      <c r="I786" s="23" t="s">
        <v>52</v>
      </c>
      <c r="J786" s="23" t="s">
        <v>61</v>
      </c>
      <c r="K786" s="24" t="s">
        <v>177</v>
      </c>
      <c r="L786" s="24">
        <v>160</v>
      </c>
      <c r="M786" s="12">
        <f t="shared" ref="M786:N786" si="791">G786/1.19</f>
        <v>2100.7441603250745</v>
      </c>
      <c r="N786" s="12">
        <f t="shared" si="791"/>
        <v>2100.7441603250745</v>
      </c>
      <c r="O786" s="12">
        <f t="shared" si="2"/>
        <v>399.14139046176388</v>
      </c>
      <c r="P786" s="13"/>
      <c r="Q786" s="14">
        <f t="shared" si="3"/>
        <v>2025</v>
      </c>
      <c r="R786" s="15">
        <f>VLOOKUP(MONTH(C786),'Datos Maestros'!M$2:N$14,2,FALSE)</f>
        <v>45474</v>
      </c>
      <c r="S786" s="11" t="str">
        <f>VLOOKUP(E786,Precios!B$2:W$941,3,FALSE)</f>
        <v>Mantequilla</v>
      </c>
      <c r="T786" s="16">
        <f>VLOOKUP(E786,Precios!B$2:N$941,4,FALSE)*F786</f>
        <v>200</v>
      </c>
      <c r="U786" s="17"/>
      <c r="V786" s="12">
        <f>VLOOKUP(E786,Precios!B$2:N$941,13,FALSE)*F786</f>
        <v>632.32399225784707</v>
      </c>
      <c r="W786" s="12">
        <f t="shared" si="4"/>
        <v>632.32399225784707</v>
      </c>
      <c r="X786" s="12">
        <f>VLOOKUP(B786,'Datos Maestros'!$C$2:$D$7,2,FALSE)*V786</f>
        <v>0</v>
      </c>
      <c r="Y786" s="18">
        <f t="shared" si="5"/>
        <v>45866</v>
      </c>
      <c r="Z786" s="13" t="s">
        <v>39</v>
      </c>
      <c r="AA786" s="19" t="str">
        <f>VLOOKUP(D786,Clientes!$A$2:$J$486,9,FALSE)</f>
        <v>Regular</v>
      </c>
      <c r="AB786" s="13" t="str">
        <f>VLOOKUP(D786,Clientes!$A$2:$K$486,11,FALSE)</f>
        <v>Persona Natural</v>
      </c>
      <c r="AC786" s="13" t="str">
        <f>VLOOKUP(D786,Clientes!$A$2:$B$486,2,FALSE)</f>
        <v>Jardines de la Viña</v>
      </c>
      <c r="AD786" s="20"/>
      <c r="AE786" s="20"/>
      <c r="AF786" s="13" t="s">
        <v>40</v>
      </c>
      <c r="AG786" s="15">
        <f t="shared" si="6"/>
        <v>45474</v>
      </c>
      <c r="AH786" s="13" t="s">
        <v>41</v>
      </c>
      <c r="AI786" s="13" t="str">
        <f t="shared" si="7"/>
        <v>Derivados</v>
      </c>
      <c r="AJ786" s="13" t="str">
        <f>VLOOKUP(E786,Precios!Z$2:AA$941,2,FALSE)</f>
        <v>Mantequilla RUMAY</v>
      </c>
      <c r="AK786" s="14">
        <f>VLOOKUP(E786,Precios!Z$2:BB$941,3,FALSE)*F786</f>
        <v>-1</v>
      </c>
      <c r="AL786" s="17"/>
      <c r="AM786" s="17"/>
      <c r="AN786" s="17"/>
      <c r="AO786" s="17"/>
      <c r="AP786" s="17"/>
      <c r="AQ786" s="17"/>
      <c r="AR786" s="17"/>
      <c r="AS786" s="17"/>
      <c r="AT786" s="17"/>
      <c r="AU786" s="17"/>
      <c r="AV786" s="17"/>
    </row>
    <row r="787" spans="1:48" ht="15.75" customHeight="1">
      <c r="A787" s="21" t="s">
        <v>43</v>
      </c>
      <c r="B787" s="23" t="s">
        <v>1692</v>
      </c>
      <c r="C787" s="22">
        <v>45868</v>
      </c>
      <c r="D787" s="23" t="s">
        <v>354</v>
      </c>
      <c r="E787" s="23" t="s">
        <v>45</v>
      </c>
      <c r="F787" s="21">
        <v>1</v>
      </c>
      <c r="G787" s="12">
        <f>VLOOKUP(E787,Precios!B$2:N$941,12,FALSE)</f>
        <v>8000.1831784723063</v>
      </c>
      <c r="H787" s="12">
        <f t="shared" si="0"/>
        <v>8000.1831784723063</v>
      </c>
      <c r="I787" s="23" t="s">
        <v>52</v>
      </c>
      <c r="J787" s="23" t="s">
        <v>61</v>
      </c>
      <c r="K787" s="24" t="s">
        <v>177</v>
      </c>
      <c r="L787" s="24">
        <v>163</v>
      </c>
      <c r="M787" s="12">
        <f t="shared" ref="M787:N787" si="792">G787/1.19</f>
        <v>6722.8430071195853</v>
      </c>
      <c r="N787" s="12">
        <f t="shared" si="792"/>
        <v>6722.8430071195853</v>
      </c>
      <c r="O787" s="12">
        <f t="shared" si="2"/>
        <v>1277.340171352721</v>
      </c>
      <c r="P787" s="13"/>
      <c r="Q787" s="14">
        <f t="shared" si="3"/>
        <v>2025</v>
      </c>
      <c r="R787" s="15">
        <f>VLOOKUP(MONTH(C787),'Datos Maestros'!M$2:N$14,2,FALSE)</f>
        <v>45474</v>
      </c>
      <c r="S787" s="11" t="str">
        <f>VLOOKUP(E787,Precios!B$2:W$941,3,FALSE)</f>
        <v>Huevos EXTRA</v>
      </c>
      <c r="T787" s="16">
        <f>VLOOKUP(E787,Precios!B$2:N$941,4,FALSE)*F787</f>
        <v>0</v>
      </c>
      <c r="U787" s="17"/>
      <c r="V787" s="12">
        <f>VLOOKUP(E787,Precios!B$2:N$941,13,FALSE)*F787</f>
        <v>1151.6230071195851</v>
      </c>
      <c r="W787" s="12">
        <f t="shared" si="4"/>
        <v>1151.6230071195851</v>
      </c>
      <c r="X787" s="12">
        <f>VLOOKUP(B787,'Datos Maestros'!$C$2:$D$7,2,FALSE)*V787</f>
        <v>0</v>
      </c>
      <c r="Y787" s="18">
        <f t="shared" si="5"/>
        <v>45866</v>
      </c>
      <c r="Z787" s="13" t="s">
        <v>39</v>
      </c>
      <c r="AA787" s="19" t="str">
        <f>VLOOKUP(D787,Clientes!$A$2:$J$486,9,FALSE)</f>
        <v>Ocacional</v>
      </c>
      <c r="AB787" s="13" t="str">
        <f>VLOOKUP(D787,Clientes!$A$2:$K$486,11,FALSE)</f>
        <v>Persona Natural</v>
      </c>
      <c r="AC787" s="13" t="str">
        <f>VLOOKUP(D787,Clientes!$A$2:$B$486,2,FALSE)</f>
        <v>Villa Santa Maria</v>
      </c>
      <c r="AD787" s="20"/>
      <c r="AE787" s="20"/>
      <c r="AF787" s="13" t="s">
        <v>40</v>
      </c>
      <c r="AG787" s="15">
        <f t="shared" si="6"/>
        <v>45474</v>
      </c>
      <c r="AH787" s="13" t="s">
        <v>41</v>
      </c>
      <c r="AI787" s="13" t="str">
        <f t="shared" si="7"/>
        <v>Huevos</v>
      </c>
      <c r="AJ787" s="13" t="str">
        <f>VLOOKUP(E787,Precios!Z$2:AA$941,2,FALSE)</f>
        <v>Bandeja Huevos EXTRA</v>
      </c>
      <c r="AK787" s="14">
        <f>VLOOKUP(E787,Precios!Z$2:BB$941,3,FALSE)*F787</f>
        <v>-1</v>
      </c>
      <c r="AL787" s="17"/>
      <c r="AM787" s="17"/>
      <c r="AN787" s="17"/>
      <c r="AO787" s="17"/>
      <c r="AP787" s="17"/>
      <c r="AQ787" s="17"/>
      <c r="AR787" s="17"/>
      <c r="AS787" s="17"/>
      <c r="AT787" s="17"/>
      <c r="AU787" s="17"/>
      <c r="AV787" s="17"/>
    </row>
    <row r="788" spans="1:48" ht="15.75" customHeight="1">
      <c r="A788" s="21" t="s">
        <v>53</v>
      </c>
      <c r="B788" s="23" t="s">
        <v>1692</v>
      </c>
      <c r="C788" s="22">
        <v>45868</v>
      </c>
      <c r="D788" s="23" t="s">
        <v>238</v>
      </c>
      <c r="E788" s="23" t="s">
        <v>55</v>
      </c>
      <c r="F788" s="21">
        <v>1</v>
      </c>
      <c r="G788" s="12">
        <f>VLOOKUP(E788,Precios!B$2:N$941,12,FALSE)</f>
        <v>20899.91124296327</v>
      </c>
      <c r="H788" s="12">
        <f t="shared" si="0"/>
        <v>20899.91124296327</v>
      </c>
      <c r="I788" s="23" t="s">
        <v>52</v>
      </c>
      <c r="J788" s="23" t="s">
        <v>61</v>
      </c>
      <c r="K788" s="24" t="s">
        <v>177</v>
      </c>
      <c r="L788" s="24">
        <v>163</v>
      </c>
      <c r="M788" s="12">
        <f t="shared" ref="M788:N788" si="793">G788/1.19</f>
        <v>17562.950624338882</v>
      </c>
      <c r="N788" s="12">
        <f t="shared" si="793"/>
        <v>17562.950624338882</v>
      </c>
      <c r="O788" s="12">
        <f t="shared" si="2"/>
        <v>3336.9606186243873</v>
      </c>
      <c r="P788" s="13"/>
      <c r="Q788" s="14">
        <f t="shared" si="3"/>
        <v>2025</v>
      </c>
      <c r="R788" s="15">
        <f>VLOOKUP(MONTH(C788),'Datos Maestros'!M$2:N$14,2,FALSE)</f>
        <v>45474</v>
      </c>
      <c r="S788" s="11" t="str">
        <f>VLOOKUP(E788,Precios!B$2:W$941,3,FALSE)</f>
        <v>Papel Higiénico ELITE</v>
      </c>
      <c r="T788" s="16">
        <f>VLOOKUP(E788,Precios!B$2:N$941,4,FALSE)*F788</f>
        <v>0</v>
      </c>
      <c r="U788" s="17"/>
      <c r="V788" s="12">
        <f>VLOOKUP(E788,Precios!B$2:N$941,13,FALSE)*F788</f>
        <v>3117.9506243388823</v>
      </c>
      <c r="W788" s="12">
        <f t="shared" si="4"/>
        <v>3117.9506243388823</v>
      </c>
      <c r="X788" s="12">
        <f>VLOOKUP(B788,'Datos Maestros'!$C$2:$D$7,2,FALSE)*V788</f>
        <v>0</v>
      </c>
      <c r="Y788" s="18">
        <f t="shared" si="5"/>
        <v>45866</v>
      </c>
      <c r="Z788" s="13" t="s">
        <v>39</v>
      </c>
      <c r="AA788" s="19" t="str">
        <f>VLOOKUP(D788,Clientes!$A$2:$J$486,9,FALSE)</f>
        <v>Ocacional</v>
      </c>
      <c r="AB788" s="13" t="str">
        <f>VLOOKUP(D788,Clientes!$A$2:$K$486,11,FALSE)</f>
        <v>Persona Natural</v>
      </c>
      <c r="AC788" s="13" t="str">
        <f>VLOOKUP(D788,Clientes!$A$2:$B$486,2,FALSE)</f>
        <v>Araucana</v>
      </c>
      <c r="AD788" s="20"/>
      <c r="AE788" s="20"/>
      <c r="AF788" s="13" t="s">
        <v>40</v>
      </c>
      <c r="AG788" s="15">
        <f t="shared" si="6"/>
        <v>45474</v>
      </c>
      <c r="AH788" s="13" t="s">
        <v>41</v>
      </c>
      <c r="AI788" s="13" t="str">
        <f t="shared" si="7"/>
        <v>Papeleria</v>
      </c>
      <c r="AJ788" s="13" t="str">
        <f>VLOOKUP(E788,Precios!Z$2:AA$941,2,FALSE)</f>
        <v>Papel Higienico ELITE 50 metros</v>
      </c>
      <c r="AK788" s="14">
        <f>VLOOKUP(E788,Precios!Z$2:BB$941,3,FALSE)*F788</f>
        <v>-8</v>
      </c>
      <c r="AL788" s="17"/>
      <c r="AM788" s="17"/>
      <c r="AN788" s="17"/>
      <c r="AO788" s="17"/>
      <c r="AP788" s="17"/>
      <c r="AQ788" s="17"/>
      <c r="AR788" s="17"/>
      <c r="AS788" s="17"/>
      <c r="AT788" s="17"/>
      <c r="AU788" s="17"/>
      <c r="AV788" s="17"/>
    </row>
    <row r="789" spans="1:48" ht="15.75" customHeight="1">
      <c r="A789" s="21" t="s">
        <v>53</v>
      </c>
      <c r="B789" s="23" t="s">
        <v>1692</v>
      </c>
      <c r="C789" s="22">
        <v>45868</v>
      </c>
      <c r="D789" s="23" t="s">
        <v>238</v>
      </c>
      <c r="E789" s="23" t="s">
        <v>69</v>
      </c>
      <c r="F789" s="21">
        <v>1</v>
      </c>
      <c r="G789" s="12">
        <f>VLOOKUP(E789,Precios!B$2:N$941,12,FALSE)</f>
        <v>2999.9553810458683</v>
      </c>
      <c r="H789" s="12">
        <f t="shared" si="0"/>
        <v>2999.9553810458683</v>
      </c>
      <c r="I789" s="23" t="s">
        <v>52</v>
      </c>
      <c r="J789" s="23" t="s">
        <v>61</v>
      </c>
      <c r="K789" s="24" t="s">
        <v>177</v>
      </c>
      <c r="L789" s="24">
        <v>160</v>
      </c>
      <c r="M789" s="12">
        <f t="shared" ref="M789:N789" si="794">G789/1.19</f>
        <v>2520.9709084419064</v>
      </c>
      <c r="N789" s="12">
        <f t="shared" si="794"/>
        <v>2520.9709084419064</v>
      </c>
      <c r="O789" s="12">
        <f t="shared" si="2"/>
        <v>478.98447260396188</v>
      </c>
      <c r="P789" s="13"/>
      <c r="Q789" s="14">
        <f t="shared" si="3"/>
        <v>2025</v>
      </c>
      <c r="R789" s="15">
        <f>VLOOKUP(MONTH(C789),'Datos Maestros'!M$2:N$14,2,FALSE)</f>
        <v>45474</v>
      </c>
      <c r="S789" s="11" t="str">
        <f>VLOOKUP(E789,Precios!B$2:W$941,3,FALSE)</f>
        <v>Toalla Nova 70 mts</v>
      </c>
      <c r="T789" s="16">
        <f>VLOOKUP(E789,Precios!B$2:N$941,4,FALSE)*F789</f>
        <v>0</v>
      </c>
      <c r="U789" s="17"/>
      <c r="V789" s="12">
        <f>VLOOKUP(E789,Precios!B$2:N$941,13,FALSE)*F789</f>
        <v>825.97090844190598</v>
      </c>
      <c r="W789" s="12">
        <f t="shared" si="4"/>
        <v>825.97090844190598</v>
      </c>
      <c r="X789" s="12">
        <f>VLOOKUP(B789,'Datos Maestros'!$C$2:$D$7,2,FALSE)*V789</f>
        <v>0</v>
      </c>
      <c r="Y789" s="18">
        <f t="shared" si="5"/>
        <v>45866</v>
      </c>
      <c r="Z789" s="13" t="s">
        <v>39</v>
      </c>
      <c r="AA789" s="19" t="str">
        <f>VLOOKUP(D789,Clientes!$A$2:$J$486,9,FALSE)</f>
        <v>Ocacional</v>
      </c>
      <c r="AB789" s="13" t="str">
        <f>VLOOKUP(D789,Clientes!$A$2:$K$486,11,FALSE)</f>
        <v>Persona Natural</v>
      </c>
      <c r="AC789" s="13" t="str">
        <f>VLOOKUP(D789,Clientes!$A$2:$B$486,2,FALSE)</f>
        <v>Araucana</v>
      </c>
      <c r="AD789" s="20"/>
      <c r="AE789" s="20"/>
      <c r="AF789" s="13" t="s">
        <v>40</v>
      </c>
      <c r="AG789" s="15">
        <f t="shared" si="6"/>
        <v>45474</v>
      </c>
      <c r="AH789" s="13" t="s">
        <v>41</v>
      </c>
      <c r="AI789" s="13" t="str">
        <f t="shared" si="7"/>
        <v>Papeleria</v>
      </c>
      <c r="AJ789" s="13" t="str">
        <f>VLOOKUP(E789,Precios!Z$2:AA$941,2,FALSE)</f>
        <v>Toalla Papel NOVA 70 metros</v>
      </c>
      <c r="AK789" s="14">
        <f>VLOOKUP(E789,Precios!Z$2:BB$941,3,FALSE)*F789</f>
        <v>-1</v>
      </c>
      <c r="AL789" s="17"/>
      <c r="AM789" s="17"/>
      <c r="AN789" s="17"/>
      <c r="AO789" s="17"/>
      <c r="AP789" s="17"/>
      <c r="AQ789" s="17"/>
      <c r="AR789" s="17"/>
      <c r="AS789" s="17"/>
      <c r="AT789" s="17"/>
      <c r="AU789" s="17"/>
      <c r="AV789" s="17"/>
    </row>
    <row r="790" spans="1:48" ht="15.75" customHeight="1">
      <c r="A790" s="21" t="s">
        <v>43</v>
      </c>
      <c r="B790" s="23" t="s">
        <v>1692</v>
      </c>
      <c r="C790" s="22">
        <v>45868</v>
      </c>
      <c r="D790" s="23" t="s">
        <v>108</v>
      </c>
      <c r="E790" s="23" t="s">
        <v>45</v>
      </c>
      <c r="F790" s="21">
        <v>1</v>
      </c>
      <c r="G790" s="12">
        <f>VLOOKUP(E790,Precios!B$2:N$941,12,FALSE)</f>
        <v>8000.1831784723063</v>
      </c>
      <c r="H790" s="12">
        <f t="shared" si="0"/>
        <v>8000.1831784723063</v>
      </c>
      <c r="I790" s="23" t="s">
        <v>52</v>
      </c>
      <c r="J790" s="23" t="s">
        <v>61</v>
      </c>
      <c r="K790" s="24" t="s">
        <v>177</v>
      </c>
      <c r="L790" s="24">
        <v>160</v>
      </c>
      <c r="M790" s="12">
        <f t="shared" ref="M790:N790" si="795">G790/1.19</f>
        <v>6722.8430071195853</v>
      </c>
      <c r="N790" s="12">
        <f t="shared" si="795"/>
        <v>6722.8430071195853</v>
      </c>
      <c r="O790" s="12">
        <f t="shared" si="2"/>
        <v>1277.340171352721</v>
      </c>
      <c r="P790" s="13"/>
      <c r="Q790" s="14">
        <f t="shared" si="3"/>
        <v>2025</v>
      </c>
      <c r="R790" s="15">
        <f>VLOOKUP(MONTH(C790),'Datos Maestros'!M$2:N$14,2,FALSE)</f>
        <v>45474</v>
      </c>
      <c r="S790" s="11" t="str">
        <f>VLOOKUP(E790,Precios!B$2:W$941,3,FALSE)</f>
        <v>Huevos EXTRA</v>
      </c>
      <c r="T790" s="16">
        <f>VLOOKUP(E790,Precios!B$2:N$941,4,FALSE)*F790</f>
        <v>0</v>
      </c>
      <c r="U790" s="17"/>
      <c r="V790" s="12">
        <f>VLOOKUP(E790,Precios!B$2:N$941,13,FALSE)*F790</f>
        <v>1151.6230071195851</v>
      </c>
      <c r="W790" s="12">
        <f t="shared" si="4"/>
        <v>1151.6230071195851</v>
      </c>
      <c r="X790" s="12">
        <f>VLOOKUP(B790,'Datos Maestros'!$C$2:$D$7,2,FALSE)*V790</f>
        <v>0</v>
      </c>
      <c r="Y790" s="18">
        <f t="shared" si="5"/>
        <v>45866</v>
      </c>
      <c r="Z790" s="13" t="s">
        <v>39</v>
      </c>
      <c r="AA790" s="19" t="str">
        <f>VLOOKUP(D790,Clientes!$A$2:$J$486,9,FALSE)</f>
        <v>Frecuente</v>
      </c>
      <c r="AB790" s="13" t="str">
        <f>VLOOKUP(D790,Clientes!$A$2:$K$486,11,FALSE)</f>
        <v>Persona Natural</v>
      </c>
      <c r="AC790" s="13" t="str">
        <f>VLOOKUP(D790,Clientes!$A$2:$B$486,2,FALSE)</f>
        <v>Jardines de la Viña</v>
      </c>
      <c r="AD790" s="20"/>
      <c r="AE790" s="20"/>
      <c r="AF790" s="13" t="s">
        <v>40</v>
      </c>
      <c r="AG790" s="15">
        <f t="shared" si="6"/>
        <v>45474</v>
      </c>
      <c r="AH790" s="13" t="s">
        <v>41</v>
      </c>
      <c r="AI790" s="13" t="str">
        <f t="shared" si="7"/>
        <v>Huevos</v>
      </c>
      <c r="AJ790" s="13" t="str">
        <f>VLOOKUP(E790,Precios!Z$2:AA$941,2,FALSE)</f>
        <v>Bandeja Huevos EXTRA</v>
      </c>
      <c r="AK790" s="14">
        <f>VLOOKUP(E790,Precios!Z$2:BB$941,3,FALSE)*F790</f>
        <v>-1</v>
      </c>
      <c r="AL790" s="17"/>
      <c r="AM790" s="17"/>
      <c r="AN790" s="17"/>
      <c r="AO790" s="17"/>
      <c r="AP790" s="17"/>
      <c r="AQ790" s="17"/>
      <c r="AR790" s="17"/>
      <c r="AS790" s="17"/>
      <c r="AT790" s="17"/>
      <c r="AU790" s="17"/>
      <c r="AV790" s="17"/>
    </row>
    <row r="791" spans="1:48" ht="15.75" customHeight="1">
      <c r="A791" s="21" t="s">
        <v>35</v>
      </c>
      <c r="B791" s="23" t="s">
        <v>1692</v>
      </c>
      <c r="C791" s="22">
        <v>45867</v>
      </c>
      <c r="D791" s="23" t="s">
        <v>123</v>
      </c>
      <c r="E791" s="23" t="s">
        <v>46</v>
      </c>
      <c r="F791" s="21">
        <v>1</v>
      </c>
      <c r="G791" s="12">
        <f>VLOOKUP(E791,Precios!B$2:N$941,12,FALSE)</f>
        <v>6000.1548227279782</v>
      </c>
      <c r="H791" s="12">
        <f t="shared" si="0"/>
        <v>6000.1548227279782</v>
      </c>
      <c r="I791" s="23" t="s">
        <v>52</v>
      </c>
      <c r="J791" s="23" t="s">
        <v>61</v>
      </c>
      <c r="K791" s="24" t="s">
        <v>177</v>
      </c>
      <c r="L791" s="24">
        <v>163</v>
      </c>
      <c r="M791" s="12">
        <f t="shared" ref="M791:N791" si="796">G791/1.19</f>
        <v>5042.1469098554444</v>
      </c>
      <c r="N791" s="12">
        <f t="shared" si="796"/>
        <v>5042.1469098554444</v>
      </c>
      <c r="O791" s="12">
        <f t="shared" si="2"/>
        <v>958.00791287253378</v>
      </c>
      <c r="P791" s="13"/>
      <c r="Q791" s="14">
        <f t="shared" si="3"/>
        <v>2025</v>
      </c>
      <c r="R791" s="15">
        <f>VLOOKUP(MONTH(C791),'Datos Maestros'!M$2:N$14,2,FALSE)</f>
        <v>45474</v>
      </c>
      <c r="S791" s="11" t="str">
        <f>VLOOKUP(E791,Precios!B$2:W$941,3,FALSE)</f>
        <v>Queso Mantecoso</v>
      </c>
      <c r="T791" s="16">
        <f>VLOOKUP(E791,Precios!B$2:N$941,4,FALSE)*F791</f>
        <v>500</v>
      </c>
      <c r="U791" s="17"/>
      <c r="V791" s="12">
        <f>VLOOKUP(E791,Precios!B$2:N$941,13,FALSE)*F791</f>
        <v>1785.4242207798129</v>
      </c>
      <c r="W791" s="12">
        <f t="shared" si="4"/>
        <v>1785.4242207798129</v>
      </c>
      <c r="X791" s="12">
        <f>VLOOKUP(B791,'Datos Maestros'!$C$2:$D$7,2,FALSE)*V791</f>
        <v>0</v>
      </c>
      <c r="Y791" s="18">
        <f t="shared" si="5"/>
        <v>45866</v>
      </c>
      <c r="Z791" s="13" t="s">
        <v>39</v>
      </c>
      <c r="AA791" s="19" t="str">
        <f>VLOOKUP(D791,Clientes!$A$2:$J$486,9,FALSE)</f>
        <v>Ocacional</v>
      </c>
      <c r="AB791" s="13" t="str">
        <f>VLOOKUP(D791,Clientes!$A$2:$K$486,11,FALSE)</f>
        <v>Persona Natural</v>
      </c>
      <c r="AC791" s="13" t="str">
        <f>VLOOKUP(D791,Clientes!$A$2:$B$486,2,FALSE)</f>
        <v>Jardines de la viña</v>
      </c>
      <c r="AD791" s="20"/>
      <c r="AE791" s="20"/>
      <c r="AF791" s="13" t="s">
        <v>40</v>
      </c>
      <c r="AG791" s="15">
        <f t="shared" si="6"/>
        <v>45474</v>
      </c>
      <c r="AH791" s="13" t="s">
        <v>41</v>
      </c>
      <c r="AI791" s="13" t="str">
        <f t="shared" si="7"/>
        <v>Quesos</v>
      </c>
      <c r="AJ791" s="13" t="str">
        <f>VLOOKUP(E791,Precios!Z$2:AA$941,2,FALSE)</f>
        <v>Queso RUNCA Mantecoso</v>
      </c>
      <c r="AK791" s="14">
        <f>VLOOKUP(E791,Precios!Z$2:BB$941,3,FALSE)*F791</f>
        <v>-0.5</v>
      </c>
      <c r="AL791" s="17"/>
      <c r="AM791" s="17"/>
      <c r="AN791" s="17"/>
      <c r="AO791" s="17"/>
      <c r="AP791" s="17"/>
      <c r="AQ791" s="17"/>
      <c r="AR791" s="17"/>
      <c r="AS791" s="17"/>
      <c r="AT791" s="17"/>
      <c r="AU791" s="17"/>
      <c r="AV791" s="17"/>
    </row>
    <row r="792" spans="1:48" ht="15.75" customHeight="1">
      <c r="A792" s="21" t="s">
        <v>53</v>
      </c>
      <c r="B792" s="23" t="s">
        <v>1692</v>
      </c>
      <c r="C792" s="22">
        <v>45867</v>
      </c>
      <c r="D792" s="23" t="s">
        <v>135</v>
      </c>
      <c r="E792" s="23" t="s">
        <v>97</v>
      </c>
      <c r="F792" s="21">
        <v>1</v>
      </c>
      <c r="G792" s="12">
        <f>VLOOKUP(E792,Precios!B$2:N$941,12,FALSE)</f>
        <v>16500.236769693482</v>
      </c>
      <c r="H792" s="12">
        <f t="shared" si="0"/>
        <v>16500.236769693482</v>
      </c>
      <c r="I792" s="23" t="s">
        <v>52</v>
      </c>
      <c r="J792" s="23" t="s">
        <v>61</v>
      </c>
      <c r="K792" s="24" t="s">
        <v>177</v>
      </c>
      <c r="L792" s="24">
        <v>163</v>
      </c>
      <c r="M792" s="12">
        <f t="shared" ref="M792:N792" si="797">G792/1.19</f>
        <v>13865.745184616371</v>
      </c>
      <c r="N792" s="12">
        <f t="shared" si="797"/>
        <v>13865.745184616371</v>
      </c>
      <c r="O792" s="12">
        <f t="shared" si="2"/>
        <v>2634.4915850771104</v>
      </c>
      <c r="P792" s="13"/>
      <c r="Q792" s="14">
        <f t="shared" si="3"/>
        <v>2025</v>
      </c>
      <c r="R792" s="15">
        <f>VLOOKUP(MONTH(C792),'Datos Maestros'!M$2:N$14,2,FALSE)</f>
        <v>45474</v>
      </c>
      <c r="S792" s="11" t="str">
        <f>VLOOKUP(E792,Precios!B$2:W$941,3,FALSE)</f>
        <v>Papel Higiénico ELITE</v>
      </c>
      <c r="T792" s="16">
        <f>VLOOKUP(E792,Precios!B$2:N$941,4,FALSE)*F792</f>
        <v>0</v>
      </c>
      <c r="U792" s="17"/>
      <c r="V792" s="12">
        <f>VLOOKUP(E792,Precios!B$2:N$941,13,FALSE)*F792</f>
        <v>3031.7451846163694</v>
      </c>
      <c r="W792" s="12">
        <f t="shared" si="4"/>
        <v>3031.7451846163694</v>
      </c>
      <c r="X792" s="12">
        <f>VLOOKUP(B792,'Datos Maestros'!$C$2:$D$7,2,FALSE)*V792</f>
        <v>0</v>
      </c>
      <c r="Y792" s="18">
        <f t="shared" si="5"/>
        <v>45866</v>
      </c>
      <c r="Z792" s="13" t="s">
        <v>39</v>
      </c>
      <c r="AA792" s="19" t="str">
        <f>VLOOKUP(D792,Clientes!$A$2:$J$486,9,FALSE)</f>
        <v>Frecuente</v>
      </c>
      <c r="AB792" s="13" t="str">
        <f>VLOOKUP(D792,Clientes!$A$2:$K$486,11,FALSE)</f>
        <v>Persona Natural</v>
      </c>
      <c r="AC792" s="13" t="str">
        <f>VLOOKUP(D792,Clientes!$A$2:$B$486,2,FALSE)</f>
        <v>Ex 4to Antilhue</v>
      </c>
      <c r="AD792" s="20"/>
      <c r="AE792" s="20"/>
      <c r="AF792" s="13" t="s">
        <v>40</v>
      </c>
      <c r="AG792" s="15">
        <f t="shared" si="6"/>
        <v>45474</v>
      </c>
      <c r="AH792" s="13" t="s">
        <v>41</v>
      </c>
      <c r="AI792" s="13" t="str">
        <f t="shared" si="7"/>
        <v>Papeleria</v>
      </c>
      <c r="AJ792" s="13" t="str">
        <f>VLOOKUP(E792,Precios!Z$2:AA$941,2,FALSE)</f>
        <v>Papel Higienico ELITE 50 metros</v>
      </c>
      <c r="AK792" s="14">
        <f>VLOOKUP(E792,Precios!Z$2:BB$941,3,FALSE)*F792</f>
        <v>-6</v>
      </c>
      <c r="AL792" s="17"/>
      <c r="AM792" s="17"/>
      <c r="AN792" s="17"/>
      <c r="AO792" s="17"/>
      <c r="AP792" s="17"/>
      <c r="AQ792" s="17"/>
      <c r="AR792" s="17"/>
      <c r="AS792" s="17"/>
      <c r="AT792" s="17"/>
      <c r="AU792" s="17"/>
      <c r="AV792" s="17"/>
    </row>
    <row r="793" spans="1:48" ht="15.75" customHeight="1">
      <c r="A793" s="21" t="s">
        <v>53</v>
      </c>
      <c r="B793" s="23" t="s">
        <v>1692</v>
      </c>
      <c r="C793" s="22">
        <v>45867</v>
      </c>
      <c r="D793" s="23" t="s">
        <v>135</v>
      </c>
      <c r="E793" s="23" t="s">
        <v>69</v>
      </c>
      <c r="F793" s="21">
        <v>1</v>
      </c>
      <c r="G793" s="12">
        <f>VLOOKUP(E793,Precios!B$2:N$941,12,FALSE)</f>
        <v>2999.9553810458683</v>
      </c>
      <c r="H793" s="12">
        <f t="shared" si="0"/>
        <v>2999.9553810458683</v>
      </c>
      <c r="I793" s="23" t="s">
        <v>52</v>
      </c>
      <c r="J793" s="23" t="s">
        <v>61</v>
      </c>
      <c r="K793" s="24" t="s">
        <v>177</v>
      </c>
      <c r="L793" s="24">
        <v>163</v>
      </c>
      <c r="M793" s="12">
        <f t="shared" ref="M793:N793" si="798">G793/1.19</f>
        <v>2520.9709084419064</v>
      </c>
      <c r="N793" s="12">
        <f t="shared" si="798"/>
        <v>2520.9709084419064</v>
      </c>
      <c r="O793" s="12">
        <f t="shared" si="2"/>
        <v>478.98447260396188</v>
      </c>
      <c r="P793" s="13"/>
      <c r="Q793" s="14">
        <f t="shared" si="3"/>
        <v>2025</v>
      </c>
      <c r="R793" s="15">
        <f>VLOOKUP(MONTH(C793),'Datos Maestros'!M$2:N$14,2,FALSE)</f>
        <v>45474</v>
      </c>
      <c r="S793" s="11" t="str">
        <f>VLOOKUP(E793,Precios!B$2:W$941,3,FALSE)</f>
        <v>Toalla Nova 70 mts</v>
      </c>
      <c r="T793" s="16">
        <f>VLOOKUP(E793,Precios!B$2:N$941,4,FALSE)*F793</f>
        <v>0</v>
      </c>
      <c r="U793" s="17"/>
      <c r="V793" s="12">
        <f>VLOOKUP(E793,Precios!B$2:N$941,13,FALSE)*F793</f>
        <v>825.97090844190598</v>
      </c>
      <c r="W793" s="12">
        <f t="shared" si="4"/>
        <v>825.97090844190598</v>
      </c>
      <c r="X793" s="12">
        <f>VLOOKUP(B793,'Datos Maestros'!$C$2:$D$7,2,FALSE)*V793</f>
        <v>0</v>
      </c>
      <c r="Y793" s="18">
        <f t="shared" si="5"/>
        <v>45866</v>
      </c>
      <c r="Z793" s="13" t="s">
        <v>39</v>
      </c>
      <c r="AA793" s="19" t="str">
        <f>VLOOKUP(D793,Clientes!$A$2:$J$486,9,FALSE)</f>
        <v>Frecuente</v>
      </c>
      <c r="AB793" s="13" t="str">
        <f>VLOOKUP(D793,Clientes!$A$2:$K$486,11,FALSE)</f>
        <v>Persona Natural</v>
      </c>
      <c r="AC793" s="13" t="str">
        <f>VLOOKUP(D793,Clientes!$A$2:$B$486,2,FALSE)</f>
        <v>Ex 4to Antilhue</v>
      </c>
      <c r="AD793" s="20"/>
      <c r="AE793" s="20"/>
      <c r="AF793" s="13" t="s">
        <v>40</v>
      </c>
      <c r="AG793" s="15">
        <f t="shared" si="6"/>
        <v>45474</v>
      </c>
      <c r="AH793" s="13" t="s">
        <v>41</v>
      </c>
      <c r="AI793" s="13" t="str">
        <f t="shared" si="7"/>
        <v>Papeleria</v>
      </c>
      <c r="AJ793" s="13" t="str">
        <f>VLOOKUP(E793,Precios!Z$2:AA$941,2,FALSE)</f>
        <v>Toalla Papel NOVA 70 metros</v>
      </c>
      <c r="AK793" s="14">
        <f>VLOOKUP(E793,Precios!Z$2:BB$941,3,FALSE)*F793</f>
        <v>-1</v>
      </c>
      <c r="AL793" s="17"/>
      <c r="AM793" s="17"/>
      <c r="AN793" s="17"/>
      <c r="AO793" s="17"/>
      <c r="AP793" s="17"/>
      <c r="AQ793" s="17"/>
      <c r="AR793" s="17"/>
      <c r="AS793" s="17"/>
      <c r="AT793" s="17"/>
      <c r="AU793" s="17"/>
      <c r="AV793" s="17"/>
    </row>
    <row r="794" spans="1:48" ht="15.75" customHeight="1">
      <c r="A794" s="21" t="s">
        <v>76</v>
      </c>
      <c r="B794" s="23" t="s">
        <v>1692</v>
      </c>
      <c r="C794" s="22">
        <v>45867</v>
      </c>
      <c r="D794" s="23" t="s">
        <v>135</v>
      </c>
      <c r="E794" s="23" t="s">
        <v>137</v>
      </c>
      <c r="F794" s="21">
        <v>1</v>
      </c>
      <c r="G794" s="12">
        <f>VLOOKUP(E794,Precios!B$2:N$941,12,FALSE)</f>
        <v>3500.0000000000005</v>
      </c>
      <c r="H794" s="12">
        <f t="shared" si="0"/>
        <v>3500.0000000000005</v>
      </c>
      <c r="I794" s="23" t="s">
        <v>52</v>
      </c>
      <c r="J794" s="23" t="s">
        <v>61</v>
      </c>
      <c r="K794" s="24" t="s">
        <v>177</v>
      </c>
      <c r="L794" s="24">
        <v>163</v>
      </c>
      <c r="M794" s="12">
        <f t="shared" ref="M794:N794" si="799">G794/1.19</f>
        <v>2941.1764705882356</v>
      </c>
      <c r="N794" s="12">
        <f t="shared" si="799"/>
        <v>2941.1764705882356</v>
      </c>
      <c r="O794" s="12">
        <f t="shared" si="2"/>
        <v>558.82352941176487</v>
      </c>
      <c r="P794" s="13"/>
      <c r="Q794" s="14">
        <f t="shared" si="3"/>
        <v>2025</v>
      </c>
      <c r="R794" s="15">
        <f>VLOOKUP(MONTH(C794),'Datos Maestros'!M$2:N$14,2,FALSE)</f>
        <v>45474</v>
      </c>
      <c r="S794" s="11" t="str">
        <f>VLOOKUP(E794,Precios!B$2:W$941,3,FALSE)</f>
        <v>Detergente Piel Sensible</v>
      </c>
      <c r="T794" s="16">
        <f>VLOOKUP(E794,Precios!B$2:N$941,4,FALSE)*F794</f>
        <v>5</v>
      </c>
      <c r="U794" s="17"/>
      <c r="V794" s="12">
        <f>VLOOKUP(E794,Precios!B$2:N$941,13,FALSE)*F794</f>
        <v>848.73949579831969</v>
      </c>
      <c r="W794" s="12">
        <f t="shared" si="4"/>
        <v>848.73949579831969</v>
      </c>
      <c r="X794" s="12">
        <f>VLOOKUP(B794,'Datos Maestros'!$C$2:$D$7,2,FALSE)*V794</f>
        <v>0</v>
      </c>
      <c r="Y794" s="18">
        <f t="shared" si="5"/>
        <v>45866</v>
      </c>
      <c r="Z794" s="13" t="s">
        <v>39</v>
      </c>
      <c r="AA794" s="19" t="str">
        <f>VLOOKUP(D794,Clientes!$A$2:$J$486,9,FALSE)</f>
        <v>Frecuente</v>
      </c>
      <c r="AB794" s="13" t="str">
        <f>VLOOKUP(D794,Clientes!$A$2:$K$486,11,FALSE)</f>
        <v>Persona Natural</v>
      </c>
      <c r="AC794" s="13" t="str">
        <f>VLOOKUP(D794,Clientes!$A$2:$B$486,2,FALSE)</f>
        <v>Ex 4to Antilhue</v>
      </c>
      <c r="AD794" s="20"/>
      <c r="AE794" s="20"/>
      <c r="AF794" s="13" t="s">
        <v>40</v>
      </c>
      <c r="AG794" s="15">
        <f t="shared" si="6"/>
        <v>45474</v>
      </c>
      <c r="AH794" s="13" t="s">
        <v>41</v>
      </c>
      <c r="AI794" s="13" t="str">
        <f t="shared" si="7"/>
        <v>Detergentes</v>
      </c>
      <c r="AJ794" s="13" t="str">
        <f>VLOOKUP(E794,Precios!Z$2:AA$941,2,FALSE)</f>
        <v>Detergente SPUM 5 Litros (Blanco)</v>
      </c>
      <c r="AK794" s="14">
        <f>VLOOKUP(E794,Precios!Z$2:BB$941,3,FALSE)*F794</f>
        <v>-1</v>
      </c>
      <c r="AL794" s="17"/>
      <c r="AM794" s="17"/>
      <c r="AN794" s="17"/>
      <c r="AO794" s="17"/>
      <c r="AP794" s="17"/>
      <c r="AQ794" s="17"/>
      <c r="AR794" s="17"/>
      <c r="AS794" s="17"/>
      <c r="AT794" s="17"/>
      <c r="AU794" s="17"/>
      <c r="AV794" s="17"/>
    </row>
    <row r="795" spans="1:48" ht="15.75" customHeight="1">
      <c r="A795" s="21" t="s">
        <v>76</v>
      </c>
      <c r="B795" s="23" t="s">
        <v>1692</v>
      </c>
      <c r="C795" s="22">
        <v>45867</v>
      </c>
      <c r="D795" s="23" t="s">
        <v>135</v>
      </c>
      <c r="E795" s="23" t="s">
        <v>82</v>
      </c>
      <c r="F795" s="21">
        <v>1</v>
      </c>
      <c r="G795" s="12">
        <f>VLOOKUP(E795,Precios!B$2:N$941,12,FALSE)</f>
        <v>2000.0000000000002</v>
      </c>
      <c r="H795" s="12">
        <f t="shared" si="0"/>
        <v>2000.0000000000002</v>
      </c>
      <c r="I795" s="23" t="s">
        <v>52</v>
      </c>
      <c r="J795" s="23" t="s">
        <v>61</v>
      </c>
      <c r="K795" s="24" t="s">
        <v>177</v>
      </c>
      <c r="L795" s="24">
        <v>163</v>
      </c>
      <c r="M795" s="12">
        <f t="shared" ref="M795:N795" si="800">G795/1.19</f>
        <v>1680.6722689075632</v>
      </c>
      <c r="N795" s="12">
        <f t="shared" si="800"/>
        <v>1680.6722689075632</v>
      </c>
      <c r="O795" s="12">
        <f t="shared" si="2"/>
        <v>319.32773109243703</v>
      </c>
      <c r="P795" s="13"/>
      <c r="Q795" s="14">
        <f t="shared" si="3"/>
        <v>2025</v>
      </c>
      <c r="R795" s="15">
        <f>VLOOKUP(MONTH(C795),'Datos Maestros'!M$2:N$14,2,FALSE)</f>
        <v>45474</v>
      </c>
      <c r="S795" s="11" t="str">
        <f>VLOOKUP(E795,Precios!B$2:W$941,3,FALSE)</f>
        <v>Limpiapiso</v>
      </c>
      <c r="T795" s="16">
        <f>VLOOKUP(E795,Precios!B$2:N$941,4,FALSE)*F795</f>
        <v>5</v>
      </c>
      <c r="U795" s="17"/>
      <c r="V795" s="12">
        <f>VLOOKUP(E795,Precios!B$2:N$941,13,FALSE)*F795</f>
        <v>680.67226890756319</v>
      </c>
      <c r="W795" s="12">
        <f t="shared" si="4"/>
        <v>680.67226890756319</v>
      </c>
      <c r="X795" s="12">
        <f>VLOOKUP(B795,'Datos Maestros'!$C$2:$D$7,2,FALSE)*V795</f>
        <v>0</v>
      </c>
      <c r="Y795" s="18">
        <f t="shared" si="5"/>
        <v>45866</v>
      </c>
      <c r="Z795" s="13" t="s">
        <v>39</v>
      </c>
      <c r="AA795" s="19" t="str">
        <f>VLOOKUP(D795,Clientes!$A$2:$J$486,9,FALSE)</f>
        <v>Frecuente</v>
      </c>
      <c r="AB795" s="13" t="str">
        <f>VLOOKUP(D795,Clientes!$A$2:$K$486,11,FALSE)</f>
        <v>Persona Natural</v>
      </c>
      <c r="AC795" s="13" t="str">
        <f>VLOOKUP(D795,Clientes!$A$2:$B$486,2,FALSE)</f>
        <v>Ex 4to Antilhue</v>
      </c>
      <c r="AD795" s="20"/>
      <c r="AE795" s="20"/>
      <c r="AF795" s="13" t="s">
        <v>40</v>
      </c>
      <c r="AG795" s="15">
        <f t="shared" si="6"/>
        <v>45474</v>
      </c>
      <c r="AH795" s="13" t="s">
        <v>41</v>
      </c>
      <c r="AI795" s="13" t="str">
        <f t="shared" si="7"/>
        <v>Detergentes</v>
      </c>
      <c r="AJ795" s="13" t="str">
        <f>VLOOKUP(E795,Precios!Z$2:AA$941,2,FALSE)</f>
        <v>Limpiapiso SPUM 5 Litros</v>
      </c>
      <c r="AK795" s="14">
        <f>VLOOKUP(E795,Precios!Z$2:BB$941,3,FALSE)*F795</f>
        <v>-1</v>
      </c>
      <c r="AL795" s="17"/>
      <c r="AM795" s="17"/>
      <c r="AN795" s="17"/>
      <c r="AO795" s="17"/>
      <c r="AP795" s="17"/>
      <c r="AQ795" s="17"/>
      <c r="AR795" s="17"/>
      <c r="AS795" s="17"/>
      <c r="AT795" s="17"/>
      <c r="AU795" s="17"/>
      <c r="AV795" s="17"/>
    </row>
    <row r="796" spans="1:48" ht="15.75" customHeight="1">
      <c r="A796" s="21" t="s">
        <v>56</v>
      </c>
      <c r="B796" s="23" t="s">
        <v>1692</v>
      </c>
      <c r="C796" s="22">
        <v>45867</v>
      </c>
      <c r="D796" s="23" t="s">
        <v>116</v>
      </c>
      <c r="E796" s="23" t="s">
        <v>67</v>
      </c>
      <c r="F796" s="21">
        <v>1</v>
      </c>
      <c r="G796" s="12">
        <f>VLOOKUP(E796,Precios!B$2:N$941,12,FALSE)</f>
        <v>7000.0000000000009</v>
      </c>
      <c r="H796" s="12">
        <f t="shared" si="0"/>
        <v>7000.0000000000009</v>
      </c>
      <c r="I796" s="23" t="s">
        <v>52</v>
      </c>
      <c r="J796" s="23" t="s">
        <v>61</v>
      </c>
      <c r="K796" s="24" t="s">
        <v>177</v>
      </c>
      <c r="L796" s="24">
        <v>163</v>
      </c>
      <c r="M796" s="12">
        <f t="shared" ref="M796:N796" si="801">G796/1.19</f>
        <v>5882.3529411764712</v>
      </c>
      <c r="N796" s="12">
        <f t="shared" si="801"/>
        <v>5882.3529411764712</v>
      </c>
      <c r="O796" s="12">
        <f t="shared" si="2"/>
        <v>1117.6470588235297</v>
      </c>
      <c r="P796" s="13"/>
      <c r="Q796" s="14">
        <f t="shared" si="3"/>
        <v>2025</v>
      </c>
      <c r="R796" s="15">
        <f>VLOOKUP(MONTH(C796),'Datos Maestros'!M$2:N$14,2,FALSE)</f>
        <v>45474</v>
      </c>
      <c r="S796" s="11" t="str">
        <f>VLOOKUP(E796,Precios!B$2:W$941,3,FALSE)</f>
        <v>Mantequilla</v>
      </c>
      <c r="T796" s="16">
        <f>VLOOKUP(E796,Precios!B$2:N$941,4,FALSE)*F796</f>
        <v>200</v>
      </c>
      <c r="U796" s="17"/>
      <c r="V796" s="12">
        <f>VLOOKUP(E796,Precios!B$2:N$941,13,FALSE)*F796</f>
        <v>1512.6050420168067</v>
      </c>
      <c r="W796" s="12">
        <f t="shared" si="4"/>
        <v>1512.6050420168067</v>
      </c>
      <c r="X796" s="12">
        <f>VLOOKUP(B796,'Datos Maestros'!$C$2:$D$7,2,FALSE)*V796</f>
        <v>0</v>
      </c>
      <c r="Y796" s="18">
        <f t="shared" si="5"/>
        <v>45866</v>
      </c>
      <c r="Z796" s="13" t="s">
        <v>39</v>
      </c>
      <c r="AA796" s="19" t="str">
        <f>VLOOKUP(D796,Clientes!$A$2:$J$486,9,FALSE)</f>
        <v>Ocacional</v>
      </c>
      <c r="AB796" s="13" t="str">
        <f>VLOOKUP(D796,Clientes!$A$2:$K$486,11,FALSE)</f>
        <v>Persona Natural</v>
      </c>
      <c r="AC796" s="13">
        <f>VLOOKUP(D796,Clientes!$A$2:$B$486,2,FALSE)</f>
        <v>0</v>
      </c>
      <c r="AD796" s="20"/>
      <c r="AE796" s="20"/>
      <c r="AF796" s="13" t="s">
        <v>40</v>
      </c>
      <c r="AG796" s="15">
        <f t="shared" si="6"/>
        <v>45474</v>
      </c>
      <c r="AH796" s="13" t="s">
        <v>41</v>
      </c>
      <c r="AI796" s="13" t="str">
        <f t="shared" si="7"/>
        <v>Derivados</v>
      </c>
      <c r="AJ796" s="13" t="str">
        <f>VLOOKUP(E796,Precios!Z$2:AA$941,2,FALSE)</f>
        <v>Mantequilla RUMAY</v>
      </c>
      <c r="AK796" s="14">
        <f>VLOOKUP(E796,Precios!Z$2:BB$941,3,FALSE)*F796</f>
        <v>-3</v>
      </c>
      <c r="AL796" s="17"/>
      <c r="AM796" s="17"/>
      <c r="AN796" s="17"/>
      <c r="AO796" s="17"/>
      <c r="AP796" s="17"/>
      <c r="AQ796" s="17"/>
      <c r="AR796" s="17"/>
      <c r="AS796" s="17"/>
      <c r="AT796" s="17"/>
      <c r="AU796" s="17"/>
      <c r="AV796" s="17"/>
    </row>
    <row r="797" spans="1:48" ht="15.75" customHeight="1">
      <c r="A797" s="21" t="s">
        <v>35</v>
      </c>
      <c r="B797" s="23" t="s">
        <v>1692</v>
      </c>
      <c r="C797" s="22">
        <v>45867</v>
      </c>
      <c r="D797" s="23" t="s">
        <v>116</v>
      </c>
      <c r="E797" s="23" t="s">
        <v>117</v>
      </c>
      <c r="F797" s="21">
        <v>1</v>
      </c>
      <c r="G797" s="12">
        <f>VLOOKUP(E797,Precios!B$2:N$941,12,FALSE)</f>
        <v>8999.8271341726922</v>
      </c>
      <c r="H797" s="12">
        <f t="shared" si="0"/>
        <v>8999.8271341726922</v>
      </c>
      <c r="I797" s="23" t="s">
        <v>52</v>
      </c>
      <c r="J797" s="23" t="s">
        <v>61</v>
      </c>
      <c r="K797" s="24" t="s">
        <v>177</v>
      </c>
      <c r="L797" s="24">
        <v>163</v>
      </c>
      <c r="M797" s="12">
        <f t="shared" ref="M797:N797" si="802">G797/1.19</f>
        <v>7562.8799446829353</v>
      </c>
      <c r="N797" s="12">
        <f t="shared" si="802"/>
        <v>7562.8799446829353</v>
      </c>
      <c r="O797" s="12">
        <f t="shared" si="2"/>
        <v>1436.947189489757</v>
      </c>
      <c r="P797" s="13"/>
      <c r="Q797" s="14">
        <f t="shared" si="3"/>
        <v>2025</v>
      </c>
      <c r="R797" s="15">
        <f>VLOOKUP(MONTH(C797),'Datos Maestros'!M$2:N$14,2,FALSE)</f>
        <v>45474</v>
      </c>
      <c r="S797" s="11" t="str">
        <f>VLOOKUP(E797,Precios!B$2:W$941,3,FALSE)</f>
        <v>Queso Mantecoso</v>
      </c>
      <c r="T797" s="16">
        <f>VLOOKUP(E797,Precios!B$2:N$941,4,FALSE)*F797</f>
        <v>750</v>
      </c>
      <c r="U797" s="17"/>
      <c r="V797" s="12">
        <f>VLOOKUP(E797,Precios!B$2:N$941,13,FALSE)*F797</f>
        <v>2312.8799446829353</v>
      </c>
      <c r="W797" s="12">
        <f t="shared" si="4"/>
        <v>2312.8799446829353</v>
      </c>
      <c r="X797" s="12">
        <f>VLOOKUP(B797,'Datos Maestros'!$C$2:$D$7,2,FALSE)*V797</f>
        <v>0</v>
      </c>
      <c r="Y797" s="18">
        <f t="shared" si="5"/>
        <v>45866</v>
      </c>
      <c r="Z797" s="13" t="s">
        <v>39</v>
      </c>
      <c r="AA797" s="19" t="str">
        <f>VLOOKUP(D797,Clientes!$A$2:$J$486,9,FALSE)</f>
        <v>Ocacional</v>
      </c>
      <c r="AB797" s="13" t="str">
        <f>VLOOKUP(D797,Clientes!$A$2:$K$486,11,FALSE)</f>
        <v>Persona Natural</v>
      </c>
      <c r="AC797" s="13">
        <f>VLOOKUP(D797,Clientes!$A$2:$B$486,2,FALSE)</f>
        <v>0</v>
      </c>
      <c r="AD797" s="20"/>
      <c r="AE797" s="20"/>
      <c r="AF797" s="13" t="s">
        <v>40</v>
      </c>
      <c r="AG797" s="15">
        <f t="shared" si="6"/>
        <v>45474</v>
      </c>
      <c r="AH797" s="13" t="s">
        <v>41</v>
      </c>
      <c r="AI797" s="13" t="str">
        <f t="shared" si="7"/>
        <v>Quesos</v>
      </c>
      <c r="AJ797" s="13" t="str">
        <f>VLOOKUP(E797,Precios!Z$2:AA$941,2,FALSE)</f>
        <v>Queso RUNCA Laminado Mantecoso</v>
      </c>
      <c r="AK797" s="14">
        <f>VLOOKUP(E797,Precios!Z$2:BB$941,3,FALSE)*F797</f>
        <v>-0.75</v>
      </c>
      <c r="AL797" s="17"/>
      <c r="AM797" s="17"/>
      <c r="AN797" s="17"/>
      <c r="AO797" s="17"/>
      <c r="AP797" s="17"/>
      <c r="AQ797" s="17"/>
      <c r="AR797" s="17"/>
      <c r="AS797" s="17"/>
      <c r="AT797" s="17"/>
      <c r="AU797" s="17"/>
      <c r="AV797" s="17"/>
    </row>
    <row r="798" spans="1:48" ht="15.75" customHeight="1">
      <c r="A798" s="21" t="s">
        <v>43</v>
      </c>
      <c r="B798" s="23" t="s">
        <v>1692</v>
      </c>
      <c r="C798" s="22">
        <v>45867</v>
      </c>
      <c r="D798" s="23" t="s">
        <v>116</v>
      </c>
      <c r="E798" s="23" t="s">
        <v>45</v>
      </c>
      <c r="F798" s="21">
        <v>1</v>
      </c>
      <c r="G798" s="12">
        <f>VLOOKUP(E798,Precios!B$2:N$941,12,FALSE)</f>
        <v>8000.1831784723063</v>
      </c>
      <c r="H798" s="12">
        <f t="shared" si="0"/>
        <v>8000.1831784723063</v>
      </c>
      <c r="I798" s="23" t="s">
        <v>52</v>
      </c>
      <c r="J798" s="23" t="s">
        <v>61</v>
      </c>
      <c r="K798" s="24" t="s">
        <v>177</v>
      </c>
      <c r="L798" s="24">
        <v>163</v>
      </c>
      <c r="M798" s="12">
        <f t="shared" ref="M798:N798" si="803">G798/1.19</f>
        <v>6722.8430071195853</v>
      </c>
      <c r="N798" s="12">
        <f t="shared" si="803"/>
        <v>6722.8430071195853</v>
      </c>
      <c r="O798" s="12">
        <f t="shared" si="2"/>
        <v>1277.340171352721</v>
      </c>
      <c r="P798" s="13"/>
      <c r="Q798" s="14">
        <f t="shared" si="3"/>
        <v>2025</v>
      </c>
      <c r="R798" s="15">
        <f>VLOOKUP(MONTH(C798),'Datos Maestros'!M$2:N$14,2,FALSE)</f>
        <v>45474</v>
      </c>
      <c r="S798" s="11" t="str">
        <f>VLOOKUP(E798,Precios!B$2:W$941,3,FALSE)</f>
        <v>Huevos EXTRA</v>
      </c>
      <c r="T798" s="16">
        <f>VLOOKUP(E798,Precios!B$2:N$941,4,FALSE)*F798</f>
        <v>0</v>
      </c>
      <c r="U798" s="17"/>
      <c r="V798" s="12">
        <f>VLOOKUP(E798,Precios!B$2:N$941,13,FALSE)*F798</f>
        <v>1151.6230071195851</v>
      </c>
      <c r="W798" s="12">
        <f t="shared" si="4"/>
        <v>1151.6230071195851</v>
      </c>
      <c r="X798" s="12">
        <f>VLOOKUP(B798,'Datos Maestros'!$C$2:$D$7,2,FALSE)*V798</f>
        <v>0</v>
      </c>
      <c r="Y798" s="18">
        <f t="shared" si="5"/>
        <v>45866</v>
      </c>
      <c r="Z798" s="13" t="s">
        <v>39</v>
      </c>
      <c r="AA798" s="19" t="str">
        <f>VLOOKUP(D798,Clientes!$A$2:$J$486,9,FALSE)</f>
        <v>Ocacional</v>
      </c>
      <c r="AB798" s="13" t="str">
        <f>VLOOKUP(D798,Clientes!$A$2:$K$486,11,FALSE)</f>
        <v>Persona Natural</v>
      </c>
      <c r="AC798" s="13">
        <f>VLOOKUP(D798,Clientes!$A$2:$B$486,2,FALSE)</f>
        <v>0</v>
      </c>
      <c r="AD798" s="20"/>
      <c r="AE798" s="20"/>
      <c r="AF798" s="13" t="s">
        <v>40</v>
      </c>
      <c r="AG798" s="15">
        <f t="shared" si="6"/>
        <v>45474</v>
      </c>
      <c r="AH798" s="13" t="s">
        <v>41</v>
      </c>
      <c r="AI798" s="13" t="str">
        <f t="shared" si="7"/>
        <v>Huevos</v>
      </c>
      <c r="AJ798" s="13" t="str">
        <f>VLOOKUP(E798,Precios!Z$2:AA$941,2,FALSE)</f>
        <v>Bandeja Huevos EXTRA</v>
      </c>
      <c r="AK798" s="14">
        <f>VLOOKUP(E798,Precios!Z$2:BB$941,3,FALSE)*F798</f>
        <v>-1</v>
      </c>
      <c r="AL798" s="17"/>
      <c r="AM798" s="17"/>
      <c r="AN798" s="17"/>
      <c r="AO798" s="17"/>
      <c r="AP798" s="17"/>
      <c r="AQ798" s="17"/>
      <c r="AR798" s="17"/>
      <c r="AS798" s="17"/>
      <c r="AT798" s="17"/>
      <c r="AU798" s="17"/>
      <c r="AV798" s="17"/>
    </row>
    <row r="799" spans="1:48" ht="15.75" customHeight="1">
      <c r="A799" s="21" t="s">
        <v>53</v>
      </c>
      <c r="B799" s="23" t="s">
        <v>1692</v>
      </c>
      <c r="C799" s="22">
        <v>45867</v>
      </c>
      <c r="D799" s="23" t="s">
        <v>307</v>
      </c>
      <c r="E799" s="23" t="s">
        <v>203</v>
      </c>
      <c r="F799" s="21">
        <v>1</v>
      </c>
      <c r="G799" s="12">
        <f>VLOOKUP(E799,Precios!B$2:N$941,12,FALSE)</f>
        <v>10000.35681042507</v>
      </c>
      <c r="H799" s="12">
        <f t="shared" si="0"/>
        <v>10000.35681042507</v>
      </c>
      <c r="I799" s="23" t="s">
        <v>52</v>
      </c>
      <c r="J799" s="23" t="s">
        <v>61</v>
      </c>
      <c r="K799" s="24" t="s">
        <v>86</v>
      </c>
      <c r="L799" s="24">
        <v>97</v>
      </c>
      <c r="M799" s="12">
        <f t="shared" ref="M799:N799" si="804">G799/1.19</f>
        <v>8403.6611852311507</v>
      </c>
      <c r="N799" s="12">
        <f t="shared" si="804"/>
        <v>8403.6611852311507</v>
      </c>
      <c r="O799" s="12">
        <f t="shared" si="2"/>
        <v>1596.6956251939191</v>
      </c>
      <c r="P799" s="13"/>
      <c r="Q799" s="14">
        <f t="shared" si="3"/>
        <v>2025</v>
      </c>
      <c r="R799" s="15">
        <f>VLOOKUP(MONTH(C799),'Datos Maestros'!M$2:N$14,2,FALSE)</f>
        <v>45474</v>
      </c>
      <c r="S799" s="11" t="str">
        <f>VLOOKUP(E799,Precios!B$2:W$941,3,FALSE)</f>
        <v>Papel Higiénico ELITE</v>
      </c>
      <c r="T799" s="16">
        <f>VLOOKUP(E799,Precios!B$2:N$941,4,FALSE)*F799</f>
        <v>0</v>
      </c>
      <c r="U799" s="17"/>
      <c r="V799" s="12">
        <f>VLOOKUP(E799,Precios!B$2:N$941,13,FALSE)*F799</f>
        <v>2986.6611852311507</v>
      </c>
      <c r="W799" s="12">
        <f t="shared" si="4"/>
        <v>2986.6611852311507</v>
      </c>
      <c r="X799" s="12">
        <f>VLOOKUP(B799,'Datos Maestros'!$C$2:$D$7,2,FALSE)*V799</f>
        <v>0</v>
      </c>
      <c r="Y799" s="18">
        <f t="shared" si="5"/>
        <v>45866</v>
      </c>
      <c r="Z799" s="13" t="s">
        <v>39</v>
      </c>
      <c r="AA799" s="19" t="str">
        <f>VLOOKUP(D799,Clientes!$A$2:$J$486,9,FALSE)</f>
        <v>regular</v>
      </c>
      <c r="AB799" s="13" t="str">
        <f>VLOOKUP(D799,Clientes!$A$2:$K$486,11,FALSE)</f>
        <v>Empresa</v>
      </c>
      <c r="AC799" s="13" t="str">
        <f>VLOOKUP(D799,Clientes!$A$2:$B$486,2,FALSE)</f>
        <v>Jardines de la viña</v>
      </c>
      <c r="AD799" s="20"/>
      <c r="AE799" s="20"/>
      <c r="AF799" s="13" t="s">
        <v>40</v>
      </c>
      <c r="AG799" s="15">
        <f t="shared" si="6"/>
        <v>45474</v>
      </c>
      <c r="AH799" s="13" t="s">
        <v>41</v>
      </c>
      <c r="AI799" s="13" t="str">
        <f t="shared" si="7"/>
        <v>Papeleria</v>
      </c>
      <c r="AJ799" s="13" t="str">
        <f>VLOOKUP(E799,Precios!Z$2:AA$941,2,FALSE)</f>
        <v>Papel Higienico ELITE 50 metros</v>
      </c>
      <c r="AK799" s="14">
        <f>VLOOKUP(E799,Precios!Z$2:BB$941,3,FALSE)*F799</f>
        <v>-3</v>
      </c>
      <c r="AL799" s="17"/>
      <c r="AM799" s="17"/>
      <c r="AN799" s="17"/>
      <c r="AO799" s="17"/>
      <c r="AP799" s="17"/>
      <c r="AQ799" s="17"/>
      <c r="AR799" s="17"/>
      <c r="AS799" s="17"/>
      <c r="AT799" s="17"/>
      <c r="AU799" s="17"/>
      <c r="AV799" s="17"/>
    </row>
    <row r="800" spans="1:48" ht="15.75" customHeight="1">
      <c r="A800" s="21" t="s">
        <v>53</v>
      </c>
      <c r="B800" s="23" t="s">
        <v>1692</v>
      </c>
      <c r="C800" s="22">
        <v>45867</v>
      </c>
      <c r="D800" s="23" t="s">
        <v>307</v>
      </c>
      <c r="E800" s="23" t="s">
        <v>69</v>
      </c>
      <c r="F800" s="21">
        <v>3</v>
      </c>
      <c r="G800" s="12">
        <f>VLOOKUP(E800,Precios!B$2:N$941,12,FALSE)</f>
        <v>2999.9553810458683</v>
      </c>
      <c r="H800" s="12">
        <f t="shared" si="0"/>
        <v>8999.8661431376058</v>
      </c>
      <c r="I800" s="23" t="s">
        <v>52</v>
      </c>
      <c r="J800" s="23" t="s">
        <v>61</v>
      </c>
      <c r="K800" s="24" t="s">
        <v>86</v>
      </c>
      <c r="L800" s="24">
        <v>97</v>
      </c>
      <c r="M800" s="12">
        <f t="shared" ref="M800:N800" si="805">G800/1.19</f>
        <v>2520.9709084419064</v>
      </c>
      <c r="N800" s="12">
        <f t="shared" si="805"/>
        <v>7562.9127253257193</v>
      </c>
      <c r="O800" s="12">
        <f t="shared" si="2"/>
        <v>1436.9534178118865</v>
      </c>
      <c r="P800" s="13"/>
      <c r="Q800" s="14">
        <f t="shared" si="3"/>
        <v>2025</v>
      </c>
      <c r="R800" s="15">
        <f>VLOOKUP(MONTH(C800),'Datos Maestros'!M$2:N$14,2,FALSE)</f>
        <v>45474</v>
      </c>
      <c r="S800" s="11" t="str">
        <f>VLOOKUP(E800,Precios!B$2:W$941,3,FALSE)</f>
        <v>Toalla Nova 70 mts</v>
      </c>
      <c r="T800" s="16">
        <f>VLOOKUP(E800,Precios!B$2:N$941,4,FALSE)*F800</f>
        <v>0</v>
      </c>
      <c r="U800" s="17"/>
      <c r="V800" s="12">
        <f>VLOOKUP(E800,Precios!B$2:N$941,13,FALSE)*F800</f>
        <v>2477.9127253257179</v>
      </c>
      <c r="W800" s="12">
        <f t="shared" si="4"/>
        <v>2477.9127253257179</v>
      </c>
      <c r="X800" s="12">
        <f>VLOOKUP(B800,'Datos Maestros'!$C$2:$D$7,2,FALSE)*V800</f>
        <v>0</v>
      </c>
      <c r="Y800" s="18">
        <f t="shared" si="5"/>
        <v>45866</v>
      </c>
      <c r="Z800" s="13" t="s">
        <v>39</v>
      </c>
      <c r="AA800" s="19" t="str">
        <f>VLOOKUP(D800,Clientes!$A$2:$J$486,9,FALSE)</f>
        <v>regular</v>
      </c>
      <c r="AB800" s="13" t="str">
        <f>VLOOKUP(D800,Clientes!$A$2:$K$486,11,FALSE)</f>
        <v>Empresa</v>
      </c>
      <c r="AC800" s="13" t="str">
        <f>VLOOKUP(D800,Clientes!$A$2:$B$486,2,FALSE)</f>
        <v>Jardines de la viña</v>
      </c>
      <c r="AD800" s="20"/>
      <c r="AE800" s="20"/>
      <c r="AF800" s="13" t="s">
        <v>40</v>
      </c>
      <c r="AG800" s="15">
        <f t="shared" si="6"/>
        <v>45474</v>
      </c>
      <c r="AH800" s="13" t="s">
        <v>41</v>
      </c>
      <c r="AI800" s="13" t="str">
        <f t="shared" si="7"/>
        <v>Papeleria</v>
      </c>
      <c r="AJ800" s="13" t="str">
        <f>VLOOKUP(E800,Precios!Z$2:AA$941,2,FALSE)</f>
        <v>Toalla Papel NOVA 70 metros</v>
      </c>
      <c r="AK800" s="14">
        <f>VLOOKUP(E800,Precios!Z$2:BB$941,3,FALSE)*F800</f>
        <v>-3</v>
      </c>
      <c r="AL800" s="17"/>
      <c r="AM800" s="17"/>
      <c r="AN800" s="17"/>
      <c r="AO800" s="17"/>
      <c r="AP800" s="17"/>
      <c r="AQ800" s="17"/>
      <c r="AR800" s="17"/>
      <c r="AS800" s="17"/>
      <c r="AT800" s="17"/>
      <c r="AU800" s="17"/>
      <c r="AV800" s="17"/>
    </row>
    <row r="801" spans="1:48" ht="15.75" customHeight="1">
      <c r="A801" s="21" t="s">
        <v>47</v>
      </c>
      <c r="B801" s="23" t="s">
        <v>1692</v>
      </c>
      <c r="C801" s="22">
        <v>45867</v>
      </c>
      <c r="D801" s="23" t="s">
        <v>307</v>
      </c>
      <c r="E801" s="23" t="s">
        <v>170</v>
      </c>
      <c r="F801" s="21">
        <v>1</v>
      </c>
      <c r="G801" s="12">
        <f>VLOOKUP(E801,Precios!B$2:N$941,12,FALSE)</f>
        <v>1800.1699716713879</v>
      </c>
      <c r="H801" s="12">
        <f t="shared" si="0"/>
        <v>1800.1699716713879</v>
      </c>
      <c r="I801" s="23" t="s">
        <v>52</v>
      </c>
      <c r="J801" s="23" t="s">
        <v>61</v>
      </c>
      <c r="K801" s="24" t="s">
        <v>86</v>
      </c>
      <c r="L801" s="24">
        <v>97</v>
      </c>
      <c r="M801" s="12">
        <f t="shared" ref="M801:N801" si="806">G801/1.19</f>
        <v>1512.7478753541075</v>
      </c>
      <c r="N801" s="12">
        <f t="shared" si="806"/>
        <v>1512.7478753541075</v>
      </c>
      <c r="O801" s="12">
        <f t="shared" si="2"/>
        <v>287.42209631728042</v>
      </c>
      <c r="P801" s="13"/>
      <c r="Q801" s="14">
        <f t="shared" si="3"/>
        <v>2025</v>
      </c>
      <c r="R801" s="15">
        <f>VLOOKUP(MONTH(C801),'Datos Maestros'!M$2:N$14,2,FALSE)</f>
        <v>45474</v>
      </c>
      <c r="S801" s="11" t="str">
        <f>VLOOKUP(E801,Precios!B$2:W$941,3,FALSE)</f>
        <v>Bolsa Basura</v>
      </c>
      <c r="T801" s="16">
        <f>VLOOKUP(E801,Precios!B$2:N$941,4,FALSE)*F801</f>
        <v>0</v>
      </c>
      <c r="U801" s="17"/>
      <c r="V801" s="12">
        <f>VLOOKUP(E801,Precios!B$2:N$941,13,FALSE)*F801</f>
        <v>711.74787535410746</v>
      </c>
      <c r="W801" s="12">
        <f t="shared" si="4"/>
        <v>711.74787535410746</v>
      </c>
      <c r="X801" s="12">
        <f>VLOOKUP(B801,'Datos Maestros'!$C$2:$D$7,2,FALSE)*V801</f>
        <v>0</v>
      </c>
      <c r="Y801" s="18">
        <f t="shared" si="5"/>
        <v>45866</v>
      </c>
      <c r="Z801" s="13" t="s">
        <v>39</v>
      </c>
      <c r="AA801" s="19" t="str">
        <f>VLOOKUP(D801,Clientes!$A$2:$J$486,9,FALSE)</f>
        <v>regular</v>
      </c>
      <c r="AB801" s="13" t="str">
        <f>VLOOKUP(D801,Clientes!$A$2:$K$486,11,FALSE)</f>
        <v>Empresa</v>
      </c>
      <c r="AC801" s="13" t="str">
        <f>VLOOKUP(D801,Clientes!$A$2:$B$486,2,FALSE)</f>
        <v>Jardines de la viña</v>
      </c>
      <c r="AD801" s="20"/>
      <c r="AE801" s="20"/>
      <c r="AF801" s="13" t="s">
        <v>40</v>
      </c>
      <c r="AG801" s="15">
        <f t="shared" si="6"/>
        <v>45474</v>
      </c>
      <c r="AH801" s="13" t="s">
        <v>41</v>
      </c>
      <c r="AI801" s="13" t="str">
        <f t="shared" si="7"/>
        <v>Articulos de Aseo</v>
      </c>
      <c r="AJ801" s="13" t="str">
        <f>VLOOKUP(E801,Precios!Z$2:AA$941,2,FALSE)</f>
        <v xml:space="preserve">Bolsas Basura TEDDY 50x70 </v>
      </c>
      <c r="AK801" s="14">
        <f>VLOOKUP(E801,Precios!Z$2:BB$941,3,FALSE)*F801</f>
        <v>-3</v>
      </c>
      <c r="AL801" s="17"/>
      <c r="AM801" s="17"/>
      <c r="AN801" s="17"/>
      <c r="AO801" s="17"/>
      <c r="AP801" s="17"/>
      <c r="AQ801" s="17"/>
      <c r="AR801" s="17"/>
      <c r="AS801" s="17"/>
      <c r="AT801" s="17"/>
      <c r="AU801" s="17"/>
      <c r="AV801" s="17"/>
    </row>
    <row r="802" spans="1:48" ht="15.75" customHeight="1">
      <c r="A802" s="21" t="s">
        <v>47</v>
      </c>
      <c r="B802" s="23" t="s">
        <v>1692</v>
      </c>
      <c r="C802" s="22">
        <v>45867</v>
      </c>
      <c r="D802" s="23" t="s">
        <v>307</v>
      </c>
      <c r="E802" s="23" t="s">
        <v>100</v>
      </c>
      <c r="F802" s="21">
        <v>1</v>
      </c>
      <c r="G802" s="12">
        <f>VLOOKUP(E802,Precios!B$2:N$941,12,FALSE)</f>
        <v>650.00000000000011</v>
      </c>
      <c r="H802" s="12">
        <f t="shared" si="0"/>
        <v>650.00000000000011</v>
      </c>
      <c r="I802" s="23" t="s">
        <v>52</v>
      </c>
      <c r="J802" s="23" t="s">
        <v>61</v>
      </c>
      <c r="K802" s="24" t="s">
        <v>86</v>
      </c>
      <c r="L802" s="24">
        <v>97</v>
      </c>
      <c r="M802" s="12">
        <f t="shared" ref="M802:N802" si="807">G802/1.19</f>
        <v>546.21848739495806</v>
      </c>
      <c r="N802" s="12">
        <f t="shared" si="807"/>
        <v>546.21848739495806</v>
      </c>
      <c r="O802" s="12">
        <f t="shared" si="2"/>
        <v>103.78151260504205</v>
      </c>
      <c r="P802" s="13"/>
      <c r="Q802" s="14">
        <f t="shared" si="3"/>
        <v>2025</v>
      </c>
      <c r="R802" s="15">
        <f>VLOOKUP(MONTH(C802),'Datos Maestros'!M$2:N$14,2,FALSE)</f>
        <v>45474</v>
      </c>
      <c r="S802" s="11" t="str">
        <f>VLOOKUP(E802,Precios!B$2:W$941,3,FALSE)</f>
        <v>Bolsa Basura</v>
      </c>
      <c r="T802" s="16">
        <f>VLOOKUP(E802,Precios!B$2:N$941,4,FALSE)*F802</f>
        <v>0</v>
      </c>
      <c r="U802" s="17"/>
      <c r="V802" s="12">
        <f>VLOOKUP(E802,Precios!B$2:N$941,13,FALSE)*F802</f>
        <v>231.09243697478996</v>
      </c>
      <c r="W802" s="12">
        <f t="shared" si="4"/>
        <v>231.09243697478996</v>
      </c>
      <c r="X802" s="12">
        <f>VLOOKUP(B802,'Datos Maestros'!$C$2:$D$7,2,FALSE)*V802</f>
        <v>0</v>
      </c>
      <c r="Y802" s="18">
        <f t="shared" si="5"/>
        <v>45866</v>
      </c>
      <c r="Z802" s="13" t="s">
        <v>39</v>
      </c>
      <c r="AA802" s="19" t="str">
        <f>VLOOKUP(D802,Clientes!$A$2:$J$486,9,FALSE)</f>
        <v>regular</v>
      </c>
      <c r="AB802" s="13" t="str">
        <f>VLOOKUP(D802,Clientes!$A$2:$K$486,11,FALSE)</f>
        <v>Empresa</v>
      </c>
      <c r="AC802" s="13" t="str">
        <f>VLOOKUP(D802,Clientes!$A$2:$B$486,2,FALSE)</f>
        <v>Jardines de la viña</v>
      </c>
      <c r="AD802" s="20"/>
      <c r="AE802" s="20"/>
      <c r="AF802" s="13" t="s">
        <v>40</v>
      </c>
      <c r="AG802" s="15">
        <f t="shared" si="6"/>
        <v>45474</v>
      </c>
      <c r="AH802" s="13" t="s">
        <v>41</v>
      </c>
      <c r="AI802" s="13" t="str">
        <f t="shared" si="7"/>
        <v>Articulos de Aseo</v>
      </c>
      <c r="AJ802" s="13" t="str">
        <f>VLOOKUP(E802,Precios!Z$2:AA$941,2,FALSE)</f>
        <v xml:space="preserve">Bolsas Basura TEDDY 50x70 </v>
      </c>
      <c r="AK802" s="14">
        <f>VLOOKUP(E802,Precios!Z$2:BB$941,3,FALSE)*F802</f>
        <v>-1</v>
      </c>
      <c r="AL802" s="17"/>
      <c r="AM802" s="17"/>
      <c r="AN802" s="17"/>
      <c r="AO802" s="17"/>
      <c r="AP802" s="17"/>
      <c r="AQ802" s="17"/>
      <c r="AR802" s="17"/>
      <c r="AS802" s="17"/>
      <c r="AT802" s="17"/>
      <c r="AU802" s="17"/>
      <c r="AV802" s="17"/>
    </row>
    <row r="803" spans="1:48" ht="15.75" customHeight="1">
      <c r="A803" s="21" t="s">
        <v>76</v>
      </c>
      <c r="B803" s="23" t="s">
        <v>1692</v>
      </c>
      <c r="C803" s="22">
        <v>45867</v>
      </c>
      <c r="D803" s="23" t="s">
        <v>307</v>
      </c>
      <c r="E803" s="23" t="s">
        <v>82</v>
      </c>
      <c r="F803" s="21">
        <v>1</v>
      </c>
      <c r="G803" s="12">
        <f>VLOOKUP(E803,Precios!B$2:N$941,12,FALSE)</f>
        <v>2000.0000000000002</v>
      </c>
      <c r="H803" s="12">
        <f t="shared" si="0"/>
        <v>2000.0000000000002</v>
      </c>
      <c r="I803" s="23" t="s">
        <v>52</v>
      </c>
      <c r="J803" s="23" t="s">
        <v>61</v>
      </c>
      <c r="K803" s="24" t="s">
        <v>86</v>
      </c>
      <c r="L803" s="24">
        <v>97</v>
      </c>
      <c r="M803" s="12">
        <f t="shared" ref="M803:N803" si="808">G803/1.19</f>
        <v>1680.6722689075632</v>
      </c>
      <c r="N803" s="12">
        <f t="shared" si="808"/>
        <v>1680.6722689075632</v>
      </c>
      <c r="O803" s="12">
        <f t="shared" si="2"/>
        <v>319.32773109243703</v>
      </c>
      <c r="P803" s="13"/>
      <c r="Q803" s="14">
        <f t="shared" si="3"/>
        <v>2025</v>
      </c>
      <c r="R803" s="15">
        <f>VLOOKUP(MONTH(C803),'Datos Maestros'!M$2:N$14,2,FALSE)</f>
        <v>45474</v>
      </c>
      <c r="S803" s="11" t="str">
        <f>VLOOKUP(E803,Precios!B$2:W$941,3,FALSE)</f>
        <v>Limpiapiso</v>
      </c>
      <c r="T803" s="16">
        <f>VLOOKUP(E803,Precios!B$2:N$941,4,FALSE)*F803</f>
        <v>5</v>
      </c>
      <c r="U803" s="17"/>
      <c r="V803" s="12">
        <f>VLOOKUP(E803,Precios!B$2:N$941,13,FALSE)*F803</f>
        <v>680.67226890756319</v>
      </c>
      <c r="W803" s="12">
        <f t="shared" si="4"/>
        <v>680.67226890756319</v>
      </c>
      <c r="X803" s="12">
        <f>VLOOKUP(B803,'Datos Maestros'!$C$2:$D$7,2,FALSE)*V803</f>
        <v>0</v>
      </c>
      <c r="Y803" s="18">
        <f t="shared" si="5"/>
        <v>45866</v>
      </c>
      <c r="Z803" s="13" t="s">
        <v>39</v>
      </c>
      <c r="AA803" s="19" t="str">
        <f>VLOOKUP(D803,Clientes!$A$2:$J$486,9,FALSE)</f>
        <v>regular</v>
      </c>
      <c r="AB803" s="13" t="str">
        <f>VLOOKUP(D803,Clientes!$A$2:$K$486,11,FALSE)</f>
        <v>Empresa</v>
      </c>
      <c r="AC803" s="13" t="str">
        <f>VLOOKUP(D803,Clientes!$A$2:$B$486,2,FALSE)</f>
        <v>Jardines de la viña</v>
      </c>
      <c r="AD803" s="20"/>
      <c r="AE803" s="20"/>
      <c r="AF803" s="13" t="s">
        <v>40</v>
      </c>
      <c r="AG803" s="15">
        <f t="shared" si="6"/>
        <v>45474</v>
      </c>
      <c r="AH803" s="13" t="s">
        <v>41</v>
      </c>
      <c r="AI803" s="13" t="str">
        <f t="shared" si="7"/>
        <v>Detergentes</v>
      </c>
      <c r="AJ803" s="13" t="str">
        <f>VLOOKUP(E803,Precios!Z$2:AA$941,2,FALSE)</f>
        <v>Limpiapiso SPUM 5 Litros</v>
      </c>
      <c r="AK803" s="14">
        <f>VLOOKUP(E803,Precios!Z$2:BB$941,3,FALSE)*F803</f>
        <v>-1</v>
      </c>
      <c r="AL803" s="17"/>
      <c r="AM803" s="17"/>
      <c r="AN803" s="17"/>
      <c r="AO803" s="17"/>
      <c r="AP803" s="17"/>
      <c r="AQ803" s="17"/>
      <c r="AR803" s="17"/>
      <c r="AS803" s="17"/>
      <c r="AT803" s="17"/>
      <c r="AU803" s="17"/>
      <c r="AV803" s="17"/>
    </row>
    <row r="804" spans="1:48" ht="15.75" customHeight="1">
      <c r="A804" s="21" t="s">
        <v>47</v>
      </c>
      <c r="B804" s="23" t="s">
        <v>1692</v>
      </c>
      <c r="C804" s="22">
        <v>45867</v>
      </c>
      <c r="D804" s="23" t="s">
        <v>307</v>
      </c>
      <c r="E804" s="23" t="s">
        <v>267</v>
      </c>
      <c r="F804" s="21">
        <v>1</v>
      </c>
      <c r="G804" s="12">
        <f>VLOOKUP(E804,Precios!B$2:N$941,12,FALSE)</f>
        <v>7499.8770659745942</v>
      </c>
      <c r="H804" s="12">
        <f t="shared" si="0"/>
        <v>7499.8770659745942</v>
      </c>
      <c r="I804" s="23" t="s">
        <v>52</v>
      </c>
      <c r="J804" s="23" t="s">
        <v>61</v>
      </c>
      <c r="K804" s="24" t="s">
        <v>86</v>
      </c>
      <c r="L804" s="24">
        <v>97</v>
      </c>
      <c r="M804" s="12">
        <f t="shared" ref="M804:N804" si="809">G804/1.19</f>
        <v>6302.4177024996588</v>
      </c>
      <c r="N804" s="12">
        <f t="shared" si="809"/>
        <v>6302.4177024996588</v>
      </c>
      <c r="O804" s="12">
        <f t="shared" si="2"/>
        <v>1197.4593634749353</v>
      </c>
      <c r="P804" s="13"/>
      <c r="Q804" s="14">
        <f t="shared" si="3"/>
        <v>2025</v>
      </c>
      <c r="R804" s="15">
        <f>VLOOKUP(MONTH(C804),'Datos Maestros'!M$2:N$14,2,FALSE)</f>
        <v>45474</v>
      </c>
      <c r="S804" s="11" t="str">
        <f>VLOOKUP(E804,Precios!B$2:W$941,3,FALSE)</f>
        <v>Trapero Húmedo</v>
      </c>
      <c r="T804" s="16">
        <f>VLOOKUP(E804,Precios!B$2:N$941,4,FALSE)*F804</f>
        <v>0</v>
      </c>
      <c r="U804" s="17"/>
      <c r="V804" s="12">
        <f>VLOOKUP(E804,Precios!B$2:N$941,13,FALSE)*F804</f>
        <v>1688.4177024996588</v>
      </c>
      <c r="W804" s="12">
        <f t="shared" si="4"/>
        <v>1688.4177024996588</v>
      </c>
      <c r="X804" s="12">
        <f>VLOOKUP(B804,'Datos Maestros'!$C$2:$D$7,2,FALSE)*V804</f>
        <v>0</v>
      </c>
      <c r="Y804" s="18">
        <f t="shared" si="5"/>
        <v>45866</v>
      </c>
      <c r="Z804" s="13" t="s">
        <v>39</v>
      </c>
      <c r="AA804" s="19" t="str">
        <f>VLOOKUP(D804,Clientes!$A$2:$J$486,9,FALSE)</f>
        <v>regular</v>
      </c>
      <c r="AB804" s="13" t="str">
        <f>VLOOKUP(D804,Clientes!$A$2:$K$486,11,FALSE)</f>
        <v>Empresa</v>
      </c>
      <c r="AC804" s="13" t="str">
        <f>VLOOKUP(D804,Clientes!$A$2:$B$486,2,FALSE)</f>
        <v>Jardines de la viña</v>
      </c>
      <c r="AD804" s="20"/>
      <c r="AE804" s="20"/>
      <c r="AF804" s="13" t="s">
        <v>40</v>
      </c>
      <c r="AG804" s="15">
        <f t="shared" si="6"/>
        <v>45474</v>
      </c>
      <c r="AH804" s="13" t="s">
        <v>41</v>
      </c>
      <c r="AI804" s="13" t="str">
        <f t="shared" si="7"/>
        <v>Articulos de Aseo</v>
      </c>
      <c r="AJ804" s="13" t="str">
        <f>VLOOKUP(E804,Precios!Z$2:AA$941,2,FALSE)</f>
        <v>Traperos Humedos EXCELL</v>
      </c>
      <c r="AK804" s="14">
        <f>VLOOKUP(E804,Precios!Z$2:BB$941,3,FALSE)*F804</f>
        <v>-3</v>
      </c>
      <c r="AL804" s="17"/>
      <c r="AM804" s="17"/>
      <c r="AN804" s="17"/>
      <c r="AO804" s="17"/>
      <c r="AP804" s="17"/>
      <c r="AQ804" s="17"/>
      <c r="AR804" s="17"/>
      <c r="AS804" s="17"/>
      <c r="AT804" s="17"/>
      <c r="AU804" s="17"/>
      <c r="AV804" s="17"/>
    </row>
    <row r="805" spans="1:48" ht="15.75" customHeight="1">
      <c r="A805" s="21" t="s">
        <v>53</v>
      </c>
      <c r="B805" s="23" t="s">
        <v>1692</v>
      </c>
      <c r="C805" s="22">
        <v>45867</v>
      </c>
      <c r="D805" s="23" t="s">
        <v>84</v>
      </c>
      <c r="E805" s="23" t="s">
        <v>55</v>
      </c>
      <c r="F805" s="21">
        <v>1</v>
      </c>
      <c r="G805" s="12">
        <f>VLOOKUP(E805,Precios!B$2:N$941,12,FALSE)</f>
        <v>20899.91124296327</v>
      </c>
      <c r="H805" s="12">
        <f t="shared" si="0"/>
        <v>20899.91124296327</v>
      </c>
      <c r="I805" s="23" t="s">
        <v>52</v>
      </c>
      <c r="J805" s="23" t="s">
        <v>61</v>
      </c>
      <c r="K805" s="24" t="s">
        <v>86</v>
      </c>
      <c r="L805" s="24">
        <v>96</v>
      </c>
      <c r="M805" s="12">
        <f t="shared" ref="M805:N805" si="810">G805/1.19</f>
        <v>17562.950624338882</v>
      </c>
      <c r="N805" s="12">
        <f t="shared" si="810"/>
        <v>17562.950624338882</v>
      </c>
      <c r="O805" s="12">
        <f t="shared" si="2"/>
        <v>3336.9606186243873</v>
      </c>
      <c r="P805" s="13"/>
      <c r="Q805" s="14">
        <f t="shared" si="3"/>
        <v>2025</v>
      </c>
      <c r="R805" s="15">
        <f>VLOOKUP(MONTH(C805),'Datos Maestros'!M$2:N$14,2,FALSE)</f>
        <v>45474</v>
      </c>
      <c r="S805" s="11" t="str">
        <f>VLOOKUP(E805,Precios!B$2:W$941,3,FALSE)</f>
        <v>Papel Higiénico ELITE</v>
      </c>
      <c r="T805" s="16">
        <f>VLOOKUP(E805,Precios!B$2:N$941,4,FALSE)*F805</f>
        <v>0</v>
      </c>
      <c r="U805" s="17"/>
      <c r="V805" s="12">
        <f>VLOOKUP(E805,Precios!B$2:N$941,13,FALSE)*F805</f>
        <v>3117.9506243388823</v>
      </c>
      <c r="W805" s="12">
        <f t="shared" si="4"/>
        <v>3117.9506243388823</v>
      </c>
      <c r="X805" s="12">
        <f>VLOOKUP(B805,'Datos Maestros'!$C$2:$D$7,2,FALSE)*V805</f>
        <v>0</v>
      </c>
      <c r="Y805" s="18">
        <f t="shared" si="5"/>
        <v>45866</v>
      </c>
      <c r="Z805" s="13" t="s">
        <v>39</v>
      </c>
      <c r="AA805" s="19" t="str">
        <f>VLOOKUP(D805,Clientes!$A$2:$J$486,9,FALSE)</f>
        <v>regular</v>
      </c>
      <c r="AB805" s="13" t="str">
        <f>VLOOKUP(D805,Clientes!$A$2:$K$486,11,FALSE)</f>
        <v>Empresa</v>
      </c>
      <c r="AC805" s="13" t="str">
        <f>VLOOKUP(D805,Clientes!$A$2:$B$486,2,FALSE)</f>
        <v>Araucania</v>
      </c>
      <c r="AD805" s="20"/>
      <c r="AE805" s="20"/>
      <c r="AF805" s="13" t="s">
        <v>40</v>
      </c>
      <c r="AG805" s="15">
        <f t="shared" si="6"/>
        <v>45474</v>
      </c>
      <c r="AH805" s="13" t="s">
        <v>41</v>
      </c>
      <c r="AI805" s="13" t="str">
        <f t="shared" si="7"/>
        <v>Papeleria</v>
      </c>
      <c r="AJ805" s="13" t="str">
        <f>VLOOKUP(E805,Precios!Z$2:AA$941,2,FALSE)</f>
        <v>Papel Higienico ELITE 50 metros</v>
      </c>
      <c r="AK805" s="14">
        <f>VLOOKUP(E805,Precios!Z$2:BB$941,3,FALSE)*F805</f>
        <v>-8</v>
      </c>
      <c r="AL805" s="17"/>
      <c r="AM805" s="17"/>
      <c r="AN805" s="17"/>
      <c r="AO805" s="17"/>
      <c r="AP805" s="17"/>
      <c r="AQ805" s="17"/>
      <c r="AR805" s="17"/>
      <c r="AS805" s="17"/>
      <c r="AT805" s="17"/>
      <c r="AU805" s="17"/>
      <c r="AV805" s="17"/>
    </row>
    <row r="806" spans="1:48" ht="15.75" customHeight="1">
      <c r="A806" s="21" t="s">
        <v>53</v>
      </c>
      <c r="B806" s="23" t="s">
        <v>1692</v>
      </c>
      <c r="C806" s="22">
        <v>45867</v>
      </c>
      <c r="D806" s="23" t="s">
        <v>84</v>
      </c>
      <c r="E806" s="23" t="s">
        <v>162</v>
      </c>
      <c r="F806" s="21">
        <v>3</v>
      </c>
      <c r="G806" s="12">
        <f>VLOOKUP(E806,Precios!B$2:N$941,12,FALSE)</f>
        <v>9500.0304006809747</v>
      </c>
      <c r="H806" s="12">
        <f t="shared" si="0"/>
        <v>28500.091202042924</v>
      </c>
      <c r="I806" s="23" t="s">
        <v>52</v>
      </c>
      <c r="J806" s="23" t="s">
        <v>61</v>
      </c>
      <c r="K806" s="24" t="s">
        <v>86</v>
      </c>
      <c r="L806" s="24">
        <v>96</v>
      </c>
      <c r="M806" s="12">
        <f t="shared" ref="M806:N806" si="811">G806/1.19</f>
        <v>7983.2188241016602</v>
      </c>
      <c r="N806" s="12">
        <f t="shared" si="811"/>
        <v>23949.656472304978</v>
      </c>
      <c r="O806" s="12">
        <f t="shared" si="2"/>
        <v>4550.4347297379463</v>
      </c>
      <c r="P806" s="13"/>
      <c r="Q806" s="14">
        <f t="shared" si="3"/>
        <v>2025</v>
      </c>
      <c r="R806" s="15">
        <f>VLOOKUP(MONTH(C806),'Datos Maestros'!M$2:N$14,2,FALSE)</f>
        <v>45474</v>
      </c>
      <c r="S806" s="11" t="str">
        <f>VLOOKUP(E806,Precios!B$2:W$941,3,FALSE)</f>
        <v>Toalla Papel Soft Quality</v>
      </c>
      <c r="T806" s="16">
        <f>VLOOKUP(E806,Precios!B$2:N$941,4,FALSE)*F806</f>
        <v>0</v>
      </c>
      <c r="U806" s="17"/>
      <c r="V806" s="12">
        <f>VLOOKUP(E806,Precios!B$2:N$941,13,FALSE)*F806</f>
        <v>8193.6564723049778</v>
      </c>
      <c r="W806" s="12">
        <f t="shared" si="4"/>
        <v>8193.6564723049778</v>
      </c>
      <c r="X806" s="12">
        <f>VLOOKUP(B806,'Datos Maestros'!$C$2:$D$7,2,FALSE)*V806</f>
        <v>0</v>
      </c>
      <c r="Y806" s="18">
        <f t="shared" si="5"/>
        <v>45866</v>
      </c>
      <c r="Z806" s="13" t="s">
        <v>39</v>
      </c>
      <c r="AA806" s="19" t="str">
        <f>VLOOKUP(D806,Clientes!$A$2:$J$486,9,FALSE)</f>
        <v>regular</v>
      </c>
      <c r="AB806" s="13" t="str">
        <f>VLOOKUP(D806,Clientes!$A$2:$K$486,11,FALSE)</f>
        <v>Empresa</v>
      </c>
      <c r="AC806" s="13" t="str">
        <f>VLOOKUP(D806,Clientes!$A$2:$B$486,2,FALSE)</f>
        <v>Araucania</v>
      </c>
      <c r="AD806" s="20"/>
      <c r="AE806" s="20"/>
      <c r="AF806" s="13" t="s">
        <v>40</v>
      </c>
      <c r="AG806" s="15">
        <f t="shared" si="6"/>
        <v>45474</v>
      </c>
      <c r="AH806" s="13" t="s">
        <v>41</v>
      </c>
      <c r="AI806" s="13" t="str">
        <f t="shared" si="7"/>
        <v>Papeleria</v>
      </c>
      <c r="AJ806" s="13" t="str">
        <f>VLOOKUP(E806,Precios!Z$2:AA$941,2,FALSE)</f>
        <v>Toalla Papel 250 metros dipensador</v>
      </c>
      <c r="AK806" s="14">
        <f>VLOOKUP(E806,Precios!Z$2:BB$941,3,FALSE)*F806</f>
        <v>-3</v>
      </c>
      <c r="AL806" s="17"/>
      <c r="AM806" s="17"/>
      <c r="AN806" s="17"/>
      <c r="AO806" s="17"/>
      <c r="AP806" s="17"/>
      <c r="AQ806" s="17"/>
      <c r="AR806" s="17"/>
      <c r="AS806" s="17"/>
      <c r="AT806" s="17"/>
      <c r="AU806" s="17"/>
      <c r="AV806" s="17"/>
    </row>
    <row r="807" spans="1:48" ht="15.75" customHeight="1">
      <c r="A807" s="21" t="s">
        <v>56</v>
      </c>
      <c r="B807" s="23" t="s">
        <v>1692</v>
      </c>
      <c r="C807" s="22">
        <v>45867</v>
      </c>
      <c r="D807" s="23" t="s">
        <v>285</v>
      </c>
      <c r="E807" s="23" t="s">
        <v>67</v>
      </c>
      <c r="F807" s="21">
        <v>1</v>
      </c>
      <c r="G807" s="12">
        <f>VLOOKUP(E807,Precios!B$2:N$941,12,FALSE)</f>
        <v>7000.0000000000009</v>
      </c>
      <c r="H807" s="12">
        <f t="shared" si="0"/>
        <v>7000.0000000000009</v>
      </c>
      <c r="I807" s="23" t="s">
        <v>52</v>
      </c>
      <c r="J807" s="23" t="s">
        <v>61</v>
      </c>
      <c r="K807" s="24" t="s">
        <v>177</v>
      </c>
      <c r="L807" s="24">
        <v>163</v>
      </c>
      <c r="M807" s="12">
        <f t="shared" ref="M807:N807" si="812">G807/1.19</f>
        <v>5882.3529411764712</v>
      </c>
      <c r="N807" s="12">
        <f t="shared" si="812"/>
        <v>5882.3529411764712</v>
      </c>
      <c r="O807" s="12">
        <f t="shared" si="2"/>
        <v>1117.6470588235297</v>
      </c>
      <c r="P807" s="13"/>
      <c r="Q807" s="14">
        <f t="shared" si="3"/>
        <v>2025</v>
      </c>
      <c r="R807" s="15">
        <f>VLOOKUP(MONTH(C807),'Datos Maestros'!M$2:N$14,2,FALSE)</f>
        <v>45474</v>
      </c>
      <c r="S807" s="11" t="str">
        <f>VLOOKUP(E807,Precios!B$2:W$941,3,FALSE)</f>
        <v>Mantequilla</v>
      </c>
      <c r="T807" s="16">
        <f>VLOOKUP(E807,Precios!B$2:N$941,4,FALSE)*F807</f>
        <v>200</v>
      </c>
      <c r="U807" s="17"/>
      <c r="V807" s="12">
        <f>VLOOKUP(E807,Precios!B$2:N$941,13,FALSE)*F807</f>
        <v>1512.6050420168067</v>
      </c>
      <c r="W807" s="12">
        <f t="shared" si="4"/>
        <v>1512.6050420168067</v>
      </c>
      <c r="X807" s="12">
        <f>VLOOKUP(B807,'Datos Maestros'!$C$2:$D$7,2,FALSE)*V807</f>
        <v>0</v>
      </c>
      <c r="Y807" s="18">
        <f t="shared" si="5"/>
        <v>45866</v>
      </c>
      <c r="Z807" s="13" t="s">
        <v>39</v>
      </c>
      <c r="AA807" s="19" t="str">
        <f>VLOOKUP(D807,Clientes!$A$2:$J$486,9,FALSE)</f>
        <v>Familiar</v>
      </c>
      <c r="AB807" s="13" t="str">
        <f>VLOOKUP(D807,Clientes!$A$2:$K$486,11,FALSE)</f>
        <v>Persona Natural</v>
      </c>
      <c r="AC807" s="13" t="str">
        <f>VLOOKUP(D807,Clientes!$A$2:$B$486,2,FALSE)</f>
        <v>Familiar</v>
      </c>
      <c r="AD807" s="20"/>
      <c r="AE807" s="20"/>
      <c r="AF807" s="13" t="s">
        <v>40</v>
      </c>
      <c r="AG807" s="15">
        <f t="shared" si="6"/>
        <v>45474</v>
      </c>
      <c r="AH807" s="13" t="s">
        <v>41</v>
      </c>
      <c r="AI807" s="13" t="str">
        <f t="shared" si="7"/>
        <v>Derivados</v>
      </c>
      <c r="AJ807" s="13" t="str">
        <f>VLOOKUP(E807,Precios!Z$2:AA$941,2,FALSE)</f>
        <v>Mantequilla RUMAY</v>
      </c>
      <c r="AK807" s="14">
        <f>VLOOKUP(E807,Precios!Z$2:BB$941,3,FALSE)*F807</f>
        <v>-3</v>
      </c>
      <c r="AL807" s="17"/>
      <c r="AM807" s="17"/>
      <c r="AN807" s="17"/>
      <c r="AO807" s="17"/>
      <c r="AP807" s="17"/>
      <c r="AQ807" s="17"/>
      <c r="AR807" s="17"/>
      <c r="AS807" s="17"/>
      <c r="AT807" s="17"/>
      <c r="AU807" s="17"/>
      <c r="AV807" s="17"/>
    </row>
    <row r="808" spans="1:48" ht="15.75" customHeight="1">
      <c r="A808" s="21" t="s">
        <v>53</v>
      </c>
      <c r="B808" s="23" t="s">
        <v>1692</v>
      </c>
      <c r="C808" s="22">
        <v>45867</v>
      </c>
      <c r="D808" s="23" t="s">
        <v>285</v>
      </c>
      <c r="E808" s="23" t="s">
        <v>114</v>
      </c>
      <c r="F808" s="21">
        <v>1</v>
      </c>
      <c r="G808" s="12">
        <f>VLOOKUP(E808,Precios!B$2:N$941,12,FALSE)</f>
        <v>10500</v>
      </c>
      <c r="H808" s="12">
        <f t="shared" si="0"/>
        <v>10500</v>
      </c>
      <c r="I808" s="23" t="s">
        <v>52</v>
      </c>
      <c r="J808" s="23" t="s">
        <v>61</v>
      </c>
      <c r="K808" s="24" t="s">
        <v>177</v>
      </c>
      <c r="L808" s="24">
        <v>163</v>
      </c>
      <c r="M808" s="12">
        <f t="shared" ref="M808:N808" si="813">G808/1.19</f>
        <v>8823.5294117647063</v>
      </c>
      <c r="N808" s="12">
        <f t="shared" si="813"/>
        <v>8823.5294117647063</v>
      </c>
      <c r="O808" s="12">
        <f t="shared" si="2"/>
        <v>1676.4705882352937</v>
      </c>
      <c r="P808" s="13"/>
      <c r="Q808" s="14">
        <f t="shared" si="3"/>
        <v>2025</v>
      </c>
      <c r="R808" s="15">
        <f>VLOOKUP(MONTH(C808),'Datos Maestros'!M$2:N$14,2,FALSE)</f>
        <v>45474</v>
      </c>
      <c r="S808" s="11" t="str">
        <f>VLOOKUP(E808,Precios!B$2:W$941,3,FALSE)</f>
        <v>Toalla Nova 3 rollos</v>
      </c>
      <c r="T808" s="16">
        <f>VLOOKUP(E808,Precios!B$2:N$941,4,FALSE)*F808</f>
        <v>0</v>
      </c>
      <c r="U808" s="17"/>
      <c r="V808" s="12">
        <f>VLOOKUP(E808,Precios!B$2:N$941,13,FALSE)*F808</f>
        <v>2403.3613445378151</v>
      </c>
      <c r="W808" s="12">
        <f t="shared" si="4"/>
        <v>2403.3613445378151</v>
      </c>
      <c r="X808" s="12">
        <f>VLOOKUP(B808,'Datos Maestros'!$C$2:$D$7,2,FALSE)*V808</f>
        <v>0</v>
      </c>
      <c r="Y808" s="18">
        <f t="shared" si="5"/>
        <v>45866</v>
      </c>
      <c r="Z808" s="13" t="s">
        <v>39</v>
      </c>
      <c r="AA808" s="19" t="str">
        <f>VLOOKUP(D808,Clientes!$A$2:$J$486,9,FALSE)</f>
        <v>Familiar</v>
      </c>
      <c r="AB808" s="13" t="str">
        <f>VLOOKUP(D808,Clientes!$A$2:$K$486,11,FALSE)</f>
        <v>Persona Natural</v>
      </c>
      <c r="AC808" s="13" t="str">
        <f>VLOOKUP(D808,Clientes!$A$2:$B$486,2,FALSE)</f>
        <v>Familiar</v>
      </c>
      <c r="AD808" s="20"/>
      <c r="AE808" s="20"/>
      <c r="AF808" s="13" t="s">
        <v>40</v>
      </c>
      <c r="AG808" s="15">
        <f t="shared" si="6"/>
        <v>45474</v>
      </c>
      <c r="AH808" s="13" t="s">
        <v>41</v>
      </c>
      <c r="AI808" s="13" t="str">
        <f t="shared" si="7"/>
        <v>Papeleria</v>
      </c>
      <c r="AJ808" s="13" t="str">
        <f>VLOOKUP(E808,Precios!Z$2:AA$941,2,FALSE)</f>
        <v>Toalla Papel NOVA 12 metros</v>
      </c>
      <c r="AK808" s="14">
        <f>VLOOKUP(E808,Precios!Z$2:BB$941,3,FALSE)*F808</f>
        <v>-8</v>
      </c>
      <c r="AL808" s="17"/>
      <c r="AM808" s="17"/>
      <c r="AN808" s="17"/>
      <c r="AO808" s="17"/>
      <c r="AP808" s="17"/>
      <c r="AQ808" s="17"/>
      <c r="AR808" s="17"/>
      <c r="AS808" s="17"/>
      <c r="AT808" s="17"/>
      <c r="AU808" s="17"/>
      <c r="AV808" s="17"/>
    </row>
    <row r="809" spans="1:48" ht="15.75" customHeight="1">
      <c r="A809" s="21" t="s">
        <v>43</v>
      </c>
      <c r="B809" s="23" t="s">
        <v>1692</v>
      </c>
      <c r="C809" s="22">
        <v>45867</v>
      </c>
      <c r="D809" s="23" t="s">
        <v>291</v>
      </c>
      <c r="E809" s="23" t="s">
        <v>45</v>
      </c>
      <c r="F809" s="21">
        <v>1</v>
      </c>
      <c r="G809" s="12">
        <f>VLOOKUP(E809,Precios!B$2:N$941,12,FALSE)</f>
        <v>8000.1831784723063</v>
      </c>
      <c r="H809" s="12">
        <f t="shared" si="0"/>
        <v>8000.1831784723063</v>
      </c>
      <c r="I809" s="23" t="s">
        <v>52</v>
      </c>
      <c r="J809" s="23" t="s">
        <v>61</v>
      </c>
      <c r="K809" s="24" t="s">
        <v>177</v>
      </c>
      <c r="L809" s="24">
        <v>163</v>
      </c>
      <c r="M809" s="12">
        <f t="shared" ref="M809:N809" si="814">G809/1.19</f>
        <v>6722.8430071195853</v>
      </c>
      <c r="N809" s="12">
        <f t="shared" si="814"/>
        <v>6722.8430071195853</v>
      </c>
      <c r="O809" s="12">
        <f t="shared" si="2"/>
        <v>1277.340171352721</v>
      </c>
      <c r="P809" s="13"/>
      <c r="Q809" s="14">
        <f t="shared" si="3"/>
        <v>2025</v>
      </c>
      <c r="R809" s="15">
        <f>VLOOKUP(MONTH(C809),'Datos Maestros'!M$2:N$14,2,FALSE)</f>
        <v>45474</v>
      </c>
      <c r="S809" s="11" t="str">
        <f>VLOOKUP(E809,Precios!B$2:W$941,3,FALSE)</f>
        <v>Huevos EXTRA</v>
      </c>
      <c r="T809" s="16">
        <f>VLOOKUP(E809,Precios!B$2:N$941,4,FALSE)*F809</f>
        <v>0</v>
      </c>
      <c r="U809" s="17"/>
      <c r="V809" s="12">
        <f>VLOOKUP(E809,Precios!B$2:N$941,13,FALSE)*F809</f>
        <v>1151.6230071195851</v>
      </c>
      <c r="W809" s="12">
        <f t="shared" si="4"/>
        <v>1151.6230071195851</v>
      </c>
      <c r="X809" s="12">
        <f>VLOOKUP(B809,'Datos Maestros'!$C$2:$D$7,2,FALSE)*V809</f>
        <v>0</v>
      </c>
      <c r="Y809" s="18">
        <f t="shared" si="5"/>
        <v>45866</v>
      </c>
      <c r="Z809" s="13" t="s">
        <v>39</v>
      </c>
      <c r="AA809" s="19" t="str">
        <f>VLOOKUP(D809,Clientes!$A$2:$J$486,9,FALSE)</f>
        <v>Ocacional</v>
      </c>
      <c r="AB809" s="13" t="str">
        <f>VLOOKUP(D809,Clientes!$A$2:$K$486,11,FALSE)</f>
        <v>Persona Natural</v>
      </c>
      <c r="AC809" s="13" t="str">
        <f>VLOOKUP(D809,Clientes!$A$2:$B$486,2,FALSE)</f>
        <v>Jardin del eden</v>
      </c>
      <c r="AD809" s="20"/>
      <c r="AE809" s="20"/>
      <c r="AF809" s="13" t="s">
        <v>40</v>
      </c>
      <c r="AG809" s="15">
        <f t="shared" si="6"/>
        <v>45474</v>
      </c>
      <c r="AH809" s="13" t="s">
        <v>41</v>
      </c>
      <c r="AI809" s="13" t="str">
        <f t="shared" si="7"/>
        <v>Huevos</v>
      </c>
      <c r="AJ809" s="13" t="str">
        <f>VLOOKUP(E809,Precios!Z$2:AA$941,2,FALSE)</f>
        <v>Bandeja Huevos EXTRA</v>
      </c>
      <c r="AK809" s="14">
        <f>VLOOKUP(E809,Precios!Z$2:BB$941,3,FALSE)*F809</f>
        <v>-1</v>
      </c>
      <c r="AL809" s="17"/>
      <c r="AM809" s="17"/>
      <c r="AN809" s="17"/>
      <c r="AO809" s="17"/>
      <c r="AP809" s="17"/>
      <c r="AQ809" s="17"/>
      <c r="AR809" s="17"/>
      <c r="AS809" s="17"/>
      <c r="AT809" s="17"/>
      <c r="AU809" s="17"/>
      <c r="AV809" s="17"/>
    </row>
    <row r="810" spans="1:48" ht="15.75" customHeight="1">
      <c r="A810" s="21" t="s">
        <v>43</v>
      </c>
      <c r="B810" s="23" t="s">
        <v>1692</v>
      </c>
      <c r="C810" s="22">
        <v>45867</v>
      </c>
      <c r="D810" s="23" t="s">
        <v>241</v>
      </c>
      <c r="E810" s="23" t="s">
        <v>45</v>
      </c>
      <c r="F810" s="21">
        <v>1</v>
      </c>
      <c r="G810" s="12">
        <f>VLOOKUP(E810,Precios!B$2:N$941,12,FALSE)</f>
        <v>8000.1831784723063</v>
      </c>
      <c r="H810" s="12">
        <f t="shared" si="0"/>
        <v>8000.1831784723063</v>
      </c>
      <c r="I810" s="23" t="s">
        <v>52</v>
      </c>
      <c r="J810" s="23" t="s">
        <v>61</v>
      </c>
      <c r="K810" s="24" t="s">
        <v>177</v>
      </c>
      <c r="L810" s="24">
        <v>163</v>
      </c>
      <c r="M810" s="12">
        <f t="shared" ref="M810:N810" si="815">G810/1.19</f>
        <v>6722.8430071195853</v>
      </c>
      <c r="N810" s="12">
        <f t="shared" si="815"/>
        <v>6722.8430071195853</v>
      </c>
      <c r="O810" s="12">
        <f t="shared" si="2"/>
        <v>1277.340171352721</v>
      </c>
      <c r="P810" s="13"/>
      <c r="Q810" s="14">
        <f t="shared" si="3"/>
        <v>2025</v>
      </c>
      <c r="R810" s="15">
        <f>VLOOKUP(MONTH(C810),'Datos Maestros'!M$2:N$14,2,FALSE)</f>
        <v>45474</v>
      </c>
      <c r="S810" s="11" t="str">
        <f>VLOOKUP(E810,Precios!B$2:W$941,3,FALSE)</f>
        <v>Huevos EXTRA</v>
      </c>
      <c r="T810" s="16">
        <f>VLOOKUP(E810,Precios!B$2:N$941,4,FALSE)*F810</f>
        <v>0</v>
      </c>
      <c r="U810" s="17"/>
      <c r="V810" s="12">
        <f>VLOOKUP(E810,Precios!B$2:N$941,13,FALSE)*F810</f>
        <v>1151.6230071195851</v>
      </c>
      <c r="W810" s="12">
        <f t="shared" si="4"/>
        <v>1151.6230071195851</v>
      </c>
      <c r="X810" s="12">
        <f>VLOOKUP(B810,'Datos Maestros'!$C$2:$D$7,2,FALSE)*V810</f>
        <v>0</v>
      </c>
      <c r="Y810" s="18">
        <f t="shared" si="5"/>
        <v>45866</v>
      </c>
      <c r="Z810" s="13" t="s">
        <v>39</v>
      </c>
      <c r="AA810" s="19" t="str">
        <f>VLOOKUP(D810,Clientes!$A$2:$J$486,9,FALSE)</f>
        <v>Ocacional</v>
      </c>
      <c r="AB810" s="13" t="str">
        <f>VLOOKUP(D810,Clientes!$A$2:$K$486,11,FALSE)</f>
        <v>Persona Natural</v>
      </c>
      <c r="AC810" s="13" t="str">
        <f>VLOOKUP(D810,Clientes!$A$2:$B$486,2,FALSE)</f>
        <v>Colombia</v>
      </c>
      <c r="AD810" s="20"/>
      <c r="AE810" s="20"/>
      <c r="AF810" s="13" t="s">
        <v>40</v>
      </c>
      <c r="AG810" s="15">
        <f t="shared" si="6"/>
        <v>45474</v>
      </c>
      <c r="AH810" s="13" t="s">
        <v>41</v>
      </c>
      <c r="AI810" s="13" t="str">
        <f t="shared" si="7"/>
        <v>Huevos</v>
      </c>
      <c r="AJ810" s="13" t="str">
        <f>VLOOKUP(E810,Precios!Z$2:AA$941,2,FALSE)</f>
        <v>Bandeja Huevos EXTRA</v>
      </c>
      <c r="AK810" s="14">
        <f>VLOOKUP(E810,Precios!Z$2:BB$941,3,FALSE)*F810</f>
        <v>-1</v>
      </c>
      <c r="AL810" s="17"/>
      <c r="AM810" s="17"/>
      <c r="AN810" s="17"/>
      <c r="AO810" s="17"/>
      <c r="AP810" s="17"/>
      <c r="AQ810" s="17"/>
      <c r="AR810" s="17"/>
      <c r="AS810" s="17"/>
      <c r="AT810" s="17"/>
      <c r="AU810" s="17"/>
      <c r="AV810" s="17"/>
    </row>
    <row r="811" spans="1:48" ht="15.75" customHeight="1">
      <c r="A811" s="21" t="s">
        <v>43</v>
      </c>
      <c r="B811" s="23" t="s">
        <v>1692</v>
      </c>
      <c r="C811" s="22">
        <v>45867</v>
      </c>
      <c r="D811" s="23" t="s">
        <v>258</v>
      </c>
      <c r="E811" s="23" t="s">
        <v>45</v>
      </c>
      <c r="F811" s="21">
        <v>2</v>
      </c>
      <c r="G811" s="12">
        <v>7900.1687504794045</v>
      </c>
      <c r="H811" s="12">
        <v>15800.337500958809</v>
      </c>
      <c r="I811" s="23" t="s">
        <v>52</v>
      </c>
      <c r="J811" s="23" t="s">
        <v>61</v>
      </c>
      <c r="K811" s="24" t="s">
        <v>177</v>
      </c>
      <c r="L811" s="24">
        <v>163</v>
      </c>
      <c r="M811" s="12">
        <v>6638.7972693104239</v>
      </c>
      <c r="N811" s="12">
        <v>13277.594538620848</v>
      </c>
      <c r="O811" s="12">
        <v>2522.7429623379612</v>
      </c>
      <c r="P811" s="13"/>
      <c r="Q811" s="14">
        <v>2025</v>
      </c>
      <c r="R811" s="15">
        <v>45474</v>
      </c>
      <c r="S811" s="11" t="s">
        <v>355</v>
      </c>
      <c r="T811" s="16">
        <v>0</v>
      </c>
      <c r="U811" s="17"/>
      <c r="V811" s="12">
        <v>2891.5945386208477</v>
      </c>
      <c r="W811" s="12">
        <v>2891.5945386208477</v>
      </c>
      <c r="X811" s="12">
        <v>0</v>
      </c>
      <c r="Y811" s="18">
        <v>45866</v>
      </c>
      <c r="Z811" s="13" t="s">
        <v>39</v>
      </c>
      <c r="AA811" s="19" t="s">
        <v>356</v>
      </c>
      <c r="AB811" s="13" t="s">
        <v>357</v>
      </c>
      <c r="AC811" s="13" t="s">
        <v>358</v>
      </c>
      <c r="AD811" s="20"/>
      <c r="AE811" s="20"/>
      <c r="AF811" s="13" t="s">
        <v>40</v>
      </c>
      <c r="AG811" s="15">
        <v>45474</v>
      </c>
      <c r="AH811" s="13" t="s">
        <v>41</v>
      </c>
      <c r="AI811" s="13" t="s">
        <v>43</v>
      </c>
      <c r="AJ811" s="13" t="s">
        <v>359</v>
      </c>
      <c r="AK811" s="14">
        <v>-2</v>
      </c>
      <c r="AL811" s="17"/>
      <c r="AM811" s="17"/>
      <c r="AN811" s="17"/>
      <c r="AO811" s="17"/>
      <c r="AP811" s="17"/>
      <c r="AQ811" s="17"/>
      <c r="AR811" s="17"/>
      <c r="AS811" s="17"/>
      <c r="AT811" s="17"/>
      <c r="AU811" s="17"/>
      <c r="AV811" s="17"/>
    </row>
    <row r="812" spans="1:48" ht="15.75" customHeight="1">
      <c r="A812" s="21" t="s">
        <v>147</v>
      </c>
      <c r="B812" s="23" t="s">
        <v>1692</v>
      </c>
      <c r="C812" s="22">
        <v>45866</v>
      </c>
      <c r="D812" s="23" t="s">
        <v>80</v>
      </c>
      <c r="E812" s="23" t="s">
        <v>148</v>
      </c>
      <c r="F812" s="21">
        <v>1</v>
      </c>
      <c r="G812" s="12">
        <v>1200.0000000000002</v>
      </c>
      <c r="H812" s="12">
        <v>1200.0000000000002</v>
      </c>
      <c r="I812" s="23" t="s">
        <v>52</v>
      </c>
      <c r="J812" s="23" t="s">
        <v>61</v>
      </c>
      <c r="K812" s="24" t="s">
        <v>177</v>
      </c>
      <c r="L812" s="24">
        <v>162</v>
      </c>
      <c r="M812" s="12">
        <v>1008.4033613445381</v>
      </c>
      <c r="N812" s="12">
        <v>1008.4033613445381</v>
      </c>
      <c r="O812" s="12">
        <v>191.59663865546213</v>
      </c>
      <c r="P812" s="13"/>
      <c r="Q812" s="14">
        <v>2025</v>
      </c>
      <c r="R812" s="15">
        <v>45474</v>
      </c>
      <c r="S812" s="11" t="s">
        <v>360</v>
      </c>
      <c r="T812" s="16">
        <v>0</v>
      </c>
      <c r="U812" s="17"/>
      <c r="V812" s="12">
        <v>357.9831932773111</v>
      </c>
      <c r="W812" s="12">
        <v>357.9831932773111</v>
      </c>
      <c r="X812" s="12">
        <v>0</v>
      </c>
      <c r="Y812" s="18">
        <v>45866</v>
      </c>
      <c r="Z812" s="13" t="s">
        <v>39</v>
      </c>
      <c r="AA812" s="19" t="s">
        <v>361</v>
      </c>
      <c r="AB812" s="13" t="s">
        <v>357</v>
      </c>
      <c r="AC812" s="13" t="s">
        <v>362</v>
      </c>
      <c r="AD812" s="20"/>
      <c r="AE812" s="20"/>
      <c r="AF812" s="13" t="s">
        <v>40</v>
      </c>
      <c r="AG812" s="15">
        <v>45474</v>
      </c>
      <c r="AH812" s="13" t="s">
        <v>41</v>
      </c>
      <c r="AI812" s="13" t="s">
        <v>147</v>
      </c>
      <c r="AJ812" s="13" t="s">
        <v>363</v>
      </c>
      <c r="AK812" s="14">
        <v>-1</v>
      </c>
      <c r="AL812" s="17"/>
      <c r="AM812" s="17"/>
      <c r="AN812" s="17"/>
      <c r="AO812" s="17"/>
      <c r="AP812" s="17"/>
      <c r="AQ812" s="17"/>
      <c r="AR812" s="17"/>
      <c r="AS812" s="17"/>
      <c r="AT812" s="17"/>
      <c r="AU812" s="17"/>
      <c r="AV812" s="17"/>
    </row>
    <row r="813" spans="1:48" ht="15.75" customHeight="1">
      <c r="A813" s="21" t="s">
        <v>35</v>
      </c>
      <c r="B813" s="23" t="s">
        <v>1692</v>
      </c>
      <c r="C813" s="22">
        <v>45866</v>
      </c>
      <c r="D813" s="23" t="s">
        <v>80</v>
      </c>
      <c r="E813" s="23" t="s">
        <v>46</v>
      </c>
      <c r="F813" s="21">
        <v>1</v>
      </c>
      <c r="G813" s="12">
        <v>6000.1548227279782</v>
      </c>
      <c r="H813" s="12">
        <v>6000.1548227279782</v>
      </c>
      <c r="I813" s="23" t="s">
        <v>52</v>
      </c>
      <c r="J813" s="23" t="s">
        <v>61</v>
      </c>
      <c r="K813" s="24" t="s">
        <v>177</v>
      </c>
      <c r="L813" s="24">
        <v>162</v>
      </c>
      <c r="M813" s="12">
        <v>5042.1469098554444</v>
      </c>
      <c r="N813" s="12">
        <v>5042.1469098554444</v>
      </c>
      <c r="O813" s="12">
        <v>958.00791287253378</v>
      </c>
      <c r="P813" s="13"/>
      <c r="Q813" s="14">
        <v>2025</v>
      </c>
      <c r="R813" s="15">
        <v>45474</v>
      </c>
      <c r="S813" s="11" t="s">
        <v>364</v>
      </c>
      <c r="T813" s="16">
        <v>500</v>
      </c>
      <c r="U813" s="17"/>
      <c r="V813" s="12">
        <v>1785.4242207798129</v>
      </c>
      <c r="W813" s="12">
        <v>1785.4242207798129</v>
      </c>
      <c r="X813" s="12">
        <v>0</v>
      </c>
      <c r="Y813" s="18">
        <v>45866</v>
      </c>
      <c r="Z813" s="13" t="s">
        <v>39</v>
      </c>
      <c r="AA813" s="19" t="s">
        <v>361</v>
      </c>
      <c r="AB813" s="13" t="s">
        <v>357</v>
      </c>
      <c r="AC813" s="13" t="s">
        <v>362</v>
      </c>
      <c r="AD813" s="20"/>
      <c r="AE813" s="20"/>
      <c r="AF813" s="13" t="s">
        <v>40</v>
      </c>
      <c r="AG813" s="15">
        <v>45474</v>
      </c>
      <c r="AH813" s="13" t="s">
        <v>41</v>
      </c>
      <c r="AI813" s="13" t="s">
        <v>35</v>
      </c>
      <c r="AJ813" s="13" t="s">
        <v>365</v>
      </c>
      <c r="AK813" s="14">
        <v>-0.5</v>
      </c>
      <c r="AL813" s="17"/>
      <c r="AM813" s="17"/>
      <c r="AN813" s="17"/>
      <c r="AO813" s="17"/>
      <c r="AP813" s="17"/>
      <c r="AQ813" s="17"/>
      <c r="AR813" s="17"/>
      <c r="AS813" s="17"/>
      <c r="AT813" s="17"/>
      <c r="AU813" s="17"/>
      <c r="AV813" s="17"/>
    </row>
    <row r="814" spans="1:48" ht="15.75" customHeight="1">
      <c r="A814" s="21" t="s">
        <v>53</v>
      </c>
      <c r="B814" s="23" t="s">
        <v>1692</v>
      </c>
      <c r="C814" s="22">
        <v>45866</v>
      </c>
      <c r="D814" s="23" t="s">
        <v>141</v>
      </c>
      <c r="E814" s="23" t="s">
        <v>203</v>
      </c>
      <c r="F814" s="21">
        <v>1</v>
      </c>
      <c r="G814" s="12">
        <v>10000.35681042507</v>
      </c>
      <c r="H814" s="12">
        <v>10000.35681042507</v>
      </c>
      <c r="I814" s="23" t="s">
        <v>52</v>
      </c>
      <c r="J814" s="23" t="s">
        <v>38</v>
      </c>
      <c r="K814" s="24" t="s">
        <v>177</v>
      </c>
      <c r="L814" s="24">
        <v>162</v>
      </c>
      <c r="M814" s="12">
        <v>8403.6611852311507</v>
      </c>
      <c r="N814" s="12">
        <v>8403.6611852311507</v>
      </c>
      <c r="O814" s="12">
        <v>1596.6956251939191</v>
      </c>
      <c r="P814" s="13"/>
      <c r="Q814" s="14">
        <v>2025</v>
      </c>
      <c r="R814" s="15">
        <v>45474</v>
      </c>
      <c r="S814" s="11" t="s">
        <v>366</v>
      </c>
      <c r="T814" s="16">
        <v>0</v>
      </c>
      <c r="U814" s="17"/>
      <c r="V814" s="12">
        <v>2986.6611852311507</v>
      </c>
      <c r="W814" s="12">
        <v>2986.6611852311507</v>
      </c>
      <c r="X814" s="12">
        <v>0</v>
      </c>
      <c r="Y814" s="18">
        <v>45866</v>
      </c>
      <c r="Z814" s="13" t="s">
        <v>39</v>
      </c>
      <c r="AA814" s="19" t="s">
        <v>367</v>
      </c>
      <c r="AB814" s="13" t="s">
        <v>357</v>
      </c>
      <c r="AC814" s="13" t="s">
        <v>367</v>
      </c>
      <c r="AD814" s="20"/>
      <c r="AE814" s="20"/>
      <c r="AF814" s="13" t="s">
        <v>40</v>
      </c>
      <c r="AG814" s="15">
        <v>45474</v>
      </c>
      <c r="AH814" s="13" t="s">
        <v>41</v>
      </c>
      <c r="AI814" s="13" t="s">
        <v>53</v>
      </c>
      <c r="AJ814" s="13" t="s">
        <v>368</v>
      </c>
      <c r="AK814" s="14">
        <v>-3</v>
      </c>
      <c r="AL814" s="17"/>
      <c r="AM814" s="17"/>
      <c r="AN814" s="17"/>
      <c r="AO814" s="17"/>
      <c r="AP814" s="17"/>
      <c r="AQ814" s="17"/>
      <c r="AR814" s="17"/>
      <c r="AS814" s="17"/>
      <c r="AT814" s="17"/>
      <c r="AU814" s="17"/>
      <c r="AV814" s="17"/>
    </row>
    <row r="815" spans="1:48" ht="15.75" customHeight="1">
      <c r="A815" s="21" t="s">
        <v>53</v>
      </c>
      <c r="B815" s="23" t="s">
        <v>1692</v>
      </c>
      <c r="C815" s="22">
        <v>45866</v>
      </c>
      <c r="D815" s="23" t="s">
        <v>141</v>
      </c>
      <c r="E815" s="23" t="s">
        <v>339</v>
      </c>
      <c r="F815" s="21">
        <v>1</v>
      </c>
      <c r="G815" s="12">
        <v>4000.0000000000005</v>
      </c>
      <c r="H815" s="12">
        <v>4000.0000000000005</v>
      </c>
      <c r="I815" s="23" t="s">
        <v>52</v>
      </c>
      <c r="J815" s="23" t="s">
        <v>38</v>
      </c>
      <c r="K815" s="24" t="s">
        <v>177</v>
      </c>
      <c r="L815" s="24">
        <v>162</v>
      </c>
      <c r="M815" s="12">
        <v>3361.3445378151264</v>
      </c>
      <c r="N815" s="12">
        <v>3361.3445378151264</v>
      </c>
      <c r="O815" s="12">
        <v>638.65546218487407</v>
      </c>
      <c r="P815" s="13"/>
      <c r="Q815" s="14">
        <v>2025</v>
      </c>
      <c r="R815" s="15">
        <v>45474</v>
      </c>
      <c r="S815" s="11" t="s">
        <v>369</v>
      </c>
      <c r="T815" s="16">
        <v>0</v>
      </c>
      <c r="U815" s="17"/>
      <c r="V815" s="12">
        <v>953.78151260504228</v>
      </c>
      <c r="W815" s="12">
        <v>953.78151260504228</v>
      </c>
      <c r="X815" s="12">
        <v>0</v>
      </c>
      <c r="Y815" s="18">
        <v>45866</v>
      </c>
      <c r="Z815" s="13" t="s">
        <v>39</v>
      </c>
      <c r="AA815" s="19" t="s">
        <v>367</v>
      </c>
      <c r="AB815" s="13" t="s">
        <v>357</v>
      </c>
      <c r="AC815" s="13" t="s">
        <v>367</v>
      </c>
      <c r="AD815" s="20"/>
      <c r="AE815" s="20"/>
      <c r="AF815" s="13" t="s">
        <v>40</v>
      </c>
      <c r="AG815" s="15">
        <v>45474</v>
      </c>
      <c r="AH815" s="13" t="s">
        <v>41</v>
      </c>
      <c r="AI815" s="13" t="s">
        <v>53</v>
      </c>
      <c r="AJ815" s="13" t="s">
        <v>370</v>
      </c>
      <c r="AK815" s="14">
        <v>-3</v>
      </c>
      <c r="AL815" s="17"/>
      <c r="AM815" s="17"/>
      <c r="AN815" s="17"/>
      <c r="AO815" s="17"/>
      <c r="AP815" s="17"/>
      <c r="AQ815" s="17"/>
      <c r="AR815" s="17"/>
      <c r="AS815" s="17"/>
      <c r="AT815" s="17"/>
      <c r="AU815" s="17"/>
      <c r="AV815" s="17"/>
    </row>
    <row r="816" spans="1:48" ht="15.75" customHeight="1">
      <c r="A816" s="21" t="s">
        <v>43</v>
      </c>
      <c r="B816" s="23" t="s">
        <v>1692</v>
      </c>
      <c r="C816" s="22">
        <v>45866</v>
      </c>
      <c r="D816" s="23" t="s">
        <v>141</v>
      </c>
      <c r="E816" s="23" t="s">
        <v>45</v>
      </c>
      <c r="F816" s="21">
        <v>1</v>
      </c>
      <c r="G816" s="12">
        <v>7900.1687504794045</v>
      </c>
      <c r="H816" s="12">
        <v>7900.1687504794045</v>
      </c>
      <c r="I816" s="23" t="s">
        <v>52</v>
      </c>
      <c r="J816" s="23" t="s">
        <v>38</v>
      </c>
      <c r="K816" s="24" t="s">
        <v>177</v>
      </c>
      <c r="L816" s="24">
        <v>162</v>
      </c>
      <c r="M816" s="12">
        <v>6638.7972693104239</v>
      </c>
      <c r="N816" s="12">
        <v>6638.7972693104239</v>
      </c>
      <c r="O816" s="12">
        <v>1261.3714811689806</v>
      </c>
      <c r="P816" s="13"/>
      <c r="Q816" s="14">
        <v>2025</v>
      </c>
      <c r="R816" s="15">
        <v>45474</v>
      </c>
      <c r="S816" s="11" t="s">
        <v>355</v>
      </c>
      <c r="T816" s="16">
        <v>0</v>
      </c>
      <c r="U816" s="17"/>
      <c r="V816" s="12">
        <v>1445.7972693104239</v>
      </c>
      <c r="W816" s="12">
        <v>1445.7972693104239</v>
      </c>
      <c r="X816" s="12">
        <v>0</v>
      </c>
      <c r="Y816" s="18">
        <v>45866</v>
      </c>
      <c r="Z816" s="13" t="s">
        <v>39</v>
      </c>
      <c r="AA816" s="19" t="s">
        <v>367</v>
      </c>
      <c r="AB816" s="13" t="s">
        <v>357</v>
      </c>
      <c r="AC816" s="13" t="s">
        <v>367</v>
      </c>
      <c r="AD816" s="20"/>
      <c r="AE816" s="20"/>
      <c r="AF816" s="13" t="s">
        <v>40</v>
      </c>
      <c r="AG816" s="15">
        <v>45474</v>
      </c>
      <c r="AH816" s="13" t="s">
        <v>41</v>
      </c>
      <c r="AI816" s="13" t="s">
        <v>43</v>
      </c>
      <c r="AJ816" s="13" t="s">
        <v>359</v>
      </c>
      <c r="AK816" s="14">
        <v>-1</v>
      </c>
      <c r="AL816" s="17"/>
      <c r="AM816" s="17"/>
      <c r="AN816" s="17"/>
      <c r="AO816" s="17"/>
      <c r="AP816" s="17"/>
      <c r="AQ816" s="17"/>
      <c r="AR816" s="17"/>
      <c r="AS816" s="17"/>
      <c r="AT816" s="17"/>
      <c r="AU816" s="17"/>
      <c r="AV816" s="17"/>
    </row>
    <row r="817" spans="1:48" ht="15.75" customHeight="1">
      <c r="A817" s="21" t="s">
        <v>47</v>
      </c>
      <c r="B817" s="23" t="s">
        <v>1692</v>
      </c>
      <c r="C817" s="22">
        <v>45866</v>
      </c>
      <c r="D817" s="23" t="s">
        <v>141</v>
      </c>
      <c r="E817" s="23" t="s">
        <v>105</v>
      </c>
      <c r="F817" s="21">
        <v>1</v>
      </c>
      <c r="G817" s="12">
        <v>1100.0000000000002</v>
      </c>
      <c r="H817" s="12">
        <v>1100.0000000000002</v>
      </c>
      <c r="I817" s="23" t="s">
        <v>52</v>
      </c>
      <c r="J817" s="23" t="s">
        <v>38</v>
      </c>
      <c r="K817" s="24" t="s">
        <v>177</v>
      </c>
      <c r="L817" s="24">
        <v>162</v>
      </c>
      <c r="M817" s="12">
        <v>924.36974789915985</v>
      </c>
      <c r="N817" s="12">
        <v>924.36974789915985</v>
      </c>
      <c r="O817" s="12">
        <v>175.63025210084038</v>
      </c>
      <c r="P817" s="13"/>
      <c r="Q817" s="14">
        <v>2025</v>
      </c>
      <c r="R817" s="15">
        <v>45474</v>
      </c>
      <c r="S817" s="11" t="s">
        <v>105</v>
      </c>
      <c r="T817" s="16">
        <v>0</v>
      </c>
      <c r="U817" s="17"/>
      <c r="V817" s="12">
        <v>342.857142857143</v>
      </c>
      <c r="W817" s="12">
        <v>342.857142857143</v>
      </c>
      <c r="X817" s="12">
        <v>0</v>
      </c>
      <c r="Y817" s="18">
        <v>45866</v>
      </c>
      <c r="Z817" s="13" t="s">
        <v>39</v>
      </c>
      <c r="AA817" s="19" t="s">
        <v>367</v>
      </c>
      <c r="AB817" s="13" t="s">
        <v>357</v>
      </c>
      <c r="AC817" s="13" t="s">
        <v>367</v>
      </c>
      <c r="AD817" s="20"/>
      <c r="AE817" s="20"/>
      <c r="AF817" s="13" t="s">
        <v>40</v>
      </c>
      <c r="AG817" s="15">
        <v>45474</v>
      </c>
      <c r="AH817" s="13" t="s">
        <v>41</v>
      </c>
      <c r="AI817" s="13" t="s">
        <v>47</v>
      </c>
      <c r="AJ817" s="13" t="s">
        <v>371</v>
      </c>
      <c r="AK817" s="14">
        <v>-1</v>
      </c>
      <c r="AL817" s="17"/>
      <c r="AM817" s="17"/>
      <c r="AN817" s="17"/>
      <c r="AO817" s="17"/>
      <c r="AP817" s="17"/>
      <c r="AQ817" s="17"/>
      <c r="AR817" s="17"/>
      <c r="AS817" s="17"/>
      <c r="AT817" s="17"/>
      <c r="AU817" s="17"/>
      <c r="AV817" s="17"/>
    </row>
    <row r="818" spans="1:48" ht="15.75" customHeight="1">
      <c r="A818" s="21" t="s">
        <v>47</v>
      </c>
      <c r="B818" s="23" t="s">
        <v>1692</v>
      </c>
      <c r="C818" s="22">
        <v>45866</v>
      </c>
      <c r="D818" s="23" t="s">
        <v>96</v>
      </c>
      <c r="E818" s="23" t="s">
        <v>295</v>
      </c>
      <c r="F818" s="21">
        <v>1</v>
      </c>
      <c r="G818" s="12">
        <v>2599.7755362977696</v>
      </c>
      <c r="H818" s="12">
        <v>2599.7755362977696</v>
      </c>
      <c r="I818" s="23" t="s">
        <v>52</v>
      </c>
      <c r="J818" s="23" t="s">
        <v>61</v>
      </c>
      <c r="K818" s="24" t="s">
        <v>177</v>
      </c>
      <c r="L818" s="24">
        <v>162</v>
      </c>
      <c r="M818" s="12">
        <v>2184.6853246199744</v>
      </c>
      <c r="N818" s="12">
        <v>2184.6853246199744</v>
      </c>
      <c r="O818" s="12">
        <v>415.0902116777952</v>
      </c>
      <c r="P818" s="13"/>
      <c r="Q818" s="14">
        <v>2025</v>
      </c>
      <c r="R818" s="15">
        <v>45474</v>
      </c>
      <c r="S818" s="11" t="s">
        <v>372</v>
      </c>
      <c r="T818" s="16">
        <v>0</v>
      </c>
      <c r="U818" s="17"/>
      <c r="V818" s="12">
        <v>646.88532461997443</v>
      </c>
      <c r="W818" s="12">
        <v>646.88532461997443</v>
      </c>
      <c r="X818" s="12">
        <v>0</v>
      </c>
      <c r="Y818" s="18">
        <v>45866</v>
      </c>
      <c r="Z818" s="13" t="s">
        <v>39</v>
      </c>
      <c r="AA818" s="19" t="s">
        <v>373</v>
      </c>
      <c r="AB818" s="13" t="s">
        <v>357</v>
      </c>
      <c r="AC818" s="13" t="s">
        <v>374</v>
      </c>
      <c r="AD818" s="20"/>
      <c r="AE818" s="20"/>
      <c r="AF818" s="13" t="s">
        <v>40</v>
      </c>
      <c r="AG818" s="15">
        <v>45474</v>
      </c>
      <c r="AH818" s="13" t="s">
        <v>41</v>
      </c>
      <c r="AI818" s="13" t="s">
        <v>47</v>
      </c>
      <c r="AJ818" s="13" t="s">
        <v>375</v>
      </c>
      <c r="AK818" s="14">
        <v>-1</v>
      </c>
      <c r="AL818" s="17"/>
      <c r="AM818" s="17"/>
      <c r="AN818" s="17"/>
      <c r="AO818" s="17"/>
      <c r="AP818" s="17"/>
      <c r="AQ818" s="17"/>
      <c r="AR818" s="17"/>
      <c r="AS818" s="17"/>
      <c r="AT818" s="17"/>
      <c r="AU818" s="17"/>
      <c r="AV818" s="17"/>
    </row>
    <row r="819" spans="1:48" ht="15.75" customHeight="1">
      <c r="A819" s="21" t="s">
        <v>53</v>
      </c>
      <c r="B819" s="23" t="s">
        <v>1692</v>
      </c>
      <c r="C819" s="22">
        <v>45866</v>
      </c>
      <c r="D819" s="23" t="s">
        <v>96</v>
      </c>
      <c r="E819" s="23" t="s">
        <v>203</v>
      </c>
      <c r="F819" s="21">
        <v>1</v>
      </c>
      <c r="G819" s="12">
        <v>10000.35681042507</v>
      </c>
      <c r="H819" s="12">
        <v>10000.35681042507</v>
      </c>
      <c r="I819" s="23" t="s">
        <v>52</v>
      </c>
      <c r="J819" s="23" t="s">
        <v>61</v>
      </c>
      <c r="K819" s="24" t="s">
        <v>177</v>
      </c>
      <c r="L819" s="24">
        <v>162</v>
      </c>
      <c r="M819" s="12">
        <v>8403.6611852311507</v>
      </c>
      <c r="N819" s="12">
        <v>8403.6611852311507</v>
      </c>
      <c r="O819" s="12">
        <v>1596.6956251939191</v>
      </c>
      <c r="P819" s="13"/>
      <c r="Q819" s="14">
        <v>2025</v>
      </c>
      <c r="R819" s="15">
        <v>45474</v>
      </c>
      <c r="S819" s="11" t="s">
        <v>366</v>
      </c>
      <c r="T819" s="16">
        <v>0</v>
      </c>
      <c r="U819" s="17"/>
      <c r="V819" s="12">
        <v>2986.6611852311507</v>
      </c>
      <c r="W819" s="12">
        <v>2986.6611852311507</v>
      </c>
      <c r="X819" s="12">
        <v>0</v>
      </c>
      <c r="Y819" s="18">
        <v>45866</v>
      </c>
      <c r="Z819" s="13" t="s">
        <v>39</v>
      </c>
      <c r="AA819" s="19" t="s">
        <v>373</v>
      </c>
      <c r="AB819" s="13" t="s">
        <v>357</v>
      </c>
      <c r="AC819" s="13" t="s">
        <v>374</v>
      </c>
      <c r="AD819" s="20"/>
      <c r="AE819" s="20"/>
      <c r="AF819" s="13" t="s">
        <v>40</v>
      </c>
      <c r="AG819" s="15">
        <v>45474</v>
      </c>
      <c r="AH819" s="13" t="s">
        <v>41</v>
      </c>
      <c r="AI819" s="13" t="s">
        <v>53</v>
      </c>
      <c r="AJ819" s="13" t="s">
        <v>368</v>
      </c>
      <c r="AK819" s="14">
        <v>-3</v>
      </c>
      <c r="AL819" s="17"/>
      <c r="AM819" s="17"/>
      <c r="AN819" s="17"/>
      <c r="AO819" s="17"/>
      <c r="AP819" s="17"/>
      <c r="AQ819" s="17"/>
      <c r="AR819" s="17"/>
      <c r="AS819" s="17"/>
      <c r="AT819" s="17"/>
      <c r="AU819" s="17"/>
      <c r="AV819" s="17"/>
    </row>
    <row r="820" spans="1:48" ht="15.75" customHeight="1">
      <c r="A820" s="21" t="s">
        <v>35</v>
      </c>
      <c r="B820" s="23" t="s">
        <v>1692</v>
      </c>
      <c r="C820" s="22">
        <v>45866</v>
      </c>
      <c r="D820" s="23" t="s">
        <v>96</v>
      </c>
      <c r="E820" s="23" t="s">
        <v>46</v>
      </c>
      <c r="F820" s="21">
        <v>1</v>
      </c>
      <c r="G820" s="12">
        <v>6000.1548227279782</v>
      </c>
      <c r="H820" s="12">
        <v>6000.1548227279782</v>
      </c>
      <c r="I820" s="23" t="s">
        <v>52</v>
      </c>
      <c r="J820" s="23" t="s">
        <v>61</v>
      </c>
      <c r="K820" s="24" t="s">
        <v>177</v>
      </c>
      <c r="L820" s="24">
        <v>162</v>
      </c>
      <c r="M820" s="12">
        <v>5042.1469098554444</v>
      </c>
      <c r="N820" s="12">
        <v>5042.1469098554444</v>
      </c>
      <c r="O820" s="12">
        <v>958.00791287253378</v>
      </c>
      <c r="P820" s="13"/>
      <c r="Q820" s="14">
        <v>2025</v>
      </c>
      <c r="R820" s="15">
        <v>45474</v>
      </c>
      <c r="S820" s="11" t="s">
        <v>364</v>
      </c>
      <c r="T820" s="16">
        <v>500</v>
      </c>
      <c r="U820" s="17"/>
      <c r="V820" s="12">
        <v>1785.4242207798129</v>
      </c>
      <c r="W820" s="12">
        <v>1785.4242207798129</v>
      </c>
      <c r="X820" s="12">
        <v>0</v>
      </c>
      <c r="Y820" s="18">
        <v>45866</v>
      </c>
      <c r="Z820" s="13" t="s">
        <v>39</v>
      </c>
      <c r="AA820" s="19" t="s">
        <v>373</v>
      </c>
      <c r="AB820" s="13" t="s">
        <v>357</v>
      </c>
      <c r="AC820" s="13" t="s">
        <v>374</v>
      </c>
      <c r="AD820" s="20"/>
      <c r="AE820" s="20"/>
      <c r="AF820" s="13" t="s">
        <v>40</v>
      </c>
      <c r="AG820" s="15">
        <v>45474</v>
      </c>
      <c r="AH820" s="13" t="s">
        <v>41</v>
      </c>
      <c r="AI820" s="13" t="s">
        <v>35</v>
      </c>
      <c r="AJ820" s="13" t="s">
        <v>365</v>
      </c>
      <c r="AK820" s="14">
        <v>-0.5</v>
      </c>
      <c r="AL820" s="17"/>
      <c r="AM820" s="17"/>
      <c r="AN820" s="17"/>
      <c r="AO820" s="17"/>
      <c r="AP820" s="17"/>
      <c r="AQ820" s="17"/>
      <c r="AR820" s="17"/>
      <c r="AS820" s="17"/>
      <c r="AT820" s="17"/>
      <c r="AU820" s="17"/>
      <c r="AV820" s="17"/>
    </row>
    <row r="821" spans="1:48" ht="15.75" customHeight="1">
      <c r="A821" s="21" t="s">
        <v>53</v>
      </c>
      <c r="B821" s="23" t="s">
        <v>1692</v>
      </c>
      <c r="C821" s="22">
        <v>45866</v>
      </c>
      <c r="D821" s="23" t="s">
        <v>96</v>
      </c>
      <c r="E821" s="23" t="s">
        <v>69</v>
      </c>
      <c r="F821" s="21">
        <v>1</v>
      </c>
      <c r="G821" s="12">
        <v>2999.9553810458683</v>
      </c>
      <c r="H821" s="12">
        <v>2999.9553810458683</v>
      </c>
      <c r="I821" s="23" t="s">
        <v>52</v>
      </c>
      <c r="J821" s="23" t="s">
        <v>61</v>
      </c>
      <c r="K821" s="24" t="s">
        <v>177</v>
      </c>
      <c r="L821" s="24">
        <v>162</v>
      </c>
      <c r="M821" s="12">
        <v>2520.9709084419064</v>
      </c>
      <c r="N821" s="12">
        <v>2520.9709084419064</v>
      </c>
      <c r="O821" s="12">
        <v>478.98447260396188</v>
      </c>
      <c r="P821" s="13"/>
      <c r="Q821" s="14">
        <v>2025</v>
      </c>
      <c r="R821" s="15">
        <v>45474</v>
      </c>
      <c r="S821" s="11" t="s">
        <v>376</v>
      </c>
      <c r="T821" s="16">
        <v>0</v>
      </c>
      <c r="U821" s="17"/>
      <c r="V821" s="12">
        <v>825.97090844190598</v>
      </c>
      <c r="W821" s="12">
        <v>825.97090844190598</v>
      </c>
      <c r="X821" s="12">
        <v>0</v>
      </c>
      <c r="Y821" s="18">
        <v>45866</v>
      </c>
      <c r="Z821" s="13" t="s">
        <v>39</v>
      </c>
      <c r="AA821" s="19" t="s">
        <v>373</v>
      </c>
      <c r="AB821" s="13" t="s">
        <v>357</v>
      </c>
      <c r="AC821" s="13" t="s">
        <v>374</v>
      </c>
      <c r="AD821" s="20"/>
      <c r="AE821" s="20"/>
      <c r="AF821" s="13" t="s">
        <v>40</v>
      </c>
      <c r="AG821" s="15">
        <v>45474</v>
      </c>
      <c r="AH821" s="13" t="s">
        <v>41</v>
      </c>
      <c r="AI821" s="13" t="s">
        <v>53</v>
      </c>
      <c r="AJ821" s="13" t="s">
        <v>377</v>
      </c>
      <c r="AK821" s="14">
        <v>-1</v>
      </c>
      <c r="AL821" s="17"/>
      <c r="AM821" s="17"/>
      <c r="AN821" s="17"/>
      <c r="AO821" s="17"/>
      <c r="AP821" s="17"/>
      <c r="AQ821" s="17"/>
      <c r="AR821" s="17"/>
      <c r="AS821" s="17"/>
      <c r="AT821" s="17"/>
      <c r="AU821" s="17"/>
      <c r="AV821" s="17"/>
    </row>
    <row r="822" spans="1:48" ht="15.75" customHeight="1">
      <c r="A822" s="21" t="s">
        <v>76</v>
      </c>
      <c r="B822" s="23" t="s">
        <v>1692</v>
      </c>
      <c r="C822" s="22">
        <v>45866</v>
      </c>
      <c r="D822" s="23" t="s">
        <v>96</v>
      </c>
      <c r="E822" s="23" t="s">
        <v>110</v>
      </c>
      <c r="F822" s="21">
        <v>1</v>
      </c>
      <c r="G822" s="12">
        <v>2000.0000000000005</v>
      </c>
      <c r="H822" s="12">
        <v>2000.0000000000005</v>
      </c>
      <c r="I822" s="23" t="s">
        <v>52</v>
      </c>
      <c r="J822" s="23" t="s">
        <v>61</v>
      </c>
      <c r="K822" s="24" t="s">
        <v>177</v>
      </c>
      <c r="L822" s="24">
        <v>162</v>
      </c>
      <c r="M822" s="12">
        <v>1680.6722689075634</v>
      </c>
      <c r="N822" s="12">
        <v>1680.6722689075634</v>
      </c>
      <c r="O822" s="12">
        <v>319.32773109243703</v>
      </c>
      <c r="P822" s="13"/>
      <c r="Q822" s="14">
        <v>2025</v>
      </c>
      <c r="R822" s="15">
        <v>45474</v>
      </c>
      <c r="S822" s="11" t="s">
        <v>378</v>
      </c>
      <c r="T822" s="16">
        <v>5</v>
      </c>
      <c r="U822" s="17"/>
      <c r="V822" s="12">
        <v>756.30252100840369</v>
      </c>
      <c r="W822" s="12">
        <v>756.30252100840369</v>
      </c>
      <c r="X822" s="12">
        <v>0</v>
      </c>
      <c r="Y822" s="18">
        <v>45866</v>
      </c>
      <c r="Z822" s="13" t="s">
        <v>39</v>
      </c>
      <c r="AA822" s="19" t="s">
        <v>373</v>
      </c>
      <c r="AB822" s="13" t="s">
        <v>357</v>
      </c>
      <c r="AC822" s="13" t="s">
        <v>374</v>
      </c>
      <c r="AD822" s="20"/>
      <c r="AE822" s="20"/>
      <c r="AF822" s="13" t="s">
        <v>40</v>
      </c>
      <c r="AG822" s="15">
        <v>45474</v>
      </c>
      <c r="AH822" s="13" t="s">
        <v>41</v>
      </c>
      <c r="AI822" s="13" t="s">
        <v>76</v>
      </c>
      <c r="AJ822" s="13" t="s">
        <v>379</v>
      </c>
      <c r="AK822" s="14">
        <v>-1</v>
      </c>
      <c r="AL822" s="17"/>
      <c r="AM822" s="17"/>
      <c r="AN822" s="17"/>
      <c r="AO822" s="17"/>
      <c r="AP822" s="17"/>
      <c r="AQ822" s="17"/>
      <c r="AR822" s="17"/>
      <c r="AS822" s="17"/>
      <c r="AT822" s="17"/>
      <c r="AU822" s="17"/>
      <c r="AV822" s="17"/>
    </row>
    <row r="823" spans="1:48" ht="15.75" customHeight="1">
      <c r="A823" s="21" t="s">
        <v>43</v>
      </c>
      <c r="B823" s="23" t="s">
        <v>1692</v>
      </c>
      <c r="C823" s="22">
        <v>45866</v>
      </c>
      <c r="D823" s="23" t="s">
        <v>229</v>
      </c>
      <c r="E823" s="23" t="s">
        <v>45</v>
      </c>
      <c r="F823" s="21">
        <v>1</v>
      </c>
      <c r="G823" s="12">
        <v>7900.1687504794045</v>
      </c>
      <c r="H823" s="12">
        <v>7900.1687504794045</v>
      </c>
      <c r="I823" s="23" t="s">
        <v>52</v>
      </c>
      <c r="J823" s="23" t="s">
        <v>61</v>
      </c>
      <c r="K823" s="24" t="s">
        <v>177</v>
      </c>
      <c r="L823" s="24">
        <v>162</v>
      </c>
      <c r="M823" s="12">
        <v>6638.7972693104239</v>
      </c>
      <c r="N823" s="12">
        <v>6638.7972693104239</v>
      </c>
      <c r="O823" s="12">
        <v>1261.3714811689806</v>
      </c>
      <c r="P823" s="13"/>
      <c r="Q823" s="14">
        <v>2025</v>
      </c>
      <c r="R823" s="15">
        <v>45474</v>
      </c>
      <c r="S823" s="11" t="s">
        <v>355</v>
      </c>
      <c r="T823" s="16">
        <v>0</v>
      </c>
      <c r="U823" s="17"/>
      <c r="V823" s="12">
        <v>1445.7972693104239</v>
      </c>
      <c r="W823" s="12">
        <v>1445.7972693104239</v>
      </c>
      <c r="X823" s="12">
        <v>0</v>
      </c>
      <c r="Y823" s="18">
        <v>45866</v>
      </c>
      <c r="Z823" s="13" t="s">
        <v>39</v>
      </c>
      <c r="AA823" s="19" t="s">
        <v>361</v>
      </c>
      <c r="AB823" s="13" t="s">
        <v>357</v>
      </c>
      <c r="AC823" s="13" t="s">
        <v>380</v>
      </c>
      <c r="AD823" s="20"/>
      <c r="AE823" s="20"/>
      <c r="AF823" s="13" t="s">
        <v>40</v>
      </c>
      <c r="AG823" s="15">
        <v>45474</v>
      </c>
      <c r="AH823" s="13" t="s">
        <v>41</v>
      </c>
      <c r="AI823" s="13" t="s">
        <v>43</v>
      </c>
      <c r="AJ823" s="13" t="s">
        <v>359</v>
      </c>
      <c r="AK823" s="14">
        <v>-1</v>
      </c>
      <c r="AL823" s="17"/>
      <c r="AM823" s="17"/>
      <c r="AN823" s="17"/>
      <c r="AO823" s="17"/>
      <c r="AP823" s="17"/>
      <c r="AQ823" s="17"/>
      <c r="AR823" s="17"/>
      <c r="AS823" s="17"/>
      <c r="AT823" s="17"/>
      <c r="AU823" s="17"/>
      <c r="AV823" s="17"/>
    </row>
    <row r="824" spans="1:48" ht="15.75" customHeight="1">
      <c r="A824" s="21" t="s">
        <v>53</v>
      </c>
      <c r="B824" s="23" t="s">
        <v>1692</v>
      </c>
      <c r="C824" s="22">
        <v>45866</v>
      </c>
      <c r="D824" s="23" t="s">
        <v>270</v>
      </c>
      <c r="E824" s="23" t="s">
        <v>150</v>
      </c>
      <c r="F824" s="21">
        <v>1</v>
      </c>
      <c r="G824" s="12">
        <v>1799.8965445892823</v>
      </c>
      <c r="H824" s="12">
        <v>1799.8965445892823</v>
      </c>
      <c r="I824" s="23" t="s">
        <v>52</v>
      </c>
      <c r="J824" s="23" t="s">
        <v>61</v>
      </c>
      <c r="K824" s="24" t="s">
        <v>177</v>
      </c>
      <c r="L824" s="24">
        <v>162</v>
      </c>
      <c r="M824" s="12">
        <v>1512.518104696876</v>
      </c>
      <c r="N824" s="12">
        <v>1512.518104696876</v>
      </c>
      <c r="O824" s="12">
        <v>287.37843989240628</v>
      </c>
      <c r="P824" s="13"/>
      <c r="Q824" s="14">
        <v>2025</v>
      </c>
      <c r="R824" s="15">
        <v>45474</v>
      </c>
      <c r="S824" s="11" t="s">
        <v>381</v>
      </c>
      <c r="T824" s="16">
        <v>300</v>
      </c>
      <c r="U824" s="17"/>
      <c r="V824" s="12">
        <v>781.51810469687575</v>
      </c>
      <c r="W824" s="12">
        <v>781.51810469687575</v>
      </c>
      <c r="X824" s="12">
        <v>0</v>
      </c>
      <c r="Y824" s="18">
        <v>45866</v>
      </c>
      <c r="Z824" s="13" t="s">
        <v>39</v>
      </c>
      <c r="AA824" s="19" t="s">
        <v>367</v>
      </c>
      <c r="AB824" s="13" t="s">
        <v>357</v>
      </c>
      <c r="AC824" s="13" t="s">
        <v>367</v>
      </c>
      <c r="AD824" s="20"/>
      <c r="AE824" s="20"/>
      <c r="AF824" s="13" t="s">
        <v>40</v>
      </c>
      <c r="AG824" s="15">
        <v>45474</v>
      </c>
      <c r="AH824" s="13" t="s">
        <v>41</v>
      </c>
      <c r="AI824" s="13" t="s">
        <v>53</v>
      </c>
      <c r="AJ824" s="13" t="s">
        <v>382</v>
      </c>
      <c r="AK824" s="14">
        <v>-1</v>
      </c>
      <c r="AL824" s="17"/>
      <c r="AM824" s="17"/>
      <c r="AN824" s="17"/>
      <c r="AO824" s="17"/>
      <c r="AP824" s="17"/>
      <c r="AQ824" s="17"/>
      <c r="AR824" s="17"/>
      <c r="AS824" s="17"/>
      <c r="AT824" s="17"/>
      <c r="AU824" s="17"/>
      <c r="AV824" s="17"/>
    </row>
    <row r="825" spans="1:48" ht="15.75" customHeight="1">
      <c r="A825" s="21" t="s">
        <v>35</v>
      </c>
      <c r="B825" s="23" t="s">
        <v>1692</v>
      </c>
      <c r="C825" s="22">
        <v>45865</v>
      </c>
      <c r="D825" s="23" t="s">
        <v>104</v>
      </c>
      <c r="E825" s="23" t="s">
        <v>46</v>
      </c>
      <c r="F825" s="21">
        <v>1</v>
      </c>
      <c r="G825" s="12">
        <v>6000.1548227279782</v>
      </c>
      <c r="H825" s="12">
        <v>6000.1548227279782</v>
      </c>
      <c r="I825" s="23" t="s">
        <v>52</v>
      </c>
      <c r="J825" s="23" t="s">
        <v>61</v>
      </c>
      <c r="K825" s="24" t="s">
        <v>177</v>
      </c>
      <c r="L825" s="24">
        <v>162</v>
      </c>
      <c r="M825" s="12">
        <v>5042.1469098554444</v>
      </c>
      <c r="N825" s="12">
        <v>5042.1469098554444</v>
      </c>
      <c r="O825" s="12">
        <v>958.00791287253378</v>
      </c>
      <c r="P825" s="13"/>
      <c r="Q825" s="14">
        <v>2025</v>
      </c>
      <c r="R825" s="15">
        <v>45474</v>
      </c>
      <c r="S825" s="11" t="s">
        <v>364</v>
      </c>
      <c r="T825" s="16">
        <v>500</v>
      </c>
      <c r="U825" s="17"/>
      <c r="V825" s="12">
        <v>1785.4242207798129</v>
      </c>
      <c r="W825" s="12">
        <v>1785.4242207798129</v>
      </c>
      <c r="X825" s="12">
        <v>0</v>
      </c>
      <c r="Y825" s="18">
        <v>45859</v>
      </c>
      <c r="Z825" s="13" t="s">
        <v>39</v>
      </c>
      <c r="AA825" s="19" t="s">
        <v>373</v>
      </c>
      <c r="AB825" s="13" t="s">
        <v>357</v>
      </c>
      <c r="AC825" s="13" t="s">
        <v>383</v>
      </c>
      <c r="AD825" s="20"/>
      <c r="AE825" s="20"/>
      <c r="AF825" s="13" t="s">
        <v>40</v>
      </c>
      <c r="AG825" s="15">
        <v>45474</v>
      </c>
      <c r="AH825" s="13" t="s">
        <v>41</v>
      </c>
      <c r="AI825" s="13" t="s">
        <v>35</v>
      </c>
      <c r="AJ825" s="13" t="s">
        <v>365</v>
      </c>
      <c r="AK825" s="14">
        <v>-0.5</v>
      </c>
      <c r="AL825" s="17"/>
      <c r="AM825" s="17"/>
      <c r="AN825" s="17"/>
      <c r="AO825" s="17"/>
      <c r="AP825" s="17"/>
      <c r="AQ825" s="17"/>
      <c r="AR825" s="17"/>
      <c r="AS825" s="17"/>
      <c r="AT825" s="17"/>
      <c r="AU825" s="17"/>
      <c r="AV825" s="17"/>
    </row>
    <row r="826" spans="1:48" ht="15.75" customHeight="1">
      <c r="A826" s="21" t="s">
        <v>47</v>
      </c>
      <c r="B826" s="23" t="s">
        <v>1692</v>
      </c>
      <c r="C826" s="22">
        <v>45865</v>
      </c>
      <c r="D826" s="23" t="s">
        <v>348</v>
      </c>
      <c r="E826" s="23" t="s">
        <v>49</v>
      </c>
      <c r="F826" s="21">
        <v>1</v>
      </c>
      <c r="G826" s="12">
        <v>4500.0000000000009</v>
      </c>
      <c r="H826" s="12">
        <v>4500.0000000000009</v>
      </c>
      <c r="I826" s="23" t="s">
        <v>52</v>
      </c>
      <c r="J826" s="23" t="s">
        <v>61</v>
      </c>
      <c r="K826" s="24" t="s">
        <v>177</v>
      </c>
      <c r="L826" s="24">
        <v>162</v>
      </c>
      <c r="M826" s="12">
        <v>3781.5126050420176</v>
      </c>
      <c r="N826" s="12">
        <v>3781.5126050420176</v>
      </c>
      <c r="O826" s="12">
        <v>718.48739495798327</v>
      </c>
      <c r="P826" s="13"/>
      <c r="Q826" s="14">
        <v>2025</v>
      </c>
      <c r="R826" s="15">
        <v>45474</v>
      </c>
      <c r="S826" s="11" t="s">
        <v>384</v>
      </c>
      <c r="T826" s="16">
        <v>0</v>
      </c>
      <c r="U826" s="17"/>
      <c r="V826" s="12">
        <v>988.23529411764775</v>
      </c>
      <c r="W826" s="12">
        <v>988.23529411764775</v>
      </c>
      <c r="X826" s="12">
        <v>0</v>
      </c>
      <c r="Y826" s="18">
        <v>45859</v>
      </c>
      <c r="Z826" s="13" t="s">
        <v>39</v>
      </c>
      <c r="AA826" s="19" t="s">
        <v>356</v>
      </c>
      <c r="AB826" s="13" t="s">
        <v>357</v>
      </c>
      <c r="AC826" s="13" t="s">
        <v>362</v>
      </c>
      <c r="AD826" s="20"/>
      <c r="AE826" s="20"/>
      <c r="AF826" s="13" t="s">
        <v>40</v>
      </c>
      <c r="AG826" s="15">
        <v>45474</v>
      </c>
      <c r="AH826" s="13" t="s">
        <v>41</v>
      </c>
      <c r="AI826" s="13" t="s">
        <v>47</v>
      </c>
      <c r="AJ826" s="13" t="s">
        <v>385</v>
      </c>
      <c r="AK826" s="14">
        <v>-3</v>
      </c>
      <c r="AL826" s="17"/>
      <c r="AM826" s="17"/>
      <c r="AN826" s="17"/>
      <c r="AO826" s="17"/>
      <c r="AP826" s="17"/>
      <c r="AQ826" s="17"/>
      <c r="AR826" s="17"/>
      <c r="AS826" s="17"/>
      <c r="AT826" s="17"/>
      <c r="AU826" s="17"/>
      <c r="AV826" s="17"/>
    </row>
    <row r="827" spans="1:48" ht="15.75" customHeight="1">
      <c r="A827" s="21" t="s">
        <v>47</v>
      </c>
      <c r="B827" s="23" t="s">
        <v>1692</v>
      </c>
      <c r="C827" s="22">
        <v>45865</v>
      </c>
      <c r="D827" s="23" t="s">
        <v>348</v>
      </c>
      <c r="E827" s="23" t="s">
        <v>94</v>
      </c>
      <c r="F827" s="21">
        <v>1</v>
      </c>
      <c r="G827" s="12">
        <v>1650.3649635036495</v>
      </c>
      <c r="H827" s="12">
        <v>1650.3649635036495</v>
      </c>
      <c r="I827" s="23" t="s">
        <v>52</v>
      </c>
      <c r="J827" s="23" t="s">
        <v>61</v>
      </c>
      <c r="K827" s="24" t="s">
        <v>177</v>
      </c>
      <c r="L827" s="24">
        <v>162</v>
      </c>
      <c r="M827" s="12">
        <v>1386.861313868613</v>
      </c>
      <c r="N827" s="12">
        <v>1386.861313868613</v>
      </c>
      <c r="O827" s="12">
        <v>263.50364963503648</v>
      </c>
      <c r="P827" s="13"/>
      <c r="Q827" s="14">
        <v>2025</v>
      </c>
      <c r="R827" s="15">
        <v>45474</v>
      </c>
      <c r="S827" s="11" t="s">
        <v>384</v>
      </c>
      <c r="T827" s="16">
        <v>0</v>
      </c>
      <c r="U827" s="17"/>
      <c r="V827" s="12">
        <v>436.86131386861302</v>
      </c>
      <c r="W827" s="12">
        <v>436.86131386861302</v>
      </c>
      <c r="X827" s="12">
        <v>0</v>
      </c>
      <c r="Y827" s="18">
        <v>45859</v>
      </c>
      <c r="Z827" s="13" t="s">
        <v>39</v>
      </c>
      <c r="AA827" s="19" t="s">
        <v>356</v>
      </c>
      <c r="AB827" s="13" t="s">
        <v>357</v>
      </c>
      <c r="AC827" s="13" t="s">
        <v>362</v>
      </c>
      <c r="AD827" s="20"/>
      <c r="AE827" s="20"/>
      <c r="AF827" s="13" t="s">
        <v>40</v>
      </c>
      <c r="AG827" s="15">
        <v>45474</v>
      </c>
      <c r="AH827" s="13" t="s">
        <v>41</v>
      </c>
      <c r="AI827" s="13" t="s">
        <v>47</v>
      </c>
      <c r="AJ827" s="13" t="s">
        <v>385</v>
      </c>
      <c r="AK827" s="14">
        <v>-3</v>
      </c>
      <c r="AL827" s="17"/>
      <c r="AM827" s="17"/>
      <c r="AN827" s="17"/>
      <c r="AO827" s="17"/>
      <c r="AP827" s="17"/>
      <c r="AQ827" s="17"/>
      <c r="AR827" s="17"/>
      <c r="AS827" s="17"/>
      <c r="AT827" s="17"/>
      <c r="AU827" s="17"/>
      <c r="AV827" s="17"/>
    </row>
    <row r="828" spans="1:48" ht="15.75" customHeight="1">
      <c r="A828" s="21" t="s">
        <v>47</v>
      </c>
      <c r="B828" s="23" t="s">
        <v>1692</v>
      </c>
      <c r="C828" s="22">
        <v>45865</v>
      </c>
      <c r="D828" s="23" t="s">
        <v>348</v>
      </c>
      <c r="E828" s="23" t="s">
        <v>386</v>
      </c>
      <c r="F828" s="21">
        <v>1</v>
      </c>
      <c r="G828" s="12">
        <v>600.45552511415531</v>
      </c>
      <c r="H828" s="12">
        <v>600.45552511415531</v>
      </c>
      <c r="I828" s="23" t="s">
        <v>52</v>
      </c>
      <c r="J828" s="23" t="s">
        <v>61</v>
      </c>
      <c r="K828" s="24" t="s">
        <v>177</v>
      </c>
      <c r="L828" s="24">
        <v>162</v>
      </c>
      <c r="M828" s="12">
        <v>504.58447488584483</v>
      </c>
      <c r="N828" s="12">
        <v>504.58447488584483</v>
      </c>
      <c r="O828" s="12">
        <v>95.87105022831048</v>
      </c>
      <c r="P828" s="13"/>
      <c r="Q828" s="14">
        <v>2025</v>
      </c>
      <c r="R828" s="15">
        <v>45474</v>
      </c>
      <c r="S828" s="11" t="s">
        <v>387</v>
      </c>
      <c r="T828" s="16">
        <v>0</v>
      </c>
      <c r="U828" s="17"/>
      <c r="V828" s="12">
        <v>283.57647488584485</v>
      </c>
      <c r="W828" s="12">
        <v>283.57647488584485</v>
      </c>
      <c r="X828" s="12">
        <v>0</v>
      </c>
      <c r="Y828" s="18">
        <v>45859</v>
      </c>
      <c r="Z828" s="13" t="s">
        <v>39</v>
      </c>
      <c r="AA828" s="19" t="s">
        <v>356</v>
      </c>
      <c r="AB828" s="13" t="s">
        <v>357</v>
      </c>
      <c r="AC828" s="13" t="s">
        <v>362</v>
      </c>
      <c r="AD828" s="20"/>
      <c r="AE828" s="20"/>
      <c r="AF828" s="13" t="s">
        <v>40</v>
      </c>
      <c r="AG828" s="15">
        <v>45474</v>
      </c>
      <c r="AH828" s="13" t="s">
        <v>41</v>
      </c>
      <c r="AI828" s="13" t="s">
        <v>47</v>
      </c>
      <c r="AJ828" s="13" t="s">
        <v>386</v>
      </c>
      <c r="AK828" s="14">
        <v>-1</v>
      </c>
      <c r="AL828" s="17"/>
      <c r="AM828" s="17"/>
      <c r="AN828" s="17"/>
      <c r="AO828" s="17"/>
      <c r="AP828" s="17"/>
      <c r="AQ828" s="17"/>
      <c r="AR828" s="17"/>
      <c r="AS828" s="17"/>
      <c r="AT828" s="17"/>
      <c r="AU828" s="17"/>
      <c r="AV828" s="17"/>
    </row>
    <row r="829" spans="1:48" ht="15.75" customHeight="1">
      <c r="A829" s="21" t="s">
        <v>47</v>
      </c>
      <c r="B829" s="23" t="s">
        <v>1692</v>
      </c>
      <c r="C829" s="22">
        <v>45865</v>
      </c>
      <c r="D829" s="23" t="s">
        <v>348</v>
      </c>
      <c r="E829" s="23" t="s">
        <v>388</v>
      </c>
      <c r="F829" s="21">
        <v>1</v>
      </c>
      <c r="G829" s="12">
        <v>300.00240000000002</v>
      </c>
      <c r="H829" s="12">
        <v>300.00240000000002</v>
      </c>
      <c r="I829" s="23" t="s">
        <v>52</v>
      </c>
      <c r="J829" s="23" t="s">
        <v>61</v>
      </c>
      <c r="K829" s="24" t="s">
        <v>177</v>
      </c>
      <c r="L829" s="24">
        <v>162</v>
      </c>
      <c r="M829" s="12">
        <v>252.10285714285718</v>
      </c>
      <c r="N829" s="12">
        <v>252.10285714285718</v>
      </c>
      <c r="O829" s="12">
        <v>47.899542857142848</v>
      </c>
      <c r="P829" s="13"/>
      <c r="Q829" s="14">
        <v>2025</v>
      </c>
      <c r="R829" s="15">
        <v>45474</v>
      </c>
      <c r="S829" s="11" t="s">
        <v>387</v>
      </c>
      <c r="T829" s="16">
        <v>0</v>
      </c>
      <c r="U829" s="17"/>
      <c r="V829" s="12">
        <v>163.86685714285716</v>
      </c>
      <c r="W829" s="12">
        <v>163.86685714285716</v>
      </c>
      <c r="X829" s="12">
        <v>0</v>
      </c>
      <c r="Y829" s="18">
        <v>45859</v>
      </c>
      <c r="Z829" s="13" t="s">
        <v>39</v>
      </c>
      <c r="AA829" s="19" t="s">
        <v>356</v>
      </c>
      <c r="AB829" s="13" t="s">
        <v>357</v>
      </c>
      <c r="AC829" s="13" t="s">
        <v>362</v>
      </c>
      <c r="AD829" s="20"/>
      <c r="AE829" s="20"/>
      <c r="AF829" s="13" t="s">
        <v>40</v>
      </c>
      <c r="AG829" s="15">
        <v>45474</v>
      </c>
      <c r="AH829" s="13" t="s">
        <v>41</v>
      </c>
      <c r="AI829" s="13" t="s">
        <v>47</v>
      </c>
      <c r="AJ829" s="13" t="s">
        <v>388</v>
      </c>
      <c r="AK829" s="14">
        <v>-1</v>
      </c>
      <c r="AL829" s="17"/>
      <c r="AM829" s="17"/>
      <c r="AN829" s="17"/>
      <c r="AO829" s="17"/>
      <c r="AP829" s="17"/>
      <c r="AQ829" s="17"/>
      <c r="AR829" s="17"/>
      <c r="AS829" s="17"/>
      <c r="AT829" s="17"/>
      <c r="AU829" s="17"/>
      <c r="AV829" s="17"/>
    </row>
    <row r="830" spans="1:48" ht="15.75" customHeight="1">
      <c r="A830" s="21" t="s">
        <v>53</v>
      </c>
      <c r="B830" s="23" t="s">
        <v>1692</v>
      </c>
      <c r="C830" s="22">
        <v>45865</v>
      </c>
      <c r="D830" s="23" t="s">
        <v>348</v>
      </c>
      <c r="E830" s="23" t="s">
        <v>369</v>
      </c>
      <c r="F830" s="21">
        <v>1</v>
      </c>
      <c r="G830" s="12">
        <v>1500.0000000000002</v>
      </c>
      <c r="H830" s="12">
        <v>1500.0000000000002</v>
      </c>
      <c r="I830" s="23" t="s">
        <v>52</v>
      </c>
      <c r="J830" s="23" t="s">
        <v>61</v>
      </c>
      <c r="K830" s="24" t="s">
        <v>177</v>
      </c>
      <c r="L830" s="24">
        <v>162</v>
      </c>
      <c r="M830" s="12">
        <v>1260.5042016806726</v>
      </c>
      <c r="N830" s="12">
        <v>1260.5042016806726</v>
      </c>
      <c r="O830" s="12">
        <v>239.4957983193276</v>
      </c>
      <c r="P830" s="13"/>
      <c r="Q830" s="14">
        <v>2025</v>
      </c>
      <c r="R830" s="15">
        <v>45474</v>
      </c>
      <c r="S830" s="11" t="s">
        <v>369</v>
      </c>
      <c r="T830" s="16">
        <v>0</v>
      </c>
      <c r="U830" s="17"/>
      <c r="V830" s="12">
        <v>457.98319327731099</v>
      </c>
      <c r="W830" s="12">
        <v>457.98319327731099</v>
      </c>
      <c r="X830" s="12">
        <v>0</v>
      </c>
      <c r="Y830" s="18">
        <v>45859</v>
      </c>
      <c r="Z830" s="13" t="s">
        <v>39</v>
      </c>
      <c r="AA830" s="19" t="s">
        <v>356</v>
      </c>
      <c r="AB830" s="13" t="s">
        <v>357</v>
      </c>
      <c r="AC830" s="13" t="s">
        <v>362</v>
      </c>
      <c r="AD830" s="20"/>
      <c r="AE830" s="20"/>
      <c r="AF830" s="13" t="s">
        <v>40</v>
      </c>
      <c r="AG830" s="15">
        <v>45474</v>
      </c>
      <c r="AH830" s="13" t="s">
        <v>41</v>
      </c>
      <c r="AI830" s="13" t="s">
        <v>53</v>
      </c>
      <c r="AJ830" s="13" t="s">
        <v>370</v>
      </c>
      <c r="AK830" s="14">
        <v>-1</v>
      </c>
      <c r="AL830" s="17"/>
      <c r="AM830" s="17"/>
      <c r="AN830" s="17"/>
      <c r="AO830" s="17"/>
      <c r="AP830" s="17"/>
      <c r="AQ830" s="17"/>
      <c r="AR830" s="17"/>
      <c r="AS830" s="17"/>
      <c r="AT830" s="17"/>
      <c r="AU830" s="17"/>
      <c r="AV830" s="17"/>
    </row>
    <row r="831" spans="1:48" ht="15.75" customHeight="1">
      <c r="A831" s="21" t="s">
        <v>35</v>
      </c>
      <c r="B831" s="23" t="s">
        <v>1692</v>
      </c>
      <c r="C831" s="22">
        <v>45864</v>
      </c>
      <c r="D831" s="23" t="s">
        <v>915</v>
      </c>
      <c r="E831" s="23" t="s">
        <v>46</v>
      </c>
      <c r="F831" s="21">
        <v>1</v>
      </c>
      <c r="G831" s="12">
        <v>6000.1548227279782</v>
      </c>
      <c r="H831" s="12">
        <v>6000.1548227279782</v>
      </c>
      <c r="I831" s="23" t="s">
        <v>52</v>
      </c>
      <c r="J831" s="23" t="s">
        <v>38</v>
      </c>
      <c r="K831" s="24" t="s">
        <v>177</v>
      </c>
      <c r="L831" s="24">
        <v>162</v>
      </c>
      <c r="M831" s="12">
        <v>5042.1469098554444</v>
      </c>
      <c r="N831" s="12">
        <v>5042.1469098554444</v>
      </c>
      <c r="O831" s="12">
        <v>958.00791287253378</v>
      </c>
      <c r="P831" s="13"/>
      <c r="Q831" s="14">
        <v>2025</v>
      </c>
      <c r="R831" s="15">
        <v>45474</v>
      </c>
      <c r="S831" s="11" t="s">
        <v>364</v>
      </c>
      <c r="T831" s="16">
        <v>500</v>
      </c>
      <c r="U831" s="17"/>
      <c r="V831" s="12">
        <v>1785.4242207798129</v>
      </c>
      <c r="W831" s="12">
        <v>1785.4242207798129</v>
      </c>
      <c r="X831" s="12">
        <v>0</v>
      </c>
      <c r="Y831" s="18">
        <v>45859</v>
      </c>
      <c r="Z831" s="13" t="s">
        <v>39</v>
      </c>
      <c r="AA831" s="19" t="s">
        <v>367</v>
      </c>
      <c r="AB831" s="13" t="s">
        <v>357</v>
      </c>
      <c r="AC831" s="13" t="s">
        <v>367</v>
      </c>
      <c r="AD831" s="20"/>
      <c r="AE831" s="20"/>
      <c r="AF831" s="13" t="s">
        <v>40</v>
      </c>
      <c r="AG831" s="15">
        <v>45474</v>
      </c>
      <c r="AH831" s="13" t="s">
        <v>41</v>
      </c>
      <c r="AI831" s="13" t="s">
        <v>35</v>
      </c>
      <c r="AJ831" s="13" t="s">
        <v>365</v>
      </c>
      <c r="AK831" s="14">
        <v>-0.5</v>
      </c>
      <c r="AL831" s="17"/>
      <c r="AM831" s="17"/>
      <c r="AN831" s="17"/>
      <c r="AO831" s="17"/>
      <c r="AP831" s="17"/>
      <c r="AQ831" s="17"/>
      <c r="AR831" s="17"/>
      <c r="AS831" s="17"/>
      <c r="AT831" s="17"/>
      <c r="AU831" s="17"/>
      <c r="AV831" s="17"/>
    </row>
    <row r="832" spans="1:48" ht="15.75" customHeight="1">
      <c r="A832" s="21" t="s">
        <v>35</v>
      </c>
      <c r="B832" s="23" t="s">
        <v>1692</v>
      </c>
      <c r="C832" s="22">
        <v>45864</v>
      </c>
      <c r="D832" s="23" t="s">
        <v>132</v>
      </c>
      <c r="E832" s="23" t="s">
        <v>46</v>
      </c>
      <c r="F832" s="21">
        <v>1</v>
      </c>
      <c r="G832" s="12">
        <v>6000.1548227279782</v>
      </c>
      <c r="H832" s="12">
        <v>6000.1548227279782</v>
      </c>
      <c r="I832" s="23" t="s">
        <v>52</v>
      </c>
      <c r="J832" s="23" t="s">
        <v>61</v>
      </c>
      <c r="K832" s="24" t="s">
        <v>177</v>
      </c>
      <c r="L832" s="24">
        <v>162</v>
      </c>
      <c r="M832" s="12">
        <v>5042.1469098554444</v>
      </c>
      <c r="N832" s="12">
        <v>5042.1469098554444</v>
      </c>
      <c r="O832" s="12">
        <v>958.00791287253378</v>
      </c>
      <c r="P832" s="13"/>
      <c r="Q832" s="14">
        <v>2025</v>
      </c>
      <c r="R832" s="15">
        <v>45474</v>
      </c>
      <c r="S832" s="11" t="s">
        <v>364</v>
      </c>
      <c r="T832" s="16">
        <v>500</v>
      </c>
      <c r="U832" s="17"/>
      <c r="V832" s="12">
        <v>1785.4242207798129</v>
      </c>
      <c r="W832" s="12">
        <v>1785.4242207798129</v>
      </c>
      <c r="X832" s="12">
        <v>0</v>
      </c>
      <c r="Y832" s="18">
        <v>45859</v>
      </c>
      <c r="Z832" s="13" t="s">
        <v>39</v>
      </c>
      <c r="AA832" s="19" t="s">
        <v>373</v>
      </c>
      <c r="AB832" s="13" t="s">
        <v>357</v>
      </c>
      <c r="AC832" s="13" t="s">
        <v>389</v>
      </c>
      <c r="AD832" s="20"/>
      <c r="AE832" s="20"/>
      <c r="AF832" s="13" t="s">
        <v>40</v>
      </c>
      <c r="AG832" s="15">
        <v>45474</v>
      </c>
      <c r="AH832" s="13" t="s">
        <v>41</v>
      </c>
      <c r="AI832" s="13" t="s">
        <v>35</v>
      </c>
      <c r="AJ832" s="13" t="s">
        <v>365</v>
      </c>
      <c r="AK832" s="14">
        <v>-0.5</v>
      </c>
      <c r="AL832" s="17"/>
      <c r="AM832" s="17"/>
      <c r="AN832" s="17"/>
      <c r="AO832" s="17"/>
      <c r="AP832" s="17"/>
      <c r="AQ832" s="17"/>
      <c r="AR832" s="17"/>
      <c r="AS832" s="17"/>
      <c r="AT832" s="17"/>
      <c r="AU832" s="17"/>
      <c r="AV832" s="17"/>
    </row>
    <row r="833" spans="1:48" ht="15.75" customHeight="1">
      <c r="A833" s="21" t="s">
        <v>35</v>
      </c>
      <c r="B833" s="23" t="s">
        <v>1692</v>
      </c>
      <c r="C833" s="22">
        <v>45864</v>
      </c>
      <c r="D833" s="23" t="s">
        <v>240</v>
      </c>
      <c r="E833" s="23" t="s">
        <v>37</v>
      </c>
      <c r="F833" s="21">
        <v>1</v>
      </c>
      <c r="G833" s="12">
        <v>11000.014358944907</v>
      </c>
      <c r="H833" s="12">
        <v>11000.014358944907</v>
      </c>
      <c r="I833" s="23" t="s">
        <v>52</v>
      </c>
      <c r="J833" s="23" t="s">
        <v>61</v>
      </c>
      <c r="K833" s="24" t="s">
        <v>177</v>
      </c>
      <c r="L833" s="24">
        <v>162</v>
      </c>
      <c r="M833" s="12">
        <v>9243.7095453318543</v>
      </c>
      <c r="N833" s="12">
        <v>9243.7095453318543</v>
      </c>
      <c r="O833" s="12">
        <v>1756.3048136130528</v>
      </c>
      <c r="P833" s="13"/>
      <c r="Q833" s="14">
        <v>2025</v>
      </c>
      <c r="R833" s="15">
        <v>45474</v>
      </c>
      <c r="S833" s="11" t="s">
        <v>364</v>
      </c>
      <c r="T833" s="16">
        <v>1000</v>
      </c>
      <c r="U833" s="17"/>
      <c r="V833" s="12">
        <v>2806.1129066763915</v>
      </c>
      <c r="W833" s="12">
        <v>2806.1129066763915</v>
      </c>
      <c r="X833" s="12">
        <v>0</v>
      </c>
      <c r="Y833" s="18">
        <v>45859</v>
      </c>
      <c r="Z833" s="13" t="s">
        <v>39</v>
      </c>
      <c r="AA833" s="19" t="s">
        <v>373</v>
      </c>
      <c r="AB833" s="13" t="s">
        <v>357</v>
      </c>
      <c r="AC833" s="13" t="s">
        <v>383</v>
      </c>
      <c r="AD833" s="20"/>
      <c r="AE833" s="20"/>
      <c r="AF833" s="13" t="s">
        <v>40</v>
      </c>
      <c r="AG833" s="15">
        <v>45474</v>
      </c>
      <c r="AH833" s="13" t="s">
        <v>41</v>
      </c>
      <c r="AI833" s="13" t="s">
        <v>35</v>
      </c>
      <c r="AJ833" s="13" t="s">
        <v>365</v>
      </c>
      <c r="AK833" s="14">
        <v>-1</v>
      </c>
      <c r="AL833" s="17"/>
      <c r="AM833" s="17"/>
      <c r="AN833" s="17"/>
      <c r="AO833" s="17"/>
      <c r="AP833" s="17"/>
      <c r="AQ833" s="17"/>
      <c r="AR833" s="17"/>
      <c r="AS833" s="17"/>
      <c r="AT833" s="17"/>
      <c r="AU833" s="17"/>
      <c r="AV833" s="17"/>
    </row>
    <row r="834" spans="1:48" ht="15.75" customHeight="1">
      <c r="A834" s="21" t="s">
        <v>43</v>
      </c>
      <c r="B834" s="23" t="s">
        <v>1692</v>
      </c>
      <c r="C834" s="22">
        <v>45864</v>
      </c>
      <c r="D834" s="23" t="s">
        <v>292</v>
      </c>
      <c r="E834" s="23" t="s">
        <v>45</v>
      </c>
      <c r="F834" s="21">
        <v>1</v>
      </c>
      <c r="G834" s="12">
        <v>7900.1687504794045</v>
      </c>
      <c r="H834" s="12">
        <v>7900.1687504794045</v>
      </c>
      <c r="I834" s="23" t="s">
        <v>52</v>
      </c>
      <c r="J834" s="23" t="s">
        <v>61</v>
      </c>
      <c r="K834" s="24" t="s">
        <v>177</v>
      </c>
      <c r="L834" s="24">
        <v>162</v>
      </c>
      <c r="M834" s="12">
        <v>6638.7972693104239</v>
      </c>
      <c r="N834" s="12">
        <v>6638.7972693104239</v>
      </c>
      <c r="O834" s="12">
        <v>1261.3714811689806</v>
      </c>
      <c r="P834" s="13"/>
      <c r="Q834" s="14">
        <v>2025</v>
      </c>
      <c r="R834" s="15">
        <v>45474</v>
      </c>
      <c r="S834" s="11" t="s">
        <v>355</v>
      </c>
      <c r="T834" s="16">
        <v>0</v>
      </c>
      <c r="U834" s="17"/>
      <c r="V834" s="12">
        <v>1445.7972693104239</v>
      </c>
      <c r="W834" s="12">
        <v>1445.7972693104239</v>
      </c>
      <c r="X834" s="12">
        <v>0</v>
      </c>
      <c r="Y834" s="18">
        <v>45859</v>
      </c>
      <c r="Z834" s="13" t="s">
        <v>39</v>
      </c>
      <c r="AA834" s="19" t="s">
        <v>356</v>
      </c>
      <c r="AB834" s="13" t="s">
        <v>357</v>
      </c>
      <c r="AC834" s="13" t="s">
        <v>383</v>
      </c>
      <c r="AD834" s="20"/>
      <c r="AE834" s="20"/>
      <c r="AF834" s="13" t="s">
        <v>40</v>
      </c>
      <c r="AG834" s="15">
        <v>45474</v>
      </c>
      <c r="AH834" s="13" t="s">
        <v>41</v>
      </c>
      <c r="AI834" s="13" t="s">
        <v>43</v>
      </c>
      <c r="AJ834" s="13" t="s">
        <v>359</v>
      </c>
      <c r="AK834" s="14">
        <v>-1</v>
      </c>
      <c r="AL834" s="17"/>
      <c r="AM834" s="17"/>
      <c r="AN834" s="17"/>
      <c r="AO834" s="17"/>
      <c r="AP834" s="17"/>
      <c r="AQ834" s="17"/>
      <c r="AR834" s="17"/>
      <c r="AS834" s="17"/>
      <c r="AT834" s="17"/>
      <c r="AU834" s="17"/>
      <c r="AV834" s="17"/>
    </row>
    <row r="835" spans="1:48" ht="15.75" customHeight="1">
      <c r="A835" s="21" t="s">
        <v>35</v>
      </c>
      <c r="B835" s="23" t="s">
        <v>1692</v>
      </c>
      <c r="C835" s="22">
        <v>45864</v>
      </c>
      <c r="D835" s="23" t="s">
        <v>292</v>
      </c>
      <c r="E835" s="23" t="s">
        <v>117</v>
      </c>
      <c r="F835" s="21">
        <v>1</v>
      </c>
      <c r="G835" s="12">
        <v>8999.5678478824557</v>
      </c>
      <c r="H835" s="12">
        <v>8999.5678478824557</v>
      </c>
      <c r="I835" s="23" t="s">
        <v>52</v>
      </c>
      <c r="J835" s="23" t="s">
        <v>61</v>
      </c>
      <c r="K835" s="24" t="s">
        <v>177</v>
      </c>
      <c r="L835" s="24">
        <v>162</v>
      </c>
      <c r="M835" s="12">
        <v>7562.6620570440809</v>
      </c>
      <c r="N835" s="12">
        <v>7562.6620570440809</v>
      </c>
      <c r="O835" s="12">
        <v>1436.9057908383747</v>
      </c>
      <c r="P835" s="13"/>
      <c r="Q835" s="14">
        <v>2025</v>
      </c>
      <c r="R835" s="15">
        <v>45474</v>
      </c>
      <c r="S835" s="11" t="s">
        <v>364</v>
      </c>
      <c r="T835" s="16">
        <v>750</v>
      </c>
      <c r="U835" s="17"/>
      <c r="V835" s="12">
        <v>2312.66205704408</v>
      </c>
      <c r="W835" s="12">
        <v>2312.66205704408</v>
      </c>
      <c r="X835" s="12">
        <v>0</v>
      </c>
      <c r="Y835" s="18">
        <v>45859</v>
      </c>
      <c r="Z835" s="13" t="s">
        <v>39</v>
      </c>
      <c r="AA835" s="19" t="s">
        <v>356</v>
      </c>
      <c r="AB835" s="13" t="s">
        <v>357</v>
      </c>
      <c r="AC835" s="13" t="s">
        <v>383</v>
      </c>
      <c r="AD835" s="20"/>
      <c r="AE835" s="20"/>
      <c r="AF835" s="13" t="s">
        <v>40</v>
      </c>
      <c r="AG835" s="15">
        <v>45474</v>
      </c>
      <c r="AH835" s="13" t="s">
        <v>41</v>
      </c>
      <c r="AI835" s="13" t="s">
        <v>35</v>
      </c>
      <c r="AJ835" s="13" t="s">
        <v>390</v>
      </c>
      <c r="AK835" s="14">
        <v>-0.75</v>
      </c>
      <c r="AL835" s="17"/>
      <c r="AM835" s="17"/>
      <c r="AN835" s="17"/>
      <c r="AO835" s="17"/>
      <c r="AP835" s="17"/>
      <c r="AQ835" s="17"/>
      <c r="AR835" s="17"/>
      <c r="AS835" s="17"/>
      <c r="AT835" s="17"/>
      <c r="AU835" s="17"/>
      <c r="AV835" s="17"/>
    </row>
    <row r="836" spans="1:48" ht="15.75" customHeight="1">
      <c r="A836" s="21" t="s">
        <v>43</v>
      </c>
      <c r="B836" s="23" t="s">
        <v>1692</v>
      </c>
      <c r="C836" s="22">
        <v>45864</v>
      </c>
      <c r="D836" s="23" t="s">
        <v>391</v>
      </c>
      <c r="E836" s="23" t="s">
        <v>45</v>
      </c>
      <c r="F836" s="21">
        <v>1</v>
      </c>
      <c r="G836" s="12">
        <v>7900.1687504794045</v>
      </c>
      <c r="H836" s="12">
        <v>7900.1687504794045</v>
      </c>
      <c r="I836" s="23" t="s">
        <v>52</v>
      </c>
      <c r="J836" s="23" t="s">
        <v>61</v>
      </c>
      <c r="K836" s="24" t="s">
        <v>177</v>
      </c>
      <c r="L836" s="24">
        <v>162</v>
      </c>
      <c r="M836" s="12">
        <v>6638.7972693104239</v>
      </c>
      <c r="N836" s="12">
        <v>6638.7972693104239</v>
      </c>
      <c r="O836" s="12">
        <v>1261.3714811689806</v>
      </c>
      <c r="P836" s="13"/>
      <c r="Q836" s="14">
        <v>2025</v>
      </c>
      <c r="R836" s="15">
        <v>45474</v>
      </c>
      <c r="S836" s="11" t="s">
        <v>355</v>
      </c>
      <c r="T836" s="16">
        <v>0</v>
      </c>
      <c r="U836" s="17"/>
      <c r="V836" s="12">
        <v>1445.7972693104239</v>
      </c>
      <c r="W836" s="12">
        <v>1445.7972693104239</v>
      </c>
      <c r="X836" s="12">
        <v>0</v>
      </c>
      <c r="Y836" s="18">
        <v>45859</v>
      </c>
      <c r="Z836" s="13" t="s">
        <v>39</v>
      </c>
      <c r="AA836" s="19" t="s">
        <v>373</v>
      </c>
      <c r="AB836" s="13" t="s">
        <v>357</v>
      </c>
      <c r="AC836" s="13" t="s">
        <v>392</v>
      </c>
      <c r="AD836" s="20"/>
      <c r="AE836" s="20"/>
      <c r="AF836" s="13" t="s">
        <v>40</v>
      </c>
      <c r="AG836" s="15">
        <v>45474</v>
      </c>
      <c r="AH836" s="13" t="s">
        <v>41</v>
      </c>
      <c r="AI836" s="13" t="s">
        <v>43</v>
      </c>
      <c r="AJ836" s="13" t="s">
        <v>359</v>
      </c>
      <c r="AK836" s="14">
        <v>-1</v>
      </c>
      <c r="AL836" s="17"/>
      <c r="AM836" s="17"/>
      <c r="AN836" s="17"/>
      <c r="AO836" s="17"/>
      <c r="AP836" s="17"/>
      <c r="AQ836" s="17"/>
      <c r="AR836" s="17"/>
      <c r="AS836" s="17"/>
      <c r="AT836" s="17"/>
      <c r="AU836" s="17"/>
      <c r="AV836" s="17"/>
    </row>
    <row r="837" spans="1:48" ht="15.75" customHeight="1">
      <c r="A837" s="21" t="s">
        <v>53</v>
      </c>
      <c r="B837" s="23" t="s">
        <v>1692</v>
      </c>
      <c r="C837" s="22">
        <v>45864</v>
      </c>
      <c r="D837" s="23" t="s">
        <v>227</v>
      </c>
      <c r="E837" s="23" t="s">
        <v>55</v>
      </c>
      <c r="F837" s="21">
        <v>1</v>
      </c>
      <c r="G837" s="12">
        <v>20899.657134519988</v>
      </c>
      <c r="H837" s="12">
        <v>20899.657134519988</v>
      </c>
      <c r="I837" s="23" t="s">
        <v>52</v>
      </c>
      <c r="J837" s="23" t="s">
        <v>61</v>
      </c>
      <c r="K837" s="24" t="s">
        <v>177</v>
      </c>
      <c r="L837" s="24">
        <v>162</v>
      </c>
      <c r="M837" s="12">
        <v>17562.737087831923</v>
      </c>
      <c r="N837" s="12">
        <v>17562.737087831923</v>
      </c>
      <c r="O837" s="12">
        <v>3336.9200466880648</v>
      </c>
      <c r="P837" s="13"/>
      <c r="Q837" s="14">
        <v>2025</v>
      </c>
      <c r="R837" s="15">
        <v>45474</v>
      </c>
      <c r="S837" s="11" t="s">
        <v>366</v>
      </c>
      <c r="T837" s="16">
        <v>0</v>
      </c>
      <c r="U837" s="17"/>
      <c r="V837" s="12">
        <v>3117.7370878319234</v>
      </c>
      <c r="W837" s="12">
        <v>3117.7370878319234</v>
      </c>
      <c r="X837" s="12">
        <v>0</v>
      </c>
      <c r="Y837" s="18">
        <v>45859</v>
      </c>
      <c r="Z837" s="13" t="s">
        <v>39</v>
      </c>
      <c r="AA837" s="19" t="s">
        <v>361</v>
      </c>
      <c r="AB837" s="13" t="s">
        <v>357</v>
      </c>
      <c r="AC837" s="13" t="s">
        <v>393</v>
      </c>
      <c r="AD837" s="20"/>
      <c r="AE837" s="20"/>
      <c r="AF837" s="13" t="s">
        <v>40</v>
      </c>
      <c r="AG837" s="15">
        <v>45474</v>
      </c>
      <c r="AH837" s="13" t="s">
        <v>41</v>
      </c>
      <c r="AI837" s="13" t="s">
        <v>53</v>
      </c>
      <c r="AJ837" s="13" t="s">
        <v>368</v>
      </c>
      <c r="AK837" s="14">
        <v>-8</v>
      </c>
      <c r="AL837" s="17"/>
      <c r="AM837" s="17"/>
      <c r="AN837" s="17"/>
      <c r="AO837" s="17"/>
      <c r="AP837" s="17"/>
      <c r="AQ837" s="17"/>
      <c r="AR837" s="17"/>
      <c r="AS837" s="17"/>
      <c r="AT837" s="17"/>
      <c r="AU837" s="17"/>
      <c r="AV837" s="17"/>
    </row>
    <row r="838" spans="1:48" ht="15.75" customHeight="1">
      <c r="A838" s="21" t="s">
        <v>53</v>
      </c>
      <c r="B838" s="23" t="s">
        <v>1692</v>
      </c>
      <c r="C838" s="22">
        <v>45864</v>
      </c>
      <c r="D838" s="23" t="s">
        <v>68</v>
      </c>
      <c r="E838" s="23" t="s">
        <v>55</v>
      </c>
      <c r="F838" s="21">
        <v>1</v>
      </c>
      <c r="G838" s="12">
        <v>20899.657134519988</v>
      </c>
      <c r="H838" s="12">
        <v>20899.657134519988</v>
      </c>
      <c r="I838" s="23" t="s">
        <v>52</v>
      </c>
      <c r="J838" s="23" t="s">
        <v>61</v>
      </c>
      <c r="K838" s="24" t="s">
        <v>86</v>
      </c>
      <c r="L838" s="24">
        <v>95</v>
      </c>
      <c r="M838" s="12">
        <v>17562.737087831923</v>
      </c>
      <c r="N838" s="12">
        <v>17562.737087831923</v>
      </c>
      <c r="O838" s="12">
        <v>3336.9200466880648</v>
      </c>
      <c r="P838" s="13"/>
      <c r="Q838" s="14">
        <v>2025</v>
      </c>
      <c r="R838" s="15">
        <v>45474</v>
      </c>
      <c r="S838" s="11" t="s">
        <v>366</v>
      </c>
      <c r="T838" s="16">
        <v>0</v>
      </c>
      <c r="U838" s="17"/>
      <c r="V838" s="12">
        <v>3117.7370878319234</v>
      </c>
      <c r="W838" s="12">
        <v>3117.7370878319234</v>
      </c>
      <c r="X838" s="12">
        <v>0</v>
      </c>
      <c r="Y838" s="18">
        <v>45859</v>
      </c>
      <c r="Z838" s="13" t="s">
        <v>39</v>
      </c>
      <c r="AA838" s="19" t="s">
        <v>361</v>
      </c>
      <c r="AB838" s="13" t="s">
        <v>394</v>
      </c>
      <c r="AC838" s="13" t="s">
        <v>383</v>
      </c>
      <c r="AD838" s="20"/>
      <c r="AE838" s="20"/>
      <c r="AF838" s="13" t="s">
        <v>40</v>
      </c>
      <c r="AG838" s="15">
        <v>45474</v>
      </c>
      <c r="AH838" s="13" t="s">
        <v>41</v>
      </c>
      <c r="AI838" s="13" t="s">
        <v>53</v>
      </c>
      <c r="AJ838" s="13" t="s">
        <v>368</v>
      </c>
      <c r="AK838" s="14">
        <v>-8</v>
      </c>
      <c r="AL838" s="17"/>
      <c r="AM838" s="17"/>
      <c r="AN838" s="17"/>
      <c r="AO838" s="17"/>
      <c r="AP838" s="17"/>
      <c r="AQ838" s="17"/>
      <c r="AR838" s="17"/>
      <c r="AS838" s="17"/>
      <c r="AT838" s="17"/>
      <c r="AU838" s="17"/>
      <c r="AV838" s="17"/>
    </row>
    <row r="839" spans="1:48" ht="15.75" customHeight="1">
      <c r="A839" s="21" t="s">
        <v>53</v>
      </c>
      <c r="B839" s="23" t="s">
        <v>1692</v>
      </c>
      <c r="C839" s="22">
        <v>45864</v>
      </c>
      <c r="D839" s="23" t="s">
        <v>68</v>
      </c>
      <c r="E839" s="23" t="s">
        <v>109</v>
      </c>
      <c r="F839" s="21">
        <v>1</v>
      </c>
      <c r="G839" s="12">
        <v>10000</v>
      </c>
      <c r="H839" s="12">
        <v>10000</v>
      </c>
      <c r="I839" s="23" t="s">
        <v>52</v>
      </c>
      <c r="J839" s="23" t="s">
        <v>61</v>
      </c>
      <c r="K839" s="24" t="s">
        <v>86</v>
      </c>
      <c r="L839" s="24">
        <v>95</v>
      </c>
      <c r="M839" s="12">
        <v>8403.361344537816</v>
      </c>
      <c r="N839" s="12">
        <v>8403.361344537816</v>
      </c>
      <c r="O839" s="12">
        <v>1596.638655462184</v>
      </c>
      <c r="P839" s="13"/>
      <c r="Q839" s="14">
        <v>2025</v>
      </c>
      <c r="R839" s="15">
        <v>45474</v>
      </c>
      <c r="S839" s="11" t="s">
        <v>395</v>
      </c>
      <c r="T839" s="16">
        <v>400</v>
      </c>
      <c r="U839" s="17"/>
      <c r="V839" s="12">
        <v>2100.8403361344544</v>
      </c>
      <c r="W839" s="12">
        <v>2100.8403361344544</v>
      </c>
      <c r="X839" s="12">
        <v>0</v>
      </c>
      <c r="Y839" s="18">
        <v>45859</v>
      </c>
      <c r="Z839" s="13" t="s">
        <v>39</v>
      </c>
      <c r="AA839" s="19" t="s">
        <v>361</v>
      </c>
      <c r="AB839" s="13" t="s">
        <v>394</v>
      </c>
      <c r="AC839" s="13" t="s">
        <v>383</v>
      </c>
      <c r="AD839" s="20"/>
      <c r="AE839" s="20"/>
      <c r="AF839" s="13" t="s">
        <v>40</v>
      </c>
      <c r="AG839" s="15">
        <v>45474</v>
      </c>
      <c r="AH839" s="13" t="s">
        <v>41</v>
      </c>
      <c r="AI839" s="13" t="s">
        <v>53</v>
      </c>
      <c r="AJ839" s="13" t="s">
        <v>396</v>
      </c>
      <c r="AK839" s="14">
        <v>-4</v>
      </c>
      <c r="AL839" s="17"/>
      <c r="AM839" s="17"/>
      <c r="AN839" s="17"/>
      <c r="AO839" s="17"/>
      <c r="AP839" s="17"/>
      <c r="AQ839" s="17"/>
      <c r="AR839" s="17"/>
      <c r="AS839" s="17"/>
      <c r="AT839" s="17"/>
      <c r="AU839" s="17"/>
      <c r="AV839" s="17"/>
    </row>
    <row r="840" spans="1:48" ht="15.75" customHeight="1">
      <c r="A840" s="21" t="s">
        <v>76</v>
      </c>
      <c r="B840" s="23" t="s">
        <v>1692</v>
      </c>
      <c r="C840" s="22">
        <v>45864</v>
      </c>
      <c r="D840" s="23" t="s">
        <v>68</v>
      </c>
      <c r="E840" s="23" t="s">
        <v>81</v>
      </c>
      <c r="F840" s="21">
        <v>1</v>
      </c>
      <c r="G840" s="12">
        <v>3500.0000000000005</v>
      </c>
      <c r="H840" s="12">
        <v>3500.0000000000005</v>
      </c>
      <c r="I840" s="23" t="s">
        <v>52</v>
      </c>
      <c r="J840" s="23" t="s">
        <v>61</v>
      </c>
      <c r="K840" s="24" t="s">
        <v>86</v>
      </c>
      <c r="L840" s="24">
        <v>95</v>
      </c>
      <c r="M840" s="12">
        <v>2941.1764705882356</v>
      </c>
      <c r="N840" s="12">
        <v>2941.1764705882356</v>
      </c>
      <c r="O840" s="12">
        <v>558.82352941176487</v>
      </c>
      <c r="P840" s="13"/>
      <c r="Q840" s="14">
        <v>2025</v>
      </c>
      <c r="R840" s="15">
        <v>45474</v>
      </c>
      <c r="S840" s="11" t="s">
        <v>397</v>
      </c>
      <c r="T840" s="16">
        <v>5</v>
      </c>
      <c r="U840" s="17"/>
      <c r="V840" s="12">
        <v>764.70588235294144</v>
      </c>
      <c r="W840" s="12">
        <v>764.70588235294144</v>
      </c>
      <c r="X840" s="12">
        <v>0</v>
      </c>
      <c r="Y840" s="18">
        <v>45859</v>
      </c>
      <c r="Z840" s="13" t="s">
        <v>39</v>
      </c>
      <c r="AA840" s="19" t="s">
        <v>361</v>
      </c>
      <c r="AB840" s="13" t="s">
        <v>394</v>
      </c>
      <c r="AC840" s="13" t="s">
        <v>383</v>
      </c>
      <c r="AD840" s="20"/>
      <c r="AE840" s="20"/>
      <c r="AF840" s="13" t="s">
        <v>40</v>
      </c>
      <c r="AG840" s="15">
        <v>45474</v>
      </c>
      <c r="AH840" s="13" t="s">
        <v>41</v>
      </c>
      <c r="AI840" s="13" t="s">
        <v>76</v>
      </c>
      <c r="AJ840" s="13" t="s">
        <v>398</v>
      </c>
      <c r="AK840" s="14">
        <v>-1</v>
      </c>
      <c r="AL840" s="17"/>
      <c r="AM840" s="17"/>
      <c r="AN840" s="17"/>
      <c r="AO840" s="17"/>
      <c r="AP840" s="17"/>
      <c r="AQ840" s="17"/>
      <c r="AR840" s="17"/>
      <c r="AS840" s="17"/>
      <c r="AT840" s="17"/>
      <c r="AU840" s="17"/>
      <c r="AV840" s="17"/>
    </row>
    <row r="841" spans="1:48" ht="15.75" customHeight="1">
      <c r="A841" s="21" t="s">
        <v>43</v>
      </c>
      <c r="B841" s="23" t="s">
        <v>1692</v>
      </c>
      <c r="C841" s="25">
        <v>45863</v>
      </c>
      <c r="D841" s="23" t="s">
        <v>277</v>
      </c>
      <c r="E841" s="23" t="s">
        <v>45</v>
      </c>
      <c r="F841" s="21">
        <v>1</v>
      </c>
      <c r="G841" s="12">
        <v>7900.1687504794045</v>
      </c>
      <c r="H841" s="12">
        <v>7900.1687504794045</v>
      </c>
      <c r="I841" s="23" t="s">
        <v>52</v>
      </c>
      <c r="J841" s="23" t="s">
        <v>61</v>
      </c>
      <c r="K841" s="24" t="s">
        <v>177</v>
      </c>
      <c r="L841" s="24">
        <v>161</v>
      </c>
      <c r="M841" s="12">
        <v>6638.7972693104239</v>
      </c>
      <c r="N841" s="12">
        <v>6638.7972693104239</v>
      </c>
      <c r="O841" s="12">
        <v>1261.3714811689806</v>
      </c>
      <c r="P841" s="13"/>
      <c r="Q841" s="14">
        <v>2025</v>
      </c>
      <c r="R841" s="15">
        <v>45474</v>
      </c>
      <c r="S841" s="11" t="s">
        <v>355</v>
      </c>
      <c r="T841" s="16">
        <v>0</v>
      </c>
      <c r="U841" s="17"/>
      <c r="V841" s="12">
        <v>1445.7972693104239</v>
      </c>
      <c r="W841" s="12">
        <v>1445.7972693104239</v>
      </c>
      <c r="X841" s="12">
        <v>0</v>
      </c>
      <c r="Y841" s="18">
        <v>45859</v>
      </c>
      <c r="Z841" s="13" t="s">
        <v>39</v>
      </c>
      <c r="AA841" s="19" t="s">
        <v>373</v>
      </c>
      <c r="AB841" s="13" t="s">
        <v>357</v>
      </c>
      <c r="AC841" s="13" t="s">
        <v>399</v>
      </c>
      <c r="AD841" s="20"/>
      <c r="AE841" s="20"/>
      <c r="AF841" s="13" t="s">
        <v>40</v>
      </c>
      <c r="AG841" s="15">
        <v>45474</v>
      </c>
      <c r="AH841" s="13" t="s">
        <v>41</v>
      </c>
      <c r="AI841" s="13" t="s">
        <v>43</v>
      </c>
      <c r="AJ841" s="13" t="s">
        <v>359</v>
      </c>
      <c r="AK841" s="14">
        <v>-1</v>
      </c>
      <c r="AL841" s="17"/>
      <c r="AM841" s="17"/>
      <c r="AN841" s="17"/>
      <c r="AO841" s="17"/>
      <c r="AP841" s="17"/>
      <c r="AQ841" s="17"/>
      <c r="AR841" s="17"/>
      <c r="AS841" s="17"/>
      <c r="AT841" s="17"/>
      <c r="AU841" s="17"/>
      <c r="AV841" s="17"/>
    </row>
    <row r="842" spans="1:48" ht="15.75" customHeight="1">
      <c r="A842" s="21" t="s">
        <v>43</v>
      </c>
      <c r="B842" s="23" t="s">
        <v>1692</v>
      </c>
      <c r="C842" s="25">
        <v>45863</v>
      </c>
      <c r="D842" s="23" t="s">
        <v>141</v>
      </c>
      <c r="E842" s="23" t="s">
        <v>45</v>
      </c>
      <c r="F842" s="21">
        <v>1</v>
      </c>
      <c r="G842" s="12">
        <v>7900.1687504794045</v>
      </c>
      <c r="H842" s="12">
        <v>7900.1687504794045</v>
      </c>
      <c r="I842" s="23" t="s">
        <v>52</v>
      </c>
      <c r="J842" s="23" t="s">
        <v>38</v>
      </c>
      <c r="K842" s="24" t="s">
        <v>177</v>
      </c>
      <c r="L842" s="24">
        <v>161</v>
      </c>
      <c r="M842" s="12">
        <v>6638.7972693104239</v>
      </c>
      <c r="N842" s="12">
        <v>6638.7972693104239</v>
      </c>
      <c r="O842" s="12">
        <v>1261.3714811689806</v>
      </c>
      <c r="P842" s="13"/>
      <c r="Q842" s="14">
        <v>2025</v>
      </c>
      <c r="R842" s="15">
        <v>45474</v>
      </c>
      <c r="S842" s="11" t="s">
        <v>355</v>
      </c>
      <c r="T842" s="16">
        <v>0</v>
      </c>
      <c r="U842" s="17"/>
      <c r="V842" s="12">
        <v>1445.7972693104239</v>
      </c>
      <c r="W842" s="12">
        <v>1445.7972693104239</v>
      </c>
      <c r="X842" s="12">
        <v>0</v>
      </c>
      <c r="Y842" s="18">
        <v>45859</v>
      </c>
      <c r="Z842" s="13" t="s">
        <v>39</v>
      </c>
      <c r="AA842" s="19" t="s">
        <v>367</v>
      </c>
      <c r="AB842" s="13" t="s">
        <v>357</v>
      </c>
      <c r="AC842" s="13" t="s">
        <v>367</v>
      </c>
      <c r="AD842" s="20"/>
      <c r="AE842" s="20"/>
      <c r="AF842" s="13" t="s">
        <v>40</v>
      </c>
      <c r="AG842" s="15">
        <v>45474</v>
      </c>
      <c r="AH842" s="13" t="s">
        <v>41</v>
      </c>
      <c r="AI842" s="13" t="s">
        <v>43</v>
      </c>
      <c r="AJ842" s="13" t="s">
        <v>359</v>
      </c>
      <c r="AK842" s="14">
        <v>-1</v>
      </c>
      <c r="AL842" s="17"/>
      <c r="AM842" s="17"/>
      <c r="AN842" s="17"/>
      <c r="AO842" s="17"/>
      <c r="AP842" s="17"/>
      <c r="AQ842" s="17"/>
      <c r="AR842" s="17"/>
      <c r="AS842" s="17"/>
      <c r="AT842" s="17"/>
      <c r="AU842" s="17"/>
      <c r="AV842" s="17"/>
    </row>
    <row r="843" spans="1:48" ht="15.75" customHeight="1">
      <c r="A843" s="21" t="s">
        <v>76</v>
      </c>
      <c r="B843" s="23" t="s">
        <v>1692</v>
      </c>
      <c r="C843" s="25">
        <v>45863</v>
      </c>
      <c r="D843" s="23" t="s">
        <v>141</v>
      </c>
      <c r="E843" s="23" t="s">
        <v>81</v>
      </c>
      <c r="F843" s="21">
        <v>1</v>
      </c>
      <c r="G843" s="12">
        <v>3500.0000000000005</v>
      </c>
      <c r="H843" s="12">
        <v>3500.0000000000005</v>
      </c>
      <c r="I843" s="23" t="s">
        <v>52</v>
      </c>
      <c r="J843" s="23" t="s">
        <v>38</v>
      </c>
      <c r="K843" s="24" t="s">
        <v>177</v>
      </c>
      <c r="L843" s="24">
        <v>161</v>
      </c>
      <c r="M843" s="12">
        <v>2941.1764705882356</v>
      </c>
      <c r="N843" s="12">
        <v>2941.1764705882356</v>
      </c>
      <c r="O843" s="12">
        <v>558.82352941176487</v>
      </c>
      <c r="P843" s="13"/>
      <c r="Q843" s="14">
        <v>2025</v>
      </c>
      <c r="R843" s="15">
        <v>45474</v>
      </c>
      <c r="S843" s="11" t="s">
        <v>397</v>
      </c>
      <c r="T843" s="16">
        <v>5</v>
      </c>
      <c r="U843" s="17"/>
      <c r="V843" s="12">
        <v>764.70588235294144</v>
      </c>
      <c r="W843" s="12">
        <v>764.70588235294144</v>
      </c>
      <c r="X843" s="12">
        <v>0</v>
      </c>
      <c r="Y843" s="18">
        <v>45859</v>
      </c>
      <c r="Z843" s="13" t="s">
        <v>39</v>
      </c>
      <c r="AA843" s="19" t="s">
        <v>367</v>
      </c>
      <c r="AB843" s="13" t="s">
        <v>357</v>
      </c>
      <c r="AC843" s="13" t="s">
        <v>367</v>
      </c>
      <c r="AD843" s="20"/>
      <c r="AE843" s="20"/>
      <c r="AF843" s="13" t="s">
        <v>40</v>
      </c>
      <c r="AG843" s="15">
        <v>45474</v>
      </c>
      <c r="AH843" s="13" t="s">
        <v>41</v>
      </c>
      <c r="AI843" s="13" t="s">
        <v>76</v>
      </c>
      <c r="AJ843" s="13" t="s">
        <v>398</v>
      </c>
      <c r="AK843" s="14">
        <v>-1</v>
      </c>
      <c r="AL843" s="17"/>
      <c r="AM843" s="17"/>
      <c r="AN843" s="17"/>
      <c r="AO843" s="17"/>
      <c r="AP843" s="17"/>
      <c r="AQ843" s="17"/>
      <c r="AR843" s="17"/>
      <c r="AS843" s="17"/>
      <c r="AT843" s="17"/>
      <c r="AU843" s="17"/>
      <c r="AV843" s="17"/>
    </row>
    <row r="844" spans="1:48" ht="15.75" customHeight="1">
      <c r="A844" s="21" t="s">
        <v>47</v>
      </c>
      <c r="B844" s="23" t="s">
        <v>1692</v>
      </c>
      <c r="C844" s="25">
        <v>45863</v>
      </c>
      <c r="D844" s="23" t="s">
        <v>141</v>
      </c>
      <c r="E844" s="23" t="s">
        <v>204</v>
      </c>
      <c r="F844" s="21">
        <v>1</v>
      </c>
      <c r="G844" s="12">
        <v>1199.9357739242132</v>
      </c>
      <c r="H844" s="12">
        <v>1199.9357739242132</v>
      </c>
      <c r="I844" s="23" t="s">
        <v>52</v>
      </c>
      <c r="J844" s="23" t="s">
        <v>38</v>
      </c>
      <c r="K844" s="24" t="s">
        <v>177</v>
      </c>
      <c r="L844" s="24">
        <v>161</v>
      </c>
      <c r="M844" s="12">
        <v>1008.3493898522801</v>
      </c>
      <c r="N844" s="12">
        <v>1008.3493898522801</v>
      </c>
      <c r="O844" s="12">
        <v>191.58638407193314</v>
      </c>
      <c r="P844" s="13"/>
      <c r="Q844" s="14">
        <v>2025</v>
      </c>
      <c r="R844" s="15">
        <v>45474</v>
      </c>
      <c r="S844" s="11" t="s">
        <v>400</v>
      </c>
      <c r="T844" s="16">
        <v>0</v>
      </c>
      <c r="U844" s="17"/>
      <c r="V844" s="12">
        <v>537.34938985228007</v>
      </c>
      <c r="W844" s="12">
        <v>537.34938985228007</v>
      </c>
      <c r="X844" s="12">
        <v>0</v>
      </c>
      <c r="Y844" s="18">
        <v>45859</v>
      </c>
      <c r="Z844" s="13" t="s">
        <v>39</v>
      </c>
      <c r="AA844" s="19" t="s">
        <v>367</v>
      </c>
      <c r="AB844" s="13" t="s">
        <v>357</v>
      </c>
      <c r="AC844" s="13" t="s">
        <v>367</v>
      </c>
      <c r="AD844" s="20"/>
      <c r="AE844" s="20"/>
      <c r="AF844" s="13" t="s">
        <v>40</v>
      </c>
      <c r="AG844" s="15">
        <v>45474</v>
      </c>
      <c r="AH844" s="13" t="s">
        <v>41</v>
      </c>
      <c r="AI844" s="13" t="s">
        <v>47</v>
      </c>
      <c r="AJ844" s="13" t="s">
        <v>401</v>
      </c>
      <c r="AK844" s="14">
        <v>-1</v>
      </c>
      <c r="AL844" s="17"/>
      <c r="AM844" s="17"/>
      <c r="AN844" s="17"/>
      <c r="AO844" s="17"/>
      <c r="AP844" s="17"/>
      <c r="AQ844" s="17"/>
      <c r="AR844" s="17"/>
      <c r="AS844" s="17"/>
      <c r="AT844" s="17"/>
      <c r="AU844" s="17"/>
      <c r="AV844" s="17"/>
    </row>
    <row r="845" spans="1:48" ht="15.75" customHeight="1">
      <c r="A845" s="14" t="s">
        <v>47</v>
      </c>
      <c r="B845" s="23" t="s">
        <v>1692</v>
      </c>
      <c r="C845" s="25">
        <v>45863</v>
      </c>
      <c r="D845" s="23" t="s">
        <v>141</v>
      </c>
      <c r="E845" s="13" t="s">
        <v>206</v>
      </c>
      <c r="F845" s="14">
        <v>1</v>
      </c>
      <c r="G845" s="12">
        <v>2499.9842105263156</v>
      </c>
      <c r="H845" s="12">
        <v>2499.9842105263156</v>
      </c>
      <c r="I845" s="13" t="s">
        <v>52</v>
      </c>
      <c r="J845" s="13" t="s">
        <v>38</v>
      </c>
      <c r="K845" s="24" t="s">
        <v>177</v>
      </c>
      <c r="L845" s="24">
        <v>161</v>
      </c>
      <c r="M845" s="12">
        <v>2100.8270676691727</v>
      </c>
      <c r="N845" s="12">
        <v>2100.8270676691727</v>
      </c>
      <c r="O845" s="12">
        <v>399.15714285714284</v>
      </c>
      <c r="P845" s="13"/>
      <c r="Q845" s="14">
        <v>2025</v>
      </c>
      <c r="R845" s="15">
        <v>45474</v>
      </c>
      <c r="S845" s="11" t="s">
        <v>402</v>
      </c>
      <c r="T845" s="16">
        <v>0</v>
      </c>
      <c r="U845" s="17"/>
      <c r="V845" s="12">
        <v>1430.2430676691729</v>
      </c>
      <c r="W845" s="12">
        <v>1430.2430676691729</v>
      </c>
      <c r="X845" s="12">
        <v>0</v>
      </c>
      <c r="Y845" s="18">
        <v>45859</v>
      </c>
      <c r="Z845" s="13" t="s">
        <v>39</v>
      </c>
      <c r="AA845" s="19" t="s">
        <v>367</v>
      </c>
      <c r="AB845" s="13" t="s">
        <v>357</v>
      </c>
      <c r="AC845" s="13" t="s">
        <v>367</v>
      </c>
      <c r="AD845" s="20"/>
      <c r="AE845" s="20"/>
      <c r="AF845" s="13" t="s">
        <v>40</v>
      </c>
      <c r="AG845" s="15">
        <v>45474</v>
      </c>
      <c r="AH845" s="13" t="s">
        <v>41</v>
      </c>
      <c r="AI845" s="13" t="s">
        <v>47</v>
      </c>
      <c r="AJ845" s="13" t="s">
        <v>403</v>
      </c>
      <c r="AK845" s="14">
        <v>-3</v>
      </c>
      <c r="AL845" s="17"/>
      <c r="AM845" s="17"/>
      <c r="AN845" s="17"/>
      <c r="AO845" s="17"/>
      <c r="AP845" s="17"/>
      <c r="AQ845" s="17"/>
      <c r="AR845" s="17"/>
      <c r="AS845" s="17"/>
      <c r="AT845" s="17"/>
      <c r="AU845" s="17"/>
      <c r="AV845" s="17"/>
    </row>
    <row r="846" spans="1:48" ht="15.75" customHeight="1">
      <c r="A846" s="14" t="s">
        <v>47</v>
      </c>
      <c r="B846" s="23" t="s">
        <v>1692</v>
      </c>
      <c r="C846" s="25">
        <v>45863</v>
      </c>
      <c r="D846" s="23" t="s">
        <v>141</v>
      </c>
      <c r="E846" s="23" t="s">
        <v>328</v>
      </c>
      <c r="F846" s="14">
        <v>1</v>
      </c>
      <c r="G846" s="12">
        <v>1400</v>
      </c>
      <c r="H846" s="12">
        <v>1400</v>
      </c>
      <c r="I846" s="13" t="s">
        <v>52</v>
      </c>
      <c r="J846" s="13" t="s">
        <v>38</v>
      </c>
      <c r="K846" s="24" t="s">
        <v>177</v>
      </c>
      <c r="L846" s="24">
        <v>161</v>
      </c>
      <c r="M846" s="12">
        <v>1176.4705882352941</v>
      </c>
      <c r="N846" s="12">
        <v>1176.4705882352941</v>
      </c>
      <c r="O846" s="12">
        <v>223.52941176470586</v>
      </c>
      <c r="P846" s="13"/>
      <c r="Q846" s="14">
        <v>2025</v>
      </c>
      <c r="R846" s="15">
        <v>45474</v>
      </c>
      <c r="S846" s="11" t="s">
        <v>384</v>
      </c>
      <c r="T846" s="16">
        <v>0</v>
      </c>
      <c r="U846" s="17"/>
      <c r="V846" s="12">
        <v>512.47058823529414</v>
      </c>
      <c r="W846" s="12">
        <v>512.47058823529414</v>
      </c>
      <c r="X846" s="12">
        <v>0</v>
      </c>
      <c r="Y846" s="18">
        <v>45859</v>
      </c>
      <c r="Z846" s="13" t="s">
        <v>39</v>
      </c>
      <c r="AA846" s="19" t="s">
        <v>367</v>
      </c>
      <c r="AB846" s="13" t="s">
        <v>357</v>
      </c>
      <c r="AC846" s="13" t="s">
        <v>367</v>
      </c>
      <c r="AD846" s="20"/>
      <c r="AE846" s="20"/>
      <c r="AF846" s="13" t="s">
        <v>40</v>
      </c>
      <c r="AG846" s="15">
        <v>45474</v>
      </c>
      <c r="AH846" s="13" t="s">
        <v>41</v>
      </c>
      <c r="AI846" s="13" t="s">
        <v>47</v>
      </c>
      <c r="AJ846" s="13" t="s">
        <v>404</v>
      </c>
      <c r="AK846" s="14">
        <v>-1</v>
      </c>
      <c r="AL846" s="17"/>
      <c r="AM846" s="17"/>
      <c r="AN846" s="17"/>
      <c r="AO846" s="17"/>
      <c r="AP846" s="17"/>
      <c r="AQ846" s="17"/>
      <c r="AR846" s="17"/>
      <c r="AS846" s="17"/>
      <c r="AT846" s="17"/>
      <c r="AU846" s="17"/>
      <c r="AV846" s="17"/>
    </row>
    <row r="847" spans="1:48" ht="15.75" customHeight="1">
      <c r="A847" s="21" t="s">
        <v>47</v>
      </c>
      <c r="B847" s="23" t="s">
        <v>1692</v>
      </c>
      <c r="C847" s="25">
        <v>45863</v>
      </c>
      <c r="D847" s="23" t="s">
        <v>236</v>
      </c>
      <c r="E847" s="23" t="s">
        <v>206</v>
      </c>
      <c r="F847" s="21">
        <v>1</v>
      </c>
      <c r="G847" s="12">
        <v>2499.9842105263156</v>
      </c>
      <c r="H847" s="12">
        <v>2499.9842105263156</v>
      </c>
      <c r="I847" s="23" t="s">
        <v>52</v>
      </c>
      <c r="J847" s="23" t="s">
        <v>61</v>
      </c>
      <c r="K847" s="24" t="s">
        <v>177</v>
      </c>
      <c r="L847" s="24">
        <v>161</v>
      </c>
      <c r="M847" s="12">
        <v>2100.8270676691727</v>
      </c>
      <c r="N847" s="12">
        <v>2100.8270676691727</v>
      </c>
      <c r="O847" s="12">
        <v>399.15714285714284</v>
      </c>
      <c r="P847" s="13"/>
      <c r="Q847" s="14">
        <v>2025</v>
      </c>
      <c r="R847" s="15">
        <v>45474</v>
      </c>
      <c r="S847" s="11" t="s">
        <v>402</v>
      </c>
      <c r="T847" s="16">
        <v>0</v>
      </c>
      <c r="U847" s="17"/>
      <c r="V847" s="12">
        <v>1430.2430676691729</v>
      </c>
      <c r="W847" s="12">
        <v>1430.2430676691729</v>
      </c>
      <c r="X847" s="12">
        <v>0</v>
      </c>
      <c r="Y847" s="18">
        <v>45859</v>
      </c>
      <c r="Z847" s="13" t="s">
        <v>39</v>
      </c>
      <c r="AA847" s="19" t="s">
        <v>367</v>
      </c>
      <c r="AB847" s="13" t="s">
        <v>357</v>
      </c>
      <c r="AC847" s="13" t="s">
        <v>367</v>
      </c>
      <c r="AD847" s="20"/>
      <c r="AE847" s="20"/>
      <c r="AF847" s="13" t="s">
        <v>40</v>
      </c>
      <c r="AG847" s="15">
        <v>45474</v>
      </c>
      <c r="AH847" s="13" t="s">
        <v>41</v>
      </c>
      <c r="AI847" s="13" t="s">
        <v>47</v>
      </c>
      <c r="AJ847" s="13" t="s">
        <v>403</v>
      </c>
      <c r="AK847" s="14">
        <v>-3</v>
      </c>
      <c r="AL847" s="17"/>
      <c r="AM847" s="17"/>
      <c r="AN847" s="17"/>
      <c r="AO847" s="17"/>
      <c r="AP847" s="17"/>
      <c r="AQ847" s="17"/>
      <c r="AR847" s="17"/>
      <c r="AS847" s="17"/>
      <c r="AT847" s="17"/>
      <c r="AU847" s="17"/>
      <c r="AV847" s="17"/>
    </row>
    <row r="848" spans="1:48" ht="15.75" customHeight="1">
      <c r="A848" s="21" t="s">
        <v>47</v>
      </c>
      <c r="B848" s="23" t="s">
        <v>1692</v>
      </c>
      <c r="C848" s="25">
        <v>45863</v>
      </c>
      <c r="D848" s="23" t="s">
        <v>236</v>
      </c>
      <c r="E848" s="23" t="s">
        <v>204</v>
      </c>
      <c r="F848" s="21">
        <v>1</v>
      </c>
      <c r="G848" s="12">
        <v>1199.9357739242132</v>
      </c>
      <c r="H848" s="12">
        <v>1199.9357739242132</v>
      </c>
      <c r="I848" s="23" t="s">
        <v>52</v>
      </c>
      <c r="J848" s="23" t="s">
        <v>61</v>
      </c>
      <c r="K848" s="24" t="s">
        <v>177</v>
      </c>
      <c r="L848" s="24">
        <v>161</v>
      </c>
      <c r="M848" s="12">
        <v>1008.3493898522801</v>
      </c>
      <c r="N848" s="12">
        <v>1008.3493898522801</v>
      </c>
      <c r="O848" s="12">
        <v>191.58638407193314</v>
      </c>
      <c r="P848" s="13"/>
      <c r="Q848" s="14">
        <v>2025</v>
      </c>
      <c r="R848" s="15">
        <v>45474</v>
      </c>
      <c r="S848" s="11" t="s">
        <v>400</v>
      </c>
      <c r="T848" s="16">
        <v>0</v>
      </c>
      <c r="U848" s="17"/>
      <c r="V848" s="12">
        <v>537.34938985228007</v>
      </c>
      <c r="W848" s="12">
        <v>537.34938985228007</v>
      </c>
      <c r="X848" s="12">
        <v>0</v>
      </c>
      <c r="Y848" s="18">
        <v>45859</v>
      </c>
      <c r="Z848" s="13" t="s">
        <v>39</v>
      </c>
      <c r="AA848" s="19" t="s">
        <v>367</v>
      </c>
      <c r="AB848" s="13" t="s">
        <v>357</v>
      </c>
      <c r="AC848" s="13" t="s">
        <v>367</v>
      </c>
      <c r="AD848" s="20"/>
      <c r="AE848" s="20"/>
      <c r="AF848" s="13" t="s">
        <v>40</v>
      </c>
      <c r="AG848" s="15">
        <v>45474</v>
      </c>
      <c r="AH848" s="13" t="s">
        <v>41</v>
      </c>
      <c r="AI848" s="13" t="s">
        <v>47</v>
      </c>
      <c r="AJ848" s="13" t="s">
        <v>401</v>
      </c>
      <c r="AK848" s="14">
        <v>-1</v>
      </c>
      <c r="AL848" s="17"/>
      <c r="AM848" s="17"/>
      <c r="AN848" s="17"/>
      <c r="AO848" s="17"/>
      <c r="AP848" s="17"/>
      <c r="AQ848" s="17"/>
      <c r="AR848" s="17"/>
      <c r="AS848" s="17"/>
      <c r="AT848" s="17"/>
      <c r="AU848" s="17"/>
      <c r="AV848" s="17"/>
    </row>
    <row r="849" spans="1:48" ht="15.75" customHeight="1">
      <c r="A849" s="21" t="s">
        <v>47</v>
      </c>
      <c r="B849" s="23" t="s">
        <v>1692</v>
      </c>
      <c r="C849" s="25">
        <v>45863</v>
      </c>
      <c r="D849" s="23" t="s">
        <v>236</v>
      </c>
      <c r="E849" s="23" t="s">
        <v>267</v>
      </c>
      <c r="F849" s="21">
        <v>1</v>
      </c>
      <c r="G849" s="12">
        <v>7499.8770659745942</v>
      </c>
      <c r="H849" s="12">
        <v>7499.8770659745942</v>
      </c>
      <c r="I849" s="23" t="s">
        <v>52</v>
      </c>
      <c r="J849" s="23" t="s">
        <v>61</v>
      </c>
      <c r="K849" s="24" t="s">
        <v>177</v>
      </c>
      <c r="L849" s="24">
        <v>161</v>
      </c>
      <c r="M849" s="12">
        <v>6302.4177024996588</v>
      </c>
      <c r="N849" s="12">
        <v>6302.4177024996588</v>
      </c>
      <c r="O849" s="12">
        <v>1197.4593634749353</v>
      </c>
      <c r="P849" s="13"/>
      <c r="Q849" s="14">
        <v>2025</v>
      </c>
      <c r="R849" s="15">
        <v>45474</v>
      </c>
      <c r="S849" s="11" t="s">
        <v>372</v>
      </c>
      <c r="T849" s="16">
        <v>0</v>
      </c>
      <c r="U849" s="17"/>
      <c r="V849" s="12">
        <v>1688.4177024996588</v>
      </c>
      <c r="W849" s="12">
        <v>1688.4177024996588</v>
      </c>
      <c r="X849" s="12">
        <v>0</v>
      </c>
      <c r="Y849" s="18">
        <v>45859</v>
      </c>
      <c r="Z849" s="13" t="s">
        <v>39</v>
      </c>
      <c r="AA849" s="19" t="s">
        <v>367</v>
      </c>
      <c r="AB849" s="13" t="s">
        <v>357</v>
      </c>
      <c r="AC849" s="13" t="s">
        <v>367</v>
      </c>
      <c r="AD849" s="20"/>
      <c r="AE849" s="20"/>
      <c r="AF849" s="13" t="s">
        <v>40</v>
      </c>
      <c r="AG849" s="15">
        <v>45474</v>
      </c>
      <c r="AH849" s="13" t="s">
        <v>41</v>
      </c>
      <c r="AI849" s="13" t="s">
        <v>47</v>
      </c>
      <c r="AJ849" s="13" t="s">
        <v>375</v>
      </c>
      <c r="AK849" s="14">
        <v>-3</v>
      </c>
      <c r="AL849" s="17"/>
      <c r="AM849" s="17"/>
      <c r="AN849" s="17"/>
      <c r="AO849" s="17"/>
      <c r="AP849" s="17"/>
      <c r="AQ849" s="17"/>
      <c r="AR849" s="17"/>
      <c r="AS849" s="17"/>
      <c r="AT849" s="17"/>
      <c r="AU849" s="17"/>
      <c r="AV849" s="17"/>
    </row>
    <row r="850" spans="1:48" ht="15.75" customHeight="1">
      <c r="A850" s="21" t="s">
        <v>43</v>
      </c>
      <c r="B850" s="23" t="s">
        <v>1692</v>
      </c>
      <c r="C850" s="25">
        <v>45863</v>
      </c>
      <c r="D850" s="23" t="s">
        <v>184</v>
      </c>
      <c r="E850" s="23" t="s">
        <v>45</v>
      </c>
      <c r="F850" s="21">
        <v>1</v>
      </c>
      <c r="G850" s="12">
        <v>7900.1687504794045</v>
      </c>
      <c r="H850" s="12">
        <v>7900.1687504794045</v>
      </c>
      <c r="I850" s="23" t="s">
        <v>52</v>
      </c>
      <c r="J850" s="23" t="s">
        <v>61</v>
      </c>
      <c r="K850" s="24" t="s">
        <v>177</v>
      </c>
      <c r="L850" s="24">
        <v>161</v>
      </c>
      <c r="M850" s="12">
        <v>6638.7972693104239</v>
      </c>
      <c r="N850" s="12">
        <v>6638.7972693104239</v>
      </c>
      <c r="O850" s="12">
        <v>1261.3714811689806</v>
      </c>
      <c r="P850" s="13"/>
      <c r="Q850" s="14">
        <v>2025</v>
      </c>
      <c r="R850" s="15">
        <v>45474</v>
      </c>
      <c r="S850" s="11" t="s">
        <v>355</v>
      </c>
      <c r="T850" s="16">
        <v>0</v>
      </c>
      <c r="U850" s="17"/>
      <c r="V850" s="12">
        <v>1445.7972693104239</v>
      </c>
      <c r="W850" s="12">
        <v>1445.7972693104239</v>
      </c>
      <c r="X850" s="12">
        <v>0</v>
      </c>
      <c r="Y850" s="18">
        <v>45859</v>
      </c>
      <c r="Z850" s="13" t="s">
        <v>39</v>
      </c>
      <c r="AA850" s="19" t="s">
        <v>361</v>
      </c>
      <c r="AB850" s="13" t="s">
        <v>357</v>
      </c>
      <c r="AC850" s="13" t="s">
        <v>405</v>
      </c>
      <c r="AD850" s="20"/>
      <c r="AE850" s="20"/>
      <c r="AF850" s="13" t="s">
        <v>40</v>
      </c>
      <c r="AG850" s="15">
        <v>45474</v>
      </c>
      <c r="AH850" s="13" t="s">
        <v>41</v>
      </c>
      <c r="AI850" s="13" t="s">
        <v>43</v>
      </c>
      <c r="AJ850" s="13" t="s">
        <v>359</v>
      </c>
      <c r="AK850" s="14">
        <v>-1</v>
      </c>
      <c r="AL850" s="17"/>
      <c r="AM850" s="17"/>
      <c r="AN850" s="17"/>
      <c r="AO850" s="17"/>
      <c r="AP850" s="17"/>
      <c r="AQ850" s="17"/>
      <c r="AR850" s="17"/>
      <c r="AS850" s="17"/>
      <c r="AT850" s="17"/>
      <c r="AU850" s="17"/>
      <c r="AV850" s="17"/>
    </row>
    <row r="851" spans="1:48" ht="15.75" customHeight="1">
      <c r="A851" s="21" t="s">
        <v>76</v>
      </c>
      <c r="B851" s="23" t="s">
        <v>1692</v>
      </c>
      <c r="C851" s="25">
        <v>45863</v>
      </c>
      <c r="D851" s="23" t="s">
        <v>184</v>
      </c>
      <c r="E851" s="23" t="s">
        <v>137</v>
      </c>
      <c r="F851" s="21">
        <v>2</v>
      </c>
      <c r="G851" s="12">
        <v>3500.0000000000005</v>
      </c>
      <c r="H851" s="12">
        <v>7000.0000000000009</v>
      </c>
      <c r="I851" s="23" t="s">
        <v>52</v>
      </c>
      <c r="J851" s="23" t="s">
        <v>61</v>
      </c>
      <c r="K851" s="24" t="s">
        <v>177</v>
      </c>
      <c r="L851" s="24">
        <v>161</v>
      </c>
      <c r="M851" s="12">
        <v>2941.1764705882356</v>
      </c>
      <c r="N851" s="12">
        <v>5882.3529411764712</v>
      </c>
      <c r="O851" s="12">
        <v>1117.6470588235297</v>
      </c>
      <c r="P851" s="13"/>
      <c r="Q851" s="14">
        <v>2025</v>
      </c>
      <c r="R851" s="15">
        <v>45474</v>
      </c>
      <c r="S851" s="11" t="s">
        <v>406</v>
      </c>
      <c r="T851" s="16">
        <v>10</v>
      </c>
      <c r="U851" s="17"/>
      <c r="V851" s="12">
        <v>1697.4789915966394</v>
      </c>
      <c r="W851" s="12">
        <v>1697.4789915966394</v>
      </c>
      <c r="X851" s="12">
        <v>0</v>
      </c>
      <c r="Y851" s="18">
        <v>45859</v>
      </c>
      <c r="Z851" s="13" t="s">
        <v>39</v>
      </c>
      <c r="AA851" s="19" t="s">
        <v>361</v>
      </c>
      <c r="AB851" s="13" t="s">
        <v>357</v>
      </c>
      <c r="AC851" s="13" t="s">
        <v>405</v>
      </c>
      <c r="AD851" s="20"/>
      <c r="AE851" s="20"/>
      <c r="AF851" s="13" t="s">
        <v>40</v>
      </c>
      <c r="AG851" s="15">
        <v>45474</v>
      </c>
      <c r="AH851" s="13" t="s">
        <v>41</v>
      </c>
      <c r="AI851" s="13" t="s">
        <v>76</v>
      </c>
      <c r="AJ851" s="13" t="s">
        <v>407</v>
      </c>
      <c r="AK851" s="14">
        <v>-2</v>
      </c>
      <c r="AL851" s="17"/>
      <c r="AM851" s="17"/>
      <c r="AN851" s="17"/>
      <c r="AO851" s="17"/>
      <c r="AP851" s="17"/>
      <c r="AQ851" s="17"/>
      <c r="AR851" s="17"/>
      <c r="AS851" s="17"/>
      <c r="AT851" s="17"/>
      <c r="AU851" s="17"/>
      <c r="AV851" s="17"/>
    </row>
    <row r="852" spans="1:48" ht="15.75" customHeight="1">
      <c r="A852" s="21" t="s">
        <v>53</v>
      </c>
      <c r="B852" s="23" t="s">
        <v>1692</v>
      </c>
      <c r="C852" s="25">
        <v>45863</v>
      </c>
      <c r="D852" s="23" t="s">
        <v>184</v>
      </c>
      <c r="E852" s="23" t="s">
        <v>316</v>
      </c>
      <c r="F852" s="21">
        <v>1</v>
      </c>
      <c r="G852" s="12">
        <v>3200.0762660158634</v>
      </c>
      <c r="H852" s="12">
        <v>3200.0762660158634</v>
      </c>
      <c r="I852" s="23" t="s">
        <v>52</v>
      </c>
      <c r="J852" s="23" t="s">
        <v>61</v>
      </c>
      <c r="K852" s="24" t="s">
        <v>177</v>
      </c>
      <c r="L852" s="24">
        <v>161</v>
      </c>
      <c r="M852" s="12">
        <v>2689.1397193410617</v>
      </c>
      <c r="N852" s="12">
        <v>2689.1397193410617</v>
      </c>
      <c r="O852" s="12">
        <v>510.93654667480178</v>
      </c>
      <c r="P852" s="13"/>
      <c r="Q852" s="14">
        <v>2025</v>
      </c>
      <c r="R852" s="15">
        <v>45474</v>
      </c>
      <c r="S852" s="11" t="s">
        <v>408</v>
      </c>
      <c r="T852" s="16">
        <v>100</v>
      </c>
      <c r="U852" s="17"/>
      <c r="V852" s="12">
        <v>926.13971934106166</v>
      </c>
      <c r="W852" s="12">
        <v>926.13971934106166</v>
      </c>
      <c r="X852" s="12">
        <v>0</v>
      </c>
      <c r="Y852" s="18">
        <v>45859</v>
      </c>
      <c r="Z852" s="13" t="s">
        <v>39</v>
      </c>
      <c r="AA852" s="19" t="s">
        <v>361</v>
      </c>
      <c r="AB852" s="13" t="s">
        <v>357</v>
      </c>
      <c r="AC852" s="13" t="s">
        <v>405</v>
      </c>
      <c r="AD852" s="20"/>
      <c r="AE852" s="20"/>
      <c r="AF852" s="13" t="s">
        <v>40</v>
      </c>
      <c r="AG852" s="15">
        <v>45474</v>
      </c>
      <c r="AH852" s="13" t="s">
        <v>41</v>
      </c>
      <c r="AI852" s="13" t="s">
        <v>76</v>
      </c>
      <c r="AJ852" s="13" t="s">
        <v>409</v>
      </c>
      <c r="AK852" s="14">
        <v>-1</v>
      </c>
      <c r="AL852" s="17"/>
      <c r="AM852" s="17"/>
      <c r="AN852" s="17"/>
      <c r="AO852" s="17"/>
      <c r="AP852" s="17"/>
      <c r="AQ852" s="17"/>
      <c r="AR852" s="17"/>
      <c r="AS852" s="17"/>
      <c r="AT852" s="17"/>
      <c r="AU852" s="17"/>
      <c r="AV852" s="17"/>
    </row>
    <row r="853" spans="1:48" ht="15.75" customHeight="1">
      <c r="A853" s="21" t="s">
        <v>43</v>
      </c>
      <c r="B853" s="23" t="s">
        <v>1692</v>
      </c>
      <c r="C853" s="25">
        <v>45863</v>
      </c>
      <c r="D853" s="23" t="s">
        <v>915</v>
      </c>
      <c r="E853" s="23" t="s">
        <v>45</v>
      </c>
      <c r="F853" s="21">
        <v>1</v>
      </c>
      <c r="G853" s="12">
        <v>7900.1687504794045</v>
      </c>
      <c r="H853" s="12">
        <v>7900.1687504794045</v>
      </c>
      <c r="I853" s="23" t="s">
        <v>52</v>
      </c>
      <c r="J853" s="23" t="s">
        <v>38</v>
      </c>
      <c r="K853" s="24" t="s">
        <v>177</v>
      </c>
      <c r="L853" s="24">
        <v>161</v>
      </c>
      <c r="M853" s="12">
        <v>6638.7972693104239</v>
      </c>
      <c r="N853" s="12">
        <v>6638.7972693104239</v>
      </c>
      <c r="O853" s="12">
        <v>1261.3714811689806</v>
      </c>
      <c r="P853" s="13"/>
      <c r="Q853" s="14">
        <v>2025</v>
      </c>
      <c r="R853" s="15">
        <v>45474</v>
      </c>
      <c r="S853" s="11" t="s">
        <v>355</v>
      </c>
      <c r="T853" s="16">
        <v>0</v>
      </c>
      <c r="U853" s="17"/>
      <c r="V853" s="12">
        <v>1445.7972693104239</v>
      </c>
      <c r="W853" s="12">
        <v>1445.7972693104239</v>
      </c>
      <c r="X853" s="12">
        <v>0</v>
      </c>
      <c r="Y853" s="18">
        <v>45859</v>
      </c>
      <c r="Z853" s="13" t="s">
        <v>39</v>
      </c>
      <c r="AA853" s="19" t="s">
        <v>367</v>
      </c>
      <c r="AB853" s="13" t="s">
        <v>357</v>
      </c>
      <c r="AC853" s="13" t="s">
        <v>367</v>
      </c>
      <c r="AD853" s="20"/>
      <c r="AE853" s="20"/>
      <c r="AF853" s="13" t="s">
        <v>40</v>
      </c>
      <c r="AG853" s="15">
        <v>45474</v>
      </c>
      <c r="AH853" s="13" t="s">
        <v>41</v>
      </c>
      <c r="AI853" s="13" t="s">
        <v>43</v>
      </c>
      <c r="AJ853" s="13" t="s">
        <v>359</v>
      </c>
      <c r="AK853" s="14">
        <v>-1</v>
      </c>
      <c r="AL853" s="17"/>
      <c r="AM853" s="17"/>
      <c r="AN853" s="17"/>
      <c r="AO853" s="17"/>
      <c r="AP853" s="17"/>
      <c r="AQ853" s="17"/>
      <c r="AR853" s="17"/>
      <c r="AS853" s="17"/>
      <c r="AT853" s="17"/>
      <c r="AU853" s="17"/>
      <c r="AV853" s="17"/>
    </row>
    <row r="854" spans="1:48" ht="15.75" customHeight="1">
      <c r="A854" s="21" t="s">
        <v>53</v>
      </c>
      <c r="B854" s="23" t="s">
        <v>1692</v>
      </c>
      <c r="C854" s="25">
        <v>45863</v>
      </c>
      <c r="D854" s="23" t="s">
        <v>113</v>
      </c>
      <c r="E854" s="23" t="s">
        <v>55</v>
      </c>
      <c r="F854" s="21">
        <v>1</v>
      </c>
      <c r="G854" s="12">
        <v>20899.657134519988</v>
      </c>
      <c r="H854" s="12">
        <v>20899.657134519988</v>
      </c>
      <c r="I854" s="23" t="s">
        <v>52</v>
      </c>
      <c r="J854" s="23" t="s">
        <v>61</v>
      </c>
      <c r="K854" s="24" t="s">
        <v>177</v>
      </c>
      <c r="L854" s="24">
        <v>161</v>
      </c>
      <c r="M854" s="12">
        <v>17562.737087831923</v>
      </c>
      <c r="N854" s="12">
        <v>17562.737087831923</v>
      </c>
      <c r="O854" s="12">
        <v>3336.9200466880648</v>
      </c>
      <c r="P854" s="13"/>
      <c r="Q854" s="14">
        <v>2025</v>
      </c>
      <c r="R854" s="15">
        <v>45474</v>
      </c>
      <c r="S854" s="11" t="s">
        <v>366</v>
      </c>
      <c r="T854" s="16">
        <v>0</v>
      </c>
      <c r="U854" s="17"/>
      <c r="V854" s="12">
        <v>3117.7370878319234</v>
      </c>
      <c r="W854" s="12">
        <v>3117.7370878319234</v>
      </c>
      <c r="X854" s="12">
        <v>0</v>
      </c>
      <c r="Y854" s="18">
        <v>45859</v>
      </c>
      <c r="Z854" s="13" t="s">
        <v>39</v>
      </c>
      <c r="AA854" s="19" t="s">
        <v>373</v>
      </c>
      <c r="AB854" s="13" t="s">
        <v>357</v>
      </c>
      <c r="AC854" s="13" t="s">
        <v>383</v>
      </c>
      <c r="AD854" s="20"/>
      <c r="AE854" s="20"/>
      <c r="AF854" s="13" t="s">
        <v>40</v>
      </c>
      <c r="AG854" s="15">
        <v>45474</v>
      </c>
      <c r="AH854" s="13" t="s">
        <v>41</v>
      </c>
      <c r="AI854" s="13" t="s">
        <v>53</v>
      </c>
      <c r="AJ854" s="13" t="s">
        <v>368</v>
      </c>
      <c r="AK854" s="14">
        <v>-8</v>
      </c>
      <c r="AL854" s="17"/>
      <c r="AM854" s="17"/>
      <c r="AN854" s="17"/>
      <c r="AO854" s="17"/>
      <c r="AP854" s="17"/>
      <c r="AQ854" s="17"/>
      <c r="AR854" s="17"/>
      <c r="AS854" s="17"/>
      <c r="AT854" s="17"/>
      <c r="AU854" s="17"/>
      <c r="AV854" s="17"/>
    </row>
    <row r="855" spans="1:48" ht="15.75" customHeight="1">
      <c r="A855" s="21" t="s">
        <v>53</v>
      </c>
      <c r="B855" s="23" t="s">
        <v>1692</v>
      </c>
      <c r="C855" s="25">
        <v>45863</v>
      </c>
      <c r="D855" s="23" t="s">
        <v>113</v>
      </c>
      <c r="E855" s="23" t="s">
        <v>136</v>
      </c>
      <c r="F855" s="21">
        <v>1</v>
      </c>
      <c r="G855" s="12">
        <v>14900.292682926829</v>
      </c>
      <c r="H855" s="12">
        <v>14900.292682926829</v>
      </c>
      <c r="I855" s="23" t="s">
        <v>52</v>
      </c>
      <c r="J855" s="23" t="s">
        <v>61</v>
      </c>
      <c r="K855" s="24" t="s">
        <v>177</v>
      </c>
      <c r="L855" s="24">
        <v>161</v>
      </c>
      <c r="M855" s="12">
        <v>12521.254355400697</v>
      </c>
      <c r="N855" s="12">
        <v>12521.254355400697</v>
      </c>
      <c r="O855" s="12">
        <v>2379.038327526132</v>
      </c>
      <c r="P855" s="13"/>
      <c r="Q855" s="14">
        <v>2025</v>
      </c>
      <c r="R855" s="15">
        <v>45474</v>
      </c>
      <c r="S855" s="11" t="s">
        <v>410</v>
      </c>
      <c r="T855" s="16">
        <v>0</v>
      </c>
      <c r="U855" s="17"/>
      <c r="V855" s="12">
        <v>3537.254355400697</v>
      </c>
      <c r="W855" s="12">
        <v>3537.254355400697</v>
      </c>
      <c r="X855" s="12">
        <v>0</v>
      </c>
      <c r="Y855" s="18">
        <v>45859</v>
      </c>
      <c r="Z855" s="13" t="s">
        <v>39</v>
      </c>
      <c r="AA855" s="19" t="s">
        <v>373</v>
      </c>
      <c r="AB855" s="13" t="s">
        <v>357</v>
      </c>
      <c r="AC855" s="13" t="s">
        <v>383</v>
      </c>
      <c r="AD855" s="20"/>
      <c r="AE855" s="20"/>
      <c r="AF855" s="13" t="s">
        <v>40</v>
      </c>
      <c r="AG855" s="15">
        <v>45474</v>
      </c>
      <c r="AH855" s="13" t="s">
        <v>41</v>
      </c>
      <c r="AI855" s="13" t="s">
        <v>53</v>
      </c>
      <c r="AJ855" s="13" t="s">
        <v>411</v>
      </c>
      <c r="AK855" s="14">
        <v>-8</v>
      </c>
      <c r="AL855" s="17"/>
      <c r="AM855" s="17"/>
      <c r="AN855" s="17"/>
      <c r="AO855" s="17"/>
      <c r="AP855" s="17"/>
      <c r="AQ855" s="17"/>
      <c r="AR855" s="17"/>
      <c r="AS855" s="17"/>
      <c r="AT855" s="17"/>
      <c r="AU855" s="17"/>
      <c r="AV855" s="17"/>
    </row>
    <row r="856" spans="1:48" ht="15.75" customHeight="1">
      <c r="A856" s="21" t="s">
        <v>147</v>
      </c>
      <c r="B856" s="23" t="s">
        <v>1692</v>
      </c>
      <c r="C856" s="25">
        <v>45863</v>
      </c>
      <c r="D856" s="23" t="s">
        <v>113</v>
      </c>
      <c r="E856" s="23" t="s">
        <v>248</v>
      </c>
      <c r="F856" s="21">
        <v>1</v>
      </c>
      <c r="G856" s="12">
        <v>9000</v>
      </c>
      <c r="H856" s="12">
        <v>9000</v>
      </c>
      <c r="I856" s="23" t="s">
        <v>52</v>
      </c>
      <c r="J856" s="23" t="s">
        <v>61</v>
      </c>
      <c r="K856" s="24" t="s">
        <v>177</v>
      </c>
      <c r="L856" s="24">
        <v>161</v>
      </c>
      <c r="M856" s="12">
        <v>7563.0252100840344</v>
      </c>
      <c r="N856" s="12">
        <v>7563.0252100840344</v>
      </c>
      <c r="O856" s="12">
        <v>1436.9747899159656</v>
      </c>
      <c r="P856" s="13"/>
      <c r="Q856" s="14">
        <v>2025</v>
      </c>
      <c r="R856" s="15">
        <v>45474</v>
      </c>
      <c r="S856" s="11" t="s">
        <v>412</v>
      </c>
      <c r="T856" s="16">
        <v>0</v>
      </c>
      <c r="U856" s="17"/>
      <c r="V856" s="12">
        <v>2773.1092436974795</v>
      </c>
      <c r="W856" s="12">
        <v>2773.1092436974795</v>
      </c>
      <c r="X856" s="12">
        <v>0</v>
      </c>
      <c r="Y856" s="18">
        <v>45859</v>
      </c>
      <c r="Z856" s="13" t="s">
        <v>39</v>
      </c>
      <c r="AA856" s="19" t="s">
        <v>373</v>
      </c>
      <c r="AB856" s="13" t="s">
        <v>357</v>
      </c>
      <c r="AC856" s="13" t="s">
        <v>383</v>
      </c>
      <c r="AD856" s="20"/>
      <c r="AE856" s="20"/>
      <c r="AF856" s="13" t="s">
        <v>40</v>
      </c>
      <c r="AG856" s="15">
        <v>45474</v>
      </c>
      <c r="AH856" s="13" t="s">
        <v>41</v>
      </c>
      <c r="AI856" s="13" t="s">
        <v>147</v>
      </c>
      <c r="AJ856" s="13" t="s">
        <v>413</v>
      </c>
      <c r="AK856" s="14">
        <v>-1</v>
      </c>
      <c r="AL856" s="17"/>
      <c r="AM856" s="17"/>
      <c r="AN856" s="17"/>
      <c r="AO856" s="17"/>
      <c r="AP856" s="17"/>
      <c r="AQ856" s="17"/>
      <c r="AR856" s="17"/>
      <c r="AS856" s="17"/>
      <c r="AT856" s="17"/>
      <c r="AU856" s="17"/>
      <c r="AV856" s="17"/>
    </row>
    <row r="857" spans="1:48" ht="15.75" customHeight="1">
      <c r="A857" s="21" t="s">
        <v>76</v>
      </c>
      <c r="B857" s="23" t="s">
        <v>1692</v>
      </c>
      <c r="C857" s="25">
        <v>45863</v>
      </c>
      <c r="D857" s="23" t="s">
        <v>113</v>
      </c>
      <c r="E857" s="23" t="s">
        <v>137</v>
      </c>
      <c r="F857" s="21">
        <v>1</v>
      </c>
      <c r="G857" s="12">
        <v>3500.0000000000005</v>
      </c>
      <c r="H857" s="12">
        <v>3500.0000000000005</v>
      </c>
      <c r="I857" s="23" t="s">
        <v>52</v>
      </c>
      <c r="J857" s="23" t="s">
        <v>61</v>
      </c>
      <c r="K857" s="24" t="s">
        <v>177</v>
      </c>
      <c r="L857" s="24">
        <v>161</v>
      </c>
      <c r="M857" s="12">
        <v>2941.1764705882356</v>
      </c>
      <c r="N857" s="12">
        <v>2941.1764705882356</v>
      </c>
      <c r="O857" s="12">
        <v>558.82352941176487</v>
      </c>
      <c r="P857" s="13"/>
      <c r="Q857" s="14">
        <v>2025</v>
      </c>
      <c r="R857" s="15">
        <v>45474</v>
      </c>
      <c r="S857" s="11" t="s">
        <v>406</v>
      </c>
      <c r="T857" s="16">
        <v>5</v>
      </c>
      <c r="U857" s="17"/>
      <c r="V857" s="12">
        <v>848.73949579831969</v>
      </c>
      <c r="W857" s="12">
        <v>848.73949579831969</v>
      </c>
      <c r="X857" s="12">
        <v>0</v>
      </c>
      <c r="Y857" s="18">
        <v>45859</v>
      </c>
      <c r="Z857" s="13" t="s">
        <v>39</v>
      </c>
      <c r="AA857" s="19" t="s">
        <v>373</v>
      </c>
      <c r="AB857" s="13" t="s">
        <v>357</v>
      </c>
      <c r="AC857" s="13" t="s">
        <v>383</v>
      </c>
      <c r="AD857" s="20"/>
      <c r="AE857" s="20"/>
      <c r="AF857" s="13" t="s">
        <v>40</v>
      </c>
      <c r="AG857" s="15">
        <v>45474</v>
      </c>
      <c r="AH857" s="13" t="s">
        <v>41</v>
      </c>
      <c r="AI857" s="13" t="s">
        <v>76</v>
      </c>
      <c r="AJ857" s="13" t="s">
        <v>407</v>
      </c>
      <c r="AK857" s="14">
        <v>-1</v>
      </c>
      <c r="AL857" s="17"/>
      <c r="AM857" s="17"/>
      <c r="AN857" s="17"/>
      <c r="AO857" s="17"/>
      <c r="AP857" s="17"/>
      <c r="AQ857" s="17"/>
      <c r="AR857" s="17"/>
      <c r="AS857" s="17"/>
      <c r="AT857" s="17"/>
      <c r="AU857" s="17"/>
      <c r="AV857" s="17"/>
    </row>
    <row r="858" spans="1:48" ht="15.75" customHeight="1">
      <c r="A858" s="21" t="s">
        <v>47</v>
      </c>
      <c r="B858" s="23" t="s">
        <v>1692</v>
      </c>
      <c r="C858" s="25">
        <v>45863</v>
      </c>
      <c r="D858" s="23" t="s">
        <v>68</v>
      </c>
      <c r="E858" s="23" t="s">
        <v>71</v>
      </c>
      <c r="F858" s="21">
        <v>2</v>
      </c>
      <c r="G858" s="12">
        <v>2700.2147898128264</v>
      </c>
      <c r="H858" s="12">
        <v>5400.4295796256529</v>
      </c>
      <c r="I858" s="23" t="s">
        <v>52</v>
      </c>
      <c r="J858" s="23" t="s">
        <v>61</v>
      </c>
      <c r="K858" s="24" t="s">
        <v>86</v>
      </c>
      <c r="L858" s="24">
        <v>95</v>
      </c>
      <c r="M858" s="12">
        <v>2269.0880586662406</v>
      </c>
      <c r="N858" s="12">
        <v>4538.1761173324812</v>
      </c>
      <c r="O858" s="12">
        <v>862.25346229317165</v>
      </c>
      <c r="P858" s="13"/>
      <c r="Q858" s="14">
        <v>2025</v>
      </c>
      <c r="R858" s="15">
        <v>45474</v>
      </c>
      <c r="S858" s="11" t="s">
        <v>414</v>
      </c>
      <c r="T858" s="16">
        <v>0</v>
      </c>
      <c r="U858" s="17"/>
      <c r="V858" s="12">
        <v>1580.1929240551704</v>
      </c>
      <c r="W858" s="12">
        <v>1580.1929240551704</v>
      </c>
      <c r="X858" s="12">
        <v>0</v>
      </c>
      <c r="Y858" s="18">
        <v>45859</v>
      </c>
      <c r="Z858" s="13" t="s">
        <v>39</v>
      </c>
      <c r="AA858" s="19" t="s">
        <v>361</v>
      </c>
      <c r="AB858" s="13" t="s">
        <v>394</v>
      </c>
      <c r="AC858" s="13" t="s">
        <v>383</v>
      </c>
      <c r="AD858" s="20"/>
      <c r="AE858" s="20"/>
      <c r="AF858" s="13" t="s">
        <v>40</v>
      </c>
      <c r="AG858" s="15">
        <v>45474</v>
      </c>
      <c r="AH858" s="13" t="s">
        <v>41</v>
      </c>
      <c r="AI858" s="13" t="s">
        <v>47</v>
      </c>
      <c r="AJ858" s="13" t="s">
        <v>415</v>
      </c>
      <c r="AK858" s="14">
        <v>-2</v>
      </c>
      <c r="AL858" s="17"/>
      <c r="AM858" s="17"/>
      <c r="AN858" s="17"/>
      <c r="AO858" s="17"/>
      <c r="AP858" s="17"/>
      <c r="AQ858" s="17"/>
      <c r="AR858" s="17"/>
      <c r="AS858" s="17"/>
      <c r="AT858" s="17"/>
      <c r="AU858" s="17"/>
      <c r="AV858" s="17"/>
    </row>
    <row r="859" spans="1:48" ht="15.75" customHeight="1">
      <c r="A859" s="21" t="s">
        <v>35</v>
      </c>
      <c r="B859" s="23" t="s">
        <v>1692</v>
      </c>
      <c r="C859" s="22">
        <v>45863</v>
      </c>
      <c r="D859" s="23" t="s">
        <v>232</v>
      </c>
      <c r="E859" s="23" t="s">
        <v>37</v>
      </c>
      <c r="F859" s="21">
        <v>1</v>
      </c>
      <c r="G859" s="12">
        <v>11000.014358944907</v>
      </c>
      <c r="H859" s="12">
        <v>11000.014358944907</v>
      </c>
      <c r="I859" s="23" t="s">
        <v>52</v>
      </c>
      <c r="J859" s="23" t="s">
        <v>61</v>
      </c>
      <c r="K859" s="24" t="s">
        <v>177</v>
      </c>
      <c r="L859" s="24">
        <v>161</v>
      </c>
      <c r="M859" s="12">
        <v>9243.7095453318543</v>
      </c>
      <c r="N859" s="12">
        <v>9243.7095453318543</v>
      </c>
      <c r="O859" s="12">
        <v>1756.3048136130528</v>
      </c>
      <c r="P859" s="13"/>
      <c r="Q859" s="14">
        <v>2025</v>
      </c>
      <c r="R859" s="15">
        <v>45474</v>
      </c>
      <c r="S859" s="11" t="s">
        <v>364</v>
      </c>
      <c r="T859" s="16">
        <v>1000</v>
      </c>
      <c r="U859" s="17"/>
      <c r="V859" s="12">
        <v>2806.1129066763915</v>
      </c>
      <c r="W859" s="12">
        <v>2806.1129066763915</v>
      </c>
      <c r="X859" s="12">
        <v>0</v>
      </c>
      <c r="Y859" s="18">
        <v>45859</v>
      </c>
      <c r="Z859" s="13" t="s">
        <v>39</v>
      </c>
      <c r="AA859" s="19" t="s">
        <v>356</v>
      </c>
      <c r="AB859" s="13" t="s">
        <v>357</v>
      </c>
      <c r="AC859" s="13" t="s">
        <v>358</v>
      </c>
      <c r="AD859" s="20"/>
      <c r="AE859" s="20"/>
      <c r="AF859" s="13" t="s">
        <v>40</v>
      </c>
      <c r="AG859" s="15">
        <v>45474</v>
      </c>
      <c r="AH859" s="13" t="s">
        <v>41</v>
      </c>
      <c r="AI859" s="13" t="s">
        <v>35</v>
      </c>
      <c r="AJ859" s="13" t="s">
        <v>365</v>
      </c>
      <c r="AK859" s="14">
        <v>-1</v>
      </c>
      <c r="AL859" s="17"/>
      <c r="AM859" s="17"/>
      <c r="AN859" s="17"/>
      <c r="AO859" s="17"/>
      <c r="AP859" s="17"/>
      <c r="AQ859" s="17"/>
      <c r="AR859" s="17"/>
      <c r="AS859" s="17"/>
      <c r="AT859" s="17"/>
      <c r="AU859" s="17"/>
      <c r="AV859" s="17"/>
    </row>
    <row r="860" spans="1:48" ht="15.75" customHeight="1">
      <c r="A860" s="21" t="s">
        <v>47</v>
      </c>
      <c r="B860" s="23" t="s">
        <v>1692</v>
      </c>
      <c r="C860" s="22">
        <v>45862</v>
      </c>
      <c r="D860" s="23" t="s">
        <v>270</v>
      </c>
      <c r="E860" s="23" t="s">
        <v>48</v>
      </c>
      <c r="F860" s="21">
        <v>1</v>
      </c>
      <c r="G860" s="12">
        <v>1000</v>
      </c>
      <c r="H860" s="12">
        <v>1000</v>
      </c>
      <c r="I860" s="23" t="s">
        <v>52</v>
      </c>
      <c r="J860" s="23" t="s">
        <v>61</v>
      </c>
      <c r="K860" s="24" t="s">
        <v>177</v>
      </c>
      <c r="L860" s="24">
        <v>161</v>
      </c>
      <c r="M860" s="12">
        <v>840.3361344537816</v>
      </c>
      <c r="N860" s="12">
        <v>840.3361344537816</v>
      </c>
      <c r="O860" s="12">
        <v>159.6638655462184</v>
      </c>
      <c r="P860" s="13"/>
      <c r="Q860" s="14">
        <v>2025</v>
      </c>
      <c r="R860" s="15">
        <v>45474</v>
      </c>
      <c r="S860" s="11" t="s">
        <v>416</v>
      </c>
      <c r="T860" s="16">
        <v>0</v>
      </c>
      <c r="U860" s="17"/>
      <c r="V860" s="12">
        <v>330.33613445378148</v>
      </c>
      <c r="W860" s="12">
        <v>330.33613445378148</v>
      </c>
      <c r="X860" s="12">
        <v>0</v>
      </c>
      <c r="Y860" s="18">
        <v>45859</v>
      </c>
      <c r="Z860" s="13" t="s">
        <v>39</v>
      </c>
      <c r="AA860" s="19" t="s">
        <v>367</v>
      </c>
      <c r="AB860" s="13" t="s">
        <v>357</v>
      </c>
      <c r="AC860" s="13" t="s">
        <v>367</v>
      </c>
      <c r="AD860" s="20"/>
      <c r="AE860" s="20"/>
      <c r="AF860" s="13" t="s">
        <v>40</v>
      </c>
      <c r="AG860" s="15">
        <v>45474</v>
      </c>
      <c r="AH860" s="13" t="s">
        <v>41</v>
      </c>
      <c r="AI860" s="13" t="s">
        <v>47</v>
      </c>
      <c r="AJ860" s="13" t="s">
        <v>417</v>
      </c>
      <c r="AK860" s="14">
        <v>-5</v>
      </c>
      <c r="AL860" s="17"/>
      <c r="AM860" s="17"/>
      <c r="AN860" s="17"/>
      <c r="AO860" s="17"/>
      <c r="AP860" s="17"/>
      <c r="AQ860" s="17"/>
      <c r="AR860" s="17"/>
      <c r="AS860" s="17"/>
      <c r="AT860" s="17"/>
      <c r="AU860" s="17"/>
      <c r="AV860" s="17"/>
    </row>
    <row r="861" spans="1:48" ht="15.75" customHeight="1">
      <c r="A861" s="21" t="s">
        <v>47</v>
      </c>
      <c r="B861" s="23" t="s">
        <v>1692</v>
      </c>
      <c r="C861" s="22">
        <v>45862</v>
      </c>
      <c r="D861" s="23" t="s">
        <v>270</v>
      </c>
      <c r="E861" s="23" t="s">
        <v>148</v>
      </c>
      <c r="F861" s="21">
        <v>1</v>
      </c>
      <c r="G861" s="12">
        <v>1200.0000000000002</v>
      </c>
      <c r="H861" s="12">
        <v>1200.0000000000002</v>
      </c>
      <c r="I861" s="23" t="s">
        <v>52</v>
      </c>
      <c r="J861" s="23" t="s">
        <v>61</v>
      </c>
      <c r="K861" s="24" t="s">
        <v>177</v>
      </c>
      <c r="L861" s="24">
        <v>161</v>
      </c>
      <c r="M861" s="12">
        <v>1008.4033613445381</v>
      </c>
      <c r="N861" s="12">
        <v>1008.4033613445381</v>
      </c>
      <c r="O861" s="12">
        <v>191.59663865546213</v>
      </c>
      <c r="P861" s="13"/>
      <c r="Q861" s="14">
        <v>2025</v>
      </c>
      <c r="R861" s="15">
        <v>45474</v>
      </c>
      <c r="S861" s="11" t="s">
        <v>360</v>
      </c>
      <c r="T861" s="16">
        <v>0</v>
      </c>
      <c r="U861" s="17"/>
      <c r="V861" s="12">
        <v>357.9831932773111</v>
      </c>
      <c r="W861" s="12">
        <v>357.9831932773111</v>
      </c>
      <c r="X861" s="12">
        <v>0</v>
      </c>
      <c r="Y861" s="18">
        <v>45859</v>
      </c>
      <c r="Z861" s="13" t="s">
        <v>39</v>
      </c>
      <c r="AA861" s="19" t="s">
        <v>367</v>
      </c>
      <c r="AB861" s="13" t="s">
        <v>357</v>
      </c>
      <c r="AC861" s="13" t="s">
        <v>367</v>
      </c>
      <c r="AD861" s="20"/>
      <c r="AE861" s="20"/>
      <c r="AF861" s="13" t="s">
        <v>40</v>
      </c>
      <c r="AG861" s="15">
        <v>45474</v>
      </c>
      <c r="AH861" s="13" t="s">
        <v>41</v>
      </c>
      <c r="AI861" s="13" t="s">
        <v>47</v>
      </c>
      <c r="AJ861" s="13" t="s">
        <v>363</v>
      </c>
      <c r="AK861" s="14">
        <v>-1</v>
      </c>
      <c r="AL861" s="17"/>
      <c r="AM861" s="17"/>
      <c r="AN861" s="17"/>
      <c r="AO861" s="17"/>
      <c r="AP861" s="17"/>
      <c r="AQ861" s="17"/>
      <c r="AR861" s="17"/>
      <c r="AS861" s="17"/>
      <c r="AT861" s="17"/>
      <c r="AU861" s="17"/>
      <c r="AV861" s="17"/>
    </row>
    <row r="862" spans="1:48" ht="15.75" customHeight="1">
      <c r="A862" s="21" t="s">
        <v>47</v>
      </c>
      <c r="B862" s="23" t="s">
        <v>1692</v>
      </c>
      <c r="C862" s="22">
        <v>45862</v>
      </c>
      <c r="D862" s="23" t="s">
        <v>270</v>
      </c>
      <c r="E862" s="23" t="s">
        <v>327</v>
      </c>
      <c r="F862" s="21">
        <v>1</v>
      </c>
      <c r="G862" s="12">
        <v>1299.5153465346536</v>
      </c>
      <c r="H862" s="12">
        <v>1299.5153465346536</v>
      </c>
      <c r="I862" s="23" t="s">
        <v>52</v>
      </c>
      <c r="J862" s="23" t="s">
        <v>61</v>
      </c>
      <c r="K862" s="24" t="s">
        <v>177</v>
      </c>
      <c r="L862" s="24">
        <v>161</v>
      </c>
      <c r="M862" s="12">
        <v>1092.0297029702972</v>
      </c>
      <c r="N862" s="12">
        <v>1092.0297029702972</v>
      </c>
      <c r="O862" s="12">
        <v>207.48564356435645</v>
      </c>
      <c r="P862" s="13"/>
      <c r="Q862" s="14">
        <v>2025</v>
      </c>
      <c r="R862" s="15">
        <v>45474</v>
      </c>
      <c r="S862" s="11" t="s">
        <v>387</v>
      </c>
      <c r="T862" s="16">
        <v>0</v>
      </c>
      <c r="U862" s="17"/>
      <c r="V862" s="12">
        <v>562.61370297029714</v>
      </c>
      <c r="W862" s="12">
        <v>562.61370297029714</v>
      </c>
      <c r="X862" s="12">
        <v>0</v>
      </c>
      <c r="Y862" s="18">
        <v>45859</v>
      </c>
      <c r="Z862" s="13" t="s">
        <v>39</v>
      </c>
      <c r="AA862" s="19" t="s">
        <v>367</v>
      </c>
      <c r="AB862" s="13" t="s">
        <v>357</v>
      </c>
      <c r="AC862" s="13" t="s">
        <v>367</v>
      </c>
      <c r="AD862" s="20"/>
      <c r="AE862" s="20"/>
      <c r="AF862" s="13" t="s">
        <v>40</v>
      </c>
      <c r="AG862" s="15">
        <v>45474</v>
      </c>
      <c r="AH862" s="13" t="s">
        <v>41</v>
      </c>
      <c r="AI862" s="13" t="s">
        <v>47</v>
      </c>
      <c r="AJ862" s="13" t="s">
        <v>388</v>
      </c>
      <c r="AK862" s="14">
        <v>-6</v>
      </c>
      <c r="AL862" s="17"/>
      <c r="AM862" s="17"/>
      <c r="AN862" s="17"/>
      <c r="AO862" s="17"/>
      <c r="AP862" s="17"/>
      <c r="AQ862" s="17"/>
      <c r="AR862" s="17"/>
      <c r="AS862" s="17"/>
      <c r="AT862" s="17"/>
      <c r="AU862" s="17"/>
      <c r="AV862" s="17"/>
    </row>
    <row r="863" spans="1:48" ht="15.75" customHeight="1">
      <c r="A863" s="21" t="s">
        <v>47</v>
      </c>
      <c r="B863" s="23" t="s">
        <v>1692</v>
      </c>
      <c r="C863" s="22">
        <v>45862</v>
      </c>
      <c r="D863" s="23" t="s">
        <v>270</v>
      </c>
      <c r="E863" s="23" t="s">
        <v>418</v>
      </c>
      <c r="F863" s="21">
        <v>1</v>
      </c>
      <c r="G863" s="12">
        <v>1000.0168789808919</v>
      </c>
      <c r="H863" s="12">
        <v>1000.0168789808919</v>
      </c>
      <c r="I863" s="23" t="s">
        <v>52</v>
      </c>
      <c r="J863" s="23" t="s">
        <v>61</v>
      </c>
      <c r="K863" s="24" t="s">
        <v>177</v>
      </c>
      <c r="L863" s="24">
        <v>161</v>
      </c>
      <c r="M863" s="12">
        <v>840.3503184713378</v>
      </c>
      <c r="N863" s="12">
        <v>840.3503184713378</v>
      </c>
      <c r="O863" s="12">
        <v>159.66656050955407</v>
      </c>
      <c r="P863" s="13"/>
      <c r="Q863" s="14">
        <v>2025</v>
      </c>
      <c r="R863" s="15">
        <v>45474</v>
      </c>
      <c r="S863" s="11" t="s">
        <v>419</v>
      </c>
      <c r="T863" s="16">
        <v>0</v>
      </c>
      <c r="U863" s="17"/>
      <c r="V863" s="12">
        <v>576.48031847133768</v>
      </c>
      <c r="W863" s="12">
        <v>576.48031847133768</v>
      </c>
      <c r="X863" s="12">
        <v>0</v>
      </c>
      <c r="Y863" s="18">
        <v>45859</v>
      </c>
      <c r="Z863" s="13" t="s">
        <v>39</v>
      </c>
      <c r="AA863" s="19" t="s">
        <v>367</v>
      </c>
      <c r="AB863" s="13" t="s">
        <v>357</v>
      </c>
      <c r="AC863" s="13" t="s">
        <v>367</v>
      </c>
      <c r="AD863" s="20"/>
      <c r="AE863" s="20"/>
      <c r="AF863" s="13" t="s">
        <v>40</v>
      </c>
      <c r="AG863" s="15">
        <v>45474</v>
      </c>
      <c r="AH863" s="13" t="s">
        <v>41</v>
      </c>
      <c r="AI863" s="13" t="s">
        <v>47</v>
      </c>
      <c r="AJ863" s="13" t="s">
        <v>419</v>
      </c>
      <c r="AK863" s="14">
        <v>-1</v>
      </c>
      <c r="AL863" s="17"/>
      <c r="AM863" s="17"/>
      <c r="AN863" s="17"/>
      <c r="AO863" s="17"/>
      <c r="AP863" s="17"/>
      <c r="AQ863" s="17"/>
      <c r="AR863" s="17"/>
      <c r="AS863" s="17"/>
      <c r="AT863" s="17"/>
      <c r="AU863" s="17"/>
      <c r="AV863" s="17"/>
    </row>
    <row r="864" spans="1:48" ht="15.75" customHeight="1">
      <c r="A864" s="21" t="s">
        <v>47</v>
      </c>
      <c r="B864" s="23" t="s">
        <v>1692</v>
      </c>
      <c r="C864" s="22">
        <v>45862</v>
      </c>
      <c r="D864" s="23" t="s">
        <v>270</v>
      </c>
      <c r="E864" s="23" t="s">
        <v>207</v>
      </c>
      <c r="F864" s="21">
        <v>1</v>
      </c>
      <c r="G864" s="12">
        <v>700.14542079207922</v>
      </c>
      <c r="H864" s="12">
        <v>700.14542079207922</v>
      </c>
      <c r="I864" s="23" t="s">
        <v>52</v>
      </c>
      <c r="J864" s="23" t="s">
        <v>61</v>
      </c>
      <c r="K864" s="24" t="s">
        <v>177</v>
      </c>
      <c r="L864" s="24">
        <v>161</v>
      </c>
      <c r="M864" s="12">
        <v>588.35749646393219</v>
      </c>
      <c r="N864" s="12">
        <v>588.35749646393219</v>
      </c>
      <c r="O864" s="12">
        <v>111.78792432814703</v>
      </c>
      <c r="P864" s="13"/>
      <c r="Q864" s="14">
        <v>2025</v>
      </c>
      <c r="R864" s="15">
        <v>45474</v>
      </c>
      <c r="S864" s="11" t="s">
        <v>420</v>
      </c>
      <c r="T864" s="16">
        <v>0</v>
      </c>
      <c r="U864" s="17"/>
      <c r="V864" s="12">
        <v>255.5824964639321</v>
      </c>
      <c r="W864" s="12">
        <v>255.5824964639321</v>
      </c>
      <c r="X864" s="12">
        <v>0</v>
      </c>
      <c r="Y864" s="18">
        <v>45859</v>
      </c>
      <c r="Z864" s="13" t="s">
        <v>39</v>
      </c>
      <c r="AA864" s="19" t="s">
        <v>367</v>
      </c>
      <c r="AB864" s="13" t="s">
        <v>357</v>
      </c>
      <c r="AC864" s="13" t="s">
        <v>367</v>
      </c>
      <c r="AD864" s="20"/>
      <c r="AE864" s="20"/>
      <c r="AF864" s="13" t="s">
        <v>40</v>
      </c>
      <c r="AG864" s="15">
        <v>45474</v>
      </c>
      <c r="AH864" s="13" t="s">
        <v>41</v>
      </c>
      <c r="AI864" s="13" t="s">
        <v>47</v>
      </c>
      <c r="AJ864" s="13" t="s">
        <v>421</v>
      </c>
      <c r="AK864" s="14">
        <v>-1</v>
      </c>
      <c r="AL864" s="17"/>
      <c r="AM864" s="17"/>
      <c r="AN864" s="17"/>
      <c r="AO864" s="17"/>
      <c r="AP864" s="17"/>
      <c r="AQ864" s="17"/>
      <c r="AR864" s="17"/>
      <c r="AS864" s="17"/>
      <c r="AT864" s="17"/>
      <c r="AU864" s="17"/>
      <c r="AV864" s="17"/>
    </row>
    <row r="865" spans="1:48" ht="15.75" customHeight="1">
      <c r="A865" s="21" t="s">
        <v>47</v>
      </c>
      <c r="B865" s="23" t="s">
        <v>1692</v>
      </c>
      <c r="C865" s="22">
        <v>45862</v>
      </c>
      <c r="D865" s="23" t="s">
        <v>270</v>
      </c>
      <c r="E865" s="23" t="s">
        <v>105</v>
      </c>
      <c r="F865" s="21">
        <v>1</v>
      </c>
      <c r="G865" s="12">
        <v>1100.0000000000002</v>
      </c>
      <c r="H865" s="12">
        <v>1100.0000000000002</v>
      </c>
      <c r="I865" s="23" t="s">
        <v>52</v>
      </c>
      <c r="J865" s="23" t="s">
        <v>61</v>
      </c>
      <c r="K865" s="24" t="s">
        <v>177</v>
      </c>
      <c r="L865" s="24">
        <v>161</v>
      </c>
      <c r="M865" s="12">
        <v>924.36974789915985</v>
      </c>
      <c r="N865" s="12">
        <v>924.36974789915985</v>
      </c>
      <c r="O865" s="12">
        <v>175.63025210084038</v>
      </c>
      <c r="P865" s="13"/>
      <c r="Q865" s="14">
        <v>2025</v>
      </c>
      <c r="R865" s="15">
        <v>45474</v>
      </c>
      <c r="S865" s="11" t="s">
        <v>105</v>
      </c>
      <c r="T865" s="16">
        <v>0</v>
      </c>
      <c r="U865" s="17"/>
      <c r="V865" s="12">
        <v>342.857142857143</v>
      </c>
      <c r="W865" s="12">
        <v>342.857142857143</v>
      </c>
      <c r="X865" s="12">
        <v>0</v>
      </c>
      <c r="Y865" s="18">
        <v>45859</v>
      </c>
      <c r="Z865" s="13" t="s">
        <v>39</v>
      </c>
      <c r="AA865" s="19" t="s">
        <v>367</v>
      </c>
      <c r="AB865" s="13" t="s">
        <v>357</v>
      </c>
      <c r="AC865" s="13" t="s">
        <v>367</v>
      </c>
      <c r="AD865" s="20"/>
      <c r="AE865" s="20"/>
      <c r="AF865" s="13" t="s">
        <v>40</v>
      </c>
      <c r="AG865" s="15">
        <v>45474</v>
      </c>
      <c r="AH865" s="13" t="s">
        <v>41</v>
      </c>
      <c r="AI865" s="13" t="s">
        <v>47</v>
      </c>
      <c r="AJ865" s="13" t="s">
        <v>371</v>
      </c>
      <c r="AK865" s="14">
        <v>-1</v>
      </c>
      <c r="AL865" s="17"/>
      <c r="AM865" s="17"/>
      <c r="AN865" s="17"/>
      <c r="AO865" s="17"/>
      <c r="AP865" s="17"/>
      <c r="AQ865" s="17"/>
      <c r="AR865" s="17"/>
      <c r="AS865" s="17"/>
      <c r="AT865" s="17"/>
      <c r="AU865" s="17"/>
      <c r="AV865" s="17"/>
    </row>
    <row r="866" spans="1:48" ht="15.75" customHeight="1">
      <c r="A866" s="21" t="s">
        <v>47</v>
      </c>
      <c r="B866" s="23" t="s">
        <v>1692</v>
      </c>
      <c r="C866" s="22">
        <v>45862</v>
      </c>
      <c r="D866" s="23" t="s">
        <v>270</v>
      </c>
      <c r="E866" s="23" t="s">
        <v>165</v>
      </c>
      <c r="F866" s="21">
        <v>1</v>
      </c>
      <c r="G866" s="12">
        <v>1200.1375515818431</v>
      </c>
      <c r="H866" s="12">
        <v>1200.1375515818431</v>
      </c>
      <c r="I866" s="23" t="s">
        <v>52</v>
      </c>
      <c r="J866" s="23" t="s">
        <v>61</v>
      </c>
      <c r="K866" s="24" t="s">
        <v>177</v>
      </c>
      <c r="L866" s="24">
        <v>161</v>
      </c>
      <c r="M866" s="12">
        <v>1008.5189509091119</v>
      </c>
      <c r="N866" s="12">
        <v>1008.5189509091119</v>
      </c>
      <c r="O866" s="12">
        <v>191.61860067273119</v>
      </c>
      <c r="P866" s="13"/>
      <c r="Q866" s="14">
        <v>2025</v>
      </c>
      <c r="R866" s="15">
        <v>45474</v>
      </c>
      <c r="S866" s="11" t="s">
        <v>422</v>
      </c>
      <c r="T866" s="16">
        <v>0</v>
      </c>
      <c r="U866" s="17"/>
      <c r="V866" s="12">
        <v>275.32567359818756</v>
      </c>
      <c r="W866" s="12">
        <v>275.32567359818756</v>
      </c>
      <c r="X866" s="12">
        <v>0</v>
      </c>
      <c r="Y866" s="18">
        <v>45859</v>
      </c>
      <c r="Z866" s="13" t="s">
        <v>39</v>
      </c>
      <c r="AA866" s="19" t="s">
        <v>367</v>
      </c>
      <c r="AB866" s="13" t="s">
        <v>357</v>
      </c>
      <c r="AC866" s="13" t="s">
        <v>367</v>
      </c>
      <c r="AD866" s="20"/>
      <c r="AE866" s="20"/>
      <c r="AF866" s="13" t="s">
        <v>40</v>
      </c>
      <c r="AG866" s="15">
        <v>45474</v>
      </c>
      <c r="AH866" s="13" t="s">
        <v>41</v>
      </c>
      <c r="AI866" s="13" t="s">
        <v>47</v>
      </c>
      <c r="AJ866" s="13" t="s">
        <v>385</v>
      </c>
      <c r="AK866" s="14">
        <v>-1</v>
      </c>
      <c r="AL866" s="17"/>
      <c r="AM866" s="17"/>
      <c r="AN866" s="17"/>
      <c r="AO866" s="17"/>
      <c r="AP866" s="17"/>
      <c r="AQ866" s="17"/>
      <c r="AR866" s="17"/>
      <c r="AS866" s="17"/>
      <c r="AT866" s="17"/>
      <c r="AU866" s="17"/>
      <c r="AV866" s="17"/>
    </row>
    <row r="867" spans="1:48" ht="15.75" customHeight="1">
      <c r="A867" s="21" t="s">
        <v>73</v>
      </c>
      <c r="B867" s="23" t="s">
        <v>1692</v>
      </c>
      <c r="C867" s="22">
        <v>45861</v>
      </c>
      <c r="D867" s="23" t="s">
        <v>423</v>
      </c>
      <c r="E867" s="23" t="s">
        <v>90</v>
      </c>
      <c r="F867" s="21">
        <v>2</v>
      </c>
      <c r="G867" s="12">
        <v>4199.9020019599611</v>
      </c>
      <c r="H867" s="12">
        <v>8399.8040039199223</v>
      </c>
      <c r="I867" s="23" t="s">
        <v>52</v>
      </c>
      <c r="J867" s="23" t="s">
        <v>61</v>
      </c>
      <c r="K867" s="24" t="s">
        <v>177</v>
      </c>
      <c r="L867" s="24">
        <v>161</v>
      </c>
      <c r="M867" s="12">
        <v>3529.3294134117323</v>
      </c>
      <c r="N867" s="12">
        <v>7058.6588268234646</v>
      </c>
      <c r="O867" s="12">
        <v>1341.1451770964577</v>
      </c>
      <c r="P867" s="13"/>
      <c r="Q867" s="14">
        <v>2025</v>
      </c>
      <c r="R867" s="15">
        <v>45474</v>
      </c>
      <c r="S867" s="11" t="s">
        <v>424</v>
      </c>
      <c r="T867" s="16">
        <v>0</v>
      </c>
      <c r="U867" s="17"/>
      <c r="V867" s="12">
        <v>2016.6588268234646</v>
      </c>
      <c r="W867" s="12">
        <v>2016.6588268234646</v>
      </c>
      <c r="X867" s="12">
        <v>0</v>
      </c>
      <c r="Y867" s="18">
        <v>45859</v>
      </c>
      <c r="Z867" s="13" t="s">
        <v>39</v>
      </c>
      <c r="AA867" s="19" t="s">
        <v>373</v>
      </c>
      <c r="AB867" s="13" t="s">
        <v>357</v>
      </c>
      <c r="AC867" s="13" t="s">
        <v>425</v>
      </c>
      <c r="AD867" s="20"/>
      <c r="AE867" s="20"/>
      <c r="AF867" s="13" t="s">
        <v>40</v>
      </c>
      <c r="AG867" s="15">
        <v>45474</v>
      </c>
      <c r="AH867" s="13" t="s">
        <v>41</v>
      </c>
      <c r="AI867" s="13" t="s">
        <v>73</v>
      </c>
      <c r="AJ867" s="13" t="s">
        <v>426</v>
      </c>
      <c r="AK867" s="14">
        <v>-2</v>
      </c>
      <c r="AL867" s="17"/>
      <c r="AM867" s="17"/>
      <c r="AN867" s="17"/>
      <c r="AO867" s="17"/>
      <c r="AP867" s="17"/>
      <c r="AQ867" s="17"/>
      <c r="AR867" s="17"/>
      <c r="AS867" s="17"/>
      <c r="AT867" s="17"/>
      <c r="AU867" s="17"/>
      <c r="AV867" s="17"/>
    </row>
    <row r="868" spans="1:48" ht="15.75" customHeight="1">
      <c r="A868" s="21" t="s">
        <v>35</v>
      </c>
      <c r="B868" s="23" t="s">
        <v>1692</v>
      </c>
      <c r="C868" s="22">
        <v>45861</v>
      </c>
      <c r="D868" s="23" t="s">
        <v>59</v>
      </c>
      <c r="E868" s="23" t="s">
        <v>46</v>
      </c>
      <c r="F868" s="21">
        <v>1</v>
      </c>
      <c r="G868" s="12">
        <v>6000.1548227279782</v>
      </c>
      <c r="H868" s="12">
        <v>6000.1548227279782</v>
      </c>
      <c r="I868" s="23" t="s">
        <v>52</v>
      </c>
      <c r="J868" s="23" t="s">
        <v>61</v>
      </c>
      <c r="K868" s="24" t="s">
        <v>177</v>
      </c>
      <c r="L868" s="24">
        <v>161</v>
      </c>
      <c r="M868" s="12">
        <v>5042.1469098554444</v>
      </c>
      <c r="N868" s="12">
        <v>5042.1469098554444</v>
      </c>
      <c r="O868" s="12">
        <v>958.00791287253378</v>
      </c>
      <c r="P868" s="13"/>
      <c r="Q868" s="14">
        <v>2025</v>
      </c>
      <c r="R868" s="15">
        <v>45474</v>
      </c>
      <c r="S868" s="11" t="s">
        <v>364</v>
      </c>
      <c r="T868" s="16">
        <v>500</v>
      </c>
      <c r="U868" s="17"/>
      <c r="V868" s="12">
        <v>1785.4242207798129</v>
      </c>
      <c r="W868" s="12">
        <v>1785.4242207798129</v>
      </c>
      <c r="X868" s="12">
        <v>0</v>
      </c>
      <c r="Y868" s="18">
        <v>45859</v>
      </c>
      <c r="Z868" s="13" t="s">
        <v>39</v>
      </c>
      <c r="AA868" s="19" t="s">
        <v>373</v>
      </c>
      <c r="AB868" s="13" t="s">
        <v>357</v>
      </c>
      <c r="AC868" s="13" t="s">
        <v>380</v>
      </c>
      <c r="AD868" s="20"/>
      <c r="AE868" s="20"/>
      <c r="AF868" s="13" t="s">
        <v>40</v>
      </c>
      <c r="AG868" s="15">
        <v>45474</v>
      </c>
      <c r="AH868" s="13" t="s">
        <v>41</v>
      </c>
      <c r="AI868" s="13" t="s">
        <v>35</v>
      </c>
      <c r="AJ868" s="13" t="s">
        <v>365</v>
      </c>
      <c r="AK868" s="14">
        <v>-0.5</v>
      </c>
      <c r="AL868" s="17"/>
      <c r="AM868" s="17"/>
      <c r="AN868" s="17"/>
      <c r="AO868" s="17"/>
      <c r="AP868" s="17"/>
      <c r="AQ868" s="17"/>
      <c r="AR868" s="17"/>
      <c r="AS868" s="17"/>
      <c r="AT868" s="17"/>
      <c r="AU868" s="17"/>
      <c r="AV868" s="17"/>
    </row>
    <row r="869" spans="1:48" ht="15.75" customHeight="1">
      <c r="A869" s="21" t="s">
        <v>56</v>
      </c>
      <c r="B869" s="23" t="s">
        <v>1692</v>
      </c>
      <c r="C869" s="22">
        <v>45861</v>
      </c>
      <c r="D869" s="23" t="s">
        <v>59</v>
      </c>
      <c r="E869" s="23" t="s">
        <v>112</v>
      </c>
      <c r="F869" s="21">
        <v>1</v>
      </c>
      <c r="G869" s="12">
        <v>8000.2136915210258</v>
      </c>
      <c r="H869" s="12">
        <v>8000.2136915210258</v>
      </c>
      <c r="I869" s="23" t="s">
        <v>52</v>
      </c>
      <c r="J869" s="23" t="s">
        <v>61</v>
      </c>
      <c r="K869" s="24" t="s">
        <v>177</v>
      </c>
      <c r="L869" s="24">
        <v>161</v>
      </c>
      <c r="M869" s="12">
        <v>6722.8686483369966</v>
      </c>
      <c r="N869" s="12">
        <v>6722.8686483369966</v>
      </c>
      <c r="O869" s="12">
        <v>1277.3450431840292</v>
      </c>
      <c r="P869" s="13"/>
      <c r="Q869" s="14">
        <v>2025</v>
      </c>
      <c r="R869" s="15">
        <v>45474</v>
      </c>
      <c r="S869" s="11" t="s">
        <v>427</v>
      </c>
      <c r="T869" s="16">
        <v>135</v>
      </c>
      <c r="U869" s="17"/>
      <c r="V869" s="12">
        <v>2318.3812533790133</v>
      </c>
      <c r="W869" s="12">
        <v>2318.3812533790133</v>
      </c>
      <c r="X869" s="12">
        <v>0</v>
      </c>
      <c r="Y869" s="18">
        <v>45859</v>
      </c>
      <c r="Z869" s="13" t="s">
        <v>39</v>
      </c>
      <c r="AA869" s="19" t="s">
        <v>373</v>
      </c>
      <c r="AB869" s="13" t="s">
        <v>357</v>
      </c>
      <c r="AC869" s="13" t="s">
        <v>380</v>
      </c>
      <c r="AD869" s="20"/>
      <c r="AE869" s="20"/>
      <c r="AF869" s="13" t="s">
        <v>40</v>
      </c>
      <c r="AG869" s="15">
        <v>45474</v>
      </c>
      <c r="AH869" s="13" t="s">
        <v>41</v>
      </c>
      <c r="AI869" s="13" t="s">
        <v>56</v>
      </c>
      <c r="AJ869" s="13" t="s">
        <v>428</v>
      </c>
      <c r="AK869" s="14">
        <v>-3</v>
      </c>
      <c r="AL869" s="17"/>
      <c r="AM869" s="17"/>
      <c r="AN869" s="17"/>
      <c r="AO869" s="17"/>
      <c r="AP869" s="17"/>
      <c r="AQ869" s="17"/>
      <c r="AR869" s="17"/>
      <c r="AS869" s="17"/>
      <c r="AT869" s="17"/>
      <c r="AU869" s="17"/>
      <c r="AV869" s="17"/>
    </row>
    <row r="870" spans="1:48" ht="15.75" customHeight="1">
      <c r="A870" s="21" t="s">
        <v>56</v>
      </c>
      <c r="B870" s="23" t="s">
        <v>1692</v>
      </c>
      <c r="C870" s="22">
        <v>45861</v>
      </c>
      <c r="D870" s="23" t="s">
        <v>59</v>
      </c>
      <c r="E870" s="23" t="s">
        <v>60</v>
      </c>
      <c r="F870" s="21">
        <v>1</v>
      </c>
      <c r="G870" s="12">
        <v>7000.0000000000018</v>
      </c>
      <c r="H870" s="12">
        <v>7000.0000000000018</v>
      </c>
      <c r="I870" s="23" t="s">
        <v>52</v>
      </c>
      <c r="J870" s="23" t="s">
        <v>61</v>
      </c>
      <c r="K870" s="24" t="s">
        <v>177</v>
      </c>
      <c r="L870" s="24">
        <v>161</v>
      </c>
      <c r="M870" s="12">
        <v>5882.3529411764721</v>
      </c>
      <c r="N870" s="12">
        <v>5882.3529411764721</v>
      </c>
      <c r="O870" s="12">
        <v>1117.6470588235297</v>
      </c>
      <c r="P870" s="13"/>
      <c r="Q870" s="14">
        <v>2025</v>
      </c>
      <c r="R870" s="15">
        <v>45474</v>
      </c>
      <c r="S870" s="11" t="s">
        <v>429</v>
      </c>
      <c r="T870" s="16">
        <v>200</v>
      </c>
      <c r="U870" s="17"/>
      <c r="V870" s="12">
        <v>2080.6722689075641</v>
      </c>
      <c r="W870" s="12">
        <v>2080.6722689075641</v>
      </c>
      <c r="X870" s="12">
        <v>0</v>
      </c>
      <c r="Y870" s="18">
        <v>45859</v>
      </c>
      <c r="Z870" s="13" t="s">
        <v>39</v>
      </c>
      <c r="AA870" s="19" t="s">
        <v>373</v>
      </c>
      <c r="AB870" s="13" t="s">
        <v>357</v>
      </c>
      <c r="AC870" s="13" t="s">
        <v>380</v>
      </c>
      <c r="AD870" s="20"/>
      <c r="AE870" s="20"/>
      <c r="AF870" s="13" t="s">
        <v>40</v>
      </c>
      <c r="AG870" s="15">
        <v>45474</v>
      </c>
      <c r="AH870" s="13" t="s">
        <v>41</v>
      </c>
      <c r="AI870" s="13" t="s">
        <v>56</v>
      </c>
      <c r="AJ870" s="13" t="s">
        <v>430</v>
      </c>
      <c r="AK870" s="14">
        <v>-2</v>
      </c>
      <c r="AL870" s="17"/>
      <c r="AM870" s="17"/>
      <c r="AN870" s="17"/>
      <c r="AO870" s="17"/>
      <c r="AP870" s="17"/>
      <c r="AQ870" s="17"/>
      <c r="AR870" s="17"/>
      <c r="AS870" s="17"/>
      <c r="AT870" s="17"/>
      <c r="AU870" s="17"/>
      <c r="AV870" s="17"/>
    </row>
    <row r="871" spans="1:48" ht="15.75" customHeight="1">
      <c r="A871" s="21" t="s">
        <v>35</v>
      </c>
      <c r="B871" s="23" t="s">
        <v>1692</v>
      </c>
      <c r="C871" s="22">
        <v>45861</v>
      </c>
      <c r="D871" s="23" t="s">
        <v>128</v>
      </c>
      <c r="E871" s="23" t="s">
        <v>37</v>
      </c>
      <c r="F871" s="21">
        <v>1</v>
      </c>
      <c r="G871" s="12">
        <v>11000.014358944907</v>
      </c>
      <c r="H871" s="12">
        <v>11000.014358944907</v>
      </c>
      <c r="I871" s="23" t="s">
        <v>52</v>
      </c>
      <c r="J871" s="23" t="s">
        <v>61</v>
      </c>
      <c r="K871" s="24" t="s">
        <v>177</v>
      </c>
      <c r="L871" s="24">
        <v>161</v>
      </c>
      <c r="M871" s="12">
        <v>9243.7095453318543</v>
      </c>
      <c r="N871" s="12">
        <v>9243.7095453318543</v>
      </c>
      <c r="O871" s="12">
        <v>1756.3048136130528</v>
      </c>
      <c r="P871" s="13"/>
      <c r="Q871" s="14">
        <v>2025</v>
      </c>
      <c r="R871" s="15">
        <v>45474</v>
      </c>
      <c r="S871" s="11" t="s">
        <v>364</v>
      </c>
      <c r="T871" s="16">
        <v>1000</v>
      </c>
      <c r="U871" s="17"/>
      <c r="V871" s="12">
        <v>2806.1129066763915</v>
      </c>
      <c r="W871" s="12">
        <v>2806.1129066763915</v>
      </c>
      <c r="X871" s="12">
        <v>0</v>
      </c>
      <c r="Y871" s="18">
        <v>45859</v>
      </c>
      <c r="Z871" s="13" t="s">
        <v>39</v>
      </c>
      <c r="AA871" s="19" t="s">
        <v>373</v>
      </c>
      <c r="AB871" s="13" t="s">
        <v>357</v>
      </c>
      <c r="AC871" s="13" t="s">
        <v>405</v>
      </c>
      <c r="AD871" s="20"/>
      <c r="AE871" s="20"/>
      <c r="AF871" s="13" t="s">
        <v>40</v>
      </c>
      <c r="AG871" s="15">
        <v>45474</v>
      </c>
      <c r="AH871" s="13" t="s">
        <v>41</v>
      </c>
      <c r="AI871" s="13" t="s">
        <v>35</v>
      </c>
      <c r="AJ871" s="13" t="s">
        <v>365</v>
      </c>
      <c r="AK871" s="14">
        <v>-1</v>
      </c>
      <c r="AL871" s="17"/>
      <c r="AM871" s="17"/>
      <c r="AN871" s="17"/>
      <c r="AO871" s="17"/>
      <c r="AP871" s="17"/>
      <c r="AQ871" s="17"/>
      <c r="AR871" s="17"/>
      <c r="AS871" s="17"/>
      <c r="AT871" s="17"/>
      <c r="AU871" s="17"/>
      <c r="AV871" s="17"/>
    </row>
    <row r="872" spans="1:48" ht="15.75" customHeight="1">
      <c r="A872" s="21" t="s">
        <v>35</v>
      </c>
      <c r="B872" s="23" t="s">
        <v>1692</v>
      </c>
      <c r="C872" s="22">
        <v>45861</v>
      </c>
      <c r="D872" s="23" t="s">
        <v>128</v>
      </c>
      <c r="E872" s="23" t="s">
        <v>46</v>
      </c>
      <c r="F872" s="21">
        <v>1</v>
      </c>
      <c r="G872" s="12">
        <v>6000.1548227279782</v>
      </c>
      <c r="H872" s="12">
        <v>6000.1548227279782</v>
      </c>
      <c r="I872" s="23" t="s">
        <v>52</v>
      </c>
      <c r="J872" s="23" t="s">
        <v>61</v>
      </c>
      <c r="K872" s="24" t="s">
        <v>177</v>
      </c>
      <c r="L872" s="24">
        <v>161</v>
      </c>
      <c r="M872" s="12">
        <v>5042.1469098554444</v>
      </c>
      <c r="N872" s="12">
        <v>5042.1469098554444</v>
      </c>
      <c r="O872" s="12">
        <v>958.00791287253378</v>
      </c>
      <c r="P872" s="13"/>
      <c r="Q872" s="14">
        <v>2025</v>
      </c>
      <c r="R872" s="15">
        <v>45474</v>
      </c>
      <c r="S872" s="11" t="s">
        <v>364</v>
      </c>
      <c r="T872" s="16">
        <v>500</v>
      </c>
      <c r="U872" s="17"/>
      <c r="V872" s="12">
        <v>1785.4242207798129</v>
      </c>
      <c r="W872" s="12">
        <v>1785.4242207798129</v>
      </c>
      <c r="X872" s="12">
        <v>0</v>
      </c>
      <c r="Y872" s="18">
        <v>45859</v>
      </c>
      <c r="Z872" s="13" t="s">
        <v>39</v>
      </c>
      <c r="AA872" s="19" t="s">
        <v>373</v>
      </c>
      <c r="AB872" s="13" t="s">
        <v>357</v>
      </c>
      <c r="AC872" s="13" t="s">
        <v>405</v>
      </c>
      <c r="AD872" s="20"/>
      <c r="AE872" s="20"/>
      <c r="AF872" s="13" t="s">
        <v>40</v>
      </c>
      <c r="AG872" s="15">
        <v>45474</v>
      </c>
      <c r="AH872" s="13" t="s">
        <v>41</v>
      </c>
      <c r="AI872" s="13" t="s">
        <v>35</v>
      </c>
      <c r="AJ872" s="13" t="s">
        <v>365</v>
      </c>
      <c r="AK872" s="14">
        <v>-0.5</v>
      </c>
      <c r="AL872" s="17"/>
      <c r="AM872" s="17"/>
      <c r="AN872" s="17"/>
      <c r="AO872" s="17"/>
      <c r="AP872" s="17"/>
      <c r="AQ872" s="17"/>
      <c r="AR872" s="17"/>
      <c r="AS872" s="17"/>
      <c r="AT872" s="17"/>
      <c r="AU872" s="17"/>
      <c r="AV872" s="17"/>
    </row>
    <row r="873" spans="1:48" ht="15.75" customHeight="1">
      <c r="A873" s="21" t="s">
        <v>56</v>
      </c>
      <c r="B873" s="23" t="s">
        <v>1692</v>
      </c>
      <c r="C873" s="22">
        <v>45860</v>
      </c>
      <c r="D873" s="23" t="s">
        <v>104</v>
      </c>
      <c r="E873" s="23" t="s">
        <v>60</v>
      </c>
      <c r="F873" s="21">
        <v>1</v>
      </c>
      <c r="G873" s="12">
        <v>7000.0000000000018</v>
      </c>
      <c r="H873" s="12">
        <v>7000.0000000000018</v>
      </c>
      <c r="I873" s="23" t="s">
        <v>52</v>
      </c>
      <c r="J873" s="23" t="s">
        <v>61</v>
      </c>
      <c r="K873" s="24" t="s">
        <v>177</v>
      </c>
      <c r="L873" s="24">
        <v>161</v>
      </c>
      <c r="M873" s="12">
        <v>5882.3529411764721</v>
      </c>
      <c r="N873" s="12">
        <v>5882.3529411764721</v>
      </c>
      <c r="O873" s="12">
        <v>1117.6470588235297</v>
      </c>
      <c r="P873" s="13"/>
      <c r="Q873" s="14">
        <v>2025</v>
      </c>
      <c r="R873" s="15">
        <v>45474</v>
      </c>
      <c r="S873" s="11" t="s">
        <v>429</v>
      </c>
      <c r="T873" s="16">
        <v>200</v>
      </c>
      <c r="U873" s="17"/>
      <c r="V873" s="12">
        <v>2080.6722689075641</v>
      </c>
      <c r="W873" s="12">
        <v>2080.6722689075641</v>
      </c>
      <c r="X873" s="12">
        <v>0</v>
      </c>
      <c r="Y873" s="18">
        <v>45859</v>
      </c>
      <c r="Z873" s="13" t="s">
        <v>39</v>
      </c>
      <c r="AA873" s="19" t="s">
        <v>373</v>
      </c>
      <c r="AB873" s="13" t="s">
        <v>357</v>
      </c>
      <c r="AC873" s="13" t="s">
        <v>383</v>
      </c>
      <c r="AD873" s="20"/>
      <c r="AE873" s="20"/>
      <c r="AF873" s="13" t="s">
        <v>40</v>
      </c>
      <c r="AG873" s="15">
        <v>45474</v>
      </c>
      <c r="AH873" s="13" t="s">
        <v>41</v>
      </c>
      <c r="AI873" s="13" t="s">
        <v>56</v>
      </c>
      <c r="AJ873" s="13" t="s">
        <v>430</v>
      </c>
      <c r="AK873" s="14">
        <v>-2</v>
      </c>
      <c r="AL873" s="17"/>
      <c r="AM873" s="17"/>
      <c r="AN873" s="17"/>
      <c r="AO873" s="17"/>
      <c r="AP873" s="17"/>
      <c r="AQ873" s="17"/>
      <c r="AR873" s="17"/>
      <c r="AS873" s="17"/>
      <c r="AT873" s="17"/>
      <c r="AU873" s="17"/>
      <c r="AV873" s="17"/>
    </row>
    <row r="874" spans="1:48" ht="15.75" customHeight="1">
      <c r="A874" s="21" t="s">
        <v>35</v>
      </c>
      <c r="B874" s="23" t="s">
        <v>1692</v>
      </c>
      <c r="C874" s="22">
        <v>45860</v>
      </c>
      <c r="D874" s="23" t="s">
        <v>104</v>
      </c>
      <c r="E874" s="23" t="s">
        <v>46</v>
      </c>
      <c r="F874" s="21">
        <v>1</v>
      </c>
      <c r="G874" s="12">
        <v>6000.1548227279782</v>
      </c>
      <c r="H874" s="12">
        <v>6000.1548227279782</v>
      </c>
      <c r="I874" s="23" t="s">
        <v>52</v>
      </c>
      <c r="J874" s="23" t="s">
        <v>61</v>
      </c>
      <c r="K874" s="24" t="s">
        <v>177</v>
      </c>
      <c r="L874" s="24">
        <v>161</v>
      </c>
      <c r="M874" s="12">
        <v>5042.1469098554444</v>
      </c>
      <c r="N874" s="12">
        <v>5042.1469098554444</v>
      </c>
      <c r="O874" s="12">
        <v>958.00791287253378</v>
      </c>
      <c r="P874" s="13"/>
      <c r="Q874" s="14">
        <v>2025</v>
      </c>
      <c r="R874" s="15">
        <v>45474</v>
      </c>
      <c r="S874" s="11" t="s">
        <v>364</v>
      </c>
      <c r="T874" s="16">
        <v>500</v>
      </c>
      <c r="U874" s="17"/>
      <c r="V874" s="12">
        <v>1785.4242207798129</v>
      </c>
      <c r="W874" s="12">
        <v>1785.4242207798129</v>
      </c>
      <c r="X874" s="12">
        <v>0</v>
      </c>
      <c r="Y874" s="18">
        <v>45859</v>
      </c>
      <c r="Z874" s="13" t="s">
        <v>39</v>
      </c>
      <c r="AA874" s="19" t="s">
        <v>373</v>
      </c>
      <c r="AB874" s="13" t="s">
        <v>357</v>
      </c>
      <c r="AC874" s="13" t="s">
        <v>383</v>
      </c>
      <c r="AD874" s="20"/>
      <c r="AE874" s="20"/>
      <c r="AF874" s="13" t="s">
        <v>40</v>
      </c>
      <c r="AG874" s="15">
        <v>45474</v>
      </c>
      <c r="AH874" s="13" t="s">
        <v>41</v>
      </c>
      <c r="AI874" s="13" t="s">
        <v>35</v>
      </c>
      <c r="AJ874" s="13" t="s">
        <v>365</v>
      </c>
      <c r="AK874" s="14">
        <v>-0.5</v>
      </c>
      <c r="AL874" s="17"/>
      <c r="AM874" s="17"/>
      <c r="AN874" s="17"/>
      <c r="AO874" s="17"/>
      <c r="AP874" s="17"/>
      <c r="AQ874" s="17"/>
      <c r="AR874" s="17"/>
      <c r="AS874" s="17"/>
      <c r="AT874" s="17"/>
      <c r="AU874" s="17"/>
      <c r="AV874" s="17"/>
    </row>
    <row r="875" spans="1:48" ht="15.75" customHeight="1">
      <c r="A875" s="21" t="s">
        <v>43</v>
      </c>
      <c r="B875" s="23" t="s">
        <v>1692</v>
      </c>
      <c r="C875" s="22">
        <v>45860</v>
      </c>
      <c r="D875" s="23" t="s">
        <v>126</v>
      </c>
      <c r="E875" s="23" t="s">
        <v>45</v>
      </c>
      <c r="F875" s="21">
        <v>1</v>
      </c>
      <c r="G875" s="12">
        <v>7900.1687504794045</v>
      </c>
      <c r="H875" s="12">
        <v>7900.1687504794045</v>
      </c>
      <c r="I875" s="23" t="s">
        <v>52</v>
      </c>
      <c r="J875" s="23" t="s">
        <v>61</v>
      </c>
      <c r="K875" s="24" t="s">
        <v>177</v>
      </c>
      <c r="L875" s="24">
        <v>161</v>
      </c>
      <c r="M875" s="12">
        <v>6638.7972693104239</v>
      </c>
      <c r="N875" s="12">
        <v>6638.7972693104239</v>
      </c>
      <c r="O875" s="12">
        <v>1261.3714811689806</v>
      </c>
      <c r="P875" s="13"/>
      <c r="Q875" s="14">
        <v>2025</v>
      </c>
      <c r="R875" s="15">
        <v>45474</v>
      </c>
      <c r="S875" s="11" t="s">
        <v>355</v>
      </c>
      <c r="T875" s="16">
        <v>0</v>
      </c>
      <c r="U875" s="17"/>
      <c r="V875" s="12">
        <v>1445.7972693104239</v>
      </c>
      <c r="W875" s="12">
        <v>1445.7972693104239</v>
      </c>
      <c r="X875" s="12">
        <v>0</v>
      </c>
      <c r="Y875" s="18">
        <v>45859</v>
      </c>
      <c r="Z875" s="13" t="s">
        <v>39</v>
      </c>
      <c r="AA875" s="19" t="s">
        <v>361</v>
      </c>
      <c r="AB875" s="13" t="s">
        <v>357</v>
      </c>
      <c r="AC875" s="13" t="s">
        <v>362</v>
      </c>
      <c r="AD875" s="20"/>
      <c r="AE875" s="20"/>
      <c r="AF875" s="13" t="s">
        <v>40</v>
      </c>
      <c r="AG875" s="15">
        <v>45474</v>
      </c>
      <c r="AH875" s="13" t="s">
        <v>41</v>
      </c>
      <c r="AI875" s="13" t="s">
        <v>43</v>
      </c>
      <c r="AJ875" s="13" t="s">
        <v>359</v>
      </c>
      <c r="AK875" s="14">
        <v>-1</v>
      </c>
      <c r="AL875" s="17"/>
      <c r="AM875" s="17"/>
      <c r="AN875" s="17"/>
      <c r="AO875" s="17"/>
      <c r="AP875" s="17"/>
      <c r="AQ875" s="17"/>
      <c r="AR875" s="17"/>
      <c r="AS875" s="17"/>
      <c r="AT875" s="17"/>
      <c r="AU875" s="17"/>
      <c r="AV875" s="17"/>
    </row>
    <row r="876" spans="1:48" ht="15.75" customHeight="1">
      <c r="A876" s="21" t="s">
        <v>35</v>
      </c>
      <c r="B876" s="23" t="s">
        <v>1692</v>
      </c>
      <c r="C876" s="22">
        <v>45860</v>
      </c>
      <c r="D876" s="23" t="s">
        <v>128</v>
      </c>
      <c r="E876" s="23" t="s">
        <v>37</v>
      </c>
      <c r="F876" s="21">
        <v>1</v>
      </c>
      <c r="G876" s="12">
        <v>11000.014358944907</v>
      </c>
      <c r="H876" s="12">
        <v>11000.014358944907</v>
      </c>
      <c r="I876" s="23" t="s">
        <v>52</v>
      </c>
      <c r="J876" s="23" t="s">
        <v>61</v>
      </c>
      <c r="K876" s="24" t="s">
        <v>177</v>
      </c>
      <c r="L876" s="24">
        <v>161</v>
      </c>
      <c r="M876" s="12">
        <v>9243.7095453318543</v>
      </c>
      <c r="N876" s="12">
        <v>9243.7095453318543</v>
      </c>
      <c r="O876" s="12">
        <v>1756.3048136130528</v>
      </c>
      <c r="P876" s="13"/>
      <c r="Q876" s="14">
        <v>2025</v>
      </c>
      <c r="R876" s="15">
        <v>45474</v>
      </c>
      <c r="S876" s="11" t="s">
        <v>364</v>
      </c>
      <c r="T876" s="16">
        <v>1000</v>
      </c>
      <c r="U876" s="17"/>
      <c r="V876" s="12">
        <v>2806.1129066763915</v>
      </c>
      <c r="W876" s="12">
        <v>2806.1129066763915</v>
      </c>
      <c r="X876" s="12">
        <v>0</v>
      </c>
      <c r="Y876" s="18">
        <v>45859</v>
      </c>
      <c r="Z876" s="13" t="s">
        <v>39</v>
      </c>
      <c r="AA876" s="19" t="s">
        <v>373</v>
      </c>
      <c r="AB876" s="13" t="s">
        <v>357</v>
      </c>
      <c r="AC876" s="13" t="s">
        <v>405</v>
      </c>
      <c r="AD876" s="20"/>
      <c r="AE876" s="20"/>
      <c r="AF876" s="13" t="s">
        <v>40</v>
      </c>
      <c r="AG876" s="15">
        <v>45474</v>
      </c>
      <c r="AH876" s="13" t="s">
        <v>41</v>
      </c>
      <c r="AI876" s="13" t="s">
        <v>35</v>
      </c>
      <c r="AJ876" s="13" t="s">
        <v>365</v>
      </c>
      <c r="AK876" s="14">
        <v>-1</v>
      </c>
      <c r="AL876" s="17"/>
      <c r="AM876" s="17"/>
      <c r="AN876" s="17"/>
      <c r="AO876" s="17"/>
      <c r="AP876" s="17"/>
      <c r="AQ876" s="17"/>
      <c r="AR876" s="17"/>
      <c r="AS876" s="17"/>
      <c r="AT876" s="17"/>
      <c r="AU876" s="17"/>
      <c r="AV876" s="17"/>
    </row>
    <row r="877" spans="1:48" ht="15.75" customHeight="1">
      <c r="A877" s="21" t="s">
        <v>76</v>
      </c>
      <c r="B877" s="23" t="s">
        <v>1692</v>
      </c>
      <c r="C877" s="22">
        <v>45860</v>
      </c>
      <c r="D877" s="23" t="s">
        <v>266</v>
      </c>
      <c r="E877" s="23" t="s">
        <v>137</v>
      </c>
      <c r="F877" s="21">
        <v>2</v>
      </c>
      <c r="G877" s="12">
        <v>3500.0000000000005</v>
      </c>
      <c r="H877" s="12">
        <v>7000.0000000000009</v>
      </c>
      <c r="I877" s="23" t="s">
        <v>52</v>
      </c>
      <c r="J877" s="23" t="s">
        <v>61</v>
      </c>
      <c r="K877" s="24" t="s">
        <v>177</v>
      </c>
      <c r="L877" s="24">
        <v>161</v>
      </c>
      <c r="M877" s="12">
        <v>2941.1764705882356</v>
      </c>
      <c r="N877" s="12">
        <v>5882.3529411764712</v>
      </c>
      <c r="O877" s="12">
        <v>1117.6470588235297</v>
      </c>
      <c r="P877" s="13"/>
      <c r="Q877" s="14">
        <v>2025</v>
      </c>
      <c r="R877" s="15">
        <v>45474</v>
      </c>
      <c r="S877" s="11" t="s">
        <v>406</v>
      </c>
      <c r="T877" s="16">
        <v>10</v>
      </c>
      <c r="U877" s="17"/>
      <c r="V877" s="12">
        <v>1697.4789915966394</v>
      </c>
      <c r="W877" s="12">
        <v>1697.4789915966394</v>
      </c>
      <c r="X877" s="12">
        <v>0</v>
      </c>
      <c r="Y877" s="18">
        <v>45859</v>
      </c>
      <c r="Z877" s="13" t="s">
        <v>39</v>
      </c>
      <c r="AA877" s="19" t="s">
        <v>356</v>
      </c>
      <c r="AB877" s="13" t="s">
        <v>357</v>
      </c>
      <c r="AC877" s="13" t="s">
        <v>380</v>
      </c>
      <c r="AD877" s="20"/>
      <c r="AE877" s="20"/>
      <c r="AF877" s="13" t="s">
        <v>40</v>
      </c>
      <c r="AG877" s="15">
        <v>45474</v>
      </c>
      <c r="AH877" s="13" t="s">
        <v>41</v>
      </c>
      <c r="AI877" s="13" t="s">
        <v>76</v>
      </c>
      <c r="AJ877" s="13" t="s">
        <v>407</v>
      </c>
      <c r="AK877" s="14">
        <v>-2</v>
      </c>
      <c r="AL877" s="17"/>
      <c r="AM877" s="17"/>
      <c r="AN877" s="17"/>
      <c r="AO877" s="17"/>
      <c r="AP877" s="17"/>
      <c r="AQ877" s="17"/>
      <c r="AR877" s="17"/>
      <c r="AS877" s="17"/>
      <c r="AT877" s="17"/>
      <c r="AU877" s="17"/>
      <c r="AV877" s="17"/>
    </row>
    <row r="878" spans="1:48" ht="15.75" customHeight="1">
      <c r="A878" s="21" t="s">
        <v>47</v>
      </c>
      <c r="B878" s="23" t="s">
        <v>1692</v>
      </c>
      <c r="C878" s="22">
        <v>45860</v>
      </c>
      <c r="D878" s="23" t="s">
        <v>431</v>
      </c>
      <c r="E878" s="23" t="s">
        <v>153</v>
      </c>
      <c r="F878" s="28">
        <v>3</v>
      </c>
      <c r="G878" s="12">
        <v>1900.0533862111042</v>
      </c>
      <c r="H878" s="12">
        <v>5700.1601586333127</v>
      </c>
      <c r="I878" s="23" t="s">
        <v>52</v>
      </c>
      <c r="J878" s="23" t="s">
        <v>61</v>
      </c>
      <c r="K878" s="24" t="s">
        <v>86</v>
      </c>
      <c r="L878" s="24">
        <v>94</v>
      </c>
      <c r="M878" s="12">
        <v>1596.6835178244573</v>
      </c>
      <c r="N878" s="12">
        <v>4790.050553473372</v>
      </c>
      <c r="O878" s="12">
        <v>910.10960515994066</v>
      </c>
      <c r="P878" s="13"/>
      <c r="Q878" s="14">
        <v>2025</v>
      </c>
      <c r="R878" s="15">
        <v>45474</v>
      </c>
      <c r="S878" s="11" t="s">
        <v>153</v>
      </c>
      <c r="T878" s="16">
        <v>0</v>
      </c>
      <c r="U878" s="17"/>
      <c r="V878" s="12">
        <v>2042.238053473372</v>
      </c>
      <c r="W878" s="12">
        <v>2042.238053473372</v>
      </c>
      <c r="X878" s="12">
        <v>0</v>
      </c>
      <c r="Y878" s="18">
        <v>45859</v>
      </c>
      <c r="Z878" s="13" t="s">
        <v>39</v>
      </c>
      <c r="AA878" s="19" t="s">
        <v>361</v>
      </c>
      <c r="AB878" s="13" t="s">
        <v>394</v>
      </c>
      <c r="AC878" s="13" t="s">
        <v>374</v>
      </c>
      <c r="AD878" s="20"/>
      <c r="AE878" s="20"/>
      <c r="AF878" s="13" t="s">
        <v>40</v>
      </c>
      <c r="AG878" s="15">
        <v>45474</v>
      </c>
      <c r="AH878" s="13" t="s">
        <v>41</v>
      </c>
      <c r="AI878" s="13" t="s">
        <v>47</v>
      </c>
      <c r="AJ878" s="13" t="s">
        <v>432</v>
      </c>
      <c r="AK878" s="14">
        <v>-3</v>
      </c>
      <c r="AL878" s="17"/>
      <c r="AM878" s="17"/>
      <c r="AN878" s="17"/>
      <c r="AO878" s="17"/>
      <c r="AP878" s="17"/>
      <c r="AQ878" s="17"/>
      <c r="AR878" s="17"/>
      <c r="AS878" s="17"/>
      <c r="AT878" s="17"/>
      <c r="AU878" s="17"/>
      <c r="AV878" s="17"/>
    </row>
    <row r="879" spans="1:48" ht="15.75" customHeight="1">
      <c r="A879" s="21" t="s">
        <v>47</v>
      </c>
      <c r="B879" s="23" t="s">
        <v>1692</v>
      </c>
      <c r="C879" s="22">
        <v>45860</v>
      </c>
      <c r="D879" s="23" t="s">
        <v>431</v>
      </c>
      <c r="E879" s="23" t="s">
        <v>303</v>
      </c>
      <c r="F879" s="28">
        <v>2</v>
      </c>
      <c r="G879" s="12">
        <v>2000.1655971848479</v>
      </c>
      <c r="H879" s="12">
        <v>4000.3311943696958</v>
      </c>
      <c r="I879" s="23" t="s">
        <v>52</v>
      </c>
      <c r="J879" s="23" t="s">
        <v>61</v>
      </c>
      <c r="K879" s="24" t="s">
        <v>86</v>
      </c>
      <c r="L879" s="24">
        <v>94</v>
      </c>
      <c r="M879" s="12">
        <v>1680.8114262057545</v>
      </c>
      <c r="N879" s="12">
        <v>3361.622852411509</v>
      </c>
      <c r="O879" s="12">
        <v>638.70834195818679</v>
      </c>
      <c r="P879" s="13"/>
      <c r="Q879" s="14">
        <v>2025</v>
      </c>
      <c r="R879" s="15">
        <v>45474</v>
      </c>
      <c r="S879" s="11" t="s">
        <v>433</v>
      </c>
      <c r="T879" s="16">
        <v>0</v>
      </c>
      <c r="U879" s="17"/>
      <c r="V879" s="12">
        <v>925.62285241150903</v>
      </c>
      <c r="W879" s="12">
        <v>925.62285241150903</v>
      </c>
      <c r="X879" s="12">
        <v>0</v>
      </c>
      <c r="Y879" s="18">
        <v>45859</v>
      </c>
      <c r="Z879" s="13" t="s">
        <v>39</v>
      </c>
      <c r="AA879" s="19" t="s">
        <v>361</v>
      </c>
      <c r="AB879" s="13" t="s">
        <v>394</v>
      </c>
      <c r="AC879" s="13" t="s">
        <v>374</v>
      </c>
      <c r="AD879" s="20"/>
      <c r="AE879" s="20"/>
      <c r="AF879" s="13" t="s">
        <v>40</v>
      </c>
      <c r="AG879" s="15">
        <v>45474</v>
      </c>
      <c r="AH879" s="13" t="s">
        <v>41</v>
      </c>
      <c r="AI879" s="13" t="s">
        <v>47</v>
      </c>
      <c r="AJ879" s="13" t="s">
        <v>434</v>
      </c>
      <c r="AK879" s="14">
        <v>-2</v>
      </c>
      <c r="AL879" s="17"/>
      <c r="AM879" s="17"/>
      <c r="AN879" s="17"/>
      <c r="AO879" s="17"/>
      <c r="AP879" s="17"/>
      <c r="AQ879" s="17"/>
      <c r="AR879" s="17"/>
      <c r="AS879" s="17"/>
      <c r="AT879" s="17"/>
      <c r="AU879" s="17"/>
      <c r="AV879" s="17"/>
    </row>
    <row r="880" spans="1:48" ht="15.75" customHeight="1">
      <c r="A880" s="21" t="s">
        <v>53</v>
      </c>
      <c r="B880" s="23" t="s">
        <v>1692</v>
      </c>
      <c r="C880" s="22">
        <v>45860</v>
      </c>
      <c r="D880" s="23" t="s">
        <v>431</v>
      </c>
      <c r="E880" s="23" t="s">
        <v>192</v>
      </c>
      <c r="F880" s="28">
        <v>3</v>
      </c>
      <c r="G880" s="12">
        <v>15989.989015725587</v>
      </c>
      <c r="H880" s="12">
        <v>47969.96704717676</v>
      </c>
      <c r="I880" s="23" t="s">
        <v>52</v>
      </c>
      <c r="J880" s="23" t="s">
        <v>61</v>
      </c>
      <c r="K880" s="24" t="s">
        <v>86</v>
      </c>
      <c r="L880" s="24">
        <v>94</v>
      </c>
      <c r="M880" s="12">
        <v>13436.965559433267</v>
      </c>
      <c r="N880" s="12">
        <v>40310.896678299803</v>
      </c>
      <c r="O880" s="12">
        <v>7659.0703688769572</v>
      </c>
      <c r="P880" s="13"/>
      <c r="Q880" s="14">
        <v>2025</v>
      </c>
      <c r="R880" s="15">
        <v>45474</v>
      </c>
      <c r="S880" s="11" t="s">
        <v>435</v>
      </c>
      <c r="T880" s="16">
        <v>0</v>
      </c>
      <c r="U880" s="17"/>
      <c r="V880" s="12">
        <v>11318.896678299801</v>
      </c>
      <c r="W880" s="12">
        <v>11318.896678299801</v>
      </c>
      <c r="X880" s="12">
        <v>0</v>
      </c>
      <c r="Y880" s="18">
        <v>45859</v>
      </c>
      <c r="Z880" s="13" t="s">
        <v>39</v>
      </c>
      <c r="AA880" s="19" t="s">
        <v>361</v>
      </c>
      <c r="AB880" s="13" t="s">
        <v>394</v>
      </c>
      <c r="AC880" s="13" t="s">
        <v>374</v>
      </c>
      <c r="AD880" s="20"/>
      <c r="AE880" s="20"/>
      <c r="AF880" s="13" t="s">
        <v>40</v>
      </c>
      <c r="AG880" s="15">
        <v>45474</v>
      </c>
      <c r="AH880" s="13" t="s">
        <v>41</v>
      </c>
      <c r="AI880" s="13" t="s">
        <v>53</v>
      </c>
      <c r="AJ880" s="13" t="s">
        <v>436</v>
      </c>
      <c r="AK880" s="14">
        <v>-24</v>
      </c>
      <c r="AL880" s="17"/>
      <c r="AM880" s="17"/>
      <c r="AN880" s="17"/>
      <c r="AO880" s="17"/>
      <c r="AP880" s="17"/>
      <c r="AQ880" s="17"/>
      <c r="AR880" s="17"/>
      <c r="AS880" s="17"/>
      <c r="AT880" s="17"/>
      <c r="AU880" s="17"/>
      <c r="AV880" s="17"/>
    </row>
    <row r="881" spans="1:48" ht="15.75" customHeight="1">
      <c r="A881" s="21" t="s">
        <v>53</v>
      </c>
      <c r="B881" s="23" t="s">
        <v>1692</v>
      </c>
      <c r="C881" s="22">
        <v>45860</v>
      </c>
      <c r="D881" s="23" t="s">
        <v>431</v>
      </c>
      <c r="E881" s="29" t="s">
        <v>320</v>
      </c>
      <c r="F881" s="28">
        <v>1</v>
      </c>
      <c r="G881" s="12">
        <v>6999.7727641616621</v>
      </c>
      <c r="H881" s="12">
        <v>6999.7727641616621</v>
      </c>
      <c r="I881" s="23" t="s">
        <v>52</v>
      </c>
      <c r="J881" s="23" t="s">
        <v>61</v>
      </c>
      <c r="K881" s="24" t="s">
        <v>86</v>
      </c>
      <c r="L881" s="24">
        <v>94</v>
      </c>
      <c r="M881" s="12">
        <v>5882.161986690473</v>
      </c>
      <c r="N881" s="12">
        <v>5882.161986690473</v>
      </c>
      <c r="O881" s="12">
        <v>1117.6107774711891</v>
      </c>
      <c r="P881" s="13"/>
      <c r="Q881" s="14">
        <v>2025</v>
      </c>
      <c r="R881" s="15">
        <v>45474</v>
      </c>
      <c r="S881" s="11" t="s">
        <v>435</v>
      </c>
      <c r="T881" s="16">
        <v>0</v>
      </c>
      <c r="U881" s="17"/>
      <c r="V881" s="12">
        <v>2258.1619866904721</v>
      </c>
      <c r="W881" s="12">
        <v>2258.1619866904721</v>
      </c>
      <c r="X881" s="12">
        <v>0</v>
      </c>
      <c r="Y881" s="18">
        <v>45859</v>
      </c>
      <c r="Z881" s="13" t="s">
        <v>39</v>
      </c>
      <c r="AA881" s="19" t="s">
        <v>361</v>
      </c>
      <c r="AB881" s="13" t="s">
        <v>394</v>
      </c>
      <c r="AC881" s="13" t="s">
        <v>374</v>
      </c>
      <c r="AD881" s="20"/>
      <c r="AE881" s="20"/>
      <c r="AF881" s="13" t="s">
        <v>40</v>
      </c>
      <c r="AG881" s="15">
        <v>45474</v>
      </c>
      <c r="AH881" s="13" t="s">
        <v>41</v>
      </c>
      <c r="AI881" s="13" t="s">
        <v>53</v>
      </c>
      <c r="AJ881" s="13" t="s">
        <v>436</v>
      </c>
      <c r="AK881" s="14">
        <v>-3</v>
      </c>
      <c r="AL881" s="17"/>
      <c r="AM881" s="17"/>
      <c r="AN881" s="17"/>
      <c r="AO881" s="17"/>
      <c r="AP881" s="17"/>
      <c r="AQ881" s="17"/>
      <c r="AR881" s="17"/>
      <c r="AS881" s="17"/>
      <c r="AT881" s="17"/>
      <c r="AU881" s="17"/>
      <c r="AV881" s="17"/>
    </row>
    <row r="882" spans="1:48" ht="15.75" customHeight="1">
      <c r="A882" s="21" t="s">
        <v>53</v>
      </c>
      <c r="B882" s="23" t="s">
        <v>1692</v>
      </c>
      <c r="C882" s="22">
        <v>45860</v>
      </c>
      <c r="D882" s="23" t="s">
        <v>431</v>
      </c>
      <c r="E882" s="23" t="s">
        <v>162</v>
      </c>
      <c r="F882" s="28">
        <v>6</v>
      </c>
      <c r="G882" s="12">
        <v>9500.0304006809747</v>
      </c>
      <c r="H882" s="12">
        <v>57000.182404085848</v>
      </c>
      <c r="I882" s="23" t="s">
        <v>52</v>
      </c>
      <c r="J882" s="23" t="s">
        <v>61</v>
      </c>
      <c r="K882" s="24" t="s">
        <v>86</v>
      </c>
      <c r="L882" s="24">
        <v>94</v>
      </c>
      <c r="M882" s="12">
        <v>7983.2188241016602</v>
      </c>
      <c r="N882" s="12">
        <v>47899.312944609956</v>
      </c>
      <c r="O882" s="12">
        <v>9100.8694594758927</v>
      </c>
      <c r="P882" s="13"/>
      <c r="Q882" s="14">
        <v>2025</v>
      </c>
      <c r="R882" s="15">
        <v>45474</v>
      </c>
      <c r="S882" s="11" t="s">
        <v>437</v>
      </c>
      <c r="T882" s="16">
        <v>0</v>
      </c>
      <c r="U882" s="17"/>
      <c r="V882" s="12">
        <v>16387.312944609956</v>
      </c>
      <c r="W882" s="12">
        <v>16387.312944609956</v>
      </c>
      <c r="X882" s="12">
        <v>0</v>
      </c>
      <c r="Y882" s="18">
        <v>45859</v>
      </c>
      <c r="Z882" s="13" t="s">
        <v>39</v>
      </c>
      <c r="AA882" s="19" t="s">
        <v>361</v>
      </c>
      <c r="AB882" s="13" t="s">
        <v>394</v>
      </c>
      <c r="AC882" s="13" t="s">
        <v>374</v>
      </c>
      <c r="AD882" s="20"/>
      <c r="AE882" s="20"/>
      <c r="AF882" s="13" t="s">
        <v>40</v>
      </c>
      <c r="AG882" s="15">
        <v>45474</v>
      </c>
      <c r="AH882" s="13" t="s">
        <v>41</v>
      </c>
      <c r="AI882" s="13" t="s">
        <v>53</v>
      </c>
      <c r="AJ882" s="13" t="s">
        <v>438</v>
      </c>
      <c r="AK882" s="14">
        <v>-6</v>
      </c>
      <c r="AL882" s="17"/>
      <c r="AM882" s="17"/>
      <c r="AN882" s="17"/>
      <c r="AO882" s="17"/>
      <c r="AP882" s="17"/>
      <c r="AQ882" s="17"/>
      <c r="AR882" s="17"/>
      <c r="AS882" s="17"/>
      <c r="AT882" s="17"/>
      <c r="AU882" s="17"/>
      <c r="AV882" s="17"/>
    </row>
    <row r="883" spans="1:48" ht="15.75" customHeight="1">
      <c r="A883" s="21" t="s">
        <v>47</v>
      </c>
      <c r="B883" s="23" t="s">
        <v>1692</v>
      </c>
      <c r="C883" s="22">
        <v>45860</v>
      </c>
      <c r="D883" s="23" t="s">
        <v>431</v>
      </c>
      <c r="E883" s="23" t="s">
        <v>250</v>
      </c>
      <c r="F883" s="28">
        <v>2</v>
      </c>
      <c r="G883" s="12">
        <v>1599.7551360934403</v>
      </c>
      <c r="H883" s="12">
        <v>3199.5102721868807</v>
      </c>
      <c r="I883" s="23" t="s">
        <v>52</v>
      </c>
      <c r="J883" s="23" t="s">
        <v>61</v>
      </c>
      <c r="K883" s="24" t="s">
        <v>86</v>
      </c>
      <c r="L883" s="24">
        <v>94</v>
      </c>
      <c r="M883" s="12">
        <v>1344.3320471373449</v>
      </c>
      <c r="N883" s="12">
        <v>2688.6640942746899</v>
      </c>
      <c r="O883" s="12">
        <v>510.8461779121908</v>
      </c>
      <c r="P883" s="13"/>
      <c r="Q883" s="14">
        <v>2025</v>
      </c>
      <c r="R883" s="15">
        <v>45474</v>
      </c>
      <c r="S883" s="11" t="s">
        <v>439</v>
      </c>
      <c r="T883" s="16">
        <v>0</v>
      </c>
      <c r="U883" s="17"/>
      <c r="V883" s="12">
        <v>1399.5840942746895</v>
      </c>
      <c r="W883" s="12">
        <v>1399.5840942746895</v>
      </c>
      <c r="X883" s="12">
        <v>0</v>
      </c>
      <c r="Y883" s="18">
        <v>45859</v>
      </c>
      <c r="Z883" s="13" t="s">
        <v>39</v>
      </c>
      <c r="AA883" s="19" t="s">
        <v>361</v>
      </c>
      <c r="AB883" s="13" t="s">
        <v>394</v>
      </c>
      <c r="AC883" s="13" t="s">
        <v>374</v>
      </c>
      <c r="AD883" s="20"/>
      <c r="AE883" s="20"/>
      <c r="AF883" s="13" t="s">
        <v>40</v>
      </c>
      <c r="AG883" s="15">
        <v>45474</v>
      </c>
      <c r="AH883" s="13" t="s">
        <v>41</v>
      </c>
      <c r="AI883" s="13" t="s">
        <v>47</v>
      </c>
      <c r="AJ883" s="13" t="s">
        <v>250</v>
      </c>
      <c r="AK883" s="14">
        <v>-2</v>
      </c>
      <c r="AL883" s="17"/>
      <c r="AM883" s="17"/>
      <c r="AN883" s="17"/>
      <c r="AO883" s="17"/>
      <c r="AP883" s="17"/>
      <c r="AQ883" s="17"/>
      <c r="AR883" s="17"/>
      <c r="AS883" s="17"/>
      <c r="AT883" s="17"/>
      <c r="AU883" s="17"/>
      <c r="AV883" s="17"/>
    </row>
    <row r="884" spans="1:48" ht="15.75" customHeight="1">
      <c r="A884" s="21" t="s">
        <v>47</v>
      </c>
      <c r="B884" s="23" t="s">
        <v>1692</v>
      </c>
      <c r="C884" s="22">
        <v>45860</v>
      </c>
      <c r="D884" s="23" t="s">
        <v>431</v>
      </c>
      <c r="E884" s="29" t="s">
        <v>250</v>
      </c>
      <c r="F884" s="28">
        <v>1</v>
      </c>
      <c r="G884" s="12">
        <v>1599.7551360934403</v>
      </c>
      <c r="H884" s="12">
        <v>1599.7551360934403</v>
      </c>
      <c r="I884" s="23" t="s">
        <v>52</v>
      </c>
      <c r="J884" s="23" t="s">
        <v>61</v>
      </c>
      <c r="K884" s="24" t="s">
        <v>86</v>
      </c>
      <c r="L884" s="24">
        <v>94</v>
      </c>
      <c r="M884" s="12">
        <v>1344.3320471373449</v>
      </c>
      <c r="N884" s="12">
        <v>1344.3320471373449</v>
      </c>
      <c r="O884" s="12">
        <v>255.4230889560954</v>
      </c>
      <c r="P884" s="13"/>
      <c r="Q884" s="14">
        <v>2025</v>
      </c>
      <c r="R884" s="15">
        <v>45474</v>
      </c>
      <c r="S884" s="11" t="s">
        <v>439</v>
      </c>
      <c r="T884" s="16">
        <v>0</v>
      </c>
      <c r="U884" s="17"/>
      <c r="V884" s="12">
        <v>699.79204713734475</v>
      </c>
      <c r="W884" s="12">
        <v>699.79204713734475</v>
      </c>
      <c r="X884" s="12">
        <v>0</v>
      </c>
      <c r="Y884" s="18">
        <v>45859</v>
      </c>
      <c r="Z884" s="13" t="s">
        <v>39</v>
      </c>
      <c r="AA884" s="19" t="s">
        <v>361</v>
      </c>
      <c r="AB884" s="13" t="s">
        <v>394</v>
      </c>
      <c r="AC884" s="13" t="s">
        <v>374</v>
      </c>
      <c r="AD884" s="20"/>
      <c r="AE884" s="20"/>
      <c r="AF884" s="13" t="s">
        <v>40</v>
      </c>
      <c r="AG884" s="15">
        <v>45474</v>
      </c>
      <c r="AH884" s="13" t="s">
        <v>41</v>
      </c>
      <c r="AI884" s="13" t="s">
        <v>47</v>
      </c>
      <c r="AJ884" s="13" t="s">
        <v>250</v>
      </c>
      <c r="AK884" s="14">
        <v>-1</v>
      </c>
      <c r="AL884" s="17"/>
      <c r="AM884" s="17"/>
      <c r="AN884" s="17"/>
      <c r="AO884" s="17"/>
      <c r="AP884" s="17"/>
      <c r="AQ884" s="17"/>
      <c r="AR884" s="17"/>
      <c r="AS884" s="17"/>
      <c r="AT884" s="17"/>
      <c r="AU884" s="17"/>
      <c r="AV884" s="17"/>
    </row>
    <row r="885" spans="1:48" ht="15.75" customHeight="1">
      <c r="A885" s="21" t="s">
        <v>47</v>
      </c>
      <c r="B885" s="23" t="s">
        <v>1692</v>
      </c>
      <c r="C885" s="22">
        <v>45860</v>
      </c>
      <c r="D885" s="23" t="s">
        <v>431</v>
      </c>
      <c r="E885" s="23" t="s">
        <v>207</v>
      </c>
      <c r="F885" s="28">
        <v>2</v>
      </c>
      <c r="G885" s="12">
        <v>700.14542079207922</v>
      </c>
      <c r="H885" s="12">
        <v>1400.2908415841584</v>
      </c>
      <c r="I885" s="23" t="s">
        <v>52</v>
      </c>
      <c r="J885" s="23" t="s">
        <v>61</v>
      </c>
      <c r="K885" s="24" t="s">
        <v>86</v>
      </c>
      <c r="L885" s="24">
        <v>94</v>
      </c>
      <c r="M885" s="12">
        <v>588.35749646393219</v>
      </c>
      <c r="N885" s="12">
        <v>1176.7149929278644</v>
      </c>
      <c r="O885" s="12">
        <v>223.57584865629406</v>
      </c>
      <c r="P885" s="13"/>
      <c r="Q885" s="14">
        <v>2025</v>
      </c>
      <c r="R885" s="15">
        <v>45474</v>
      </c>
      <c r="S885" s="11" t="s">
        <v>420</v>
      </c>
      <c r="T885" s="16">
        <v>0</v>
      </c>
      <c r="U885" s="17"/>
      <c r="V885" s="12">
        <v>511.1649929278642</v>
      </c>
      <c r="W885" s="12">
        <v>511.1649929278642</v>
      </c>
      <c r="X885" s="12">
        <v>0</v>
      </c>
      <c r="Y885" s="18">
        <v>45859</v>
      </c>
      <c r="Z885" s="13" t="s">
        <v>39</v>
      </c>
      <c r="AA885" s="19" t="s">
        <v>361</v>
      </c>
      <c r="AB885" s="13" t="s">
        <v>394</v>
      </c>
      <c r="AC885" s="13" t="s">
        <v>374</v>
      </c>
      <c r="AD885" s="20"/>
      <c r="AE885" s="20"/>
      <c r="AF885" s="13" t="s">
        <v>40</v>
      </c>
      <c r="AG885" s="15">
        <v>45474</v>
      </c>
      <c r="AH885" s="13" t="s">
        <v>41</v>
      </c>
      <c r="AI885" s="13" t="s">
        <v>47</v>
      </c>
      <c r="AJ885" s="13" t="s">
        <v>421</v>
      </c>
      <c r="AK885" s="14">
        <v>-2</v>
      </c>
      <c r="AL885" s="17"/>
      <c r="AM885" s="17"/>
      <c r="AN885" s="17"/>
      <c r="AO885" s="17"/>
      <c r="AP885" s="17"/>
      <c r="AQ885" s="17"/>
      <c r="AR885" s="17"/>
      <c r="AS885" s="17"/>
      <c r="AT885" s="17"/>
      <c r="AU885" s="17"/>
      <c r="AV885" s="17"/>
    </row>
    <row r="886" spans="1:48" ht="15.75" customHeight="1">
      <c r="A886" s="21" t="s">
        <v>47</v>
      </c>
      <c r="B886" s="23" t="s">
        <v>1692</v>
      </c>
      <c r="C886" s="22">
        <v>45860</v>
      </c>
      <c r="D886" s="23" t="s">
        <v>431</v>
      </c>
      <c r="E886" s="29" t="s">
        <v>334</v>
      </c>
      <c r="F886" s="28">
        <v>1</v>
      </c>
      <c r="G886" s="12">
        <v>4200.0000000000009</v>
      </c>
      <c r="H886" s="12">
        <v>4200.0000000000009</v>
      </c>
      <c r="I886" s="23" t="s">
        <v>52</v>
      </c>
      <c r="J886" s="23" t="s">
        <v>61</v>
      </c>
      <c r="K886" s="24" t="s">
        <v>86</v>
      </c>
      <c r="L886" s="24">
        <v>94</v>
      </c>
      <c r="M886" s="12">
        <v>3529.4117647058833</v>
      </c>
      <c r="N886" s="12">
        <v>3529.4117647058833</v>
      </c>
      <c r="O886" s="12">
        <v>670.58823529411757</v>
      </c>
      <c r="P886" s="13"/>
      <c r="Q886" s="14">
        <v>2025</v>
      </c>
      <c r="R886" s="15">
        <v>45474</v>
      </c>
      <c r="S886" s="11" t="s">
        <v>440</v>
      </c>
      <c r="T886" s="16">
        <v>0</v>
      </c>
      <c r="U886" s="17"/>
      <c r="V886" s="12">
        <v>1435.4117647058829</v>
      </c>
      <c r="W886" s="12">
        <v>1435.4117647058829</v>
      </c>
      <c r="X886" s="12">
        <v>0</v>
      </c>
      <c r="Y886" s="18">
        <v>45859</v>
      </c>
      <c r="Z886" s="13" t="s">
        <v>39</v>
      </c>
      <c r="AA886" s="19" t="s">
        <v>361</v>
      </c>
      <c r="AB886" s="13" t="s">
        <v>394</v>
      </c>
      <c r="AC886" s="13" t="s">
        <v>374</v>
      </c>
      <c r="AD886" s="20"/>
      <c r="AE886" s="20"/>
      <c r="AF886" s="13" t="s">
        <v>40</v>
      </c>
      <c r="AG886" s="15">
        <v>45474</v>
      </c>
      <c r="AH886" s="13" t="s">
        <v>41</v>
      </c>
      <c r="AI886" s="13" t="s">
        <v>47</v>
      </c>
      <c r="AJ886" s="13" t="s">
        <v>441</v>
      </c>
      <c r="AK886" s="14">
        <v>-3</v>
      </c>
      <c r="AL886" s="17"/>
      <c r="AM886" s="17"/>
      <c r="AN886" s="17"/>
      <c r="AO886" s="17"/>
      <c r="AP886" s="17"/>
      <c r="AQ886" s="17"/>
      <c r="AR886" s="17"/>
      <c r="AS886" s="17"/>
      <c r="AT886" s="17"/>
      <c r="AU886" s="17"/>
      <c r="AV886" s="17"/>
    </row>
    <row r="887" spans="1:48" ht="15.75" customHeight="1">
      <c r="A887" s="21" t="s">
        <v>53</v>
      </c>
      <c r="B887" s="23" t="s">
        <v>1692</v>
      </c>
      <c r="C887" s="22">
        <v>45860</v>
      </c>
      <c r="D887" s="23" t="s">
        <v>431</v>
      </c>
      <c r="E887" s="29" t="s">
        <v>88</v>
      </c>
      <c r="F887" s="28">
        <v>1</v>
      </c>
      <c r="G887" s="12">
        <v>1999.9551032624961</v>
      </c>
      <c r="H887" s="12">
        <v>1999.9551032624961</v>
      </c>
      <c r="I887" s="23" t="s">
        <v>52</v>
      </c>
      <c r="J887" s="23" t="s">
        <v>61</v>
      </c>
      <c r="K887" s="24" t="s">
        <v>86</v>
      </c>
      <c r="L887" s="24">
        <v>94</v>
      </c>
      <c r="M887" s="12">
        <v>1680.6345405567195</v>
      </c>
      <c r="N887" s="12">
        <v>1680.6345405567195</v>
      </c>
      <c r="O887" s="12">
        <v>319.32056270577664</v>
      </c>
      <c r="P887" s="13"/>
      <c r="Q887" s="14">
        <v>2025</v>
      </c>
      <c r="R887" s="15">
        <v>45474</v>
      </c>
      <c r="S887" s="11" t="s">
        <v>410</v>
      </c>
      <c r="T887" s="16">
        <v>0</v>
      </c>
      <c r="U887" s="17"/>
      <c r="V887" s="12">
        <v>557.63454055671946</v>
      </c>
      <c r="W887" s="12">
        <v>557.63454055671946</v>
      </c>
      <c r="X887" s="12">
        <v>0</v>
      </c>
      <c r="Y887" s="18">
        <v>45859</v>
      </c>
      <c r="Z887" s="13" t="s">
        <v>39</v>
      </c>
      <c r="AA887" s="19" t="s">
        <v>361</v>
      </c>
      <c r="AB887" s="13" t="s">
        <v>394</v>
      </c>
      <c r="AC887" s="13" t="s">
        <v>374</v>
      </c>
      <c r="AD887" s="20"/>
      <c r="AE887" s="20"/>
      <c r="AF887" s="13" t="s">
        <v>40</v>
      </c>
      <c r="AG887" s="15">
        <v>45474</v>
      </c>
      <c r="AH887" s="13" t="s">
        <v>41</v>
      </c>
      <c r="AI887" s="13" t="s">
        <v>53</v>
      </c>
      <c r="AJ887" s="13" t="s">
        <v>411</v>
      </c>
      <c r="AK887" s="14">
        <v>-1</v>
      </c>
      <c r="AL887" s="17"/>
      <c r="AM887" s="17"/>
      <c r="AN887" s="17"/>
      <c r="AO887" s="17"/>
      <c r="AP887" s="17"/>
      <c r="AQ887" s="17"/>
      <c r="AR887" s="17"/>
      <c r="AS887" s="17"/>
      <c r="AT887" s="17"/>
      <c r="AU887" s="17"/>
      <c r="AV887" s="17"/>
    </row>
    <row r="888" spans="1:48" ht="15.75" customHeight="1">
      <c r="A888" s="21" t="s">
        <v>53</v>
      </c>
      <c r="B888" s="23" t="s">
        <v>1692</v>
      </c>
      <c r="C888" s="22">
        <v>45860</v>
      </c>
      <c r="D888" s="23" t="s">
        <v>431</v>
      </c>
      <c r="E888" s="29" t="s">
        <v>69</v>
      </c>
      <c r="F888" s="28">
        <v>1</v>
      </c>
      <c r="G888" s="12">
        <v>2999.9553810458683</v>
      </c>
      <c r="H888" s="12">
        <v>2999.9553810458683</v>
      </c>
      <c r="I888" s="23" t="s">
        <v>52</v>
      </c>
      <c r="J888" s="23" t="s">
        <v>61</v>
      </c>
      <c r="K888" s="24" t="s">
        <v>86</v>
      </c>
      <c r="L888" s="24">
        <v>94</v>
      </c>
      <c r="M888" s="12">
        <v>2520.9709084419064</v>
      </c>
      <c r="N888" s="12">
        <v>2520.9709084419064</v>
      </c>
      <c r="O888" s="12">
        <v>478.98447260396188</v>
      </c>
      <c r="P888" s="13"/>
      <c r="Q888" s="14">
        <v>2025</v>
      </c>
      <c r="R888" s="15">
        <v>45474</v>
      </c>
      <c r="S888" s="11" t="s">
        <v>376</v>
      </c>
      <c r="T888" s="16">
        <v>0</v>
      </c>
      <c r="U888" s="17"/>
      <c r="V888" s="12">
        <v>825.97090844190598</v>
      </c>
      <c r="W888" s="12">
        <v>825.97090844190598</v>
      </c>
      <c r="X888" s="12">
        <v>0</v>
      </c>
      <c r="Y888" s="18">
        <v>45859</v>
      </c>
      <c r="Z888" s="13" t="s">
        <v>39</v>
      </c>
      <c r="AA888" s="19" t="s">
        <v>361</v>
      </c>
      <c r="AB888" s="13" t="s">
        <v>394</v>
      </c>
      <c r="AC888" s="13" t="s">
        <v>374</v>
      </c>
      <c r="AD888" s="20"/>
      <c r="AE888" s="20"/>
      <c r="AF888" s="13" t="s">
        <v>40</v>
      </c>
      <c r="AG888" s="15">
        <v>45474</v>
      </c>
      <c r="AH888" s="13" t="s">
        <v>41</v>
      </c>
      <c r="AI888" s="13" t="s">
        <v>53</v>
      </c>
      <c r="AJ888" s="13" t="s">
        <v>377</v>
      </c>
      <c r="AK888" s="14">
        <v>-1</v>
      </c>
      <c r="AL888" s="17"/>
      <c r="AM888" s="17"/>
      <c r="AN888" s="17"/>
      <c r="AO888" s="17"/>
      <c r="AP888" s="17"/>
      <c r="AQ888" s="17"/>
      <c r="AR888" s="17"/>
      <c r="AS888" s="17"/>
      <c r="AT888" s="17"/>
      <c r="AU888" s="17"/>
      <c r="AV888" s="17"/>
    </row>
    <row r="889" spans="1:48" ht="15.75" customHeight="1">
      <c r="A889" s="21" t="s">
        <v>53</v>
      </c>
      <c r="B889" s="23" t="s">
        <v>1692</v>
      </c>
      <c r="C889" s="22">
        <v>45860</v>
      </c>
      <c r="D889" s="23" t="s">
        <v>431</v>
      </c>
      <c r="E889" s="29" t="s">
        <v>150</v>
      </c>
      <c r="F889" s="28">
        <v>1</v>
      </c>
      <c r="G889" s="12">
        <v>1799.8965445892823</v>
      </c>
      <c r="H889" s="12">
        <v>1799.8965445892823</v>
      </c>
      <c r="I889" s="23" t="s">
        <v>52</v>
      </c>
      <c r="J889" s="23" t="s">
        <v>61</v>
      </c>
      <c r="K889" s="24" t="s">
        <v>86</v>
      </c>
      <c r="L889" s="24">
        <v>94</v>
      </c>
      <c r="M889" s="12">
        <v>1512.518104696876</v>
      </c>
      <c r="N889" s="12">
        <v>1512.518104696876</v>
      </c>
      <c r="O889" s="12">
        <v>287.37843989240628</v>
      </c>
      <c r="P889" s="13"/>
      <c r="Q889" s="14">
        <v>2025</v>
      </c>
      <c r="R889" s="15">
        <v>45474</v>
      </c>
      <c r="S889" s="11" t="s">
        <v>381</v>
      </c>
      <c r="T889" s="16">
        <v>300</v>
      </c>
      <c r="U889" s="17"/>
      <c r="V889" s="12">
        <v>781.51810469687575</v>
      </c>
      <c r="W889" s="12">
        <v>781.51810469687575</v>
      </c>
      <c r="X889" s="12">
        <v>0</v>
      </c>
      <c r="Y889" s="18">
        <v>45859</v>
      </c>
      <c r="Z889" s="13" t="s">
        <v>39</v>
      </c>
      <c r="AA889" s="19" t="s">
        <v>361</v>
      </c>
      <c r="AB889" s="13" t="s">
        <v>394</v>
      </c>
      <c r="AC889" s="13" t="s">
        <v>374</v>
      </c>
      <c r="AD889" s="20"/>
      <c r="AE889" s="20"/>
      <c r="AF889" s="13" t="s">
        <v>40</v>
      </c>
      <c r="AG889" s="15">
        <v>45474</v>
      </c>
      <c r="AH889" s="13" t="s">
        <v>41</v>
      </c>
      <c r="AI889" s="13" t="s">
        <v>53</v>
      </c>
      <c r="AJ889" s="13" t="s">
        <v>382</v>
      </c>
      <c r="AK889" s="14">
        <v>-1</v>
      </c>
      <c r="AL889" s="17"/>
      <c r="AM889" s="17"/>
      <c r="AN889" s="17"/>
      <c r="AO889" s="17"/>
      <c r="AP889" s="17"/>
      <c r="AQ889" s="17"/>
      <c r="AR889" s="17"/>
      <c r="AS889" s="17"/>
      <c r="AT889" s="17"/>
      <c r="AU889" s="17"/>
      <c r="AV889" s="17"/>
    </row>
    <row r="890" spans="1:48" ht="15.75" customHeight="1">
      <c r="A890" s="21" t="s">
        <v>47</v>
      </c>
      <c r="B890" s="23" t="s">
        <v>1692</v>
      </c>
      <c r="C890" s="22">
        <v>45860</v>
      </c>
      <c r="D890" s="23" t="s">
        <v>431</v>
      </c>
      <c r="E890" s="23" t="s">
        <v>194</v>
      </c>
      <c r="F890" s="28">
        <v>1</v>
      </c>
      <c r="G890" s="12">
        <v>2400</v>
      </c>
      <c r="H890" s="12">
        <v>2400</v>
      </c>
      <c r="I890" s="23" t="s">
        <v>52</v>
      </c>
      <c r="J890" s="23" t="s">
        <v>61</v>
      </c>
      <c r="K890" s="24" t="s">
        <v>86</v>
      </c>
      <c r="L890" s="24">
        <v>94</v>
      </c>
      <c r="M890" s="12">
        <v>2016.8067226890757</v>
      </c>
      <c r="N890" s="12">
        <v>2016.8067226890757</v>
      </c>
      <c r="O890" s="12">
        <v>383.19327731092426</v>
      </c>
      <c r="P890" s="13"/>
      <c r="Q890" s="14">
        <v>2025</v>
      </c>
      <c r="R890" s="15">
        <v>45474</v>
      </c>
      <c r="S890" s="11" t="s">
        <v>442</v>
      </c>
      <c r="T890" s="16">
        <v>0</v>
      </c>
      <c r="U890" s="17"/>
      <c r="V890" s="12">
        <v>959.6638655462184</v>
      </c>
      <c r="W890" s="12">
        <v>959.6638655462184</v>
      </c>
      <c r="X890" s="12">
        <v>0</v>
      </c>
      <c r="Y890" s="18">
        <v>45859</v>
      </c>
      <c r="Z890" s="13" t="s">
        <v>39</v>
      </c>
      <c r="AA890" s="19" t="s">
        <v>361</v>
      </c>
      <c r="AB890" s="13" t="s">
        <v>394</v>
      </c>
      <c r="AC890" s="13" t="s">
        <v>374</v>
      </c>
      <c r="AD890" s="20"/>
      <c r="AE890" s="20"/>
      <c r="AF890" s="13" t="s">
        <v>40</v>
      </c>
      <c r="AG890" s="15">
        <v>45474</v>
      </c>
      <c r="AH890" s="13" t="s">
        <v>41</v>
      </c>
      <c r="AI890" s="13" t="s">
        <v>47</v>
      </c>
      <c r="AJ890" s="13" t="s">
        <v>443</v>
      </c>
      <c r="AK890" s="14">
        <v>-1</v>
      </c>
      <c r="AL890" s="17"/>
      <c r="AM890" s="17"/>
      <c r="AN890" s="17"/>
      <c r="AO890" s="17"/>
      <c r="AP890" s="17"/>
      <c r="AQ890" s="17"/>
      <c r="AR890" s="17"/>
      <c r="AS890" s="17"/>
      <c r="AT890" s="17"/>
      <c r="AU890" s="17"/>
      <c r="AV890" s="17"/>
    </row>
    <row r="891" spans="1:48" ht="15.75" customHeight="1">
      <c r="A891" s="21" t="s">
        <v>76</v>
      </c>
      <c r="B891" s="23" t="s">
        <v>1692</v>
      </c>
      <c r="C891" s="22">
        <v>45860</v>
      </c>
      <c r="D891" s="23" t="s">
        <v>431</v>
      </c>
      <c r="E891" s="29" t="s">
        <v>185</v>
      </c>
      <c r="F891" s="28">
        <v>1</v>
      </c>
      <c r="G891" s="12">
        <v>3200.1383843625663</v>
      </c>
      <c r="H891" s="12">
        <v>3200.1383843625663</v>
      </c>
      <c r="I891" s="23" t="s">
        <v>52</v>
      </c>
      <c r="J891" s="23" t="s">
        <v>61</v>
      </c>
      <c r="K891" s="24" t="s">
        <v>86</v>
      </c>
      <c r="L891" s="24">
        <v>94</v>
      </c>
      <c r="M891" s="12">
        <v>2689.1919196324088</v>
      </c>
      <c r="N891" s="12">
        <v>2689.1919196324088</v>
      </c>
      <c r="O891" s="12">
        <v>510.94646473015746</v>
      </c>
      <c r="P891" s="13"/>
      <c r="Q891" s="14">
        <v>2025</v>
      </c>
      <c r="R891" s="15">
        <v>45474</v>
      </c>
      <c r="S891" s="11" t="s">
        <v>444</v>
      </c>
      <c r="T891" s="16">
        <v>5</v>
      </c>
      <c r="U891" s="17"/>
      <c r="V891" s="12">
        <v>1134.570070892913</v>
      </c>
      <c r="W891" s="12">
        <v>1134.570070892913</v>
      </c>
      <c r="X891" s="12">
        <v>0</v>
      </c>
      <c r="Y891" s="18">
        <v>45859</v>
      </c>
      <c r="Z891" s="13" t="s">
        <v>39</v>
      </c>
      <c r="AA891" s="19" t="s">
        <v>361</v>
      </c>
      <c r="AB891" s="13" t="s">
        <v>394</v>
      </c>
      <c r="AC891" s="13" t="s">
        <v>374</v>
      </c>
      <c r="AD891" s="20"/>
      <c r="AE891" s="20"/>
      <c r="AF891" s="13" t="s">
        <v>40</v>
      </c>
      <c r="AG891" s="15">
        <v>45474</v>
      </c>
      <c r="AH891" s="13" t="s">
        <v>41</v>
      </c>
      <c r="AI891" s="13" t="s">
        <v>76</v>
      </c>
      <c r="AJ891" s="13" t="s">
        <v>445</v>
      </c>
      <c r="AK891" s="14">
        <v>-1</v>
      </c>
      <c r="AL891" s="17"/>
      <c r="AM891" s="17"/>
      <c r="AN891" s="17"/>
      <c r="AO891" s="17"/>
      <c r="AP891" s="17"/>
      <c r="AQ891" s="17"/>
      <c r="AR891" s="17"/>
      <c r="AS891" s="17"/>
      <c r="AT891" s="17"/>
      <c r="AU891" s="17"/>
      <c r="AV891" s="17"/>
    </row>
    <row r="892" spans="1:48" ht="15.75" customHeight="1">
      <c r="A892" s="21" t="s">
        <v>76</v>
      </c>
      <c r="B892" s="23" t="s">
        <v>1692</v>
      </c>
      <c r="C892" s="22">
        <v>45860</v>
      </c>
      <c r="D892" s="23" t="s">
        <v>431</v>
      </c>
      <c r="E892" s="29" t="s">
        <v>137</v>
      </c>
      <c r="F892" s="28">
        <v>1</v>
      </c>
      <c r="G892" s="12">
        <v>3500.0000000000005</v>
      </c>
      <c r="H892" s="12">
        <v>3500.0000000000005</v>
      </c>
      <c r="I892" s="23" t="s">
        <v>52</v>
      </c>
      <c r="J892" s="23" t="s">
        <v>61</v>
      </c>
      <c r="K892" s="24" t="s">
        <v>86</v>
      </c>
      <c r="L892" s="24">
        <v>94</v>
      </c>
      <c r="M892" s="12">
        <v>2941.1764705882356</v>
      </c>
      <c r="N892" s="12">
        <v>2941.1764705882356</v>
      </c>
      <c r="O892" s="12">
        <v>558.82352941176487</v>
      </c>
      <c r="P892" s="13"/>
      <c r="Q892" s="14">
        <v>2025</v>
      </c>
      <c r="R892" s="15">
        <v>45474</v>
      </c>
      <c r="S892" s="11" t="s">
        <v>406</v>
      </c>
      <c r="T892" s="16">
        <v>5</v>
      </c>
      <c r="U892" s="17"/>
      <c r="V892" s="12">
        <v>848.73949579831969</v>
      </c>
      <c r="W892" s="12">
        <v>848.73949579831969</v>
      </c>
      <c r="X892" s="12">
        <v>0</v>
      </c>
      <c r="Y892" s="18">
        <v>45859</v>
      </c>
      <c r="Z892" s="13" t="s">
        <v>39</v>
      </c>
      <c r="AA892" s="19" t="s">
        <v>361</v>
      </c>
      <c r="AB892" s="13" t="s">
        <v>394</v>
      </c>
      <c r="AC892" s="13" t="s">
        <v>374</v>
      </c>
      <c r="AD892" s="20"/>
      <c r="AE892" s="20"/>
      <c r="AF892" s="13" t="s">
        <v>40</v>
      </c>
      <c r="AG892" s="15">
        <v>45474</v>
      </c>
      <c r="AH892" s="13" t="s">
        <v>41</v>
      </c>
      <c r="AI892" s="13" t="s">
        <v>76</v>
      </c>
      <c r="AJ892" s="13" t="s">
        <v>407</v>
      </c>
      <c r="AK892" s="14">
        <v>-1</v>
      </c>
      <c r="AL892" s="17"/>
      <c r="AM892" s="17"/>
      <c r="AN892" s="17"/>
      <c r="AO892" s="17"/>
      <c r="AP892" s="17"/>
      <c r="AQ892" s="17"/>
      <c r="AR892" s="17"/>
      <c r="AS892" s="17"/>
      <c r="AT892" s="17"/>
      <c r="AU892" s="17"/>
      <c r="AV892" s="17"/>
    </row>
    <row r="893" spans="1:48" ht="15.75" customHeight="1">
      <c r="A893" s="21" t="s">
        <v>76</v>
      </c>
      <c r="B893" s="23" t="s">
        <v>1692</v>
      </c>
      <c r="C893" s="22">
        <v>45860</v>
      </c>
      <c r="D893" s="23" t="s">
        <v>431</v>
      </c>
      <c r="E893" s="29" t="s">
        <v>212</v>
      </c>
      <c r="F893" s="28">
        <v>1</v>
      </c>
      <c r="G893" s="12">
        <v>3000.0000000000005</v>
      </c>
      <c r="H893" s="12">
        <v>3000.0000000000005</v>
      </c>
      <c r="I893" s="23" t="s">
        <v>52</v>
      </c>
      <c r="J893" s="23" t="s">
        <v>61</v>
      </c>
      <c r="K893" s="24" t="s">
        <v>86</v>
      </c>
      <c r="L893" s="24">
        <v>94</v>
      </c>
      <c r="M893" s="12">
        <v>2521.0084033613452</v>
      </c>
      <c r="N893" s="12">
        <v>2521.0084033613452</v>
      </c>
      <c r="O893" s="12">
        <v>478.99159663865521</v>
      </c>
      <c r="P893" s="13"/>
      <c r="Q893" s="14">
        <v>2025</v>
      </c>
      <c r="R893" s="15">
        <v>45474</v>
      </c>
      <c r="S893" s="11" t="s">
        <v>446</v>
      </c>
      <c r="T893" s="16">
        <v>5</v>
      </c>
      <c r="U893" s="17"/>
      <c r="V893" s="12">
        <v>764.70588235294144</v>
      </c>
      <c r="W893" s="12">
        <v>764.70588235294144</v>
      </c>
      <c r="X893" s="12">
        <v>0</v>
      </c>
      <c r="Y893" s="18">
        <v>45859</v>
      </c>
      <c r="Z893" s="13" t="s">
        <v>39</v>
      </c>
      <c r="AA893" s="19" t="s">
        <v>361</v>
      </c>
      <c r="AB893" s="13" t="s">
        <v>394</v>
      </c>
      <c r="AC893" s="13" t="s">
        <v>374</v>
      </c>
      <c r="AD893" s="20"/>
      <c r="AE893" s="20"/>
      <c r="AF893" s="13" t="s">
        <v>40</v>
      </c>
      <c r="AG893" s="15">
        <v>45474</v>
      </c>
      <c r="AH893" s="13" t="s">
        <v>41</v>
      </c>
      <c r="AI893" s="13" t="s">
        <v>76</v>
      </c>
      <c r="AJ893" s="13" t="s">
        <v>447</v>
      </c>
      <c r="AK893" s="14">
        <v>-1</v>
      </c>
      <c r="AL893" s="17"/>
      <c r="AM893" s="17"/>
      <c r="AN893" s="17"/>
      <c r="AO893" s="17"/>
      <c r="AP893" s="17"/>
      <c r="AQ893" s="17"/>
      <c r="AR893" s="17"/>
      <c r="AS893" s="17"/>
      <c r="AT893" s="17"/>
      <c r="AU893" s="17"/>
      <c r="AV893" s="17"/>
    </row>
    <row r="894" spans="1:48" ht="15.75" customHeight="1">
      <c r="A894" s="21" t="s">
        <v>76</v>
      </c>
      <c r="B894" s="23" t="s">
        <v>1692</v>
      </c>
      <c r="C894" s="22">
        <v>45860</v>
      </c>
      <c r="D894" s="23" t="s">
        <v>431</v>
      </c>
      <c r="E894" s="29" t="s">
        <v>166</v>
      </c>
      <c r="F894" s="28">
        <v>1</v>
      </c>
      <c r="G894" s="12">
        <v>3500.0000000000005</v>
      </c>
      <c r="H894" s="12">
        <v>3500.0000000000005</v>
      </c>
      <c r="I894" s="23" t="s">
        <v>52</v>
      </c>
      <c r="J894" s="23" t="s">
        <v>61</v>
      </c>
      <c r="K894" s="24" t="s">
        <v>86</v>
      </c>
      <c r="L894" s="24">
        <v>94</v>
      </c>
      <c r="M894" s="12">
        <v>2941.1764705882356</v>
      </c>
      <c r="N894" s="12">
        <v>2941.1764705882356</v>
      </c>
      <c r="O894" s="12">
        <v>558.82352941176487</v>
      </c>
      <c r="P894" s="13"/>
      <c r="Q894" s="14">
        <v>2025</v>
      </c>
      <c r="R894" s="15">
        <v>45474</v>
      </c>
      <c r="S894" s="11" t="s">
        <v>448</v>
      </c>
      <c r="T894" s="16">
        <v>5</v>
      </c>
      <c r="U894" s="17"/>
      <c r="V894" s="12">
        <v>1016.8067226890757</v>
      </c>
      <c r="W894" s="12">
        <v>1016.8067226890757</v>
      </c>
      <c r="X894" s="12">
        <v>0</v>
      </c>
      <c r="Y894" s="18">
        <v>45859</v>
      </c>
      <c r="Z894" s="13" t="s">
        <v>39</v>
      </c>
      <c r="AA894" s="19" t="s">
        <v>361</v>
      </c>
      <c r="AB894" s="13" t="s">
        <v>394</v>
      </c>
      <c r="AC894" s="13" t="s">
        <v>374</v>
      </c>
      <c r="AD894" s="20"/>
      <c r="AE894" s="20"/>
      <c r="AF894" s="13" t="s">
        <v>40</v>
      </c>
      <c r="AG894" s="15">
        <v>45474</v>
      </c>
      <c r="AH894" s="13" t="s">
        <v>41</v>
      </c>
      <c r="AI894" s="13" t="s">
        <v>76</v>
      </c>
      <c r="AJ894" s="13" t="s">
        <v>449</v>
      </c>
      <c r="AK894" s="14">
        <v>-1</v>
      </c>
      <c r="AL894" s="17"/>
      <c r="AM894" s="17"/>
      <c r="AN894" s="17"/>
      <c r="AO894" s="17"/>
      <c r="AP894" s="17"/>
      <c r="AQ894" s="17"/>
      <c r="AR894" s="17"/>
      <c r="AS894" s="17"/>
      <c r="AT894" s="17"/>
      <c r="AU894" s="17"/>
      <c r="AV894" s="17"/>
    </row>
    <row r="895" spans="1:48" ht="15.75" customHeight="1">
      <c r="A895" s="21" t="s">
        <v>47</v>
      </c>
      <c r="B895" s="23" t="s">
        <v>1692</v>
      </c>
      <c r="C895" s="22">
        <v>45860</v>
      </c>
      <c r="D895" s="23" t="s">
        <v>431</v>
      </c>
      <c r="E895" s="29" t="s">
        <v>386</v>
      </c>
      <c r="F895" s="28">
        <v>1</v>
      </c>
      <c r="G895" s="12">
        <v>600.45552511415531</v>
      </c>
      <c r="H895" s="12">
        <v>600.45552511415531</v>
      </c>
      <c r="I895" s="23" t="s">
        <v>52</v>
      </c>
      <c r="J895" s="23" t="s">
        <v>61</v>
      </c>
      <c r="K895" s="24" t="s">
        <v>86</v>
      </c>
      <c r="L895" s="24">
        <v>94</v>
      </c>
      <c r="M895" s="12">
        <v>504.58447488584483</v>
      </c>
      <c r="N895" s="12">
        <v>504.58447488584483</v>
      </c>
      <c r="O895" s="12">
        <v>95.87105022831048</v>
      </c>
      <c r="P895" s="13"/>
      <c r="Q895" s="14">
        <v>2025</v>
      </c>
      <c r="R895" s="15">
        <v>45474</v>
      </c>
      <c r="S895" s="11" t="s">
        <v>387</v>
      </c>
      <c r="T895" s="16">
        <v>0</v>
      </c>
      <c r="U895" s="17"/>
      <c r="V895" s="12">
        <v>283.57647488584485</v>
      </c>
      <c r="W895" s="12">
        <v>283.57647488584485</v>
      </c>
      <c r="X895" s="12">
        <v>0</v>
      </c>
      <c r="Y895" s="18">
        <v>45859</v>
      </c>
      <c r="Z895" s="13" t="s">
        <v>39</v>
      </c>
      <c r="AA895" s="19" t="s">
        <v>361</v>
      </c>
      <c r="AB895" s="13" t="s">
        <v>394</v>
      </c>
      <c r="AC895" s="13" t="s">
        <v>374</v>
      </c>
      <c r="AD895" s="20"/>
      <c r="AE895" s="20"/>
      <c r="AF895" s="13" t="s">
        <v>40</v>
      </c>
      <c r="AG895" s="15">
        <v>45474</v>
      </c>
      <c r="AH895" s="13" t="s">
        <v>41</v>
      </c>
      <c r="AI895" s="13" t="s">
        <v>47</v>
      </c>
      <c r="AJ895" s="13" t="s">
        <v>386</v>
      </c>
      <c r="AK895" s="14">
        <v>-1</v>
      </c>
      <c r="AL895" s="17"/>
      <c r="AM895" s="17"/>
      <c r="AN895" s="17"/>
      <c r="AO895" s="17"/>
      <c r="AP895" s="17"/>
      <c r="AQ895" s="17"/>
      <c r="AR895" s="17"/>
      <c r="AS895" s="17"/>
      <c r="AT895" s="17"/>
      <c r="AU895" s="17"/>
      <c r="AV895" s="17"/>
    </row>
    <row r="896" spans="1:48" ht="15.75" customHeight="1">
      <c r="A896" s="21" t="s">
        <v>47</v>
      </c>
      <c r="B896" s="23" t="s">
        <v>1692</v>
      </c>
      <c r="C896" s="22">
        <v>45860</v>
      </c>
      <c r="D896" s="23" t="s">
        <v>431</v>
      </c>
      <c r="E896" s="29" t="s">
        <v>48</v>
      </c>
      <c r="F896" s="28">
        <v>1</v>
      </c>
      <c r="G896" s="12">
        <v>1000</v>
      </c>
      <c r="H896" s="12">
        <v>1000</v>
      </c>
      <c r="I896" s="23" t="s">
        <v>52</v>
      </c>
      <c r="J896" s="23" t="s">
        <v>61</v>
      </c>
      <c r="K896" s="24" t="s">
        <v>86</v>
      </c>
      <c r="L896" s="24">
        <v>94</v>
      </c>
      <c r="M896" s="12">
        <v>840.3361344537816</v>
      </c>
      <c r="N896" s="12">
        <v>840.3361344537816</v>
      </c>
      <c r="O896" s="12">
        <v>159.6638655462184</v>
      </c>
      <c r="P896" s="13"/>
      <c r="Q896" s="14">
        <v>2025</v>
      </c>
      <c r="R896" s="15">
        <v>45474</v>
      </c>
      <c r="S896" s="11" t="s">
        <v>416</v>
      </c>
      <c r="T896" s="16">
        <v>0</v>
      </c>
      <c r="U896" s="17"/>
      <c r="V896" s="12">
        <v>330.33613445378148</v>
      </c>
      <c r="W896" s="12">
        <v>330.33613445378148</v>
      </c>
      <c r="X896" s="12">
        <v>0</v>
      </c>
      <c r="Y896" s="18">
        <v>45859</v>
      </c>
      <c r="Z896" s="13" t="s">
        <v>39</v>
      </c>
      <c r="AA896" s="19" t="s">
        <v>361</v>
      </c>
      <c r="AB896" s="13" t="s">
        <v>394</v>
      </c>
      <c r="AC896" s="13" t="s">
        <v>374</v>
      </c>
      <c r="AD896" s="20"/>
      <c r="AE896" s="20"/>
      <c r="AF896" s="13" t="s">
        <v>40</v>
      </c>
      <c r="AG896" s="15">
        <v>45474</v>
      </c>
      <c r="AH896" s="13" t="s">
        <v>41</v>
      </c>
      <c r="AI896" s="13" t="s">
        <v>47</v>
      </c>
      <c r="AJ896" s="13" t="s">
        <v>417</v>
      </c>
      <c r="AK896" s="14">
        <v>-5</v>
      </c>
      <c r="AL896" s="17"/>
      <c r="AM896" s="17"/>
      <c r="AN896" s="17"/>
      <c r="AO896" s="17"/>
      <c r="AP896" s="17"/>
      <c r="AQ896" s="17"/>
      <c r="AR896" s="17"/>
      <c r="AS896" s="17"/>
      <c r="AT896" s="17"/>
      <c r="AU896" s="17"/>
      <c r="AV896" s="17"/>
    </row>
    <row r="897" spans="1:48" ht="15.75" customHeight="1">
      <c r="A897" s="21" t="s">
        <v>47</v>
      </c>
      <c r="B897" s="23" t="s">
        <v>1692</v>
      </c>
      <c r="C897" s="22">
        <v>45860</v>
      </c>
      <c r="D897" s="23" t="s">
        <v>431</v>
      </c>
      <c r="E897" s="29" t="s">
        <v>450</v>
      </c>
      <c r="F897" s="28">
        <v>1</v>
      </c>
      <c r="G897" s="12">
        <v>1200.0244565217392</v>
      </c>
      <c r="H897" s="12">
        <v>1200.0244565217392</v>
      </c>
      <c r="I897" s="23" t="s">
        <v>52</v>
      </c>
      <c r="J897" s="23" t="s">
        <v>61</v>
      </c>
      <c r="K897" s="24" t="s">
        <v>86</v>
      </c>
      <c r="L897" s="24">
        <v>94</v>
      </c>
      <c r="M897" s="12">
        <v>1008.4239130434784</v>
      </c>
      <c r="N897" s="12">
        <v>1008.4239130434784</v>
      </c>
      <c r="O897" s="12">
        <v>191.60054347826087</v>
      </c>
      <c r="P897" s="13"/>
      <c r="Q897" s="14">
        <v>2025</v>
      </c>
      <c r="R897" s="15">
        <v>45474</v>
      </c>
      <c r="S897" s="11" t="s">
        <v>451</v>
      </c>
      <c r="T897" s="16">
        <v>0</v>
      </c>
      <c r="U897" s="17"/>
      <c r="V897" s="12">
        <v>544.54891304347836</v>
      </c>
      <c r="W897" s="12">
        <v>544.54891304347836</v>
      </c>
      <c r="X897" s="12">
        <v>0</v>
      </c>
      <c r="Y897" s="18">
        <v>45859</v>
      </c>
      <c r="Z897" s="13" t="s">
        <v>39</v>
      </c>
      <c r="AA897" s="19" t="s">
        <v>361</v>
      </c>
      <c r="AB897" s="13" t="s">
        <v>394</v>
      </c>
      <c r="AC897" s="13" t="s">
        <v>374</v>
      </c>
      <c r="AD897" s="20"/>
      <c r="AE897" s="20"/>
      <c r="AF897" s="13" t="s">
        <v>40</v>
      </c>
      <c r="AG897" s="15">
        <v>45474</v>
      </c>
      <c r="AH897" s="13" t="s">
        <v>41</v>
      </c>
      <c r="AI897" s="13" t="s">
        <v>47</v>
      </c>
      <c r="AJ897" s="13" t="s">
        <v>452</v>
      </c>
      <c r="AK897" s="14">
        <v>-1</v>
      </c>
      <c r="AL897" s="17"/>
      <c r="AM897" s="17"/>
      <c r="AN897" s="17"/>
      <c r="AO897" s="17"/>
      <c r="AP897" s="17"/>
      <c r="AQ897" s="17"/>
      <c r="AR897" s="17"/>
      <c r="AS897" s="17"/>
      <c r="AT897" s="17"/>
      <c r="AU897" s="17"/>
      <c r="AV897" s="17"/>
    </row>
    <row r="898" spans="1:48" ht="15.75" customHeight="1">
      <c r="A898" s="21" t="s">
        <v>47</v>
      </c>
      <c r="B898" s="23" t="s">
        <v>1692</v>
      </c>
      <c r="C898" s="22">
        <v>45860</v>
      </c>
      <c r="D898" s="23" t="s">
        <v>431</v>
      </c>
      <c r="E898" s="29" t="s">
        <v>170</v>
      </c>
      <c r="F898" s="28">
        <v>1</v>
      </c>
      <c r="G898" s="12">
        <v>1800.1699716713879</v>
      </c>
      <c r="H898" s="12">
        <v>1800.1699716713879</v>
      </c>
      <c r="I898" s="23" t="s">
        <v>52</v>
      </c>
      <c r="J898" s="23" t="s">
        <v>61</v>
      </c>
      <c r="K898" s="24" t="s">
        <v>86</v>
      </c>
      <c r="L898" s="24">
        <v>94</v>
      </c>
      <c r="M898" s="12">
        <v>1512.7478753541075</v>
      </c>
      <c r="N898" s="12">
        <v>1512.7478753541075</v>
      </c>
      <c r="O898" s="12">
        <v>287.42209631728042</v>
      </c>
      <c r="P898" s="13"/>
      <c r="Q898" s="14">
        <v>2025</v>
      </c>
      <c r="R898" s="15">
        <v>45474</v>
      </c>
      <c r="S898" s="11" t="s">
        <v>453</v>
      </c>
      <c r="T898" s="16">
        <v>0</v>
      </c>
      <c r="U898" s="17"/>
      <c r="V898" s="12">
        <v>711.74787535410746</v>
      </c>
      <c r="W898" s="12">
        <v>711.74787535410746</v>
      </c>
      <c r="X898" s="12">
        <v>0</v>
      </c>
      <c r="Y898" s="18">
        <v>45859</v>
      </c>
      <c r="Z898" s="13" t="s">
        <v>39</v>
      </c>
      <c r="AA898" s="19" t="s">
        <v>361</v>
      </c>
      <c r="AB898" s="13" t="s">
        <v>394</v>
      </c>
      <c r="AC898" s="13" t="s">
        <v>374</v>
      </c>
      <c r="AD898" s="20"/>
      <c r="AE898" s="20"/>
      <c r="AF898" s="13" t="s">
        <v>40</v>
      </c>
      <c r="AG898" s="15">
        <v>45474</v>
      </c>
      <c r="AH898" s="13" t="s">
        <v>41</v>
      </c>
      <c r="AI898" s="13" t="s">
        <v>47</v>
      </c>
      <c r="AJ898" s="13" t="s">
        <v>454</v>
      </c>
      <c r="AK898" s="14">
        <v>-3</v>
      </c>
      <c r="AL898" s="17"/>
      <c r="AM898" s="17"/>
      <c r="AN898" s="17"/>
      <c r="AO898" s="17"/>
      <c r="AP898" s="17"/>
      <c r="AQ898" s="17"/>
      <c r="AR898" s="17"/>
      <c r="AS898" s="17"/>
      <c r="AT898" s="17"/>
      <c r="AU898" s="17"/>
      <c r="AV898" s="17"/>
    </row>
    <row r="899" spans="1:48" ht="15.75" customHeight="1">
      <c r="A899" s="21" t="s">
        <v>53</v>
      </c>
      <c r="B899" s="23" t="s">
        <v>1692</v>
      </c>
      <c r="C899" s="22">
        <v>45859</v>
      </c>
      <c r="D899" s="23" t="s">
        <v>87</v>
      </c>
      <c r="E899" s="23" t="s">
        <v>55</v>
      </c>
      <c r="F899" s="14">
        <v>1</v>
      </c>
      <c r="G899" s="12">
        <v>20899.657134519988</v>
      </c>
      <c r="H899" s="12">
        <v>20899.657134519988</v>
      </c>
      <c r="I899" s="23" t="s">
        <v>52</v>
      </c>
      <c r="J899" s="23" t="s">
        <v>61</v>
      </c>
      <c r="K899" s="24" t="s">
        <v>177</v>
      </c>
      <c r="L899" s="24">
        <v>161</v>
      </c>
      <c r="M899" s="12">
        <v>17562.737087831923</v>
      </c>
      <c r="N899" s="12">
        <v>17562.737087831923</v>
      </c>
      <c r="O899" s="12">
        <v>3336.9200466880648</v>
      </c>
      <c r="P899" s="13"/>
      <c r="Q899" s="14">
        <v>2025</v>
      </c>
      <c r="R899" s="15">
        <v>45474</v>
      </c>
      <c r="S899" s="11" t="s">
        <v>366</v>
      </c>
      <c r="T899" s="16">
        <v>0</v>
      </c>
      <c r="U899" s="17"/>
      <c r="V899" s="12">
        <v>3117.7370878319234</v>
      </c>
      <c r="W899" s="12">
        <v>3117.7370878319234</v>
      </c>
      <c r="X899" s="12">
        <v>0</v>
      </c>
      <c r="Y899" s="18">
        <v>45859</v>
      </c>
      <c r="Z899" s="13" t="s">
        <v>39</v>
      </c>
      <c r="AA899" s="19" t="s">
        <v>361</v>
      </c>
      <c r="AB899" s="13" t="s">
        <v>357</v>
      </c>
      <c r="AC899" s="13" t="s">
        <v>383</v>
      </c>
      <c r="AD899" s="20"/>
      <c r="AE899" s="20"/>
      <c r="AF899" s="13" t="s">
        <v>40</v>
      </c>
      <c r="AG899" s="15">
        <v>45474</v>
      </c>
      <c r="AH899" s="13" t="s">
        <v>41</v>
      </c>
      <c r="AI899" s="13" t="s">
        <v>53</v>
      </c>
      <c r="AJ899" s="13" t="s">
        <v>368</v>
      </c>
      <c r="AK899" s="14">
        <v>-8</v>
      </c>
      <c r="AL899" s="17"/>
      <c r="AM899" s="17"/>
      <c r="AN899" s="17"/>
      <c r="AO899" s="17"/>
      <c r="AP899" s="17"/>
      <c r="AQ899" s="17"/>
      <c r="AR899" s="17"/>
      <c r="AS899" s="17"/>
      <c r="AT899" s="17"/>
      <c r="AU899" s="17"/>
      <c r="AV899" s="17"/>
    </row>
    <row r="900" spans="1:48" ht="15.75" customHeight="1">
      <c r="A900" s="14" t="s">
        <v>35</v>
      </c>
      <c r="B900" s="23" t="s">
        <v>1692</v>
      </c>
      <c r="C900" s="22">
        <v>45859</v>
      </c>
      <c r="D900" s="23" t="s">
        <v>213</v>
      </c>
      <c r="E900" s="23" t="s">
        <v>117</v>
      </c>
      <c r="F900" s="14">
        <v>1</v>
      </c>
      <c r="G900" s="12">
        <v>8999.5678478824557</v>
      </c>
      <c r="H900" s="12">
        <v>8999.5678478824557</v>
      </c>
      <c r="I900" s="23" t="s">
        <v>52</v>
      </c>
      <c r="J900" s="23" t="s">
        <v>61</v>
      </c>
      <c r="K900" s="24" t="s">
        <v>177</v>
      </c>
      <c r="L900" s="24">
        <v>161</v>
      </c>
      <c r="M900" s="12">
        <v>7562.6620570440809</v>
      </c>
      <c r="N900" s="12">
        <v>7562.6620570440809</v>
      </c>
      <c r="O900" s="12">
        <v>1436.9057908383747</v>
      </c>
      <c r="P900" s="13"/>
      <c r="Q900" s="14">
        <v>2025</v>
      </c>
      <c r="R900" s="15">
        <v>45474</v>
      </c>
      <c r="S900" s="11" t="s">
        <v>364</v>
      </c>
      <c r="T900" s="16">
        <v>750</v>
      </c>
      <c r="U900" s="17"/>
      <c r="V900" s="12">
        <v>2312.66205704408</v>
      </c>
      <c r="W900" s="12">
        <v>2312.66205704408</v>
      </c>
      <c r="X900" s="12">
        <v>0</v>
      </c>
      <c r="Y900" s="18">
        <v>45859</v>
      </c>
      <c r="Z900" s="13" t="s">
        <v>39</v>
      </c>
      <c r="AA900" s="19" t="s">
        <v>373</v>
      </c>
      <c r="AB900" s="13" t="s">
        <v>357</v>
      </c>
      <c r="AC900" s="13" t="s">
        <v>374</v>
      </c>
      <c r="AD900" s="20"/>
      <c r="AE900" s="20"/>
      <c r="AF900" s="13" t="s">
        <v>40</v>
      </c>
      <c r="AG900" s="15">
        <v>45474</v>
      </c>
      <c r="AH900" s="13" t="s">
        <v>41</v>
      </c>
      <c r="AI900" s="13" t="s">
        <v>35</v>
      </c>
      <c r="AJ900" s="13" t="s">
        <v>390</v>
      </c>
      <c r="AK900" s="14">
        <v>-0.75</v>
      </c>
      <c r="AL900" s="17"/>
      <c r="AM900" s="17"/>
      <c r="AN900" s="17"/>
      <c r="AO900" s="17"/>
      <c r="AP900" s="17"/>
      <c r="AQ900" s="17"/>
      <c r="AR900" s="17"/>
      <c r="AS900" s="17"/>
      <c r="AT900" s="17"/>
      <c r="AU900" s="17"/>
      <c r="AV900" s="17"/>
    </row>
    <row r="901" spans="1:48" ht="15.75" customHeight="1">
      <c r="A901" s="21" t="s">
        <v>147</v>
      </c>
      <c r="B901" s="23" t="s">
        <v>1692</v>
      </c>
      <c r="C901" s="22">
        <v>45859</v>
      </c>
      <c r="D901" s="23" t="s">
        <v>219</v>
      </c>
      <c r="E901" s="23" t="s">
        <v>296</v>
      </c>
      <c r="F901" s="14">
        <v>1</v>
      </c>
      <c r="G901" s="12">
        <v>6000.0775704921853</v>
      </c>
      <c r="H901" s="12">
        <v>6000.0775704921853</v>
      </c>
      <c r="I901" s="23" t="s">
        <v>52</v>
      </c>
      <c r="J901" s="23" t="s">
        <v>61</v>
      </c>
      <c r="K901" s="24" t="s">
        <v>177</v>
      </c>
      <c r="L901" s="24">
        <v>161</v>
      </c>
      <c r="M901" s="12">
        <v>5042.0819920102404</v>
      </c>
      <c r="N901" s="12">
        <v>5042.0819920102404</v>
      </c>
      <c r="O901" s="12">
        <v>957.9955784819449</v>
      </c>
      <c r="P901" s="13"/>
      <c r="Q901" s="14">
        <v>2025</v>
      </c>
      <c r="R901" s="15">
        <v>45474</v>
      </c>
      <c r="S901" s="11" t="s">
        <v>455</v>
      </c>
      <c r="T901" s="16">
        <v>0</v>
      </c>
      <c r="U901" s="17"/>
      <c r="V901" s="12">
        <v>2442.0819920102394</v>
      </c>
      <c r="W901" s="12">
        <v>2442.0819920102394</v>
      </c>
      <c r="X901" s="12">
        <v>0</v>
      </c>
      <c r="Y901" s="18">
        <v>45859</v>
      </c>
      <c r="Z901" s="13" t="s">
        <v>39</v>
      </c>
      <c r="AA901" s="19" t="s">
        <v>373</v>
      </c>
      <c r="AB901" s="13" t="s">
        <v>357</v>
      </c>
      <c r="AC901" s="13" t="s">
        <v>362</v>
      </c>
      <c r="AD901" s="20"/>
      <c r="AE901" s="20"/>
      <c r="AF901" s="13" t="s">
        <v>40</v>
      </c>
      <c r="AG901" s="15">
        <v>45474</v>
      </c>
      <c r="AH901" s="13" t="s">
        <v>41</v>
      </c>
      <c r="AI901" s="13" t="s">
        <v>147</v>
      </c>
      <c r="AJ901" s="13" t="s">
        <v>455</v>
      </c>
      <c r="AK901" s="14">
        <v>-1</v>
      </c>
      <c r="AL901" s="17"/>
      <c r="AM901" s="17"/>
      <c r="AN901" s="17"/>
      <c r="AO901" s="17"/>
      <c r="AP901" s="17"/>
      <c r="AQ901" s="17"/>
      <c r="AR901" s="17"/>
      <c r="AS901" s="17"/>
      <c r="AT901" s="17"/>
      <c r="AU901" s="17"/>
      <c r="AV901" s="17"/>
    </row>
    <row r="902" spans="1:48" ht="15.75" customHeight="1">
      <c r="A902" s="21" t="s">
        <v>147</v>
      </c>
      <c r="B902" s="23" t="s">
        <v>1692</v>
      </c>
      <c r="C902" s="22">
        <v>45859</v>
      </c>
      <c r="D902" s="23" t="s">
        <v>297</v>
      </c>
      <c r="E902" s="23" t="s">
        <v>257</v>
      </c>
      <c r="F902" s="14">
        <v>1</v>
      </c>
      <c r="G902" s="12">
        <v>4000.0000000000005</v>
      </c>
      <c r="H902" s="12">
        <v>4000.0000000000005</v>
      </c>
      <c r="I902" s="23" t="s">
        <v>52</v>
      </c>
      <c r="J902" s="23" t="s">
        <v>61</v>
      </c>
      <c r="K902" s="24" t="s">
        <v>177</v>
      </c>
      <c r="L902" s="24">
        <v>161</v>
      </c>
      <c r="M902" s="12">
        <v>3361.3445378151264</v>
      </c>
      <c r="N902" s="12">
        <v>3361.3445378151264</v>
      </c>
      <c r="O902" s="12">
        <v>638.65546218487407</v>
      </c>
      <c r="P902" s="13"/>
      <c r="Q902" s="14">
        <v>2025</v>
      </c>
      <c r="R902" s="15">
        <v>45474</v>
      </c>
      <c r="S902" s="11" t="s">
        <v>412</v>
      </c>
      <c r="T902" s="16">
        <v>0</v>
      </c>
      <c r="U902" s="17"/>
      <c r="V902" s="12">
        <v>1680.6722689075632</v>
      </c>
      <c r="W902" s="12">
        <v>1680.6722689075632</v>
      </c>
      <c r="X902" s="12">
        <v>0</v>
      </c>
      <c r="Y902" s="18">
        <v>45859</v>
      </c>
      <c r="Z902" s="13" t="s">
        <v>39</v>
      </c>
      <c r="AA902" s="19" t="s">
        <v>373</v>
      </c>
      <c r="AB902" s="13" t="s">
        <v>357</v>
      </c>
      <c r="AC902" s="13" t="s">
        <v>383</v>
      </c>
      <c r="AD902" s="20"/>
      <c r="AE902" s="20"/>
      <c r="AF902" s="13" t="s">
        <v>40</v>
      </c>
      <c r="AG902" s="15">
        <v>45474</v>
      </c>
      <c r="AH902" s="13" t="s">
        <v>41</v>
      </c>
      <c r="AI902" s="13" t="s">
        <v>147</v>
      </c>
      <c r="AJ902" s="13" t="s">
        <v>456</v>
      </c>
      <c r="AK902" s="14">
        <v>-1</v>
      </c>
      <c r="AL902" s="17"/>
      <c r="AM902" s="17"/>
      <c r="AN902" s="17"/>
      <c r="AO902" s="17"/>
      <c r="AP902" s="17"/>
      <c r="AQ902" s="17"/>
      <c r="AR902" s="17"/>
      <c r="AS902" s="17"/>
      <c r="AT902" s="17"/>
      <c r="AU902" s="17"/>
      <c r="AV902" s="17"/>
    </row>
    <row r="903" spans="1:48" ht="15.75" customHeight="1">
      <c r="A903" s="21" t="s">
        <v>76</v>
      </c>
      <c r="B903" s="23" t="s">
        <v>1692</v>
      </c>
      <c r="C903" s="22">
        <v>45859</v>
      </c>
      <c r="D903" s="23" t="s">
        <v>68</v>
      </c>
      <c r="E903" s="23" t="s">
        <v>110</v>
      </c>
      <c r="F903" s="14">
        <v>1</v>
      </c>
      <c r="G903" s="12">
        <v>2000.0000000000005</v>
      </c>
      <c r="H903" s="12">
        <v>2000.0000000000005</v>
      </c>
      <c r="I903" s="23" t="s">
        <v>52</v>
      </c>
      <c r="J903" s="23" t="s">
        <v>61</v>
      </c>
      <c r="K903" s="24" t="s">
        <v>86</v>
      </c>
      <c r="L903" s="24">
        <v>95</v>
      </c>
      <c r="M903" s="12">
        <v>1680.6722689075634</v>
      </c>
      <c r="N903" s="12">
        <v>1680.6722689075634</v>
      </c>
      <c r="O903" s="12">
        <v>319.32773109243703</v>
      </c>
      <c r="P903" s="13"/>
      <c r="Q903" s="14">
        <v>2025</v>
      </c>
      <c r="R903" s="15">
        <v>45474</v>
      </c>
      <c r="S903" s="11" t="s">
        <v>378</v>
      </c>
      <c r="T903" s="16">
        <v>5</v>
      </c>
      <c r="U903" s="17"/>
      <c r="V903" s="12">
        <v>756.30252100840369</v>
      </c>
      <c r="W903" s="12">
        <v>756.30252100840369</v>
      </c>
      <c r="X903" s="12">
        <v>0</v>
      </c>
      <c r="Y903" s="18">
        <v>45859</v>
      </c>
      <c r="Z903" s="13" t="s">
        <v>39</v>
      </c>
      <c r="AA903" s="19" t="s">
        <v>361</v>
      </c>
      <c r="AB903" s="13" t="s">
        <v>394</v>
      </c>
      <c r="AC903" s="13" t="s">
        <v>383</v>
      </c>
      <c r="AD903" s="20"/>
      <c r="AE903" s="20"/>
      <c r="AF903" s="13" t="s">
        <v>40</v>
      </c>
      <c r="AG903" s="15">
        <v>45474</v>
      </c>
      <c r="AH903" s="13" t="s">
        <v>41</v>
      </c>
      <c r="AI903" s="13" t="s">
        <v>76</v>
      </c>
      <c r="AJ903" s="13" t="s">
        <v>379</v>
      </c>
      <c r="AK903" s="14">
        <v>-1</v>
      </c>
      <c r="AL903" s="17"/>
      <c r="AM903" s="17"/>
      <c r="AN903" s="17"/>
      <c r="AO903" s="17"/>
      <c r="AP903" s="17"/>
      <c r="AQ903" s="17"/>
      <c r="AR903" s="17"/>
      <c r="AS903" s="17"/>
      <c r="AT903" s="17"/>
      <c r="AU903" s="17"/>
      <c r="AV903" s="17"/>
    </row>
    <row r="904" spans="1:48" ht="15.75" customHeight="1">
      <c r="A904" s="21" t="s">
        <v>76</v>
      </c>
      <c r="B904" s="23" t="s">
        <v>1692</v>
      </c>
      <c r="C904" s="22">
        <v>45859</v>
      </c>
      <c r="D904" s="23" t="s">
        <v>68</v>
      </c>
      <c r="E904" s="23" t="s">
        <v>77</v>
      </c>
      <c r="F904" s="14">
        <v>1</v>
      </c>
      <c r="G904" s="12">
        <v>1700.4255319148936</v>
      </c>
      <c r="H904" s="12">
        <v>1700.4255319148936</v>
      </c>
      <c r="I904" s="23" t="s">
        <v>52</v>
      </c>
      <c r="J904" s="23" t="s">
        <v>61</v>
      </c>
      <c r="K904" s="24" t="s">
        <v>86</v>
      </c>
      <c r="L904" s="24">
        <v>95</v>
      </c>
      <c r="M904" s="12">
        <v>1428.929018415877</v>
      </c>
      <c r="N904" s="12">
        <v>1428.929018415877</v>
      </c>
      <c r="O904" s="12">
        <v>271.4965134990166</v>
      </c>
      <c r="P904" s="13"/>
      <c r="Q904" s="14">
        <v>2025</v>
      </c>
      <c r="R904" s="15">
        <v>45474</v>
      </c>
      <c r="S904" s="11" t="s">
        <v>448</v>
      </c>
      <c r="T904" s="16">
        <v>0</v>
      </c>
      <c r="U904" s="17"/>
      <c r="V904" s="12">
        <v>589.43322009654923</v>
      </c>
      <c r="W904" s="12">
        <v>589.43322009654923</v>
      </c>
      <c r="X904" s="12">
        <v>0</v>
      </c>
      <c r="Y904" s="18">
        <v>45859</v>
      </c>
      <c r="Z904" s="13" t="s">
        <v>39</v>
      </c>
      <c r="AA904" s="19" t="s">
        <v>361</v>
      </c>
      <c r="AB904" s="13" t="s">
        <v>394</v>
      </c>
      <c r="AC904" s="13" t="s">
        <v>383</v>
      </c>
      <c r="AD904" s="20"/>
      <c r="AE904" s="20"/>
      <c r="AF904" s="13" t="s">
        <v>40</v>
      </c>
      <c r="AG904" s="15">
        <v>45474</v>
      </c>
      <c r="AH904" s="13" t="s">
        <v>41</v>
      </c>
      <c r="AI904" s="13" t="s">
        <v>76</v>
      </c>
      <c r="AJ904" s="13" t="s">
        <v>457</v>
      </c>
      <c r="AK904" s="14">
        <v>-1</v>
      </c>
      <c r="AL904" s="17"/>
      <c r="AM904" s="17"/>
      <c r="AN904" s="17"/>
      <c r="AO904" s="17"/>
      <c r="AP904" s="17"/>
      <c r="AQ904" s="17"/>
      <c r="AR904" s="17"/>
      <c r="AS904" s="17"/>
      <c r="AT904" s="17"/>
      <c r="AU904" s="17"/>
      <c r="AV904" s="17"/>
    </row>
    <row r="905" spans="1:48" ht="15.75" customHeight="1">
      <c r="A905" s="21" t="s">
        <v>47</v>
      </c>
      <c r="B905" s="23" t="s">
        <v>1692</v>
      </c>
      <c r="C905" s="22">
        <v>45859</v>
      </c>
      <c r="D905" s="23" t="s">
        <v>68</v>
      </c>
      <c r="E905" s="23" t="s">
        <v>72</v>
      </c>
      <c r="F905" s="21">
        <v>2</v>
      </c>
      <c r="G905" s="12">
        <v>2750</v>
      </c>
      <c r="H905" s="12">
        <v>5500</v>
      </c>
      <c r="I905" s="23" t="s">
        <v>52</v>
      </c>
      <c r="J905" s="23" t="s">
        <v>61</v>
      </c>
      <c r="K905" s="24" t="s">
        <v>86</v>
      </c>
      <c r="L905" s="24">
        <v>95</v>
      </c>
      <c r="M905" s="12">
        <v>2310.9243697478992</v>
      </c>
      <c r="N905" s="12">
        <v>4621.8487394957983</v>
      </c>
      <c r="O905" s="12">
        <v>878.15126050420167</v>
      </c>
      <c r="P905" s="13"/>
      <c r="Q905" s="14">
        <v>2025</v>
      </c>
      <c r="R905" s="15">
        <v>45474</v>
      </c>
      <c r="S905" s="11" t="s">
        <v>372</v>
      </c>
      <c r="T905" s="16">
        <v>0</v>
      </c>
      <c r="U905" s="17"/>
      <c r="V905" s="12">
        <v>1327.7310924369744</v>
      </c>
      <c r="W905" s="12">
        <v>1327.7310924369744</v>
      </c>
      <c r="X905" s="12">
        <v>0</v>
      </c>
      <c r="Y905" s="18">
        <v>45859</v>
      </c>
      <c r="Z905" s="13" t="s">
        <v>39</v>
      </c>
      <c r="AA905" s="19" t="s">
        <v>361</v>
      </c>
      <c r="AB905" s="13" t="s">
        <v>394</v>
      </c>
      <c r="AC905" s="13" t="s">
        <v>383</v>
      </c>
      <c r="AD905" s="20"/>
      <c r="AE905" s="20"/>
      <c r="AF905" s="13" t="s">
        <v>40</v>
      </c>
      <c r="AG905" s="15">
        <v>45474</v>
      </c>
      <c r="AH905" s="13" t="s">
        <v>41</v>
      </c>
      <c r="AI905" s="13" t="s">
        <v>76</v>
      </c>
      <c r="AJ905" s="13" t="s">
        <v>458</v>
      </c>
      <c r="AK905" s="14">
        <v>-2</v>
      </c>
      <c r="AL905" s="17"/>
      <c r="AM905" s="17"/>
      <c r="AN905" s="17"/>
      <c r="AO905" s="17"/>
      <c r="AP905" s="17"/>
      <c r="AQ905" s="17"/>
      <c r="AR905" s="17"/>
      <c r="AS905" s="17"/>
      <c r="AT905" s="17"/>
      <c r="AU905" s="17"/>
      <c r="AV905" s="17"/>
    </row>
    <row r="906" spans="1:48" ht="15.75" customHeight="1">
      <c r="A906" s="21" t="s">
        <v>43</v>
      </c>
      <c r="B906" s="23" t="s">
        <v>1692</v>
      </c>
      <c r="C906" s="25">
        <v>45858</v>
      </c>
      <c r="D906" s="23" t="s">
        <v>459</v>
      </c>
      <c r="E906" s="23" t="s">
        <v>45</v>
      </c>
      <c r="F906" s="14">
        <v>1</v>
      </c>
      <c r="G906" s="12">
        <v>7900.1687504794045</v>
      </c>
      <c r="H906" s="12">
        <v>7900.1687504794045</v>
      </c>
      <c r="I906" s="23" t="s">
        <v>52</v>
      </c>
      <c r="J906" s="23" t="s">
        <v>61</v>
      </c>
      <c r="K906" s="24" t="s">
        <v>177</v>
      </c>
      <c r="L906" s="24">
        <v>161</v>
      </c>
      <c r="M906" s="12">
        <v>6638.7972693104239</v>
      </c>
      <c r="N906" s="12">
        <v>6638.7972693104239</v>
      </c>
      <c r="O906" s="12">
        <v>1261.3714811689806</v>
      </c>
      <c r="P906" s="13"/>
      <c r="Q906" s="14">
        <v>2025</v>
      </c>
      <c r="R906" s="15">
        <v>45474</v>
      </c>
      <c r="S906" s="11" t="s">
        <v>355</v>
      </c>
      <c r="T906" s="16">
        <v>0</v>
      </c>
      <c r="U906" s="17"/>
      <c r="V906" s="12">
        <v>1445.7972693104239</v>
      </c>
      <c r="W906" s="12">
        <v>1445.7972693104239</v>
      </c>
      <c r="X906" s="12">
        <v>0</v>
      </c>
      <c r="Y906" s="18">
        <v>45852</v>
      </c>
      <c r="Z906" s="13" t="s">
        <v>39</v>
      </c>
      <c r="AA906" s="19" t="s">
        <v>373</v>
      </c>
      <c r="AB906" s="13" t="s">
        <v>357</v>
      </c>
      <c r="AC906" s="13" t="s">
        <v>383</v>
      </c>
      <c r="AD906" s="20"/>
      <c r="AE906" s="20"/>
      <c r="AF906" s="13" t="s">
        <v>40</v>
      </c>
      <c r="AG906" s="15">
        <v>45474</v>
      </c>
      <c r="AH906" s="13" t="s">
        <v>41</v>
      </c>
      <c r="AI906" s="13" t="s">
        <v>43</v>
      </c>
      <c r="AJ906" s="13" t="s">
        <v>359</v>
      </c>
      <c r="AK906" s="14">
        <v>-1</v>
      </c>
      <c r="AL906" s="17"/>
      <c r="AM906" s="17"/>
      <c r="AN906" s="17"/>
      <c r="AO906" s="17"/>
      <c r="AP906" s="17"/>
      <c r="AQ906" s="17"/>
      <c r="AR906" s="17"/>
      <c r="AS906" s="17"/>
      <c r="AT906" s="17"/>
      <c r="AU906" s="17"/>
      <c r="AV906" s="17"/>
    </row>
    <row r="907" spans="1:48" ht="15.75" customHeight="1">
      <c r="A907" s="21" t="s">
        <v>47</v>
      </c>
      <c r="B907" s="23" t="s">
        <v>1692</v>
      </c>
      <c r="C907" s="25">
        <v>45858</v>
      </c>
      <c r="D907" s="23" t="s">
        <v>459</v>
      </c>
      <c r="E907" s="23" t="s">
        <v>107</v>
      </c>
      <c r="F907" s="14">
        <v>1</v>
      </c>
      <c r="G907" s="12">
        <v>3000.0000000000005</v>
      </c>
      <c r="H907" s="12">
        <v>3000.0000000000005</v>
      </c>
      <c r="I907" s="23" t="s">
        <v>52</v>
      </c>
      <c r="J907" s="23" t="s">
        <v>61</v>
      </c>
      <c r="K907" s="24" t="s">
        <v>177</v>
      </c>
      <c r="L907" s="24">
        <v>161</v>
      </c>
      <c r="M907" s="12">
        <v>2521.0084033613452</v>
      </c>
      <c r="N907" s="12">
        <v>2521.0084033613452</v>
      </c>
      <c r="O907" s="12">
        <v>478.99159663865521</v>
      </c>
      <c r="P907" s="13"/>
      <c r="Q907" s="14">
        <v>2025</v>
      </c>
      <c r="R907" s="15">
        <v>45474</v>
      </c>
      <c r="S907" s="11" t="s">
        <v>453</v>
      </c>
      <c r="T907" s="16">
        <v>0</v>
      </c>
      <c r="U907" s="17"/>
      <c r="V907" s="12">
        <v>758.82352941176487</v>
      </c>
      <c r="W907" s="12">
        <v>758.82352941176487</v>
      </c>
      <c r="X907" s="12">
        <v>0</v>
      </c>
      <c r="Y907" s="18">
        <v>45852</v>
      </c>
      <c r="Z907" s="13" t="s">
        <v>39</v>
      </c>
      <c r="AA907" s="19" t="s">
        <v>373</v>
      </c>
      <c r="AB907" s="13" t="s">
        <v>357</v>
      </c>
      <c r="AC907" s="13" t="s">
        <v>383</v>
      </c>
      <c r="AD907" s="20"/>
      <c r="AE907" s="20"/>
      <c r="AF907" s="13" t="s">
        <v>40</v>
      </c>
      <c r="AG907" s="15">
        <v>45474</v>
      </c>
      <c r="AH907" s="13" t="s">
        <v>41</v>
      </c>
      <c r="AI907" s="13" t="s">
        <v>47</v>
      </c>
      <c r="AJ907" s="13" t="s">
        <v>460</v>
      </c>
      <c r="AK907" s="14">
        <v>-1</v>
      </c>
      <c r="AL907" s="17"/>
      <c r="AM907" s="17"/>
      <c r="AN907" s="17"/>
      <c r="AO907" s="17"/>
      <c r="AP907" s="17"/>
      <c r="AQ907" s="17"/>
      <c r="AR907" s="17"/>
      <c r="AS907" s="17"/>
      <c r="AT907" s="17"/>
      <c r="AU907" s="17"/>
      <c r="AV907" s="17"/>
    </row>
    <row r="908" spans="1:48" ht="15.75" customHeight="1">
      <c r="A908" s="21" t="s">
        <v>56</v>
      </c>
      <c r="B908" s="23" t="s">
        <v>1692</v>
      </c>
      <c r="C908" s="25">
        <v>45858</v>
      </c>
      <c r="D908" s="23" t="s">
        <v>459</v>
      </c>
      <c r="E908" s="23" t="s">
        <v>62</v>
      </c>
      <c r="F908" s="14">
        <v>1</v>
      </c>
      <c r="G908" s="12">
        <v>3700</v>
      </c>
      <c r="H908" s="12">
        <v>3700</v>
      </c>
      <c r="I908" s="23" t="s">
        <v>52</v>
      </c>
      <c r="J908" s="23" t="s">
        <v>61</v>
      </c>
      <c r="K908" s="24" t="s">
        <v>177</v>
      </c>
      <c r="L908" s="24">
        <v>161</v>
      </c>
      <c r="M908" s="12">
        <v>3109.2436974789916</v>
      </c>
      <c r="N908" s="12">
        <v>3109.2436974789916</v>
      </c>
      <c r="O908" s="12">
        <v>590.75630252100837</v>
      </c>
      <c r="P908" s="13"/>
      <c r="Q908" s="14">
        <v>2025</v>
      </c>
      <c r="R908" s="15">
        <v>45474</v>
      </c>
      <c r="S908" s="11" t="s">
        <v>429</v>
      </c>
      <c r="T908" s="16">
        <v>200</v>
      </c>
      <c r="U908" s="17"/>
      <c r="V908" s="12">
        <v>1199.159663865546</v>
      </c>
      <c r="W908" s="12">
        <v>1199.159663865546</v>
      </c>
      <c r="X908" s="12">
        <v>0</v>
      </c>
      <c r="Y908" s="18">
        <v>45852</v>
      </c>
      <c r="Z908" s="13" t="s">
        <v>39</v>
      </c>
      <c r="AA908" s="19" t="s">
        <v>373</v>
      </c>
      <c r="AB908" s="13" t="s">
        <v>357</v>
      </c>
      <c r="AC908" s="13" t="s">
        <v>383</v>
      </c>
      <c r="AD908" s="20"/>
      <c r="AE908" s="20"/>
      <c r="AF908" s="13" t="s">
        <v>40</v>
      </c>
      <c r="AG908" s="15">
        <v>45474</v>
      </c>
      <c r="AH908" s="13" t="s">
        <v>41</v>
      </c>
      <c r="AI908" s="13" t="s">
        <v>56</v>
      </c>
      <c r="AJ908" s="13" t="s">
        <v>430</v>
      </c>
      <c r="AK908" s="14">
        <v>-1</v>
      </c>
      <c r="AL908" s="17"/>
      <c r="AM908" s="17"/>
      <c r="AN908" s="17"/>
      <c r="AO908" s="17"/>
      <c r="AP908" s="17"/>
      <c r="AQ908" s="17"/>
      <c r="AR908" s="17"/>
      <c r="AS908" s="17"/>
      <c r="AT908" s="17"/>
      <c r="AU908" s="17"/>
      <c r="AV908" s="17"/>
    </row>
    <row r="909" spans="1:48" ht="15.75" customHeight="1">
      <c r="A909" s="14" t="s">
        <v>35</v>
      </c>
      <c r="B909" s="23" t="s">
        <v>1692</v>
      </c>
      <c r="C909" s="25">
        <v>45858</v>
      </c>
      <c r="D909" s="23" t="s">
        <v>235</v>
      </c>
      <c r="E909" s="13" t="s">
        <v>37</v>
      </c>
      <c r="F909" s="14">
        <v>1</v>
      </c>
      <c r="G909" s="12">
        <v>11000.014358944907</v>
      </c>
      <c r="H909" s="12">
        <v>11000.014358944907</v>
      </c>
      <c r="I909" s="23" t="s">
        <v>52</v>
      </c>
      <c r="J909" s="23" t="s">
        <v>61</v>
      </c>
      <c r="K909" s="24" t="s">
        <v>177</v>
      </c>
      <c r="L909" s="24">
        <v>161</v>
      </c>
      <c r="M909" s="12">
        <v>9243.7095453318543</v>
      </c>
      <c r="N909" s="12">
        <v>9243.7095453318543</v>
      </c>
      <c r="O909" s="12">
        <v>1756.3048136130528</v>
      </c>
      <c r="P909" s="13"/>
      <c r="Q909" s="14">
        <v>2025</v>
      </c>
      <c r="R909" s="15">
        <v>45474</v>
      </c>
      <c r="S909" s="11" t="s">
        <v>364</v>
      </c>
      <c r="T909" s="16">
        <v>1000</v>
      </c>
      <c r="U909" s="17"/>
      <c r="V909" s="12">
        <v>2806.1129066763915</v>
      </c>
      <c r="W909" s="12">
        <v>2806.1129066763915</v>
      </c>
      <c r="X909" s="12">
        <v>0</v>
      </c>
      <c r="Y909" s="18">
        <v>45852</v>
      </c>
      <c r="Z909" s="13" t="s">
        <v>39</v>
      </c>
      <c r="AA909" s="19" t="s">
        <v>367</v>
      </c>
      <c r="AB909" s="13" t="s">
        <v>357</v>
      </c>
      <c r="AC909" s="13" t="s">
        <v>367</v>
      </c>
      <c r="AD909" s="20"/>
      <c r="AE909" s="20"/>
      <c r="AF909" s="13" t="s">
        <v>40</v>
      </c>
      <c r="AG909" s="15">
        <v>45474</v>
      </c>
      <c r="AH909" s="13" t="s">
        <v>41</v>
      </c>
      <c r="AI909" s="13" t="s">
        <v>35</v>
      </c>
      <c r="AJ909" s="13" t="s">
        <v>365</v>
      </c>
      <c r="AK909" s="14">
        <v>-1</v>
      </c>
      <c r="AL909" s="17"/>
      <c r="AM909" s="17"/>
      <c r="AN909" s="17"/>
      <c r="AO909" s="17"/>
      <c r="AP909" s="17"/>
      <c r="AQ909" s="17"/>
      <c r="AR909" s="17"/>
      <c r="AS909" s="17"/>
      <c r="AT909" s="17"/>
      <c r="AU909" s="17"/>
      <c r="AV909" s="17"/>
    </row>
    <row r="910" spans="1:48" ht="15.75" customHeight="1">
      <c r="A910" s="21" t="s">
        <v>35</v>
      </c>
      <c r="B910" s="23" t="s">
        <v>1692</v>
      </c>
      <c r="C910" s="22">
        <v>45858</v>
      </c>
      <c r="D910" s="23" t="s">
        <v>271</v>
      </c>
      <c r="E910" s="23" t="s">
        <v>37</v>
      </c>
      <c r="F910" s="14">
        <v>1</v>
      </c>
      <c r="G910" s="12">
        <v>11000.014358944907</v>
      </c>
      <c r="H910" s="12">
        <v>11000.014358944907</v>
      </c>
      <c r="I910" s="23" t="s">
        <v>52</v>
      </c>
      <c r="J910" s="23" t="s">
        <v>61</v>
      </c>
      <c r="K910" s="24" t="s">
        <v>177</v>
      </c>
      <c r="L910" s="24">
        <v>161</v>
      </c>
      <c r="M910" s="12">
        <v>9243.7095453318543</v>
      </c>
      <c r="N910" s="12">
        <v>9243.7095453318543</v>
      </c>
      <c r="O910" s="12">
        <v>1756.3048136130528</v>
      </c>
      <c r="P910" s="13"/>
      <c r="Q910" s="14">
        <v>2025</v>
      </c>
      <c r="R910" s="15">
        <v>45474</v>
      </c>
      <c r="S910" s="11" t="s">
        <v>364</v>
      </c>
      <c r="T910" s="16">
        <v>1000</v>
      </c>
      <c r="U910" s="17"/>
      <c r="V910" s="12">
        <v>2806.1129066763915</v>
      </c>
      <c r="W910" s="12">
        <v>2806.1129066763915</v>
      </c>
      <c r="X910" s="12">
        <v>0</v>
      </c>
      <c r="Y910" s="18">
        <v>45852</v>
      </c>
      <c r="Z910" s="13" t="s">
        <v>39</v>
      </c>
      <c r="AA910" s="19" t="s">
        <v>373</v>
      </c>
      <c r="AB910" s="13" t="s">
        <v>357</v>
      </c>
      <c r="AC910" s="13" t="s">
        <v>461</v>
      </c>
      <c r="AD910" s="20"/>
      <c r="AE910" s="20"/>
      <c r="AF910" s="13" t="s">
        <v>40</v>
      </c>
      <c r="AG910" s="15">
        <v>45474</v>
      </c>
      <c r="AH910" s="13" t="s">
        <v>41</v>
      </c>
      <c r="AI910" s="13" t="s">
        <v>35</v>
      </c>
      <c r="AJ910" s="13" t="s">
        <v>365</v>
      </c>
      <c r="AK910" s="14">
        <v>-1</v>
      </c>
      <c r="AL910" s="17"/>
      <c r="AM910" s="17"/>
      <c r="AN910" s="17"/>
      <c r="AO910" s="17"/>
      <c r="AP910" s="17"/>
      <c r="AQ910" s="17"/>
      <c r="AR910" s="17"/>
      <c r="AS910" s="17"/>
      <c r="AT910" s="17"/>
      <c r="AU910" s="17"/>
      <c r="AV910" s="17"/>
    </row>
    <row r="911" spans="1:48" ht="15.75" customHeight="1">
      <c r="A911" s="21" t="s">
        <v>35</v>
      </c>
      <c r="B911" s="23" t="s">
        <v>1692</v>
      </c>
      <c r="C911" s="22">
        <v>45857</v>
      </c>
      <c r="D911" s="23" t="s">
        <v>151</v>
      </c>
      <c r="E911" s="23" t="s">
        <v>37</v>
      </c>
      <c r="F911" s="14">
        <v>1</v>
      </c>
      <c r="G911" s="12">
        <v>11000.014358944907</v>
      </c>
      <c r="H911" s="12">
        <v>11000.014358944907</v>
      </c>
      <c r="I911" s="23" t="s">
        <v>52</v>
      </c>
      <c r="J911" s="23" t="s">
        <v>61</v>
      </c>
      <c r="K911" s="24" t="s">
        <v>177</v>
      </c>
      <c r="L911" s="24">
        <v>161</v>
      </c>
      <c r="M911" s="12">
        <v>9243.7095453318543</v>
      </c>
      <c r="N911" s="12">
        <v>9243.7095453318543</v>
      </c>
      <c r="O911" s="12">
        <v>1756.3048136130528</v>
      </c>
      <c r="P911" s="13"/>
      <c r="Q911" s="14">
        <v>2025</v>
      </c>
      <c r="R911" s="15">
        <v>45474</v>
      </c>
      <c r="S911" s="11" t="s">
        <v>364</v>
      </c>
      <c r="T911" s="16">
        <v>1000</v>
      </c>
      <c r="U911" s="17"/>
      <c r="V911" s="12">
        <v>2806.1129066763915</v>
      </c>
      <c r="W911" s="12">
        <v>2806.1129066763915</v>
      </c>
      <c r="X911" s="12">
        <v>0</v>
      </c>
      <c r="Y911" s="18">
        <v>45852</v>
      </c>
      <c r="Z911" s="13" t="s">
        <v>39</v>
      </c>
      <c r="AA911" s="19" t="s">
        <v>373</v>
      </c>
      <c r="AB911" s="13" t="s">
        <v>357</v>
      </c>
      <c r="AC911" s="13" t="s">
        <v>462</v>
      </c>
      <c r="AD911" s="20"/>
      <c r="AE911" s="20"/>
      <c r="AF911" s="13" t="s">
        <v>40</v>
      </c>
      <c r="AG911" s="15">
        <v>45474</v>
      </c>
      <c r="AH911" s="13" t="s">
        <v>41</v>
      </c>
      <c r="AI911" s="13" t="s">
        <v>35</v>
      </c>
      <c r="AJ911" s="13" t="s">
        <v>365</v>
      </c>
      <c r="AK911" s="14">
        <v>-1</v>
      </c>
      <c r="AL911" s="17"/>
      <c r="AM911" s="17"/>
      <c r="AN911" s="17"/>
      <c r="AO911" s="17"/>
      <c r="AP911" s="17"/>
      <c r="AQ911" s="17"/>
      <c r="AR911" s="17"/>
      <c r="AS911" s="17"/>
      <c r="AT911" s="17"/>
      <c r="AU911" s="17"/>
      <c r="AV911" s="17"/>
    </row>
    <row r="912" spans="1:48" ht="15.75" customHeight="1">
      <c r="A912" s="21" t="s">
        <v>76</v>
      </c>
      <c r="B912" s="23" t="s">
        <v>1692</v>
      </c>
      <c r="C912" s="22">
        <v>45857</v>
      </c>
      <c r="D912" s="23" t="s">
        <v>151</v>
      </c>
      <c r="E912" s="23" t="s">
        <v>82</v>
      </c>
      <c r="F912" s="14">
        <v>1</v>
      </c>
      <c r="G912" s="12">
        <v>2000.0000000000002</v>
      </c>
      <c r="H912" s="12">
        <v>2000.0000000000002</v>
      </c>
      <c r="I912" s="23" t="s">
        <v>52</v>
      </c>
      <c r="J912" s="23" t="s">
        <v>61</v>
      </c>
      <c r="K912" s="24" t="s">
        <v>177</v>
      </c>
      <c r="L912" s="24">
        <v>161</v>
      </c>
      <c r="M912" s="12">
        <v>1680.6722689075632</v>
      </c>
      <c r="N912" s="12">
        <v>1680.6722689075632</v>
      </c>
      <c r="O912" s="12">
        <v>319.32773109243703</v>
      </c>
      <c r="P912" s="13"/>
      <c r="Q912" s="14">
        <v>2025</v>
      </c>
      <c r="R912" s="15">
        <v>45474</v>
      </c>
      <c r="S912" s="11" t="s">
        <v>463</v>
      </c>
      <c r="T912" s="16">
        <v>5</v>
      </c>
      <c r="U912" s="17"/>
      <c r="V912" s="12">
        <v>680.67226890756319</v>
      </c>
      <c r="W912" s="12">
        <v>680.67226890756319</v>
      </c>
      <c r="X912" s="12">
        <v>0</v>
      </c>
      <c r="Y912" s="18">
        <v>45852</v>
      </c>
      <c r="Z912" s="13" t="s">
        <v>39</v>
      </c>
      <c r="AA912" s="19" t="s">
        <v>373</v>
      </c>
      <c r="AB912" s="13" t="s">
        <v>357</v>
      </c>
      <c r="AC912" s="13" t="s">
        <v>462</v>
      </c>
      <c r="AD912" s="20"/>
      <c r="AE912" s="20"/>
      <c r="AF912" s="13" t="s">
        <v>40</v>
      </c>
      <c r="AG912" s="15">
        <v>45474</v>
      </c>
      <c r="AH912" s="13" t="s">
        <v>41</v>
      </c>
      <c r="AI912" s="13" t="s">
        <v>76</v>
      </c>
      <c r="AJ912" s="13" t="s">
        <v>464</v>
      </c>
      <c r="AK912" s="14">
        <v>-1</v>
      </c>
      <c r="AL912" s="17"/>
      <c r="AM912" s="17"/>
      <c r="AN912" s="17"/>
      <c r="AO912" s="17"/>
      <c r="AP912" s="17"/>
      <c r="AQ912" s="17"/>
      <c r="AR912" s="17"/>
      <c r="AS912" s="17"/>
      <c r="AT912" s="17"/>
      <c r="AU912" s="17"/>
      <c r="AV912" s="17"/>
    </row>
    <row r="913" spans="1:48" ht="15.75" customHeight="1">
      <c r="A913" s="21" t="s">
        <v>35</v>
      </c>
      <c r="B913" s="23" t="s">
        <v>1692</v>
      </c>
      <c r="C913" s="22">
        <v>45857</v>
      </c>
      <c r="D913" s="23" t="s">
        <v>116</v>
      </c>
      <c r="E913" s="23" t="s">
        <v>46</v>
      </c>
      <c r="F913" s="14">
        <v>1</v>
      </c>
      <c r="G913" s="12">
        <v>6000.1548227279782</v>
      </c>
      <c r="H913" s="12">
        <v>6000.1548227279782</v>
      </c>
      <c r="I913" s="23" t="s">
        <v>52</v>
      </c>
      <c r="J913" s="23" t="s">
        <v>61</v>
      </c>
      <c r="K913" s="24" t="s">
        <v>177</v>
      </c>
      <c r="L913" s="24">
        <v>161</v>
      </c>
      <c r="M913" s="12">
        <v>5042.1469098554444</v>
      </c>
      <c r="N913" s="12">
        <v>5042.1469098554444</v>
      </c>
      <c r="O913" s="12">
        <v>958.00791287253378</v>
      </c>
      <c r="P913" s="13"/>
      <c r="Q913" s="14">
        <v>2025</v>
      </c>
      <c r="R913" s="15">
        <v>45474</v>
      </c>
      <c r="S913" s="11" t="s">
        <v>364</v>
      </c>
      <c r="T913" s="16">
        <v>500</v>
      </c>
      <c r="U913" s="17"/>
      <c r="V913" s="12">
        <v>1785.4242207798129</v>
      </c>
      <c r="W913" s="12">
        <v>1785.4242207798129</v>
      </c>
      <c r="X913" s="12">
        <v>0</v>
      </c>
      <c r="Y913" s="18">
        <v>45852</v>
      </c>
      <c r="Z913" s="13" t="s">
        <v>39</v>
      </c>
      <c r="AA913" s="19" t="s">
        <v>373</v>
      </c>
      <c r="AB913" s="13" t="s">
        <v>357</v>
      </c>
      <c r="AC913" s="13"/>
      <c r="AD913" s="20"/>
      <c r="AE913" s="20"/>
      <c r="AF913" s="13" t="s">
        <v>40</v>
      </c>
      <c r="AG913" s="15">
        <v>45474</v>
      </c>
      <c r="AH913" s="13" t="s">
        <v>41</v>
      </c>
      <c r="AI913" s="13" t="s">
        <v>35</v>
      </c>
      <c r="AJ913" s="13" t="s">
        <v>365</v>
      </c>
      <c r="AK913" s="14">
        <v>-0.5</v>
      </c>
      <c r="AL913" s="17"/>
      <c r="AM913" s="17"/>
      <c r="AN913" s="17"/>
      <c r="AO913" s="17"/>
      <c r="AP913" s="17"/>
      <c r="AQ913" s="17"/>
      <c r="AR913" s="17"/>
      <c r="AS913" s="17"/>
      <c r="AT913" s="17"/>
      <c r="AU913" s="17"/>
      <c r="AV913" s="17"/>
    </row>
    <row r="914" spans="1:48" ht="15.75" customHeight="1">
      <c r="A914" s="21" t="s">
        <v>53</v>
      </c>
      <c r="B914" s="23" t="s">
        <v>1692</v>
      </c>
      <c r="C914" s="22">
        <v>45857</v>
      </c>
      <c r="D914" s="23" t="s">
        <v>116</v>
      </c>
      <c r="E914" s="23" t="s">
        <v>69</v>
      </c>
      <c r="F914" s="14">
        <v>1</v>
      </c>
      <c r="G914" s="12">
        <v>2999.9553810458683</v>
      </c>
      <c r="H914" s="12">
        <v>2999.9553810458683</v>
      </c>
      <c r="I914" s="23" t="s">
        <v>52</v>
      </c>
      <c r="J914" s="23" t="s">
        <v>61</v>
      </c>
      <c r="K914" s="24" t="s">
        <v>177</v>
      </c>
      <c r="L914" s="24">
        <v>161</v>
      </c>
      <c r="M914" s="12">
        <v>2520.9709084419064</v>
      </c>
      <c r="N914" s="12">
        <v>2520.9709084419064</v>
      </c>
      <c r="O914" s="12">
        <v>478.98447260396188</v>
      </c>
      <c r="P914" s="13"/>
      <c r="Q914" s="14">
        <v>2025</v>
      </c>
      <c r="R914" s="15">
        <v>45474</v>
      </c>
      <c r="S914" s="11" t="s">
        <v>376</v>
      </c>
      <c r="T914" s="16">
        <v>0</v>
      </c>
      <c r="U914" s="17"/>
      <c r="V914" s="12">
        <v>825.97090844190598</v>
      </c>
      <c r="W914" s="12">
        <v>825.97090844190598</v>
      </c>
      <c r="X914" s="12">
        <v>0</v>
      </c>
      <c r="Y914" s="18">
        <v>45852</v>
      </c>
      <c r="Z914" s="13" t="s">
        <v>39</v>
      </c>
      <c r="AA914" s="19" t="s">
        <v>373</v>
      </c>
      <c r="AB914" s="13" t="s">
        <v>357</v>
      </c>
      <c r="AC914" s="13"/>
      <c r="AD914" s="20"/>
      <c r="AE914" s="20"/>
      <c r="AF914" s="13" t="s">
        <v>40</v>
      </c>
      <c r="AG914" s="15">
        <v>45474</v>
      </c>
      <c r="AH914" s="13" t="s">
        <v>41</v>
      </c>
      <c r="AI914" s="13" t="s">
        <v>53</v>
      </c>
      <c r="AJ914" s="13" t="s">
        <v>377</v>
      </c>
      <c r="AK914" s="14">
        <v>-1</v>
      </c>
      <c r="AL914" s="17"/>
      <c r="AM914" s="17"/>
      <c r="AN914" s="17"/>
      <c r="AO914" s="17"/>
      <c r="AP914" s="17"/>
      <c r="AQ914" s="17"/>
      <c r="AR914" s="17"/>
      <c r="AS914" s="17"/>
      <c r="AT914" s="17"/>
      <c r="AU914" s="17"/>
      <c r="AV914" s="17"/>
    </row>
    <row r="915" spans="1:48" ht="15.75" customHeight="1">
      <c r="A915" s="21" t="s">
        <v>43</v>
      </c>
      <c r="B915" s="23" t="s">
        <v>1692</v>
      </c>
      <c r="C915" s="22">
        <v>45857</v>
      </c>
      <c r="D915" s="23" t="s">
        <v>292</v>
      </c>
      <c r="E915" s="23" t="s">
        <v>45</v>
      </c>
      <c r="F915" s="14">
        <v>1</v>
      </c>
      <c r="G915" s="12">
        <v>7900.1687504794045</v>
      </c>
      <c r="H915" s="12">
        <v>7900.1687504794045</v>
      </c>
      <c r="I915" s="23" t="s">
        <v>52</v>
      </c>
      <c r="J915" s="23" t="s">
        <v>61</v>
      </c>
      <c r="K915" s="24" t="s">
        <v>177</v>
      </c>
      <c r="L915" s="24">
        <v>161</v>
      </c>
      <c r="M915" s="12">
        <v>6638.7972693104239</v>
      </c>
      <c r="N915" s="12">
        <v>6638.7972693104239</v>
      </c>
      <c r="O915" s="12">
        <v>1261.3714811689806</v>
      </c>
      <c r="P915" s="13"/>
      <c r="Q915" s="14">
        <v>2025</v>
      </c>
      <c r="R915" s="15">
        <v>45474</v>
      </c>
      <c r="S915" s="11" t="s">
        <v>355</v>
      </c>
      <c r="T915" s="16">
        <v>0</v>
      </c>
      <c r="U915" s="17"/>
      <c r="V915" s="12">
        <v>1445.7972693104239</v>
      </c>
      <c r="W915" s="12">
        <v>1445.7972693104239</v>
      </c>
      <c r="X915" s="12">
        <v>0</v>
      </c>
      <c r="Y915" s="18">
        <v>45852</v>
      </c>
      <c r="Z915" s="13" t="s">
        <v>39</v>
      </c>
      <c r="AA915" s="19" t="s">
        <v>356</v>
      </c>
      <c r="AB915" s="13" t="s">
        <v>357</v>
      </c>
      <c r="AC915" s="13" t="s">
        <v>383</v>
      </c>
      <c r="AD915" s="20"/>
      <c r="AE915" s="20"/>
      <c r="AF915" s="13" t="s">
        <v>40</v>
      </c>
      <c r="AG915" s="15">
        <v>45474</v>
      </c>
      <c r="AH915" s="13" t="s">
        <v>41</v>
      </c>
      <c r="AI915" s="13" t="s">
        <v>43</v>
      </c>
      <c r="AJ915" s="13" t="s">
        <v>359</v>
      </c>
      <c r="AK915" s="14">
        <v>-1</v>
      </c>
      <c r="AL915" s="17"/>
      <c r="AM915" s="17"/>
      <c r="AN915" s="17"/>
      <c r="AO915" s="17"/>
      <c r="AP915" s="17"/>
      <c r="AQ915" s="17"/>
      <c r="AR915" s="17"/>
      <c r="AS915" s="17"/>
      <c r="AT915" s="17"/>
      <c r="AU915" s="17"/>
      <c r="AV915" s="17"/>
    </row>
    <row r="916" spans="1:48" ht="15.75" customHeight="1">
      <c r="A916" s="21" t="s">
        <v>53</v>
      </c>
      <c r="B916" s="23" t="s">
        <v>1692</v>
      </c>
      <c r="C916" s="22">
        <v>45857</v>
      </c>
      <c r="D916" s="23" t="s">
        <v>152</v>
      </c>
      <c r="E916" s="23" t="s">
        <v>317</v>
      </c>
      <c r="F916" s="14">
        <v>1</v>
      </c>
      <c r="G916" s="12">
        <v>12500.17391304348</v>
      </c>
      <c r="H916" s="12">
        <v>12500.17391304348</v>
      </c>
      <c r="I916" s="23" t="s">
        <v>52</v>
      </c>
      <c r="J916" s="23" t="s">
        <v>61</v>
      </c>
      <c r="K916" s="24" t="s">
        <v>177</v>
      </c>
      <c r="L916" s="24">
        <v>161</v>
      </c>
      <c r="M916" s="12">
        <v>10504.347826086958</v>
      </c>
      <c r="N916" s="12">
        <v>10504.347826086958</v>
      </c>
      <c r="O916" s="12">
        <v>1995.826086956522</v>
      </c>
      <c r="P916" s="13"/>
      <c r="Q916" s="14">
        <v>2025</v>
      </c>
      <c r="R916" s="15">
        <v>45474</v>
      </c>
      <c r="S916" s="11" t="s">
        <v>435</v>
      </c>
      <c r="T916" s="16">
        <v>0</v>
      </c>
      <c r="U916" s="17"/>
      <c r="V916" s="12">
        <v>3256.3478260869579</v>
      </c>
      <c r="W916" s="12">
        <v>3256.3478260869579</v>
      </c>
      <c r="X916" s="12">
        <v>0</v>
      </c>
      <c r="Y916" s="18">
        <v>45852</v>
      </c>
      <c r="Z916" s="13" t="s">
        <v>39</v>
      </c>
      <c r="AA916" s="19" t="s">
        <v>373</v>
      </c>
      <c r="AB916" s="13" t="s">
        <v>357</v>
      </c>
      <c r="AC916" s="13" t="s">
        <v>383</v>
      </c>
      <c r="AD916" s="20"/>
      <c r="AE916" s="20"/>
      <c r="AF916" s="13" t="s">
        <v>40</v>
      </c>
      <c r="AG916" s="15">
        <v>45474</v>
      </c>
      <c r="AH916" s="13" t="s">
        <v>41</v>
      </c>
      <c r="AI916" s="13" t="s">
        <v>53</v>
      </c>
      <c r="AJ916" s="13" t="s">
        <v>436</v>
      </c>
      <c r="AK916" s="14">
        <v>-6</v>
      </c>
      <c r="AL916" s="17"/>
      <c r="AM916" s="17"/>
      <c r="AN916" s="17"/>
      <c r="AO916" s="17"/>
      <c r="AP916" s="17"/>
      <c r="AQ916" s="17"/>
      <c r="AR916" s="17"/>
      <c r="AS916" s="17"/>
      <c r="AT916" s="17"/>
      <c r="AU916" s="17"/>
      <c r="AV916" s="17"/>
    </row>
    <row r="917" spans="1:48" ht="15.75" customHeight="1">
      <c r="A917" s="21" t="s">
        <v>76</v>
      </c>
      <c r="B917" s="23" t="s">
        <v>1692</v>
      </c>
      <c r="C917" s="22">
        <v>45857</v>
      </c>
      <c r="D917" s="23" t="s">
        <v>152</v>
      </c>
      <c r="E917" s="23" t="s">
        <v>81</v>
      </c>
      <c r="F917" s="14">
        <v>1</v>
      </c>
      <c r="G917" s="12">
        <v>3500.0000000000005</v>
      </c>
      <c r="H917" s="12">
        <v>3500.0000000000005</v>
      </c>
      <c r="I917" s="23" t="s">
        <v>52</v>
      </c>
      <c r="J917" s="23" t="s">
        <v>61</v>
      </c>
      <c r="K917" s="24" t="s">
        <v>177</v>
      </c>
      <c r="L917" s="24">
        <v>161</v>
      </c>
      <c r="M917" s="12">
        <v>2941.1764705882356</v>
      </c>
      <c r="N917" s="12">
        <v>2941.1764705882356</v>
      </c>
      <c r="O917" s="12">
        <v>558.82352941176487</v>
      </c>
      <c r="P917" s="13"/>
      <c r="Q917" s="14">
        <v>2025</v>
      </c>
      <c r="R917" s="15">
        <v>45474</v>
      </c>
      <c r="S917" s="11" t="s">
        <v>397</v>
      </c>
      <c r="T917" s="16">
        <v>5</v>
      </c>
      <c r="U917" s="17"/>
      <c r="V917" s="12">
        <v>764.70588235294144</v>
      </c>
      <c r="W917" s="12">
        <v>764.70588235294144</v>
      </c>
      <c r="X917" s="12">
        <v>0</v>
      </c>
      <c r="Y917" s="18">
        <v>45852</v>
      </c>
      <c r="Z917" s="13" t="s">
        <v>39</v>
      </c>
      <c r="AA917" s="19" t="s">
        <v>373</v>
      </c>
      <c r="AB917" s="13" t="s">
        <v>357</v>
      </c>
      <c r="AC917" s="13" t="s">
        <v>383</v>
      </c>
      <c r="AD917" s="20"/>
      <c r="AE917" s="20"/>
      <c r="AF917" s="13" t="s">
        <v>40</v>
      </c>
      <c r="AG917" s="15">
        <v>45474</v>
      </c>
      <c r="AH917" s="13" t="s">
        <v>41</v>
      </c>
      <c r="AI917" s="13" t="s">
        <v>76</v>
      </c>
      <c r="AJ917" s="13" t="s">
        <v>398</v>
      </c>
      <c r="AK917" s="14">
        <v>-1</v>
      </c>
      <c r="AL917" s="17"/>
      <c r="AM917" s="17"/>
      <c r="AN917" s="17"/>
      <c r="AO917" s="17"/>
      <c r="AP917" s="17"/>
      <c r="AQ917" s="17"/>
      <c r="AR917" s="17"/>
      <c r="AS917" s="17"/>
      <c r="AT917" s="17"/>
      <c r="AU917" s="17"/>
      <c r="AV917" s="17"/>
    </row>
    <row r="918" spans="1:48" ht="15.75" customHeight="1">
      <c r="A918" s="21" t="s">
        <v>53</v>
      </c>
      <c r="B918" s="23" t="s">
        <v>1692</v>
      </c>
      <c r="C918" s="22">
        <v>45857</v>
      </c>
      <c r="D918" s="23" t="s">
        <v>152</v>
      </c>
      <c r="E918" s="23" t="s">
        <v>326</v>
      </c>
      <c r="F918" s="14">
        <v>1</v>
      </c>
      <c r="G918" s="12">
        <v>7600.2445509220424</v>
      </c>
      <c r="H918" s="12">
        <v>7600.2445509220424</v>
      </c>
      <c r="I918" s="23" t="s">
        <v>52</v>
      </c>
      <c r="J918" s="23" t="s">
        <v>61</v>
      </c>
      <c r="K918" s="24" t="s">
        <v>177</v>
      </c>
      <c r="L918" s="24">
        <v>161</v>
      </c>
      <c r="M918" s="12">
        <v>6386.7601268252456</v>
      </c>
      <c r="N918" s="12">
        <v>6386.7601268252456</v>
      </c>
      <c r="O918" s="12">
        <v>1213.4844240967968</v>
      </c>
      <c r="P918" s="13"/>
      <c r="Q918" s="14">
        <v>2025</v>
      </c>
      <c r="R918" s="15">
        <v>45474</v>
      </c>
      <c r="S918" s="11" t="s">
        <v>410</v>
      </c>
      <c r="T918" s="16">
        <v>0</v>
      </c>
      <c r="U918" s="17"/>
      <c r="V918" s="12">
        <v>1894.7601268252456</v>
      </c>
      <c r="W918" s="12">
        <v>1894.7601268252456</v>
      </c>
      <c r="X918" s="12">
        <v>0</v>
      </c>
      <c r="Y918" s="18">
        <v>45852</v>
      </c>
      <c r="Z918" s="13" t="s">
        <v>39</v>
      </c>
      <c r="AA918" s="19" t="s">
        <v>373</v>
      </c>
      <c r="AB918" s="13" t="s">
        <v>357</v>
      </c>
      <c r="AC918" s="13" t="s">
        <v>383</v>
      </c>
      <c r="AD918" s="20"/>
      <c r="AE918" s="20"/>
      <c r="AF918" s="13" t="s">
        <v>40</v>
      </c>
      <c r="AG918" s="15">
        <v>45474</v>
      </c>
      <c r="AH918" s="13" t="s">
        <v>41</v>
      </c>
      <c r="AI918" s="13" t="s">
        <v>53</v>
      </c>
      <c r="AJ918" s="13" t="s">
        <v>411</v>
      </c>
      <c r="AK918" s="14">
        <v>-4</v>
      </c>
      <c r="AL918" s="17"/>
      <c r="AM918" s="17"/>
      <c r="AN918" s="17"/>
      <c r="AO918" s="17"/>
      <c r="AP918" s="17"/>
      <c r="AQ918" s="17"/>
      <c r="AR918" s="17"/>
      <c r="AS918" s="17"/>
      <c r="AT918" s="17"/>
      <c r="AU918" s="17"/>
      <c r="AV918" s="17"/>
    </row>
    <row r="919" spans="1:48" ht="15.75" customHeight="1">
      <c r="A919" s="21" t="s">
        <v>43</v>
      </c>
      <c r="B919" s="23" t="s">
        <v>1692</v>
      </c>
      <c r="C919" s="22">
        <v>45856</v>
      </c>
      <c r="D919" s="23" t="s">
        <v>215</v>
      </c>
      <c r="E919" s="23" t="s">
        <v>45</v>
      </c>
      <c r="F919" s="14">
        <v>1</v>
      </c>
      <c r="G919" s="12">
        <v>7900.1687504794045</v>
      </c>
      <c r="H919" s="12">
        <v>7900.1687504794045</v>
      </c>
      <c r="I919" s="13" t="s">
        <v>52</v>
      </c>
      <c r="J919" s="23" t="s">
        <v>61</v>
      </c>
      <c r="K919" s="24" t="s">
        <v>177</v>
      </c>
      <c r="L919" s="24">
        <v>161</v>
      </c>
      <c r="M919" s="12">
        <v>6638.7972693104239</v>
      </c>
      <c r="N919" s="12">
        <v>6638.7972693104239</v>
      </c>
      <c r="O919" s="12">
        <v>1261.3714811689806</v>
      </c>
      <c r="P919" s="13"/>
      <c r="Q919" s="14">
        <v>2025</v>
      </c>
      <c r="R919" s="15">
        <v>45474</v>
      </c>
      <c r="S919" s="11" t="s">
        <v>355</v>
      </c>
      <c r="T919" s="16">
        <v>0</v>
      </c>
      <c r="U919" s="17"/>
      <c r="V919" s="12">
        <v>1445.7972693104239</v>
      </c>
      <c r="W919" s="12">
        <v>1445.7972693104239</v>
      </c>
      <c r="X919" s="12">
        <v>0</v>
      </c>
      <c r="Y919" s="18">
        <v>45852</v>
      </c>
      <c r="Z919" s="13" t="s">
        <v>39</v>
      </c>
      <c r="AA919" s="19" t="s">
        <v>373</v>
      </c>
      <c r="AB919" s="13" t="s">
        <v>357</v>
      </c>
      <c r="AC919" s="13" t="s">
        <v>465</v>
      </c>
      <c r="AD919" s="20"/>
      <c r="AE919" s="20"/>
      <c r="AF919" s="13" t="s">
        <v>40</v>
      </c>
      <c r="AG919" s="15">
        <v>45474</v>
      </c>
      <c r="AH919" s="13" t="s">
        <v>41</v>
      </c>
      <c r="AI919" s="13" t="s">
        <v>43</v>
      </c>
      <c r="AJ919" s="13" t="s">
        <v>359</v>
      </c>
      <c r="AK919" s="14">
        <v>-1</v>
      </c>
      <c r="AL919" s="17"/>
      <c r="AM919" s="17"/>
      <c r="AN919" s="17"/>
      <c r="AO919" s="17"/>
      <c r="AP919" s="17"/>
      <c r="AQ919" s="17"/>
      <c r="AR919" s="17"/>
      <c r="AS919" s="17"/>
      <c r="AT919" s="17"/>
      <c r="AU919" s="17"/>
      <c r="AV919" s="17"/>
    </row>
    <row r="920" spans="1:48" ht="15.75" customHeight="1">
      <c r="A920" s="14" t="s">
        <v>35</v>
      </c>
      <c r="B920" s="23" t="s">
        <v>1692</v>
      </c>
      <c r="C920" s="22">
        <v>45856</v>
      </c>
      <c r="D920" s="23" t="s">
        <v>132</v>
      </c>
      <c r="E920" s="13" t="s">
        <v>46</v>
      </c>
      <c r="F920" s="14">
        <v>1</v>
      </c>
      <c r="G920" s="12">
        <v>6000.1548227279782</v>
      </c>
      <c r="H920" s="12">
        <v>6000.1548227279782</v>
      </c>
      <c r="I920" s="13" t="s">
        <v>52</v>
      </c>
      <c r="J920" s="23" t="s">
        <v>61</v>
      </c>
      <c r="K920" s="24" t="s">
        <v>177</v>
      </c>
      <c r="L920" s="24">
        <v>161</v>
      </c>
      <c r="M920" s="12">
        <v>5042.1469098554444</v>
      </c>
      <c r="N920" s="12">
        <v>5042.1469098554444</v>
      </c>
      <c r="O920" s="12">
        <v>958.00791287253378</v>
      </c>
      <c r="P920" s="13"/>
      <c r="Q920" s="14">
        <v>2025</v>
      </c>
      <c r="R920" s="15">
        <v>45474</v>
      </c>
      <c r="S920" s="11" t="s">
        <v>364</v>
      </c>
      <c r="T920" s="16">
        <v>500</v>
      </c>
      <c r="U920" s="17"/>
      <c r="V920" s="12">
        <v>1785.4242207798129</v>
      </c>
      <c r="W920" s="12">
        <v>1785.4242207798129</v>
      </c>
      <c r="X920" s="12">
        <v>0</v>
      </c>
      <c r="Y920" s="18">
        <v>45852</v>
      </c>
      <c r="Z920" s="13" t="s">
        <v>39</v>
      </c>
      <c r="AA920" s="19" t="s">
        <v>373</v>
      </c>
      <c r="AB920" s="13" t="s">
        <v>357</v>
      </c>
      <c r="AC920" s="13" t="s">
        <v>389</v>
      </c>
      <c r="AD920" s="20"/>
      <c r="AE920" s="20"/>
      <c r="AF920" s="13" t="s">
        <v>40</v>
      </c>
      <c r="AG920" s="15">
        <v>45474</v>
      </c>
      <c r="AH920" s="13" t="s">
        <v>41</v>
      </c>
      <c r="AI920" s="13" t="s">
        <v>35</v>
      </c>
      <c r="AJ920" s="13" t="s">
        <v>365</v>
      </c>
      <c r="AK920" s="14">
        <v>-0.5</v>
      </c>
      <c r="AL920" s="17"/>
      <c r="AM920" s="17"/>
      <c r="AN920" s="17"/>
      <c r="AO920" s="17"/>
      <c r="AP920" s="17"/>
      <c r="AQ920" s="17"/>
      <c r="AR920" s="17"/>
      <c r="AS920" s="17"/>
      <c r="AT920" s="17"/>
      <c r="AU920" s="17"/>
      <c r="AV920" s="17"/>
    </row>
    <row r="921" spans="1:48" ht="15.75" customHeight="1">
      <c r="A921" s="21" t="s">
        <v>35</v>
      </c>
      <c r="B921" s="23" t="s">
        <v>1692</v>
      </c>
      <c r="C921" s="22">
        <v>45855</v>
      </c>
      <c r="D921" s="23" t="s">
        <v>237</v>
      </c>
      <c r="E921" s="23" t="s">
        <v>46</v>
      </c>
      <c r="F921" s="21">
        <v>1</v>
      </c>
      <c r="G921" s="12">
        <v>6000.1548227279782</v>
      </c>
      <c r="H921" s="12">
        <v>6000.1548227279782</v>
      </c>
      <c r="I921" s="23" t="s">
        <v>52</v>
      </c>
      <c r="J921" s="23" t="s">
        <v>61</v>
      </c>
      <c r="K921" s="24" t="s">
        <v>177</v>
      </c>
      <c r="L921" s="24">
        <v>160</v>
      </c>
      <c r="M921" s="12">
        <v>5042.1469098554444</v>
      </c>
      <c r="N921" s="12">
        <v>5042.1469098554444</v>
      </c>
      <c r="O921" s="12">
        <v>958.00791287253378</v>
      </c>
      <c r="P921" s="13"/>
      <c r="Q921" s="14">
        <v>2025</v>
      </c>
      <c r="R921" s="15">
        <v>45474</v>
      </c>
      <c r="S921" s="11" t="s">
        <v>364</v>
      </c>
      <c r="T921" s="16">
        <v>500</v>
      </c>
      <c r="U921" s="17"/>
      <c r="V921" s="12">
        <v>1785.4242207798129</v>
      </c>
      <c r="W921" s="12">
        <v>1785.4242207798129</v>
      </c>
      <c r="X921" s="12">
        <v>0</v>
      </c>
      <c r="Y921" s="18">
        <v>45852</v>
      </c>
      <c r="Z921" s="13" t="s">
        <v>39</v>
      </c>
      <c r="AA921" s="19" t="s">
        <v>373</v>
      </c>
      <c r="AB921" s="13" t="s">
        <v>357</v>
      </c>
      <c r="AC921" s="13" t="s">
        <v>383</v>
      </c>
      <c r="AD921" s="20"/>
      <c r="AE921" s="20"/>
      <c r="AF921" s="13" t="s">
        <v>40</v>
      </c>
      <c r="AG921" s="15">
        <v>45474</v>
      </c>
      <c r="AH921" s="13" t="s">
        <v>41</v>
      </c>
      <c r="AI921" s="13" t="s">
        <v>35</v>
      </c>
      <c r="AJ921" s="13" t="s">
        <v>365</v>
      </c>
      <c r="AK921" s="14">
        <v>-0.5</v>
      </c>
      <c r="AL921" s="17"/>
      <c r="AM921" s="17"/>
      <c r="AN921" s="17"/>
      <c r="AO921" s="17"/>
      <c r="AP921" s="17"/>
      <c r="AQ921" s="17"/>
      <c r="AR921" s="17"/>
      <c r="AS921" s="17"/>
      <c r="AT921" s="17"/>
      <c r="AU921" s="17"/>
      <c r="AV921" s="17"/>
    </row>
    <row r="922" spans="1:48" ht="15.75" customHeight="1">
      <c r="A922" s="21" t="s">
        <v>35</v>
      </c>
      <c r="B922" s="23" t="s">
        <v>1692</v>
      </c>
      <c r="C922" s="22">
        <v>45855</v>
      </c>
      <c r="D922" s="23" t="s">
        <v>466</v>
      </c>
      <c r="E922" s="23" t="s">
        <v>46</v>
      </c>
      <c r="F922" s="21">
        <v>1</v>
      </c>
      <c r="G922" s="12">
        <v>6000.1548227279782</v>
      </c>
      <c r="H922" s="12">
        <v>6000.1548227279782</v>
      </c>
      <c r="I922" s="23" t="s">
        <v>52</v>
      </c>
      <c r="J922" s="23" t="s">
        <v>61</v>
      </c>
      <c r="K922" s="24" t="s">
        <v>177</v>
      </c>
      <c r="L922" s="24">
        <v>160</v>
      </c>
      <c r="M922" s="12">
        <v>5042.1469098554444</v>
      </c>
      <c r="N922" s="12">
        <v>5042.1469098554444</v>
      </c>
      <c r="O922" s="12">
        <v>958.00791287253378</v>
      </c>
      <c r="P922" s="13"/>
      <c r="Q922" s="14">
        <v>2025</v>
      </c>
      <c r="R922" s="15">
        <v>45474</v>
      </c>
      <c r="S922" s="11" t="s">
        <v>364</v>
      </c>
      <c r="T922" s="16">
        <v>500</v>
      </c>
      <c r="U922" s="17"/>
      <c r="V922" s="12">
        <v>1785.4242207798129</v>
      </c>
      <c r="W922" s="12">
        <v>1785.4242207798129</v>
      </c>
      <c r="X922" s="12">
        <v>0</v>
      </c>
      <c r="Y922" s="18">
        <v>45852</v>
      </c>
      <c r="Z922" s="13" t="s">
        <v>39</v>
      </c>
      <c r="AA922" s="19" t="s">
        <v>373</v>
      </c>
      <c r="AB922" s="13" t="s">
        <v>357</v>
      </c>
      <c r="AC922" s="13" t="s">
        <v>467</v>
      </c>
      <c r="AD922" s="20"/>
      <c r="AE922" s="20"/>
      <c r="AF922" s="13" t="s">
        <v>40</v>
      </c>
      <c r="AG922" s="15">
        <v>45474</v>
      </c>
      <c r="AH922" s="13" t="s">
        <v>41</v>
      </c>
      <c r="AI922" s="13" t="s">
        <v>35</v>
      </c>
      <c r="AJ922" s="13" t="s">
        <v>365</v>
      </c>
      <c r="AK922" s="14">
        <v>-0.5</v>
      </c>
      <c r="AL922" s="17"/>
      <c r="AM922" s="17"/>
      <c r="AN922" s="17"/>
      <c r="AO922" s="17"/>
      <c r="AP922" s="17"/>
      <c r="AQ922" s="17"/>
      <c r="AR922" s="17"/>
      <c r="AS922" s="17"/>
      <c r="AT922" s="17"/>
      <c r="AU922" s="17"/>
      <c r="AV922" s="17"/>
    </row>
    <row r="923" spans="1:48" ht="15.75" customHeight="1">
      <c r="A923" s="21" t="s">
        <v>35</v>
      </c>
      <c r="B923" s="23" t="s">
        <v>1692</v>
      </c>
      <c r="C923" s="22">
        <v>45855</v>
      </c>
      <c r="D923" s="23" t="s">
        <v>235</v>
      </c>
      <c r="E923" s="23" t="s">
        <v>117</v>
      </c>
      <c r="F923" s="21">
        <v>1</v>
      </c>
      <c r="G923" s="12">
        <v>8999.5678478824557</v>
      </c>
      <c r="H923" s="12">
        <v>8999.5678478824557</v>
      </c>
      <c r="I923" s="23" t="s">
        <v>52</v>
      </c>
      <c r="J923" s="23" t="s">
        <v>61</v>
      </c>
      <c r="K923" s="24" t="s">
        <v>177</v>
      </c>
      <c r="L923" s="24">
        <v>160</v>
      </c>
      <c r="M923" s="12">
        <v>7562.6620570440809</v>
      </c>
      <c r="N923" s="12">
        <v>7562.6620570440809</v>
      </c>
      <c r="O923" s="12">
        <v>1436.9057908383747</v>
      </c>
      <c r="P923" s="13"/>
      <c r="Q923" s="14">
        <v>2025</v>
      </c>
      <c r="R923" s="15">
        <v>45474</v>
      </c>
      <c r="S923" s="11" t="s">
        <v>364</v>
      </c>
      <c r="T923" s="16">
        <v>750</v>
      </c>
      <c r="U923" s="17"/>
      <c r="V923" s="12">
        <v>2312.66205704408</v>
      </c>
      <c r="W923" s="12">
        <v>2312.66205704408</v>
      </c>
      <c r="X923" s="12">
        <v>0</v>
      </c>
      <c r="Y923" s="18">
        <v>45852</v>
      </c>
      <c r="Z923" s="13" t="s">
        <v>39</v>
      </c>
      <c r="AA923" s="19" t="s">
        <v>367</v>
      </c>
      <c r="AB923" s="13" t="s">
        <v>357</v>
      </c>
      <c r="AC923" s="13" t="s">
        <v>367</v>
      </c>
      <c r="AD923" s="20"/>
      <c r="AE923" s="20"/>
      <c r="AF923" s="13" t="s">
        <v>40</v>
      </c>
      <c r="AG923" s="15">
        <v>45474</v>
      </c>
      <c r="AH923" s="13" t="s">
        <v>41</v>
      </c>
      <c r="AI923" s="13" t="s">
        <v>35</v>
      </c>
      <c r="AJ923" s="13" t="s">
        <v>390</v>
      </c>
      <c r="AK923" s="14">
        <v>-0.75</v>
      </c>
      <c r="AL923" s="17"/>
      <c r="AM923" s="17"/>
      <c r="AN923" s="17"/>
      <c r="AO923" s="17"/>
      <c r="AP923" s="17"/>
      <c r="AQ923" s="17"/>
      <c r="AR923" s="17"/>
      <c r="AS923" s="17"/>
      <c r="AT923" s="17"/>
      <c r="AU923" s="17"/>
      <c r="AV923" s="17"/>
    </row>
    <row r="924" spans="1:48" ht="15.75" customHeight="1">
      <c r="A924" s="21" t="s">
        <v>139</v>
      </c>
      <c r="B924" s="23" t="s">
        <v>1692</v>
      </c>
      <c r="C924" s="22">
        <v>45855</v>
      </c>
      <c r="D924" s="23" t="s">
        <v>180</v>
      </c>
      <c r="E924" s="23" t="s">
        <v>183</v>
      </c>
      <c r="F924" s="21">
        <v>1</v>
      </c>
      <c r="G924" s="12">
        <v>4500</v>
      </c>
      <c r="H924" s="12">
        <v>4500</v>
      </c>
      <c r="I924" s="23" t="s">
        <v>52</v>
      </c>
      <c r="J924" s="23" t="s">
        <v>61</v>
      </c>
      <c r="K924" s="24" t="s">
        <v>177</v>
      </c>
      <c r="L924" s="24">
        <v>160</v>
      </c>
      <c r="M924" s="12">
        <v>3781.5126050420172</v>
      </c>
      <c r="N924" s="12">
        <v>3781.5126050420172</v>
      </c>
      <c r="O924" s="12">
        <v>718.48739495798281</v>
      </c>
      <c r="P924" s="13"/>
      <c r="Q924" s="14">
        <v>2025</v>
      </c>
      <c r="R924" s="15">
        <v>45474</v>
      </c>
      <c r="S924" s="11" t="s">
        <v>468</v>
      </c>
      <c r="T924" s="16">
        <v>500</v>
      </c>
      <c r="U924" s="17"/>
      <c r="V924" s="12">
        <v>1039.4957983193281</v>
      </c>
      <c r="W924" s="12">
        <v>1039.4957983193281</v>
      </c>
      <c r="X924" s="12">
        <v>0</v>
      </c>
      <c r="Y924" s="18">
        <v>45852</v>
      </c>
      <c r="Z924" s="13" t="s">
        <v>39</v>
      </c>
      <c r="AA924" s="19" t="s">
        <v>367</v>
      </c>
      <c r="AB924" s="13" t="s">
        <v>357</v>
      </c>
      <c r="AC924" s="13" t="s">
        <v>367</v>
      </c>
      <c r="AD924" s="20"/>
      <c r="AE924" s="20"/>
      <c r="AF924" s="13" t="s">
        <v>40</v>
      </c>
      <c r="AG924" s="15">
        <v>45474</v>
      </c>
      <c r="AH924" s="13" t="s">
        <v>41</v>
      </c>
      <c r="AI924" s="13" t="s">
        <v>139</v>
      </c>
      <c r="AJ924" s="13"/>
      <c r="AK924" s="14">
        <v>0</v>
      </c>
      <c r="AL924" s="17"/>
      <c r="AM924" s="17"/>
      <c r="AN924" s="17"/>
      <c r="AO924" s="17"/>
      <c r="AP924" s="17"/>
      <c r="AQ924" s="17"/>
      <c r="AR924" s="17"/>
      <c r="AS924" s="17"/>
      <c r="AT924" s="17"/>
      <c r="AU924" s="17"/>
      <c r="AV924" s="17"/>
    </row>
    <row r="925" spans="1:48" ht="15.75" customHeight="1">
      <c r="A925" s="21" t="s">
        <v>43</v>
      </c>
      <c r="B925" s="23" t="s">
        <v>1692</v>
      </c>
      <c r="C925" s="22">
        <v>45855</v>
      </c>
      <c r="D925" s="23" t="s">
        <v>236</v>
      </c>
      <c r="E925" s="23" t="s">
        <v>45</v>
      </c>
      <c r="F925" s="21">
        <v>2</v>
      </c>
      <c r="G925" s="12">
        <v>7900.1687504794045</v>
      </c>
      <c r="H925" s="12">
        <v>15800.337500958809</v>
      </c>
      <c r="I925" s="23" t="s">
        <v>52</v>
      </c>
      <c r="J925" s="23" t="s">
        <v>61</v>
      </c>
      <c r="K925" s="24" t="s">
        <v>177</v>
      </c>
      <c r="L925" s="24">
        <v>160</v>
      </c>
      <c r="M925" s="12">
        <v>6638.7972693104239</v>
      </c>
      <c r="N925" s="12">
        <v>13277.594538620848</v>
      </c>
      <c r="O925" s="12">
        <v>2522.7429623379612</v>
      </c>
      <c r="P925" s="13"/>
      <c r="Q925" s="14">
        <v>2025</v>
      </c>
      <c r="R925" s="15">
        <v>45474</v>
      </c>
      <c r="S925" s="11" t="s">
        <v>355</v>
      </c>
      <c r="T925" s="16">
        <v>0</v>
      </c>
      <c r="U925" s="17"/>
      <c r="V925" s="12">
        <v>2891.5945386208477</v>
      </c>
      <c r="W925" s="12">
        <v>2891.5945386208477</v>
      </c>
      <c r="X925" s="12">
        <v>0</v>
      </c>
      <c r="Y925" s="18">
        <v>45852</v>
      </c>
      <c r="Z925" s="13" t="s">
        <v>39</v>
      </c>
      <c r="AA925" s="19" t="s">
        <v>367</v>
      </c>
      <c r="AB925" s="13" t="s">
        <v>357</v>
      </c>
      <c r="AC925" s="13" t="s">
        <v>367</v>
      </c>
      <c r="AD925" s="20"/>
      <c r="AE925" s="20"/>
      <c r="AF925" s="13" t="s">
        <v>40</v>
      </c>
      <c r="AG925" s="15">
        <v>45474</v>
      </c>
      <c r="AH925" s="13" t="s">
        <v>41</v>
      </c>
      <c r="AI925" s="13" t="s">
        <v>43</v>
      </c>
      <c r="AJ925" s="13" t="s">
        <v>359</v>
      </c>
      <c r="AK925" s="14">
        <v>-2</v>
      </c>
      <c r="AL925" s="17"/>
      <c r="AM925" s="17"/>
      <c r="AN925" s="17"/>
      <c r="AO925" s="17"/>
      <c r="AP925" s="17"/>
      <c r="AQ925" s="17"/>
      <c r="AR925" s="17"/>
      <c r="AS925" s="17"/>
      <c r="AT925" s="17"/>
      <c r="AU925" s="17"/>
      <c r="AV925" s="17"/>
    </row>
    <row r="926" spans="1:48" ht="15.75" customHeight="1">
      <c r="A926" s="21" t="s">
        <v>35</v>
      </c>
      <c r="B926" s="23" t="s">
        <v>1692</v>
      </c>
      <c r="C926" s="22">
        <v>45855</v>
      </c>
      <c r="D926" s="23" t="s">
        <v>180</v>
      </c>
      <c r="E926" s="23" t="s">
        <v>117</v>
      </c>
      <c r="F926" s="21">
        <v>1</v>
      </c>
      <c r="G926" s="12">
        <v>8999.5678478824557</v>
      </c>
      <c r="H926" s="12">
        <v>8999.5678478824557</v>
      </c>
      <c r="I926" s="23" t="s">
        <v>52</v>
      </c>
      <c r="J926" s="23" t="s">
        <v>61</v>
      </c>
      <c r="K926" s="24" t="s">
        <v>177</v>
      </c>
      <c r="L926" s="24">
        <v>160</v>
      </c>
      <c r="M926" s="12">
        <v>7562.6620570440809</v>
      </c>
      <c r="N926" s="12">
        <v>7562.6620570440809</v>
      </c>
      <c r="O926" s="12">
        <v>1436.9057908383747</v>
      </c>
      <c r="P926" s="13"/>
      <c r="Q926" s="14">
        <v>2025</v>
      </c>
      <c r="R926" s="15">
        <v>45474</v>
      </c>
      <c r="S926" s="11" t="s">
        <v>364</v>
      </c>
      <c r="T926" s="16">
        <v>750</v>
      </c>
      <c r="U926" s="17"/>
      <c r="V926" s="12">
        <v>2312.66205704408</v>
      </c>
      <c r="W926" s="12">
        <v>2312.66205704408</v>
      </c>
      <c r="X926" s="12">
        <v>0</v>
      </c>
      <c r="Y926" s="18">
        <v>45852</v>
      </c>
      <c r="Z926" s="13" t="s">
        <v>39</v>
      </c>
      <c r="AA926" s="19" t="s">
        <v>367</v>
      </c>
      <c r="AB926" s="13" t="s">
        <v>357</v>
      </c>
      <c r="AC926" s="13" t="s">
        <v>367</v>
      </c>
      <c r="AD926" s="20"/>
      <c r="AE926" s="20"/>
      <c r="AF926" s="13" t="s">
        <v>40</v>
      </c>
      <c r="AG926" s="15">
        <v>45474</v>
      </c>
      <c r="AH926" s="13" t="s">
        <v>41</v>
      </c>
      <c r="AI926" s="13" t="s">
        <v>35</v>
      </c>
      <c r="AJ926" s="13" t="s">
        <v>390</v>
      </c>
      <c r="AK926" s="14">
        <v>-0.75</v>
      </c>
      <c r="AL926" s="17"/>
      <c r="AM926" s="17"/>
      <c r="AN926" s="17"/>
      <c r="AO926" s="17"/>
      <c r="AP926" s="17"/>
      <c r="AQ926" s="17"/>
      <c r="AR926" s="17"/>
      <c r="AS926" s="17"/>
      <c r="AT926" s="17"/>
      <c r="AU926" s="17"/>
      <c r="AV926" s="17"/>
    </row>
    <row r="927" spans="1:48" ht="15.75" customHeight="1">
      <c r="A927" s="21" t="s">
        <v>43</v>
      </c>
      <c r="B927" s="23" t="s">
        <v>1692</v>
      </c>
      <c r="C927" s="22">
        <v>45855</v>
      </c>
      <c r="D927" s="23" t="s">
        <v>180</v>
      </c>
      <c r="E927" s="23" t="s">
        <v>45</v>
      </c>
      <c r="F927" s="21">
        <v>1</v>
      </c>
      <c r="G927" s="12">
        <v>7900.1687504794045</v>
      </c>
      <c r="H927" s="12">
        <v>7900.1687504794045</v>
      </c>
      <c r="I927" s="23" t="s">
        <v>52</v>
      </c>
      <c r="J927" s="23" t="s">
        <v>61</v>
      </c>
      <c r="K927" s="24" t="s">
        <v>177</v>
      </c>
      <c r="L927" s="24">
        <v>160</v>
      </c>
      <c r="M927" s="12">
        <v>6638.7972693104239</v>
      </c>
      <c r="N927" s="12">
        <v>6638.7972693104239</v>
      </c>
      <c r="O927" s="12">
        <v>1261.3714811689806</v>
      </c>
      <c r="P927" s="13"/>
      <c r="Q927" s="14">
        <v>2025</v>
      </c>
      <c r="R927" s="15">
        <v>45474</v>
      </c>
      <c r="S927" s="11" t="s">
        <v>355</v>
      </c>
      <c r="T927" s="16">
        <v>0</v>
      </c>
      <c r="U927" s="17"/>
      <c r="V927" s="12">
        <v>1445.7972693104239</v>
      </c>
      <c r="W927" s="12">
        <v>1445.7972693104239</v>
      </c>
      <c r="X927" s="12">
        <v>0</v>
      </c>
      <c r="Y927" s="18">
        <v>45852</v>
      </c>
      <c r="Z927" s="13" t="s">
        <v>39</v>
      </c>
      <c r="AA927" s="19" t="s">
        <v>367</v>
      </c>
      <c r="AB927" s="13" t="s">
        <v>357</v>
      </c>
      <c r="AC927" s="13" t="s">
        <v>367</v>
      </c>
      <c r="AD927" s="20"/>
      <c r="AE927" s="20"/>
      <c r="AF927" s="13" t="s">
        <v>40</v>
      </c>
      <c r="AG927" s="15">
        <v>45474</v>
      </c>
      <c r="AH927" s="13" t="s">
        <v>41</v>
      </c>
      <c r="AI927" s="13" t="s">
        <v>43</v>
      </c>
      <c r="AJ927" s="13" t="s">
        <v>359</v>
      </c>
      <c r="AK927" s="14">
        <v>-1</v>
      </c>
      <c r="AL927" s="17"/>
      <c r="AM927" s="17"/>
      <c r="AN927" s="17"/>
      <c r="AO927" s="17"/>
      <c r="AP927" s="17"/>
      <c r="AQ927" s="17"/>
      <c r="AR927" s="17"/>
      <c r="AS927" s="17"/>
      <c r="AT927" s="17"/>
      <c r="AU927" s="17"/>
      <c r="AV927" s="17"/>
    </row>
    <row r="928" spans="1:48" ht="15.75" customHeight="1">
      <c r="A928" s="21" t="s">
        <v>43</v>
      </c>
      <c r="B928" s="23" t="s">
        <v>1692</v>
      </c>
      <c r="C928" s="22">
        <v>45855</v>
      </c>
      <c r="D928" s="23" t="s">
        <v>915</v>
      </c>
      <c r="E928" s="23" t="s">
        <v>45</v>
      </c>
      <c r="F928" s="21">
        <v>1</v>
      </c>
      <c r="G928" s="12">
        <v>7900.1687504794045</v>
      </c>
      <c r="H928" s="12">
        <v>7900.1687504794045</v>
      </c>
      <c r="I928" s="23" t="s">
        <v>52</v>
      </c>
      <c r="J928" s="23" t="s">
        <v>38</v>
      </c>
      <c r="K928" s="24" t="s">
        <v>177</v>
      </c>
      <c r="L928" s="24">
        <v>160</v>
      </c>
      <c r="M928" s="12">
        <v>6638.7972693104239</v>
      </c>
      <c r="N928" s="12">
        <v>6638.7972693104239</v>
      </c>
      <c r="O928" s="12">
        <v>1261.3714811689806</v>
      </c>
      <c r="P928" s="13"/>
      <c r="Q928" s="14">
        <v>2025</v>
      </c>
      <c r="R928" s="15">
        <v>45474</v>
      </c>
      <c r="S928" s="11" t="s">
        <v>355</v>
      </c>
      <c r="T928" s="16">
        <v>0</v>
      </c>
      <c r="U928" s="17"/>
      <c r="V928" s="12">
        <v>1445.7972693104239</v>
      </c>
      <c r="W928" s="12">
        <v>1445.7972693104239</v>
      </c>
      <c r="X928" s="12">
        <v>0</v>
      </c>
      <c r="Y928" s="18">
        <v>45852</v>
      </c>
      <c r="Z928" s="13" t="s">
        <v>39</v>
      </c>
      <c r="AA928" s="19" t="s">
        <v>367</v>
      </c>
      <c r="AB928" s="13" t="s">
        <v>357</v>
      </c>
      <c r="AC928" s="13" t="s">
        <v>367</v>
      </c>
      <c r="AD928" s="20"/>
      <c r="AE928" s="20"/>
      <c r="AF928" s="13" t="s">
        <v>40</v>
      </c>
      <c r="AG928" s="15">
        <v>45474</v>
      </c>
      <c r="AH928" s="13" t="s">
        <v>41</v>
      </c>
      <c r="AI928" s="13" t="s">
        <v>43</v>
      </c>
      <c r="AJ928" s="13" t="s">
        <v>359</v>
      </c>
      <c r="AK928" s="14">
        <v>-1</v>
      </c>
      <c r="AL928" s="17"/>
      <c r="AM928" s="17"/>
      <c r="AN928" s="17"/>
      <c r="AO928" s="17"/>
      <c r="AP928" s="17"/>
      <c r="AQ928" s="17"/>
      <c r="AR928" s="17"/>
      <c r="AS928" s="17"/>
      <c r="AT928" s="17"/>
      <c r="AU928" s="17"/>
      <c r="AV928" s="17"/>
    </row>
    <row r="929" spans="1:48" ht="15.75" customHeight="1">
      <c r="A929" s="21" t="s">
        <v>43</v>
      </c>
      <c r="B929" s="23" t="s">
        <v>1692</v>
      </c>
      <c r="C929" s="22">
        <v>45855</v>
      </c>
      <c r="D929" s="23" t="s">
        <v>469</v>
      </c>
      <c r="E929" s="23" t="s">
        <v>45</v>
      </c>
      <c r="F929" s="21">
        <v>1</v>
      </c>
      <c r="G929" s="12">
        <v>7900.1687504794045</v>
      </c>
      <c r="H929" s="12">
        <v>7900.1687504794045</v>
      </c>
      <c r="I929" s="23" t="s">
        <v>52</v>
      </c>
      <c r="J929" s="23" t="s">
        <v>61</v>
      </c>
      <c r="K929" s="24" t="s">
        <v>177</v>
      </c>
      <c r="L929" s="24">
        <v>160</v>
      </c>
      <c r="M929" s="12">
        <v>6638.7972693104239</v>
      </c>
      <c r="N929" s="12">
        <v>6638.7972693104239</v>
      </c>
      <c r="O929" s="12">
        <v>1261.3714811689806</v>
      </c>
      <c r="P929" s="13"/>
      <c r="Q929" s="14">
        <v>2025</v>
      </c>
      <c r="R929" s="15">
        <v>45474</v>
      </c>
      <c r="S929" s="11" t="s">
        <v>355</v>
      </c>
      <c r="T929" s="16">
        <v>0</v>
      </c>
      <c r="U929" s="17"/>
      <c r="V929" s="12">
        <v>1445.7972693104239</v>
      </c>
      <c r="W929" s="12">
        <v>1445.7972693104239</v>
      </c>
      <c r="X929" s="12">
        <v>0</v>
      </c>
      <c r="Y929" s="18">
        <v>45852</v>
      </c>
      <c r="Z929" s="13" t="s">
        <v>39</v>
      </c>
      <c r="AA929" s="19" t="s">
        <v>356</v>
      </c>
      <c r="AB929" s="13" t="s">
        <v>357</v>
      </c>
      <c r="AC929" s="13" t="s">
        <v>383</v>
      </c>
      <c r="AD929" s="20"/>
      <c r="AE929" s="20"/>
      <c r="AF929" s="13" t="s">
        <v>40</v>
      </c>
      <c r="AG929" s="15">
        <v>45474</v>
      </c>
      <c r="AH929" s="13" t="s">
        <v>41</v>
      </c>
      <c r="AI929" s="13" t="s">
        <v>43</v>
      </c>
      <c r="AJ929" s="13" t="s">
        <v>359</v>
      </c>
      <c r="AK929" s="14">
        <v>-1</v>
      </c>
      <c r="AL929" s="17"/>
      <c r="AM929" s="17"/>
      <c r="AN929" s="17"/>
      <c r="AO929" s="17"/>
      <c r="AP929" s="17"/>
      <c r="AQ929" s="17"/>
      <c r="AR929" s="17"/>
      <c r="AS929" s="17"/>
      <c r="AT929" s="17"/>
      <c r="AU929" s="17"/>
      <c r="AV929" s="17"/>
    </row>
    <row r="930" spans="1:48" ht="15.75" customHeight="1">
      <c r="A930" s="21" t="s">
        <v>35</v>
      </c>
      <c r="B930" s="23" t="s">
        <v>1692</v>
      </c>
      <c r="C930" s="22">
        <v>45855</v>
      </c>
      <c r="D930" s="23" t="s">
        <v>469</v>
      </c>
      <c r="E930" s="23" t="s">
        <v>46</v>
      </c>
      <c r="F930" s="21">
        <v>1</v>
      </c>
      <c r="G930" s="12">
        <v>6000.1548227279782</v>
      </c>
      <c r="H930" s="12">
        <v>6000.1548227279782</v>
      </c>
      <c r="I930" s="23" t="s">
        <v>52</v>
      </c>
      <c r="J930" s="23" t="s">
        <v>61</v>
      </c>
      <c r="K930" s="24" t="s">
        <v>177</v>
      </c>
      <c r="L930" s="24">
        <v>160</v>
      </c>
      <c r="M930" s="12">
        <v>5042.1469098554444</v>
      </c>
      <c r="N930" s="12">
        <v>5042.1469098554444</v>
      </c>
      <c r="O930" s="12">
        <v>958.00791287253378</v>
      </c>
      <c r="P930" s="13"/>
      <c r="Q930" s="14">
        <v>2025</v>
      </c>
      <c r="R930" s="15">
        <v>45474</v>
      </c>
      <c r="S930" s="11" t="s">
        <v>364</v>
      </c>
      <c r="T930" s="16">
        <v>500</v>
      </c>
      <c r="U930" s="17"/>
      <c r="V930" s="12">
        <v>1785.4242207798129</v>
      </c>
      <c r="W930" s="12">
        <v>1785.4242207798129</v>
      </c>
      <c r="X930" s="12">
        <v>0</v>
      </c>
      <c r="Y930" s="18">
        <v>45852</v>
      </c>
      <c r="Z930" s="13" t="s">
        <v>39</v>
      </c>
      <c r="AA930" s="19" t="s">
        <v>356</v>
      </c>
      <c r="AB930" s="13" t="s">
        <v>357</v>
      </c>
      <c r="AC930" s="13" t="s">
        <v>383</v>
      </c>
      <c r="AD930" s="20"/>
      <c r="AE930" s="20"/>
      <c r="AF930" s="13" t="s">
        <v>40</v>
      </c>
      <c r="AG930" s="15">
        <v>45474</v>
      </c>
      <c r="AH930" s="13" t="s">
        <v>41</v>
      </c>
      <c r="AI930" s="13" t="s">
        <v>35</v>
      </c>
      <c r="AJ930" s="13" t="s">
        <v>365</v>
      </c>
      <c r="AK930" s="14">
        <v>-0.5</v>
      </c>
      <c r="AL930" s="17"/>
      <c r="AM930" s="17"/>
      <c r="AN930" s="17"/>
      <c r="AO930" s="17"/>
      <c r="AP930" s="17"/>
      <c r="AQ930" s="17"/>
      <c r="AR930" s="17"/>
      <c r="AS930" s="17"/>
      <c r="AT930" s="17"/>
      <c r="AU930" s="17"/>
      <c r="AV930" s="17"/>
    </row>
    <row r="931" spans="1:48" ht="15.75" customHeight="1">
      <c r="A931" s="21" t="s">
        <v>43</v>
      </c>
      <c r="B931" s="23" t="s">
        <v>1692</v>
      </c>
      <c r="C931" s="22">
        <v>45855</v>
      </c>
      <c r="D931" s="23" t="s">
        <v>108</v>
      </c>
      <c r="E931" s="23" t="s">
        <v>45</v>
      </c>
      <c r="F931" s="21">
        <v>1</v>
      </c>
      <c r="G931" s="12">
        <v>7900.1687504794045</v>
      </c>
      <c r="H931" s="12">
        <v>7900.1687504794045</v>
      </c>
      <c r="I931" s="23" t="s">
        <v>52</v>
      </c>
      <c r="J931" s="23" t="s">
        <v>61</v>
      </c>
      <c r="K931" s="24" t="s">
        <v>177</v>
      </c>
      <c r="L931" s="24">
        <v>160</v>
      </c>
      <c r="M931" s="12">
        <v>6638.7972693104239</v>
      </c>
      <c r="N931" s="12">
        <v>6638.7972693104239</v>
      </c>
      <c r="O931" s="12">
        <v>1261.3714811689806</v>
      </c>
      <c r="P931" s="13"/>
      <c r="Q931" s="14">
        <v>2025</v>
      </c>
      <c r="R931" s="15">
        <v>45474</v>
      </c>
      <c r="S931" s="11" t="s">
        <v>355</v>
      </c>
      <c r="T931" s="16">
        <v>0</v>
      </c>
      <c r="U931" s="17"/>
      <c r="V931" s="12">
        <v>1445.7972693104239</v>
      </c>
      <c r="W931" s="12">
        <v>1445.7972693104239</v>
      </c>
      <c r="X931" s="12">
        <v>0</v>
      </c>
      <c r="Y931" s="18">
        <v>45852</v>
      </c>
      <c r="Z931" s="13" t="s">
        <v>39</v>
      </c>
      <c r="AA931" s="19" t="s">
        <v>361</v>
      </c>
      <c r="AB931" s="13" t="s">
        <v>357</v>
      </c>
      <c r="AC931" s="13" t="s">
        <v>362</v>
      </c>
      <c r="AD931" s="20"/>
      <c r="AE931" s="20"/>
      <c r="AF931" s="13" t="s">
        <v>40</v>
      </c>
      <c r="AG931" s="15">
        <v>45474</v>
      </c>
      <c r="AH931" s="13" t="s">
        <v>41</v>
      </c>
      <c r="AI931" s="13" t="s">
        <v>43</v>
      </c>
      <c r="AJ931" s="13" t="s">
        <v>359</v>
      </c>
      <c r="AK931" s="14">
        <v>-1</v>
      </c>
      <c r="AL931" s="17"/>
      <c r="AM931" s="17"/>
      <c r="AN931" s="17"/>
      <c r="AO931" s="17"/>
      <c r="AP931" s="17"/>
      <c r="AQ931" s="17"/>
      <c r="AR931" s="17"/>
      <c r="AS931" s="17"/>
      <c r="AT931" s="17"/>
      <c r="AU931" s="17"/>
      <c r="AV931" s="17"/>
    </row>
    <row r="932" spans="1:48" ht="15.75" customHeight="1">
      <c r="A932" s="21" t="s">
        <v>53</v>
      </c>
      <c r="B932" s="23" t="s">
        <v>1692</v>
      </c>
      <c r="C932" s="22">
        <v>45855</v>
      </c>
      <c r="D932" s="23" t="s">
        <v>108</v>
      </c>
      <c r="E932" s="23" t="s">
        <v>109</v>
      </c>
      <c r="F932" s="21">
        <v>1</v>
      </c>
      <c r="G932" s="12">
        <v>10000</v>
      </c>
      <c r="H932" s="12">
        <v>10000</v>
      </c>
      <c r="I932" s="23" t="s">
        <v>52</v>
      </c>
      <c r="J932" s="23" t="s">
        <v>61</v>
      </c>
      <c r="K932" s="24" t="s">
        <v>177</v>
      </c>
      <c r="L932" s="24">
        <v>160</v>
      </c>
      <c r="M932" s="12">
        <v>8403.361344537816</v>
      </c>
      <c r="N932" s="12">
        <v>8403.361344537816</v>
      </c>
      <c r="O932" s="12">
        <v>1596.638655462184</v>
      </c>
      <c r="P932" s="13"/>
      <c r="Q932" s="14">
        <v>2025</v>
      </c>
      <c r="R932" s="15">
        <v>45474</v>
      </c>
      <c r="S932" s="11" t="s">
        <v>395</v>
      </c>
      <c r="T932" s="16">
        <v>400</v>
      </c>
      <c r="U932" s="17"/>
      <c r="V932" s="12">
        <v>2100.8403361344544</v>
      </c>
      <c r="W932" s="12">
        <v>2100.8403361344544</v>
      </c>
      <c r="X932" s="12">
        <v>0</v>
      </c>
      <c r="Y932" s="18">
        <v>45852</v>
      </c>
      <c r="Z932" s="13" t="s">
        <v>39</v>
      </c>
      <c r="AA932" s="19" t="s">
        <v>361</v>
      </c>
      <c r="AB932" s="13" t="s">
        <v>357</v>
      </c>
      <c r="AC932" s="13" t="s">
        <v>362</v>
      </c>
      <c r="AD932" s="20"/>
      <c r="AE932" s="20"/>
      <c r="AF932" s="13" t="s">
        <v>40</v>
      </c>
      <c r="AG932" s="15">
        <v>45474</v>
      </c>
      <c r="AH932" s="13" t="s">
        <v>41</v>
      </c>
      <c r="AI932" s="13" t="s">
        <v>53</v>
      </c>
      <c r="AJ932" s="13" t="s">
        <v>396</v>
      </c>
      <c r="AK932" s="14">
        <v>-4</v>
      </c>
      <c r="AL932" s="17"/>
      <c r="AM932" s="17"/>
      <c r="AN932" s="17"/>
      <c r="AO932" s="17"/>
      <c r="AP932" s="17"/>
      <c r="AQ932" s="17"/>
      <c r="AR932" s="17"/>
      <c r="AS932" s="17"/>
      <c r="AT932" s="17"/>
      <c r="AU932" s="17"/>
      <c r="AV932" s="17"/>
    </row>
    <row r="933" spans="1:48" ht="15.75" customHeight="1">
      <c r="A933" s="21" t="s">
        <v>76</v>
      </c>
      <c r="B933" s="23" t="s">
        <v>1692</v>
      </c>
      <c r="C933" s="22">
        <v>45855</v>
      </c>
      <c r="D933" s="23" t="s">
        <v>108</v>
      </c>
      <c r="E933" s="23" t="s">
        <v>81</v>
      </c>
      <c r="F933" s="21">
        <v>1</v>
      </c>
      <c r="G933" s="12">
        <v>3500.0000000000005</v>
      </c>
      <c r="H933" s="12">
        <v>3500.0000000000005</v>
      </c>
      <c r="I933" s="23" t="s">
        <v>52</v>
      </c>
      <c r="J933" s="23" t="s">
        <v>61</v>
      </c>
      <c r="K933" s="24" t="s">
        <v>177</v>
      </c>
      <c r="L933" s="24">
        <v>160</v>
      </c>
      <c r="M933" s="12">
        <v>2941.1764705882356</v>
      </c>
      <c r="N933" s="12">
        <v>2941.1764705882356</v>
      </c>
      <c r="O933" s="12">
        <v>558.82352941176487</v>
      </c>
      <c r="P933" s="13"/>
      <c r="Q933" s="14">
        <v>2025</v>
      </c>
      <c r="R933" s="15">
        <v>45474</v>
      </c>
      <c r="S933" s="11" t="s">
        <v>397</v>
      </c>
      <c r="T933" s="16">
        <v>5</v>
      </c>
      <c r="U933" s="17"/>
      <c r="V933" s="12">
        <v>764.70588235294144</v>
      </c>
      <c r="W933" s="12">
        <v>764.70588235294144</v>
      </c>
      <c r="X933" s="12">
        <v>0</v>
      </c>
      <c r="Y933" s="18">
        <v>45852</v>
      </c>
      <c r="Z933" s="13" t="s">
        <v>39</v>
      </c>
      <c r="AA933" s="19" t="s">
        <v>361</v>
      </c>
      <c r="AB933" s="13" t="s">
        <v>357</v>
      </c>
      <c r="AC933" s="13" t="s">
        <v>362</v>
      </c>
      <c r="AD933" s="20"/>
      <c r="AE933" s="20"/>
      <c r="AF933" s="13" t="s">
        <v>40</v>
      </c>
      <c r="AG933" s="15">
        <v>45474</v>
      </c>
      <c r="AH933" s="13" t="s">
        <v>41</v>
      </c>
      <c r="AI933" s="13" t="s">
        <v>76</v>
      </c>
      <c r="AJ933" s="13" t="s">
        <v>398</v>
      </c>
      <c r="AK933" s="14">
        <v>-1</v>
      </c>
      <c r="AL933" s="17"/>
      <c r="AM933" s="17"/>
      <c r="AN933" s="17"/>
      <c r="AO933" s="17"/>
      <c r="AP933" s="17"/>
      <c r="AQ933" s="17"/>
      <c r="AR933" s="17"/>
      <c r="AS933" s="17"/>
      <c r="AT933" s="17"/>
      <c r="AU933" s="17"/>
      <c r="AV933" s="17"/>
    </row>
    <row r="934" spans="1:48" ht="15.75" customHeight="1">
      <c r="A934" s="21" t="s">
        <v>47</v>
      </c>
      <c r="B934" s="23" t="s">
        <v>1692</v>
      </c>
      <c r="C934" s="22">
        <v>45855</v>
      </c>
      <c r="D934" s="23" t="s">
        <v>108</v>
      </c>
      <c r="E934" s="23" t="s">
        <v>204</v>
      </c>
      <c r="F934" s="21">
        <v>1</v>
      </c>
      <c r="G934" s="12">
        <v>1199.9357739242132</v>
      </c>
      <c r="H934" s="12">
        <v>1199.9357739242132</v>
      </c>
      <c r="I934" s="23" t="s">
        <v>52</v>
      </c>
      <c r="J934" s="23" t="s">
        <v>61</v>
      </c>
      <c r="K934" s="24" t="s">
        <v>177</v>
      </c>
      <c r="L934" s="24">
        <v>160</v>
      </c>
      <c r="M934" s="12">
        <v>1008.3493898522801</v>
      </c>
      <c r="N934" s="12">
        <v>1008.3493898522801</v>
      </c>
      <c r="O934" s="12">
        <v>191.58638407193314</v>
      </c>
      <c r="P934" s="13"/>
      <c r="Q934" s="14">
        <v>2025</v>
      </c>
      <c r="R934" s="15">
        <v>45474</v>
      </c>
      <c r="S934" s="11" t="s">
        <v>400</v>
      </c>
      <c r="T934" s="16">
        <v>0</v>
      </c>
      <c r="U934" s="17"/>
      <c r="V934" s="12">
        <v>537.34938985228007</v>
      </c>
      <c r="W934" s="12">
        <v>537.34938985228007</v>
      </c>
      <c r="X934" s="12">
        <v>0</v>
      </c>
      <c r="Y934" s="18">
        <v>45852</v>
      </c>
      <c r="Z934" s="13" t="s">
        <v>39</v>
      </c>
      <c r="AA934" s="19" t="s">
        <v>361</v>
      </c>
      <c r="AB934" s="13" t="s">
        <v>357</v>
      </c>
      <c r="AC934" s="13" t="s">
        <v>362</v>
      </c>
      <c r="AD934" s="20"/>
      <c r="AE934" s="20"/>
      <c r="AF934" s="13" t="s">
        <v>40</v>
      </c>
      <c r="AG934" s="15">
        <v>45474</v>
      </c>
      <c r="AH934" s="13" t="s">
        <v>41</v>
      </c>
      <c r="AI934" s="13" t="s">
        <v>47</v>
      </c>
      <c r="AJ934" s="13" t="s">
        <v>401</v>
      </c>
      <c r="AK934" s="14">
        <v>-1</v>
      </c>
      <c r="AL934" s="17"/>
      <c r="AM934" s="17"/>
      <c r="AN934" s="17"/>
      <c r="AO934" s="17"/>
      <c r="AP934" s="17"/>
      <c r="AQ934" s="17"/>
      <c r="AR934" s="17"/>
      <c r="AS934" s="17"/>
      <c r="AT934" s="17"/>
      <c r="AU934" s="17"/>
      <c r="AV934" s="17"/>
    </row>
    <row r="935" spans="1:48" ht="15.75" customHeight="1">
      <c r="A935" s="21" t="s">
        <v>53</v>
      </c>
      <c r="B935" s="23" t="s">
        <v>1692</v>
      </c>
      <c r="C935" s="22">
        <v>45855</v>
      </c>
      <c r="D935" s="23" t="s">
        <v>108</v>
      </c>
      <c r="E935" s="23" t="s">
        <v>150</v>
      </c>
      <c r="F935" s="21">
        <v>1</v>
      </c>
      <c r="G935" s="12">
        <v>1799.8965445892823</v>
      </c>
      <c r="H935" s="12">
        <v>1799.8965445892823</v>
      </c>
      <c r="I935" s="23" t="s">
        <v>52</v>
      </c>
      <c r="J935" s="23" t="s">
        <v>61</v>
      </c>
      <c r="K935" s="24" t="s">
        <v>177</v>
      </c>
      <c r="L935" s="24">
        <v>160</v>
      </c>
      <c r="M935" s="12">
        <v>1512.518104696876</v>
      </c>
      <c r="N935" s="12">
        <v>1512.518104696876</v>
      </c>
      <c r="O935" s="12">
        <v>287.37843989240628</v>
      </c>
      <c r="P935" s="13"/>
      <c r="Q935" s="14">
        <v>2025</v>
      </c>
      <c r="R935" s="15">
        <v>45474</v>
      </c>
      <c r="S935" s="11" t="s">
        <v>381</v>
      </c>
      <c r="T935" s="16">
        <v>300</v>
      </c>
      <c r="U935" s="17"/>
      <c r="V935" s="12">
        <v>781.51810469687575</v>
      </c>
      <c r="W935" s="12">
        <v>781.51810469687575</v>
      </c>
      <c r="X935" s="12">
        <v>0</v>
      </c>
      <c r="Y935" s="18">
        <v>45852</v>
      </c>
      <c r="Z935" s="13" t="s">
        <v>39</v>
      </c>
      <c r="AA935" s="19" t="s">
        <v>361</v>
      </c>
      <c r="AB935" s="13" t="s">
        <v>357</v>
      </c>
      <c r="AC935" s="13" t="s">
        <v>362</v>
      </c>
      <c r="AD935" s="20"/>
      <c r="AE935" s="20"/>
      <c r="AF935" s="13" t="s">
        <v>40</v>
      </c>
      <c r="AG935" s="15">
        <v>45474</v>
      </c>
      <c r="AH935" s="13" t="s">
        <v>41</v>
      </c>
      <c r="AI935" s="13" t="s">
        <v>53</v>
      </c>
      <c r="AJ935" s="13" t="s">
        <v>382</v>
      </c>
      <c r="AK935" s="14">
        <v>-1</v>
      </c>
      <c r="AL935" s="17"/>
      <c r="AM935" s="17"/>
      <c r="AN935" s="17"/>
      <c r="AO935" s="17"/>
      <c r="AP935" s="17"/>
      <c r="AQ935" s="17"/>
      <c r="AR935" s="17"/>
      <c r="AS935" s="17"/>
      <c r="AT935" s="17"/>
      <c r="AU935" s="17"/>
      <c r="AV935" s="17"/>
    </row>
    <row r="936" spans="1:48" ht="15.75" customHeight="1">
      <c r="A936" s="21" t="s">
        <v>35</v>
      </c>
      <c r="B936" s="23" t="s">
        <v>1692</v>
      </c>
      <c r="C936" s="22">
        <v>45855</v>
      </c>
      <c r="D936" s="23" t="s">
        <v>265</v>
      </c>
      <c r="E936" s="23" t="s">
        <v>37</v>
      </c>
      <c r="F936" s="21">
        <v>1</v>
      </c>
      <c r="G936" s="12">
        <v>11000.014358944907</v>
      </c>
      <c r="H936" s="12">
        <v>11000.014358944907</v>
      </c>
      <c r="I936" s="23" t="s">
        <v>52</v>
      </c>
      <c r="J936" s="23" t="s">
        <v>61</v>
      </c>
      <c r="K936" s="24" t="s">
        <v>177</v>
      </c>
      <c r="L936" s="24">
        <v>160</v>
      </c>
      <c r="M936" s="12">
        <v>9243.7095453318543</v>
      </c>
      <c r="N936" s="12">
        <v>9243.7095453318543</v>
      </c>
      <c r="O936" s="12">
        <v>1756.3048136130528</v>
      </c>
      <c r="P936" s="13"/>
      <c r="Q936" s="14">
        <v>2025</v>
      </c>
      <c r="R936" s="15">
        <v>45474</v>
      </c>
      <c r="S936" s="11" t="s">
        <v>364</v>
      </c>
      <c r="T936" s="16">
        <v>1000</v>
      </c>
      <c r="U936" s="17"/>
      <c r="V936" s="12">
        <v>2806.1129066763915</v>
      </c>
      <c r="W936" s="12">
        <v>2806.1129066763915</v>
      </c>
      <c r="X936" s="12">
        <v>0</v>
      </c>
      <c r="Y936" s="18">
        <v>45852</v>
      </c>
      <c r="Z936" s="13" t="s">
        <v>39</v>
      </c>
      <c r="AA936" s="19" t="s">
        <v>373</v>
      </c>
      <c r="AB936" s="13" t="s">
        <v>357</v>
      </c>
      <c r="AC936" s="13" t="s">
        <v>470</v>
      </c>
      <c r="AD936" s="20"/>
      <c r="AE936" s="20"/>
      <c r="AF936" s="13" t="s">
        <v>40</v>
      </c>
      <c r="AG936" s="15">
        <v>45474</v>
      </c>
      <c r="AH936" s="13" t="s">
        <v>41</v>
      </c>
      <c r="AI936" s="13" t="s">
        <v>35</v>
      </c>
      <c r="AJ936" s="13" t="s">
        <v>365</v>
      </c>
      <c r="AK936" s="14">
        <v>-1</v>
      </c>
      <c r="AL936" s="17"/>
      <c r="AM936" s="17"/>
      <c r="AN936" s="17"/>
      <c r="AO936" s="17"/>
      <c r="AP936" s="17"/>
      <c r="AQ936" s="17"/>
      <c r="AR936" s="17"/>
      <c r="AS936" s="17"/>
      <c r="AT936" s="17"/>
      <c r="AU936" s="17"/>
      <c r="AV936" s="17"/>
    </row>
    <row r="937" spans="1:48" ht="15.75" customHeight="1">
      <c r="A937" s="21" t="s">
        <v>35</v>
      </c>
      <c r="B937" s="23" t="s">
        <v>1692</v>
      </c>
      <c r="C937" s="22">
        <v>45855</v>
      </c>
      <c r="D937" s="23" t="s">
        <v>121</v>
      </c>
      <c r="E937" s="23" t="s">
        <v>37</v>
      </c>
      <c r="F937" s="21">
        <v>1</v>
      </c>
      <c r="G937" s="12">
        <v>11000.014358944907</v>
      </c>
      <c r="H937" s="12">
        <v>11000.014358944907</v>
      </c>
      <c r="I937" s="23" t="s">
        <v>52</v>
      </c>
      <c r="J937" s="23" t="s">
        <v>61</v>
      </c>
      <c r="K937" s="24" t="s">
        <v>177</v>
      </c>
      <c r="L937" s="24">
        <v>160</v>
      </c>
      <c r="M937" s="12">
        <v>9243.7095453318543</v>
      </c>
      <c r="N937" s="12">
        <v>9243.7095453318543</v>
      </c>
      <c r="O937" s="12">
        <v>1756.3048136130528</v>
      </c>
      <c r="P937" s="13"/>
      <c r="Q937" s="14">
        <v>2025</v>
      </c>
      <c r="R937" s="15">
        <v>45474</v>
      </c>
      <c r="S937" s="11" t="s">
        <v>364</v>
      </c>
      <c r="T937" s="16">
        <v>1000</v>
      </c>
      <c r="U937" s="17"/>
      <c r="V937" s="12">
        <v>2806.1129066763915</v>
      </c>
      <c r="W937" s="12">
        <v>2806.1129066763915</v>
      </c>
      <c r="X937" s="12">
        <v>0</v>
      </c>
      <c r="Y937" s="18">
        <v>45852</v>
      </c>
      <c r="Z937" s="13" t="s">
        <v>39</v>
      </c>
      <c r="AA937" s="19" t="s">
        <v>373</v>
      </c>
      <c r="AB937" s="13" t="s">
        <v>357</v>
      </c>
      <c r="AC937" s="13" t="s">
        <v>471</v>
      </c>
      <c r="AD937" s="20"/>
      <c r="AE937" s="20"/>
      <c r="AF937" s="13" t="s">
        <v>40</v>
      </c>
      <c r="AG937" s="15">
        <v>45474</v>
      </c>
      <c r="AH937" s="13" t="s">
        <v>41</v>
      </c>
      <c r="AI937" s="13" t="s">
        <v>35</v>
      </c>
      <c r="AJ937" s="13" t="s">
        <v>365</v>
      </c>
      <c r="AK937" s="14">
        <v>-1</v>
      </c>
      <c r="AL937" s="17"/>
      <c r="AM937" s="17"/>
      <c r="AN937" s="17"/>
      <c r="AO937" s="17"/>
      <c r="AP937" s="17"/>
      <c r="AQ937" s="17"/>
      <c r="AR937" s="17"/>
      <c r="AS937" s="17"/>
      <c r="AT937" s="17"/>
      <c r="AU937" s="17"/>
      <c r="AV937" s="17"/>
    </row>
    <row r="938" spans="1:48" ht="15.75" customHeight="1">
      <c r="A938" s="21" t="s">
        <v>43</v>
      </c>
      <c r="B938" s="23" t="s">
        <v>1692</v>
      </c>
      <c r="C938" s="22">
        <v>45855</v>
      </c>
      <c r="D938" s="23" t="s">
        <v>121</v>
      </c>
      <c r="E938" s="23" t="s">
        <v>45</v>
      </c>
      <c r="F938" s="21">
        <v>1</v>
      </c>
      <c r="G938" s="12">
        <v>7900.1687504794045</v>
      </c>
      <c r="H938" s="12">
        <v>7900.1687504794045</v>
      </c>
      <c r="I938" s="23" t="s">
        <v>52</v>
      </c>
      <c r="J938" s="23" t="s">
        <v>61</v>
      </c>
      <c r="K938" s="24" t="s">
        <v>177</v>
      </c>
      <c r="L938" s="24">
        <v>160</v>
      </c>
      <c r="M938" s="12">
        <v>6638.7972693104239</v>
      </c>
      <c r="N938" s="12">
        <v>6638.7972693104239</v>
      </c>
      <c r="O938" s="12">
        <v>1261.3714811689806</v>
      </c>
      <c r="P938" s="13"/>
      <c r="Q938" s="14">
        <v>2025</v>
      </c>
      <c r="R938" s="15">
        <v>45474</v>
      </c>
      <c r="S938" s="11" t="s">
        <v>355</v>
      </c>
      <c r="T938" s="16">
        <v>0</v>
      </c>
      <c r="U938" s="17"/>
      <c r="V938" s="12">
        <v>1445.7972693104239</v>
      </c>
      <c r="W938" s="12">
        <v>1445.7972693104239</v>
      </c>
      <c r="X938" s="12">
        <v>0</v>
      </c>
      <c r="Y938" s="18">
        <v>45852</v>
      </c>
      <c r="Z938" s="13" t="s">
        <v>39</v>
      </c>
      <c r="AA938" s="19" t="s">
        <v>373</v>
      </c>
      <c r="AB938" s="13" t="s">
        <v>357</v>
      </c>
      <c r="AC938" s="13" t="s">
        <v>471</v>
      </c>
      <c r="AD938" s="20"/>
      <c r="AE938" s="20"/>
      <c r="AF938" s="13" t="s">
        <v>40</v>
      </c>
      <c r="AG938" s="15">
        <v>45474</v>
      </c>
      <c r="AH938" s="13" t="s">
        <v>41</v>
      </c>
      <c r="AI938" s="13" t="s">
        <v>43</v>
      </c>
      <c r="AJ938" s="13" t="s">
        <v>359</v>
      </c>
      <c r="AK938" s="14">
        <v>-1</v>
      </c>
      <c r="AL938" s="17"/>
      <c r="AM938" s="17"/>
      <c r="AN938" s="17"/>
      <c r="AO938" s="17"/>
      <c r="AP938" s="17"/>
      <c r="AQ938" s="17"/>
      <c r="AR938" s="17"/>
      <c r="AS938" s="17"/>
      <c r="AT938" s="17"/>
      <c r="AU938" s="17"/>
      <c r="AV938" s="17"/>
    </row>
    <row r="939" spans="1:48" ht="15.75" customHeight="1">
      <c r="A939" s="21" t="s">
        <v>43</v>
      </c>
      <c r="B939" s="23" t="s">
        <v>1692</v>
      </c>
      <c r="C939" s="22">
        <v>45855</v>
      </c>
      <c r="D939" s="23" t="s">
        <v>291</v>
      </c>
      <c r="E939" s="23" t="s">
        <v>45</v>
      </c>
      <c r="F939" s="21">
        <v>1</v>
      </c>
      <c r="G939" s="12">
        <v>7900.1687504794045</v>
      </c>
      <c r="H939" s="12">
        <v>7900.1687504794045</v>
      </c>
      <c r="I939" s="23" t="s">
        <v>52</v>
      </c>
      <c r="J939" s="23" t="s">
        <v>61</v>
      </c>
      <c r="K939" s="24" t="s">
        <v>177</v>
      </c>
      <c r="L939" s="24">
        <v>160</v>
      </c>
      <c r="M939" s="12">
        <v>6638.7972693104239</v>
      </c>
      <c r="N939" s="12">
        <v>6638.7972693104239</v>
      </c>
      <c r="O939" s="12">
        <v>1261.3714811689806</v>
      </c>
      <c r="P939" s="13"/>
      <c r="Q939" s="14">
        <v>2025</v>
      </c>
      <c r="R939" s="15">
        <v>45474</v>
      </c>
      <c r="S939" s="11" t="s">
        <v>355</v>
      </c>
      <c r="T939" s="16">
        <v>0</v>
      </c>
      <c r="U939" s="17"/>
      <c r="V939" s="12">
        <v>1445.7972693104239</v>
      </c>
      <c r="W939" s="12">
        <v>1445.7972693104239</v>
      </c>
      <c r="X939" s="12">
        <v>0</v>
      </c>
      <c r="Y939" s="18">
        <v>45852</v>
      </c>
      <c r="Z939" s="13" t="s">
        <v>39</v>
      </c>
      <c r="AA939" s="19" t="s">
        <v>373</v>
      </c>
      <c r="AB939" s="13" t="s">
        <v>357</v>
      </c>
      <c r="AC939" s="13" t="s">
        <v>374</v>
      </c>
      <c r="AD939" s="20"/>
      <c r="AE939" s="20"/>
      <c r="AF939" s="13" t="s">
        <v>40</v>
      </c>
      <c r="AG939" s="15">
        <v>45474</v>
      </c>
      <c r="AH939" s="13" t="s">
        <v>41</v>
      </c>
      <c r="AI939" s="13" t="s">
        <v>43</v>
      </c>
      <c r="AJ939" s="13" t="s">
        <v>359</v>
      </c>
      <c r="AK939" s="14">
        <v>-1</v>
      </c>
      <c r="AL939" s="17"/>
      <c r="AM939" s="17"/>
      <c r="AN939" s="17"/>
      <c r="AO939" s="17"/>
      <c r="AP939" s="17"/>
      <c r="AQ939" s="17"/>
      <c r="AR939" s="17"/>
      <c r="AS939" s="17"/>
      <c r="AT939" s="17"/>
      <c r="AU939" s="17"/>
      <c r="AV939" s="17"/>
    </row>
    <row r="940" spans="1:48" ht="15.75" customHeight="1">
      <c r="A940" s="21" t="s">
        <v>53</v>
      </c>
      <c r="B940" s="23" t="s">
        <v>1692</v>
      </c>
      <c r="C940" s="22">
        <v>45854</v>
      </c>
      <c r="D940" s="23" t="s">
        <v>291</v>
      </c>
      <c r="E940" s="23" t="s">
        <v>55</v>
      </c>
      <c r="F940" s="21">
        <v>1</v>
      </c>
      <c r="G940" s="12">
        <v>20899.657134519988</v>
      </c>
      <c r="H940" s="12">
        <v>20899.657134519988</v>
      </c>
      <c r="I940" s="23" t="s">
        <v>52</v>
      </c>
      <c r="J940" s="23" t="s">
        <v>61</v>
      </c>
      <c r="K940" s="24" t="s">
        <v>177</v>
      </c>
      <c r="L940" s="24">
        <v>160</v>
      </c>
      <c r="M940" s="12">
        <v>17562.737087831923</v>
      </c>
      <c r="N940" s="12">
        <v>17562.737087831923</v>
      </c>
      <c r="O940" s="12">
        <v>3336.9200466880648</v>
      </c>
      <c r="P940" s="13"/>
      <c r="Q940" s="14">
        <v>2025</v>
      </c>
      <c r="R940" s="15">
        <v>45474</v>
      </c>
      <c r="S940" s="11" t="s">
        <v>366</v>
      </c>
      <c r="T940" s="16">
        <v>0</v>
      </c>
      <c r="U940" s="17"/>
      <c r="V940" s="12">
        <v>3117.7370878319234</v>
      </c>
      <c r="W940" s="12">
        <v>3117.7370878319234</v>
      </c>
      <c r="X940" s="12">
        <v>0</v>
      </c>
      <c r="Y940" s="18">
        <v>45852</v>
      </c>
      <c r="Z940" s="13" t="s">
        <v>39</v>
      </c>
      <c r="AA940" s="19" t="s">
        <v>373</v>
      </c>
      <c r="AB940" s="13" t="s">
        <v>357</v>
      </c>
      <c r="AC940" s="13" t="s">
        <v>374</v>
      </c>
      <c r="AD940" s="20"/>
      <c r="AE940" s="20"/>
      <c r="AF940" s="13" t="s">
        <v>40</v>
      </c>
      <c r="AG940" s="15">
        <v>45474</v>
      </c>
      <c r="AH940" s="13" t="s">
        <v>41</v>
      </c>
      <c r="AI940" s="13" t="s">
        <v>53</v>
      </c>
      <c r="AJ940" s="13" t="s">
        <v>368</v>
      </c>
      <c r="AK940" s="14">
        <v>-8</v>
      </c>
      <c r="AL940" s="17"/>
      <c r="AM940" s="17"/>
      <c r="AN940" s="17"/>
      <c r="AO940" s="17"/>
      <c r="AP940" s="17"/>
      <c r="AQ940" s="17"/>
      <c r="AR940" s="17"/>
      <c r="AS940" s="17"/>
      <c r="AT940" s="17"/>
      <c r="AU940" s="17"/>
      <c r="AV940" s="17"/>
    </row>
    <row r="941" spans="1:48" ht="15.75" customHeight="1">
      <c r="A941" s="21" t="s">
        <v>35</v>
      </c>
      <c r="B941" s="23" t="s">
        <v>1692</v>
      </c>
      <c r="C941" s="22">
        <v>45854</v>
      </c>
      <c r="D941" s="23" t="s">
        <v>915</v>
      </c>
      <c r="E941" s="23" t="s">
        <v>46</v>
      </c>
      <c r="F941" s="21">
        <v>1</v>
      </c>
      <c r="G941" s="12">
        <v>6000.1548227279782</v>
      </c>
      <c r="H941" s="12">
        <v>6000.1548227279782</v>
      </c>
      <c r="I941" s="23" t="s">
        <v>52</v>
      </c>
      <c r="J941" s="23" t="s">
        <v>38</v>
      </c>
      <c r="K941" s="24" t="s">
        <v>177</v>
      </c>
      <c r="L941" s="24">
        <v>160</v>
      </c>
      <c r="M941" s="12">
        <v>5042.1469098554444</v>
      </c>
      <c r="N941" s="12">
        <v>5042.1469098554444</v>
      </c>
      <c r="O941" s="12">
        <v>958.00791287253378</v>
      </c>
      <c r="P941" s="13"/>
      <c r="Q941" s="14">
        <v>2025</v>
      </c>
      <c r="R941" s="15">
        <v>45474</v>
      </c>
      <c r="S941" s="11" t="s">
        <v>364</v>
      </c>
      <c r="T941" s="16">
        <v>500</v>
      </c>
      <c r="U941" s="17"/>
      <c r="V941" s="12">
        <v>1785.4242207798129</v>
      </c>
      <c r="W941" s="12">
        <v>1785.4242207798129</v>
      </c>
      <c r="X941" s="12">
        <v>0</v>
      </c>
      <c r="Y941" s="18">
        <v>45852</v>
      </c>
      <c r="Z941" s="13" t="s">
        <v>39</v>
      </c>
      <c r="AA941" s="19" t="s">
        <v>367</v>
      </c>
      <c r="AB941" s="13" t="s">
        <v>357</v>
      </c>
      <c r="AC941" s="13" t="s">
        <v>367</v>
      </c>
      <c r="AD941" s="20"/>
      <c r="AE941" s="20"/>
      <c r="AF941" s="13" t="s">
        <v>40</v>
      </c>
      <c r="AG941" s="15">
        <v>45474</v>
      </c>
      <c r="AH941" s="13" t="s">
        <v>41</v>
      </c>
      <c r="AI941" s="13" t="s">
        <v>35</v>
      </c>
      <c r="AJ941" s="13" t="s">
        <v>365</v>
      </c>
      <c r="AK941" s="14">
        <v>-0.5</v>
      </c>
      <c r="AL941" s="17"/>
      <c r="AM941" s="17"/>
      <c r="AN941" s="17"/>
      <c r="AO941" s="17"/>
      <c r="AP941" s="17"/>
      <c r="AQ941" s="17"/>
      <c r="AR941" s="17"/>
      <c r="AS941" s="17"/>
      <c r="AT941" s="17"/>
      <c r="AU941" s="17"/>
      <c r="AV941" s="17"/>
    </row>
    <row r="942" spans="1:48" ht="15.75" customHeight="1">
      <c r="A942" s="21" t="s">
        <v>43</v>
      </c>
      <c r="B942" s="23" t="s">
        <v>1692</v>
      </c>
      <c r="C942" s="22">
        <v>45854</v>
      </c>
      <c r="D942" s="23" t="s">
        <v>331</v>
      </c>
      <c r="E942" s="23" t="s">
        <v>45</v>
      </c>
      <c r="F942" s="21">
        <v>1</v>
      </c>
      <c r="G942" s="12">
        <v>7900.1687504794045</v>
      </c>
      <c r="H942" s="12">
        <v>7900.1687504794045</v>
      </c>
      <c r="I942" s="23" t="s">
        <v>52</v>
      </c>
      <c r="J942" s="23" t="s">
        <v>61</v>
      </c>
      <c r="K942" s="24" t="s">
        <v>177</v>
      </c>
      <c r="L942" s="24">
        <v>160</v>
      </c>
      <c r="M942" s="12">
        <v>6638.7972693104239</v>
      </c>
      <c r="N942" s="12">
        <v>6638.7972693104239</v>
      </c>
      <c r="O942" s="12">
        <v>1261.3714811689806</v>
      </c>
      <c r="P942" s="13"/>
      <c r="Q942" s="14">
        <v>2025</v>
      </c>
      <c r="R942" s="15">
        <v>45474</v>
      </c>
      <c r="S942" s="11" t="s">
        <v>355</v>
      </c>
      <c r="T942" s="16">
        <v>0</v>
      </c>
      <c r="U942" s="17"/>
      <c r="V942" s="12">
        <v>1445.7972693104239</v>
      </c>
      <c r="W942" s="12">
        <v>1445.7972693104239</v>
      </c>
      <c r="X942" s="12">
        <v>0</v>
      </c>
      <c r="Y942" s="18">
        <v>45852</v>
      </c>
      <c r="Z942" s="13" t="s">
        <v>39</v>
      </c>
      <c r="AA942" s="19" t="s">
        <v>361</v>
      </c>
      <c r="AB942" s="13" t="s">
        <v>357</v>
      </c>
      <c r="AC942" s="13" t="s">
        <v>472</v>
      </c>
      <c r="AD942" s="20"/>
      <c r="AE942" s="20"/>
      <c r="AF942" s="13" t="s">
        <v>40</v>
      </c>
      <c r="AG942" s="15">
        <v>45474</v>
      </c>
      <c r="AH942" s="13" t="s">
        <v>41</v>
      </c>
      <c r="AI942" s="13" t="s">
        <v>43</v>
      </c>
      <c r="AJ942" s="13" t="s">
        <v>359</v>
      </c>
      <c r="AK942" s="14">
        <v>-1</v>
      </c>
      <c r="AL942" s="17"/>
      <c r="AM942" s="17"/>
      <c r="AN942" s="17"/>
      <c r="AO942" s="17"/>
      <c r="AP942" s="17"/>
      <c r="AQ942" s="17"/>
      <c r="AR942" s="17"/>
      <c r="AS942" s="17"/>
      <c r="AT942" s="17"/>
      <c r="AU942" s="17"/>
      <c r="AV942" s="17"/>
    </row>
    <row r="943" spans="1:48" ht="15.75" customHeight="1">
      <c r="A943" s="21" t="s">
        <v>43</v>
      </c>
      <c r="B943" s="23" t="s">
        <v>1692</v>
      </c>
      <c r="C943" s="22">
        <v>45853</v>
      </c>
      <c r="D943" s="23" t="s">
        <v>115</v>
      </c>
      <c r="E943" s="23" t="s">
        <v>45</v>
      </c>
      <c r="F943" s="21">
        <v>1</v>
      </c>
      <c r="G943" s="12">
        <v>7900.1687504794045</v>
      </c>
      <c r="H943" s="12">
        <v>7900.1687504794045</v>
      </c>
      <c r="I943" s="23" t="s">
        <v>52</v>
      </c>
      <c r="J943" s="23" t="s">
        <v>61</v>
      </c>
      <c r="K943" s="24" t="s">
        <v>177</v>
      </c>
      <c r="L943" s="24">
        <v>160</v>
      </c>
      <c r="M943" s="12">
        <v>6638.7972693104239</v>
      </c>
      <c r="N943" s="12">
        <v>6638.7972693104239</v>
      </c>
      <c r="O943" s="12">
        <v>1261.3714811689806</v>
      </c>
      <c r="P943" s="13"/>
      <c r="Q943" s="14">
        <v>2025</v>
      </c>
      <c r="R943" s="15">
        <v>45474</v>
      </c>
      <c r="S943" s="11" t="s">
        <v>355</v>
      </c>
      <c r="T943" s="16">
        <v>0</v>
      </c>
      <c r="U943" s="17"/>
      <c r="V943" s="12">
        <v>1445.7972693104239</v>
      </c>
      <c r="W943" s="12">
        <v>1445.7972693104239</v>
      </c>
      <c r="X943" s="12">
        <v>0</v>
      </c>
      <c r="Y943" s="18">
        <v>45852</v>
      </c>
      <c r="Z943" s="13" t="s">
        <v>39</v>
      </c>
      <c r="AA943" s="19" t="s">
        <v>373</v>
      </c>
      <c r="AB943" s="13" t="s">
        <v>357</v>
      </c>
      <c r="AC943" s="13" t="s">
        <v>383</v>
      </c>
      <c r="AD943" s="20"/>
      <c r="AE943" s="20"/>
      <c r="AF943" s="13" t="s">
        <v>40</v>
      </c>
      <c r="AG943" s="15">
        <v>45474</v>
      </c>
      <c r="AH943" s="13" t="s">
        <v>41</v>
      </c>
      <c r="AI943" s="13" t="s">
        <v>43</v>
      </c>
      <c r="AJ943" s="13" t="s">
        <v>359</v>
      </c>
      <c r="AK943" s="14">
        <v>-1</v>
      </c>
      <c r="AL943" s="17"/>
      <c r="AM943" s="17"/>
      <c r="AN943" s="17"/>
      <c r="AO943" s="17"/>
      <c r="AP943" s="17"/>
      <c r="AQ943" s="17"/>
      <c r="AR943" s="17"/>
      <c r="AS943" s="17"/>
      <c r="AT943" s="17"/>
      <c r="AU943" s="17"/>
      <c r="AV943" s="17"/>
    </row>
    <row r="944" spans="1:48" ht="15.75" customHeight="1">
      <c r="A944" s="21" t="s">
        <v>35</v>
      </c>
      <c r="B944" s="23" t="s">
        <v>1692</v>
      </c>
      <c r="C944" s="22">
        <v>45853</v>
      </c>
      <c r="D944" s="23" t="s">
        <v>115</v>
      </c>
      <c r="E944" s="23" t="s">
        <v>46</v>
      </c>
      <c r="F944" s="21">
        <v>1</v>
      </c>
      <c r="G944" s="12">
        <v>6000.1548227279782</v>
      </c>
      <c r="H944" s="12">
        <v>6000.1548227279782</v>
      </c>
      <c r="I944" s="23" t="s">
        <v>52</v>
      </c>
      <c r="J944" s="23" t="s">
        <v>61</v>
      </c>
      <c r="K944" s="24" t="s">
        <v>177</v>
      </c>
      <c r="L944" s="24">
        <v>160</v>
      </c>
      <c r="M944" s="12">
        <v>5042.1469098554444</v>
      </c>
      <c r="N944" s="12">
        <v>5042.1469098554444</v>
      </c>
      <c r="O944" s="12">
        <v>958.00791287253378</v>
      </c>
      <c r="P944" s="13"/>
      <c r="Q944" s="14">
        <v>2025</v>
      </c>
      <c r="R944" s="15">
        <v>45474</v>
      </c>
      <c r="S944" s="11" t="s">
        <v>364</v>
      </c>
      <c r="T944" s="16">
        <v>500</v>
      </c>
      <c r="U944" s="17"/>
      <c r="V944" s="12">
        <v>1785.4242207798129</v>
      </c>
      <c r="W944" s="12">
        <v>1785.4242207798129</v>
      </c>
      <c r="X944" s="12">
        <v>0</v>
      </c>
      <c r="Y944" s="18">
        <v>45852</v>
      </c>
      <c r="Z944" s="13" t="s">
        <v>39</v>
      </c>
      <c r="AA944" s="19" t="s">
        <v>373</v>
      </c>
      <c r="AB944" s="13" t="s">
        <v>357</v>
      </c>
      <c r="AC944" s="13" t="s">
        <v>383</v>
      </c>
      <c r="AD944" s="20"/>
      <c r="AE944" s="20"/>
      <c r="AF944" s="13" t="s">
        <v>40</v>
      </c>
      <c r="AG944" s="15">
        <v>45474</v>
      </c>
      <c r="AH944" s="13" t="s">
        <v>41</v>
      </c>
      <c r="AI944" s="13" t="s">
        <v>35</v>
      </c>
      <c r="AJ944" s="13" t="s">
        <v>365</v>
      </c>
      <c r="AK944" s="14">
        <v>-0.5</v>
      </c>
      <c r="AL944" s="17"/>
      <c r="AM944" s="17"/>
      <c r="AN944" s="17"/>
      <c r="AO944" s="17"/>
      <c r="AP944" s="17"/>
      <c r="AQ944" s="17"/>
      <c r="AR944" s="17"/>
      <c r="AS944" s="17"/>
      <c r="AT944" s="17"/>
      <c r="AU944" s="17"/>
      <c r="AV944" s="17"/>
    </row>
    <row r="945" spans="1:48" ht="15.75" customHeight="1">
      <c r="A945" s="21" t="s">
        <v>53</v>
      </c>
      <c r="B945" s="23" t="s">
        <v>1692</v>
      </c>
      <c r="C945" s="22">
        <v>45853</v>
      </c>
      <c r="D945" s="23" t="s">
        <v>87</v>
      </c>
      <c r="E945" s="23" t="s">
        <v>55</v>
      </c>
      <c r="F945" s="21">
        <v>1</v>
      </c>
      <c r="G945" s="12">
        <v>20899.657134519988</v>
      </c>
      <c r="H945" s="12">
        <v>20899.657134519988</v>
      </c>
      <c r="I945" s="23" t="s">
        <v>52</v>
      </c>
      <c r="J945" s="23" t="s">
        <v>61</v>
      </c>
      <c r="K945" s="24" t="s">
        <v>177</v>
      </c>
      <c r="L945" s="24">
        <v>160</v>
      </c>
      <c r="M945" s="12">
        <v>17562.737087831923</v>
      </c>
      <c r="N945" s="12">
        <v>17562.737087831923</v>
      </c>
      <c r="O945" s="12">
        <v>3336.9200466880648</v>
      </c>
      <c r="P945" s="13"/>
      <c r="Q945" s="14">
        <v>2025</v>
      </c>
      <c r="R945" s="15">
        <v>45474</v>
      </c>
      <c r="S945" s="11" t="s">
        <v>366</v>
      </c>
      <c r="T945" s="16">
        <v>0</v>
      </c>
      <c r="U945" s="17"/>
      <c r="V945" s="12">
        <v>3117.7370878319234</v>
      </c>
      <c r="W945" s="12">
        <v>3117.7370878319234</v>
      </c>
      <c r="X945" s="12">
        <v>0</v>
      </c>
      <c r="Y945" s="18">
        <v>45852</v>
      </c>
      <c r="Z945" s="13" t="s">
        <v>39</v>
      </c>
      <c r="AA945" s="19" t="s">
        <v>361</v>
      </c>
      <c r="AB945" s="13" t="s">
        <v>357</v>
      </c>
      <c r="AC945" s="13" t="s">
        <v>383</v>
      </c>
      <c r="AD945" s="20"/>
      <c r="AE945" s="20"/>
      <c r="AF945" s="13" t="s">
        <v>40</v>
      </c>
      <c r="AG945" s="15">
        <v>45474</v>
      </c>
      <c r="AH945" s="13" t="s">
        <v>41</v>
      </c>
      <c r="AI945" s="13" t="s">
        <v>53</v>
      </c>
      <c r="AJ945" s="13" t="s">
        <v>368</v>
      </c>
      <c r="AK945" s="14">
        <v>-8</v>
      </c>
      <c r="AL945" s="17"/>
      <c r="AM945" s="17"/>
      <c r="AN945" s="17"/>
      <c r="AO945" s="17"/>
      <c r="AP945" s="17"/>
      <c r="AQ945" s="17"/>
      <c r="AR945" s="17"/>
      <c r="AS945" s="17"/>
      <c r="AT945" s="17"/>
      <c r="AU945" s="17"/>
      <c r="AV945" s="17"/>
    </row>
    <row r="946" spans="1:48" ht="15.75" customHeight="1">
      <c r="A946" s="21" t="s">
        <v>43</v>
      </c>
      <c r="B946" s="23" t="s">
        <v>1692</v>
      </c>
      <c r="C946" s="22">
        <v>45853</v>
      </c>
      <c r="D946" s="23" t="s">
        <v>146</v>
      </c>
      <c r="E946" s="23" t="s">
        <v>45</v>
      </c>
      <c r="F946" s="21">
        <v>1</v>
      </c>
      <c r="G946" s="12">
        <v>7900.1687504794045</v>
      </c>
      <c r="H946" s="12">
        <v>7900.1687504794045</v>
      </c>
      <c r="I946" s="23" t="s">
        <v>52</v>
      </c>
      <c r="J946" s="23" t="s">
        <v>61</v>
      </c>
      <c r="K946" s="24" t="s">
        <v>177</v>
      </c>
      <c r="L946" s="24">
        <v>160</v>
      </c>
      <c r="M946" s="12">
        <v>6638.7972693104239</v>
      </c>
      <c r="N946" s="12">
        <v>6638.7972693104239</v>
      </c>
      <c r="O946" s="12">
        <v>1261.3714811689806</v>
      </c>
      <c r="P946" s="13"/>
      <c r="Q946" s="14">
        <v>2025</v>
      </c>
      <c r="R946" s="15">
        <v>45474</v>
      </c>
      <c r="S946" s="11" t="s">
        <v>355</v>
      </c>
      <c r="T946" s="16">
        <v>0</v>
      </c>
      <c r="U946" s="17"/>
      <c r="V946" s="12">
        <v>1445.7972693104239</v>
      </c>
      <c r="W946" s="12">
        <v>1445.7972693104239</v>
      </c>
      <c r="X946" s="12">
        <v>0</v>
      </c>
      <c r="Y946" s="18">
        <v>45852</v>
      </c>
      <c r="Z946" s="13" t="s">
        <v>39</v>
      </c>
      <c r="AA946" s="19" t="s">
        <v>373</v>
      </c>
      <c r="AB946" s="13" t="s">
        <v>357</v>
      </c>
      <c r="AC946" s="13" t="s">
        <v>374</v>
      </c>
      <c r="AD946" s="20"/>
      <c r="AE946" s="20"/>
      <c r="AF946" s="13" t="s">
        <v>40</v>
      </c>
      <c r="AG946" s="15">
        <v>45474</v>
      </c>
      <c r="AH946" s="13" t="s">
        <v>41</v>
      </c>
      <c r="AI946" s="13" t="s">
        <v>43</v>
      </c>
      <c r="AJ946" s="13" t="s">
        <v>359</v>
      </c>
      <c r="AK946" s="14">
        <v>-1</v>
      </c>
      <c r="AL946" s="17"/>
      <c r="AM946" s="17"/>
      <c r="AN946" s="17"/>
      <c r="AO946" s="17"/>
      <c r="AP946" s="17"/>
      <c r="AQ946" s="17"/>
      <c r="AR946" s="17"/>
      <c r="AS946" s="17"/>
      <c r="AT946" s="17"/>
      <c r="AU946" s="17"/>
      <c r="AV946" s="17"/>
    </row>
    <row r="947" spans="1:48" ht="15.75" customHeight="1">
      <c r="A947" s="21" t="s">
        <v>76</v>
      </c>
      <c r="B947" s="23" t="s">
        <v>1692</v>
      </c>
      <c r="C947" s="22">
        <v>45853</v>
      </c>
      <c r="D947" s="23" t="s">
        <v>125</v>
      </c>
      <c r="E947" s="23" t="s">
        <v>137</v>
      </c>
      <c r="F947" s="21">
        <v>1</v>
      </c>
      <c r="G947" s="12">
        <v>3500.0000000000005</v>
      </c>
      <c r="H947" s="12">
        <v>3500.0000000000005</v>
      </c>
      <c r="I947" s="23" t="s">
        <v>52</v>
      </c>
      <c r="J947" s="23" t="s">
        <v>61</v>
      </c>
      <c r="K947" s="24" t="s">
        <v>177</v>
      </c>
      <c r="L947" s="24">
        <v>160</v>
      </c>
      <c r="M947" s="12">
        <v>2941.1764705882356</v>
      </c>
      <c r="N947" s="12">
        <v>2941.1764705882356</v>
      </c>
      <c r="O947" s="12">
        <v>558.82352941176487</v>
      </c>
      <c r="P947" s="13"/>
      <c r="Q947" s="14">
        <v>2025</v>
      </c>
      <c r="R947" s="15">
        <v>45474</v>
      </c>
      <c r="S947" s="11" t="s">
        <v>406</v>
      </c>
      <c r="T947" s="16">
        <v>5</v>
      </c>
      <c r="U947" s="17"/>
      <c r="V947" s="12">
        <v>848.73949579831969</v>
      </c>
      <c r="W947" s="12">
        <v>848.73949579831969</v>
      </c>
      <c r="X947" s="12">
        <v>0</v>
      </c>
      <c r="Y947" s="18">
        <v>45852</v>
      </c>
      <c r="Z947" s="13" t="s">
        <v>39</v>
      </c>
      <c r="AA947" s="19" t="s">
        <v>361</v>
      </c>
      <c r="AB947" s="13" t="s">
        <v>357</v>
      </c>
      <c r="AC947" s="13" t="s">
        <v>362</v>
      </c>
      <c r="AD947" s="20"/>
      <c r="AE947" s="20"/>
      <c r="AF947" s="13" t="s">
        <v>40</v>
      </c>
      <c r="AG947" s="15">
        <v>45474</v>
      </c>
      <c r="AH947" s="13" t="s">
        <v>41</v>
      </c>
      <c r="AI947" s="13" t="s">
        <v>76</v>
      </c>
      <c r="AJ947" s="13" t="s">
        <v>407</v>
      </c>
      <c r="AK947" s="14">
        <v>-1</v>
      </c>
      <c r="AL947" s="17"/>
      <c r="AM947" s="17"/>
      <c r="AN947" s="17"/>
      <c r="AO947" s="17"/>
      <c r="AP947" s="17"/>
      <c r="AQ947" s="17"/>
      <c r="AR947" s="17"/>
      <c r="AS947" s="17"/>
      <c r="AT947" s="17"/>
      <c r="AU947" s="17"/>
      <c r="AV947" s="17"/>
    </row>
    <row r="948" spans="1:48" ht="15.75" customHeight="1">
      <c r="A948" s="21" t="s">
        <v>53</v>
      </c>
      <c r="B948" s="23" t="s">
        <v>1692</v>
      </c>
      <c r="C948" s="22">
        <v>45853</v>
      </c>
      <c r="D948" s="23" t="s">
        <v>125</v>
      </c>
      <c r="E948" s="23" t="s">
        <v>69</v>
      </c>
      <c r="F948" s="21">
        <v>1</v>
      </c>
      <c r="G948" s="12">
        <v>2999.9553810458683</v>
      </c>
      <c r="H948" s="12">
        <v>2999.9553810458683</v>
      </c>
      <c r="I948" s="23" t="s">
        <v>52</v>
      </c>
      <c r="J948" s="23" t="s">
        <v>61</v>
      </c>
      <c r="K948" s="24" t="s">
        <v>177</v>
      </c>
      <c r="L948" s="24">
        <v>160</v>
      </c>
      <c r="M948" s="12">
        <v>2520.9709084419064</v>
      </c>
      <c r="N948" s="12">
        <v>2520.9709084419064</v>
      </c>
      <c r="O948" s="12">
        <v>478.98447260396188</v>
      </c>
      <c r="P948" s="13"/>
      <c r="Q948" s="14">
        <v>2025</v>
      </c>
      <c r="R948" s="15">
        <v>45474</v>
      </c>
      <c r="S948" s="11" t="s">
        <v>376</v>
      </c>
      <c r="T948" s="16">
        <v>0</v>
      </c>
      <c r="U948" s="17"/>
      <c r="V948" s="12">
        <v>825.97090844190598</v>
      </c>
      <c r="W948" s="12">
        <v>825.97090844190598</v>
      </c>
      <c r="X948" s="12">
        <v>0</v>
      </c>
      <c r="Y948" s="18">
        <v>45852</v>
      </c>
      <c r="Z948" s="13" t="s">
        <v>39</v>
      </c>
      <c r="AA948" s="19" t="s">
        <v>361</v>
      </c>
      <c r="AB948" s="13" t="s">
        <v>357</v>
      </c>
      <c r="AC948" s="13" t="s">
        <v>362</v>
      </c>
      <c r="AD948" s="20"/>
      <c r="AE948" s="20"/>
      <c r="AF948" s="13" t="s">
        <v>40</v>
      </c>
      <c r="AG948" s="15">
        <v>45474</v>
      </c>
      <c r="AH948" s="13" t="s">
        <v>41</v>
      </c>
      <c r="AI948" s="13" t="s">
        <v>53</v>
      </c>
      <c r="AJ948" s="13" t="s">
        <v>377</v>
      </c>
      <c r="AK948" s="14">
        <v>-1</v>
      </c>
      <c r="AL948" s="17"/>
      <c r="AM948" s="17"/>
      <c r="AN948" s="17"/>
      <c r="AO948" s="17"/>
      <c r="AP948" s="17"/>
      <c r="AQ948" s="17"/>
      <c r="AR948" s="17"/>
      <c r="AS948" s="17"/>
      <c r="AT948" s="17"/>
      <c r="AU948" s="17"/>
      <c r="AV948" s="17"/>
    </row>
    <row r="949" spans="1:48" ht="15.75" customHeight="1">
      <c r="A949" s="21" t="s">
        <v>76</v>
      </c>
      <c r="B949" s="23" t="s">
        <v>1692</v>
      </c>
      <c r="C949" s="22">
        <v>45853</v>
      </c>
      <c r="D949" s="23" t="s">
        <v>307</v>
      </c>
      <c r="E949" s="23" t="s">
        <v>166</v>
      </c>
      <c r="F949" s="21">
        <v>1</v>
      </c>
      <c r="G949" s="12">
        <v>3500.0000000000005</v>
      </c>
      <c r="H949" s="12">
        <v>3500.0000000000005</v>
      </c>
      <c r="I949" s="23" t="s">
        <v>52</v>
      </c>
      <c r="J949" s="23" t="s">
        <v>61</v>
      </c>
      <c r="K949" s="24" t="s">
        <v>86</v>
      </c>
      <c r="L949" s="24">
        <v>97</v>
      </c>
      <c r="M949" s="12">
        <v>2941.1764705882356</v>
      </c>
      <c r="N949" s="12">
        <v>2941.1764705882356</v>
      </c>
      <c r="O949" s="12">
        <v>558.82352941176487</v>
      </c>
      <c r="P949" s="13"/>
      <c r="Q949" s="14">
        <v>2025</v>
      </c>
      <c r="R949" s="15">
        <v>45474</v>
      </c>
      <c r="S949" s="11" t="s">
        <v>448</v>
      </c>
      <c r="T949" s="16">
        <v>5</v>
      </c>
      <c r="U949" s="17"/>
      <c r="V949" s="12">
        <v>1016.8067226890757</v>
      </c>
      <c r="W949" s="12">
        <v>1016.8067226890757</v>
      </c>
      <c r="X949" s="12">
        <v>0</v>
      </c>
      <c r="Y949" s="18">
        <v>45852</v>
      </c>
      <c r="Z949" s="13" t="s">
        <v>39</v>
      </c>
      <c r="AA949" s="19" t="s">
        <v>361</v>
      </c>
      <c r="AB949" s="13" t="str">
        <f>VLOOKUP(D949,Clientes!$A$2:$K$486,11,FALSE)</f>
        <v>Empresa</v>
      </c>
      <c r="AC949" s="13" t="s">
        <v>383</v>
      </c>
      <c r="AD949" s="20"/>
      <c r="AE949" s="20"/>
      <c r="AF949" s="13" t="s">
        <v>40</v>
      </c>
      <c r="AG949" s="15">
        <v>45474</v>
      </c>
      <c r="AH949" s="13" t="s">
        <v>41</v>
      </c>
      <c r="AI949" s="13" t="s">
        <v>76</v>
      </c>
      <c r="AJ949" s="13" t="s">
        <v>449</v>
      </c>
      <c r="AK949" s="14">
        <v>-1</v>
      </c>
      <c r="AL949" s="17"/>
      <c r="AM949" s="17"/>
      <c r="AN949" s="17"/>
      <c r="AO949" s="17"/>
      <c r="AP949" s="17"/>
      <c r="AQ949" s="17"/>
      <c r="AR949" s="17"/>
      <c r="AS949" s="17"/>
      <c r="AT949" s="17"/>
      <c r="AU949" s="17"/>
      <c r="AV949" s="17"/>
    </row>
    <row r="950" spans="1:48" ht="15.75" customHeight="1">
      <c r="A950" s="21" t="s">
        <v>47</v>
      </c>
      <c r="B950" s="23" t="s">
        <v>1692</v>
      </c>
      <c r="C950" s="22">
        <v>45853</v>
      </c>
      <c r="D950" s="23" t="s">
        <v>307</v>
      </c>
      <c r="E950" s="23" t="s">
        <v>328</v>
      </c>
      <c r="F950" s="21">
        <v>1</v>
      </c>
      <c r="G950" s="12">
        <v>1400</v>
      </c>
      <c r="H950" s="12">
        <v>1400</v>
      </c>
      <c r="I950" s="23" t="s">
        <v>52</v>
      </c>
      <c r="J950" s="23" t="s">
        <v>61</v>
      </c>
      <c r="K950" s="24" t="s">
        <v>86</v>
      </c>
      <c r="L950" s="24">
        <v>97</v>
      </c>
      <c r="M950" s="12">
        <v>1176.4705882352941</v>
      </c>
      <c r="N950" s="12">
        <v>1176.4705882352941</v>
      </c>
      <c r="O950" s="12">
        <v>223.52941176470586</v>
      </c>
      <c r="P950" s="13"/>
      <c r="Q950" s="14">
        <v>2025</v>
      </c>
      <c r="R950" s="15">
        <v>45474</v>
      </c>
      <c r="S950" s="11" t="s">
        <v>384</v>
      </c>
      <c r="T950" s="16">
        <v>0</v>
      </c>
      <c r="U950" s="17"/>
      <c r="V950" s="12">
        <v>512.47058823529414</v>
      </c>
      <c r="W950" s="12">
        <v>512.47058823529414</v>
      </c>
      <c r="X950" s="12">
        <v>0</v>
      </c>
      <c r="Y950" s="18">
        <v>45852</v>
      </c>
      <c r="Z950" s="13" t="s">
        <v>39</v>
      </c>
      <c r="AA950" s="19" t="s">
        <v>361</v>
      </c>
      <c r="AB950" s="13" t="str">
        <f>VLOOKUP(D950,Clientes!$A$2:$K$486,11,FALSE)</f>
        <v>Empresa</v>
      </c>
      <c r="AC950" s="13" t="s">
        <v>383</v>
      </c>
      <c r="AD950" s="20"/>
      <c r="AE950" s="20"/>
      <c r="AF950" s="13" t="s">
        <v>40</v>
      </c>
      <c r="AG950" s="15">
        <v>45474</v>
      </c>
      <c r="AH950" s="13" t="s">
        <v>41</v>
      </c>
      <c r="AI950" s="13" t="s">
        <v>47</v>
      </c>
      <c r="AJ950" s="13" t="s">
        <v>404</v>
      </c>
      <c r="AK950" s="14">
        <v>-1</v>
      </c>
      <c r="AL950" s="17"/>
      <c r="AM950" s="17"/>
      <c r="AN950" s="17"/>
      <c r="AO950" s="17"/>
      <c r="AP950" s="17"/>
      <c r="AQ950" s="17"/>
      <c r="AR950" s="17"/>
      <c r="AS950" s="17"/>
      <c r="AT950" s="17"/>
      <c r="AU950" s="17"/>
      <c r="AV950" s="17"/>
    </row>
    <row r="951" spans="1:48" ht="15.75" customHeight="1">
      <c r="A951" s="21" t="s">
        <v>47</v>
      </c>
      <c r="B951" s="23" t="s">
        <v>1692</v>
      </c>
      <c r="C951" s="22">
        <v>45853</v>
      </c>
      <c r="D951" s="23" t="s">
        <v>307</v>
      </c>
      <c r="E951" s="23" t="s">
        <v>303</v>
      </c>
      <c r="F951" s="21">
        <v>2</v>
      </c>
      <c r="G951" s="12">
        <v>2000.1655971848479</v>
      </c>
      <c r="H951" s="12">
        <v>4000.3311943696958</v>
      </c>
      <c r="I951" s="23" t="s">
        <v>52</v>
      </c>
      <c r="J951" s="23" t="s">
        <v>61</v>
      </c>
      <c r="K951" s="24" t="s">
        <v>86</v>
      </c>
      <c r="L951" s="24">
        <v>97</v>
      </c>
      <c r="M951" s="12">
        <v>1680.8114262057545</v>
      </c>
      <c r="N951" s="12">
        <v>3361.622852411509</v>
      </c>
      <c r="O951" s="12">
        <v>638.70834195818679</v>
      </c>
      <c r="P951" s="13"/>
      <c r="Q951" s="14">
        <v>2025</v>
      </c>
      <c r="R951" s="15">
        <v>45474</v>
      </c>
      <c r="S951" s="11" t="s">
        <v>433</v>
      </c>
      <c r="T951" s="16">
        <v>0</v>
      </c>
      <c r="U951" s="17"/>
      <c r="V951" s="12">
        <v>925.62285241150903</v>
      </c>
      <c r="W951" s="12">
        <v>925.62285241150903</v>
      </c>
      <c r="X951" s="12">
        <v>0</v>
      </c>
      <c r="Y951" s="18">
        <v>45852</v>
      </c>
      <c r="Z951" s="13" t="s">
        <v>39</v>
      </c>
      <c r="AA951" s="19" t="s">
        <v>361</v>
      </c>
      <c r="AB951" s="13" t="str">
        <f>VLOOKUP(D951,Clientes!$A$2:$K$486,11,FALSE)</f>
        <v>Empresa</v>
      </c>
      <c r="AC951" s="13" t="s">
        <v>383</v>
      </c>
      <c r="AD951" s="20"/>
      <c r="AE951" s="20"/>
      <c r="AF951" s="13" t="s">
        <v>40</v>
      </c>
      <c r="AG951" s="15">
        <v>45474</v>
      </c>
      <c r="AH951" s="13" t="s">
        <v>41</v>
      </c>
      <c r="AI951" s="13" t="s">
        <v>47</v>
      </c>
      <c r="AJ951" s="13" t="s">
        <v>434</v>
      </c>
      <c r="AK951" s="14">
        <v>-2</v>
      </c>
      <c r="AL951" s="17"/>
      <c r="AM951" s="17"/>
      <c r="AN951" s="17"/>
      <c r="AO951" s="17"/>
      <c r="AP951" s="17"/>
      <c r="AQ951" s="17"/>
      <c r="AR951" s="17"/>
      <c r="AS951" s="17"/>
      <c r="AT951" s="17"/>
      <c r="AU951" s="17"/>
      <c r="AV951" s="17"/>
    </row>
    <row r="952" spans="1:48" ht="15.75" customHeight="1">
      <c r="A952" s="21" t="s">
        <v>47</v>
      </c>
      <c r="B952" s="23" t="s">
        <v>1692</v>
      </c>
      <c r="C952" s="22">
        <v>45853</v>
      </c>
      <c r="D952" s="23" t="s">
        <v>307</v>
      </c>
      <c r="E952" s="23" t="s">
        <v>155</v>
      </c>
      <c r="F952" s="21">
        <v>1</v>
      </c>
      <c r="G952" s="12">
        <v>3400</v>
      </c>
      <c r="H952" s="12">
        <v>3400</v>
      </c>
      <c r="I952" s="23" t="s">
        <v>52</v>
      </c>
      <c r="J952" s="23" t="s">
        <v>61</v>
      </c>
      <c r="K952" s="24" t="s">
        <v>86</v>
      </c>
      <c r="L952" s="24">
        <v>97</v>
      </c>
      <c r="M952" s="12">
        <v>2857.1428571428573</v>
      </c>
      <c r="N952" s="12">
        <v>2857.1428571428573</v>
      </c>
      <c r="O952" s="12">
        <v>542.85714285714266</v>
      </c>
      <c r="P952" s="13"/>
      <c r="Q952" s="14">
        <v>2025</v>
      </c>
      <c r="R952" s="15">
        <v>45474</v>
      </c>
      <c r="S952" s="11" t="s">
        <v>453</v>
      </c>
      <c r="T952" s="16">
        <v>0</v>
      </c>
      <c r="U952" s="17"/>
      <c r="V952" s="12">
        <v>1255.1428571428573</v>
      </c>
      <c r="W952" s="12">
        <v>1255.1428571428573</v>
      </c>
      <c r="X952" s="12">
        <v>0</v>
      </c>
      <c r="Y952" s="18">
        <v>45852</v>
      </c>
      <c r="Z952" s="13" t="s">
        <v>39</v>
      </c>
      <c r="AA952" s="19" t="s">
        <v>361</v>
      </c>
      <c r="AB952" s="13" t="str">
        <f>VLOOKUP(D952,Clientes!$A$2:$K$486,11,FALSE)</f>
        <v>Empresa</v>
      </c>
      <c r="AC952" s="13" t="s">
        <v>383</v>
      </c>
      <c r="AD952" s="20"/>
      <c r="AE952" s="20"/>
      <c r="AF952" s="13" t="s">
        <v>40</v>
      </c>
      <c r="AG952" s="15">
        <v>45474</v>
      </c>
      <c r="AH952" s="13" t="s">
        <v>41</v>
      </c>
      <c r="AI952" s="13" t="s">
        <v>47</v>
      </c>
      <c r="AJ952" s="13" t="s">
        <v>454</v>
      </c>
      <c r="AK952" s="14">
        <v>-6</v>
      </c>
      <c r="AL952" s="17"/>
      <c r="AM952" s="17"/>
      <c r="AN952" s="17"/>
      <c r="AO952" s="17"/>
      <c r="AP952" s="17"/>
      <c r="AQ952" s="17"/>
      <c r="AR952" s="17"/>
      <c r="AS952" s="17"/>
      <c r="AT952" s="17"/>
      <c r="AU952" s="17"/>
      <c r="AV952" s="17"/>
    </row>
    <row r="953" spans="1:48" ht="15.75" customHeight="1">
      <c r="A953" s="21" t="s">
        <v>35</v>
      </c>
      <c r="B953" s="23" t="s">
        <v>1692</v>
      </c>
      <c r="C953" s="22">
        <v>45853</v>
      </c>
      <c r="D953" s="23" t="s">
        <v>122</v>
      </c>
      <c r="E953" s="23" t="s">
        <v>37</v>
      </c>
      <c r="F953" s="21">
        <v>1</v>
      </c>
      <c r="G953" s="12">
        <v>11000.014358944907</v>
      </c>
      <c r="H953" s="12">
        <v>11000.014358944907</v>
      </c>
      <c r="I953" s="23" t="s">
        <v>52</v>
      </c>
      <c r="J953" s="23" t="s">
        <v>61</v>
      </c>
      <c r="K953" s="24" t="s">
        <v>177</v>
      </c>
      <c r="L953" s="24">
        <v>160</v>
      </c>
      <c r="M953" s="12">
        <v>9243.7095453318543</v>
      </c>
      <c r="N953" s="12">
        <v>9243.7095453318543</v>
      </c>
      <c r="O953" s="12">
        <v>1756.3048136130528</v>
      </c>
      <c r="P953" s="13"/>
      <c r="Q953" s="14">
        <v>2025</v>
      </c>
      <c r="R953" s="15">
        <v>45474</v>
      </c>
      <c r="S953" s="11" t="s">
        <v>364</v>
      </c>
      <c r="T953" s="16">
        <v>1000</v>
      </c>
      <c r="U953" s="17"/>
      <c r="V953" s="12">
        <v>2806.1129066763915</v>
      </c>
      <c r="W953" s="12">
        <v>2806.1129066763915</v>
      </c>
      <c r="X953" s="12">
        <v>0</v>
      </c>
      <c r="Y953" s="18">
        <v>45852</v>
      </c>
      <c r="Z953" s="13" t="s">
        <v>39</v>
      </c>
      <c r="AA953" s="19" t="s">
        <v>361</v>
      </c>
      <c r="AB953" s="13" t="s">
        <v>357</v>
      </c>
      <c r="AC953" s="13" t="s">
        <v>362</v>
      </c>
      <c r="AD953" s="20"/>
      <c r="AE953" s="20"/>
      <c r="AF953" s="13" t="s">
        <v>40</v>
      </c>
      <c r="AG953" s="15">
        <v>45474</v>
      </c>
      <c r="AH953" s="13" t="s">
        <v>41</v>
      </c>
      <c r="AI953" s="13" t="s">
        <v>35</v>
      </c>
      <c r="AJ953" s="13" t="s">
        <v>365</v>
      </c>
      <c r="AK953" s="14">
        <v>-1</v>
      </c>
      <c r="AL953" s="17"/>
      <c r="AM953" s="17"/>
      <c r="AN953" s="17"/>
      <c r="AO953" s="17"/>
      <c r="AP953" s="17"/>
      <c r="AQ953" s="17"/>
      <c r="AR953" s="17"/>
      <c r="AS953" s="17"/>
      <c r="AT953" s="17"/>
      <c r="AU953" s="17"/>
      <c r="AV953" s="17"/>
    </row>
    <row r="954" spans="1:48" ht="15.75" customHeight="1">
      <c r="A954" s="21" t="s">
        <v>47</v>
      </c>
      <c r="B954" s="23" t="s">
        <v>1692</v>
      </c>
      <c r="C954" s="22">
        <v>45853</v>
      </c>
      <c r="D954" s="23" t="s">
        <v>473</v>
      </c>
      <c r="E954" s="23" t="s">
        <v>418</v>
      </c>
      <c r="F954" s="21">
        <v>1</v>
      </c>
      <c r="G954" s="12">
        <v>1000.0168789808919</v>
      </c>
      <c r="H954" s="12">
        <v>1000.0168789808919</v>
      </c>
      <c r="I954" s="23" t="s">
        <v>52</v>
      </c>
      <c r="J954" s="23" t="s">
        <v>61</v>
      </c>
      <c r="K954" s="24" t="s">
        <v>177</v>
      </c>
      <c r="L954" s="24">
        <v>160</v>
      </c>
      <c r="M954" s="12">
        <v>840.3503184713378</v>
      </c>
      <c r="N954" s="12">
        <v>840.3503184713378</v>
      </c>
      <c r="O954" s="12">
        <v>159.66656050955407</v>
      </c>
      <c r="P954" s="13"/>
      <c r="Q954" s="14">
        <v>2025</v>
      </c>
      <c r="R954" s="15">
        <v>45474</v>
      </c>
      <c r="S954" s="11" t="s">
        <v>419</v>
      </c>
      <c r="T954" s="16">
        <v>0</v>
      </c>
      <c r="U954" s="17"/>
      <c r="V954" s="12">
        <v>576.48031847133768</v>
      </c>
      <c r="W954" s="12">
        <v>576.48031847133768</v>
      </c>
      <c r="X954" s="12">
        <v>0</v>
      </c>
      <c r="Y954" s="18">
        <v>45852</v>
      </c>
      <c r="Z954" s="13" t="s">
        <v>39</v>
      </c>
      <c r="AA954" s="19" t="s">
        <v>373</v>
      </c>
      <c r="AB954" s="13" t="s">
        <v>357</v>
      </c>
      <c r="AC954" s="13" t="s">
        <v>474</v>
      </c>
      <c r="AD954" s="20"/>
      <c r="AE954" s="20"/>
      <c r="AF954" s="13" t="s">
        <v>40</v>
      </c>
      <c r="AG954" s="15">
        <v>45474</v>
      </c>
      <c r="AH954" s="13" t="s">
        <v>41</v>
      </c>
      <c r="AI954" s="13" t="s">
        <v>47</v>
      </c>
      <c r="AJ954" s="13" t="s">
        <v>419</v>
      </c>
      <c r="AK954" s="14">
        <v>-1</v>
      </c>
      <c r="AL954" s="17"/>
      <c r="AM954" s="17"/>
      <c r="AN954" s="17"/>
      <c r="AO954" s="17"/>
      <c r="AP954" s="17"/>
      <c r="AQ954" s="17"/>
      <c r="AR954" s="17"/>
      <c r="AS954" s="17"/>
      <c r="AT954" s="17"/>
      <c r="AU954" s="17"/>
      <c r="AV954" s="17"/>
    </row>
    <row r="955" spans="1:48" ht="15.75" customHeight="1">
      <c r="A955" s="21" t="s">
        <v>47</v>
      </c>
      <c r="B955" s="23" t="s">
        <v>1692</v>
      </c>
      <c r="C955" s="22">
        <v>45853</v>
      </c>
      <c r="D955" s="23" t="s">
        <v>473</v>
      </c>
      <c r="E955" s="23" t="s">
        <v>475</v>
      </c>
      <c r="F955" s="21">
        <v>1</v>
      </c>
      <c r="G955" s="12">
        <v>1500.0704225352113</v>
      </c>
      <c r="H955" s="12">
        <v>1500.0704225352113</v>
      </c>
      <c r="I955" s="23" t="s">
        <v>52</v>
      </c>
      <c r="J955" s="23" t="s">
        <v>61</v>
      </c>
      <c r="K955" s="24" t="s">
        <v>177</v>
      </c>
      <c r="L955" s="24">
        <v>160</v>
      </c>
      <c r="M955" s="12">
        <v>1260.5633802816901</v>
      </c>
      <c r="N955" s="12">
        <v>1260.5633802816901</v>
      </c>
      <c r="O955" s="12">
        <v>239.50704225352115</v>
      </c>
      <c r="P955" s="13"/>
      <c r="Q955" s="14">
        <v>2025</v>
      </c>
      <c r="R955" s="15">
        <v>45474</v>
      </c>
      <c r="S955" s="11" t="s">
        <v>476</v>
      </c>
      <c r="T955" s="16">
        <v>0</v>
      </c>
      <c r="U955" s="17"/>
      <c r="V955" s="12">
        <v>544.56338028169012</v>
      </c>
      <c r="W955" s="12">
        <v>544.56338028169012</v>
      </c>
      <c r="X955" s="12">
        <v>0</v>
      </c>
      <c r="Y955" s="18">
        <v>45852</v>
      </c>
      <c r="Z955" s="13" t="s">
        <v>39</v>
      </c>
      <c r="AA955" s="19" t="s">
        <v>373</v>
      </c>
      <c r="AB955" s="13" t="s">
        <v>357</v>
      </c>
      <c r="AC955" s="13" t="s">
        <v>474</v>
      </c>
      <c r="AD955" s="20"/>
      <c r="AE955" s="20"/>
      <c r="AF955" s="13" t="s">
        <v>40</v>
      </c>
      <c r="AG955" s="15">
        <v>45474</v>
      </c>
      <c r="AH955" s="13" t="s">
        <v>41</v>
      </c>
      <c r="AI955" s="13" t="s">
        <v>47</v>
      </c>
      <c r="AJ955" s="13" t="s">
        <v>477</v>
      </c>
      <c r="AK955" s="14">
        <v>-1</v>
      </c>
      <c r="AL955" s="17"/>
      <c r="AM955" s="17"/>
      <c r="AN955" s="17"/>
      <c r="AO955" s="17"/>
      <c r="AP955" s="17"/>
      <c r="AQ955" s="17"/>
      <c r="AR955" s="17"/>
      <c r="AS955" s="17"/>
      <c r="AT955" s="17"/>
      <c r="AU955" s="17"/>
      <c r="AV955" s="17"/>
    </row>
    <row r="956" spans="1:48" ht="15.75" customHeight="1">
      <c r="A956" s="21" t="s">
        <v>53</v>
      </c>
      <c r="B956" s="23" t="s">
        <v>1692</v>
      </c>
      <c r="C956" s="22">
        <v>45853</v>
      </c>
      <c r="D956" s="23" t="s">
        <v>473</v>
      </c>
      <c r="E956" s="23" t="s">
        <v>88</v>
      </c>
      <c r="F956" s="21">
        <v>1</v>
      </c>
      <c r="G956" s="12">
        <v>1999.9551032624961</v>
      </c>
      <c r="H956" s="12">
        <v>1999.9551032624961</v>
      </c>
      <c r="I956" s="23" t="s">
        <v>52</v>
      </c>
      <c r="J956" s="23" t="s">
        <v>61</v>
      </c>
      <c r="K956" s="24" t="s">
        <v>177</v>
      </c>
      <c r="L956" s="24">
        <v>160</v>
      </c>
      <c r="M956" s="12">
        <v>1680.6345405567195</v>
      </c>
      <c r="N956" s="12">
        <v>1680.6345405567195</v>
      </c>
      <c r="O956" s="12">
        <v>319.32056270577664</v>
      </c>
      <c r="P956" s="13"/>
      <c r="Q956" s="14">
        <v>2025</v>
      </c>
      <c r="R956" s="15">
        <v>45474</v>
      </c>
      <c r="S956" s="11" t="s">
        <v>410</v>
      </c>
      <c r="T956" s="16">
        <v>0</v>
      </c>
      <c r="U956" s="17"/>
      <c r="V956" s="12">
        <v>557.63454055671946</v>
      </c>
      <c r="W956" s="12">
        <v>557.63454055671946</v>
      </c>
      <c r="X956" s="12">
        <v>0</v>
      </c>
      <c r="Y956" s="18">
        <v>45852</v>
      </c>
      <c r="Z956" s="13" t="s">
        <v>39</v>
      </c>
      <c r="AA956" s="19" t="s">
        <v>373</v>
      </c>
      <c r="AB956" s="13" t="s">
        <v>357</v>
      </c>
      <c r="AC956" s="13" t="s">
        <v>474</v>
      </c>
      <c r="AD956" s="20"/>
      <c r="AE956" s="20"/>
      <c r="AF956" s="13" t="s">
        <v>40</v>
      </c>
      <c r="AG956" s="15">
        <v>45474</v>
      </c>
      <c r="AH956" s="13" t="s">
        <v>41</v>
      </c>
      <c r="AI956" s="13" t="s">
        <v>53</v>
      </c>
      <c r="AJ956" s="13" t="s">
        <v>411</v>
      </c>
      <c r="AK956" s="14">
        <v>-1</v>
      </c>
      <c r="AL956" s="17"/>
      <c r="AM956" s="17"/>
      <c r="AN956" s="17"/>
      <c r="AO956" s="17"/>
      <c r="AP956" s="17"/>
      <c r="AQ956" s="17"/>
      <c r="AR956" s="17"/>
      <c r="AS956" s="17"/>
      <c r="AT956" s="17"/>
      <c r="AU956" s="17"/>
      <c r="AV956" s="17"/>
    </row>
    <row r="957" spans="1:48" ht="15.75" customHeight="1">
      <c r="A957" s="21" t="s">
        <v>47</v>
      </c>
      <c r="B957" s="23" t="s">
        <v>1692</v>
      </c>
      <c r="C957" s="22">
        <v>45853</v>
      </c>
      <c r="D957" s="23" t="s">
        <v>473</v>
      </c>
      <c r="E957" s="23" t="s">
        <v>72</v>
      </c>
      <c r="F957" s="21">
        <v>1</v>
      </c>
      <c r="G957" s="12">
        <v>2750</v>
      </c>
      <c r="H957" s="12">
        <v>2750</v>
      </c>
      <c r="I957" s="23" t="s">
        <v>52</v>
      </c>
      <c r="J957" s="23" t="s">
        <v>61</v>
      </c>
      <c r="K957" s="24" t="s">
        <v>177</v>
      </c>
      <c r="L957" s="24">
        <v>160</v>
      </c>
      <c r="M957" s="12">
        <v>2310.9243697478992</v>
      </c>
      <c r="N957" s="12">
        <v>2310.9243697478992</v>
      </c>
      <c r="O957" s="12">
        <v>439.07563025210084</v>
      </c>
      <c r="P957" s="13"/>
      <c r="Q957" s="14">
        <v>2025</v>
      </c>
      <c r="R957" s="15">
        <v>45474</v>
      </c>
      <c r="S957" s="11" t="s">
        <v>372</v>
      </c>
      <c r="T957" s="16">
        <v>0</v>
      </c>
      <c r="U957" s="17"/>
      <c r="V957" s="12">
        <v>663.86554621848722</v>
      </c>
      <c r="W957" s="12">
        <v>663.86554621848722</v>
      </c>
      <c r="X957" s="12">
        <v>0</v>
      </c>
      <c r="Y957" s="18">
        <v>45852</v>
      </c>
      <c r="Z957" s="13" t="s">
        <v>39</v>
      </c>
      <c r="AA957" s="19" t="s">
        <v>373</v>
      </c>
      <c r="AB957" s="13" t="s">
        <v>357</v>
      </c>
      <c r="AC957" s="13" t="s">
        <v>474</v>
      </c>
      <c r="AD957" s="20"/>
      <c r="AE957" s="20"/>
      <c r="AF957" s="13" t="s">
        <v>40</v>
      </c>
      <c r="AG957" s="15">
        <v>45474</v>
      </c>
      <c r="AH957" s="13" t="s">
        <v>41</v>
      </c>
      <c r="AI957" s="13" t="s">
        <v>47</v>
      </c>
      <c r="AJ957" s="13" t="s">
        <v>458</v>
      </c>
      <c r="AK957" s="14">
        <v>-1</v>
      </c>
      <c r="AL957" s="17"/>
      <c r="AM957" s="17"/>
      <c r="AN957" s="17"/>
      <c r="AO957" s="17"/>
      <c r="AP957" s="17"/>
      <c r="AQ957" s="17"/>
      <c r="AR957" s="17"/>
      <c r="AS957" s="17"/>
      <c r="AT957" s="17"/>
      <c r="AU957" s="17"/>
      <c r="AV957" s="17"/>
    </row>
    <row r="958" spans="1:48" ht="15.75" customHeight="1">
      <c r="A958" s="21" t="s">
        <v>43</v>
      </c>
      <c r="B958" s="23" t="s">
        <v>1692</v>
      </c>
      <c r="C958" s="22">
        <v>45853</v>
      </c>
      <c r="D958" s="23" t="s">
        <v>278</v>
      </c>
      <c r="E958" s="23" t="s">
        <v>45</v>
      </c>
      <c r="F958" s="21">
        <v>1</v>
      </c>
      <c r="G958" s="12">
        <v>7900.1687504794045</v>
      </c>
      <c r="H958" s="12">
        <v>7900.1687504794045</v>
      </c>
      <c r="I958" s="23" t="s">
        <v>52</v>
      </c>
      <c r="J958" s="23" t="s">
        <v>61</v>
      </c>
      <c r="K958" s="24" t="s">
        <v>177</v>
      </c>
      <c r="L958" s="24">
        <v>160</v>
      </c>
      <c r="M958" s="12">
        <v>6638.7972693104239</v>
      </c>
      <c r="N958" s="12">
        <v>6638.7972693104239</v>
      </c>
      <c r="O958" s="12">
        <v>1261.3714811689806</v>
      </c>
      <c r="P958" s="13"/>
      <c r="Q958" s="14">
        <v>2025</v>
      </c>
      <c r="R958" s="15">
        <v>45474</v>
      </c>
      <c r="S958" s="11" t="s">
        <v>355</v>
      </c>
      <c r="T958" s="16">
        <v>0</v>
      </c>
      <c r="U958" s="17"/>
      <c r="V958" s="12">
        <v>1445.7972693104239</v>
      </c>
      <c r="W958" s="12">
        <v>1445.7972693104239</v>
      </c>
      <c r="X958" s="12">
        <v>0</v>
      </c>
      <c r="Y958" s="18">
        <v>45852</v>
      </c>
      <c r="Z958" s="13" t="s">
        <v>39</v>
      </c>
      <c r="AA958" s="19" t="s">
        <v>373</v>
      </c>
      <c r="AB958" s="13" t="s">
        <v>357</v>
      </c>
      <c r="AC958" s="13" t="s">
        <v>478</v>
      </c>
      <c r="AD958" s="20"/>
      <c r="AE958" s="20"/>
      <c r="AF958" s="13" t="s">
        <v>40</v>
      </c>
      <c r="AG958" s="15">
        <v>45474</v>
      </c>
      <c r="AH958" s="13" t="s">
        <v>41</v>
      </c>
      <c r="AI958" s="13" t="s">
        <v>43</v>
      </c>
      <c r="AJ958" s="13" t="s">
        <v>359</v>
      </c>
      <c r="AK958" s="14">
        <v>-1</v>
      </c>
      <c r="AL958" s="17"/>
      <c r="AM958" s="17"/>
      <c r="AN958" s="17"/>
      <c r="AO958" s="17"/>
      <c r="AP958" s="17"/>
      <c r="AQ958" s="17"/>
      <c r="AR958" s="17"/>
      <c r="AS958" s="17"/>
      <c r="AT958" s="17"/>
      <c r="AU958" s="17"/>
      <c r="AV958" s="17"/>
    </row>
    <row r="959" spans="1:48" ht="15.75" customHeight="1">
      <c r="A959" s="21" t="s">
        <v>53</v>
      </c>
      <c r="B959" s="23" t="s">
        <v>1692</v>
      </c>
      <c r="C959" s="25">
        <v>45853</v>
      </c>
      <c r="D959" s="23" t="s">
        <v>133</v>
      </c>
      <c r="E959" s="23" t="s">
        <v>97</v>
      </c>
      <c r="F959" s="21">
        <v>1</v>
      </c>
      <c r="G959" s="12">
        <v>16500.236769693482</v>
      </c>
      <c r="H959" s="12">
        <v>16500.236769693482</v>
      </c>
      <c r="I959" s="23" t="s">
        <v>52</v>
      </c>
      <c r="J959" s="23" t="s">
        <v>61</v>
      </c>
      <c r="K959" s="24" t="s">
        <v>177</v>
      </c>
      <c r="L959" s="24">
        <v>160</v>
      </c>
      <c r="M959" s="12">
        <v>13865.745184616371</v>
      </c>
      <c r="N959" s="12">
        <v>13865.745184616371</v>
      </c>
      <c r="O959" s="12">
        <v>2634.4915850771104</v>
      </c>
      <c r="P959" s="13"/>
      <c r="Q959" s="14">
        <v>2025</v>
      </c>
      <c r="R959" s="15">
        <v>45474</v>
      </c>
      <c r="S959" s="11" t="s">
        <v>366</v>
      </c>
      <c r="T959" s="16">
        <v>0</v>
      </c>
      <c r="U959" s="17"/>
      <c r="V959" s="12">
        <v>3031.7451846163694</v>
      </c>
      <c r="W959" s="12">
        <v>3031.7451846163694</v>
      </c>
      <c r="X959" s="12">
        <v>0</v>
      </c>
      <c r="Y959" s="18">
        <v>45852</v>
      </c>
      <c r="Z959" s="13" t="s">
        <v>39</v>
      </c>
      <c r="AA959" s="19" t="s">
        <v>361</v>
      </c>
      <c r="AB959" s="13" t="s">
        <v>357</v>
      </c>
      <c r="AC959" s="13" t="s">
        <v>362</v>
      </c>
      <c r="AD959" s="20"/>
      <c r="AE959" s="20"/>
      <c r="AF959" s="13" t="s">
        <v>40</v>
      </c>
      <c r="AG959" s="15">
        <v>45474</v>
      </c>
      <c r="AH959" s="13" t="s">
        <v>41</v>
      </c>
      <c r="AI959" s="13" t="s">
        <v>53</v>
      </c>
      <c r="AJ959" s="13" t="s">
        <v>368</v>
      </c>
      <c r="AK959" s="14">
        <v>-6</v>
      </c>
      <c r="AL959" s="17"/>
      <c r="AM959" s="17"/>
      <c r="AN959" s="17"/>
      <c r="AO959" s="17"/>
      <c r="AP959" s="17"/>
      <c r="AQ959" s="17"/>
      <c r="AR959" s="17"/>
      <c r="AS959" s="17"/>
      <c r="AT959" s="17"/>
      <c r="AU959" s="17"/>
      <c r="AV959" s="17"/>
    </row>
    <row r="960" spans="1:48" ht="15.75" customHeight="1">
      <c r="A960" s="21" t="s">
        <v>43</v>
      </c>
      <c r="B960" s="23" t="s">
        <v>1692</v>
      </c>
      <c r="C960" s="22">
        <v>45853</v>
      </c>
      <c r="D960" s="23" t="s">
        <v>258</v>
      </c>
      <c r="E960" s="23" t="s">
        <v>45</v>
      </c>
      <c r="F960" s="21">
        <v>2</v>
      </c>
      <c r="G960" s="12">
        <v>7900.1687504794045</v>
      </c>
      <c r="H960" s="12">
        <v>15800.337500958809</v>
      </c>
      <c r="I960" s="23" t="s">
        <v>52</v>
      </c>
      <c r="J960" s="23" t="s">
        <v>61</v>
      </c>
      <c r="K960" s="24" t="s">
        <v>177</v>
      </c>
      <c r="L960" s="24">
        <v>160</v>
      </c>
      <c r="M960" s="12">
        <v>6638.7972693104239</v>
      </c>
      <c r="N960" s="12">
        <v>13277.594538620848</v>
      </c>
      <c r="O960" s="12">
        <v>2522.7429623379612</v>
      </c>
      <c r="P960" s="13"/>
      <c r="Q960" s="14">
        <v>2025</v>
      </c>
      <c r="R960" s="15">
        <v>45474</v>
      </c>
      <c r="S960" s="11" t="s">
        <v>355</v>
      </c>
      <c r="T960" s="16">
        <v>0</v>
      </c>
      <c r="U960" s="17"/>
      <c r="V960" s="12">
        <v>2891.5945386208477</v>
      </c>
      <c r="W960" s="12">
        <v>2891.5945386208477</v>
      </c>
      <c r="X960" s="12">
        <v>0</v>
      </c>
      <c r="Y960" s="18">
        <v>45852</v>
      </c>
      <c r="Z960" s="13" t="s">
        <v>39</v>
      </c>
      <c r="AA960" s="19" t="s">
        <v>356</v>
      </c>
      <c r="AB960" s="13" t="s">
        <v>357</v>
      </c>
      <c r="AC960" s="13" t="s">
        <v>358</v>
      </c>
      <c r="AD960" s="20"/>
      <c r="AE960" s="20"/>
      <c r="AF960" s="13" t="s">
        <v>40</v>
      </c>
      <c r="AG960" s="15">
        <v>45474</v>
      </c>
      <c r="AH960" s="13" t="s">
        <v>41</v>
      </c>
      <c r="AI960" s="13" t="s">
        <v>43</v>
      </c>
      <c r="AJ960" s="13" t="s">
        <v>359</v>
      </c>
      <c r="AK960" s="14">
        <v>-2</v>
      </c>
      <c r="AL960" s="17"/>
      <c r="AM960" s="17"/>
      <c r="AN960" s="17"/>
      <c r="AO960" s="17"/>
      <c r="AP960" s="17"/>
      <c r="AQ960" s="17"/>
      <c r="AR960" s="17"/>
      <c r="AS960" s="17"/>
      <c r="AT960" s="17"/>
      <c r="AU960" s="17"/>
      <c r="AV960" s="17"/>
    </row>
    <row r="961" spans="1:48" ht="15.75" customHeight="1">
      <c r="A961" s="21" t="s">
        <v>35</v>
      </c>
      <c r="B961" s="23" t="s">
        <v>1692</v>
      </c>
      <c r="C961" s="22">
        <v>45853</v>
      </c>
      <c r="D961" s="23" t="s">
        <v>96</v>
      </c>
      <c r="E961" s="23" t="s">
        <v>37</v>
      </c>
      <c r="F961" s="14">
        <v>1</v>
      </c>
      <c r="G961" s="12">
        <v>11000.014358944907</v>
      </c>
      <c r="H961" s="12">
        <v>11000.014358944907</v>
      </c>
      <c r="I961" s="23" t="s">
        <v>52</v>
      </c>
      <c r="J961" s="23" t="s">
        <v>61</v>
      </c>
      <c r="K961" s="24" t="s">
        <v>177</v>
      </c>
      <c r="L961" s="24">
        <v>160</v>
      </c>
      <c r="M961" s="12">
        <v>9243.7095453318543</v>
      </c>
      <c r="N961" s="12">
        <v>9243.7095453318543</v>
      </c>
      <c r="O961" s="12">
        <v>1756.3048136130528</v>
      </c>
      <c r="P961" s="13"/>
      <c r="Q961" s="14">
        <v>2025</v>
      </c>
      <c r="R961" s="15">
        <v>45474</v>
      </c>
      <c r="S961" s="11" t="s">
        <v>364</v>
      </c>
      <c r="T961" s="16">
        <v>1000</v>
      </c>
      <c r="U961" s="17"/>
      <c r="V961" s="12">
        <v>2806.1129066763915</v>
      </c>
      <c r="W961" s="12">
        <v>2806.1129066763915</v>
      </c>
      <c r="X961" s="12">
        <v>0</v>
      </c>
      <c r="Y961" s="18">
        <v>45852</v>
      </c>
      <c r="Z961" s="13" t="s">
        <v>39</v>
      </c>
      <c r="AA961" s="19" t="s">
        <v>373</v>
      </c>
      <c r="AB961" s="13" t="s">
        <v>357</v>
      </c>
      <c r="AC961" s="13" t="s">
        <v>374</v>
      </c>
      <c r="AD961" s="20"/>
      <c r="AE961" s="20"/>
      <c r="AF961" s="13" t="s">
        <v>40</v>
      </c>
      <c r="AG961" s="15">
        <v>45474</v>
      </c>
      <c r="AH961" s="13" t="s">
        <v>41</v>
      </c>
      <c r="AI961" s="13" t="s">
        <v>35</v>
      </c>
      <c r="AJ961" s="13" t="s">
        <v>365</v>
      </c>
      <c r="AK961" s="14">
        <v>-1</v>
      </c>
      <c r="AL961" s="17"/>
      <c r="AM961" s="17"/>
      <c r="AN961" s="17"/>
      <c r="AO961" s="17"/>
      <c r="AP961" s="17"/>
      <c r="AQ961" s="17"/>
      <c r="AR961" s="17"/>
      <c r="AS961" s="17"/>
      <c r="AT961" s="17"/>
      <c r="AU961" s="17"/>
      <c r="AV961" s="17"/>
    </row>
    <row r="962" spans="1:48" ht="15.75" customHeight="1">
      <c r="A962" s="21" t="s">
        <v>43</v>
      </c>
      <c r="B962" s="23" t="s">
        <v>1692</v>
      </c>
      <c r="C962" s="22">
        <v>45853</v>
      </c>
      <c r="D962" s="23" t="s">
        <v>96</v>
      </c>
      <c r="E962" s="23" t="s">
        <v>45</v>
      </c>
      <c r="F962" s="14">
        <v>1</v>
      </c>
      <c r="G962" s="12">
        <v>7900.1687504794045</v>
      </c>
      <c r="H962" s="12">
        <v>7900.1687504794045</v>
      </c>
      <c r="I962" s="23" t="s">
        <v>52</v>
      </c>
      <c r="J962" s="23" t="s">
        <v>61</v>
      </c>
      <c r="K962" s="24" t="s">
        <v>177</v>
      </c>
      <c r="L962" s="24">
        <v>160</v>
      </c>
      <c r="M962" s="12">
        <v>6638.7972693104239</v>
      </c>
      <c r="N962" s="12">
        <v>6638.7972693104239</v>
      </c>
      <c r="O962" s="12">
        <v>1261.3714811689806</v>
      </c>
      <c r="P962" s="13"/>
      <c r="Q962" s="14">
        <v>2025</v>
      </c>
      <c r="R962" s="15">
        <v>45474</v>
      </c>
      <c r="S962" s="11" t="s">
        <v>355</v>
      </c>
      <c r="T962" s="16">
        <v>0</v>
      </c>
      <c r="U962" s="17"/>
      <c r="V962" s="12">
        <v>1445.7972693104239</v>
      </c>
      <c r="W962" s="12">
        <v>1445.7972693104239</v>
      </c>
      <c r="X962" s="12">
        <v>0</v>
      </c>
      <c r="Y962" s="18">
        <v>45852</v>
      </c>
      <c r="Z962" s="13" t="s">
        <v>39</v>
      </c>
      <c r="AA962" s="19" t="s">
        <v>373</v>
      </c>
      <c r="AB962" s="13" t="s">
        <v>357</v>
      </c>
      <c r="AC962" s="13" t="s">
        <v>374</v>
      </c>
      <c r="AD962" s="20"/>
      <c r="AE962" s="20"/>
      <c r="AF962" s="13" t="s">
        <v>40</v>
      </c>
      <c r="AG962" s="15">
        <v>45474</v>
      </c>
      <c r="AH962" s="13" t="s">
        <v>41</v>
      </c>
      <c r="AI962" s="13" t="s">
        <v>43</v>
      </c>
      <c r="AJ962" s="13" t="s">
        <v>359</v>
      </c>
      <c r="AK962" s="14">
        <v>-1</v>
      </c>
      <c r="AL962" s="17"/>
      <c r="AM962" s="17"/>
      <c r="AN962" s="17"/>
      <c r="AO962" s="17"/>
      <c r="AP962" s="17"/>
      <c r="AQ962" s="17"/>
      <c r="AR962" s="17"/>
      <c r="AS962" s="17"/>
      <c r="AT962" s="17"/>
      <c r="AU962" s="17"/>
      <c r="AV962" s="17"/>
    </row>
    <row r="963" spans="1:48" ht="15.75" customHeight="1">
      <c r="A963" s="21" t="s">
        <v>47</v>
      </c>
      <c r="B963" s="23" t="s">
        <v>1692</v>
      </c>
      <c r="C963" s="22">
        <v>45853</v>
      </c>
      <c r="D963" s="23" t="s">
        <v>96</v>
      </c>
      <c r="E963" s="23" t="s">
        <v>295</v>
      </c>
      <c r="F963" s="14">
        <v>1</v>
      </c>
      <c r="G963" s="12">
        <v>2599.7755362977696</v>
      </c>
      <c r="H963" s="12">
        <v>2599.7755362977696</v>
      </c>
      <c r="I963" s="23" t="s">
        <v>52</v>
      </c>
      <c r="J963" s="23" t="s">
        <v>61</v>
      </c>
      <c r="K963" s="24" t="s">
        <v>177</v>
      </c>
      <c r="L963" s="24">
        <v>160</v>
      </c>
      <c r="M963" s="12">
        <v>2184.6853246199744</v>
      </c>
      <c r="N963" s="12">
        <v>2184.6853246199744</v>
      </c>
      <c r="O963" s="12">
        <v>415.0902116777952</v>
      </c>
      <c r="P963" s="13"/>
      <c r="Q963" s="14">
        <v>2025</v>
      </c>
      <c r="R963" s="15">
        <v>45474</v>
      </c>
      <c r="S963" s="11" t="s">
        <v>372</v>
      </c>
      <c r="T963" s="16">
        <v>0</v>
      </c>
      <c r="U963" s="17"/>
      <c r="V963" s="12">
        <v>646.88532461997443</v>
      </c>
      <c r="W963" s="12">
        <v>646.88532461997443</v>
      </c>
      <c r="X963" s="12">
        <v>0</v>
      </c>
      <c r="Y963" s="18">
        <v>45852</v>
      </c>
      <c r="Z963" s="13" t="s">
        <v>39</v>
      </c>
      <c r="AA963" s="19" t="s">
        <v>373</v>
      </c>
      <c r="AB963" s="13" t="s">
        <v>357</v>
      </c>
      <c r="AC963" s="13" t="s">
        <v>374</v>
      </c>
      <c r="AD963" s="20"/>
      <c r="AE963" s="20"/>
      <c r="AF963" s="13" t="s">
        <v>40</v>
      </c>
      <c r="AG963" s="15">
        <v>45474</v>
      </c>
      <c r="AH963" s="13" t="s">
        <v>41</v>
      </c>
      <c r="AI963" s="13" t="s">
        <v>47</v>
      </c>
      <c r="AJ963" s="13" t="s">
        <v>375</v>
      </c>
      <c r="AK963" s="14">
        <v>-1</v>
      </c>
      <c r="AL963" s="17"/>
      <c r="AM963" s="17"/>
      <c r="AN963" s="17"/>
      <c r="AO963" s="17"/>
      <c r="AP963" s="17"/>
      <c r="AQ963" s="17"/>
      <c r="AR963" s="17"/>
      <c r="AS963" s="17"/>
      <c r="AT963" s="17"/>
      <c r="AU963" s="17"/>
      <c r="AV963" s="17"/>
    </row>
    <row r="964" spans="1:48" ht="15.75" customHeight="1">
      <c r="A964" s="21" t="s">
        <v>76</v>
      </c>
      <c r="B964" s="23" t="s">
        <v>1692</v>
      </c>
      <c r="C964" s="22">
        <v>45853</v>
      </c>
      <c r="D964" s="23" t="s">
        <v>96</v>
      </c>
      <c r="E964" s="23" t="s">
        <v>98</v>
      </c>
      <c r="F964" s="14">
        <v>1</v>
      </c>
      <c r="G964" s="12">
        <v>2600.0000000000005</v>
      </c>
      <c r="H964" s="12">
        <v>2600.0000000000005</v>
      </c>
      <c r="I964" s="23" t="s">
        <v>52</v>
      </c>
      <c r="J964" s="23" t="s">
        <v>61</v>
      </c>
      <c r="K964" s="24" t="s">
        <v>177</v>
      </c>
      <c r="L964" s="24">
        <v>160</v>
      </c>
      <c r="M964" s="12">
        <v>2184.8739495798322</v>
      </c>
      <c r="N964" s="12">
        <v>2184.8739495798322</v>
      </c>
      <c r="O964" s="12">
        <v>415.12605042016821</v>
      </c>
      <c r="P964" s="13"/>
      <c r="Q964" s="14">
        <v>2025</v>
      </c>
      <c r="R964" s="15">
        <v>45474</v>
      </c>
      <c r="S964" s="11" t="s">
        <v>479</v>
      </c>
      <c r="T964" s="16">
        <v>0</v>
      </c>
      <c r="U964" s="17"/>
      <c r="V964" s="12">
        <v>1052.1008403361348</v>
      </c>
      <c r="W964" s="12">
        <v>1052.1008403361348</v>
      </c>
      <c r="X964" s="12">
        <v>0</v>
      </c>
      <c r="Y964" s="18">
        <v>45852</v>
      </c>
      <c r="Z964" s="13" t="s">
        <v>39</v>
      </c>
      <c r="AA964" s="19" t="s">
        <v>373</v>
      </c>
      <c r="AB964" s="13" t="s">
        <v>357</v>
      </c>
      <c r="AC964" s="13" t="s">
        <v>374</v>
      </c>
      <c r="AD964" s="20"/>
      <c r="AE964" s="20"/>
      <c r="AF964" s="13" t="s">
        <v>40</v>
      </c>
      <c r="AG964" s="15">
        <v>45474</v>
      </c>
      <c r="AH964" s="13" t="s">
        <v>41</v>
      </c>
      <c r="AI964" s="13" t="s">
        <v>76</v>
      </c>
      <c r="AJ964" s="13" t="s">
        <v>480</v>
      </c>
      <c r="AK964" s="14">
        <v>-1</v>
      </c>
      <c r="AL964" s="17"/>
      <c r="AM964" s="17"/>
      <c r="AN964" s="17"/>
      <c r="AO964" s="17"/>
      <c r="AP964" s="17"/>
      <c r="AQ964" s="17"/>
      <c r="AR964" s="17"/>
      <c r="AS964" s="17"/>
      <c r="AT964" s="17"/>
      <c r="AU964" s="17"/>
      <c r="AV964" s="17"/>
    </row>
    <row r="965" spans="1:48" ht="15.75" customHeight="1">
      <c r="A965" s="21" t="s">
        <v>76</v>
      </c>
      <c r="B965" s="23" t="s">
        <v>1692</v>
      </c>
      <c r="C965" s="22">
        <v>45853</v>
      </c>
      <c r="D965" s="23" t="s">
        <v>96</v>
      </c>
      <c r="E965" s="23" t="s">
        <v>77</v>
      </c>
      <c r="F965" s="14">
        <v>1</v>
      </c>
      <c r="G965" s="12">
        <v>1700.4255319148936</v>
      </c>
      <c r="H965" s="12">
        <v>1700.4255319148936</v>
      </c>
      <c r="I965" s="23" t="s">
        <v>52</v>
      </c>
      <c r="J965" s="23" t="s">
        <v>61</v>
      </c>
      <c r="K965" s="24" t="s">
        <v>177</v>
      </c>
      <c r="L965" s="24">
        <v>160</v>
      </c>
      <c r="M965" s="12">
        <v>1428.929018415877</v>
      </c>
      <c r="N965" s="12">
        <v>1428.929018415877</v>
      </c>
      <c r="O965" s="12">
        <v>271.4965134990166</v>
      </c>
      <c r="P965" s="13"/>
      <c r="Q965" s="14">
        <v>2025</v>
      </c>
      <c r="R965" s="15">
        <v>45474</v>
      </c>
      <c r="S965" s="11" t="s">
        <v>448</v>
      </c>
      <c r="T965" s="16">
        <v>0</v>
      </c>
      <c r="U965" s="17"/>
      <c r="V965" s="12">
        <v>589.43322009654923</v>
      </c>
      <c r="W965" s="12">
        <v>589.43322009654923</v>
      </c>
      <c r="X965" s="12">
        <v>0</v>
      </c>
      <c r="Y965" s="18">
        <v>45852</v>
      </c>
      <c r="Z965" s="13" t="s">
        <v>39</v>
      </c>
      <c r="AA965" s="19" t="s">
        <v>373</v>
      </c>
      <c r="AB965" s="13" t="s">
        <v>357</v>
      </c>
      <c r="AC965" s="13" t="s">
        <v>374</v>
      </c>
      <c r="AD965" s="20"/>
      <c r="AE965" s="20"/>
      <c r="AF965" s="13" t="s">
        <v>40</v>
      </c>
      <c r="AG965" s="15">
        <v>45474</v>
      </c>
      <c r="AH965" s="13" t="s">
        <v>41</v>
      </c>
      <c r="AI965" s="13" t="s">
        <v>76</v>
      </c>
      <c r="AJ965" s="13" t="s">
        <v>457</v>
      </c>
      <c r="AK965" s="14">
        <v>-1</v>
      </c>
      <c r="AL965" s="17"/>
      <c r="AM965" s="17"/>
      <c r="AN965" s="17"/>
      <c r="AO965" s="17"/>
      <c r="AP965" s="17"/>
      <c r="AQ965" s="17"/>
      <c r="AR965" s="17"/>
      <c r="AS965" s="17"/>
      <c r="AT965" s="17"/>
      <c r="AU965" s="17"/>
      <c r="AV965" s="17"/>
    </row>
    <row r="966" spans="1:48" ht="15.75" customHeight="1">
      <c r="A966" s="21" t="s">
        <v>76</v>
      </c>
      <c r="B966" s="23" t="s">
        <v>1692</v>
      </c>
      <c r="C966" s="22">
        <v>45853</v>
      </c>
      <c r="D966" s="23" t="s">
        <v>96</v>
      </c>
      <c r="E966" s="23" t="s">
        <v>481</v>
      </c>
      <c r="F966" s="14">
        <v>1</v>
      </c>
      <c r="G966" s="12">
        <v>1599.969512195122</v>
      </c>
      <c r="H966" s="12">
        <v>1599.969512195122</v>
      </c>
      <c r="I966" s="23" t="s">
        <v>52</v>
      </c>
      <c r="J966" s="23" t="s">
        <v>61</v>
      </c>
      <c r="K966" s="24" t="s">
        <v>177</v>
      </c>
      <c r="L966" s="24">
        <v>160</v>
      </c>
      <c r="M966" s="12">
        <v>1344.5121951219512</v>
      </c>
      <c r="N966" s="12">
        <v>1344.5121951219512</v>
      </c>
      <c r="O966" s="12">
        <v>255.45731707317077</v>
      </c>
      <c r="P966" s="13"/>
      <c r="Q966" s="14">
        <v>2025</v>
      </c>
      <c r="R966" s="15">
        <v>45474</v>
      </c>
      <c r="S966" s="11" t="s">
        <v>482</v>
      </c>
      <c r="T966" s="16">
        <v>800</v>
      </c>
      <c r="U966" s="17"/>
      <c r="V966" s="12">
        <v>462.51219512195121</v>
      </c>
      <c r="W966" s="12">
        <v>462.51219512195121</v>
      </c>
      <c r="X966" s="12">
        <v>0</v>
      </c>
      <c r="Y966" s="18">
        <v>45852</v>
      </c>
      <c r="Z966" s="13" t="s">
        <v>39</v>
      </c>
      <c r="AA966" s="19" t="s">
        <v>373</v>
      </c>
      <c r="AB966" s="13" t="s">
        <v>357</v>
      </c>
      <c r="AC966" s="13" t="s">
        <v>374</v>
      </c>
      <c r="AD966" s="20"/>
      <c r="AE966" s="20"/>
      <c r="AF966" s="13" t="s">
        <v>40</v>
      </c>
      <c r="AG966" s="15">
        <v>45474</v>
      </c>
      <c r="AH966" s="13" t="s">
        <v>41</v>
      </c>
      <c r="AI966" s="13" t="s">
        <v>76</v>
      </c>
      <c r="AJ966" s="13" t="s">
        <v>483</v>
      </c>
      <c r="AK966" s="14">
        <v>-1</v>
      </c>
      <c r="AL966" s="17"/>
      <c r="AM966" s="17"/>
      <c r="AN966" s="17"/>
      <c r="AO966" s="17"/>
      <c r="AP966" s="17"/>
      <c r="AQ966" s="17"/>
      <c r="AR966" s="17"/>
      <c r="AS966" s="17"/>
      <c r="AT966" s="17"/>
      <c r="AU966" s="17"/>
      <c r="AV966" s="17"/>
    </row>
    <row r="967" spans="1:48" ht="15.75" customHeight="1">
      <c r="A967" s="21" t="s">
        <v>76</v>
      </c>
      <c r="B967" s="23" t="s">
        <v>1692</v>
      </c>
      <c r="C967" s="22">
        <v>45853</v>
      </c>
      <c r="D967" s="23" t="s">
        <v>96</v>
      </c>
      <c r="E967" s="23" t="s">
        <v>102</v>
      </c>
      <c r="F967" s="14">
        <v>1</v>
      </c>
      <c r="G967" s="12">
        <v>1599.969512195122</v>
      </c>
      <c r="H967" s="12">
        <v>1599.969512195122</v>
      </c>
      <c r="I967" s="23" t="s">
        <v>52</v>
      </c>
      <c r="J967" s="23" t="s">
        <v>61</v>
      </c>
      <c r="K967" s="24" t="s">
        <v>177</v>
      </c>
      <c r="L967" s="24">
        <v>160</v>
      </c>
      <c r="M967" s="12">
        <v>1344.5121951219512</v>
      </c>
      <c r="N967" s="12">
        <v>1344.5121951219512</v>
      </c>
      <c r="O967" s="12">
        <v>255.45731707317077</v>
      </c>
      <c r="P967" s="13"/>
      <c r="Q967" s="14">
        <v>2025</v>
      </c>
      <c r="R967" s="15">
        <v>45474</v>
      </c>
      <c r="S967" s="11" t="s">
        <v>482</v>
      </c>
      <c r="T967" s="16">
        <v>800</v>
      </c>
      <c r="U967" s="17"/>
      <c r="V967" s="12">
        <v>462.51219512195121</v>
      </c>
      <c r="W967" s="12">
        <v>462.51219512195121</v>
      </c>
      <c r="X967" s="12">
        <v>0</v>
      </c>
      <c r="Y967" s="18">
        <v>45852</v>
      </c>
      <c r="Z967" s="13" t="s">
        <v>39</v>
      </c>
      <c r="AA967" s="19" t="s">
        <v>373</v>
      </c>
      <c r="AB967" s="13" t="s">
        <v>357</v>
      </c>
      <c r="AC967" s="13" t="s">
        <v>374</v>
      </c>
      <c r="AD967" s="20"/>
      <c r="AE967" s="20"/>
      <c r="AF967" s="13" t="s">
        <v>40</v>
      </c>
      <c r="AG967" s="15">
        <v>45474</v>
      </c>
      <c r="AH967" s="13" t="s">
        <v>41</v>
      </c>
      <c r="AI967" s="13" t="s">
        <v>76</v>
      </c>
      <c r="AJ967" s="13" t="s">
        <v>484</v>
      </c>
      <c r="AK967" s="14">
        <v>-1</v>
      </c>
      <c r="AL967" s="17"/>
      <c r="AM967" s="17"/>
      <c r="AN967" s="17"/>
      <c r="AO967" s="17"/>
      <c r="AP967" s="17"/>
      <c r="AQ967" s="17"/>
      <c r="AR967" s="17"/>
      <c r="AS967" s="17"/>
      <c r="AT967" s="17"/>
      <c r="AU967" s="17"/>
      <c r="AV967" s="17"/>
    </row>
    <row r="968" spans="1:48" ht="15.75" customHeight="1">
      <c r="A968" s="21" t="s">
        <v>76</v>
      </c>
      <c r="B968" s="23" t="s">
        <v>1692</v>
      </c>
      <c r="C968" s="22">
        <v>45853</v>
      </c>
      <c r="D968" s="23" t="s">
        <v>96</v>
      </c>
      <c r="E968" s="23" t="s">
        <v>101</v>
      </c>
      <c r="F968" s="14">
        <v>1</v>
      </c>
      <c r="G968" s="12">
        <v>1599.969512195122</v>
      </c>
      <c r="H968" s="12">
        <v>1599.969512195122</v>
      </c>
      <c r="I968" s="23" t="s">
        <v>52</v>
      </c>
      <c r="J968" s="23" t="s">
        <v>61</v>
      </c>
      <c r="K968" s="24" t="s">
        <v>177</v>
      </c>
      <c r="L968" s="24">
        <v>160</v>
      </c>
      <c r="M968" s="12">
        <v>1344.5121951219512</v>
      </c>
      <c r="N968" s="12">
        <v>1344.5121951219512</v>
      </c>
      <c r="O968" s="12">
        <v>255.45731707317077</v>
      </c>
      <c r="P968" s="13"/>
      <c r="Q968" s="14">
        <v>2025</v>
      </c>
      <c r="R968" s="15">
        <v>45474</v>
      </c>
      <c r="S968" s="11" t="s">
        <v>482</v>
      </c>
      <c r="T968" s="16">
        <v>800</v>
      </c>
      <c r="U968" s="17"/>
      <c r="V968" s="12">
        <v>462.51219512195121</v>
      </c>
      <c r="W968" s="12">
        <v>462.51219512195121</v>
      </c>
      <c r="X968" s="12">
        <v>0</v>
      </c>
      <c r="Y968" s="18">
        <v>45852</v>
      </c>
      <c r="Z968" s="13" t="s">
        <v>39</v>
      </c>
      <c r="AA968" s="19" t="s">
        <v>373</v>
      </c>
      <c r="AB968" s="13" t="s">
        <v>357</v>
      </c>
      <c r="AC968" s="13" t="s">
        <v>374</v>
      </c>
      <c r="AD968" s="20"/>
      <c r="AE968" s="20"/>
      <c r="AF968" s="13" t="s">
        <v>40</v>
      </c>
      <c r="AG968" s="15">
        <v>45474</v>
      </c>
      <c r="AH968" s="13" t="s">
        <v>41</v>
      </c>
      <c r="AI968" s="13" t="s">
        <v>76</v>
      </c>
      <c r="AJ968" s="13" t="s">
        <v>485</v>
      </c>
      <c r="AK968" s="14">
        <v>-1</v>
      </c>
      <c r="AL968" s="17"/>
      <c r="AM968" s="17"/>
      <c r="AN968" s="17"/>
      <c r="AO968" s="17"/>
      <c r="AP968" s="17"/>
      <c r="AQ968" s="17"/>
      <c r="AR968" s="17"/>
      <c r="AS968" s="17"/>
      <c r="AT968" s="17"/>
      <c r="AU968" s="17"/>
      <c r="AV968" s="17"/>
    </row>
    <row r="969" spans="1:48" ht="15.75" customHeight="1">
      <c r="A969" s="21" t="s">
        <v>53</v>
      </c>
      <c r="B969" s="23" t="s">
        <v>1692</v>
      </c>
      <c r="C969" s="22">
        <v>45853</v>
      </c>
      <c r="D969" s="23" t="s">
        <v>96</v>
      </c>
      <c r="E969" s="23" t="s">
        <v>97</v>
      </c>
      <c r="F969" s="14">
        <v>1</v>
      </c>
      <c r="G969" s="12">
        <v>16500.236769693482</v>
      </c>
      <c r="H969" s="12">
        <v>16500.236769693482</v>
      </c>
      <c r="I969" s="23" t="s">
        <v>52</v>
      </c>
      <c r="J969" s="23" t="s">
        <v>61</v>
      </c>
      <c r="K969" s="24" t="s">
        <v>177</v>
      </c>
      <c r="L969" s="24">
        <v>160</v>
      </c>
      <c r="M969" s="12">
        <v>13865.745184616371</v>
      </c>
      <c r="N969" s="12">
        <v>13865.745184616371</v>
      </c>
      <c r="O969" s="12">
        <v>2634.4915850771104</v>
      </c>
      <c r="P969" s="13"/>
      <c r="Q969" s="14">
        <v>2025</v>
      </c>
      <c r="R969" s="15">
        <v>45474</v>
      </c>
      <c r="S969" s="11" t="s">
        <v>366</v>
      </c>
      <c r="T969" s="16">
        <v>0</v>
      </c>
      <c r="U969" s="17"/>
      <c r="V969" s="12">
        <v>3031.7451846163694</v>
      </c>
      <c r="W969" s="12">
        <v>3031.7451846163694</v>
      </c>
      <c r="X969" s="12">
        <v>0</v>
      </c>
      <c r="Y969" s="18">
        <v>45852</v>
      </c>
      <c r="Z969" s="13" t="s">
        <v>39</v>
      </c>
      <c r="AA969" s="19" t="s">
        <v>373</v>
      </c>
      <c r="AB969" s="13" t="s">
        <v>357</v>
      </c>
      <c r="AC969" s="13" t="s">
        <v>374</v>
      </c>
      <c r="AD969" s="20"/>
      <c r="AE969" s="20"/>
      <c r="AF969" s="13" t="s">
        <v>40</v>
      </c>
      <c r="AG969" s="15">
        <v>45474</v>
      </c>
      <c r="AH969" s="13" t="s">
        <v>41</v>
      </c>
      <c r="AI969" s="13" t="s">
        <v>53</v>
      </c>
      <c r="AJ969" s="13" t="s">
        <v>368</v>
      </c>
      <c r="AK969" s="14">
        <v>-6</v>
      </c>
      <c r="AL969" s="17"/>
      <c r="AM969" s="17"/>
      <c r="AN969" s="17"/>
      <c r="AO969" s="17"/>
      <c r="AP969" s="17"/>
      <c r="AQ969" s="17"/>
      <c r="AR969" s="17"/>
      <c r="AS969" s="17"/>
      <c r="AT969" s="17"/>
      <c r="AU969" s="17"/>
      <c r="AV969" s="17"/>
    </row>
    <row r="970" spans="1:48" ht="15.75" customHeight="1">
      <c r="A970" s="21" t="s">
        <v>76</v>
      </c>
      <c r="B970" s="23" t="s">
        <v>1692</v>
      </c>
      <c r="C970" s="22">
        <v>45853</v>
      </c>
      <c r="D970" s="23" t="s">
        <v>96</v>
      </c>
      <c r="E970" s="23" t="s">
        <v>252</v>
      </c>
      <c r="F970" s="14">
        <v>1</v>
      </c>
      <c r="G970" s="12">
        <v>1599.969512195122</v>
      </c>
      <c r="H970" s="12">
        <v>1599.969512195122</v>
      </c>
      <c r="I970" s="23" t="s">
        <v>52</v>
      </c>
      <c r="J970" s="23" t="s">
        <v>61</v>
      </c>
      <c r="K970" s="24" t="s">
        <v>177</v>
      </c>
      <c r="L970" s="24">
        <v>160</v>
      </c>
      <c r="M970" s="12">
        <v>1344.5121951219512</v>
      </c>
      <c r="N970" s="12">
        <v>1344.5121951219512</v>
      </c>
      <c r="O970" s="12">
        <v>255.45731707317077</v>
      </c>
      <c r="P970" s="13"/>
      <c r="Q970" s="14">
        <v>2025</v>
      </c>
      <c r="R970" s="15">
        <v>45474</v>
      </c>
      <c r="S970" s="11" t="s">
        <v>252</v>
      </c>
      <c r="T970" s="16">
        <v>0</v>
      </c>
      <c r="U970" s="17"/>
      <c r="V970" s="12">
        <v>462.51219512195121</v>
      </c>
      <c r="W970" s="12">
        <v>462.51219512195121</v>
      </c>
      <c r="X970" s="12">
        <v>0</v>
      </c>
      <c r="Y970" s="18">
        <v>45852</v>
      </c>
      <c r="Z970" s="13" t="s">
        <v>39</v>
      </c>
      <c r="AA970" s="19" t="s">
        <v>373</v>
      </c>
      <c r="AB970" s="13" t="s">
        <v>357</v>
      </c>
      <c r="AC970" s="13" t="s">
        <v>374</v>
      </c>
      <c r="AD970" s="20"/>
      <c r="AE970" s="20"/>
      <c r="AF970" s="13" t="s">
        <v>40</v>
      </c>
      <c r="AG970" s="15">
        <v>45474</v>
      </c>
      <c r="AH970" s="13" t="s">
        <v>41</v>
      </c>
      <c r="AI970" s="13" t="s">
        <v>76</v>
      </c>
      <c r="AJ970" s="13" t="s">
        <v>486</v>
      </c>
      <c r="AK970" s="14">
        <v>-1</v>
      </c>
      <c r="AL970" s="17"/>
      <c r="AM970" s="17"/>
      <c r="AN970" s="17"/>
      <c r="AO970" s="17"/>
      <c r="AP970" s="17"/>
      <c r="AQ970" s="17"/>
      <c r="AR970" s="17"/>
      <c r="AS970" s="17"/>
      <c r="AT970" s="17"/>
      <c r="AU970" s="17"/>
      <c r="AV970" s="17"/>
    </row>
    <row r="971" spans="1:48" ht="15.75" customHeight="1">
      <c r="A971" s="21" t="s">
        <v>53</v>
      </c>
      <c r="B971" s="23" t="s">
        <v>1692</v>
      </c>
      <c r="C971" s="22">
        <v>45853</v>
      </c>
      <c r="D971" s="23" t="s">
        <v>96</v>
      </c>
      <c r="E971" s="23" t="s">
        <v>150</v>
      </c>
      <c r="F971" s="14">
        <v>1</v>
      </c>
      <c r="G971" s="12">
        <v>1799.8965445892823</v>
      </c>
      <c r="H971" s="12">
        <v>1799.8965445892823</v>
      </c>
      <c r="I971" s="23" t="s">
        <v>52</v>
      </c>
      <c r="J971" s="23" t="s">
        <v>61</v>
      </c>
      <c r="K971" s="24" t="s">
        <v>177</v>
      </c>
      <c r="L971" s="24">
        <v>160</v>
      </c>
      <c r="M971" s="12">
        <v>1512.518104696876</v>
      </c>
      <c r="N971" s="12">
        <v>1512.518104696876</v>
      </c>
      <c r="O971" s="12">
        <v>287.37843989240628</v>
      </c>
      <c r="P971" s="13"/>
      <c r="Q971" s="14">
        <v>2025</v>
      </c>
      <c r="R971" s="15">
        <v>45474</v>
      </c>
      <c r="S971" s="11" t="s">
        <v>381</v>
      </c>
      <c r="T971" s="16">
        <v>300</v>
      </c>
      <c r="U971" s="17"/>
      <c r="V971" s="12">
        <v>781.51810469687575</v>
      </c>
      <c r="W971" s="12">
        <v>781.51810469687575</v>
      </c>
      <c r="X971" s="12">
        <v>0</v>
      </c>
      <c r="Y971" s="18">
        <v>45852</v>
      </c>
      <c r="Z971" s="13" t="s">
        <v>39</v>
      </c>
      <c r="AA971" s="19" t="s">
        <v>373</v>
      </c>
      <c r="AB971" s="13" t="s">
        <v>357</v>
      </c>
      <c r="AC971" s="13" t="s">
        <v>374</v>
      </c>
      <c r="AD971" s="20"/>
      <c r="AE971" s="20"/>
      <c r="AF971" s="13" t="s">
        <v>40</v>
      </c>
      <c r="AG971" s="15">
        <v>45474</v>
      </c>
      <c r="AH971" s="13" t="s">
        <v>41</v>
      </c>
      <c r="AI971" s="13" t="s">
        <v>53</v>
      </c>
      <c r="AJ971" s="13" t="s">
        <v>382</v>
      </c>
      <c r="AK971" s="14">
        <v>-1</v>
      </c>
      <c r="AL971" s="17"/>
      <c r="AM971" s="17"/>
      <c r="AN971" s="17"/>
      <c r="AO971" s="17"/>
      <c r="AP971" s="17"/>
      <c r="AQ971" s="17"/>
      <c r="AR971" s="17"/>
      <c r="AS971" s="17"/>
      <c r="AT971" s="17"/>
      <c r="AU971" s="17"/>
      <c r="AV971" s="17"/>
    </row>
    <row r="972" spans="1:48" ht="15.75" customHeight="1">
      <c r="A972" s="21" t="s">
        <v>47</v>
      </c>
      <c r="B972" s="23" t="s">
        <v>1692</v>
      </c>
      <c r="C972" s="22">
        <v>45853</v>
      </c>
      <c r="D972" s="23" t="s">
        <v>96</v>
      </c>
      <c r="E972" s="23" t="s">
        <v>99</v>
      </c>
      <c r="F972" s="14">
        <v>1</v>
      </c>
      <c r="G972" s="12">
        <v>1200</v>
      </c>
      <c r="H972" s="12">
        <v>1200</v>
      </c>
      <c r="I972" s="23" t="s">
        <v>52</v>
      </c>
      <c r="J972" s="23" t="s">
        <v>61</v>
      </c>
      <c r="K972" s="24" t="s">
        <v>177</v>
      </c>
      <c r="L972" s="24">
        <v>160</v>
      </c>
      <c r="M972" s="12">
        <v>1008.4033613445379</v>
      </c>
      <c r="N972" s="12">
        <v>1008.4033613445379</v>
      </c>
      <c r="O972" s="12">
        <v>191.59663865546213</v>
      </c>
      <c r="P972" s="13"/>
      <c r="Q972" s="14">
        <v>2025</v>
      </c>
      <c r="R972" s="15">
        <v>45474</v>
      </c>
      <c r="S972" s="11" t="s">
        <v>453</v>
      </c>
      <c r="T972" s="16">
        <v>0</v>
      </c>
      <c r="U972" s="17"/>
      <c r="V972" s="12">
        <v>294.11764705882354</v>
      </c>
      <c r="W972" s="12">
        <v>294.11764705882354</v>
      </c>
      <c r="X972" s="12">
        <v>0</v>
      </c>
      <c r="Y972" s="18">
        <v>45852</v>
      </c>
      <c r="Z972" s="13" t="s">
        <v>39</v>
      </c>
      <c r="AA972" s="19" t="s">
        <v>373</v>
      </c>
      <c r="AB972" s="13" t="s">
        <v>357</v>
      </c>
      <c r="AC972" s="13" t="s">
        <v>374</v>
      </c>
      <c r="AD972" s="20"/>
      <c r="AE972" s="20"/>
      <c r="AF972" s="13" t="s">
        <v>40</v>
      </c>
      <c r="AG972" s="15">
        <v>45474</v>
      </c>
      <c r="AH972" s="13" t="s">
        <v>41</v>
      </c>
      <c r="AI972" s="13" t="s">
        <v>47</v>
      </c>
      <c r="AJ972" s="13" t="s">
        <v>487</v>
      </c>
      <c r="AK972" s="14">
        <v>-1</v>
      </c>
      <c r="AL972" s="17"/>
      <c r="AM972" s="17"/>
      <c r="AN972" s="17"/>
      <c r="AO972" s="17"/>
      <c r="AP972" s="17"/>
      <c r="AQ972" s="17"/>
      <c r="AR972" s="17"/>
      <c r="AS972" s="17"/>
      <c r="AT972" s="17"/>
      <c r="AU972" s="17"/>
      <c r="AV972" s="17"/>
    </row>
    <row r="973" spans="1:48" ht="15.75" customHeight="1">
      <c r="A973" s="21" t="s">
        <v>47</v>
      </c>
      <c r="B973" s="23" t="s">
        <v>1692</v>
      </c>
      <c r="C973" s="22">
        <v>45853</v>
      </c>
      <c r="D973" s="23" t="s">
        <v>96</v>
      </c>
      <c r="E973" s="23" t="s">
        <v>107</v>
      </c>
      <c r="F973" s="14">
        <v>1</v>
      </c>
      <c r="G973" s="12">
        <v>3000.0000000000005</v>
      </c>
      <c r="H973" s="12">
        <v>3000.0000000000005</v>
      </c>
      <c r="I973" s="23" t="s">
        <v>52</v>
      </c>
      <c r="J973" s="23" t="s">
        <v>61</v>
      </c>
      <c r="K973" s="24" t="s">
        <v>177</v>
      </c>
      <c r="L973" s="24">
        <v>160</v>
      </c>
      <c r="M973" s="12">
        <v>2521.0084033613452</v>
      </c>
      <c r="N973" s="12">
        <v>2521.0084033613452</v>
      </c>
      <c r="O973" s="12">
        <v>478.99159663865521</v>
      </c>
      <c r="P973" s="13"/>
      <c r="Q973" s="14">
        <v>2025</v>
      </c>
      <c r="R973" s="15">
        <v>45474</v>
      </c>
      <c r="S973" s="11" t="s">
        <v>453</v>
      </c>
      <c r="T973" s="16">
        <v>0</v>
      </c>
      <c r="U973" s="17"/>
      <c r="V973" s="12">
        <v>758.82352941176487</v>
      </c>
      <c r="W973" s="12">
        <v>758.82352941176487</v>
      </c>
      <c r="X973" s="12">
        <v>0</v>
      </c>
      <c r="Y973" s="18">
        <v>45852</v>
      </c>
      <c r="Z973" s="13" t="s">
        <v>39</v>
      </c>
      <c r="AA973" s="19" t="s">
        <v>373</v>
      </c>
      <c r="AB973" s="13" t="s">
        <v>357</v>
      </c>
      <c r="AC973" s="13" t="s">
        <v>374</v>
      </c>
      <c r="AD973" s="20"/>
      <c r="AE973" s="20"/>
      <c r="AF973" s="13" t="s">
        <v>40</v>
      </c>
      <c r="AG973" s="15">
        <v>45474</v>
      </c>
      <c r="AH973" s="13" t="s">
        <v>41</v>
      </c>
      <c r="AI973" s="13" t="s">
        <v>47</v>
      </c>
      <c r="AJ973" s="13" t="s">
        <v>460</v>
      </c>
      <c r="AK973" s="14">
        <v>-1</v>
      </c>
      <c r="AL973" s="17"/>
      <c r="AM973" s="17"/>
      <c r="AN973" s="17"/>
      <c r="AO973" s="17"/>
      <c r="AP973" s="17"/>
      <c r="AQ973" s="17"/>
      <c r="AR973" s="17"/>
      <c r="AS973" s="17"/>
      <c r="AT973" s="17"/>
      <c r="AU973" s="17"/>
      <c r="AV973" s="17"/>
    </row>
    <row r="974" spans="1:48" ht="15.75" customHeight="1">
      <c r="A974" s="21" t="s">
        <v>43</v>
      </c>
      <c r="B974" s="23" t="s">
        <v>1692</v>
      </c>
      <c r="C974" s="22">
        <v>45853</v>
      </c>
      <c r="D974" s="23" t="s">
        <v>184</v>
      </c>
      <c r="E974" s="23" t="s">
        <v>45</v>
      </c>
      <c r="F974" s="14">
        <v>1</v>
      </c>
      <c r="G974" s="12">
        <v>7900.1687504794045</v>
      </c>
      <c r="H974" s="12">
        <v>7900.1687504794045</v>
      </c>
      <c r="I974" s="23" t="s">
        <v>52</v>
      </c>
      <c r="J974" s="23" t="s">
        <v>61</v>
      </c>
      <c r="K974" s="24" t="s">
        <v>177</v>
      </c>
      <c r="L974" s="24">
        <v>160</v>
      </c>
      <c r="M974" s="12">
        <v>6638.7972693104239</v>
      </c>
      <c r="N974" s="12">
        <v>6638.7972693104239</v>
      </c>
      <c r="O974" s="12">
        <v>1261.3714811689806</v>
      </c>
      <c r="P974" s="13"/>
      <c r="Q974" s="14">
        <v>2025</v>
      </c>
      <c r="R974" s="15">
        <v>45474</v>
      </c>
      <c r="S974" s="11" t="s">
        <v>355</v>
      </c>
      <c r="T974" s="16">
        <v>0</v>
      </c>
      <c r="U974" s="17"/>
      <c r="V974" s="12">
        <v>1445.7972693104239</v>
      </c>
      <c r="W974" s="12">
        <v>1445.7972693104239</v>
      </c>
      <c r="X974" s="12">
        <v>0</v>
      </c>
      <c r="Y974" s="18">
        <v>45852</v>
      </c>
      <c r="Z974" s="13" t="s">
        <v>39</v>
      </c>
      <c r="AA974" s="19" t="s">
        <v>361</v>
      </c>
      <c r="AB974" s="13" t="s">
        <v>357</v>
      </c>
      <c r="AC974" s="13" t="s">
        <v>405</v>
      </c>
      <c r="AD974" s="20"/>
      <c r="AE974" s="20"/>
      <c r="AF974" s="13" t="s">
        <v>40</v>
      </c>
      <c r="AG974" s="15">
        <v>45474</v>
      </c>
      <c r="AH974" s="13" t="s">
        <v>41</v>
      </c>
      <c r="AI974" s="13" t="s">
        <v>43</v>
      </c>
      <c r="AJ974" s="13" t="s">
        <v>359</v>
      </c>
      <c r="AK974" s="14">
        <v>-1</v>
      </c>
      <c r="AL974" s="17"/>
      <c r="AM974" s="17"/>
      <c r="AN974" s="17"/>
      <c r="AO974" s="17"/>
      <c r="AP974" s="17"/>
      <c r="AQ974" s="17"/>
      <c r="AR974" s="17"/>
      <c r="AS974" s="17"/>
      <c r="AT974" s="17"/>
      <c r="AU974" s="17"/>
      <c r="AV974" s="17"/>
    </row>
    <row r="975" spans="1:48" ht="15.75" customHeight="1">
      <c r="A975" s="21" t="s">
        <v>53</v>
      </c>
      <c r="B975" s="23" t="s">
        <v>1692</v>
      </c>
      <c r="C975" s="22">
        <v>45853</v>
      </c>
      <c r="D975" s="23" t="s">
        <v>184</v>
      </c>
      <c r="E975" s="23" t="s">
        <v>316</v>
      </c>
      <c r="F975" s="21">
        <v>2</v>
      </c>
      <c r="G975" s="12">
        <v>3200.0762660158634</v>
      </c>
      <c r="H975" s="12">
        <v>6400.1525320317269</v>
      </c>
      <c r="I975" s="23" t="s">
        <v>52</v>
      </c>
      <c r="J975" s="23" t="s">
        <v>61</v>
      </c>
      <c r="K975" s="24" t="s">
        <v>177</v>
      </c>
      <c r="L975" s="24">
        <v>160</v>
      </c>
      <c r="M975" s="12">
        <v>2689.1397193410617</v>
      </c>
      <c r="N975" s="12">
        <v>5378.2794386821233</v>
      </c>
      <c r="O975" s="12">
        <v>1021.8730933496036</v>
      </c>
      <c r="P975" s="13"/>
      <c r="Q975" s="14">
        <v>2025</v>
      </c>
      <c r="R975" s="15">
        <v>45474</v>
      </c>
      <c r="S975" s="11" t="s">
        <v>408</v>
      </c>
      <c r="T975" s="16">
        <v>200</v>
      </c>
      <c r="U975" s="17"/>
      <c r="V975" s="12">
        <v>1852.2794386821233</v>
      </c>
      <c r="W975" s="12">
        <v>1852.2794386821233</v>
      </c>
      <c r="X975" s="12">
        <v>0</v>
      </c>
      <c r="Y975" s="18">
        <v>45852</v>
      </c>
      <c r="Z975" s="13" t="s">
        <v>39</v>
      </c>
      <c r="AA975" s="19" t="s">
        <v>361</v>
      </c>
      <c r="AB975" s="13" t="s">
        <v>357</v>
      </c>
      <c r="AC975" s="13" t="s">
        <v>405</v>
      </c>
      <c r="AD975" s="20"/>
      <c r="AE975" s="20"/>
      <c r="AF975" s="13" t="s">
        <v>40</v>
      </c>
      <c r="AG975" s="15">
        <v>45474</v>
      </c>
      <c r="AH975" s="13" t="s">
        <v>41</v>
      </c>
      <c r="AI975" s="13" t="s">
        <v>53</v>
      </c>
      <c r="AJ975" s="13" t="s">
        <v>409</v>
      </c>
      <c r="AK975" s="14">
        <v>-2</v>
      </c>
      <c r="AL975" s="17"/>
      <c r="AM975" s="17"/>
      <c r="AN975" s="17"/>
      <c r="AO975" s="17"/>
      <c r="AP975" s="17"/>
      <c r="AQ975" s="17"/>
      <c r="AR975" s="17"/>
      <c r="AS975" s="17"/>
      <c r="AT975" s="17"/>
      <c r="AU975" s="17"/>
      <c r="AV975" s="17"/>
    </row>
    <row r="976" spans="1:48" ht="15.75" customHeight="1">
      <c r="A976" s="21" t="s">
        <v>43</v>
      </c>
      <c r="B976" s="23" t="s">
        <v>1692</v>
      </c>
      <c r="C976" s="22">
        <v>45852</v>
      </c>
      <c r="D976" s="23" t="s">
        <v>241</v>
      </c>
      <c r="E976" s="23" t="s">
        <v>45</v>
      </c>
      <c r="F976" s="14">
        <v>1</v>
      </c>
      <c r="G976" s="12">
        <v>7900.1687504794045</v>
      </c>
      <c r="H976" s="12">
        <v>7900.1687504794045</v>
      </c>
      <c r="I976" s="23" t="s">
        <v>52</v>
      </c>
      <c r="J976" s="23" t="s">
        <v>61</v>
      </c>
      <c r="K976" s="24" t="s">
        <v>177</v>
      </c>
      <c r="L976" s="24">
        <v>160</v>
      </c>
      <c r="M976" s="12">
        <v>6638.7972693104239</v>
      </c>
      <c r="N976" s="12">
        <v>6638.7972693104239</v>
      </c>
      <c r="O976" s="12">
        <v>1261.3714811689806</v>
      </c>
      <c r="P976" s="13"/>
      <c r="Q976" s="14">
        <v>2025</v>
      </c>
      <c r="R976" s="15">
        <v>45474</v>
      </c>
      <c r="S976" s="11" t="s">
        <v>355</v>
      </c>
      <c r="T976" s="16">
        <v>0</v>
      </c>
      <c r="U976" s="17"/>
      <c r="V976" s="12">
        <v>1445.7972693104239</v>
      </c>
      <c r="W976" s="12">
        <v>1445.7972693104239</v>
      </c>
      <c r="X976" s="12">
        <v>0</v>
      </c>
      <c r="Y976" s="18">
        <v>45852</v>
      </c>
      <c r="Z976" s="13" t="s">
        <v>39</v>
      </c>
      <c r="AA976" s="19" t="s">
        <v>373</v>
      </c>
      <c r="AB976" s="13" t="s">
        <v>357</v>
      </c>
      <c r="AC976" s="13" t="s">
        <v>488</v>
      </c>
      <c r="AD976" s="20"/>
      <c r="AE976" s="20"/>
      <c r="AF976" s="13" t="s">
        <v>40</v>
      </c>
      <c r="AG976" s="15">
        <v>45474</v>
      </c>
      <c r="AH976" s="13" t="s">
        <v>41</v>
      </c>
      <c r="AI976" s="13" t="s">
        <v>43</v>
      </c>
      <c r="AJ976" s="13" t="s">
        <v>359</v>
      </c>
      <c r="AK976" s="14">
        <v>-1</v>
      </c>
      <c r="AL976" s="17"/>
      <c r="AM976" s="17"/>
      <c r="AN976" s="17"/>
      <c r="AO976" s="17"/>
      <c r="AP976" s="17"/>
      <c r="AQ976" s="17"/>
      <c r="AR976" s="17"/>
      <c r="AS976" s="17"/>
      <c r="AT976" s="17"/>
      <c r="AU976" s="17"/>
      <c r="AV976" s="17"/>
    </row>
    <row r="977" spans="1:48" ht="15.75" customHeight="1">
      <c r="A977" s="21" t="s">
        <v>35</v>
      </c>
      <c r="B977" s="23" t="s">
        <v>1692</v>
      </c>
      <c r="C977" s="22">
        <v>45852</v>
      </c>
      <c r="D977" s="23" t="s">
        <v>198</v>
      </c>
      <c r="E977" s="23" t="s">
        <v>37</v>
      </c>
      <c r="F977" s="21">
        <v>4</v>
      </c>
      <c r="G977" s="12">
        <v>11000.014358944907</v>
      </c>
      <c r="H977" s="12">
        <v>44000.057435779629</v>
      </c>
      <c r="I977" s="23" t="s">
        <v>52</v>
      </c>
      <c r="J977" s="23" t="s">
        <v>61</v>
      </c>
      <c r="K977" s="24" t="s">
        <v>177</v>
      </c>
      <c r="L977" s="24">
        <v>160</v>
      </c>
      <c r="M977" s="12">
        <v>9243.7095453318543</v>
      </c>
      <c r="N977" s="12">
        <v>36974.838181327417</v>
      </c>
      <c r="O977" s="12">
        <v>7025.2192544522113</v>
      </c>
      <c r="P977" s="13"/>
      <c r="Q977" s="14">
        <v>2025</v>
      </c>
      <c r="R977" s="15">
        <v>45474</v>
      </c>
      <c r="S977" s="11" t="s">
        <v>364</v>
      </c>
      <c r="T977" s="16">
        <v>4000</v>
      </c>
      <c r="U977" s="17"/>
      <c r="V977" s="12">
        <v>11224.451626705566</v>
      </c>
      <c r="W977" s="12">
        <v>11224.451626705566</v>
      </c>
      <c r="X977" s="12">
        <v>0</v>
      </c>
      <c r="Y977" s="18">
        <v>45852</v>
      </c>
      <c r="Z977" s="13" t="s">
        <v>39</v>
      </c>
      <c r="AA977" s="19" t="s">
        <v>361</v>
      </c>
      <c r="AB977" s="13" t="s">
        <v>357</v>
      </c>
      <c r="AC977" s="13" t="s">
        <v>489</v>
      </c>
      <c r="AD977" s="20"/>
      <c r="AE977" s="20"/>
      <c r="AF977" s="13" t="s">
        <v>40</v>
      </c>
      <c r="AG977" s="15">
        <v>45474</v>
      </c>
      <c r="AH977" s="13" t="s">
        <v>41</v>
      </c>
      <c r="AI977" s="13" t="s">
        <v>35</v>
      </c>
      <c r="AJ977" s="13" t="s">
        <v>365</v>
      </c>
      <c r="AK977" s="14">
        <v>-4</v>
      </c>
      <c r="AL977" s="17"/>
      <c r="AM977" s="17"/>
      <c r="AN977" s="17"/>
      <c r="AO977" s="17"/>
      <c r="AP977" s="17"/>
      <c r="AQ977" s="17"/>
      <c r="AR977" s="17"/>
      <c r="AS977" s="17"/>
      <c r="AT977" s="17"/>
      <c r="AU977" s="17"/>
      <c r="AV977" s="17"/>
    </row>
    <row r="978" spans="1:48" ht="15.75" customHeight="1">
      <c r="A978" s="21" t="s">
        <v>56</v>
      </c>
      <c r="B978" s="23" t="s">
        <v>1692</v>
      </c>
      <c r="C978" s="22">
        <v>45852</v>
      </c>
      <c r="D978" s="23" t="s">
        <v>198</v>
      </c>
      <c r="E978" s="23" t="s">
        <v>112</v>
      </c>
      <c r="F978" s="21">
        <v>2</v>
      </c>
      <c r="G978" s="12">
        <v>8000.2136915210258</v>
      </c>
      <c r="H978" s="12">
        <v>16000.427383042052</v>
      </c>
      <c r="I978" s="23" t="s">
        <v>52</v>
      </c>
      <c r="J978" s="23" t="s">
        <v>61</v>
      </c>
      <c r="K978" s="24" t="s">
        <v>177</v>
      </c>
      <c r="L978" s="24">
        <v>160</v>
      </c>
      <c r="M978" s="12">
        <v>6722.8686483369966</v>
      </c>
      <c r="N978" s="12">
        <v>13445.737296673993</v>
      </c>
      <c r="O978" s="12">
        <v>2554.6900863680585</v>
      </c>
      <c r="P978" s="13"/>
      <c r="Q978" s="14">
        <v>2025</v>
      </c>
      <c r="R978" s="15">
        <v>45474</v>
      </c>
      <c r="S978" s="11" t="s">
        <v>427</v>
      </c>
      <c r="T978" s="16">
        <v>270</v>
      </c>
      <c r="U978" s="17"/>
      <c r="V978" s="12">
        <v>4636.7625067580266</v>
      </c>
      <c r="W978" s="12">
        <v>4636.7625067580266</v>
      </c>
      <c r="X978" s="12">
        <v>0</v>
      </c>
      <c r="Y978" s="18">
        <v>45852</v>
      </c>
      <c r="Z978" s="13" t="s">
        <v>39</v>
      </c>
      <c r="AA978" s="19" t="s">
        <v>361</v>
      </c>
      <c r="AB978" s="13" t="s">
        <v>357</v>
      </c>
      <c r="AC978" s="13" t="s">
        <v>489</v>
      </c>
      <c r="AD978" s="20"/>
      <c r="AE978" s="20"/>
      <c r="AF978" s="13" t="s">
        <v>40</v>
      </c>
      <c r="AG978" s="15">
        <v>45474</v>
      </c>
      <c r="AH978" s="13" t="s">
        <v>41</v>
      </c>
      <c r="AI978" s="13" t="s">
        <v>56</v>
      </c>
      <c r="AJ978" s="13" t="s">
        <v>428</v>
      </c>
      <c r="AK978" s="14">
        <v>-6</v>
      </c>
      <c r="AL978" s="17"/>
      <c r="AM978" s="17"/>
      <c r="AN978" s="17"/>
      <c r="AO978" s="17"/>
      <c r="AP978" s="17"/>
      <c r="AQ978" s="17"/>
      <c r="AR978" s="17"/>
      <c r="AS978" s="17"/>
      <c r="AT978" s="17"/>
      <c r="AU978" s="17"/>
      <c r="AV978" s="17"/>
    </row>
    <row r="979" spans="1:48" ht="15.75" customHeight="1">
      <c r="A979" s="21" t="s">
        <v>43</v>
      </c>
      <c r="B979" s="23" t="s">
        <v>1692</v>
      </c>
      <c r="C979" s="22">
        <v>45852</v>
      </c>
      <c r="D979" s="23" t="s">
        <v>198</v>
      </c>
      <c r="E979" s="23" t="s">
        <v>45</v>
      </c>
      <c r="F979" s="14">
        <v>1</v>
      </c>
      <c r="G979" s="12">
        <v>7900.1687504794045</v>
      </c>
      <c r="H979" s="12">
        <v>7900.1687504794045</v>
      </c>
      <c r="I979" s="23" t="s">
        <v>52</v>
      </c>
      <c r="J979" s="23" t="s">
        <v>61</v>
      </c>
      <c r="K979" s="24" t="s">
        <v>177</v>
      </c>
      <c r="L979" s="24">
        <v>160</v>
      </c>
      <c r="M979" s="12">
        <v>6638.7972693104239</v>
      </c>
      <c r="N979" s="12">
        <v>6638.7972693104239</v>
      </c>
      <c r="O979" s="12">
        <v>1261.3714811689806</v>
      </c>
      <c r="P979" s="13"/>
      <c r="Q979" s="14">
        <v>2025</v>
      </c>
      <c r="R979" s="15">
        <v>45474</v>
      </c>
      <c r="S979" s="11" t="s">
        <v>355</v>
      </c>
      <c r="T979" s="16">
        <v>0</v>
      </c>
      <c r="U979" s="17"/>
      <c r="V979" s="12">
        <v>1445.7972693104239</v>
      </c>
      <c r="W979" s="12">
        <v>1445.7972693104239</v>
      </c>
      <c r="X979" s="12">
        <v>0</v>
      </c>
      <c r="Y979" s="18">
        <v>45852</v>
      </c>
      <c r="Z979" s="13" t="s">
        <v>39</v>
      </c>
      <c r="AA979" s="19" t="s">
        <v>361</v>
      </c>
      <c r="AB979" s="13" t="s">
        <v>357</v>
      </c>
      <c r="AC979" s="13" t="s">
        <v>489</v>
      </c>
      <c r="AD979" s="20"/>
      <c r="AE979" s="20"/>
      <c r="AF979" s="13" t="s">
        <v>40</v>
      </c>
      <c r="AG979" s="15">
        <v>45474</v>
      </c>
      <c r="AH979" s="13" t="s">
        <v>41</v>
      </c>
      <c r="AI979" s="13" t="s">
        <v>43</v>
      </c>
      <c r="AJ979" s="13" t="s">
        <v>359</v>
      </c>
      <c r="AK979" s="14">
        <v>-1</v>
      </c>
      <c r="AL979" s="17"/>
      <c r="AM979" s="17"/>
      <c r="AN979" s="17"/>
      <c r="AO979" s="17"/>
      <c r="AP979" s="17"/>
      <c r="AQ979" s="17"/>
      <c r="AR979" s="17"/>
      <c r="AS979" s="17"/>
      <c r="AT979" s="17"/>
      <c r="AU979" s="17"/>
      <c r="AV979" s="17"/>
    </row>
    <row r="980" spans="1:48" ht="15.75" customHeight="1">
      <c r="A980" s="21" t="s">
        <v>35</v>
      </c>
      <c r="B980" s="23" t="s">
        <v>1692</v>
      </c>
      <c r="C980" s="22">
        <v>45852</v>
      </c>
      <c r="D980" s="23" t="s">
        <v>915</v>
      </c>
      <c r="E980" s="23" t="s">
        <v>46</v>
      </c>
      <c r="F980" s="14">
        <v>1</v>
      </c>
      <c r="G980" s="12">
        <v>6000.1548227279782</v>
      </c>
      <c r="H980" s="12">
        <v>6000.1548227279782</v>
      </c>
      <c r="I980" s="23" t="s">
        <v>52</v>
      </c>
      <c r="J980" s="23" t="s">
        <v>38</v>
      </c>
      <c r="K980" s="24" t="s">
        <v>177</v>
      </c>
      <c r="L980" s="24">
        <v>160</v>
      </c>
      <c r="M980" s="12">
        <v>5042.1469098554444</v>
      </c>
      <c r="N980" s="12">
        <v>5042.1469098554444</v>
      </c>
      <c r="O980" s="12">
        <v>958.00791287253378</v>
      </c>
      <c r="P980" s="13"/>
      <c r="Q980" s="14">
        <v>2025</v>
      </c>
      <c r="R980" s="15">
        <v>45474</v>
      </c>
      <c r="S980" s="11" t="s">
        <v>364</v>
      </c>
      <c r="T980" s="16">
        <v>500</v>
      </c>
      <c r="U980" s="17"/>
      <c r="V980" s="12">
        <v>1785.4242207798129</v>
      </c>
      <c r="W980" s="12">
        <v>1785.4242207798129</v>
      </c>
      <c r="X980" s="12">
        <v>0</v>
      </c>
      <c r="Y980" s="18">
        <v>45852</v>
      </c>
      <c r="Z980" s="13" t="s">
        <v>39</v>
      </c>
      <c r="AA980" s="19" t="s">
        <v>367</v>
      </c>
      <c r="AB980" s="13" t="s">
        <v>357</v>
      </c>
      <c r="AC980" s="13" t="s">
        <v>367</v>
      </c>
      <c r="AD980" s="20"/>
      <c r="AE980" s="20"/>
      <c r="AF980" s="13" t="s">
        <v>40</v>
      </c>
      <c r="AG980" s="15">
        <v>45474</v>
      </c>
      <c r="AH980" s="13" t="s">
        <v>41</v>
      </c>
      <c r="AI980" s="13" t="s">
        <v>35</v>
      </c>
      <c r="AJ980" s="13" t="s">
        <v>365</v>
      </c>
      <c r="AK980" s="14">
        <v>-0.5</v>
      </c>
      <c r="AL980" s="17"/>
      <c r="AM980" s="17"/>
      <c r="AN980" s="17"/>
      <c r="AO980" s="17"/>
      <c r="AP980" s="17"/>
      <c r="AQ980" s="17"/>
      <c r="AR980" s="17"/>
      <c r="AS980" s="17"/>
      <c r="AT980" s="17"/>
      <c r="AU980" s="17"/>
      <c r="AV980" s="17"/>
    </row>
    <row r="981" spans="1:48" ht="15.75" customHeight="1">
      <c r="A981" s="21" t="s">
        <v>53</v>
      </c>
      <c r="B981" s="23" t="s">
        <v>1692</v>
      </c>
      <c r="C981" s="22">
        <v>45852</v>
      </c>
      <c r="D981" s="23" t="s">
        <v>348</v>
      </c>
      <c r="E981" s="23" t="s">
        <v>69</v>
      </c>
      <c r="F981" s="14">
        <v>1</v>
      </c>
      <c r="G981" s="12">
        <v>2999.9553810458683</v>
      </c>
      <c r="H981" s="12">
        <v>2999.9553810458683</v>
      </c>
      <c r="I981" s="23" t="s">
        <v>52</v>
      </c>
      <c r="J981" s="23" t="s">
        <v>61</v>
      </c>
      <c r="K981" s="24" t="s">
        <v>177</v>
      </c>
      <c r="L981" s="24">
        <v>160</v>
      </c>
      <c r="M981" s="12">
        <v>2520.9709084419064</v>
      </c>
      <c r="N981" s="12">
        <v>2520.9709084419064</v>
      </c>
      <c r="O981" s="12">
        <v>478.98447260396188</v>
      </c>
      <c r="P981" s="13"/>
      <c r="Q981" s="14">
        <v>2025</v>
      </c>
      <c r="R981" s="15">
        <v>45474</v>
      </c>
      <c r="S981" s="11" t="s">
        <v>376</v>
      </c>
      <c r="T981" s="16">
        <v>0</v>
      </c>
      <c r="U981" s="17"/>
      <c r="V981" s="12">
        <v>825.97090844190598</v>
      </c>
      <c r="W981" s="12">
        <v>825.97090844190598</v>
      </c>
      <c r="X981" s="12">
        <v>0</v>
      </c>
      <c r="Y981" s="18">
        <v>45852</v>
      </c>
      <c r="Z981" s="13" t="s">
        <v>39</v>
      </c>
      <c r="AA981" s="19" t="s">
        <v>356</v>
      </c>
      <c r="AB981" s="13" t="s">
        <v>357</v>
      </c>
      <c r="AC981" s="13" t="s">
        <v>362</v>
      </c>
      <c r="AD981" s="20"/>
      <c r="AE981" s="20"/>
      <c r="AF981" s="13" t="s">
        <v>40</v>
      </c>
      <c r="AG981" s="15">
        <v>45474</v>
      </c>
      <c r="AH981" s="13" t="s">
        <v>41</v>
      </c>
      <c r="AI981" s="13" t="s">
        <v>53</v>
      </c>
      <c r="AJ981" s="13" t="s">
        <v>377</v>
      </c>
      <c r="AK981" s="14">
        <v>-1</v>
      </c>
      <c r="AL981" s="17"/>
      <c r="AM981" s="17"/>
      <c r="AN981" s="17"/>
      <c r="AO981" s="17"/>
      <c r="AP981" s="17"/>
      <c r="AQ981" s="17"/>
      <c r="AR981" s="17"/>
      <c r="AS981" s="17"/>
      <c r="AT981" s="17"/>
      <c r="AU981" s="17"/>
      <c r="AV981" s="17"/>
    </row>
    <row r="982" spans="1:48" ht="15.75" customHeight="1">
      <c r="A982" s="21" t="s">
        <v>47</v>
      </c>
      <c r="B982" s="23" t="s">
        <v>1692</v>
      </c>
      <c r="C982" s="25">
        <v>45851</v>
      </c>
      <c r="D982" s="23" t="s">
        <v>915</v>
      </c>
      <c r="E982" s="23" t="s">
        <v>490</v>
      </c>
      <c r="F982" s="14">
        <v>1</v>
      </c>
      <c r="G982" s="12">
        <v>2999.9945247148289</v>
      </c>
      <c r="H982" s="12">
        <v>2999.9945247148289</v>
      </c>
      <c r="I982" s="23" t="s">
        <v>52</v>
      </c>
      <c r="J982" s="23" t="s">
        <v>38</v>
      </c>
      <c r="K982" s="24" t="s">
        <v>177</v>
      </c>
      <c r="L982" s="24">
        <v>159</v>
      </c>
      <c r="M982" s="12">
        <v>2521.0038022813687</v>
      </c>
      <c r="N982" s="12">
        <v>2521.0038022813687</v>
      </c>
      <c r="O982" s="12">
        <v>478.99072243346018</v>
      </c>
      <c r="P982" s="13"/>
      <c r="Q982" s="14">
        <v>2025</v>
      </c>
      <c r="R982" s="15">
        <v>45474</v>
      </c>
      <c r="S982" s="11" t="s">
        <v>387</v>
      </c>
      <c r="T982" s="16">
        <v>0</v>
      </c>
      <c r="U982" s="17"/>
      <c r="V982" s="12">
        <v>1194.9558022813687</v>
      </c>
      <c r="W982" s="12">
        <v>1194.9558022813687</v>
      </c>
      <c r="X982" s="12">
        <v>0</v>
      </c>
      <c r="Y982" s="18">
        <v>45845</v>
      </c>
      <c r="Z982" s="13" t="s">
        <v>39</v>
      </c>
      <c r="AA982" s="19" t="s">
        <v>367</v>
      </c>
      <c r="AB982" s="13" t="s">
        <v>357</v>
      </c>
      <c r="AC982" s="13" t="s">
        <v>367</v>
      </c>
      <c r="AD982" s="20"/>
      <c r="AE982" s="20"/>
      <c r="AF982" s="13" t="s">
        <v>40</v>
      </c>
      <c r="AG982" s="15">
        <v>45474</v>
      </c>
      <c r="AH982" s="13" t="s">
        <v>41</v>
      </c>
      <c r="AI982" s="13" t="s">
        <v>47</v>
      </c>
      <c r="AJ982" s="13" t="s">
        <v>386</v>
      </c>
      <c r="AK982" s="14">
        <v>-6</v>
      </c>
      <c r="AL982" s="17"/>
      <c r="AM982" s="17"/>
      <c r="AN982" s="17"/>
      <c r="AO982" s="17"/>
      <c r="AP982" s="17"/>
      <c r="AQ982" s="17"/>
      <c r="AR982" s="17"/>
      <c r="AS982" s="17"/>
      <c r="AT982" s="17"/>
      <c r="AU982" s="17"/>
      <c r="AV982" s="17"/>
    </row>
    <row r="983" spans="1:48" ht="15.75" customHeight="1">
      <c r="A983" s="21" t="s">
        <v>47</v>
      </c>
      <c r="B983" s="23" t="s">
        <v>1692</v>
      </c>
      <c r="C983" s="25">
        <v>45851</v>
      </c>
      <c r="D983" s="23" t="s">
        <v>915</v>
      </c>
      <c r="E983" s="23" t="s">
        <v>85</v>
      </c>
      <c r="F983" s="14">
        <v>1</v>
      </c>
      <c r="G983" s="12">
        <v>3000.268216361198</v>
      </c>
      <c r="H983" s="12">
        <v>3000.268216361198</v>
      </c>
      <c r="I983" s="23" t="s">
        <v>52</v>
      </c>
      <c r="J983" s="23" t="s">
        <v>38</v>
      </c>
      <c r="K983" s="24" t="s">
        <v>177</v>
      </c>
      <c r="L983" s="24">
        <v>159</v>
      </c>
      <c r="M983" s="12">
        <v>2521.2337952615112</v>
      </c>
      <c r="N983" s="12">
        <v>2521.2337952615112</v>
      </c>
      <c r="O983" s="12">
        <v>479.03442109968682</v>
      </c>
      <c r="P983" s="13"/>
      <c r="Q983" s="14">
        <v>2025</v>
      </c>
      <c r="R983" s="15">
        <v>45474</v>
      </c>
      <c r="S983" s="11" t="s">
        <v>453</v>
      </c>
      <c r="T983" s="16">
        <v>0</v>
      </c>
      <c r="U983" s="17"/>
      <c r="V983" s="12">
        <v>829.23379526151075</v>
      </c>
      <c r="W983" s="12">
        <v>829.23379526151075</v>
      </c>
      <c r="X983" s="12">
        <v>0</v>
      </c>
      <c r="Y983" s="18">
        <v>45845</v>
      </c>
      <c r="Z983" s="13" t="s">
        <v>39</v>
      </c>
      <c r="AA983" s="19" t="s">
        <v>367</v>
      </c>
      <c r="AB983" s="13" t="s">
        <v>357</v>
      </c>
      <c r="AC983" s="13" t="s">
        <v>367</v>
      </c>
      <c r="AD983" s="20"/>
      <c r="AE983" s="20"/>
      <c r="AF983" s="13" t="s">
        <v>40</v>
      </c>
      <c r="AG983" s="15">
        <v>45474</v>
      </c>
      <c r="AH983" s="13" t="s">
        <v>41</v>
      </c>
      <c r="AI983" s="13" t="s">
        <v>47</v>
      </c>
      <c r="AJ983" s="13" t="s">
        <v>491</v>
      </c>
      <c r="AK983" s="14">
        <v>-6</v>
      </c>
      <c r="AL983" s="17"/>
      <c r="AM983" s="17"/>
      <c r="AN983" s="17"/>
      <c r="AO983" s="17"/>
      <c r="AP983" s="17"/>
      <c r="AQ983" s="17"/>
      <c r="AR983" s="17"/>
      <c r="AS983" s="17"/>
      <c r="AT983" s="17"/>
      <c r="AU983" s="17"/>
      <c r="AV983" s="17"/>
    </row>
    <row r="984" spans="1:48" ht="15.75" customHeight="1">
      <c r="A984" s="21" t="s">
        <v>47</v>
      </c>
      <c r="B984" s="23" t="s">
        <v>1692</v>
      </c>
      <c r="C984" s="25">
        <v>45851</v>
      </c>
      <c r="D984" s="23" t="s">
        <v>915</v>
      </c>
      <c r="E984" s="23" t="s">
        <v>267</v>
      </c>
      <c r="F984" s="14">
        <v>1</v>
      </c>
      <c r="G984" s="12">
        <v>7499.8770659745942</v>
      </c>
      <c r="H984" s="12">
        <v>7499.8770659745942</v>
      </c>
      <c r="I984" s="23" t="s">
        <v>52</v>
      </c>
      <c r="J984" s="23" t="s">
        <v>38</v>
      </c>
      <c r="K984" s="24" t="s">
        <v>177</v>
      </c>
      <c r="L984" s="24">
        <v>159</v>
      </c>
      <c r="M984" s="12">
        <v>6302.4177024996588</v>
      </c>
      <c r="N984" s="12">
        <v>6302.4177024996588</v>
      </c>
      <c r="O984" s="12">
        <v>1197.4593634749353</v>
      </c>
      <c r="P984" s="13"/>
      <c r="Q984" s="14">
        <v>2025</v>
      </c>
      <c r="R984" s="15">
        <v>45474</v>
      </c>
      <c r="S984" s="11" t="s">
        <v>372</v>
      </c>
      <c r="T984" s="16">
        <v>0</v>
      </c>
      <c r="U984" s="17"/>
      <c r="V984" s="12">
        <v>1688.4177024996588</v>
      </c>
      <c r="W984" s="12">
        <v>1688.4177024996588</v>
      </c>
      <c r="X984" s="12">
        <v>0</v>
      </c>
      <c r="Y984" s="18">
        <v>45845</v>
      </c>
      <c r="Z984" s="13" t="s">
        <v>39</v>
      </c>
      <c r="AA984" s="19" t="s">
        <v>367</v>
      </c>
      <c r="AB984" s="13" t="s">
        <v>357</v>
      </c>
      <c r="AC984" s="13" t="s">
        <v>367</v>
      </c>
      <c r="AD984" s="20"/>
      <c r="AE984" s="20"/>
      <c r="AF984" s="13" t="s">
        <v>40</v>
      </c>
      <c r="AG984" s="15">
        <v>45474</v>
      </c>
      <c r="AH984" s="13" t="s">
        <v>41</v>
      </c>
      <c r="AI984" s="13" t="s">
        <v>47</v>
      </c>
      <c r="AJ984" s="13" t="s">
        <v>375</v>
      </c>
      <c r="AK984" s="14">
        <v>-3</v>
      </c>
      <c r="AL984" s="17"/>
      <c r="AM984" s="17"/>
      <c r="AN984" s="17"/>
      <c r="AO984" s="17"/>
      <c r="AP984" s="17"/>
      <c r="AQ984" s="17"/>
      <c r="AR984" s="17"/>
      <c r="AS984" s="17"/>
      <c r="AT984" s="17"/>
      <c r="AU984" s="17"/>
      <c r="AV984" s="17"/>
    </row>
    <row r="985" spans="1:48" ht="15.75" customHeight="1">
      <c r="A985" s="21" t="s">
        <v>43</v>
      </c>
      <c r="B985" s="23" t="s">
        <v>1692</v>
      </c>
      <c r="C985" s="25">
        <v>45851</v>
      </c>
      <c r="D985" s="23" t="s">
        <v>120</v>
      </c>
      <c r="E985" s="23" t="s">
        <v>45</v>
      </c>
      <c r="F985" s="14">
        <v>1</v>
      </c>
      <c r="G985" s="12">
        <v>7900.1687504794045</v>
      </c>
      <c r="H985" s="12">
        <v>7900.1687504794045</v>
      </c>
      <c r="I985" s="23" t="s">
        <v>52</v>
      </c>
      <c r="J985" s="23" t="s">
        <v>61</v>
      </c>
      <c r="K985" s="24" t="s">
        <v>177</v>
      </c>
      <c r="L985" s="24">
        <v>159</v>
      </c>
      <c r="M985" s="12">
        <v>6638.7972693104239</v>
      </c>
      <c r="N985" s="12">
        <v>6638.7972693104239</v>
      </c>
      <c r="O985" s="12">
        <v>1261.3714811689806</v>
      </c>
      <c r="P985" s="13"/>
      <c r="Q985" s="14">
        <v>2025</v>
      </c>
      <c r="R985" s="15">
        <v>45474</v>
      </c>
      <c r="S985" s="11" t="s">
        <v>355</v>
      </c>
      <c r="T985" s="16">
        <v>0</v>
      </c>
      <c r="U985" s="17"/>
      <c r="V985" s="12">
        <v>1445.7972693104239</v>
      </c>
      <c r="W985" s="12">
        <v>1445.7972693104239</v>
      </c>
      <c r="X985" s="12">
        <v>0</v>
      </c>
      <c r="Y985" s="18">
        <v>45845</v>
      </c>
      <c r="Z985" s="13" t="s">
        <v>39</v>
      </c>
      <c r="AA985" s="19" t="s">
        <v>373</v>
      </c>
      <c r="AB985" s="13" t="s">
        <v>357</v>
      </c>
      <c r="AC985" s="13" t="s">
        <v>383</v>
      </c>
      <c r="AD985" s="20"/>
      <c r="AE985" s="20"/>
      <c r="AF985" s="13" t="s">
        <v>40</v>
      </c>
      <c r="AG985" s="15">
        <v>45474</v>
      </c>
      <c r="AH985" s="13" t="s">
        <v>41</v>
      </c>
      <c r="AI985" s="13" t="s">
        <v>43</v>
      </c>
      <c r="AJ985" s="13" t="s">
        <v>359</v>
      </c>
      <c r="AK985" s="14">
        <v>-1</v>
      </c>
      <c r="AL985" s="17"/>
      <c r="AM985" s="17"/>
      <c r="AN985" s="17"/>
      <c r="AO985" s="17"/>
      <c r="AP985" s="17"/>
      <c r="AQ985" s="17"/>
      <c r="AR985" s="17"/>
      <c r="AS985" s="17"/>
      <c r="AT985" s="17"/>
      <c r="AU985" s="17"/>
      <c r="AV985" s="17"/>
    </row>
    <row r="986" spans="1:48" ht="15.75" customHeight="1">
      <c r="A986" s="21" t="s">
        <v>35</v>
      </c>
      <c r="B986" s="23" t="s">
        <v>1692</v>
      </c>
      <c r="C986" s="25">
        <v>45851</v>
      </c>
      <c r="D986" s="23" t="s">
        <v>120</v>
      </c>
      <c r="E986" s="23" t="s">
        <v>37</v>
      </c>
      <c r="F986" s="14">
        <v>1</v>
      </c>
      <c r="G986" s="12">
        <v>11000.014358944907</v>
      </c>
      <c r="H986" s="12">
        <v>11000.014358944907</v>
      </c>
      <c r="I986" s="23" t="s">
        <v>52</v>
      </c>
      <c r="J986" s="23" t="s">
        <v>61</v>
      </c>
      <c r="K986" s="24" t="s">
        <v>177</v>
      </c>
      <c r="L986" s="24">
        <v>159</v>
      </c>
      <c r="M986" s="12">
        <v>9243.7095453318543</v>
      </c>
      <c r="N986" s="12">
        <v>9243.7095453318543</v>
      </c>
      <c r="O986" s="12">
        <v>1756.3048136130528</v>
      </c>
      <c r="P986" s="13"/>
      <c r="Q986" s="14">
        <v>2025</v>
      </c>
      <c r="R986" s="15">
        <v>45474</v>
      </c>
      <c r="S986" s="11" t="s">
        <v>364</v>
      </c>
      <c r="T986" s="16">
        <v>1000</v>
      </c>
      <c r="U986" s="17"/>
      <c r="V986" s="12">
        <v>2806.1129066763915</v>
      </c>
      <c r="W986" s="12">
        <v>2806.1129066763915</v>
      </c>
      <c r="X986" s="12">
        <v>0</v>
      </c>
      <c r="Y986" s="18">
        <v>45845</v>
      </c>
      <c r="Z986" s="13" t="s">
        <v>39</v>
      </c>
      <c r="AA986" s="19" t="s">
        <v>373</v>
      </c>
      <c r="AB986" s="13" t="s">
        <v>357</v>
      </c>
      <c r="AC986" s="13" t="s">
        <v>383</v>
      </c>
      <c r="AD986" s="20"/>
      <c r="AE986" s="20"/>
      <c r="AF986" s="13" t="s">
        <v>40</v>
      </c>
      <c r="AG986" s="15">
        <v>45474</v>
      </c>
      <c r="AH986" s="13" t="s">
        <v>41</v>
      </c>
      <c r="AI986" s="13" t="s">
        <v>35</v>
      </c>
      <c r="AJ986" s="13" t="s">
        <v>365</v>
      </c>
      <c r="AK986" s="14">
        <v>-1</v>
      </c>
      <c r="AL986" s="17"/>
      <c r="AM986" s="17"/>
      <c r="AN986" s="17"/>
      <c r="AO986" s="17"/>
      <c r="AP986" s="17"/>
      <c r="AQ986" s="17"/>
      <c r="AR986" s="17"/>
      <c r="AS986" s="17"/>
      <c r="AT986" s="17"/>
      <c r="AU986" s="17"/>
      <c r="AV986" s="17"/>
    </row>
    <row r="987" spans="1:48" ht="15.75" customHeight="1">
      <c r="A987" s="21" t="s">
        <v>35</v>
      </c>
      <c r="B987" s="23" t="s">
        <v>1692</v>
      </c>
      <c r="C987" s="25">
        <v>45851</v>
      </c>
      <c r="D987" s="23" t="s">
        <v>348</v>
      </c>
      <c r="E987" s="23" t="s">
        <v>37</v>
      </c>
      <c r="F987" s="14">
        <v>1</v>
      </c>
      <c r="G987" s="12">
        <v>11000.014358944907</v>
      </c>
      <c r="H987" s="12">
        <v>11000.014358944907</v>
      </c>
      <c r="I987" s="23" t="s">
        <v>52</v>
      </c>
      <c r="J987" s="23" t="s">
        <v>61</v>
      </c>
      <c r="K987" s="24" t="s">
        <v>177</v>
      </c>
      <c r="L987" s="24">
        <v>159</v>
      </c>
      <c r="M987" s="12">
        <v>9243.7095453318543</v>
      </c>
      <c r="N987" s="12">
        <v>9243.7095453318543</v>
      </c>
      <c r="O987" s="12">
        <v>1756.3048136130528</v>
      </c>
      <c r="P987" s="13"/>
      <c r="Q987" s="14">
        <v>2025</v>
      </c>
      <c r="R987" s="15">
        <v>45474</v>
      </c>
      <c r="S987" s="11" t="s">
        <v>364</v>
      </c>
      <c r="T987" s="16">
        <v>1000</v>
      </c>
      <c r="U987" s="17"/>
      <c r="V987" s="12">
        <v>2806.1129066763915</v>
      </c>
      <c r="W987" s="12">
        <v>2806.1129066763915</v>
      </c>
      <c r="X987" s="12">
        <v>0</v>
      </c>
      <c r="Y987" s="18">
        <v>45845</v>
      </c>
      <c r="Z987" s="13" t="s">
        <v>39</v>
      </c>
      <c r="AA987" s="19" t="s">
        <v>356</v>
      </c>
      <c r="AB987" s="13" t="s">
        <v>357</v>
      </c>
      <c r="AC987" s="13" t="s">
        <v>362</v>
      </c>
      <c r="AD987" s="20"/>
      <c r="AE987" s="20"/>
      <c r="AF987" s="13" t="s">
        <v>40</v>
      </c>
      <c r="AG987" s="15">
        <v>45474</v>
      </c>
      <c r="AH987" s="13" t="s">
        <v>41</v>
      </c>
      <c r="AI987" s="13" t="s">
        <v>35</v>
      </c>
      <c r="AJ987" s="13" t="s">
        <v>365</v>
      </c>
      <c r="AK987" s="14">
        <v>-1</v>
      </c>
      <c r="AL987" s="17"/>
      <c r="AM987" s="17"/>
      <c r="AN987" s="17"/>
      <c r="AO987" s="17"/>
      <c r="AP987" s="17"/>
      <c r="AQ987" s="17"/>
      <c r="AR987" s="17"/>
      <c r="AS987" s="17"/>
      <c r="AT987" s="17"/>
      <c r="AU987" s="17"/>
      <c r="AV987" s="17"/>
    </row>
    <row r="988" spans="1:48" ht="15.75" customHeight="1">
      <c r="A988" s="21" t="s">
        <v>35</v>
      </c>
      <c r="B988" s="23" t="s">
        <v>1692</v>
      </c>
      <c r="C988" s="25">
        <v>45851</v>
      </c>
      <c r="D988" s="23" t="s">
        <v>348</v>
      </c>
      <c r="E988" s="23" t="s">
        <v>46</v>
      </c>
      <c r="F988" s="14">
        <v>1</v>
      </c>
      <c r="G988" s="12">
        <v>6000.1548227279782</v>
      </c>
      <c r="H988" s="12">
        <v>6000.1548227279782</v>
      </c>
      <c r="I988" s="23" t="s">
        <v>52</v>
      </c>
      <c r="J988" s="23" t="s">
        <v>61</v>
      </c>
      <c r="K988" s="24" t="s">
        <v>177</v>
      </c>
      <c r="L988" s="24">
        <v>159</v>
      </c>
      <c r="M988" s="12">
        <v>5042.1469098554444</v>
      </c>
      <c r="N988" s="12">
        <v>5042.1469098554444</v>
      </c>
      <c r="O988" s="12">
        <v>958.00791287253378</v>
      </c>
      <c r="P988" s="13"/>
      <c r="Q988" s="14">
        <v>2025</v>
      </c>
      <c r="R988" s="15">
        <v>45474</v>
      </c>
      <c r="S988" s="11" t="s">
        <v>364</v>
      </c>
      <c r="T988" s="16">
        <v>500</v>
      </c>
      <c r="U988" s="17"/>
      <c r="V988" s="12">
        <v>1785.4242207798129</v>
      </c>
      <c r="W988" s="12">
        <v>1785.4242207798129</v>
      </c>
      <c r="X988" s="12">
        <v>0</v>
      </c>
      <c r="Y988" s="18">
        <v>45845</v>
      </c>
      <c r="Z988" s="13" t="s">
        <v>39</v>
      </c>
      <c r="AA988" s="19" t="s">
        <v>356</v>
      </c>
      <c r="AB988" s="13" t="s">
        <v>357</v>
      </c>
      <c r="AC988" s="13" t="s">
        <v>362</v>
      </c>
      <c r="AD988" s="20"/>
      <c r="AE988" s="20"/>
      <c r="AF988" s="13" t="s">
        <v>40</v>
      </c>
      <c r="AG988" s="15">
        <v>45474</v>
      </c>
      <c r="AH988" s="13" t="s">
        <v>41</v>
      </c>
      <c r="AI988" s="13" t="s">
        <v>35</v>
      </c>
      <c r="AJ988" s="13" t="s">
        <v>365</v>
      </c>
      <c r="AK988" s="14">
        <v>-0.5</v>
      </c>
      <c r="AL988" s="17"/>
      <c r="AM988" s="17"/>
      <c r="AN988" s="17"/>
      <c r="AO988" s="17"/>
      <c r="AP988" s="17"/>
      <c r="AQ988" s="17"/>
      <c r="AR988" s="17"/>
      <c r="AS988" s="17"/>
      <c r="AT988" s="17"/>
      <c r="AU988" s="17"/>
      <c r="AV988" s="17"/>
    </row>
    <row r="989" spans="1:48" ht="15.75" customHeight="1">
      <c r="A989" s="21" t="s">
        <v>76</v>
      </c>
      <c r="B989" s="23" t="s">
        <v>1692</v>
      </c>
      <c r="C989" s="25">
        <v>45851</v>
      </c>
      <c r="D989" s="23" t="s">
        <v>348</v>
      </c>
      <c r="E989" s="23" t="s">
        <v>81</v>
      </c>
      <c r="F989" s="14">
        <v>1</v>
      </c>
      <c r="G989" s="12">
        <v>3500.0000000000005</v>
      </c>
      <c r="H989" s="12">
        <v>3500.0000000000005</v>
      </c>
      <c r="I989" s="23" t="s">
        <v>52</v>
      </c>
      <c r="J989" s="23" t="s">
        <v>61</v>
      </c>
      <c r="K989" s="24" t="s">
        <v>177</v>
      </c>
      <c r="L989" s="24">
        <v>159</v>
      </c>
      <c r="M989" s="12">
        <v>2941.1764705882356</v>
      </c>
      <c r="N989" s="12">
        <v>2941.1764705882356</v>
      </c>
      <c r="O989" s="12">
        <v>558.82352941176487</v>
      </c>
      <c r="P989" s="13"/>
      <c r="Q989" s="14">
        <v>2025</v>
      </c>
      <c r="R989" s="15">
        <v>45474</v>
      </c>
      <c r="S989" s="11" t="s">
        <v>397</v>
      </c>
      <c r="T989" s="16">
        <v>5</v>
      </c>
      <c r="U989" s="17"/>
      <c r="V989" s="12">
        <v>764.70588235294144</v>
      </c>
      <c r="W989" s="12">
        <v>764.70588235294144</v>
      </c>
      <c r="X989" s="12">
        <v>0</v>
      </c>
      <c r="Y989" s="18">
        <v>45845</v>
      </c>
      <c r="Z989" s="13" t="s">
        <v>39</v>
      </c>
      <c r="AA989" s="19" t="s">
        <v>356</v>
      </c>
      <c r="AB989" s="13" t="s">
        <v>357</v>
      </c>
      <c r="AC989" s="13" t="s">
        <v>362</v>
      </c>
      <c r="AD989" s="20"/>
      <c r="AE989" s="20"/>
      <c r="AF989" s="13" t="s">
        <v>40</v>
      </c>
      <c r="AG989" s="15">
        <v>45474</v>
      </c>
      <c r="AH989" s="13" t="s">
        <v>41</v>
      </c>
      <c r="AI989" s="13" t="s">
        <v>76</v>
      </c>
      <c r="AJ989" s="13" t="s">
        <v>398</v>
      </c>
      <c r="AK989" s="14">
        <v>-1</v>
      </c>
      <c r="AL989" s="17"/>
      <c r="AM989" s="17"/>
      <c r="AN989" s="17"/>
      <c r="AO989" s="17"/>
      <c r="AP989" s="17"/>
      <c r="AQ989" s="17"/>
      <c r="AR989" s="17"/>
      <c r="AS989" s="17"/>
      <c r="AT989" s="17"/>
      <c r="AU989" s="17"/>
      <c r="AV989" s="17"/>
    </row>
    <row r="990" spans="1:48" ht="15.75" customHeight="1">
      <c r="A990" s="21" t="s">
        <v>76</v>
      </c>
      <c r="B990" s="23" t="s">
        <v>1692</v>
      </c>
      <c r="C990" s="25">
        <v>45851</v>
      </c>
      <c r="D990" s="23" t="s">
        <v>348</v>
      </c>
      <c r="E990" s="23" t="s">
        <v>212</v>
      </c>
      <c r="F990" s="14">
        <v>1</v>
      </c>
      <c r="G990" s="12">
        <v>3000.0000000000005</v>
      </c>
      <c r="H990" s="12">
        <v>3000.0000000000005</v>
      </c>
      <c r="I990" s="23" t="s">
        <v>52</v>
      </c>
      <c r="J990" s="23" t="s">
        <v>61</v>
      </c>
      <c r="K990" s="24" t="s">
        <v>177</v>
      </c>
      <c r="L990" s="24">
        <v>159</v>
      </c>
      <c r="M990" s="12">
        <v>2521.0084033613452</v>
      </c>
      <c r="N990" s="12">
        <v>2521.0084033613452</v>
      </c>
      <c r="O990" s="12">
        <v>478.99159663865521</v>
      </c>
      <c r="P990" s="13"/>
      <c r="Q990" s="14">
        <v>2025</v>
      </c>
      <c r="R990" s="15">
        <v>45474</v>
      </c>
      <c r="S990" s="11" t="s">
        <v>446</v>
      </c>
      <c r="T990" s="16">
        <v>5</v>
      </c>
      <c r="U990" s="17"/>
      <c r="V990" s="12">
        <v>764.70588235294144</v>
      </c>
      <c r="W990" s="12">
        <v>764.70588235294144</v>
      </c>
      <c r="X990" s="12">
        <v>0</v>
      </c>
      <c r="Y990" s="18">
        <v>45845</v>
      </c>
      <c r="Z990" s="13" t="s">
        <v>39</v>
      </c>
      <c r="AA990" s="19" t="s">
        <v>356</v>
      </c>
      <c r="AB990" s="13" t="s">
        <v>357</v>
      </c>
      <c r="AC990" s="13" t="s">
        <v>362</v>
      </c>
      <c r="AD990" s="20"/>
      <c r="AE990" s="20"/>
      <c r="AF990" s="13" t="s">
        <v>40</v>
      </c>
      <c r="AG990" s="15">
        <v>45474</v>
      </c>
      <c r="AH990" s="13" t="s">
        <v>41</v>
      </c>
      <c r="AI990" s="13" t="s">
        <v>76</v>
      </c>
      <c r="AJ990" s="13" t="s">
        <v>447</v>
      </c>
      <c r="AK990" s="14">
        <v>-1</v>
      </c>
      <c r="AL990" s="17"/>
      <c r="AM990" s="17"/>
      <c r="AN990" s="17"/>
      <c r="AO990" s="17"/>
      <c r="AP990" s="17"/>
      <c r="AQ990" s="17"/>
      <c r="AR990" s="17"/>
      <c r="AS990" s="17"/>
      <c r="AT990" s="17"/>
      <c r="AU990" s="17"/>
      <c r="AV990" s="17"/>
    </row>
    <row r="991" spans="1:48" ht="15.75" customHeight="1">
      <c r="A991" s="21" t="s">
        <v>76</v>
      </c>
      <c r="B991" s="23" t="s">
        <v>1692</v>
      </c>
      <c r="C991" s="25">
        <v>45851</v>
      </c>
      <c r="D991" s="23" t="s">
        <v>348</v>
      </c>
      <c r="E991" s="23" t="s">
        <v>98</v>
      </c>
      <c r="F991" s="14">
        <v>1</v>
      </c>
      <c r="G991" s="12">
        <v>2600.0000000000005</v>
      </c>
      <c r="H991" s="12">
        <v>2600.0000000000005</v>
      </c>
      <c r="I991" s="23" t="s">
        <v>52</v>
      </c>
      <c r="J991" s="23" t="s">
        <v>61</v>
      </c>
      <c r="K991" s="24" t="s">
        <v>177</v>
      </c>
      <c r="L991" s="24">
        <v>159</v>
      </c>
      <c r="M991" s="12">
        <v>2184.8739495798322</v>
      </c>
      <c r="N991" s="12">
        <v>2184.8739495798322</v>
      </c>
      <c r="O991" s="12">
        <v>415.12605042016821</v>
      </c>
      <c r="P991" s="13"/>
      <c r="Q991" s="14">
        <v>2025</v>
      </c>
      <c r="R991" s="15">
        <v>45474</v>
      </c>
      <c r="S991" s="11" t="s">
        <v>479</v>
      </c>
      <c r="T991" s="16">
        <v>0</v>
      </c>
      <c r="U991" s="17"/>
      <c r="V991" s="12">
        <v>1052.1008403361348</v>
      </c>
      <c r="W991" s="12">
        <v>1052.1008403361348</v>
      </c>
      <c r="X991" s="12">
        <v>0</v>
      </c>
      <c r="Y991" s="18">
        <v>45845</v>
      </c>
      <c r="Z991" s="13" t="s">
        <v>39</v>
      </c>
      <c r="AA991" s="19" t="s">
        <v>356</v>
      </c>
      <c r="AB991" s="13" t="s">
        <v>357</v>
      </c>
      <c r="AC991" s="13" t="s">
        <v>362</v>
      </c>
      <c r="AD991" s="20"/>
      <c r="AE991" s="20"/>
      <c r="AF991" s="13" t="s">
        <v>40</v>
      </c>
      <c r="AG991" s="15">
        <v>45474</v>
      </c>
      <c r="AH991" s="13" t="s">
        <v>41</v>
      </c>
      <c r="AI991" s="13" t="s">
        <v>76</v>
      </c>
      <c r="AJ991" s="13" t="s">
        <v>480</v>
      </c>
      <c r="AK991" s="14">
        <v>-1</v>
      </c>
      <c r="AL991" s="17"/>
      <c r="AM991" s="17"/>
      <c r="AN991" s="17"/>
      <c r="AO991" s="17"/>
      <c r="AP991" s="17"/>
      <c r="AQ991" s="17"/>
      <c r="AR991" s="17"/>
      <c r="AS991" s="17"/>
      <c r="AT991" s="17"/>
      <c r="AU991" s="17"/>
      <c r="AV991" s="17"/>
    </row>
    <row r="992" spans="1:48" ht="15.75" customHeight="1">
      <c r="A992" s="21" t="s">
        <v>76</v>
      </c>
      <c r="B992" s="23" t="s">
        <v>1692</v>
      </c>
      <c r="C992" s="25">
        <v>45851</v>
      </c>
      <c r="D992" s="23" t="s">
        <v>348</v>
      </c>
      <c r="E992" s="23" t="s">
        <v>110</v>
      </c>
      <c r="F992" s="14">
        <v>1</v>
      </c>
      <c r="G992" s="12">
        <v>2000.0000000000005</v>
      </c>
      <c r="H992" s="12">
        <v>2000.0000000000005</v>
      </c>
      <c r="I992" s="23" t="s">
        <v>52</v>
      </c>
      <c r="J992" s="23" t="s">
        <v>61</v>
      </c>
      <c r="K992" s="24" t="s">
        <v>177</v>
      </c>
      <c r="L992" s="24">
        <v>159</v>
      </c>
      <c r="M992" s="12">
        <v>1680.6722689075634</v>
      </c>
      <c r="N992" s="12">
        <v>1680.6722689075634</v>
      </c>
      <c r="O992" s="12">
        <v>319.32773109243703</v>
      </c>
      <c r="P992" s="13"/>
      <c r="Q992" s="14">
        <v>2025</v>
      </c>
      <c r="R992" s="15">
        <v>45474</v>
      </c>
      <c r="S992" s="11" t="s">
        <v>378</v>
      </c>
      <c r="T992" s="16">
        <v>5</v>
      </c>
      <c r="U992" s="17"/>
      <c r="V992" s="12">
        <v>756.30252100840369</v>
      </c>
      <c r="W992" s="12">
        <v>756.30252100840369</v>
      </c>
      <c r="X992" s="12">
        <v>0</v>
      </c>
      <c r="Y992" s="18">
        <v>45845</v>
      </c>
      <c r="Z992" s="13" t="s">
        <v>39</v>
      </c>
      <c r="AA992" s="19" t="s">
        <v>356</v>
      </c>
      <c r="AB992" s="13" t="s">
        <v>357</v>
      </c>
      <c r="AC992" s="13" t="s">
        <v>362</v>
      </c>
      <c r="AD992" s="20"/>
      <c r="AE992" s="20"/>
      <c r="AF992" s="13" t="s">
        <v>40</v>
      </c>
      <c r="AG992" s="15">
        <v>45474</v>
      </c>
      <c r="AH992" s="13" t="s">
        <v>41</v>
      </c>
      <c r="AI992" s="13" t="s">
        <v>76</v>
      </c>
      <c r="AJ992" s="13" t="s">
        <v>379</v>
      </c>
      <c r="AK992" s="14">
        <v>-1</v>
      </c>
      <c r="AL992" s="17"/>
      <c r="AM992" s="17"/>
      <c r="AN992" s="17"/>
      <c r="AO992" s="17"/>
      <c r="AP992" s="17"/>
      <c r="AQ992" s="17"/>
      <c r="AR992" s="17"/>
      <c r="AS992" s="17"/>
      <c r="AT992" s="17"/>
      <c r="AU992" s="17"/>
      <c r="AV992" s="17"/>
    </row>
    <row r="993" spans="1:48" ht="15.75" customHeight="1">
      <c r="A993" s="21" t="s">
        <v>47</v>
      </c>
      <c r="B993" s="23" t="s">
        <v>1692</v>
      </c>
      <c r="C993" s="25">
        <v>45851</v>
      </c>
      <c r="D993" s="23" t="s">
        <v>348</v>
      </c>
      <c r="E993" s="23" t="s">
        <v>169</v>
      </c>
      <c r="F993" s="14">
        <v>1</v>
      </c>
      <c r="G993" s="12">
        <v>1650.3934426229507</v>
      </c>
      <c r="H993" s="12">
        <v>1650.3934426229507</v>
      </c>
      <c r="I993" s="23" t="s">
        <v>52</v>
      </c>
      <c r="J993" s="23" t="s">
        <v>61</v>
      </c>
      <c r="K993" s="24" t="s">
        <v>177</v>
      </c>
      <c r="L993" s="24">
        <v>159</v>
      </c>
      <c r="M993" s="12">
        <v>1386.8852459016393</v>
      </c>
      <c r="N993" s="12">
        <v>1386.8852459016393</v>
      </c>
      <c r="O993" s="12">
        <v>263.50819672131138</v>
      </c>
      <c r="P993" s="13"/>
      <c r="Q993" s="14">
        <v>2025</v>
      </c>
      <c r="R993" s="15">
        <v>45474</v>
      </c>
      <c r="S993" s="11" t="s">
        <v>453</v>
      </c>
      <c r="T993" s="16">
        <v>0</v>
      </c>
      <c r="U993" s="17"/>
      <c r="V993" s="12">
        <v>540.88524590163934</v>
      </c>
      <c r="W993" s="12">
        <v>540.88524590163934</v>
      </c>
      <c r="X993" s="12">
        <v>0</v>
      </c>
      <c r="Y993" s="18">
        <v>45845</v>
      </c>
      <c r="Z993" s="13" t="s">
        <v>39</v>
      </c>
      <c r="AA993" s="19" t="s">
        <v>356</v>
      </c>
      <c r="AB993" s="13" t="s">
        <v>357</v>
      </c>
      <c r="AC993" s="13" t="s">
        <v>362</v>
      </c>
      <c r="AD993" s="20"/>
      <c r="AE993" s="20"/>
      <c r="AF993" s="13" t="s">
        <v>40</v>
      </c>
      <c r="AG993" s="15">
        <v>45474</v>
      </c>
      <c r="AH993" s="13" t="s">
        <v>41</v>
      </c>
      <c r="AI993" s="13" t="s">
        <v>47</v>
      </c>
      <c r="AJ993" s="13" t="s">
        <v>491</v>
      </c>
      <c r="AK993" s="14">
        <v>-3</v>
      </c>
      <c r="AL993" s="17"/>
      <c r="AM993" s="17"/>
      <c r="AN993" s="17"/>
      <c r="AO993" s="17"/>
      <c r="AP993" s="17"/>
      <c r="AQ993" s="17"/>
      <c r="AR993" s="17"/>
      <c r="AS993" s="17"/>
      <c r="AT993" s="17"/>
      <c r="AU993" s="17"/>
      <c r="AV993" s="17"/>
    </row>
    <row r="994" spans="1:48" ht="15.75" customHeight="1">
      <c r="A994" s="21" t="s">
        <v>47</v>
      </c>
      <c r="B994" s="23" t="s">
        <v>1692</v>
      </c>
      <c r="C994" s="25">
        <v>45851</v>
      </c>
      <c r="D994" s="23" t="s">
        <v>348</v>
      </c>
      <c r="E994" s="23" t="s">
        <v>170</v>
      </c>
      <c r="F994" s="14">
        <v>1</v>
      </c>
      <c r="G994" s="12">
        <v>1800.1699716713879</v>
      </c>
      <c r="H994" s="12">
        <v>1800.1699716713879</v>
      </c>
      <c r="I994" s="23" t="s">
        <v>52</v>
      </c>
      <c r="J994" s="23" t="s">
        <v>61</v>
      </c>
      <c r="K994" s="24" t="s">
        <v>177</v>
      </c>
      <c r="L994" s="24">
        <v>159</v>
      </c>
      <c r="M994" s="12">
        <v>1512.7478753541075</v>
      </c>
      <c r="N994" s="12">
        <v>1512.7478753541075</v>
      </c>
      <c r="O994" s="12">
        <v>287.42209631728042</v>
      </c>
      <c r="P994" s="13"/>
      <c r="Q994" s="14">
        <v>2025</v>
      </c>
      <c r="R994" s="15">
        <v>45474</v>
      </c>
      <c r="S994" s="11" t="s">
        <v>453</v>
      </c>
      <c r="T994" s="16">
        <v>0</v>
      </c>
      <c r="U994" s="17"/>
      <c r="V994" s="12">
        <v>711.74787535410746</v>
      </c>
      <c r="W994" s="12">
        <v>711.74787535410746</v>
      </c>
      <c r="X994" s="12">
        <v>0</v>
      </c>
      <c r="Y994" s="18">
        <v>45845</v>
      </c>
      <c r="Z994" s="13" t="s">
        <v>39</v>
      </c>
      <c r="AA994" s="19" t="s">
        <v>356</v>
      </c>
      <c r="AB994" s="13" t="s">
        <v>357</v>
      </c>
      <c r="AC994" s="13" t="s">
        <v>362</v>
      </c>
      <c r="AD994" s="20"/>
      <c r="AE994" s="20"/>
      <c r="AF994" s="13" t="s">
        <v>40</v>
      </c>
      <c r="AG994" s="15">
        <v>45474</v>
      </c>
      <c r="AH994" s="13" t="s">
        <v>41</v>
      </c>
      <c r="AI994" s="13" t="s">
        <v>47</v>
      </c>
      <c r="AJ994" s="13" t="s">
        <v>454</v>
      </c>
      <c r="AK994" s="14">
        <v>-3</v>
      </c>
      <c r="AL994" s="17"/>
      <c r="AM994" s="17"/>
      <c r="AN994" s="17"/>
      <c r="AO994" s="17"/>
      <c r="AP994" s="17"/>
      <c r="AQ994" s="17"/>
      <c r="AR994" s="17"/>
      <c r="AS994" s="17"/>
      <c r="AT994" s="17"/>
      <c r="AU994" s="17"/>
      <c r="AV994" s="17"/>
    </row>
    <row r="995" spans="1:48" ht="15.75" customHeight="1">
      <c r="A995" s="21" t="s">
        <v>47</v>
      </c>
      <c r="B995" s="23" t="s">
        <v>1692</v>
      </c>
      <c r="C995" s="25">
        <v>45851</v>
      </c>
      <c r="D995" s="23" t="s">
        <v>348</v>
      </c>
      <c r="E995" s="23" t="s">
        <v>475</v>
      </c>
      <c r="F995" s="14">
        <v>1</v>
      </c>
      <c r="G995" s="12">
        <v>1500.0704225352113</v>
      </c>
      <c r="H995" s="12">
        <v>1500.0704225352113</v>
      </c>
      <c r="I995" s="23" t="s">
        <v>52</v>
      </c>
      <c r="J995" s="23" t="s">
        <v>61</v>
      </c>
      <c r="K995" s="24" t="s">
        <v>177</v>
      </c>
      <c r="L995" s="24">
        <v>159</v>
      </c>
      <c r="M995" s="12">
        <v>1260.5633802816901</v>
      </c>
      <c r="N995" s="12">
        <v>1260.5633802816901</v>
      </c>
      <c r="O995" s="12">
        <v>239.50704225352115</v>
      </c>
      <c r="P995" s="13"/>
      <c r="Q995" s="14">
        <v>2025</v>
      </c>
      <c r="R995" s="15">
        <v>45474</v>
      </c>
      <c r="S995" s="11" t="s">
        <v>476</v>
      </c>
      <c r="T995" s="16">
        <v>0</v>
      </c>
      <c r="U995" s="17"/>
      <c r="V995" s="12">
        <v>544.56338028169012</v>
      </c>
      <c r="W995" s="12">
        <v>544.56338028169012</v>
      </c>
      <c r="X995" s="12">
        <v>0</v>
      </c>
      <c r="Y995" s="18">
        <v>45845</v>
      </c>
      <c r="Z995" s="13" t="s">
        <v>39</v>
      </c>
      <c r="AA995" s="19" t="s">
        <v>356</v>
      </c>
      <c r="AB995" s="13" t="s">
        <v>357</v>
      </c>
      <c r="AC995" s="13" t="s">
        <v>362</v>
      </c>
      <c r="AD995" s="20"/>
      <c r="AE995" s="20"/>
      <c r="AF995" s="13" t="s">
        <v>40</v>
      </c>
      <c r="AG995" s="15">
        <v>45474</v>
      </c>
      <c r="AH995" s="13" t="s">
        <v>41</v>
      </c>
      <c r="AI995" s="13" t="s">
        <v>47</v>
      </c>
      <c r="AJ995" s="13" t="s">
        <v>477</v>
      </c>
      <c r="AK995" s="14">
        <v>-1</v>
      </c>
      <c r="AL995" s="17"/>
      <c r="AM995" s="17"/>
      <c r="AN995" s="17"/>
      <c r="AO995" s="17"/>
      <c r="AP995" s="17"/>
      <c r="AQ995" s="17"/>
      <c r="AR995" s="17"/>
      <c r="AS995" s="17"/>
      <c r="AT995" s="17"/>
      <c r="AU995" s="17"/>
      <c r="AV995" s="17"/>
    </row>
    <row r="996" spans="1:48" ht="15.75" customHeight="1">
      <c r="A996" s="21" t="s">
        <v>56</v>
      </c>
      <c r="B996" s="23" t="s">
        <v>1692</v>
      </c>
      <c r="C996" s="25">
        <v>45851</v>
      </c>
      <c r="D996" s="23" t="s">
        <v>80</v>
      </c>
      <c r="E996" s="23" t="s">
        <v>67</v>
      </c>
      <c r="F996" s="14">
        <v>1</v>
      </c>
      <c r="G996" s="12">
        <v>7000.0000000000009</v>
      </c>
      <c r="H996" s="12">
        <v>7000.0000000000009</v>
      </c>
      <c r="I996" s="13" t="s">
        <v>52</v>
      </c>
      <c r="J996" s="23" t="s">
        <v>61</v>
      </c>
      <c r="K996" s="24" t="s">
        <v>177</v>
      </c>
      <c r="L996" s="24">
        <v>159</v>
      </c>
      <c r="M996" s="12">
        <v>5882.3529411764712</v>
      </c>
      <c r="N996" s="12">
        <v>5882.3529411764712</v>
      </c>
      <c r="O996" s="12">
        <v>1117.6470588235297</v>
      </c>
      <c r="P996" s="13"/>
      <c r="Q996" s="14">
        <v>2025</v>
      </c>
      <c r="R996" s="15">
        <v>45474</v>
      </c>
      <c r="S996" s="11" t="s">
        <v>492</v>
      </c>
      <c r="T996" s="16">
        <v>200</v>
      </c>
      <c r="U996" s="17"/>
      <c r="V996" s="12">
        <v>1512.6050420168067</v>
      </c>
      <c r="W996" s="12">
        <v>1512.6050420168067</v>
      </c>
      <c r="X996" s="12">
        <v>0</v>
      </c>
      <c r="Y996" s="18">
        <v>45845</v>
      </c>
      <c r="Z996" s="13" t="s">
        <v>39</v>
      </c>
      <c r="AA996" s="19" t="s">
        <v>361</v>
      </c>
      <c r="AB996" s="13" t="s">
        <v>357</v>
      </c>
      <c r="AC996" s="13" t="s">
        <v>362</v>
      </c>
      <c r="AD996" s="20"/>
      <c r="AE996" s="20"/>
      <c r="AF996" s="13" t="s">
        <v>40</v>
      </c>
      <c r="AG996" s="15">
        <v>45474</v>
      </c>
      <c r="AH996" s="13" t="s">
        <v>41</v>
      </c>
      <c r="AI996" s="13" t="s">
        <v>56</v>
      </c>
      <c r="AJ996" s="13" t="s">
        <v>493</v>
      </c>
      <c r="AK996" s="14">
        <v>-3</v>
      </c>
      <c r="AL996" s="17"/>
      <c r="AM996" s="17"/>
      <c r="AN996" s="17"/>
      <c r="AO996" s="17"/>
      <c r="AP996" s="17"/>
      <c r="AQ996" s="17"/>
      <c r="AR996" s="17"/>
      <c r="AS996" s="17"/>
      <c r="AT996" s="17"/>
      <c r="AU996" s="17"/>
      <c r="AV996" s="17"/>
    </row>
    <row r="997" spans="1:48" ht="15.75" customHeight="1">
      <c r="A997" s="21" t="s">
        <v>53</v>
      </c>
      <c r="B997" s="23" t="s">
        <v>1692</v>
      </c>
      <c r="C997" s="22">
        <v>45851</v>
      </c>
      <c r="D997" s="23" t="s">
        <v>104</v>
      </c>
      <c r="E997" s="23" t="s">
        <v>157</v>
      </c>
      <c r="F997" s="21">
        <v>1</v>
      </c>
      <c r="G997" s="12">
        <v>11499.714937286204</v>
      </c>
      <c r="H997" s="12">
        <v>11499.714937286204</v>
      </c>
      <c r="I997" s="23" t="s">
        <v>52</v>
      </c>
      <c r="J997" s="23" t="s">
        <v>61</v>
      </c>
      <c r="K997" s="24" t="s">
        <v>177</v>
      </c>
      <c r="L997" s="24">
        <v>159</v>
      </c>
      <c r="M997" s="12">
        <v>9663.6259977195004</v>
      </c>
      <c r="N997" s="12">
        <v>9663.6259977195004</v>
      </c>
      <c r="O997" s="12">
        <v>1836.0889395667036</v>
      </c>
      <c r="P997" s="13"/>
      <c r="Q997" s="14">
        <v>2025</v>
      </c>
      <c r="R997" s="15">
        <v>45474</v>
      </c>
      <c r="S997" s="11" t="s">
        <v>376</v>
      </c>
      <c r="T997" s="16">
        <v>0</v>
      </c>
      <c r="U997" s="17"/>
      <c r="V997" s="12">
        <v>2883.6259977194986</v>
      </c>
      <c r="W997" s="12">
        <v>2883.6259977194986</v>
      </c>
      <c r="X997" s="12">
        <v>0</v>
      </c>
      <c r="Y997" s="18">
        <v>45845</v>
      </c>
      <c r="Z997" s="23" t="s">
        <v>39</v>
      </c>
      <c r="AA997" s="19" t="s">
        <v>373</v>
      </c>
      <c r="AB997" s="13" t="s">
        <v>357</v>
      </c>
      <c r="AC997" s="13" t="s">
        <v>383</v>
      </c>
      <c r="AD997" s="20"/>
      <c r="AE997" s="20"/>
      <c r="AF997" s="13" t="s">
        <v>40</v>
      </c>
      <c r="AG997" s="15">
        <v>45474</v>
      </c>
      <c r="AH997" s="13" t="s">
        <v>41</v>
      </c>
      <c r="AI997" s="13" t="s">
        <v>53</v>
      </c>
      <c r="AJ997" s="13" t="s">
        <v>377</v>
      </c>
      <c r="AK997" s="14">
        <v>-4</v>
      </c>
      <c r="AL997" s="17"/>
      <c r="AM997" s="17"/>
      <c r="AN997" s="17"/>
      <c r="AO997" s="17"/>
      <c r="AP997" s="17"/>
      <c r="AQ997" s="17"/>
      <c r="AR997" s="17"/>
      <c r="AS997" s="17"/>
      <c r="AT997" s="17"/>
      <c r="AU997" s="17"/>
      <c r="AV997" s="17"/>
    </row>
    <row r="998" spans="1:48" ht="15.75" customHeight="1">
      <c r="A998" s="21" t="s">
        <v>53</v>
      </c>
      <c r="B998" s="23" t="s">
        <v>1692</v>
      </c>
      <c r="C998" s="22">
        <v>45851</v>
      </c>
      <c r="D998" s="23" t="s">
        <v>104</v>
      </c>
      <c r="E998" s="23" t="s">
        <v>70</v>
      </c>
      <c r="F998" s="21">
        <v>1</v>
      </c>
      <c r="G998" s="12">
        <v>5000.3257328990221</v>
      </c>
      <c r="H998" s="12">
        <v>5000.3257328990221</v>
      </c>
      <c r="I998" s="23" t="s">
        <v>52</v>
      </c>
      <c r="J998" s="23" t="s">
        <v>61</v>
      </c>
      <c r="K998" s="24" t="s">
        <v>177</v>
      </c>
      <c r="L998" s="24">
        <v>159</v>
      </c>
      <c r="M998" s="12">
        <v>4201.9543973941363</v>
      </c>
      <c r="N998" s="12">
        <v>4201.9543973941363</v>
      </c>
      <c r="O998" s="12">
        <v>798.37133550488579</v>
      </c>
      <c r="P998" s="13"/>
      <c r="Q998" s="14">
        <v>2025</v>
      </c>
      <c r="R998" s="15">
        <v>45474</v>
      </c>
      <c r="S998" s="11" t="s">
        <v>381</v>
      </c>
      <c r="T998" s="16">
        <v>300</v>
      </c>
      <c r="U998" s="17"/>
      <c r="V998" s="12">
        <v>2008.9543973941363</v>
      </c>
      <c r="W998" s="12">
        <v>2008.9543973941363</v>
      </c>
      <c r="X998" s="12">
        <v>0</v>
      </c>
      <c r="Y998" s="18">
        <v>45845</v>
      </c>
      <c r="Z998" s="23" t="s">
        <v>39</v>
      </c>
      <c r="AA998" s="19" t="s">
        <v>373</v>
      </c>
      <c r="AB998" s="13" t="s">
        <v>357</v>
      </c>
      <c r="AC998" s="13" t="s">
        <v>383</v>
      </c>
      <c r="AD998" s="20"/>
      <c r="AE998" s="20"/>
      <c r="AF998" s="13" t="s">
        <v>40</v>
      </c>
      <c r="AG998" s="15">
        <v>45474</v>
      </c>
      <c r="AH998" s="13" t="s">
        <v>41</v>
      </c>
      <c r="AI998" s="13" t="s">
        <v>53</v>
      </c>
      <c r="AJ998" s="13" t="s">
        <v>382</v>
      </c>
      <c r="AK998" s="14">
        <v>-3</v>
      </c>
      <c r="AL998" s="17"/>
      <c r="AM998" s="17"/>
      <c r="AN998" s="17"/>
      <c r="AO998" s="17"/>
      <c r="AP998" s="17"/>
      <c r="AQ998" s="17"/>
      <c r="AR998" s="17"/>
      <c r="AS998" s="17"/>
      <c r="AT998" s="17"/>
      <c r="AU998" s="17"/>
      <c r="AV998" s="17"/>
    </row>
    <row r="999" spans="1:48" ht="15.75" customHeight="1">
      <c r="A999" s="21" t="s">
        <v>76</v>
      </c>
      <c r="B999" s="23" t="s">
        <v>1692</v>
      </c>
      <c r="C999" s="22">
        <v>45851</v>
      </c>
      <c r="D999" s="23" t="s">
        <v>236</v>
      </c>
      <c r="E999" s="23" t="s">
        <v>166</v>
      </c>
      <c r="F999" s="21">
        <v>1</v>
      </c>
      <c r="G999" s="12">
        <v>3500.0000000000005</v>
      </c>
      <c r="H999" s="12">
        <v>3500.0000000000005</v>
      </c>
      <c r="I999" s="23" t="s">
        <v>52</v>
      </c>
      <c r="J999" s="23" t="s">
        <v>61</v>
      </c>
      <c r="K999" s="24" t="s">
        <v>177</v>
      </c>
      <c r="L999" s="24">
        <v>159</v>
      </c>
      <c r="M999" s="12">
        <v>2941.1764705882356</v>
      </c>
      <c r="N999" s="12">
        <v>2941.1764705882356</v>
      </c>
      <c r="O999" s="12">
        <v>558.82352941176487</v>
      </c>
      <c r="P999" s="13"/>
      <c r="Q999" s="14">
        <v>2025</v>
      </c>
      <c r="R999" s="15">
        <v>45474</v>
      </c>
      <c r="S999" s="11" t="s">
        <v>448</v>
      </c>
      <c r="T999" s="16">
        <v>5</v>
      </c>
      <c r="U999" s="17"/>
      <c r="V999" s="12">
        <v>1016.8067226890757</v>
      </c>
      <c r="W999" s="12">
        <v>1016.8067226890757</v>
      </c>
      <c r="X999" s="12">
        <v>0</v>
      </c>
      <c r="Y999" s="18">
        <v>45845</v>
      </c>
      <c r="Z999" s="23" t="s">
        <v>39</v>
      </c>
      <c r="AA999" s="19" t="s">
        <v>367</v>
      </c>
      <c r="AB999" s="13" t="s">
        <v>357</v>
      </c>
      <c r="AC999" s="13" t="s">
        <v>367</v>
      </c>
      <c r="AD999" s="20"/>
      <c r="AE999" s="20"/>
      <c r="AF999" s="13" t="s">
        <v>40</v>
      </c>
      <c r="AG999" s="15">
        <v>45474</v>
      </c>
      <c r="AH999" s="13" t="s">
        <v>41</v>
      </c>
      <c r="AI999" s="13" t="s">
        <v>76</v>
      </c>
      <c r="AJ999" s="13" t="s">
        <v>449</v>
      </c>
      <c r="AK999" s="14">
        <v>-1</v>
      </c>
      <c r="AL999" s="17"/>
      <c r="AM999" s="17"/>
      <c r="AN999" s="17"/>
      <c r="AO999" s="17"/>
      <c r="AP999" s="17"/>
      <c r="AQ999" s="17"/>
      <c r="AR999" s="17"/>
      <c r="AS999" s="17"/>
      <c r="AT999" s="17"/>
      <c r="AU999" s="17"/>
      <c r="AV999" s="17"/>
    </row>
    <row r="1000" spans="1:48" ht="15.75" customHeight="1">
      <c r="A1000" s="21" t="s">
        <v>76</v>
      </c>
      <c r="B1000" s="23" t="s">
        <v>1692</v>
      </c>
      <c r="C1000" s="22">
        <v>45851</v>
      </c>
      <c r="D1000" s="23" t="s">
        <v>236</v>
      </c>
      <c r="E1000" s="23" t="s">
        <v>77</v>
      </c>
      <c r="F1000" s="21">
        <v>1</v>
      </c>
      <c r="G1000" s="12">
        <v>1700.4255319148936</v>
      </c>
      <c r="H1000" s="12">
        <v>1700.4255319148936</v>
      </c>
      <c r="I1000" s="23" t="s">
        <v>52</v>
      </c>
      <c r="J1000" s="23" t="s">
        <v>61</v>
      </c>
      <c r="K1000" s="24" t="s">
        <v>177</v>
      </c>
      <c r="L1000" s="24">
        <v>159</v>
      </c>
      <c r="M1000" s="12">
        <v>1428.929018415877</v>
      </c>
      <c r="N1000" s="12">
        <v>1428.929018415877</v>
      </c>
      <c r="O1000" s="12">
        <v>271.4965134990166</v>
      </c>
      <c r="P1000" s="13"/>
      <c r="Q1000" s="14">
        <v>2025</v>
      </c>
      <c r="R1000" s="15">
        <v>45474</v>
      </c>
      <c r="S1000" s="11" t="s">
        <v>448</v>
      </c>
      <c r="T1000" s="16">
        <v>0</v>
      </c>
      <c r="U1000" s="17"/>
      <c r="V1000" s="12">
        <v>589.43322009654923</v>
      </c>
      <c r="W1000" s="12">
        <v>589.43322009654923</v>
      </c>
      <c r="X1000" s="12">
        <v>0</v>
      </c>
      <c r="Y1000" s="18">
        <v>45845</v>
      </c>
      <c r="Z1000" s="23" t="s">
        <v>39</v>
      </c>
      <c r="AA1000" s="19" t="s">
        <v>367</v>
      </c>
      <c r="AB1000" s="13" t="s">
        <v>357</v>
      </c>
      <c r="AC1000" s="13" t="s">
        <v>367</v>
      </c>
      <c r="AD1000" s="20"/>
      <c r="AE1000" s="20"/>
      <c r="AF1000" s="13" t="s">
        <v>40</v>
      </c>
      <c r="AG1000" s="15">
        <v>45474</v>
      </c>
      <c r="AH1000" s="13" t="s">
        <v>41</v>
      </c>
      <c r="AI1000" s="13" t="s">
        <v>76</v>
      </c>
      <c r="AJ1000" s="13" t="s">
        <v>457</v>
      </c>
      <c r="AK1000" s="14">
        <v>-1</v>
      </c>
      <c r="AL1000" s="17"/>
      <c r="AM1000" s="17"/>
      <c r="AN1000" s="17"/>
      <c r="AO1000" s="17"/>
      <c r="AP1000" s="17"/>
      <c r="AQ1000" s="17"/>
      <c r="AR1000" s="17"/>
      <c r="AS1000" s="17"/>
      <c r="AT1000" s="17"/>
      <c r="AU1000" s="17"/>
      <c r="AV1000" s="17"/>
    </row>
    <row r="1001" spans="1:48" ht="15.75" customHeight="1">
      <c r="A1001" s="21" t="s">
        <v>47</v>
      </c>
      <c r="B1001" s="23" t="s">
        <v>1692</v>
      </c>
      <c r="C1001" s="22">
        <v>45851</v>
      </c>
      <c r="D1001" s="23" t="s">
        <v>236</v>
      </c>
      <c r="E1001" s="23" t="s">
        <v>494</v>
      </c>
      <c r="F1001" s="21">
        <v>2</v>
      </c>
      <c r="G1001" s="12">
        <v>1599.7931747673217</v>
      </c>
      <c r="H1001" s="12">
        <v>3199.5863495346434</v>
      </c>
      <c r="I1001" s="23" t="s">
        <v>52</v>
      </c>
      <c r="J1001" s="23" t="s">
        <v>61</v>
      </c>
      <c r="K1001" s="24" t="s">
        <v>177</v>
      </c>
      <c r="L1001" s="24">
        <v>159</v>
      </c>
      <c r="M1001" s="12">
        <v>1344.3640124095141</v>
      </c>
      <c r="N1001" s="12">
        <v>2688.7280248190282</v>
      </c>
      <c r="O1001" s="12">
        <v>510.85832471561525</v>
      </c>
      <c r="P1001" s="13"/>
      <c r="Q1001" s="14">
        <v>2025</v>
      </c>
      <c r="R1001" s="15">
        <v>45474</v>
      </c>
      <c r="S1001" s="11" t="s">
        <v>495</v>
      </c>
      <c r="T1001" s="16">
        <v>0</v>
      </c>
      <c r="U1001" s="17"/>
      <c r="V1001" s="12">
        <v>738.72802481902818</v>
      </c>
      <c r="W1001" s="12">
        <v>738.72802481902818</v>
      </c>
      <c r="X1001" s="12">
        <v>0</v>
      </c>
      <c r="Y1001" s="18">
        <v>45845</v>
      </c>
      <c r="Z1001" s="23" t="s">
        <v>39</v>
      </c>
      <c r="AA1001" s="19" t="s">
        <v>367</v>
      </c>
      <c r="AB1001" s="13" t="s">
        <v>357</v>
      </c>
      <c r="AC1001" s="13" t="s">
        <v>367</v>
      </c>
      <c r="AD1001" s="20"/>
      <c r="AE1001" s="20"/>
      <c r="AF1001" s="13" t="s">
        <v>40</v>
      </c>
      <c r="AG1001" s="15">
        <v>45474</v>
      </c>
      <c r="AH1001" s="13" t="s">
        <v>41</v>
      </c>
      <c r="AI1001" s="13" t="s">
        <v>47</v>
      </c>
      <c r="AJ1001" s="13" t="s">
        <v>496</v>
      </c>
      <c r="AK1001" s="14">
        <v>-2</v>
      </c>
      <c r="AL1001" s="17"/>
      <c r="AM1001" s="17"/>
      <c r="AN1001" s="17"/>
      <c r="AO1001" s="17"/>
      <c r="AP1001" s="17"/>
      <c r="AQ1001" s="17"/>
      <c r="AR1001" s="17"/>
      <c r="AS1001" s="17"/>
      <c r="AT1001" s="17"/>
      <c r="AU1001" s="17"/>
      <c r="AV1001" s="17"/>
    </row>
    <row r="1002" spans="1:48" ht="15.75" customHeight="1">
      <c r="A1002" s="21" t="s">
        <v>35</v>
      </c>
      <c r="B1002" s="23" t="s">
        <v>1692</v>
      </c>
      <c r="C1002" s="22">
        <v>45851</v>
      </c>
      <c r="D1002" s="23" t="s">
        <v>58</v>
      </c>
      <c r="E1002" s="23" t="s">
        <v>37</v>
      </c>
      <c r="F1002" s="21">
        <v>1</v>
      </c>
      <c r="G1002" s="12">
        <v>11000.014358944907</v>
      </c>
      <c r="H1002" s="12">
        <v>11000.014358944907</v>
      </c>
      <c r="I1002" s="23" t="s">
        <v>52</v>
      </c>
      <c r="J1002" s="23" t="s">
        <v>61</v>
      </c>
      <c r="K1002" s="24" t="s">
        <v>177</v>
      </c>
      <c r="L1002" s="24">
        <v>159</v>
      </c>
      <c r="M1002" s="12">
        <v>9243.7095453318543</v>
      </c>
      <c r="N1002" s="12">
        <v>9243.7095453318543</v>
      </c>
      <c r="O1002" s="12">
        <v>1756.3048136130528</v>
      </c>
      <c r="P1002" s="13"/>
      <c r="Q1002" s="14">
        <v>2025</v>
      </c>
      <c r="R1002" s="15">
        <v>45474</v>
      </c>
      <c r="S1002" s="11" t="s">
        <v>364</v>
      </c>
      <c r="T1002" s="16">
        <v>1000</v>
      </c>
      <c r="U1002" s="17"/>
      <c r="V1002" s="12">
        <v>2806.1129066763915</v>
      </c>
      <c r="W1002" s="12">
        <v>2806.1129066763915</v>
      </c>
      <c r="X1002" s="12">
        <v>0</v>
      </c>
      <c r="Y1002" s="18">
        <v>45845</v>
      </c>
      <c r="Z1002" s="23" t="s">
        <v>39</v>
      </c>
      <c r="AA1002" s="19" t="s">
        <v>356</v>
      </c>
      <c r="AB1002" s="13" t="s">
        <v>357</v>
      </c>
      <c r="AC1002" s="13" t="s">
        <v>362</v>
      </c>
      <c r="AD1002" s="20"/>
      <c r="AE1002" s="20"/>
      <c r="AF1002" s="13" t="s">
        <v>40</v>
      </c>
      <c r="AG1002" s="15">
        <v>45474</v>
      </c>
      <c r="AH1002" s="13" t="s">
        <v>41</v>
      </c>
      <c r="AI1002" s="13" t="s">
        <v>35</v>
      </c>
      <c r="AJ1002" s="13" t="s">
        <v>365</v>
      </c>
      <c r="AK1002" s="14">
        <v>-1</v>
      </c>
      <c r="AL1002" s="17"/>
      <c r="AM1002" s="17"/>
      <c r="AN1002" s="17"/>
      <c r="AO1002" s="17"/>
      <c r="AP1002" s="17"/>
      <c r="AQ1002" s="17"/>
      <c r="AR1002" s="17"/>
      <c r="AS1002" s="17"/>
      <c r="AT1002" s="17"/>
      <c r="AU1002" s="17"/>
      <c r="AV1002" s="17"/>
    </row>
    <row r="1003" spans="1:48" ht="15.75" customHeight="1">
      <c r="A1003" s="21" t="s">
        <v>43</v>
      </c>
      <c r="B1003" s="23" t="s">
        <v>1692</v>
      </c>
      <c r="C1003" s="22">
        <v>45851</v>
      </c>
      <c r="D1003" s="23" t="s">
        <v>282</v>
      </c>
      <c r="E1003" s="23" t="s">
        <v>45</v>
      </c>
      <c r="F1003" s="21">
        <v>1</v>
      </c>
      <c r="G1003" s="12">
        <v>7900.1687504794045</v>
      </c>
      <c r="H1003" s="12">
        <v>7900.1687504794045</v>
      </c>
      <c r="I1003" s="23" t="s">
        <v>52</v>
      </c>
      <c r="J1003" s="23" t="s">
        <v>61</v>
      </c>
      <c r="K1003" s="24" t="s">
        <v>177</v>
      </c>
      <c r="L1003" s="24">
        <v>159</v>
      </c>
      <c r="M1003" s="12">
        <v>6638.7972693104239</v>
      </c>
      <c r="N1003" s="12">
        <v>6638.7972693104239</v>
      </c>
      <c r="O1003" s="12">
        <v>1261.3714811689806</v>
      </c>
      <c r="P1003" s="13"/>
      <c r="Q1003" s="14">
        <v>2025</v>
      </c>
      <c r="R1003" s="15">
        <v>45474</v>
      </c>
      <c r="S1003" s="11" t="s">
        <v>355</v>
      </c>
      <c r="T1003" s="16">
        <v>0</v>
      </c>
      <c r="U1003" s="17"/>
      <c r="V1003" s="12">
        <v>1445.7972693104239</v>
      </c>
      <c r="W1003" s="12">
        <v>1445.7972693104239</v>
      </c>
      <c r="X1003" s="12">
        <v>0</v>
      </c>
      <c r="Y1003" s="18">
        <v>45845</v>
      </c>
      <c r="Z1003" s="13" t="s">
        <v>497</v>
      </c>
      <c r="AA1003" s="19" t="s">
        <v>373</v>
      </c>
      <c r="AB1003" s="13" t="s">
        <v>357</v>
      </c>
      <c r="AC1003" s="13" t="s">
        <v>383</v>
      </c>
      <c r="AD1003" s="20"/>
      <c r="AE1003" s="20"/>
      <c r="AF1003" s="13" t="s">
        <v>40</v>
      </c>
      <c r="AG1003" s="15">
        <v>45474</v>
      </c>
      <c r="AH1003" s="13" t="s">
        <v>41</v>
      </c>
      <c r="AI1003" s="13" t="s">
        <v>43</v>
      </c>
      <c r="AJ1003" s="13" t="s">
        <v>359</v>
      </c>
      <c r="AK1003" s="14">
        <v>-1</v>
      </c>
      <c r="AL1003" s="17"/>
      <c r="AM1003" s="17"/>
      <c r="AN1003" s="17"/>
      <c r="AO1003" s="17"/>
      <c r="AP1003" s="17"/>
      <c r="AQ1003" s="17"/>
      <c r="AR1003" s="17"/>
      <c r="AS1003" s="17"/>
      <c r="AT1003" s="17"/>
      <c r="AU1003" s="17"/>
      <c r="AV1003" s="17"/>
    </row>
    <row r="1004" spans="1:48" ht="15.75" customHeight="1">
      <c r="A1004" s="21" t="s">
        <v>147</v>
      </c>
      <c r="B1004" s="23" t="s">
        <v>1692</v>
      </c>
      <c r="C1004" s="22">
        <v>45851</v>
      </c>
      <c r="D1004" s="23" t="s">
        <v>498</v>
      </c>
      <c r="E1004" s="23" t="s">
        <v>499</v>
      </c>
      <c r="F1004" s="21">
        <v>1</v>
      </c>
      <c r="G1004" s="12">
        <v>10999.911119011644</v>
      </c>
      <c r="H1004" s="12">
        <v>10999.911119011644</v>
      </c>
      <c r="I1004" s="23" t="s">
        <v>52</v>
      </c>
      <c r="J1004" s="23" t="s">
        <v>61</v>
      </c>
      <c r="K1004" s="24" t="s">
        <v>177</v>
      </c>
      <c r="L1004" s="24">
        <v>159</v>
      </c>
      <c r="M1004" s="12">
        <v>9243.6227890854152</v>
      </c>
      <c r="N1004" s="12">
        <v>9243.6227890854152</v>
      </c>
      <c r="O1004" s="12">
        <v>1756.2883299262285</v>
      </c>
      <c r="P1004" s="13"/>
      <c r="Q1004" s="14">
        <v>2025</v>
      </c>
      <c r="R1004" s="15">
        <v>45474</v>
      </c>
      <c r="S1004" s="11" t="s">
        <v>455</v>
      </c>
      <c r="T1004" s="16">
        <v>0</v>
      </c>
      <c r="U1004" s="17"/>
      <c r="V1004" s="12">
        <v>4043.6227890854152</v>
      </c>
      <c r="W1004" s="12">
        <v>4043.6227890854152</v>
      </c>
      <c r="X1004" s="12">
        <v>0</v>
      </c>
      <c r="Y1004" s="18">
        <v>45845</v>
      </c>
      <c r="Z1004" s="13" t="s">
        <v>497</v>
      </c>
      <c r="AA1004" s="19" t="s">
        <v>373</v>
      </c>
      <c r="AB1004" s="13" t="s">
        <v>357</v>
      </c>
      <c r="AC1004" s="13" t="s">
        <v>500</v>
      </c>
      <c r="AD1004" s="20"/>
      <c r="AE1004" s="20"/>
      <c r="AF1004" s="13" t="s">
        <v>40</v>
      </c>
      <c r="AG1004" s="15">
        <v>45474</v>
      </c>
      <c r="AH1004" s="13" t="s">
        <v>41</v>
      </c>
      <c r="AI1004" s="13" t="s">
        <v>147</v>
      </c>
      <c r="AJ1004" s="13" t="s">
        <v>455</v>
      </c>
      <c r="AK1004" s="14">
        <v>-2</v>
      </c>
      <c r="AL1004" s="17"/>
      <c r="AM1004" s="17"/>
      <c r="AN1004" s="17"/>
      <c r="AO1004" s="17"/>
      <c r="AP1004" s="17"/>
      <c r="AQ1004" s="17"/>
      <c r="AR1004" s="17"/>
      <c r="AS1004" s="17"/>
      <c r="AT1004" s="17"/>
      <c r="AU1004" s="17"/>
      <c r="AV1004" s="17"/>
    </row>
    <row r="1005" spans="1:48" ht="15.75" customHeight="1">
      <c r="A1005" s="21" t="s">
        <v>35</v>
      </c>
      <c r="B1005" s="23" t="s">
        <v>1692</v>
      </c>
      <c r="C1005" s="22">
        <v>45850</v>
      </c>
      <c r="D1005" s="23" t="s">
        <v>240</v>
      </c>
      <c r="E1005" s="23" t="s">
        <v>37</v>
      </c>
      <c r="F1005" s="21">
        <v>1</v>
      </c>
      <c r="G1005" s="12">
        <v>11000.014358944907</v>
      </c>
      <c r="H1005" s="12">
        <v>11000.014358944907</v>
      </c>
      <c r="I1005" s="23" t="s">
        <v>52</v>
      </c>
      <c r="J1005" s="23" t="s">
        <v>61</v>
      </c>
      <c r="K1005" s="24" t="s">
        <v>177</v>
      </c>
      <c r="L1005" s="24">
        <v>159</v>
      </c>
      <c r="M1005" s="12">
        <v>9243.7095453318543</v>
      </c>
      <c r="N1005" s="12">
        <v>9243.7095453318543</v>
      </c>
      <c r="O1005" s="12">
        <v>1756.3048136130528</v>
      </c>
      <c r="P1005" s="13"/>
      <c r="Q1005" s="14">
        <v>2025</v>
      </c>
      <c r="R1005" s="15">
        <v>45474</v>
      </c>
      <c r="S1005" s="11" t="s">
        <v>364</v>
      </c>
      <c r="T1005" s="16">
        <v>1000</v>
      </c>
      <c r="U1005" s="17"/>
      <c r="V1005" s="12">
        <v>2806.1129066763915</v>
      </c>
      <c r="W1005" s="12">
        <v>2806.1129066763915</v>
      </c>
      <c r="X1005" s="12">
        <v>0</v>
      </c>
      <c r="Y1005" s="18">
        <v>45845</v>
      </c>
      <c r="Z1005" s="13" t="s">
        <v>501</v>
      </c>
      <c r="AA1005" s="19" t="s">
        <v>373</v>
      </c>
      <c r="AB1005" s="13" t="s">
        <v>357</v>
      </c>
      <c r="AC1005" s="13" t="s">
        <v>383</v>
      </c>
      <c r="AD1005" s="20"/>
      <c r="AE1005" s="20"/>
      <c r="AF1005" s="13" t="s">
        <v>40</v>
      </c>
      <c r="AG1005" s="15">
        <v>45474</v>
      </c>
      <c r="AH1005" s="13" t="s">
        <v>41</v>
      </c>
      <c r="AI1005" s="13" t="s">
        <v>35</v>
      </c>
      <c r="AJ1005" s="13" t="s">
        <v>365</v>
      </c>
      <c r="AK1005" s="14">
        <v>-1</v>
      </c>
      <c r="AL1005" s="17"/>
      <c r="AM1005" s="17"/>
      <c r="AN1005" s="17"/>
      <c r="AO1005" s="17"/>
      <c r="AP1005" s="17"/>
      <c r="AQ1005" s="17"/>
      <c r="AR1005" s="17"/>
      <c r="AS1005" s="17"/>
      <c r="AT1005" s="17"/>
      <c r="AU1005" s="17"/>
      <c r="AV1005" s="17"/>
    </row>
    <row r="1006" spans="1:48" ht="15.75" customHeight="1">
      <c r="A1006" s="21" t="s">
        <v>35</v>
      </c>
      <c r="B1006" s="23" t="s">
        <v>1692</v>
      </c>
      <c r="C1006" s="22">
        <v>45850</v>
      </c>
      <c r="D1006" s="23" t="s">
        <v>189</v>
      </c>
      <c r="E1006" s="23" t="s">
        <v>37</v>
      </c>
      <c r="F1006" s="21">
        <v>1</v>
      </c>
      <c r="G1006" s="12">
        <v>11000.014358944907</v>
      </c>
      <c r="H1006" s="12">
        <v>11000.014358944907</v>
      </c>
      <c r="I1006" s="23" t="s">
        <v>52</v>
      </c>
      <c r="J1006" s="23" t="s">
        <v>61</v>
      </c>
      <c r="K1006" s="24" t="s">
        <v>177</v>
      </c>
      <c r="L1006" s="24">
        <v>159</v>
      </c>
      <c r="M1006" s="12">
        <v>9243.7095453318543</v>
      </c>
      <c r="N1006" s="12">
        <v>9243.7095453318543</v>
      </c>
      <c r="O1006" s="12">
        <v>1756.3048136130528</v>
      </c>
      <c r="P1006" s="13"/>
      <c r="Q1006" s="14">
        <v>2025</v>
      </c>
      <c r="R1006" s="15">
        <v>45474</v>
      </c>
      <c r="S1006" s="11" t="s">
        <v>364</v>
      </c>
      <c r="T1006" s="16">
        <v>1000</v>
      </c>
      <c r="U1006" s="17"/>
      <c r="V1006" s="12">
        <v>2806.1129066763915</v>
      </c>
      <c r="W1006" s="12">
        <v>2806.1129066763915</v>
      </c>
      <c r="X1006" s="12">
        <v>0</v>
      </c>
      <c r="Y1006" s="18">
        <v>45845</v>
      </c>
      <c r="Z1006" s="13" t="s">
        <v>501</v>
      </c>
      <c r="AA1006" s="19" t="s">
        <v>361</v>
      </c>
      <c r="AB1006" s="13" t="s">
        <v>357</v>
      </c>
      <c r="AC1006" s="13" t="s">
        <v>362</v>
      </c>
      <c r="AD1006" s="20"/>
      <c r="AE1006" s="20"/>
      <c r="AF1006" s="13" t="s">
        <v>40</v>
      </c>
      <c r="AG1006" s="15">
        <v>45474</v>
      </c>
      <c r="AH1006" s="13" t="s">
        <v>41</v>
      </c>
      <c r="AI1006" s="13" t="s">
        <v>35</v>
      </c>
      <c r="AJ1006" s="13" t="s">
        <v>365</v>
      </c>
      <c r="AK1006" s="14">
        <v>-1</v>
      </c>
      <c r="AL1006" s="17"/>
      <c r="AM1006" s="17"/>
      <c r="AN1006" s="17"/>
      <c r="AO1006" s="17"/>
      <c r="AP1006" s="17"/>
      <c r="AQ1006" s="17"/>
      <c r="AR1006" s="17"/>
      <c r="AS1006" s="17"/>
      <c r="AT1006" s="17"/>
      <c r="AU1006" s="17"/>
      <c r="AV1006" s="17"/>
    </row>
    <row r="1007" spans="1:48" ht="15.75" customHeight="1">
      <c r="A1007" s="21" t="s">
        <v>43</v>
      </c>
      <c r="B1007" s="23" t="s">
        <v>1692</v>
      </c>
      <c r="C1007" s="22">
        <v>45850</v>
      </c>
      <c r="D1007" s="23" t="s">
        <v>189</v>
      </c>
      <c r="E1007" s="23" t="s">
        <v>45</v>
      </c>
      <c r="F1007" s="21">
        <v>1</v>
      </c>
      <c r="G1007" s="12">
        <v>7900.1687504794045</v>
      </c>
      <c r="H1007" s="12">
        <v>7900.1687504794045</v>
      </c>
      <c r="I1007" s="23" t="s">
        <v>52</v>
      </c>
      <c r="J1007" s="23" t="s">
        <v>61</v>
      </c>
      <c r="K1007" s="24" t="s">
        <v>177</v>
      </c>
      <c r="L1007" s="24">
        <v>159</v>
      </c>
      <c r="M1007" s="12">
        <v>6638.7972693104239</v>
      </c>
      <c r="N1007" s="12">
        <v>6638.7972693104239</v>
      </c>
      <c r="O1007" s="12">
        <v>1261.3714811689806</v>
      </c>
      <c r="P1007" s="13"/>
      <c r="Q1007" s="14">
        <v>2025</v>
      </c>
      <c r="R1007" s="15">
        <v>45474</v>
      </c>
      <c r="S1007" s="11" t="s">
        <v>355</v>
      </c>
      <c r="T1007" s="16">
        <v>0</v>
      </c>
      <c r="U1007" s="17"/>
      <c r="V1007" s="12">
        <v>1445.7972693104239</v>
      </c>
      <c r="W1007" s="12">
        <v>1445.7972693104239</v>
      </c>
      <c r="X1007" s="12">
        <v>0</v>
      </c>
      <c r="Y1007" s="18">
        <v>45845</v>
      </c>
      <c r="Z1007" s="13" t="s">
        <v>501</v>
      </c>
      <c r="AA1007" s="19" t="s">
        <v>361</v>
      </c>
      <c r="AB1007" s="13" t="s">
        <v>357</v>
      </c>
      <c r="AC1007" s="13" t="s">
        <v>362</v>
      </c>
      <c r="AD1007" s="20"/>
      <c r="AE1007" s="20"/>
      <c r="AF1007" s="13" t="s">
        <v>40</v>
      </c>
      <c r="AG1007" s="15">
        <v>45474</v>
      </c>
      <c r="AH1007" s="13" t="s">
        <v>41</v>
      </c>
      <c r="AI1007" s="13" t="s">
        <v>43</v>
      </c>
      <c r="AJ1007" s="13" t="s">
        <v>359</v>
      </c>
      <c r="AK1007" s="14">
        <v>-1</v>
      </c>
      <c r="AL1007" s="17"/>
      <c r="AM1007" s="17"/>
      <c r="AN1007" s="17"/>
      <c r="AO1007" s="17"/>
      <c r="AP1007" s="17"/>
      <c r="AQ1007" s="17"/>
      <c r="AR1007" s="17"/>
      <c r="AS1007" s="17"/>
      <c r="AT1007" s="17"/>
      <c r="AU1007" s="17"/>
      <c r="AV1007" s="17"/>
    </row>
    <row r="1008" spans="1:48" ht="15.75" customHeight="1">
      <c r="A1008" s="21" t="s">
        <v>53</v>
      </c>
      <c r="B1008" s="23" t="s">
        <v>1692</v>
      </c>
      <c r="C1008" s="22">
        <v>45850</v>
      </c>
      <c r="D1008" s="23" t="s">
        <v>245</v>
      </c>
      <c r="E1008" s="23" t="s">
        <v>97</v>
      </c>
      <c r="F1008" s="21">
        <v>1</v>
      </c>
      <c r="G1008" s="12">
        <v>16500.236769693482</v>
      </c>
      <c r="H1008" s="12">
        <v>16500.236769693482</v>
      </c>
      <c r="I1008" s="23" t="s">
        <v>52</v>
      </c>
      <c r="J1008" s="23" t="s">
        <v>61</v>
      </c>
      <c r="K1008" s="24" t="s">
        <v>177</v>
      </c>
      <c r="L1008" s="24">
        <v>159</v>
      </c>
      <c r="M1008" s="12">
        <v>13865.745184616371</v>
      </c>
      <c r="N1008" s="12">
        <v>13865.745184616371</v>
      </c>
      <c r="O1008" s="12">
        <v>2634.4915850771104</v>
      </c>
      <c r="P1008" s="13"/>
      <c r="Q1008" s="14">
        <v>2025</v>
      </c>
      <c r="R1008" s="15">
        <v>45474</v>
      </c>
      <c r="S1008" s="11" t="s">
        <v>366</v>
      </c>
      <c r="T1008" s="16">
        <v>0</v>
      </c>
      <c r="U1008" s="17"/>
      <c r="V1008" s="12">
        <v>3031.7451846163694</v>
      </c>
      <c r="W1008" s="12">
        <v>3031.7451846163694</v>
      </c>
      <c r="X1008" s="12">
        <v>0</v>
      </c>
      <c r="Y1008" s="18">
        <v>45845</v>
      </c>
      <c r="Z1008" s="13" t="s">
        <v>501</v>
      </c>
      <c r="AA1008" s="19" t="s">
        <v>373</v>
      </c>
      <c r="AB1008" s="13" t="s">
        <v>357</v>
      </c>
      <c r="AC1008" s="13" t="s">
        <v>489</v>
      </c>
      <c r="AD1008" s="20"/>
      <c r="AE1008" s="20"/>
      <c r="AF1008" s="13" t="s">
        <v>40</v>
      </c>
      <c r="AG1008" s="15">
        <v>45474</v>
      </c>
      <c r="AH1008" s="13" t="s">
        <v>41</v>
      </c>
      <c r="AI1008" s="13" t="s">
        <v>53</v>
      </c>
      <c r="AJ1008" s="13" t="s">
        <v>368</v>
      </c>
      <c r="AK1008" s="14">
        <v>-6</v>
      </c>
      <c r="AL1008" s="17"/>
      <c r="AM1008" s="17"/>
      <c r="AN1008" s="17"/>
      <c r="AO1008" s="17"/>
      <c r="AP1008" s="17"/>
      <c r="AQ1008" s="17"/>
      <c r="AR1008" s="17"/>
      <c r="AS1008" s="17"/>
      <c r="AT1008" s="17"/>
      <c r="AU1008" s="17"/>
      <c r="AV1008" s="17"/>
    </row>
    <row r="1009" spans="1:48" ht="15.75" customHeight="1">
      <c r="A1009" s="21" t="s">
        <v>73</v>
      </c>
      <c r="B1009" s="23" t="s">
        <v>1692</v>
      </c>
      <c r="C1009" s="22">
        <v>45850</v>
      </c>
      <c r="D1009" s="23" t="s">
        <v>245</v>
      </c>
      <c r="E1009" s="23" t="s">
        <v>74</v>
      </c>
      <c r="F1009" s="21">
        <v>1</v>
      </c>
      <c r="G1009" s="12">
        <v>4199.9020019599611</v>
      </c>
      <c r="H1009" s="12">
        <v>4199.9020019599611</v>
      </c>
      <c r="I1009" s="23" t="s">
        <v>52</v>
      </c>
      <c r="J1009" s="23" t="s">
        <v>61</v>
      </c>
      <c r="K1009" s="24" t="s">
        <v>177</v>
      </c>
      <c r="L1009" s="24">
        <v>159</v>
      </c>
      <c r="M1009" s="12">
        <v>3529.3294134117323</v>
      </c>
      <c r="N1009" s="12">
        <v>3529.3294134117323</v>
      </c>
      <c r="O1009" s="12">
        <v>670.57258854822885</v>
      </c>
      <c r="P1009" s="13"/>
      <c r="Q1009" s="14">
        <v>2025</v>
      </c>
      <c r="R1009" s="15">
        <v>45474</v>
      </c>
      <c r="S1009" s="11" t="s">
        <v>424</v>
      </c>
      <c r="T1009" s="16">
        <v>0</v>
      </c>
      <c r="U1009" s="17"/>
      <c r="V1009" s="12">
        <v>1008.3294134117323</v>
      </c>
      <c r="W1009" s="12">
        <v>1008.3294134117323</v>
      </c>
      <c r="X1009" s="12">
        <v>0</v>
      </c>
      <c r="Y1009" s="18">
        <v>45845</v>
      </c>
      <c r="Z1009" s="13" t="s">
        <v>501</v>
      </c>
      <c r="AA1009" s="19" t="s">
        <v>373</v>
      </c>
      <c r="AB1009" s="13" t="s">
        <v>357</v>
      </c>
      <c r="AC1009" s="13" t="s">
        <v>489</v>
      </c>
      <c r="AD1009" s="20"/>
      <c r="AE1009" s="20"/>
      <c r="AF1009" s="13" t="s">
        <v>40</v>
      </c>
      <c r="AG1009" s="15">
        <v>45474</v>
      </c>
      <c r="AH1009" s="13" t="s">
        <v>41</v>
      </c>
      <c r="AI1009" s="13" t="s">
        <v>73</v>
      </c>
      <c r="AJ1009" s="13" t="s">
        <v>502</v>
      </c>
      <c r="AK1009" s="14">
        <v>-1</v>
      </c>
      <c r="AL1009" s="17"/>
      <c r="AM1009" s="17"/>
      <c r="AN1009" s="17"/>
      <c r="AO1009" s="17"/>
      <c r="AP1009" s="17"/>
      <c r="AQ1009" s="17"/>
      <c r="AR1009" s="17"/>
      <c r="AS1009" s="17"/>
      <c r="AT1009" s="17"/>
      <c r="AU1009" s="17"/>
      <c r="AV1009" s="17"/>
    </row>
    <row r="1010" spans="1:48" ht="15.75" customHeight="1">
      <c r="A1010" s="21" t="s">
        <v>76</v>
      </c>
      <c r="B1010" s="23" t="s">
        <v>1692</v>
      </c>
      <c r="C1010" s="22">
        <v>45850</v>
      </c>
      <c r="D1010" s="23" t="s">
        <v>245</v>
      </c>
      <c r="E1010" s="23" t="s">
        <v>137</v>
      </c>
      <c r="F1010" s="21">
        <v>1</v>
      </c>
      <c r="G1010" s="12">
        <v>3500.0000000000005</v>
      </c>
      <c r="H1010" s="12">
        <v>3500.0000000000005</v>
      </c>
      <c r="I1010" s="23" t="s">
        <v>52</v>
      </c>
      <c r="J1010" s="23" t="s">
        <v>61</v>
      </c>
      <c r="K1010" s="24" t="s">
        <v>177</v>
      </c>
      <c r="L1010" s="24">
        <v>159</v>
      </c>
      <c r="M1010" s="12">
        <v>2941.1764705882356</v>
      </c>
      <c r="N1010" s="12">
        <v>2941.1764705882356</v>
      </c>
      <c r="O1010" s="12">
        <v>558.82352941176487</v>
      </c>
      <c r="P1010" s="13"/>
      <c r="Q1010" s="14">
        <v>2025</v>
      </c>
      <c r="R1010" s="15">
        <v>45474</v>
      </c>
      <c r="S1010" s="11" t="s">
        <v>406</v>
      </c>
      <c r="T1010" s="16">
        <v>5</v>
      </c>
      <c r="U1010" s="17"/>
      <c r="V1010" s="12">
        <v>848.73949579831969</v>
      </c>
      <c r="W1010" s="12">
        <v>848.73949579831969</v>
      </c>
      <c r="X1010" s="12">
        <v>0</v>
      </c>
      <c r="Y1010" s="18">
        <v>45845</v>
      </c>
      <c r="Z1010" s="13" t="s">
        <v>501</v>
      </c>
      <c r="AA1010" s="19" t="s">
        <v>373</v>
      </c>
      <c r="AB1010" s="13" t="s">
        <v>357</v>
      </c>
      <c r="AC1010" s="13" t="s">
        <v>489</v>
      </c>
      <c r="AD1010" s="20"/>
      <c r="AE1010" s="20"/>
      <c r="AF1010" s="13" t="s">
        <v>40</v>
      </c>
      <c r="AG1010" s="15">
        <v>45474</v>
      </c>
      <c r="AH1010" s="13" t="s">
        <v>41</v>
      </c>
      <c r="AI1010" s="13" t="s">
        <v>76</v>
      </c>
      <c r="AJ1010" s="13" t="s">
        <v>407</v>
      </c>
      <c r="AK1010" s="14">
        <v>-1</v>
      </c>
      <c r="AL1010" s="17"/>
      <c r="AM1010" s="17"/>
      <c r="AN1010" s="17"/>
      <c r="AO1010" s="17"/>
      <c r="AP1010" s="17"/>
      <c r="AQ1010" s="17"/>
      <c r="AR1010" s="17"/>
      <c r="AS1010" s="17"/>
      <c r="AT1010" s="17"/>
      <c r="AU1010" s="17"/>
      <c r="AV1010" s="17"/>
    </row>
    <row r="1011" spans="1:48" ht="15.75" customHeight="1">
      <c r="A1011" s="21" t="s">
        <v>47</v>
      </c>
      <c r="B1011" s="23" t="s">
        <v>1692</v>
      </c>
      <c r="C1011" s="22">
        <v>45849</v>
      </c>
      <c r="D1011" s="23" t="s">
        <v>142</v>
      </c>
      <c r="E1011" s="23" t="s">
        <v>71</v>
      </c>
      <c r="F1011" s="21">
        <v>1</v>
      </c>
      <c r="G1011" s="12">
        <v>2700.2147898128264</v>
      </c>
      <c r="H1011" s="12">
        <v>2700.2147898128264</v>
      </c>
      <c r="I1011" s="23" t="s">
        <v>52</v>
      </c>
      <c r="J1011" s="23" t="s">
        <v>61</v>
      </c>
      <c r="K1011" s="24" t="s">
        <v>177</v>
      </c>
      <c r="L1011" s="24">
        <v>159</v>
      </c>
      <c r="M1011" s="12">
        <v>2269.0880586662406</v>
      </c>
      <c r="N1011" s="12">
        <v>2269.0880586662406</v>
      </c>
      <c r="O1011" s="12">
        <v>431.12673114658583</v>
      </c>
      <c r="P1011" s="13"/>
      <c r="Q1011" s="14">
        <v>2025</v>
      </c>
      <c r="R1011" s="15">
        <v>45474</v>
      </c>
      <c r="S1011" s="11" t="s">
        <v>414</v>
      </c>
      <c r="T1011" s="16">
        <v>0</v>
      </c>
      <c r="U1011" s="17"/>
      <c r="V1011" s="12">
        <v>790.09646202758518</v>
      </c>
      <c r="W1011" s="12">
        <v>790.09646202758518</v>
      </c>
      <c r="X1011" s="12">
        <v>0</v>
      </c>
      <c r="Y1011" s="18">
        <v>45845</v>
      </c>
      <c r="Z1011" s="13" t="s">
        <v>503</v>
      </c>
      <c r="AA1011" s="19" t="s">
        <v>361</v>
      </c>
      <c r="AB1011" s="13" t="s">
        <v>357</v>
      </c>
      <c r="AC1011" s="13" t="s">
        <v>489</v>
      </c>
      <c r="AD1011" s="20"/>
      <c r="AE1011" s="20"/>
      <c r="AF1011" s="13" t="s">
        <v>40</v>
      </c>
      <c r="AG1011" s="15">
        <v>45474</v>
      </c>
      <c r="AH1011" s="13" t="s">
        <v>41</v>
      </c>
      <c r="AI1011" s="13" t="s">
        <v>47</v>
      </c>
      <c r="AJ1011" s="13" t="s">
        <v>415</v>
      </c>
      <c r="AK1011" s="14">
        <v>-1</v>
      </c>
      <c r="AL1011" s="17"/>
      <c r="AM1011" s="17"/>
      <c r="AN1011" s="17"/>
      <c r="AO1011" s="17"/>
      <c r="AP1011" s="17"/>
      <c r="AQ1011" s="17"/>
      <c r="AR1011" s="17"/>
      <c r="AS1011" s="17"/>
      <c r="AT1011" s="17"/>
      <c r="AU1011" s="17"/>
      <c r="AV1011" s="17"/>
    </row>
    <row r="1012" spans="1:48" ht="15.75" customHeight="1">
      <c r="A1012" s="21" t="s">
        <v>47</v>
      </c>
      <c r="B1012" s="23" t="s">
        <v>1692</v>
      </c>
      <c r="C1012" s="22">
        <v>45849</v>
      </c>
      <c r="D1012" s="23" t="s">
        <v>142</v>
      </c>
      <c r="E1012" s="23" t="s">
        <v>155</v>
      </c>
      <c r="F1012" s="21">
        <v>1</v>
      </c>
      <c r="G1012" s="12">
        <v>3400</v>
      </c>
      <c r="H1012" s="12">
        <v>3400</v>
      </c>
      <c r="I1012" s="23" t="s">
        <v>52</v>
      </c>
      <c r="J1012" s="23" t="s">
        <v>61</v>
      </c>
      <c r="K1012" s="24" t="s">
        <v>177</v>
      </c>
      <c r="L1012" s="24">
        <v>159</v>
      </c>
      <c r="M1012" s="12">
        <v>2857.1428571428573</v>
      </c>
      <c r="N1012" s="12">
        <v>2857.1428571428573</v>
      </c>
      <c r="O1012" s="12">
        <v>542.85714285714266</v>
      </c>
      <c r="P1012" s="13"/>
      <c r="Q1012" s="14">
        <v>2025</v>
      </c>
      <c r="R1012" s="15">
        <v>45474</v>
      </c>
      <c r="S1012" s="11" t="s">
        <v>453</v>
      </c>
      <c r="T1012" s="16">
        <v>0</v>
      </c>
      <c r="U1012" s="17"/>
      <c r="V1012" s="12">
        <v>1255.1428571428573</v>
      </c>
      <c r="W1012" s="12">
        <v>1255.1428571428573</v>
      </c>
      <c r="X1012" s="12">
        <v>0</v>
      </c>
      <c r="Y1012" s="18">
        <v>45845</v>
      </c>
      <c r="Z1012" s="13" t="s">
        <v>503</v>
      </c>
      <c r="AA1012" s="19" t="s">
        <v>361</v>
      </c>
      <c r="AB1012" s="13" t="s">
        <v>357</v>
      </c>
      <c r="AC1012" s="13" t="s">
        <v>489</v>
      </c>
      <c r="AD1012" s="20"/>
      <c r="AE1012" s="20"/>
      <c r="AF1012" s="13" t="s">
        <v>40</v>
      </c>
      <c r="AG1012" s="15">
        <v>45474</v>
      </c>
      <c r="AH1012" s="13" t="s">
        <v>41</v>
      </c>
      <c r="AI1012" s="13" t="s">
        <v>47</v>
      </c>
      <c r="AJ1012" s="13" t="s">
        <v>454</v>
      </c>
      <c r="AK1012" s="14">
        <v>-6</v>
      </c>
      <c r="AL1012" s="17"/>
      <c r="AM1012" s="17"/>
      <c r="AN1012" s="17"/>
      <c r="AO1012" s="17"/>
      <c r="AP1012" s="17"/>
      <c r="AQ1012" s="17"/>
      <c r="AR1012" s="17"/>
      <c r="AS1012" s="17"/>
      <c r="AT1012" s="17"/>
      <c r="AU1012" s="17"/>
      <c r="AV1012" s="17"/>
    </row>
    <row r="1013" spans="1:48" ht="15.75" customHeight="1">
      <c r="A1013" s="21" t="s">
        <v>47</v>
      </c>
      <c r="B1013" s="23" t="s">
        <v>1692</v>
      </c>
      <c r="C1013" s="22">
        <v>45849</v>
      </c>
      <c r="D1013" s="23" t="s">
        <v>142</v>
      </c>
      <c r="E1013" s="23" t="s">
        <v>49</v>
      </c>
      <c r="F1013" s="21">
        <v>1</v>
      </c>
      <c r="G1013" s="12">
        <v>4500.0000000000009</v>
      </c>
      <c r="H1013" s="12">
        <v>4500.0000000000009</v>
      </c>
      <c r="I1013" s="23" t="s">
        <v>52</v>
      </c>
      <c r="J1013" s="23" t="s">
        <v>61</v>
      </c>
      <c r="K1013" s="24" t="s">
        <v>177</v>
      </c>
      <c r="L1013" s="24">
        <v>159</v>
      </c>
      <c r="M1013" s="12">
        <v>3781.5126050420176</v>
      </c>
      <c r="N1013" s="12">
        <v>3781.5126050420176</v>
      </c>
      <c r="O1013" s="12">
        <v>718.48739495798327</v>
      </c>
      <c r="P1013" s="13"/>
      <c r="Q1013" s="14">
        <v>2025</v>
      </c>
      <c r="R1013" s="15">
        <v>45474</v>
      </c>
      <c r="S1013" s="11" t="s">
        <v>384</v>
      </c>
      <c r="T1013" s="16">
        <v>0</v>
      </c>
      <c r="U1013" s="17"/>
      <c r="V1013" s="12">
        <v>988.23529411764775</v>
      </c>
      <c r="W1013" s="12">
        <v>988.23529411764775</v>
      </c>
      <c r="X1013" s="12">
        <v>0</v>
      </c>
      <c r="Y1013" s="18">
        <v>45845</v>
      </c>
      <c r="Z1013" s="13" t="s">
        <v>503</v>
      </c>
      <c r="AA1013" s="19" t="s">
        <v>361</v>
      </c>
      <c r="AB1013" s="13" t="s">
        <v>357</v>
      </c>
      <c r="AC1013" s="13" t="s">
        <v>489</v>
      </c>
      <c r="AD1013" s="20"/>
      <c r="AE1013" s="20"/>
      <c r="AF1013" s="13" t="s">
        <v>40</v>
      </c>
      <c r="AG1013" s="15">
        <v>45474</v>
      </c>
      <c r="AH1013" s="13" t="s">
        <v>41</v>
      </c>
      <c r="AI1013" s="13" t="s">
        <v>47</v>
      </c>
      <c r="AJ1013" s="13" t="s">
        <v>385</v>
      </c>
      <c r="AK1013" s="14">
        <v>-3</v>
      </c>
      <c r="AL1013" s="17"/>
      <c r="AM1013" s="17"/>
      <c r="AN1013" s="17"/>
      <c r="AO1013" s="17"/>
      <c r="AP1013" s="17"/>
      <c r="AQ1013" s="17"/>
      <c r="AR1013" s="17"/>
      <c r="AS1013" s="17"/>
      <c r="AT1013" s="17"/>
      <c r="AU1013" s="17"/>
      <c r="AV1013" s="17"/>
    </row>
    <row r="1014" spans="1:48" ht="15.75" customHeight="1">
      <c r="A1014" s="21" t="s">
        <v>47</v>
      </c>
      <c r="B1014" s="23" t="s">
        <v>1692</v>
      </c>
      <c r="C1014" s="22">
        <v>45849</v>
      </c>
      <c r="D1014" s="23" t="s">
        <v>142</v>
      </c>
      <c r="E1014" s="23" t="s">
        <v>48</v>
      </c>
      <c r="F1014" s="21">
        <v>1</v>
      </c>
      <c r="G1014" s="12">
        <v>1000</v>
      </c>
      <c r="H1014" s="12">
        <v>1000</v>
      </c>
      <c r="I1014" s="23" t="s">
        <v>52</v>
      </c>
      <c r="J1014" s="23" t="s">
        <v>61</v>
      </c>
      <c r="K1014" s="24" t="s">
        <v>177</v>
      </c>
      <c r="L1014" s="24">
        <v>159</v>
      </c>
      <c r="M1014" s="12">
        <v>840.3361344537816</v>
      </c>
      <c r="N1014" s="12">
        <v>840.3361344537816</v>
      </c>
      <c r="O1014" s="12">
        <v>159.6638655462184</v>
      </c>
      <c r="P1014" s="13"/>
      <c r="Q1014" s="14">
        <v>2025</v>
      </c>
      <c r="R1014" s="15">
        <v>45474</v>
      </c>
      <c r="S1014" s="11" t="s">
        <v>416</v>
      </c>
      <c r="T1014" s="16">
        <v>0</v>
      </c>
      <c r="U1014" s="17"/>
      <c r="V1014" s="12">
        <v>330.33613445378148</v>
      </c>
      <c r="W1014" s="12">
        <v>330.33613445378148</v>
      </c>
      <c r="X1014" s="12">
        <v>0</v>
      </c>
      <c r="Y1014" s="18">
        <v>45845</v>
      </c>
      <c r="Z1014" s="13" t="s">
        <v>503</v>
      </c>
      <c r="AA1014" s="19" t="s">
        <v>361</v>
      </c>
      <c r="AB1014" s="13" t="s">
        <v>357</v>
      </c>
      <c r="AC1014" s="13" t="s">
        <v>489</v>
      </c>
      <c r="AD1014" s="20"/>
      <c r="AE1014" s="20"/>
      <c r="AF1014" s="13" t="s">
        <v>40</v>
      </c>
      <c r="AG1014" s="15">
        <v>45474</v>
      </c>
      <c r="AH1014" s="13" t="s">
        <v>41</v>
      </c>
      <c r="AI1014" s="13" t="s">
        <v>47</v>
      </c>
      <c r="AJ1014" s="13" t="s">
        <v>417</v>
      </c>
      <c r="AK1014" s="14">
        <v>-5</v>
      </c>
      <c r="AL1014" s="17"/>
      <c r="AM1014" s="17"/>
      <c r="AN1014" s="17"/>
      <c r="AO1014" s="17"/>
      <c r="AP1014" s="17"/>
      <c r="AQ1014" s="17"/>
      <c r="AR1014" s="17"/>
      <c r="AS1014" s="17"/>
      <c r="AT1014" s="17"/>
      <c r="AU1014" s="17"/>
      <c r="AV1014" s="17"/>
    </row>
    <row r="1015" spans="1:48" ht="15.75" customHeight="1">
      <c r="A1015" s="21" t="s">
        <v>47</v>
      </c>
      <c r="B1015" s="23" t="s">
        <v>1692</v>
      </c>
      <c r="C1015" s="22">
        <v>45849</v>
      </c>
      <c r="D1015" s="23" t="s">
        <v>142</v>
      </c>
      <c r="E1015" s="23" t="s">
        <v>504</v>
      </c>
      <c r="F1015" s="21">
        <v>1</v>
      </c>
      <c r="G1015" s="12">
        <v>3000.0000000000005</v>
      </c>
      <c r="H1015" s="12">
        <v>3000.0000000000005</v>
      </c>
      <c r="I1015" s="23" t="s">
        <v>52</v>
      </c>
      <c r="J1015" s="23" t="s">
        <v>61</v>
      </c>
      <c r="K1015" s="24" t="s">
        <v>177</v>
      </c>
      <c r="L1015" s="24">
        <v>159</v>
      </c>
      <c r="M1015" s="12">
        <v>2521.0084033613452</v>
      </c>
      <c r="N1015" s="12">
        <v>2521.0084033613452</v>
      </c>
      <c r="O1015" s="12">
        <v>478.99159663865521</v>
      </c>
      <c r="P1015" s="13"/>
      <c r="Q1015" s="14">
        <v>2025</v>
      </c>
      <c r="R1015" s="15">
        <v>45474</v>
      </c>
      <c r="S1015" s="11" t="s">
        <v>105</v>
      </c>
      <c r="T1015" s="16">
        <v>0</v>
      </c>
      <c r="U1015" s="17"/>
      <c r="V1015" s="12">
        <v>776.47058823529437</v>
      </c>
      <c r="W1015" s="12">
        <v>776.47058823529437</v>
      </c>
      <c r="X1015" s="12">
        <v>0</v>
      </c>
      <c r="Y1015" s="18">
        <v>45845</v>
      </c>
      <c r="Z1015" s="13" t="s">
        <v>503</v>
      </c>
      <c r="AA1015" s="19" t="s">
        <v>361</v>
      </c>
      <c r="AB1015" s="13" t="s">
        <v>357</v>
      </c>
      <c r="AC1015" s="13" t="s">
        <v>489</v>
      </c>
      <c r="AD1015" s="20"/>
      <c r="AE1015" s="20"/>
      <c r="AF1015" s="13" t="s">
        <v>40</v>
      </c>
      <c r="AG1015" s="15">
        <v>45474</v>
      </c>
      <c r="AH1015" s="13" t="s">
        <v>41</v>
      </c>
      <c r="AI1015" s="13" t="s">
        <v>47</v>
      </c>
      <c r="AJ1015" s="13" t="s">
        <v>371</v>
      </c>
      <c r="AK1015" s="14">
        <v>-3</v>
      </c>
      <c r="AL1015" s="17"/>
      <c r="AM1015" s="17"/>
      <c r="AN1015" s="17"/>
      <c r="AO1015" s="17"/>
      <c r="AP1015" s="17"/>
      <c r="AQ1015" s="17"/>
      <c r="AR1015" s="17"/>
      <c r="AS1015" s="17"/>
      <c r="AT1015" s="17"/>
      <c r="AU1015" s="17"/>
      <c r="AV1015" s="17"/>
    </row>
    <row r="1016" spans="1:48" ht="15.75" customHeight="1">
      <c r="A1016" s="21" t="s">
        <v>76</v>
      </c>
      <c r="B1016" s="23" t="s">
        <v>1692</v>
      </c>
      <c r="C1016" s="22">
        <v>45849</v>
      </c>
      <c r="D1016" s="23" t="s">
        <v>142</v>
      </c>
      <c r="E1016" s="23" t="s">
        <v>98</v>
      </c>
      <c r="F1016" s="21">
        <v>1</v>
      </c>
      <c r="G1016" s="12">
        <v>2600.0000000000005</v>
      </c>
      <c r="H1016" s="12">
        <v>2600.0000000000005</v>
      </c>
      <c r="I1016" s="23" t="s">
        <v>52</v>
      </c>
      <c r="J1016" s="23" t="s">
        <v>61</v>
      </c>
      <c r="K1016" s="24" t="s">
        <v>177</v>
      </c>
      <c r="L1016" s="24">
        <v>159</v>
      </c>
      <c r="M1016" s="12">
        <v>2184.8739495798322</v>
      </c>
      <c r="N1016" s="12">
        <v>2184.8739495798322</v>
      </c>
      <c r="O1016" s="12">
        <v>415.12605042016821</v>
      </c>
      <c r="P1016" s="13"/>
      <c r="Q1016" s="14">
        <v>2025</v>
      </c>
      <c r="R1016" s="15">
        <v>45474</v>
      </c>
      <c r="S1016" s="11" t="s">
        <v>479</v>
      </c>
      <c r="T1016" s="16">
        <v>0</v>
      </c>
      <c r="U1016" s="17"/>
      <c r="V1016" s="12">
        <v>1052.1008403361348</v>
      </c>
      <c r="W1016" s="12">
        <v>1052.1008403361348</v>
      </c>
      <c r="X1016" s="12">
        <v>0</v>
      </c>
      <c r="Y1016" s="18">
        <v>45845</v>
      </c>
      <c r="Z1016" s="13" t="s">
        <v>503</v>
      </c>
      <c r="AA1016" s="19" t="s">
        <v>361</v>
      </c>
      <c r="AB1016" s="13" t="s">
        <v>357</v>
      </c>
      <c r="AC1016" s="13" t="s">
        <v>489</v>
      </c>
      <c r="AD1016" s="20"/>
      <c r="AE1016" s="20"/>
      <c r="AF1016" s="13" t="s">
        <v>40</v>
      </c>
      <c r="AG1016" s="15">
        <v>45474</v>
      </c>
      <c r="AH1016" s="13" t="s">
        <v>41</v>
      </c>
      <c r="AI1016" s="13" t="s">
        <v>76</v>
      </c>
      <c r="AJ1016" s="13" t="s">
        <v>480</v>
      </c>
      <c r="AK1016" s="14">
        <v>-1</v>
      </c>
      <c r="AL1016" s="17"/>
      <c r="AM1016" s="17"/>
      <c r="AN1016" s="17"/>
      <c r="AO1016" s="17"/>
      <c r="AP1016" s="17"/>
      <c r="AQ1016" s="17"/>
      <c r="AR1016" s="17"/>
      <c r="AS1016" s="17"/>
      <c r="AT1016" s="17"/>
      <c r="AU1016" s="17"/>
      <c r="AV1016" s="17"/>
    </row>
    <row r="1017" spans="1:48" ht="15.75" customHeight="1">
      <c r="A1017" s="21" t="s">
        <v>76</v>
      </c>
      <c r="B1017" s="23" t="s">
        <v>1692</v>
      </c>
      <c r="C1017" s="22">
        <v>45849</v>
      </c>
      <c r="D1017" s="23" t="s">
        <v>142</v>
      </c>
      <c r="E1017" s="23" t="s">
        <v>77</v>
      </c>
      <c r="F1017" s="21">
        <v>1</v>
      </c>
      <c r="G1017" s="12">
        <v>1700.4255319148936</v>
      </c>
      <c r="H1017" s="12">
        <v>1700.4255319148936</v>
      </c>
      <c r="I1017" s="23" t="s">
        <v>52</v>
      </c>
      <c r="J1017" s="23" t="s">
        <v>61</v>
      </c>
      <c r="K1017" s="24" t="s">
        <v>177</v>
      </c>
      <c r="L1017" s="24">
        <v>159</v>
      </c>
      <c r="M1017" s="12">
        <v>1428.929018415877</v>
      </c>
      <c r="N1017" s="12">
        <v>1428.929018415877</v>
      </c>
      <c r="O1017" s="12">
        <v>271.4965134990166</v>
      </c>
      <c r="P1017" s="13"/>
      <c r="Q1017" s="14">
        <v>2025</v>
      </c>
      <c r="R1017" s="15">
        <v>45474</v>
      </c>
      <c r="S1017" s="11" t="s">
        <v>448</v>
      </c>
      <c r="T1017" s="16">
        <v>0</v>
      </c>
      <c r="U1017" s="17"/>
      <c r="V1017" s="12">
        <v>589.43322009654923</v>
      </c>
      <c r="W1017" s="12">
        <v>589.43322009654923</v>
      </c>
      <c r="X1017" s="12">
        <v>0</v>
      </c>
      <c r="Y1017" s="18">
        <v>45845</v>
      </c>
      <c r="Z1017" s="13" t="s">
        <v>503</v>
      </c>
      <c r="AA1017" s="19" t="s">
        <v>361</v>
      </c>
      <c r="AB1017" s="13" t="s">
        <v>357</v>
      </c>
      <c r="AC1017" s="13" t="s">
        <v>489</v>
      </c>
      <c r="AD1017" s="20"/>
      <c r="AE1017" s="20"/>
      <c r="AF1017" s="13" t="s">
        <v>40</v>
      </c>
      <c r="AG1017" s="15">
        <v>45474</v>
      </c>
      <c r="AH1017" s="13" t="s">
        <v>41</v>
      </c>
      <c r="AI1017" s="13" t="s">
        <v>76</v>
      </c>
      <c r="AJ1017" s="13" t="s">
        <v>457</v>
      </c>
      <c r="AK1017" s="14">
        <v>-1</v>
      </c>
      <c r="AL1017" s="17"/>
      <c r="AM1017" s="17"/>
      <c r="AN1017" s="17"/>
      <c r="AO1017" s="17"/>
      <c r="AP1017" s="17"/>
      <c r="AQ1017" s="17"/>
      <c r="AR1017" s="17"/>
      <c r="AS1017" s="17"/>
      <c r="AT1017" s="17"/>
      <c r="AU1017" s="17"/>
      <c r="AV1017" s="17"/>
    </row>
    <row r="1018" spans="1:48" ht="15.75" customHeight="1">
      <c r="A1018" s="21" t="s">
        <v>76</v>
      </c>
      <c r="B1018" s="23" t="s">
        <v>1692</v>
      </c>
      <c r="C1018" s="22">
        <v>45849</v>
      </c>
      <c r="D1018" s="23" t="s">
        <v>142</v>
      </c>
      <c r="E1018" s="23" t="s">
        <v>82</v>
      </c>
      <c r="F1018" s="21">
        <v>1</v>
      </c>
      <c r="G1018" s="12">
        <v>2000.0000000000002</v>
      </c>
      <c r="H1018" s="12">
        <v>2000.0000000000002</v>
      </c>
      <c r="I1018" s="23" t="s">
        <v>52</v>
      </c>
      <c r="J1018" s="23" t="s">
        <v>61</v>
      </c>
      <c r="K1018" s="24" t="s">
        <v>177</v>
      </c>
      <c r="L1018" s="24">
        <v>159</v>
      </c>
      <c r="M1018" s="12">
        <v>1680.6722689075632</v>
      </c>
      <c r="N1018" s="12">
        <v>1680.6722689075632</v>
      </c>
      <c r="O1018" s="12">
        <v>319.32773109243703</v>
      </c>
      <c r="P1018" s="13"/>
      <c r="Q1018" s="14">
        <v>2025</v>
      </c>
      <c r="R1018" s="15">
        <v>45474</v>
      </c>
      <c r="S1018" s="11" t="s">
        <v>463</v>
      </c>
      <c r="T1018" s="16">
        <v>5</v>
      </c>
      <c r="U1018" s="17"/>
      <c r="V1018" s="12">
        <v>680.67226890756319</v>
      </c>
      <c r="W1018" s="12">
        <v>680.67226890756319</v>
      </c>
      <c r="X1018" s="12">
        <v>0</v>
      </c>
      <c r="Y1018" s="18">
        <v>45845</v>
      </c>
      <c r="Z1018" s="13" t="s">
        <v>503</v>
      </c>
      <c r="AA1018" s="19" t="s">
        <v>361</v>
      </c>
      <c r="AB1018" s="13" t="s">
        <v>357</v>
      </c>
      <c r="AC1018" s="13" t="s">
        <v>489</v>
      </c>
      <c r="AD1018" s="20"/>
      <c r="AE1018" s="20"/>
      <c r="AF1018" s="13" t="s">
        <v>40</v>
      </c>
      <c r="AG1018" s="15">
        <v>45474</v>
      </c>
      <c r="AH1018" s="13" t="s">
        <v>41</v>
      </c>
      <c r="AI1018" s="13" t="s">
        <v>76</v>
      </c>
      <c r="AJ1018" s="13" t="s">
        <v>464</v>
      </c>
      <c r="AK1018" s="14">
        <v>-1</v>
      </c>
      <c r="AL1018" s="17"/>
      <c r="AM1018" s="17"/>
      <c r="AN1018" s="17"/>
      <c r="AO1018" s="17"/>
      <c r="AP1018" s="17"/>
      <c r="AQ1018" s="17"/>
      <c r="AR1018" s="17"/>
      <c r="AS1018" s="17"/>
      <c r="AT1018" s="17"/>
      <c r="AU1018" s="17"/>
      <c r="AV1018" s="17"/>
    </row>
    <row r="1019" spans="1:48" ht="15.75" customHeight="1">
      <c r="A1019" s="21" t="s">
        <v>43</v>
      </c>
      <c r="B1019" s="23" t="s">
        <v>1692</v>
      </c>
      <c r="C1019" s="22">
        <v>45849</v>
      </c>
      <c r="D1019" s="23" t="s">
        <v>142</v>
      </c>
      <c r="E1019" s="23" t="s">
        <v>45</v>
      </c>
      <c r="F1019" s="21">
        <v>1</v>
      </c>
      <c r="G1019" s="12">
        <v>8199.8861047835999</v>
      </c>
      <c r="H1019" s="12">
        <v>8199.8861047835999</v>
      </c>
      <c r="I1019" s="23" t="s">
        <v>52</v>
      </c>
      <c r="J1019" s="23" t="s">
        <v>61</v>
      </c>
      <c r="K1019" s="24" t="s">
        <v>177</v>
      </c>
      <c r="L1019" s="24">
        <v>159</v>
      </c>
      <c r="M1019" s="12">
        <v>6890.6605922551262</v>
      </c>
      <c r="N1019" s="12">
        <v>6890.6605922551262</v>
      </c>
      <c r="O1019" s="12">
        <v>1309.2255125284737</v>
      </c>
      <c r="P1019" s="13"/>
      <c r="Q1019" s="14">
        <v>2025</v>
      </c>
      <c r="R1019" s="15">
        <v>45474</v>
      </c>
      <c r="S1019" s="11" t="s">
        <v>355</v>
      </c>
      <c r="T1019" s="16">
        <v>0</v>
      </c>
      <c r="U1019" s="17"/>
      <c r="V1019" s="12">
        <v>1445.6605922551253</v>
      </c>
      <c r="W1019" s="12">
        <v>1445.6605922551253</v>
      </c>
      <c r="X1019" s="12">
        <v>0</v>
      </c>
      <c r="Y1019" s="18">
        <v>45845</v>
      </c>
      <c r="Z1019" s="13" t="s">
        <v>503</v>
      </c>
      <c r="AA1019" s="19" t="s">
        <v>361</v>
      </c>
      <c r="AB1019" s="13" t="s">
        <v>357</v>
      </c>
      <c r="AC1019" s="13" t="s">
        <v>489</v>
      </c>
      <c r="AD1019" s="20"/>
      <c r="AE1019" s="20"/>
      <c r="AF1019" s="13" t="s">
        <v>40</v>
      </c>
      <c r="AG1019" s="15">
        <v>45474</v>
      </c>
      <c r="AH1019" s="13" t="s">
        <v>41</v>
      </c>
      <c r="AI1019" s="13" t="s">
        <v>43</v>
      </c>
      <c r="AJ1019" s="13" t="s">
        <v>359</v>
      </c>
      <c r="AK1019" s="14">
        <v>-1</v>
      </c>
      <c r="AL1019" s="17"/>
      <c r="AM1019" s="17"/>
      <c r="AN1019" s="17"/>
      <c r="AO1019" s="17"/>
      <c r="AP1019" s="17"/>
      <c r="AQ1019" s="17"/>
      <c r="AR1019" s="17"/>
      <c r="AS1019" s="17"/>
      <c r="AT1019" s="17"/>
      <c r="AU1019" s="17"/>
      <c r="AV1019" s="17"/>
    </row>
    <row r="1020" spans="1:48" ht="15.75" customHeight="1">
      <c r="A1020" s="21" t="s">
        <v>53</v>
      </c>
      <c r="B1020" s="23" t="s">
        <v>1692</v>
      </c>
      <c r="C1020" s="22">
        <v>45849</v>
      </c>
      <c r="D1020" s="23" t="s">
        <v>142</v>
      </c>
      <c r="E1020" s="23" t="s">
        <v>97</v>
      </c>
      <c r="F1020" s="21">
        <v>1</v>
      </c>
      <c r="G1020" s="12">
        <v>16500.236769693482</v>
      </c>
      <c r="H1020" s="12">
        <v>16500.236769693482</v>
      </c>
      <c r="I1020" s="23" t="s">
        <v>52</v>
      </c>
      <c r="J1020" s="23" t="s">
        <v>61</v>
      </c>
      <c r="K1020" s="24" t="s">
        <v>177</v>
      </c>
      <c r="L1020" s="24">
        <v>159</v>
      </c>
      <c r="M1020" s="12">
        <v>13865.745184616371</v>
      </c>
      <c r="N1020" s="12">
        <v>13865.745184616371</v>
      </c>
      <c r="O1020" s="12">
        <v>2634.4915850771104</v>
      </c>
      <c r="P1020" s="13"/>
      <c r="Q1020" s="14">
        <v>2025</v>
      </c>
      <c r="R1020" s="15">
        <v>45474</v>
      </c>
      <c r="S1020" s="11" t="s">
        <v>366</v>
      </c>
      <c r="T1020" s="16">
        <v>0</v>
      </c>
      <c r="U1020" s="17"/>
      <c r="V1020" s="12">
        <v>3031.7451846163694</v>
      </c>
      <c r="W1020" s="12">
        <v>3031.7451846163694</v>
      </c>
      <c r="X1020" s="12">
        <v>0</v>
      </c>
      <c r="Y1020" s="18">
        <v>45845</v>
      </c>
      <c r="Z1020" s="13" t="s">
        <v>503</v>
      </c>
      <c r="AA1020" s="19" t="s">
        <v>361</v>
      </c>
      <c r="AB1020" s="13" t="s">
        <v>357</v>
      </c>
      <c r="AC1020" s="13" t="s">
        <v>489</v>
      </c>
      <c r="AD1020" s="20"/>
      <c r="AE1020" s="20"/>
      <c r="AF1020" s="13" t="s">
        <v>40</v>
      </c>
      <c r="AG1020" s="15">
        <v>45474</v>
      </c>
      <c r="AH1020" s="13" t="s">
        <v>41</v>
      </c>
      <c r="AI1020" s="13" t="s">
        <v>53</v>
      </c>
      <c r="AJ1020" s="13" t="s">
        <v>368</v>
      </c>
      <c r="AK1020" s="14">
        <v>-6</v>
      </c>
      <c r="AL1020" s="17"/>
      <c r="AM1020" s="17"/>
      <c r="AN1020" s="17"/>
      <c r="AO1020" s="17"/>
      <c r="AP1020" s="17"/>
      <c r="AQ1020" s="17"/>
      <c r="AR1020" s="17"/>
      <c r="AS1020" s="17"/>
      <c r="AT1020" s="17"/>
      <c r="AU1020" s="17"/>
      <c r="AV1020" s="17"/>
    </row>
    <row r="1021" spans="1:48" ht="15.75" customHeight="1">
      <c r="A1021" s="21" t="s">
        <v>53</v>
      </c>
      <c r="B1021" s="23" t="s">
        <v>1692</v>
      </c>
      <c r="C1021" s="22">
        <v>45849</v>
      </c>
      <c r="D1021" s="23" t="s">
        <v>142</v>
      </c>
      <c r="E1021" s="23" t="s">
        <v>157</v>
      </c>
      <c r="F1021" s="21">
        <v>1</v>
      </c>
      <c r="G1021" s="12">
        <v>11499.714937286204</v>
      </c>
      <c r="H1021" s="12">
        <v>11499.714937286204</v>
      </c>
      <c r="I1021" s="23" t="s">
        <v>52</v>
      </c>
      <c r="J1021" s="23" t="s">
        <v>61</v>
      </c>
      <c r="K1021" s="24" t="s">
        <v>177</v>
      </c>
      <c r="L1021" s="24">
        <v>159</v>
      </c>
      <c r="M1021" s="12">
        <v>9663.6259977195004</v>
      </c>
      <c r="N1021" s="12">
        <v>9663.6259977195004</v>
      </c>
      <c r="O1021" s="12">
        <v>1836.0889395667036</v>
      </c>
      <c r="P1021" s="13"/>
      <c r="Q1021" s="14">
        <v>2025</v>
      </c>
      <c r="R1021" s="15">
        <v>45474</v>
      </c>
      <c r="S1021" s="11" t="s">
        <v>376</v>
      </c>
      <c r="T1021" s="16">
        <v>0</v>
      </c>
      <c r="U1021" s="17"/>
      <c r="V1021" s="12">
        <v>2883.6259977194986</v>
      </c>
      <c r="W1021" s="12">
        <v>2883.6259977194986</v>
      </c>
      <c r="X1021" s="12">
        <v>0</v>
      </c>
      <c r="Y1021" s="18">
        <v>45845</v>
      </c>
      <c r="Z1021" s="13" t="s">
        <v>503</v>
      </c>
      <c r="AA1021" s="19" t="s">
        <v>361</v>
      </c>
      <c r="AB1021" s="13" t="s">
        <v>357</v>
      </c>
      <c r="AC1021" s="13" t="s">
        <v>489</v>
      </c>
      <c r="AD1021" s="20"/>
      <c r="AE1021" s="20"/>
      <c r="AF1021" s="13" t="s">
        <v>40</v>
      </c>
      <c r="AG1021" s="15">
        <v>45474</v>
      </c>
      <c r="AH1021" s="13" t="s">
        <v>41</v>
      </c>
      <c r="AI1021" s="13" t="s">
        <v>53</v>
      </c>
      <c r="AJ1021" s="13" t="s">
        <v>377</v>
      </c>
      <c r="AK1021" s="14">
        <v>-4</v>
      </c>
      <c r="AL1021" s="17"/>
      <c r="AM1021" s="17"/>
      <c r="AN1021" s="17"/>
      <c r="AO1021" s="17"/>
      <c r="AP1021" s="17"/>
      <c r="AQ1021" s="17"/>
      <c r="AR1021" s="17"/>
      <c r="AS1021" s="17"/>
      <c r="AT1021" s="17"/>
      <c r="AU1021" s="17"/>
      <c r="AV1021" s="17"/>
    </row>
    <row r="1022" spans="1:48" ht="15.75" customHeight="1">
      <c r="A1022" s="21" t="s">
        <v>76</v>
      </c>
      <c r="B1022" s="23" t="s">
        <v>1692</v>
      </c>
      <c r="C1022" s="22">
        <v>45849</v>
      </c>
      <c r="D1022" s="23" t="s">
        <v>333</v>
      </c>
      <c r="E1022" s="23" t="s">
        <v>137</v>
      </c>
      <c r="F1022" s="21">
        <v>2</v>
      </c>
      <c r="G1022" s="12">
        <v>3500.0000000000005</v>
      </c>
      <c r="H1022" s="12">
        <v>7000.0000000000009</v>
      </c>
      <c r="I1022" s="23" t="s">
        <v>52</v>
      </c>
      <c r="J1022" s="23" t="s">
        <v>61</v>
      </c>
      <c r="K1022" s="24" t="s">
        <v>177</v>
      </c>
      <c r="L1022" s="24">
        <v>159</v>
      </c>
      <c r="M1022" s="12">
        <v>2941.1764705882356</v>
      </c>
      <c r="N1022" s="12">
        <v>5882.3529411764712</v>
      </c>
      <c r="O1022" s="12">
        <v>1117.6470588235297</v>
      </c>
      <c r="P1022" s="13"/>
      <c r="Q1022" s="14">
        <v>2025</v>
      </c>
      <c r="R1022" s="15">
        <v>45474</v>
      </c>
      <c r="S1022" s="11" t="s">
        <v>406</v>
      </c>
      <c r="T1022" s="16">
        <v>10</v>
      </c>
      <c r="U1022" s="17"/>
      <c r="V1022" s="12">
        <v>1697.4789915966394</v>
      </c>
      <c r="W1022" s="12">
        <v>1697.4789915966394</v>
      </c>
      <c r="X1022" s="12">
        <v>0</v>
      </c>
      <c r="Y1022" s="18">
        <v>45845</v>
      </c>
      <c r="Z1022" s="13" t="s">
        <v>503</v>
      </c>
      <c r="AA1022" s="19" t="s">
        <v>373</v>
      </c>
      <c r="AB1022" s="13" t="s">
        <v>357</v>
      </c>
      <c r="AC1022" s="13" t="s">
        <v>489</v>
      </c>
      <c r="AD1022" s="20"/>
      <c r="AE1022" s="20"/>
      <c r="AF1022" s="13" t="s">
        <v>40</v>
      </c>
      <c r="AG1022" s="15">
        <v>45474</v>
      </c>
      <c r="AH1022" s="13" t="s">
        <v>41</v>
      </c>
      <c r="AI1022" s="13" t="s">
        <v>76</v>
      </c>
      <c r="AJ1022" s="13" t="s">
        <v>407</v>
      </c>
      <c r="AK1022" s="14">
        <v>-2</v>
      </c>
      <c r="AL1022" s="17"/>
      <c r="AM1022" s="17"/>
      <c r="AN1022" s="17"/>
      <c r="AO1022" s="17"/>
      <c r="AP1022" s="17"/>
      <c r="AQ1022" s="17"/>
      <c r="AR1022" s="17"/>
      <c r="AS1022" s="17"/>
      <c r="AT1022" s="17"/>
      <c r="AU1022" s="17"/>
      <c r="AV1022" s="17"/>
    </row>
    <row r="1023" spans="1:48" ht="15.75" customHeight="1">
      <c r="A1023" s="21" t="s">
        <v>53</v>
      </c>
      <c r="B1023" s="23" t="s">
        <v>1692</v>
      </c>
      <c r="C1023" s="22">
        <v>45849</v>
      </c>
      <c r="D1023" s="23" t="s">
        <v>229</v>
      </c>
      <c r="E1023" s="23" t="s">
        <v>55</v>
      </c>
      <c r="F1023" s="21">
        <v>1</v>
      </c>
      <c r="G1023" s="12">
        <v>20899.657134519988</v>
      </c>
      <c r="H1023" s="12">
        <v>20899.657134519988</v>
      </c>
      <c r="I1023" s="23" t="s">
        <v>52</v>
      </c>
      <c r="J1023" s="23" t="s">
        <v>61</v>
      </c>
      <c r="K1023" s="24" t="s">
        <v>177</v>
      </c>
      <c r="L1023" s="24">
        <v>159</v>
      </c>
      <c r="M1023" s="12">
        <v>17562.737087831923</v>
      </c>
      <c r="N1023" s="12">
        <v>17562.737087831923</v>
      </c>
      <c r="O1023" s="12">
        <v>3336.9200466880648</v>
      </c>
      <c r="P1023" s="13"/>
      <c r="Q1023" s="14">
        <v>2025</v>
      </c>
      <c r="R1023" s="15">
        <v>45474</v>
      </c>
      <c r="S1023" s="11" t="s">
        <v>366</v>
      </c>
      <c r="T1023" s="16">
        <v>0</v>
      </c>
      <c r="U1023" s="17"/>
      <c r="V1023" s="12">
        <v>3117.7370878319234</v>
      </c>
      <c r="W1023" s="12">
        <v>3117.7370878319234</v>
      </c>
      <c r="X1023" s="12">
        <v>0</v>
      </c>
      <c r="Y1023" s="18">
        <v>45845</v>
      </c>
      <c r="Z1023" s="13" t="s">
        <v>503</v>
      </c>
      <c r="AA1023" s="19" t="s">
        <v>361</v>
      </c>
      <c r="AB1023" s="13" t="s">
        <v>357</v>
      </c>
      <c r="AC1023" s="13" t="s">
        <v>380</v>
      </c>
      <c r="AD1023" s="20"/>
      <c r="AE1023" s="20"/>
      <c r="AF1023" s="13" t="s">
        <v>40</v>
      </c>
      <c r="AG1023" s="15">
        <v>45474</v>
      </c>
      <c r="AH1023" s="13" t="s">
        <v>41</v>
      </c>
      <c r="AI1023" s="13" t="s">
        <v>53</v>
      </c>
      <c r="AJ1023" s="13" t="s">
        <v>368</v>
      </c>
      <c r="AK1023" s="14">
        <v>-8</v>
      </c>
      <c r="AL1023" s="17"/>
      <c r="AM1023" s="17"/>
      <c r="AN1023" s="17"/>
      <c r="AO1023" s="17"/>
      <c r="AP1023" s="17"/>
      <c r="AQ1023" s="17"/>
      <c r="AR1023" s="17"/>
      <c r="AS1023" s="17"/>
      <c r="AT1023" s="17"/>
      <c r="AU1023" s="17"/>
      <c r="AV1023" s="17"/>
    </row>
    <row r="1024" spans="1:48" ht="15.75" customHeight="1">
      <c r="A1024" s="21" t="s">
        <v>53</v>
      </c>
      <c r="B1024" s="23" t="s">
        <v>1692</v>
      </c>
      <c r="C1024" s="22">
        <v>45849</v>
      </c>
      <c r="D1024" s="23" t="s">
        <v>168</v>
      </c>
      <c r="E1024" s="23" t="s">
        <v>55</v>
      </c>
      <c r="F1024" s="21">
        <v>1</v>
      </c>
      <c r="G1024" s="12">
        <v>20899.657134519988</v>
      </c>
      <c r="H1024" s="12">
        <v>20899.657134519988</v>
      </c>
      <c r="I1024" s="23" t="s">
        <v>52</v>
      </c>
      <c r="J1024" s="23" t="s">
        <v>61</v>
      </c>
      <c r="K1024" s="24" t="s">
        <v>177</v>
      </c>
      <c r="L1024" s="24">
        <v>159</v>
      </c>
      <c r="M1024" s="12">
        <v>17562.737087831923</v>
      </c>
      <c r="N1024" s="12">
        <v>17562.737087831923</v>
      </c>
      <c r="O1024" s="12">
        <v>3336.9200466880648</v>
      </c>
      <c r="P1024" s="13"/>
      <c r="Q1024" s="14">
        <v>2025</v>
      </c>
      <c r="R1024" s="15">
        <v>45474</v>
      </c>
      <c r="S1024" s="11" t="s">
        <v>366</v>
      </c>
      <c r="T1024" s="16">
        <v>0</v>
      </c>
      <c r="U1024" s="17"/>
      <c r="V1024" s="12">
        <v>3117.7370878319234</v>
      </c>
      <c r="W1024" s="12">
        <v>3117.7370878319234</v>
      </c>
      <c r="X1024" s="12">
        <v>0</v>
      </c>
      <c r="Y1024" s="18">
        <v>45845</v>
      </c>
      <c r="Z1024" s="13" t="s">
        <v>503</v>
      </c>
      <c r="AA1024" s="19" t="s">
        <v>361</v>
      </c>
      <c r="AB1024" s="13" t="s">
        <v>357</v>
      </c>
      <c r="AC1024" s="13" t="s">
        <v>405</v>
      </c>
      <c r="AD1024" s="20"/>
      <c r="AE1024" s="20"/>
      <c r="AF1024" s="13" t="s">
        <v>40</v>
      </c>
      <c r="AG1024" s="15">
        <v>45474</v>
      </c>
      <c r="AH1024" s="13" t="s">
        <v>41</v>
      </c>
      <c r="AI1024" s="13" t="s">
        <v>53</v>
      </c>
      <c r="AJ1024" s="13" t="s">
        <v>368</v>
      </c>
      <c r="AK1024" s="14">
        <v>-8</v>
      </c>
      <c r="AL1024" s="17"/>
      <c r="AM1024" s="17"/>
      <c r="AN1024" s="17"/>
      <c r="AO1024" s="17"/>
      <c r="AP1024" s="17"/>
      <c r="AQ1024" s="17"/>
      <c r="AR1024" s="17"/>
      <c r="AS1024" s="17"/>
      <c r="AT1024" s="17"/>
      <c r="AU1024" s="17"/>
      <c r="AV1024" s="17"/>
    </row>
    <row r="1025" spans="1:48" ht="15.75" customHeight="1">
      <c r="A1025" s="21" t="s">
        <v>53</v>
      </c>
      <c r="B1025" s="23" t="s">
        <v>1692</v>
      </c>
      <c r="C1025" s="22">
        <v>45849</v>
      </c>
      <c r="D1025" s="23" t="s">
        <v>168</v>
      </c>
      <c r="E1025" s="23" t="s">
        <v>157</v>
      </c>
      <c r="F1025" s="21">
        <v>1</v>
      </c>
      <c r="G1025" s="12">
        <v>11499.714937286204</v>
      </c>
      <c r="H1025" s="12">
        <v>11499.714937286204</v>
      </c>
      <c r="I1025" s="23" t="s">
        <v>52</v>
      </c>
      <c r="J1025" s="23" t="s">
        <v>61</v>
      </c>
      <c r="K1025" s="24" t="s">
        <v>177</v>
      </c>
      <c r="L1025" s="24">
        <v>159</v>
      </c>
      <c r="M1025" s="12">
        <v>9663.6259977195004</v>
      </c>
      <c r="N1025" s="12">
        <v>9663.6259977195004</v>
      </c>
      <c r="O1025" s="12">
        <v>1836.0889395667036</v>
      </c>
      <c r="P1025" s="13"/>
      <c r="Q1025" s="14">
        <v>2025</v>
      </c>
      <c r="R1025" s="15">
        <v>45474</v>
      </c>
      <c r="S1025" s="11" t="s">
        <v>376</v>
      </c>
      <c r="T1025" s="16">
        <v>0</v>
      </c>
      <c r="U1025" s="17"/>
      <c r="V1025" s="12">
        <v>2883.6259977194986</v>
      </c>
      <c r="W1025" s="12">
        <v>2883.6259977194986</v>
      </c>
      <c r="X1025" s="12">
        <v>0</v>
      </c>
      <c r="Y1025" s="18">
        <v>45845</v>
      </c>
      <c r="Z1025" s="13" t="s">
        <v>503</v>
      </c>
      <c r="AA1025" s="19" t="s">
        <v>361</v>
      </c>
      <c r="AB1025" s="13" t="s">
        <v>357</v>
      </c>
      <c r="AC1025" s="13" t="s">
        <v>405</v>
      </c>
      <c r="AD1025" s="20"/>
      <c r="AE1025" s="20"/>
      <c r="AF1025" s="13" t="s">
        <v>40</v>
      </c>
      <c r="AG1025" s="15">
        <v>45474</v>
      </c>
      <c r="AH1025" s="13" t="s">
        <v>41</v>
      </c>
      <c r="AI1025" s="13" t="s">
        <v>53</v>
      </c>
      <c r="AJ1025" s="13" t="s">
        <v>377</v>
      </c>
      <c r="AK1025" s="14">
        <v>-4</v>
      </c>
      <c r="AL1025" s="17"/>
      <c r="AM1025" s="17"/>
      <c r="AN1025" s="17"/>
      <c r="AO1025" s="17"/>
      <c r="AP1025" s="17"/>
      <c r="AQ1025" s="17"/>
      <c r="AR1025" s="17"/>
      <c r="AS1025" s="17"/>
      <c r="AT1025" s="17"/>
      <c r="AU1025" s="17"/>
      <c r="AV1025" s="17"/>
    </row>
    <row r="1026" spans="1:48" ht="15.75" customHeight="1">
      <c r="A1026" s="21" t="s">
        <v>53</v>
      </c>
      <c r="B1026" s="23" t="s">
        <v>1692</v>
      </c>
      <c r="C1026" s="22">
        <v>45849</v>
      </c>
      <c r="D1026" s="23" t="s">
        <v>168</v>
      </c>
      <c r="E1026" s="23" t="s">
        <v>70</v>
      </c>
      <c r="F1026" s="21">
        <v>1</v>
      </c>
      <c r="G1026" s="12">
        <v>5000.3257328990221</v>
      </c>
      <c r="H1026" s="12">
        <v>5000.3257328990221</v>
      </c>
      <c r="I1026" s="23" t="s">
        <v>52</v>
      </c>
      <c r="J1026" s="23" t="s">
        <v>61</v>
      </c>
      <c r="K1026" s="24" t="s">
        <v>177</v>
      </c>
      <c r="L1026" s="24">
        <v>159</v>
      </c>
      <c r="M1026" s="12">
        <v>4201.9543973941363</v>
      </c>
      <c r="N1026" s="12">
        <v>4201.9543973941363</v>
      </c>
      <c r="O1026" s="12">
        <v>798.37133550488579</v>
      </c>
      <c r="P1026" s="13"/>
      <c r="Q1026" s="14">
        <v>2025</v>
      </c>
      <c r="R1026" s="15">
        <v>45474</v>
      </c>
      <c r="S1026" s="11" t="s">
        <v>381</v>
      </c>
      <c r="T1026" s="16">
        <v>300</v>
      </c>
      <c r="U1026" s="17"/>
      <c r="V1026" s="12">
        <v>2008.9543973941363</v>
      </c>
      <c r="W1026" s="12">
        <v>2008.9543973941363</v>
      </c>
      <c r="X1026" s="12">
        <v>0</v>
      </c>
      <c r="Y1026" s="18">
        <v>45845</v>
      </c>
      <c r="Z1026" s="13" t="s">
        <v>503</v>
      </c>
      <c r="AA1026" s="19" t="s">
        <v>361</v>
      </c>
      <c r="AB1026" s="13" t="s">
        <v>357</v>
      </c>
      <c r="AC1026" s="13" t="s">
        <v>405</v>
      </c>
      <c r="AD1026" s="20"/>
      <c r="AE1026" s="20"/>
      <c r="AF1026" s="13" t="s">
        <v>40</v>
      </c>
      <c r="AG1026" s="15">
        <v>45474</v>
      </c>
      <c r="AH1026" s="13" t="s">
        <v>41</v>
      </c>
      <c r="AI1026" s="13" t="s">
        <v>53</v>
      </c>
      <c r="AJ1026" s="13" t="s">
        <v>382</v>
      </c>
      <c r="AK1026" s="14">
        <v>-3</v>
      </c>
      <c r="AL1026" s="17"/>
      <c r="AM1026" s="17"/>
      <c r="AN1026" s="17"/>
      <c r="AO1026" s="17"/>
      <c r="AP1026" s="17"/>
      <c r="AQ1026" s="17"/>
      <c r="AR1026" s="17"/>
      <c r="AS1026" s="17"/>
      <c r="AT1026" s="17"/>
      <c r="AU1026" s="17"/>
      <c r="AV1026" s="17"/>
    </row>
    <row r="1027" spans="1:48" ht="15.75" customHeight="1">
      <c r="A1027" s="21" t="s">
        <v>53</v>
      </c>
      <c r="B1027" s="23" t="s">
        <v>1692</v>
      </c>
      <c r="C1027" s="22">
        <v>45849</v>
      </c>
      <c r="D1027" s="23" t="s">
        <v>168</v>
      </c>
      <c r="E1027" s="23" t="s">
        <v>150</v>
      </c>
      <c r="F1027" s="21">
        <v>1</v>
      </c>
      <c r="G1027" s="12">
        <v>1799.8965445892823</v>
      </c>
      <c r="H1027" s="12">
        <v>1799.8965445892823</v>
      </c>
      <c r="I1027" s="23" t="s">
        <v>52</v>
      </c>
      <c r="J1027" s="23" t="s">
        <v>61</v>
      </c>
      <c r="K1027" s="24" t="s">
        <v>177</v>
      </c>
      <c r="L1027" s="24">
        <v>159</v>
      </c>
      <c r="M1027" s="12">
        <v>1512.518104696876</v>
      </c>
      <c r="N1027" s="12">
        <v>1512.518104696876</v>
      </c>
      <c r="O1027" s="12">
        <v>287.37843989240628</v>
      </c>
      <c r="P1027" s="13"/>
      <c r="Q1027" s="14">
        <v>2025</v>
      </c>
      <c r="R1027" s="15">
        <v>45474</v>
      </c>
      <c r="S1027" s="11" t="s">
        <v>381</v>
      </c>
      <c r="T1027" s="16">
        <v>300</v>
      </c>
      <c r="U1027" s="17"/>
      <c r="V1027" s="12">
        <v>781.51810469687575</v>
      </c>
      <c r="W1027" s="12">
        <v>781.51810469687575</v>
      </c>
      <c r="X1027" s="12">
        <v>0</v>
      </c>
      <c r="Y1027" s="18">
        <v>45845</v>
      </c>
      <c r="Z1027" s="13" t="s">
        <v>503</v>
      </c>
      <c r="AA1027" s="19" t="s">
        <v>361</v>
      </c>
      <c r="AB1027" s="13" t="s">
        <v>357</v>
      </c>
      <c r="AC1027" s="13" t="s">
        <v>405</v>
      </c>
      <c r="AD1027" s="20"/>
      <c r="AE1027" s="20"/>
      <c r="AF1027" s="13" t="s">
        <v>40</v>
      </c>
      <c r="AG1027" s="15">
        <v>45474</v>
      </c>
      <c r="AH1027" s="13" t="s">
        <v>41</v>
      </c>
      <c r="AI1027" s="13" t="s">
        <v>53</v>
      </c>
      <c r="AJ1027" s="13" t="s">
        <v>382</v>
      </c>
      <c r="AK1027" s="14">
        <v>-1</v>
      </c>
      <c r="AL1027" s="17"/>
      <c r="AM1027" s="17"/>
      <c r="AN1027" s="17"/>
      <c r="AO1027" s="17"/>
      <c r="AP1027" s="17"/>
      <c r="AQ1027" s="17"/>
      <c r="AR1027" s="17"/>
      <c r="AS1027" s="17"/>
      <c r="AT1027" s="17"/>
      <c r="AU1027" s="17"/>
      <c r="AV1027" s="17"/>
    </row>
    <row r="1028" spans="1:48" ht="15.75" customHeight="1">
      <c r="A1028" s="21" t="s">
        <v>35</v>
      </c>
      <c r="B1028" s="23" t="s">
        <v>1692</v>
      </c>
      <c r="C1028" s="22">
        <v>45849</v>
      </c>
      <c r="D1028" s="23" t="s">
        <v>168</v>
      </c>
      <c r="E1028" s="23" t="s">
        <v>46</v>
      </c>
      <c r="F1028" s="21">
        <v>1</v>
      </c>
      <c r="G1028" s="12">
        <v>6000.1548227279782</v>
      </c>
      <c r="H1028" s="12">
        <v>6000.1548227279782</v>
      </c>
      <c r="I1028" s="23" t="s">
        <v>52</v>
      </c>
      <c r="J1028" s="23" t="s">
        <v>61</v>
      </c>
      <c r="K1028" s="24" t="s">
        <v>177</v>
      </c>
      <c r="L1028" s="24">
        <v>159</v>
      </c>
      <c r="M1028" s="12">
        <v>5042.1469098554444</v>
      </c>
      <c r="N1028" s="12">
        <v>5042.1469098554444</v>
      </c>
      <c r="O1028" s="12">
        <v>958.00791287253378</v>
      </c>
      <c r="P1028" s="13"/>
      <c r="Q1028" s="14">
        <v>2025</v>
      </c>
      <c r="R1028" s="15">
        <v>45474</v>
      </c>
      <c r="S1028" s="11" t="s">
        <v>364</v>
      </c>
      <c r="T1028" s="16">
        <v>500</v>
      </c>
      <c r="U1028" s="17"/>
      <c r="V1028" s="12">
        <v>1785.4242207798129</v>
      </c>
      <c r="W1028" s="12">
        <v>1785.4242207798129</v>
      </c>
      <c r="X1028" s="12">
        <v>0</v>
      </c>
      <c r="Y1028" s="18">
        <v>45845</v>
      </c>
      <c r="Z1028" s="13" t="s">
        <v>503</v>
      </c>
      <c r="AA1028" s="19" t="s">
        <v>361</v>
      </c>
      <c r="AB1028" s="13" t="s">
        <v>357</v>
      </c>
      <c r="AC1028" s="13" t="s">
        <v>405</v>
      </c>
      <c r="AD1028" s="20"/>
      <c r="AE1028" s="20"/>
      <c r="AF1028" s="13" t="s">
        <v>40</v>
      </c>
      <c r="AG1028" s="15">
        <v>45474</v>
      </c>
      <c r="AH1028" s="13" t="s">
        <v>41</v>
      </c>
      <c r="AI1028" s="13" t="s">
        <v>35</v>
      </c>
      <c r="AJ1028" s="13" t="s">
        <v>365</v>
      </c>
      <c r="AK1028" s="14">
        <v>-0.5</v>
      </c>
      <c r="AL1028" s="17"/>
      <c r="AM1028" s="17"/>
      <c r="AN1028" s="17"/>
      <c r="AO1028" s="17"/>
      <c r="AP1028" s="17"/>
      <c r="AQ1028" s="17"/>
      <c r="AR1028" s="17"/>
      <c r="AS1028" s="17"/>
      <c r="AT1028" s="17"/>
      <c r="AU1028" s="17"/>
      <c r="AV1028" s="17"/>
    </row>
    <row r="1029" spans="1:48" ht="15.75" customHeight="1">
      <c r="A1029" s="21" t="s">
        <v>35</v>
      </c>
      <c r="B1029" s="23" t="s">
        <v>1692</v>
      </c>
      <c r="C1029" s="22">
        <v>45849</v>
      </c>
      <c r="D1029" s="23" t="s">
        <v>132</v>
      </c>
      <c r="E1029" s="23" t="s">
        <v>46</v>
      </c>
      <c r="F1029" s="21">
        <v>1</v>
      </c>
      <c r="G1029" s="12">
        <v>6000.1548227279782</v>
      </c>
      <c r="H1029" s="12">
        <v>6000.1548227279782</v>
      </c>
      <c r="I1029" s="23" t="s">
        <v>52</v>
      </c>
      <c r="J1029" s="23" t="s">
        <v>61</v>
      </c>
      <c r="K1029" s="24" t="s">
        <v>177</v>
      </c>
      <c r="L1029" s="24">
        <v>159</v>
      </c>
      <c r="M1029" s="12">
        <v>5042.1469098554444</v>
      </c>
      <c r="N1029" s="12">
        <v>5042.1469098554444</v>
      </c>
      <c r="O1029" s="12">
        <v>958.00791287253378</v>
      </c>
      <c r="P1029" s="13"/>
      <c r="Q1029" s="14">
        <v>2025</v>
      </c>
      <c r="R1029" s="15">
        <v>45474</v>
      </c>
      <c r="S1029" s="11" t="s">
        <v>364</v>
      </c>
      <c r="T1029" s="16">
        <v>500</v>
      </c>
      <c r="U1029" s="17"/>
      <c r="V1029" s="12">
        <v>1785.4242207798129</v>
      </c>
      <c r="W1029" s="12">
        <v>1785.4242207798129</v>
      </c>
      <c r="X1029" s="12">
        <v>0</v>
      </c>
      <c r="Y1029" s="18">
        <v>45845</v>
      </c>
      <c r="Z1029" s="13" t="s">
        <v>503</v>
      </c>
      <c r="AA1029" s="19" t="s">
        <v>373</v>
      </c>
      <c r="AB1029" s="13" t="s">
        <v>357</v>
      </c>
      <c r="AC1029" s="13" t="s">
        <v>389</v>
      </c>
      <c r="AD1029" s="20"/>
      <c r="AE1029" s="20"/>
      <c r="AF1029" s="13" t="s">
        <v>40</v>
      </c>
      <c r="AG1029" s="15">
        <v>45474</v>
      </c>
      <c r="AH1029" s="13" t="s">
        <v>41</v>
      </c>
      <c r="AI1029" s="13" t="s">
        <v>35</v>
      </c>
      <c r="AJ1029" s="13" t="s">
        <v>365</v>
      </c>
      <c r="AK1029" s="14">
        <v>-0.5</v>
      </c>
      <c r="AL1029" s="17"/>
      <c r="AM1029" s="17"/>
      <c r="AN1029" s="17"/>
      <c r="AO1029" s="17"/>
      <c r="AP1029" s="17"/>
      <c r="AQ1029" s="17"/>
      <c r="AR1029" s="17"/>
      <c r="AS1029" s="17"/>
      <c r="AT1029" s="17"/>
      <c r="AU1029" s="17"/>
      <c r="AV1029" s="17"/>
    </row>
    <row r="1030" spans="1:48" ht="15.75" customHeight="1">
      <c r="A1030" s="21" t="s">
        <v>47</v>
      </c>
      <c r="B1030" s="23" t="s">
        <v>1692</v>
      </c>
      <c r="C1030" s="25">
        <v>45848</v>
      </c>
      <c r="D1030" s="23" t="s">
        <v>42</v>
      </c>
      <c r="E1030" s="23" t="s">
        <v>206</v>
      </c>
      <c r="F1030" s="21">
        <v>1</v>
      </c>
      <c r="G1030" s="12">
        <v>2499.9842105263156</v>
      </c>
      <c r="H1030" s="12">
        <v>2499.9842105263156</v>
      </c>
      <c r="I1030" s="23" t="s">
        <v>52</v>
      </c>
      <c r="J1030" s="23" t="s">
        <v>38</v>
      </c>
      <c r="K1030" s="24" t="s">
        <v>177</v>
      </c>
      <c r="L1030" s="24">
        <v>158</v>
      </c>
      <c r="M1030" s="12">
        <v>2100.8270676691727</v>
      </c>
      <c r="N1030" s="12">
        <v>2100.8270676691727</v>
      </c>
      <c r="O1030" s="12">
        <v>399.15714285714284</v>
      </c>
      <c r="P1030" s="13"/>
      <c r="Q1030" s="14">
        <v>2025</v>
      </c>
      <c r="R1030" s="15">
        <v>45474</v>
      </c>
      <c r="S1030" s="11" t="s">
        <v>402</v>
      </c>
      <c r="T1030" s="16">
        <v>0</v>
      </c>
      <c r="U1030" s="17"/>
      <c r="V1030" s="12">
        <v>1430.2430676691729</v>
      </c>
      <c r="W1030" s="12">
        <v>1430.2430676691729</v>
      </c>
      <c r="X1030" s="12">
        <v>0</v>
      </c>
      <c r="Y1030" s="18">
        <v>45845</v>
      </c>
      <c r="Z1030" s="13" t="s">
        <v>505</v>
      </c>
      <c r="AA1030" s="19" t="s">
        <v>361</v>
      </c>
      <c r="AB1030" s="13" t="s">
        <v>357</v>
      </c>
      <c r="AC1030" s="13" t="s">
        <v>506</v>
      </c>
      <c r="AD1030" s="20"/>
      <c r="AE1030" s="20"/>
      <c r="AF1030" s="13" t="s">
        <v>40</v>
      </c>
      <c r="AG1030" s="15">
        <v>45474</v>
      </c>
      <c r="AH1030" s="13" t="s">
        <v>41</v>
      </c>
      <c r="AI1030" s="13" t="s">
        <v>47</v>
      </c>
      <c r="AJ1030" s="13" t="s">
        <v>403</v>
      </c>
      <c r="AK1030" s="14">
        <v>-3</v>
      </c>
      <c r="AL1030" s="17"/>
      <c r="AM1030" s="17"/>
      <c r="AN1030" s="17"/>
      <c r="AO1030" s="17"/>
      <c r="AP1030" s="17"/>
      <c r="AQ1030" s="17"/>
      <c r="AR1030" s="17"/>
      <c r="AS1030" s="17"/>
      <c r="AT1030" s="17"/>
      <c r="AU1030" s="17"/>
      <c r="AV1030" s="17"/>
    </row>
    <row r="1031" spans="1:48" ht="15.75" customHeight="1">
      <c r="A1031" s="21" t="s">
        <v>43</v>
      </c>
      <c r="B1031" s="23" t="s">
        <v>1692</v>
      </c>
      <c r="C1031" s="25">
        <v>45848</v>
      </c>
      <c r="D1031" s="23" t="s">
        <v>507</v>
      </c>
      <c r="E1031" s="23" t="s">
        <v>45</v>
      </c>
      <c r="F1031" s="21">
        <v>1</v>
      </c>
      <c r="G1031" s="12">
        <v>8199.8861047835999</v>
      </c>
      <c r="H1031" s="12">
        <v>8199.8861047835999</v>
      </c>
      <c r="I1031" s="23" t="s">
        <v>52</v>
      </c>
      <c r="J1031" s="23" t="s">
        <v>61</v>
      </c>
      <c r="K1031" s="24" t="s">
        <v>177</v>
      </c>
      <c r="L1031" s="24">
        <v>158</v>
      </c>
      <c r="M1031" s="12">
        <v>6890.6605922551262</v>
      </c>
      <c r="N1031" s="12">
        <v>6890.6605922551262</v>
      </c>
      <c r="O1031" s="12">
        <v>1309.2255125284737</v>
      </c>
      <c r="P1031" s="13"/>
      <c r="Q1031" s="14">
        <v>2025</v>
      </c>
      <c r="R1031" s="15">
        <v>45474</v>
      </c>
      <c r="S1031" s="11" t="s">
        <v>355</v>
      </c>
      <c r="T1031" s="16">
        <v>0</v>
      </c>
      <c r="U1031" s="17"/>
      <c r="V1031" s="12">
        <v>1445.6605922551253</v>
      </c>
      <c r="W1031" s="12">
        <v>1445.6605922551253</v>
      </c>
      <c r="X1031" s="12">
        <v>0</v>
      </c>
      <c r="Y1031" s="18">
        <v>45845</v>
      </c>
      <c r="Z1031" s="13" t="s">
        <v>505</v>
      </c>
      <c r="AA1031" s="19" t="s">
        <v>373</v>
      </c>
      <c r="AB1031" s="13" t="s">
        <v>357</v>
      </c>
      <c r="AC1031" s="13" t="s">
        <v>383</v>
      </c>
      <c r="AD1031" s="20"/>
      <c r="AE1031" s="20"/>
      <c r="AF1031" s="13" t="s">
        <v>40</v>
      </c>
      <c r="AG1031" s="15">
        <v>45474</v>
      </c>
      <c r="AH1031" s="13" t="s">
        <v>41</v>
      </c>
      <c r="AI1031" s="13" t="s">
        <v>43</v>
      </c>
      <c r="AJ1031" s="13" t="s">
        <v>359</v>
      </c>
      <c r="AK1031" s="14">
        <v>-1</v>
      </c>
      <c r="AL1031" s="17"/>
      <c r="AM1031" s="17"/>
      <c r="AN1031" s="17"/>
      <c r="AO1031" s="17"/>
      <c r="AP1031" s="17"/>
      <c r="AQ1031" s="17"/>
      <c r="AR1031" s="17"/>
      <c r="AS1031" s="17"/>
      <c r="AT1031" s="17"/>
      <c r="AU1031" s="17"/>
      <c r="AV1031" s="17"/>
    </row>
    <row r="1032" spans="1:48" ht="15.75" customHeight="1">
      <c r="A1032" s="21" t="s">
        <v>53</v>
      </c>
      <c r="B1032" s="23" t="s">
        <v>1692</v>
      </c>
      <c r="C1032" s="25">
        <v>45848</v>
      </c>
      <c r="D1032" s="23" t="s">
        <v>508</v>
      </c>
      <c r="E1032" s="23" t="s">
        <v>97</v>
      </c>
      <c r="F1032" s="21">
        <v>1</v>
      </c>
      <c r="G1032" s="12">
        <v>16500.236769693482</v>
      </c>
      <c r="H1032" s="12">
        <v>16500.236769693482</v>
      </c>
      <c r="I1032" s="23" t="s">
        <v>52</v>
      </c>
      <c r="J1032" s="23" t="s">
        <v>61</v>
      </c>
      <c r="K1032" s="24" t="s">
        <v>177</v>
      </c>
      <c r="L1032" s="24">
        <v>158</v>
      </c>
      <c r="M1032" s="12">
        <v>13865.745184616371</v>
      </c>
      <c r="N1032" s="12">
        <v>13865.745184616371</v>
      </c>
      <c r="O1032" s="12">
        <v>2634.4915850771104</v>
      </c>
      <c r="P1032" s="13"/>
      <c r="Q1032" s="14">
        <v>2025</v>
      </c>
      <c r="R1032" s="15">
        <v>45474</v>
      </c>
      <c r="S1032" s="11" t="s">
        <v>366</v>
      </c>
      <c r="T1032" s="16">
        <v>0</v>
      </c>
      <c r="U1032" s="17"/>
      <c r="V1032" s="12">
        <v>3031.7451846163694</v>
      </c>
      <c r="W1032" s="12">
        <v>3031.7451846163694</v>
      </c>
      <c r="X1032" s="12">
        <v>0</v>
      </c>
      <c r="Y1032" s="18">
        <v>45845</v>
      </c>
      <c r="Z1032" s="13" t="s">
        <v>505</v>
      </c>
      <c r="AA1032" s="19" t="s">
        <v>373</v>
      </c>
      <c r="AB1032" s="13" t="s">
        <v>357</v>
      </c>
      <c r="AC1032" s="13" t="s">
        <v>362</v>
      </c>
      <c r="AD1032" s="20"/>
      <c r="AE1032" s="20"/>
      <c r="AF1032" s="13" t="s">
        <v>40</v>
      </c>
      <c r="AG1032" s="15">
        <v>45474</v>
      </c>
      <c r="AH1032" s="13" t="s">
        <v>41</v>
      </c>
      <c r="AI1032" s="13" t="s">
        <v>53</v>
      </c>
      <c r="AJ1032" s="13" t="s">
        <v>368</v>
      </c>
      <c r="AK1032" s="14">
        <v>-6</v>
      </c>
      <c r="AL1032" s="17"/>
      <c r="AM1032" s="17"/>
      <c r="AN1032" s="17"/>
      <c r="AO1032" s="17"/>
      <c r="AP1032" s="17"/>
      <c r="AQ1032" s="17"/>
      <c r="AR1032" s="17"/>
      <c r="AS1032" s="17"/>
      <c r="AT1032" s="17"/>
      <c r="AU1032" s="17"/>
      <c r="AV1032" s="17"/>
    </row>
    <row r="1033" spans="1:48" ht="15.75" customHeight="1">
      <c r="A1033" s="21" t="s">
        <v>53</v>
      </c>
      <c r="B1033" s="23" t="s">
        <v>1692</v>
      </c>
      <c r="C1033" s="25">
        <v>45848</v>
      </c>
      <c r="D1033" s="23" t="s">
        <v>508</v>
      </c>
      <c r="E1033" s="23" t="s">
        <v>114</v>
      </c>
      <c r="F1033" s="21">
        <v>1</v>
      </c>
      <c r="G1033" s="12">
        <v>10500</v>
      </c>
      <c r="H1033" s="12">
        <v>10500</v>
      </c>
      <c r="I1033" s="23" t="s">
        <v>52</v>
      </c>
      <c r="J1033" s="23" t="s">
        <v>61</v>
      </c>
      <c r="K1033" s="24" t="s">
        <v>177</v>
      </c>
      <c r="L1033" s="24">
        <v>158</v>
      </c>
      <c r="M1033" s="12">
        <v>8823.5294117647063</v>
      </c>
      <c r="N1033" s="12">
        <v>8823.5294117647063</v>
      </c>
      <c r="O1033" s="12">
        <v>1676.4705882352937</v>
      </c>
      <c r="P1033" s="13"/>
      <c r="Q1033" s="14">
        <v>2025</v>
      </c>
      <c r="R1033" s="15">
        <v>45474</v>
      </c>
      <c r="S1033" s="11" t="s">
        <v>369</v>
      </c>
      <c r="T1033" s="16">
        <v>0</v>
      </c>
      <c r="U1033" s="17"/>
      <c r="V1033" s="12">
        <v>2403.3613445378151</v>
      </c>
      <c r="W1033" s="12">
        <v>2403.3613445378151</v>
      </c>
      <c r="X1033" s="12">
        <v>0</v>
      </c>
      <c r="Y1033" s="18">
        <v>45845</v>
      </c>
      <c r="Z1033" s="13" t="s">
        <v>505</v>
      </c>
      <c r="AA1033" s="19" t="s">
        <v>373</v>
      </c>
      <c r="AB1033" s="13" t="s">
        <v>357</v>
      </c>
      <c r="AC1033" s="13" t="s">
        <v>362</v>
      </c>
      <c r="AD1033" s="20"/>
      <c r="AE1033" s="20"/>
      <c r="AF1033" s="13" t="s">
        <v>40</v>
      </c>
      <c r="AG1033" s="15">
        <v>45474</v>
      </c>
      <c r="AH1033" s="13" t="s">
        <v>41</v>
      </c>
      <c r="AI1033" s="13" t="s">
        <v>53</v>
      </c>
      <c r="AJ1033" s="13" t="s">
        <v>370</v>
      </c>
      <c r="AK1033" s="14">
        <v>-8</v>
      </c>
      <c r="AL1033" s="17"/>
      <c r="AM1033" s="17"/>
      <c r="AN1033" s="17"/>
      <c r="AO1033" s="17"/>
      <c r="AP1033" s="17"/>
      <c r="AQ1033" s="17"/>
      <c r="AR1033" s="17"/>
      <c r="AS1033" s="17"/>
      <c r="AT1033" s="17"/>
      <c r="AU1033" s="17"/>
      <c r="AV1033" s="17"/>
    </row>
    <row r="1034" spans="1:48" ht="15.75" customHeight="1">
      <c r="A1034" s="21" t="s">
        <v>147</v>
      </c>
      <c r="B1034" s="23" t="s">
        <v>1692</v>
      </c>
      <c r="C1034" s="25">
        <v>45848</v>
      </c>
      <c r="D1034" s="23" t="s">
        <v>158</v>
      </c>
      <c r="E1034" s="23" t="s">
        <v>159</v>
      </c>
      <c r="F1034" s="21">
        <v>2</v>
      </c>
      <c r="G1034" s="12">
        <v>24000.000000000004</v>
      </c>
      <c r="H1034" s="12">
        <v>48000.000000000007</v>
      </c>
      <c r="I1034" s="23" t="s">
        <v>52</v>
      </c>
      <c r="J1034" s="23" t="s">
        <v>61</v>
      </c>
      <c r="K1034" s="24" t="s">
        <v>86</v>
      </c>
      <c r="L1034" s="24">
        <v>92</v>
      </c>
      <c r="M1034" s="12">
        <v>20168.067226890762</v>
      </c>
      <c r="N1034" s="12">
        <v>40336.134453781524</v>
      </c>
      <c r="O1034" s="12">
        <v>7663.8655462184834</v>
      </c>
      <c r="P1034" s="13"/>
      <c r="Q1034" s="14">
        <v>2025</v>
      </c>
      <c r="R1034" s="15">
        <v>45474</v>
      </c>
      <c r="S1034" s="11" t="s">
        <v>412</v>
      </c>
      <c r="T1034" s="16">
        <v>0</v>
      </c>
      <c r="U1034" s="17"/>
      <c r="V1034" s="12">
        <v>13722.689075630256</v>
      </c>
      <c r="W1034" s="12">
        <v>13722.689075630256</v>
      </c>
      <c r="X1034" s="12">
        <v>0</v>
      </c>
      <c r="Y1034" s="18">
        <v>45845</v>
      </c>
      <c r="Z1034" s="13" t="s">
        <v>505</v>
      </c>
      <c r="AA1034" s="19" t="s">
        <v>361</v>
      </c>
      <c r="AB1034" s="13" t="s">
        <v>394</v>
      </c>
      <c r="AC1034" s="13" t="s">
        <v>509</v>
      </c>
      <c r="AD1034" s="20"/>
      <c r="AE1034" s="20"/>
      <c r="AF1034" s="13" t="s">
        <v>40</v>
      </c>
      <c r="AG1034" s="15">
        <v>45474</v>
      </c>
      <c r="AH1034" s="13" t="s">
        <v>41</v>
      </c>
      <c r="AI1034" s="13" t="s">
        <v>147</v>
      </c>
      <c r="AJ1034" s="13" t="s">
        <v>510</v>
      </c>
      <c r="AK1034" s="14">
        <v>-2</v>
      </c>
      <c r="AL1034" s="17"/>
      <c r="AM1034" s="17"/>
      <c r="AN1034" s="17"/>
      <c r="AO1034" s="17"/>
      <c r="AP1034" s="17"/>
      <c r="AQ1034" s="17"/>
      <c r="AR1034" s="17"/>
      <c r="AS1034" s="17"/>
      <c r="AT1034" s="17"/>
      <c r="AU1034" s="17"/>
      <c r="AV1034" s="17"/>
    </row>
    <row r="1035" spans="1:48" ht="15.75" customHeight="1">
      <c r="A1035" s="21" t="s">
        <v>147</v>
      </c>
      <c r="B1035" s="23" t="s">
        <v>1692</v>
      </c>
      <c r="C1035" s="25">
        <v>45848</v>
      </c>
      <c r="D1035" s="23" t="s">
        <v>158</v>
      </c>
      <c r="E1035" s="23" t="s">
        <v>160</v>
      </c>
      <c r="F1035" s="21">
        <v>1</v>
      </c>
      <c r="G1035" s="26">
        <v>-1000</v>
      </c>
      <c r="H1035" s="12">
        <v>-1000</v>
      </c>
      <c r="I1035" s="23" t="s">
        <v>52</v>
      </c>
      <c r="J1035" s="23" t="s">
        <v>61</v>
      </c>
      <c r="K1035" s="24" t="s">
        <v>86</v>
      </c>
      <c r="L1035" s="24">
        <v>92</v>
      </c>
      <c r="M1035" s="12">
        <v>-840.3361344537816</v>
      </c>
      <c r="N1035" s="12">
        <v>-840.3361344537816</v>
      </c>
      <c r="O1035" s="12">
        <v>-159.6638655462184</v>
      </c>
      <c r="P1035" s="13"/>
      <c r="Q1035" s="14">
        <v>2025</v>
      </c>
      <c r="R1035" s="15">
        <v>45474</v>
      </c>
      <c r="S1035" s="11" t="s">
        <v>160</v>
      </c>
      <c r="T1035" s="16">
        <v>1000</v>
      </c>
      <c r="U1035" s="17"/>
      <c r="V1035" s="26">
        <v>-1000</v>
      </c>
      <c r="W1035" s="12">
        <v>-1000</v>
      </c>
      <c r="X1035" s="12">
        <v>0</v>
      </c>
      <c r="Y1035" s="18">
        <v>45845</v>
      </c>
      <c r="Z1035" s="13" t="s">
        <v>505</v>
      </c>
      <c r="AA1035" s="19" t="s">
        <v>361</v>
      </c>
      <c r="AB1035" s="13" t="s">
        <v>394</v>
      </c>
      <c r="AC1035" s="13" t="s">
        <v>509</v>
      </c>
      <c r="AD1035" s="20"/>
      <c r="AE1035" s="20"/>
      <c r="AF1035" s="13" t="s">
        <v>40</v>
      </c>
      <c r="AG1035" s="15">
        <v>45474</v>
      </c>
      <c r="AH1035" s="13" t="s">
        <v>41</v>
      </c>
      <c r="AI1035" s="13" t="s">
        <v>147</v>
      </c>
      <c r="AJ1035" s="13" t="s">
        <v>160</v>
      </c>
      <c r="AK1035" s="14">
        <v>-1</v>
      </c>
      <c r="AL1035" s="17"/>
      <c r="AM1035" s="17"/>
      <c r="AN1035" s="17"/>
      <c r="AO1035" s="17"/>
      <c r="AP1035" s="17"/>
      <c r="AQ1035" s="17"/>
      <c r="AR1035" s="17"/>
      <c r="AS1035" s="17"/>
      <c r="AT1035" s="17"/>
      <c r="AU1035" s="17"/>
      <c r="AV1035" s="17"/>
    </row>
    <row r="1036" spans="1:48" ht="15.75" customHeight="1">
      <c r="A1036" s="21" t="s">
        <v>76</v>
      </c>
      <c r="B1036" s="23" t="s">
        <v>1692</v>
      </c>
      <c r="C1036" s="25">
        <v>45848</v>
      </c>
      <c r="D1036" s="23" t="s">
        <v>87</v>
      </c>
      <c r="E1036" s="23" t="s">
        <v>137</v>
      </c>
      <c r="F1036" s="21">
        <v>2</v>
      </c>
      <c r="G1036" s="12">
        <v>3500.0000000000005</v>
      </c>
      <c r="H1036" s="12">
        <v>7000.0000000000009</v>
      </c>
      <c r="I1036" s="23" t="s">
        <v>52</v>
      </c>
      <c r="J1036" s="23" t="s">
        <v>61</v>
      </c>
      <c r="K1036" s="24" t="s">
        <v>177</v>
      </c>
      <c r="L1036" s="24">
        <v>158</v>
      </c>
      <c r="M1036" s="12">
        <v>2941.1764705882356</v>
      </c>
      <c r="N1036" s="12">
        <v>5882.3529411764712</v>
      </c>
      <c r="O1036" s="12">
        <v>1117.6470588235297</v>
      </c>
      <c r="P1036" s="13"/>
      <c r="Q1036" s="14">
        <v>2025</v>
      </c>
      <c r="R1036" s="15">
        <v>45474</v>
      </c>
      <c r="S1036" s="11" t="s">
        <v>406</v>
      </c>
      <c r="T1036" s="16">
        <v>10</v>
      </c>
      <c r="U1036" s="17"/>
      <c r="V1036" s="12">
        <v>1697.4789915966394</v>
      </c>
      <c r="W1036" s="12">
        <v>1697.4789915966394</v>
      </c>
      <c r="X1036" s="12">
        <v>0</v>
      </c>
      <c r="Y1036" s="18">
        <v>45845</v>
      </c>
      <c r="Z1036" s="13" t="s">
        <v>505</v>
      </c>
      <c r="AA1036" s="19" t="s">
        <v>361</v>
      </c>
      <c r="AB1036" s="13" t="s">
        <v>357</v>
      </c>
      <c r="AC1036" s="13" t="s">
        <v>383</v>
      </c>
      <c r="AD1036" s="20"/>
      <c r="AE1036" s="20"/>
      <c r="AF1036" s="13" t="s">
        <v>40</v>
      </c>
      <c r="AG1036" s="15">
        <v>45474</v>
      </c>
      <c r="AH1036" s="13" t="s">
        <v>41</v>
      </c>
      <c r="AI1036" s="13" t="s">
        <v>76</v>
      </c>
      <c r="AJ1036" s="13" t="s">
        <v>407</v>
      </c>
      <c r="AK1036" s="14">
        <v>-2</v>
      </c>
      <c r="AL1036" s="17"/>
      <c r="AM1036" s="17"/>
      <c r="AN1036" s="17"/>
      <c r="AO1036" s="17"/>
      <c r="AP1036" s="17"/>
      <c r="AQ1036" s="17"/>
      <c r="AR1036" s="17"/>
      <c r="AS1036" s="17"/>
      <c r="AT1036" s="17"/>
      <c r="AU1036" s="17"/>
      <c r="AV1036" s="17"/>
    </row>
    <row r="1037" spans="1:48" ht="15.75" customHeight="1">
      <c r="A1037" s="21" t="s">
        <v>53</v>
      </c>
      <c r="B1037" s="23" t="s">
        <v>1692</v>
      </c>
      <c r="C1037" s="25">
        <v>45848</v>
      </c>
      <c r="D1037" s="23" t="s">
        <v>87</v>
      </c>
      <c r="E1037" s="23" t="s">
        <v>70</v>
      </c>
      <c r="F1037" s="21">
        <v>1</v>
      </c>
      <c r="G1037" s="12">
        <v>5000.3257328990221</v>
      </c>
      <c r="H1037" s="12">
        <v>5000.3257328990221</v>
      </c>
      <c r="I1037" s="23" t="s">
        <v>52</v>
      </c>
      <c r="J1037" s="23" t="s">
        <v>61</v>
      </c>
      <c r="K1037" s="24" t="s">
        <v>177</v>
      </c>
      <c r="L1037" s="24">
        <v>158</v>
      </c>
      <c r="M1037" s="12">
        <v>4201.9543973941363</v>
      </c>
      <c r="N1037" s="12">
        <v>4201.9543973941363</v>
      </c>
      <c r="O1037" s="12">
        <v>798.37133550488579</v>
      </c>
      <c r="P1037" s="13"/>
      <c r="Q1037" s="14">
        <v>2025</v>
      </c>
      <c r="R1037" s="15">
        <v>45474</v>
      </c>
      <c r="S1037" s="11" t="s">
        <v>381</v>
      </c>
      <c r="T1037" s="16">
        <v>300</v>
      </c>
      <c r="U1037" s="17"/>
      <c r="V1037" s="12">
        <v>2008.9543973941363</v>
      </c>
      <c r="W1037" s="12">
        <v>2008.9543973941363</v>
      </c>
      <c r="X1037" s="12">
        <v>0</v>
      </c>
      <c r="Y1037" s="18">
        <v>45845</v>
      </c>
      <c r="Z1037" s="13" t="s">
        <v>505</v>
      </c>
      <c r="AA1037" s="19" t="s">
        <v>361</v>
      </c>
      <c r="AB1037" s="13" t="s">
        <v>357</v>
      </c>
      <c r="AC1037" s="13" t="s">
        <v>383</v>
      </c>
      <c r="AD1037" s="20"/>
      <c r="AE1037" s="20"/>
      <c r="AF1037" s="13" t="s">
        <v>40</v>
      </c>
      <c r="AG1037" s="15">
        <v>45474</v>
      </c>
      <c r="AH1037" s="13" t="s">
        <v>41</v>
      </c>
      <c r="AI1037" s="13" t="s">
        <v>76</v>
      </c>
      <c r="AJ1037" s="13" t="s">
        <v>382</v>
      </c>
      <c r="AK1037" s="14">
        <v>-3</v>
      </c>
      <c r="AL1037" s="17"/>
      <c r="AM1037" s="17"/>
      <c r="AN1037" s="17"/>
      <c r="AO1037" s="17"/>
      <c r="AP1037" s="17"/>
      <c r="AQ1037" s="17"/>
      <c r="AR1037" s="17"/>
      <c r="AS1037" s="17"/>
      <c r="AT1037" s="17"/>
      <c r="AU1037" s="17"/>
      <c r="AV1037" s="17"/>
    </row>
    <row r="1038" spans="1:48" ht="15.75" customHeight="1">
      <c r="A1038" s="14" t="s">
        <v>53</v>
      </c>
      <c r="B1038" s="23" t="s">
        <v>1692</v>
      </c>
      <c r="C1038" s="25">
        <v>45848</v>
      </c>
      <c r="D1038" s="23" t="s">
        <v>80</v>
      </c>
      <c r="E1038" s="13" t="s">
        <v>55</v>
      </c>
      <c r="F1038" s="14">
        <v>1</v>
      </c>
      <c r="G1038" s="12">
        <v>20899.657134519988</v>
      </c>
      <c r="H1038" s="12">
        <v>20899.657134519988</v>
      </c>
      <c r="I1038" s="23" t="s">
        <v>52</v>
      </c>
      <c r="J1038" s="23" t="s">
        <v>61</v>
      </c>
      <c r="K1038" s="24" t="s">
        <v>177</v>
      </c>
      <c r="L1038" s="24">
        <v>158</v>
      </c>
      <c r="M1038" s="12">
        <v>17562.737087831923</v>
      </c>
      <c r="N1038" s="12">
        <v>17562.737087831923</v>
      </c>
      <c r="O1038" s="12">
        <v>3336.9200466880648</v>
      </c>
      <c r="P1038" s="13"/>
      <c r="Q1038" s="14">
        <v>2025</v>
      </c>
      <c r="R1038" s="15">
        <v>45474</v>
      </c>
      <c r="S1038" s="11" t="s">
        <v>366</v>
      </c>
      <c r="T1038" s="16">
        <v>0</v>
      </c>
      <c r="U1038" s="17"/>
      <c r="V1038" s="12">
        <v>3117.7370878319234</v>
      </c>
      <c r="W1038" s="12">
        <v>3117.7370878319234</v>
      </c>
      <c r="X1038" s="12">
        <v>0</v>
      </c>
      <c r="Y1038" s="18">
        <v>45845</v>
      </c>
      <c r="Z1038" s="13" t="s">
        <v>505</v>
      </c>
      <c r="AA1038" s="19" t="s">
        <v>361</v>
      </c>
      <c r="AB1038" s="13" t="s">
        <v>357</v>
      </c>
      <c r="AC1038" s="13" t="s">
        <v>362</v>
      </c>
      <c r="AD1038" s="20"/>
      <c r="AE1038" s="20"/>
      <c r="AF1038" s="13" t="s">
        <v>40</v>
      </c>
      <c r="AG1038" s="15">
        <v>45474</v>
      </c>
      <c r="AH1038" s="13" t="s">
        <v>41</v>
      </c>
      <c r="AI1038" s="13" t="s">
        <v>53</v>
      </c>
      <c r="AJ1038" s="13" t="s">
        <v>368</v>
      </c>
      <c r="AK1038" s="14">
        <v>-8</v>
      </c>
      <c r="AL1038" s="17"/>
      <c r="AM1038" s="17"/>
      <c r="AN1038" s="17"/>
      <c r="AO1038" s="17"/>
      <c r="AP1038" s="17"/>
      <c r="AQ1038" s="17"/>
      <c r="AR1038" s="17"/>
      <c r="AS1038" s="17"/>
      <c r="AT1038" s="17"/>
      <c r="AU1038" s="17"/>
      <c r="AV1038" s="17"/>
    </row>
    <row r="1039" spans="1:48" ht="15.75" customHeight="1">
      <c r="A1039" s="14" t="s">
        <v>53</v>
      </c>
      <c r="B1039" s="23" t="s">
        <v>1692</v>
      </c>
      <c r="C1039" s="25">
        <v>45848</v>
      </c>
      <c r="D1039" s="23" t="s">
        <v>42</v>
      </c>
      <c r="E1039" s="13" t="s">
        <v>55</v>
      </c>
      <c r="F1039" s="14">
        <v>1</v>
      </c>
      <c r="G1039" s="12">
        <v>20899.657134519988</v>
      </c>
      <c r="H1039" s="12">
        <v>20899.657134519988</v>
      </c>
      <c r="I1039" s="23" t="s">
        <v>52</v>
      </c>
      <c r="J1039" s="23" t="s">
        <v>61</v>
      </c>
      <c r="K1039" s="24" t="s">
        <v>177</v>
      </c>
      <c r="L1039" s="24">
        <v>158</v>
      </c>
      <c r="M1039" s="12">
        <v>17562.737087831923</v>
      </c>
      <c r="N1039" s="12">
        <v>17562.737087831923</v>
      </c>
      <c r="O1039" s="12">
        <v>3336.9200466880648</v>
      </c>
      <c r="P1039" s="13"/>
      <c r="Q1039" s="14">
        <v>2025</v>
      </c>
      <c r="R1039" s="15">
        <v>45474</v>
      </c>
      <c r="S1039" s="11" t="s">
        <v>366</v>
      </c>
      <c r="T1039" s="16">
        <v>0</v>
      </c>
      <c r="U1039" s="17"/>
      <c r="V1039" s="12">
        <v>3117.7370878319234</v>
      </c>
      <c r="W1039" s="12">
        <v>3117.7370878319234</v>
      </c>
      <c r="X1039" s="12">
        <v>0</v>
      </c>
      <c r="Y1039" s="18">
        <v>45845</v>
      </c>
      <c r="Z1039" s="13" t="s">
        <v>505</v>
      </c>
      <c r="AA1039" s="19" t="s">
        <v>361</v>
      </c>
      <c r="AB1039" s="13" t="s">
        <v>357</v>
      </c>
      <c r="AC1039" s="13" t="s">
        <v>506</v>
      </c>
      <c r="AD1039" s="20"/>
      <c r="AE1039" s="20"/>
      <c r="AF1039" s="13" t="s">
        <v>40</v>
      </c>
      <c r="AG1039" s="15">
        <v>45474</v>
      </c>
      <c r="AH1039" s="13" t="s">
        <v>41</v>
      </c>
      <c r="AI1039" s="13" t="s">
        <v>53</v>
      </c>
      <c r="AJ1039" s="13" t="s">
        <v>368</v>
      </c>
      <c r="AK1039" s="14">
        <v>-8</v>
      </c>
      <c r="AL1039" s="17"/>
      <c r="AM1039" s="17"/>
      <c r="AN1039" s="17"/>
      <c r="AO1039" s="17"/>
      <c r="AP1039" s="17"/>
      <c r="AQ1039" s="17"/>
      <c r="AR1039" s="17"/>
      <c r="AS1039" s="17"/>
      <c r="AT1039" s="17"/>
      <c r="AU1039" s="17"/>
      <c r="AV1039" s="17"/>
    </row>
    <row r="1040" spans="1:48" ht="15.75" customHeight="1">
      <c r="A1040" s="21" t="s">
        <v>47</v>
      </c>
      <c r="B1040" s="23" t="s">
        <v>1692</v>
      </c>
      <c r="C1040" s="25">
        <v>45848</v>
      </c>
      <c r="D1040" s="23" t="s">
        <v>42</v>
      </c>
      <c r="E1040" s="23" t="s">
        <v>204</v>
      </c>
      <c r="F1040" s="21">
        <v>4</v>
      </c>
      <c r="G1040" s="12">
        <v>1199.9357739242132</v>
      </c>
      <c r="H1040" s="12">
        <v>4799.7430956968528</v>
      </c>
      <c r="I1040" s="23" t="s">
        <v>52</v>
      </c>
      <c r="J1040" s="23" t="s">
        <v>61</v>
      </c>
      <c r="K1040" s="24" t="s">
        <v>177</v>
      </c>
      <c r="L1040" s="24">
        <v>158</v>
      </c>
      <c r="M1040" s="12">
        <v>1008.3493898522801</v>
      </c>
      <c r="N1040" s="12">
        <v>4033.3975594091203</v>
      </c>
      <c r="O1040" s="12">
        <v>766.34553628773256</v>
      </c>
      <c r="P1040" s="13"/>
      <c r="Q1040" s="14">
        <v>2025</v>
      </c>
      <c r="R1040" s="15">
        <v>45474</v>
      </c>
      <c r="S1040" s="11" t="s">
        <v>400</v>
      </c>
      <c r="T1040" s="16">
        <v>0</v>
      </c>
      <c r="U1040" s="17"/>
      <c r="V1040" s="12">
        <v>2149.3975594091203</v>
      </c>
      <c r="W1040" s="12">
        <v>2149.3975594091203</v>
      </c>
      <c r="X1040" s="12">
        <v>0</v>
      </c>
      <c r="Y1040" s="18">
        <v>45845</v>
      </c>
      <c r="Z1040" s="13" t="s">
        <v>505</v>
      </c>
      <c r="AA1040" s="19" t="s">
        <v>361</v>
      </c>
      <c r="AB1040" s="13" t="s">
        <v>357</v>
      </c>
      <c r="AC1040" s="13" t="s">
        <v>506</v>
      </c>
      <c r="AD1040" s="20"/>
      <c r="AE1040" s="20"/>
      <c r="AF1040" s="13" t="s">
        <v>40</v>
      </c>
      <c r="AG1040" s="15">
        <v>45474</v>
      </c>
      <c r="AH1040" s="13" t="s">
        <v>41</v>
      </c>
      <c r="AI1040" s="13" t="s">
        <v>47</v>
      </c>
      <c r="AJ1040" s="13" t="s">
        <v>401</v>
      </c>
      <c r="AK1040" s="14">
        <v>-4</v>
      </c>
      <c r="AL1040" s="17"/>
      <c r="AM1040" s="17"/>
      <c r="AN1040" s="17"/>
      <c r="AO1040" s="17"/>
      <c r="AP1040" s="17"/>
      <c r="AQ1040" s="17"/>
      <c r="AR1040" s="17"/>
      <c r="AS1040" s="17"/>
      <c r="AT1040" s="17"/>
      <c r="AU1040" s="17"/>
      <c r="AV1040" s="17"/>
    </row>
    <row r="1041" spans="1:48" ht="15.75" customHeight="1">
      <c r="A1041" s="21" t="s">
        <v>47</v>
      </c>
      <c r="B1041" s="23" t="s">
        <v>1692</v>
      </c>
      <c r="C1041" s="25">
        <v>45848</v>
      </c>
      <c r="D1041" s="23" t="s">
        <v>42</v>
      </c>
      <c r="E1041" s="23" t="s">
        <v>153</v>
      </c>
      <c r="F1041" s="21">
        <v>2</v>
      </c>
      <c r="G1041" s="12">
        <v>1900.2190115062763</v>
      </c>
      <c r="H1041" s="12">
        <v>3800.4380230125525</v>
      </c>
      <c r="I1041" s="23" t="s">
        <v>52</v>
      </c>
      <c r="J1041" s="23" t="s">
        <v>61</v>
      </c>
      <c r="K1041" s="24" t="s">
        <v>177</v>
      </c>
      <c r="L1041" s="24">
        <v>158</v>
      </c>
      <c r="M1041" s="12">
        <v>1596.8226987447702</v>
      </c>
      <c r="N1041" s="12">
        <v>3193.6453974895403</v>
      </c>
      <c r="O1041" s="12">
        <v>606.79262552301225</v>
      </c>
      <c r="P1041" s="13"/>
      <c r="Q1041" s="14">
        <v>2025</v>
      </c>
      <c r="R1041" s="15">
        <v>45474</v>
      </c>
      <c r="S1041" s="11" t="s">
        <v>153</v>
      </c>
      <c r="T1041" s="16">
        <v>0</v>
      </c>
      <c r="U1041" s="17"/>
      <c r="V1041" s="12">
        <v>1361.7703974895398</v>
      </c>
      <c r="W1041" s="12">
        <v>1361.7703974895398</v>
      </c>
      <c r="X1041" s="12">
        <v>0</v>
      </c>
      <c r="Y1041" s="18">
        <v>45845</v>
      </c>
      <c r="Z1041" s="13" t="s">
        <v>505</v>
      </c>
      <c r="AA1041" s="19" t="s">
        <v>361</v>
      </c>
      <c r="AB1041" s="13" t="s">
        <v>357</v>
      </c>
      <c r="AC1041" s="13" t="s">
        <v>506</v>
      </c>
      <c r="AD1041" s="20"/>
      <c r="AE1041" s="20"/>
      <c r="AF1041" s="13" t="s">
        <v>40</v>
      </c>
      <c r="AG1041" s="15">
        <v>45474</v>
      </c>
      <c r="AH1041" s="13" t="s">
        <v>41</v>
      </c>
      <c r="AI1041" s="13" t="s">
        <v>47</v>
      </c>
      <c r="AJ1041" s="13" t="s">
        <v>432</v>
      </c>
      <c r="AK1041" s="14">
        <v>-2</v>
      </c>
      <c r="AL1041" s="17"/>
      <c r="AM1041" s="17"/>
      <c r="AN1041" s="17"/>
      <c r="AO1041" s="17"/>
      <c r="AP1041" s="17"/>
      <c r="AQ1041" s="17"/>
      <c r="AR1041" s="17"/>
      <c r="AS1041" s="17"/>
      <c r="AT1041" s="17"/>
      <c r="AU1041" s="17"/>
      <c r="AV1041" s="17"/>
    </row>
    <row r="1042" spans="1:48" ht="15.75" customHeight="1">
      <c r="A1042" s="21" t="s">
        <v>35</v>
      </c>
      <c r="B1042" s="23" t="s">
        <v>1692</v>
      </c>
      <c r="C1042" s="25">
        <v>45848</v>
      </c>
      <c r="D1042" s="23" t="s">
        <v>42</v>
      </c>
      <c r="E1042" s="23" t="s">
        <v>37</v>
      </c>
      <c r="F1042" s="21">
        <v>1</v>
      </c>
      <c r="G1042" s="12">
        <v>11000.014358944907</v>
      </c>
      <c r="H1042" s="12">
        <v>11000.014358944907</v>
      </c>
      <c r="I1042" s="23" t="s">
        <v>52</v>
      </c>
      <c r="J1042" s="23" t="s">
        <v>61</v>
      </c>
      <c r="K1042" s="24" t="s">
        <v>177</v>
      </c>
      <c r="L1042" s="24">
        <v>158</v>
      </c>
      <c r="M1042" s="12">
        <v>9243.7095453318543</v>
      </c>
      <c r="N1042" s="12">
        <v>9243.7095453318543</v>
      </c>
      <c r="O1042" s="12">
        <v>1756.3048136130528</v>
      </c>
      <c r="P1042" s="13"/>
      <c r="Q1042" s="14">
        <v>2025</v>
      </c>
      <c r="R1042" s="15">
        <v>45474</v>
      </c>
      <c r="S1042" s="11" t="s">
        <v>364</v>
      </c>
      <c r="T1042" s="16">
        <v>1000</v>
      </c>
      <c r="U1042" s="17"/>
      <c r="V1042" s="12">
        <v>2806.1129066763915</v>
      </c>
      <c r="W1042" s="12">
        <v>2806.1129066763915</v>
      </c>
      <c r="X1042" s="12">
        <v>0</v>
      </c>
      <c r="Y1042" s="18">
        <v>45845</v>
      </c>
      <c r="Z1042" s="13" t="s">
        <v>505</v>
      </c>
      <c r="AA1042" s="19" t="s">
        <v>361</v>
      </c>
      <c r="AB1042" s="13" t="s">
        <v>357</v>
      </c>
      <c r="AC1042" s="13" t="s">
        <v>506</v>
      </c>
      <c r="AD1042" s="20"/>
      <c r="AE1042" s="20"/>
      <c r="AF1042" s="13" t="s">
        <v>40</v>
      </c>
      <c r="AG1042" s="15">
        <v>45474</v>
      </c>
      <c r="AH1042" s="13" t="s">
        <v>41</v>
      </c>
      <c r="AI1042" s="13" t="s">
        <v>35</v>
      </c>
      <c r="AJ1042" s="13" t="s">
        <v>365</v>
      </c>
      <c r="AK1042" s="14">
        <v>-1</v>
      </c>
      <c r="AL1042" s="17"/>
      <c r="AM1042" s="17"/>
      <c r="AN1042" s="17"/>
      <c r="AO1042" s="17"/>
      <c r="AP1042" s="17"/>
      <c r="AQ1042" s="17"/>
      <c r="AR1042" s="17"/>
      <c r="AS1042" s="17"/>
      <c r="AT1042" s="17"/>
      <c r="AU1042" s="17"/>
      <c r="AV1042" s="17"/>
    </row>
    <row r="1043" spans="1:48" ht="15.75" customHeight="1">
      <c r="A1043" s="21" t="s">
        <v>47</v>
      </c>
      <c r="B1043" s="23" t="s">
        <v>1692</v>
      </c>
      <c r="C1043" s="25">
        <v>45848</v>
      </c>
      <c r="D1043" s="23" t="s">
        <v>42</v>
      </c>
      <c r="E1043" s="23" t="s">
        <v>511</v>
      </c>
      <c r="F1043" s="21">
        <v>1</v>
      </c>
      <c r="G1043" s="12">
        <v>2700.0952628388322</v>
      </c>
      <c r="H1043" s="12">
        <v>2700.0952628388322</v>
      </c>
      <c r="I1043" s="23" t="s">
        <v>52</v>
      </c>
      <c r="J1043" s="23" t="s">
        <v>61</v>
      </c>
      <c r="K1043" s="24" t="s">
        <v>177</v>
      </c>
      <c r="L1043" s="24">
        <v>158</v>
      </c>
      <c r="M1043" s="12">
        <v>2268.9876158309517</v>
      </c>
      <c r="N1043" s="12">
        <v>2268.9876158309517</v>
      </c>
      <c r="O1043" s="12">
        <v>431.10764700788059</v>
      </c>
      <c r="P1043" s="13"/>
      <c r="Q1043" s="14">
        <v>2025</v>
      </c>
      <c r="R1043" s="15">
        <v>45474</v>
      </c>
      <c r="S1043" s="11" t="s">
        <v>512</v>
      </c>
      <c r="T1043" s="16">
        <v>0</v>
      </c>
      <c r="U1043" s="17"/>
      <c r="V1043" s="12">
        <v>696.98761583095165</v>
      </c>
      <c r="W1043" s="12">
        <v>696.98761583095165</v>
      </c>
      <c r="X1043" s="12">
        <v>0</v>
      </c>
      <c r="Y1043" s="18">
        <v>45845</v>
      </c>
      <c r="Z1043" s="13" t="s">
        <v>505</v>
      </c>
      <c r="AA1043" s="19" t="s">
        <v>361</v>
      </c>
      <c r="AB1043" s="13" t="s">
        <v>357</v>
      </c>
      <c r="AC1043" s="13" t="s">
        <v>506</v>
      </c>
      <c r="AD1043" s="20"/>
      <c r="AE1043" s="20"/>
      <c r="AF1043" s="13" t="s">
        <v>40</v>
      </c>
      <c r="AG1043" s="15">
        <v>45474</v>
      </c>
      <c r="AH1043" s="13" t="s">
        <v>41</v>
      </c>
      <c r="AI1043" s="13" t="s">
        <v>47</v>
      </c>
      <c r="AJ1043" s="13" t="s">
        <v>513</v>
      </c>
      <c r="AK1043" s="14">
        <v>-1</v>
      </c>
      <c r="AL1043" s="17"/>
      <c r="AM1043" s="17"/>
      <c r="AN1043" s="17"/>
      <c r="AO1043" s="17"/>
      <c r="AP1043" s="17"/>
      <c r="AQ1043" s="17"/>
      <c r="AR1043" s="17"/>
      <c r="AS1043" s="17"/>
      <c r="AT1043" s="17"/>
      <c r="AU1043" s="17"/>
      <c r="AV1043" s="17"/>
    </row>
    <row r="1044" spans="1:48" ht="15.75" customHeight="1">
      <c r="A1044" s="21" t="s">
        <v>47</v>
      </c>
      <c r="B1044" s="23" t="s">
        <v>1692</v>
      </c>
      <c r="C1044" s="25">
        <v>45848</v>
      </c>
      <c r="D1044" s="23" t="s">
        <v>42</v>
      </c>
      <c r="E1044" s="23" t="s">
        <v>327</v>
      </c>
      <c r="F1044" s="21">
        <v>1</v>
      </c>
      <c r="G1044" s="12">
        <v>1299.5153465346536</v>
      </c>
      <c r="H1044" s="12">
        <v>1299.5153465346536</v>
      </c>
      <c r="I1044" s="23" t="s">
        <v>52</v>
      </c>
      <c r="J1044" s="23" t="s">
        <v>61</v>
      </c>
      <c r="K1044" s="24" t="s">
        <v>177</v>
      </c>
      <c r="L1044" s="24">
        <v>158</v>
      </c>
      <c r="M1044" s="12">
        <v>1092.0297029702972</v>
      </c>
      <c r="N1044" s="12">
        <v>1092.0297029702972</v>
      </c>
      <c r="O1044" s="12">
        <v>207.48564356435645</v>
      </c>
      <c r="P1044" s="13"/>
      <c r="Q1044" s="14">
        <v>2025</v>
      </c>
      <c r="R1044" s="15">
        <v>45474</v>
      </c>
      <c r="S1044" s="11" t="s">
        <v>387</v>
      </c>
      <c r="T1044" s="16">
        <v>0</v>
      </c>
      <c r="U1044" s="17"/>
      <c r="V1044" s="12">
        <v>562.61370297029714</v>
      </c>
      <c r="W1044" s="12">
        <v>562.61370297029714</v>
      </c>
      <c r="X1044" s="12">
        <v>0</v>
      </c>
      <c r="Y1044" s="18">
        <v>45845</v>
      </c>
      <c r="Z1044" s="13" t="s">
        <v>505</v>
      </c>
      <c r="AA1044" s="19" t="s">
        <v>361</v>
      </c>
      <c r="AB1044" s="13" t="s">
        <v>357</v>
      </c>
      <c r="AC1044" s="13" t="s">
        <v>506</v>
      </c>
      <c r="AD1044" s="20"/>
      <c r="AE1044" s="20"/>
      <c r="AF1044" s="13" t="s">
        <v>40</v>
      </c>
      <c r="AG1044" s="15">
        <v>45474</v>
      </c>
      <c r="AH1044" s="13" t="s">
        <v>41</v>
      </c>
      <c r="AI1044" s="13" t="s">
        <v>47</v>
      </c>
      <c r="AJ1044" s="13" t="s">
        <v>388</v>
      </c>
      <c r="AK1044" s="14">
        <v>-6</v>
      </c>
      <c r="AL1044" s="17"/>
      <c r="AM1044" s="17"/>
      <c r="AN1044" s="17"/>
      <c r="AO1044" s="17"/>
      <c r="AP1044" s="17"/>
      <c r="AQ1044" s="17"/>
      <c r="AR1044" s="17"/>
      <c r="AS1044" s="17"/>
      <c r="AT1044" s="17"/>
      <c r="AU1044" s="17"/>
      <c r="AV1044" s="17"/>
    </row>
    <row r="1045" spans="1:48" ht="15.75" customHeight="1">
      <c r="A1045" s="21" t="s">
        <v>47</v>
      </c>
      <c r="B1045" s="23" t="s">
        <v>1692</v>
      </c>
      <c r="C1045" s="25">
        <v>45848</v>
      </c>
      <c r="D1045" s="23" t="s">
        <v>42</v>
      </c>
      <c r="E1045" s="23" t="s">
        <v>289</v>
      </c>
      <c r="F1045" s="21">
        <v>1</v>
      </c>
      <c r="G1045" s="12">
        <v>3200.065217391304</v>
      </c>
      <c r="H1045" s="12">
        <v>3200.065217391304</v>
      </c>
      <c r="I1045" s="23" t="s">
        <v>52</v>
      </c>
      <c r="J1045" s="23" t="s">
        <v>61</v>
      </c>
      <c r="K1045" s="24" t="s">
        <v>177</v>
      </c>
      <c r="L1045" s="24">
        <v>158</v>
      </c>
      <c r="M1045" s="12">
        <v>2689.1304347826085</v>
      </c>
      <c r="N1045" s="12">
        <v>2689.1304347826085</v>
      </c>
      <c r="O1045" s="12">
        <v>510.93478260869551</v>
      </c>
      <c r="P1045" s="13"/>
      <c r="Q1045" s="14">
        <v>2025</v>
      </c>
      <c r="R1045" s="15">
        <v>45474</v>
      </c>
      <c r="S1045" s="11" t="s">
        <v>451</v>
      </c>
      <c r="T1045" s="16">
        <v>0</v>
      </c>
      <c r="U1045" s="17"/>
      <c r="V1045" s="12">
        <v>1297.5054347826085</v>
      </c>
      <c r="W1045" s="12">
        <v>1297.5054347826085</v>
      </c>
      <c r="X1045" s="12">
        <v>0</v>
      </c>
      <c r="Y1045" s="18">
        <v>45845</v>
      </c>
      <c r="Z1045" s="13" t="s">
        <v>505</v>
      </c>
      <c r="AA1045" s="19" t="s">
        <v>361</v>
      </c>
      <c r="AB1045" s="13" t="s">
        <v>357</v>
      </c>
      <c r="AC1045" s="13" t="s">
        <v>506</v>
      </c>
      <c r="AD1045" s="20"/>
      <c r="AE1045" s="20"/>
      <c r="AF1045" s="13" t="s">
        <v>40</v>
      </c>
      <c r="AG1045" s="15">
        <v>45474</v>
      </c>
      <c r="AH1045" s="13" t="s">
        <v>41</v>
      </c>
      <c r="AI1045" s="13" t="s">
        <v>47</v>
      </c>
      <c r="AJ1045" s="13" t="s">
        <v>452</v>
      </c>
      <c r="AK1045" s="14">
        <v>-3</v>
      </c>
      <c r="AL1045" s="17"/>
      <c r="AM1045" s="17"/>
      <c r="AN1045" s="17"/>
      <c r="AO1045" s="17"/>
      <c r="AP1045" s="17"/>
      <c r="AQ1045" s="17"/>
      <c r="AR1045" s="17"/>
      <c r="AS1045" s="17"/>
      <c r="AT1045" s="17"/>
      <c r="AU1045" s="17"/>
      <c r="AV1045" s="17"/>
    </row>
    <row r="1046" spans="1:48" ht="15.75" customHeight="1">
      <c r="A1046" s="21" t="s">
        <v>43</v>
      </c>
      <c r="B1046" s="23" t="s">
        <v>1692</v>
      </c>
      <c r="C1046" s="25">
        <v>45848</v>
      </c>
      <c r="D1046" s="23" t="s">
        <v>42</v>
      </c>
      <c r="E1046" s="23" t="s">
        <v>45</v>
      </c>
      <c r="F1046" s="21">
        <v>1</v>
      </c>
      <c r="G1046" s="12">
        <v>8199.8861047835999</v>
      </c>
      <c r="H1046" s="12">
        <v>8199.8861047835999</v>
      </c>
      <c r="I1046" s="23" t="s">
        <v>52</v>
      </c>
      <c r="J1046" s="23" t="s">
        <v>61</v>
      </c>
      <c r="K1046" s="24" t="s">
        <v>177</v>
      </c>
      <c r="L1046" s="24">
        <v>158</v>
      </c>
      <c r="M1046" s="12">
        <v>6890.6605922551262</v>
      </c>
      <c r="N1046" s="12">
        <v>6890.6605922551262</v>
      </c>
      <c r="O1046" s="12">
        <v>1309.2255125284737</v>
      </c>
      <c r="P1046" s="13"/>
      <c r="Q1046" s="14">
        <v>2025</v>
      </c>
      <c r="R1046" s="15">
        <v>45474</v>
      </c>
      <c r="S1046" s="11" t="s">
        <v>355</v>
      </c>
      <c r="T1046" s="16">
        <v>0</v>
      </c>
      <c r="U1046" s="17"/>
      <c r="V1046" s="12">
        <v>1445.6605922551253</v>
      </c>
      <c r="W1046" s="12">
        <v>1445.6605922551253</v>
      </c>
      <c r="X1046" s="12">
        <v>0</v>
      </c>
      <c r="Y1046" s="18">
        <v>45845</v>
      </c>
      <c r="Z1046" s="13" t="s">
        <v>505</v>
      </c>
      <c r="AA1046" s="19" t="s">
        <v>361</v>
      </c>
      <c r="AB1046" s="13" t="s">
        <v>357</v>
      </c>
      <c r="AC1046" s="13" t="s">
        <v>506</v>
      </c>
      <c r="AD1046" s="20"/>
      <c r="AE1046" s="20"/>
      <c r="AF1046" s="13" t="s">
        <v>40</v>
      </c>
      <c r="AG1046" s="15">
        <v>45474</v>
      </c>
      <c r="AH1046" s="13" t="s">
        <v>41</v>
      </c>
      <c r="AI1046" s="13" t="s">
        <v>43</v>
      </c>
      <c r="AJ1046" s="13" t="s">
        <v>359</v>
      </c>
      <c r="AK1046" s="14">
        <v>-1</v>
      </c>
      <c r="AL1046" s="17"/>
      <c r="AM1046" s="17"/>
      <c r="AN1046" s="17"/>
      <c r="AO1046" s="17"/>
      <c r="AP1046" s="17"/>
      <c r="AQ1046" s="17"/>
      <c r="AR1046" s="17"/>
      <c r="AS1046" s="17"/>
      <c r="AT1046" s="17"/>
      <c r="AU1046" s="17"/>
      <c r="AV1046" s="17"/>
    </row>
    <row r="1047" spans="1:48" ht="15.75" customHeight="1">
      <c r="A1047" s="21" t="s">
        <v>73</v>
      </c>
      <c r="B1047" s="23" t="s">
        <v>1692</v>
      </c>
      <c r="C1047" s="22">
        <v>45848</v>
      </c>
      <c r="D1047" s="23" t="s">
        <v>514</v>
      </c>
      <c r="E1047" s="23" t="s">
        <v>90</v>
      </c>
      <c r="F1047" s="21">
        <v>4</v>
      </c>
      <c r="G1047" s="12">
        <v>4199.9020019599611</v>
      </c>
      <c r="H1047" s="12">
        <v>16799.608007839845</v>
      </c>
      <c r="I1047" s="23" t="s">
        <v>52</v>
      </c>
      <c r="J1047" s="23" t="s">
        <v>61</v>
      </c>
      <c r="K1047" s="24" t="s">
        <v>177</v>
      </c>
      <c r="L1047" s="24">
        <v>158</v>
      </c>
      <c r="M1047" s="12">
        <v>3529.3294134117323</v>
      </c>
      <c r="N1047" s="12">
        <v>14117.317653646929</v>
      </c>
      <c r="O1047" s="12">
        <v>2682.2903541929154</v>
      </c>
      <c r="P1047" s="13"/>
      <c r="Q1047" s="14">
        <v>2025</v>
      </c>
      <c r="R1047" s="15">
        <v>45474</v>
      </c>
      <c r="S1047" s="11" t="s">
        <v>424</v>
      </c>
      <c r="T1047" s="16">
        <v>0</v>
      </c>
      <c r="U1047" s="17"/>
      <c r="V1047" s="12">
        <v>4033.3176536469291</v>
      </c>
      <c r="W1047" s="12">
        <v>4033.3176536469291</v>
      </c>
      <c r="X1047" s="12">
        <v>0</v>
      </c>
      <c r="Y1047" s="18">
        <v>45845</v>
      </c>
      <c r="Z1047" s="13" t="s">
        <v>505</v>
      </c>
      <c r="AA1047" s="19" t="s">
        <v>373</v>
      </c>
      <c r="AB1047" s="13" t="s">
        <v>357</v>
      </c>
      <c r="AC1047" s="13" t="s">
        <v>358</v>
      </c>
      <c r="AD1047" s="20"/>
      <c r="AE1047" s="20"/>
      <c r="AF1047" s="13" t="s">
        <v>40</v>
      </c>
      <c r="AG1047" s="15">
        <v>45474</v>
      </c>
      <c r="AH1047" s="13" t="s">
        <v>41</v>
      </c>
      <c r="AI1047" s="13" t="s">
        <v>73</v>
      </c>
      <c r="AJ1047" s="13" t="s">
        <v>426</v>
      </c>
      <c r="AK1047" s="14">
        <v>-4</v>
      </c>
      <c r="AL1047" s="17"/>
      <c r="AM1047" s="17"/>
      <c r="AN1047" s="17"/>
      <c r="AO1047" s="17"/>
      <c r="AP1047" s="17"/>
      <c r="AQ1047" s="17"/>
      <c r="AR1047" s="17"/>
      <c r="AS1047" s="17"/>
      <c r="AT1047" s="17"/>
      <c r="AU1047" s="17"/>
      <c r="AV1047" s="17"/>
    </row>
    <row r="1048" spans="1:48" ht="15.75" customHeight="1">
      <c r="A1048" s="21" t="s">
        <v>53</v>
      </c>
      <c r="B1048" s="23" t="s">
        <v>1692</v>
      </c>
      <c r="C1048" s="22">
        <v>45848</v>
      </c>
      <c r="D1048" s="23" t="s">
        <v>186</v>
      </c>
      <c r="E1048" s="23" t="s">
        <v>55</v>
      </c>
      <c r="F1048" s="21">
        <v>1</v>
      </c>
      <c r="G1048" s="12">
        <v>20899.657134519988</v>
      </c>
      <c r="H1048" s="12">
        <v>20899.657134519988</v>
      </c>
      <c r="I1048" s="23" t="s">
        <v>52</v>
      </c>
      <c r="J1048" s="23" t="s">
        <v>61</v>
      </c>
      <c r="K1048" s="24" t="s">
        <v>177</v>
      </c>
      <c r="L1048" s="24">
        <v>158</v>
      </c>
      <c r="M1048" s="12">
        <v>17562.737087831923</v>
      </c>
      <c r="N1048" s="12">
        <v>17562.737087831923</v>
      </c>
      <c r="O1048" s="12">
        <v>3336.9200466880648</v>
      </c>
      <c r="P1048" s="13"/>
      <c r="Q1048" s="14">
        <v>2025</v>
      </c>
      <c r="R1048" s="15">
        <v>45474</v>
      </c>
      <c r="S1048" s="11" t="s">
        <v>366</v>
      </c>
      <c r="T1048" s="16">
        <v>0</v>
      </c>
      <c r="U1048" s="17"/>
      <c r="V1048" s="12">
        <v>3117.7370878319234</v>
      </c>
      <c r="W1048" s="12">
        <v>3117.7370878319234</v>
      </c>
      <c r="X1048" s="12">
        <v>0</v>
      </c>
      <c r="Y1048" s="18">
        <v>45845</v>
      </c>
      <c r="Z1048" s="13" t="s">
        <v>505</v>
      </c>
      <c r="AA1048" s="19" t="s">
        <v>373</v>
      </c>
      <c r="AB1048" s="13" t="s">
        <v>357</v>
      </c>
      <c r="AC1048" s="13" t="s">
        <v>465</v>
      </c>
      <c r="AD1048" s="20"/>
      <c r="AE1048" s="20"/>
      <c r="AF1048" s="13" t="s">
        <v>40</v>
      </c>
      <c r="AG1048" s="15">
        <v>45474</v>
      </c>
      <c r="AH1048" s="13" t="s">
        <v>41</v>
      </c>
      <c r="AI1048" s="13" t="s">
        <v>53</v>
      </c>
      <c r="AJ1048" s="13" t="s">
        <v>368</v>
      </c>
      <c r="AK1048" s="14">
        <v>-8</v>
      </c>
      <c r="AL1048" s="17"/>
      <c r="AM1048" s="17"/>
      <c r="AN1048" s="17"/>
      <c r="AO1048" s="17"/>
      <c r="AP1048" s="17"/>
      <c r="AQ1048" s="17"/>
      <c r="AR1048" s="17"/>
      <c r="AS1048" s="17"/>
      <c r="AT1048" s="17"/>
      <c r="AU1048" s="17"/>
      <c r="AV1048" s="17"/>
    </row>
    <row r="1049" spans="1:48" ht="15.75" customHeight="1">
      <c r="A1049" s="21" t="s">
        <v>53</v>
      </c>
      <c r="B1049" s="23" t="s">
        <v>1692</v>
      </c>
      <c r="C1049" s="22">
        <v>45848</v>
      </c>
      <c r="D1049" s="23" t="s">
        <v>186</v>
      </c>
      <c r="E1049" s="23" t="s">
        <v>70</v>
      </c>
      <c r="F1049" s="21">
        <v>1</v>
      </c>
      <c r="G1049" s="12">
        <v>5000.3257328990221</v>
      </c>
      <c r="H1049" s="12">
        <v>5000.3257328990221</v>
      </c>
      <c r="I1049" s="23" t="s">
        <v>52</v>
      </c>
      <c r="J1049" s="23" t="s">
        <v>61</v>
      </c>
      <c r="K1049" s="24" t="s">
        <v>177</v>
      </c>
      <c r="L1049" s="24">
        <v>158</v>
      </c>
      <c r="M1049" s="12">
        <v>4201.9543973941363</v>
      </c>
      <c r="N1049" s="12">
        <v>4201.9543973941363</v>
      </c>
      <c r="O1049" s="12">
        <v>798.37133550488579</v>
      </c>
      <c r="P1049" s="13"/>
      <c r="Q1049" s="14">
        <v>2025</v>
      </c>
      <c r="R1049" s="15">
        <v>45474</v>
      </c>
      <c r="S1049" s="11" t="s">
        <v>381</v>
      </c>
      <c r="T1049" s="16">
        <v>300</v>
      </c>
      <c r="U1049" s="17"/>
      <c r="V1049" s="12">
        <v>2008.9543973941363</v>
      </c>
      <c r="W1049" s="12">
        <v>2008.9543973941363</v>
      </c>
      <c r="X1049" s="12">
        <v>0</v>
      </c>
      <c r="Y1049" s="18">
        <v>45845</v>
      </c>
      <c r="Z1049" s="13" t="s">
        <v>505</v>
      </c>
      <c r="AA1049" s="19" t="s">
        <v>373</v>
      </c>
      <c r="AB1049" s="13" t="s">
        <v>357</v>
      </c>
      <c r="AC1049" s="13" t="s">
        <v>465</v>
      </c>
      <c r="AD1049" s="20"/>
      <c r="AE1049" s="20"/>
      <c r="AF1049" s="13" t="s">
        <v>40</v>
      </c>
      <c r="AG1049" s="15">
        <v>45474</v>
      </c>
      <c r="AH1049" s="13" t="s">
        <v>41</v>
      </c>
      <c r="AI1049" s="13" t="s">
        <v>53</v>
      </c>
      <c r="AJ1049" s="13" t="s">
        <v>382</v>
      </c>
      <c r="AK1049" s="14">
        <v>-3</v>
      </c>
      <c r="AL1049" s="17"/>
      <c r="AM1049" s="17"/>
      <c r="AN1049" s="17"/>
      <c r="AO1049" s="17"/>
      <c r="AP1049" s="17"/>
      <c r="AQ1049" s="17"/>
      <c r="AR1049" s="17"/>
      <c r="AS1049" s="17"/>
      <c r="AT1049" s="17"/>
      <c r="AU1049" s="17"/>
      <c r="AV1049" s="17"/>
    </row>
    <row r="1050" spans="1:48" ht="15.75" customHeight="1">
      <c r="A1050" s="21" t="s">
        <v>53</v>
      </c>
      <c r="B1050" s="23" t="s">
        <v>1692</v>
      </c>
      <c r="C1050" s="22">
        <v>45848</v>
      </c>
      <c r="D1050" s="23" t="s">
        <v>186</v>
      </c>
      <c r="E1050" s="23" t="s">
        <v>136</v>
      </c>
      <c r="F1050" s="21">
        <v>1</v>
      </c>
      <c r="G1050" s="12">
        <v>14900.292682926829</v>
      </c>
      <c r="H1050" s="12">
        <v>14900.292682926829</v>
      </c>
      <c r="I1050" s="23" t="s">
        <v>52</v>
      </c>
      <c r="J1050" s="23" t="s">
        <v>61</v>
      </c>
      <c r="K1050" s="24" t="s">
        <v>177</v>
      </c>
      <c r="L1050" s="24">
        <v>158</v>
      </c>
      <c r="M1050" s="12">
        <v>12521.254355400697</v>
      </c>
      <c r="N1050" s="12">
        <v>12521.254355400697</v>
      </c>
      <c r="O1050" s="12">
        <v>2379.038327526132</v>
      </c>
      <c r="P1050" s="13"/>
      <c r="Q1050" s="14">
        <v>2025</v>
      </c>
      <c r="R1050" s="15">
        <v>45474</v>
      </c>
      <c r="S1050" s="11" t="s">
        <v>410</v>
      </c>
      <c r="T1050" s="16">
        <v>0</v>
      </c>
      <c r="U1050" s="17"/>
      <c r="V1050" s="12">
        <v>3537.254355400697</v>
      </c>
      <c r="W1050" s="12">
        <v>3537.254355400697</v>
      </c>
      <c r="X1050" s="12">
        <v>0</v>
      </c>
      <c r="Y1050" s="18">
        <v>45845</v>
      </c>
      <c r="Z1050" s="13" t="s">
        <v>505</v>
      </c>
      <c r="AA1050" s="19" t="s">
        <v>373</v>
      </c>
      <c r="AB1050" s="13" t="s">
        <v>357</v>
      </c>
      <c r="AC1050" s="13" t="s">
        <v>465</v>
      </c>
      <c r="AD1050" s="20"/>
      <c r="AE1050" s="20"/>
      <c r="AF1050" s="13" t="s">
        <v>40</v>
      </c>
      <c r="AG1050" s="15">
        <v>45474</v>
      </c>
      <c r="AH1050" s="13" t="s">
        <v>41</v>
      </c>
      <c r="AI1050" s="13" t="s">
        <v>53</v>
      </c>
      <c r="AJ1050" s="13" t="s">
        <v>411</v>
      </c>
      <c r="AK1050" s="14">
        <v>-8</v>
      </c>
      <c r="AL1050" s="17"/>
      <c r="AM1050" s="17"/>
      <c r="AN1050" s="17"/>
      <c r="AO1050" s="17"/>
      <c r="AP1050" s="17"/>
      <c r="AQ1050" s="17"/>
      <c r="AR1050" s="17"/>
      <c r="AS1050" s="17"/>
      <c r="AT1050" s="17"/>
      <c r="AU1050" s="17"/>
      <c r="AV1050" s="17"/>
    </row>
    <row r="1051" spans="1:48" ht="15.75" customHeight="1">
      <c r="A1051" s="21" t="s">
        <v>47</v>
      </c>
      <c r="B1051" s="23" t="s">
        <v>1692</v>
      </c>
      <c r="C1051" s="22">
        <v>45848</v>
      </c>
      <c r="D1051" s="23" t="s">
        <v>186</v>
      </c>
      <c r="E1051" s="23" t="s">
        <v>153</v>
      </c>
      <c r="F1051" s="21">
        <v>1</v>
      </c>
      <c r="G1051" s="12">
        <v>1900.2190115062763</v>
      </c>
      <c r="H1051" s="12">
        <v>1900.2190115062763</v>
      </c>
      <c r="I1051" s="23" t="s">
        <v>52</v>
      </c>
      <c r="J1051" s="23" t="s">
        <v>61</v>
      </c>
      <c r="K1051" s="24" t="s">
        <v>177</v>
      </c>
      <c r="L1051" s="24">
        <v>158</v>
      </c>
      <c r="M1051" s="12">
        <v>1596.8226987447702</v>
      </c>
      <c r="N1051" s="12">
        <v>1596.8226987447702</v>
      </c>
      <c r="O1051" s="12">
        <v>303.39631276150612</v>
      </c>
      <c r="P1051" s="13"/>
      <c r="Q1051" s="14">
        <v>2025</v>
      </c>
      <c r="R1051" s="15">
        <v>45474</v>
      </c>
      <c r="S1051" s="11" t="s">
        <v>153</v>
      </c>
      <c r="T1051" s="16">
        <v>0</v>
      </c>
      <c r="U1051" s="17"/>
      <c r="V1051" s="12">
        <v>680.88519874476992</v>
      </c>
      <c r="W1051" s="12">
        <v>680.88519874476992</v>
      </c>
      <c r="X1051" s="12">
        <v>0</v>
      </c>
      <c r="Y1051" s="18">
        <v>45845</v>
      </c>
      <c r="Z1051" s="13" t="s">
        <v>505</v>
      </c>
      <c r="AA1051" s="19" t="s">
        <v>373</v>
      </c>
      <c r="AB1051" s="13" t="s">
        <v>357</v>
      </c>
      <c r="AC1051" s="13" t="s">
        <v>465</v>
      </c>
      <c r="AD1051" s="20"/>
      <c r="AE1051" s="20"/>
      <c r="AF1051" s="13" t="s">
        <v>40</v>
      </c>
      <c r="AG1051" s="15">
        <v>45474</v>
      </c>
      <c r="AH1051" s="13" t="s">
        <v>41</v>
      </c>
      <c r="AI1051" s="13" t="s">
        <v>47</v>
      </c>
      <c r="AJ1051" s="13" t="s">
        <v>432</v>
      </c>
      <c r="AK1051" s="14">
        <v>-1</v>
      </c>
      <c r="AL1051" s="17"/>
      <c r="AM1051" s="17"/>
      <c r="AN1051" s="17"/>
      <c r="AO1051" s="17"/>
      <c r="AP1051" s="17"/>
      <c r="AQ1051" s="17"/>
      <c r="AR1051" s="17"/>
      <c r="AS1051" s="17"/>
      <c r="AT1051" s="17"/>
      <c r="AU1051" s="17"/>
      <c r="AV1051" s="17"/>
    </row>
    <row r="1052" spans="1:48" ht="15.75" customHeight="1">
      <c r="A1052" s="21" t="s">
        <v>35</v>
      </c>
      <c r="B1052" s="23" t="s">
        <v>1692</v>
      </c>
      <c r="C1052" s="22">
        <v>45847</v>
      </c>
      <c r="D1052" s="23" t="s">
        <v>297</v>
      </c>
      <c r="E1052" s="23" t="s">
        <v>46</v>
      </c>
      <c r="F1052" s="21">
        <v>1</v>
      </c>
      <c r="G1052" s="12">
        <v>6000.1548227279782</v>
      </c>
      <c r="H1052" s="12">
        <v>6000.1548227279782</v>
      </c>
      <c r="I1052" s="23" t="s">
        <v>52</v>
      </c>
      <c r="J1052" s="23" t="s">
        <v>61</v>
      </c>
      <c r="K1052" s="24" t="s">
        <v>177</v>
      </c>
      <c r="L1052" s="24">
        <v>158</v>
      </c>
      <c r="M1052" s="12">
        <v>5042.1469098554444</v>
      </c>
      <c r="N1052" s="12">
        <v>5042.1469098554444</v>
      </c>
      <c r="O1052" s="12">
        <v>958.00791287253378</v>
      </c>
      <c r="P1052" s="13"/>
      <c r="Q1052" s="14">
        <v>2025</v>
      </c>
      <c r="R1052" s="15">
        <v>45474</v>
      </c>
      <c r="S1052" s="11" t="s">
        <v>364</v>
      </c>
      <c r="T1052" s="16">
        <v>500</v>
      </c>
      <c r="U1052" s="17"/>
      <c r="V1052" s="12">
        <v>1785.4242207798129</v>
      </c>
      <c r="W1052" s="12">
        <v>1785.4242207798129</v>
      </c>
      <c r="X1052" s="12">
        <v>0</v>
      </c>
      <c r="Y1052" s="18">
        <v>45845</v>
      </c>
      <c r="Z1052" s="13" t="s">
        <v>515</v>
      </c>
      <c r="AA1052" s="19" t="s">
        <v>373</v>
      </c>
      <c r="AB1052" s="13" t="s">
        <v>357</v>
      </c>
      <c r="AC1052" s="13" t="s">
        <v>383</v>
      </c>
      <c r="AD1052" s="20"/>
      <c r="AE1052" s="20"/>
      <c r="AF1052" s="13" t="s">
        <v>40</v>
      </c>
      <c r="AG1052" s="15">
        <v>45474</v>
      </c>
      <c r="AH1052" s="13" t="s">
        <v>41</v>
      </c>
      <c r="AI1052" s="13" t="s">
        <v>35</v>
      </c>
      <c r="AJ1052" s="13" t="s">
        <v>365</v>
      </c>
      <c r="AK1052" s="14">
        <v>-0.5</v>
      </c>
      <c r="AL1052" s="17"/>
      <c r="AM1052" s="17"/>
      <c r="AN1052" s="17"/>
      <c r="AO1052" s="17"/>
      <c r="AP1052" s="17"/>
      <c r="AQ1052" s="17"/>
      <c r="AR1052" s="17"/>
      <c r="AS1052" s="17"/>
      <c r="AT1052" s="17"/>
      <c r="AU1052" s="17"/>
      <c r="AV1052" s="17"/>
    </row>
    <row r="1053" spans="1:48" ht="15.75" customHeight="1">
      <c r="A1053" s="21" t="s">
        <v>35</v>
      </c>
      <c r="B1053" s="23" t="s">
        <v>1692</v>
      </c>
      <c r="C1053" s="22">
        <v>45846</v>
      </c>
      <c r="D1053" s="23" t="s">
        <v>319</v>
      </c>
      <c r="E1053" s="23" t="s">
        <v>46</v>
      </c>
      <c r="F1053" s="21">
        <v>1</v>
      </c>
      <c r="G1053" s="12">
        <v>6000.1548227279782</v>
      </c>
      <c r="H1053" s="12">
        <v>6000.1548227279782</v>
      </c>
      <c r="I1053" s="23" t="s">
        <v>52</v>
      </c>
      <c r="J1053" s="23" t="s">
        <v>61</v>
      </c>
      <c r="K1053" s="24" t="s">
        <v>177</v>
      </c>
      <c r="L1053" s="24">
        <v>158</v>
      </c>
      <c r="M1053" s="12">
        <v>5042.1469098554444</v>
      </c>
      <c r="N1053" s="12">
        <v>5042.1469098554444</v>
      </c>
      <c r="O1053" s="12">
        <v>958.00791287253378</v>
      </c>
      <c r="P1053" s="13"/>
      <c r="Q1053" s="14">
        <v>2025</v>
      </c>
      <c r="R1053" s="15">
        <v>45474</v>
      </c>
      <c r="S1053" s="11" t="s">
        <v>364</v>
      </c>
      <c r="T1053" s="16">
        <v>500</v>
      </c>
      <c r="U1053" s="17"/>
      <c r="V1053" s="12">
        <v>1785.4242207798129</v>
      </c>
      <c r="W1053" s="12">
        <v>1785.4242207798129</v>
      </c>
      <c r="X1053" s="12">
        <v>0</v>
      </c>
      <c r="Y1053" s="18">
        <v>45845</v>
      </c>
      <c r="Z1053" s="13" t="s">
        <v>516</v>
      </c>
      <c r="AA1053" s="19" t="s">
        <v>373</v>
      </c>
      <c r="AB1053" s="13" t="s">
        <v>357</v>
      </c>
      <c r="AC1053" s="13" t="s">
        <v>467</v>
      </c>
      <c r="AD1053" s="20"/>
      <c r="AE1053" s="20"/>
      <c r="AF1053" s="13" t="s">
        <v>40</v>
      </c>
      <c r="AG1053" s="15">
        <v>45474</v>
      </c>
      <c r="AH1053" s="13" t="s">
        <v>41</v>
      </c>
      <c r="AI1053" s="13" t="s">
        <v>35</v>
      </c>
      <c r="AJ1053" s="13" t="s">
        <v>365</v>
      </c>
      <c r="AK1053" s="14">
        <v>-0.5</v>
      </c>
      <c r="AL1053" s="17"/>
      <c r="AM1053" s="17"/>
      <c r="AN1053" s="17"/>
      <c r="AO1053" s="17"/>
      <c r="AP1053" s="17"/>
      <c r="AQ1053" s="17"/>
      <c r="AR1053" s="17"/>
      <c r="AS1053" s="17"/>
      <c r="AT1053" s="17"/>
      <c r="AU1053" s="17"/>
      <c r="AV1053" s="17"/>
    </row>
    <row r="1054" spans="1:48" ht="15.75" customHeight="1">
      <c r="A1054" s="21" t="s">
        <v>35</v>
      </c>
      <c r="B1054" s="23" t="s">
        <v>1692</v>
      </c>
      <c r="C1054" s="22">
        <v>45846</v>
      </c>
      <c r="D1054" s="23" t="s">
        <v>319</v>
      </c>
      <c r="E1054" s="23" t="s">
        <v>160</v>
      </c>
      <c r="F1054" s="21">
        <v>1</v>
      </c>
      <c r="G1054" s="26">
        <v>-1000</v>
      </c>
      <c r="H1054" s="12">
        <v>-1000</v>
      </c>
      <c r="I1054" s="23" t="s">
        <v>52</v>
      </c>
      <c r="J1054" s="23" t="s">
        <v>61</v>
      </c>
      <c r="K1054" s="24" t="s">
        <v>177</v>
      </c>
      <c r="L1054" s="24">
        <v>158</v>
      </c>
      <c r="M1054" s="12">
        <v>-840.3361344537816</v>
      </c>
      <c r="N1054" s="12">
        <v>-840.3361344537816</v>
      </c>
      <c r="O1054" s="12">
        <v>-159.6638655462184</v>
      </c>
      <c r="P1054" s="13"/>
      <c r="Q1054" s="14">
        <v>2025</v>
      </c>
      <c r="R1054" s="15">
        <v>45474</v>
      </c>
      <c r="S1054" s="11" t="s">
        <v>160</v>
      </c>
      <c r="T1054" s="16">
        <v>1000</v>
      </c>
      <c r="U1054" s="17"/>
      <c r="V1054" s="26">
        <v>-1000</v>
      </c>
      <c r="W1054" s="12">
        <v>-1000</v>
      </c>
      <c r="X1054" s="12">
        <v>0</v>
      </c>
      <c r="Y1054" s="18">
        <v>45845</v>
      </c>
      <c r="Z1054" s="13" t="s">
        <v>516</v>
      </c>
      <c r="AA1054" s="19" t="s">
        <v>373</v>
      </c>
      <c r="AB1054" s="13" t="s">
        <v>357</v>
      </c>
      <c r="AC1054" s="13" t="s">
        <v>467</v>
      </c>
      <c r="AD1054" s="20"/>
      <c r="AE1054" s="20"/>
      <c r="AF1054" s="13" t="s">
        <v>40</v>
      </c>
      <c r="AG1054" s="15">
        <v>45474</v>
      </c>
      <c r="AH1054" s="13" t="s">
        <v>41</v>
      </c>
      <c r="AI1054" s="13" t="s">
        <v>35</v>
      </c>
      <c r="AJ1054" s="13" t="s">
        <v>160</v>
      </c>
      <c r="AK1054" s="14">
        <v>-1</v>
      </c>
      <c r="AL1054" s="17"/>
      <c r="AM1054" s="17"/>
      <c r="AN1054" s="17"/>
      <c r="AO1054" s="17"/>
      <c r="AP1054" s="17"/>
      <c r="AQ1054" s="17"/>
      <c r="AR1054" s="17"/>
      <c r="AS1054" s="17"/>
      <c r="AT1054" s="17"/>
      <c r="AU1054" s="17"/>
      <c r="AV1054" s="17"/>
    </row>
    <row r="1055" spans="1:48" ht="15.75" customHeight="1">
      <c r="A1055" s="21" t="s">
        <v>56</v>
      </c>
      <c r="B1055" s="23" t="s">
        <v>1692</v>
      </c>
      <c r="C1055" s="22">
        <v>45846</v>
      </c>
      <c r="D1055" s="23" t="s">
        <v>319</v>
      </c>
      <c r="E1055" s="23" t="s">
        <v>190</v>
      </c>
      <c r="F1055" s="21">
        <v>1</v>
      </c>
      <c r="G1055" s="12">
        <v>2499.8855507868384</v>
      </c>
      <c r="H1055" s="12">
        <v>2499.8855507868384</v>
      </c>
      <c r="I1055" s="23" t="s">
        <v>52</v>
      </c>
      <c r="J1055" s="23" t="s">
        <v>61</v>
      </c>
      <c r="K1055" s="24" t="s">
        <v>177</v>
      </c>
      <c r="L1055" s="24">
        <v>158</v>
      </c>
      <c r="M1055" s="12">
        <v>2100.7441603250745</v>
      </c>
      <c r="N1055" s="12">
        <v>2100.7441603250745</v>
      </c>
      <c r="O1055" s="12">
        <v>399.14139046176388</v>
      </c>
      <c r="P1055" s="13"/>
      <c r="Q1055" s="14">
        <v>2025</v>
      </c>
      <c r="R1055" s="15">
        <v>45474</v>
      </c>
      <c r="S1055" s="11" t="s">
        <v>492</v>
      </c>
      <c r="T1055" s="16">
        <v>200</v>
      </c>
      <c r="U1055" s="17"/>
      <c r="V1055" s="12">
        <v>632.32399225784707</v>
      </c>
      <c r="W1055" s="12">
        <v>632.32399225784707</v>
      </c>
      <c r="X1055" s="12">
        <v>0</v>
      </c>
      <c r="Y1055" s="18">
        <v>45845</v>
      </c>
      <c r="Z1055" s="13" t="s">
        <v>516</v>
      </c>
      <c r="AA1055" s="19" t="s">
        <v>373</v>
      </c>
      <c r="AB1055" s="13" t="s">
        <v>357</v>
      </c>
      <c r="AC1055" s="13" t="s">
        <v>467</v>
      </c>
      <c r="AD1055" s="20"/>
      <c r="AE1055" s="20"/>
      <c r="AF1055" s="13" t="s">
        <v>40</v>
      </c>
      <c r="AG1055" s="15">
        <v>45474</v>
      </c>
      <c r="AH1055" s="13" t="s">
        <v>41</v>
      </c>
      <c r="AI1055" s="13" t="s">
        <v>56</v>
      </c>
      <c r="AJ1055" s="13" t="s">
        <v>493</v>
      </c>
      <c r="AK1055" s="14">
        <v>-1</v>
      </c>
      <c r="AL1055" s="17"/>
      <c r="AM1055" s="17"/>
      <c r="AN1055" s="17"/>
      <c r="AO1055" s="17"/>
      <c r="AP1055" s="17"/>
      <c r="AQ1055" s="17"/>
      <c r="AR1055" s="17"/>
      <c r="AS1055" s="17"/>
      <c r="AT1055" s="17"/>
      <c r="AU1055" s="17"/>
      <c r="AV1055" s="17"/>
    </row>
    <row r="1056" spans="1:48" ht="15.75" customHeight="1">
      <c r="A1056" s="21" t="s">
        <v>43</v>
      </c>
      <c r="B1056" s="23" t="s">
        <v>1692</v>
      </c>
      <c r="C1056" s="22">
        <v>45846</v>
      </c>
      <c r="D1056" s="23" t="s">
        <v>319</v>
      </c>
      <c r="E1056" s="23" t="s">
        <v>45</v>
      </c>
      <c r="F1056" s="21">
        <v>1</v>
      </c>
      <c r="G1056" s="12">
        <v>8199.8861047835999</v>
      </c>
      <c r="H1056" s="12">
        <v>8199.8861047835999</v>
      </c>
      <c r="I1056" s="23" t="s">
        <v>52</v>
      </c>
      <c r="J1056" s="23" t="s">
        <v>61</v>
      </c>
      <c r="K1056" s="24" t="s">
        <v>177</v>
      </c>
      <c r="L1056" s="24">
        <v>158</v>
      </c>
      <c r="M1056" s="12">
        <v>6890.6605922551262</v>
      </c>
      <c r="N1056" s="12">
        <v>6890.6605922551262</v>
      </c>
      <c r="O1056" s="12">
        <v>1309.2255125284737</v>
      </c>
      <c r="P1056" s="13"/>
      <c r="Q1056" s="14">
        <v>2025</v>
      </c>
      <c r="R1056" s="15">
        <v>45474</v>
      </c>
      <c r="S1056" s="11" t="s">
        <v>355</v>
      </c>
      <c r="T1056" s="16">
        <v>0</v>
      </c>
      <c r="U1056" s="17"/>
      <c r="V1056" s="12">
        <v>1445.6605922551253</v>
      </c>
      <c r="W1056" s="12">
        <v>1445.6605922551253</v>
      </c>
      <c r="X1056" s="12">
        <v>0</v>
      </c>
      <c r="Y1056" s="18">
        <v>45845</v>
      </c>
      <c r="Z1056" s="13" t="s">
        <v>516</v>
      </c>
      <c r="AA1056" s="19" t="s">
        <v>373</v>
      </c>
      <c r="AB1056" s="13" t="s">
        <v>357</v>
      </c>
      <c r="AC1056" s="13" t="s">
        <v>467</v>
      </c>
      <c r="AD1056" s="20"/>
      <c r="AE1056" s="20"/>
      <c r="AF1056" s="13" t="s">
        <v>40</v>
      </c>
      <c r="AG1056" s="15">
        <v>45474</v>
      </c>
      <c r="AH1056" s="13" t="s">
        <v>41</v>
      </c>
      <c r="AI1056" s="13" t="s">
        <v>43</v>
      </c>
      <c r="AJ1056" s="13" t="s">
        <v>359</v>
      </c>
      <c r="AK1056" s="14">
        <v>-1</v>
      </c>
      <c r="AL1056" s="17"/>
      <c r="AM1056" s="17"/>
      <c r="AN1056" s="17"/>
      <c r="AO1056" s="17"/>
      <c r="AP1056" s="17"/>
      <c r="AQ1056" s="17"/>
      <c r="AR1056" s="17"/>
      <c r="AS1056" s="17"/>
      <c r="AT1056" s="17"/>
      <c r="AU1056" s="17"/>
      <c r="AV1056" s="17"/>
    </row>
    <row r="1057" spans="1:48" ht="15.75" customHeight="1">
      <c r="A1057" s="21" t="s">
        <v>76</v>
      </c>
      <c r="B1057" s="23" t="s">
        <v>1692</v>
      </c>
      <c r="C1057" s="22">
        <v>45846</v>
      </c>
      <c r="D1057" s="23" t="s">
        <v>319</v>
      </c>
      <c r="E1057" s="23" t="s">
        <v>201</v>
      </c>
      <c r="F1057" s="21">
        <v>1</v>
      </c>
      <c r="G1057" s="12">
        <v>1499.6316758747698</v>
      </c>
      <c r="H1057" s="12">
        <v>1499.6316758747698</v>
      </c>
      <c r="I1057" s="23" t="s">
        <v>52</v>
      </c>
      <c r="J1057" s="23" t="s">
        <v>61</v>
      </c>
      <c r="K1057" s="24" t="s">
        <v>177</v>
      </c>
      <c r="L1057" s="24">
        <v>158</v>
      </c>
      <c r="M1057" s="12">
        <v>1260.1946856090503</v>
      </c>
      <c r="N1057" s="12">
        <v>1260.1946856090503</v>
      </c>
      <c r="O1057" s="12">
        <v>239.43699026571949</v>
      </c>
      <c r="P1057" s="13"/>
      <c r="Q1057" s="14">
        <v>2025</v>
      </c>
      <c r="R1057" s="15">
        <v>45474</v>
      </c>
      <c r="S1057" s="11" t="s">
        <v>479</v>
      </c>
      <c r="T1057" s="16">
        <v>0</v>
      </c>
      <c r="U1057" s="17"/>
      <c r="V1057" s="12">
        <v>461.86135227571697</v>
      </c>
      <c r="W1057" s="12">
        <v>461.86135227571697</v>
      </c>
      <c r="X1057" s="12">
        <v>0</v>
      </c>
      <c r="Y1057" s="18">
        <v>45845</v>
      </c>
      <c r="Z1057" s="13" t="s">
        <v>516</v>
      </c>
      <c r="AA1057" s="19" t="s">
        <v>373</v>
      </c>
      <c r="AB1057" s="13" t="s">
        <v>357</v>
      </c>
      <c r="AC1057" s="13" t="s">
        <v>467</v>
      </c>
      <c r="AD1057" s="20"/>
      <c r="AE1057" s="20"/>
      <c r="AF1057" s="13" t="s">
        <v>40</v>
      </c>
      <c r="AG1057" s="15">
        <v>45474</v>
      </c>
      <c r="AH1057" s="13" t="s">
        <v>41</v>
      </c>
      <c r="AI1057" s="13" t="s">
        <v>76</v>
      </c>
      <c r="AJ1057" s="13" t="s">
        <v>517</v>
      </c>
      <c r="AK1057" s="14">
        <v>-1</v>
      </c>
      <c r="AL1057" s="17"/>
      <c r="AM1057" s="17"/>
      <c r="AN1057" s="17"/>
      <c r="AO1057" s="17"/>
      <c r="AP1057" s="17"/>
      <c r="AQ1057" s="17"/>
      <c r="AR1057" s="17"/>
      <c r="AS1057" s="17"/>
      <c r="AT1057" s="17"/>
      <c r="AU1057" s="17"/>
      <c r="AV1057" s="17"/>
    </row>
    <row r="1058" spans="1:48" ht="15.75" customHeight="1">
      <c r="A1058" s="21" t="s">
        <v>53</v>
      </c>
      <c r="B1058" s="23" t="s">
        <v>1692</v>
      </c>
      <c r="C1058" s="22">
        <v>45846</v>
      </c>
      <c r="D1058" s="23" t="s">
        <v>319</v>
      </c>
      <c r="E1058" s="23" t="s">
        <v>150</v>
      </c>
      <c r="F1058" s="21">
        <v>1</v>
      </c>
      <c r="G1058" s="12">
        <v>1799.8965445892823</v>
      </c>
      <c r="H1058" s="12">
        <v>1799.8965445892823</v>
      </c>
      <c r="I1058" s="23" t="s">
        <v>52</v>
      </c>
      <c r="J1058" s="23" t="s">
        <v>61</v>
      </c>
      <c r="K1058" s="24" t="s">
        <v>177</v>
      </c>
      <c r="L1058" s="24">
        <v>158</v>
      </c>
      <c r="M1058" s="12">
        <v>1512.518104696876</v>
      </c>
      <c r="N1058" s="12">
        <v>1512.518104696876</v>
      </c>
      <c r="O1058" s="12">
        <v>287.37843989240628</v>
      </c>
      <c r="P1058" s="13"/>
      <c r="Q1058" s="14">
        <v>2025</v>
      </c>
      <c r="R1058" s="15">
        <v>45474</v>
      </c>
      <c r="S1058" s="11" t="s">
        <v>381</v>
      </c>
      <c r="T1058" s="16">
        <v>300</v>
      </c>
      <c r="U1058" s="17"/>
      <c r="V1058" s="12">
        <v>781.51810469687575</v>
      </c>
      <c r="W1058" s="12">
        <v>781.51810469687575</v>
      </c>
      <c r="X1058" s="12">
        <v>0</v>
      </c>
      <c r="Y1058" s="18">
        <v>45845</v>
      </c>
      <c r="Z1058" s="13" t="s">
        <v>516</v>
      </c>
      <c r="AA1058" s="19" t="s">
        <v>373</v>
      </c>
      <c r="AB1058" s="13" t="s">
        <v>357</v>
      </c>
      <c r="AC1058" s="13" t="s">
        <v>467</v>
      </c>
      <c r="AD1058" s="20"/>
      <c r="AE1058" s="20"/>
      <c r="AF1058" s="13" t="s">
        <v>40</v>
      </c>
      <c r="AG1058" s="15">
        <v>45474</v>
      </c>
      <c r="AH1058" s="13" t="s">
        <v>41</v>
      </c>
      <c r="AI1058" s="13" t="s">
        <v>53</v>
      </c>
      <c r="AJ1058" s="13" t="s">
        <v>382</v>
      </c>
      <c r="AK1058" s="14">
        <v>-1</v>
      </c>
      <c r="AL1058" s="17"/>
      <c r="AM1058" s="17"/>
      <c r="AN1058" s="17"/>
      <c r="AO1058" s="17"/>
      <c r="AP1058" s="17"/>
      <c r="AQ1058" s="17"/>
      <c r="AR1058" s="17"/>
      <c r="AS1058" s="17"/>
      <c r="AT1058" s="17"/>
      <c r="AU1058" s="17"/>
      <c r="AV1058" s="17"/>
    </row>
    <row r="1059" spans="1:48" ht="15.75" customHeight="1">
      <c r="A1059" s="21" t="s">
        <v>53</v>
      </c>
      <c r="B1059" s="23" t="s">
        <v>1692</v>
      </c>
      <c r="C1059" s="22">
        <v>45846</v>
      </c>
      <c r="D1059" s="23" t="s">
        <v>319</v>
      </c>
      <c r="E1059" s="23" t="s">
        <v>518</v>
      </c>
      <c r="F1059" s="21">
        <v>1</v>
      </c>
      <c r="G1059" s="12">
        <v>2500.0347826086959</v>
      </c>
      <c r="H1059" s="12">
        <v>2500.0347826086959</v>
      </c>
      <c r="I1059" s="23" t="s">
        <v>52</v>
      </c>
      <c r="J1059" s="23" t="s">
        <v>61</v>
      </c>
      <c r="K1059" s="24" t="s">
        <v>177</v>
      </c>
      <c r="L1059" s="24">
        <v>158</v>
      </c>
      <c r="M1059" s="12">
        <v>2100.8695652173915</v>
      </c>
      <c r="N1059" s="12">
        <v>2100.8695652173915</v>
      </c>
      <c r="O1059" s="12">
        <v>399.1652173913044</v>
      </c>
      <c r="P1059" s="13"/>
      <c r="Q1059" s="14">
        <v>2025</v>
      </c>
      <c r="R1059" s="15">
        <v>45474</v>
      </c>
      <c r="S1059" s="11" t="s">
        <v>435</v>
      </c>
      <c r="T1059" s="16">
        <v>0</v>
      </c>
      <c r="U1059" s="17"/>
      <c r="V1059" s="12">
        <v>892.86956521739148</v>
      </c>
      <c r="W1059" s="12">
        <v>892.86956521739148</v>
      </c>
      <c r="X1059" s="12">
        <v>0</v>
      </c>
      <c r="Y1059" s="18">
        <v>45845</v>
      </c>
      <c r="Z1059" s="13" t="s">
        <v>516</v>
      </c>
      <c r="AA1059" s="19" t="s">
        <v>373</v>
      </c>
      <c r="AB1059" s="13" t="s">
        <v>357</v>
      </c>
      <c r="AC1059" s="13" t="s">
        <v>467</v>
      </c>
      <c r="AD1059" s="20"/>
      <c r="AE1059" s="20"/>
      <c r="AF1059" s="13" t="s">
        <v>40</v>
      </c>
      <c r="AG1059" s="15">
        <v>45474</v>
      </c>
      <c r="AH1059" s="13" t="s">
        <v>41</v>
      </c>
      <c r="AI1059" s="13" t="s">
        <v>53</v>
      </c>
      <c r="AJ1059" s="13" t="s">
        <v>436</v>
      </c>
      <c r="AK1059" s="14">
        <v>-1</v>
      </c>
      <c r="AL1059" s="17"/>
      <c r="AM1059" s="17"/>
      <c r="AN1059" s="17"/>
      <c r="AO1059" s="17"/>
      <c r="AP1059" s="17"/>
      <c r="AQ1059" s="17"/>
      <c r="AR1059" s="17"/>
      <c r="AS1059" s="17"/>
      <c r="AT1059" s="17"/>
      <c r="AU1059" s="17"/>
      <c r="AV1059" s="17"/>
    </row>
    <row r="1060" spans="1:48" ht="15.75" customHeight="1">
      <c r="A1060" s="21" t="s">
        <v>76</v>
      </c>
      <c r="B1060" s="23" t="s">
        <v>1692</v>
      </c>
      <c r="C1060" s="22">
        <v>45846</v>
      </c>
      <c r="D1060" s="23" t="s">
        <v>519</v>
      </c>
      <c r="E1060" s="23" t="s">
        <v>81</v>
      </c>
      <c r="F1060" s="21">
        <v>1</v>
      </c>
      <c r="G1060" s="12">
        <v>3500.0000000000005</v>
      </c>
      <c r="H1060" s="12">
        <v>3500.0000000000005</v>
      </c>
      <c r="I1060" s="23" t="s">
        <v>52</v>
      </c>
      <c r="J1060" s="23" t="s">
        <v>61</v>
      </c>
      <c r="K1060" s="24" t="s">
        <v>177</v>
      </c>
      <c r="L1060" s="24">
        <v>158</v>
      </c>
      <c r="M1060" s="12">
        <v>2941.1764705882356</v>
      </c>
      <c r="N1060" s="12">
        <v>2941.1764705882356</v>
      </c>
      <c r="O1060" s="12">
        <v>558.82352941176487</v>
      </c>
      <c r="P1060" s="13"/>
      <c r="Q1060" s="14">
        <v>2025</v>
      </c>
      <c r="R1060" s="15">
        <v>45474</v>
      </c>
      <c r="S1060" s="11" t="s">
        <v>397</v>
      </c>
      <c r="T1060" s="16">
        <v>5</v>
      </c>
      <c r="U1060" s="17"/>
      <c r="V1060" s="12">
        <v>764.70588235294144</v>
      </c>
      <c r="W1060" s="12">
        <v>764.70588235294144</v>
      </c>
      <c r="X1060" s="12">
        <v>0</v>
      </c>
      <c r="Y1060" s="18">
        <v>45845</v>
      </c>
      <c r="Z1060" s="13" t="s">
        <v>516</v>
      </c>
      <c r="AA1060" s="23" t="s">
        <v>373</v>
      </c>
      <c r="AB1060" s="23" t="s">
        <v>357</v>
      </c>
      <c r="AC1060" s="23" t="s">
        <v>520</v>
      </c>
      <c r="AD1060" s="20"/>
      <c r="AE1060" s="20"/>
      <c r="AF1060" s="13" t="s">
        <v>40</v>
      </c>
      <c r="AG1060" s="15">
        <v>45474</v>
      </c>
      <c r="AH1060" s="13" t="s">
        <v>41</v>
      </c>
      <c r="AI1060" s="13" t="s">
        <v>76</v>
      </c>
      <c r="AJ1060" s="13" t="s">
        <v>398</v>
      </c>
      <c r="AK1060" s="14">
        <v>-1</v>
      </c>
      <c r="AL1060" s="17"/>
      <c r="AM1060" s="17"/>
      <c r="AN1060" s="17"/>
      <c r="AO1060" s="17"/>
      <c r="AP1060" s="17"/>
      <c r="AQ1060" s="17"/>
      <c r="AR1060" s="17"/>
      <c r="AS1060" s="17"/>
      <c r="AT1060" s="17"/>
      <c r="AU1060" s="17"/>
      <c r="AV1060" s="17"/>
    </row>
    <row r="1061" spans="1:48" ht="15.75" customHeight="1">
      <c r="A1061" s="21" t="s">
        <v>76</v>
      </c>
      <c r="B1061" s="23" t="s">
        <v>1692</v>
      </c>
      <c r="C1061" s="22">
        <v>45846</v>
      </c>
      <c r="D1061" s="23" t="s">
        <v>519</v>
      </c>
      <c r="E1061" s="23" t="s">
        <v>82</v>
      </c>
      <c r="F1061" s="21">
        <v>1</v>
      </c>
      <c r="G1061" s="12">
        <v>2000.0000000000002</v>
      </c>
      <c r="H1061" s="12">
        <v>2000.0000000000002</v>
      </c>
      <c r="I1061" s="23" t="s">
        <v>52</v>
      </c>
      <c r="J1061" s="23" t="s">
        <v>61</v>
      </c>
      <c r="K1061" s="24" t="s">
        <v>177</v>
      </c>
      <c r="L1061" s="24">
        <v>158</v>
      </c>
      <c r="M1061" s="12">
        <v>1680.6722689075632</v>
      </c>
      <c r="N1061" s="12">
        <v>1680.6722689075632</v>
      </c>
      <c r="O1061" s="12">
        <v>319.32773109243703</v>
      </c>
      <c r="P1061" s="13"/>
      <c r="Q1061" s="14">
        <v>2025</v>
      </c>
      <c r="R1061" s="15">
        <v>45474</v>
      </c>
      <c r="S1061" s="11" t="s">
        <v>463</v>
      </c>
      <c r="T1061" s="16">
        <v>5</v>
      </c>
      <c r="U1061" s="17"/>
      <c r="V1061" s="12">
        <v>680.67226890756319</v>
      </c>
      <c r="W1061" s="12">
        <v>680.67226890756319</v>
      </c>
      <c r="X1061" s="12">
        <v>0</v>
      </c>
      <c r="Y1061" s="18">
        <v>45845</v>
      </c>
      <c r="Z1061" s="13" t="s">
        <v>516</v>
      </c>
      <c r="AA1061" s="23" t="s">
        <v>373</v>
      </c>
      <c r="AB1061" s="23" t="s">
        <v>357</v>
      </c>
      <c r="AC1061" s="23" t="s">
        <v>520</v>
      </c>
      <c r="AD1061" s="20"/>
      <c r="AE1061" s="20"/>
      <c r="AF1061" s="13" t="s">
        <v>40</v>
      </c>
      <c r="AG1061" s="15">
        <v>45474</v>
      </c>
      <c r="AH1061" s="13" t="s">
        <v>41</v>
      </c>
      <c r="AI1061" s="13" t="s">
        <v>76</v>
      </c>
      <c r="AJ1061" s="13" t="s">
        <v>464</v>
      </c>
      <c r="AK1061" s="14">
        <v>-1</v>
      </c>
      <c r="AL1061" s="17"/>
      <c r="AM1061" s="17"/>
      <c r="AN1061" s="17"/>
      <c r="AO1061" s="17"/>
      <c r="AP1061" s="17"/>
      <c r="AQ1061" s="17"/>
      <c r="AR1061" s="17"/>
      <c r="AS1061" s="17"/>
      <c r="AT1061" s="17"/>
      <c r="AU1061" s="17"/>
      <c r="AV1061" s="17"/>
    </row>
    <row r="1062" spans="1:48" ht="15.75" customHeight="1">
      <c r="A1062" s="21" t="s">
        <v>47</v>
      </c>
      <c r="B1062" s="23" t="s">
        <v>1692</v>
      </c>
      <c r="C1062" s="22">
        <v>45846</v>
      </c>
      <c r="D1062" s="23" t="s">
        <v>519</v>
      </c>
      <c r="E1062" s="23" t="s">
        <v>521</v>
      </c>
      <c r="F1062" s="21">
        <v>1</v>
      </c>
      <c r="G1062" s="12">
        <v>600.32200357781755</v>
      </c>
      <c r="H1062" s="12">
        <v>600.32200357781755</v>
      </c>
      <c r="I1062" s="23" t="s">
        <v>52</v>
      </c>
      <c r="J1062" s="23" t="s">
        <v>61</v>
      </c>
      <c r="K1062" s="24" t="s">
        <v>177</v>
      </c>
      <c r="L1062" s="24">
        <v>158</v>
      </c>
      <c r="M1062" s="12">
        <v>504.47227191413242</v>
      </c>
      <c r="N1062" s="12">
        <v>504.47227191413242</v>
      </c>
      <c r="O1062" s="12">
        <v>95.849731663685134</v>
      </c>
      <c r="P1062" s="13"/>
      <c r="Q1062" s="14">
        <v>2025</v>
      </c>
      <c r="R1062" s="15">
        <v>45474</v>
      </c>
      <c r="S1062" s="11" t="s">
        <v>453</v>
      </c>
      <c r="T1062" s="16">
        <v>0</v>
      </c>
      <c r="U1062" s="17"/>
      <c r="V1062" s="12">
        <v>222.47227191413242</v>
      </c>
      <c r="W1062" s="12">
        <v>222.47227191413242</v>
      </c>
      <c r="X1062" s="12">
        <v>0</v>
      </c>
      <c r="Y1062" s="18">
        <v>45845</v>
      </c>
      <c r="Z1062" s="13" t="s">
        <v>516</v>
      </c>
      <c r="AA1062" s="23" t="s">
        <v>373</v>
      </c>
      <c r="AB1062" s="23" t="s">
        <v>357</v>
      </c>
      <c r="AC1062" s="23" t="s">
        <v>520</v>
      </c>
      <c r="AD1062" s="20"/>
      <c r="AE1062" s="20"/>
      <c r="AF1062" s="13" t="s">
        <v>40</v>
      </c>
      <c r="AG1062" s="15">
        <v>45474</v>
      </c>
      <c r="AH1062" s="13" t="s">
        <v>41</v>
      </c>
      <c r="AI1062" s="13" t="s">
        <v>47</v>
      </c>
      <c r="AJ1062" s="13" t="s">
        <v>491</v>
      </c>
      <c r="AK1062" s="14">
        <v>-1</v>
      </c>
      <c r="AL1062" s="17"/>
      <c r="AM1062" s="17"/>
      <c r="AN1062" s="17"/>
      <c r="AO1062" s="17"/>
      <c r="AP1062" s="17"/>
      <c r="AQ1062" s="17"/>
      <c r="AR1062" s="17"/>
      <c r="AS1062" s="17"/>
      <c r="AT1062" s="17"/>
      <c r="AU1062" s="17"/>
      <c r="AV1062" s="17"/>
    </row>
    <row r="1063" spans="1:48" ht="15.75" customHeight="1">
      <c r="A1063" s="21" t="s">
        <v>47</v>
      </c>
      <c r="B1063" s="23" t="s">
        <v>1692</v>
      </c>
      <c r="C1063" s="22">
        <v>45846</v>
      </c>
      <c r="D1063" s="23" t="s">
        <v>519</v>
      </c>
      <c r="E1063" s="23" t="s">
        <v>343</v>
      </c>
      <c r="F1063" s="21">
        <v>1</v>
      </c>
      <c r="G1063" s="12">
        <v>2500</v>
      </c>
      <c r="H1063" s="12">
        <v>2500</v>
      </c>
      <c r="I1063" s="23" t="s">
        <v>52</v>
      </c>
      <c r="J1063" s="23" t="s">
        <v>61</v>
      </c>
      <c r="K1063" s="24" t="s">
        <v>177</v>
      </c>
      <c r="L1063" s="24">
        <v>158</v>
      </c>
      <c r="M1063" s="12">
        <v>2100.840336134454</v>
      </c>
      <c r="N1063" s="12">
        <v>2100.840336134454</v>
      </c>
      <c r="O1063" s="12">
        <v>399.15966386554601</v>
      </c>
      <c r="P1063" s="13"/>
      <c r="Q1063" s="14">
        <v>2025</v>
      </c>
      <c r="R1063" s="15">
        <v>45474</v>
      </c>
      <c r="S1063" s="11" t="s">
        <v>414</v>
      </c>
      <c r="T1063" s="16">
        <v>0</v>
      </c>
      <c r="U1063" s="17"/>
      <c r="V1063" s="12">
        <v>621.84873949579855</v>
      </c>
      <c r="W1063" s="12">
        <v>621.84873949579855</v>
      </c>
      <c r="X1063" s="12">
        <v>0</v>
      </c>
      <c r="Y1063" s="18">
        <v>45845</v>
      </c>
      <c r="Z1063" s="13" t="s">
        <v>516</v>
      </c>
      <c r="AA1063" s="23" t="s">
        <v>373</v>
      </c>
      <c r="AB1063" s="23" t="s">
        <v>357</v>
      </c>
      <c r="AC1063" s="23" t="s">
        <v>520</v>
      </c>
      <c r="AD1063" s="20"/>
      <c r="AE1063" s="20"/>
      <c r="AF1063" s="13" t="s">
        <v>40</v>
      </c>
      <c r="AG1063" s="15">
        <v>45474</v>
      </c>
      <c r="AH1063" s="13" t="s">
        <v>41</v>
      </c>
      <c r="AI1063" s="13" t="s">
        <v>47</v>
      </c>
      <c r="AJ1063" s="13" t="s">
        <v>415</v>
      </c>
      <c r="AK1063" s="14">
        <v>-1</v>
      </c>
      <c r="AL1063" s="17"/>
      <c r="AM1063" s="17"/>
      <c r="AN1063" s="17"/>
      <c r="AO1063" s="17"/>
      <c r="AP1063" s="17"/>
      <c r="AQ1063" s="17"/>
      <c r="AR1063" s="17"/>
      <c r="AS1063" s="17"/>
      <c r="AT1063" s="17"/>
      <c r="AU1063" s="17"/>
      <c r="AV1063" s="17"/>
    </row>
    <row r="1064" spans="1:48" ht="15.75" customHeight="1">
      <c r="A1064" s="21" t="s">
        <v>53</v>
      </c>
      <c r="B1064" s="23" t="s">
        <v>1692</v>
      </c>
      <c r="C1064" s="22">
        <v>45846</v>
      </c>
      <c r="D1064" s="23" t="s">
        <v>230</v>
      </c>
      <c r="E1064" s="23" t="s">
        <v>114</v>
      </c>
      <c r="F1064" s="21">
        <v>2</v>
      </c>
      <c r="G1064" s="12">
        <v>10500</v>
      </c>
      <c r="H1064" s="12">
        <v>21000</v>
      </c>
      <c r="I1064" s="23" t="s">
        <v>52</v>
      </c>
      <c r="J1064" s="23" t="s">
        <v>61</v>
      </c>
      <c r="K1064" s="24" t="s">
        <v>177</v>
      </c>
      <c r="L1064" s="24">
        <v>158</v>
      </c>
      <c r="M1064" s="12">
        <v>8823.5294117647063</v>
      </c>
      <c r="N1064" s="12">
        <v>17647.058823529413</v>
      </c>
      <c r="O1064" s="12">
        <v>3352.9411764705874</v>
      </c>
      <c r="P1064" s="13"/>
      <c r="Q1064" s="14">
        <v>2025</v>
      </c>
      <c r="R1064" s="15">
        <v>45474</v>
      </c>
      <c r="S1064" s="11" t="s">
        <v>369</v>
      </c>
      <c r="T1064" s="16">
        <v>0</v>
      </c>
      <c r="U1064" s="17"/>
      <c r="V1064" s="12">
        <v>4806.7226890756301</v>
      </c>
      <c r="W1064" s="12">
        <v>4806.7226890756301</v>
      </c>
      <c r="X1064" s="12">
        <v>0</v>
      </c>
      <c r="Y1064" s="18">
        <v>45845</v>
      </c>
      <c r="Z1064" s="13" t="s">
        <v>516</v>
      </c>
      <c r="AA1064" s="19" t="s">
        <v>373</v>
      </c>
      <c r="AB1064" s="13" t="s">
        <v>357</v>
      </c>
      <c r="AC1064" s="13" t="s">
        <v>374</v>
      </c>
      <c r="AD1064" s="20"/>
      <c r="AE1064" s="20"/>
      <c r="AF1064" s="13" t="s">
        <v>40</v>
      </c>
      <c r="AG1064" s="15">
        <v>45474</v>
      </c>
      <c r="AH1064" s="13" t="s">
        <v>41</v>
      </c>
      <c r="AI1064" s="13" t="s">
        <v>53</v>
      </c>
      <c r="AJ1064" s="13" t="s">
        <v>370</v>
      </c>
      <c r="AK1064" s="14">
        <v>-16</v>
      </c>
      <c r="AL1064" s="17"/>
      <c r="AM1064" s="17"/>
      <c r="AN1064" s="17"/>
      <c r="AO1064" s="17"/>
      <c r="AP1064" s="17"/>
      <c r="AQ1064" s="17"/>
      <c r="AR1064" s="17"/>
      <c r="AS1064" s="17"/>
      <c r="AT1064" s="17"/>
      <c r="AU1064" s="17"/>
      <c r="AV1064" s="17"/>
    </row>
    <row r="1065" spans="1:48" ht="15.75" customHeight="1">
      <c r="A1065" s="21" t="s">
        <v>53</v>
      </c>
      <c r="B1065" s="23" t="s">
        <v>1692</v>
      </c>
      <c r="C1065" s="22">
        <v>45846</v>
      </c>
      <c r="D1065" s="23" t="s">
        <v>331</v>
      </c>
      <c r="E1065" s="23" t="s">
        <v>192</v>
      </c>
      <c r="F1065" s="21">
        <v>1</v>
      </c>
      <c r="G1065" s="12">
        <v>15990.211345939933</v>
      </c>
      <c r="H1065" s="12">
        <v>15990.211345939933</v>
      </c>
      <c r="I1065" s="23" t="s">
        <v>52</v>
      </c>
      <c r="J1065" s="23" t="s">
        <v>61</v>
      </c>
      <c r="K1065" s="24" t="s">
        <v>177</v>
      </c>
      <c r="L1065" s="24">
        <v>158</v>
      </c>
      <c r="M1065" s="12">
        <v>13437.152391546164</v>
      </c>
      <c r="N1065" s="12">
        <v>13437.152391546164</v>
      </c>
      <c r="O1065" s="12">
        <v>2553.0589543937695</v>
      </c>
      <c r="P1065" s="13"/>
      <c r="Q1065" s="14">
        <v>2025</v>
      </c>
      <c r="R1065" s="15">
        <v>45474</v>
      </c>
      <c r="S1065" s="11" t="s">
        <v>435</v>
      </c>
      <c r="T1065" s="16">
        <v>0</v>
      </c>
      <c r="U1065" s="17"/>
      <c r="V1065" s="12">
        <v>3773.1523915461621</v>
      </c>
      <c r="W1065" s="12">
        <v>3773.1523915461621</v>
      </c>
      <c r="X1065" s="12">
        <v>0</v>
      </c>
      <c r="Y1065" s="18">
        <v>45845</v>
      </c>
      <c r="Z1065" s="13" t="s">
        <v>516</v>
      </c>
      <c r="AA1065" s="19" t="s">
        <v>361</v>
      </c>
      <c r="AB1065" s="13" t="s">
        <v>357</v>
      </c>
      <c r="AC1065" s="13" t="s">
        <v>472</v>
      </c>
      <c r="AD1065" s="20"/>
      <c r="AE1065" s="20"/>
      <c r="AF1065" s="13" t="s">
        <v>40</v>
      </c>
      <c r="AG1065" s="15">
        <v>45474</v>
      </c>
      <c r="AH1065" s="13" t="s">
        <v>41</v>
      </c>
      <c r="AI1065" s="13" t="s">
        <v>53</v>
      </c>
      <c r="AJ1065" s="13" t="s">
        <v>436</v>
      </c>
      <c r="AK1065" s="14">
        <v>-8</v>
      </c>
      <c r="AL1065" s="17"/>
      <c r="AM1065" s="17"/>
      <c r="AN1065" s="17"/>
      <c r="AO1065" s="17"/>
      <c r="AP1065" s="17"/>
      <c r="AQ1065" s="17"/>
      <c r="AR1065" s="17"/>
      <c r="AS1065" s="17"/>
      <c r="AT1065" s="17"/>
      <c r="AU1065" s="17"/>
      <c r="AV1065" s="17"/>
    </row>
    <row r="1066" spans="1:48" ht="15.75" customHeight="1">
      <c r="A1066" s="21" t="s">
        <v>43</v>
      </c>
      <c r="B1066" s="23" t="s">
        <v>1692</v>
      </c>
      <c r="C1066" s="22">
        <v>45846</v>
      </c>
      <c r="D1066" s="23" t="s">
        <v>331</v>
      </c>
      <c r="E1066" s="23" t="s">
        <v>45</v>
      </c>
      <c r="F1066" s="21">
        <v>1</v>
      </c>
      <c r="G1066" s="12">
        <v>8199.8861047835999</v>
      </c>
      <c r="H1066" s="12">
        <v>8199.8861047835999</v>
      </c>
      <c r="I1066" s="23" t="s">
        <v>52</v>
      </c>
      <c r="J1066" s="23" t="s">
        <v>61</v>
      </c>
      <c r="K1066" s="24" t="s">
        <v>177</v>
      </c>
      <c r="L1066" s="24">
        <v>158</v>
      </c>
      <c r="M1066" s="12">
        <v>6890.6605922551262</v>
      </c>
      <c r="N1066" s="12">
        <v>6890.6605922551262</v>
      </c>
      <c r="O1066" s="12">
        <v>1309.2255125284737</v>
      </c>
      <c r="P1066" s="13"/>
      <c r="Q1066" s="14">
        <v>2025</v>
      </c>
      <c r="R1066" s="15">
        <v>45474</v>
      </c>
      <c r="S1066" s="11" t="s">
        <v>355</v>
      </c>
      <c r="T1066" s="16">
        <v>0</v>
      </c>
      <c r="U1066" s="17"/>
      <c r="V1066" s="12">
        <v>1445.6605922551253</v>
      </c>
      <c r="W1066" s="12">
        <v>1445.6605922551253</v>
      </c>
      <c r="X1066" s="12">
        <v>0</v>
      </c>
      <c r="Y1066" s="18">
        <v>45845</v>
      </c>
      <c r="Z1066" s="13" t="s">
        <v>516</v>
      </c>
      <c r="AA1066" s="19" t="s">
        <v>361</v>
      </c>
      <c r="AB1066" s="13" t="s">
        <v>357</v>
      </c>
      <c r="AC1066" s="13" t="s">
        <v>472</v>
      </c>
      <c r="AD1066" s="20"/>
      <c r="AE1066" s="20"/>
      <c r="AF1066" s="13" t="s">
        <v>40</v>
      </c>
      <c r="AG1066" s="15">
        <v>45474</v>
      </c>
      <c r="AH1066" s="13" t="s">
        <v>41</v>
      </c>
      <c r="AI1066" s="13" t="s">
        <v>43</v>
      </c>
      <c r="AJ1066" s="13" t="s">
        <v>359</v>
      </c>
      <c r="AK1066" s="14">
        <v>-1</v>
      </c>
      <c r="AL1066" s="17"/>
      <c r="AM1066" s="17"/>
      <c r="AN1066" s="17"/>
      <c r="AO1066" s="17"/>
      <c r="AP1066" s="17"/>
      <c r="AQ1066" s="17"/>
      <c r="AR1066" s="17"/>
      <c r="AS1066" s="17"/>
      <c r="AT1066" s="17"/>
      <c r="AU1066" s="17"/>
      <c r="AV1066" s="17"/>
    </row>
    <row r="1067" spans="1:48" ht="15.75" customHeight="1">
      <c r="A1067" s="21" t="s">
        <v>53</v>
      </c>
      <c r="B1067" s="23" t="s">
        <v>1692</v>
      </c>
      <c r="C1067" s="22">
        <v>45846</v>
      </c>
      <c r="D1067" s="23" t="s">
        <v>346</v>
      </c>
      <c r="E1067" s="23" t="s">
        <v>55</v>
      </c>
      <c r="F1067" s="21">
        <v>1</v>
      </c>
      <c r="G1067" s="12">
        <v>20899.657134519988</v>
      </c>
      <c r="H1067" s="12">
        <v>20899.657134519988</v>
      </c>
      <c r="I1067" s="23" t="s">
        <v>52</v>
      </c>
      <c r="J1067" s="23" t="s">
        <v>61</v>
      </c>
      <c r="K1067" s="24" t="s">
        <v>177</v>
      </c>
      <c r="L1067" s="24">
        <v>158</v>
      </c>
      <c r="M1067" s="12">
        <v>17562.737087831923</v>
      </c>
      <c r="N1067" s="12">
        <v>17562.737087831923</v>
      </c>
      <c r="O1067" s="12">
        <v>3336.9200466880648</v>
      </c>
      <c r="P1067" s="13"/>
      <c r="Q1067" s="14">
        <v>2025</v>
      </c>
      <c r="R1067" s="15">
        <v>45474</v>
      </c>
      <c r="S1067" s="11" t="s">
        <v>366</v>
      </c>
      <c r="T1067" s="16">
        <v>0</v>
      </c>
      <c r="U1067" s="17"/>
      <c r="V1067" s="12">
        <v>3117.7370878319234</v>
      </c>
      <c r="W1067" s="12">
        <v>3117.7370878319234</v>
      </c>
      <c r="X1067" s="12">
        <v>0</v>
      </c>
      <c r="Y1067" s="18">
        <v>45845</v>
      </c>
      <c r="Z1067" s="13" t="s">
        <v>516</v>
      </c>
      <c r="AA1067" s="19" t="s">
        <v>373</v>
      </c>
      <c r="AB1067" s="13" t="s">
        <v>357</v>
      </c>
      <c r="AC1067" s="13" t="s">
        <v>522</v>
      </c>
      <c r="AD1067" s="20"/>
      <c r="AE1067" s="20"/>
      <c r="AF1067" s="13" t="s">
        <v>40</v>
      </c>
      <c r="AG1067" s="15">
        <v>45474</v>
      </c>
      <c r="AH1067" s="13" t="s">
        <v>41</v>
      </c>
      <c r="AI1067" s="13" t="s">
        <v>53</v>
      </c>
      <c r="AJ1067" s="13" t="s">
        <v>368</v>
      </c>
      <c r="AK1067" s="14">
        <v>-8</v>
      </c>
      <c r="AL1067" s="17"/>
      <c r="AM1067" s="17"/>
      <c r="AN1067" s="17"/>
      <c r="AO1067" s="17"/>
      <c r="AP1067" s="17"/>
      <c r="AQ1067" s="17"/>
      <c r="AR1067" s="17"/>
      <c r="AS1067" s="17"/>
      <c r="AT1067" s="17"/>
      <c r="AU1067" s="17"/>
      <c r="AV1067" s="17"/>
    </row>
    <row r="1068" spans="1:48" ht="15.75" customHeight="1">
      <c r="A1068" s="21" t="s">
        <v>53</v>
      </c>
      <c r="B1068" s="23" t="s">
        <v>1692</v>
      </c>
      <c r="C1068" s="22">
        <v>45846</v>
      </c>
      <c r="D1068" s="23" t="s">
        <v>346</v>
      </c>
      <c r="E1068" s="23" t="s">
        <v>136</v>
      </c>
      <c r="F1068" s="21">
        <v>1</v>
      </c>
      <c r="G1068" s="12">
        <v>14900.292682926829</v>
      </c>
      <c r="H1068" s="12">
        <v>14900.292682926829</v>
      </c>
      <c r="I1068" s="23" t="s">
        <v>52</v>
      </c>
      <c r="J1068" s="23" t="s">
        <v>61</v>
      </c>
      <c r="K1068" s="24" t="s">
        <v>177</v>
      </c>
      <c r="L1068" s="24">
        <v>158</v>
      </c>
      <c r="M1068" s="12">
        <v>12521.254355400697</v>
      </c>
      <c r="N1068" s="12">
        <v>12521.254355400697</v>
      </c>
      <c r="O1068" s="12">
        <v>2379.038327526132</v>
      </c>
      <c r="P1068" s="13"/>
      <c r="Q1068" s="14">
        <v>2025</v>
      </c>
      <c r="R1068" s="15">
        <v>45474</v>
      </c>
      <c r="S1068" s="11" t="s">
        <v>410</v>
      </c>
      <c r="T1068" s="16">
        <v>0</v>
      </c>
      <c r="U1068" s="17"/>
      <c r="V1068" s="12">
        <v>3537.254355400697</v>
      </c>
      <c r="W1068" s="12">
        <v>3537.254355400697</v>
      </c>
      <c r="X1068" s="12">
        <v>0</v>
      </c>
      <c r="Y1068" s="18">
        <v>45845</v>
      </c>
      <c r="Z1068" s="13" t="s">
        <v>516</v>
      </c>
      <c r="AA1068" s="19" t="s">
        <v>373</v>
      </c>
      <c r="AB1068" s="13" t="s">
        <v>357</v>
      </c>
      <c r="AC1068" s="13" t="s">
        <v>522</v>
      </c>
      <c r="AD1068" s="20"/>
      <c r="AE1068" s="20"/>
      <c r="AF1068" s="13" t="s">
        <v>40</v>
      </c>
      <c r="AG1068" s="15">
        <v>45474</v>
      </c>
      <c r="AH1068" s="13" t="s">
        <v>41</v>
      </c>
      <c r="AI1068" s="13" t="s">
        <v>53</v>
      </c>
      <c r="AJ1068" s="13" t="s">
        <v>411</v>
      </c>
      <c r="AK1068" s="14">
        <v>-8</v>
      </c>
      <c r="AL1068" s="17"/>
      <c r="AM1068" s="17"/>
      <c r="AN1068" s="17"/>
      <c r="AO1068" s="17"/>
      <c r="AP1068" s="17"/>
      <c r="AQ1068" s="17"/>
      <c r="AR1068" s="17"/>
      <c r="AS1068" s="17"/>
      <c r="AT1068" s="17"/>
      <c r="AU1068" s="17"/>
      <c r="AV1068" s="17"/>
    </row>
    <row r="1069" spans="1:48" ht="15.75" customHeight="1">
      <c r="A1069" s="21" t="s">
        <v>43</v>
      </c>
      <c r="B1069" s="23" t="s">
        <v>1692</v>
      </c>
      <c r="C1069" s="25">
        <v>45845</v>
      </c>
      <c r="D1069" s="23" t="s">
        <v>915</v>
      </c>
      <c r="E1069" s="23" t="s">
        <v>45</v>
      </c>
      <c r="F1069" s="14">
        <v>1</v>
      </c>
      <c r="G1069" s="12">
        <v>8199.8861047835999</v>
      </c>
      <c r="H1069" s="12">
        <v>8199.8861047835999</v>
      </c>
      <c r="I1069" s="23" t="s">
        <v>52</v>
      </c>
      <c r="J1069" s="13" t="s">
        <v>38</v>
      </c>
      <c r="K1069" s="24" t="s">
        <v>177</v>
      </c>
      <c r="L1069" s="24">
        <v>158</v>
      </c>
      <c r="M1069" s="12">
        <v>6890.6605922551262</v>
      </c>
      <c r="N1069" s="12">
        <v>6890.6605922551262</v>
      </c>
      <c r="O1069" s="12">
        <v>1309.2255125284737</v>
      </c>
      <c r="P1069" s="13"/>
      <c r="Q1069" s="14">
        <v>2025</v>
      </c>
      <c r="R1069" s="15">
        <v>45474</v>
      </c>
      <c r="S1069" s="11" t="s">
        <v>355</v>
      </c>
      <c r="T1069" s="16">
        <v>0</v>
      </c>
      <c r="U1069" s="17"/>
      <c r="V1069" s="12">
        <v>1445.6605922551253</v>
      </c>
      <c r="W1069" s="12">
        <v>1445.6605922551253</v>
      </c>
      <c r="X1069" s="12">
        <v>0</v>
      </c>
      <c r="Y1069" s="18">
        <v>45845</v>
      </c>
      <c r="Z1069" s="13" t="s">
        <v>523</v>
      </c>
      <c r="AA1069" s="19" t="s">
        <v>367</v>
      </c>
      <c r="AB1069" s="13" t="s">
        <v>357</v>
      </c>
      <c r="AC1069" s="13" t="s">
        <v>367</v>
      </c>
      <c r="AD1069" s="20"/>
      <c r="AE1069" s="20"/>
      <c r="AF1069" s="13" t="s">
        <v>40</v>
      </c>
      <c r="AG1069" s="15">
        <v>45474</v>
      </c>
      <c r="AH1069" s="13" t="s">
        <v>41</v>
      </c>
      <c r="AI1069" s="13" t="s">
        <v>43</v>
      </c>
      <c r="AJ1069" s="13" t="s">
        <v>359</v>
      </c>
      <c r="AK1069" s="14">
        <v>-1</v>
      </c>
      <c r="AL1069" s="17"/>
      <c r="AM1069" s="17"/>
      <c r="AN1069" s="17"/>
      <c r="AO1069" s="17"/>
      <c r="AP1069" s="17"/>
      <c r="AQ1069" s="17"/>
      <c r="AR1069" s="17"/>
      <c r="AS1069" s="17"/>
      <c r="AT1069" s="17"/>
      <c r="AU1069" s="17"/>
      <c r="AV1069" s="17"/>
    </row>
    <row r="1070" spans="1:48" ht="15.75" customHeight="1">
      <c r="A1070" s="21" t="s">
        <v>53</v>
      </c>
      <c r="B1070" s="23" t="s">
        <v>1692</v>
      </c>
      <c r="C1070" s="22">
        <v>45845</v>
      </c>
      <c r="D1070" s="23" t="s">
        <v>270</v>
      </c>
      <c r="E1070" s="23" t="s">
        <v>150</v>
      </c>
      <c r="F1070" s="21">
        <v>1</v>
      </c>
      <c r="G1070" s="12">
        <v>1799.8965445892823</v>
      </c>
      <c r="H1070" s="12">
        <v>1799.8965445892823</v>
      </c>
      <c r="I1070" s="23" t="s">
        <v>52</v>
      </c>
      <c r="J1070" s="23" t="s">
        <v>61</v>
      </c>
      <c r="K1070" s="24" t="s">
        <v>177</v>
      </c>
      <c r="L1070" s="24">
        <v>158</v>
      </c>
      <c r="M1070" s="12">
        <v>1512.518104696876</v>
      </c>
      <c r="N1070" s="12">
        <v>1512.518104696876</v>
      </c>
      <c r="O1070" s="12">
        <v>287.37843989240628</v>
      </c>
      <c r="P1070" s="13"/>
      <c r="Q1070" s="14">
        <v>2025</v>
      </c>
      <c r="R1070" s="15">
        <v>45474</v>
      </c>
      <c r="S1070" s="11" t="s">
        <v>381</v>
      </c>
      <c r="T1070" s="16">
        <v>300</v>
      </c>
      <c r="U1070" s="17"/>
      <c r="V1070" s="12">
        <v>781.51810469687575</v>
      </c>
      <c r="W1070" s="12">
        <v>781.51810469687575</v>
      </c>
      <c r="X1070" s="12">
        <v>0</v>
      </c>
      <c r="Y1070" s="18">
        <v>45845</v>
      </c>
      <c r="Z1070" s="13" t="s">
        <v>523</v>
      </c>
      <c r="AA1070" s="19" t="s">
        <v>367</v>
      </c>
      <c r="AB1070" s="13" t="s">
        <v>357</v>
      </c>
      <c r="AC1070" s="13" t="s">
        <v>367</v>
      </c>
      <c r="AD1070" s="20"/>
      <c r="AE1070" s="20"/>
      <c r="AF1070" s="13" t="s">
        <v>40</v>
      </c>
      <c r="AG1070" s="15">
        <v>45474</v>
      </c>
      <c r="AH1070" s="13" t="s">
        <v>41</v>
      </c>
      <c r="AI1070" s="13" t="s">
        <v>53</v>
      </c>
      <c r="AJ1070" s="13" t="s">
        <v>382</v>
      </c>
      <c r="AK1070" s="14">
        <v>-1</v>
      </c>
      <c r="AL1070" s="17"/>
      <c r="AM1070" s="17"/>
      <c r="AN1070" s="17"/>
      <c r="AO1070" s="17"/>
      <c r="AP1070" s="17"/>
      <c r="AQ1070" s="17"/>
      <c r="AR1070" s="17"/>
      <c r="AS1070" s="17"/>
      <c r="AT1070" s="17"/>
      <c r="AU1070" s="17"/>
      <c r="AV1070" s="17"/>
    </row>
    <row r="1071" spans="1:48" ht="15.75" customHeight="1">
      <c r="A1071" s="21" t="s">
        <v>47</v>
      </c>
      <c r="B1071" s="23" t="s">
        <v>1692</v>
      </c>
      <c r="C1071" s="22">
        <v>45845</v>
      </c>
      <c r="D1071" s="23" t="s">
        <v>270</v>
      </c>
      <c r="E1071" s="23" t="s">
        <v>105</v>
      </c>
      <c r="F1071" s="21">
        <v>1</v>
      </c>
      <c r="G1071" s="12">
        <v>1100.0000000000002</v>
      </c>
      <c r="H1071" s="12">
        <v>1100.0000000000002</v>
      </c>
      <c r="I1071" s="23" t="s">
        <v>52</v>
      </c>
      <c r="J1071" s="23" t="s">
        <v>61</v>
      </c>
      <c r="K1071" s="24" t="s">
        <v>177</v>
      </c>
      <c r="L1071" s="24">
        <v>158</v>
      </c>
      <c r="M1071" s="12">
        <v>924.36974789915985</v>
      </c>
      <c r="N1071" s="12">
        <v>924.36974789915985</v>
      </c>
      <c r="O1071" s="12">
        <v>175.63025210084038</v>
      </c>
      <c r="P1071" s="13"/>
      <c r="Q1071" s="14">
        <v>2025</v>
      </c>
      <c r="R1071" s="15">
        <v>45474</v>
      </c>
      <c r="S1071" s="11" t="s">
        <v>105</v>
      </c>
      <c r="T1071" s="16">
        <v>0</v>
      </c>
      <c r="U1071" s="17"/>
      <c r="V1071" s="12">
        <v>342.857142857143</v>
      </c>
      <c r="W1071" s="12">
        <v>342.857142857143</v>
      </c>
      <c r="X1071" s="12">
        <v>0</v>
      </c>
      <c r="Y1071" s="18">
        <v>45845</v>
      </c>
      <c r="Z1071" s="13" t="s">
        <v>523</v>
      </c>
      <c r="AA1071" s="19" t="s">
        <v>367</v>
      </c>
      <c r="AB1071" s="13" t="s">
        <v>357</v>
      </c>
      <c r="AC1071" s="13" t="s">
        <v>367</v>
      </c>
      <c r="AD1071" s="20"/>
      <c r="AE1071" s="20"/>
      <c r="AF1071" s="13" t="s">
        <v>40</v>
      </c>
      <c r="AG1071" s="15">
        <v>45474</v>
      </c>
      <c r="AH1071" s="13" t="s">
        <v>41</v>
      </c>
      <c r="AI1071" s="13" t="s">
        <v>47</v>
      </c>
      <c r="AJ1071" s="13" t="s">
        <v>371</v>
      </c>
      <c r="AK1071" s="14">
        <v>-1</v>
      </c>
      <c r="AL1071" s="17"/>
      <c r="AM1071" s="17"/>
      <c r="AN1071" s="17"/>
      <c r="AO1071" s="17"/>
      <c r="AP1071" s="17"/>
      <c r="AQ1071" s="17"/>
      <c r="AR1071" s="17"/>
      <c r="AS1071" s="17"/>
      <c r="AT1071" s="17"/>
      <c r="AU1071" s="17"/>
      <c r="AV1071" s="17"/>
    </row>
    <row r="1072" spans="1:48" ht="15.75" customHeight="1">
      <c r="A1072" s="21" t="s">
        <v>43</v>
      </c>
      <c r="B1072" s="23" t="s">
        <v>1692</v>
      </c>
      <c r="C1072" s="22">
        <v>45845</v>
      </c>
      <c r="D1072" s="23" t="s">
        <v>116</v>
      </c>
      <c r="E1072" s="23" t="s">
        <v>45</v>
      </c>
      <c r="F1072" s="21">
        <v>1</v>
      </c>
      <c r="G1072" s="12">
        <v>8199.8861047835999</v>
      </c>
      <c r="H1072" s="12">
        <v>8199.8861047835999</v>
      </c>
      <c r="I1072" s="23" t="s">
        <v>52</v>
      </c>
      <c r="J1072" s="23" t="s">
        <v>61</v>
      </c>
      <c r="K1072" s="24" t="s">
        <v>177</v>
      </c>
      <c r="L1072" s="24">
        <v>158</v>
      </c>
      <c r="M1072" s="12">
        <v>6890.6605922551262</v>
      </c>
      <c r="N1072" s="12">
        <v>6890.6605922551262</v>
      </c>
      <c r="O1072" s="12">
        <v>1309.2255125284737</v>
      </c>
      <c r="P1072" s="13"/>
      <c r="Q1072" s="14">
        <v>2025</v>
      </c>
      <c r="R1072" s="15">
        <v>45474</v>
      </c>
      <c r="S1072" s="11" t="s">
        <v>355</v>
      </c>
      <c r="T1072" s="16">
        <v>0</v>
      </c>
      <c r="U1072" s="17"/>
      <c r="V1072" s="12">
        <v>1445.6605922551253</v>
      </c>
      <c r="W1072" s="12">
        <v>1445.6605922551253</v>
      </c>
      <c r="X1072" s="12">
        <v>0</v>
      </c>
      <c r="Y1072" s="18">
        <v>45845</v>
      </c>
      <c r="Z1072" s="13" t="s">
        <v>523</v>
      </c>
      <c r="AA1072" s="19" t="s">
        <v>373</v>
      </c>
      <c r="AB1072" s="13" t="s">
        <v>357</v>
      </c>
      <c r="AC1072" s="13"/>
      <c r="AD1072" s="20"/>
      <c r="AE1072" s="20"/>
      <c r="AF1072" s="13" t="s">
        <v>40</v>
      </c>
      <c r="AG1072" s="15">
        <v>45474</v>
      </c>
      <c r="AH1072" s="13" t="s">
        <v>41</v>
      </c>
      <c r="AI1072" s="13" t="s">
        <v>43</v>
      </c>
      <c r="AJ1072" s="13" t="s">
        <v>359</v>
      </c>
      <c r="AK1072" s="14">
        <v>-1</v>
      </c>
      <c r="AL1072" s="17"/>
      <c r="AM1072" s="17"/>
      <c r="AN1072" s="17"/>
      <c r="AO1072" s="17"/>
      <c r="AP1072" s="17"/>
      <c r="AQ1072" s="17"/>
      <c r="AR1072" s="17"/>
      <c r="AS1072" s="17"/>
      <c r="AT1072" s="17"/>
      <c r="AU1072" s="17"/>
      <c r="AV1072" s="17"/>
    </row>
    <row r="1073" spans="1:48" ht="15.75" customHeight="1">
      <c r="A1073" s="21" t="s">
        <v>35</v>
      </c>
      <c r="B1073" s="23" t="s">
        <v>1692</v>
      </c>
      <c r="C1073" s="22">
        <v>45845</v>
      </c>
      <c r="D1073" s="23" t="s">
        <v>104</v>
      </c>
      <c r="E1073" s="23" t="s">
        <v>46</v>
      </c>
      <c r="F1073" s="21">
        <v>1</v>
      </c>
      <c r="G1073" s="12">
        <v>6000.1548227279782</v>
      </c>
      <c r="H1073" s="12">
        <v>6000.1548227279782</v>
      </c>
      <c r="I1073" s="23" t="s">
        <v>52</v>
      </c>
      <c r="J1073" s="23" t="s">
        <v>61</v>
      </c>
      <c r="K1073" s="24" t="s">
        <v>177</v>
      </c>
      <c r="L1073" s="24">
        <v>158</v>
      </c>
      <c r="M1073" s="12">
        <v>5042.1469098554444</v>
      </c>
      <c r="N1073" s="12">
        <v>5042.1469098554444</v>
      </c>
      <c r="O1073" s="12">
        <v>958.00791287253378</v>
      </c>
      <c r="P1073" s="13"/>
      <c r="Q1073" s="14">
        <v>2025</v>
      </c>
      <c r="R1073" s="15">
        <v>45474</v>
      </c>
      <c r="S1073" s="11" t="s">
        <v>364</v>
      </c>
      <c r="T1073" s="16">
        <v>500</v>
      </c>
      <c r="U1073" s="17"/>
      <c r="V1073" s="12">
        <v>1785.4242207798129</v>
      </c>
      <c r="W1073" s="12">
        <v>1785.4242207798129</v>
      </c>
      <c r="X1073" s="12">
        <v>0</v>
      </c>
      <c r="Y1073" s="18">
        <v>45845</v>
      </c>
      <c r="Z1073" s="13" t="s">
        <v>523</v>
      </c>
      <c r="AA1073" s="19" t="s">
        <v>373</v>
      </c>
      <c r="AB1073" s="13" t="s">
        <v>357</v>
      </c>
      <c r="AC1073" s="13" t="s">
        <v>383</v>
      </c>
      <c r="AD1073" s="20"/>
      <c r="AE1073" s="20"/>
      <c r="AF1073" s="13" t="s">
        <v>40</v>
      </c>
      <c r="AG1073" s="15">
        <v>45474</v>
      </c>
      <c r="AH1073" s="13" t="s">
        <v>41</v>
      </c>
      <c r="AI1073" s="13" t="s">
        <v>35</v>
      </c>
      <c r="AJ1073" s="13" t="s">
        <v>365</v>
      </c>
      <c r="AK1073" s="14">
        <v>-0.5</v>
      </c>
      <c r="AL1073" s="17"/>
      <c r="AM1073" s="17"/>
      <c r="AN1073" s="17"/>
      <c r="AO1073" s="17"/>
      <c r="AP1073" s="17"/>
      <c r="AQ1073" s="17"/>
      <c r="AR1073" s="17"/>
      <c r="AS1073" s="17"/>
      <c r="AT1073" s="17"/>
      <c r="AU1073" s="17"/>
      <c r="AV1073" s="17"/>
    </row>
    <row r="1074" spans="1:48" ht="15.75" customHeight="1">
      <c r="A1074" s="21" t="s">
        <v>53</v>
      </c>
      <c r="B1074" s="23" t="s">
        <v>1692</v>
      </c>
      <c r="C1074" s="22">
        <v>45845</v>
      </c>
      <c r="D1074" s="23" t="s">
        <v>292</v>
      </c>
      <c r="E1074" s="23" t="s">
        <v>55</v>
      </c>
      <c r="F1074" s="21">
        <v>1</v>
      </c>
      <c r="G1074" s="12">
        <v>20899.657134519988</v>
      </c>
      <c r="H1074" s="12">
        <v>20899.657134519988</v>
      </c>
      <c r="I1074" s="23" t="s">
        <v>52</v>
      </c>
      <c r="J1074" s="23" t="s">
        <v>61</v>
      </c>
      <c r="K1074" s="24" t="s">
        <v>177</v>
      </c>
      <c r="L1074" s="24">
        <v>158</v>
      </c>
      <c r="M1074" s="12">
        <v>17562.737087831923</v>
      </c>
      <c r="N1074" s="12">
        <v>17562.737087831923</v>
      </c>
      <c r="O1074" s="12">
        <v>3336.9200466880648</v>
      </c>
      <c r="P1074" s="13"/>
      <c r="Q1074" s="14">
        <v>2025</v>
      </c>
      <c r="R1074" s="15">
        <v>45474</v>
      </c>
      <c r="S1074" s="11" t="s">
        <v>366</v>
      </c>
      <c r="T1074" s="16">
        <v>0</v>
      </c>
      <c r="U1074" s="17"/>
      <c r="V1074" s="12">
        <v>3117.7370878319234</v>
      </c>
      <c r="W1074" s="12">
        <v>3117.7370878319234</v>
      </c>
      <c r="X1074" s="12">
        <v>0</v>
      </c>
      <c r="Y1074" s="18">
        <v>45845</v>
      </c>
      <c r="Z1074" s="13" t="s">
        <v>523</v>
      </c>
      <c r="AA1074" s="19" t="s">
        <v>356</v>
      </c>
      <c r="AB1074" s="13" t="s">
        <v>357</v>
      </c>
      <c r="AC1074" s="13" t="s">
        <v>383</v>
      </c>
      <c r="AD1074" s="20"/>
      <c r="AE1074" s="20"/>
      <c r="AF1074" s="13" t="s">
        <v>40</v>
      </c>
      <c r="AG1074" s="15">
        <v>45474</v>
      </c>
      <c r="AH1074" s="13" t="s">
        <v>41</v>
      </c>
      <c r="AI1074" s="13" t="s">
        <v>53</v>
      </c>
      <c r="AJ1074" s="13" t="s">
        <v>368</v>
      </c>
      <c r="AK1074" s="14">
        <v>-8</v>
      </c>
      <c r="AL1074" s="17"/>
      <c r="AM1074" s="17"/>
      <c r="AN1074" s="17"/>
      <c r="AO1074" s="17"/>
      <c r="AP1074" s="17"/>
      <c r="AQ1074" s="17"/>
      <c r="AR1074" s="17"/>
      <c r="AS1074" s="17"/>
      <c r="AT1074" s="17"/>
      <c r="AU1074" s="17"/>
      <c r="AV1074" s="17"/>
    </row>
    <row r="1075" spans="1:48" ht="15.75" customHeight="1">
      <c r="A1075" s="21" t="s">
        <v>35</v>
      </c>
      <c r="B1075" s="23" t="s">
        <v>1692</v>
      </c>
      <c r="C1075" s="22">
        <v>45845</v>
      </c>
      <c r="D1075" s="23" t="s">
        <v>124</v>
      </c>
      <c r="E1075" s="23" t="s">
        <v>37</v>
      </c>
      <c r="F1075" s="21">
        <v>2</v>
      </c>
      <c r="G1075" s="12">
        <v>11000.014358944907</v>
      </c>
      <c r="H1075" s="12">
        <v>22000.028717889814</v>
      </c>
      <c r="I1075" s="23" t="s">
        <v>52</v>
      </c>
      <c r="J1075" s="23" t="s">
        <v>61</v>
      </c>
      <c r="K1075" s="24" t="s">
        <v>177</v>
      </c>
      <c r="L1075" s="24">
        <v>158</v>
      </c>
      <c r="M1075" s="12">
        <v>9243.7095453318543</v>
      </c>
      <c r="N1075" s="12">
        <v>18487.419090663709</v>
      </c>
      <c r="O1075" s="12">
        <v>3512.6096272261057</v>
      </c>
      <c r="P1075" s="13"/>
      <c r="Q1075" s="14">
        <v>2025</v>
      </c>
      <c r="R1075" s="15">
        <v>45474</v>
      </c>
      <c r="S1075" s="11" t="s">
        <v>364</v>
      </c>
      <c r="T1075" s="16">
        <v>2000</v>
      </c>
      <c r="U1075" s="17"/>
      <c r="V1075" s="12">
        <v>5612.225813352783</v>
      </c>
      <c r="W1075" s="12">
        <v>5612.225813352783</v>
      </c>
      <c r="X1075" s="12">
        <v>0</v>
      </c>
      <c r="Y1075" s="18">
        <v>45845</v>
      </c>
      <c r="Z1075" s="13" t="s">
        <v>523</v>
      </c>
      <c r="AA1075" s="19" t="s">
        <v>356</v>
      </c>
      <c r="AB1075" s="13" t="s">
        <v>357</v>
      </c>
      <c r="AC1075" s="13" t="s">
        <v>383</v>
      </c>
      <c r="AD1075" s="20"/>
      <c r="AE1075" s="20"/>
      <c r="AF1075" s="13" t="s">
        <v>40</v>
      </c>
      <c r="AG1075" s="15">
        <v>45474</v>
      </c>
      <c r="AH1075" s="13" t="s">
        <v>41</v>
      </c>
      <c r="AI1075" s="13" t="s">
        <v>35</v>
      </c>
      <c r="AJ1075" s="13" t="s">
        <v>365</v>
      </c>
      <c r="AK1075" s="14">
        <v>-2</v>
      </c>
      <c r="AL1075" s="17"/>
      <c r="AM1075" s="17"/>
      <c r="AN1075" s="17"/>
      <c r="AO1075" s="17"/>
      <c r="AP1075" s="17"/>
      <c r="AQ1075" s="17"/>
      <c r="AR1075" s="17"/>
      <c r="AS1075" s="17"/>
      <c r="AT1075" s="17"/>
      <c r="AU1075" s="17"/>
      <c r="AV1075" s="17"/>
    </row>
    <row r="1076" spans="1:48" ht="15.75" customHeight="1">
      <c r="A1076" s="21" t="s">
        <v>43</v>
      </c>
      <c r="B1076" s="23" t="s">
        <v>1692</v>
      </c>
      <c r="C1076" s="22">
        <v>45845</v>
      </c>
      <c r="D1076" s="23" t="s">
        <v>124</v>
      </c>
      <c r="E1076" s="23" t="s">
        <v>45</v>
      </c>
      <c r="F1076" s="21">
        <v>1</v>
      </c>
      <c r="G1076" s="12">
        <v>8199.8861047835999</v>
      </c>
      <c r="H1076" s="12">
        <v>8199.8861047835999</v>
      </c>
      <c r="I1076" s="23" t="s">
        <v>52</v>
      </c>
      <c r="J1076" s="23" t="s">
        <v>61</v>
      </c>
      <c r="K1076" s="24" t="s">
        <v>177</v>
      </c>
      <c r="L1076" s="24">
        <v>158</v>
      </c>
      <c r="M1076" s="12">
        <v>6890.6605922551262</v>
      </c>
      <c r="N1076" s="12">
        <v>6890.6605922551262</v>
      </c>
      <c r="O1076" s="12">
        <v>1309.2255125284737</v>
      </c>
      <c r="P1076" s="13"/>
      <c r="Q1076" s="14">
        <v>2025</v>
      </c>
      <c r="R1076" s="15">
        <v>45474</v>
      </c>
      <c r="S1076" s="11" t="s">
        <v>355</v>
      </c>
      <c r="T1076" s="16">
        <v>0</v>
      </c>
      <c r="U1076" s="17"/>
      <c r="V1076" s="12">
        <v>1445.6605922551253</v>
      </c>
      <c r="W1076" s="12">
        <v>1445.6605922551253</v>
      </c>
      <c r="X1076" s="12">
        <v>0</v>
      </c>
      <c r="Y1076" s="18">
        <v>45845</v>
      </c>
      <c r="Z1076" s="13" t="s">
        <v>523</v>
      </c>
      <c r="AA1076" s="19" t="s">
        <v>356</v>
      </c>
      <c r="AB1076" s="13" t="s">
        <v>357</v>
      </c>
      <c r="AC1076" s="13" t="s">
        <v>383</v>
      </c>
      <c r="AD1076" s="20"/>
      <c r="AE1076" s="20"/>
      <c r="AF1076" s="13" t="s">
        <v>40</v>
      </c>
      <c r="AG1076" s="15">
        <v>45474</v>
      </c>
      <c r="AH1076" s="13" t="s">
        <v>41</v>
      </c>
      <c r="AI1076" s="13" t="s">
        <v>35</v>
      </c>
      <c r="AJ1076" s="13" t="s">
        <v>359</v>
      </c>
      <c r="AK1076" s="14">
        <v>-1</v>
      </c>
      <c r="AL1076" s="17"/>
      <c r="AM1076" s="17"/>
      <c r="AN1076" s="17"/>
      <c r="AO1076" s="17"/>
      <c r="AP1076" s="17"/>
      <c r="AQ1076" s="17"/>
      <c r="AR1076" s="17"/>
      <c r="AS1076" s="17"/>
      <c r="AT1076" s="17"/>
      <c r="AU1076" s="17"/>
      <c r="AV1076" s="17"/>
    </row>
    <row r="1077" spans="1:48" ht="15.75" customHeight="1">
      <c r="A1077" s="21" t="s">
        <v>56</v>
      </c>
      <c r="B1077" s="23" t="s">
        <v>1692</v>
      </c>
      <c r="C1077" s="22">
        <v>45844</v>
      </c>
      <c r="D1077" s="23" t="s">
        <v>285</v>
      </c>
      <c r="E1077" s="23" t="s">
        <v>67</v>
      </c>
      <c r="F1077" s="21">
        <v>2</v>
      </c>
      <c r="G1077" s="12">
        <v>7000.0000000000009</v>
      </c>
      <c r="H1077" s="12">
        <v>14000.000000000002</v>
      </c>
      <c r="I1077" s="23" t="s">
        <v>52</v>
      </c>
      <c r="J1077" s="23" t="s">
        <v>61</v>
      </c>
      <c r="K1077" s="24" t="s">
        <v>177</v>
      </c>
      <c r="L1077" s="24">
        <v>157</v>
      </c>
      <c r="M1077" s="12">
        <v>5882.3529411764712</v>
      </c>
      <c r="N1077" s="12">
        <v>11764.705882352942</v>
      </c>
      <c r="O1077" s="12">
        <v>2235.2941176470595</v>
      </c>
      <c r="P1077" s="13"/>
      <c r="Q1077" s="14">
        <v>2025</v>
      </c>
      <c r="R1077" s="15">
        <v>45474</v>
      </c>
      <c r="S1077" s="11" t="s">
        <v>492</v>
      </c>
      <c r="T1077" s="16">
        <v>400</v>
      </c>
      <c r="U1077" s="17"/>
      <c r="V1077" s="12">
        <v>3025.2100840336134</v>
      </c>
      <c r="W1077" s="12">
        <v>3025.2100840336134</v>
      </c>
      <c r="X1077" s="12">
        <v>0</v>
      </c>
      <c r="Y1077" s="18">
        <v>45838</v>
      </c>
      <c r="Z1077" s="13" t="s">
        <v>497</v>
      </c>
      <c r="AA1077" s="19" t="s">
        <v>367</v>
      </c>
      <c r="AB1077" s="13" t="s">
        <v>357</v>
      </c>
      <c r="AC1077" s="13" t="s">
        <v>367</v>
      </c>
      <c r="AD1077" s="20"/>
      <c r="AE1077" s="20"/>
      <c r="AF1077" s="13" t="s">
        <v>40</v>
      </c>
      <c r="AG1077" s="15">
        <v>45474</v>
      </c>
      <c r="AH1077" s="13" t="s">
        <v>41</v>
      </c>
      <c r="AI1077" s="13" t="s">
        <v>56</v>
      </c>
      <c r="AJ1077" s="13" t="s">
        <v>493</v>
      </c>
      <c r="AK1077" s="14">
        <v>-6</v>
      </c>
      <c r="AL1077" s="17"/>
      <c r="AM1077" s="17"/>
      <c r="AN1077" s="17"/>
      <c r="AO1077" s="17"/>
      <c r="AP1077" s="17"/>
      <c r="AQ1077" s="17"/>
      <c r="AR1077" s="17"/>
      <c r="AS1077" s="17"/>
      <c r="AT1077" s="17"/>
      <c r="AU1077" s="17"/>
      <c r="AV1077" s="17"/>
    </row>
    <row r="1078" spans="1:48" ht="15.75" customHeight="1">
      <c r="A1078" s="21" t="s">
        <v>76</v>
      </c>
      <c r="B1078" s="23" t="s">
        <v>1692</v>
      </c>
      <c r="C1078" s="25">
        <v>45844</v>
      </c>
      <c r="D1078" s="23" t="s">
        <v>915</v>
      </c>
      <c r="E1078" s="23" t="s">
        <v>81</v>
      </c>
      <c r="F1078" s="14">
        <v>1</v>
      </c>
      <c r="G1078" s="12">
        <v>3500.0000000000005</v>
      </c>
      <c r="H1078" s="12">
        <v>3500.0000000000005</v>
      </c>
      <c r="I1078" s="13" t="s">
        <v>52</v>
      </c>
      <c r="J1078" s="13" t="s">
        <v>38</v>
      </c>
      <c r="K1078" s="24" t="s">
        <v>177</v>
      </c>
      <c r="L1078" s="24">
        <v>157</v>
      </c>
      <c r="M1078" s="12">
        <v>2941.1764705882356</v>
      </c>
      <c r="N1078" s="12">
        <v>2941.1764705882356</v>
      </c>
      <c r="O1078" s="12">
        <v>558.82352941176487</v>
      </c>
      <c r="P1078" s="13"/>
      <c r="Q1078" s="14">
        <v>2025</v>
      </c>
      <c r="R1078" s="15">
        <v>45474</v>
      </c>
      <c r="S1078" s="11" t="s">
        <v>397</v>
      </c>
      <c r="T1078" s="16">
        <v>5</v>
      </c>
      <c r="U1078" s="17"/>
      <c r="V1078" s="12">
        <v>764.70588235294144</v>
      </c>
      <c r="W1078" s="12">
        <v>764.70588235294144</v>
      </c>
      <c r="X1078" s="12">
        <v>0</v>
      </c>
      <c r="Y1078" s="18">
        <v>45838</v>
      </c>
      <c r="Z1078" s="13" t="s">
        <v>497</v>
      </c>
      <c r="AA1078" s="19" t="s">
        <v>367</v>
      </c>
      <c r="AB1078" s="13" t="s">
        <v>357</v>
      </c>
      <c r="AC1078" s="13" t="s">
        <v>367</v>
      </c>
      <c r="AD1078" s="20"/>
      <c r="AE1078" s="20"/>
      <c r="AF1078" s="13" t="s">
        <v>40</v>
      </c>
      <c r="AG1078" s="15">
        <v>45474</v>
      </c>
      <c r="AH1078" s="13" t="s">
        <v>41</v>
      </c>
      <c r="AI1078" s="13" t="s">
        <v>76</v>
      </c>
      <c r="AJ1078" s="13" t="s">
        <v>398</v>
      </c>
      <c r="AK1078" s="14">
        <v>-1</v>
      </c>
      <c r="AL1078" s="17"/>
      <c r="AM1078" s="17"/>
      <c r="AN1078" s="17"/>
      <c r="AO1078" s="17"/>
      <c r="AP1078" s="17"/>
      <c r="AQ1078" s="17"/>
      <c r="AR1078" s="17"/>
      <c r="AS1078" s="17"/>
      <c r="AT1078" s="17"/>
      <c r="AU1078" s="17"/>
      <c r="AV1078" s="17"/>
    </row>
    <row r="1079" spans="1:48" ht="15.75" customHeight="1">
      <c r="A1079" s="21" t="s">
        <v>56</v>
      </c>
      <c r="B1079" s="23" t="s">
        <v>1692</v>
      </c>
      <c r="C1079" s="25">
        <v>45844</v>
      </c>
      <c r="D1079" s="23" t="s">
        <v>915</v>
      </c>
      <c r="E1079" s="23" t="s">
        <v>524</v>
      </c>
      <c r="F1079" s="14">
        <v>1</v>
      </c>
      <c r="G1079" s="12">
        <v>4799.9749310604157</v>
      </c>
      <c r="H1079" s="12">
        <v>4799.9749310604157</v>
      </c>
      <c r="I1079" s="13" t="s">
        <v>52</v>
      </c>
      <c r="J1079" s="13" t="s">
        <v>38</v>
      </c>
      <c r="K1079" s="24" t="s">
        <v>177</v>
      </c>
      <c r="L1079" s="24">
        <v>157</v>
      </c>
      <c r="M1079" s="12">
        <v>4033.5923790423662</v>
      </c>
      <c r="N1079" s="12">
        <v>4033.5923790423662</v>
      </c>
      <c r="O1079" s="12">
        <v>766.38255201804941</v>
      </c>
      <c r="P1079" s="13"/>
      <c r="Q1079" s="14">
        <v>2025</v>
      </c>
      <c r="R1079" s="15">
        <v>45474</v>
      </c>
      <c r="S1079" s="11" t="s">
        <v>429</v>
      </c>
      <c r="T1079" s="16">
        <v>200</v>
      </c>
      <c r="U1079" s="17"/>
      <c r="V1079" s="12">
        <v>815.59237904236625</v>
      </c>
      <c r="W1079" s="12">
        <v>815.59237904236625</v>
      </c>
      <c r="X1079" s="12">
        <v>0</v>
      </c>
      <c r="Y1079" s="18">
        <v>45838</v>
      </c>
      <c r="Z1079" s="13" t="s">
        <v>497</v>
      </c>
      <c r="AA1079" s="19" t="s">
        <v>367</v>
      </c>
      <c r="AB1079" s="13" t="s">
        <v>357</v>
      </c>
      <c r="AC1079" s="13" t="s">
        <v>367</v>
      </c>
      <c r="AD1079" s="20"/>
      <c r="AE1079" s="20"/>
      <c r="AF1079" s="13" t="s">
        <v>40</v>
      </c>
      <c r="AG1079" s="15">
        <v>45474</v>
      </c>
      <c r="AH1079" s="13" t="s">
        <v>41</v>
      </c>
      <c r="AI1079" s="13" t="s">
        <v>56</v>
      </c>
      <c r="AJ1079" s="13" t="s">
        <v>525</v>
      </c>
      <c r="AK1079" s="14">
        <v>-1</v>
      </c>
      <c r="AL1079" s="17"/>
      <c r="AM1079" s="17"/>
      <c r="AN1079" s="17"/>
      <c r="AO1079" s="17"/>
      <c r="AP1079" s="17"/>
      <c r="AQ1079" s="17"/>
      <c r="AR1079" s="17"/>
      <c r="AS1079" s="17"/>
      <c r="AT1079" s="17"/>
      <c r="AU1079" s="17"/>
      <c r="AV1079" s="17"/>
    </row>
    <row r="1080" spans="1:48" ht="15.75" customHeight="1">
      <c r="A1080" s="21" t="s">
        <v>53</v>
      </c>
      <c r="B1080" s="23" t="s">
        <v>1692</v>
      </c>
      <c r="C1080" s="22">
        <v>45844</v>
      </c>
      <c r="D1080" s="23" t="s">
        <v>526</v>
      </c>
      <c r="E1080" s="23" t="s">
        <v>55</v>
      </c>
      <c r="F1080" s="14">
        <v>1</v>
      </c>
      <c r="G1080" s="12">
        <v>20899.657134519988</v>
      </c>
      <c r="H1080" s="12">
        <v>20899.657134519988</v>
      </c>
      <c r="I1080" s="23" t="s">
        <v>52</v>
      </c>
      <c r="J1080" s="23" t="s">
        <v>38</v>
      </c>
      <c r="K1080" s="24" t="s">
        <v>177</v>
      </c>
      <c r="L1080" s="24">
        <v>157</v>
      </c>
      <c r="M1080" s="12">
        <v>17562.737087831923</v>
      </c>
      <c r="N1080" s="12">
        <v>17562.737087831923</v>
      </c>
      <c r="O1080" s="12">
        <v>3336.9200466880648</v>
      </c>
      <c r="P1080" s="13"/>
      <c r="Q1080" s="14">
        <v>2025</v>
      </c>
      <c r="R1080" s="15">
        <v>45474</v>
      </c>
      <c r="S1080" s="11" t="s">
        <v>366</v>
      </c>
      <c r="T1080" s="16">
        <v>0</v>
      </c>
      <c r="U1080" s="17"/>
      <c r="V1080" s="12">
        <v>3117.7370878319234</v>
      </c>
      <c r="W1080" s="12">
        <v>3117.7370878319234</v>
      </c>
      <c r="X1080" s="12">
        <v>0</v>
      </c>
      <c r="Y1080" s="18">
        <v>45838</v>
      </c>
      <c r="Z1080" s="13" t="s">
        <v>497</v>
      </c>
      <c r="AA1080" s="19" t="s">
        <v>373</v>
      </c>
      <c r="AB1080" s="13" t="s">
        <v>357</v>
      </c>
      <c r="AC1080" s="13" t="s">
        <v>527</v>
      </c>
      <c r="AD1080" s="20"/>
      <c r="AE1080" s="20"/>
      <c r="AF1080" s="13" t="s">
        <v>40</v>
      </c>
      <c r="AG1080" s="15">
        <v>45474</v>
      </c>
      <c r="AH1080" s="13" t="s">
        <v>41</v>
      </c>
      <c r="AI1080" s="13" t="s">
        <v>53</v>
      </c>
      <c r="AJ1080" s="13" t="s">
        <v>368</v>
      </c>
      <c r="AK1080" s="14">
        <v>-8</v>
      </c>
      <c r="AL1080" s="17"/>
      <c r="AM1080" s="17"/>
      <c r="AN1080" s="17"/>
      <c r="AO1080" s="17"/>
      <c r="AP1080" s="17"/>
      <c r="AQ1080" s="17"/>
      <c r="AR1080" s="17"/>
      <c r="AS1080" s="17"/>
      <c r="AT1080" s="17"/>
      <c r="AU1080" s="17"/>
      <c r="AV1080" s="17"/>
    </row>
    <row r="1081" spans="1:48" ht="15.75" customHeight="1">
      <c r="A1081" s="21" t="s">
        <v>50</v>
      </c>
      <c r="B1081" s="23" t="s">
        <v>1692</v>
      </c>
      <c r="C1081" s="22">
        <v>45844</v>
      </c>
      <c r="D1081" s="23" t="s">
        <v>507</v>
      </c>
      <c r="E1081" s="23" t="s">
        <v>528</v>
      </c>
      <c r="F1081" s="14">
        <v>1</v>
      </c>
      <c r="G1081" s="12">
        <v>4499.9054641709217</v>
      </c>
      <c r="H1081" s="12">
        <v>4499.9054641709217</v>
      </c>
      <c r="I1081" s="23" t="s">
        <v>52</v>
      </c>
      <c r="J1081" s="23" t="s">
        <v>61</v>
      </c>
      <c r="K1081" s="24" t="s">
        <v>177</v>
      </c>
      <c r="L1081" s="24">
        <v>157</v>
      </c>
      <c r="M1081" s="12">
        <v>3781.4331631688419</v>
      </c>
      <c r="N1081" s="12">
        <v>3781.4331631688419</v>
      </c>
      <c r="O1081" s="12">
        <v>718.4723010020798</v>
      </c>
      <c r="P1081" s="13"/>
      <c r="Q1081" s="14">
        <v>2025</v>
      </c>
      <c r="R1081" s="15">
        <v>45474</v>
      </c>
      <c r="S1081" s="11" t="s">
        <v>528</v>
      </c>
      <c r="T1081" s="16">
        <v>0</v>
      </c>
      <c r="U1081" s="17"/>
      <c r="V1081" s="12">
        <v>1781.4331631688415</v>
      </c>
      <c r="W1081" s="12">
        <v>1781.4331631688415</v>
      </c>
      <c r="X1081" s="12">
        <v>0</v>
      </c>
      <c r="Y1081" s="18">
        <v>45838</v>
      </c>
      <c r="Z1081" s="13" t="s">
        <v>497</v>
      </c>
      <c r="AA1081" s="19" t="s">
        <v>373</v>
      </c>
      <c r="AB1081" s="13" t="s">
        <v>357</v>
      </c>
      <c r="AC1081" s="13" t="s">
        <v>383</v>
      </c>
      <c r="AD1081" s="20"/>
      <c r="AE1081" s="20"/>
      <c r="AF1081" s="13" t="s">
        <v>40</v>
      </c>
      <c r="AG1081" s="15">
        <v>45474</v>
      </c>
      <c r="AH1081" s="13" t="s">
        <v>41</v>
      </c>
      <c r="AI1081" s="13" t="s">
        <v>50</v>
      </c>
      <c r="AJ1081" s="13" t="s">
        <v>51</v>
      </c>
      <c r="AK1081" s="14">
        <v>-5</v>
      </c>
      <c r="AL1081" s="17"/>
      <c r="AM1081" s="17"/>
      <c r="AN1081" s="17"/>
      <c r="AO1081" s="17"/>
      <c r="AP1081" s="17"/>
      <c r="AQ1081" s="17"/>
      <c r="AR1081" s="17"/>
      <c r="AS1081" s="17"/>
      <c r="AT1081" s="17"/>
      <c r="AU1081" s="17"/>
      <c r="AV1081" s="17"/>
    </row>
    <row r="1082" spans="1:48" ht="15.75" customHeight="1">
      <c r="A1082" s="21" t="s">
        <v>35</v>
      </c>
      <c r="B1082" s="23" t="s">
        <v>1692</v>
      </c>
      <c r="C1082" s="22">
        <v>45844</v>
      </c>
      <c r="D1082" s="23" t="s">
        <v>58</v>
      </c>
      <c r="E1082" s="23" t="s">
        <v>46</v>
      </c>
      <c r="F1082" s="14">
        <v>1</v>
      </c>
      <c r="G1082" s="12">
        <v>6000.1548227279782</v>
      </c>
      <c r="H1082" s="12">
        <v>6000.1548227279782</v>
      </c>
      <c r="I1082" s="23" t="s">
        <v>52</v>
      </c>
      <c r="J1082" s="23" t="s">
        <v>61</v>
      </c>
      <c r="K1082" s="24" t="s">
        <v>177</v>
      </c>
      <c r="L1082" s="24">
        <v>157</v>
      </c>
      <c r="M1082" s="12">
        <v>5042.1469098554444</v>
      </c>
      <c r="N1082" s="12">
        <v>5042.1469098554444</v>
      </c>
      <c r="O1082" s="12">
        <v>958.00791287253378</v>
      </c>
      <c r="P1082" s="13"/>
      <c r="Q1082" s="14">
        <v>2025</v>
      </c>
      <c r="R1082" s="15">
        <v>45474</v>
      </c>
      <c r="S1082" s="11" t="s">
        <v>364</v>
      </c>
      <c r="T1082" s="16">
        <v>500</v>
      </c>
      <c r="U1082" s="17"/>
      <c r="V1082" s="12">
        <v>1785.4242207798129</v>
      </c>
      <c r="W1082" s="12">
        <v>1785.4242207798129</v>
      </c>
      <c r="X1082" s="12">
        <v>0</v>
      </c>
      <c r="Y1082" s="18">
        <v>45838</v>
      </c>
      <c r="Z1082" s="13" t="s">
        <v>497</v>
      </c>
      <c r="AA1082" s="19" t="s">
        <v>356</v>
      </c>
      <c r="AB1082" s="13" t="s">
        <v>357</v>
      </c>
      <c r="AC1082" s="13" t="s">
        <v>362</v>
      </c>
      <c r="AD1082" s="20"/>
      <c r="AE1082" s="20"/>
      <c r="AF1082" s="13" t="s">
        <v>40</v>
      </c>
      <c r="AG1082" s="15">
        <v>45474</v>
      </c>
      <c r="AH1082" s="13" t="s">
        <v>41</v>
      </c>
      <c r="AI1082" s="13" t="s">
        <v>35</v>
      </c>
      <c r="AJ1082" s="13" t="s">
        <v>365</v>
      </c>
      <c r="AK1082" s="14">
        <v>-0.5</v>
      </c>
      <c r="AL1082" s="17"/>
      <c r="AM1082" s="17"/>
      <c r="AN1082" s="17"/>
      <c r="AO1082" s="17"/>
      <c r="AP1082" s="17"/>
      <c r="AQ1082" s="17"/>
      <c r="AR1082" s="17"/>
      <c r="AS1082" s="17"/>
      <c r="AT1082" s="17"/>
      <c r="AU1082" s="17"/>
      <c r="AV1082" s="17"/>
    </row>
    <row r="1083" spans="1:48" ht="15.75" customHeight="1">
      <c r="A1083" s="21" t="s">
        <v>76</v>
      </c>
      <c r="B1083" s="23" t="s">
        <v>1692</v>
      </c>
      <c r="C1083" s="22">
        <v>45844</v>
      </c>
      <c r="D1083" s="23" t="s">
        <v>68</v>
      </c>
      <c r="E1083" s="23" t="s">
        <v>81</v>
      </c>
      <c r="F1083" s="14">
        <v>1</v>
      </c>
      <c r="G1083" s="12">
        <v>3500.0000000000005</v>
      </c>
      <c r="H1083" s="12">
        <v>3500.0000000000005</v>
      </c>
      <c r="I1083" s="23" t="s">
        <v>52</v>
      </c>
      <c r="J1083" s="23" t="s">
        <v>61</v>
      </c>
      <c r="K1083" s="24" t="s">
        <v>86</v>
      </c>
      <c r="L1083" s="24">
        <v>93</v>
      </c>
      <c r="M1083" s="12">
        <v>2941.1764705882356</v>
      </c>
      <c r="N1083" s="12">
        <v>2941.1764705882356</v>
      </c>
      <c r="O1083" s="12">
        <v>558.82352941176487</v>
      </c>
      <c r="P1083" s="13"/>
      <c r="Q1083" s="14">
        <v>2025</v>
      </c>
      <c r="R1083" s="15">
        <v>45474</v>
      </c>
      <c r="S1083" s="11" t="s">
        <v>397</v>
      </c>
      <c r="T1083" s="16">
        <v>5</v>
      </c>
      <c r="U1083" s="17"/>
      <c r="V1083" s="12">
        <v>764.70588235294144</v>
      </c>
      <c r="W1083" s="12">
        <v>764.70588235294144</v>
      </c>
      <c r="X1083" s="12">
        <v>0</v>
      </c>
      <c r="Y1083" s="18">
        <v>45838</v>
      </c>
      <c r="Z1083" s="13" t="s">
        <v>497</v>
      </c>
      <c r="AA1083" s="19" t="s">
        <v>361</v>
      </c>
      <c r="AB1083" s="13" t="s">
        <v>394</v>
      </c>
      <c r="AC1083" s="13" t="s">
        <v>383</v>
      </c>
      <c r="AD1083" s="20"/>
      <c r="AE1083" s="20"/>
      <c r="AF1083" s="13" t="s">
        <v>40</v>
      </c>
      <c r="AG1083" s="15">
        <v>45474</v>
      </c>
      <c r="AH1083" s="13" t="s">
        <v>41</v>
      </c>
      <c r="AI1083" s="13" t="s">
        <v>76</v>
      </c>
      <c r="AJ1083" s="13" t="s">
        <v>398</v>
      </c>
      <c r="AK1083" s="14">
        <v>-1</v>
      </c>
      <c r="AL1083" s="17"/>
      <c r="AM1083" s="17"/>
      <c r="AN1083" s="17"/>
      <c r="AO1083" s="17"/>
      <c r="AP1083" s="17"/>
      <c r="AQ1083" s="17"/>
      <c r="AR1083" s="17"/>
      <c r="AS1083" s="17"/>
      <c r="AT1083" s="17"/>
      <c r="AU1083" s="17"/>
      <c r="AV1083" s="17"/>
    </row>
    <row r="1084" spans="1:48" ht="15.75" customHeight="1">
      <c r="A1084" s="21" t="s">
        <v>53</v>
      </c>
      <c r="B1084" s="23" t="s">
        <v>1692</v>
      </c>
      <c r="C1084" s="22">
        <v>45844</v>
      </c>
      <c r="D1084" s="23" t="s">
        <v>68</v>
      </c>
      <c r="E1084" s="23" t="s">
        <v>109</v>
      </c>
      <c r="F1084" s="14">
        <v>1</v>
      </c>
      <c r="G1084" s="12">
        <v>10000</v>
      </c>
      <c r="H1084" s="12">
        <v>10000</v>
      </c>
      <c r="I1084" s="23" t="s">
        <v>52</v>
      </c>
      <c r="J1084" s="23" t="s">
        <v>61</v>
      </c>
      <c r="K1084" s="24" t="s">
        <v>86</v>
      </c>
      <c r="L1084" s="24">
        <v>93</v>
      </c>
      <c r="M1084" s="12">
        <v>8403.361344537816</v>
      </c>
      <c r="N1084" s="12">
        <v>8403.361344537816</v>
      </c>
      <c r="O1084" s="12">
        <v>1596.638655462184</v>
      </c>
      <c r="P1084" s="13"/>
      <c r="Q1084" s="14">
        <v>2025</v>
      </c>
      <c r="R1084" s="15">
        <v>45474</v>
      </c>
      <c r="S1084" s="11" t="s">
        <v>395</v>
      </c>
      <c r="T1084" s="16">
        <v>400</v>
      </c>
      <c r="U1084" s="17"/>
      <c r="V1084" s="12">
        <v>2100.8403361344544</v>
      </c>
      <c r="W1084" s="12">
        <v>2100.8403361344544</v>
      </c>
      <c r="X1084" s="12">
        <v>0</v>
      </c>
      <c r="Y1084" s="18">
        <v>45838</v>
      </c>
      <c r="Z1084" s="13" t="s">
        <v>497</v>
      </c>
      <c r="AA1084" s="19" t="s">
        <v>361</v>
      </c>
      <c r="AB1084" s="13" t="s">
        <v>394</v>
      </c>
      <c r="AC1084" s="13" t="s">
        <v>383</v>
      </c>
      <c r="AD1084" s="20"/>
      <c r="AE1084" s="20"/>
      <c r="AF1084" s="13" t="s">
        <v>40</v>
      </c>
      <c r="AG1084" s="15">
        <v>45474</v>
      </c>
      <c r="AH1084" s="13" t="s">
        <v>41</v>
      </c>
      <c r="AI1084" s="13" t="s">
        <v>53</v>
      </c>
      <c r="AJ1084" s="13" t="s">
        <v>396</v>
      </c>
      <c r="AK1084" s="14">
        <v>-4</v>
      </c>
      <c r="AL1084" s="17"/>
      <c r="AM1084" s="17"/>
      <c r="AN1084" s="17"/>
      <c r="AO1084" s="17"/>
      <c r="AP1084" s="17"/>
      <c r="AQ1084" s="17"/>
      <c r="AR1084" s="17"/>
      <c r="AS1084" s="17"/>
      <c r="AT1084" s="17"/>
      <c r="AU1084" s="17"/>
      <c r="AV1084" s="17"/>
    </row>
    <row r="1085" spans="1:48" ht="15.75" customHeight="1">
      <c r="A1085" s="21" t="s">
        <v>47</v>
      </c>
      <c r="B1085" s="23" t="s">
        <v>1692</v>
      </c>
      <c r="C1085" s="22">
        <v>45844</v>
      </c>
      <c r="D1085" s="23" t="s">
        <v>68</v>
      </c>
      <c r="E1085" s="23" t="s">
        <v>72</v>
      </c>
      <c r="F1085" s="21">
        <v>2</v>
      </c>
      <c r="G1085" s="12">
        <v>2750</v>
      </c>
      <c r="H1085" s="12">
        <v>5500</v>
      </c>
      <c r="I1085" s="23" t="s">
        <v>52</v>
      </c>
      <c r="J1085" s="23" t="s">
        <v>61</v>
      </c>
      <c r="K1085" s="24" t="s">
        <v>86</v>
      </c>
      <c r="L1085" s="24">
        <v>93</v>
      </c>
      <c r="M1085" s="12">
        <v>2310.9243697478992</v>
      </c>
      <c r="N1085" s="12">
        <v>4621.8487394957983</v>
      </c>
      <c r="O1085" s="12">
        <v>878.15126050420167</v>
      </c>
      <c r="P1085" s="13"/>
      <c r="Q1085" s="14">
        <v>2025</v>
      </c>
      <c r="R1085" s="15">
        <v>45474</v>
      </c>
      <c r="S1085" s="11" t="s">
        <v>372</v>
      </c>
      <c r="T1085" s="16">
        <v>0</v>
      </c>
      <c r="U1085" s="17"/>
      <c r="V1085" s="12">
        <v>1327.7310924369744</v>
      </c>
      <c r="W1085" s="12">
        <v>1327.7310924369744</v>
      </c>
      <c r="X1085" s="12">
        <v>0</v>
      </c>
      <c r="Y1085" s="18">
        <v>45838</v>
      </c>
      <c r="Z1085" s="13" t="s">
        <v>497</v>
      </c>
      <c r="AA1085" s="19" t="s">
        <v>361</v>
      </c>
      <c r="AB1085" s="13" t="s">
        <v>394</v>
      </c>
      <c r="AC1085" s="13" t="s">
        <v>383</v>
      </c>
      <c r="AD1085" s="20"/>
      <c r="AE1085" s="20"/>
      <c r="AF1085" s="13" t="s">
        <v>40</v>
      </c>
      <c r="AG1085" s="15">
        <v>45474</v>
      </c>
      <c r="AH1085" s="13" t="s">
        <v>41</v>
      </c>
      <c r="AI1085" s="13" t="s">
        <v>47</v>
      </c>
      <c r="AJ1085" s="13" t="s">
        <v>458</v>
      </c>
      <c r="AK1085" s="14">
        <v>-2</v>
      </c>
      <c r="AL1085" s="17"/>
      <c r="AM1085" s="17"/>
      <c r="AN1085" s="17"/>
      <c r="AO1085" s="17"/>
      <c r="AP1085" s="17"/>
      <c r="AQ1085" s="17"/>
      <c r="AR1085" s="17"/>
      <c r="AS1085" s="17"/>
      <c r="AT1085" s="17"/>
      <c r="AU1085" s="17"/>
      <c r="AV1085" s="17"/>
    </row>
    <row r="1086" spans="1:48" ht="15.75" customHeight="1">
      <c r="A1086" s="21" t="s">
        <v>47</v>
      </c>
      <c r="B1086" s="23" t="s">
        <v>1692</v>
      </c>
      <c r="C1086" s="22">
        <v>45844</v>
      </c>
      <c r="D1086" s="23" t="s">
        <v>68</v>
      </c>
      <c r="E1086" s="23" t="s">
        <v>71</v>
      </c>
      <c r="F1086" s="21">
        <v>2</v>
      </c>
      <c r="G1086" s="12">
        <v>2700.2147898128264</v>
      </c>
      <c r="H1086" s="12">
        <v>5400.4295796256529</v>
      </c>
      <c r="I1086" s="23" t="s">
        <v>52</v>
      </c>
      <c r="J1086" s="23" t="s">
        <v>61</v>
      </c>
      <c r="K1086" s="24" t="s">
        <v>86</v>
      </c>
      <c r="L1086" s="24">
        <v>93</v>
      </c>
      <c r="M1086" s="12">
        <v>2269.0880586662406</v>
      </c>
      <c r="N1086" s="12">
        <v>4538.1761173324812</v>
      </c>
      <c r="O1086" s="12">
        <v>862.25346229317165</v>
      </c>
      <c r="P1086" s="13"/>
      <c r="Q1086" s="14">
        <v>2025</v>
      </c>
      <c r="R1086" s="15">
        <v>45474</v>
      </c>
      <c r="S1086" s="11" t="s">
        <v>414</v>
      </c>
      <c r="T1086" s="16">
        <v>0</v>
      </c>
      <c r="U1086" s="17"/>
      <c r="V1086" s="12">
        <v>1580.1929240551704</v>
      </c>
      <c r="W1086" s="12">
        <v>1580.1929240551704</v>
      </c>
      <c r="X1086" s="12">
        <v>0</v>
      </c>
      <c r="Y1086" s="18">
        <v>45838</v>
      </c>
      <c r="Z1086" s="13" t="s">
        <v>497</v>
      </c>
      <c r="AA1086" s="19" t="s">
        <v>361</v>
      </c>
      <c r="AB1086" s="13" t="s">
        <v>394</v>
      </c>
      <c r="AC1086" s="13" t="s">
        <v>383</v>
      </c>
      <c r="AD1086" s="20"/>
      <c r="AE1086" s="20"/>
      <c r="AF1086" s="13" t="s">
        <v>40</v>
      </c>
      <c r="AG1086" s="15">
        <v>45474</v>
      </c>
      <c r="AH1086" s="13" t="s">
        <v>41</v>
      </c>
      <c r="AI1086" s="13" t="s">
        <v>47</v>
      </c>
      <c r="AJ1086" s="13" t="s">
        <v>415</v>
      </c>
      <c r="AK1086" s="14">
        <v>-2</v>
      </c>
      <c r="AL1086" s="17"/>
      <c r="AM1086" s="17"/>
      <c r="AN1086" s="17"/>
      <c r="AO1086" s="17"/>
      <c r="AP1086" s="17"/>
      <c r="AQ1086" s="17"/>
      <c r="AR1086" s="17"/>
      <c r="AS1086" s="17"/>
      <c r="AT1086" s="17"/>
      <c r="AU1086" s="17"/>
      <c r="AV1086" s="17"/>
    </row>
    <row r="1087" spans="1:48" ht="15.75" customHeight="1">
      <c r="A1087" s="21" t="s">
        <v>73</v>
      </c>
      <c r="B1087" s="23" t="s">
        <v>1692</v>
      </c>
      <c r="C1087" s="22">
        <v>45844</v>
      </c>
      <c r="D1087" s="23" t="s">
        <v>68</v>
      </c>
      <c r="E1087" s="23" t="s">
        <v>74</v>
      </c>
      <c r="F1087" s="21">
        <v>1</v>
      </c>
      <c r="G1087" s="12">
        <v>4199.9020019599611</v>
      </c>
      <c r="H1087" s="12">
        <v>4199.9020019599611</v>
      </c>
      <c r="I1087" s="23" t="s">
        <v>52</v>
      </c>
      <c r="J1087" s="23" t="s">
        <v>61</v>
      </c>
      <c r="K1087" s="24" t="s">
        <v>86</v>
      </c>
      <c r="L1087" s="24">
        <v>93</v>
      </c>
      <c r="M1087" s="12">
        <v>3529.3294134117323</v>
      </c>
      <c r="N1087" s="12">
        <v>3529.3294134117323</v>
      </c>
      <c r="O1087" s="12">
        <v>670.57258854822885</v>
      </c>
      <c r="P1087" s="13"/>
      <c r="Q1087" s="14">
        <v>2025</v>
      </c>
      <c r="R1087" s="15">
        <v>45474</v>
      </c>
      <c r="S1087" s="11" t="s">
        <v>424</v>
      </c>
      <c r="T1087" s="16">
        <v>0</v>
      </c>
      <c r="U1087" s="17"/>
      <c r="V1087" s="12">
        <v>1008.3294134117323</v>
      </c>
      <c r="W1087" s="12">
        <v>1008.3294134117323</v>
      </c>
      <c r="X1087" s="12">
        <v>0</v>
      </c>
      <c r="Y1087" s="18">
        <v>45838</v>
      </c>
      <c r="Z1087" s="13" t="s">
        <v>497</v>
      </c>
      <c r="AA1087" s="19" t="s">
        <v>361</v>
      </c>
      <c r="AB1087" s="13" t="s">
        <v>394</v>
      </c>
      <c r="AC1087" s="13" t="s">
        <v>383</v>
      </c>
      <c r="AD1087" s="20"/>
      <c r="AE1087" s="20"/>
      <c r="AF1087" s="13" t="s">
        <v>40</v>
      </c>
      <c r="AG1087" s="15">
        <v>45474</v>
      </c>
      <c r="AH1087" s="13" t="s">
        <v>41</v>
      </c>
      <c r="AI1087" s="13" t="s">
        <v>73</v>
      </c>
      <c r="AJ1087" s="13" t="s">
        <v>502</v>
      </c>
      <c r="AK1087" s="14">
        <v>-1</v>
      </c>
      <c r="AL1087" s="17"/>
      <c r="AM1087" s="17"/>
      <c r="AN1087" s="17"/>
      <c r="AO1087" s="17"/>
      <c r="AP1087" s="17"/>
      <c r="AQ1087" s="17"/>
      <c r="AR1087" s="17"/>
      <c r="AS1087" s="17"/>
      <c r="AT1087" s="17"/>
      <c r="AU1087" s="17"/>
      <c r="AV1087" s="17"/>
    </row>
    <row r="1088" spans="1:48" ht="15.75" customHeight="1">
      <c r="A1088" s="21" t="s">
        <v>35</v>
      </c>
      <c r="B1088" s="23" t="s">
        <v>1692</v>
      </c>
      <c r="C1088" s="22">
        <v>45844</v>
      </c>
      <c r="D1088" s="23" t="s">
        <v>915</v>
      </c>
      <c r="E1088" s="23" t="s">
        <v>37</v>
      </c>
      <c r="F1088" s="14">
        <v>1</v>
      </c>
      <c r="G1088" s="12">
        <v>11000.014358944907</v>
      </c>
      <c r="H1088" s="12">
        <v>11000.014358944907</v>
      </c>
      <c r="I1088" s="23" t="s">
        <v>52</v>
      </c>
      <c r="J1088" s="23" t="s">
        <v>38</v>
      </c>
      <c r="K1088" s="24" t="s">
        <v>177</v>
      </c>
      <c r="L1088" s="24">
        <v>157</v>
      </c>
      <c r="M1088" s="12">
        <v>9243.7095453318543</v>
      </c>
      <c r="N1088" s="12">
        <v>9243.7095453318543</v>
      </c>
      <c r="O1088" s="12">
        <v>1756.3048136130528</v>
      </c>
      <c r="P1088" s="13"/>
      <c r="Q1088" s="14">
        <v>2025</v>
      </c>
      <c r="R1088" s="15">
        <v>45474</v>
      </c>
      <c r="S1088" s="11" t="s">
        <v>364</v>
      </c>
      <c r="T1088" s="16">
        <v>1000</v>
      </c>
      <c r="U1088" s="17"/>
      <c r="V1088" s="12">
        <v>2806.1129066763915</v>
      </c>
      <c r="W1088" s="12">
        <v>2806.1129066763915</v>
      </c>
      <c r="X1088" s="12">
        <v>0</v>
      </c>
      <c r="Y1088" s="18">
        <v>45838</v>
      </c>
      <c r="Z1088" s="13" t="s">
        <v>497</v>
      </c>
      <c r="AA1088" s="19" t="s">
        <v>367</v>
      </c>
      <c r="AB1088" s="13" t="s">
        <v>357</v>
      </c>
      <c r="AC1088" s="13" t="s">
        <v>367</v>
      </c>
      <c r="AD1088" s="20"/>
      <c r="AE1088" s="20"/>
      <c r="AF1088" s="13" t="s">
        <v>40</v>
      </c>
      <c r="AG1088" s="15">
        <v>45474</v>
      </c>
      <c r="AH1088" s="13" t="s">
        <v>41</v>
      </c>
      <c r="AI1088" s="13" t="s">
        <v>35</v>
      </c>
      <c r="AJ1088" s="13" t="s">
        <v>365</v>
      </c>
      <c r="AK1088" s="14">
        <v>-1</v>
      </c>
      <c r="AL1088" s="17"/>
      <c r="AM1088" s="17"/>
      <c r="AN1088" s="17"/>
      <c r="AO1088" s="17"/>
      <c r="AP1088" s="17"/>
      <c r="AQ1088" s="17"/>
      <c r="AR1088" s="17"/>
      <c r="AS1088" s="17"/>
      <c r="AT1088" s="17"/>
      <c r="AU1088" s="17"/>
      <c r="AV1088" s="17"/>
    </row>
    <row r="1089" spans="1:48" ht="15.75" customHeight="1">
      <c r="A1089" s="21" t="s">
        <v>35</v>
      </c>
      <c r="B1089" s="23" t="s">
        <v>1692</v>
      </c>
      <c r="C1089" s="22">
        <v>45844</v>
      </c>
      <c r="D1089" s="23" t="s">
        <v>151</v>
      </c>
      <c r="E1089" s="23" t="s">
        <v>46</v>
      </c>
      <c r="F1089" s="14">
        <v>1</v>
      </c>
      <c r="G1089" s="12">
        <v>6000.1548227279782</v>
      </c>
      <c r="H1089" s="12">
        <v>6000.1548227279782</v>
      </c>
      <c r="I1089" s="23" t="s">
        <v>52</v>
      </c>
      <c r="J1089" s="23" t="s">
        <v>61</v>
      </c>
      <c r="K1089" s="24" t="s">
        <v>177</v>
      </c>
      <c r="L1089" s="24">
        <v>157</v>
      </c>
      <c r="M1089" s="12">
        <v>5042.1469098554444</v>
      </c>
      <c r="N1089" s="12">
        <v>5042.1469098554444</v>
      </c>
      <c r="O1089" s="12">
        <v>958.00791287253378</v>
      </c>
      <c r="P1089" s="13"/>
      <c r="Q1089" s="14">
        <v>2025</v>
      </c>
      <c r="R1089" s="15">
        <v>45474</v>
      </c>
      <c r="S1089" s="11" t="s">
        <v>364</v>
      </c>
      <c r="T1089" s="16">
        <v>500</v>
      </c>
      <c r="U1089" s="17"/>
      <c r="V1089" s="12">
        <v>1785.4242207798129</v>
      </c>
      <c r="W1089" s="12">
        <v>1785.4242207798129</v>
      </c>
      <c r="X1089" s="12">
        <v>0</v>
      </c>
      <c r="Y1089" s="18">
        <v>45838</v>
      </c>
      <c r="Z1089" s="13" t="s">
        <v>497</v>
      </c>
      <c r="AA1089" s="19" t="s">
        <v>373</v>
      </c>
      <c r="AB1089" s="13" t="s">
        <v>357</v>
      </c>
      <c r="AC1089" s="13" t="s">
        <v>462</v>
      </c>
      <c r="AD1089" s="20"/>
      <c r="AE1089" s="20"/>
      <c r="AF1089" s="13" t="s">
        <v>40</v>
      </c>
      <c r="AG1089" s="15">
        <v>45474</v>
      </c>
      <c r="AH1089" s="13" t="s">
        <v>41</v>
      </c>
      <c r="AI1089" s="13" t="s">
        <v>35</v>
      </c>
      <c r="AJ1089" s="13" t="s">
        <v>365</v>
      </c>
      <c r="AK1089" s="14">
        <v>-0.5</v>
      </c>
      <c r="AL1089" s="17"/>
      <c r="AM1089" s="17"/>
      <c r="AN1089" s="17"/>
      <c r="AO1089" s="17"/>
      <c r="AP1089" s="17"/>
      <c r="AQ1089" s="17"/>
      <c r="AR1089" s="17"/>
      <c r="AS1089" s="17"/>
      <c r="AT1089" s="17"/>
      <c r="AU1089" s="17"/>
      <c r="AV1089" s="17"/>
    </row>
    <row r="1090" spans="1:48" ht="15.75" customHeight="1">
      <c r="A1090" s="21" t="s">
        <v>76</v>
      </c>
      <c r="B1090" s="23" t="s">
        <v>1692</v>
      </c>
      <c r="C1090" s="22">
        <v>45844</v>
      </c>
      <c r="D1090" s="23" t="s">
        <v>265</v>
      </c>
      <c r="E1090" s="23" t="s">
        <v>337</v>
      </c>
      <c r="F1090" s="14">
        <v>1</v>
      </c>
      <c r="G1090" s="12">
        <v>1599.9448225124147</v>
      </c>
      <c r="H1090" s="12">
        <v>1599.9448225124147</v>
      </c>
      <c r="I1090" s="23" t="s">
        <v>52</v>
      </c>
      <c r="J1090" s="23" t="s">
        <v>61</v>
      </c>
      <c r="K1090" s="24" t="s">
        <v>177</v>
      </c>
      <c r="L1090" s="24">
        <v>157</v>
      </c>
      <c r="M1090" s="12">
        <v>1344.4914474894242</v>
      </c>
      <c r="N1090" s="12">
        <v>1344.4914474894242</v>
      </c>
      <c r="O1090" s="12">
        <v>255.45337502299049</v>
      </c>
      <c r="P1090" s="13"/>
      <c r="Q1090" s="14">
        <v>2025</v>
      </c>
      <c r="R1090" s="15">
        <v>45474</v>
      </c>
      <c r="S1090" s="11" t="s">
        <v>529</v>
      </c>
      <c r="T1090" s="16">
        <v>0</v>
      </c>
      <c r="U1090" s="17"/>
      <c r="V1090" s="12">
        <v>613.49144748942422</v>
      </c>
      <c r="W1090" s="12">
        <v>613.49144748942422</v>
      </c>
      <c r="X1090" s="12">
        <v>0</v>
      </c>
      <c r="Y1090" s="18">
        <v>45838</v>
      </c>
      <c r="Z1090" s="13" t="s">
        <v>497</v>
      </c>
      <c r="AA1090" s="19" t="s">
        <v>373</v>
      </c>
      <c r="AB1090" s="13" t="s">
        <v>357</v>
      </c>
      <c r="AC1090" s="13" t="s">
        <v>470</v>
      </c>
      <c r="AD1090" s="20"/>
      <c r="AE1090" s="20"/>
      <c r="AF1090" s="13" t="s">
        <v>40</v>
      </c>
      <c r="AG1090" s="15">
        <v>45474</v>
      </c>
      <c r="AH1090" s="13" t="s">
        <v>41</v>
      </c>
      <c r="AI1090" s="13" t="s">
        <v>76</v>
      </c>
      <c r="AJ1090" s="13" t="s">
        <v>530</v>
      </c>
      <c r="AK1090" s="14">
        <v>-1</v>
      </c>
      <c r="AL1090" s="17"/>
      <c r="AM1090" s="17"/>
      <c r="AN1090" s="17"/>
      <c r="AO1090" s="17"/>
      <c r="AP1090" s="17"/>
      <c r="AQ1090" s="17"/>
      <c r="AR1090" s="17"/>
      <c r="AS1090" s="17"/>
      <c r="AT1090" s="17"/>
      <c r="AU1090" s="17"/>
      <c r="AV1090" s="17"/>
    </row>
    <row r="1091" spans="1:48" ht="15.75" customHeight="1">
      <c r="A1091" s="21" t="s">
        <v>47</v>
      </c>
      <c r="B1091" s="23" t="s">
        <v>1692</v>
      </c>
      <c r="C1091" s="22">
        <v>45844</v>
      </c>
      <c r="D1091" s="23" t="s">
        <v>265</v>
      </c>
      <c r="E1091" s="23" t="s">
        <v>511</v>
      </c>
      <c r="F1091" s="14">
        <v>1</v>
      </c>
      <c r="G1091" s="12">
        <v>2700.0952628388322</v>
      </c>
      <c r="H1091" s="12">
        <v>2700.0952628388322</v>
      </c>
      <c r="I1091" s="23" t="s">
        <v>52</v>
      </c>
      <c r="J1091" s="23" t="s">
        <v>61</v>
      </c>
      <c r="K1091" s="24" t="s">
        <v>177</v>
      </c>
      <c r="L1091" s="24">
        <v>157</v>
      </c>
      <c r="M1091" s="12">
        <v>2268.9876158309517</v>
      </c>
      <c r="N1091" s="12">
        <v>2268.9876158309517</v>
      </c>
      <c r="O1091" s="12">
        <v>431.10764700788059</v>
      </c>
      <c r="P1091" s="13"/>
      <c r="Q1091" s="14">
        <v>2025</v>
      </c>
      <c r="R1091" s="15">
        <v>45474</v>
      </c>
      <c r="S1091" s="11" t="s">
        <v>512</v>
      </c>
      <c r="T1091" s="16">
        <v>0</v>
      </c>
      <c r="U1091" s="17"/>
      <c r="V1091" s="12">
        <v>696.98761583095165</v>
      </c>
      <c r="W1091" s="12">
        <v>696.98761583095165</v>
      </c>
      <c r="X1091" s="12">
        <v>0</v>
      </c>
      <c r="Y1091" s="18">
        <v>45838</v>
      </c>
      <c r="Z1091" s="13" t="s">
        <v>497</v>
      </c>
      <c r="AA1091" s="19" t="s">
        <v>373</v>
      </c>
      <c r="AB1091" s="13" t="s">
        <v>357</v>
      </c>
      <c r="AC1091" s="13" t="s">
        <v>470</v>
      </c>
      <c r="AD1091" s="20"/>
      <c r="AE1091" s="20"/>
      <c r="AF1091" s="13" t="s">
        <v>40</v>
      </c>
      <c r="AG1091" s="15">
        <v>45474</v>
      </c>
      <c r="AH1091" s="13" t="s">
        <v>41</v>
      </c>
      <c r="AI1091" s="13" t="s">
        <v>47</v>
      </c>
      <c r="AJ1091" s="13" t="s">
        <v>513</v>
      </c>
      <c r="AK1091" s="14">
        <v>-1</v>
      </c>
      <c r="AL1091" s="17"/>
      <c r="AM1091" s="17"/>
      <c r="AN1091" s="17"/>
      <c r="AO1091" s="17"/>
      <c r="AP1091" s="17"/>
      <c r="AQ1091" s="17"/>
      <c r="AR1091" s="17"/>
      <c r="AS1091" s="17"/>
      <c r="AT1091" s="17"/>
      <c r="AU1091" s="17"/>
      <c r="AV1091" s="17"/>
    </row>
    <row r="1092" spans="1:48" ht="15.75" customHeight="1">
      <c r="A1092" s="21" t="s">
        <v>47</v>
      </c>
      <c r="B1092" s="23" t="s">
        <v>1692</v>
      </c>
      <c r="C1092" s="22">
        <v>45844</v>
      </c>
      <c r="D1092" s="23" t="s">
        <v>265</v>
      </c>
      <c r="E1092" s="23" t="s">
        <v>94</v>
      </c>
      <c r="F1092" s="14">
        <v>1</v>
      </c>
      <c r="G1092" s="12">
        <v>1650.3649635036495</v>
      </c>
      <c r="H1092" s="12">
        <v>1650.3649635036495</v>
      </c>
      <c r="I1092" s="23" t="s">
        <v>52</v>
      </c>
      <c r="J1092" s="23" t="s">
        <v>61</v>
      </c>
      <c r="K1092" s="24" t="s">
        <v>177</v>
      </c>
      <c r="L1092" s="24">
        <v>157</v>
      </c>
      <c r="M1092" s="12">
        <v>1386.861313868613</v>
      </c>
      <c r="N1092" s="12">
        <v>1386.861313868613</v>
      </c>
      <c r="O1092" s="12">
        <v>263.50364963503648</v>
      </c>
      <c r="P1092" s="13"/>
      <c r="Q1092" s="14">
        <v>2025</v>
      </c>
      <c r="R1092" s="15">
        <v>45474</v>
      </c>
      <c r="S1092" s="11" t="s">
        <v>384</v>
      </c>
      <c r="T1092" s="16">
        <v>0</v>
      </c>
      <c r="U1092" s="17"/>
      <c r="V1092" s="12">
        <v>436.86131386861302</v>
      </c>
      <c r="W1092" s="12">
        <v>436.86131386861302</v>
      </c>
      <c r="X1092" s="12">
        <v>0</v>
      </c>
      <c r="Y1092" s="18">
        <v>45838</v>
      </c>
      <c r="Z1092" s="13" t="s">
        <v>497</v>
      </c>
      <c r="AA1092" s="19" t="s">
        <v>373</v>
      </c>
      <c r="AB1092" s="13" t="s">
        <v>357</v>
      </c>
      <c r="AC1092" s="13" t="s">
        <v>470</v>
      </c>
      <c r="AD1092" s="20"/>
      <c r="AE1092" s="20"/>
      <c r="AF1092" s="13" t="s">
        <v>40</v>
      </c>
      <c r="AG1092" s="15">
        <v>45474</v>
      </c>
      <c r="AH1092" s="13" t="s">
        <v>41</v>
      </c>
      <c r="AI1092" s="13" t="s">
        <v>47</v>
      </c>
      <c r="AJ1092" s="13" t="s">
        <v>385</v>
      </c>
      <c r="AK1092" s="14">
        <v>-3</v>
      </c>
      <c r="AL1092" s="17"/>
      <c r="AM1092" s="17"/>
      <c r="AN1092" s="17"/>
      <c r="AO1092" s="17"/>
      <c r="AP1092" s="17"/>
      <c r="AQ1092" s="17"/>
      <c r="AR1092" s="17"/>
      <c r="AS1092" s="17"/>
      <c r="AT1092" s="17"/>
      <c r="AU1092" s="17"/>
      <c r="AV1092" s="17"/>
    </row>
    <row r="1093" spans="1:48" ht="15.75" customHeight="1">
      <c r="A1093" s="21" t="s">
        <v>47</v>
      </c>
      <c r="B1093" s="23" t="s">
        <v>1692</v>
      </c>
      <c r="C1093" s="22">
        <v>45844</v>
      </c>
      <c r="D1093" s="23" t="s">
        <v>265</v>
      </c>
      <c r="E1093" s="23" t="s">
        <v>170</v>
      </c>
      <c r="F1093" s="14">
        <v>1</v>
      </c>
      <c r="G1093" s="12">
        <v>1800.1699716713879</v>
      </c>
      <c r="H1093" s="12">
        <v>1800.1699716713879</v>
      </c>
      <c r="I1093" s="23" t="s">
        <v>52</v>
      </c>
      <c r="J1093" s="23" t="s">
        <v>61</v>
      </c>
      <c r="K1093" s="24" t="s">
        <v>177</v>
      </c>
      <c r="L1093" s="24">
        <v>157</v>
      </c>
      <c r="M1093" s="12">
        <v>1512.7478753541075</v>
      </c>
      <c r="N1093" s="12">
        <v>1512.7478753541075</v>
      </c>
      <c r="O1093" s="12">
        <v>287.42209631728042</v>
      </c>
      <c r="P1093" s="13"/>
      <c r="Q1093" s="14">
        <v>2025</v>
      </c>
      <c r="R1093" s="15">
        <v>45474</v>
      </c>
      <c r="S1093" s="11" t="s">
        <v>453</v>
      </c>
      <c r="T1093" s="16">
        <v>0</v>
      </c>
      <c r="U1093" s="17"/>
      <c r="V1093" s="12">
        <v>711.74787535410746</v>
      </c>
      <c r="W1093" s="12">
        <v>711.74787535410746</v>
      </c>
      <c r="X1093" s="12">
        <v>0</v>
      </c>
      <c r="Y1093" s="18">
        <v>45838</v>
      </c>
      <c r="Z1093" s="13" t="s">
        <v>497</v>
      </c>
      <c r="AA1093" s="19" t="s">
        <v>373</v>
      </c>
      <c r="AB1093" s="13" t="s">
        <v>357</v>
      </c>
      <c r="AC1093" s="13" t="s">
        <v>470</v>
      </c>
      <c r="AD1093" s="20"/>
      <c r="AE1093" s="20"/>
      <c r="AF1093" s="13" t="s">
        <v>40</v>
      </c>
      <c r="AG1093" s="15">
        <v>45474</v>
      </c>
      <c r="AH1093" s="13" t="s">
        <v>41</v>
      </c>
      <c r="AI1093" s="13" t="s">
        <v>47</v>
      </c>
      <c r="AJ1093" s="13" t="s">
        <v>454</v>
      </c>
      <c r="AK1093" s="14">
        <v>-3</v>
      </c>
      <c r="AL1093" s="17"/>
      <c r="AM1093" s="17"/>
      <c r="AN1093" s="17"/>
      <c r="AO1093" s="17"/>
      <c r="AP1093" s="17"/>
      <c r="AQ1093" s="17"/>
      <c r="AR1093" s="17"/>
      <c r="AS1093" s="17"/>
      <c r="AT1093" s="17"/>
      <c r="AU1093" s="17"/>
      <c r="AV1093" s="17"/>
    </row>
    <row r="1094" spans="1:48" ht="15.75" customHeight="1">
      <c r="A1094" s="21" t="s">
        <v>47</v>
      </c>
      <c r="B1094" s="23" t="s">
        <v>1692</v>
      </c>
      <c r="C1094" s="22">
        <v>45844</v>
      </c>
      <c r="D1094" s="23" t="s">
        <v>265</v>
      </c>
      <c r="E1094" s="23" t="s">
        <v>531</v>
      </c>
      <c r="F1094" s="14">
        <v>1</v>
      </c>
      <c r="G1094" s="12">
        <v>8699.5893440033688</v>
      </c>
      <c r="H1094" s="12">
        <v>8699.5893440033688</v>
      </c>
      <c r="I1094" s="23" t="s">
        <v>52</v>
      </c>
      <c r="J1094" s="23" t="s">
        <v>61</v>
      </c>
      <c r="K1094" s="24" t="s">
        <v>177</v>
      </c>
      <c r="L1094" s="24">
        <v>157</v>
      </c>
      <c r="M1094" s="12">
        <v>7310.5792806751006</v>
      </c>
      <c r="N1094" s="12">
        <v>7310.5792806751006</v>
      </c>
      <c r="O1094" s="12">
        <v>1389.0100633282682</v>
      </c>
      <c r="P1094" s="13"/>
      <c r="Q1094" s="14">
        <v>2025</v>
      </c>
      <c r="R1094" s="15">
        <v>45474</v>
      </c>
      <c r="S1094" s="11" t="s">
        <v>453</v>
      </c>
      <c r="T1094" s="16">
        <v>0</v>
      </c>
      <c r="U1094" s="17"/>
      <c r="V1094" s="12">
        <v>2450.5792806751006</v>
      </c>
      <c r="W1094" s="12">
        <v>2450.5792806751006</v>
      </c>
      <c r="X1094" s="12">
        <v>0</v>
      </c>
      <c r="Y1094" s="18">
        <v>45838</v>
      </c>
      <c r="Z1094" s="13" t="s">
        <v>497</v>
      </c>
      <c r="AA1094" s="19" t="s">
        <v>373</v>
      </c>
      <c r="AB1094" s="13" t="s">
        <v>357</v>
      </c>
      <c r="AC1094" s="13" t="s">
        <v>470</v>
      </c>
      <c r="AD1094" s="20"/>
      <c r="AE1094" s="20"/>
      <c r="AF1094" s="13" t="s">
        <v>40</v>
      </c>
      <c r="AG1094" s="15">
        <v>45474</v>
      </c>
      <c r="AH1094" s="13" t="s">
        <v>41</v>
      </c>
      <c r="AI1094" s="13" t="s">
        <v>47</v>
      </c>
      <c r="AJ1094" s="13" t="s">
        <v>460</v>
      </c>
      <c r="AK1094" s="14">
        <v>-3</v>
      </c>
      <c r="AL1094" s="17"/>
      <c r="AM1094" s="17"/>
      <c r="AN1094" s="17"/>
      <c r="AO1094" s="17"/>
      <c r="AP1094" s="17"/>
      <c r="AQ1094" s="17"/>
      <c r="AR1094" s="17"/>
      <c r="AS1094" s="17"/>
      <c r="AT1094" s="17"/>
      <c r="AU1094" s="17"/>
      <c r="AV1094" s="17"/>
    </row>
    <row r="1095" spans="1:48" ht="15.75" customHeight="1">
      <c r="A1095" s="21" t="s">
        <v>35</v>
      </c>
      <c r="B1095" s="23" t="s">
        <v>1692</v>
      </c>
      <c r="C1095" s="22">
        <v>45844</v>
      </c>
      <c r="D1095" s="23" t="s">
        <v>265</v>
      </c>
      <c r="E1095" s="23" t="s">
        <v>37</v>
      </c>
      <c r="F1095" s="14">
        <v>1</v>
      </c>
      <c r="G1095" s="12">
        <v>11000.014358944907</v>
      </c>
      <c r="H1095" s="12">
        <v>11000.014358944907</v>
      </c>
      <c r="I1095" s="23" t="s">
        <v>52</v>
      </c>
      <c r="J1095" s="23" t="s">
        <v>61</v>
      </c>
      <c r="K1095" s="24" t="s">
        <v>177</v>
      </c>
      <c r="L1095" s="24">
        <v>157</v>
      </c>
      <c r="M1095" s="12">
        <v>9243.7095453318543</v>
      </c>
      <c r="N1095" s="12">
        <v>9243.7095453318543</v>
      </c>
      <c r="O1095" s="12">
        <v>1756.3048136130528</v>
      </c>
      <c r="P1095" s="13"/>
      <c r="Q1095" s="14">
        <v>2025</v>
      </c>
      <c r="R1095" s="15">
        <v>45474</v>
      </c>
      <c r="S1095" s="11" t="s">
        <v>364</v>
      </c>
      <c r="T1095" s="16">
        <v>1000</v>
      </c>
      <c r="U1095" s="17"/>
      <c r="V1095" s="12">
        <v>2806.1129066763915</v>
      </c>
      <c r="W1095" s="12">
        <v>2806.1129066763915</v>
      </c>
      <c r="X1095" s="12">
        <v>0</v>
      </c>
      <c r="Y1095" s="18">
        <v>45838</v>
      </c>
      <c r="Z1095" s="13" t="s">
        <v>497</v>
      </c>
      <c r="AA1095" s="19" t="s">
        <v>373</v>
      </c>
      <c r="AB1095" s="13" t="s">
        <v>357</v>
      </c>
      <c r="AC1095" s="13" t="s">
        <v>470</v>
      </c>
      <c r="AD1095" s="20"/>
      <c r="AE1095" s="20"/>
      <c r="AF1095" s="13" t="s">
        <v>40</v>
      </c>
      <c r="AG1095" s="15">
        <v>45474</v>
      </c>
      <c r="AH1095" s="13" t="s">
        <v>41</v>
      </c>
      <c r="AI1095" s="13" t="s">
        <v>35</v>
      </c>
      <c r="AJ1095" s="13" t="s">
        <v>365</v>
      </c>
      <c r="AK1095" s="14">
        <v>-1</v>
      </c>
      <c r="AL1095" s="17"/>
      <c r="AM1095" s="17"/>
      <c r="AN1095" s="17"/>
      <c r="AO1095" s="17"/>
      <c r="AP1095" s="17"/>
      <c r="AQ1095" s="17"/>
      <c r="AR1095" s="17"/>
      <c r="AS1095" s="17"/>
      <c r="AT1095" s="17"/>
      <c r="AU1095" s="17"/>
      <c r="AV1095" s="17"/>
    </row>
    <row r="1096" spans="1:48" ht="15.75" customHeight="1">
      <c r="A1096" s="21" t="s">
        <v>47</v>
      </c>
      <c r="B1096" s="23" t="s">
        <v>1692</v>
      </c>
      <c r="C1096" s="22">
        <v>45844</v>
      </c>
      <c r="D1096" s="23" t="s">
        <v>219</v>
      </c>
      <c r="E1096" s="23" t="s">
        <v>148</v>
      </c>
      <c r="F1096" s="14">
        <v>1</v>
      </c>
      <c r="G1096" s="12">
        <v>1200.0000000000002</v>
      </c>
      <c r="H1096" s="12">
        <v>1200.0000000000002</v>
      </c>
      <c r="I1096" s="23" t="s">
        <v>52</v>
      </c>
      <c r="J1096" s="23" t="s">
        <v>61</v>
      </c>
      <c r="K1096" s="24" t="s">
        <v>177</v>
      </c>
      <c r="L1096" s="24">
        <v>157</v>
      </c>
      <c r="M1096" s="12">
        <v>1008.4033613445381</v>
      </c>
      <c r="N1096" s="12">
        <v>1008.4033613445381</v>
      </c>
      <c r="O1096" s="12">
        <v>191.59663865546213</v>
      </c>
      <c r="P1096" s="13"/>
      <c r="Q1096" s="14">
        <v>2025</v>
      </c>
      <c r="R1096" s="15">
        <v>45474</v>
      </c>
      <c r="S1096" s="11" t="s">
        <v>360</v>
      </c>
      <c r="T1096" s="16">
        <v>0</v>
      </c>
      <c r="U1096" s="17"/>
      <c r="V1096" s="12">
        <v>357.9831932773111</v>
      </c>
      <c r="W1096" s="12">
        <v>357.9831932773111</v>
      </c>
      <c r="X1096" s="12">
        <v>0</v>
      </c>
      <c r="Y1096" s="18">
        <v>45838</v>
      </c>
      <c r="Z1096" s="13" t="s">
        <v>497</v>
      </c>
      <c r="AA1096" s="19" t="s">
        <v>373</v>
      </c>
      <c r="AB1096" s="13" t="s">
        <v>357</v>
      </c>
      <c r="AC1096" s="13" t="s">
        <v>362</v>
      </c>
      <c r="AD1096" s="20"/>
      <c r="AE1096" s="20"/>
      <c r="AF1096" s="13" t="s">
        <v>40</v>
      </c>
      <c r="AG1096" s="15">
        <v>45474</v>
      </c>
      <c r="AH1096" s="13" t="s">
        <v>41</v>
      </c>
      <c r="AI1096" s="13" t="s">
        <v>47</v>
      </c>
      <c r="AJ1096" s="13" t="s">
        <v>363</v>
      </c>
      <c r="AK1096" s="14">
        <v>-1</v>
      </c>
      <c r="AL1096" s="17"/>
      <c r="AM1096" s="17"/>
      <c r="AN1096" s="17"/>
      <c r="AO1096" s="17"/>
      <c r="AP1096" s="17"/>
      <c r="AQ1096" s="17"/>
      <c r="AR1096" s="17"/>
      <c r="AS1096" s="17"/>
      <c r="AT1096" s="17"/>
      <c r="AU1096" s="17"/>
      <c r="AV1096" s="17"/>
    </row>
    <row r="1097" spans="1:48" ht="15.75" customHeight="1">
      <c r="A1097" s="21" t="s">
        <v>53</v>
      </c>
      <c r="B1097" s="23" t="s">
        <v>1692</v>
      </c>
      <c r="C1097" s="22">
        <v>45844</v>
      </c>
      <c r="D1097" s="23" t="s">
        <v>329</v>
      </c>
      <c r="E1097" s="23" t="s">
        <v>55</v>
      </c>
      <c r="F1097" s="21">
        <v>1</v>
      </c>
      <c r="G1097" s="12">
        <v>20899.657134519988</v>
      </c>
      <c r="H1097" s="12">
        <v>20899.657134519988</v>
      </c>
      <c r="I1097" s="23" t="s">
        <v>52</v>
      </c>
      <c r="J1097" s="23" t="s">
        <v>61</v>
      </c>
      <c r="K1097" s="24" t="s">
        <v>177</v>
      </c>
      <c r="L1097" s="24">
        <v>157</v>
      </c>
      <c r="M1097" s="12">
        <v>17562.737087831923</v>
      </c>
      <c r="N1097" s="12">
        <v>17562.737087831923</v>
      </c>
      <c r="O1097" s="12">
        <v>3336.9200466880648</v>
      </c>
      <c r="P1097" s="13"/>
      <c r="Q1097" s="14">
        <v>2025</v>
      </c>
      <c r="R1097" s="15">
        <v>45474</v>
      </c>
      <c r="S1097" s="11" t="s">
        <v>366</v>
      </c>
      <c r="T1097" s="16">
        <v>0</v>
      </c>
      <c r="U1097" s="17"/>
      <c r="V1097" s="12">
        <v>3117.7370878319234</v>
      </c>
      <c r="W1097" s="12">
        <v>3117.7370878319234</v>
      </c>
      <c r="X1097" s="12">
        <v>0</v>
      </c>
      <c r="Y1097" s="18">
        <v>45838</v>
      </c>
      <c r="Z1097" s="13" t="s">
        <v>497</v>
      </c>
      <c r="AA1097" s="19" t="s">
        <v>373</v>
      </c>
      <c r="AB1097" s="13" t="s">
        <v>357</v>
      </c>
      <c r="AC1097" s="13" t="s">
        <v>532</v>
      </c>
      <c r="AD1097" s="20"/>
      <c r="AE1097" s="20"/>
      <c r="AF1097" s="13" t="s">
        <v>40</v>
      </c>
      <c r="AG1097" s="15">
        <v>45474</v>
      </c>
      <c r="AH1097" s="13" t="s">
        <v>41</v>
      </c>
      <c r="AI1097" s="13" t="s">
        <v>53</v>
      </c>
      <c r="AJ1097" s="13" t="s">
        <v>368</v>
      </c>
      <c r="AK1097" s="14">
        <v>-8</v>
      </c>
      <c r="AL1097" s="17"/>
      <c r="AM1097" s="17"/>
      <c r="AN1097" s="17"/>
      <c r="AO1097" s="17"/>
      <c r="AP1097" s="17"/>
      <c r="AQ1097" s="17"/>
      <c r="AR1097" s="17"/>
      <c r="AS1097" s="17"/>
      <c r="AT1097" s="17"/>
      <c r="AU1097" s="17"/>
      <c r="AV1097" s="17"/>
    </row>
    <row r="1098" spans="1:48" ht="15.75" customHeight="1">
      <c r="A1098" s="21" t="s">
        <v>53</v>
      </c>
      <c r="B1098" s="23" t="s">
        <v>1692</v>
      </c>
      <c r="C1098" s="22">
        <v>45844</v>
      </c>
      <c r="D1098" s="23" t="s">
        <v>329</v>
      </c>
      <c r="E1098" s="23" t="s">
        <v>70</v>
      </c>
      <c r="F1098" s="21">
        <v>1</v>
      </c>
      <c r="G1098" s="12">
        <v>5000.3257328990221</v>
      </c>
      <c r="H1098" s="12">
        <v>5000.3257328990221</v>
      </c>
      <c r="I1098" s="23" t="s">
        <v>52</v>
      </c>
      <c r="J1098" s="23" t="s">
        <v>61</v>
      </c>
      <c r="K1098" s="24" t="s">
        <v>177</v>
      </c>
      <c r="L1098" s="24">
        <v>157</v>
      </c>
      <c r="M1098" s="12">
        <v>4201.9543973941363</v>
      </c>
      <c r="N1098" s="12">
        <v>4201.9543973941363</v>
      </c>
      <c r="O1098" s="12">
        <v>798.37133550488579</v>
      </c>
      <c r="P1098" s="13"/>
      <c r="Q1098" s="14">
        <v>2025</v>
      </c>
      <c r="R1098" s="15">
        <v>45474</v>
      </c>
      <c r="S1098" s="11" t="s">
        <v>381</v>
      </c>
      <c r="T1098" s="16">
        <v>300</v>
      </c>
      <c r="U1098" s="17"/>
      <c r="V1098" s="12">
        <v>2008.9543973941363</v>
      </c>
      <c r="W1098" s="12">
        <v>2008.9543973941363</v>
      </c>
      <c r="X1098" s="12">
        <v>0</v>
      </c>
      <c r="Y1098" s="18">
        <v>45838</v>
      </c>
      <c r="Z1098" s="13" t="s">
        <v>497</v>
      </c>
      <c r="AA1098" s="19" t="s">
        <v>373</v>
      </c>
      <c r="AB1098" s="13" t="s">
        <v>357</v>
      </c>
      <c r="AC1098" s="13" t="s">
        <v>532</v>
      </c>
      <c r="AD1098" s="20"/>
      <c r="AE1098" s="20"/>
      <c r="AF1098" s="13" t="s">
        <v>40</v>
      </c>
      <c r="AG1098" s="15">
        <v>45474</v>
      </c>
      <c r="AH1098" s="13" t="s">
        <v>41</v>
      </c>
      <c r="AI1098" s="13" t="s">
        <v>53</v>
      </c>
      <c r="AJ1098" s="13" t="s">
        <v>382</v>
      </c>
      <c r="AK1098" s="14">
        <v>-3</v>
      </c>
      <c r="AL1098" s="17"/>
      <c r="AM1098" s="17"/>
      <c r="AN1098" s="17"/>
      <c r="AO1098" s="17"/>
      <c r="AP1098" s="17"/>
      <c r="AQ1098" s="17"/>
      <c r="AR1098" s="17"/>
      <c r="AS1098" s="17"/>
      <c r="AT1098" s="17"/>
      <c r="AU1098" s="17"/>
      <c r="AV1098" s="17"/>
    </row>
    <row r="1099" spans="1:48" ht="15.75" customHeight="1">
      <c r="A1099" s="21" t="s">
        <v>43</v>
      </c>
      <c r="B1099" s="23" t="s">
        <v>1692</v>
      </c>
      <c r="C1099" s="22">
        <v>45844</v>
      </c>
      <c r="D1099" s="23" t="s">
        <v>184</v>
      </c>
      <c r="E1099" s="23" t="s">
        <v>45</v>
      </c>
      <c r="F1099" s="14">
        <v>1</v>
      </c>
      <c r="G1099" s="12">
        <v>8199.8861047835999</v>
      </c>
      <c r="H1099" s="12">
        <v>8199.8861047835999</v>
      </c>
      <c r="I1099" s="23" t="s">
        <v>52</v>
      </c>
      <c r="J1099" s="23" t="s">
        <v>61</v>
      </c>
      <c r="K1099" s="24" t="s">
        <v>177</v>
      </c>
      <c r="L1099" s="24">
        <v>157</v>
      </c>
      <c r="M1099" s="12">
        <v>6890.6605922551262</v>
      </c>
      <c r="N1099" s="12">
        <v>6890.6605922551262</v>
      </c>
      <c r="O1099" s="12">
        <v>1309.2255125284737</v>
      </c>
      <c r="P1099" s="13"/>
      <c r="Q1099" s="14">
        <v>2025</v>
      </c>
      <c r="R1099" s="15">
        <v>45474</v>
      </c>
      <c r="S1099" s="11" t="s">
        <v>355</v>
      </c>
      <c r="T1099" s="16">
        <v>0</v>
      </c>
      <c r="U1099" s="17"/>
      <c r="V1099" s="12">
        <v>1445.6605922551253</v>
      </c>
      <c r="W1099" s="12">
        <v>1445.6605922551253</v>
      </c>
      <c r="X1099" s="12">
        <v>0</v>
      </c>
      <c r="Y1099" s="18">
        <v>45838</v>
      </c>
      <c r="Z1099" s="13" t="s">
        <v>497</v>
      </c>
      <c r="AA1099" s="19" t="s">
        <v>361</v>
      </c>
      <c r="AB1099" s="13" t="s">
        <v>357</v>
      </c>
      <c r="AC1099" s="13" t="s">
        <v>405</v>
      </c>
      <c r="AD1099" s="20"/>
      <c r="AE1099" s="20"/>
      <c r="AF1099" s="13" t="s">
        <v>40</v>
      </c>
      <c r="AG1099" s="15">
        <v>45474</v>
      </c>
      <c r="AH1099" s="13" t="s">
        <v>41</v>
      </c>
      <c r="AI1099" s="13" t="s">
        <v>43</v>
      </c>
      <c r="AJ1099" s="13" t="s">
        <v>359</v>
      </c>
      <c r="AK1099" s="14">
        <v>-1</v>
      </c>
      <c r="AL1099" s="17"/>
      <c r="AM1099" s="17"/>
      <c r="AN1099" s="17"/>
      <c r="AO1099" s="17"/>
      <c r="AP1099" s="17"/>
      <c r="AQ1099" s="17"/>
      <c r="AR1099" s="17"/>
      <c r="AS1099" s="17"/>
      <c r="AT1099" s="17"/>
      <c r="AU1099" s="17"/>
      <c r="AV1099" s="17"/>
    </row>
    <row r="1100" spans="1:48" ht="15.75" customHeight="1">
      <c r="A1100" s="21" t="s">
        <v>53</v>
      </c>
      <c r="B1100" s="23" t="s">
        <v>1692</v>
      </c>
      <c r="C1100" s="22">
        <v>45844</v>
      </c>
      <c r="D1100" s="23" t="s">
        <v>184</v>
      </c>
      <c r="E1100" s="23" t="s">
        <v>316</v>
      </c>
      <c r="F1100" s="21">
        <v>2</v>
      </c>
      <c r="G1100" s="12">
        <v>3200.0762660158634</v>
      </c>
      <c r="H1100" s="12">
        <v>6400.1525320317269</v>
      </c>
      <c r="I1100" s="23" t="s">
        <v>52</v>
      </c>
      <c r="J1100" s="23" t="s">
        <v>61</v>
      </c>
      <c r="K1100" s="24" t="s">
        <v>177</v>
      </c>
      <c r="L1100" s="24">
        <v>157</v>
      </c>
      <c r="M1100" s="12">
        <v>2689.1397193410617</v>
      </c>
      <c r="N1100" s="12">
        <v>5378.2794386821233</v>
      </c>
      <c r="O1100" s="12">
        <v>1021.8730933496036</v>
      </c>
      <c r="P1100" s="13"/>
      <c r="Q1100" s="14">
        <v>2025</v>
      </c>
      <c r="R1100" s="15">
        <v>45474</v>
      </c>
      <c r="S1100" s="11" t="s">
        <v>408</v>
      </c>
      <c r="T1100" s="16">
        <v>200</v>
      </c>
      <c r="U1100" s="17"/>
      <c r="V1100" s="12">
        <v>1852.2794386821233</v>
      </c>
      <c r="W1100" s="12">
        <v>1852.2794386821233</v>
      </c>
      <c r="X1100" s="12">
        <v>0</v>
      </c>
      <c r="Y1100" s="18">
        <v>45838</v>
      </c>
      <c r="Z1100" s="13" t="s">
        <v>497</v>
      </c>
      <c r="AA1100" s="19" t="s">
        <v>361</v>
      </c>
      <c r="AB1100" s="13" t="s">
        <v>357</v>
      </c>
      <c r="AC1100" s="13" t="s">
        <v>405</v>
      </c>
      <c r="AD1100" s="20"/>
      <c r="AE1100" s="20"/>
      <c r="AF1100" s="13" t="s">
        <v>40</v>
      </c>
      <c r="AG1100" s="15">
        <v>45474</v>
      </c>
      <c r="AH1100" s="13" t="s">
        <v>41</v>
      </c>
      <c r="AI1100" s="13" t="s">
        <v>53</v>
      </c>
      <c r="AJ1100" s="13" t="s">
        <v>409</v>
      </c>
      <c r="AK1100" s="14">
        <v>-2</v>
      </c>
      <c r="AL1100" s="17"/>
      <c r="AM1100" s="17"/>
      <c r="AN1100" s="17"/>
      <c r="AO1100" s="17"/>
      <c r="AP1100" s="17"/>
      <c r="AQ1100" s="17"/>
      <c r="AR1100" s="17"/>
      <c r="AS1100" s="17"/>
      <c r="AT1100" s="17"/>
      <c r="AU1100" s="17"/>
      <c r="AV1100" s="17"/>
    </row>
    <row r="1101" spans="1:48" ht="15.75" customHeight="1">
      <c r="A1101" s="21" t="s">
        <v>47</v>
      </c>
      <c r="B1101" s="23" t="s">
        <v>1692</v>
      </c>
      <c r="C1101" s="22">
        <v>45844</v>
      </c>
      <c r="D1101" s="23" t="s">
        <v>184</v>
      </c>
      <c r="E1101" s="23" t="s">
        <v>107</v>
      </c>
      <c r="F1101" s="14">
        <v>1</v>
      </c>
      <c r="G1101" s="12">
        <v>3000.0000000000005</v>
      </c>
      <c r="H1101" s="12">
        <v>3000.0000000000005</v>
      </c>
      <c r="I1101" s="23" t="s">
        <v>52</v>
      </c>
      <c r="J1101" s="23" t="s">
        <v>61</v>
      </c>
      <c r="K1101" s="24" t="s">
        <v>177</v>
      </c>
      <c r="L1101" s="24">
        <v>157</v>
      </c>
      <c r="M1101" s="12">
        <v>2521.0084033613452</v>
      </c>
      <c r="N1101" s="12">
        <v>2521.0084033613452</v>
      </c>
      <c r="O1101" s="12">
        <v>478.99159663865521</v>
      </c>
      <c r="P1101" s="13"/>
      <c r="Q1101" s="14">
        <v>2025</v>
      </c>
      <c r="R1101" s="15">
        <v>45474</v>
      </c>
      <c r="S1101" s="11" t="s">
        <v>453</v>
      </c>
      <c r="T1101" s="16">
        <v>0</v>
      </c>
      <c r="U1101" s="17"/>
      <c r="V1101" s="12">
        <v>758.82352941176487</v>
      </c>
      <c r="W1101" s="12">
        <v>758.82352941176487</v>
      </c>
      <c r="X1101" s="12">
        <v>0</v>
      </c>
      <c r="Y1101" s="18">
        <v>45838</v>
      </c>
      <c r="Z1101" s="13" t="s">
        <v>497</v>
      </c>
      <c r="AA1101" s="19" t="s">
        <v>361</v>
      </c>
      <c r="AB1101" s="13" t="s">
        <v>357</v>
      </c>
      <c r="AC1101" s="13" t="s">
        <v>405</v>
      </c>
      <c r="AD1101" s="20"/>
      <c r="AE1101" s="20"/>
      <c r="AF1101" s="13" t="s">
        <v>40</v>
      </c>
      <c r="AG1101" s="15">
        <v>45474</v>
      </c>
      <c r="AH1101" s="13" t="s">
        <v>41</v>
      </c>
      <c r="AI1101" s="13" t="s">
        <v>47</v>
      </c>
      <c r="AJ1101" s="13" t="s">
        <v>460</v>
      </c>
      <c r="AK1101" s="14">
        <v>-1</v>
      </c>
      <c r="AL1101" s="17"/>
      <c r="AM1101" s="17"/>
      <c r="AN1101" s="17"/>
      <c r="AO1101" s="17"/>
      <c r="AP1101" s="17"/>
      <c r="AQ1101" s="17"/>
      <c r="AR1101" s="17"/>
      <c r="AS1101" s="17"/>
      <c r="AT1101" s="17"/>
      <c r="AU1101" s="17"/>
      <c r="AV1101" s="17"/>
    </row>
    <row r="1102" spans="1:48" ht="15.75" customHeight="1">
      <c r="A1102" s="21" t="s">
        <v>76</v>
      </c>
      <c r="B1102" s="23" t="s">
        <v>1692</v>
      </c>
      <c r="C1102" s="22">
        <v>45844</v>
      </c>
      <c r="D1102" s="23" t="s">
        <v>184</v>
      </c>
      <c r="E1102" s="23" t="s">
        <v>137</v>
      </c>
      <c r="F1102" s="21">
        <v>2</v>
      </c>
      <c r="G1102" s="12">
        <v>3500.0000000000005</v>
      </c>
      <c r="H1102" s="12">
        <v>7000.0000000000009</v>
      </c>
      <c r="I1102" s="23" t="s">
        <v>52</v>
      </c>
      <c r="J1102" s="23" t="s">
        <v>61</v>
      </c>
      <c r="K1102" s="24" t="s">
        <v>177</v>
      </c>
      <c r="L1102" s="24">
        <v>157</v>
      </c>
      <c r="M1102" s="12">
        <v>2941.1764705882356</v>
      </c>
      <c r="N1102" s="12">
        <v>5882.3529411764712</v>
      </c>
      <c r="O1102" s="12">
        <v>1117.6470588235297</v>
      </c>
      <c r="P1102" s="13"/>
      <c r="Q1102" s="14">
        <v>2025</v>
      </c>
      <c r="R1102" s="15">
        <v>45474</v>
      </c>
      <c r="S1102" s="11" t="s">
        <v>406</v>
      </c>
      <c r="T1102" s="16">
        <v>10</v>
      </c>
      <c r="U1102" s="17"/>
      <c r="V1102" s="12">
        <v>1697.4789915966394</v>
      </c>
      <c r="W1102" s="12">
        <v>1697.4789915966394</v>
      </c>
      <c r="X1102" s="12">
        <v>0</v>
      </c>
      <c r="Y1102" s="18">
        <v>45838</v>
      </c>
      <c r="Z1102" s="13" t="s">
        <v>497</v>
      </c>
      <c r="AA1102" s="19" t="s">
        <v>361</v>
      </c>
      <c r="AB1102" s="13" t="s">
        <v>357</v>
      </c>
      <c r="AC1102" s="13" t="s">
        <v>405</v>
      </c>
      <c r="AD1102" s="20"/>
      <c r="AE1102" s="20"/>
      <c r="AF1102" s="13" t="s">
        <v>40</v>
      </c>
      <c r="AG1102" s="15">
        <v>45474</v>
      </c>
      <c r="AH1102" s="13" t="s">
        <v>41</v>
      </c>
      <c r="AI1102" s="13" t="s">
        <v>76</v>
      </c>
      <c r="AJ1102" s="13" t="s">
        <v>407</v>
      </c>
      <c r="AK1102" s="14">
        <v>-2</v>
      </c>
      <c r="AL1102" s="17"/>
      <c r="AM1102" s="17"/>
      <c r="AN1102" s="17"/>
      <c r="AO1102" s="17"/>
      <c r="AP1102" s="17"/>
      <c r="AQ1102" s="17"/>
      <c r="AR1102" s="17"/>
      <c r="AS1102" s="17"/>
      <c r="AT1102" s="17"/>
      <c r="AU1102" s="17"/>
      <c r="AV1102" s="17"/>
    </row>
    <row r="1103" spans="1:48" ht="15.75" customHeight="1">
      <c r="A1103" s="21" t="s">
        <v>35</v>
      </c>
      <c r="B1103" s="23" t="s">
        <v>1692</v>
      </c>
      <c r="C1103" s="22">
        <v>45843</v>
      </c>
      <c r="D1103" s="23" t="s">
        <v>180</v>
      </c>
      <c r="E1103" s="23" t="s">
        <v>117</v>
      </c>
      <c r="F1103" s="14">
        <v>1</v>
      </c>
      <c r="G1103" s="12">
        <v>8999.5678478824557</v>
      </c>
      <c r="H1103" s="12">
        <v>8999.5678478824557</v>
      </c>
      <c r="I1103" s="23" t="s">
        <v>52</v>
      </c>
      <c r="J1103" s="23" t="s">
        <v>61</v>
      </c>
      <c r="K1103" s="24" t="s">
        <v>177</v>
      </c>
      <c r="L1103" s="24">
        <v>157</v>
      </c>
      <c r="M1103" s="12">
        <v>7562.6620570440809</v>
      </c>
      <c r="N1103" s="12">
        <v>7562.6620570440809</v>
      </c>
      <c r="O1103" s="12">
        <v>1436.9057908383747</v>
      </c>
      <c r="P1103" s="13"/>
      <c r="Q1103" s="14">
        <v>2025</v>
      </c>
      <c r="R1103" s="15">
        <v>45474</v>
      </c>
      <c r="S1103" s="11" t="s">
        <v>364</v>
      </c>
      <c r="T1103" s="16">
        <v>750</v>
      </c>
      <c r="U1103" s="17"/>
      <c r="V1103" s="12">
        <v>2312.66205704408</v>
      </c>
      <c r="W1103" s="12">
        <v>2312.66205704408</v>
      </c>
      <c r="X1103" s="12">
        <v>0</v>
      </c>
      <c r="Y1103" s="18">
        <v>45838</v>
      </c>
      <c r="Z1103" s="13" t="s">
        <v>501</v>
      </c>
      <c r="AA1103" s="19" t="s">
        <v>367</v>
      </c>
      <c r="AB1103" s="13" t="s">
        <v>357</v>
      </c>
      <c r="AC1103" s="13" t="s">
        <v>367</v>
      </c>
      <c r="AD1103" s="20"/>
      <c r="AE1103" s="20"/>
      <c r="AF1103" s="13" t="s">
        <v>40</v>
      </c>
      <c r="AG1103" s="15">
        <v>45474</v>
      </c>
      <c r="AH1103" s="13" t="s">
        <v>41</v>
      </c>
      <c r="AI1103" s="13" t="s">
        <v>35</v>
      </c>
      <c r="AJ1103" s="13" t="s">
        <v>390</v>
      </c>
      <c r="AK1103" s="21">
        <v>-0.75</v>
      </c>
      <c r="AL1103" s="17"/>
      <c r="AM1103" s="17"/>
      <c r="AN1103" s="17"/>
      <c r="AO1103" s="17"/>
      <c r="AP1103" s="17"/>
      <c r="AQ1103" s="17"/>
      <c r="AR1103" s="17"/>
      <c r="AS1103" s="17"/>
      <c r="AT1103" s="17"/>
      <c r="AU1103" s="17"/>
      <c r="AV1103" s="17"/>
    </row>
    <row r="1104" spans="1:48" ht="15.75" customHeight="1">
      <c r="A1104" s="21" t="s">
        <v>43</v>
      </c>
      <c r="B1104" s="23" t="s">
        <v>1692</v>
      </c>
      <c r="C1104" s="22">
        <v>45843</v>
      </c>
      <c r="D1104" s="23" t="s">
        <v>180</v>
      </c>
      <c r="E1104" s="23" t="s">
        <v>45</v>
      </c>
      <c r="F1104" s="14">
        <v>1</v>
      </c>
      <c r="G1104" s="12">
        <v>8199.8861047835999</v>
      </c>
      <c r="H1104" s="12">
        <v>8199.8861047835999</v>
      </c>
      <c r="I1104" s="23" t="s">
        <v>52</v>
      </c>
      <c r="J1104" s="23" t="s">
        <v>61</v>
      </c>
      <c r="K1104" s="24" t="s">
        <v>177</v>
      </c>
      <c r="L1104" s="24">
        <v>157</v>
      </c>
      <c r="M1104" s="12">
        <v>6890.6605922551262</v>
      </c>
      <c r="N1104" s="12">
        <v>6890.6605922551262</v>
      </c>
      <c r="O1104" s="12">
        <v>1309.2255125284737</v>
      </c>
      <c r="P1104" s="13"/>
      <c r="Q1104" s="14">
        <v>2025</v>
      </c>
      <c r="R1104" s="15">
        <v>45474</v>
      </c>
      <c r="S1104" s="11" t="s">
        <v>355</v>
      </c>
      <c r="T1104" s="16">
        <v>0</v>
      </c>
      <c r="U1104" s="17"/>
      <c r="V1104" s="12">
        <v>1445.6605922551253</v>
      </c>
      <c r="W1104" s="12">
        <v>1445.6605922551253</v>
      </c>
      <c r="X1104" s="12">
        <v>0</v>
      </c>
      <c r="Y1104" s="18">
        <v>45838</v>
      </c>
      <c r="Z1104" s="13" t="s">
        <v>501</v>
      </c>
      <c r="AA1104" s="19" t="s">
        <v>367</v>
      </c>
      <c r="AB1104" s="13" t="s">
        <v>357</v>
      </c>
      <c r="AC1104" s="13" t="s">
        <v>367</v>
      </c>
      <c r="AD1104" s="20"/>
      <c r="AE1104" s="20"/>
      <c r="AF1104" s="13" t="s">
        <v>40</v>
      </c>
      <c r="AG1104" s="15">
        <v>45474</v>
      </c>
      <c r="AH1104" s="13" t="s">
        <v>41</v>
      </c>
      <c r="AI1104" s="13" t="s">
        <v>43</v>
      </c>
      <c r="AJ1104" s="13" t="s">
        <v>359</v>
      </c>
      <c r="AK1104" s="14">
        <v>-1</v>
      </c>
      <c r="AL1104" s="17"/>
      <c r="AM1104" s="17"/>
      <c r="AN1104" s="17"/>
      <c r="AO1104" s="17"/>
      <c r="AP1104" s="17"/>
      <c r="AQ1104" s="17"/>
      <c r="AR1104" s="17"/>
      <c r="AS1104" s="17"/>
      <c r="AT1104" s="17"/>
      <c r="AU1104" s="17"/>
      <c r="AV1104" s="17"/>
    </row>
    <row r="1105" spans="1:48" ht="15.75" customHeight="1">
      <c r="A1105" s="21" t="s">
        <v>53</v>
      </c>
      <c r="B1105" s="23" t="s">
        <v>1692</v>
      </c>
      <c r="C1105" s="22">
        <v>45843</v>
      </c>
      <c r="D1105" s="23" t="s">
        <v>151</v>
      </c>
      <c r="E1105" s="23" t="s">
        <v>55</v>
      </c>
      <c r="F1105" s="14">
        <v>1</v>
      </c>
      <c r="G1105" s="12">
        <v>20899.657134519988</v>
      </c>
      <c r="H1105" s="12">
        <v>20899.657134519988</v>
      </c>
      <c r="I1105" s="23" t="s">
        <v>52</v>
      </c>
      <c r="J1105" s="23" t="s">
        <v>61</v>
      </c>
      <c r="K1105" s="24" t="s">
        <v>177</v>
      </c>
      <c r="L1105" s="24">
        <v>157</v>
      </c>
      <c r="M1105" s="12">
        <v>17562.737087831923</v>
      </c>
      <c r="N1105" s="12">
        <v>17562.737087831923</v>
      </c>
      <c r="O1105" s="12">
        <v>3336.9200466880648</v>
      </c>
      <c r="P1105" s="13"/>
      <c r="Q1105" s="14">
        <v>2025</v>
      </c>
      <c r="R1105" s="15">
        <v>45474</v>
      </c>
      <c r="S1105" s="11" t="s">
        <v>366</v>
      </c>
      <c r="T1105" s="16">
        <v>0</v>
      </c>
      <c r="U1105" s="17"/>
      <c r="V1105" s="12">
        <v>3117.7370878319234</v>
      </c>
      <c r="W1105" s="12">
        <v>3117.7370878319234</v>
      </c>
      <c r="X1105" s="12">
        <v>0</v>
      </c>
      <c r="Y1105" s="18">
        <v>45838</v>
      </c>
      <c r="Z1105" s="13" t="s">
        <v>501</v>
      </c>
      <c r="AA1105" s="19" t="s">
        <v>373</v>
      </c>
      <c r="AB1105" s="13" t="s">
        <v>357</v>
      </c>
      <c r="AC1105" s="13" t="s">
        <v>462</v>
      </c>
      <c r="AD1105" s="20"/>
      <c r="AE1105" s="20"/>
      <c r="AF1105" s="13" t="s">
        <v>40</v>
      </c>
      <c r="AG1105" s="15">
        <v>45474</v>
      </c>
      <c r="AH1105" s="13" t="s">
        <v>41</v>
      </c>
      <c r="AI1105" s="13" t="s">
        <v>53</v>
      </c>
      <c r="AJ1105" s="13" t="s">
        <v>368</v>
      </c>
      <c r="AK1105" s="14">
        <v>-8</v>
      </c>
      <c r="AL1105" s="17"/>
      <c r="AM1105" s="17"/>
      <c r="AN1105" s="17"/>
      <c r="AO1105" s="17"/>
      <c r="AP1105" s="17"/>
      <c r="AQ1105" s="17"/>
      <c r="AR1105" s="17"/>
      <c r="AS1105" s="17"/>
      <c r="AT1105" s="17"/>
      <c r="AU1105" s="17"/>
      <c r="AV1105" s="17"/>
    </row>
    <row r="1106" spans="1:48" ht="15.75" customHeight="1">
      <c r="A1106" s="21" t="s">
        <v>53</v>
      </c>
      <c r="B1106" s="23" t="s">
        <v>1692</v>
      </c>
      <c r="C1106" s="22">
        <v>45843</v>
      </c>
      <c r="D1106" s="23" t="s">
        <v>246</v>
      </c>
      <c r="E1106" s="23" t="s">
        <v>55</v>
      </c>
      <c r="F1106" s="14">
        <v>1</v>
      </c>
      <c r="G1106" s="12">
        <v>20899.657134519988</v>
      </c>
      <c r="H1106" s="12">
        <v>20899.657134519988</v>
      </c>
      <c r="I1106" s="23" t="s">
        <v>52</v>
      </c>
      <c r="J1106" s="23" t="s">
        <v>61</v>
      </c>
      <c r="K1106" s="24" t="s">
        <v>177</v>
      </c>
      <c r="L1106" s="24">
        <v>157</v>
      </c>
      <c r="M1106" s="12">
        <v>17562.737087831923</v>
      </c>
      <c r="N1106" s="12">
        <v>17562.737087831923</v>
      </c>
      <c r="O1106" s="12">
        <v>3336.9200466880648</v>
      </c>
      <c r="P1106" s="13"/>
      <c r="Q1106" s="14">
        <v>2025</v>
      </c>
      <c r="R1106" s="15">
        <v>45474</v>
      </c>
      <c r="S1106" s="11" t="s">
        <v>366</v>
      </c>
      <c r="T1106" s="16">
        <v>0</v>
      </c>
      <c r="U1106" s="17"/>
      <c r="V1106" s="12">
        <v>3117.7370878319234</v>
      </c>
      <c r="W1106" s="12">
        <v>3117.7370878319234</v>
      </c>
      <c r="X1106" s="12">
        <v>0</v>
      </c>
      <c r="Y1106" s="18">
        <v>45838</v>
      </c>
      <c r="Z1106" s="13" t="s">
        <v>501</v>
      </c>
      <c r="AA1106" s="19" t="s">
        <v>373</v>
      </c>
      <c r="AB1106" s="13" t="s">
        <v>357</v>
      </c>
      <c r="AC1106" s="13" t="s">
        <v>389</v>
      </c>
      <c r="AD1106" s="20"/>
      <c r="AE1106" s="20"/>
      <c r="AF1106" s="13" t="s">
        <v>40</v>
      </c>
      <c r="AG1106" s="15">
        <v>45474</v>
      </c>
      <c r="AH1106" s="13" t="s">
        <v>41</v>
      </c>
      <c r="AI1106" s="13" t="s">
        <v>53</v>
      </c>
      <c r="AJ1106" s="13" t="s">
        <v>368</v>
      </c>
      <c r="AK1106" s="14">
        <v>-8</v>
      </c>
      <c r="AL1106" s="17"/>
      <c r="AM1106" s="17"/>
      <c r="AN1106" s="17"/>
      <c r="AO1106" s="17"/>
      <c r="AP1106" s="17"/>
      <c r="AQ1106" s="17"/>
      <c r="AR1106" s="17"/>
      <c r="AS1106" s="17"/>
      <c r="AT1106" s="17"/>
      <c r="AU1106" s="17"/>
      <c r="AV1106" s="17"/>
    </row>
    <row r="1107" spans="1:48" ht="15.75" customHeight="1">
      <c r="A1107" s="21" t="s">
        <v>35</v>
      </c>
      <c r="B1107" s="23" t="s">
        <v>1692</v>
      </c>
      <c r="C1107" s="22">
        <v>45843</v>
      </c>
      <c r="D1107" s="23" t="s">
        <v>132</v>
      </c>
      <c r="E1107" s="23" t="s">
        <v>46</v>
      </c>
      <c r="F1107" s="14">
        <v>1</v>
      </c>
      <c r="G1107" s="12">
        <v>6000.1548227279782</v>
      </c>
      <c r="H1107" s="12">
        <v>6000.1548227279782</v>
      </c>
      <c r="I1107" s="23" t="s">
        <v>52</v>
      </c>
      <c r="J1107" s="23" t="s">
        <v>61</v>
      </c>
      <c r="K1107" s="24" t="s">
        <v>177</v>
      </c>
      <c r="L1107" s="24">
        <v>157</v>
      </c>
      <c r="M1107" s="12">
        <v>5042.1469098554444</v>
      </c>
      <c r="N1107" s="12">
        <v>5042.1469098554444</v>
      </c>
      <c r="O1107" s="12">
        <v>958.00791287253378</v>
      </c>
      <c r="P1107" s="13"/>
      <c r="Q1107" s="14">
        <v>2025</v>
      </c>
      <c r="R1107" s="15">
        <v>45474</v>
      </c>
      <c r="S1107" s="11" t="s">
        <v>364</v>
      </c>
      <c r="T1107" s="16">
        <v>500</v>
      </c>
      <c r="U1107" s="17"/>
      <c r="V1107" s="12">
        <v>1785.4242207798129</v>
      </c>
      <c r="W1107" s="12">
        <v>1785.4242207798129</v>
      </c>
      <c r="X1107" s="12">
        <v>0</v>
      </c>
      <c r="Y1107" s="18">
        <v>45838</v>
      </c>
      <c r="Z1107" s="13" t="s">
        <v>501</v>
      </c>
      <c r="AA1107" s="19" t="s">
        <v>373</v>
      </c>
      <c r="AB1107" s="13" t="s">
        <v>357</v>
      </c>
      <c r="AC1107" s="13" t="s">
        <v>389</v>
      </c>
      <c r="AD1107" s="20"/>
      <c r="AE1107" s="20"/>
      <c r="AF1107" s="13" t="s">
        <v>40</v>
      </c>
      <c r="AG1107" s="15">
        <v>45474</v>
      </c>
      <c r="AH1107" s="13" t="s">
        <v>41</v>
      </c>
      <c r="AI1107" s="13" t="s">
        <v>35</v>
      </c>
      <c r="AJ1107" s="13" t="s">
        <v>365</v>
      </c>
      <c r="AK1107" s="14">
        <v>-0.5</v>
      </c>
      <c r="AL1107" s="17"/>
      <c r="AM1107" s="17"/>
      <c r="AN1107" s="17"/>
      <c r="AO1107" s="17"/>
      <c r="AP1107" s="17"/>
      <c r="AQ1107" s="17"/>
      <c r="AR1107" s="17"/>
      <c r="AS1107" s="17"/>
      <c r="AT1107" s="17"/>
      <c r="AU1107" s="17"/>
      <c r="AV1107" s="17"/>
    </row>
    <row r="1108" spans="1:48" ht="15.75" customHeight="1">
      <c r="A1108" s="21" t="s">
        <v>43</v>
      </c>
      <c r="B1108" s="23" t="s">
        <v>1692</v>
      </c>
      <c r="C1108" s="22">
        <v>45843</v>
      </c>
      <c r="D1108" s="23" t="s">
        <v>391</v>
      </c>
      <c r="E1108" s="23" t="s">
        <v>45</v>
      </c>
      <c r="F1108" s="14">
        <v>1</v>
      </c>
      <c r="G1108" s="12">
        <v>8199.8861047835999</v>
      </c>
      <c r="H1108" s="12">
        <v>8199.8861047835999</v>
      </c>
      <c r="I1108" s="23" t="s">
        <v>52</v>
      </c>
      <c r="J1108" s="23" t="s">
        <v>61</v>
      </c>
      <c r="K1108" s="24" t="s">
        <v>177</v>
      </c>
      <c r="L1108" s="24">
        <v>157</v>
      </c>
      <c r="M1108" s="12">
        <v>6890.6605922551262</v>
      </c>
      <c r="N1108" s="12">
        <v>6890.6605922551262</v>
      </c>
      <c r="O1108" s="12">
        <v>1309.2255125284737</v>
      </c>
      <c r="P1108" s="13"/>
      <c r="Q1108" s="14">
        <v>2025</v>
      </c>
      <c r="R1108" s="15">
        <v>45474</v>
      </c>
      <c r="S1108" s="11" t="s">
        <v>355</v>
      </c>
      <c r="T1108" s="16">
        <v>0</v>
      </c>
      <c r="U1108" s="17"/>
      <c r="V1108" s="12">
        <v>1445.6605922551253</v>
      </c>
      <c r="W1108" s="12">
        <v>1445.6605922551253</v>
      </c>
      <c r="X1108" s="12">
        <v>0</v>
      </c>
      <c r="Y1108" s="18">
        <v>45838</v>
      </c>
      <c r="Z1108" s="13" t="s">
        <v>501</v>
      </c>
      <c r="AA1108" s="19" t="s">
        <v>373</v>
      </c>
      <c r="AB1108" s="13" t="s">
        <v>357</v>
      </c>
      <c r="AC1108" s="13" t="s">
        <v>392</v>
      </c>
      <c r="AD1108" s="20"/>
      <c r="AE1108" s="20"/>
      <c r="AF1108" s="13" t="s">
        <v>40</v>
      </c>
      <c r="AG1108" s="15">
        <v>45474</v>
      </c>
      <c r="AH1108" s="13" t="s">
        <v>41</v>
      </c>
      <c r="AI1108" s="13" t="s">
        <v>43</v>
      </c>
      <c r="AJ1108" s="13" t="s">
        <v>359</v>
      </c>
      <c r="AK1108" s="14">
        <v>-1</v>
      </c>
      <c r="AL1108" s="17"/>
      <c r="AM1108" s="17"/>
      <c r="AN1108" s="17"/>
      <c r="AO1108" s="17"/>
      <c r="AP1108" s="17"/>
      <c r="AQ1108" s="17"/>
      <c r="AR1108" s="17"/>
      <c r="AS1108" s="17"/>
      <c r="AT1108" s="17"/>
      <c r="AU1108" s="17"/>
      <c r="AV1108" s="17"/>
    </row>
    <row r="1109" spans="1:48" ht="15.75" customHeight="1">
      <c r="A1109" s="21" t="s">
        <v>53</v>
      </c>
      <c r="B1109" s="23" t="s">
        <v>1692</v>
      </c>
      <c r="C1109" s="22">
        <v>45843</v>
      </c>
      <c r="D1109" s="23" t="s">
        <v>238</v>
      </c>
      <c r="E1109" s="23" t="s">
        <v>69</v>
      </c>
      <c r="F1109" s="14">
        <v>1</v>
      </c>
      <c r="G1109" s="12">
        <v>2999.9553810458683</v>
      </c>
      <c r="H1109" s="12">
        <v>2999.9553810458683</v>
      </c>
      <c r="I1109" s="23" t="s">
        <v>52</v>
      </c>
      <c r="J1109" s="23" t="s">
        <v>61</v>
      </c>
      <c r="K1109" s="24" t="s">
        <v>177</v>
      </c>
      <c r="L1109" s="24">
        <v>157</v>
      </c>
      <c r="M1109" s="12">
        <v>2520.9709084419064</v>
      </c>
      <c r="N1109" s="12">
        <v>2520.9709084419064</v>
      </c>
      <c r="O1109" s="12">
        <v>478.98447260396188</v>
      </c>
      <c r="P1109" s="13"/>
      <c r="Q1109" s="14">
        <v>2025</v>
      </c>
      <c r="R1109" s="15">
        <v>45474</v>
      </c>
      <c r="S1109" s="11" t="s">
        <v>376</v>
      </c>
      <c r="T1109" s="16">
        <v>0</v>
      </c>
      <c r="U1109" s="17"/>
      <c r="V1109" s="12">
        <v>825.97090844190598</v>
      </c>
      <c r="W1109" s="12">
        <v>825.97090844190598</v>
      </c>
      <c r="X1109" s="12">
        <v>0</v>
      </c>
      <c r="Y1109" s="18">
        <v>45838</v>
      </c>
      <c r="Z1109" s="13" t="s">
        <v>501</v>
      </c>
      <c r="AA1109" s="19" t="s">
        <v>373</v>
      </c>
      <c r="AB1109" s="13" t="s">
        <v>357</v>
      </c>
      <c r="AC1109" s="13" t="s">
        <v>533</v>
      </c>
      <c r="AD1109" s="20"/>
      <c r="AE1109" s="20"/>
      <c r="AF1109" s="13" t="s">
        <v>40</v>
      </c>
      <c r="AG1109" s="15">
        <v>45474</v>
      </c>
      <c r="AH1109" s="13" t="s">
        <v>41</v>
      </c>
      <c r="AI1109" s="13" t="s">
        <v>53</v>
      </c>
      <c r="AJ1109" s="13" t="s">
        <v>377</v>
      </c>
      <c r="AK1109" s="14">
        <v>-1</v>
      </c>
      <c r="AL1109" s="17"/>
      <c r="AM1109" s="17"/>
      <c r="AN1109" s="17"/>
      <c r="AO1109" s="17"/>
      <c r="AP1109" s="17"/>
      <c r="AQ1109" s="17"/>
      <c r="AR1109" s="17"/>
      <c r="AS1109" s="17"/>
      <c r="AT1109" s="17"/>
      <c r="AU1109" s="17"/>
      <c r="AV1109" s="17"/>
    </row>
    <row r="1110" spans="1:48" ht="15.75" customHeight="1">
      <c r="A1110" s="21" t="s">
        <v>76</v>
      </c>
      <c r="B1110" s="23" t="s">
        <v>1692</v>
      </c>
      <c r="C1110" s="22">
        <v>45843</v>
      </c>
      <c r="D1110" s="23" t="s">
        <v>238</v>
      </c>
      <c r="E1110" s="23" t="s">
        <v>201</v>
      </c>
      <c r="F1110" s="14">
        <v>1</v>
      </c>
      <c r="G1110" s="12">
        <v>1499.6316758747698</v>
      </c>
      <c r="H1110" s="12">
        <v>1499.6316758747698</v>
      </c>
      <c r="I1110" s="23" t="s">
        <v>52</v>
      </c>
      <c r="J1110" s="23" t="s">
        <v>61</v>
      </c>
      <c r="K1110" s="24" t="s">
        <v>177</v>
      </c>
      <c r="L1110" s="24">
        <v>157</v>
      </c>
      <c r="M1110" s="12">
        <v>1260.1946856090503</v>
      </c>
      <c r="N1110" s="12">
        <v>1260.1946856090503</v>
      </c>
      <c r="O1110" s="12">
        <v>239.43699026571949</v>
      </c>
      <c r="P1110" s="13"/>
      <c r="Q1110" s="14">
        <v>2025</v>
      </c>
      <c r="R1110" s="15">
        <v>45474</v>
      </c>
      <c r="S1110" s="11" t="s">
        <v>479</v>
      </c>
      <c r="T1110" s="16">
        <v>0</v>
      </c>
      <c r="U1110" s="17"/>
      <c r="V1110" s="12">
        <v>461.86135227571697</v>
      </c>
      <c r="W1110" s="12">
        <v>461.86135227571697</v>
      </c>
      <c r="X1110" s="12">
        <v>0</v>
      </c>
      <c r="Y1110" s="18">
        <v>45838</v>
      </c>
      <c r="Z1110" s="13" t="s">
        <v>501</v>
      </c>
      <c r="AA1110" s="19" t="s">
        <v>373</v>
      </c>
      <c r="AB1110" s="13" t="s">
        <v>357</v>
      </c>
      <c r="AC1110" s="13" t="s">
        <v>533</v>
      </c>
      <c r="AD1110" s="20"/>
      <c r="AE1110" s="20"/>
      <c r="AF1110" s="13" t="s">
        <v>40</v>
      </c>
      <c r="AG1110" s="15">
        <v>45474</v>
      </c>
      <c r="AH1110" s="13" t="s">
        <v>41</v>
      </c>
      <c r="AI1110" s="13" t="s">
        <v>76</v>
      </c>
      <c r="AJ1110" s="13" t="s">
        <v>517</v>
      </c>
      <c r="AK1110" s="14">
        <v>-1</v>
      </c>
      <c r="AL1110" s="17"/>
      <c r="AM1110" s="17"/>
      <c r="AN1110" s="17"/>
      <c r="AO1110" s="17"/>
      <c r="AP1110" s="17"/>
      <c r="AQ1110" s="17"/>
      <c r="AR1110" s="17"/>
      <c r="AS1110" s="17"/>
      <c r="AT1110" s="17"/>
      <c r="AU1110" s="17"/>
      <c r="AV1110" s="17"/>
    </row>
    <row r="1111" spans="1:48" ht="15.75" customHeight="1">
      <c r="A1111" s="14" t="s">
        <v>43</v>
      </c>
      <c r="B1111" s="23" t="s">
        <v>1692</v>
      </c>
      <c r="C1111" s="25">
        <v>45842</v>
      </c>
      <c r="D1111" s="23" t="s">
        <v>241</v>
      </c>
      <c r="E1111" s="13" t="s">
        <v>45</v>
      </c>
      <c r="F1111" s="14">
        <v>1</v>
      </c>
      <c r="G1111" s="12">
        <v>8199.8861047835999</v>
      </c>
      <c r="H1111" s="12">
        <v>8199.8861047835999</v>
      </c>
      <c r="I1111" s="23" t="s">
        <v>52</v>
      </c>
      <c r="J1111" s="23" t="s">
        <v>61</v>
      </c>
      <c r="K1111" s="24" t="s">
        <v>177</v>
      </c>
      <c r="L1111" s="24">
        <v>157</v>
      </c>
      <c r="M1111" s="12">
        <v>6890.6605922551262</v>
      </c>
      <c r="N1111" s="12">
        <v>6890.6605922551262</v>
      </c>
      <c r="O1111" s="12">
        <v>1309.2255125284737</v>
      </c>
      <c r="P1111" s="13"/>
      <c r="Q1111" s="14">
        <v>2025</v>
      </c>
      <c r="R1111" s="15">
        <v>45474</v>
      </c>
      <c r="S1111" s="11" t="s">
        <v>355</v>
      </c>
      <c r="T1111" s="16">
        <v>0</v>
      </c>
      <c r="U1111" s="17"/>
      <c r="V1111" s="12">
        <v>1445.6605922551253</v>
      </c>
      <c r="W1111" s="12">
        <v>1445.6605922551253</v>
      </c>
      <c r="X1111" s="12">
        <v>0</v>
      </c>
      <c r="Y1111" s="18">
        <v>45838</v>
      </c>
      <c r="Z1111" s="13" t="s">
        <v>503</v>
      </c>
      <c r="AA1111" s="19" t="s">
        <v>373</v>
      </c>
      <c r="AB1111" s="13" t="s">
        <v>357</v>
      </c>
      <c r="AC1111" s="13" t="s">
        <v>488</v>
      </c>
      <c r="AD1111" s="20"/>
      <c r="AE1111" s="20"/>
      <c r="AF1111" s="13" t="s">
        <v>40</v>
      </c>
      <c r="AG1111" s="15">
        <v>45474</v>
      </c>
      <c r="AH1111" s="13" t="s">
        <v>41</v>
      </c>
      <c r="AI1111" s="13" t="s">
        <v>43</v>
      </c>
      <c r="AJ1111" s="13" t="s">
        <v>359</v>
      </c>
      <c r="AK1111" s="14">
        <v>-1</v>
      </c>
      <c r="AL1111" s="17"/>
      <c r="AM1111" s="17"/>
      <c r="AN1111" s="17"/>
      <c r="AO1111" s="17"/>
      <c r="AP1111" s="17"/>
      <c r="AQ1111" s="17"/>
      <c r="AR1111" s="17"/>
      <c r="AS1111" s="17"/>
      <c r="AT1111" s="17"/>
      <c r="AU1111" s="17"/>
      <c r="AV1111" s="17"/>
    </row>
    <row r="1112" spans="1:48" ht="15.75" customHeight="1">
      <c r="A1112" s="21" t="s">
        <v>43</v>
      </c>
      <c r="B1112" s="23" t="s">
        <v>1692</v>
      </c>
      <c r="C1112" s="22">
        <v>45842</v>
      </c>
      <c r="D1112" s="23" t="s">
        <v>121</v>
      </c>
      <c r="E1112" s="23" t="s">
        <v>45</v>
      </c>
      <c r="F1112" s="21">
        <v>1</v>
      </c>
      <c r="G1112" s="12">
        <v>8199.8861047835999</v>
      </c>
      <c r="H1112" s="12">
        <v>8199.8861047835999</v>
      </c>
      <c r="I1112" s="23" t="s">
        <v>52</v>
      </c>
      <c r="J1112" s="23" t="s">
        <v>61</v>
      </c>
      <c r="K1112" s="24" t="s">
        <v>177</v>
      </c>
      <c r="L1112" s="24">
        <v>157</v>
      </c>
      <c r="M1112" s="12">
        <v>6890.6605922551262</v>
      </c>
      <c r="N1112" s="12">
        <v>6890.6605922551262</v>
      </c>
      <c r="O1112" s="12">
        <v>1309.2255125284737</v>
      </c>
      <c r="P1112" s="13"/>
      <c r="Q1112" s="14">
        <v>2025</v>
      </c>
      <c r="R1112" s="15">
        <v>45474</v>
      </c>
      <c r="S1112" s="11" t="s">
        <v>355</v>
      </c>
      <c r="T1112" s="16">
        <v>0</v>
      </c>
      <c r="U1112" s="17"/>
      <c r="V1112" s="12">
        <v>1445.6605922551253</v>
      </c>
      <c r="W1112" s="12">
        <v>1445.6605922551253</v>
      </c>
      <c r="X1112" s="12">
        <v>0</v>
      </c>
      <c r="Y1112" s="18">
        <v>45838</v>
      </c>
      <c r="Z1112" s="13" t="s">
        <v>503</v>
      </c>
      <c r="AA1112" s="19" t="s">
        <v>373</v>
      </c>
      <c r="AB1112" s="13" t="s">
        <v>357</v>
      </c>
      <c r="AC1112" s="13" t="s">
        <v>471</v>
      </c>
      <c r="AD1112" s="20"/>
      <c r="AE1112" s="20"/>
      <c r="AF1112" s="13" t="s">
        <v>40</v>
      </c>
      <c r="AG1112" s="15">
        <v>45474</v>
      </c>
      <c r="AH1112" s="13" t="s">
        <v>41</v>
      </c>
      <c r="AI1112" s="13" t="s">
        <v>43</v>
      </c>
      <c r="AJ1112" s="13" t="s">
        <v>359</v>
      </c>
      <c r="AK1112" s="14">
        <v>-1</v>
      </c>
      <c r="AL1112" s="17"/>
      <c r="AM1112" s="17"/>
      <c r="AN1112" s="17"/>
      <c r="AO1112" s="17"/>
      <c r="AP1112" s="17"/>
      <c r="AQ1112" s="17"/>
      <c r="AR1112" s="17"/>
      <c r="AS1112" s="17"/>
      <c r="AT1112" s="17"/>
      <c r="AU1112" s="17"/>
      <c r="AV1112" s="17"/>
    </row>
    <row r="1113" spans="1:48" ht="15.75" customHeight="1">
      <c r="A1113" s="21" t="s">
        <v>43</v>
      </c>
      <c r="B1113" s="23" t="s">
        <v>1692</v>
      </c>
      <c r="C1113" s="22">
        <v>45842</v>
      </c>
      <c r="D1113" s="23" t="s">
        <v>291</v>
      </c>
      <c r="E1113" s="23" t="s">
        <v>45</v>
      </c>
      <c r="F1113" s="21">
        <v>1</v>
      </c>
      <c r="G1113" s="12">
        <v>8199.8861047835999</v>
      </c>
      <c r="H1113" s="12">
        <v>8199.8861047835999</v>
      </c>
      <c r="I1113" s="23" t="s">
        <v>52</v>
      </c>
      <c r="J1113" s="23" t="s">
        <v>61</v>
      </c>
      <c r="K1113" s="24" t="s">
        <v>177</v>
      </c>
      <c r="L1113" s="24">
        <v>157</v>
      </c>
      <c r="M1113" s="12">
        <v>6890.6605922551262</v>
      </c>
      <c r="N1113" s="12">
        <v>6890.6605922551262</v>
      </c>
      <c r="O1113" s="12">
        <v>1309.2255125284737</v>
      </c>
      <c r="P1113" s="13"/>
      <c r="Q1113" s="14">
        <v>2025</v>
      </c>
      <c r="R1113" s="15">
        <v>45474</v>
      </c>
      <c r="S1113" s="11" t="s">
        <v>355</v>
      </c>
      <c r="T1113" s="16">
        <v>0</v>
      </c>
      <c r="U1113" s="17"/>
      <c r="V1113" s="12">
        <v>1445.6605922551253</v>
      </c>
      <c r="W1113" s="12">
        <v>1445.6605922551253</v>
      </c>
      <c r="X1113" s="12">
        <v>0</v>
      </c>
      <c r="Y1113" s="18">
        <v>45838</v>
      </c>
      <c r="Z1113" s="13" t="s">
        <v>503</v>
      </c>
      <c r="AA1113" s="19" t="s">
        <v>373</v>
      </c>
      <c r="AB1113" s="13" t="s">
        <v>357</v>
      </c>
      <c r="AC1113" s="13" t="s">
        <v>374</v>
      </c>
      <c r="AD1113" s="20"/>
      <c r="AE1113" s="20"/>
      <c r="AF1113" s="13" t="s">
        <v>40</v>
      </c>
      <c r="AG1113" s="15">
        <v>45474</v>
      </c>
      <c r="AH1113" s="13" t="s">
        <v>41</v>
      </c>
      <c r="AI1113" s="13" t="s">
        <v>43</v>
      </c>
      <c r="AJ1113" s="13" t="s">
        <v>359</v>
      </c>
      <c r="AK1113" s="14">
        <v>-1</v>
      </c>
      <c r="AL1113" s="17"/>
      <c r="AM1113" s="17"/>
      <c r="AN1113" s="17"/>
      <c r="AO1113" s="17"/>
      <c r="AP1113" s="17"/>
      <c r="AQ1113" s="17"/>
      <c r="AR1113" s="17"/>
      <c r="AS1113" s="17"/>
      <c r="AT1113" s="17"/>
      <c r="AU1113" s="17"/>
      <c r="AV1113" s="17"/>
    </row>
    <row r="1114" spans="1:48" ht="15.75" customHeight="1">
      <c r="A1114" s="21" t="s">
        <v>43</v>
      </c>
      <c r="B1114" s="23" t="s">
        <v>1692</v>
      </c>
      <c r="C1114" s="22">
        <v>45841</v>
      </c>
      <c r="D1114" s="23" t="s">
        <v>124</v>
      </c>
      <c r="E1114" s="23" t="s">
        <v>45</v>
      </c>
      <c r="F1114" s="21">
        <v>1</v>
      </c>
      <c r="G1114" s="12">
        <v>8199.8861047835999</v>
      </c>
      <c r="H1114" s="12">
        <v>8199.8861047835999</v>
      </c>
      <c r="I1114" s="23" t="s">
        <v>52</v>
      </c>
      <c r="J1114" s="23" t="s">
        <v>61</v>
      </c>
      <c r="K1114" s="24" t="s">
        <v>177</v>
      </c>
      <c r="L1114" s="24">
        <v>157</v>
      </c>
      <c r="M1114" s="12">
        <v>6890.6605922551262</v>
      </c>
      <c r="N1114" s="12">
        <v>6890.6605922551262</v>
      </c>
      <c r="O1114" s="12">
        <v>1309.2255125284737</v>
      </c>
      <c r="P1114" s="13"/>
      <c r="Q1114" s="14">
        <v>2025</v>
      </c>
      <c r="R1114" s="15">
        <v>45474</v>
      </c>
      <c r="S1114" s="11" t="s">
        <v>355</v>
      </c>
      <c r="T1114" s="16">
        <v>0</v>
      </c>
      <c r="U1114" s="17"/>
      <c r="V1114" s="12">
        <v>1445.6605922551253</v>
      </c>
      <c r="W1114" s="12">
        <v>1445.6605922551253</v>
      </c>
      <c r="X1114" s="12">
        <v>0</v>
      </c>
      <c r="Y1114" s="18">
        <v>45838</v>
      </c>
      <c r="Z1114" s="13" t="s">
        <v>505</v>
      </c>
      <c r="AA1114" s="19" t="s">
        <v>356</v>
      </c>
      <c r="AB1114" s="13" t="s">
        <v>357</v>
      </c>
      <c r="AC1114" s="13" t="s">
        <v>383</v>
      </c>
      <c r="AD1114" s="20"/>
      <c r="AE1114" s="20"/>
      <c r="AF1114" s="13" t="s">
        <v>40</v>
      </c>
      <c r="AG1114" s="15">
        <v>45474</v>
      </c>
      <c r="AH1114" s="13" t="s">
        <v>41</v>
      </c>
      <c r="AI1114" s="13" t="s">
        <v>43</v>
      </c>
      <c r="AJ1114" s="13" t="s">
        <v>359</v>
      </c>
      <c r="AK1114" s="14">
        <v>-1</v>
      </c>
      <c r="AL1114" s="17"/>
      <c r="AM1114" s="17"/>
      <c r="AN1114" s="17"/>
      <c r="AO1114" s="17"/>
      <c r="AP1114" s="17"/>
      <c r="AQ1114" s="17"/>
      <c r="AR1114" s="17"/>
      <c r="AS1114" s="17"/>
      <c r="AT1114" s="17"/>
      <c r="AU1114" s="17"/>
      <c r="AV1114" s="17"/>
    </row>
    <row r="1115" spans="1:48" ht="15.75" customHeight="1">
      <c r="A1115" s="21" t="s">
        <v>35</v>
      </c>
      <c r="B1115" s="23" t="s">
        <v>1692</v>
      </c>
      <c r="C1115" s="22">
        <v>45841</v>
      </c>
      <c r="D1115" s="23" t="s">
        <v>124</v>
      </c>
      <c r="E1115" s="23" t="s">
        <v>37</v>
      </c>
      <c r="F1115" s="21">
        <v>1</v>
      </c>
      <c r="G1115" s="12">
        <v>11000.014358944907</v>
      </c>
      <c r="H1115" s="12">
        <v>11000.014358944907</v>
      </c>
      <c r="I1115" s="23" t="s">
        <v>52</v>
      </c>
      <c r="J1115" s="23" t="s">
        <v>61</v>
      </c>
      <c r="K1115" s="24" t="s">
        <v>177</v>
      </c>
      <c r="L1115" s="24">
        <v>157</v>
      </c>
      <c r="M1115" s="12">
        <v>9243.7095453318543</v>
      </c>
      <c r="N1115" s="12">
        <v>9243.7095453318543</v>
      </c>
      <c r="O1115" s="12">
        <v>1756.3048136130528</v>
      </c>
      <c r="P1115" s="13"/>
      <c r="Q1115" s="14">
        <v>2025</v>
      </c>
      <c r="R1115" s="15">
        <v>45474</v>
      </c>
      <c r="S1115" s="11" t="s">
        <v>364</v>
      </c>
      <c r="T1115" s="16">
        <v>1000</v>
      </c>
      <c r="U1115" s="17"/>
      <c r="V1115" s="12">
        <v>2806.1129066763915</v>
      </c>
      <c r="W1115" s="12">
        <v>2806.1129066763915</v>
      </c>
      <c r="X1115" s="12">
        <v>0</v>
      </c>
      <c r="Y1115" s="18">
        <v>45838</v>
      </c>
      <c r="Z1115" s="13" t="s">
        <v>505</v>
      </c>
      <c r="AA1115" s="19" t="s">
        <v>356</v>
      </c>
      <c r="AB1115" s="13" t="s">
        <v>357</v>
      </c>
      <c r="AC1115" s="13" t="s">
        <v>383</v>
      </c>
      <c r="AD1115" s="20"/>
      <c r="AE1115" s="20"/>
      <c r="AF1115" s="13" t="s">
        <v>40</v>
      </c>
      <c r="AG1115" s="15">
        <v>45474</v>
      </c>
      <c r="AH1115" s="13" t="s">
        <v>41</v>
      </c>
      <c r="AI1115" s="13" t="s">
        <v>35</v>
      </c>
      <c r="AJ1115" s="13" t="s">
        <v>365</v>
      </c>
      <c r="AK1115" s="14">
        <v>-1</v>
      </c>
      <c r="AL1115" s="17"/>
      <c r="AM1115" s="17"/>
      <c r="AN1115" s="17"/>
      <c r="AO1115" s="17"/>
      <c r="AP1115" s="17"/>
      <c r="AQ1115" s="17"/>
      <c r="AR1115" s="17"/>
      <c r="AS1115" s="17"/>
      <c r="AT1115" s="17"/>
      <c r="AU1115" s="17"/>
      <c r="AV1115" s="17"/>
    </row>
    <row r="1116" spans="1:48" ht="15.75" customHeight="1">
      <c r="A1116" s="21" t="s">
        <v>43</v>
      </c>
      <c r="B1116" s="23" t="s">
        <v>1692</v>
      </c>
      <c r="C1116" s="22">
        <v>45841</v>
      </c>
      <c r="D1116" s="23" t="s">
        <v>131</v>
      </c>
      <c r="E1116" s="23" t="s">
        <v>45</v>
      </c>
      <c r="F1116" s="21">
        <v>1</v>
      </c>
      <c r="G1116" s="12">
        <v>8199.8861047835999</v>
      </c>
      <c r="H1116" s="12">
        <v>8199.8861047835999</v>
      </c>
      <c r="I1116" s="23" t="s">
        <v>52</v>
      </c>
      <c r="J1116" s="23" t="s">
        <v>61</v>
      </c>
      <c r="K1116" s="24" t="s">
        <v>177</v>
      </c>
      <c r="L1116" s="24">
        <v>157</v>
      </c>
      <c r="M1116" s="12">
        <v>6890.6605922551262</v>
      </c>
      <c r="N1116" s="12">
        <v>6890.6605922551262</v>
      </c>
      <c r="O1116" s="12">
        <v>1309.2255125284737</v>
      </c>
      <c r="P1116" s="13"/>
      <c r="Q1116" s="14">
        <v>2025</v>
      </c>
      <c r="R1116" s="15">
        <v>45474</v>
      </c>
      <c r="S1116" s="11" t="s">
        <v>355</v>
      </c>
      <c r="T1116" s="16">
        <v>0</v>
      </c>
      <c r="U1116" s="17"/>
      <c r="V1116" s="12">
        <v>1445.6605922551253</v>
      </c>
      <c r="W1116" s="12">
        <v>1445.6605922551253</v>
      </c>
      <c r="X1116" s="12">
        <v>0</v>
      </c>
      <c r="Y1116" s="18">
        <v>45838</v>
      </c>
      <c r="Z1116" s="13" t="s">
        <v>505</v>
      </c>
      <c r="AA1116" s="19" t="s">
        <v>361</v>
      </c>
      <c r="AB1116" s="13" t="s">
        <v>357</v>
      </c>
      <c r="AC1116" s="13" t="s">
        <v>383</v>
      </c>
      <c r="AD1116" s="20"/>
      <c r="AE1116" s="20"/>
      <c r="AF1116" s="13" t="s">
        <v>40</v>
      </c>
      <c r="AG1116" s="15">
        <v>45474</v>
      </c>
      <c r="AH1116" s="13" t="s">
        <v>41</v>
      </c>
      <c r="AI1116" s="13" t="s">
        <v>43</v>
      </c>
      <c r="AJ1116" s="13" t="s">
        <v>359</v>
      </c>
      <c r="AK1116" s="14">
        <v>-1</v>
      </c>
      <c r="AL1116" s="17"/>
      <c r="AM1116" s="17"/>
      <c r="AN1116" s="17"/>
      <c r="AO1116" s="17"/>
      <c r="AP1116" s="17"/>
      <c r="AQ1116" s="17"/>
      <c r="AR1116" s="17"/>
      <c r="AS1116" s="17"/>
      <c r="AT1116" s="17"/>
      <c r="AU1116" s="17"/>
      <c r="AV1116" s="17"/>
    </row>
    <row r="1117" spans="1:48" ht="15.75" customHeight="1">
      <c r="A1117" s="21" t="s">
        <v>35</v>
      </c>
      <c r="B1117" s="23" t="s">
        <v>1692</v>
      </c>
      <c r="C1117" s="22">
        <v>45841</v>
      </c>
      <c r="D1117" s="23" t="s">
        <v>122</v>
      </c>
      <c r="E1117" s="23" t="s">
        <v>37</v>
      </c>
      <c r="F1117" s="21">
        <v>1</v>
      </c>
      <c r="G1117" s="12">
        <v>11000.014358944907</v>
      </c>
      <c r="H1117" s="12">
        <v>11000.014358944907</v>
      </c>
      <c r="I1117" s="23" t="s">
        <v>52</v>
      </c>
      <c r="J1117" s="23" t="s">
        <v>61</v>
      </c>
      <c r="K1117" s="24" t="s">
        <v>177</v>
      </c>
      <c r="L1117" s="24">
        <v>157</v>
      </c>
      <c r="M1117" s="12">
        <v>9243.7095453318543</v>
      </c>
      <c r="N1117" s="12">
        <v>9243.7095453318543</v>
      </c>
      <c r="O1117" s="12">
        <v>1756.3048136130528</v>
      </c>
      <c r="P1117" s="13"/>
      <c r="Q1117" s="14">
        <v>2025</v>
      </c>
      <c r="R1117" s="15">
        <v>45474</v>
      </c>
      <c r="S1117" s="11" t="s">
        <v>364</v>
      </c>
      <c r="T1117" s="16">
        <v>1000</v>
      </c>
      <c r="U1117" s="17"/>
      <c r="V1117" s="12">
        <v>2806.1129066763915</v>
      </c>
      <c r="W1117" s="12">
        <v>2806.1129066763915</v>
      </c>
      <c r="X1117" s="12">
        <v>0</v>
      </c>
      <c r="Y1117" s="18">
        <v>45838</v>
      </c>
      <c r="Z1117" s="13" t="s">
        <v>505</v>
      </c>
      <c r="AA1117" s="19" t="s">
        <v>361</v>
      </c>
      <c r="AB1117" s="13" t="s">
        <v>357</v>
      </c>
      <c r="AC1117" s="13" t="s">
        <v>362</v>
      </c>
      <c r="AD1117" s="20"/>
      <c r="AE1117" s="20"/>
      <c r="AF1117" s="13" t="s">
        <v>40</v>
      </c>
      <c r="AG1117" s="15">
        <v>45474</v>
      </c>
      <c r="AH1117" s="13" t="s">
        <v>41</v>
      </c>
      <c r="AI1117" s="13" t="s">
        <v>35</v>
      </c>
      <c r="AJ1117" s="13" t="s">
        <v>365</v>
      </c>
      <c r="AK1117" s="14">
        <v>-1</v>
      </c>
      <c r="AL1117" s="17"/>
      <c r="AM1117" s="17"/>
      <c r="AN1117" s="17"/>
      <c r="AO1117" s="17"/>
      <c r="AP1117" s="17"/>
      <c r="AQ1117" s="17"/>
      <c r="AR1117" s="17"/>
      <c r="AS1117" s="17"/>
      <c r="AT1117" s="17"/>
      <c r="AU1117" s="17"/>
      <c r="AV1117" s="17"/>
    </row>
    <row r="1118" spans="1:48" ht="15.75" customHeight="1">
      <c r="A1118" s="21" t="s">
        <v>53</v>
      </c>
      <c r="B1118" s="23" t="s">
        <v>1692</v>
      </c>
      <c r="C1118" s="22">
        <v>45841</v>
      </c>
      <c r="D1118" s="23" t="s">
        <v>315</v>
      </c>
      <c r="E1118" s="23" t="s">
        <v>97</v>
      </c>
      <c r="F1118" s="21">
        <v>1</v>
      </c>
      <c r="G1118" s="12">
        <v>16500.236769693482</v>
      </c>
      <c r="H1118" s="12">
        <v>16500.236769693482</v>
      </c>
      <c r="I1118" s="23" t="s">
        <v>52</v>
      </c>
      <c r="J1118" s="23" t="s">
        <v>61</v>
      </c>
      <c r="K1118" s="24" t="s">
        <v>177</v>
      </c>
      <c r="L1118" s="24">
        <v>157</v>
      </c>
      <c r="M1118" s="12">
        <v>13865.745184616371</v>
      </c>
      <c r="N1118" s="12">
        <v>13865.745184616371</v>
      </c>
      <c r="O1118" s="12">
        <v>2634.4915850771104</v>
      </c>
      <c r="P1118" s="13"/>
      <c r="Q1118" s="14">
        <v>2025</v>
      </c>
      <c r="R1118" s="15">
        <v>45474</v>
      </c>
      <c r="S1118" s="11" t="s">
        <v>366</v>
      </c>
      <c r="T1118" s="16">
        <v>0</v>
      </c>
      <c r="U1118" s="17"/>
      <c r="V1118" s="12">
        <v>3031.7451846163694</v>
      </c>
      <c r="W1118" s="12">
        <v>3031.7451846163694</v>
      </c>
      <c r="X1118" s="12">
        <v>0</v>
      </c>
      <c r="Y1118" s="18">
        <v>45838</v>
      </c>
      <c r="Z1118" s="13" t="s">
        <v>505</v>
      </c>
      <c r="AA1118" s="19" t="s">
        <v>373</v>
      </c>
      <c r="AB1118" s="13" t="s">
        <v>357</v>
      </c>
      <c r="AC1118" s="13" t="s">
        <v>362</v>
      </c>
      <c r="AD1118" s="20"/>
      <c r="AE1118" s="20"/>
      <c r="AF1118" s="13" t="s">
        <v>40</v>
      </c>
      <c r="AG1118" s="15">
        <v>45474</v>
      </c>
      <c r="AH1118" s="13" t="s">
        <v>41</v>
      </c>
      <c r="AI1118" s="13" t="s">
        <v>53</v>
      </c>
      <c r="AJ1118" s="13" t="s">
        <v>368</v>
      </c>
      <c r="AK1118" s="14">
        <v>-6</v>
      </c>
      <c r="AL1118" s="17"/>
      <c r="AM1118" s="17"/>
      <c r="AN1118" s="17"/>
      <c r="AO1118" s="17"/>
      <c r="AP1118" s="17"/>
      <c r="AQ1118" s="17"/>
      <c r="AR1118" s="17"/>
      <c r="AS1118" s="17"/>
      <c r="AT1118" s="17"/>
      <c r="AU1118" s="17"/>
      <c r="AV1118" s="17"/>
    </row>
    <row r="1119" spans="1:48" ht="15.75" customHeight="1">
      <c r="A1119" s="21" t="s">
        <v>53</v>
      </c>
      <c r="B1119" s="23" t="s">
        <v>1692</v>
      </c>
      <c r="C1119" s="22">
        <v>45841</v>
      </c>
      <c r="D1119" s="23" t="s">
        <v>315</v>
      </c>
      <c r="E1119" s="23" t="s">
        <v>136</v>
      </c>
      <c r="F1119" s="21">
        <v>1</v>
      </c>
      <c r="G1119" s="12">
        <v>14900.292682926829</v>
      </c>
      <c r="H1119" s="12">
        <v>14900.292682926829</v>
      </c>
      <c r="I1119" s="23" t="s">
        <v>52</v>
      </c>
      <c r="J1119" s="23" t="s">
        <v>61</v>
      </c>
      <c r="K1119" s="24" t="s">
        <v>177</v>
      </c>
      <c r="L1119" s="24">
        <v>157</v>
      </c>
      <c r="M1119" s="12">
        <v>12521.254355400697</v>
      </c>
      <c r="N1119" s="12">
        <v>12521.254355400697</v>
      </c>
      <c r="O1119" s="12">
        <v>2379.038327526132</v>
      </c>
      <c r="P1119" s="13"/>
      <c r="Q1119" s="14">
        <v>2025</v>
      </c>
      <c r="R1119" s="15">
        <v>45474</v>
      </c>
      <c r="S1119" s="11" t="s">
        <v>410</v>
      </c>
      <c r="T1119" s="16">
        <v>0</v>
      </c>
      <c r="U1119" s="17"/>
      <c r="V1119" s="12">
        <v>3537.254355400697</v>
      </c>
      <c r="W1119" s="12">
        <v>3537.254355400697</v>
      </c>
      <c r="X1119" s="12">
        <v>0</v>
      </c>
      <c r="Y1119" s="18">
        <v>45838</v>
      </c>
      <c r="Z1119" s="13" t="s">
        <v>505</v>
      </c>
      <c r="AA1119" s="19" t="s">
        <v>373</v>
      </c>
      <c r="AB1119" s="13" t="s">
        <v>357</v>
      </c>
      <c r="AC1119" s="13" t="s">
        <v>362</v>
      </c>
      <c r="AD1119" s="20"/>
      <c r="AE1119" s="20"/>
      <c r="AF1119" s="13" t="s">
        <v>40</v>
      </c>
      <c r="AG1119" s="15">
        <v>45474</v>
      </c>
      <c r="AH1119" s="13" t="s">
        <v>41</v>
      </c>
      <c r="AI1119" s="13" t="s">
        <v>53</v>
      </c>
      <c r="AJ1119" s="13" t="s">
        <v>411</v>
      </c>
      <c r="AK1119" s="14">
        <v>-8</v>
      </c>
      <c r="AL1119" s="17"/>
      <c r="AM1119" s="17"/>
      <c r="AN1119" s="17"/>
      <c r="AO1119" s="17"/>
      <c r="AP1119" s="17"/>
      <c r="AQ1119" s="17"/>
      <c r="AR1119" s="17"/>
      <c r="AS1119" s="17"/>
      <c r="AT1119" s="17"/>
      <c r="AU1119" s="17"/>
      <c r="AV1119" s="17"/>
    </row>
    <row r="1120" spans="1:48" ht="15.75" customHeight="1">
      <c r="A1120" s="21" t="s">
        <v>53</v>
      </c>
      <c r="B1120" s="23" t="s">
        <v>1692</v>
      </c>
      <c r="C1120" s="22">
        <v>45841</v>
      </c>
      <c r="D1120" s="23" t="s">
        <v>315</v>
      </c>
      <c r="E1120" s="23" t="s">
        <v>150</v>
      </c>
      <c r="F1120" s="21">
        <v>1</v>
      </c>
      <c r="G1120" s="12">
        <v>1799.8965445892823</v>
      </c>
      <c r="H1120" s="12">
        <v>1799.8965445892823</v>
      </c>
      <c r="I1120" s="23" t="s">
        <v>52</v>
      </c>
      <c r="J1120" s="23" t="s">
        <v>61</v>
      </c>
      <c r="K1120" s="24" t="s">
        <v>177</v>
      </c>
      <c r="L1120" s="24">
        <v>157</v>
      </c>
      <c r="M1120" s="12">
        <v>1512.518104696876</v>
      </c>
      <c r="N1120" s="12">
        <v>1512.518104696876</v>
      </c>
      <c r="O1120" s="12">
        <v>287.37843989240628</v>
      </c>
      <c r="P1120" s="13"/>
      <c r="Q1120" s="14">
        <v>2025</v>
      </c>
      <c r="R1120" s="15">
        <v>45474</v>
      </c>
      <c r="S1120" s="11" t="s">
        <v>381</v>
      </c>
      <c r="T1120" s="16">
        <v>300</v>
      </c>
      <c r="U1120" s="17"/>
      <c r="V1120" s="12">
        <v>781.51810469687575</v>
      </c>
      <c r="W1120" s="12">
        <v>781.51810469687575</v>
      </c>
      <c r="X1120" s="12">
        <v>0</v>
      </c>
      <c r="Y1120" s="18">
        <v>45838</v>
      </c>
      <c r="Z1120" s="13" t="s">
        <v>505</v>
      </c>
      <c r="AA1120" s="19" t="s">
        <v>373</v>
      </c>
      <c r="AB1120" s="13" t="s">
        <v>357</v>
      </c>
      <c r="AC1120" s="13" t="s">
        <v>362</v>
      </c>
      <c r="AD1120" s="20"/>
      <c r="AE1120" s="20"/>
      <c r="AF1120" s="13" t="s">
        <v>40</v>
      </c>
      <c r="AG1120" s="15">
        <v>45474</v>
      </c>
      <c r="AH1120" s="13" t="s">
        <v>41</v>
      </c>
      <c r="AI1120" s="13" t="s">
        <v>53</v>
      </c>
      <c r="AJ1120" s="13" t="s">
        <v>382</v>
      </c>
      <c r="AK1120" s="14">
        <v>-1</v>
      </c>
      <c r="AL1120" s="17"/>
      <c r="AM1120" s="17"/>
      <c r="AN1120" s="17"/>
      <c r="AO1120" s="17"/>
      <c r="AP1120" s="17"/>
      <c r="AQ1120" s="17"/>
      <c r="AR1120" s="17"/>
      <c r="AS1120" s="17"/>
      <c r="AT1120" s="17"/>
      <c r="AU1120" s="17"/>
      <c r="AV1120" s="17"/>
    </row>
    <row r="1121" spans="1:48" ht="15.75" customHeight="1">
      <c r="A1121" s="21" t="s">
        <v>53</v>
      </c>
      <c r="B1121" s="23" t="s">
        <v>1692</v>
      </c>
      <c r="C1121" s="22">
        <v>45841</v>
      </c>
      <c r="D1121" s="23" t="s">
        <v>191</v>
      </c>
      <c r="E1121" s="23" t="s">
        <v>192</v>
      </c>
      <c r="F1121" s="21">
        <v>1</v>
      </c>
      <c r="G1121" s="12">
        <v>15990.211345939933</v>
      </c>
      <c r="H1121" s="12">
        <v>15990.211345939933</v>
      </c>
      <c r="I1121" s="23" t="s">
        <v>52</v>
      </c>
      <c r="J1121" s="23" t="s">
        <v>61</v>
      </c>
      <c r="K1121" s="24" t="s">
        <v>177</v>
      </c>
      <c r="L1121" s="24">
        <v>157</v>
      </c>
      <c r="M1121" s="12">
        <v>13437.152391546164</v>
      </c>
      <c r="N1121" s="12">
        <v>13437.152391546164</v>
      </c>
      <c r="O1121" s="12">
        <v>2553.0589543937695</v>
      </c>
      <c r="P1121" s="13"/>
      <c r="Q1121" s="14">
        <v>2025</v>
      </c>
      <c r="R1121" s="15">
        <v>45474</v>
      </c>
      <c r="S1121" s="11" t="s">
        <v>435</v>
      </c>
      <c r="T1121" s="16">
        <v>0</v>
      </c>
      <c r="U1121" s="17"/>
      <c r="V1121" s="12">
        <v>3773.1523915461621</v>
      </c>
      <c r="W1121" s="12">
        <v>3773.1523915461621</v>
      </c>
      <c r="X1121" s="12">
        <v>0</v>
      </c>
      <c r="Y1121" s="18">
        <v>45838</v>
      </c>
      <c r="Z1121" s="13" t="s">
        <v>505</v>
      </c>
      <c r="AA1121" s="19" t="s">
        <v>373</v>
      </c>
      <c r="AB1121" s="13" t="s">
        <v>357</v>
      </c>
      <c r="AC1121" s="13" t="s">
        <v>405</v>
      </c>
      <c r="AD1121" s="20"/>
      <c r="AE1121" s="20"/>
      <c r="AF1121" s="13" t="s">
        <v>40</v>
      </c>
      <c r="AG1121" s="15">
        <v>45474</v>
      </c>
      <c r="AH1121" s="13" t="s">
        <v>41</v>
      </c>
      <c r="AI1121" s="13" t="s">
        <v>53</v>
      </c>
      <c r="AJ1121" s="13" t="s">
        <v>436</v>
      </c>
      <c r="AK1121" s="14">
        <v>-8</v>
      </c>
      <c r="AL1121" s="17"/>
      <c r="AM1121" s="17"/>
      <c r="AN1121" s="17"/>
      <c r="AO1121" s="17"/>
      <c r="AP1121" s="17"/>
      <c r="AQ1121" s="17"/>
      <c r="AR1121" s="17"/>
      <c r="AS1121" s="17"/>
      <c r="AT1121" s="17"/>
      <c r="AU1121" s="17"/>
      <c r="AV1121" s="17"/>
    </row>
    <row r="1122" spans="1:48" ht="15.75" customHeight="1">
      <c r="A1122" s="21" t="s">
        <v>76</v>
      </c>
      <c r="B1122" s="23" t="s">
        <v>1692</v>
      </c>
      <c r="C1122" s="22">
        <v>45841</v>
      </c>
      <c r="D1122" s="23" t="s">
        <v>191</v>
      </c>
      <c r="E1122" s="23" t="s">
        <v>81</v>
      </c>
      <c r="F1122" s="21">
        <v>1</v>
      </c>
      <c r="G1122" s="12">
        <v>3500.0000000000005</v>
      </c>
      <c r="H1122" s="12">
        <v>3500.0000000000005</v>
      </c>
      <c r="I1122" s="23" t="s">
        <v>52</v>
      </c>
      <c r="J1122" s="23" t="s">
        <v>61</v>
      </c>
      <c r="K1122" s="24" t="s">
        <v>177</v>
      </c>
      <c r="L1122" s="24">
        <v>157</v>
      </c>
      <c r="M1122" s="12">
        <v>2941.1764705882356</v>
      </c>
      <c r="N1122" s="12">
        <v>2941.1764705882356</v>
      </c>
      <c r="O1122" s="12">
        <v>558.82352941176487</v>
      </c>
      <c r="P1122" s="13"/>
      <c r="Q1122" s="14">
        <v>2025</v>
      </c>
      <c r="R1122" s="15">
        <v>45474</v>
      </c>
      <c r="S1122" s="11" t="s">
        <v>397</v>
      </c>
      <c r="T1122" s="16">
        <v>5</v>
      </c>
      <c r="U1122" s="17"/>
      <c r="V1122" s="12">
        <v>764.70588235294144</v>
      </c>
      <c r="W1122" s="12">
        <v>764.70588235294144</v>
      </c>
      <c r="X1122" s="12">
        <v>0</v>
      </c>
      <c r="Y1122" s="18">
        <v>45838</v>
      </c>
      <c r="Z1122" s="13" t="s">
        <v>505</v>
      </c>
      <c r="AA1122" s="19" t="s">
        <v>373</v>
      </c>
      <c r="AB1122" s="13" t="s">
        <v>357</v>
      </c>
      <c r="AC1122" s="13" t="s">
        <v>405</v>
      </c>
      <c r="AD1122" s="20"/>
      <c r="AE1122" s="20"/>
      <c r="AF1122" s="13" t="s">
        <v>40</v>
      </c>
      <c r="AG1122" s="15">
        <v>45474</v>
      </c>
      <c r="AH1122" s="13" t="s">
        <v>41</v>
      </c>
      <c r="AI1122" s="13" t="s">
        <v>76</v>
      </c>
      <c r="AJ1122" s="13" t="s">
        <v>398</v>
      </c>
      <c r="AK1122" s="14">
        <v>-1</v>
      </c>
      <c r="AL1122" s="17"/>
      <c r="AM1122" s="17"/>
      <c r="AN1122" s="17"/>
      <c r="AO1122" s="17"/>
      <c r="AP1122" s="17"/>
      <c r="AQ1122" s="17"/>
      <c r="AR1122" s="17"/>
      <c r="AS1122" s="17"/>
      <c r="AT1122" s="17"/>
      <c r="AU1122" s="17"/>
      <c r="AV1122" s="17"/>
    </row>
    <row r="1123" spans="1:48" ht="15.75" customHeight="1">
      <c r="A1123" s="21" t="s">
        <v>43</v>
      </c>
      <c r="B1123" s="23" t="s">
        <v>1692</v>
      </c>
      <c r="C1123" s="22">
        <v>45841</v>
      </c>
      <c r="D1123" s="23" t="s">
        <v>276</v>
      </c>
      <c r="E1123" s="23" t="s">
        <v>45</v>
      </c>
      <c r="F1123" s="21">
        <v>2</v>
      </c>
      <c r="G1123" s="12">
        <v>8199.8861047835999</v>
      </c>
      <c r="H1123" s="12">
        <v>16399.7722095672</v>
      </c>
      <c r="I1123" s="23" t="s">
        <v>52</v>
      </c>
      <c r="J1123" s="23" t="s">
        <v>61</v>
      </c>
      <c r="K1123" s="24" t="s">
        <v>177</v>
      </c>
      <c r="L1123" s="24">
        <v>157</v>
      </c>
      <c r="M1123" s="12">
        <v>6890.6605922551262</v>
      </c>
      <c r="N1123" s="12">
        <v>13781.321184510252</v>
      </c>
      <c r="O1123" s="12">
        <v>2618.4510250569474</v>
      </c>
      <c r="P1123" s="13"/>
      <c r="Q1123" s="14">
        <v>2025</v>
      </c>
      <c r="R1123" s="15">
        <v>45474</v>
      </c>
      <c r="S1123" s="11" t="s">
        <v>355</v>
      </c>
      <c r="T1123" s="16">
        <v>0</v>
      </c>
      <c r="U1123" s="17"/>
      <c r="V1123" s="12">
        <v>2891.3211845102505</v>
      </c>
      <c r="W1123" s="12">
        <v>2891.3211845102505</v>
      </c>
      <c r="X1123" s="12">
        <v>0</v>
      </c>
      <c r="Y1123" s="18">
        <v>45838</v>
      </c>
      <c r="Z1123" s="13" t="s">
        <v>505</v>
      </c>
      <c r="AA1123" s="19" t="s">
        <v>373</v>
      </c>
      <c r="AB1123" s="13" t="s">
        <v>357</v>
      </c>
      <c r="AC1123" s="13" t="s">
        <v>374</v>
      </c>
      <c r="AD1123" s="20"/>
      <c r="AE1123" s="20"/>
      <c r="AF1123" s="13" t="s">
        <v>40</v>
      </c>
      <c r="AG1123" s="15">
        <v>45474</v>
      </c>
      <c r="AH1123" s="13" t="s">
        <v>41</v>
      </c>
      <c r="AI1123" s="13" t="s">
        <v>43</v>
      </c>
      <c r="AJ1123" s="13" t="s">
        <v>359</v>
      </c>
      <c r="AK1123" s="14">
        <v>-2</v>
      </c>
      <c r="AL1123" s="17"/>
      <c r="AM1123" s="17"/>
      <c r="AN1123" s="17"/>
      <c r="AO1123" s="17"/>
      <c r="AP1123" s="17"/>
      <c r="AQ1123" s="17"/>
      <c r="AR1123" s="17"/>
      <c r="AS1123" s="17"/>
      <c r="AT1123" s="17"/>
      <c r="AU1123" s="17"/>
      <c r="AV1123" s="17"/>
    </row>
    <row r="1124" spans="1:48" ht="15.75" customHeight="1">
      <c r="A1124" s="21" t="s">
        <v>43</v>
      </c>
      <c r="B1124" s="23" t="s">
        <v>1692</v>
      </c>
      <c r="C1124" s="22">
        <v>45841</v>
      </c>
      <c r="D1124" s="23" t="s">
        <v>66</v>
      </c>
      <c r="E1124" s="23" t="s">
        <v>45</v>
      </c>
      <c r="F1124" s="21">
        <v>1</v>
      </c>
      <c r="G1124" s="12">
        <v>8199.8861047835999</v>
      </c>
      <c r="H1124" s="12">
        <v>8199.8861047835999</v>
      </c>
      <c r="I1124" s="23" t="s">
        <v>52</v>
      </c>
      <c r="J1124" s="23" t="s">
        <v>61</v>
      </c>
      <c r="K1124" s="24" t="s">
        <v>177</v>
      </c>
      <c r="L1124" s="24">
        <v>157</v>
      </c>
      <c r="M1124" s="12">
        <v>6890.6605922551262</v>
      </c>
      <c r="N1124" s="12">
        <v>6890.6605922551262</v>
      </c>
      <c r="O1124" s="12">
        <v>1309.2255125284737</v>
      </c>
      <c r="P1124" s="13"/>
      <c r="Q1124" s="14">
        <v>2025</v>
      </c>
      <c r="R1124" s="15">
        <v>45474</v>
      </c>
      <c r="S1124" s="11" t="s">
        <v>355</v>
      </c>
      <c r="T1124" s="16">
        <v>0</v>
      </c>
      <c r="U1124" s="17"/>
      <c r="V1124" s="12">
        <v>1445.6605922551253</v>
      </c>
      <c r="W1124" s="12">
        <v>1445.6605922551253</v>
      </c>
      <c r="X1124" s="12">
        <v>0</v>
      </c>
      <c r="Y1124" s="18">
        <v>45838</v>
      </c>
      <c r="Z1124" s="13" t="s">
        <v>505</v>
      </c>
      <c r="AA1124" s="19" t="s">
        <v>373</v>
      </c>
      <c r="AB1124" s="13" t="s">
        <v>357</v>
      </c>
      <c r="AC1124" s="13" t="s">
        <v>534</v>
      </c>
      <c r="AD1124" s="20"/>
      <c r="AE1124" s="20"/>
      <c r="AF1124" s="13" t="s">
        <v>40</v>
      </c>
      <c r="AG1124" s="15">
        <v>45474</v>
      </c>
      <c r="AH1124" s="13" t="s">
        <v>41</v>
      </c>
      <c r="AI1124" s="13" t="s">
        <v>43</v>
      </c>
      <c r="AJ1124" s="13" t="s">
        <v>359</v>
      </c>
      <c r="AK1124" s="14">
        <v>-1</v>
      </c>
      <c r="AL1124" s="17"/>
      <c r="AM1124" s="17"/>
      <c r="AN1124" s="17"/>
      <c r="AO1124" s="17"/>
      <c r="AP1124" s="17"/>
      <c r="AQ1124" s="17"/>
      <c r="AR1124" s="17"/>
      <c r="AS1124" s="17"/>
      <c r="AT1124" s="17"/>
      <c r="AU1124" s="17"/>
      <c r="AV1124" s="17"/>
    </row>
    <row r="1125" spans="1:48" ht="15.75" customHeight="1">
      <c r="A1125" s="21" t="s">
        <v>43</v>
      </c>
      <c r="B1125" s="23" t="s">
        <v>1692</v>
      </c>
      <c r="C1125" s="22">
        <v>45840</v>
      </c>
      <c r="D1125" s="23" t="s">
        <v>120</v>
      </c>
      <c r="E1125" s="23" t="s">
        <v>45</v>
      </c>
      <c r="F1125" s="21">
        <v>1</v>
      </c>
      <c r="G1125" s="12">
        <v>8199.8861047835999</v>
      </c>
      <c r="H1125" s="12">
        <v>8199.8861047835999</v>
      </c>
      <c r="I1125" s="23" t="s">
        <v>52</v>
      </c>
      <c r="J1125" s="23" t="s">
        <v>61</v>
      </c>
      <c r="K1125" s="24" t="s">
        <v>177</v>
      </c>
      <c r="L1125" s="24">
        <v>157</v>
      </c>
      <c r="M1125" s="12">
        <v>6890.6605922551262</v>
      </c>
      <c r="N1125" s="12">
        <v>6890.6605922551262</v>
      </c>
      <c r="O1125" s="12">
        <v>1309.2255125284737</v>
      </c>
      <c r="P1125" s="13"/>
      <c r="Q1125" s="14">
        <v>2025</v>
      </c>
      <c r="R1125" s="15">
        <v>45474</v>
      </c>
      <c r="S1125" s="11" t="s">
        <v>355</v>
      </c>
      <c r="T1125" s="16">
        <v>0</v>
      </c>
      <c r="U1125" s="17"/>
      <c r="V1125" s="12">
        <v>1445.6605922551253</v>
      </c>
      <c r="W1125" s="12">
        <v>1445.6605922551253</v>
      </c>
      <c r="X1125" s="12">
        <v>0</v>
      </c>
      <c r="Y1125" s="18">
        <v>45838</v>
      </c>
      <c r="Z1125" s="13" t="s">
        <v>515</v>
      </c>
      <c r="AA1125" s="19" t="s">
        <v>373</v>
      </c>
      <c r="AB1125" s="13" t="s">
        <v>357</v>
      </c>
      <c r="AC1125" s="13" t="s">
        <v>383</v>
      </c>
      <c r="AD1125" s="20"/>
      <c r="AE1125" s="20"/>
      <c r="AF1125" s="13" t="s">
        <v>40</v>
      </c>
      <c r="AG1125" s="15">
        <v>45474</v>
      </c>
      <c r="AH1125" s="13" t="s">
        <v>41</v>
      </c>
      <c r="AI1125" s="13" t="s">
        <v>43</v>
      </c>
      <c r="AJ1125" s="13" t="s">
        <v>359</v>
      </c>
      <c r="AK1125" s="14">
        <v>-1</v>
      </c>
      <c r="AL1125" s="17"/>
      <c r="AM1125" s="17"/>
      <c r="AN1125" s="17"/>
      <c r="AO1125" s="17"/>
      <c r="AP1125" s="17"/>
      <c r="AQ1125" s="17"/>
      <c r="AR1125" s="17"/>
      <c r="AS1125" s="17"/>
      <c r="AT1125" s="17"/>
      <c r="AU1125" s="17"/>
      <c r="AV1125" s="17"/>
    </row>
    <row r="1126" spans="1:48" ht="15.75" customHeight="1">
      <c r="A1126" s="21" t="s">
        <v>47</v>
      </c>
      <c r="B1126" s="23" t="s">
        <v>1692</v>
      </c>
      <c r="C1126" s="22">
        <v>45840</v>
      </c>
      <c r="D1126" s="23" t="s">
        <v>324</v>
      </c>
      <c r="E1126" s="23" t="s">
        <v>306</v>
      </c>
      <c r="F1126" s="21">
        <v>3</v>
      </c>
      <c r="G1126" s="12">
        <v>8000.0000000000009</v>
      </c>
      <c r="H1126" s="12">
        <v>24000.000000000004</v>
      </c>
      <c r="I1126" s="23" t="s">
        <v>52</v>
      </c>
      <c r="J1126" s="23" t="s">
        <v>61</v>
      </c>
      <c r="K1126" s="24" t="s">
        <v>86</v>
      </c>
      <c r="L1126" s="24">
        <v>91</v>
      </c>
      <c r="M1126" s="12">
        <v>6722.6890756302528</v>
      </c>
      <c r="N1126" s="12">
        <v>20168.067226890762</v>
      </c>
      <c r="O1126" s="12">
        <v>3831.9327731092417</v>
      </c>
      <c r="P1126" s="13"/>
      <c r="Q1126" s="14">
        <v>2025</v>
      </c>
      <c r="R1126" s="15">
        <v>45474</v>
      </c>
      <c r="S1126" s="11" t="s">
        <v>372</v>
      </c>
      <c r="T1126" s="16">
        <v>0</v>
      </c>
      <c r="U1126" s="17"/>
      <c r="V1126" s="12">
        <v>5344.5378151260529</v>
      </c>
      <c r="W1126" s="12">
        <v>5344.5378151260529</v>
      </c>
      <c r="X1126" s="12">
        <v>0</v>
      </c>
      <c r="Y1126" s="18">
        <v>45838</v>
      </c>
      <c r="Z1126" s="13" t="s">
        <v>515</v>
      </c>
      <c r="AA1126" s="19" t="s">
        <v>361</v>
      </c>
      <c r="AB1126" s="13" t="s">
        <v>394</v>
      </c>
      <c r="AC1126" s="13" t="s">
        <v>535</v>
      </c>
      <c r="AD1126" s="20"/>
      <c r="AE1126" s="20"/>
      <c r="AF1126" s="13" t="s">
        <v>40</v>
      </c>
      <c r="AG1126" s="15">
        <v>45474</v>
      </c>
      <c r="AH1126" s="13" t="s">
        <v>41</v>
      </c>
      <c r="AI1126" s="13" t="s">
        <v>47</v>
      </c>
      <c r="AJ1126" s="13" t="s">
        <v>458</v>
      </c>
      <c r="AK1126" s="14">
        <v>-9</v>
      </c>
      <c r="AL1126" s="17"/>
      <c r="AM1126" s="17"/>
      <c r="AN1126" s="17"/>
      <c r="AO1126" s="17"/>
      <c r="AP1126" s="17"/>
      <c r="AQ1126" s="17"/>
      <c r="AR1126" s="17"/>
      <c r="AS1126" s="17"/>
      <c r="AT1126" s="17"/>
      <c r="AU1126" s="17"/>
      <c r="AV1126" s="17"/>
    </row>
    <row r="1127" spans="1:48" ht="15.75" customHeight="1">
      <c r="A1127" s="21" t="s">
        <v>47</v>
      </c>
      <c r="B1127" s="23" t="s">
        <v>1692</v>
      </c>
      <c r="C1127" s="22">
        <v>45840</v>
      </c>
      <c r="D1127" s="23" t="s">
        <v>324</v>
      </c>
      <c r="E1127" s="23" t="s">
        <v>155</v>
      </c>
      <c r="F1127" s="21">
        <v>2</v>
      </c>
      <c r="G1127" s="12">
        <v>3400</v>
      </c>
      <c r="H1127" s="12">
        <v>6800</v>
      </c>
      <c r="I1127" s="23" t="s">
        <v>52</v>
      </c>
      <c r="J1127" s="23" t="s">
        <v>61</v>
      </c>
      <c r="K1127" s="24" t="s">
        <v>86</v>
      </c>
      <c r="L1127" s="24">
        <v>91</v>
      </c>
      <c r="M1127" s="12">
        <v>2857.1428571428573</v>
      </c>
      <c r="N1127" s="12">
        <v>5714.2857142857147</v>
      </c>
      <c r="O1127" s="12">
        <v>1085.7142857142853</v>
      </c>
      <c r="P1127" s="13"/>
      <c r="Q1127" s="14">
        <v>2025</v>
      </c>
      <c r="R1127" s="15">
        <v>45474</v>
      </c>
      <c r="S1127" s="11" t="s">
        <v>453</v>
      </c>
      <c r="T1127" s="16">
        <v>0</v>
      </c>
      <c r="U1127" s="17"/>
      <c r="V1127" s="12">
        <v>2510.2857142857147</v>
      </c>
      <c r="W1127" s="12">
        <v>2510.2857142857147</v>
      </c>
      <c r="X1127" s="12">
        <v>0</v>
      </c>
      <c r="Y1127" s="18">
        <v>45838</v>
      </c>
      <c r="Z1127" s="13" t="s">
        <v>515</v>
      </c>
      <c r="AA1127" s="19" t="s">
        <v>361</v>
      </c>
      <c r="AB1127" s="13" t="s">
        <v>394</v>
      </c>
      <c r="AC1127" s="13" t="s">
        <v>535</v>
      </c>
      <c r="AD1127" s="20"/>
      <c r="AE1127" s="20"/>
      <c r="AF1127" s="13" t="s">
        <v>40</v>
      </c>
      <c r="AG1127" s="15">
        <v>45474</v>
      </c>
      <c r="AH1127" s="13" t="s">
        <v>41</v>
      </c>
      <c r="AI1127" s="13" t="s">
        <v>47</v>
      </c>
      <c r="AJ1127" s="13" t="s">
        <v>454</v>
      </c>
      <c r="AK1127" s="14">
        <v>-12</v>
      </c>
      <c r="AL1127" s="17"/>
      <c r="AM1127" s="17"/>
      <c r="AN1127" s="17"/>
      <c r="AO1127" s="17"/>
      <c r="AP1127" s="17"/>
      <c r="AQ1127" s="17"/>
      <c r="AR1127" s="17"/>
      <c r="AS1127" s="17"/>
      <c r="AT1127" s="17"/>
      <c r="AU1127" s="17"/>
      <c r="AV1127" s="17"/>
    </row>
    <row r="1128" spans="1:48" ht="15.75" customHeight="1">
      <c r="A1128" s="21" t="s">
        <v>53</v>
      </c>
      <c r="B1128" s="23" t="s">
        <v>1692</v>
      </c>
      <c r="C1128" s="22">
        <v>45840</v>
      </c>
      <c r="D1128" s="23" t="s">
        <v>324</v>
      </c>
      <c r="E1128" s="23" t="s">
        <v>263</v>
      </c>
      <c r="F1128" s="21">
        <v>1</v>
      </c>
      <c r="G1128" s="12">
        <v>9999.6135265700505</v>
      </c>
      <c r="H1128" s="12">
        <v>9999.6135265700505</v>
      </c>
      <c r="I1128" s="23" t="s">
        <v>52</v>
      </c>
      <c r="J1128" s="23" t="s">
        <v>61</v>
      </c>
      <c r="K1128" s="24" t="s">
        <v>86</v>
      </c>
      <c r="L1128" s="24">
        <v>91</v>
      </c>
      <c r="M1128" s="12">
        <v>8403.036576949622</v>
      </c>
      <c r="N1128" s="12">
        <v>8403.036576949622</v>
      </c>
      <c r="O1128" s="12">
        <v>1596.5769496204284</v>
      </c>
      <c r="P1128" s="13"/>
      <c r="Q1128" s="14">
        <v>2025</v>
      </c>
      <c r="R1128" s="15">
        <v>45474</v>
      </c>
      <c r="S1128" s="11" t="s">
        <v>408</v>
      </c>
      <c r="T1128" s="16">
        <v>0</v>
      </c>
      <c r="U1128" s="17"/>
      <c r="V1128" s="12">
        <v>2315.036576949622</v>
      </c>
      <c r="W1128" s="12">
        <v>2315.036576949622</v>
      </c>
      <c r="X1128" s="12">
        <v>0</v>
      </c>
      <c r="Y1128" s="18">
        <v>45838</v>
      </c>
      <c r="Z1128" s="13" t="s">
        <v>515</v>
      </c>
      <c r="AA1128" s="19" t="s">
        <v>361</v>
      </c>
      <c r="AB1128" s="13" t="s">
        <v>394</v>
      </c>
      <c r="AC1128" s="13" t="s">
        <v>535</v>
      </c>
      <c r="AD1128" s="20"/>
      <c r="AE1128" s="20"/>
      <c r="AF1128" s="13" t="s">
        <v>40</v>
      </c>
      <c r="AG1128" s="15">
        <v>45474</v>
      </c>
      <c r="AH1128" s="13" t="s">
        <v>41</v>
      </c>
      <c r="AI1128" s="13" t="s">
        <v>53</v>
      </c>
      <c r="AJ1128" s="13" t="s">
        <v>536</v>
      </c>
      <c r="AK1128" s="14">
        <v>-3</v>
      </c>
      <c r="AL1128" s="17"/>
      <c r="AM1128" s="17"/>
      <c r="AN1128" s="17"/>
      <c r="AO1128" s="17"/>
      <c r="AP1128" s="17"/>
      <c r="AQ1128" s="17"/>
      <c r="AR1128" s="17"/>
      <c r="AS1128" s="17"/>
      <c r="AT1128" s="17"/>
      <c r="AU1128" s="17"/>
      <c r="AV1128" s="17"/>
    </row>
    <row r="1129" spans="1:48" ht="15.75" customHeight="1">
      <c r="A1129" s="21" t="s">
        <v>147</v>
      </c>
      <c r="B1129" s="23" t="s">
        <v>1692</v>
      </c>
      <c r="C1129" s="22">
        <v>45839</v>
      </c>
      <c r="D1129" s="23" t="s">
        <v>423</v>
      </c>
      <c r="E1129" s="23" t="s">
        <v>148</v>
      </c>
      <c r="F1129" s="21">
        <v>2</v>
      </c>
      <c r="G1129" s="12">
        <v>1200.0000000000002</v>
      </c>
      <c r="H1129" s="12">
        <v>2400.0000000000005</v>
      </c>
      <c r="I1129" s="23" t="s">
        <v>52</v>
      </c>
      <c r="J1129" s="23" t="s">
        <v>61</v>
      </c>
      <c r="K1129" s="24" t="s">
        <v>177</v>
      </c>
      <c r="L1129" s="24">
        <v>157</v>
      </c>
      <c r="M1129" s="12">
        <v>1008.4033613445381</v>
      </c>
      <c r="N1129" s="12">
        <v>2016.8067226890762</v>
      </c>
      <c r="O1129" s="12">
        <v>383.19327731092426</v>
      </c>
      <c r="P1129" s="13"/>
      <c r="Q1129" s="14">
        <v>2025</v>
      </c>
      <c r="R1129" s="15">
        <v>45474</v>
      </c>
      <c r="S1129" s="11" t="s">
        <v>360</v>
      </c>
      <c r="T1129" s="16">
        <v>0</v>
      </c>
      <c r="U1129" s="17"/>
      <c r="V1129" s="12">
        <v>715.9663865546222</v>
      </c>
      <c r="W1129" s="12">
        <v>715.9663865546222</v>
      </c>
      <c r="X1129" s="12">
        <v>0</v>
      </c>
      <c r="Y1129" s="18">
        <v>45838</v>
      </c>
      <c r="Z1129" s="13" t="s">
        <v>516</v>
      </c>
      <c r="AA1129" s="19" t="s">
        <v>373</v>
      </c>
      <c r="AB1129" s="13" t="s">
        <v>357</v>
      </c>
      <c r="AC1129" s="13" t="s">
        <v>425</v>
      </c>
      <c r="AD1129" s="20"/>
      <c r="AE1129" s="20"/>
      <c r="AF1129" s="13" t="s">
        <v>40</v>
      </c>
      <c r="AG1129" s="15">
        <v>45474</v>
      </c>
      <c r="AH1129" s="13" t="s">
        <v>41</v>
      </c>
      <c r="AI1129" s="13" t="s">
        <v>147</v>
      </c>
      <c r="AJ1129" s="13" t="s">
        <v>363</v>
      </c>
      <c r="AK1129" s="14">
        <v>-2</v>
      </c>
      <c r="AL1129" s="17"/>
      <c r="AM1129" s="17"/>
      <c r="AN1129" s="17"/>
      <c r="AO1129" s="17"/>
      <c r="AP1129" s="17"/>
      <c r="AQ1129" s="17"/>
      <c r="AR1129" s="17"/>
      <c r="AS1129" s="17"/>
      <c r="AT1129" s="17"/>
      <c r="AU1129" s="17"/>
      <c r="AV1129" s="17"/>
    </row>
    <row r="1130" spans="1:48" ht="15.75" customHeight="1">
      <c r="A1130" s="21" t="s">
        <v>53</v>
      </c>
      <c r="B1130" s="23" t="s">
        <v>1692</v>
      </c>
      <c r="C1130" s="22">
        <v>45838</v>
      </c>
      <c r="D1130" s="23" t="s">
        <v>915</v>
      </c>
      <c r="E1130" s="23" t="s">
        <v>109</v>
      </c>
      <c r="F1130" s="14">
        <v>1</v>
      </c>
      <c r="G1130" s="12">
        <v>10000</v>
      </c>
      <c r="H1130" s="12">
        <v>10000</v>
      </c>
      <c r="I1130" s="23" t="s">
        <v>52</v>
      </c>
      <c r="J1130" s="23" t="s">
        <v>61</v>
      </c>
      <c r="K1130" s="24" t="s">
        <v>177</v>
      </c>
      <c r="L1130" s="24">
        <v>156</v>
      </c>
      <c r="M1130" s="12">
        <v>8403.361344537816</v>
      </c>
      <c r="N1130" s="12">
        <v>8403.361344537816</v>
      </c>
      <c r="O1130" s="12">
        <v>1596.638655462184</v>
      </c>
      <c r="P1130" s="13"/>
      <c r="Q1130" s="14">
        <v>2025</v>
      </c>
      <c r="R1130" s="15">
        <v>45444</v>
      </c>
      <c r="S1130" s="11" t="s">
        <v>395</v>
      </c>
      <c r="T1130" s="16">
        <v>400</v>
      </c>
      <c r="U1130" s="17"/>
      <c r="V1130" s="12">
        <v>2100.8403361344544</v>
      </c>
      <c r="W1130" s="12">
        <v>2100.8403361344544</v>
      </c>
      <c r="X1130" s="12">
        <v>0</v>
      </c>
      <c r="Y1130" s="18">
        <v>45838</v>
      </c>
      <c r="Z1130" s="13" t="s">
        <v>523</v>
      </c>
      <c r="AA1130" s="19" t="s">
        <v>367</v>
      </c>
      <c r="AB1130" s="13" t="s">
        <v>357</v>
      </c>
      <c r="AC1130" s="13" t="s">
        <v>367</v>
      </c>
      <c r="AD1130" s="20"/>
      <c r="AE1130" s="20"/>
      <c r="AF1130" s="13" t="s">
        <v>40</v>
      </c>
      <c r="AG1130" s="15">
        <v>45444</v>
      </c>
      <c r="AH1130" s="13" t="s">
        <v>41</v>
      </c>
      <c r="AI1130" s="13" t="s">
        <v>53</v>
      </c>
      <c r="AJ1130" s="13" t="s">
        <v>396</v>
      </c>
      <c r="AK1130" s="14">
        <v>-4</v>
      </c>
      <c r="AL1130" s="17"/>
      <c r="AM1130" s="17"/>
      <c r="AN1130" s="17"/>
      <c r="AO1130" s="17"/>
      <c r="AP1130" s="17"/>
      <c r="AQ1130" s="17"/>
      <c r="AR1130" s="17"/>
      <c r="AS1130" s="17"/>
      <c r="AT1130" s="17"/>
      <c r="AU1130" s="17"/>
      <c r="AV1130" s="17"/>
    </row>
    <row r="1131" spans="1:48" ht="15.75" customHeight="1">
      <c r="A1131" s="21" t="s">
        <v>35</v>
      </c>
      <c r="B1131" s="23" t="s">
        <v>1692</v>
      </c>
      <c r="C1131" s="22">
        <v>45838</v>
      </c>
      <c r="D1131" s="23" t="s">
        <v>115</v>
      </c>
      <c r="E1131" s="23" t="s">
        <v>46</v>
      </c>
      <c r="F1131" s="14">
        <v>1</v>
      </c>
      <c r="G1131" s="12">
        <v>6000.1548227279782</v>
      </c>
      <c r="H1131" s="12">
        <v>6000.1548227279782</v>
      </c>
      <c r="I1131" s="23" t="s">
        <v>52</v>
      </c>
      <c r="J1131" s="23" t="s">
        <v>61</v>
      </c>
      <c r="K1131" s="24" t="s">
        <v>177</v>
      </c>
      <c r="L1131" s="24">
        <v>156</v>
      </c>
      <c r="M1131" s="12">
        <v>5042.1469098554444</v>
      </c>
      <c r="N1131" s="12">
        <v>5042.1469098554444</v>
      </c>
      <c r="O1131" s="12">
        <v>958.00791287253378</v>
      </c>
      <c r="P1131" s="13"/>
      <c r="Q1131" s="14">
        <v>2025</v>
      </c>
      <c r="R1131" s="15">
        <v>45444</v>
      </c>
      <c r="S1131" s="11" t="s">
        <v>364</v>
      </c>
      <c r="T1131" s="16">
        <v>500</v>
      </c>
      <c r="U1131" s="17"/>
      <c r="V1131" s="12">
        <v>1785.4242207798129</v>
      </c>
      <c r="W1131" s="12">
        <v>1785.4242207798129</v>
      </c>
      <c r="X1131" s="12">
        <v>0</v>
      </c>
      <c r="Y1131" s="18">
        <v>45838</v>
      </c>
      <c r="Z1131" s="13" t="s">
        <v>523</v>
      </c>
      <c r="AA1131" s="19" t="s">
        <v>373</v>
      </c>
      <c r="AB1131" s="13" t="s">
        <v>357</v>
      </c>
      <c r="AC1131" s="13" t="s">
        <v>383</v>
      </c>
      <c r="AD1131" s="20"/>
      <c r="AE1131" s="20"/>
      <c r="AF1131" s="13" t="s">
        <v>40</v>
      </c>
      <c r="AG1131" s="15">
        <v>45444</v>
      </c>
      <c r="AH1131" s="13" t="s">
        <v>41</v>
      </c>
      <c r="AI1131" s="13" t="s">
        <v>35</v>
      </c>
      <c r="AJ1131" s="13" t="s">
        <v>365</v>
      </c>
      <c r="AK1131" s="14">
        <v>-0.5</v>
      </c>
      <c r="AL1131" s="17"/>
      <c r="AM1131" s="17"/>
      <c r="AN1131" s="17"/>
      <c r="AO1131" s="17"/>
      <c r="AP1131" s="17"/>
      <c r="AQ1131" s="17"/>
      <c r="AR1131" s="17"/>
      <c r="AS1131" s="17"/>
      <c r="AT1131" s="17"/>
      <c r="AU1131" s="17"/>
      <c r="AV1131" s="17"/>
    </row>
    <row r="1132" spans="1:48" ht="15.75" customHeight="1">
      <c r="A1132" s="21" t="s">
        <v>43</v>
      </c>
      <c r="B1132" s="23" t="s">
        <v>1692</v>
      </c>
      <c r="C1132" s="22">
        <v>45838</v>
      </c>
      <c r="D1132" s="23" t="s">
        <v>115</v>
      </c>
      <c r="E1132" s="23" t="s">
        <v>45</v>
      </c>
      <c r="F1132" s="14">
        <v>1</v>
      </c>
      <c r="G1132" s="12">
        <v>8199.8861047835999</v>
      </c>
      <c r="H1132" s="12">
        <v>8199.8861047835999</v>
      </c>
      <c r="I1132" s="23" t="s">
        <v>52</v>
      </c>
      <c r="J1132" s="23" t="s">
        <v>61</v>
      </c>
      <c r="K1132" s="24" t="s">
        <v>177</v>
      </c>
      <c r="L1132" s="24">
        <v>156</v>
      </c>
      <c r="M1132" s="12">
        <v>6890.6605922551262</v>
      </c>
      <c r="N1132" s="12">
        <v>6890.6605922551262</v>
      </c>
      <c r="O1132" s="12">
        <v>1309.2255125284737</v>
      </c>
      <c r="P1132" s="13"/>
      <c r="Q1132" s="14">
        <v>2025</v>
      </c>
      <c r="R1132" s="15">
        <v>45444</v>
      </c>
      <c r="S1132" s="11" t="s">
        <v>355</v>
      </c>
      <c r="T1132" s="16">
        <v>0</v>
      </c>
      <c r="U1132" s="17"/>
      <c r="V1132" s="12">
        <v>1445.6605922551253</v>
      </c>
      <c r="W1132" s="12">
        <v>1445.6605922551253</v>
      </c>
      <c r="X1132" s="12">
        <v>0</v>
      </c>
      <c r="Y1132" s="18">
        <v>45838</v>
      </c>
      <c r="Z1132" s="13" t="s">
        <v>523</v>
      </c>
      <c r="AA1132" s="19" t="s">
        <v>373</v>
      </c>
      <c r="AB1132" s="13" t="s">
        <v>357</v>
      </c>
      <c r="AC1132" s="13" t="s">
        <v>383</v>
      </c>
      <c r="AD1132" s="20"/>
      <c r="AE1132" s="20"/>
      <c r="AF1132" s="13" t="s">
        <v>40</v>
      </c>
      <c r="AG1132" s="15">
        <v>45444</v>
      </c>
      <c r="AH1132" s="13" t="s">
        <v>41</v>
      </c>
      <c r="AI1132" s="13" t="s">
        <v>43</v>
      </c>
      <c r="AJ1132" s="13" t="s">
        <v>359</v>
      </c>
      <c r="AK1132" s="14">
        <v>-1</v>
      </c>
      <c r="AL1132" s="17"/>
      <c r="AM1132" s="17"/>
      <c r="AN1132" s="17"/>
      <c r="AO1132" s="17"/>
      <c r="AP1132" s="17"/>
      <c r="AQ1132" s="17"/>
      <c r="AR1132" s="17"/>
      <c r="AS1132" s="17"/>
      <c r="AT1132" s="17"/>
      <c r="AU1132" s="17"/>
      <c r="AV1132" s="17"/>
    </row>
    <row r="1133" spans="1:48" ht="15.75" customHeight="1">
      <c r="A1133" s="21" t="s">
        <v>35</v>
      </c>
      <c r="B1133" s="23" t="s">
        <v>1692</v>
      </c>
      <c r="C1133" s="22">
        <v>45838</v>
      </c>
      <c r="D1133" s="23" t="s">
        <v>80</v>
      </c>
      <c r="E1133" s="23" t="s">
        <v>46</v>
      </c>
      <c r="F1133" s="14">
        <v>1</v>
      </c>
      <c r="G1133" s="12">
        <v>6000.1548227279782</v>
      </c>
      <c r="H1133" s="12">
        <v>6000.1548227279782</v>
      </c>
      <c r="I1133" s="23" t="s">
        <v>52</v>
      </c>
      <c r="J1133" s="23" t="s">
        <v>61</v>
      </c>
      <c r="K1133" s="24" t="s">
        <v>177</v>
      </c>
      <c r="L1133" s="24">
        <v>155</v>
      </c>
      <c r="M1133" s="12">
        <v>5042.1469098554444</v>
      </c>
      <c r="N1133" s="12">
        <v>5042.1469098554444</v>
      </c>
      <c r="O1133" s="12">
        <v>958.00791287253378</v>
      </c>
      <c r="P1133" s="13"/>
      <c r="Q1133" s="14">
        <v>2025</v>
      </c>
      <c r="R1133" s="15">
        <v>45444</v>
      </c>
      <c r="S1133" s="11" t="s">
        <v>364</v>
      </c>
      <c r="T1133" s="16">
        <v>500</v>
      </c>
      <c r="U1133" s="17"/>
      <c r="V1133" s="12">
        <v>1785.4242207798129</v>
      </c>
      <c r="W1133" s="12">
        <v>1785.4242207798129</v>
      </c>
      <c r="X1133" s="12">
        <v>0</v>
      </c>
      <c r="Y1133" s="18">
        <v>45838</v>
      </c>
      <c r="Z1133" s="13" t="s">
        <v>523</v>
      </c>
      <c r="AA1133" s="19" t="s">
        <v>361</v>
      </c>
      <c r="AB1133" s="13" t="s">
        <v>357</v>
      </c>
      <c r="AC1133" s="13" t="s">
        <v>362</v>
      </c>
      <c r="AD1133" s="20"/>
      <c r="AE1133" s="20"/>
      <c r="AF1133" s="13" t="s">
        <v>40</v>
      </c>
      <c r="AG1133" s="15">
        <v>45444</v>
      </c>
      <c r="AH1133" s="13" t="s">
        <v>41</v>
      </c>
      <c r="AI1133" s="13" t="s">
        <v>35</v>
      </c>
      <c r="AJ1133" s="13" t="s">
        <v>365</v>
      </c>
      <c r="AK1133" s="14">
        <v>-0.5</v>
      </c>
      <c r="AL1133" s="17"/>
      <c r="AM1133" s="17"/>
      <c r="AN1133" s="17"/>
      <c r="AO1133" s="17"/>
      <c r="AP1133" s="17"/>
      <c r="AQ1133" s="17"/>
      <c r="AR1133" s="17"/>
      <c r="AS1133" s="17"/>
      <c r="AT1133" s="17"/>
      <c r="AU1133" s="17"/>
      <c r="AV1133" s="17"/>
    </row>
    <row r="1134" spans="1:48" ht="15.75" customHeight="1">
      <c r="A1134" s="21" t="s">
        <v>76</v>
      </c>
      <c r="B1134" s="23" t="s">
        <v>1692</v>
      </c>
      <c r="C1134" s="22">
        <v>45838</v>
      </c>
      <c r="D1134" s="23" t="s">
        <v>80</v>
      </c>
      <c r="E1134" s="23" t="s">
        <v>81</v>
      </c>
      <c r="F1134" s="14">
        <v>1</v>
      </c>
      <c r="G1134" s="12">
        <v>3500.0000000000005</v>
      </c>
      <c r="H1134" s="12">
        <v>3500.0000000000005</v>
      </c>
      <c r="I1134" s="23" t="s">
        <v>52</v>
      </c>
      <c r="J1134" s="23" t="s">
        <v>61</v>
      </c>
      <c r="K1134" s="24" t="s">
        <v>177</v>
      </c>
      <c r="L1134" s="24">
        <v>155</v>
      </c>
      <c r="M1134" s="12">
        <v>2941.1764705882356</v>
      </c>
      <c r="N1134" s="12">
        <v>2941.1764705882356</v>
      </c>
      <c r="O1134" s="12">
        <v>558.82352941176487</v>
      </c>
      <c r="P1134" s="13"/>
      <c r="Q1134" s="14">
        <v>2025</v>
      </c>
      <c r="R1134" s="15">
        <v>45444</v>
      </c>
      <c r="S1134" s="11" t="s">
        <v>397</v>
      </c>
      <c r="T1134" s="16">
        <v>5</v>
      </c>
      <c r="U1134" s="17"/>
      <c r="V1134" s="12">
        <v>764.70588235294144</v>
      </c>
      <c r="W1134" s="12">
        <v>764.70588235294144</v>
      </c>
      <c r="X1134" s="12">
        <v>0</v>
      </c>
      <c r="Y1134" s="18">
        <v>45838</v>
      </c>
      <c r="Z1134" s="13" t="s">
        <v>523</v>
      </c>
      <c r="AA1134" s="19" t="s">
        <v>361</v>
      </c>
      <c r="AB1134" s="13" t="s">
        <v>357</v>
      </c>
      <c r="AC1134" s="13" t="s">
        <v>362</v>
      </c>
      <c r="AD1134" s="20"/>
      <c r="AE1134" s="20"/>
      <c r="AF1134" s="13" t="s">
        <v>40</v>
      </c>
      <c r="AG1134" s="15">
        <v>45444</v>
      </c>
      <c r="AH1134" s="13" t="s">
        <v>41</v>
      </c>
      <c r="AI1134" s="13" t="s">
        <v>76</v>
      </c>
      <c r="AJ1134" s="13" t="s">
        <v>398</v>
      </c>
      <c r="AK1134" s="14">
        <v>-1</v>
      </c>
      <c r="AL1134" s="17"/>
      <c r="AM1134" s="17"/>
      <c r="AN1134" s="17"/>
      <c r="AO1134" s="17"/>
      <c r="AP1134" s="17"/>
      <c r="AQ1134" s="17"/>
      <c r="AR1134" s="17"/>
      <c r="AS1134" s="17"/>
      <c r="AT1134" s="17"/>
      <c r="AU1134" s="17"/>
      <c r="AV1134" s="17"/>
    </row>
    <row r="1135" spans="1:48" ht="15.75" customHeight="1">
      <c r="A1135" s="21" t="s">
        <v>76</v>
      </c>
      <c r="B1135" s="23" t="s">
        <v>1692</v>
      </c>
      <c r="C1135" s="22">
        <v>45838</v>
      </c>
      <c r="D1135" s="23" t="s">
        <v>80</v>
      </c>
      <c r="E1135" s="23" t="s">
        <v>82</v>
      </c>
      <c r="F1135" s="14">
        <v>1</v>
      </c>
      <c r="G1135" s="12">
        <v>2000.0000000000002</v>
      </c>
      <c r="H1135" s="12">
        <v>2000.0000000000002</v>
      </c>
      <c r="I1135" s="23" t="s">
        <v>52</v>
      </c>
      <c r="J1135" s="23" t="s">
        <v>61</v>
      </c>
      <c r="K1135" s="24" t="s">
        <v>177</v>
      </c>
      <c r="L1135" s="24">
        <v>155</v>
      </c>
      <c r="M1135" s="12">
        <v>1680.6722689075632</v>
      </c>
      <c r="N1135" s="12">
        <v>1680.6722689075632</v>
      </c>
      <c r="O1135" s="12">
        <v>319.32773109243703</v>
      </c>
      <c r="P1135" s="13"/>
      <c r="Q1135" s="14">
        <v>2025</v>
      </c>
      <c r="R1135" s="15">
        <v>45444</v>
      </c>
      <c r="S1135" s="11" t="s">
        <v>463</v>
      </c>
      <c r="T1135" s="16">
        <v>5</v>
      </c>
      <c r="U1135" s="17"/>
      <c r="V1135" s="12">
        <v>680.67226890756319</v>
      </c>
      <c r="W1135" s="12">
        <v>680.67226890756319</v>
      </c>
      <c r="X1135" s="12">
        <v>0</v>
      </c>
      <c r="Y1135" s="18">
        <v>45838</v>
      </c>
      <c r="Z1135" s="13" t="s">
        <v>523</v>
      </c>
      <c r="AA1135" s="19" t="s">
        <v>361</v>
      </c>
      <c r="AB1135" s="13" t="s">
        <v>357</v>
      </c>
      <c r="AC1135" s="13" t="s">
        <v>362</v>
      </c>
      <c r="AD1135" s="20"/>
      <c r="AE1135" s="20"/>
      <c r="AF1135" s="13" t="s">
        <v>40</v>
      </c>
      <c r="AG1135" s="15">
        <v>45444</v>
      </c>
      <c r="AH1135" s="13" t="s">
        <v>41</v>
      </c>
      <c r="AI1135" s="13" t="s">
        <v>76</v>
      </c>
      <c r="AJ1135" s="13" t="s">
        <v>464</v>
      </c>
      <c r="AK1135" s="14">
        <v>-1</v>
      </c>
      <c r="AL1135" s="17"/>
      <c r="AM1135" s="17"/>
      <c r="AN1135" s="17"/>
      <c r="AO1135" s="17"/>
      <c r="AP1135" s="17"/>
      <c r="AQ1135" s="17"/>
      <c r="AR1135" s="17"/>
      <c r="AS1135" s="17"/>
      <c r="AT1135" s="17"/>
      <c r="AU1135" s="17"/>
      <c r="AV1135" s="17"/>
    </row>
    <row r="1136" spans="1:48" ht="15.75" customHeight="1">
      <c r="A1136" s="21" t="s">
        <v>53</v>
      </c>
      <c r="B1136" s="23" t="s">
        <v>1692</v>
      </c>
      <c r="C1136" s="22">
        <v>45838</v>
      </c>
      <c r="D1136" s="23" t="s">
        <v>537</v>
      </c>
      <c r="E1136" s="23" t="s">
        <v>97</v>
      </c>
      <c r="F1136" s="21">
        <v>1</v>
      </c>
      <c r="G1136" s="12">
        <v>16500.236769693482</v>
      </c>
      <c r="H1136" s="12">
        <v>16500.236769693482</v>
      </c>
      <c r="I1136" s="23" t="s">
        <v>52</v>
      </c>
      <c r="J1136" s="23" t="s">
        <v>61</v>
      </c>
      <c r="K1136" s="24" t="s">
        <v>177</v>
      </c>
      <c r="L1136" s="24">
        <v>155</v>
      </c>
      <c r="M1136" s="12">
        <v>13865.745184616371</v>
      </c>
      <c r="N1136" s="12">
        <v>13865.745184616371</v>
      </c>
      <c r="O1136" s="12">
        <v>2634.4915850771104</v>
      </c>
      <c r="P1136" s="13"/>
      <c r="Q1136" s="14">
        <v>2025</v>
      </c>
      <c r="R1136" s="15">
        <v>45444</v>
      </c>
      <c r="S1136" s="11" t="s">
        <v>366</v>
      </c>
      <c r="T1136" s="16">
        <v>0</v>
      </c>
      <c r="U1136" s="17"/>
      <c r="V1136" s="12">
        <v>3031.7451846163694</v>
      </c>
      <c r="W1136" s="12">
        <v>3031.7451846163694</v>
      </c>
      <c r="X1136" s="12">
        <v>0</v>
      </c>
      <c r="Y1136" s="18">
        <v>45838</v>
      </c>
      <c r="Z1136" s="13" t="s">
        <v>523</v>
      </c>
      <c r="AA1136" s="19" t="s">
        <v>361</v>
      </c>
      <c r="AB1136" s="13" t="s">
        <v>357</v>
      </c>
      <c r="AC1136" s="13" t="s">
        <v>538</v>
      </c>
      <c r="AD1136" s="20"/>
      <c r="AE1136" s="20"/>
      <c r="AF1136" s="13" t="s">
        <v>40</v>
      </c>
      <c r="AG1136" s="15">
        <v>45444</v>
      </c>
      <c r="AH1136" s="13" t="s">
        <v>41</v>
      </c>
      <c r="AI1136" s="13" t="s">
        <v>53</v>
      </c>
      <c r="AJ1136" s="13" t="s">
        <v>368</v>
      </c>
      <c r="AK1136" s="14">
        <v>-6</v>
      </c>
      <c r="AL1136" s="17"/>
      <c r="AM1136" s="17"/>
      <c r="AN1136" s="17"/>
      <c r="AO1136" s="17"/>
      <c r="AP1136" s="17"/>
      <c r="AQ1136" s="17"/>
      <c r="AR1136" s="17"/>
      <c r="AS1136" s="17"/>
      <c r="AT1136" s="17"/>
      <c r="AU1136" s="17"/>
      <c r="AV1136" s="17"/>
    </row>
    <row r="1137" spans="1:48" ht="15.75" customHeight="1">
      <c r="A1137" s="21" t="s">
        <v>76</v>
      </c>
      <c r="B1137" s="23" t="s">
        <v>1692</v>
      </c>
      <c r="C1137" s="22">
        <v>45838</v>
      </c>
      <c r="D1137" s="23" t="s">
        <v>537</v>
      </c>
      <c r="E1137" s="23" t="s">
        <v>137</v>
      </c>
      <c r="F1137" s="14">
        <v>1</v>
      </c>
      <c r="G1137" s="12">
        <v>3500.0000000000005</v>
      </c>
      <c r="H1137" s="12">
        <v>3500.0000000000005</v>
      </c>
      <c r="I1137" s="23" t="s">
        <v>52</v>
      </c>
      <c r="J1137" s="23" t="s">
        <v>61</v>
      </c>
      <c r="K1137" s="24" t="s">
        <v>177</v>
      </c>
      <c r="L1137" s="24">
        <v>155</v>
      </c>
      <c r="M1137" s="12">
        <v>2941.1764705882356</v>
      </c>
      <c r="N1137" s="12">
        <v>2941.1764705882356</v>
      </c>
      <c r="O1137" s="12">
        <v>558.82352941176487</v>
      </c>
      <c r="P1137" s="13"/>
      <c r="Q1137" s="14">
        <v>2025</v>
      </c>
      <c r="R1137" s="15">
        <v>45444</v>
      </c>
      <c r="S1137" s="11" t="s">
        <v>406</v>
      </c>
      <c r="T1137" s="16">
        <v>5</v>
      </c>
      <c r="U1137" s="17"/>
      <c r="V1137" s="12">
        <v>848.73949579831969</v>
      </c>
      <c r="W1137" s="12">
        <v>848.73949579831969</v>
      </c>
      <c r="X1137" s="12">
        <v>0</v>
      </c>
      <c r="Y1137" s="18">
        <v>45838</v>
      </c>
      <c r="Z1137" s="13" t="s">
        <v>523</v>
      </c>
      <c r="AA1137" s="19" t="s">
        <v>361</v>
      </c>
      <c r="AB1137" s="13" t="s">
        <v>357</v>
      </c>
      <c r="AC1137" s="13" t="s">
        <v>538</v>
      </c>
      <c r="AD1137" s="20"/>
      <c r="AE1137" s="20"/>
      <c r="AF1137" s="13" t="s">
        <v>40</v>
      </c>
      <c r="AG1137" s="15">
        <v>45444</v>
      </c>
      <c r="AH1137" s="13" t="s">
        <v>41</v>
      </c>
      <c r="AI1137" s="13" t="s">
        <v>76</v>
      </c>
      <c r="AJ1137" s="13" t="s">
        <v>407</v>
      </c>
      <c r="AK1137" s="14">
        <v>-1</v>
      </c>
      <c r="AL1137" s="17"/>
      <c r="AM1137" s="17"/>
      <c r="AN1137" s="17"/>
      <c r="AO1137" s="17"/>
      <c r="AP1137" s="17"/>
      <c r="AQ1137" s="17"/>
      <c r="AR1137" s="17"/>
      <c r="AS1137" s="17"/>
      <c r="AT1137" s="17"/>
      <c r="AU1137" s="17"/>
      <c r="AV1137" s="17"/>
    </row>
    <row r="1138" spans="1:48" ht="15.75" customHeight="1">
      <c r="A1138" s="21" t="s">
        <v>53</v>
      </c>
      <c r="B1138" s="23" t="s">
        <v>1692</v>
      </c>
      <c r="C1138" s="22">
        <v>45838</v>
      </c>
      <c r="D1138" s="23" t="s">
        <v>135</v>
      </c>
      <c r="E1138" s="23" t="s">
        <v>97</v>
      </c>
      <c r="F1138" s="21">
        <v>2</v>
      </c>
      <c r="G1138" s="12">
        <v>16500.236769693482</v>
      </c>
      <c r="H1138" s="12">
        <v>33000.473539386963</v>
      </c>
      <c r="I1138" s="23" t="s">
        <v>52</v>
      </c>
      <c r="J1138" s="23" t="s">
        <v>61</v>
      </c>
      <c r="K1138" s="24" t="s">
        <v>177</v>
      </c>
      <c r="L1138" s="24">
        <v>155</v>
      </c>
      <c r="M1138" s="12">
        <v>13865.745184616371</v>
      </c>
      <c r="N1138" s="12">
        <v>27731.490369232743</v>
      </c>
      <c r="O1138" s="12">
        <v>5268.9831701542207</v>
      </c>
      <c r="P1138" s="13"/>
      <c r="Q1138" s="14">
        <v>2025</v>
      </c>
      <c r="R1138" s="15">
        <v>45444</v>
      </c>
      <c r="S1138" s="11" t="s">
        <v>366</v>
      </c>
      <c r="T1138" s="16">
        <v>0</v>
      </c>
      <c r="U1138" s="17"/>
      <c r="V1138" s="12">
        <v>6063.4903692327389</v>
      </c>
      <c r="W1138" s="12">
        <v>6063.4903692327389</v>
      </c>
      <c r="X1138" s="12">
        <v>0</v>
      </c>
      <c r="Y1138" s="18">
        <v>45838</v>
      </c>
      <c r="Z1138" s="13" t="s">
        <v>523</v>
      </c>
      <c r="AA1138" s="19" t="s">
        <v>361</v>
      </c>
      <c r="AB1138" s="13" t="s">
        <v>357</v>
      </c>
      <c r="AC1138" s="13" t="s">
        <v>538</v>
      </c>
      <c r="AD1138" s="20"/>
      <c r="AE1138" s="20"/>
      <c r="AF1138" s="13" t="s">
        <v>40</v>
      </c>
      <c r="AG1138" s="15">
        <v>45444</v>
      </c>
      <c r="AH1138" s="13" t="s">
        <v>41</v>
      </c>
      <c r="AI1138" s="13" t="s">
        <v>53</v>
      </c>
      <c r="AJ1138" s="13" t="s">
        <v>368</v>
      </c>
      <c r="AK1138" s="14">
        <v>-12</v>
      </c>
      <c r="AL1138" s="17"/>
      <c r="AM1138" s="17"/>
      <c r="AN1138" s="17"/>
      <c r="AO1138" s="17"/>
      <c r="AP1138" s="17"/>
      <c r="AQ1138" s="17"/>
      <c r="AR1138" s="17"/>
      <c r="AS1138" s="17"/>
      <c r="AT1138" s="17"/>
      <c r="AU1138" s="17"/>
      <c r="AV1138" s="17"/>
    </row>
    <row r="1139" spans="1:48" ht="15.75" customHeight="1">
      <c r="A1139" s="21" t="s">
        <v>76</v>
      </c>
      <c r="B1139" s="23" t="s">
        <v>1692</v>
      </c>
      <c r="C1139" s="22">
        <v>45838</v>
      </c>
      <c r="D1139" s="23" t="s">
        <v>135</v>
      </c>
      <c r="E1139" s="23" t="s">
        <v>137</v>
      </c>
      <c r="F1139" s="14">
        <v>1</v>
      </c>
      <c r="G1139" s="12">
        <v>3500.0000000000005</v>
      </c>
      <c r="H1139" s="12">
        <v>3500.0000000000005</v>
      </c>
      <c r="I1139" s="23" t="s">
        <v>52</v>
      </c>
      <c r="J1139" s="23" t="s">
        <v>61</v>
      </c>
      <c r="K1139" s="24" t="s">
        <v>177</v>
      </c>
      <c r="L1139" s="24">
        <v>155</v>
      </c>
      <c r="M1139" s="12">
        <v>2941.1764705882356</v>
      </c>
      <c r="N1139" s="12">
        <v>2941.1764705882356</v>
      </c>
      <c r="O1139" s="12">
        <v>558.82352941176487</v>
      </c>
      <c r="P1139" s="13"/>
      <c r="Q1139" s="14">
        <v>2025</v>
      </c>
      <c r="R1139" s="15">
        <v>45444</v>
      </c>
      <c r="S1139" s="11" t="s">
        <v>406</v>
      </c>
      <c r="T1139" s="16">
        <v>5</v>
      </c>
      <c r="U1139" s="17"/>
      <c r="V1139" s="12">
        <v>848.73949579831969</v>
      </c>
      <c r="W1139" s="12">
        <v>848.73949579831969</v>
      </c>
      <c r="X1139" s="12">
        <v>0</v>
      </c>
      <c r="Y1139" s="18">
        <v>45838</v>
      </c>
      <c r="Z1139" s="13" t="s">
        <v>523</v>
      </c>
      <c r="AA1139" s="19" t="s">
        <v>361</v>
      </c>
      <c r="AB1139" s="13" t="s">
        <v>357</v>
      </c>
      <c r="AC1139" s="13" t="s">
        <v>538</v>
      </c>
      <c r="AD1139" s="20"/>
      <c r="AE1139" s="20"/>
      <c r="AF1139" s="13" t="s">
        <v>40</v>
      </c>
      <c r="AG1139" s="15">
        <v>45444</v>
      </c>
      <c r="AH1139" s="13" t="s">
        <v>41</v>
      </c>
      <c r="AI1139" s="13" t="s">
        <v>76</v>
      </c>
      <c r="AJ1139" s="13" t="s">
        <v>407</v>
      </c>
      <c r="AK1139" s="14">
        <v>-1</v>
      </c>
      <c r="AL1139" s="17"/>
      <c r="AM1139" s="17"/>
      <c r="AN1139" s="17"/>
      <c r="AO1139" s="17"/>
      <c r="AP1139" s="17"/>
      <c r="AQ1139" s="17"/>
      <c r="AR1139" s="17"/>
      <c r="AS1139" s="17"/>
      <c r="AT1139" s="17"/>
      <c r="AU1139" s="17"/>
      <c r="AV1139" s="17"/>
    </row>
    <row r="1140" spans="1:48" ht="15.75" customHeight="1">
      <c r="A1140" s="21" t="s">
        <v>76</v>
      </c>
      <c r="B1140" s="23" t="s">
        <v>1692</v>
      </c>
      <c r="C1140" s="22">
        <v>45838</v>
      </c>
      <c r="D1140" s="23" t="s">
        <v>135</v>
      </c>
      <c r="E1140" s="23" t="s">
        <v>82</v>
      </c>
      <c r="F1140" s="14">
        <v>1</v>
      </c>
      <c r="G1140" s="12">
        <v>2000.0000000000002</v>
      </c>
      <c r="H1140" s="12">
        <v>2000.0000000000002</v>
      </c>
      <c r="I1140" s="23" t="s">
        <v>52</v>
      </c>
      <c r="J1140" s="23" t="s">
        <v>61</v>
      </c>
      <c r="K1140" s="24" t="s">
        <v>177</v>
      </c>
      <c r="L1140" s="24">
        <v>155</v>
      </c>
      <c r="M1140" s="12">
        <v>1680.6722689075632</v>
      </c>
      <c r="N1140" s="12">
        <v>1680.6722689075632</v>
      </c>
      <c r="O1140" s="12">
        <v>319.32773109243703</v>
      </c>
      <c r="P1140" s="13"/>
      <c r="Q1140" s="14">
        <v>2025</v>
      </c>
      <c r="R1140" s="15">
        <v>45444</v>
      </c>
      <c r="S1140" s="11" t="s">
        <v>463</v>
      </c>
      <c r="T1140" s="16">
        <v>5</v>
      </c>
      <c r="U1140" s="17"/>
      <c r="V1140" s="12">
        <v>680.67226890756319</v>
      </c>
      <c r="W1140" s="12">
        <v>680.67226890756319</v>
      </c>
      <c r="X1140" s="12">
        <v>0</v>
      </c>
      <c r="Y1140" s="18">
        <v>45838</v>
      </c>
      <c r="Z1140" s="13" t="s">
        <v>523</v>
      </c>
      <c r="AA1140" s="19" t="s">
        <v>361</v>
      </c>
      <c r="AB1140" s="13" t="s">
        <v>357</v>
      </c>
      <c r="AC1140" s="13" t="s">
        <v>538</v>
      </c>
      <c r="AD1140" s="20"/>
      <c r="AE1140" s="20"/>
      <c r="AF1140" s="13" t="s">
        <v>40</v>
      </c>
      <c r="AG1140" s="15">
        <v>45444</v>
      </c>
      <c r="AH1140" s="13" t="s">
        <v>41</v>
      </c>
      <c r="AI1140" s="13" t="s">
        <v>76</v>
      </c>
      <c r="AJ1140" s="13" t="s">
        <v>464</v>
      </c>
      <c r="AK1140" s="14">
        <v>-1</v>
      </c>
      <c r="AL1140" s="17"/>
      <c r="AM1140" s="17"/>
      <c r="AN1140" s="17"/>
      <c r="AO1140" s="17"/>
      <c r="AP1140" s="17"/>
      <c r="AQ1140" s="17"/>
      <c r="AR1140" s="17"/>
      <c r="AS1140" s="17"/>
      <c r="AT1140" s="17"/>
      <c r="AU1140" s="17"/>
      <c r="AV1140" s="17"/>
    </row>
    <row r="1141" spans="1:48" ht="15.75" customHeight="1">
      <c r="A1141" s="21" t="s">
        <v>43</v>
      </c>
      <c r="B1141" s="23" t="s">
        <v>1692</v>
      </c>
      <c r="C1141" s="22">
        <v>45838</v>
      </c>
      <c r="D1141" s="23" t="s">
        <v>146</v>
      </c>
      <c r="E1141" s="23" t="s">
        <v>45</v>
      </c>
      <c r="F1141" s="14">
        <v>1</v>
      </c>
      <c r="G1141" s="12">
        <v>8199.8861047835999</v>
      </c>
      <c r="H1141" s="12">
        <v>8199.8861047835999</v>
      </c>
      <c r="I1141" s="23" t="s">
        <v>52</v>
      </c>
      <c r="J1141" s="23" t="s">
        <v>61</v>
      </c>
      <c r="K1141" s="24" t="s">
        <v>177</v>
      </c>
      <c r="L1141" s="24">
        <v>155</v>
      </c>
      <c r="M1141" s="12">
        <v>6890.6605922551262</v>
      </c>
      <c r="N1141" s="12">
        <v>6890.6605922551262</v>
      </c>
      <c r="O1141" s="12">
        <v>1309.2255125284737</v>
      </c>
      <c r="P1141" s="13"/>
      <c r="Q1141" s="14">
        <v>2025</v>
      </c>
      <c r="R1141" s="15">
        <v>45444</v>
      </c>
      <c r="S1141" s="11" t="s">
        <v>355</v>
      </c>
      <c r="T1141" s="16">
        <v>0</v>
      </c>
      <c r="U1141" s="17"/>
      <c r="V1141" s="12">
        <v>1445.6605922551253</v>
      </c>
      <c r="W1141" s="12">
        <v>1445.6605922551253</v>
      </c>
      <c r="X1141" s="12">
        <v>0</v>
      </c>
      <c r="Y1141" s="18">
        <v>45838</v>
      </c>
      <c r="Z1141" s="13" t="s">
        <v>523</v>
      </c>
      <c r="AA1141" s="19" t="s">
        <v>373</v>
      </c>
      <c r="AB1141" s="13" t="s">
        <v>357</v>
      </c>
      <c r="AC1141" s="13" t="s">
        <v>374</v>
      </c>
      <c r="AD1141" s="20"/>
      <c r="AE1141" s="20"/>
      <c r="AF1141" s="13" t="s">
        <v>40</v>
      </c>
      <c r="AG1141" s="15">
        <v>45444</v>
      </c>
      <c r="AH1141" s="13" t="s">
        <v>41</v>
      </c>
      <c r="AI1141" s="13" t="s">
        <v>43</v>
      </c>
      <c r="AJ1141" s="13" t="s">
        <v>359</v>
      </c>
      <c r="AK1141" s="14">
        <v>-1</v>
      </c>
      <c r="AL1141" s="17"/>
      <c r="AM1141" s="17"/>
      <c r="AN1141" s="17"/>
      <c r="AO1141" s="17"/>
      <c r="AP1141" s="17"/>
      <c r="AQ1141" s="17"/>
      <c r="AR1141" s="17"/>
      <c r="AS1141" s="17"/>
      <c r="AT1141" s="17"/>
      <c r="AU1141" s="17"/>
      <c r="AV1141" s="17"/>
    </row>
    <row r="1142" spans="1:48" ht="15.75" customHeight="1">
      <c r="A1142" s="21" t="s">
        <v>53</v>
      </c>
      <c r="B1142" s="23" t="s">
        <v>1692</v>
      </c>
      <c r="C1142" s="22">
        <v>45837</v>
      </c>
      <c r="D1142" s="23" t="s">
        <v>539</v>
      </c>
      <c r="E1142" s="23" t="s">
        <v>97</v>
      </c>
      <c r="F1142" s="14">
        <v>1</v>
      </c>
      <c r="G1142" s="12">
        <v>16500.236769693482</v>
      </c>
      <c r="H1142" s="12">
        <v>16500.236769693482</v>
      </c>
      <c r="I1142" s="23" t="s">
        <v>52</v>
      </c>
      <c r="J1142" s="23" t="s">
        <v>61</v>
      </c>
      <c r="K1142" s="24" t="s">
        <v>177</v>
      </c>
      <c r="L1142" s="24">
        <v>154</v>
      </c>
      <c r="M1142" s="12">
        <v>13865.745184616371</v>
      </c>
      <c r="N1142" s="12">
        <v>13865.745184616371</v>
      </c>
      <c r="O1142" s="12">
        <v>2634.4915850771104</v>
      </c>
      <c r="P1142" s="13"/>
      <c r="Q1142" s="14">
        <v>2025</v>
      </c>
      <c r="R1142" s="15">
        <v>45444</v>
      </c>
      <c r="S1142" s="11" t="s">
        <v>366</v>
      </c>
      <c r="T1142" s="16">
        <v>0</v>
      </c>
      <c r="U1142" s="17"/>
      <c r="V1142" s="12">
        <v>3031.7451846163694</v>
      </c>
      <c r="W1142" s="12">
        <v>3031.7451846163694</v>
      </c>
      <c r="X1142" s="12">
        <v>0</v>
      </c>
      <c r="Y1142" s="18">
        <v>45831</v>
      </c>
      <c r="Z1142" s="13" t="s">
        <v>497</v>
      </c>
      <c r="AA1142" s="19" t="s">
        <v>361</v>
      </c>
      <c r="AB1142" s="13" t="s">
        <v>357</v>
      </c>
      <c r="AC1142" s="13" t="s">
        <v>362</v>
      </c>
      <c r="AD1142" s="20"/>
      <c r="AE1142" s="20"/>
      <c r="AF1142" s="13" t="s">
        <v>40</v>
      </c>
      <c r="AG1142" s="15">
        <v>45444</v>
      </c>
      <c r="AH1142" s="13" t="s">
        <v>41</v>
      </c>
      <c r="AI1142" s="13" t="s">
        <v>53</v>
      </c>
      <c r="AJ1142" s="13" t="s">
        <v>368</v>
      </c>
      <c r="AK1142" s="14">
        <v>-6</v>
      </c>
      <c r="AL1142" s="17"/>
      <c r="AM1142" s="17"/>
      <c r="AN1142" s="17"/>
      <c r="AO1142" s="17"/>
      <c r="AP1142" s="17"/>
      <c r="AQ1142" s="17"/>
      <c r="AR1142" s="17"/>
      <c r="AS1142" s="17"/>
      <c r="AT1142" s="17"/>
      <c r="AU1142" s="17"/>
      <c r="AV1142" s="17"/>
    </row>
    <row r="1143" spans="1:48" ht="15.75" customHeight="1">
      <c r="A1143" s="14" t="s">
        <v>35</v>
      </c>
      <c r="B1143" s="23" t="s">
        <v>1692</v>
      </c>
      <c r="C1143" s="22">
        <v>45837</v>
      </c>
      <c r="D1143" s="23" t="s">
        <v>240</v>
      </c>
      <c r="E1143" s="23" t="s">
        <v>37</v>
      </c>
      <c r="F1143" s="14">
        <v>1</v>
      </c>
      <c r="G1143" s="12">
        <v>11000.014358944907</v>
      </c>
      <c r="H1143" s="12">
        <v>11000.014358944907</v>
      </c>
      <c r="I1143" s="23" t="s">
        <v>52</v>
      </c>
      <c r="J1143" s="23" t="s">
        <v>61</v>
      </c>
      <c r="K1143" s="24" t="s">
        <v>177</v>
      </c>
      <c r="L1143" s="24">
        <v>154</v>
      </c>
      <c r="M1143" s="12">
        <v>9243.7095453318543</v>
      </c>
      <c r="N1143" s="12">
        <v>9243.7095453318543</v>
      </c>
      <c r="O1143" s="12">
        <v>1756.3048136130528</v>
      </c>
      <c r="P1143" s="13"/>
      <c r="Q1143" s="14">
        <v>2025</v>
      </c>
      <c r="R1143" s="15">
        <v>45444</v>
      </c>
      <c r="S1143" s="11" t="s">
        <v>364</v>
      </c>
      <c r="T1143" s="16">
        <v>1000</v>
      </c>
      <c r="U1143" s="17"/>
      <c r="V1143" s="12">
        <v>2806.1129066763915</v>
      </c>
      <c r="W1143" s="12">
        <v>2806.1129066763915</v>
      </c>
      <c r="X1143" s="12">
        <v>0</v>
      </c>
      <c r="Y1143" s="18">
        <v>45831</v>
      </c>
      <c r="Z1143" s="13" t="s">
        <v>497</v>
      </c>
      <c r="AA1143" s="19" t="s">
        <v>373</v>
      </c>
      <c r="AB1143" s="13" t="s">
        <v>357</v>
      </c>
      <c r="AC1143" s="13" t="s">
        <v>383</v>
      </c>
      <c r="AD1143" s="20"/>
      <c r="AE1143" s="20"/>
      <c r="AF1143" s="13" t="s">
        <v>40</v>
      </c>
      <c r="AG1143" s="15">
        <v>45444</v>
      </c>
      <c r="AH1143" s="13" t="s">
        <v>41</v>
      </c>
      <c r="AI1143" s="13" t="s">
        <v>35</v>
      </c>
      <c r="AJ1143" s="13" t="s">
        <v>365</v>
      </c>
      <c r="AK1143" s="14">
        <v>-1</v>
      </c>
      <c r="AL1143" s="17"/>
      <c r="AM1143" s="17"/>
      <c r="AN1143" s="17"/>
      <c r="AO1143" s="17"/>
      <c r="AP1143" s="17"/>
      <c r="AQ1143" s="17"/>
      <c r="AR1143" s="17"/>
      <c r="AS1143" s="17"/>
      <c r="AT1143" s="17"/>
      <c r="AU1143" s="17"/>
      <c r="AV1143" s="17"/>
    </row>
    <row r="1144" spans="1:48" ht="15.75" customHeight="1">
      <c r="A1144" s="14" t="s">
        <v>35</v>
      </c>
      <c r="B1144" s="23" t="s">
        <v>1692</v>
      </c>
      <c r="C1144" s="22">
        <v>45837</v>
      </c>
      <c r="D1144" s="23" t="s">
        <v>132</v>
      </c>
      <c r="E1144" s="23" t="s">
        <v>46</v>
      </c>
      <c r="F1144" s="14">
        <v>1</v>
      </c>
      <c r="G1144" s="12">
        <v>6000.1548227279782</v>
      </c>
      <c r="H1144" s="12">
        <v>6000.1548227279782</v>
      </c>
      <c r="I1144" s="23" t="s">
        <v>52</v>
      </c>
      <c r="J1144" s="23" t="s">
        <v>61</v>
      </c>
      <c r="K1144" s="24" t="s">
        <v>177</v>
      </c>
      <c r="L1144" s="24">
        <v>154</v>
      </c>
      <c r="M1144" s="12">
        <v>5042.1469098554444</v>
      </c>
      <c r="N1144" s="12">
        <v>5042.1469098554444</v>
      </c>
      <c r="O1144" s="12">
        <v>958.00791287253378</v>
      </c>
      <c r="P1144" s="13"/>
      <c r="Q1144" s="14">
        <v>2025</v>
      </c>
      <c r="R1144" s="15">
        <v>45444</v>
      </c>
      <c r="S1144" s="11" t="s">
        <v>364</v>
      </c>
      <c r="T1144" s="16">
        <v>500</v>
      </c>
      <c r="U1144" s="17"/>
      <c r="V1144" s="12">
        <v>1785.4242207798129</v>
      </c>
      <c r="W1144" s="12">
        <v>1785.4242207798129</v>
      </c>
      <c r="X1144" s="12">
        <v>0</v>
      </c>
      <c r="Y1144" s="18">
        <v>45831</v>
      </c>
      <c r="Z1144" s="13" t="s">
        <v>497</v>
      </c>
      <c r="AA1144" s="19" t="s">
        <v>373</v>
      </c>
      <c r="AB1144" s="13" t="s">
        <v>357</v>
      </c>
      <c r="AC1144" s="13" t="s">
        <v>389</v>
      </c>
      <c r="AD1144" s="20"/>
      <c r="AE1144" s="20"/>
      <c r="AF1144" s="13" t="s">
        <v>40</v>
      </c>
      <c r="AG1144" s="15">
        <v>45444</v>
      </c>
      <c r="AH1144" s="13" t="s">
        <v>41</v>
      </c>
      <c r="AI1144" s="13" t="s">
        <v>35</v>
      </c>
      <c r="AJ1144" s="13" t="s">
        <v>365</v>
      </c>
      <c r="AK1144" s="14">
        <v>-0.5</v>
      </c>
      <c r="AL1144" s="17"/>
      <c r="AM1144" s="17"/>
      <c r="AN1144" s="17"/>
      <c r="AO1144" s="17"/>
      <c r="AP1144" s="17"/>
      <c r="AQ1144" s="17"/>
      <c r="AR1144" s="17"/>
      <c r="AS1144" s="17"/>
      <c r="AT1144" s="17"/>
      <c r="AU1144" s="17"/>
      <c r="AV1144" s="17"/>
    </row>
    <row r="1145" spans="1:48" ht="15.75" customHeight="1">
      <c r="A1145" s="21" t="s">
        <v>35</v>
      </c>
      <c r="B1145" s="23" t="s">
        <v>1692</v>
      </c>
      <c r="C1145" s="22">
        <v>45837</v>
      </c>
      <c r="D1145" s="23" t="s">
        <v>180</v>
      </c>
      <c r="E1145" s="23" t="s">
        <v>117</v>
      </c>
      <c r="F1145" s="14">
        <v>1</v>
      </c>
      <c r="G1145" s="12">
        <v>8999.5678478824557</v>
      </c>
      <c r="H1145" s="12">
        <v>8999.5678478824557</v>
      </c>
      <c r="I1145" s="23" t="s">
        <v>52</v>
      </c>
      <c r="J1145" s="23" t="s">
        <v>61</v>
      </c>
      <c r="K1145" s="24" t="s">
        <v>177</v>
      </c>
      <c r="L1145" s="24">
        <v>154</v>
      </c>
      <c r="M1145" s="12">
        <v>7562.6620570440809</v>
      </c>
      <c r="N1145" s="12">
        <v>7562.6620570440809</v>
      </c>
      <c r="O1145" s="12">
        <v>1436.9057908383747</v>
      </c>
      <c r="P1145" s="13"/>
      <c r="Q1145" s="14">
        <v>2025</v>
      </c>
      <c r="R1145" s="15">
        <v>45444</v>
      </c>
      <c r="S1145" s="11" t="s">
        <v>364</v>
      </c>
      <c r="T1145" s="16">
        <v>750</v>
      </c>
      <c r="U1145" s="17"/>
      <c r="V1145" s="12">
        <v>2312.66205704408</v>
      </c>
      <c r="W1145" s="12">
        <v>2312.66205704408</v>
      </c>
      <c r="X1145" s="12">
        <v>0</v>
      </c>
      <c r="Y1145" s="18">
        <v>45831</v>
      </c>
      <c r="Z1145" s="13" t="s">
        <v>497</v>
      </c>
      <c r="AA1145" s="19" t="s">
        <v>367</v>
      </c>
      <c r="AB1145" s="13" t="s">
        <v>357</v>
      </c>
      <c r="AC1145" s="13" t="s">
        <v>367</v>
      </c>
      <c r="AD1145" s="20"/>
      <c r="AE1145" s="20"/>
      <c r="AF1145" s="13" t="s">
        <v>40</v>
      </c>
      <c r="AG1145" s="15">
        <v>45444</v>
      </c>
      <c r="AH1145" s="13" t="s">
        <v>41</v>
      </c>
      <c r="AI1145" s="13" t="s">
        <v>35</v>
      </c>
      <c r="AJ1145" s="13" t="s">
        <v>390</v>
      </c>
      <c r="AK1145" s="21">
        <v>-0.75</v>
      </c>
      <c r="AL1145" s="17"/>
      <c r="AM1145" s="17"/>
      <c r="AN1145" s="17"/>
      <c r="AO1145" s="17"/>
      <c r="AP1145" s="17"/>
      <c r="AQ1145" s="17"/>
      <c r="AR1145" s="17"/>
      <c r="AS1145" s="17"/>
      <c r="AT1145" s="17"/>
      <c r="AU1145" s="17"/>
      <c r="AV1145" s="17"/>
    </row>
    <row r="1146" spans="1:48" ht="15.75" customHeight="1">
      <c r="A1146" s="21" t="s">
        <v>47</v>
      </c>
      <c r="B1146" s="23" t="s">
        <v>1692</v>
      </c>
      <c r="C1146" s="22">
        <v>45837</v>
      </c>
      <c r="D1146" s="23" t="s">
        <v>270</v>
      </c>
      <c r="E1146" s="23" t="s">
        <v>314</v>
      </c>
      <c r="F1146" s="14">
        <v>1</v>
      </c>
      <c r="G1146" s="12">
        <v>4000.4198085027374</v>
      </c>
      <c r="H1146" s="12">
        <v>4000.4198085027374</v>
      </c>
      <c r="I1146" s="23" t="s">
        <v>52</v>
      </c>
      <c r="J1146" s="23" t="s">
        <v>61</v>
      </c>
      <c r="K1146" s="24" t="s">
        <v>177</v>
      </c>
      <c r="L1146" s="24">
        <v>154</v>
      </c>
      <c r="M1146" s="12">
        <v>3361.6973180695272</v>
      </c>
      <c r="N1146" s="12">
        <v>3361.6973180695272</v>
      </c>
      <c r="O1146" s="12">
        <v>638.72249043321017</v>
      </c>
      <c r="P1146" s="13"/>
      <c r="Q1146" s="14">
        <v>2025</v>
      </c>
      <c r="R1146" s="15">
        <v>45444</v>
      </c>
      <c r="S1146" s="11" t="s">
        <v>540</v>
      </c>
      <c r="T1146" s="16">
        <v>0</v>
      </c>
      <c r="U1146" s="17"/>
      <c r="V1146" s="12">
        <v>1279.6973180695272</v>
      </c>
      <c r="W1146" s="12">
        <v>1279.6973180695272</v>
      </c>
      <c r="X1146" s="12">
        <v>0</v>
      </c>
      <c r="Y1146" s="18">
        <v>45831</v>
      </c>
      <c r="Z1146" s="13" t="s">
        <v>497</v>
      </c>
      <c r="AA1146" s="19" t="s">
        <v>367</v>
      </c>
      <c r="AB1146" s="13" t="s">
        <v>357</v>
      </c>
      <c r="AC1146" s="13" t="s">
        <v>367</v>
      </c>
      <c r="AD1146" s="20"/>
      <c r="AE1146" s="20"/>
      <c r="AF1146" s="13" t="s">
        <v>40</v>
      </c>
      <c r="AG1146" s="15">
        <v>45444</v>
      </c>
      <c r="AH1146" s="13" t="s">
        <v>41</v>
      </c>
      <c r="AI1146" s="13" t="s">
        <v>47</v>
      </c>
      <c r="AJ1146" s="13" t="s">
        <v>541</v>
      </c>
      <c r="AK1146" s="14">
        <v>-2</v>
      </c>
      <c r="AL1146" s="17"/>
      <c r="AM1146" s="17"/>
      <c r="AN1146" s="17"/>
      <c r="AO1146" s="17"/>
      <c r="AP1146" s="17"/>
      <c r="AQ1146" s="17"/>
      <c r="AR1146" s="17"/>
      <c r="AS1146" s="17"/>
      <c r="AT1146" s="17"/>
      <c r="AU1146" s="17"/>
      <c r="AV1146" s="17"/>
    </row>
    <row r="1147" spans="1:48" ht="15.75" customHeight="1">
      <c r="A1147" s="21" t="s">
        <v>47</v>
      </c>
      <c r="B1147" s="23" t="s">
        <v>1692</v>
      </c>
      <c r="C1147" s="22">
        <v>45837</v>
      </c>
      <c r="D1147" s="23" t="s">
        <v>270</v>
      </c>
      <c r="E1147" s="23" t="s">
        <v>206</v>
      </c>
      <c r="F1147" s="14">
        <v>1</v>
      </c>
      <c r="G1147" s="12">
        <v>2499.9842105263156</v>
      </c>
      <c r="H1147" s="12">
        <v>2499.9842105263156</v>
      </c>
      <c r="I1147" s="23" t="s">
        <v>52</v>
      </c>
      <c r="J1147" s="23" t="s">
        <v>61</v>
      </c>
      <c r="K1147" s="24" t="s">
        <v>177</v>
      </c>
      <c r="L1147" s="24">
        <v>154</v>
      </c>
      <c r="M1147" s="12">
        <v>2100.8270676691727</v>
      </c>
      <c r="N1147" s="12">
        <v>2100.8270676691727</v>
      </c>
      <c r="O1147" s="12">
        <v>399.15714285714284</v>
      </c>
      <c r="P1147" s="13"/>
      <c r="Q1147" s="14">
        <v>2025</v>
      </c>
      <c r="R1147" s="15">
        <v>45444</v>
      </c>
      <c r="S1147" s="11" t="s">
        <v>402</v>
      </c>
      <c r="T1147" s="16">
        <v>0</v>
      </c>
      <c r="U1147" s="17"/>
      <c r="V1147" s="12">
        <v>1430.2430676691729</v>
      </c>
      <c r="W1147" s="12">
        <v>1430.2430676691729</v>
      </c>
      <c r="X1147" s="12">
        <v>0</v>
      </c>
      <c r="Y1147" s="18">
        <v>45831</v>
      </c>
      <c r="Z1147" s="13" t="s">
        <v>497</v>
      </c>
      <c r="AA1147" s="19" t="s">
        <v>367</v>
      </c>
      <c r="AB1147" s="13" t="s">
        <v>357</v>
      </c>
      <c r="AC1147" s="13" t="s">
        <v>367</v>
      </c>
      <c r="AD1147" s="20"/>
      <c r="AE1147" s="20"/>
      <c r="AF1147" s="13" t="s">
        <v>40</v>
      </c>
      <c r="AG1147" s="15">
        <v>45444</v>
      </c>
      <c r="AH1147" s="13" t="s">
        <v>41</v>
      </c>
      <c r="AI1147" s="13" t="s">
        <v>47</v>
      </c>
      <c r="AJ1147" s="13" t="s">
        <v>403</v>
      </c>
      <c r="AK1147" s="14">
        <v>-3</v>
      </c>
      <c r="AL1147" s="17"/>
      <c r="AM1147" s="17"/>
      <c r="AN1147" s="17"/>
      <c r="AO1147" s="17"/>
      <c r="AP1147" s="17"/>
      <c r="AQ1147" s="17"/>
      <c r="AR1147" s="17"/>
      <c r="AS1147" s="17"/>
      <c r="AT1147" s="17"/>
      <c r="AU1147" s="17"/>
      <c r="AV1147" s="17"/>
    </row>
    <row r="1148" spans="1:48" ht="15.75" customHeight="1">
      <c r="A1148" s="21" t="s">
        <v>47</v>
      </c>
      <c r="B1148" s="23" t="s">
        <v>1692</v>
      </c>
      <c r="C1148" s="22">
        <v>45837</v>
      </c>
      <c r="D1148" s="23" t="s">
        <v>915</v>
      </c>
      <c r="E1148" s="23" t="s">
        <v>206</v>
      </c>
      <c r="F1148" s="14">
        <v>1</v>
      </c>
      <c r="G1148" s="12">
        <v>2499.9842105263156</v>
      </c>
      <c r="H1148" s="12">
        <v>2499.9842105263156</v>
      </c>
      <c r="I1148" s="23" t="s">
        <v>52</v>
      </c>
      <c r="J1148" s="23" t="s">
        <v>61</v>
      </c>
      <c r="K1148" s="24" t="s">
        <v>177</v>
      </c>
      <c r="L1148" s="24">
        <v>154</v>
      </c>
      <c r="M1148" s="12">
        <v>2100.8270676691727</v>
      </c>
      <c r="N1148" s="12">
        <v>2100.8270676691727</v>
      </c>
      <c r="O1148" s="12">
        <v>399.15714285714284</v>
      </c>
      <c r="P1148" s="13"/>
      <c r="Q1148" s="14">
        <v>2025</v>
      </c>
      <c r="R1148" s="15">
        <v>45444</v>
      </c>
      <c r="S1148" s="11" t="s">
        <v>402</v>
      </c>
      <c r="T1148" s="16">
        <v>0</v>
      </c>
      <c r="U1148" s="17"/>
      <c r="V1148" s="12">
        <v>1430.2430676691729</v>
      </c>
      <c r="W1148" s="12">
        <v>1430.2430676691729</v>
      </c>
      <c r="X1148" s="12">
        <v>0</v>
      </c>
      <c r="Y1148" s="18">
        <v>45831</v>
      </c>
      <c r="Z1148" s="13" t="s">
        <v>497</v>
      </c>
      <c r="AA1148" s="19" t="s">
        <v>367</v>
      </c>
      <c r="AB1148" s="13" t="s">
        <v>357</v>
      </c>
      <c r="AC1148" s="13" t="s">
        <v>367</v>
      </c>
      <c r="AD1148" s="20"/>
      <c r="AE1148" s="20"/>
      <c r="AF1148" s="13" t="s">
        <v>40</v>
      </c>
      <c r="AG1148" s="15">
        <v>45444</v>
      </c>
      <c r="AH1148" s="13" t="s">
        <v>41</v>
      </c>
      <c r="AI1148" s="13" t="s">
        <v>47</v>
      </c>
      <c r="AJ1148" s="13" t="s">
        <v>403</v>
      </c>
      <c r="AK1148" s="14">
        <v>-3</v>
      </c>
      <c r="AL1148" s="17"/>
      <c r="AM1148" s="17"/>
      <c r="AN1148" s="17"/>
      <c r="AO1148" s="17"/>
      <c r="AP1148" s="17"/>
      <c r="AQ1148" s="17"/>
      <c r="AR1148" s="17"/>
      <c r="AS1148" s="17"/>
      <c r="AT1148" s="17"/>
      <c r="AU1148" s="17"/>
      <c r="AV1148" s="17"/>
    </row>
    <row r="1149" spans="1:48" ht="15.75" customHeight="1">
      <c r="A1149" s="21" t="s">
        <v>43</v>
      </c>
      <c r="B1149" s="23" t="s">
        <v>1692</v>
      </c>
      <c r="C1149" s="22">
        <v>45836</v>
      </c>
      <c r="D1149" s="23" t="s">
        <v>108</v>
      </c>
      <c r="E1149" s="23" t="s">
        <v>45</v>
      </c>
      <c r="F1149" s="14">
        <v>1</v>
      </c>
      <c r="G1149" s="12">
        <v>8199.8861047835999</v>
      </c>
      <c r="H1149" s="12">
        <v>8199.8861047835999</v>
      </c>
      <c r="I1149" s="23" t="s">
        <v>52</v>
      </c>
      <c r="J1149" s="23" t="s">
        <v>61</v>
      </c>
      <c r="K1149" s="24" t="s">
        <v>177</v>
      </c>
      <c r="L1149" s="24">
        <v>154</v>
      </c>
      <c r="M1149" s="12">
        <v>6890.6605922551262</v>
      </c>
      <c r="N1149" s="12">
        <v>6890.6605922551262</v>
      </c>
      <c r="O1149" s="12">
        <v>1309.2255125284737</v>
      </c>
      <c r="P1149" s="13"/>
      <c r="Q1149" s="14">
        <v>2025</v>
      </c>
      <c r="R1149" s="15">
        <v>45444</v>
      </c>
      <c r="S1149" s="11" t="s">
        <v>355</v>
      </c>
      <c r="T1149" s="16">
        <v>0</v>
      </c>
      <c r="U1149" s="17"/>
      <c r="V1149" s="12">
        <v>1445.6605922551253</v>
      </c>
      <c r="W1149" s="12">
        <v>1445.6605922551253</v>
      </c>
      <c r="X1149" s="12">
        <v>0</v>
      </c>
      <c r="Y1149" s="18">
        <v>45831</v>
      </c>
      <c r="Z1149" s="13" t="s">
        <v>501</v>
      </c>
      <c r="AA1149" s="19" t="s">
        <v>361</v>
      </c>
      <c r="AB1149" s="13" t="s">
        <v>357</v>
      </c>
      <c r="AC1149" s="13" t="s">
        <v>362</v>
      </c>
      <c r="AD1149" s="20"/>
      <c r="AE1149" s="20"/>
      <c r="AF1149" s="13" t="s">
        <v>40</v>
      </c>
      <c r="AG1149" s="15">
        <v>45444</v>
      </c>
      <c r="AH1149" s="13" t="s">
        <v>41</v>
      </c>
      <c r="AI1149" s="13" t="s">
        <v>43</v>
      </c>
      <c r="AJ1149" s="13" t="s">
        <v>359</v>
      </c>
      <c r="AK1149" s="14">
        <v>-1</v>
      </c>
      <c r="AL1149" s="17"/>
      <c r="AM1149" s="17"/>
      <c r="AN1149" s="17"/>
      <c r="AO1149" s="17"/>
      <c r="AP1149" s="17"/>
      <c r="AQ1149" s="17"/>
      <c r="AR1149" s="17"/>
      <c r="AS1149" s="17"/>
      <c r="AT1149" s="17"/>
      <c r="AU1149" s="17"/>
      <c r="AV1149" s="17"/>
    </row>
    <row r="1150" spans="1:48" ht="15.75" customHeight="1">
      <c r="A1150" s="21" t="s">
        <v>76</v>
      </c>
      <c r="B1150" s="23" t="s">
        <v>1692</v>
      </c>
      <c r="C1150" s="22">
        <v>45836</v>
      </c>
      <c r="D1150" s="23" t="s">
        <v>108</v>
      </c>
      <c r="E1150" s="23" t="s">
        <v>81</v>
      </c>
      <c r="F1150" s="14">
        <v>1</v>
      </c>
      <c r="G1150" s="12">
        <v>3500.0000000000005</v>
      </c>
      <c r="H1150" s="12">
        <v>3500.0000000000005</v>
      </c>
      <c r="I1150" s="23" t="s">
        <v>52</v>
      </c>
      <c r="J1150" s="23" t="s">
        <v>61</v>
      </c>
      <c r="K1150" s="24" t="s">
        <v>177</v>
      </c>
      <c r="L1150" s="24">
        <v>154</v>
      </c>
      <c r="M1150" s="12">
        <v>2941.1764705882356</v>
      </c>
      <c r="N1150" s="12">
        <v>2941.1764705882356</v>
      </c>
      <c r="O1150" s="12">
        <v>558.82352941176487</v>
      </c>
      <c r="P1150" s="13"/>
      <c r="Q1150" s="14">
        <v>2025</v>
      </c>
      <c r="R1150" s="15">
        <v>45444</v>
      </c>
      <c r="S1150" s="11" t="s">
        <v>397</v>
      </c>
      <c r="T1150" s="16">
        <v>5</v>
      </c>
      <c r="U1150" s="17"/>
      <c r="V1150" s="12">
        <v>764.70588235294144</v>
      </c>
      <c r="W1150" s="12">
        <v>764.70588235294144</v>
      </c>
      <c r="X1150" s="12">
        <v>0</v>
      </c>
      <c r="Y1150" s="18">
        <v>45831</v>
      </c>
      <c r="Z1150" s="13" t="s">
        <v>501</v>
      </c>
      <c r="AA1150" s="19" t="s">
        <v>361</v>
      </c>
      <c r="AB1150" s="13" t="s">
        <v>357</v>
      </c>
      <c r="AC1150" s="13" t="s">
        <v>362</v>
      </c>
      <c r="AD1150" s="20"/>
      <c r="AE1150" s="20"/>
      <c r="AF1150" s="13" t="s">
        <v>40</v>
      </c>
      <c r="AG1150" s="15">
        <v>45444</v>
      </c>
      <c r="AH1150" s="13" t="s">
        <v>41</v>
      </c>
      <c r="AI1150" s="13" t="s">
        <v>76</v>
      </c>
      <c r="AJ1150" s="13" t="s">
        <v>398</v>
      </c>
      <c r="AK1150" s="14">
        <v>-1</v>
      </c>
      <c r="AL1150" s="17"/>
      <c r="AM1150" s="17"/>
      <c r="AN1150" s="17"/>
      <c r="AO1150" s="17"/>
      <c r="AP1150" s="17"/>
      <c r="AQ1150" s="17"/>
      <c r="AR1150" s="17"/>
      <c r="AS1150" s="17"/>
      <c r="AT1150" s="17"/>
      <c r="AU1150" s="17"/>
      <c r="AV1150" s="17"/>
    </row>
    <row r="1151" spans="1:48" ht="15.75" customHeight="1">
      <c r="A1151" s="21" t="s">
        <v>76</v>
      </c>
      <c r="B1151" s="23" t="s">
        <v>1692</v>
      </c>
      <c r="C1151" s="22">
        <v>45836</v>
      </c>
      <c r="D1151" s="23" t="s">
        <v>108</v>
      </c>
      <c r="E1151" s="23" t="s">
        <v>110</v>
      </c>
      <c r="F1151" s="14">
        <v>1</v>
      </c>
      <c r="G1151" s="12">
        <v>2000.0000000000005</v>
      </c>
      <c r="H1151" s="12">
        <v>2000.0000000000005</v>
      </c>
      <c r="I1151" s="23" t="s">
        <v>52</v>
      </c>
      <c r="J1151" s="23" t="s">
        <v>61</v>
      </c>
      <c r="K1151" s="24" t="s">
        <v>177</v>
      </c>
      <c r="L1151" s="24">
        <v>154</v>
      </c>
      <c r="M1151" s="12">
        <v>1680.6722689075634</v>
      </c>
      <c r="N1151" s="12">
        <v>1680.6722689075634</v>
      </c>
      <c r="O1151" s="12">
        <v>319.32773109243703</v>
      </c>
      <c r="P1151" s="13"/>
      <c r="Q1151" s="14">
        <v>2025</v>
      </c>
      <c r="R1151" s="15">
        <v>45444</v>
      </c>
      <c r="S1151" s="11" t="s">
        <v>378</v>
      </c>
      <c r="T1151" s="16">
        <v>5</v>
      </c>
      <c r="U1151" s="17"/>
      <c r="V1151" s="12">
        <v>756.30252100840369</v>
      </c>
      <c r="W1151" s="12">
        <v>756.30252100840369</v>
      </c>
      <c r="X1151" s="12">
        <v>0</v>
      </c>
      <c r="Y1151" s="18">
        <v>45831</v>
      </c>
      <c r="Z1151" s="13" t="s">
        <v>501</v>
      </c>
      <c r="AA1151" s="19" t="s">
        <v>361</v>
      </c>
      <c r="AB1151" s="13" t="s">
        <v>357</v>
      </c>
      <c r="AC1151" s="13" t="s">
        <v>362</v>
      </c>
      <c r="AD1151" s="20"/>
      <c r="AE1151" s="20"/>
      <c r="AF1151" s="13" t="s">
        <v>40</v>
      </c>
      <c r="AG1151" s="15">
        <v>45444</v>
      </c>
      <c r="AH1151" s="13" t="s">
        <v>41</v>
      </c>
      <c r="AI1151" s="13" t="s">
        <v>76</v>
      </c>
      <c r="AJ1151" s="13" t="s">
        <v>379</v>
      </c>
      <c r="AK1151" s="14">
        <v>-1</v>
      </c>
      <c r="AL1151" s="17"/>
      <c r="AM1151" s="17"/>
      <c r="AN1151" s="17"/>
      <c r="AO1151" s="17"/>
      <c r="AP1151" s="17"/>
      <c r="AQ1151" s="17"/>
      <c r="AR1151" s="17"/>
      <c r="AS1151" s="17"/>
      <c r="AT1151" s="17"/>
      <c r="AU1151" s="17"/>
      <c r="AV1151" s="17"/>
    </row>
    <row r="1152" spans="1:48" ht="15.75" customHeight="1">
      <c r="A1152" s="21" t="s">
        <v>35</v>
      </c>
      <c r="B1152" s="23" t="s">
        <v>1692</v>
      </c>
      <c r="C1152" s="22">
        <v>45836</v>
      </c>
      <c r="D1152" s="23" t="s">
        <v>108</v>
      </c>
      <c r="E1152" s="23" t="s">
        <v>46</v>
      </c>
      <c r="F1152" s="14">
        <v>1</v>
      </c>
      <c r="G1152" s="12">
        <v>6000.1548227279782</v>
      </c>
      <c r="H1152" s="12">
        <v>6000.1548227279782</v>
      </c>
      <c r="I1152" s="23" t="s">
        <v>52</v>
      </c>
      <c r="J1152" s="23" t="s">
        <v>61</v>
      </c>
      <c r="K1152" s="24" t="s">
        <v>177</v>
      </c>
      <c r="L1152" s="24">
        <v>154</v>
      </c>
      <c r="M1152" s="12">
        <v>5042.1469098554444</v>
      </c>
      <c r="N1152" s="12">
        <v>5042.1469098554444</v>
      </c>
      <c r="O1152" s="12">
        <v>958.00791287253378</v>
      </c>
      <c r="P1152" s="13"/>
      <c r="Q1152" s="14">
        <v>2025</v>
      </c>
      <c r="R1152" s="15">
        <v>45444</v>
      </c>
      <c r="S1152" s="11" t="s">
        <v>364</v>
      </c>
      <c r="T1152" s="16">
        <v>500</v>
      </c>
      <c r="U1152" s="17"/>
      <c r="V1152" s="12">
        <v>1785.4242207798129</v>
      </c>
      <c r="W1152" s="12">
        <v>1785.4242207798129</v>
      </c>
      <c r="X1152" s="12">
        <v>0</v>
      </c>
      <c r="Y1152" s="18">
        <v>45831</v>
      </c>
      <c r="Z1152" s="13" t="s">
        <v>501</v>
      </c>
      <c r="AA1152" s="19" t="s">
        <v>361</v>
      </c>
      <c r="AB1152" s="13" t="s">
        <v>357</v>
      </c>
      <c r="AC1152" s="13" t="s">
        <v>362</v>
      </c>
      <c r="AD1152" s="20"/>
      <c r="AE1152" s="20"/>
      <c r="AF1152" s="13" t="s">
        <v>40</v>
      </c>
      <c r="AG1152" s="15">
        <v>45444</v>
      </c>
      <c r="AH1152" s="13" t="s">
        <v>41</v>
      </c>
      <c r="AI1152" s="13" t="s">
        <v>35</v>
      </c>
      <c r="AJ1152" s="13" t="s">
        <v>365</v>
      </c>
      <c r="AK1152" s="14">
        <v>-0.5</v>
      </c>
      <c r="AL1152" s="17"/>
      <c r="AM1152" s="17"/>
      <c r="AN1152" s="17"/>
      <c r="AO1152" s="17"/>
      <c r="AP1152" s="17"/>
      <c r="AQ1152" s="17"/>
      <c r="AR1152" s="17"/>
      <c r="AS1152" s="17"/>
      <c r="AT1152" s="17"/>
      <c r="AU1152" s="17"/>
      <c r="AV1152" s="17"/>
    </row>
    <row r="1153" spans="1:48" ht="15.75" customHeight="1">
      <c r="A1153" s="21" t="s">
        <v>53</v>
      </c>
      <c r="B1153" s="23" t="s">
        <v>1692</v>
      </c>
      <c r="C1153" s="22">
        <v>45836</v>
      </c>
      <c r="D1153" s="23" t="s">
        <v>108</v>
      </c>
      <c r="E1153" s="23" t="s">
        <v>150</v>
      </c>
      <c r="F1153" s="21">
        <v>2</v>
      </c>
      <c r="G1153" s="12">
        <v>1799.8965445892823</v>
      </c>
      <c r="H1153" s="12">
        <v>3599.7930891785645</v>
      </c>
      <c r="I1153" s="23" t="s">
        <v>52</v>
      </c>
      <c r="J1153" s="23" t="s">
        <v>61</v>
      </c>
      <c r="K1153" s="24" t="s">
        <v>177</v>
      </c>
      <c r="L1153" s="24">
        <v>154</v>
      </c>
      <c r="M1153" s="12">
        <v>1512.518104696876</v>
      </c>
      <c r="N1153" s="12">
        <v>3025.036209393752</v>
      </c>
      <c r="O1153" s="12">
        <v>574.75687978481255</v>
      </c>
      <c r="P1153" s="13"/>
      <c r="Q1153" s="14">
        <v>2025</v>
      </c>
      <c r="R1153" s="15">
        <v>45444</v>
      </c>
      <c r="S1153" s="11" t="s">
        <v>381</v>
      </c>
      <c r="T1153" s="16">
        <v>600</v>
      </c>
      <c r="U1153" s="17"/>
      <c r="V1153" s="12">
        <v>1563.0362093937515</v>
      </c>
      <c r="W1153" s="12">
        <v>1563.0362093937515</v>
      </c>
      <c r="X1153" s="12">
        <v>0</v>
      </c>
      <c r="Y1153" s="18">
        <v>45831</v>
      </c>
      <c r="Z1153" s="13" t="s">
        <v>501</v>
      </c>
      <c r="AA1153" s="19" t="s">
        <v>361</v>
      </c>
      <c r="AB1153" s="13" t="s">
        <v>357</v>
      </c>
      <c r="AC1153" s="13" t="s">
        <v>362</v>
      </c>
      <c r="AD1153" s="20"/>
      <c r="AE1153" s="20"/>
      <c r="AF1153" s="13" t="s">
        <v>40</v>
      </c>
      <c r="AG1153" s="15">
        <v>45444</v>
      </c>
      <c r="AH1153" s="13" t="s">
        <v>41</v>
      </c>
      <c r="AI1153" s="13" t="s">
        <v>53</v>
      </c>
      <c r="AJ1153" s="13" t="s">
        <v>382</v>
      </c>
      <c r="AK1153" s="14">
        <v>-2</v>
      </c>
      <c r="AL1153" s="17"/>
      <c r="AM1153" s="17"/>
      <c r="AN1153" s="17"/>
      <c r="AO1153" s="17"/>
      <c r="AP1153" s="17"/>
      <c r="AQ1153" s="17"/>
      <c r="AR1153" s="17"/>
      <c r="AS1153" s="17"/>
      <c r="AT1153" s="17"/>
      <c r="AU1153" s="17"/>
      <c r="AV1153" s="17"/>
    </row>
    <row r="1154" spans="1:48" ht="15.75" customHeight="1">
      <c r="A1154" s="21" t="s">
        <v>47</v>
      </c>
      <c r="B1154" s="23" t="s">
        <v>1692</v>
      </c>
      <c r="C1154" s="22">
        <v>45836</v>
      </c>
      <c r="D1154" s="23" t="s">
        <v>108</v>
      </c>
      <c r="E1154" s="23" t="s">
        <v>48</v>
      </c>
      <c r="F1154" s="21">
        <v>1</v>
      </c>
      <c r="G1154" s="12">
        <v>1000</v>
      </c>
      <c r="H1154" s="12">
        <v>1000</v>
      </c>
      <c r="I1154" s="23" t="s">
        <v>52</v>
      </c>
      <c r="J1154" s="23" t="s">
        <v>61</v>
      </c>
      <c r="K1154" s="24" t="s">
        <v>177</v>
      </c>
      <c r="L1154" s="24">
        <v>154</v>
      </c>
      <c r="M1154" s="12">
        <v>840.3361344537816</v>
      </c>
      <c r="N1154" s="12">
        <v>840.3361344537816</v>
      </c>
      <c r="O1154" s="12">
        <v>159.6638655462184</v>
      </c>
      <c r="P1154" s="13"/>
      <c r="Q1154" s="14">
        <v>2025</v>
      </c>
      <c r="R1154" s="15">
        <v>45444</v>
      </c>
      <c r="S1154" s="11" t="s">
        <v>416</v>
      </c>
      <c r="T1154" s="16">
        <v>0</v>
      </c>
      <c r="U1154" s="17"/>
      <c r="V1154" s="12">
        <v>330.33613445378148</v>
      </c>
      <c r="W1154" s="12">
        <v>330.33613445378148</v>
      </c>
      <c r="X1154" s="12">
        <v>0</v>
      </c>
      <c r="Y1154" s="18">
        <v>45831</v>
      </c>
      <c r="Z1154" s="13" t="s">
        <v>501</v>
      </c>
      <c r="AA1154" s="19" t="s">
        <v>361</v>
      </c>
      <c r="AB1154" s="13" t="s">
        <v>357</v>
      </c>
      <c r="AC1154" s="13" t="s">
        <v>362</v>
      </c>
      <c r="AD1154" s="20"/>
      <c r="AE1154" s="20"/>
      <c r="AF1154" s="13" t="s">
        <v>40</v>
      </c>
      <c r="AG1154" s="15">
        <v>45444</v>
      </c>
      <c r="AH1154" s="13" t="s">
        <v>41</v>
      </c>
      <c r="AI1154" s="13" t="s">
        <v>47</v>
      </c>
      <c r="AJ1154" s="13" t="s">
        <v>417</v>
      </c>
      <c r="AK1154" s="14">
        <v>-5</v>
      </c>
      <c r="AL1154" s="17"/>
      <c r="AM1154" s="17"/>
      <c r="AN1154" s="17"/>
      <c r="AO1154" s="17"/>
      <c r="AP1154" s="17"/>
      <c r="AQ1154" s="17"/>
      <c r="AR1154" s="17"/>
      <c r="AS1154" s="17"/>
      <c r="AT1154" s="17"/>
      <c r="AU1154" s="17"/>
      <c r="AV1154" s="17"/>
    </row>
    <row r="1155" spans="1:48" ht="15.75" customHeight="1">
      <c r="A1155" s="21" t="s">
        <v>47</v>
      </c>
      <c r="B1155" s="23" t="s">
        <v>1692</v>
      </c>
      <c r="C1155" s="22">
        <v>45836</v>
      </c>
      <c r="D1155" s="23" t="s">
        <v>108</v>
      </c>
      <c r="E1155" s="23" t="s">
        <v>205</v>
      </c>
      <c r="F1155" s="21">
        <v>1</v>
      </c>
      <c r="G1155" s="12">
        <v>1100.0468055230517</v>
      </c>
      <c r="H1155" s="12">
        <v>1100.0468055230517</v>
      </c>
      <c r="I1155" s="23" t="s">
        <v>52</v>
      </c>
      <c r="J1155" s="23" t="s">
        <v>61</v>
      </c>
      <c r="K1155" s="24" t="s">
        <v>177</v>
      </c>
      <c r="L1155" s="24">
        <v>154</v>
      </c>
      <c r="M1155" s="12">
        <v>924.40908027147202</v>
      </c>
      <c r="N1155" s="12">
        <v>924.40908027147202</v>
      </c>
      <c r="O1155" s="12">
        <v>175.6377252515797</v>
      </c>
      <c r="P1155" s="13"/>
      <c r="Q1155" s="14">
        <v>2025</v>
      </c>
      <c r="R1155" s="15">
        <v>45444</v>
      </c>
      <c r="S1155" s="11" t="s">
        <v>205</v>
      </c>
      <c r="T1155" s="16">
        <v>0</v>
      </c>
      <c r="U1155" s="17"/>
      <c r="V1155" s="12">
        <v>529.40908027147202</v>
      </c>
      <c r="W1155" s="12">
        <v>529.40908027147202</v>
      </c>
      <c r="X1155" s="12">
        <v>0</v>
      </c>
      <c r="Y1155" s="18">
        <v>45831</v>
      </c>
      <c r="Z1155" s="13" t="s">
        <v>501</v>
      </c>
      <c r="AA1155" s="19" t="s">
        <v>361</v>
      </c>
      <c r="AB1155" s="13" t="s">
        <v>357</v>
      </c>
      <c r="AC1155" s="13" t="s">
        <v>362</v>
      </c>
      <c r="AD1155" s="20"/>
      <c r="AE1155" s="20"/>
      <c r="AF1155" s="13" t="s">
        <v>40</v>
      </c>
      <c r="AG1155" s="15">
        <v>45444</v>
      </c>
      <c r="AH1155" s="13" t="s">
        <v>41</v>
      </c>
      <c r="AI1155" s="13" t="s">
        <v>47</v>
      </c>
      <c r="AJ1155" s="13" t="s">
        <v>542</v>
      </c>
      <c r="AK1155" s="14">
        <v>-1</v>
      </c>
      <c r="AL1155" s="17"/>
      <c r="AM1155" s="17"/>
      <c r="AN1155" s="17"/>
      <c r="AO1155" s="17"/>
      <c r="AP1155" s="17"/>
      <c r="AQ1155" s="17"/>
      <c r="AR1155" s="17"/>
      <c r="AS1155" s="17"/>
      <c r="AT1155" s="17"/>
      <c r="AU1155" s="17"/>
      <c r="AV1155" s="17"/>
    </row>
    <row r="1156" spans="1:48" ht="15.75" customHeight="1">
      <c r="A1156" s="21" t="s">
        <v>35</v>
      </c>
      <c r="B1156" s="23" t="s">
        <v>1692</v>
      </c>
      <c r="C1156" s="25">
        <v>45835</v>
      </c>
      <c r="D1156" s="23" t="s">
        <v>292</v>
      </c>
      <c r="E1156" s="23" t="s">
        <v>117</v>
      </c>
      <c r="F1156" s="14">
        <v>1</v>
      </c>
      <c r="G1156" s="12">
        <v>8999.5678478824557</v>
      </c>
      <c r="H1156" s="12">
        <v>8999.5678478824557</v>
      </c>
      <c r="I1156" s="13" t="s">
        <v>52</v>
      </c>
      <c r="J1156" s="23" t="s">
        <v>61</v>
      </c>
      <c r="K1156" s="24" t="s">
        <v>177</v>
      </c>
      <c r="L1156" s="24">
        <v>154</v>
      </c>
      <c r="M1156" s="12">
        <v>7562.6620570440809</v>
      </c>
      <c r="N1156" s="12">
        <v>7562.6620570440809</v>
      </c>
      <c r="O1156" s="12">
        <v>1436.9057908383747</v>
      </c>
      <c r="P1156" s="13"/>
      <c r="Q1156" s="14">
        <v>2025</v>
      </c>
      <c r="R1156" s="15">
        <v>45444</v>
      </c>
      <c r="S1156" s="11" t="s">
        <v>364</v>
      </c>
      <c r="T1156" s="16">
        <v>750</v>
      </c>
      <c r="U1156" s="17"/>
      <c r="V1156" s="12">
        <v>2312.66205704408</v>
      </c>
      <c r="W1156" s="12">
        <v>2312.66205704408</v>
      </c>
      <c r="X1156" s="12">
        <v>0</v>
      </c>
      <c r="Y1156" s="18">
        <v>45831</v>
      </c>
      <c r="Z1156" s="13" t="s">
        <v>503</v>
      </c>
      <c r="AA1156" s="19" t="s">
        <v>356</v>
      </c>
      <c r="AB1156" s="13" t="s">
        <v>357</v>
      </c>
      <c r="AC1156" s="13" t="s">
        <v>383</v>
      </c>
      <c r="AD1156" s="20"/>
      <c r="AE1156" s="20"/>
      <c r="AF1156" s="13" t="s">
        <v>40</v>
      </c>
      <c r="AG1156" s="15">
        <v>45444</v>
      </c>
      <c r="AH1156" s="13" t="s">
        <v>41</v>
      </c>
      <c r="AI1156" s="13" t="s">
        <v>35</v>
      </c>
      <c r="AJ1156" s="13" t="s">
        <v>390</v>
      </c>
      <c r="AK1156" s="21">
        <v>-0.75</v>
      </c>
      <c r="AL1156" s="17"/>
      <c r="AM1156" s="17"/>
      <c r="AN1156" s="17"/>
      <c r="AO1156" s="17"/>
      <c r="AP1156" s="17"/>
      <c r="AQ1156" s="17"/>
      <c r="AR1156" s="17"/>
      <c r="AS1156" s="17"/>
      <c r="AT1156" s="17"/>
      <c r="AU1156" s="17"/>
      <c r="AV1156" s="17"/>
    </row>
    <row r="1157" spans="1:48" ht="15.75" customHeight="1">
      <c r="A1157" s="21" t="s">
        <v>64</v>
      </c>
      <c r="B1157" s="23" t="s">
        <v>1692</v>
      </c>
      <c r="C1157" s="25">
        <v>45835</v>
      </c>
      <c r="D1157" s="23" t="s">
        <v>915</v>
      </c>
      <c r="E1157" s="23" t="s">
        <v>65</v>
      </c>
      <c r="F1157" s="14">
        <v>1</v>
      </c>
      <c r="G1157" s="12">
        <v>8199.8794599807134</v>
      </c>
      <c r="H1157" s="12">
        <v>8199.8794599807134</v>
      </c>
      <c r="I1157" s="13" t="s">
        <v>52</v>
      </c>
      <c r="J1157" s="23" t="s">
        <v>61</v>
      </c>
      <c r="K1157" s="24" t="s">
        <v>177</v>
      </c>
      <c r="L1157" s="24">
        <v>154</v>
      </c>
      <c r="M1157" s="12">
        <v>6890.6550083871543</v>
      </c>
      <c r="N1157" s="12">
        <v>6890.6550083871543</v>
      </c>
      <c r="O1157" s="12">
        <v>1309.224451593559</v>
      </c>
      <c r="P1157" s="13"/>
      <c r="Q1157" s="14">
        <v>2025</v>
      </c>
      <c r="R1157" s="15">
        <v>45444</v>
      </c>
      <c r="S1157" s="11" t="s">
        <v>64</v>
      </c>
      <c r="T1157" s="16">
        <v>1</v>
      </c>
      <c r="U1157" s="17"/>
      <c r="V1157" s="12">
        <v>1174.1676134291711</v>
      </c>
      <c r="W1157" s="12">
        <v>1174.1676134291711</v>
      </c>
      <c r="X1157" s="12">
        <v>0</v>
      </c>
      <c r="Y1157" s="18">
        <v>45831</v>
      </c>
      <c r="Z1157" s="13" t="s">
        <v>503</v>
      </c>
      <c r="AA1157" s="19" t="s">
        <v>367</v>
      </c>
      <c r="AB1157" s="13" t="s">
        <v>357</v>
      </c>
      <c r="AC1157" s="13" t="s">
        <v>367</v>
      </c>
      <c r="AD1157" s="20"/>
      <c r="AE1157" s="20"/>
      <c r="AF1157" s="13" t="s">
        <v>40</v>
      </c>
      <c r="AG1157" s="15">
        <v>45444</v>
      </c>
      <c r="AH1157" s="13" t="s">
        <v>41</v>
      </c>
      <c r="AI1157" s="13" t="s">
        <v>64</v>
      </c>
      <c r="AJ1157" s="13" t="s">
        <v>543</v>
      </c>
      <c r="AK1157" s="14">
        <v>-1</v>
      </c>
      <c r="AL1157" s="17"/>
      <c r="AM1157" s="17"/>
      <c r="AN1157" s="17"/>
      <c r="AO1157" s="17"/>
      <c r="AP1157" s="17"/>
      <c r="AQ1157" s="17"/>
      <c r="AR1157" s="17"/>
      <c r="AS1157" s="17"/>
      <c r="AT1157" s="17"/>
      <c r="AU1157" s="17"/>
      <c r="AV1157" s="17"/>
    </row>
    <row r="1158" spans="1:48" ht="15.75" customHeight="1">
      <c r="A1158" s="21" t="s">
        <v>43</v>
      </c>
      <c r="B1158" s="23" t="s">
        <v>1692</v>
      </c>
      <c r="C1158" s="22">
        <v>45835</v>
      </c>
      <c r="D1158" s="23" t="s">
        <v>189</v>
      </c>
      <c r="E1158" s="23" t="s">
        <v>45</v>
      </c>
      <c r="F1158" s="21">
        <v>1</v>
      </c>
      <c r="G1158" s="12">
        <v>8199.8861047835999</v>
      </c>
      <c r="H1158" s="12">
        <v>8199.8861047835999</v>
      </c>
      <c r="I1158" s="23" t="s">
        <v>52</v>
      </c>
      <c r="J1158" s="23" t="s">
        <v>61</v>
      </c>
      <c r="K1158" s="24" t="s">
        <v>177</v>
      </c>
      <c r="L1158" s="24">
        <v>154</v>
      </c>
      <c r="M1158" s="12">
        <v>6890.6605922551262</v>
      </c>
      <c r="N1158" s="12">
        <v>6890.6605922551262</v>
      </c>
      <c r="O1158" s="12">
        <v>1309.2255125284737</v>
      </c>
      <c r="P1158" s="13"/>
      <c r="Q1158" s="14">
        <v>2025</v>
      </c>
      <c r="R1158" s="15">
        <v>45444</v>
      </c>
      <c r="S1158" s="11" t="s">
        <v>355</v>
      </c>
      <c r="T1158" s="16">
        <v>0</v>
      </c>
      <c r="U1158" s="17"/>
      <c r="V1158" s="12">
        <v>1445.6605922551253</v>
      </c>
      <c r="W1158" s="12">
        <v>1445.6605922551253</v>
      </c>
      <c r="X1158" s="12">
        <v>0</v>
      </c>
      <c r="Y1158" s="18">
        <v>45831</v>
      </c>
      <c r="Z1158" s="13" t="s">
        <v>503</v>
      </c>
      <c r="AA1158" s="19" t="s">
        <v>361</v>
      </c>
      <c r="AB1158" s="13" t="s">
        <v>357</v>
      </c>
      <c r="AC1158" s="13" t="s">
        <v>362</v>
      </c>
      <c r="AD1158" s="20"/>
      <c r="AE1158" s="20"/>
      <c r="AF1158" s="13" t="s">
        <v>40</v>
      </c>
      <c r="AG1158" s="15">
        <v>45444</v>
      </c>
      <c r="AH1158" s="13" t="s">
        <v>41</v>
      </c>
      <c r="AI1158" s="13" t="s">
        <v>43</v>
      </c>
      <c r="AJ1158" s="13" t="s">
        <v>359</v>
      </c>
      <c r="AK1158" s="14">
        <v>-1</v>
      </c>
      <c r="AL1158" s="17"/>
      <c r="AM1158" s="17"/>
      <c r="AN1158" s="17"/>
      <c r="AO1158" s="17"/>
      <c r="AP1158" s="17"/>
      <c r="AQ1158" s="17"/>
      <c r="AR1158" s="17"/>
      <c r="AS1158" s="17"/>
      <c r="AT1158" s="17"/>
      <c r="AU1158" s="17"/>
      <c r="AV1158" s="17"/>
    </row>
    <row r="1159" spans="1:48" ht="15.75" customHeight="1">
      <c r="A1159" s="21" t="s">
        <v>56</v>
      </c>
      <c r="B1159" s="23" t="s">
        <v>1692</v>
      </c>
      <c r="C1159" s="22">
        <v>45835</v>
      </c>
      <c r="D1159" s="23" t="s">
        <v>189</v>
      </c>
      <c r="E1159" s="23" t="s">
        <v>190</v>
      </c>
      <c r="F1159" s="21">
        <v>2</v>
      </c>
      <c r="G1159" s="12">
        <v>2499.8855507868384</v>
      </c>
      <c r="H1159" s="12">
        <v>4999.7711015736768</v>
      </c>
      <c r="I1159" s="23" t="s">
        <v>52</v>
      </c>
      <c r="J1159" s="23" t="s">
        <v>61</v>
      </c>
      <c r="K1159" s="24" t="s">
        <v>177</v>
      </c>
      <c r="L1159" s="24">
        <v>154</v>
      </c>
      <c r="M1159" s="12">
        <v>2100.7441603250745</v>
      </c>
      <c r="N1159" s="12">
        <v>4201.488320650149</v>
      </c>
      <c r="O1159" s="12">
        <v>798.28278092352775</v>
      </c>
      <c r="P1159" s="13"/>
      <c r="Q1159" s="14">
        <v>2025</v>
      </c>
      <c r="R1159" s="15">
        <v>45444</v>
      </c>
      <c r="S1159" s="11" t="s">
        <v>492</v>
      </c>
      <c r="T1159" s="16">
        <v>400</v>
      </c>
      <c r="U1159" s="17"/>
      <c r="V1159" s="12">
        <v>1264.6479845156941</v>
      </c>
      <c r="W1159" s="12">
        <v>1264.6479845156941</v>
      </c>
      <c r="X1159" s="12">
        <v>0</v>
      </c>
      <c r="Y1159" s="18">
        <v>45831</v>
      </c>
      <c r="Z1159" s="13" t="s">
        <v>503</v>
      </c>
      <c r="AA1159" s="19" t="s">
        <v>361</v>
      </c>
      <c r="AB1159" s="13" t="s">
        <v>357</v>
      </c>
      <c r="AC1159" s="13" t="s">
        <v>362</v>
      </c>
      <c r="AD1159" s="20"/>
      <c r="AE1159" s="20"/>
      <c r="AF1159" s="13" t="s">
        <v>40</v>
      </c>
      <c r="AG1159" s="15">
        <v>45444</v>
      </c>
      <c r="AH1159" s="13" t="s">
        <v>41</v>
      </c>
      <c r="AI1159" s="13" t="s">
        <v>56</v>
      </c>
      <c r="AJ1159" s="13" t="s">
        <v>493</v>
      </c>
      <c r="AK1159" s="14">
        <v>-2</v>
      </c>
      <c r="AL1159" s="17"/>
      <c r="AM1159" s="17"/>
      <c r="AN1159" s="17"/>
      <c r="AO1159" s="17"/>
      <c r="AP1159" s="17"/>
      <c r="AQ1159" s="17"/>
      <c r="AR1159" s="17"/>
      <c r="AS1159" s="17"/>
      <c r="AT1159" s="17"/>
      <c r="AU1159" s="17"/>
      <c r="AV1159" s="17"/>
    </row>
    <row r="1160" spans="1:48" ht="15.75" customHeight="1">
      <c r="A1160" s="21" t="s">
        <v>35</v>
      </c>
      <c r="B1160" s="23" t="s">
        <v>1692</v>
      </c>
      <c r="C1160" s="22">
        <v>45835</v>
      </c>
      <c r="D1160" s="23" t="s">
        <v>189</v>
      </c>
      <c r="E1160" s="23" t="s">
        <v>46</v>
      </c>
      <c r="F1160" s="21">
        <v>1</v>
      </c>
      <c r="G1160" s="12">
        <v>6000.1548227279782</v>
      </c>
      <c r="H1160" s="12">
        <v>6000.1548227279782</v>
      </c>
      <c r="I1160" s="23" t="s">
        <v>52</v>
      </c>
      <c r="J1160" s="23" t="s">
        <v>61</v>
      </c>
      <c r="K1160" s="24" t="s">
        <v>177</v>
      </c>
      <c r="L1160" s="24">
        <v>154</v>
      </c>
      <c r="M1160" s="12">
        <v>5042.1469098554444</v>
      </c>
      <c r="N1160" s="12">
        <v>5042.1469098554444</v>
      </c>
      <c r="O1160" s="12">
        <v>958.00791287253378</v>
      </c>
      <c r="P1160" s="13"/>
      <c r="Q1160" s="14">
        <v>2025</v>
      </c>
      <c r="R1160" s="15">
        <v>45444</v>
      </c>
      <c r="S1160" s="11" t="s">
        <v>364</v>
      </c>
      <c r="T1160" s="16">
        <v>500</v>
      </c>
      <c r="U1160" s="17"/>
      <c r="V1160" s="12">
        <v>1785.4242207798129</v>
      </c>
      <c r="W1160" s="12">
        <v>1785.4242207798129</v>
      </c>
      <c r="X1160" s="12">
        <v>0</v>
      </c>
      <c r="Y1160" s="18">
        <v>45831</v>
      </c>
      <c r="Z1160" s="13" t="s">
        <v>503</v>
      </c>
      <c r="AA1160" s="19" t="s">
        <v>361</v>
      </c>
      <c r="AB1160" s="13" t="s">
        <v>357</v>
      </c>
      <c r="AC1160" s="13" t="s">
        <v>362</v>
      </c>
      <c r="AD1160" s="20"/>
      <c r="AE1160" s="20"/>
      <c r="AF1160" s="13" t="s">
        <v>40</v>
      </c>
      <c r="AG1160" s="15">
        <v>45444</v>
      </c>
      <c r="AH1160" s="13" t="s">
        <v>41</v>
      </c>
      <c r="AI1160" s="13" t="s">
        <v>35</v>
      </c>
      <c r="AJ1160" s="13" t="s">
        <v>365</v>
      </c>
      <c r="AK1160" s="14">
        <v>-0.5</v>
      </c>
      <c r="AL1160" s="17"/>
      <c r="AM1160" s="17"/>
      <c r="AN1160" s="17"/>
      <c r="AO1160" s="17"/>
      <c r="AP1160" s="17"/>
      <c r="AQ1160" s="17"/>
      <c r="AR1160" s="17"/>
      <c r="AS1160" s="17"/>
      <c r="AT1160" s="17"/>
      <c r="AU1160" s="17"/>
      <c r="AV1160" s="17"/>
    </row>
    <row r="1161" spans="1:48" ht="15.75" customHeight="1">
      <c r="A1161" s="21" t="s">
        <v>43</v>
      </c>
      <c r="B1161" s="23" t="s">
        <v>1692</v>
      </c>
      <c r="C1161" s="22">
        <v>45835</v>
      </c>
      <c r="D1161" s="23" t="s">
        <v>292</v>
      </c>
      <c r="E1161" s="23" t="s">
        <v>45</v>
      </c>
      <c r="F1161" s="21">
        <v>1</v>
      </c>
      <c r="G1161" s="12">
        <v>8199.8861047835999</v>
      </c>
      <c r="H1161" s="12">
        <v>8199.8861047835999</v>
      </c>
      <c r="I1161" s="23" t="s">
        <v>52</v>
      </c>
      <c r="J1161" s="23" t="s">
        <v>61</v>
      </c>
      <c r="K1161" s="24" t="s">
        <v>177</v>
      </c>
      <c r="L1161" s="24">
        <v>151</v>
      </c>
      <c r="M1161" s="12">
        <v>6890.6605922551262</v>
      </c>
      <c r="N1161" s="12">
        <v>6890.6605922551262</v>
      </c>
      <c r="O1161" s="12">
        <v>1309.2255125284737</v>
      </c>
      <c r="P1161" s="13"/>
      <c r="Q1161" s="14">
        <v>2025</v>
      </c>
      <c r="R1161" s="15">
        <v>45444</v>
      </c>
      <c r="S1161" s="11" t="s">
        <v>355</v>
      </c>
      <c r="T1161" s="16">
        <v>0</v>
      </c>
      <c r="U1161" s="17"/>
      <c r="V1161" s="12">
        <v>1445.6605922551253</v>
      </c>
      <c r="W1161" s="12">
        <v>1445.6605922551253</v>
      </c>
      <c r="X1161" s="12">
        <v>0</v>
      </c>
      <c r="Y1161" s="18">
        <v>45831</v>
      </c>
      <c r="Z1161" s="13" t="s">
        <v>503</v>
      </c>
      <c r="AA1161" s="19" t="s">
        <v>356</v>
      </c>
      <c r="AB1161" s="13" t="s">
        <v>357</v>
      </c>
      <c r="AC1161" s="13" t="s">
        <v>383</v>
      </c>
      <c r="AD1161" s="20"/>
      <c r="AE1161" s="20"/>
      <c r="AF1161" s="13" t="s">
        <v>40</v>
      </c>
      <c r="AG1161" s="15">
        <v>45444</v>
      </c>
      <c r="AH1161" s="13" t="s">
        <v>41</v>
      </c>
      <c r="AI1161" s="13" t="s">
        <v>43</v>
      </c>
      <c r="AJ1161" s="13" t="s">
        <v>359</v>
      </c>
      <c r="AK1161" s="14">
        <v>-1</v>
      </c>
      <c r="AL1161" s="17"/>
      <c r="AM1161" s="17"/>
      <c r="AN1161" s="17"/>
      <c r="AO1161" s="17"/>
      <c r="AP1161" s="17"/>
      <c r="AQ1161" s="17"/>
      <c r="AR1161" s="17"/>
      <c r="AS1161" s="17"/>
      <c r="AT1161" s="17"/>
      <c r="AU1161" s="17"/>
      <c r="AV1161" s="17"/>
    </row>
    <row r="1162" spans="1:48" ht="15.75" customHeight="1">
      <c r="A1162" s="21" t="s">
        <v>35</v>
      </c>
      <c r="B1162" s="23" t="s">
        <v>1692</v>
      </c>
      <c r="C1162" s="22">
        <v>45834</v>
      </c>
      <c r="D1162" s="23" t="s">
        <v>142</v>
      </c>
      <c r="E1162" s="23" t="s">
        <v>37</v>
      </c>
      <c r="F1162" s="21">
        <v>2</v>
      </c>
      <c r="G1162" s="12">
        <v>11000.014358944907</v>
      </c>
      <c r="H1162" s="12">
        <v>22000.028717889814</v>
      </c>
      <c r="I1162" s="23" t="s">
        <v>52</v>
      </c>
      <c r="J1162" s="23" t="s">
        <v>61</v>
      </c>
      <c r="K1162" s="24" t="s">
        <v>177</v>
      </c>
      <c r="L1162" s="24">
        <v>154</v>
      </c>
      <c r="M1162" s="12">
        <v>9243.7095453318543</v>
      </c>
      <c r="N1162" s="12">
        <v>18487.419090663709</v>
      </c>
      <c r="O1162" s="12">
        <v>3512.6096272261057</v>
      </c>
      <c r="P1162" s="13"/>
      <c r="Q1162" s="14">
        <v>2025</v>
      </c>
      <c r="R1162" s="15">
        <v>45444</v>
      </c>
      <c r="S1162" s="11" t="s">
        <v>364</v>
      </c>
      <c r="T1162" s="16">
        <v>2000</v>
      </c>
      <c r="U1162" s="17"/>
      <c r="V1162" s="12">
        <v>5612.225813352783</v>
      </c>
      <c r="W1162" s="12">
        <v>5612.225813352783</v>
      </c>
      <c r="X1162" s="12">
        <v>0</v>
      </c>
      <c r="Y1162" s="18">
        <v>45831</v>
      </c>
      <c r="Z1162" s="13" t="s">
        <v>505</v>
      </c>
      <c r="AA1162" s="19" t="s">
        <v>361</v>
      </c>
      <c r="AB1162" s="13" t="s">
        <v>357</v>
      </c>
      <c r="AC1162" s="13" t="s">
        <v>489</v>
      </c>
      <c r="AD1162" s="20"/>
      <c r="AE1162" s="20"/>
      <c r="AF1162" s="13" t="s">
        <v>40</v>
      </c>
      <c r="AG1162" s="15">
        <v>45444</v>
      </c>
      <c r="AH1162" s="13" t="s">
        <v>41</v>
      </c>
      <c r="AI1162" s="13" t="s">
        <v>35</v>
      </c>
      <c r="AJ1162" s="13" t="s">
        <v>365</v>
      </c>
      <c r="AK1162" s="14">
        <v>-2</v>
      </c>
      <c r="AL1162" s="17"/>
      <c r="AM1162" s="17"/>
      <c r="AN1162" s="17"/>
      <c r="AO1162" s="17"/>
      <c r="AP1162" s="17"/>
      <c r="AQ1162" s="17"/>
      <c r="AR1162" s="17"/>
      <c r="AS1162" s="17"/>
      <c r="AT1162" s="17"/>
      <c r="AU1162" s="17"/>
      <c r="AV1162" s="17"/>
    </row>
    <row r="1163" spans="1:48" ht="15.75" customHeight="1">
      <c r="A1163" s="21" t="s">
        <v>76</v>
      </c>
      <c r="B1163" s="23" t="s">
        <v>1692</v>
      </c>
      <c r="C1163" s="22">
        <v>45834</v>
      </c>
      <c r="D1163" s="23" t="s">
        <v>142</v>
      </c>
      <c r="E1163" s="23" t="s">
        <v>110</v>
      </c>
      <c r="F1163" s="21">
        <v>1</v>
      </c>
      <c r="G1163" s="12">
        <v>2000.0000000000005</v>
      </c>
      <c r="H1163" s="12">
        <v>2000.0000000000005</v>
      </c>
      <c r="I1163" s="23" t="s">
        <v>52</v>
      </c>
      <c r="J1163" s="23" t="s">
        <v>61</v>
      </c>
      <c r="K1163" s="24" t="s">
        <v>177</v>
      </c>
      <c r="L1163" s="24">
        <v>154</v>
      </c>
      <c r="M1163" s="12">
        <v>1680.6722689075634</v>
      </c>
      <c r="N1163" s="12">
        <v>1680.6722689075634</v>
      </c>
      <c r="O1163" s="12">
        <v>319.32773109243703</v>
      </c>
      <c r="P1163" s="13"/>
      <c r="Q1163" s="14">
        <v>2025</v>
      </c>
      <c r="R1163" s="15">
        <v>45444</v>
      </c>
      <c r="S1163" s="11" t="s">
        <v>378</v>
      </c>
      <c r="T1163" s="16">
        <v>5</v>
      </c>
      <c r="U1163" s="17"/>
      <c r="V1163" s="12">
        <v>756.30252100840369</v>
      </c>
      <c r="W1163" s="12">
        <v>756.30252100840369</v>
      </c>
      <c r="X1163" s="12">
        <v>0</v>
      </c>
      <c r="Y1163" s="18">
        <v>45831</v>
      </c>
      <c r="Z1163" s="13" t="s">
        <v>505</v>
      </c>
      <c r="AA1163" s="19" t="s">
        <v>361</v>
      </c>
      <c r="AB1163" s="13" t="s">
        <v>357</v>
      </c>
      <c r="AC1163" s="13" t="s">
        <v>489</v>
      </c>
      <c r="AD1163" s="20"/>
      <c r="AE1163" s="20"/>
      <c r="AF1163" s="13" t="s">
        <v>40</v>
      </c>
      <c r="AG1163" s="15">
        <v>45444</v>
      </c>
      <c r="AH1163" s="13" t="s">
        <v>41</v>
      </c>
      <c r="AI1163" s="13" t="s">
        <v>76</v>
      </c>
      <c r="AJ1163" s="13" t="s">
        <v>379</v>
      </c>
      <c r="AK1163" s="14">
        <v>-1</v>
      </c>
      <c r="AL1163" s="17"/>
      <c r="AM1163" s="17"/>
      <c r="AN1163" s="17"/>
      <c r="AO1163" s="17"/>
      <c r="AP1163" s="17"/>
      <c r="AQ1163" s="17"/>
      <c r="AR1163" s="17"/>
      <c r="AS1163" s="17"/>
      <c r="AT1163" s="17"/>
      <c r="AU1163" s="17"/>
      <c r="AV1163" s="17"/>
    </row>
    <row r="1164" spans="1:48" ht="15.75" customHeight="1">
      <c r="A1164" s="21" t="s">
        <v>47</v>
      </c>
      <c r="B1164" s="23" t="s">
        <v>1692</v>
      </c>
      <c r="C1164" s="22">
        <v>45834</v>
      </c>
      <c r="D1164" s="23" t="s">
        <v>142</v>
      </c>
      <c r="E1164" s="23" t="s">
        <v>217</v>
      </c>
      <c r="F1164" s="21">
        <v>1</v>
      </c>
      <c r="G1164" s="12">
        <v>1500.1443464314357</v>
      </c>
      <c r="H1164" s="12">
        <v>1500.1443464314357</v>
      </c>
      <c r="I1164" s="23" t="s">
        <v>52</v>
      </c>
      <c r="J1164" s="23" t="s">
        <v>61</v>
      </c>
      <c r="K1164" s="24" t="s">
        <v>177</v>
      </c>
      <c r="L1164" s="24">
        <v>154</v>
      </c>
      <c r="M1164" s="12">
        <v>1260.6255012028871</v>
      </c>
      <c r="N1164" s="12">
        <v>1260.6255012028871</v>
      </c>
      <c r="O1164" s="12">
        <v>239.51884522854857</v>
      </c>
      <c r="P1164" s="13"/>
      <c r="Q1164" s="14">
        <v>2025</v>
      </c>
      <c r="R1164" s="15">
        <v>45444</v>
      </c>
      <c r="S1164" s="11" t="s">
        <v>544</v>
      </c>
      <c r="T1164" s="16">
        <v>0</v>
      </c>
      <c r="U1164" s="17"/>
      <c r="V1164" s="12">
        <v>474.62550120288711</v>
      </c>
      <c r="W1164" s="12">
        <v>474.62550120288711</v>
      </c>
      <c r="X1164" s="12">
        <v>0</v>
      </c>
      <c r="Y1164" s="18">
        <v>45831</v>
      </c>
      <c r="Z1164" s="13" t="s">
        <v>505</v>
      </c>
      <c r="AA1164" s="19" t="s">
        <v>361</v>
      </c>
      <c r="AB1164" s="13" t="s">
        <v>357</v>
      </c>
      <c r="AC1164" s="13" t="s">
        <v>489</v>
      </c>
      <c r="AD1164" s="20"/>
      <c r="AE1164" s="20"/>
      <c r="AF1164" s="13" t="s">
        <v>40</v>
      </c>
      <c r="AG1164" s="15">
        <v>45444</v>
      </c>
      <c r="AH1164" s="13" t="s">
        <v>41</v>
      </c>
      <c r="AI1164" s="13" t="s">
        <v>47</v>
      </c>
      <c r="AJ1164" s="13" t="s">
        <v>545</v>
      </c>
      <c r="AK1164" s="14">
        <v>-1</v>
      </c>
      <c r="AL1164" s="17"/>
      <c r="AM1164" s="17"/>
      <c r="AN1164" s="17"/>
      <c r="AO1164" s="17"/>
      <c r="AP1164" s="17"/>
      <c r="AQ1164" s="17"/>
      <c r="AR1164" s="17"/>
      <c r="AS1164" s="17"/>
      <c r="AT1164" s="17"/>
      <c r="AU1164" s="17"/>
      <c r="AV1164" s="17"/>
    </row>
    <row r="1165" spans="1:48" ht="15.75" customHeight="1">
      <c r="A1165" s="21" t="s">
        <v>76</v>
      </c>
      <c r="B1165" s="23" t="s">
        <v>1692</v>
      </c>
      <c r="C1165" s="22">
        <v>45834</v>
      </c>
      <c r="D1165" s="23" t="s">
        <v>142</v>
      </c>
      <c r="E1165" s="23" t="s">
        <v>216</v>
      </c>
      <c r="F1165" s="21">
        <v>1</v>
      </c>
      <c r="G1165" s="12">
        <v>4300</v>
      </c>
      <c r="H1165" s="12">
        <v>4300</v>
      </c>
      <c r="I1165" s="23" t="s">
        <v>52</v>
      </c>
      <c r="J1165" s="23" t="s">
        <v>61</v>
      </c>
      <c r="K1165" s="24" t="s">
        <v>177</v>
      </c>
      <c r="L1165" s="24">
        <v>154</v>
      </c>
      <c r="M1165" s="12">
        <v>3613.4453781512607</v>
      </c>
      <c r="N1165" s="12">
        <v>3613.4453781512607</v>
      </c>
      <c r="O1165" s="12">
        <v>686.55462184873932</v>
      </c>
      <c r="P1165" s="13"/>
      <c r="Q1165" s="14">
        <v>2025</v>
      </c>
      <c r="R1165" s="15">
        <v>45444</v>
      </c>
      <c r="S1165" s="11" t="s">
        <v>479</v>
      </c>
      <c r="T1165" s="16">
        <v>5</v>
      </c>
      <c r="U1165" s="17"/>
      <c r="V1165" s="12">
        <v>1134.453781512605</v>
      </c>
      <c r="W1165" s="12">
        <v>1134.453781512605</v>
      </c>
      <c r="X1165" s="12">
        <v>0</v>
      </c>
      <c r="Y1165" s="18">
        <v>45831</v>
      </c>
      <c r="Z1165" s="13" t="s">
        <v>505</v>
      </c>
      <c r="AA1165" s="19" t="s">
        <v>361</v>
      </c>
      <c r="AB1165" s="13" t="s">
        <v>357</v>
      </c>
      <c r="AC1165" s="13" t="s">
        <v>489</v>
      </c>
      <c r="AD1165" s="20"/>
      <c r="AE1165" s="20"/>
      <c r="AF1165" s="13" t="s">
        <v>40</v>
      </c>
      <c r="AG1165" s="15">
        <v>45444</v>
      </c>
      <c r="AH1165" s="13" t="s">
        <v>41</v>
      </c>
      <c r="AI1165" s="13" t="s">
        <v>76</v>
      </c>
      <c r="AJ1165" s="13" t="s">
        <v>546</v>
      </c>
      <c r="AK1165" s="14">
        <v>-1</v>
      </c>
      <c r="AL1165" s="17"/>
      <c r="AM1165" s="17"/>
      <c r="AN1165" s="17"/>
      <c r="AO1165" s="17"/>
      <c r="AP1165" s="17"/>
      <c r="AQ1165" s="17"/>
      <c r="AR1165" s="17"/>
      <c r="AS1165" s="17"/>
      <c r="AT1165" s="17"/>
      <c r="AU1165" s="17"/>
      <c r="AV1165" s="17"/>
    </row>
    <row r="1166" spans="1:48" ht="15.75" customHeight="1">
      <c r="A1166" s="21" t="s">
        <v>53</v>
      </c>
      <c r="B1166" s="23" t="s">
        <v>1692</v>
      </c>
      <c r="C1166" s="22">
        <v>45834</v>
      </c>
      <c r="D1166" s="23" t="s">
        <v>142</v>
      </c>
      <c r="E1166" s="23" t="s">
        <v>150</v>
      </c>
      <c r="F1166" s="21">
        <v>1</v>
      </c>
      <c r="G1166" s="12">
        <v>1799.8965445892823</v>
      </c>
      <c r="H1166" s="12">
        <v>1799.8965445892823</v>
      </c>
      <c r="I1166" s="23" t="s">
        <v>52</v>
      </c>
      <c r="J1166" s="23" t="s">
        <v>61</v>
      </c>
      <c r="K1166" s="24" t="s">
        <v>177</v>
      </c>
      <c r="L1166" s="24">
        <v>154</v>
      </c>
      <c r="M1166" s="12">
        <v>1512.518104696876</v>
      </c>
      <c r="N1166" s="12">
        <v>1512.518104696876</v>
      </c>
      <c r="O1166" s="12">
        <v>287.37843989240628</v>
      </c>
      <c r="P1166" s="13"/>
      <c r="Q1166" s="14">
        <v>2025</v>
      </c>
      <c r="R1166" s="15">
        <v>45444</v>
      </c>
      <c r="S1166" s="11" t="s">
        <v>381</v>
      </c>
      <c r="T1166" s="16">
        <v>300</v>
      </c>
      <c r="U1166" s="17"/>
      <c r="V1166" s="12">
        <v>781.51810469687575</v>
      </c>
      <c r="W1166" s="12">
        <v>781.51810469687575</v>
      </c>
      <c r="X1166" s="12">
        <v>0</v>
      </c>
      <c r="Y1166" s="18">
        <v>45831</v>
      </c>
      <c r="Z1166" s="13" t="s">
        <v>505</v>
      </c>
      <c r="AA1166" s="19" t="s">
        <v>361</v>
      </c>
      <c r="AB1166" s="13" t="s">
        <v>357</v>
      </c>
      <c r="AC1166" s="13" t="s">
        <v>489</v>
      </c>
      <c r="AD1166" s="20"/>
      <c r="AE1166" s="20"/>
      <c r="AF1166" s="13" t="s">
        <v>40</v>
      </c>
      <c r="AG1166" s="15">
        <v>45444</v>
      </c>
      <c r="AH1166" s="13" t="s">
        <v>41</v>
      </c>
      <c r="AI1166" s="13" t="s">
        <v>53</v>
      </c>
      <c r="AJ1166" s="13" t="s">
        <v>382</v>
      </c>
      <c r="AK1166" s="14">
        <v>-1</v>
      </c>
      <c r="AL1166" s="17"/>
      <c r="AM1166" s="17"/>
      <c r="AN1166" s="17"/>
      <c r="AO1166" s="17"/>
      <c r="AP1166" s="17"/>
      <c r="AQ1166" s="17"/>
      <c r="AR1166" s="17"/>
      <c r="AS1166" s="17"/>
      <c r="AT1166" s="17"/>
      <c r="AU1166" s="17"/>
      <c r="AV1166" s="17"/>
    </row>
    <row r="1167" spans="1:48" ht="15.75" customHeight="1">
      <c r="A1167" s="21" t="s">
        <v>53</v>
      </c>
      <c r="B1167" s="23" t="s">
        <v>1692</v>
      </c>
      <c r="C1167" s="22">
        <v>45834</v>
      </c>
      <c r="D1167" s="23" t="s">
        <v>54</v>
      </c>
      <c r="E1167" s="23" t="s">
        <v>55</v>
      </c>
      <c r="F1167" s="21">
        <v>1</v>
      </c>
      <c r="G1167" s="12">
        <v>20899.657134519988</v>
      </c>
      <c r="H1167" s="12">
        <v>20899.657134519988</v>
      </c>
      <c r="I1167" s="23" t="s">
        <v>52</v>
      </c>
      <c r="J1167" s="23" t="s">
        <v>61</v>
      </c>
      <c r="K1167" s="24" t="s">
        <v>177</v>
      </c>
      <c r="L1167" s="24">
        <v>154</v>
      </c>
      <c r="M1167" s="12">
        <v>17562.737087831923</v>
      </c>
      <c r="N1167" s="12">
        <v>17562.737087831923</v>
      </c>
      <c r="O1167" s="12">
        <v>3336.9200466880648</v>
      </c>
      <c r="P1167" s="13"/>
      <c r="Q1167" s="14">
        <v>2025</v>
      </c>
      <c r="R1167" s="15">
        <v>45444</v>
      </c>
      <c r="S1167" s="11" t="s">
        <v>366</v>
      </c>
      <c r="T1167" s="16">
        <v>0</v>
      </c>
      <c r="U1167" s="17"/>
      <c r="V1167" s="12">
        <v>3117.7370878319234</v>
      </c>
      <c r="W1167" s="12">
        <v>3117.7370878319234</v>
      </c>
      <c r="X1167" s="12">
        <v>0</v>
      </c>
      <c r="Y1167" s="18">
        <v>45831</v>
      </c>
      <c r="Z1167" s="13" t="s">
        <v>505</v>
      </c>
      <c r="AA1167" s="19" t="s">
        <v>373</v>
      </c>
      <c r="AB1167" s="13" t="s">
        <v>357</v>
      </c>
      <c r="AC1167" s="13" t="s">
        <v>380</v>
      </c>
      <c r="AD1167" s="20"/>
      <c r="AE1167" s="20"/>
      <c r="AF1167" s="13" t="s">
        <v>40</v>
      </c>
      <c r="AG1167" s="15">
        <v>45444</v>
      </c>
      <c r="AH1167" s="13" t="s">
        <v>41</v>
      </c>
      <c r="AI1167" s="13" t="s">
        <v>53</v>
      </c>
      <c r="AJ1167" s="13" t="s">
        <v>368</v>
      </c>
      <c r="AK1167" s="14">
        <v>-8</v>
      </c>
      <c r="AL1167" s="17"/>
      <c r="AM1167" s="17"/>
      <c r="AN1167" s="17"/>
      <c r="AO1167" s="17"/>
      <c r="AP1167" s="17"/>
      <c r="AQ1167" s="17"/>
      <c r="AR1167" s="17"/>
      <c r="AS1167" s="17"/>
      <c r="AT1167" s="17"/>
      <c r="AU1167" s="17"/>
      <c r="AV1167" s="17"/>
    </row>
    <row r="1168" spans="1:48" ht="15.75" customHeight="1">
      <c r="A1168" s="21" t="s">
        <v>56</v>
      </c>
      <c r="B1168" s="23" t="s">
        <v>1692</v>
      </c>
      <c r="C1168" s="22">
        <v>45833</v>
      </c>
      <c r="D1168" s="23" t="s">
        <v>547</v>
      </c>
      <c r="E1168" s="23" t="s">
        <v>67</v>
      </c>
      <c r="F1168" s="21">
        <v>1</v>
      </c>
      <c r="G1168" s="12">
        <v>7000.0000000000009</v>
      </c>
      <c r="H1168" s="12">
        <v>7000.0000000000009</v>
      </c>
      <c r="I1168" s="23" t="s">
        <v>52</v>
      </c>
      <c r="J1168" s="23" t="s">
        <v>61</v>
      </c>
      <c r="K1168" s="24" t="s">
        <v>177</v>
      </c>
      <c r="L1168" s="24">
        <v>154</v>
      </c>
      <c r="M1168" s="12">
        <v>5882.3529411764712</v>
      </c>
      <c r="N1168" s="12">
        <v>5882.3529411764712</v>
      </c>
      <c r="O1168" s="12">
        <v>1117.6470588235297</v>
      </c>
      <c r="P1168" s="13"/>
      <c r="Q1168" s="14">
        <v>2025</v>
      </c>
      <c r="R1168" s="15">
        <v>45444</v>
      </c>
      <c r="S1168" s="11" t="s">
        <v>492</v>
      </c>
      <c r="T1168" s="16">
        <v>200</v>
      </c>
      <c r="U1168" s="17"/>
      <c r="V1168" s="12">
        <v>1512.6050420168067</v>
      </c>
      <c r="W1168" s="12">
        <v>1512.6050420168067</v>
      </c>
      <c r="X1168" s="12">
        <v>0</v>
      </c>
      <c r="Y1168" s="18">
        <v>45831</v>
      </c>
      <c r="Z1168" s="13" t="s">
        <v>515</v>
      </c>
      <c r="AA1168" s="19" t="s">
        <v>361</v>
      </c>
      <c r="AB1168" s="13" t="s">
        <v>357</v>
      </c>
      <c r="AC1168" s="13" t="s">
        <v>383</v>
      </c>
      <c r="AD1168" s="20"/>
      <c r="AE1168" s="20"/>
      <c r="AF1168" s="13" t="s">
        <v>40</v>
      </c>
      <c r="AG1168" s="15">
        <v>45444</v>
      </c>
      <c r="AH1168" s="13" t="s">
        <v>41</v>
      </c>
      <c r="AI1168" s="13" t="s">
        <v>56</v>
      </c>
      <c r="AJ1168" s="13" t="s">
        <v>493</v>
      </c>
      <c r="AK1168" s="14">
        <v>-3</v>
      </c>
      <c r="AL1168" s="17"/>
      <c r="AM1168" s="17"/>
      <c r="AN1168" s="17"/>
      <c r="AO1168" s="17"/>
      <c r="AP1168" s="17"/>
      <c r="AQ1168" s="17"/>
      <c r="AR1168" s="17"/>
      <c r="AS1168" s="17"/>
      <c r="AT1168" s="17"/>
      <c r="AU1168" s="17"/>
      <c r="AV1168" s="17"/>
    </row>
    <row r="1169" spans="1:48" ht="15.75" customHeight="1">
      <c r="A1169" s="21" t="s">
        <v>35</v>
      </c>
      <c r="B1169" s="23" t="s">
        <v>1692</v>
      </c>
      <c r="C1169" s="22">
        <v>45833</v>
      </c>
      <c r="D1169" s="23" t="s">
        <v>548</v>
      </c>
      <c r="E1169" s="23" t="s">
        <v>37</v>
      </c>
      <c r="F1169" s="21">
        <v>1</v>
      </c>
      <c r="G1169" s="12">
        <v>11000.014358944907</v>
      </c>
      <c r="H1169" s="12">
        <v>11000.014358944907</v>
      </c>
      <c r="I1169" s="23" t="s">
        <v>52</v>
      </c>
      <c r="J1169" s="23" t="s">
        <v>61</v>
      </c>
      <c r="K1169" s="24" t="s">
        <v>177</v>
      </c>
      <c r="L1169" s="24">
        <v>153</v>
      </c>
      <c r="M1169" s="12">
        <v>9243.7095453318543</v>
      </c>
      <c r="N1169" s="12">
        <v>9243.7095453318543</v>
      </c>
      <c r="O1169" s="12">
        <v>1756.3048136130528</v>
      </c>
      <c r="P1169" s="13"/>
      <c r="Q1169" s="14">
        <v>2025</v>
      </c>
      <c r="R1169" s="15">
        <v>45444</v>
      </c>
      <c r="S1169" s="11" t="s">
        <v>364</v>
      </c>
      <c r="T1169" s="16">
        <v>1000</v>
      </c>
      <c r="U1169" s="17"/>
      <c r="V1169" s="12">
        <v>2806.1129066763915</v>
      </c>
      <c r="W1169" s="12">
        <v>2806.1129066763915</v>
      </c>
      <c r="X1169" s="12">
        <v>0</v>
      </c>
      <c r="Y1169" s="18">
        <v>45831</v>
      </c>
      <c r="Z1169" s="13" t="s">
        <v>515</v>
      </c>
      <c r="AA1169" s="19" t="s">
        <v>373</v>
      </c>
      <c r="AB1169" s="13" t="s">
        <v>357</v>
      </c>
      <c r="AC1169" s="13" t="s">
        <v>489</v>
      </c>
      <c r="AD1169" s="20"/>
      <c r="AE1169" s="20"/>
      <c r="AF1169" s="13" t="s">
        <v>40</v>
      </c>
      <c r="AG1169" s="15">
        <v>45444</v>
      </c>
      <c r="AH1169" s="13" t="s">
        <v>41</v>
      </c>
      <c r="AI1169" s="13" t="s">
        <v>35</v>
      </c>
      <c r="AJ1169" s="13" t="s">
        <v>365</v>
      </c>
      <c r="AK1169" s="14">
        <v>-1</v>
      </c>
      <c r="AL1169" s="17"/>
      <c r="AM1169" s="17"/>
      <c r="AN1169" s="17"/>
      <c r="AO1169" s="17"/>
      <c r="AP1169" s="17"/>
      <c r="AQ1169" s="17"/>
      <c r="AR1169" s="17"/>
      <c r="AS1169" s="17"/>
      <c r="AT1169" s="17"/>
      <c r="AU1169" s="17"/>
      <c r="AV1169" s="17"/>
    </row>
    <row r="1170" spans="1:48" ht="15.75" customHeight="1">
      <c r="A1170" s="21" t="s">
        <v>56</v>
      </c>
      <c r="B1170" s="23" t="s">
        <v>1692</v>
      </c>
      <c r="C1170" s="22">
        <v>45833</v>
      </c>
      <c r="D1170" s="23" t="s">
        <v>116</v>
      </c>
      <c r="E1170" s="23" t="s">
        <v>67</v>
      </c>
      <c r="F1170" s="21">
        <v>1</v>
      </c>
      <c r="G1170" s="12">
        <v>7000.0000000000009</v>
      </c>
      <c r="H1170" s="12">
        <v>7000.0000000000009</v>
      </c>
      <c r="I1170" s="23" t="s">
        <v>52</v>
      </c>
      <c r="J1170" s="23" t="s">
        <v>61</v>
      </c>
      <c r="K1170" s="24" t="s">
        <v>177</v>
      </c>
      <c r="L1170" s="24">
        <v>153</v>
      </c>
      <c r="M1170" s="12">
        <v>5882.3529411764712</v>
      </c>
      <c r="N1170" s="12">
        <v>5882.3529411764712</v>
      </c>
      <c r="O1170" s="12">
        <v>1117.6470588235297</v>
      </c>
      <c r="P1170" s="13"/>
      <c r="Q1170" s="14">
        <v>2025</v>
      </c>
      <c r="R1170" s="15">
        <v>45444</v>
      </c>
      <c r="S1170" s="11" t="s">
        <v>492</v>
      </c>
      <c r="T1170" s="16">
        <v>200</v>
      </c>
      <c r="U1170" s="17"/>
      <c r="V1170" s="12">
        <v>1512.6050420168067</v>
      </c>
      <c r="W1170" s="12">
        <v>1512.6050420168067</v>
      </c>
      <c r="X1170" s="12">
        <v>0</v>
      </c>
      <c r="Y1170" s="18">
        <v>45831</v>
      </c>
      <c r="Z1170" s="13" t="s">
        <v>515</v>
      </c>
      <c r="AA1170" s="19" t="s">
        <v>373</v>
      </c>
      <c r="AB1170" s="13" t="s">
        <v>357</v>
      </c>
      <c r="AC1170" s="13"/>
      <c r="AD1170" s="20"/>
      <c r="AE1170" s="20"/>
      <c r="AF1170" s="13" t="s">
        <v>40</v>
      </c>
      <c r="AG1170" s="15">
        <v>45444</v>
      </c>
      <c r="AH1170" s="13" t="s">
        <v>41</v>
      </c>
      <c r="AI1170" s="13" t="s">
        <v>56</v>
      </c>
      <c r="AJ1170" s="13" t="s">
        <v>493</v>
      </c>
      <c r="AK1170" s="14">
        <v>-3</v>
      </c>
      <c r="AL1170" s="17"/>
      <c r="AM1170" s="17"/>
      <c r="AN1170" s="17"/>
      <c r="AO1170" s="17"/>
      <c r="AP1170" s="17"/>
      <c r="AQ1170" s="17"/>
      <c r="AR1170" s="17"/>
      <c r="AS1170" s="17"/>
      <c r="AT1170" s="17"/>
      <c r="AU1170" s="17"/>
      <c r="AV1170" s="17"/>
    </row>
    <row r="1171" spans="1:48" ht="15.75" customHeight="1">
      <c r="A1171" s="21" t="s">
        <v>35</v>
      </c>
      <c r="B1171" s="23" t="s">
        <v>1692</v>
      </c>
      <c r="C1171" s="22">
        <v>45833</v>
      </c>
      <c r="D1171" s="23" t="s">
        <v>116</v>
      </c>
      <c r="E1171" s="23" t="s">
        <v>117</v>
      </c>
      <c r="F1171" s="21">
        <v>1</v>
      </c>
      <c r="G1171" s="12">
        <v>8999.5678478824557</v>
      </c>
      <c r="H1171" s="12">
        <v>8999.5678478824557</v>
      </c>
      <c r="I1171" s="23" t="s">
        <v>52</v>
      </c>
      <c r="J1171" s="23" t="s">
        <v>61</v>
      </c>
      <c r="K1171" s="24" t="s">
        <v>177</v>
      </c>
      <c r="L1171" s="24">
        <v>153</v>
      </c>
      <c r="M1171" s="12">
        <v>7562.6620570440809</v>
      </c>
      <c r="N1171" s="12">
        <v>7562.6620570440809</v>
      </c>
      <c r="O1171" s="12">
        <v>1436.9057908383747</v>
      </c>
      <c r="P1171" s="13"/>
      <c r="Q1171" s="14">
        <v>2025</v>
      </c>
      <c r="R1171" s="15">
        <v>45444</v>
      </c>
      <c r="S1171" s="11" t="s">
        <v>364</v>
      </c>
      <c r="T1171" s="16">
        <v>750</v>
      </c>
      <c r="U1171" s="17"/>
      <c r="V1171" s="12">
        <v>2312.66205704408</v>
      </c>
      <c r="W1171" s="12">
        <v>2312.66205704408</v>
      </c>
      <c r="X1171" s="12">
        <v>0</v>
      </c>
      <c r="Y1171" s="18">
        <v>45831</v>
      </c>
      <c r="Z1171" s="13" t="s">
        <v>515</v>
      </c>
      <c r="AA1171" s="19" t="s">
        <v>373</v>
      </c>
      <c r="AB1171" s="13" t="s">
        <v>357</v>
      </c>
      <c r="AC1171" s="13"/>
      <c r="AD1171" s="20"/>
      <c r="AE1171" s="20"/>
      <c r="AF1171" s="13" t="s">
        <v>40</v>
      </c>
      <c r="AG1171" s="15">
        <v>45444</v>
      </c>
      <c r="AH1171" s="13" t="s">
        <v>41</v>
      </c>
      <c r="AI1171" s="13" t="s">
        <v>35</v>
      </c>
      <c r="AJ1171" s="13" t="s">
        <v>390</v>
      </c>
      <c r="AK1171" s="21">
        <v>-0.75</v>
      </c>
      <c r="AL1171" s="17"/>
      <c r="AM1171" s="17"/>
      <c r="AN1171" s="17"/>
      <c r="AO1171" s="17"/>
      <c r="AP1171" s="17"/>
      <c r="AQ1171" s="17"/>
      <c r="AR1171" s="17"/>
      <c r="AS1171" s="17"/>
      <c r="AT1171" s="17"/>
      <c r="AU1171" s="17"/>
      <c r="AV1171" s="17"/>
    </row>
    <row r="1172" spans="1:48" ht="15.75" customHeight="1">
      <c r="A1172" s="21" t="s">
        <v>53</v>
      </c>
      <c r="B1172" s="23" t="s">
        <v>1692</v>
      </c>
      <c r="C1172" s="22">
        <v>45833</v>
      </c>
      <c r="D1172" s="23" t="s">
        <v>116</v>
      </c>
      <c r="E1172" s="23" t="s">
        <v>69</v>
      </c>
      <c r="F1172" s="21">
        <v>1</v>
      </c>
      <c r="G1172" s="12">
        <v>2999.9553810458683</v>
      </c>
      <c r="H1172" s="12">
        <v>2999.9553810458683</v>
      </c>
      <c r="I1172" s="23" t="s">
        <v>52</v>
      </c>
      <c r="J1172" s="23" t="s">
        <v>61</v>
      </c>
      <c r="K1172" s="24" t="s">
        <v>177</v>
      </c>
      <c r="L1172" s="24">
        <v>153</v>
      </c>
      <c r="M1172" s="12">
        <v>2520.9709084419064</v>
      </c>
      <c r="N1172" s="12">
        <v>2520.9709084419064</v>
      </c>
      <c r="O1172" s="12">
        <v>478.98447260396188</v>
      </c>
      <c r="P1172" s="13"/>
      <c r="Q1172" s="14">
        <v>2025</v>
      </c>
      <c r="R1172" s="15">
        <v>45444</v>
      </c>
      <c r="S1172" s="11" t="s">
        <v>376</v>
      </c>
      <c r="T1172" s="16">
        <v>0</v>
      </c>
      <c r="U1172" s="17"/>
      <c r="V1172" s="12">
        <v>825.97090844190598</v>
      </c>
      <c r="W1172" s="12">
        <v>825.97090844190598</v>
      </c>
      <c r="X1172" s="12">
        <v>0</v>
      </c>
      <c r="Y1172" s="18">
        <v>45831</v>
      </c>
      <c r="Z1172" s="13" t="s">
        <v>515</v>
      </c>
      <c r="AA1172" s="19" t="s">
        <v>373</v>
      </c>
      <c r="AB1172" s="13" t="s">
        <v>357</v>
      </c>
      <c r="AC1172" s="13"/>
      <c r="AD1172" s="20"/>
      <c r="AE1172" s="20"/>
      <c r="AF1172" s="13" t="s">
        <v>40</v>
      </c>
      <c r="AG1172" s="15">
        <v>45444</v>
      </c>
      <c r="AH1172" s="13" t="s">
        <v>41</v>
      </c>
      <c r="AI1172" s="13" t="s">
        <v>53</v>
      </c>
      <c r="AJ1172" s="13" t="s">
        <v>377</v>
      </c>
      <c r="AK1172" s="14">
        <v>-1</v>
      </c>
      <c r="AL1172" s="17"/>
      <c r="AM1172" s="17"/>
      <c r="AN1172" s="17"/>
      <c r="AO1172" s="17"/>
      <c r="AP1172" s="17"/>
      <c r="AQ1172" s="17"/>
      <c r="AR1172" s="17"/>
      <c r="AS1172" s="17"/>
      <c r="AT1172" s="17"/>
      <c r="AU1172" s="17"/>
      <c r="AV1172" s="17"/>
    </row>
    <row r="1173" spans="1:48" ht="15.75" customHeight="1">
      <c r="A1173" s="21" t="s">
        <v>76</v>
      </c>
      <c r="B1173" s="23" t="s">
        <v>1692</v>
      </c>
      <c r="C1173" s="22">
        <v>45833</v>
      </c>
      <c r="D1173" s="23" t="s">
        <v>116</v>
      </c>
      <c r="E1173" s="23" t="s">
        <v>77</v>
      </c>
      <c r="F1173" s="21">
        <v>1</v>
      </c>
      <c r="G1173" s="12">
        <v>1700.4255319148936</v>
      </c>
      <c r="H1173" s="12">
        <v>1700.4255319148936</v>
      </c>
      <c r="I1173" s="23" t="s">
        <v>52</v>
      </c>
      <c r="J1173" s="23" t="s">
        <v>61</v>
      </c>
      <c r="K1173" s="24" t="s">
        <v>177</v>
      </c>
      <c r="L1173" s="24">
        <v>153</v>
      </c>
      <c r="M1173" s="12">
        <v>1428.929018415877</v>
      </c>
      <c r="N1173" s="12">
        <v>1428.929018415877</v>
      </c>
      <c r="O1173" s="12">
        <v>271.4965134990166</v>
      </c>
      <c r="P1173" s="13"/>
      <c r="Q1173" s="14">
        <v>2025</v>
      </c>
      <c r="R1173" s="15">
        <v>45444</v>
      </c>
      <c r="S1173" s="11" t="s">
        <v>448</v>
      </c>
      <c r="T1173" s="16">
        <v>0</v>
      </c>
      <c r="U1173" s="17"/>
      <c r="V1173" s="12">
        <v>589.43322009654923</v>
      </c>
      <c r="W1173" s="12">
        <v>589.43322009654923</v>
      </c>
      <c r="X1173" s="12">
        <v>0</v>
      </c>
      <c r="Y1173" s="18">
        <v>45831</v>
      </c>
      <c r="Z1173" s="13" t="s">
        <v>515</v>
      </c>
      <c r="AA1173" s="19" t="s">
        <v>373</v>
      </c>
      <c r="AB1173" s="13" t="s">
        <v>357</v>
      </c>
      <c r="AC1173" s="13"/>
      <c r="AD1173" s="20"/>
      <c r="AE1173" s="20"/>
      <c r="AF1173" s="13" t="s">
        <v>40</v>
      </c>
      <c r="AG1173" s="15">
        <v>45444</v>
      </c>
      <c r="AH1173" s="13" t="s">
        <v>41</v>
      </c>
      <c r="AI1173" s="13" t="s">
        <v>76</v>
      </c>
      <c r="AJ1173" s="13" t="s">
        <v>457</v>
      </c>
      <c r="AK1173" s="14">
        <v>-1</v>
      </c>
      <c r="AL1173" s="17"/>
      <c r="AM1173" s="17"/>
      <c r="AN1173" s="17"/>
      <c r="AO1173" s="17"/>
      <c r="AP1173" s="17"/>
      <c r="AQ1173" s="17"/>
      <c r="AR1173" s="17"/>
      <c r="AS1173" s="17"/>
      <c r="AT1173" s="17"/>
      <c r="AU1173" s="17"/>
      <c r="AV1173" s="17"/>
    </row>
    <row r="1174" spans="1:48" ht="15.75" customHeight="1">
      <c r="A1174" s="21" t="s">
        <v>47</v>
      </c>
      <c r="B1174" s="23" t="s">
        <v>1692</v>
      </c>
      <c r="C1174" s="22">
        <v>45833</v>
      </c>
      <c r="D1174" s="23" t="s">
        <v>116</v>
      </c>
      <c r="E1174" s="23" t="s">
        <v>72</v>
      </c>
      <c r="F1174" s="21">
        <v>1</v>
      </c>
      <c r="G1174" s="12">
        <v>2750</v>
      </c>
      <c r="H1174" s="12">
        <v>2750</v>
      </c>
      <c r="I1174" s="23" t="s">
        <v>52</v>
      </c>
      <c r="J1174" s="23" t="s">
        <v>61</v>
      </c>
      <c r="K1174" s="24" t="s">
        <v>177</v>
      </c>
      <c r="L1174" s="24">
        <v>153</v>
      </c>
      <c r="M1174" s="12">
        <v>2310.9243697478992</v>
      </c>
      <c r="N1174" s="12">
        <v>2310.9243697478992</v>
      </c>
      <c r="O1174" s="12">
        <v>439.07563025210084</v>
      </c>
      <c r="P1174" s="13"/>
      <c r="Q1174" s="14">
        <v>2025</v>
      </c>
      <c r="R1174" s="15">
        <v>45444</v>
      </c>
      <c r="S1174" s="11" t="s">
        <v>372</v>
      </c>
      <c r="T1174" s="16">
        <v>0</v>
      </c>
      <c r="U1174" s="17"/>
      <c r="V1174" s="12">
        <v>663.86554621848722</v>
      </c>
      <c r="W1174" s="12">
        <v>663.86554621848722</v>
      </c>
      <c r="X1174" s="12">
        <v>0</v>
      </c>
      <c r="Y1174" s="18">
        <v>45831</v>
      </c>
      <c r="Z1174" s="13" t="s">
        <v>515</v>
      </c>
      <c r="AA1174" s="19" t="s">
        <v>373</v>
      </c>
      <c r="AB1174" s="13" t="s">
        <v>357</v>
      </c>
      <c r="AC1174" s="13"/>
      <c r="AD1174" s="20"/>
      <c r="AE1174" s="20"/>
      <c r="AF1174" s="13" t="s">
        <v>40</v>
      </c>
      <c r="AG1174" s="15">
        <v>45444</v>
      </c>
      <c r="AH1174" s="13" t="s">
        <v>41</v>
      </c>
      <c r="AI1174" s="13" t="s">
        <v>47</v>
      </c>
      <c r="AJ1174" s="13" t="s">
        <v>458</v>
      </c>
      <c r="AK1174" s="14">
        <v>-1</v>
      </c>
      <c r="AL1174" s="17"/>
      <c r="AM1174" s="17"/>
      <c r="AN1174" s="17"/>
      <c r="AO1174" s="17"/>
      <c r="AP1174" s="17"/>
      <c r="AQ1174" s="17"/>
      <c r="AR1174" s="17"/>
      <c r="AS1174" s="17"/>
      <c r="AT1174" s="17"/>
      <c r="AU1174" s="17"/>
      <c r="AV1174" s="17"/>
    </row>
    <row r="1175" spans="1:48" ht="15.75" customHeight="1">
      <c r="A1175" s="21" t="s">
        <v>53</v>
      </c>
      <c r="B1175" s="23" t="s">
        <v>1692</v>
      </c>
      <c r="C1175" s="22">
        <v>45833</v>
      </c>
      <c r="D1175" s="23" t="s">
        <v>225</v>
      </c>
      <c r="E1175" s="23" t="s">
        <v>192</v>
      </c>
      <c r="F1175" s="21">
        <v>1</v>
      </c>
      <c r="G1175" s="12">
        <v>15990.211345939933</v>
      </c>
      <c r="H1175" s="12">
        <v>15990.211345939933</v>
      </c>
      <c r="I1175" s="23" t="s">
        <v>52</v>
      </c>
      <c r="J1175" s="23" t="s">
        <v>61</v>
      </c>
      <c r="K1175" s="24" t="s">
        <v>177</v>
      </c>
      <c r="L1175" s="24">
        <v>153</v>
      </c>
      <c r="M1175" s="12">
        <v>13437.152391546164</v>
      </c>
      <c r="N1175" s="12">
        <v>13437.152391546164</v>
      </c>
      <c r="O1175" s="12">
        <v>2553.0589543937695</v>
      </c>
      <c r="P1175" s="13"/>
      <c r="Q1175" s="14">
        <v>2025</v>
      </c>
      <c r="R1175" s="15">
        <v>45444</v>
      </c>
      <c r="S1175" s="11" t="s">
        <v>435</v>
      </c>
      <c r="T1175" s="16">
        <v>0</v>
      </c>
      <c r="U1175" s="17"/>
      <c r="V1175" s="12">
        <v>3773.1523915461621</v>
      </c>
      <c r="W1175" s="12">
        <v>3773.1523915461621</v>
      </c>
      <c r="X1175" s="12">
        <v>0</v>
      </c>
      <c r="Y1175" s="18">
        <v>45831</v>
      </c>
      <c r="Z1175" s="13" t="s">
        <v>515</v>
      </c>
      <c r="AA1175" s="19" t="s">
        <v>373</v>
      </c>
      <c r="AB1175" s="13" t="s">
        <v>357</v>
      </c>
      <c r="AC1175" s="13" t="s">
        <v>549</v>
      </c>
      <c r="AD1175" s="20"/>
      <c r="AE1175" s="20"/>
      <c r="AF1175" s="13" t="s">
        <v>40</v>
      </c>
      <c r="AG1175" s="15">
        <v>45444</v>
      </c>
      <c r="AH1175" s="13" t="s">
        <v>41</v>
      </c>
      <c r="AI1175" s="13" t="s">
        <v>53</v>
      </c>
      <c r="AJ1175" s="13" t="s">
        <v>436</v>
      </c>
      <c r="AK1175" s="14">
        <v>-8</v>
      </c>
      <c r="AL1175" s="17"/>
      <c r="AM1175" s="17"/>
      <c r="AN1175" s="17"/>
      <c r="AO1175" s="17"/>
      <c r="AP1175" s="17"/>
      <c r="AQ1175" s="17"/>
      <c r="AR1175" s="17"/>
      <c r="AS1175" s="17"/>
      <c r="AT1175" s="17"/>
      <c r="AU1175" s="17"/>
      <c r="AV1175" s="17"/>
    </row>
    <row r="1176" spans="1:48" ht="15.75" customHeight="1">
      <c r="A1176" s="21" t="s">
        <v>147</v>
      </c>
      <c r="B1176" s="23" t="s">
        <v>1692</v>
      </c>
      <c r="C1176" s="22">
        <v>45833</v>
      </c>
      <c r="D1176" s="23" t="s">
        <v>225</v>
      </c>
      <c r="E1176" s="23" t="s">
        <v>148</v>
      </c>
      <c r="F1176" s="21">
        <v>1</v>
      </c>
      <c r="G1176" s="12">
        <v>1200.0000000000002</v>
      </c>
      <c r="H1176" s="12">
        <v>1200.0000000000002</v>
      </c>
      <c r="I1176" s="23" t="s">
        <v>52</v>
      </c>
      <c r="J1176" s="23" t="s">
        <v>61</v>
      </c>
      <c r="K1176" s="24" t="s">
        <v>177</v>
      </c>
      <c r="L1176" s="24">
        <v>153</v>
      </c>
      <c r="M1176" s="12">
        <v>1008.4033613445381</v>
      </c>
      <c r="N1176" s="12">
        <v>1008.4033613445381</v>
      </c>
      <c r="O1176" s="12">
        <v>191.59663865546213</v>
      </c>
      <c r="P1176" s="13"/>
      <c r="Q1176" s="14">
        <v>2025</v>
      </c>
      <c r="R1176" s="15">
        <v>45444</v>
      </c>
      <c r="S1176" s="11" t="s">
        <v>360</v>
      </c>
      <c r="T1176" s="16">
        <v>0</v>
      </c>
      <c r="U1176" s="17"/>
      <c r="V1176" s="12">
        <v>357.9831932773111</v>
      </c>
      <c r="W1176" s="12">
        <v>357.9831932773111</v>
      </c>
      <c r="X1176" s="12">
        <v>0</v>
      </c>
      <c r="Y1176" s="18">
        <v>45831</v>
      </c>
      <c r="Z1176" s="13" t="s">
        <v>515</v>
      </c>
      <c r="AA1176" s="19" t="s">
        <v>373</v>
      </c>
      <c r="AB1176" s="13" t="s">
        <v>357</v>
      </c>
      <c r="AC1176" s="13" t="s">
        <v>549</v>
      </c>
      <c r="AD1176" s="20"/>
      <c r="AE1176" s="20"/>
      <c r="AF1176" s="13" t="s">
        <v>40</v>
      </c>
      <c r="AG1176" s="15">
        <v>45444</v>
      </c>
      <c r="AH1176" s="13" t="s">
        <v>41</v>
      </c>
      <c r="AI1176" s="13" t="s">
        <v>147</v>
      </c>
      <c r="AJ1176" s="13" t="s">
        <v>363</v>
      </c>
      <c r="AK1176" s="14">
        <v>-1</v>
      </c>
      <c r="AL1176" s="17"/>
      <c r="AM1176" s="17"/>
      <c r="AN1176" s="17"/>
      <c r="AO1176" s="17"/>
      <c r="AP1176" s="17"/>
      <c r="AQ1176" s="17"/>
      <c r="AR1176" s="17"/>
      <c r="AS1176" s="17"/>
      <c r="AT1176" s="17"/>
      <c r="AU1176" s="17"/>
      <c r="AV1176" s="17"/>
    </row>
    <row r="1177" spans="1:48" ht="15.75" customHeight="1">
      <c r="A1177" s="21" t="s">
        <v>47</v>
      </c>
      <c r="B1177" s="23" t="s">
        <v>1692</v>
      </c>
      <c r="C1177" s="22">
        <v>45833</v>
      </c>
      <c r="D1177" s="23" t="s">
        <v>225</v>
      </c>
      <c r="E1177" s="23" t="s">
        <v>107</v>
      </c>
      <c r="F1177" s="21">
        <v>1</v>
      </c>
      <c r="G1177" s="12">
        <v>3000.0000000000005</v>
      </c>
      <c r="H1177" s="12">
        <v>3000.0000000000005</v>
      </c>
      <c r="I1177" s="23" t="s">
        <v>52</v>
      </c>
      <c r="J1177" s="23" t="s">
        <v>61</v>
      </c>
      <c r="K1177" s="24" t="s">
        <v>177</v>
      </c>
      <c r="L1177" s="24">
        <v>153</v>
      </c>
      <c r="M1177" s="12">
        <v>2521.0084033613452</v>
      </c>
      <c r="N1177" s="12">
        <v>2521.0084033613452</v>
      </c>
      <c r="O1177" s="12">
        <v>478.99159663865521</v>
      </c>
      <c r="P1177" s="13"/>
      <c r="Q1177" s="14">
        <v>2025</v>
      </c>
      <c r="R1177" s="15">
        <v>45444</v>
      </c>
      <c r="S1177" s="11" t="s">
        <v>453</v>
      </c>
      <c r="T1177" s="16">
        <v>0</v>
      </c>
      <c r="U1177" s="17"/>
      <c r="V1177" s="12">
        <v>758.82352941176487</v>
      </c>
      <c r="W1177" s="12">
        <v>758.82352941176487</v>
      </c>
      <c r="X1177" s="12">
        <v>0</v>
      </c>
      <c r="Y1177" s="18">
        <v>45831</v>
      </c>
      <c r="Z1177" s="13" t="s">
        <v>515</v>
      </c>
      <c r="AA1177" s="19" t="s">
        <v>373</v>
      </c>
      <c r="AB1177" s="13" t="s">
        <v>357</v>
      </c>
      <c r="AC1177" s="13" t="s">
        <v>549</v>
      </c>
      <c r="AD1177" s="20"/>
      <c r="AE1177" s="20"/>
      <c r="AF1177" s="13" t="s">
        <v>40</v>
      </c>
      <c r="AG1177" s="15">
        <v>45444</v>
      </c>
      <c r="AH1177" s="13" t="s">
        <v>41</v>
      </c>
      <c r="AI1177" s="13" t="s">
        <v>47</v>
      </c>
      <c r="AJ1177" s="13" t="s">
        <v>460</v>
      </c>
      <c r="AK1177" s="14">
        <v>-1</v>
      </c>
      <c r="AL1177" s="17"/>
      <c r="AM1177" s="17"/>
      <c r="AN1177" s="17"/>
      <c r="AO1177" s="17"/>
      <c r="AP1177" s="17"/>
      <c r="AQ1177" s="17"/>
      <c r="AR1177" s="17"/>
      <c r="AS1177" s="17"/>
      <c r="AT1177" s="17"/>
      <c r="AU1177" s="17"/>
      <c r="AV1177" s="17"/>
    </row>
    <row r="1178" spans="1:48" ht="15.75" customHeight="1">
      <c r="A1178" s="21" t="s">
        <v>53</v>
      </c>
      <c r="B1178" s="23" t="s">
        <v>1692</v>
      </c>
      <c r="C1178" s="22">
        <v>45833</v>
      </c>
      <c r="D1178" s="23" t="s">
        <v>225</v>
      </c>
      <c r="E1178" s="23" t="s">
        <v>162</v>
      </c>
      <c r="F1178" s="21">
        <v>1</v>
      </c>
      <c r="G1178" s="12">
        <v>9500.0304006809747</v>
      </c>
      <c r="H1178" s="12">
        <v>9500.0304006809747</v>
      </c>
      <c r="I1178" s="23" t="s">
        <v>52</v>
      </c>
      <c r="J1178" s="23" t="s">
        <v>61</v>
      </c>
      <c r="K1178" s="24" t="s">
        <v>177</v>
      </c>
      <c r="L1178" s="24">
        <v>153</v>
      </c>
      <c r="M1178" s="12">
        <v>7983.2188241016602</v>
      </c>
      <c r="N1178" s="12">
        <v>7983.2188241016602</v>
      </c>
      <c r="O1178" s="12">
        <v>1516.8115765793145</v>
      </c>
      <c r="P1178" s="13"/>
      <c r="Q1178" s="14">
        <v>2025</v>
      </c>
      <c r="R1178" s="15">
        <v>45444</v>
      </c>
      <c r="S1178" s="11" t="s">
        <v>437</v>
      </c>
      <c r="T1178" s="16">
        <v>0</v>
      </c>
      <c r="U1178" s="17"/>
      <c r="V1178" s="12">
        <v>2731.2188241016593</v>
      </c>
      <c r="W1178" s="12">
        <v>2731.2188241016593</v>
      </c>
      <c r="X1178" s="12">
        <v>0</v>
      </c>
      <c r="Y1178" s="18">
        <v>45831</v>
      </c>
      <c r="Z1178" s="13" t="s">
        <v>515</v>
      </c>
      <c r="AA1178" s="19" t="s">
        <v>373</v>
      </c>
      <c r="AB1178" s="13" t="s">
        <v>357</v>
      </c>
      <c r="AC1178" s="13" t="s">
        <v>549</v>
      </c>
      <c r="AD1178" s="20"/>
      <c r="AE1178" s="20"/>
      <c r="AF1178" s="13" t="s">
        <v>40</v>
      </c>
      <c r="AG1178" s="15">
        <v>45444</v>
      </c>
      <c r="AH1178" s="13" t="s">
        <v>41</v>
      </c>
      <c r="AI1178" s="13" t="s">
        <v>53</v>
      </c>
      <c r="AJ1178" s="13" t="s">
        <v>438</v>
      </c>
      <c r="AK1178" s="14">
        <v>-1</v>
      </c>
      <c r="AL1178" s="17"/>
      <c r="AM1178" s="17"/>
      <c r="AN1178" s="17"/>
      <c r="AO1178" s="17"/>
      <c r="AP1178" s="17"/>
      <c r="AQ1178" s="17"/>
      <c r="AR1178" s="17"/>
      <c r="AS1178" s="17"/>
      <c r="AT1178" s="17"/>
      <c r="AU1178" s="17"/>
      <c r="AV1178" s="17"/>
    </row>
    <row r="1179" spans="1:48" ht="15.75" customHeight="1">
      <c r="A1179" s="21" t="s">
        <v>43</v>
      </c>
      <c r="B1179" s="23" t="s">
        <v>1692</v>
      </c>
      <c r="C1179" s="22">
        <v>45833</v>
      </c>
      <c r="D1179" s="23" t="s">
        <v>142</v>
      </c>
      <c r="E1179" s="23" t="s">
        <v>45</v>
      </c>
      <c r="F1179" s="21">
        <v>1</v>
      </c>
      <c r="G1179" s="12">
        <v>8199.8861047835999</v>
      </c>
      <c r="H1179" s="12">
        <v>8199.8861047835999</v>
      </c>
      <c r="I1179" s="23" t="s">
        <v>52</v>
      </c>
      <c r="J1179" s="23" t="s">
        <v>61</v>
      </c>
      <c r="K1179" s="24" t="s">
        <v>177</v>
      </c>
      <c r="L1179" s="24">
        <v>153</v>
      </c>
      <c r="M1179" s="12">
        <v>6890.6605922551262</v>
      </c>
      <c r="N1179" s="12">
        <v>6890.6605922551262</v>
      </c>
      <c r="O1179" s="12">
        <v>1309.2255125284737</v>
      </c>
      <c r="P1179" s="13"/>
      <c r="Q1179" s="14">
        <v>2025</v>
      </c>
      <c r="R1179" s="15">
        <v>45444</v>
      </c>
      <c r="S1179" s="11" t="s">
        <v>355</v>
      </c>
      <c r="T1179" s="16">
        <v>0</v>
      </c>
      <c r="U1179" s="17"/>
      <c r="V1179" s="12">
        <v>1445.6605922551253</v>
      </c>
      <c r="W1179" s="12">
        <v>1445.6605922551253</v>
      </c>
      <c r="X1179" s="12">
        <v>0</v>
      </c>
      <c r="Y1179" s="18">
        <v>45831</v>
      </c>
      <c r="Z1179" s="13" t="s">
        <v>515</v>
      </c>
      <c r="AA1179" s="19" t="s">
        <v>361</v>
      </c>
      <c r="AB1179" s="13" t="s">
        <v>357</v>
      </c>
      <c r="AC1179" s="13" t="s">
        <v>489</v>
      </c>
      <c r="AD1179" s="20"/>
      <c r="AE1179" s="20"/>
      <c r="AF1179" s="13" t="s">
        <v>40</v>
      </c>
      <c r="AG1179" s="15">
        <v>45444</v>
      </c>
      <c r="AH1179" s="13" t="s">
        <v>41</v>
      </c>
      <c r="AI1179" s="13" t="s">
        <v>43</v>
      </c>
      <c r="AJ1179" s="13" t="s">
        <v>359</v>
      </c>
      <c r="AK1179" s="14">
        <v>-1</v>
      </c>
      <c r="AL1179" s="17"/>
      <c r="AM1179" s="17"/>
      <c r="AN1179" s="17"/>
      <c r="AO1179" s="17"/>
      <c r="AP1179" s="17"/>
      <c r="AQ1179" s="17"/>
      <c r="AR1179" s="17"/>
      <c r="AS1179" s="17"/>
      <c r="AT1179" s="17"/>
      <c r="AU1179" s="17"/>
      <c r="AV1179" s="17"/>
    </row>
    <row r="1180" spans="1:48" ht="15.75" customHeight="1">
      <c r="A1180" s="21" t="s">
        <v>76</v>
      </c>
      <c r="B1180" s="23" t="s">
        <v>1692</v>
      </c>
      <c r="C1180" s="22">
        <v>45833</v>
      </c>
      <c r="D1180" s="23" t="s">
        <v>142</v>
      </c>
      <c r="E1180" s="23" t="s">
        <v>77</v>
      </c>
      <c r="F1180" s="21">
        <v>1</v>
      </c>
      <c r="G1180" s="12">
        <v>1700.4255319148936</v>
      </c>
      <c r="H1180" s="12">
        <v>1700.4255319148936</v>
      </c>
      <c r="I1180" s="23" t="s">
        <v>52</v>
      </c>
      <c r="J1180" s="23" t="s">
        <v>61</v>
      </c>
      <c r="K1180" s="24" t="s">
        <v>177</v>
      </c>
      <c r="L1180" s="24">
        <v>153</v>
      </c>
      <c r="M1180" s="12">
        <v>1428.929018415877</v>
      </c>
      <c r="N1180" s="12">
        <v>1428.929018415877</v>
      </c>
      <c r="O1180" s="12">
        <v>271.4965134990166</v>
      </c>
      <c r="P1180" s="13"/>
      <c r="Q1180" s="14">
        <v>2025</v>
      </c>
      <c r="R1180" s="15">
        <v>45444</v>
      </c>
      <c r="S1180" s="11" t="s">
        <v>448</v>
      </c>
      <c r="T1180" s="16">
        <v>0</v>
      </c>
      <c r="U1180" s="17"/>
      <c r="V1180" s="12">
        <v>589.43322009654923</v>
      </c>
      <c r="W1180" s="12">
        <v>589.43322009654923</v>
      </c>
      <c r="X1180" s="12">
        <v>0</v>
      </c>
      <c r="Y1180" s="18">
        <v>45831</v>
      </c>
      <c r="Z1180" s="13" t="s">
        <v>515</v>
      </c>
      <c r="AA1180" s="19" t="s">
        <v>361</v>
      </c>
      <c r="AB1180" s="13" t="s">
        <v>357</v>
      </c>
      <c r="AC1180" s="13" t="s">
        <v>489</v>
      </c>
      <c r="AD1180" s="20"/>
      <c r="AE1180" s="20"/>
      <c r="AF1180" s="13" t="s">
        <v>40</v>
      </c>
      <c r="AG1180" s="15">
        <v>45444</v>
      </c>
      <c r="AH1180" s="13" t="s">
        <v>41</v>
      </c>
      <c r="AI1180" s="13" t="s">
        <v>76</v>
      </c>
      <c r="AJ1180" s="13" t="s">
        <v>457</v>
      </c>
      <c r="AK1180" s="14">
        <v>-1</v>
      </c>
      <c r="AL1180" s="17"/>
      <c r="AM1180" s="17"/>
      <c r="AN1180" s="17"/>
      <c r="AO1180" s="17"/>
      <c r="AP1180" s="17"/>
      <c r="AQ1180" s="17"/>
      <c r="AR1180" s="17"/>
      <c r="AS1180" s="17"/>
      <c r="AT1180" s="17"/>
      <c r="AU1180" s="17"/>
      <c r="AV1180" s="17"/>
    </row>
    <row r="1181" spans="1:48" ht="15.75" customHeight="1">
      <c r="A1181" s="21" t="s">
        <v>76</v>
      </c>
      <c r="B1181" s="23" t="s">
        <v>1692</v>
      </c>
      <c r="C1181" s="22">
        <v>45833</v>
      </c>
      <c r="D1181" s="23" t="s">
        <v>142</v>
      </c>
      <c r="E1181" s="23" t="s">
        <v>82</v>
      </c>
      <c r="F1181" s="21">
        <v>1</v>
      </c>
      <c r="G1181" s="12">
        <v>2000.0000000000002</v>
      </c>
      <c r="H1181" s="12">
        <v>2000.0000000000002</v>
      </c>
      <c r="I1181" s="23" t="s">
        <v>52</v>
      </c>
      <c r="J1181" s="23" t="s">
        <v>61</v>
      </c>
      <c r="K1181" s="24" t="s">
        <v>177</v>
      </c>
      <c r="L1181" s="24">
        <v>153</v>
      </c>
      <c r="M1181" s="12">
        <v>1680.6722689075632</v>
      </c>
      <c r="N1181" s="12">
        <v>1680.6722689075632</v>
      </c>
      <c r="O1181" s="12">
        <v>319.32773109243703</v>
      </c>
      <c r="P1181" s="13"/>
      <c r="Q1181" s="14">
        <v>2025</v>
      </c>
      <c r="R1181" s="15">
        <v>45444</v>
      </c>
      <c r="S1181" s="11" t="s">
        <v>463</v>
      </c>
      <c r="T1181" s="16">
        <v>5</v>
      </c>
      <c r="U1181" s="17"/>
      <c r="V1181" s="12">
        <v>680.67226890756319</v>
      </c>
      <c r="W1181" s="12">
        <v>680.67226890756319</v>
      </c>
      <c r="X1181" s="12">
        <v>0</v>
      </c>
      <c r="Y1181" s="18">
        <v>45831</v>
      </c>
      <c r="Z1181" s="13" t="s">
        <v>515</v>
      </c>
      <c r="AA1181" s="19" t="s">
        <v>361</v>
      </c>
      <c r="AB1181" s="13" t="s">
        <v>357</v>
      </c>
      <c r="AC1181" s="13" t="s">
        <v>489</v>
      </c>
      <c r="AD1181" s="20"/>
      <c r="AE1181" s="20"/>
      <c r="AF1181" s="13" t="s">
        <v>40</v>
      </c>
      <c r="AG1181" s="15">
        <v>45444</v>
      </c>
      <c r="AH1181" s="13" t="s">
        <v>41</v>
      </c>
      <c r="AI1181" s="13" t="s">
        <v>76</v>
      </c>
      <c r="AJ1181" s="13" t="s">
        <v>464</v>
      </c>
      <c r="AK1181" s="14">
        <v>-1</v>
      </c>
      <c r="AL1181" s="17"/>
      <c r="AM1181" s="17"/>
      <c r="AN1181" s="17"/>
      <c r="AO1181" s="17"/>
      <c r="AP1181" s="17"/>
      <c r="AQ1181" s="17"/>
      <c r="AR1181" s="17"/>
      <c r="AS1181" s="17"/>
      <c r="AT1181" s="17"/>
      <c r="AU1181" s="17"/>
      <c r="AV1181" s="17"/>
    </row>
    <row r="1182" spans="1:48" ht="15.75" customHeight="1">
      <c r="A1182" s="21" t="s">
        <v>76</v>
      </c>
      <c r="B1182" s="23" t="s">
        <v>1692</v>
      </c>
      <c r="C1182" s="22">
        <v>45833</v>
      </c>
      <c r="D1182" s="23" t="s">
        <v>142</v>
      </c>
      <c r="E1182" s="23" t="s">
        <v>137</v>
      </c>
      <c r="F1182" s="21">
        <v>1</v>
      </c>
      <c r="G1182" s="12">
        <v>3500.0000000000005</v>
      </c>
      <c r="H1182" s="12">
        <v>3500.0000000000005</v>
      </c>
      <c r="I1182" s="23" t="s">
        <v>52</v>
      </c>
      <c r="J1182" s="23" t="s">
        <v>61</v>
      </c>
      <c r="K1182" s="24" t="s">
        <v>177</v>
      </c>
      <c r="L1182" s="24">
        <v>153</v>
      </c>
      <c r="M1182" s="12">
        <v>2941.1764705882356</v>
      </c>
      <c r="N1182" s="12">
        <v>2941.1764705882356</v>
      </c>
      <c r="O1182" s="12">
        <v>558.82352941176487</v>
      </c>
      <c r="P1182" s="13"/>
      <c r="Q1182" s="14">
        <v>2025</v>
      </c>
      <c r="R1182" s="15">
        <v>45444</v>
      </c>
      <c r="S1182" s="11" t="s">
        <v>406</v>
      </c>
      <c r="T1182" s="16">
        <v>5</v>
      </c>
      <c r="U1182" s="17"/>
      <c r="V1182" s="12">
        <v>848.73949579831969</v>
      </c>
      <c r="W1182" s="12">
        <v>848.73949579831969</v>
      </c>
      <c r="X1182" s="12">
        <v>0</v>
      </c>
      <c r="Y1182" s="18">
        <v>45831</v>
      </c>
      <c r="Z1182" s="13" t="s">
        <v>515</v>
      </c>
      <c r="AA1182" s="19" t="s">
        <v>361</v>
      </c>
      <c r="AB1182" s="13" t="s">
        <v>357</v>
      </c>
      <c r="AC1182" s="13" t="s">
        <v>489</v>
      </c>
      <c r="AD1182" s="20"/>
      <c r="AE1182" s="20"/>
      <c r="AF1182" s="13" t="s">
        <v>40</v>
      </c>
      <c r="AG1182" s="15">
        <v>45444</v>
      </c>
      <c r="AH1182" s="13" t="s">
        <v>41</v>
      </c>
      <c r="AI1182" s="13" t="s">
        <v>76</v>
      </c>
      <c r="AJ1182" s="13" t="s">
        <v>407</v>
      </c>
      <c r="AK1182" s="14">
        <v>-1</v>
      </c>
      <c r="AL1182" s="17"/>
      <c r="AM1182" s="17"/>
      <c r="AN1182" s="17"/>
      <c r="AO1182" s="17"/>
      <c r="AP1182" s="17"/>
      <c r="AQ1182" s="17"/>
      <c r="AR1182" s="17"/>
      <c r="AS1182" s="17"/>
      <c r="AT1182" s="17"/>
      <c r="AU1182" s="17"/>
      <c r="AV1182" s="17"/>
    </row>
    <row r="1183" spans="1:48" ht="15.75" customHeight="1">
      <c r="A1183" s="21" t="s">
        <v>43</v>
      </c>
      <c r="B1183" s="23" t="s">
        <v>1692</v>
      </c>
      <c r="C1183" s="22">
        <v>45833</v>
      </c>
      <c r="D1183" s="23" t="s">
        <v>241</v>
      </c>
      <c r="E1183" s="23" t="s">
        <v>45</v>
      </c>
      <c r="F1183" s="21">
        <v>1</v>
      </c>
      <c r="G1183" s="12">
        <v>8199.8861047835999</v>
      </c>
      <c r="H1183" s="12">
        <v>8199.8861047835999</v>
      </c>
      <c r="I1183" s="23" t="s">
        <v>52</v>
      </c>
      <c r="J1183" s="23" t="s">
        <v>61</v>
      </c>
      <c r="K1183" s="24" t="s">
        <v>177</v>
      </c>
      <c r="L1183" s="24">
        <v>153</v>
      </c>
      <c r="M1183" s="12">
        <v>6890.6605922551262</v>
      </c>
      <c r="N1183" s="12">
        <v>6890.6605922551262</v>
      </c>
      <c r="O1183" s="12">
        <v>1309.2255125284737</v>
      </c>
      <c r="P1183" s="13"/>
      <c r="Q1183" s="14">
        <v>2025</v>
      </c>
      <c r="R1183" s="15">
        <v>45444</v>
      </c>
      <c r="S1183" s="11" t="s">
        <v>355</v>
      </c>
      <c r="T1183" s="16">
        <v>0</v>
      </c>
      <c r="U1183" s="17"/>
      <c r="V1183" s="12">
        <v>1445.6605922551253</v>
      </c>
      <c r="W1183" s="12">
        <v>1445.6605922551253</v>
      </c>
      <c r="X1183" s="12">
        <v>0</v>
      </c>
      <c r="Y1183" s="18">
        <v>45831</v>
      </c>
      <c r="Z1183" s="13" t="s">
        <v>515</v>
      </c>
      <c r="AA1183" s="19" t="s">
        <v>373</v>
      </c>
      <c r="AB1183" s="13" t="s">
        <v>357</v>
      </c>
      <c r="AC1183" s="13" t="s">
        <v>488</v>
      </c>
      <c r="AD1183" s="20"/>
      <c r="AE1183" s="20"/>
      <c r="AF1183" s="13" t="s">
        <v>40</v>
      </c>
      <c r="AG1183" s="15">
        <v>45444</v>
      </c>
      <c r="AH1183" s="13" t="s">
        <v>41</v>
      </c>
      <c r="AI1183" s="13" t="s">
        <v>43</v>
      </c>
      <c r="AJ1183" s="13" t="s">
        <v>359</v>
      </c>
      <c r="AK1183" s="14">
        <v>-1</v>
      </c>
      <c r="AL1183" s="17"/>
      <c r="AM1183" s="17"/>
      <c r="AN1183" s="17"/>
      <c r="AO1183" s="17"/>
      <c r="AP1183" s="17"/>
      <c r="AQ1183" s="17"/>
      <c r="AR1183" s="17"/>
      <c r="AS1183" s="17"/>
      <c r="AT1183" s="17"/>
      <c r="AU1183" s="17"/>
      <c r="AV1183" s="17"/>
    </row>
    <row r="1184" spans="1:48" ht="15.75" customHeight="1">
      <c r="A1184" s="21" t="s">
        <v>53</v>
      </c>
      <c r="B1184" s="23" t="s">
        <v>1692</v>
      </c>
      <c r="C1184" s="22">
        <v>45833</v>
      </c>
      <c r="D1184" s="23" t="s">
        <v>265</v>
      </c>
      <c r="E1184" s="23" t="s">
        <v>97</v>
      </c>
      <c r="F1184" s="21">
        <v>1</v>
      </c>
      <c r="G1184" s="12">
        <v>16500.236769693482</v>
      </c>
      <c r="H1184" s="12">
        <v>16500.236769693482</v>
      </c>
      <c r="I1184" s="23" t="s">
        <v>52</v>
      </c>
      <c r="J1184" s="23" t="s">
        <v>61</v>
      </c>
      <c r="K1184" s="24" t="s">
        <v>177</v>
      </c>
      <c r="L1184" s="24">
        <v>153</v>
      </c>
      <c r="M1184" s="12">
        <v>13865.745184616371</v>
      </c>
      <c r="N1184" s="12">
        <v>13865.745184616371</v>
      </c>
      <c r="O1184" s="12">
        <v>2634.4915850771104</v>
      </c>
      <c r="P1184" s="13"/>
      <c r="Q1184" s="14">
        <v>2025</v>
      </c>
      <c r="R1184" s="15">
        <v>45444</v>
      </c>
      <c r="S1184" s="11" t="s">
        <v>366</v>
      </c>
      <c r="T1184" s="16">
        <v>0</v>
      </c>
      <c r="U1184" s="17"/>
      <c r="V1184" s="12">
        <v>3031.7451846163694</v>
      </c>
      <c r="W1184" s="12">
        <v>3031.7451846163694</v>
      </c>
      <c r="X1184" s="12">
        <v>0</v>
      </c>
      <c r="Y1184" s="18">
        <v>45831</v>
      </c>
      <c r="Z1184" s="13" t="s">
        <v>515</v>
      </c>
      <c r="AA1184" s="19" t="s">
        <v>373</v>
      </c>
      <c r="AB1184" s="13" t="s">
        <v>357</v>
      </c>
      <c r="AC1184" s="13" t="s">
        <v>470</v>
      </c>
      <c r="AD1184" s="20"/>
      <c r="AE1184" s="20"/>
      <c r="AF1184" s="13" t="s">
        <v>40</v>
      </c>
      <c r="AG1184" s="15">
        <v>45444</v>
      </c>
      <c r="AH1184" s="13" t="s">
        <v>41</v>
      </c>
      <c r="AI1184" s="13" t="s">
        <v>53</v>
      </c>
      <c r="AJ1184" s="13" t="s">
        <v>368</v>
      </c>
      <c r="AK1184" s="14">
        <v>-6</v>
      </c>
      <c r="AL1184" s="17"/>
      <c r="AM1184" s="17"/>
      <c r="AN1184" s="17"/>
      <c r="AO1184" s="17"/>
      <c r="AP1184" s="17"/>
      <c r="AQ1184" s="17"/>
      <c r="AR1184" s="17"/>
      <c r="AS1184" s="17"/>
      <c r="AT1184" s="17"/>
      <c r="AU1184" s="17"/>
      <c r="AV1184" s="17"/>
    </row>
    <row r="1185" spans="1:48" ht="15.75" customHeight="1">
      <c r="A1185" s="21" t="s">
        <v>43</v>
      </c>
      <c r="B1185" s="23" t="s">
        <v>1692</v>
      </c>
      <c r="C1185" s="22">
        <v>45833</v>
      </c>
      <c r="D1185" s="23" t="s">
        <v>215</v>
      </c>
      <c r="E1185" s="23" t="s">
        <v>45</v>
      </c>
      <c r="F1185" s="21">
        <v>1</v>
      </c>
      <c r="G1185" s="12">
        <v>8199.8861047835999</v>
      </c>
      <c r="H1185" s="12">
        <v>8199.8861047835999</v>
      </c>
      <c r="I1185" s="23" t="s">
        <v>52</v>
      </c>
      <c r="J1185" s="23" t="s">
        <v>61</v>
      </c>
      <c r="K1185" s="24" t="s">
        <v>177</v>
      </c>
      <c r="L1185" s="24">
        <v>153</v>
      </c>
      <c r="M1185" s="12">
        <v>6890.6605922551262</v>
      </c>
      <c r="N1185" s="12">
        <v>6890.6605922551262</v>
      </c>
      <c r="O1185" s="12">
        <v>1309.2255125284737</v>
      </c>
      <c r="P1185" s="13"/>
      <c r="Q1185" s="14">
        <v>2025</v>
      </c>
      <c r="R1185" s="15">
        <v>45444</v>
      </c>
      <c r="S1185" s="11" t="s">
        <v>355</v>
      </c>
      <c r="T1185" s="16">
        <v>0</v>
      </c>
      <c r="U1185" s="17"/>
      <c r="V1185" s="12">
        <v>1445.6605922551253</v>
      </c>
      <c r="W1185" s="12">
        <v>1445.6605922551253</v>
      </c>
      <c r="X1185" s="12">
        <v>0</v>
      </c>
      <c r="Y1185" s="18">
        <v>45831</v>
      </c>
      <c r="Z1185" s="13" t="s">
        <v>515</v>
      </c>
      <c r="AA1185" s="19" t="s">
        <v>373</v>
      </c>
      <c r="AB1185" s="13" t="s">
        <v>357</v>
      </c>
      <c r="AC1185" s="13" t="s">
        <v>465</v>
      </c>
      <c r="AD1185" s="20"/>
      <c r="AE1185" s="20"/>
      <c r="AF1185" s="13" t="s">
        <v>40</v>
      </c>
      <c r="AG1185" s="15">
        <v>45444</v>
      </c>
      <c r="AH1185" s="13" t="s">
        <v>41</v>
      </c>
      <c r="AI1185" s="13" t="s">
        <v>43</v>
      </c>
      <c r="AJ1185" s="13" t="s">
        <v>359</v>
      </c>
      <c r="AK1185" s="14">
        <v>-1</v>
      </c>
      <c r="AL1185" s="17"/>
      <c r="AM1185" s="17"/>
      <c r="AN1185" s="17"/>
      <c r="AO1185" s="17"/>
      <c r="AP1185" s="17"/>
      <c r="AQ1185" s="17"/>
      <c r="AR1185" s="17"/>
      <c r="AS1185" s="17"/>
      <c r="AT1185" s="17"/>
      <c r="AU1185" s="17"/>
      <c r="AV1185" s="17"/>
    </row>
    <row r="1186" spans="1:48" ht="15.75" customHeight="1">
      <c r="A1186" s="21" t="s">
        <v>53</v>
      </c>
      <c r="B1186" s="23" t="s">
        <v>1692</v>
      </c>
      <c r="C1186" s="22">
        <v>45833</v>
      </c>
      <c r="D1186" s="23" t="s">
        <v>215</v>
      </c>
      <c r="E1186" s="23" t="s">
        <v>55</v>
      </c>
      <c r="F1186" s="21">
        <v>1</v>
      </c>
      <c r="G1186" s="12">
        <v>20899.657134519988</v>
      </c>
      <c r="H1186" s="12">
        <v>20899.657134519988</v>
      </c>
      <c r="I1186" s="23" t="s">
        <v>52</v>
      </c>
      <c r="J1186" s="23" t="s">
        <v>61</v>
      </c>
      <c r="K1186" s="24" t="s">
        <v>177</v>
      </c>
      <c r="L1186" s="24">
        <v>153</v>
      </c>
      <c r="M1186" s="12">
        <v>17562.737087831923</v>
      </c>
      <c r="N1186" s="12">
        <v>17562.737087831923</v>
      </c>
      <c r="O1186" s="12">
        <v>3336.9200466880648</v>
      </c>
      <c r="P1186" s="13"/>
      <c r="Q1186" s="14">
        <v>2025</v>
      </c>
      <c r="R1186" s="15">
        <v>45444</v>
      </c>
      <c r="S1186" s="11" t="s">
        <v>366</v>
      </c>
      <c r="T1186" s="16">
        <v>0</v>
      </c>
      <c r="U1186" s="17"/>
      <c r="V1186" s="12">
        <v>3117.7370878319234</v>
      </c>
      <c r="W1186" s="12">
        <v>3117.7370878319234</v>
      </c>
      <c r="X1186" s="12">
        <v>0</v>
      </c>
      <c r="Y1186" s="18">
        <v>45831</v>
      </c>
      <c r="Z1186" s="13" t="s">
        <v>515</v>
      </c>
      <c r="AA1186" s="19" t="s">
        <v>373</v>
      </c>
      <c r="AB1186" s="13" t="s">
        <v>357</v>
      </c>
      <c r="AC1186" s="13" t="s">
        <v>465</v>
      </c>
      <c r="AD1186" s="20"/>
      <c r="AE1186" s="20"/>
      <c r="AF1186" s="13" t="s">
        <v>40</v>
      </c>
      <c r="AG1186" s="15">
        <v>45444</v>
      </c>
      <c r="AH1186" s="13" t="s">
        <v>41</v>
      </c>
      <c r="AI1186" s="13" t="s">
        <v>53</v>
      </c>
      <c r="AJ1186" s="13" t="s">
        <v>368</v>
      </c>
      <c r="AK1186" s="14">
        <v>-8</v>
      </c>
      <c r="AL1186" s="17"/>
      <c r="AM1186" s="17"/>
      <c r="AN1186" s="17"/>
      <c r="AO1186" s="17"/>
      <c r="AP1186" s="17"/>
      <c r="AQ1186" s="17"/>
      <c r="AR1186" s="17"/>
      <c r="AS1186" s="17"/>
      <c r="AT1186" s="17"/>
      <c r="AU1186" s="17"/>
      <c r="AV1186" s="17"/>
    </row>
    <row r="1187" spans="1:48" ht="15.75" customHeight="1">
      <c r="A1187" s="21" t="s">
        <v>76</v>
      </c>
      <c r="B1187" s="23" t="s">
        <v>1692</v>
      </c>
      <c r="C1187" s="22">
        <v>45833</v>
      </c>
      <c r="D1187" s="23" t="s">
        <v>215</v>
      </c>
      <c r="E1187" s="23" t="s">
        <v>216</v>
      </c>
      <c r="F1187" s="21">
        <v>1</v>
      </c>
      <c r="G1187" s="12">
        <v>4300</v>
      </c>
      <c r="H1187" s="12">
        <v>4300</v>
      </c>
      <c r="I1187" s="23" t="s">
        <v>52</v>
      </c>
      <c r="J1187" s="23" t="s">
        <v>61</v>
      </c>
      <c r="K1187" s="24" t="s">
        <v>177</v>
      </c>
      <c r="L1187" s="24">
        <v>153</v>
      </c>
      <c r="M1187" s="12">
        <v>3613.4453781512607</v>
      </c>
      <c r="N1187" s="12">
        <v>3613.4453781512607</v>
      </c>
      <c r="O1187" s="12">
        <v>686.55462184873932</v>
      </c>
      <c r="P1187" s="13"/>
      <c r="Q1187" s="14">
        <v>2025</v>
      </c>
      <c r="R1187" s="15">
        <v>45444</v>
      </c>
      <c r="S1187" s="11" t="s">
        <v>479</v>
      </c>
      <c r="T1187" s="16">
        <v>5</v>
      </c>
      <c r="U1187" s="17"/>
      <c r="V1187" s="12">
        <v>1134.453781512605</v>
      </c>
      <c r="W1187" s="12">
        <v>1134.453781512605</v>
      </c>
      <c r="X1187" s="12">
        <v>0</v>
      </c>
      <c r="Y1187" s="18">
        <v>45831</v>
      </c>
      <c r="Z1187" s="13" t="s">
        <v>515</v>
      </c>
      <c r="AA1187" s="19" t="s">
        <v>373</v>
      </c>
      <c r="AB1187" s="13" t="s">
        <v>357</v>
      </c>
      <c r="AC1187" s="13" t="s">
        <v>465</v>
      </c>
      <c r="AD1187" s="20"/>
      <c r="AE1187" s="20"/>
      <c r="AF1187" s="13" t="s">
        <v>40</v>
      </c>
      <c r="AG1187" s="15">
        <v>45444</v>
      </c>
      <c r="AH1187" s="13" t="s">
        <v>41</v>
      </c>
      <c r="AI1187" s="13" t="s">
        <v>76</v>
      </c>
      <c r="AJ1187" s="13" t="s">
        <v>546</v>
      </c>
      <c r="AK1187" s="14">
        <v>-1</v>
      </c>
      <c r="AL1187" s="17"/>
      <c r="AM1187" s="17"/>
      <c r="AN1187" s="17"/>
      <c r="AO1187" s="17"/>
      <c r="AP1187" s="17"/>
      <c r="AQ1187" s="17"/>
      <c r="AR1187" s="17"/>
      <c r="AS1187" s="17"/>
      <c r="AT1187" s="17"/>
      <c r="AU1187" s="17"/>
      <c r="AV1187" s="17"/>
    </row>
    <row r="1188" spans="1:48" ht="15.75" customHeight="1">
      <c r="A1188" s="21" t="s">
        <v>76</v>
      </c>
      <c r="B1188" s="23" t="s">
        <v>1692</v>
      </c>
      <c r="C1188" s="22">
        <v>45833</v>
      </c>
      <c r="D1188" s="23" t="s">
        <v>215</v>
      </c>
      <c r="E1188" s="23" t="s">
        <v>349</v>
      </c>
      <c r="F1188" s="21">
        <v>1</v>
      </c>
      <c r="G1188" s="12">
        <v>3999.8127946357149</v>
      </c>
      <c r="H1188" s="12">
        <v>3999.8127946357149</v>
      </c>
      <c r="I1188" s="23" t="s">
        <v>52</v>
      </c>
      <c r="J1188" s="23" t="s">
        <v>61</v>
      </c>
      <c r="K1188" s="24" t="s">
        <v>177</v>
      </c>
      <c r="L1188" s="24">
        <v>153</v>
      </c>
      <c r="M1188" s="12">
        <v>3361.1872223829537</v>
      </c>
      <c r="N1188" s="12">
        <v>3361.1872223829537</v>
      </c>
      <c r="O1188" s="12">
        <v>638.62557225276123</v>
      </c>
      <c r="P1188" s="13"/>
      <c r="Q1188" s="14">
        <v>2025</v>
      </c>
      <c r="R1188" s="15">
        <v>45444</v>
      </c>
      <c r="S1188" s="11" t="s">
        <v>550</v>
      </c>
      <c r="T1188" s="16">
        <v>5</v>
      </c>
      <c r="U1188" s="17"/>
      <c r="V1188" s="12">
        <v>1386.1872223829537</v>
      </c>
      <c r="W1188" s="12">
        <v>1386.1872223829537</v>
      </c>
      <c r="X1188" s="12">
        <v>0</v>
      </c>
      <c r="Y1188" s="18">
        <v>45831</v>
      </c>
      <c r="Z1188" s="13" t="s">
        <v>515</v>
      </c>
      <c r="AA1188" s="19" t="s">
        <v>373</v>
      </c>
      <c r="AB1188" s="13" t="s">
        <v>357</v>
      </c>
      <c r="AC1188" s="13" t="s">
        <v>465</v>
      </c>
      <c r="AD1188" s="20"/>
      <c r="AE1188" s="20"/>
      <c r="AF1188" s="13" t="s">
        <v>40</v>
      </c>
      <c r="AG1188" s="15">
        <v>45444</v>
      </c>
      <c r="AH1188" s="13" t="s">
        <v>41</v>
      </c>
      <c r="AI1188" s="13" t="s">
        <v>76</v>
      </c>
      <c r="AJ1188" s="13" t="s">
        <v>551</v>
      </c>
      <c r="AK1188" s="14">
        <v>-1</v>
      </c>
      <c r="AL1188" s="17"/>
      <c r="AM1188" s="17"/>
      <c r="AN1188" s="17"/>
      <c r="AO1188" s="17"/>
      <c r="AP1188" s="17"/>
      <c r="AQ1188" s="17"/>
      <c r="AR1188" s="17"/>
      <c r="AS1188" s="17"/>
      <c r="AT1188" s="17"/>
      <c r="AU1188" s="17"/>
      <c r="AV1188" s="17"/>
    </row>
    <row r="1189" spans="1:48" ht="15.75" customHeight="1">
      <c r="A1189" s="21" t="s">
        <v>76</v>
      </c>
      <c r="B1189" s="23" t="s">
        <v>1692</v>
      </c>
      <c r="C1189" s="22">
        <v>45833</v>
      </c>
      <c r="D1189" s="23" t="s">
        <v>215</v>
      </c>
      <c r="E1189" s="23" t="s">
        <v>166</v>
      </c>
      <c r="F1189" s="21">
        <v>1</v>
      </c>
      <c r="G1189" s="12">
        <v>3500.0000000000005</v>
      </c>
      <c r="H1189" s="12">
        <v>3500.0000000000005</v>
      </c>
      <c r="I1189" s="23" t="s">
        <v>52</v>
      </c>
      <c r="J1189" s="23" t="s">
        <v>61</v>
      </c>
      <c r="K1189" s="24" t="s">
        <v>177</v>
      </c>
      <c r="L1189" s="24">
        <v>153</v>
      </c>
      <c r="M1189" s="12">
        <v>2941.1764705882356</v>
      </c>
      <c r="N1189" s="12">
        <v>2941.1764705882356</v>
      </c>
      <c r="O1189" s="12">
        <v>558.82352941176487</v>
      </c>
      <c r="P1189" s="13"/>
      <c r="Q1189" s="14">
        <v>2025</v>
      </c>
      <c r="R1189" s="15">
        <v>45444</v>
      </c>
      <c r="S1189" s="11" t="s">
        <v>448</v>
      </c>
      <c r="T1189" s="16">
        <v>5</v>
      </c>
      <c r="U1189" s="17"/>
      <c r="V1189" s="12">
        <v>1016.8067226890757</v>
      </c>
      <c r="W1189" s="12">
        <v>1016.8067226890757</v>
      </c>
      <c r="X1189" s="12">
        <v>0</v>
      </c>
      <c r="Y1189" s="18">
        <v>45831</v>
      </c>
      <c r="Z1189" s="13" t="s">
        <v>515</v>
      </c>
      <c r="AA1189" s="19" t="s">
        <v>373</v>
      </c>
      <c r="AB1189" s="13" t="s">
        <v>357</v>
      </c>
      <c r="AC1189" s="13" t="s">
        <v>465</v>
      </c>
      <c r="AD1189" s="20"/>
      <c r="AE1189" s="20"/>
      <c r="AF1189" s="13" t="s">
        <v>40</v>
      </c>
      <c r="AG1189" s="15">
        <v>45444</v>
      </c>
      <c r="AH1189" s="13" t="s">
        <v>41</v>
      </c>
      <c r="AI1189" s="13" t="s">
        <v>76</v>
      </c>
      <c r="AJ1189" s="13" t="s">
        <v>449</v>
      </c>
      <c r="AK1189" s="14">
        <v>-1</v>
      </c>
      <c r="AL1189" s="17"/>
      <c r="AM1189" s="17"/>
      <c r="AN1189" s="17"/>
      <c r="AO1189" s="17"/>
      <c r="AP1189" s="17"/>
      <c r="AQ1189" s="17"/>
      <c r="AR1189" s="17"/>
      <c r="AS1189" s="17"/>
      <c r="AT1189" s="17"/>
      <c r="AU1189" s="17"/>
      <c r="AV1189" s="17"/>
    </row>
    <row r="1190" spans="1:48" ht="15.75" customHeight="1">
      <c r="A1190" s="21" t="s">
        <v>76</v>
      </c>
      <c r="B1190" s="23" t="s">
        <v>1692</v>
      </c>
      <c r="C1190" s="22">
        <v>45833</v>
      </c>
      <c r="D1190" s="23" t="s">
        <v>215</v>
      </c>
      <c r="E1190" s="23" t="s">
        <v>110</v>
      </c>
      <c r="F1190" s="21">
        <v>1</v>
      </c>
      <c r="G1190" s="12">
        <v>2000.0000000000005</v>
      </c>
      <c r="H1190" s="12">
        <v>2000.0000000000005</v>
      </c>
      <c r="I1190" s="23" t="s">
        <v>52</v>
      </c>
      <c r="J1190" s="23" t="s">
        <v>61</v>
      </c>
      <c r="K1190" s="24" t="s">
        <v>177</v>
      </c>
      <c r="L1190" s="24">
        <v>153</v>
      </c>
      <c r="M1190" s="12">
        <v>1680.6722689075634</v>
      </c>
      <c r="N1190" s="12">
        <v>1680.6722689075634</v>
      </c>
      <c r="O1190" s="12">
        <v>319.32773109243703</v>
      </c>
      <c r="P1190" s="13"/>
      <c r="Q1190" s="14">
        <v>2025</v>
      </c>
      <c r="R1190" s="15">
        <v>45444</v>
      </c>
      <c r="S1190" s="11" t="s">
        <v>378</v>
      </c>
      <c r="T1190" s="16">
        <v>5</v>
      </c>
      <c r="U1190" s="17"/>
      <c r="V1190" s="12">
        <v>756.30252100840369</v>
      </c>
      <c r="W1190" s="12">
        <v>756.30252100840369</v>
      </c>
      <c r="X1190" s="12">
        <v>0</v>
      </c>
      <c r="Y1190" s="18">
        <v>45831</v>
      </c>
      <c r="Z1190" s="13" t="s">
        <v>515</v>
      </c>
      <c r="AA1190" s="19" t="s">
        <v>373</v>
      </c>
      <c r="AB1190" s="13" t="s">
        <v>357</v>
      </c>
      <c r="AC1190" s="13" t="s">
        <v>465</v>
      </c>
      <c r="AD1190" s="20"/>
      <c r="AE1190" s="20"/>
      <c r="AF1190" s="13" t="s">
        <v>40</v>
      </c>
      <c r="AG1190" s="15">
        <v>45444</v>
      </c>
      <c r="AH1190" s="13" t="s">
        <v>41</v>
      </c>
      <c r="AI1190" s="13" t="s">
        <v>76</v>
      </c>
      <c r="AJ1190" s="13" t="s">
        <v>379</v>
      </c>
      <c r="AK1190" s="14">
        <v>-1</v>
      </c>
      <c r="AL1190" s="17"/>
      <c r="AM1190" s="17"/>
      <c r="AN1190" s="17"/>
      <c r="AO1190" s="17"/>
      <c r="AP1190" s="17"/>
      <c r="AQ1190" s="17"/>
      <c r="AR1190" s="17"/>
      <c r="AS1190" s="17"/>
      <c r="AT1190" s="17"/>
      <c r="AU1190" s="17"/>
      <c r="AV1190" s="17"/>
    </row>
    <row r="1191" spans="1:48" ht="15.75" customHeight="1">
      <c r="A1191" s="21" t="s">
        <v>76</v>
      </c>
      <c r="B1191" s="23" t="s">
        <v>1692</v>
      </c>
      <c r="C1191" s="22">
        <v>45833</v>
      </c>
      <c r="D1191" s="23" t="s">
        <v>215</v>
      </c>
      <c r="E1191" s="23" t="s">
        <v>82</v>
      </c>
      <c r="F1191" s="21">
        <v>1</v>
      </c>
      <c r="G1191" s="12">
        <v>2000.0000000000002</v>
      </c>
      <c r="H1191" s="12">
        <v>2000.0000000000002</v>
      </c>
      <c r="I1191" s="23" t="s">
        <v>52</v>
      </c>
      <c r="J1191" s="23" t="s">
        <v>61</v>
      </c>
      <c r="K1191" s="24" t="s">
        <v>177</v>
      </c>
      <c r="L1191" s="24">
        <v>153</v>
      </c>
      <c r="M1191" s="12">
        <v>1680.6722689075632</v>
      </c>
      <c r="N1191" s="12">
        <v>1680.6722689075632</v>
      </c>
      <c r="O1191" s="12">
        <v>319.32773109243703</v>
      </c>
      <c r="P1191" s="13"/>
      <c r="Q1191" s="14">
        <v>2025</v>
      </c>
      <c r="R1191" s="15">
        <v>45444</v>
      </c>
      <c r="S1191" s="11" t="s">
        <v>463</v>
      </c>
      <c r="T1191" s="16">
        <v>5</v>
      </c>
      <c r="U1191" s="17"/>
      <c r="V1191" s="12">
        <v>680.67226890756319</v>
      </c>
      <c r="W1191" s="12">
        <v>680.67226890756319</v>
      </c>
      <c r="X1191" s="12">
        <v>0</v>
      </c>
      <c r="Y1191" s="18">
        <v>45831</v>
      </c>
      <c r="Z1191" s="13" t="s">
        <v>515</v>
      </c>
      <c r="AA1191" s="19" t="s">
        <v>373</v>
      </c>
      <c r="AB1191" s="13" t="s">
        <v>357</v>
      </c>
      <c r="AC1191" s="13" t="s">
        <v>465</v>
      </c>
      <c r="AD1191" s="20"/>
      <c r="AE1191" s="20"/>
      <c r="AF1191" s="13" t="s">
        <v>40</v>
      </c>
      <c r="AG1191" s="15">
        <v>45444</v>
      </c>
      <c r="AH1191" s="13" t="s">
        <v>41</v>
      </c>
      <c r="AI1191" s="13" t="s">
        <v>76</v>
      </c>
      <c r="AJ1191" s="13" t="s">
        <v>464</v>
      </c>
      <c r="AK1191" s="14">
        <v>-1</v>
      </c>
      <c r="AL1191" s="17"/>
      <c r="AM1191" s="17"/>
      <c r="AN1191" s="17"/>
      <c r="AO1191" s="17"/>
      <c r="AP1191" s="17"/>
      <c r="AQ1191" s="17"/>
      <c r="AR1191" s="17"/>
      <c r="AS1191" s="17"/>
      <c r="AT1191" s="17"/>
      <c r="AU1191" s="17"/>
      <c r="AV1191" s="17"/>
    </row>
    <row r="1192" spans="1:48" ht="15.75" customHeight="1">
      <c r="A1192" s="21" t="s">
        <v>47</v>
      </c>
      <c r="B1192" s="23" t="s">
        <v>1692</v>
      </c>
      <c r="C1192" s="22">
        <v>45833</v>
      </c>
      <c r="D1192" s="23" t="s">
        <v>215</v>
      </c>
      <c r="E1192" s="23" t="s">
        <v>155</v>
      </c>
      <c r="F1192" s="21">
        <v>1</v>
      </c>
      <c r="G1192" s="12">
        <v>3400</v>
      </c>
      <c r="H1192" s="12">
        <v>3400</v>
      </c>
      <c r="I1192" s="23" t="s">
        <v>52</v>
      </c>
      <c r="J1192" s="23" t="s">
        <v>61</v>
      </c>
      <c r="K1192" s="24" t="s">
        <v>177</v>
      </c>
      <c r="L1192" s="24">
        <v>153</v>
      </c>
      <c r="M1192" s="12">
        <v>2857.1428571428573</v>
      </c>
      <c r="N1192" s="12">
        <v>2857.1428571428573</v>
      </c>
      <c r="O1192" s="12">
        <v>542.85714285714266</v>
      </c>
      <c r="P1192" s="13"/>
      <c r="Q1192" s="14">
        <v>2025</v>
      </c>
      <c r="R1192" s="15">
        <v>45444</v>
      </c>
      <c r="S1192" s="11" t="s">
        <v>453</v>
      </c>
      <c r="T1192" s="16">
        <v>0</v>
      </c>
      <c r="U1192" s="17"/>
      <c r="V1192" s="12">
        <v>1255.1428571428573</v>
      </c>
      <c r="W1192" s="12">
        <v>1255.1428571428573</v>
      </c>
      <c r="X1192" s="12">
        <v>0</v>
      </c>
      <c r="Y1192" s="18">
        <v>45831</v>
      </c>
      <c r="Z1192" s="13" t="s">
        <v>515</v>
      </c>
      <c r="AA1192" s="19" t="s">
        <v>373</v>
      </c>
      <c r="AB1192" s="13" t="s">
        <v>357</v>
      </c>
      <c r="AC1192" s="13" t="s">
        <v>465</v>
      </c>
      <c r="AD1192" s="20"/>
      <c r="AE1192" s="20"/>
      <c r="AF1192" s="13" t="s">
        <v>40</v>
      </c>
      <c r="AG1192" s="15">
        <v>45444</v>
      </c>
      <c r="AH1192" s="13" t="s">
        <v>41</v>
      </c>
      <c r="AI1192" s="13" t="s">
        <v>47</v>
      </c>
      <c r="AJ1192" s="13" t="s">
        <v>454</v>
      </c>
      <c r="AK1192" s="14">
        <v>-6</v>
      </c>
      <c r="AL1192" s="17"/>
      <c r="AM1192" s="17"/>
      <c r="AN1192" s="17"/>
      <c r="AO1192" s="17"/>
      <c r="AP1192" s="17"/>
      <c r="AQ1192" s="17"/>
      <c r="AR1192" s="17"/>
      <c r="AS1192" s="17"/>
      <c r="AT1192" s="17"/>
      <c r="AU1192" s="17"/>
      <c r="AV1192" s="17"/>
    </row>
    <row r="1193" spans="1:48" ht="15.75" customHeight="1">
      <c r="A1193" s="21" t="s">
        <v>47</v>
      </c>
      <c r="B1193" s="23" t="s">
        <v>1692</v>
      </c>
      <c r="C1193" s="22">
        <v>45833</v>
      </c>
      <c r="D1193" s="23" t="s">
        <v>215</v>
      </c>
      <c r="E1193" s="23" t="s">
        <v>48</v>
      </c>
      <c r="F1193" s="21">
        <v>1</v>
      </c>
      <c r="G1193" s="12">
        <v>1000</v>
      </c>
      <c r="H1193" s="12">
        <v>1000</v>
      </c>
      <c r="I1193" s="23" t="s">
        <v>52</v>
      </c>
      <c r="J1193" s="23" t="s">
        <v>61</v>
      </c>
      <c r="K1193" s="24" t="s">
        <v>177</v>
      </c>
      <c r="L1193" s="24">
        <v>153</v>
      </c>
      <c r="M1193" s="12">
        <v>840.3361344537816</v>
      </c>
      <c r="N1193" s="12">
        <v>840.3361344537816</v>
      </c>
      <c r="O1193" s="12">
        <v>159.6638655462184</v>
      </c>
      <c r="P1193" s="13"/>
      <c r="Q1193" s="14">
        <v>2025</v>
      </c>
      <c r="R1193" s="15">
        <v>45444</v>
      </c>
      <c r="S1193" s="11" t="s">
        <v>416</v>
      </c>
      <c r="T1193" s="16">
        <v>0</v>
      </c>
      <c r="U1193" s="17"/>
      <c r="V1193" s="12">
        <v>330.33613445378148</v>
      </c>
      <c r="W1193" s="12">
        <v>330.33613445378148</v>
      </c>
      <c r="X1193" s="12">
        <v>0</v>
      </c>
      <c r="Y1193" s="18">
        <v>45831</v>
      </c>
      <c r="Z1193" s="13" t="s">
        <v>515</v>
      </c>
      <c r="AA1193" s="19" t="s">
        <v>373</v>
      </c>
      <c r="AB1193" s="13" t="s">
        <v>357</v>
      </c>
      <c r="AC1193" s="13" t="s">
        <v>465</v>
      </c>
      <c r="AD1193" s="20"/>
      <c r="AE1193" s="20"/>
      <c r="AF1193" s="13" t="s">
        <v>40</v>
      </c>
      <c r="AG1193" s="15">
        <v>45444</v>
      </c>
      <c r="AH1193" s="13" t="s">
        <v>41</v>
      </c>
      <c r="AI1193" s="13" t="s">
        <v>47</v>
      </c>
      <c r="AJ1193" s="13" t="s">
        <v>417</v>
      </c>
      <c r="AK1193" s="14">
        <v>-5</v>
      </c>
      <c r="AL1193" s="17"/>
      <c r="AM1193" s="17"/>
      <c r="AN1193" s="17"/>
      <c r="AO1193" s="17"/>
      <c r="AP1193" s="17"/>
      <c r="AQ1193" s="17"/>
      <c r="AR1193" s="17"/>
      <c r="AS1193" s="17"/>
      <c r="AT1193" s="17"/>
      <c r="AU1193" s="17"/>
      <c r="AV1193" s="17"/>
    </row>
    <row r="1194" spans="1:48" ht="15.75" customHeight="1">
      <c r="A1194" s="21" t="s">
        <v>53</v>
      </c>
      <c r="B1194" s="23" t="s">
        <v>1692</v>
      </c>
      <c r="C1194" s="22">
        <v>45833</v>
      </c>
      <c r="D1194" s="23" t="s">
        <v>133</v>
      </c>
      <c r="E1194" s="23" t="s">
        <v>97</v>
      </c>
      <c r="F1194" s="21">
        <v>1</v>
      </c>
      <c r="G1194" s="12">
        <v>16500.236769693482</v>
      </c>
      <c r="H1194" s="12">
        <v>16500.236769693482</v>
      </c>
      <c r="I1194" s="23" t="s">
        <v>52</v>
      </c>
      <c r="J1194" s="23" t="s">
        <v>61</v>
      </c>
      <c r="K1194" s="24" t="s">
        <v>177</v>
      </c>
      <c r="L1194" s="24">
        <v>153</v>
      </c>
      <c r="M1194" s="12">
        <v>13865.745184616371</v>
      </c>
      <c r="N1194" s="12">
        <v>13865.745184616371</v>
      </c>
      <c r="O1194" s="12">
        <v>2634.4915850771104</v>
      </c>
      <c r="P1194" s="13"/>
      <c r="Q1194" s="14">
        <v>2025</v>
      </c>
      <c r="R1194" s="15">
        <v>45444</v>
      </c>
      <c r="S1194" s="11" t="s">
        <v>366</v>
      </c>
      <c r="T1194" s="16">
        <v>0</v>
      </c>
      <c r="U1194" s="17"/>
      <c r="V1194" s="12">
        <v>3031.7451846163694</v>
      </c>
      <c r="W1194" s="12">
        <v>3031.7451846163694</v>
      </c>
      <c r="X1194" s="12">
        <v>0</v>
      </c>
      <c r="Y1194" s="18">
        <v>45831</v>
      </c>
      <c r="Z1194" s="13" t="s">
        <v>515</v>
      </c>
      <c r="AA1194" s="19" t="s">
        <v>361</v>
      </c>
      <c r="AB1194" s="13" t="s">
        <v>357</v>
      </c>
      <c r="AC1194" s="13" t="s">
        <v>362</v>
      </c>
      <c r="AD1194" s="20"/>
      <c r="AE1194" s="20"/>
      <c r="AF1194" s="13" t="s">
        <v>40</v>
      </c>
      <c r="AG1194" s="15">
        <v>45444</v>
      </c>
      <c r="AH1194" s="13" t="s">
        <v>41</v>
      </c>
      <c r="AI1194" s="13" t="s">
        <v>53</v>
      </c>
      <c r="AJ1194" s="13" t="s">
        <v>368</v>
      </c>
      <c r="AK1194" s="14">
        <v>-6</v>
      </c>
      <c r="AL1194" s="17"/>
      <c r="AM1194" s="17"/>
      <c r="AN1194" s="17"/>
      <c r="AO1194" s="17"/>
      <c r="AP1194" s="17"/>
      <c r="AQ1194" s="17"/>
      <c r="AR1194" s="17"/>
      <c r="AS1194" s="17"/>
      <c r="AT1194" s="17"/>
      <c r="AU1194" s="17"/>
      <c r="AV1194" s="17"/>
    </row>
    <row r="1195" spans="1:48" ht="15.75" customHeight="1">
      <c r="A1195" s="21" t="s">
        <v>53</v>
      </c>
      <c r="B1195" s="23" t="s">
        <v>1692</v>
      </c>
      <c r="C1195" s="22">
        <v>45833</v>
      </c>
      <c r="D1195" s="23" t="s">
        <v>498</v>
      </c>
      <c r="E1195" s="23" t="s">
        <v>317</v>
      </c>
      <c r="F1195" s="21">
        <v>1</v>
      </c>
      <c r="G1195" s="12">
        <v>12500.17391304348</v>
      </c>
      <c r="H1195" s="12">
        <v>12500.17391304348</v>
      </c>
      <c r="I1195" s="23" t="s">
        <v>52</v>
      </c>
      <c r="J1195" s="23" t="s">
        <v>61</v>
      </c>
      <c r="K1195" s="24" t="s">
        <v>177</v>
      </c>
      <c r="L1195" s="24">
        <v>153</v>
      </c>
      <c r="M1195" s="12">
        <v>10504.347826086958</v>
      </c>
      <c r="N1195" s="12">
        <v>10504.347826086958</v>
      </c>
      <c r="O1195" s="12">
        <v>1995.826086956522</v>
      </c>
      <c r="P1195" s="13"/>
      <c r="Q1195" s="14">
        <v>2025</v>
      </c>
      <c r="R1195" s="15">
        <v>45444</v>
      </c>
      <c r="S1195" s="11" t="s">
        <v>435</v>
      </c>
      <c r="T1195" s="16">
        <v>0</v>
      </c>
      <c r="U1195" s="17"/>
      <c r="V1195" s="12">
        <v>3256.3478260869579</v>
      </c>
      <c r="W1195" s="12">
        <v>3256.3478260869579</v>
      </c>
      <c r="X1195" s="12">
        <v>0</v>
      </c>
      <c r="Y1195" s="18">
        <v>45831</v>
      </c>
      <c r="Z1195" s="13" t="s">
        <v>515</v>
      </c>
      <c r="AA1195" s="19" t="s">
        <v>373</v>
      </c>
      <c r="AB1195" s="13" t="s">
        <v>357</v>
      </c>
      <c r="AC1195" s="13" t="s">
        <v>500</v>
      </c>
      <c r="AD1195" s="20"/>
      <c r="AE1195" s="20"/>
      <c r="AF1195" s="13" t="s">
        <v>40</v>
      </c>
      <c r="AG1195" s="15">
        <v>45444</v>
      </c>
      <c r="AH1195" s="13" t="s">
        <v>41</v>
      </c>
      <c r="AI1195" s="13" t="s">
        <v>53</v>
      </c>
      <c r="AJ1195" s="13" t="s">
        <v>436</v>
      </c>
      <c r="AK1195" s="14">
        <v>-6</v>
      </c>
      <c r="AL1195" s="17"/>
      <c r="AM1195" s="17"/>
      <c r="AN1195" s="17"/>
      <c r="AO1195" s="17"/>
      <c r="AP1195" s="17"/>
      <c r="AQ1195" s="17"/>
      <c r="AR1195" s="17"/>
      <c r="AS1195" s="17"/>
      <c r="AT1195" s="17"/>
      <c r="AU1195" s="17"/>
      <c r="AV1195" s="17"/>
    </row>
    <row r="1196" spans="1:48" ht="15.75" customHeight="1">
      <c r="A1196" s="21" t="s">
        <v>47</v>
      </c>
      <c r="B1196" s="23" t="s">
        <v>1692</v>
      </c>
      <c r="C1196" s="22">
        <v>45833</v>
      </c>
      <c r="D1196" s="23" t="s">
        <v>235</v>
      </c>
      <c r="E1196" s="23" t="s">
        <v>107</v>
      </c>
      <c r="F1196" s="21">
        <v>1</v>
      </c>
      <c r="G1196" s="12">
        <v>3000.0000000000005</v>
      </c>
      <c r="H1196" s="12">
        <v>3000.0000000000005</v>
      </c>
      <c r="I1196" s="23" t="s">
        <v>52</v>
      </c>
      <c r="J1196" s="23" t="s">
        <v>61</v>
      </c>
      <c r="K1196" s="24" t="s">
        <v>177</v>
      </c>
      <c r="L1196" s="24">
        <v>153</v>
      </c>
      <c r="M1196" s="12">
        <v>2521.0084033613452</v>
      </c>
      <c r="N1196" s="12">
        <v>2521.0084033613452</v>
      </c>
      <c r="O1196" s="12">
        <v>478.99159663865521</v>
      </c>
      <c r="P1196" s="13"/>
      <c r="Q1196" s="14">
        <v>2025</v>
      </c>
      <c r="R1196" s="15">
        <v>45444</v>
      </c>
      <c r="S1196" s="11" t="s">
        <v>453</v>
      </c>
      <c r="T1196" s="16">
        <v>0</v>
      </c>
      <c r="U1196" s="17"/>
      <c r="V1196" s="12">
        <v>758.82352941176487</v>
      </c>
      <c r="W1196" s="12">
        <v>758.82352941176487</v>
      </c>
      <c r="X1196" s="12">
        <v>0</v>
      </c>
      <c r="Y1196" s="18">
        <v>45831</v>
      </c>
      <c r="Z1196" s="13" t="s">
        <v>515</v>
      </c>
      <c r="AA1196" s="19" t="s">
        <v>367</v>
      </c>
      <c r="AB1196" s="13" t="s">
        <v>357</v>
      </c>
      <c r="AC1196" s="13" t="s">
        <v>367</v>
      </c>
      <c r="AD1196" s="20"/>
      <c r="AE1196" s="20"/>
      <c r="AF1196" s="13" t="s">
        <v>40</v>
      </c>
      <c r="AG1196" s="15">
        <v>45444</v>
      </c>
      <c r="AH1196" s="13" t="s">
        <v>41</v>
      </c>
      <c r="AI1196" s="13" t="s">
        <v>47</v>
      </c>
      <c r="AJ1196" s="13" t="s">
        <v>460</v>
      </c>
      <c r="AK1196" s="14">
        <v>-1</v>
      </c>
      <c r="AL1196" s="17"/>
      <c r="AM1196" s="17"/>
      <c r="AN1196" s="17"/>
      <c r="AO1196" s="17"/>
      <c r="AP1196" s="17"/>
      <c r="AQ1196" s="17"/>
      <c r="AR1196" s="17"/>
      <c r="AS1196" s="17"/>
      <c r="AT1196" s="17"/>
      <c r="AU1196" s="17"/>
      <c r="AV1196" s="17"/>
    </row>
    <row r="1197" spans="1:48" ht="15.75" customHeight="1">
      <c r="A1197" s="21" t="s">
        <v>47</v>
      </c>
      <c r="B1197" s="23" t="s">
        <v>1692</v>
      </c>
      <c r="C1197" s="22">
        <v>45832</v>
      </c>
      <c r="D1197" s="23" t="s">
        <v>348</v>
      </c>
      <c r="E1197" s="23" t="s">
        <v>194</v>
      </c>
      <c r="F1197" s="21">
        <v>1</v>
      </c>
      <c r="G1197" s="12">
        <v>2400</v>
      </c>
      <c r="H1197" s="12">
        <v>2400</v>
      </c>
      <c r="I1197" s="23" t="s">
        <v>52</v>
      </c>
      <c r="J1197" s="23" t="s">
        <v>61</v>
      </c>
      <c r="K1197" s="24" t="s">
        <v>177</v>
      </c>
      <c r="L1197" s="24">
        <v>153</v>
      </c>
      <c r="M1197" s="12">
        <v>2016.8067226890757</v>
      </c>
      <c r="N1197" s="12">
        <v>2016.8067226890757</v>
      </c>
      <c r="O1197" s="12">
        <v>383.19327731092426</v>
      </c>
      <c r="P1197" s="13"/>
      <c r="Q1197" s="14">
        <v>2025</v>
      </c>
      <c r="R1197" s="15">
        <v>45444</v>
      </c>
      <c r="S1197" s="11" t="s">
        <v>442</v>
      </c>
      <c r="T1197" s="16">
        <v>0</v>
      </c>
      <c r="U1197" s="17"/>
      <c r="V1197" s="12">
        <v>959.6638655462184</v>
      </c>
      <c r="W1197" s="12">
        <v>959.6638655462184</v>
      </c>
      <c r="X1197" s="12">
        <v>0</v>
      </c>
      <c r="Y1197" s="18">
        <v>45831</v>
      </c>
      <c r="Z1197" s="13" t="s">
        <v>516</v>
      </c>
      <c r="AA1197" s="19" t="s">
        <v>356</v>
      </c>
      <c r="AB1197" s="13" t="s">
        <v>357</v>
      </c>
      <c r="AC1197" s="13" t="s">
        <v>362</v>
      </c>
      <c r="AD1197" s="20"/>
      <c r="AE1197" s="20"/>
      <c r="AF1197" s="13" t="s">
        <v>40</v>
      </c>
      <c r="AG1197" s="15">
        <v>45444</v>
      </c>
      <c r="AH1197" s="13" t="s">
        <v>41</v>
      </c>
      <c r="AI1197" s="13" t="s">
        <v>47</v>
      </c>
      <c r="AJ1197" s="13" t="s">
        <v>443</v>
      </c>
      <c r="AK1197" s="14">
        <v>-1</v>
      </c>
      <c r="AL1197" s="17"/>
      <c r="AM1197" s="17"/>
      <c r="AN1197" s="17"/>
      <c r="AO1197" s="17"/>
      <c r="AP1197" s="17"/>
      <c r="AQ1197" s="17"/>
      <c r="AR1197" s="17"/>
      <c r="AS1197" s="17"/>
      <c r="AT1197" s="17"/>
      <c r="AU1197" s="17"/>
      <c r="AV1197" s="17"/>
    </row>
    <row r="1198" spans="1:48" ht="15.75" customHeight="1">
      <c r="A1198" s="21" t="s">
        <v>47</v>
      </c>
      <c r="B1198" s="23" t="s">
        <v>1692</v>
      </c>
      <c r="C1198" s="22">
        <v>45832</v>
      </c>
      <c r="D1198" s="23" t="s">
        <v>348</v>
      </c>
      <c r="E1198" s="23" t="s">
        <v>336</v>
      </c>
      <c r="F1198" s="21">
        <v>1</v>
      </c>
      <c r="G1198" s="12">
        <v>2799.540003285691</v>
      </c>
      <c r="H1198" s="12">
        <v>2799.540003285691</v>
      </c>
      <c r="I1198" s="23" t="s">
        <v>52</v>
      </c>
      <c r="J1198" s="23" t="s">
        <v>61</v>
      </c>
      <c r="K1198" s="24" t="s">
        <v>177</v>
      </c>
      <c r="L1198" s="24">
        <v>153</v>
      </c>
      <c r="M1198" s="12">
        <v>2352.5546246098243</v>
      </c>
      <c r="N1198" s="12">
        <v>2352.5546246098243</v>
      </c>
      <c r="O1198" s="12">
        <v>446.98537867586674</v>
      </c>
      <c r="P1198" s="13"/>
      <c r="Q1198" s="14">
        <v>2025</v>
      </c>
      <c r="R1198" s="15">
        <v>45444</v>
      </c>
      <c r="S1198" s="11" t="s">
        <v>476</v>
      </c>
      <c r="T1198" s="16">
        <v>0</v>
      </c>
      <c r="U1198" s="17"/>
      <c r="V1198" s="12">
        <v>920.55462460982426</v>
      </c>
      <c r="W1198" s="12">
        <v>920.55462460982426</v>
      </c>
      <c r="X1198" s="12">
        <v>0</v>
      </c>
      <c r="Y1198" s="18">
        <v>45831</v>
      </c>
      <c r="Z1198" s="13" t="s">
        <v>516</v>
      </c>
      <c r="AA1198" s="19" t="s">
        <v>356</v>
      </c>
      <c r="AB1198" s="13" t="s">
        <v>357</v>
      </c>
      <c r="AC1198" s="13" t="s">
        <v>362</v>
      </c>
      <c r="AD1198" s="20"/>
      <c r="AE1198" s="20"/>
      <c r="AF1198" s="13" t="s">
        <v>40</v>
      </c>
      <c r="AG1198" s="15">
        <v>45444</v>
      </c>
      <c r="AH1198" s="13" t="s">
        <v>41</v>
      </c>
      <c r="AI1198" s="13" t="s">
        <v>47</v>
      </c>
      <c r="AJ1198" s="13" t="s">
        <v>477</v>
      </c>
      <c r="AK1198" s="14">
        <v>-2</v>
      </c>
      <c r="AL1198" s="17"/>
      <c r="AM1198" s="17"/>
      <c r="AN1198" s="17"/>
      <c r="AO1198" s="17"/>
      <c r="AP1198" s="17"/>
      <c r="AQ1198" s="17"/>
      <c r="AR1198" s="17"/>
      <c r="AS1198" s="17"/>
      <c r="AT1198" s="17"/>
      <c r="AU1198" s="17"/>
      <c r="AV1198" s="17"/>
    </row>
    <row r="1199" spans="1:48" ht="15.75" customHeight="1">
      <c r="A1199" s="21" t="s">
        <v>43</v>
      </c>
      <c r="B1199" s="23" t="s">
        <v>1692</v>
      </c>
      <c r="C1199" s="22">
        <v>45832</v>
      </c>
      <c r="D1199" s="23" t="s">
        <v>66</v>
      </c>
      <c r="E1199" s="23" t="s">
        <v>45</v>
      </c>
      <c r="F1199" s="21">
        <v>1</v>
      </c>
      <c r="G1199" s="12">
        <v>8199.8861047835999</v>
      </c>
      <c r="H1199" s="12">
        <v>8199.8861047835999</v>
      </c>
      <c r="I1199" s="23" t="s">
        <v>52</v>
      </c>
      <c r="J1199" s="23" t="s">
        <v>61</v>
      </c>
      <c r="K1199" s="24" t="s">
        <v>177</v>
      </c>
      <c r="L1199" s="24">
        <v>153</v>
      </c>
      <c r="M1199" s="12">
        <v>6890.6605922551262</v>
      </c>
      <c r="N1199" s="12">
        <v>6890.6605922551262</v>
      </c>
      <c r="O1199" s="12">
        <v>1309.2255125284737</v>
      </c>
      <c r="P1199" s="13"/>
      <c r="Q1199" s="14">
        <v>2025</v>
      </c>
      <c r="R1199" s="15">
        <v>45444</v>
      </c>
      <c r="S1199" s="11" t="s">
        <v>355</v>
      </c>
      <c r="T1199" s="16">
        <v>0</v>
      </c>
      <c r="U1199" s="17"/>
      <c r="V1199" s="12">
        <v>1445.6605922551253</v>
      </c>
      <c r="W1199" s="12">
        <v>1445.6605922551253</v>
      </c>
      <c r="X1199" s="12">
        <v>0</v>
      </c>
      <c r="Y1199" s="18">
        <v>45831</v>
      </c>
      <c r="Z1199" s="13" t="s">
        <v>516</v>
      </c>
      <c r="AA1199" s="19" t="s">
        <v>373</v>
      </c>
      <c r="AB1199" s="13" t="s">
        <v>357</v>
      </c>
      <c r="AC1199" s="13" t="s">
        <v>534</v>
      </c>
      <c r="AD1199" s="20"/>
      <c r="AE1199" s="20"/>
      <c r="AF1199" s="13" t="s">
        <v>40</v>
      </c>
      <c r="AG1199" s="15">
        <v>45444</v>
      </c>
      <c r="AH1199" s="13" t="s">
        <v>41</v>
      </c>
      <c r="AI1199" s="13" t="s">
        <v>43</v>
      </c>
      <c r="AJ1199" s="13" t="s">
        <v>359</v>
      </c>
      <c r="AK1199" s="14">
        <v>-1</v>
      </c>
      <c r="AL1199" s="17"/>
      <c r="AM1199" s="17"/>
      <c r="AN1199" s="17"/>
      <c r="AO1199" s="17"/>
      <c r="AP1199" s="17"/>
      <c r="AQ1199" s="17"/>
      <c r="AR1199" s="17"/>
      <c r="AS1199" s="17"/>
      <c r="AT1199" s="17"/>
      <c r="AU1199" s="17"/>
      <c r="AV1199" s="17"/>
    </row>
    <row r="1200" spans="1:48" ht="15.75" customHeight="1">
      <c r="A1200" s="21" t="s">
        <v>35</v>
      </c>
      <c r="B1200" s="23" t="s">
        <v>1692</v>
      </c>
      <c r="C1200" s="22">
        <v>45832</v>
      </c>
      <c r="D1200" s="23" t="s">
        <v>552</v>
      </c>
      <c r="E1200" s="23" t="s">
        <v>117</v>
      </c>
      <c r="F1200" s="21">
        <v>1</v>
      </c>
      <c r="G1200" s="12">
        <v>8999.5678478824557</v>
      </c>
      <c r="H1200" s="12">
        <v>8999.5678478824557</v>
      </c>
      <c r="I1200" s="23" t="s">
        <v>52</v>
      </c>
      <c r="J1200" s="23" t="s">
        <v>61</v>
      </c>
      <c r="K1200" s="24" t="s">
        <v>177</v>
      </c>
      <c r="L1200" s="24">
        <v>153</v>
      </c>
      <c r="M1200" s="12">
        <v>7562.6620570440809</v>
      </c>
      <c r="N1200" s="12">
        <v>7562.6620570440809</v>
      </c>
      <c r="O1200" s="12">
        <v>1436.9057908383747</v>
      </c>
      <c r="P1200" s="13"/>
      <c r="Q1200" s="14">
        <v>2025</v>
      </c>
      <c r="R1200" s="15">
        <v>45444</v>
      </c>
      <c r="S1200" s="11" t="s">
        <v>364</v>
      </c>
      <c r="T1200" s="16">
        <v>750</v>
      </c>
      <c r="U1200" s="17"/>
      <c r="V1200" s="12">
        <v>2312.66205704408</v>
      </c>
      <c r="W1200" s="12">
        <v>2312.66205704408</v>
      </c>
      <c r="X1200" s="12">
        <v>0</v>
      </c>
      <c r="Y1200" s="18">
        <v>45831</v>
      </c>
      <c r="Z1200" s="13" t="s">
        <v>516</v>
      </c>
      <c r="AA1200" s="19" t="s">
        <v>373</v>
      </c>
      <c r="AB1200" s="13" t="s">
        <v>357</v>
      </c>
      <c r="AC1200" s="13" t="s">
        <v>506</v>
      </c>
      <c r="AD1200" s="20"/>
      <c r="AE1200" s="20"/>
      <c r="AF1200" s="13" t="s">
        <v>40</v>
      </c>
      <c r="AG1200" s="15">
        <v>45444</v>
      </c>
      <c r="AH1200" s="13" t="s">
        <v>41</v>
      </c>
      <c r="AI1200" s="13" t="s">
        <v>35</v>
      </c>
      <c r="AJ1200" s="13" t="s">
        <v>390</v>
      </c>
      <c r="AK1200" s="21">
        <v>-0.75</v>
      </c>
      <c r="AL1200" s="17"/>
      <c r="AM1200" s="17"/>
      <c r="AN1200" s="17"/>
      <c r="AO1200" s="17"/>
      <c r="AP1200" s="17"/>
      <c r="AQ1200" s="17"/>
      <c r="AR1200" s="17"/>
      <c r="AS1200" s="17"/>
      <c r="AT1200" s="17"/>
      <c r="AU1200" s="17"/>
      <c r="AV1200" s="17"/>
    </row>
    <row r="1201" spans="1:48" ht="15.75" customHeight="1">
      <c r="A1201" s="21" t="s">
        <v>35</v>
      </c>
      <c r="B1201" s="23" t="s">
        <v>1692</v>
      </c>
      <c r="C1201" s="22">
        <v>45832</v>
      </c>
      <c r="D1201" s="23" t="s">
        <v>42</v>
      </c>
      <c r="E1201" s="23" t="s">
        <v>37</v>
      </c>
      <c r="F1201" s="21">
        <v>1</v>
      </c>
      <c r="G1201" s="12">
        <v>11000.014358944907</v>
      </c>
      <c r="H1201" s="12">
        <v>11000.014358944907</v>
      </c>
      <c r="I1201" s="23" t="s">
        <v>52</v>
      </c>
      <c r="J1201" s="23" t="s">
        <v>61</v>
      </c>
      <c r="K1201" s="24" t="s">
        <v>177</v>
      </c>
      <c r="L1201" s="24">
        <v>153</v>
      </c>
      <c r="M1201" s="12">
        <v>9243.7095453318543</v>
      </c>
      <c r="N1201" s="12">
        <v>9243.7095453318543</v>
      </c>
      <c r="O1201" s="12">
        <v>1756.3048136130528</v>
      </c>
      <c r="P1201" s="13"/>
      <c r="Q1201" s="14">
        <v>2025</v>
      </c>
      <c r="R1201" s="15">
        <v>45444</v>
      </c>
      <c r="S1201" s="11" t="s">
        <v>364</v>
      </c>
      <c r="T1201" s="16">
        <v>1000</v>
      </c>
      <c r="U1201" s="17"/>
      <c r="V1201" s="12">
        <v>2806.1129066763915</v>
      </c>
      <c r="W1201" s="12">
        <v>2806.1129066763915</v>
      </c>
      <c r="X1201" s="12">
        <v>0</v>
      </c>
      <c r="Y1201" s="18">
        <v>45831</v>
      </c>
      <c r="Z1201" s="13" t="s">
        <v>516</v>
      </c>
      <c r="AA1201" s="19" t="s">
        <v>361</v>
      </c>
      <c r="AB1201" s="13" t="s">
        <v>357</v>
      </c>
      <c r="AC1201" s="13" t="s">
        <v>506</v>
      </c>
      <c r="AD1201" s="20"/>
      <c r="AE1201" s="20"/>
      <c r="AF1201" s="13" t="s">
        <v>40</v>
      </c>
      <c r="AG1201" s="15">
        <v>45444</v>
      </c>
      <c r="AH1201" s="13" t="s">
        <v>41</v>
      </c>
      <c r="AI1201" s="13" t="s">
        <v>35</v>
      </c>
      <c r="AJ1201" s="13" t="s">
        <v>365</v>
      </c>
      <c r="AK1201" s="14">
        <v>-1</v>
      </c>
      <c r="AL1201" s="17"/>
      <c r="AM1201" s="17"/>
      <c r="AN1201" s="17"/>
      <c r="AO1201" s="17"/>
      <c r="AP1201" s="17"/>
      <c r="AQ1201" s="17"/>
      <c r="AR1201" s="17"/>
      <c r="AS1201" s="17"/>
      <c r="AT1201" s="17"/>
      <c r="AU1201" s="17"/>
      <c r="AV1201" s="17"/>
    </row>
    <row r="1202" spans="1:48" ht="15.75" customHeight="1">
      <c r="A1202" s="21" t="s">
        <v>47</v>
      </c>
      <c r="B1202" s="23" t="s">
        <v>1692</v>
      </c>
      <c r="C1202" s="22">
        <v>45832</v>
      </c>
      <c r="D1202" s="23" t="s">
        <v>42</v>
      </c>
      <c r="E1202" s="23" t="s">
        <v>204</v>
      </c>
      <c r="F1202" s="21">
        <v>2</v>
      </c>
      <c r="G1202" s="12">
        <v>1199.9357739242132</v>
      </c>
      <c r="H1202" s="12">
        <v>2399.8715478484264</v>
      </c>
      <c r="I1202" s="23" t="s">
        <v>52</v>
      </c>
      <c r="J1202" s="23" t="s">
        <v>61</v>
      </c>
      <c r="K1202" s="24" t="s">
        <v>177</v>
      </c>
      <c r="L1202" s="24">
        <v>153</v>
      </c>
      <c r="M1202" s="12">
        <v>1008.3493898522801</v>
      </c>
      <c r="N1202" s="12">
        <v>2016.6987797045601</v>
      </c>
      <c r="O1202" s="12">
        <v>383.17276814386628</v>
      </c>
      <c r="P1202" s="13"/>
      <c r="Q1202" s="14">
        <v>2025</v>
      </c>
      <c r="R1202" s="15">
        <v>45444</v>
      </c>
      <c r="S1202" s="11" t="s">
        <v>400</v>
      </c>
      <c r="T1202" s="16">
        <v>0</v>
      </c>
      <c r="U1202" s="17"/>
      <c r="V1202" s="12">
        <v>1074.6987797045601</v>
      </c>
      <c r="W1202" s="12">
        <v>1074.6987797045601</v>
      </c>
      <c r="X1202" s="12">
        <v>0</v>
      </c>
      <c r="Y1202" s="18">
        <v>45831</v>
      </c>
      <c r="Z1202" s="13" t="s">
        <v>516</v>
      </c>
      <c r="AA1202" s="19" t="s">
        <v>361</v>
      </c>
      <c r="AB1202" s="13" t="s">
        <v>357</v>
      </c>
      <c r="AC1202" s="13" t="s">
        <v>506</v>
      </c>
      <c r="AD1202" s="20"/>
      <c r="AE1202" s="20"/>
      <c r="AF1202" s="13" t="s">
        <v>40</v>
      </c>
      <c r="AG1202" s="15">
        <v>45444</v>
      </c>
      <c r="AH1202" s="13" t="s">
        <v>41</v>
      </c>
      <c r="AI1202" s="13" t="s">
        <v>47</v>
      </c>
      <c r="AJ1202" s="13" t="s">
        <v>401</v>
      </c>
      <c r="AK1202" s="14">
        <v>-2</v>
      </c>
      <c r="AL1202" s="17"/>
      <c r="AM1202" s="17"/>
      <c r="AN1202" s="17"/>
      <c r="AO1202" s="17"/>
      <c r="AP1202" s="17"/>
      <c r="AQ1202" s="17"/>
      <c r="AR1202" s="17"/>
      <c r="AS1202" s="17"/>
      <c r="AT1202" s="17"/>
      <c r="AU1202" s="17"/>
      <c r="AV1202" s="17"/>
    </row>
    <row r="1203" spans="1:48" ht="15.75" customHeight="1">
      <c r="A1203" s="21" t="s">
        <v>56</v>
      </c>
      <c r="B1203" s="23" t="s">
        <v>1692</v>
      </c>
      <c r="C1203" s="22">
        <v>45832</v>
      </c>
      <c r="D1203" s="23" t="s">
        <v>323</v>
      </c>
      <c r="E1203" s="23" t="s">
        <v>67</v>
      </c>
      <c r="F1203" s="21">
        <v>1</v>
      </c>
      <c r="G1203" s="12">
        <v>7000.0000000000009</v>
      </c>
      <c r="H1203" s="12">
        <v>7000.0000000000009</v>
      </c>
      <c r="I1203" s="23" t="s">
        <v>52</v>
      </c>
      <c r="J1203" s="23" t="s">
        <v>61</v>
      </c>
      <c r="K1203" s="24" t="s">
        <v>177</v>
      </c>
      <c r="L1203" s="24">
        <v>153</v>
      </c>
      <c r="M1203" s="12">
        <v>5882.3529411764712</v>
      </c>
      <c r="N1203" s="12">
        <v>5882.3529411764712</v>
      </c>
      <c r="O1203" s="12">
        <v>1117.6470588235297</v>
      </c>
      <c r="P1203" s="13"/>
      <c r="Q1203" s="14">
        <v>2025</v>
      </c>
      <c r="R1203" s="15">
        <v>45444</v>
      </c>
      <c r="S1203" s="11" t="s">
        <v>492</v>
      </c>
      <c r="T1203" s="16">
        <v>200</v>
      </c>
      <c r="U1203" s="17"/>
      <c r="V1203" s="12">
        <v>1512.6050420168067</v>
      </c>
      <c r="W1203" s="12">
        <v>1512.6050420168067</v>
      </c>
      <c r="X1203" s="12">
        <v>0</v>
      </c>
      <c r="Y1203" s="18">
        <v>45831</v>
      </c>
      <c r="Z1203" s="13" t="s">
        <v>516</v>
      </c>
      <c r="AA1203" s="19" t="s">
        <v>373</v>
      </c>
      <c r="AB1203" s="13" t="s">
        <v>357</v>
      </c>
      <c r="AC1203" s="13" t="s">
        <v>553</v>
      </c>
      <c r="AD1203" s="20"/>
      <c r="AE1203" s="20"/>
      <c r="AF1203" s="13" t="s">
        <v>40</v>
      </c>
      <c r="AG1203" s="15">
        <v>45444</v>
      </c>
      <c r="AH1203" s="13" t="s">
        <v>41</v>
      </c>
      <c r="AI1203" s="13" t="s">
        <v>56</v>
      </c>
      <c r="AJ1203" s="13" t="s">
        <v>493</v>
      </c>
      <c r="AK1203" s="14">
        <v>-3</v>
      </c>
      <c r="AL1203" s="17"/>
      <c r="AM1203" s="17"/>
      <c r="AN1203" s="17"/>
      <c r="AO1203" s="17"/>
      <c r="AP1203" s="17"/>
      <c r="AQ1203" s="17"/>
      <c r="AR1203" s="17"/>
      <c r="AS1203" s="17"/>
      <c r="AT1203" s="17"/>
      <c r="AU1203" s="17"/>
      <c r="AV1203" s="17"/>
    </row>
    <row r="1204" spans="1:48" ht="15.75" customHeight="1">
      <c r="A1204" s="21" t="s">
        <v>76</v>
      </c>
      <c r="B1204" s="23" t="s">
        <v>1692</v>
      </c>
      <c r="C1204" s="22">
        <v>45832</v>
      </c>
      <c r="D1204" s="23" t="s">
        <v>323</v>
      </c>
      <c r="E1204" s="23" t="s">
        <v>110</v>
      </c>
      <c r="F1204" s="21">
        <v>1</v>
      </c>
      <c r="G1204" s="12">
        <v>2000.0000000000005</v>
      </c>
      <c r="H1204" s="12">
        <v>2000.0000000000005</v>
      </c>
      <c r="I1204" s="23" t="s">
        <v>52</v>
      </c>
      <c r="J1204" s="23" t="s">
        <v>61</v>
      </c>
      <c r="K1204" s="24" t="s">
        <v>177</v>
      </c>
      <c r="L1204" s="24">
        <v>153</v>
      </c>
      <c r="M1204" s="12">
        <v>1680.6722689075634</v>
      </c>
      <c r="N1204" s="12">
        <v>1680.6722689075634</v>
      </c>
      <c r="O1204" s="12">
        <v>319.32773109243703</v>
      </c>
      <c r="P1204" s="13"/>
      <c r="Q1204" s="14">
        <v>2025</v>
      </c>
      <c r="R1204" s="15">
        <v>45444</v>
      </c>
      <c r="S1204" s="11" t="s">
        <v>378</v>
      </c>
      <c r="T1204" s="16">
        <v>5</v>
      </c>
      <c r="U1204" s="17"/>
      <c r="V1204" s="12">
        <v>756.30252100840369</v>
      </c>
      <c r="W1204" s="12">
        <v>756.30252100840369</v>
      </c>
      <c r="X1204" s="12">
        <v>0</v>
      </c>
      <c r="Y1204" s="18">
        <v>45831</v>
      </c>
      <c r="Z1204" s="13" t="s">
        <v>516</v>
      </c>
      <c r="AA1204" s="19" t="s">
        <v>373</v>
      </c>
      <c r="AB1204" s="13" t="s">
        <v>357</v>
      </c>
      <c r="AC1204" s="13" t="s">
        <v>553</v>
      </c>
      <c r="AD1204" s="20"/>
      <c r="AE1204" s="20"/>
      <c r="AF1204" s="13" t="s">
        <v>40</v>
      </c>
      <c r="AG1204" s="15">
        <v>45444</v>
      </c>
      <c r="AH1204" s="13" t="s">
        <v>41</v>
      </c>
      <c r="AI1204" s="13" t="s">
        <v>76</v>
      </c>
      <c r="AJ1204" s="13" t="s">
        <v>379</v>
      </c>
      <c r="AK1204" s="14">
        <v>-1</v>
      </c>
      <c r="AL1204" s="17"/>
      <c r="AM1204" s="17"/>
      <c r="AN1204" s="17"/>
      <c r="AO1204" s="17"/>
      <c r="AP1204" s="17"/>
      <c r="AQ1204" s="17"/>
      <c r="AR1204" s="17"/>
      <c r="AS1204" s="17"/>
      <c r="AT1204" s="17"/>
      <c r="AU1204" s="17"/>
      <c r="AV1204" s="17"/>
    </row>
    <row r="1205" spans="1:48" ht="15.75" customHeight="1">
      <c r="A1205" s="21" t="s">
        <v>35</v>
      </c>
      <c r="B1205" s="23" t="s">
        <v>1692</v>
      </c>
      <c r="C1205" s="22">
        <v>45832</v>
      </c>
      <c r="D1205" s="23" t="s">
        <v>323</v>
      </c>
      <c r="E1205" s="23" t="s">
        <v>37</v>
      </c>
      <c r="F1205" s="21">
        <v>1</v>
      </c>
      <c r="G1205" s="12">
        <v>11000.014358944907</v>
      </c>
      <c r="H1205" s="12">
        <v>11000.014358944907</v>
      </c>
      <c r="I1205" s="23" t="s">
        <v>52</v>
      </c>
      <c r="J1205" s="23" t="s">
        <v>61</v>
      </c>
      <c r="K1205" s="24" t="s">
        <v>177</v>
      </c>
      <c r="L1205" s="24">
        <v>153</v>
      </c>
      <c r="M1205" s="12">
        <v>9243.7095453318543</v>
      </c>
      <c r="N1205" s="12">
        <v>9243.7095453318543</v>
      </c>
      <c r="O1205" s="12">
        <v>1756.3048136130528</v>
      </c>
      <c r="P1205" s="13"/>
      <c r="Q1205" s="14">
        <v>2025</v>
      </c>
      <c r="R1205" s="15">
        <v>45444</v>
      </c>
      <c r="S1205" s="11" t="s">
        <v>364</v>
      </c>
      <c r="T1205" s="16">
        <v>1000</v>
      </c>
      <c r="U1205" s="17"/>
      <c r="V1205" s="12">
        <v>2806.1129066763915</v>
      </c>
      <c r="W1205" s="12">
        <v>2806.1129066763915</v>
      </c>
      <c r="X1205" s="12">
        <v>0</v>
      </c>
      <c r="Y1205" s="18">
        <v>45831</v>
      </c>
      <c r="Z1205" s="13" t="s">
        <v>516</v>
      </c>
      <c r="AA1205" s="19" t="s">
        <v>373</v>
      </c>
      <c r="AB1205" s="13" t="s">
        <v>357</v>
      </c>
      <c r="AC1205" s="13" t="s">
        <v>553</v>
      </c>
      <c r="AD1205" s="20"/>
      <c r="AE1205" s="20"/>
      <c r="AF1205" s="13" t="s">
        <v>40</v>
      </c>
      <c r="AG1205" s="15">
        <v>45444</v>
      </c>
      <c r="AH1205" s="13" t="s">
        <v>41</v>
      </c>
      <c r="AI1205" s="13" t="s">
        <v>35</v>
      </c>
      <c r="AJ1205" s="13" t="s">
        <v>365</v>
      </c>
      <c r="AK1205" s="14">
        <v>-1</v>
      </c>
      <c r="AL1205" s="17"/>
      <c r="AM1205" s="17"/>
      <c r="AN1205" s="17"/>
      <c r="AO1205" s="17"/>
      <c r="AP1205" s="17"/>
      <c r="AQ1205" s="17"/>
      <c r="AR1205" s="17"/>
      <c r="AS1205" s="17"/>
      <c r="AT1205" s="17"/>
      <c r="AU1205" s="17"/>
      <c r="AV1205" s="17"/>
    </row>
    <row r="1206" spans="1:48" ht="15.75" customHeight="1">
      <c r="A1206" s="21" t="s">
        <v>53</v>
      </c>
      <c r="B1206" s="23" t="s">
        <v>1692</v>
      </c>
      <c r="C1206" s="22">
        <v>45832</v>
      </c>
      <c r="D1206" s="23" t="s">
        <v>323</v>
      </c>
      <c r="E1206" s="23" t="s">
        <v>316</v>
      </c>
      <c r="F1206" s="21">
        <v>1</v>
      </c>
      <c r="G1206" s="12">
        <v>3200.0762660158634</v>
      </c>
      <c r="H1206" s="12">
        <v>3200.0762660158634</v>
      </c>
      <c r="I1206" s="23" t="s">
        <v>52</v>
      </c>
      <c r="J1206" s="23" t="s">
        <v>61</v>
      </c>
      <c r="K1206" s="24" t="s">
        <v>177</v>
      </c>
      <c r="L1206" s="24">
        <v>153</v>
      </c>
      <c r="M1206" s="12">
        <v>2689.1397193410617</v>
      </c>
      <c r="N1206" s="12">
        <v>2689.1397193410617</v>
      </c>
      <c r="O1206" s="12">
        <v>510.93654667480178</v>
      </c>
      <c r="P1206" s="13"/>
      <c r="Q1206" s="14">
        <v>2025</v>
      </c>
      <c r="R1206" s="15">
        <v>45444</v>
      </c>
      <c r="S1206" s="11" t="s">
        <v>408</v>
      </c>
      <c r="T1206" s="16">
        <v>100</v>
      </c>
      <c r="U1206" s="17"/>
      <c r="V1206" s="12">
        <v>926.13971934106166</v>
      </c>
      <c r="W1206" s="12">
        <v>926.13971934106166</v>
      </c>
      <c r="X1206" s="12">
        <v>0</v>
      </c>
      <c r="Y1206" s="18">
        <v>45831</v>
      </c>
      <c r="Z1206" s="13" t="s">
        <v>516</v>
      </c>
      <c r="AA1206" s="19" t="s">
        <v>373</v>
      </c>
      <c r="AB1206" s="13" t="s">
        <v>357</v>
      </c>
      <c r="AC1206" s="13" t="s">
        <v>553</v>
      </c>
      <c r="AD1206" s="20"/>
      <c r="AE1206" s="20"/>
      <c r="AF1206" s="13" t="s">
        <v>40</v>
      </c>
      <c r="AG1206" s="15">
        <v>45444</v>
      </c>
      <c r="AH1206" s="13" t="s">
        <v>41</v>
      </c>
      <c r="AI1206" s="13" t="s">
        <v>53</v>
      </c>
      <c r="AJ1206" s="13" t="s">
        <v>409</v>
      </c>
      <c r="AK1206" s="14">
        <v>-1</v>
      </c>
      <c r="AL1206" s="17"/>
      <c r="AM1206" s="17"/>
      <c r="AN1206" s="17"/>
      <c r="AO1206" s="17"/>
      <c r="AP1206" s="17"/>
      <c r="AQ1206" s="17"/>
      <c r="AR1206" s="17"/>
      <c r="AS1206" s="17"/>
      <c r="AT1206" s="17"/>
      <c r="AU1206" s="17"/>
      <c r="AV1206" s="17"/>
    </row>
    <row r="1207" spans="1:48" ht="15.75" customHeight="1">
      <c r="A1207" s="21" t="s">
        <v>43</v>
      </c>
      <c r="B1207" s="23" t="s">
        <v>1692</v>
      </c>
      <c r="C1207" s="22">
        <v>45832</v>
      </c>
      <c r="D1207" s="23" t="s">
        <v>323</v>
      </c>
      <c r="E1207" s="23" t="s">
        <v>45</v>
      </c>
      <c r="F1207" s="21">
        <v>1</v>
      </c>
      <c r="G1207" s="12">
        <v>8199.8861047835999</v>
      </c>
      <c r="H1207" s="12">
        <v>8199.8861047835999</v>
      </c>
      <c r="I1207" s="23" t="s">
        <v>52</v>
      </c>
      <c r="J1207" s="23" t="s">
        <v>61</v>
      </c>
      <c r="K1207" s="24" t="s">
        <v>177</v>
      </c>
      <c r="L1207" s="24">
        <v>153</v>
      </c>
      <c r="M1207" s="12">
        <v>6890.6605922551262</v>
      </c>
      <c r="N1207" s="12">
        <v>6890.6605922551262</v>
      </c>
      <c r="O1207" s="12">
        <v>1309.2255125284737</v>
      </c>
      <c r="P1207" s="13"/>
      <c r="Q1207" s="14">
        <v>2025</v>
      </c>
      <c r="R1207" s="15">
        <v>45444</v>
      </c>
      <c r="S1207" s="11" t="s">
        <v>355</v>
      </c>
      <c r="T1207" s="16">
        <v>0</v>
      </c>
      <c r="U1207" s="17"/>
      <c r="V1207" s="12">
        <v>1445.6605922551253</v>
      </c>
      <c r="W1207" s="12">
        <v>1445.6605922551253</v>
      </c>
      <c r="X1207" s="12">
        <v>0</v>
      </c>
      <c r="Y1207" s="18">
        <v>45831</v>
      </c>
      <c r="Z1207" s="13" t="s">
        <v>516</v>
      </c>
      <c r="AA1207" s="19" t="s">
        <v>373</v>
      </c>
      <c r="AB1207" s="13" t="s">
        <v>357</v>
      </c>
      <c r="AC1207" s="13" t="s">
        <v>553</v>
      </c>
      <c r="AD1207" s="20"/>
      <c r="AE1207" s="20"/>
      <c r="AF1207" s="13" t="s">
        <v>40</v>
      </c>
      <c r="AG1207" s="15">
        <v>45444</v>
      </c>
      <c r="AH1207" s="13" t="s">
        <v>41</v>
      </c>
      <c r="AI1207" s="13" t="s">
        <v>43</v>
      </c>
      <c r="AJ1207" s="13" t="s">
        <v>359</v>
      </c>
      <c r="AK1207" s="14">
        <v>-1</v>
      </c>
      <c r="AL1207" s="17"/>
      <c r="AM1207" s="17"/>
      <c r="AN1207" s="17"/>
      <c r="AO1207" s="17"/>
      <c r="AP1207" s="17"/>
      <c r="AQ1207" s="17"/>
      <c r="AR1207" s="17"/>
      <c r="AS1207" s="17"/>
      <c r="AT1207" s="17"/>
      <c r="AU1207" s="17"/>
      <c r="AV1207" s="17"/>
    </row>
    <row r="1208" spans="1:48" ht="15.75" customHeight="1">
      <c r="A1208" s="21" t="s">
        <v>43</v>
      </c>
      <c r="B1208" s="23" t="s">
        <v>1692</v>
      </c>
      <c r="C1208" s="22">
        <v>45832</v>
      </c>
      <c r="D1208" s="23" t="s">
        <v>44</v>
      </c>
      <c r="E1208" s="23" t="s">
        <v>45</v>
      </c>
      <c r="F1208" s="21">
        <v>1</v>
      </c>
      <c r="G1208" s="12">
        <v>8199.8861047835999</v>
      </c>
      <c r="H1208" s="12">
        <v>8199.8861047835999</v>
      </c>
      <c r="I1208" s="23" t="s">
        <v>52</v>
      </c>
      <c r="J1208" s="23" t="s">
        <v>61</v>
      </c>
      <c r="K1208" s="24" t="s">
        <v>177</v>
      </c>
      <c r="L1208" s="24">
        <v>153</v>
      </c>
      <c r="M1208" s="12">
        <v>6890.6605922551262</v>
      </c>
      <c r="N1208" s="12">
        <v>6890.6605922551262</v>
      </c>
      <c r="O1208" s="12">
        <v>1309.2255125284737</v>
      </c>
      <c r="P1208" s="13"/>
      <c r="Q1208" s="14">
        <v>2025</v>
      </c>
      <c r="R1208" s="15">
        <v>45444</v>
      </c>
      <c r="S1208" s="11" t="s">
        <v>355</v>
      </c>
      <c r="T1208" s="16">
        <v>0</v>
      </c>
      <c r="U1208" s="17"/>
      <c r="V1208" s="12">
        <v>1445.6605922551253</v>
      </c>
      <c r="W1208" s="12">
        <v>1445.6605922551253</v>
      </c>
      <c r="X1208" s="12">
        <v>0</v>
      </c>
      <c r="Y1208" s="18">
        <v>45831</v>
      </c>
      <c r="Z1208" s="13" t="s">
        <v>516</v>
      </c>
      <c r="AA1208" s="19" t="s">
        <v>361</v>
      </c>
      <c r="AB1208" s="13" t="s">
        <v>357</v>
      </c>
      <c r="AC1208" s="13" t="s">
        <v>554</v>
      </c>
      <c r="AD1208" s="20"/>
      <c r="AE1208" s="20"/>
      <c r="AF1208" s="13" t="s">
        <v>40</v>
      </c>
      <c r="AG1208" s="15">
        <v>45444</v>
      </c>
      <c r="AH1208" s="13" t="s">
        <v>41</v>
      </c>
      <c r="AI1208" s="13" t="s">
        <v>43</v>
      </c>
      <c r="AJ1208" s="13" t="s">
        <v>359</v>
      </c>
      <c r="AK1208" s="14">
        <v>-1</v>
      </c>
      <c r="AL1208" s="17"/>
      <c r="AM1208" s="17"/>
      <c r="AN1208" s="17"/>
      <c r="AO1208" s="17"/>
      <c r="AP1208" s="17"/>
      <c r="AQ1208" s="17"/>
      <c r="AR1208" s="17"/>
      <c r="AS1208" s="17"/>
      <c r="AT1208" s="17"/>
      <c r="AU1208" s="17"/>
      <c r="AV1208" s="17"/>
    </row>
    <row r="1209" spans="1:48" ht="15.75" customHeight="1">
      <c r="A1209" s="21" t="s">
        <v>43</v>
      </c>
      <c r="B1209" s="23" t="s">
        <v>1692</v>
      </c>
      <c r="C1209" s="22">
        <v>45832</v>
      </c>
      <c r="D1209" s="23" t="s">
        <v>152</v>
      </c>
      <c r="E1209" s="23" t="s">
        <v>45</v>
      </c>
      <c r="F1209" s="21">
        <v>1</v>
      </c>
      <c r="G1209" s="12">
        <v>8199.8861047835999</v>
      </c>
      <c r="H1209" s="12">
        <v>8199.8861047835999</v>
      </c>
      <c r="I1209" s="23" t="s">
        <v>52</v>
      </c>
      <c r="J1209" s="23" t="s">
        <v>61</v>
      </c>
      <c r="K1209" s="24" t="s">
        <v>177</v>
      </c>
      <c r="L1209" s="24">
        <v>153</v>
      </c>
      <c r="M1209" s="12">
        <v>6890.6605922551262</v>
      </c>
      <c r="N1209" s="12">
        <v>6890.6605922551262</v>
      </c>
      <c r="O1209" s="12">
        <v>1309.2255125284737</v>
      </c>
      <c r="P1209" s="13"/>
      <c r="Q1209" s="14">
        <v>2025</v>
      </c>
      <c r="R1209" s="15">
        <v>45444</v>
      </c>
      <c r="S1209" s="11" t="s">
        <v>355</v>
      </c>
      <c r="T1209" s="16">
        <v>0</v>
      </c>
      <c r="U1209" s="17"/>
      <c r="V1209" s="12">
        <v>1445.6605922551253</v>
      </c>
      <c r="W1209" s="12">
        <v>1445.6605922551253</v>
      </c>
      <c r="X1209" s="12">
        <v>0</v>
      </c>
      <c r="Y1209" s="18">
        <v>45831</v>
      </c>
      <c r="Z1209" s="13" t="s">
        <v>516</v>
      </c>
      <c r="AA1209" s="19" t="s">
        <v>373</v>
      </c>
      <c r="AB1209" s="13" t="s">
        <v>357</v>
      </c>
      <c r="AC1209" s="13" t="s">
        <v>383</v>
      </c>
      <c r="AD1209" s="20"/>
      <c r="AE1209" s="20"/>
      <c r="AF1209" s="13" t="s">
        <v>40</v>
      </c>
      <c r="AG1209" s="15">
        <v>45444</v>
      </c>
      <c r="AH1209" s="13" t="s">
        <v>41</v>
      </c>
      <c r="AI1209" s="13" t="s">
        <v>43</v>
      </c>
      <c r="AJ1209" s="13" t="s">
        <v>359</v>
      </c>
      <c r="AK1209" s="14">
        <v>-1</v>
      </c>
      <c r="AL1209" s="17"/>
      <c r="AM1209" s="17"/>
      <c r="AN1209" s="17"/>
      <c r="AO1209" s="17"/>
      <c r="AP1209" s="17"/>
      <c r="AQ1209" s="17"/>
      <c r="AR1209" s="17"/>
      <c r="AS1209" s="17"/>
      <c r="AT1209" s="17"/>
      <c r="AU1209" s="17"/>
      <c r="AV1209" s="17"/>
    </row>
    <row r="1210" spans="1:48" ht="15.75" customHeight="1">
      <c r="A1210" s="21" t="s">
        <v>43</v>
      </c>
      <c r="B1210" s="23" t="s">
        <v>1692</v>
      </c>
      <c r="C1210" s="22">
        <v>45832</v>
      </c>
      <c r="D1210" s="23" t="s">
        <v>227</v>
      </c>
      <c r="E1210" s="23" t="s">
        <v>45</v>
      </c>
      <c r="F1210" s="21">
        <v>3</v>
      </c>
      <c r="G1210" s="12">
        <v>8199.8861047835999</v>
      </c>
      <c r="H1210" s="12">
        <v>24599.6583143508</v>
      </c>
      <c r="I1210" s="23" t="s">
        <v>52</v>
      </c>
      <c r="J1210" s="23" t="s">
        <v>61</v>
      </c>
      <c r="K1210" s="24" t="s">
        <v>177</v>
      </c>
      <c r="L1210" s="24">
        <v>153</v>
      </c>
      <c r="M1210" s="12">
        <v>6890.6605922551262</v>
      </c>
      <c r="N1210" s="12">
        <v>20671.98177676538</v>
      </c>
      <c r="O1210" s="12">
        <v>3927.6765375854193</v>
      </c>
      <c r="P1210" s="13"/>
      <c r="Q1210" s="14">
        <v>2025</v>
      </c>
      <c r="R1210" s="15">
        <v>45444</v>
      </c>
      <c r="S1210" s="11" t="s">
        <v>355</v>
      </c>
      <c r="T1210" s="16">
        <v>0</v>
      </c>
      <c r="U1210" s="17"/>
      <c r="V1210" s="12">
        <v>4336.9817767653758</v>
      </c>
      <c r="W1210" s="12">
        <v>4336.9817767653758</v>
      </c>
      <c r="X1210" s="12">
        <v>0</v>
      </c>
      <c r="Y1210" s="18">
        <v>45831</v>
      </c>
      <c r="Z1210" s="13" t="s">
        <v>516</v>
      </c>
      <c r="AA1210" s="19" t="s">
        <v>361</v>
      </c>
      <c r="AB1210" s="13" t="s">
        <v>357</v>
      </c>
      <c r="AC1210" s="13" t="s">
        <v>393</v>
      </c>
      <c r="AD1210" s="20"/>
      <c r="AE1210" s="20"/>
      <c r="AF1210" s="13" t="s">
        <v>40</v>
      </c>
      <c r="AG1210" s="15">
        <v>45444</v>
      </c>
      <c r="AH1210" s="13" t="s">
        <v>41</v>
      </c>
      <c r="AI1210" s="13" t="s">
        <v>43</v>
      </c>
      <c r="AJ1210" s="13" t="s">
        <v>359</v>
      </c>
      <c r="AK1210" s="14">
        <v>-3</v>
      </c>
      <c r="AL1210" s="17"/>
      <c r="AM1210" s="17"/>
      <c r="AN1210" s="17"/>
      <c r="AO1210" s="17"/>
      <c r="AP1210" s="17"/>
      <c r="AQ1210" s="17"/>
      <c r="AR1210" s="17"/>
      <c r="AS1210" s="17"/>
      <c r="AT1210" s="17"/>
      <c r="AU1210" s="17"/>
      <c r="AV1210" s="17"/>
    </row>
    <row r="1211" spans="1:48" ht="15.75" customHeight="1">
      <c r="A1211" s="14" t="s">
        <v>53</v>
      </c>
      <c r="B1211" s="23" t="s">
        <v>1692</v>
      </c>
      <c r="C1211" s="22">
        <v>45832</v>
      </c>
      <c r="D1211" s="23" t="s">
        <v>189</v>
      </c>
      <c r="E1211" s="23" t="s">
        <v>55</v>
      </c>
      <c r="F1211" s="14">
        <v>1</v>
      </c>
      <c r="G1211" s="12">
        <v>20899.657134519988</v>
      </c>
      <c r="H1211" s="12">
        <v>20899.657134519988</v>
      </c>
      <c r="I1211" s="13" t="s">
        <v>52</v>
      </c>
      <c r="J1211" s="23" t="s">
        <v>61</v>
      </c>
      <c r="K1211" s="24" t="s">
        <v>177</v>
      </c>
      <c r="L1211" s="24">
        <v>153</v>
      </c>
      <c r="M1211" s="12">
        <v>17562.737087831923</v>
      </c>
      <c r="N1211" s="12">
        <v>17562.737087831923</v>
      </c>
      <c r="O1211" s="12">
        <v>3336.9200466880648</v>
      </c>
      <c r="P1211" s="13"/>
      <c r="Q1211" s="14">
        <v>2025</v>
      </c>
      <c r="R1211" s="15">
        <v>45444</v>
      </c>
      <c r="S1211" s="11" t="s">
        <v>366</v>
      </c>
      <c r="T1211" s="16">
        <v>0</v>
      </c>
      <c r="U1211" s="17"/>
      <c r="V1211" s="12">
        <v>3117.7370878319234</v>
      </c>
      <c r="W1211" s="12">
        <v>3117.7370878319234</v>
      </c>
      <c r="X1211" s="12">
        <v>0</v>
      </c>
      <c r="Y1211" s="18">
        <v>45831</v>
      </c>
      <c r="Z1211" s="13" t="s">
        <v>516</v>
      </c>
      <c r="AA1211" s="19" t="s">
        <v>361</v>
      </c>
      <c r="AB1211" s="13" t="s">
        <v>357</v>
      </c>
      <c r="AC1211" s="13" t="s">
        <v>362</v>
      </c>
      <c r="AD1211" s="20"/>
      <c r="AE1211" s="20"/>
      <c r="AF1211" s="13" t="s">
        <v>40</v>
      </c>
      <c r="AG1211" s="15">
        <v>45444</v>
      </c>
      <c r="AH1211" s="13" t="s">
        <v>41</v>
      </c>
      <c r="AI1211" s="13" t="s">
        <v>53</v>
      </c>
      <c r="AJ1211" s="13" t="s">
        <v>368</v>
      </c>
      <c r="AK1211" s="14">
        <v>-8</v>
      </c>
      <c r="AL1211" s="17"/>
      <c r="AM1211" s="17"/>
      <c r="AN1211" s="17"/>
      <c r="AO1211" s="17"/>
      <c r="AP1211" s="17"/>
      <c r="AQ1211" s="17"/>
      <c r="AR1211" s="17"/>
      <c r="AS1211" s="17"/>
      <c r="AT1211" s="17"/>
      <c r="AU1211" s="17"/>
      <c r="AV1211" s="17"/>
    </row>
    <row r="1212" spans="1:48" ht="15.75" customHeight="1">
      <c r="A1212" s="14" t="s">
        <v>53</v>
      </c>
      <c r="B1212" s="23" t="s">
        <v>1692</v>
      </c>
      <c r="C1212" s="22">
        <v>45832</v>
      </c>
      <c r="D1212" s="23" t="s">
        <v>189</v>
      </c>
      <c r="E1212" s="23" t="s">
        <v>69</v>
      </c>
      <c r="F1212" s="14">
        <v>1</v>
      </c>
      <c r="G1212" s="12">
        <v>2999.9553810458683</v>
      </c>
      <c r="H1212" s="12">
        <v>2999.9553810458683</v>
      </c>
      <c r="I1212" s="13" t="s">
        <v>52</v>
      </c>
      <c r="J1212" s="23" t="s">
        <v>61</v>
      </c>
      <c r="K1212" s="24" t="s">
        <v>177</v>
      </c>
      <c r="L1212" s="24">
        <v>153</v>
      </c>
      <c r="M1212" s="12">
        <v>2520.9709084419064</v>
      </c>
      <c r="N1212" s="12">
        <v>2520.9709084419064</v>
      </c>
      <c r="O1212" s="12">
        <v>478.98447260396188</v>
      </c>
      <c r="P1212" s="13"/>
      <c r="Q1212" s="14">
        <v>2025</v>
      </c>
      <c r="R1212" s="15">
        <v>45444</v>
      </c>
      <c r="S1212" s="11" t="s">
        <v>376</v>
      </c>
      <c r="T1212" s="16">
        <v>0</v>
      </c>
      <c r="U1212" s="17"/>
      <c r="V1212" s="12">
        <v>825.97090844190598</v>
      </c>
      <c r="W1212" s="12">
        <v>825.97090844190598</v>
      </c>
      <c r="X1212" s="12">
        <v>0</v>
      </c>
      <c r="Y1212" s="18">
        <v>45831</v>
      </c>
      <c r="Z1212" s="13" t="s">
        <v>516</v>
      </c>
      <c r="AA1212" s="19" t="s">
        <v>361</v>
      </c>
      <c r="AB1212" s="13" t="s">
        <v>357</v>
      </c>
      <c r="AC1212" s="13" t="s">
        <v>362</v>
      </c>
      <c r="AD1212" s="20"/>
      <c r="AE1212" s="20"/>
      <c r="AF1212" s="13" t="s">
        <v>40</v>
      </c>
      <c r="AG1212" s="15">
        <v>45444</v>
      </c>
      <c r="AH1212" s="13" t="s">
        <v>41</v>
      </c>
      <c r="AI1212" s="13" t="s">
        <v>53</v>
      </c>
      <c r="AJ1212" s="13" t="s">
        <v>377</v>
      </c>
      <c r="AK1212" s="14">
        <v>-1</v>
      </c>
      <c r="AL1212" s="17"/>
      <c r="AM1212" s="17"/>
      <c r="AN1212" s="17"/>
      <c r="AO1212" s="17"/>
      <c r="AP1212" s="17"/>
      <c r="AQ1212" s="17"/>
      <c r="AR1212" s="17"/>
      <c r="AS1212" s="17"/>
      <c r="AT1212" s="17"/>
      <c r="AU1212" s="17"/>
      <c r="AV1212" s="17"/>
    </row>
    <row r="1213" spans="1:48" ht="15.75" customHeight="1">
      <c r="A1213" s="14" t="s">
        <v>53</v>
      </c>
      <c r="B1213" s="23" t="s">
        <v>1692</v>
      </c>
      <c r="C1213" s="22">
        <v>45832</v>
      </c>
      <c r="D1213" s="23" t="s">
        <v>189</v>
      </c>
      <c r="E1213" s="23" t="s">
        <v>150</v>
      </c>
      <c r="F1213" s="14">
        <v>1</v>
      </c>
      <c r="G1213" s="12">
        <v>1799.8965445892823</v>
      </c>
      <c r="H1213" s="12">
        <v>1799.8965445892823</v>
      </c>
      <c r="I1213" s="13" t="s">
        <v>52</v>
      </c>
      <c r="J1213" s="23" t="s">
        <v>61</v>
      </c>
      <c r="K1213" s="24" t="s">
        <v>177</v>
      </c>
      <c r="L1213" s="24">
        <v>153</v>
      </c>
      <c r="M1213" s="12">
        <v>1512.518104696876</v>
      </c>
      <c r="N1213" s="12">
        <v>1512.518104696876</v>
      </c>
      <c r="O1213" s="12">
        <v>287.37843989240628</v>
      </c>
      <c r="P1213" s="13"/>
      <c r="Q1213" s="14">
        <v>2025</v>
      </c>
      <c r="R1213" s="15">
        <v>45444</v>
      </c>
      <c r="S1213" s="11" t="s">
        <v>381</v>
      </c>
      <c r="T1213" s="16">
        <v>300</v>
      </c>
      <c r="U1213" s="17"/>
      <c r="V1213" s="12">
        <v>781.51810469687575</v>
      </c>
      <c r="W1213" s="12">
        <v>781.51810469687575</v>
      </c>
      <c r="X1213" s="12">
        <v>0</v>
      </c>
      <c r="Y1213" s="18">
        <v>45831</v>
      </c>
      <c r="Z1213" s="13" t="s">
        <v>516</v>
      </c>
      <c r="AA1213" s="19" t="s">
        <v>361</v>
      </c>
      <c r="AB1213" s="13" t="s">
        <v>357</v>
      </c>
      <c r="AC1213" s="13" t="s">
        <v>362</v>
      </c>
      <c r="AD1213" s="20"/>
      <c r="AE1213" s="20"/>
      <c r="AF1213" s="13" t="s">
        <v>40</v>
      </c>
      <c r="AG1213" s="15">
        <v>45444</v>
      </c>
      <c r="AH1213" s="13" t="s">
        <v>41</v>
      </c>
      <c r="AI1213" s="13" t="s">
        <v>53</v>
      </c>
      <c r="AJ1213" s="13" t="s">
        <v>382</v>
      </c>
      <c r="AK1213" s="14">
        <v>-1</v>
      </c>
      <c r="AL1213" s="17"/>
      <c r="AM1213" s="17"/>
      <c r="AN1213" s="17"/>
      <c r="AO1213" s="17"/>
      <c r="AP1213" s="17"/>
      <c r="AQ1213" s="17"/>
      <c r="AR1213" s="17"/>
      <c r="AS1213" s="17"/>
      <c r="AT1213" s="17"/>
      <c r="AU1213" s="17"/>
      <c r="AV1213" s="17"/>
    </row>
    <row r="1214" spans="1:48" ht="15.75" customHeight="1">
      <c r="A1214" s="21" t="s">
        <v>53</v>
      </c>
      <c r="B1214" s="23" t="s">
        <v>1692</v>
      </c>
      <c r="C1214" s="22">
        <v>45831</v>
      </c>
      <c r="D1214" s="23" t="s">
        <v>319</v>
      </c>
      <c r="E1214" s="23" t="s">
        <v>150</v>
      </c>
      <c r="F1214" s="21">
        <v>1</v>
      </c>
      <c r="G1214" s="12">
        <v>1799.8965445892823</v>
      </c>
      <c r="H1214" s="12">
        <v>1799.8965445892823</v>
      </c>
      <c r="I1214" s="23" t="s">
        <v>52</v>
      </c>
      <c r="J1214" s="23" t="s">
        <v>61</v>
      </c>
      <c r="K1214" s="24" t="s">
        <v>177</v>
      </c>
      <c r="L1214" s="24">
        <v>153</v>
      </c>
      <c r="M1214" s="12">
        <v>1512.518104696876</v>
      </c>
      <c r="N1214" s="12">
        <v>1512.518104696876</v>
      </c>
      <c r="O1214" s="12">
        <v>287.37843989240628</v>
      </c>
      <c r="P1214" s="13"/>
      <c r="Q1214" s="14">
        <v>2025</v>
      </c>
      <c r="R1214" s="15">
        <v>45444</v>
      </c>
      <c r="S1214" s="11" t="s">
        <v>381</v>
      </c>
      <c r="T1214" s="16">
        <v>300</v>
      </c>
      <c r="U1214" s="17"/>
      <c r="V1214" s="12">
        <v>781.51810469687575</v>
      </c>
      <c r="W1214" s="12">
        <v>781.51810469687575</v>
      </c>
      <c r="X1214" s="12">
        <v>0</v>
      </c>
      <c r="Y1214" s="18">
        <v>45831</v>
      </c>
      <c r="Z1214" s="13" t="s">
        <v>523</v>
      </c>
      <c r="AA1214" s="19" t="s">
        <v>373</v>
      </c>
      <c r="AB1214" s="13" t="s">
        <v>357</v>
      </c>
      <c r="AC1214" s="13" t="s">
        <v>467</v>
      </c>
      <c r="AD1214" s="20"/>
      <c r="AE1214" s="20"/>
      <c r="AF1214" s="13" t="s">
        <v>40</v>
      </c>
      <c r="AG1214" s="15">
        <v>45444</v>
      </c>
      <c r="AH1214" s="13" t="s">
        <v>41</v>
      </c>
      <c r="AI1214" s="13" t="s">
        <v>53</v>
      </c>
      <c r="AJ1214" s="13" t="s">
        <v>382</v>
      </c>
      <c r="AK1214" s="14">
        <v>-1</v>
      </c>
      <c r="AL1214" s="17"/>
      <c r="AM1214" s="17"/>
      <c r="AN1214" s="17"/>
      <c r="AO1214" s="17"/>
      <c r="AP1214" s="17"/>
      <c r="AQ1214" s="17"/>
      <c r="AR1214" s="17"/>
      <c r="AS1214" s="17"/>
      <c r="AT1214" s="17"/>
      <c r="AU1214" s="17"/>
      <c r="AV1214" s="17"/>
    </row>
    <row r="1215" spans="1:48" ht="15.75" customHeight="1">
      <c r="A1215" s="21" t="s">
        <v>64</v>
      </c>
      <c r="B1215" s="23" t="s">
        <v>1692</v>
      </c>
      <c r="C1215" s="22">
        <v>45831</v>
      </c>
      <c r="D1215" s="23" t="s">
        <v>319</v>
      </c>
      <c r="E1215" s="23" t="s">
        <v>65</v>
      </c>
      <c r="F1215" s="21">
        <v>1</v>
      </c>
      <c r="G1215" s="12">
        <v>8199.8794599807134</v>
      </c>
      <c r="H1215" s="12">
        <v>8199.8794599807134</v>
      </c>
      <c r="I1215" s="23" t="s">
        <v>52</v>
      </c>
      <c r="J1215" s="23" t="s">
        <v>61</v>
      </c>
      <c r="K1215" s="24" t="s">
        <v>177</v>
      </c>
      <c r="L1215" s="24">
        <v>153</v>
      </c>
      <c r="M1215" s="12">
        <v>6890.6550083871543</v>
      </c>
      <c r="N1215" s="12">
        <v>6890.6550083871543</v>
      </c>
      <c r="O1215" s="12">
        <v>1309.224451593559</v>
      </c>
      <c r="P1215" s="13"/>
      <c r="Q1215" s="14">
        <v>2025</v>
      </c>
      <c r="R1215" s="15">
        <v>45444</v>
      </c>
      <c r="S1215" s="11" t="s">
        <v>64</v>
      </c>
      <c r="T1215" s="16">
        <v>1</v>
      </c>
      <c r="U1215" s="17"/>
      <c r="V1215" s="12">
        <v>1174.1676134291711</v>
      </c>
      <c r="W1215" s="12">
        <v>1174.1676134291711</v>
      </c>
      <c r="X1215" s="12">
        <v>0</v>
      </c>
      <c r="Y1215" s="18">
        <v>45831</v>
      </c>
      <c r="Z1215" s="13" t="s">
        <v>523</v>
      </c>
      <c r="AA1215" s="19" t="s">
        <v>373</v>
      </c>
      <c r="AB1215" s="13" t="s">
        <v>357</v>
      </c>
      <c r="AC1215" s="13" t="s">
        <v>467</v>
      </c>
      <c r="AD1215" s="20"/>
      <c r="AE1215" s="20"/>
      <c r="AF1215" s="13" t="s">
        <v>40</v>
      </c>
      <c r="AG1215" s="15">
        <v>45444</v>
      </c>
      <c r="AH1215" s="13" t="s">
        <v>41</v>
      </c>
      <c r="AI1215" s="13" t="s">
        <v>64</v>
      </c>
      <c r="AJ1215" s="13" t="s">
        <v>543</v>
      </c>
      <c r="AK1215" s="14">
        <v>-1</v>
      </c>
      <c r="AL1215" s="17"/>
      <c r="AM1215" s="17"/>
      <c r="AN1215" s="17"/>
      <c r="AO1215" s="17"/>
      <c r="AP1215" s="17"/>
      <c r="AQ1215" s="17"/>
      <c r="AR1215" s="17"/>
      <c r="AS1215" s="17"/>
      <c r="AT1215" s="17"/>
      <c r="AU1215" s="17"/>
      <c r="AV1215" s="17"/>
    </row>
    <row r="1216" spans="1:48" ht="15.75" customHeight="1">
      <c r="A1216" s="21" t="s">
        <v>47</v>
      </c>
      <c r="B1216" s="23" t="s">
        <v>1692</v>
      </c>
      <c r="C1216" s="22">
        <v>45831</v>
      </c>
      <c r="D1216" s="23" t="s">
        <v>319</v>
      </c>
      <c r="E1216" s="23" t="s">
        <v>205</v>
      </c>
      <c r="F1216" s="21">
        <v>1</v>
      </c>
      <c r="G1216" s="12">
        <v>1100.0468055230517</v>
      </c>
      <c r="H1216" s="12">
        <v>1100.0468055230517</v>
      </c>
      <c r="I1216" s="23" t="s">
        <v>52</v>
      </c>
      <c r="J1216" s="23" t="s">
        <v>61</v>
      </c>
      <c r="K1216" s="24" t="s">
        <v>177</v>
      </c>
      <c r="L1216" s="24">
        <v>153</v>
      </c>
      <c r="M1216" s="12">
        <v>924.40908027147202</v>
      </c>
      <c r="N1216" s="12">
        <v>924.40908027147202</v>
      </c>
      <c r="O1216" s="12">
        <v>175.6377252515797</v>
      </c>
      <c r="P1216" s="13"/>
      <c r="Q1216" s="14">
        <v>2025</v>
      </c>
      <c r="R1216" s="15">
        <v>45444</v>
      </c>
      <c r="S1216" s="11" t="s">
        <v>205</v>
      </c>
      <c r="T1216" s="16">
        <v>0</v>
      </c>
      <c r="U1216" s="17"/>
      <c r="V1216" s="12">
        <v>529.40908027147202</v>
      </c>
      <c r="W1216" s="12">
        <v>529.40908027147202</v>
      </c>
      <c r="X1216" s="12">
        <v>0</v>
      </c>
      <c r="Y1216" s="18">
        <v>45831</v>
      </c>
      <c r="Z1216" s="13" t="s">
        <v>523</v>
      </c>
      <c r="AA1216" s="19" t="s">
        <v>373</v>
      </c>
      <c r="AB1216" s="13" t="s">
        <v>357</v>
      </c>
      <c r="AC1216" s="13" t="s">
        <v>467</v>
      </c>
      <c r="AD1216" s="20"/>
      <c r="AE1216" s="20"/>
      <c r="AF1216" s="13" t="s">
        <v>40</v>
      </c>
      <c r="AG1216" s="15">
        <v>45444</v>
      </c>
      <c r="AH1216" s="13" t="s">
        <v>41</v>
      </c>
      <c r="AI1216" s="13" t="s">
        <v>47</v>
      </c>
      <c r="AJ1216" s="13" t="s">
        <v>542</v>
      </c>
      <c r="AK1216" s="14">
        <v>-1</v>
      </c>
      <c r="AL1216" s="17"/>
      <c r="AM1216" s="17"/>
      <c r="AN1216" s="17"/>
      <c r="AO1216" s="17"/>
      <c r="AP1216" s="17"/>
      <c r="AQ1216" s="17"/>
      <c r="AR1216" s="17"/>
      <c r="AS1216" s="17"/>
      <c r="AT1216" s="17"/>
      <c r="AU1216" s="17"/>
      <c r="AV1216" s="17"/>
    </row>
    <row r="1217" spans="1:48" ht="15.75" customHeight="1">
      <c r="A1217" s="21" t="s">
        <v>56</v>
      </c>
      <c r="B1217" s="23" t="s">
        <v>1692</v>
      </c>
      <c r="C1217" s="22">
        <v>45831</v>
      </c>
      <c r="D1217" s="23" t="s">
        <v>319</v>
      </c>
      <c r="E1217" s="23" t="s">
        <v>190</v>
      </c>
      <c r="F1217" s="21">
        <v>1</v>
      </c>
      <c r="G1217" s="12">
        <v>2499.8855507868384</v>
      </c>
      <c r="H1217" s="12">
        <v>2499.8855507868384</v>
      </c>
      <c r="I1217" s="23" t="s">
        <v>52</v>
      </c>
      <c r="J1217" s="23" t="s">
        <v>61</v>
      </c>
      <c r="K1217" s="24" t="s">
        <v>177</v>
      </c>
      <c r="L1217" s="24">
        <v>153</v>
      </c>
      <c r="M1217" s="12">
        <v>2100.7441603250745</v>
      </c>
      <c r="N1217" s="12">
        <v>2100.7441603250745</v>
      </c>
      <c r="O1217" s="12">
        <v>399.14139046176388</v>
      </c>
      <c r="P1217" s="13"/>
      <c r="Q1217" s="14">
        <v>2025</v>
      </c>
      <c r="R1217" s="15">
        <v>45444</v>
      </c>
      <c r="S1217" s="11" t="s">
        <v>492</v>
      </c>
      <c r="T1217" s="16">
        <v>200</v>
      </c>
      <c r="U1217" s="17"/>
      <c r="V1217" s="12">
        <v>632.32399225784707</v>
      </c>
      <c r="W1217" s="12">
        <v>632.32399225784707</v>
      </c>
      <c r="X1217" s="12">
        <v>0</v>
      </c>
      <c r="Y1217" s="18">
        <v>45831</v>
      </c>
      <c r="Z1217" s="13" t="s">
        <v>523</v>
      </c>
      <c r="AA1217" s="19" t="s">
        <v>373</v>
      </c>
      <c r="AB1217" s="13" t="s">
        <v>357</v>
      </c>
      <c r="AC1217" s="13" t="s">
        <v>467</v>
      </c>
      <c r="AD1217" s="20"/>
      <c r="AE1217" s="20"/>
      <c r="AF1217" s="13" t="s">
        <v>40</v>
      </c>
      <c r="AG1217" s="15">
        <v>45444</v>
      </c>
      <c r="AH1217" s="13" t="s">
        <v>41</v>
      </c>
      <c r="AI1217" s="13" t="s">
        <v>56</v>
      </c>
      <c r="AJ1217" s="13" t="s">
        <v>493</v>
      </c>
      <c r="AK1217" s="14">
        <v>-1</v>
      </c>
      <c r="AL1217" s="17"/>
      <c r="AM1217" s="17"/>
      <c r="AN1217" s="17"/>
      <c r="AO1217" s="17"/>
      <c r="AP1217" s="17"/>
      <c r="AQ1217" s="17"/>
      <c r="AR1217" s="17"/>
      <c r="AS1217" s="17"/>
      <c r="AT1217" s="17"/>
      <c r="AU1217" s="17"/>
      <c r="AV1217" s="17"/>
    </row>
    <row r="1218" spans="1:48" ht="15.75" customHeight="1">
      <c r="A1218" s="21" t="s">
        <v>76</v>
      </c>
      <c r="B1218" s="23" t="s">
        <v>1692</v>
      </c>
      <c r="C1218" s="22">
        <v>45831</v>
      </c>
      <c r="D1218" s="23" t="s">
        <v>319</v>
      </c>
      <c r="E1218" s="23" t="s">
        <v>81</v>
      </c>
      <c r="F1218" s="21">
        <v>1</v>
      </c>
      <c r="G1218" s="12">
        <v>3500.0000000000005</v>
      </c>
      <c r="H1218" s="12">
        <v>3500.0000000000005</v>
      </c>
      <c r="I1218" s="23" t="s">
        <v>52</v>
      </c>
      <c r="J1218" s="23" t="s">
        <v>61</v>
      </c>
      <c r="K1218" s="24" t="s">
        <v>177</v>
      </c>
      <c r="L1218" s="24">
        <v>153</v>
      </c>
      <c r="M1218" s="12">
        <v>2941.1764705882356</v>
      </c>
      <c r="N1218" s="12">
        <v>2941.1764705882356</v>
      </c>
      <c r="O1218" s="12">
        <v>558.82352941176487</v>
      </c>
      <c r="P1218" s="13"/>
      <c r="Q1218" s="14">
        <v>2025</v>
      </c>
      <c r="R1218" s="15">
        <v>45444</v>
      </c>
      <c r="S1218" s="11" t="s">
        <v>397</v>
      </c>
      <c r="T1218" s="16">
        <v>5</v>
      </c>
      <c r="U1218" s="17"/>
      <c r="V1218" s="12">
        <v>764.70588235294144</v>
      </c>
      <c r="W1218" s="12">
        <v>764.70588235294144</v>
      </c>
      <c r="X1218" s="12">
        <v>0</v>
      </c>
      <c r="Y1218" s="18">
        <v>45831</v>
      </c>
      <c r="Z1218" s="13" t="s">
        <v>523</v>
      </c>
      <c r="AA1218" s="19" t="s">
        <v>373</v>
      </c>
      <c r="AB1218" s="13" t="s">
        <v>357</v>
      </c>
      <c r="AC1218" s="13" t="s">
        <v>467</v>
      </c>
      <c r="AD1218" s="20"/>
      <c r="AE1218" s="20"/>
      <c r="AF1218" s="13" t="s">
        <v>40</v>
      </c>
      <c r="AG1218" s="15">
        <v>45444</v>
      </c>
      <c r="AH1218" s="13" t="s">
        <v>41</v>
      </c>
      <c r="AI1218" s="13" t="s">
        <v>76</v>
      </c>
      <c r="AJ1218" s="13" t="s">
        <v>398</v>
      </c>
      <c r="AK1218" s="14">
        <v>-1</v>
      </c>
      <c r="AL1218" s="17"/>
      <c r="AM1218" s="17"/>
      <c r="AN1218" s="17"/>
      <c r="AO1218" s="17"/>
      <c r="AP1218" s="17"/>
      <c r="AQ1218" s="17"/>
      <c r="AR1218" s="17"/>
      <c r="AS1218" s="17"/>
      <c r="AT1218" s="17"/>
      <c r="AU1218" s="17"/>
      <c r="AV1218" s="17"/>
    </row>
    <row r="1219" spans="1:48" ht="15.75" customHeight="1">
      <c r="A1219" s="21" t="s">
        <v>35</v>
      </c>
      <c r="B1219" s="23" t="s">
        <v>1692</v>
      </c>
      <c r="C1219" s="22">
        <v>45831</v>
      </c>
      <c r="D1219" s="23" t="s">
        <v>319</v>
      </c>
      <c r="E1219" s="23" t="s">
        <v>46</v>
      </c>
      <c r="F1219" s="21">
        <v>1</v>
      </c>
      <c r="G1219" s="12">
        <v>6000.1548227279782</v>
      </c>
      <c r="H1219" s="12">
        <v>6000.1548227279782</v>
      </c>
      <c r="I1219" s="23" t="s">
        <v>52</v>
      </c>
      <c r="J1219" s="23" t="s">
        <v>61</v>
      </c>
      <c r="K1219" s="24" t="s">
        <v>177</v>
      </c>
      <c r="L1219" s="24">
        <v>153</v>
      </c>
      <c r="M1219" s="12">
        <v>5042.1469098554444</v>
      </c>
      <c r="N1219" s="12">
        <v>5042.1469098554444</v>
      </c>
      <c r="O1219" s="12">
        <v>958.00791287253378</v>
      </c>
      <c r="P1219" s="13"/>
      <c r="Q1219" s="14">
        <v>2025</v>
      </c>
      <c r="R1219" s="15">
        <v>45444</v>
      </c>
      <c r="S1219" s="11" t="s">
        <v>364</v>
      </c>
      <c r="T1219" s="16">
        <v>500</v>
      </c>
      <c r="U1219" s="17"/>
      <c r="V1219" s="12">
        <v>1785.4242207798129</v>
      </c>
      <c r="W1219" s="12">
        <v>1785.4242207798129</v>
      </c>
      <c r="X1219" s="12">
        <v>0</v>
      </c>
      <c r="Y1219" s="18">
        <v>45831</v>
      </c>
      <c r="Z1219" s="13" t="s">
        <v>523</v>
      </c>
      <c r="AA1219" s="19" t="s">
        <v>373</v>
      </c>
      <c r="AB1219" s="13" t="s">
        <v>357</v>
      </c>
      <c r="AC1219" s="13" t="s">
        <v>467</v>
      </c>
      <c r="AD1219" s="20"/>
      <c r="AE1219" s="20"/>
      <c r="AF1219" s="13" t="s">
        <v>40</v>
      </c>
      <c r="AG1219" s="15">
        <v>45444</v>
      </c>
      <c r="AH1219" s="13" t="s">
        <v>41</v>
      </c>
      <c r="AI1219" s="13" t="s">
        <v>35</v>
      </c>
      <c r="AJ1219" s="13" t="s">
        <v>365</v>
      </c>
      <c r="AK1219" s="14">
        <v>-0.5</v>
      </c>
      <c r="AL1219" s="17"/>
      <c r="AM1219" s="17"/>
      <c r="AN1219" s="17"/>
      <c r="AO1219" s="17"/>
      <c r="AP1219" s="17"/>
      <c r="AQ1219" s="17"/>
      <c r="AR1219" s="17"/>
      <c r="AS1219" s="17"/>
      <c r="AT1219" s="17"/>
      <c r="AU1219" s="17"/>
      <c r="AV1219" s="17"/>
    </row>
    <row r="1220" spans="1:48" ht="15.75" customHeight="1">
      <c r="A1220" s="21" t="s">
        <v>35</v>
      </c>
      <c r="B1220" s="23" t="s">
        <v>1692</v>
      </c>
      <c r="C1220" s="22">
        <v>45831</v>
      </c>
      <c r="D1220" s="23" t="s">
        <v>319</v>
      </c>
      <c r="E1220" s="23" t="s">
        <v>160</v>
      </c>
      <c r="F1220" s="21">
        <v>1</v>
      </c>
      <c r="G1220" s="26">
        <v>-1000</v>
      </c>
      <c r="H1220" s="12">
        <v>-1000</v>
      </c>
      <c r="I1220" s="23" t="s">
        <v>52</v>
      </c>
      <c r="J1220" s="23" t="s">
        <v>61</v>
      </c>
      <c r="K1220" s="24" t="s">
        <v>177</v>
      </c>
      <c r="L1220" s="24">
        <v>153</v>
      </c>
      <c r="M1220" s="12">
        <v>-840.3361344537816</v>
      </c>
      <c r="N1220" s="12">
        <v>-840.3361344537816</v>
      </c>
      <c r="O1220" s="12">
        <v>-159.6638655462184</v>
      </c>
      <c r="P1220" s="13"/>
      <c r="Q1220" s="14">
        <v>2025</v>
      </c>
      <c r="R1220" s="15">
        <v>45444</v>
      </c>
      <c r="S1220" s="11" t="s">
        <v>160</v>
      </c>
      <c r="T1220" s="16">
        <v>1000</v>
      </c>
      <c r="U1220" s="17"/>
      <c r="V1220" s="26">
        <v>-1000</v>
      </c>
      <c r="W1220" s="12">
        <v>-1000</v>
      </c>
      <c r="X1220" s="12">
        <v>0</v>
      </c>
      <c r="Y1220" s="18">
        <v>45831</v>
      </c>
      <c r="Z1220" s="13" t="s">
        <v>523</v>
      </c>
      <c r="AA1220" s="19" t="s">
        <v>373</v>
      </c>
      <c r="AB1220" s="13" t="s">
        <v>357</v>
      </c>
      <c r="AC1220" s="13" t="s">
        <v>467</v>
      </c>
      <c r="AD1220" s="20"/>
      <c r="AE1220" s="20"/>
      <c r="AF1220" s="13" t="s">
        <v>40</v>
      </c>
      <c r="AG1220" s="15">
        <v>45444</v>
      </c>
      <c r="AH1220" s="13" t="s">
        <v>41</v>
      </c>
      <c r="AI1220" s="13" t="s">
        <v>35</v>
      </c>
      <c r="AJ1220" s="13" t="s">
        <v>160</v>
      </c>
      <c r="AK1220" s="14">
        <v>-1</v>
      </c>
      <c r="AL1220" s="17"/>
      <c r="AM1220" s="17"/>
      <c r="AN1220" s="17"/>
      <c r="AO1220" s="17"/>
      <c r="AP1220" s="17"/>
      <c r="AQ1220" s="17"/>
      <c r="AR1220" s="17"/>
      <c r="AS1220" s="17"/>
      <c r="AT1220" s="17"/>
      <c r="AU1220" s="17"/>
      <c r="AV1220" s="17"/>
    </row>
    <row r="1221" spans="1:48" ht="15.75" customHeight="1">
      <c r="A1221" s="21" t="s">
        <v>76</v>
      </c>
      <c r="B1221" s="23" t="s">
        <v>1692</v>
      </c>
      <c r="C1221" s="22">
        <v>45831</v>
      </c>
      <c r="D1221" s="23" t="s">
        <v>172</v>
      </c>
      <c r="E1221" s="23" t="s">
        <v>137</v>
      </c>
      <c r="F1221" s="21">
        <v>4</v>
      </c>
      <c r="G1221" s="12">
        <v>3500.0000000000005</v>
      </c>
      <c r="H1221" s="12">
        <v>14000.000000000002</v>
      </c>
      <c r="I1221" s="23" t="s">
        <v>52</v>
      </c>
      <c r="J1221" s="23" t="s">
        <v>61</v>
      </c>
      <c r="K1221" s="24" t="s">
        <v>177</v>
      </c>
      <c r="L1221" s="24">
        <v>153</v>
      </c>
      <c r="M1221" s="12">
        <v>2941.1764705882356</v>
      </c>
      <c r="N1221" s="12">
        <v>11764.705882352942</v>
      </c>
      <c r="O1221" s="12">
        <v>2235.2941176470595</v>
      </c>
      <c r="P1221" s="13"/>
      <c r="Q1221" s="14">
        <v>2025</v>
      </c>
      <c r="R1221" s="15">
        <v>45444</v>
      </c>
      <c r="S1221" s="11" t="s">
        <v>406</v>
      </c>
      <c r="T1221" s="16">
        <v>20</v>
      </c>
      <c r="U1221" s="17"/>
      <c r="V1221" s="12">
        <v>3394.9579831932788</v>
      </c>
      <c r="W1221" s="12">
        <v>3394.9579831932788</v>
      </c>
      <c r="X1221" s="12">
        <v>0</v>
      </c>
      <c r="Y1221" s="18">
        <v>45831</v>
      </c>
      <c r="Z1221" s="13" t="s">
        <v>523</v>
      </c>
      <c r="AA1221" s="19" t="s">
        <v>361</v>
      </c>
      <c r="AB1221" s="13" t="s">
        <v>357</v>
      </c>
      <c r="AC1221" s="13" t="s">
        <v>405</v>
      </c>
      <c r="AD1221" s="20"/>
      <c r="AE1221" s="20"/>
      <c r="AF1221" s="13" t="s">
        <v>40</v>
      </c>
      <c r="AG1221" s="15">
        <v>45444</v>
      </c>
      <c r="AH1221" s="13" t="s">
        <v>41</v>
      </c>
      <c r="AI1221" s="13" t="s">
        <v>76</v>
      </c>
      <c r="AJ1221" s="13" t="s">
        <v>407</v>
      </c>
      <c r="AK1221" s="14">
        <v>-4</v>
      </c>
      <c r="AL1221" s="17"/>
      <c r="AM1221" s="17"/>
      <c r="AN1221" s="17"/>
      <c r="AO1221" s="17"/>
      <c r="AP1221" s="17"/>
      <c r="AQ1221" s="17"/>
      <c r="AR1221" s="17"/>
      <c r="AS1221" s="17"/>
      <c r="AT1221" s="17"/>
      <c r="AU1221" s="17"/>
      <c r="AV1221" s="17"/>
    </row>
    <row r="1222" spans="1:48" ht="15.75" customHeight="1">
      <c r="A1222" s="21" t="s">
        <v>53</v>
      </c>
      <c r="B1222" s="23" t="s">
        <v>1692</v>
      </c>
      <c r="C1222" s="22">
        <v>45831</v>
      </c>
      <c r="D1222" s="23" t="s">
        <v>172</v>
      </c>
      <c r="E1222" s="23" t="s">
        <v>69</v>
      </c>
      <c r="F1222" s="21">
        <v>3</v>
      </c>
      <c r="G1222" s="12">
        <v>2999.9553810458683</v>
      </c>
      <c r="H1222" s="12">
        <v>8999.8661431376058</v>
      </c>
      <c r="I1222" s="23" t="s">
        <v>52</v>
      </c>
      <c r="J1222" s="23" t="s">
        <v>61</v>
      </c>
      <c r="K1222" s="24" t="s">
        <v>177</v>
      </c>
      <c r="L1222" s="24">
        <v>153</v>
      </c>
      <c r="M1222" s="12">
        <v>2520.9709084419064</v>
      </c>
      <c r="N1222" s="12">
        <v>7562.9127253257193</v>
      </c>
      <c r="O1222" s="12">
        <v>1436.9534178118865</v>
      </c>
      <c r="P1222" s="13"/>
      <c r="Q1222" s="14">
        <v>2025</v>
      </c>
      <c r="R1222" s="15">
        <v>45444</v>
      </c>
      <c r="S1222" s="11" t="s">
        <v>376</v>
      </c>
      <c r="T1222" s="16">
        <v>0</v>
      </c>
      <c r="U1222" s="17"/>
      <c r="V1222" s="12">
        <v>2477.9127253257179</v>
      </c>
      <c r="W1222" s="12">
        <v>2477.9127253257179</v>
      </c>
      <c r="X1222" s="12">
        <v>0</v>
      </c>
      <c r="Y1222" s="18">
        <v>45831</v>
      </c>
      <c r="Z1222" s="13" t="s">
        <v>523</v>
      </c>
      <c r="AA1222" s="19" t="s">
        <v>361</v>
      </c>
      <c r="AB1222" s="13" t="s">
        <v>357</v>
      </c>
      <c r="AC1222" s="13" t="s">
        <v>405</v>
      </c>
      <c r="AD1222" s="20"/>
      <c r="AE1222" s="20"/>
      <c r="AF1222" s="13" t="s">
        <v>40</v>
      </c>
      <c r="AG1222" s="15">
        <v>45444</v>
      </c>
      <c r="AH1222" s="13" t="s">
        <v>41</v>
      </c>
      <c r="AI1222" s="13" t="s">
        <v>53</v>
      </c>
      <c r="AJ1222" s="13" t="s">
        <v>377</v>
      </c>
      <c r="AK1222" s="14">
        <v>-3</v>
      </c>
      <c r="AL1222" s="17"/>
      <c r="AM1222" s="17"/>
      <c r="AN1222" s="17"/>
      <c r="AO1222" s="17"/>
      <c r="AP1222" s="17"/>
      <c r="AQ1222" s="17"/>
      <c r="AR1222" s="17"/>
      <c r="AS1222" s="17"/>
      <c r="AT1222" s="17"/>
      <c r="AU1222" s="17"/>
      <c r="AV1222" s="17"/>
    </row>
    <row r="1223" spans="1:48" ht="15.75" customHeight="1">
      <c r="A1223" s="21" t="s">
        <v>76</v>
      </c>
      <c r="B1223" s="23" t="s">
        <v>1692</v>
      </c>
      <c r="C1223" s="22">
        <v>45831</v>
      </c>
      <c r="D1223" s="23" t="s">
        <v>172</v>
      </c>
      <c r="E1223" s="23" t="s">
        <v>187</v>
      </c>
      <c r="F1223" s="21">
        <v>2</v>
      </c>
      <c r="G1223" s="12">
        <v>2699.9280057595392</v>
      </c>
      <c r="H1223" s="12">
        <v>5399.8560115190785</v>
      </c>
      <c r="I1223" s="23" t="s">
        <v>52</v>
      </c>
      <c r="J1223" s="23" t="s">
        <v>61</v>
      </c>
      <c r="K1223" s="24" t="s">
        <v>177</v>
      </c>
      <c r="L1223" s="24">
        <v>153</v>
      </c>
      <c r="M1223" s="12">
        <v>2268.8470636634784</v>
      </c>
      <c r="N1223" s="12">
        <v>4537.6941273269567</v>
      </c>
      <c r="O1223" s="12">
        <v>862.16188419212176</v>
      </c>
      <c r="P1223" s="13"/>
      <c r="Q1223" s="14">
        <v>2025</v>
      </c>
      <c r="R1223" s="15">
        <v>45444</v>
      </c>
      <c r="S1223" s="11" t="s">
        <v>479</v>
      </c>
      <c r="T1223" s="16">
        <v>0</v>
      </c>
      <c r="U1223" s="17"/>
      <c r="V1223" s="12">
        <v>1596.3607939936232</v>
      </c>
      <c r="W1223" s="12">
        <v>1596.3607939936232</v>
      </c>
      <c r="X1223" s="12">
        <v>0</v>
      </c>
      <c r="Y1223" s="18">
        <v>45831</v>
      </c>
      <c r="Z1223" s="13" t="s">
        <v>523</v>
      </c>
      <c r="AA1223" s="19" t="s">
        <v>361</v>
      </c>
      <c r="AB1223" s="13" t="s">
        <v>357</v>
      </c>
      <c r="AC1223" s="13" t="s">
        <v>405</v>
      </c>
      <c r="AD1223" s="20"/>
      <c r="AE1223" s="20"/>
      <c r="AF1223" s="13" t="s">
        <v>40</v>
      </c>
      <c r="AG1223" s="15">
        <v>45444</v>
      </c>
      <c r="AH1223" s="13" t="s">
        <v>41</v>
      </c>
      <c r="AI1223" s="13" t="s">
        <v>76</v>
      </c>
      <c r="AJ1223" s="13" t="s">
        <v>555</v>
      </c>
      <c r="AK1223" s="14">
        <v>-2</v>
      </c>
      <c r="AL1223" s="17"/>
      <c r="AM1223" s="17"/>
      <c r="AN1223" s="17"/>
      <c r="AO1223" s="17"/>
      <c r="AP1223" s="17"/>
      <c r="AQ1223" s="17"/>
      <c r="AR1223" s="17"/>
      <c r="AS1223" s="17"/>
      <c r="AT1223" s="17"/>
      <c r="AU1223" s="17"/>
      <c r="AV1223" s="17"/>
    </row>
    <row r="1224" spans="1:48" ht="15.75" customHeight="1">
      <c r="A1224" s="21" t="s">
        <v>76</v>
      </c>
      <c r="B1224" s="23" t="s">
        <v>1692</v>
      </c>
      <c r="C1224" s="22">
        <v>45831</v>
      </c>
      <c r="D1224" s="23" t="s">
        <v>172</v>
      </c>
      <c r="E1224" s="23" t="s">
        <v>212</v>
      </c>
      <c r="F1224" s="21">
        <v>1</v>
      </c>
      <c r="G1224" s="12">
        <v>3000.0000000000005</v>
      </c>
      <c r="H1224" s="12">
        <v>3000.0000000000005</v>
      </c>
      <c r="I1224" s="23" t="s">
        <v>52</v>
      </c>
      <c r="J1224" s="23" t="s">
        <v>61</v>
      </c>
      <c r="K1224" s="24" t="s">
        <v>177</v>
      </c>
      <c r="L1224" s="24">
        <v>153</v>
      </c>
      <c r="M1224" s="12">
        <v>2521.0084033613452</v>
      </c>
      <c r="N1224" s="12">
        <v>2521.0084033613452</v>
      </c>
      <c r="O1224" s="12">
        <v>478.99159663865521</v>
      </c>
      <c r="P1224" s="13"/>
      <c r="Q1224" s="14">
        <v>2025</v>
      </c>
      <c r="R1224" s="15">
        <v>45444</v>
      </c>
      <c r="S1224" s="11" t="s">
        <v>446</v>
      </c>
      <c r="T1224" s="16">
        <v>5</v>
      </c>
      <c r="U1224" s="17"/>
      <c r="V1224" s="12">
        <v>764.70588235294144</v>
      </c>
      <c r="W1224" s="12">
        <v>764.70588235294144</v>
      </c>
      <c r="X1224" s="12">
        <v>0</v>
      </c>
      <c r="Y1224" s="18">
        <v>45831</v>
      </c>
      <c r="Z1224" s="13" t="s">
        <v>523</v>
      </c>
      <c r="AA1224" s="19" t="s">
        <v>361</v>
      </c>
      <c r="AB1224" s="13" t="s">
        <v>357</v>
      </c>
      <c r="AC1224" s="13" t="s">
        <v>405</v>
      </c>
      <c r="AD1224" s="20"/>
      <c r="AE1224" s="20"/>
      <c r="AF1224" s="13" t="s">
        <v>40</v>
      </c>
      <c r="AG1224" s="15">
        <v>45444</v>
      </c>
      <c r="AH1224" s="13" t="s">
        <v>41</v>
      </c>
      <c r="AI1224" s="13" t="s">
        <v>76</v>
      </c>
      <c r="AJ1224" s="13" t="s">
        <v>447</v>
      </c>
      <c r="AK1224" s="14">
        <v>-1</v>
      </c>
      <c r="AL1224" s="17"/>
      <c r="AM1224" s="17"/>
      <c r="AN1224" s="17"/>
      <c r="AO1224" s="17"/>
      <c r="AP1224" s="17"/>
      <c r="AQ1224" s="17"/>
      <c r="AR1224" s="17"/>
      <c r="AS1224" s="17"/>
      <c r="AT1224" s="17"/>
      <c r="AU1224" s="17"/>
      <c r="AV1224" s="17"/>
    </row>
    <row r="1225" spans="1:48" ht="15.75" customHeight="1">
      <c r="A1225" s="21" t="s">
        <v>53</v>
      </c>
      <c r="B1225" s="23" t="s">
        <v>1692</v>
      </c>
      <c r="C1225" s="22">
        <v>45831</v>
      </c>
      <c r="D1225" s="23" t="s">
        <v>172</v>
      </c>
      <c r="E1225" s="23" t="s">
        <v>55</v>
      </c>
      <c r="F1225" s="21">
        <v>1</v>
      </c>
      <c r="G1225" s="12">
        <v>20899.657134519988</v>
      </c>
      <c r="H1225" s="12">
        <v>20899.657134519988</v>
      </c>
      <c r="I1225" s="23" t="s">
        <v>52</v>
      </c>
      <c r="J1225" s="23" t="s">
        <v>61</v>
      </c>
      <c r="K1225" s="24" t="s">
        <v>177</v>
      </c>
      <c r="L1225" s="24">
        <v>153</v>
      </c>
      <c r="M1225" s="12">
        <v>17562.737087831923</v>
      </c>
      <c r="N1225" s="12">
        <v>17562.737087831923</v>
      </c>
      <c r="O1225" s="12">
        <v>3336.9200466880648</v>
      </c>
      <c r="P1225" s="13"/>
      <c r="Q1225" s="14">
        <v>2025</v>
      </c>
      <c r="R1225" s="15">
        <v>45444</v>
      </c>
      <c r="S1225" s="11" t="s">
        <v>366</v>
      </c>
      <c r="T1225" s="16">
        <v>0</v>
      </c>
      <c r="U1225" s="17"/>
      <c r="V1225" s="12">
        <v>3117.7370878319234</v>
      </c>
      <c r="W1225" s="12">
        <v>3117.7370878319234</v>
      </c>
      <c r="X1225" s="12">
        <v>0</v>
      </c>
      <c r="Y1225" s="18">
        <v>45831</v>
      </c>
      <c r="Z1225" s="13" t="s">
        <v>523</v>
      </c>
      <c r="AA1225" s="19" t="s">
        <v>361</v>
      </c>
      <c r="AB1225" s="13" t="s">
        <v>357</v>
      </c>
      <c r="AC1225" s="13" t="s">
        <v>405</v>
      </c>
      <c r="AD1225" s="20"/>
      <c r="AE1225" s="20"/>
      <c r="AF1225" s="13" t="s">
        <v>40</v>
      </c>
      <c r="AG1225" s="15">
        <v>45444</v>
      </c>
      <c r="AH1225" s="13" t="s">
        <v>41</v>
      </c>
      <c r="AI1225" s="13" t="s">
        <v>53</v>
      </c>
      <c r="AJ1225" s="13" t="s">
        <v>368</v>
      </c>
      <c r="AK1225" s="14">
        <v>-8</v>
      </c>
      <c r="AL1225" s="17"/>
      <c r="AM1225" s="17"/>
      <c r="AN1225" s="17"/>
      <c r="AO1225" s="17"/>
      <c r="AP1225" s="17"/>
      <c r="AQ1225" s="17"/>
      <c r="AR1225" s="17"/>
      <c r="AS1225" s="17"/>
      <c r="AT1225" s="17"/>
      <c r="AU1225" s="17"/>
      <c r="AV1225" s="17"/>
    </row>
    <row r="1226" spans="1:48" ht="15.75" customHeight="1">
      <c r="A1226" s="21" t="s">
        <v>47</v>
      </c>
      <c r="B1226" s="23" t="s">
        <v>1692</v>
      </c>
      <c r="C1226" s="22">
        <v>45831</v>
      </c>
      <c r="D1226" s="23" t="s">
        <v>172</v>
      </c>
      <c r="E1226" s="23" t="s">
        <v>170</v>
      </c>
      <c r="F1226" s="21">
        <v>1</v>
      </c>
      <c r="G1226" s="12">
        <v>1800.1699716713879</v>
      </c>
      <c r="H1226" s="12">
        <v>1800.1699716713879</v>
      </c>
      <c r="I1226" s="23" t="s">
        <v>52</v>
      </c>
      <c r="J1226" s="23" t="s">
        <v>61</v>
      </c>
      <c r="K1226" s="24" t="s">
        <v>177</v>
      </c>
      <c r="L1226" s="24">
        <v>153</v>
      </c>
      <c r="M1226" s="12">
        <v>1512.7478753541075</v>
      </c>
      <c r="N1226" s="12">
        <v>1512.7478753541075</v>
      </c>
      <c r="O1226" s="12">
        <v>287.42209631728042</v>
      </c>
      <c r="P1226" s="13"/>
      <c r="Q1226" s="14">
        <v>2025</v>
      </c>
      <c r="R1226" s="15">
        <v>45444</v>
      </c>
      <c r="S1226" s="11" t="s">
        <v>453</v>
      </c>
      <c r="T1226" s="16">
        <v>0</v>
      </c>
      <c r="U1226" s="17"/>
      <c r="V1226" s="12">
        <v>711.74787535410746</v>
      </c>
      <c r="W1226" s="12">
        <v>711.74787535410746</v>
      </c>
      <c r="X1226" s="12">
        <v>0</v>
      </c>
      <c r="Y1226" s="18">
        <v>45831</v>
      </c>
      <c r="Z1226" s="13" t="s">
        <v>523</v>
      </c>
      <c r="AA1226" s="19" t="s">
        <v>361</v>
      </c>
      <c r="AB1226" s="13" t="s">
        <v>357</v>
      </c>
      <c r="AC1226" s="13" t="s">
        <v>405</v>
      </c>
      <c r="AD1226" s="20"/>
      <c r="AE1226" s="20"/>
      <c r="AF1226" s="13" t="s">
        <v>40</v>
      </c>
      <c r="AG1226" s="15">
        <v>45444</v>
      </c>
      <c r="AH1226" s="13" t="s">
        <v>41</v>
      </c>
      <c r="AI1226" s="13" t="s">
        <v>47</v>
      </c>
      <c r="AJ1226" s="13" t="s">
        <v>454</v>
      </c>
      <c r="AK1226" s="14">
        <v>-3</v>
      </c>
      <c r="AL1226" s="17"/>
      <c r="AM1226" s="17"/>
      <c r="AN1226" s="17"/>
      <c r="AO1226" s="17"/>
      <c r="AP1226" s="17"/>
      <c r="AQ1226" s="17"/>
      <c r="AR1226" s="17"/>
      <c r="AS1226" s="17"/>
      <c r="AT1226" s="17"/>
      <c r="AU1226" s="17"/>
      <c r="AV1226" s="17"/>
    </row>
    <row r="1227" spans="1:48" ht="15.75" customHeight="1">
      <c r="A1227" s="21" t="s">
        <v>76</v>
      </c>
      <c r="B1227" s="23" t="s">
        <v>1692</v>
      </c>
      <c r="C1227" s="22">
        <v>45831</v>
      </c>
      <c r="D1227" s="23" t="s">
        <v>172</v>
      </c>
      <c r="E1227" s="23" t="s">
        <v>110</v>
      </c>
      <c r="F1227" s="21">
        <v>1</v>
      </c>
      <c r="G1227" s="12">
        <v>2000.0000000000005</v>
      </c>
      <c r="H1227" s="12">
        <v>2000.0000000000005</v>
      </c>
      <c r="I1227" s="23" t="s">
        <v>52</v>
      </c>
      <c r="J1227" s="23" t="s">
        <v>61</v>
      </c>
      <c r="K1227" s="24" t="s">
        <v>177</v>
      </c>
      <c r="L1227" s="24">
        <v>153</v>
      </c>
      <c r="M1227" s="12">
        <v>1680.6722689075634</v>
      </c>
      <c r="N1227" s="12">
        <v>1680.6722689075634</v>
      </c>
      <c r="O1227" s="12">
        <v>319.32773109243703</v>
      </c>
      <c r="P1227" s="13"/>
      <c r="Q1227" s="14">
        <v>2025</v>
      </c>
      <c r="R1227" s="15">
        <v>45444</v>
      </c>
      <c r="S1227" s="11" t="s">
        <v>378</v>
      </c>
      <c r="T1227" s="16">
        <v>5</v>
      </c>
      <c r="U1227" s="17"/>
      <c r="V1227" s="12">
        <v>756.30252100840369</v>
      </c>
      <c r="W1227" s="12">
        <v>756.30252100840369</v>
      </c>
      <c r="X1227" s="12">
        <v>0</v>
      </c>
      <c r="Y1227" s="18">
        <v>45831</v>
      </c>
      <c r="Z1227" s="13" t="s">
        <v>523</v>
      </c>
      <c r="AA1227" s="19" t="s">
        <v>361</v>
      </c>
      <c r="AB1227" s="13" t="s">
        <v>357</v>
      </c>
      <c r="AC1227" s="13" t="s">
        <v>405</v>
      </c>
      <c r="AD1227" s="20"/>
      <c r="AE1227" s="20"/>
      <c r="AF1227" s="13" t="s">
        <v>40</v>
      </c>
      <c r="AG1227" s="15">
        <v>45444</v>
      </c>
      <c r="AH1227" s="13" t="s">
        <v>41</v>
      </c>
      <c r="AI1227" s="13" t="s">
        <v>76</v>
      </c>
      <c r="AJ1227" s="13" t="s">
        <v>379</v>
      </c>
      <c r="AK1227" s="14">
        <v>-1</v>
      </c>
      <c r="AL1227" s="17"/>
      <c r="AM1227" s="17"/>
      <c r="AN1227" s="17"/>
      <c r="AO1227" s="17"/>
      <c r="AP1227" s="17"/>
      <c r="AQ1227" s="17"/>
      <c r="AR1227" s="17"/>
      <c r="AS1227" s="17"/>
      <c r="AT1227" s="17"/>
      <c r="AU1227" s="17"/>
      <c r="AV1227" s="17"/>
    </row>
    <row r="1228" spans="1:48" ht="15.75" customHeight="1">
      <c r="A1228" s="21" t="s">
        <v>47</v>
      </c>
      <c r="B1228" s="23" t="s">
        <v>1692</v>
      </c>
      <c r="C1228" s="22">
        <v>45831</v>
      </c>
      <c r="D1228" s="23" t="s">
        <v>172</v>
      </c>
      <c r="E1228" s="23" t="s">
        <v>107</v>
      </c>
      <c r="F1228" s="21">
        <v>1</v>
      </c>
      <c r="G1228" s="12">
        <v>3000.0000000000005</v>
      </c>
      <c r="H1228" s="12">
        <v>3000.0000000000005</v>
      </c>
      <c r="I1228" s="23" t="s">
        <v>52</v>
      </c>
      <c r="J1228" s="23" t="s">
        <v>61</v>
      </c>
      <c r="K1228" s="24" t="s">
        <v>177</v>
      </c>
      <c r="L1228" s="24">
        <v>153</v>
      </c>
      <c r="M1228" s="12">
        <v>2521.0084033613452</v>
      </c>
      <c r="N1228" s="12">
        <v>2521.0084033613452</v>
      </c>
      <c r="O1228" s="12">
        <v>478.99159663865521</v>
      </c>
      <c r="P1228" s="13"/>
      <c r="Q1228" s="14">
        <v>2025</v>
      </c>
      <c r="R1228" s="15">
        <v>45444</v>
      </c>
      <c r="S1228" s="11" t="s">
        <v>453</v>
      </c>
      <c r="T1228" s="16">
        <v>0</v>
      </c>
      <c r="U1228" s="17"/>
      <c r="V1228" s="12">
        <v>758.82352941176487</v>
      </c>
      <c r="W1228" s="12">
        <v>758.82352941176487</v>
      </c>
      <c r="X1228" s="12">
        <v>0</v>
      </c>
      <c r="Y1228" s="18">
        <v>45831</v>
      </c>
      <c r="Z1228" s="13" t="s">
        <v>523</v>
      </c>
      <c r="AA1228" s="19" t="s">
        <v>361</v>
      </c>
      <c r="AB1228" s="13" t="s">
        <v>357</v>
      </c>
      <c r="AC1228" s="13" t="s">
        <v>405</v>
      </c>
      <c r="AD1228" s="20"/>
      <c r="AE1228" s="20"/>
      <c r="AF1228" s="13" t="s">
        <v>40</v>
      </c>
      <c r="AG1228" s="15">
        <v>45444</v>
      </c>
      <c r="AH1228" s="13" t="s">
        <v>41</v>
      </c>
      <c r="AI1228" s="13" t="s">
        <v>47</v>
      </c>
      <c r="AJ1228" s="13" t="s">
        <v>460</v>
      </c>
      <c r="AK1228" s="14">
        <v>-1</v>
      </c>
      <c r="AL1228" s="17"/>
      <c r="AM1228" s="17"/>
      <c r="AN1228" s="17"/>
      <c r="AO1228" s="17"/>
      <c r="AP1228" s="17"/>
      <c r="AQ1228" s="17"/>
      <c r="AR1228" s="17"/>
      <c r="AS1228" s="17"/>
      <c r="AT1228" s="17"/>
      <c r="AU1228" s="17"/>
      <c r="AV1228" s="17"/>
    </row>
    <row r="1229" spans="1:48" ht="15.75" customHeight="1">
      <c r="A1229" s="21" t="s">
        <v>35</v>
      </c>
      <c r="B1229" s="23" t="s">
        <v>1692</v>
      </c>
      <c r="C1229" s="22">
        <v>45831</v>
      </c>
      <c r="D1229" s="23" t="s">
        <v>172</v>
      </c>
      <c r="E1229" s="23" t="s">
        <v>46</v>
      </c>
      <c r="F1229" s="21">
        <v>1</v>
      </c>
      <c r="G1229" s="12">
        <v>6000.1548227279782</v>
      </c>
      <c r="H1229" s="12">
        <v>6000.1548227279782</v>
      </c>
      <c r="I1229" s="23" t="s">
        <v>52</v>
      </c>
      <c r="J1229" s="23" t="s">
        <v>61</v>
      </c>
      <c r="K1229" s="24" t="s">
        <v>177</v>
      </c>
      <c r="L1229" s="24">
        <v>153</v>
      </c>
      <c r="M1229" s="12">
        <v>5042.1469098554444</v>
      </c>
      <c r="N1229" s="12">
        <v>5042.1469098554444</v>
      </c>
      <c r="O1229" s="12">
        <v>958.00791287253378</v>
      </c>
      <c r="P1229" s="13"/>
      <c r="Q1229" s="14">
        <v>2025</v>
      </c>
      <c r="R1229" s="15">
        <v>45444</v>
      </c>
      <c r="S1229" s="11" t="s">
        <v>364</v>
      </c>
      <c r="T1229" s="16">
        <v>500</v>
      </c>
      <c r="U1229" s="17"/>
      <c r="V1229" s="12">
        <v>1785.4242207798129</v>
      </c>
      <c r="W1229" s="12">
        <v>1785.4242207798129</v>
      </c>
      <c r="X1229" s="12">
        <v>0</v>
      </c>
      <c r="Y1229" s="18">
        <v>45831</v>
      </c>
      <c r="Z1229" s="13" t="s">
        <v>523</v>
      </c>
      <c r="AA1229" s="19" t="s">
        <v>361</v>
      </c>
      <c r="AB1229" s="13" t="s">
        <v>357</v>
      </c>
      <c r="AC1229" s="13" t="s">
        <v>405</v>
      </c>
      <c r="AD1229" s="20"/>
      <c r="AE1229" s="20"/>
      <c r="AF1229" s="13" t="s">
        <v>40</v>
      </c>
      <c r="AG1229" s="15">
        <v>45444</v>
      </c>
      <c r="AH1229" s="13" t="s">
        <v>41</v>
      </c>
      <c r="AI1229" s="13" t="s">
        <v>35</v>
      </c>
      <c r="AJ1229" s="13" t="s">
        <v>365</v>
      </c>
      <c r="AK1229" s="14">
        <v>-0.5</v>
      </c>
      <c r="AL1229" s="17"/>
      <c r="AM1229" s="17"/>
      <c r="AN1229" s="17"/>
      <c r="AO1229" s="17"/>
      <c r="AP1229" s="17"/>
      <c r="AQ1229" s="17"/>
      <c r="AR1229" s="17"/>
      <c r="AS1229" s="17"/>
      <c r="AT1229" s="17"/>
      <c r="AU1229" s="17"/>
      <c r="AV1229" s="17"/>
    </row>
    <row r="1230" spans="1:48" ht="15.75" customHeight="1">
      <c r="A1230" s="21" t="s">
        <v>43</v>
      </c>
      <c r="B1230" s="23" t="s">
        <v>1692</v>
      </c>
      <c r="C1230" s="22">
        <v>45831</v>
      </c>
      <c r="D1230" s="23" t="s">
        <v>172</v>
      </c>
      <c r="E1230" s="23" t="s">
        <v>45</v>
      </c>
      <c r="F1230" s="21">
        <v>1</v>
      </c>
      <c r="G1230" s="12">
        <v>8199.8861047835999</v>
      </c>
      <c r="H1230" s="12">
        <v>8199.8861047835999</v>
      </c>
      <c r="I1230" s="23" t="s">
        <v>52</v>
      </c>
      <c r="J1230" s="23" t="s">
        <v>61</v>
      </c>
      <c r="K1230" s="24" t="s">
        <v>177</v>
      </c>
      <c r="L1230" s="24">
        <v>153</v>
      </c>
      <c r="M1230" s="12">
        <v>6890.6605922551262</v>
      </c>
      <c r="N1230" s="12">
        <v>6890.6605922551262</v>
      </c>
      <c r="O1230" s="12">
        <v>1309.2255125284737</v>
      </c>
      <c r="P1230" s="13"/>
      <c r="Q1230" s="14">
        <v>2025</v>
      </c>
      <c r="R1230" s="15">
        <v>45444</v>
      </c>
      <c r="S1230" s="11" t="s">
        <v>355</v>
      </c>
      <c r="T1230" s="16">
        <v>0</v>
      </c>
      <c r="U1230" s="17"/>
      <c r="V1230" s="12">
        <v>1445.6605922551253</v>
      </c>
      <c r="W1230" s="12">
        <v>1445.6605922551253</v>
      </c>
      <c r="X1230" s="12">
        <v>0</v>
      </c>
      <c r="Y1230" s="18">
        <v>45831</v>
      </c>
      <c r="Z1230" s="13" t="s">
        <v>523</v>
      </c>
      <c r="AA1230" s="19" t="s">
        <v>361</v>
      </c>
      <c r="AB1230" s="13" t="s">
        <v>357</v>
      </c>
      <c r="AC1230" s="13" t="s">
        <v>405</v>
      </c>
      <c r="AD1230" s="20"/>
      <c r="AE1230" s="20"/>
      <c r="AF1230" s="13" t="s">
        <v>40</v>
      </c>
      <c r="AG1230" s="15">
        <v>45444</v>
      </c>
      <c r="AH1230" s="13" t="s">
        <v>41</v>
      </c>
      <c r="AI1230" s="13" t="s">
        <v>43</v>
      </c>
      <c r="AJ1230" s="13" t="s">
        <v>359</v>
      </c>
      <c r="AK1230" s="14">
        <v>-1</v>
      </c>
      <c r="AL1230" s="17"/>
      <c r="AM1230" s="17"/>
      <c r="AN1230" s="17"/>
      <c r="AO1230" s="17"/>
      <c r="AP1230" s="17"/>
      <c r="AQ1230" s="17"/>
      <c r="AR1230" s="17"/>
      <c r="AS1230" s="17"/>
      <c r="AT1230" s="17"/>
      <c r="AU1230" s="17"/>
      <c r="AV1230" s="17"/>
    </row>
    <row r="1231" spans="1:48" ht="15.75" customHeight="1">
      <c r="A1231" s="21" t="s">
        <v>43</v>
      </c>
      <c r="B1231" s="23" t="s">
        <v>1692</v>
      </c>
      <c r="C1231" s="22">
        <v>45831</v>
      </c>
      <c r="D1231" s="23" t="s">
        <v>184</v>
      </c>
      <c r="E1231" s="23" t="s">
        <v>45</v>
      </c>
      <c r="F1231" s="21">
        <v>1</v>
      </c>
      <c r="G1231" s="12">
        <v>8199.8861047835999</v>
      </c>
      <c r="H1231" s="12">
        <v>8199.8861047835999</v>
      </c>
      <c r="I1231" s="23" t="s">
        <v>52</v>
      </c>
      <c r="J1231" s="23" t="s">
        <v>61</v>
      </c>
      <c r="K1231" s="24" t="s">
        <v>177</v>
      </c>
      <c r="L1231" s="24">
        <v>153</v>
      </c>
      <c r="M1231" s="12">
        <v>6890.6605922551262</v>
      </c>
      <c r="N1231" s="12">
        <v>6890.6605922551262</v>
      </c>
      <c r="O1231" s="12">
        <v>1309.2255125284737</v>
      </c>
      <c r="P1231" s="13"/>
      <c r="Q1231" s="14">
        <v>2025</v>
      </c>
      <c r="R1231" s="15">
        <v>45444</v>
      </c>
      <c r="S1231" s="11" t="s">
        <v>355</v>
      </c>
      <c r="T1231" s="16">
        <v>0</v>
      </c>
      <c r="U1231" s="17"/>
      <c r="V1231" s="12">
        <v>1445.6605922551253</v>
      </c>
      <c r="W1231" s="12">
        <v>1445.6605922551253</v>
      </c>
      <c r="X1231" s="12">
        <v>0</v>
      </c>
      <c r="Y1231" s="18">
        <v>45831</v>
      </c>
      <c r="Z1231" s="13" t="s">
        <v>523</v>
      </c>
      <c r="AA1231" s="19" t="s">
        <v>361</v>
      </c>
      <c r="AB1231" s="13" t="s">
        <v>357</v>
      </c>
      <c r="AC1231" s="13" t="s">
        <v>405</v>
      </c>
      <c r="AD1231" s="20"/>
      <c r="AE1231" s="20"/>
      <c r="AF1231" s="13" t="s">
        <v>40</v>
      </c>
      <c r="AG1231" s="15">
        <v>45444</v>
      </c>
      <c r="AH1231" s="13" t="s">
        <v>41</v>
      </c>
      <c r="AI1231" s="13" t="s">
        <v>43</v>
      </c>
      <c r="AJ1231" s="13" t="s">
        <v>359</v>
      </c>
      <c r="AK1231" s="14">
        <v>-1</v>
      </c>
      <c r="AL1231" s="17"/>
      <c r="AM1231" s="17"/>
      <c r="AN1231" s="17"/>
      <c r="AO1231" s="17"/>
      <c r="AP1231" s="17"/>
      <c r="AQ1231" s="17"/>
      <c r="AR1231" s="17"/>
      <c r="AS1231" s="17"/>
      <c r="AT1231" s="17"/>
      <c r="AU1231" s="17"/>
      <c r="AV1231" s="17"/>
    </row>
    <row r="1232" spans="1:48" ht="15.75" customHeight="1">
      <c r="A1232" s="21" t="s">
        <v>35</v>
      </c>
      <c r="B1232" s="23" t="s">
        <v>1692</v>
      </c>
      <c r="C1232" s="22">
        <v>45831</v>
      </c>
      <c r="D1232" s="23" t="s">
        <v>915</v>
      </c>
      <c r="E1232" s="23" t="s">
        <v>37</v>
      </c>
      <c r="F1232" s="21">
        <v>1</v>
      </c>
      <c r="G1232" s="12">
        <v>11000.014358944907</v>
      </c>
      <c r="H1232" s="12">
        <v>11000.014358944907</v>
      </c>
      <c r="I1232" s="23" t="s">
        <v>52</v>
      </c>
      <c r="J1232" s="23" t="s">
        <v>61</v>
      </c>
      <c r="K1232" s="24" t="s">
        <v>177</v>
      </c>
      <c r="L1232" s="24">
        <v>153</v>
      </c>
      <c r="M1232" s="12">
        <v>9243.7095453318543</v>
      </c>
      <c r="N1232" s="12">
        <v>9243.7095453318543</v>
      </c>
      <c r="O1232" s="12">
        <v>1756.3048136130528</v>
      </c>
      <c r="P1232" s="13"/>
      <c r="Q1232" s="14">
        <v>2025</v>
      </c>
      <c r="R1232" s="15">
        <v>45444</v>
      </c>
      <c r="S1232" s="11" t="s">
        <v>364</v>
      </c>
      <c r="T1232" s="16">
        <v>1000</v>
      </c>
      <c r="U1232" s="17"/>
      <c r="V1232" s="12">
        <v>2806.1129066763915</v>
      </c>
      <c r="W1232" s="12">
        <v>2806.1129066763915</v>
      </c>
      <c r="X1232" s="12">
        <v>0</v>
      </c>
      <c r="Y1232" s="18">
        <v>45831</v>
      </c>
      <c r="Z1232" s="13" t="s">
        <v>523</v>
      </c>
      <c r="AA1232" s="19" t="s">
        <v>367</v>
      </c>
      <c r="AB1232" s="13" t="s">
        <v>357</v>
      </c>
      <c r="AC1232" s="13" t="s">
        <v>367</v>
      </c>
      <c r="AD1232" s="20"/>
      <c r="AE1232" s="20"/>
      <c r="AF1232" s="13" t="s">
        <v>40</v>
      </c>
      <c r="AG1232" s="15">
        <v>45444</v>
      </c>
      <c r="AH1232" s="13" t="s">
        <v>41</v>
      </c>
      <c r="AI1232" s="13" t="s">
        <v>35</v>
      </c>
      <c r="AJ1232" s="13" t="s">
        <v>365</v>
      </c>
      <c r="AK1232" s="14">
        <v>-1</v>
      </c>
      <c r="AL1232" s="17"/>
      <c r="AM1232" s="17"/>
      <c r="AN1232" s="17"/>
      <c r="AO1232" s="17"/>
      <c r="AP1232" s="17"/>
      <c r="AQ1232" s="17"/>
      <c r="AR1232" s="17"/>
      <c r="AS1232" s="17"/>
      <c r="AT1232" s="17"/>
      <c r="AU1232" s="17"/>
      <c r="AV1232" s="17"/>
    </row>
    <row r="1233" spans="1:48" ht="15.75" customHeight="1">
      <c r="A1233" s="21" t="s">
        <v>43</v>
      </c>
      <c r="B1233" s="23" t="s">
        <v>1692</v>
      </c>
      <c r="C1233" s="22">
        <v>45830</v>
      </c>
      <c r="D1233" s="23" t="s">
        <v>915</v>
      </c>
      <c r="E1233" s="23" t="s">
        <v>45</v>
      </c>
      <c r="F1233" s="21">
        <v>1</v>
      </c>
      <c r="G1233" s="12">
        <v>8199.8861047835999</v>
      </c>
      <c r="H1233" s="12">
        <v>8199.8861047835999</v>
      </c>
      <c r="I1233" s="23" t="s">
        <v>52</v>
      </c>
      <c r="J1233" s="23" t="s">
        <v>61</v>
      </c>
      <c r="K1233" s="24" t="s">
        <v>177</v>
      </c>
      <c r="L1233" s="24">
        <v>152</v>
      </c>
      <c r="M1233" s="12">
        <v>6890.6605922551262</v>
      </c>
      <c r="N1233" s="12">
        <v>6890.6605922551262</v>
      </c>
      <c r="O1233" s="12">
        <v>1309.2255125284737</v>
      </c>
      <c r="P1233" s="13"/>
      <c r="Q1233" s="14">
        <v>2025</v>
      </c>
      <c r="R1233" s="15">
        <v>45444</v>
      </c>
      <c r="S1233" s="11" t="s">
        <v>355</v>
      </c>
      <c r="T1233" s="16">
        <v>0</v>
      </c>
      <c r="U1233" s="17"/>
      <c r="V1233" s="12">
        <v>1445.6605922551253</v>
      </c>
      <c r="W1233" s="12">
        <v>1445.6605922551253</v>
      </c>
      <c r="X1233" s="12">
        <v>0</v>
      </c>
      <c r="Y1233" s="18">
        <v>45824</v>
      </c>
      <c r="Z1233" s="13" t="s">
        <v>497</v>
      </c>
      <c r="AA1233" s="19" t="s">
        <v>367</v>
      </c>
      <c r="AB1233" s="13" t="s">
        <v>357</v>
      </c>
      <c r="AC1233" s="13" t="s">
        <v>367</v>
      </c>
      <c r="AD1233" s="20"/>
      <c r="AE1233" s="20"/>
      <c r="AF1233" s="13" t="s">
        <v>40</v>
      </c>
      <c r="AG1233" s="15">
        <v>45444</v>
      </c>
      <c r="AH1233" s="13" t="s">
        <v>41</v>
      </c>
      <c r="AI1233" s="13" t="s">
        <v>43</v>
      </c>
      <c r="AJ1233" s="13" t="s">
        <v>359</v>
      </c>
      <c r="AK1233" s="14">
        <v>-1</v>
      </c>
      <c r="AL1233" s="17"/>
      <c r="AM1233" s="17"/>
      <c r="AN1233" s="17"/>
      <c r="AO1233" s="17"/>
      <c r="AP1233" s="17"/>
      <c r="AQ1233" s="17"/>
      <c r="AR1233" s="17"/>
      <c r="AS1233" s="17"/>
      <c r="AT1233" s="17"/>
      <c r="AU1233" s="17"/>
      <c r="AV1233" s="17"/>
    </row>
    <row r="1234" spans="1:48" ht="15.75" customHeight="1">
      <c r="A1234" s="21" t="s">
        <v>43</v>
      </c>
      <c r="B1234" s="23" t="s">
        <v>1692</v>
      </c>
      <c r="C1234" s="22">
        <v>45830</v>
      </c>
      <c r="D1234" s="23" t="s">
        <v>302</v>
      </c>
      <c r="E1234" s="23" t="s">
        <v>45</v>
      </c>
      <c r="F1234" s="21">
        <v>1</v>
      </c>
      <c r="G1234" s="12">
        <v>8199.8861047835999</v>
      </c>
      <c r="H1234" s="12">
        <v>8199.8861047835999</v>
      </c>
      <c r="I1234" s="23" t="s">
        <v>52</v>
      </c>
      <c r="J1234" s="23" t="s">
        <v>61</v>
      </c>
      <c r="K1234" s="24" t="s">
        <v>177</v>
      </c>
      <c r="L1234" s="24">
        <v>152</v>
      </c>
      <c r="M1234" s="12">
        <v>6890.6605922551262</v>
      </c>
      <c r="N1234" s="12">
        <v>6890.6605922551262</v>
      </c>
      <c r="O1234" s="12">
        <v>1309.2255125284737</v>
      </c>
      <c r="P1234" s="13"/>
      <c r="Q1234" s="14">
        <v>2025</v>
      </c>
      <c r="R1234" s="15">
        <v>45444</v>
      </c>
      <c r="S1234" s="11" t="s">
        <v>355</v>
      </c>
      <c r="T1234" s="16">
        <v>0</v>
      </c>
      <c r="U1234" s="17"/>
      <c r="V1234" s="12">
        <v>1445.6605922551253</v>
      </c>
      <c r="W1234" s="12">
        <v>1445.6605922551253</v>
      </c>
      <c r="X1234" s="12">
        <v>0</v>
      </c>
      <c r="Y1234" s="18">
        <v>45824</v>
      </c>
      <c r="Z1234" s="13" t="s">
        <v>497</v>
      </c>
      <c r="AA1234" s="19" t="s">
        <v>373</v>
      </c>
      <c r="AB1234" s="13" t="s">
        <v>357</v>
      </c>
      <c r="AC1234" s="13" t="s">
        <v>374</v>
      </c>
      <c r="AD1234" s="20"/>
      <c r="AE1234" s="20"/>
      <c r="AF1234" s="13" t="s">
        <v>40</v>
      </c>
      <c r="AG1234" s="15">
        <v>45444</v>
      </c>
      <c r="AH1234" s="13" t="s">
        <v>41</v>
      </c>
      <c r="AI1234" s="13" t="s">
        <v>43</v>
      </c>
      <c r="AJ1234" s="13" t="s">
        <v>359</v>
      </c>
      <c r="AK1234" s="14">
        <v>-1</v>
      </c>
      <c r="AL1234" s="17"/>
      <c r="AM1234" s="17"/>
      <c r="AN1234" s="17"/>
      <c r="AO1234" s="17"/>
      <c r="AP1234" s="17"/>
      <c r="AQ1234" s="17"/>
      <c r="AR1234" s="17"/>
      <c r="AS1234" s="17"/>
      <c r="AT1234" s="17"/>
      <c r="AU1234" s="17"/>
      <c r="AV1234" s="17"/>
    </row>
    <row r="1235" spans="1:48" ht="15.75" customHeight="1">
      <c r="A1235" s="21" t="s">
        <v>53</v>
      </c>
      <c r="B1235" s="23" t="s">
        <v>1692</v>
      </c>
      <c r="C1235" s="22">
        <v>45830</v>
      </c>
      <c r="D1235" s="23" t="s">
        <v>236</v>
      </c>
      <c r="E1235" s="23" t="s">
        <v>114</v>
      </c>
      <c r="F1235" s="21">
        <v>1</v>
      </c>
      <c r="G1235" s="12">
        <v>10500</v>
      </c>
      <c r="H1235" s="12">
        <v>10500</v>
      </c>
      <c r="I1235" s="23" t="s">
        <v>52</v>
      </c>
      <c r="J1235" s="23" t="s">
        <v>61</v>
      </c>
      <c r="K1235" s="24" t="s">
        <v>177</v>
      </c>
      <c r="L1235" s="24">
        <v>152</v>
      </c>
      <c r="M1235" s="12">
        <v>8823.5294117647063</v>
      </c>
      <c r="N1235" s="12">
        <v>8823.5294117647063</v>
      </c>
      <c r="O1235" s="12">
        <v>1676.4705882352937</v>
      </c>
      <c r="P1235" s="13"/>
      <c r="Q1235" s="14">
        <v>2025</v>
      </c>
      <c r="R1235" s="15">
        <v>45444</v>
      </c>
      <c r="S1235" s="11" t="s">
        <v>369</v>
      </c>
      <c r="T1235" s="16">
        <v>0</v>
      </c>
      <c r="U1235" s="17"/>
      <c r="V1235" s="12">
        <v>2403.3613445378151</v>
      </c>
      <c r="W1235" s="12">
        <v>2403.3613445378151</v>
      </c>
      <c r="X1235" s="12">
        <v>0</v>
      </c>
      <c r="Y1235" s="18">
        <v>45824</v>
      </c>
      <c r="Z1235" s="13" t="s">
        <v>497</v>
      </c>
      <c r="AA1235" s="19" t="s">
        <v>367</v>
      </c>
      <c r="AB1235" s="13" t="s">
        <v>357</v>
      </c>
      <c r="AC1235" s="13" t="s">
        <v>367</v>
      </c>
      <c r="AD1235" s="20"/>
      <c r="AE1235" s="20"/>
      <c r="AF1235" s="13" t="s">
        <v>40</v>
      </c>
      <c r="AG1235" s="15">
        <v>45444</v>
      </c>
      <c r="AH1235" s="13" t="s">
        <v>41</v>
      </c>
      <c r="AI1235" s="13" t="s">
        <v>53</v>
      </c>
      <c r="AJ1235" s="13" t="s">
        <v>370</v>
      </c>
      <c r="AK1235" s="14">
        <v>-8</v>
      </c>
      <c r="AL1235" s="17"/>
      <c r="AM1235" s="17"/>
      <c r="AN1235" s="17"/>
      <c r="AO1235" s="17"/>
      <c r="AP1235" s="17"/>
      <c r="AQ1235" s="17"/>
      <c r="AR1235" s="17"/>
      <c r="AS1235" s="17"/>
      <c r="AT1235" s="17"/>
      <c r="AU1235" s="17"/>
      <c r="AV1235" s="17"/>
    </row>
    <row r="1236" spans="1:48" ht="15.75" customHeight="1">
      <c r="A1236" s="21" t="s">
        <v>47</v>
      </c>
      <c r="B1236" s="23" t="s">
        <v>1692</v>
      </c>
      <c r="C1236" s="22">
        <v>45830</v>
      </c>
      <c r="D1236" s="23" t="s">
        <v>236</v>
      </c>
      <c r="E1236" s="23" t="s">
        <v>556</v>
      </c>
      <c r="F1236" s="21">
        <v>1</v>
      </c>
      <c r="G1236" s="12">
        <v>1600.4027586206898</v>
      </c>
      <c r="H1236" s="12">
        <v>1600.4027586206898</v>
      </c>
      <c r="I1236" s="23" t="s">
        <v>52</v>
      </c>
      <c r="J1236" s="23" t="s">
        <v>61</v>
      </c>
      <c r="K1236" s="24" t="s">
        <v>177</v>
      </c>
      <c r="L1236" s="24">
        <v>152</v>
      </c>
      <c r="M1236" s="12">
        <v>1344.876267748479</v>
      </c>
      <c r="N1236" s="12">
        <v>1344.876267748479</v>
      </c>
      <c r="O1236" s="12">
        <v>255.52649087221084</v>
      </c>
      <c r="P1236" s="13"/>
      <c r="Q1236" s="14">
        <v>2025</v>
      </c>
      <c r="R1236" s="15">
        <v>45444</v>
      </c>
      <c r="S1236" s="11" t="s">
        <v>387</v>
      </c>
      <c r="T1236" s="16">
        <v>0</v>
      </c>
      <c r="U1236" s="17"/>
      <c r="V1236" s="12">
        <v>681.85226774847877</v>
      </c>
      <c r="W1236" s="12">
        <v>681.85226774847877</v>
      </c>
      <c r="X1236" s="12">
        <v>0</v>
      </c>
      <c r="Y1236" s="18">
        <v>45824</v>
      </c>
      <c r="Z1236" s="13" t="s">
        <v>497</v>
      </c>
      <c r="AA1236" s="19" t="s">
        <v>367</v>
      </c>
      <c r="AB1236" s="13" t="s">
        <v>357</v>
      </c>
      <c r="AC1236" s="13" t="s">
        <v>367</v>
      </c>
      <c r="AD1236" s="20"/>
      <c r="AE1236" s="20"/>
      <c r="AF1236" s="13" t="s">
        <v>40</v>
      </c>
      <c r="AG1236" s="15">
        <v>45444</v>
      </c>
      <c r="AH1236" s="13" t="s">
        <v>41</v>
      </c>
      <c r="AI1236" s="13" t="s">
        <v>47</v>
      </c>
      <c r="AJ1236" s="13" t="s">
        <v>386</v>
      </c>
      <c r="AK1236" s="14">
        <v>-3</v>
      </c>
      <c r="AL1236" s="17"/>
      <c r="AM1236" s="17"/>
      <c r="AN1236" s="17"/>
      <c r="AO1236" s="17"/>
      <c r="AP1236" s="17"/>
      <c r="AQ1236" s="17"/>
      <c r="AR1236" s="17"/>
      <c r="AS1236" s="17"/>
      <c r="AT1236" s="17"/>
      <c r="AU1236" s="17"/>
      <c r="AV1236" s="17"/>
    </row>
    <row r="1237" spans="1:48" ht="15.75" customHeight="1">
      <c r="A1237" s="21" t="s">
        <v>76</v>
      </c>
      <c r="B1237" s="23" t="s">
        <v>1692</v>
      </c>
      <c r="C1237" s="22">
        <v>45830</v>
      </c>
      <c r="D1237" s="23" t="s">
        <v>236</v>
      </c>
      <c r="E1237" s="23" t="s">
        <v>82</v>
      </c>
      <c r="F1237" s="21">
        <v>1</v>
      </c>
      <c r="G1237" s="12">
        <v>2000.0000000000002</v>
      </c>
      <c r="H1237" s="12">
        <v>2000.0000000000002</v>
      </c>
      <c r="I1237" s="23" t="s">
        <v>52</v>
      </c>
      <c r="J1237" s="23" t="s">
        <v>61</v>
      </c>
      <c r="K1237" s="24" t="s">
        <v>177</v>
      </c>
      <c r="L1237" s="24">
        <v>152</v>
      </c>
      <c r="M1237" s="12">
        <v>1680.6722689075632</v>
      </c>
      <c r="N1237" s="12">
        <v>1680.6722689075632</v>
      </c>
      <c r="O1237" s="12">
        <v>319.32773109243703</v>
      </c>
      <c r="P1237" s="13"/>
      <c r="Q1237" s="14">
        <v>2025</v>
      </c>
      <c r="R1237" s="15">
        <v>45444</v>
      </c>
      <c r="S1237" s="11" t="s">
        <v>463</v>
      </c>
      <c r="T1237" s="16">
        <v>5</v>
      </c>
      <c r="U1237" s="17"/>
      <c r="V1237" s="12">
        <v>680.67226890756319</v>
      </c>
      <c r="W1237" s="12">
        <v>680.67226890756319</v>
      </c>
      <c r="X1237" s="12">
        <v>0</v>
      </c>
      <c r="Y1237" s="18">
        <v>45824</v>
      </c>
      <c r="Z1237" s="13" t="s">
        <v>497</v>
      </c>
      <c r="AA1237" s="19" t="s">
        <v>367</v>
      </c>
      <c r="AB1237" s="13" t="s">
        <v>357</v>
      </c>
      <c r="AC1237" s="13" t="s">
        <v>367</v>
      </c>
      <c r="AD1237" s="20"/>
      <c r="AE1237" s="20"/>
      <c r="AF1237" s="13" t="s">
        <v>40</v>
      </c>
      <c r="AG1237" s="15">
        <v>45444</v>
      </c>
      <c r="AH1237" s="13" t="s">
        <v>41</v>
      </c>
      <c r="AI1237" s="13" t="s">
        <v>76</v>
      </c>
      <c r="AJ1237" s="13" t="s">
        <v>464</v>
      </c>
      <c r="AK1237" s="14">
        <v>-1</v>
      </c>
      <c r="AL1237" s="17"/>
      <c r="AM1237" s="17"/>
      <c r="AN1237" s="17"/>
      <c r="AO1237" s="17"/>
      <c r="AP1237" s="17"/>
      <c r="AQ1237" s="17"/>
      <c r="AR1237" s="17"/>
      <c r="AS1237" s="17"/>
      <c r="AT1237" s="17"/>
      <c r="AU1237" s="17"/>
      <c r="AV1237" s="17"/>
    </row>
    <row r="1238" spans="1:48" ht="15.75" customHeight="1">
      <c r="A1238" s="21" t="s">
        <v>47</v>
      </c>
      <c r="B1238" s="23" t="s">
        <v>1692</v>
      </c>
      <c r="C1238" s="22">
        <v>45830</v>
      </c>
      <c r="D1238" s="23" t="s">
        <v>235</v>
      </c>
      <c r="E1238" s="23" t="s">
        <v>153</v>
      </c>
      <c r="F1238" s="21">
        <v>1</v>
      </c>
      <c r="G1238" s="12">
        <v>1900.2190115062763</v>
      </c>
      <c r="H1238" s="12">
        <v>1900.2190115062763</v>
      </c>
      <c r="I1238" s="23" t="s">
        <v>52</v>
      </c>
      <c r="J1238" s="23" t="s">
        <v>61</v>
      </c>
      <c r="K1238" s="24" t="s">
        <v>177</v>
      </c>
      <c r="L1238" s="24">
        <v>152</v>
      </c>
      <c r="M1238" s="12">
        <v>1596.8226987447702</v>
      </c>
      <c r="N1238" s="12">
        <v>1596.8226987447702</v>
      </c>
      <c r="O1238" s="12">
        <v>303.39631276150612</v>
      </c>
      <c r="P1238" s="13"/>
      <c r="Q1238" s="14">
        <v>2025</v>
      </c>
      <c r="R1238" s="15">
        <v>45444</v>
      </c>
      <c r="S1238" s="11" t="s">
        <v>153</v>
      </c>
      <c r="T1238" s="16">
        <v>0</v>
      </c>
      <c r="U1238" s="17"/>
      <c r="V1238" s="12">
        <v>680.88519874476992</v>
      </c>
      <c r="W1238" s="12">
        <v>680.88519874476992</v>
      </c>
      <c r="X1238" s="12">
        <v>0</v>
      </c>
      <c r="Y1238" s="18">
        <v>45824</v>
      </c>
      <c r="Z1238" s="13" t="s">
        <v>497</v>
      </c>
      <c r="AA1238" s="19" t="s">
        <v>367</v>
      </c>
      <c r="AB1238" s="13" t="s">
        <v>357</v>
      </c>
      <c r="AC1238" s="13" t="s">
        <v>367</v>
      </c>
      <c r="AD1238" s="20"/>
      <c r="AE1238" s="20"/>
      <c r="AF1238" s="13" t="s">
        <v>40</v>
      </c>
      <c r="AG1238" s="15">
        <v>45444</v>
      </c>
      <c r="AH1238" s="13" t="s">
        <v>41</v>
      </c>
      <c r="AI1238" s="13" t="s">
        <v>47</v>
      </c>
      <c r="AJ1238" s="13" t="s">
        <v>432</v>
      </c>
      <c r="AK1238" s="14">
        <v>-1</v>
      </c>
      <c r="AL1238" s="17"/>
      <c r="AM1238" s="17"/>
      <c r="AN1238" s="17"/>
      <c r="AO1238" s="17"/>
      <c r="AP1238" s="17"/>
      <c r="AQ1238" s="17"/>
      <c r="AR1238" s="17"/>
      <c r="AS1238" s="17"/>
      <c r="AT1238" s="17"/>
      <c r="AU1238" s="17"/>
      <c r="AV1238" s="17"/>
    </row>
    <row r="1239" spans="1:48" ht="15.75" customHeight="1">
      <c r="A1239" s="21" t="s">
        <v>35</v>
      </c>
      <c r="B1239" s="23" t="s">
        <v>1692</v>
      </c>
      <c r="C1239" s="22">
        <v>45830</v>
      </c>
      <c r="D1239" s="23" t="s">
        <v>126</v>
      </c>
      <c r="E1239" s="23" t="s">
        <v>46</v>
      </c>
      <c r="F1239" s="21">
        <v>1</v>
      </c>
      <c r="G1239" s="12">
        <v>6000.1548227279782</v>
      </c>
      <c r="H1239" s="12">
        <v>6000.1548227279782</v>
      </c>
      <c r="I1239" s="23" t="s">
        <v>52</v>
      </c>
      <c r="J1239" s="23" t="s">
        <v>61</v>
      </c>
      <c r="K1239" s="24" t="s">
        <v>177</v>
      </c>
      <c r="L1239" s="24">
        <v>152</v>
      </c>
      <c r="M1239" s="12">
        <v>5042.1469098554444</v>
      </c>
      <c r="N1239" s="12">
        <v>5042.1469098554444</v>
      </c>
      <c r="O1239" s="12">
        <v>958.00791287253378</v>
      </c>
      <c r="P1239" s="13"/>
      <c r="Q1239" s="14">
        <v>2025</v>
      </c>
      <c r="R1239" s="15">
        <v>45444</v>
      </c>
      <c r="S1239" s="11" t="s">
        <v>364</v>
      </c>
      <c r="T1239" s="16">
        <v>500</v>
      </c>
      <c r="U1239" s="17"/>
      <c r="V1239" s="12">
        <v>1785.4242207798129</v>
      </c>
      <c r="W1239" s="12">
        <v>1785.4242207798129</v>
      </c>
      <c r="X1239" s="12">
        <v>0</v>
      </c>
      <c r="Y1239" s="18">
        <v>45824</v>
      </c>
      <c r="Z1239" s="13" t="s">
        <v>497</v>
      </c>
      <c r="AA1239" s="19" t="s">
        <v>361</v>
      </c>
      <c r="AB1239" s="13" t="s">
        <v>357</v>
      </c>
      <c r="AC1239" s="13" t="s">
        <v>362</v>
      </c>
      <c r="AD1239" s="20"/>
      <c r="AE1239" s="20"/>
      <c r="AF1239" s="13" t="s">
        <v>40</v>
      </c>
      <c r="AG1239" s="15">
        <v>45444</v>
      </c>
      <c r="AH1239" s="13" t="s">
        <v>41</v>
      </c>
      <c r="AI1239" s="13" t="s">
        <v>35</v>
      </c>
      <c r="AJ1239" s="13" t="s">
        <v>365</v>
      </c>
      <c r="AK1239" s="14">
        <v>-0.5</v>
      </c>
      <c r="AL1239" s="17"/>
      <c r="AM1239" s="17"/>
      <c r="AN1239" s="17"/>
      <c r="AO1239" s="17"/>
      <c r="AP1239" s="17"/>
      <c r="AQ1239" s="17"/>
      <c r="AR1239" s="17"/>
      <c r="AS1239" s="17"/>
      <c r="AT1239" s="17"/>
      <c r="AU1239" s="17"/>
      <c r="AV1239" s="17"/>
    </row>
    <row r="1240" spans="1:48" ht="15.75" customHeight="1">
      <c r="A1240" s="21" t="s">
        <v>43</v>
      </c>
      <c r="B1240" s="23" t="s">
        <v>1692</v>
      </c>
      <c r="C1240" s="22">
        <v>45830</v>
      </c>
      <c r="D1240" s="23" t="s">
        <v>152</v>
      </c>
      <c r="E1240" s="23" t="s">
        <v>317</v>
      </c>
      <c r="F1240" s="21">
        <v>1</v>
      </c>
      <c r="G1240" s="12">
        <v>12500.17391304348</v>
      </c>
      <c r="H1240" s="12">
        <v>12500.17391304348</v>
      </c>
      <c r="I1240" s="23" t="s">
        <v>52</v>
      </c>
      <c r="J1240" s="23" t="s">
        <v>61</v>
      </c>
      <c r="K1240" s="24" t="s">
        <v>177</v>
      </c>
      <c r="L1240" s="24">
        <v>152</v>
      </c>
      <c r="M1240" s="12">
        <v>10504.347826086958</v>
      </c>
      <c r="N1240" s="12">
        <v>10504.347826086958</v>
      </c>
      <c r="O1240" s="12">
        <v>1995.826086956522</v>
      </c>
      <c r="P1240" s="13"/>
      <c r="Q1240" s="14">
        <v>2025</v>
      </c>
      <c r="R1240" s="15">
        <v>45444</v>
      </c>
      <c r="S1240" s="11" t="s">
        <v>435</v>
      </c>
      <c r="T1240" s="16">
        <v>0</v>
      </c>
      <c r="U1240" s="17"/>
      <c r="V1240" s="12">
        <v>3256.3478260869579</v>
      </c>
      <c r="W1240" s="12">
        <v>3256.3478260869579</v>
      </c>
      <c r="X1240" s="12">
        <v>0</v>
      </c>
      <c r="Y1240" s="18">
        <v>45824</v>
      </c>
      <c r="Z1240" s="13" t="s">
        <v>497</v>
      </c>
      <c r="AA1240" s="19" t="s">
        <v>373</v>
      </c>
      <c r="AB1240" s="13" t="s">
        <v>357</v>
      </c>
      <c r="AC1240" s="13" t="s">
        <v>383</v>
      </c>
      <c r="AD1240" s="20"/>
      <c r="AE1240" s="20"/>
      <c r="AF1240" s="13" t="s">
        <v>40</v>
      </c>
      <c r="AG1240" s="15">
        <v>45444</v>
      </c>
      <c r="AH1240" s="13" t="s">
        <v>41</v>
      </c>
      <c r="AI1240" s="13" t="s">
        <v>43</v>
      </c>
      <c r="AJ1240" s="13" t="s">
        <v>436</v>
      </c>
      <c r="AK1240" s="14">
        <v>-6</v>
      </c>
      <c r="AL1240" s="17"/>
      <c r="AM1240" s="17"/>
      <c r="AN1240" s="17"/>
      <c r="AO1240" s="17"/>
      <c r="AP1240" s="17"/>
      <c r="AQ1240" s="17"/>
      <c r="AR1240" s="17"/>
      <c r="AS1240" s="17"/>
      <c r="AT1240" s="17"/>
      <c r="AU1240" s="17"/>
      <c r="AV1240" s="17"/>
    </row>
    <row r="1241" spans="1:48" ht="15.75" customHeight="1">
      <c r="A1241" s="21" t="s">
        <v>53</v>
      </c>
      <c r="B1241" s="23" t="s">
        <v>1692</v>
      </c>
      <c r="C1241" s="22">
        <v>45830</v>
      </c>
      <c r="D1241" s="23" t="s">
        <v>152</v>
      </c>
      <c r="E1241" s="23" t="s">
        <v>317</v>
      </c>
      <c r="F1241" s="21">
        <v>1</v>
      </c>
      <c r="G1241" s="12">
        <v>12500.17391304348</v>
      </c>
      <c r="H1241" s="12">
        <v>12500.17391304348</v>
      </c>
      <c r="I1241" s="23" t="s">
        <v>52</v>
      </c>
      <c r="J1241" s="23" t="s">
        <v>61</v>
      </c>
      <c r="K1241" s="24" t="s">
        <v>177</v>
      </c>
      <c r="L1241" s="24">
        <v>152</v>
      </c>
      <c r="M1241" s="12">
        <v>10504.347826086958</v>
      </c>
      <c r="N1241" s="12">
        <v>10504.347826086958</v>
      </c>
      <c r="O1241" s="12">
        <v>1995.826086956522</v>
      </c>
      <c r="P1241" s="13"/>
      <c r="Q1241" s="14">
        <v>2025</v>
      </c>
      <c r="R1241" s="15">
        <v>45444</v>
      </c>
      <c r="S1241" s="11" t="s">
        <v>435</v>
      </c>
      <c r="T1241" s="16">
        <v>0</v>
      </c>
      <c r="U1241" s="17"/>
      <c r="V1241" s="12">
        <v>3256.3478260869579</v>
      </c>
      <c r="W1241" s="12">
        <v>3256.3478260869579</v>
      </c>
      <c r="X1241" s="12">
        <v>0</v>
      </c>
      <c r="Y1241" s="18">
        <v>45824</v>
      </c>
      <c r="Z1241" s="13" t="s">
        <v>497</v>
      </c>
      <c r="AA1241" s="19" t="s">
        <v>373</v>
      </c>
      <c r="AB1241" s="13" t="s">
        <v>357</v>
      </c>
      <c r="AC1241" s="13" t="s">
        <v>383</v>
      </c>
      <c r="AD1241" s="20"/>
      <c r="AE1241" s="20"/>
      <c r="AF1241" s="13" t="s">
        <v>40</v>
      </c>
      <c r="AG1241" s="15">
        <v>45444</v>
      </c>
      <c r="AH1241" s="13" t="s">
        <v>41</v>
      </c>
      <c r="AI1241" s="13" t="s">
        <v>53</v>
      </c>
      <c r="AJ1241" s="13" t="s">
        <v>436</v>
      </c>
      <c r="AK1241" s="14">
        <v>-6</v>
      </c>
      <c r="AL1241" s="17"/>
      <c r="AM1241" s="17"/>
      <c r="AN1241" s="17"/>
      <c r="AO1241" s="17"/>
      <c r="AP1241" s="17"/>
      <c r="AQ1241" s="17"/>
      <c r="AR1241" s="17"/>
      <c r="AS1241" s="17"/>
      <c r="AT1241" s="17"/>
      <c r="AU1241" s="17"/>
      <c r="AV1241" s="17"/>
    </row>
    <row r="1242" spans="1:48" ht="15.75" customHeight="1">
      <c r="A1242" s="21" t="s">
        <v>35</v>
      </c>
      <c r="B1242" s="23" t="s">
        <v>1692</v>
      </c>
      <c r="C1242" s="22">
        <v>45830</v>
      </c>
      <c r="D1242" s="23" t="s">
        <v>121</v>
      </c>
      <c r="E1242" s="23" t="s">
        <v>37</v>
      </c>
      <c r="F1242" s="21">
        <v>1</v>
      </c>
      <c r="G1242" s="12">
        <v>11000.014358944907</v>
      </c>
      <c r="H1242" s="12">
        <v>11000.014358944907</v>
      </c>
      <c r="I1242" s="23" t="s">
        <v>52</v>
      </c>
      <c r="J1242" s="23" t="s">
        <v>61</v>
      </c>
      <c r="K1242" s="24" t="s">
        <v>177</v>
      </c>
      <c r="L1242" s="24">
        <v>152</v>
      </c>
      <c r="M1242" s="12">
        <v>9243.7095453318543</v>
      </c>
      <c r="N1242" s="12">
        <v>9243.7095453318543</v>
      </c>
      <c r="O1242" s="12">
        <v>1756.3048136130528</v>
      </c>
      <c r="P1242" s="13"/>
      <c r="Q1242" s="14">
        <v>2025</v>
      </c>
      <c r="R1242" s="15">
        <v>45444</v>
      </c>
      <c r="S1242" s="11" t="s">
        <v>364</v>
      </c>
      <c r="T1242" s="16">
        <v>1000</v>
      </c>
      <c r="U1242" s="17"/>
      <c r="V1242" s="12">
        <v>2806.1129066763915</v>
      </c>
      <c r="W1242" s="12">
        <v>2806.1129066763915</v>
      </c>
      <c r="X1242" s="12">
        <v>0</v>
      </c>
      <c r="Y1242" s="18">
        <v>45824</v>
      </c>
      <c r="Z1242" s="13" t="s">
        <v>497</v>
      </c>
      <c r="AA1242" s="19" t="s">
        <v>373</v>
      </c>
      <c r="AB1242" s="13" t="s">
        <v>357</v>
      </c>
      <c r="AC1242" s="13" t="s">
        <v>471</v>
      </c>
      <c r="AD1242" s="20"/>
      <c r="AE1242" s="20"/>
      <c r="AF1242" s="13" t="s">
        <v>40</v>
      </c>
      <c r="AG1242" s="15">
        <v>45444</v>
      </c>
      <c r="AH1242" s="13" t="s">
        <v>41</v>
      </c>
      <c r="AI1242" s="13" t="s">
        <v>35</v>
      </c>
      <c r="AJ1242" s="13" t="s">
        <v>365</v>
      </c>
      <c r="AK1242" s="14">
        <v>-1</v>
      </c>
      <c r="AL1242" s="17"/>
      <c r="AM1242" s="17"/>
      <c r="AN1242" s="17"/>
      <c r="AO1242" s="17"/>
      <c r="AP1242" s="17"/>
      <c r="AQ1242" s="17"/>
      <c r="AR1242" s="17"/>
      <c r="AS1242" s="17"/>
      <c r="AT1242" s="17"/>
      <c r="AU1242" s="17"/>
      <c r="AV1242" s="17"/>
    </row>
    <row r="1243" spans="1:48" ht="15.75" customHeight="1">
      <c r="A1243" s="21" t="s">
        <v>43</v>
      </c>
      <c r="B1243" s="23" t="s">
        <v>1692</v>
      </c>
      <c r="C1243" s="22">
        <v>45830</v>
      </c>
      <c r="D1243" s="23" t="s">
        <v>121</v>
      </c>
      <c r="E1243" s="23" t="s">
        <v>45</v>
      </c>
      <c r="F1243" s="21">
        <v>1</v>
      </c>
      <c r="G1243" s="12">
        <v>8199.8965351595689</v>
      </c>
      <c r="H1243" s="12">
        <v>8199.8965351595689</v>
      </c>
      <c r="I1243" s="23" t="s">
        <v>52</v>
      </c>
      <c r="J1243" s="23" t="s">
        <v>61</v>
      </c>
      <c r="K1243" s="24" t="s">
        <v>177</v>
      </c>
      <c r="L1243" s="24">
        <v>152</v>
      </c>
      <c r="M1243" s="12">
        <v>6890.6693572769491</v>
      </c>
      <c r="N1243" s="12">
        <v>6890.6693572769491</v>
      </c>
      <c r="O1243" s="12">
        <v>1309.2271778826198</v>
      </c>
      <c r="P1243" s="13"/>
      <c r="Q1243" s="14">
        <v>2025</v>
      </c>
      <c r="R1243" s="15">
        <v>45444</v>
      </c>
      <c r="S1243" s="11" t="s">
        <v>355</v>
      </c>
      <c r="T1243" s="16">
        <v>0</v>
      </c>
      <c r="U1243" s="17"/>
      <c r="V1243" s="12">
        <v>1296.3416261845123</v>
      </c>
      <c r="W1243" s="12">
        <v>1296.3416261845123</v>
      </c>
      <c r="X1243" s="12">
        <v>0</v>
      </c>
      <c r="Y1243" s="18">
        <v>45824</v>
      </c>
      <c r="Z1243" s="13" t="s">
        <v>497</v>
      </c>
      <c r="AA1243" s="19" t="s">
        <v>373</v>
      </c>
      <c r="AB1243" s="13" t="s">
        <v>357</v>
      </c>
      <c r="AC1243" s="13" t="s">
        <v>471</v>
      </c>
      <c r="AD1243" s="20"/>
      <c r="AE1243" s="20"/>
      <c r="AF1243" s="13" t="s">
        <v>40</v>
      </c>
      <c r="AG1243" s="15">
        <v>45444</v>
      </c>
      <c r="AH1243" s="13" t="s">
        <v>41</v>
      </c>
      <c r="AI1243" s="13" t="s">
        <v>43</v>
      </c>
      <c r="AJ1243" s="13" t="s">
        <v>359</v>
      </c>
      <c r="AK1243" s="14">
        <v>-1</v>
      </c>
      <c r="AL1243" s="17"/>
      <c r="AM1243" s="17"/>
      <c r="AN1243" s="17"/>
      <c r="AO1243" s="17"/>
      <c r="AP1243" s="17"/>
      <c r="AQ1243" s="17"/>
      <c r="AR1243" s="17"/>
      <c r="AS1243" s="17"/>
      <c r="AT1243" s="17"/>
      <c r="AU1243" s="17"/>
      <c r="AV1243" s="17"/>
    </row>
    <row r="1244" spans="1:48" ht="15.75" customHeight="1">
      <c r="A1244" s="21" t="s">
        <v>47</v>
      </c>
      <c r="B1244" s="23" t="s">
        <v>1692</v>
      </c>
      <c r="C1244" s="22">
        <v>45830</v>
      </c>
      <c r="D1244" s="23" t="s">
        <v>180</v>
      </c>
      <c r="E1244" s="23" t="s">
        <v>327</v>
      </c>
      <c r="F1244" s="21">
        <v>1</v>
      </c>
      <c r="G1244" s="12">
        <v>1299.5153465346536</v>
      </c>
      <c r="H1244" s="12">
        <v>1299.5153465346536</v>
      </c>
      <c r="I1244" s="23" t="s">
        <v>52</v>
      </c>
      <c r="J1244" s="23" t="s">
        <v>61</v>
      </c>
      <c r="K1244" s="24" t="s">
        <v>177</v>
      </c>
      <c r="L1244" s="24">
        <v>152</v>
      </c>
      <c r="M1244" s="12">
        <v>1092.0297029702972</v>
      </c>
      <c r="N1244" s="12">
        <v>1092.0297029702972</v>
      </c>
      <c r="O1244" s="12">
        <v>207.48564356435645</v>
      </c>
      <c r="P1244" s="13"/>
      <c r="Q1244" s="14">
        <v>2025</v>
      </c>
      <c r="R1244" s="15">
        <v>45444</v>
      </c>
      <c r="S1244" s="11" t="s">
        <v>387</v>
      </c>
      <c r="T1244" s="16">
        <v>0</v>
      </c>
      <c r="U1244" s="17"/>
      <c r="V1244" s="12">
        <v>562.61370297029714</v>
      </c>
      <c r="W1244" s="12">
        <v>562.61370297029714</v>
      </c>
      <c r="X1244" s="12">
        <v>0</v>
      </c>
      <c r="Y1244" s="18">
        <v>45824</v>
      </c>
      <c r="Z1244" s="13" t="s">
        <v>497</v>
      </c>
      <c r="AA1244" s="19" t="s">
        <v>367</v>
      </c>
      <c r="AB1244" s="13" t="s">
        <v>357</v>
      </c>
      <c r="AC1244" s="13" t="s">
        <v>367</v>
      </c>
      <c r="AD1244" s="20"/>
      <c r="AE1244" s="20"/>
      <c r="AF1244" s="13" t="s">
        <v>40</v>
      </c>
      <c r="AG1244" s="15">
        <v>45444</v>
      </c>
      <c r="AH1244" s="13" t="s">
        <v>41</v>
      </c>
      <c r="AI1244" s="13" t="s">
        <v>47</v>
      </c>
      <c r="AJ1244" s="13" t="s">
        <v>388</v>
      </c>
      <c r="AK1244" s="14">
        <v>-6</v>
      </c>
      <c r="AL1244" s="17"/>
      <c r="AM1244" s="17"/>
      <c r="AN1244" s="17"/>
      <c r="AO1244" s="17"/>
      <c r="AP1244" s="17"/>
      <c r="AQ1244" s="17"/>
      <c r="AR1244" s="17"/>
      <c r="AS1244" s="17"/>
      <c r="AT1244" s="17"/>
      <c r="AU1244" s="17"/>
      <c r="AV1244" s="17"/>
    </row>
    <row r="1245" spans="1:48" ht="15.75" customHeight="1">
      <c r="A1245" s="21" t="s">
        <v>47</v>
      </c>
      <c r="B1245" s="23" t="s">
        <v>1692</v>
      </c>
      <c r="C1245" s="22">
        <v>45830</v>
      </c>
      <c r="D1245" s="23" t="s">
        <v>180</v>
      </c>
      <c r="E1245" s="23" t="s">
        <v>557</v>
      </c>
      <c r="F1245" s="21">
        <v>1</v>
      </c>
      <c r="G1245" s="12">
        <v>2600.0990891526367</v>
      </c>
      <c r="H1245" s="12">
        <v>2600.0990891526367</v>
      </c>
      <c r="I1245" s="23" t="s">
        <v>52</v>
      </c>
      <c r="J1245" s="23" t="s">
        <v>61</v>
      </c>
      <c r="K1245" s="24" t="s">
        <v>177</v>
      </c>
      <c r="L1245" s="24">
        <v>152</v>
      </c>
      <c r="M1245" s="12">
        <v>2184.9572177753253</v>
      </c>
      <c r="N1245" s="12">
        <v>2184.9572177753253</v>
      </c>
      <c r="O1245" s="12">
        <v>415.14187137731142</v>
      </c>
      <c r="P1245" s="13"/>
      <c r="Q1245" s="14">
        <v>2025</v>
      </c>
      <c r="R1245" s="15">
        <v>45444</v>
      </c>
      <c r="S1245" s="11" t="s">
        <v>419</v>
      </c>
      <c r="T1245" s="16">
        <v>0</v>
      </c>
      <c r="U1245" s="17"/>
      <c r="V1245" s="12">
        <v>1393.3472177753247</v>
      </c>
      <c r="W1245" s="12">
        <v>1393.3472177753247</v>
      </c>
      <c r="X1245" s="12">
        <v>0</v>
      </c>
      <c r="Y1245" s="18">
        <v>45824</v>
      </c>
      <c r="Z1245" s="13" t="s">
        <v>497</v>
      </c>
      <c r="AA1245" s="19" t="s">
        <v>367</v>
      </c>
      <c r="AB1245" s="13" t="s">
        <v>357</v>
      </c>
      <c r="AC1245" s="13" t="s">
        <v>367</v>
      </c>
      <c r="AD1245" s="20"/>
      <c r="AE1245" s="20"/>
      <c r="AF1245" s="13" t="s">
        <v>40</v>
      </c>
      <c r="AG1245" s="15">
        <v>45444</v>
      </c>
      <c r="AH1245" s="13" t="s">
        <v>41</v>
      </c>
      <c r="AI1245" s="13" t="s">
        <v>47</v>
      </c>
      <c r="AJ1245" s="13" t="s">
        <v>419</v>
      </c>
      <c r="AK1245" s="14">
        <v>-3</v>
      </c>
      <c r="AL1245" s="17"/>
      <c r="AM1245" s="17"/>
      <c r="AN1245" s="17"/>
      <c r="AO1245" s="17"/>
      <c r="AP1245" s="17"/>
      <c r="AQ1245" s="17"/>
      <c r="AR1245" s="17"/>
      <c r="AS1245" s="17"/>
      <c r="AT1245" s="17"/>
      <c r="AU1245" s="17"/>
      <c r="AV1245" s="17"/>
    </row>
    <row r="1246" spans="1:48" ht="15.75" customHeight="1">
      <c r="A1246" s="21" t="s">
        <v>47</v>
      </c>
      <c r="B1246" s="23" t="s">
        <v>1692</v>
      </c>
      <c r="C1246" s="22">
        <v>45830</v>
      </c>
      <c r="D1246" s="23" t="s">
        <v>180</v>
      </c>
      <c r="E1246" s="23" t="s">
        <v>334</v>
      </c>
      <c r="F1246" s="21">
        <v>1</v>
      </c>
      <c r="G1246" s="12">
        <v>4200.0000000000009</v>
      </c>
      <c r="H1246" s="12">
        <v>4200.0000000000009</v>
      </c>
      <c r="I1246" s="23" t="s">
        <v>52</v>
      </c>
      <c r="J1246" s="23" t="s">
        <v>61</v>
      </c>
      <c r="K1246" s="24" t="s">
        <v>177</v>
      </c>
      <c r="L1246" s="24">
        <v>152</v>
      </c>
      <c r="M1246" s="12">
        <v>3529.4117647058833</v>
      </c>
      <c r="N1246" s="12">
        <v>3529.4117647058833</v>
      </c>
      <c r="O1246" s="12">
        <v>670.58823529411757</v>
      </c>
      <c r="P1246" s="13"/>
      <c r="Q1246" s="14">
        <v>2025</v>
      </c>
      <c r="R1246" s="15">
        <v>45444</v>
      </c>
      <c r="S1246" s="11" t="s">
        <v>440</v>
      </c>
      <c r="T1246" s="16">
        <v>0</v>
      </c>
      <c r="U1246" s="17"/>
      <c r="V1246" s="12">
        <v>1435.4117647058829</v>
      </c>
      <c r="W1246" s="12">
        <v>1435.4117647058829</v>
      </c>
      <c r="X1246" s="12">
        <v>0</v>
      </c>
      <c r="Y1246" s="18">
        <v>45824</v>
      </c>
      <c r="Z1246" s="13" t="s">
        <v>497</v>
      </c>
      <c r="AA1246" s="19" t="s">
        <v>367</v>
      </c>
      <c r="AB1246" s="13" t="s">
        <v>357</v>
      </c>
      <c r="AC1246" s="13" t="s">
        <v>367</v>
      </c>
      <c r="AD1246" s="20"/>
      <c r="AE1246" s="20"/>
      <c r="AF1246" s="13" t="s">
        <v>40</v>
      </c>
      <c r="AG1246" s="15">
        <v>45444</v>
      </c>
      <c r="AH1246" s="13" t="s">
        <v>41</v>
      </c>
      <c r="AI1246" s="13" t="s">
        <v>47</v>
      </c>
      <c r="AJ1246" s="13" t="s">
        <v>441</v>
      </c>
      <c r="AK1246" s="14">
        <v>-3</v>
      </c>
      <c r="AL1246" s="17"/>
      <c r="AM1246" s="17"/>
      <c r="AN1246" s="17"/>
      <c r="AO1246" s="17"/>
      <c r="AP1246" s="17"/>
      <c r="AQ1246" s="17"/>
      <c r="AR1246" s="17"/>
      <c r="AS1246" s="17"/>
      <c r="AT1246" s="17"/>
      <c r="AU1246" s="17"/>
      <c r="AV1246" s="17"/>
    </row>
    <row r="1247" spans="1:48" ht="15.75" customHeight="1">
      <c r="A1247" s="21" t="s">
        <v>47</v>
      </c>
      <c r="B1247" s="23" t="s">
        <v>1692</v>
      </c>
      <c r="C1247" s="22">
        <v>45830</v>
      </c>
      <c r="D1247" s="23" t="s">
        <v>180</v>
      </c>
      <c r="E1247" s="23" t="s">
        <v>206</v>
      </c>
      <c r="F1247" s="21">
        <v>1</v>
      </c>
      <c r="G1247" s="12">
        <v>2499.9842105263156</v>
      </c>
      <c r="H1247" s="12">
        <v>2499.9842105263156</v>
      </c>
      <c r="I1247" s="23" t="s">
        <v>52</v>
      </c>
      <c r="J1247" s="23" t="s">
        <v>61</v>
      </c>
      <c r="K1247" s="24" t="s">
        <v>177</v>
      </c>
      <c r="L1247" s="24">
        <v>152</v>
      </c>
      <c r="M1247" s="12">
        <v>2100.8270676691727</v>
      </c>
      <c r="N1247" s="12">
        <v>2100.8270676691727</v>
      </c>
      <c r="O1247" s="12">
        <v>399.15714285714284</v>
      </c>
      <c r="P1247" s="13"/>
      <c r="Q1247" s="14">
        <v>2025</v>
      </c>
      <c r="R1247" s="15">
        <v>45444</v>
      </c>
      <c r="S1247" s="11" t="s">
        <v>402</v>
      </c>
      <c r="T1247" s="16">
        <v>0</v>
      </c>
      <c r="U1247" s="17"/>
      <c r="V1247" s="12">
        <v>1430.2430676691729</v>
      </c>
      <c r="W1247" s="12">
        <v>1430.2430676691729</v>
      </c>
      <c r="X1247" s="12">
        <v>0</v>
      </c>
      <c r="Y1247" s="18">
        <v>45824</v>
      </c>
      <c r="Z1247" s="13" t="s">
        <v>497</v>
      </c>
      <c r="AA1247" s="19" t="s">
        <v>367</v>
      </c>
      <c r="AB1247" s="13" t="s">
        <v>357</v>
      </c>
      <c r="AC1247" s="13" t="s">
        <v>367</v>
      </c>
      <c r="AD1247" s="20"/>
      <c r="AE1247" s="20"/>
      <c r="AF1247" s="13" t="s">
        <v>40</v>
      </c>
      <c r="AG1247" s="15">
        <v>45444</v>
      </c>
      <c r="AH1247" s="13" t="s">
        <v>41</v>
      </c>
      <c r="AI1247" s="13" t="s">
        <v>47</v>
      </c>
      <c r="AJ1247" s="13" t="s">
        <v>403</v>
      </c>
      <c r="AK1247" s="14">
        <v>-3</v>
      </c>
      <c r="AL1247" s="17"/>
      <c r="AM1247" s="17"/>
      <c r="AN1247" s="17"/>
      <c r="AO1247" s="17"/>
      <c r="AP1247" s="17"/>
      <c r="AQ1247" s="17"/>
      <c r="AR1247" s="17"/>
      <c r="AS1247" s="17"/>
      <c r="AT1247" s="17"/>
      <c r="AU1247" s="17"/>
      <c r="AV1247" s="17"/>
    </row>
    <row r="1248" spans="1:48" ht="15.75" customHeight="1">
      <c r="A1248" s="21" t="s">
        <v>47</v>
      </c>
      <c r="B1248" s="23" t="s">
        <v>1692</v>
      </c>
      <c r="C1248" s="22">
        <v>45830</v>
      </c>
      <c r="D1248" s="23" t="s">
        <v>180</v>
      </c>
      <c r="E1248" s="23" t="s">
        <v>250</v>
      </c>
      <c r="F1248" s="21">
        <v>1</v>
      </c>
      <c r="G1248" s="12">
        <v>1599.5883211678829</v>
      </c>
      <c r="H1248" s="12">
        <v>1599.5883211678829</v>
      </c>
      <c r="I1248" s="23" t="s">
        <v>52</v>
      </c>
      <c r="J1248" s="23" t="s">
        <v>61</v>
      </c>
      <c r="K1248" s="24" t="s">
        <v>177</v>
      </c>
      <c r="L1248" s="24">
        <v>152</v>
      </c>
      <c r="M1248" s="12">
        <v>1344.1918665276328</v>
      </c>
      <c r="N1248" s="12">
        <v>1344.1918665276328</v>
      </c>
      <c r="O1248" s="12">
        <v>255.39645464025011</v>
      </c>
      <c r="P1248" s="13"/>
      <c r="Q1248" s="14">
        <v>2025</v>
      </c>
      <c r="R1248" s="15">
        <v>45444</v>
      </c>
      <c r="S1248" s="11" t="s">
        <v>439</v>
      </c>
      <c r="T1248" s="16">
        <v>0</v>
      </c>
      <c r="U1248" s="17"/>
      <c r="V1248" s="12">
        <v>699.65186652763282</v>
      </c>
      <c r="W1248" s="12">
        <v>699.65186652763282</v>
      </c>
      <c r="X1248" s="12">
        <v>0</v>
      </c>
      <c r="Y1248" s="18">
        <v>45824</v>
      </c>
      <c r="Z1248" s="13" t="s">
        <v>497</v>
      </c>
      <c r="AA1248" s="19" t="s">
        <v>367</v>
      </c>
      <c r="AB1248" s="13" t="s">
        <v>357</v>
      </c>
      <c r="AC1248" s="13" t="s">
        <v>367</v>
      </c>
      <c r="AD1248" s="20"/>
      <c r="AE1248" s="20"/>
      <c r="AF1248" s="13" t="s">
        <v>40</v>
      </c>
      <c r="AG1248" s="15">
        <v>45444</v>
      </c>
      <c r="AH1248" s="13" t="s">
        <v>41</v>
      </c>
      <c r="AI1248" s="13" t="s">
        <v>47</v>
      </c>
      <c r="AJ1248" s="13" t="s">
        <v>250</v>
      </c>
      <c r="AK1248" s="14">
        <v>-1</v>
      </c>
      <c r="AL1248" s="17"/>
      <c r="AM1248" s="17"/>
      <c r="AN1248" s="17"/>
      <c r="AO1248" s="17"/>
      <c r="AP1248" s="17"/>
      <c r="AQ1248" s="17"/>
      <c r="AR1248" s="17"/>
      <c r="AS1248" s="17"/>
      <c r="AT1248" s="17"/>
      <c r="AU1248" s="17"/>
      <c r="AV1248" s="17"/>
    </row>
    <row r="1249" spans="1:48" ht="15.75" customHeight="1">
      <c r="A1249" s="21" t="s">
        <v>56</v>
      </c>
      <c r="B1249" s="23" t="s">
        <v>1692</v>
      </c>
      <c r="C1249" s="22">
        <v>45830</v>
      </c>
      <c r="D1249" s="23" t="s">
        <v>180</v>
      </c>
      <c r="E1249" s="23" t="s">
        <v>60</v>
      </c>
      <c r="F1249" s="21">
        <v>1</v>
      </c>
      <c r="G1249" s="12">
        <v>7000.0000000000018</v>
      </c>
      <c r="H1249" s="12">
        <v>7000.0000000000018</v>
      </c>
      <c r="I1249" s="23" t="s">
        <v>52</v>
      </c>
      <c r="J1249" s="23" t="s">
        <v>61</v>
      </c>
      <c r="K1249" s="24" t="s">
        <v>177</v>
      </c>
      <c r="L1249" s="24">
        <v>152</v>
      </c>
      <c r="M1249" s="12">
        <v>5882.3529411764721</v>
      </c>
      <c r="N1249" s="12">
        <v>5882.3529411764721</v>
      </c>
      <c r="O1249" s="12">
        <v>1117.6470588235297</v>
      </c>
      <c r="P1249" s="13"/>
      <c r="Q1249" s="14">
        <v>2025</v>
      </c>
      <c r="R1249" s="15">
        <v>45444</v>
      </c>
      <c r="S1249" s="11" t="s">
        <v>429</v>
      </c>
      <c r="T1249" s="16">
        <v>200</v>
      </c>
      <c r="U1249" s="17"/>
      <c r="V1249" s="12">
        <v>2080.6722689075641</v>
      </c>
      <c r="W1249" s="12">
        <v>2080.6722689075641</v>
      </c>
      <c r="X1249" s="12">
        <v>0</v>
      </c>
      <c r="Y1249" s="18">
        <v>45824</v>
      </c>
      <c r="Z1249" s="13" t="s">
        <v>497</v>
      </c>
      <c r="AA1249" s="19" t="s">
        <v>367</v>
      </c>
      <c r="AB1249" s="13" t="s">
        <v>357</v>
      </c>
      <c r="AC1249" s="13" t="s">
        <v>367</v>
      </c>
      <c r="AD1249" s="20"/>
      <c r="AE1249" s="20"/>
      <c r="AF1249" s="13" t="s">
        <v>40</v>
      </c>
      <c r="AG1249" s="15">
        <v>45444</v>
      </c>
      <c r="AH1249" s="13" t="s">
        <v>41</v>
      </c>
      <c r="AI1249" s="13" t="s">
        <v>56</v>
      </c>
      <c r="AJ1249" s="13" t="s">
        <v>430</v>
      </c>
      <c r="AK1249" s="14">
        <v>-2</v>
      </c>
      <c r="AL1249" s="17"/>
      <c r="AM1249" s="17"/>
      <c r="AN1249" s="17"/>
      <c r="AO1249" s="17"/>
      <c r="AP1249" s="17"/>
      <c r="AQ1249" s="17"/>
      <c r="AR1249" s="17"/>
      <c r="AS1249" s="17"/>
      <c r="AT1249" s="17"/>
      <c r="AU1249" s="17"/>
      <c r="AV1249" s="17"/>
    </row>
    <row r="1250" spans="1:48" ht="15.75" customHeight="1">
      <c r="A1250" s="21" t="s">
        <v>47</v>
      </c>
      <c r="B1250" s="23" t="s">
        <v>558</v>
      </c>
      <c r="C1250" s="22">
        <v>45830</v>
      </c>
      <c r="D1250" s="23" t="s">
        <v>180</v>
      </c>
      <c r="E1250" s="23" t="s">
        <v>300</v>
      </c>
      <c r="F1250" s="21">
        <v>1</v>
      </c>
      <c r="G1250" s="12">
        <v>1600</v>
      </c>
      <c r="H1250" s="12">
        <v>1600</v>
      </c>
      <c r="I1250" s="23" t="s">
        <v>52</v>
      </c>
      <c r="J1250" s="23" t="s">
        <v>61</v>
      </c>
      <c r="K1250" s="24" t="s">
        <v>177</v>
      </c>
      <c r="L1250" s="24">
        <v>152</v>
      </c>
      <c r="M1250" s="12">
        <v>1344.5378151260504</v>
      </c>
      <c r="N1250" s="12">
        <v>1344.5378151260504</v>
      </c>
      <c r="O1250" s="12">
        <v>255.46218487394958</v>
      </c>
      <c r="P1250" s="13"/>
      <c r="Q1250" s="14">
        <v>2025</v>
      </c>
      <c r="R1250" s="15">
        <v>45444</v>
      </c>
      <c r="S1250" s="11" t="s">
        <v>559</v>
      </c>
      <c r="T1250" s="16">
        <v>0</v>
      </c>
      <c r="U1250" s="17"/>
      <c r="V1250" s="12">
        <v>638.65546218487395</v>
      </c>
      <c r="W1250" s="12">
        <v>319.32773109243698</v>
      </c>
      <c r="X1250" s="12">
        <v>159.66386554621849</v>
      </c>
      <c r="Y1250" s="18">
        <v>45824</v>
      </c>
      <c r="Z1250" s="13" t="s">
        <v>497</v>
      </c>
      <c r="AA1250" s="19" t="s">
        <v>367</v>
      </c>
      <c r="AB1250" s="13" t="s">
        <v>357</v>
      </c>
      <c r="AC1250" s="13" t="s">
        <v>367</v>
      </c>
      <c r="AD1250" s="30" t="s">
        <v>40</v>
      </c>
      <c r="AE1250" s="30" t="s">
        <v>560</v>
      </c>
      <c r="AF1250" s="13" t="s">
        <v>40</v>
      </c>
      <c r="AG1250" s="15">
        <v>45444</v>
      </c>
      <c r="AH1250" s="13" t="s">
        <v>41</v>
      </c>
      <c r="AI1250" s="13" t="s">
        <v>47</v>
      </c>
      <c r="AJ1250" s="13" t="s">
        <v>561</v>
      </c>
      <c r="AK1250" s="14">
        <v>-1</v>
      </c>
      <c r="AL1250" s="17"/>
      <c r="AM1250" s="17"/>
      <c r="AN1250" s="17"/>
      <c r="AO1250" s="17"/>
      <c r="AP1250" s="17"/>
      <c r="AQ1250" s="17"/>
      <c r="AR1250" s="17"/>
      <c r="AS1250" s="17"/>
      <c r="AT1250" s="17"/>
      <c r="AU1250" s="17"/>
      <c r="AV1250" s="17"/>
    </row>
    <row r="1251" spans="1:48" ht="15.75" customHeight="1">
      <c r="A1251" s="21" t="s">
        <v>47</v>
      </c>
      <c r="B1251" s="23" t="s">
        <v>558</v>
      </c>
      <c r="C1251" s="22">
        <v>45830</v>
      </c>
      <c r="D1251" s="23" t="s">
        <v>180</v>
      </c>
      <c r="E1251" s="23" t="s">
        <v>562</v>
      </c>
      <c r="F1251" s="21">
        <v>1</v>
      </c>
      <c r="G1251" s="12">
        <v>6499.5824285952895</v>
      </c>
      <c r="H1251" s="12">
        <v>6499.5824285952895</v>
      </c>
      <c r="I1251" s="23" t="s">
        <v>52</v>
      </c>
      <c r="J1251" s="23" t="s">
        <v>61</v>
      </c>
      <c r="K1251" s="24" t="s">
        <v>177</v>
      </c>
      <c r="L1251" s="24">
        <v>152</v>
      </c>
      <c r="M1251" s="12">
        <v>5461.8339736094867</v>
      </c>
      <c r="N1251" s="12">
        <v>5461.8339736094867</v>
      </c>
      <c r="O1251" s="12">
        <v>1037.7484549858027</v>
      </c>
      <c r="P1251" s="13"/>
      <c r="Q1251" s="14">
        <v>2025</v>
      </c>
      <c r="R1251" s="15">
        <v>45444</v>
      </c>
      <c r="S1251" s="11" t="s">
        <v>453</v>
      </c>
      <c r="T1251" s="16">
        <v>0</v>
      </c>
      <c r="U1251" s="17"/>
      <c r="V1251" s="12">
        <v>2191.8339736094867</v>
      </c>
      <c r="W1251" s="12">
        <v>1643.8754802071151</v>
      </c>
      <c r="X1251" s="12">
        <v>547.95849340237169</v>
      </c>
      <c r="Y1251" s="18">
        <v>45824</v>
      </c>
      <c r="Z1251" s="13" t="s">
        <v>497</v>
      </c>
      <c r="AA1251" s="19" t="s">
        <v>367</v>
      </c>
      <c r="AB1251" s="13" t="s">
        <v>357</v>
      </c>
      <c r="AC1251" s="13" t="s">
        <v>367</v>
      </c>
      <c r="AD1251" s="30" t="s">
        <v>40</v>
      </c>
      <c r="AE1251" s="30" t="s">
        <v>560</v>
      </c>
      <c r="AF1251" s="13" t="s">
        <v>40</v>
      </c>
      <c r="AG1251" s="15">
        <v>45444</v>
      </c>
      <c r="AH1251" s="13" t="s">
        <v>41</v>
      </c>
      <c r="AI1251" s="13" t="s">
        <v>47</v>
      </c>
      <c r="AJ1251" s="13" t="s">
        <v>487</v>
      </c>
      <c r="AK1251" s="14">
        <v>-6</v>
      </c>
      <c r="AL1251" s="17"/>
      <c r="AM1251" s="17"/>
      <c r="AN1251" s="17"/>
      <c r="AO1251" s="17"/>
      <c r="AP1251" s="17"/>
      <c r="AQ1251" s="17"/>
      <c r="AR1251" s="17"/>
      <c r="AS1251" s="17"/>
      <c r="AT1251" s="17"/>
      <c r="AU1251" s="17"/>
      <c r="AV1251" s="17"/>
    </row>
    <row r="1252" spans="1:48" ht="15.75" customHeight="1">
      <c r="A1252" s="21" t="s">
        <v>47</v>
      </c>
      <c r="B1252" s="23" t="s">
        <v>558</v>
      </c>
      <c r="C1252" s="22">
        <v>45830</v>
      </c>
      <c r="D1252" s="23" t="s">
        <v>180</v>
      </c>
      <c r="E1252" s="23" t="s">
        <v>92</v>
      </c>
      <c r="F1252" s="21">
        <v>1</v>
      </c>
      <c r="G1252" s="12">
        <v>3400.2970989164628</v>
      </c>
      <c r="H1252" s="12">
        <v>3400.2970989164628</v>
      </c>
      <c r="I1252" s="23" t="s">
        <v>52</v>
      </c>
      <c r="J1252" s="23" t="s">
        <v>61</v>
      </c>
      <c r="K1252" s="24" t="s">
        <v>177</v>
      </c>
      <c r="L1252" s="24">
        <v>152</v>
      </c>
      <c r="M1252" s="12">
        <v>2857.3925200978679</v>
      </c>
      <c r="N1252" s="12">
        <v>2857.3925200978679</v>
      </c>
      <c r="O1252" s="12">
        <v>542.90457881859493</v>
      </c>
      <c r="P1252" s="13"/>
      <c r="Q1252" s="14">
        <v>2025</v>
      </c>
      <c r="R1252" s="15">
        <v>45444</v>
      </c>
      <c r="S1252" s="11" t="s">
        <v>453</v>
      </c>
      <c r="T1252" s="16">
        <v>0</v>
      </c>
      <c r="U1252" s="17"/>
      <c r="V1252" s="12">
        <v>1222.3925200978679</v>
      </c>
      <c r="W1252" s="12">
        <v>916.7943900734009</v>
      </c>
      <c r="X1252" s="12">
        <v>305.59813002446697</v>
      </c>
      <c r="Y1252" s="18">
        <v>45824</v>
      </c>
      <c r="Z1252" s="13" t="s">
        <v>497</v>
      </c>
      <c r="AA1252" s="19" t="s">
        <v>367</v>
      </c>
      <c r="AB1252" s="13" t="s">
        <v>357</v>
      </c>
      <c r="AC1252" s="13" t="s">
        <v>367</v>
      </c>
      <c r="AD1252" s="30" t="s">
        <v>40</v>
      </c>
      <c r="AE1252" s="30" t="s">
        <v>560</v>
      </c>
      <c r="AF1252" s="13" t="s">
        <v>40</v>
      </c>
      <c r="AG1252" s="15">
        <v>45444</v>
      </c>
      <c r="AH1252" s="13" t="s">
        <v>41</v>
      </c>
      <c r="AI1252" s="13" t="s">
        <v>47</v>
      </c>
      <c r="AJ1252" s="13" t="s">
        <v>487</v>
      </c>
      <c r="AK1252" s="14">
        <v>-3</v>
      </c>
      <c r="AL1252" s="17"/>
      <c r="AM1252" s="17"/>
      <c r="AN1252" s="17"/>
      <c r="AO1252" s="17"/>
      <c r="AP1252" s="17"/>
      <c r="AQ1252" s="17"/>
      <c r="AR1252" s="17"/>
      <c r="AS1252" s="17"/>
      <c r="AT1252" s="17"/>
      <c r="AU1252" s="17"/>
      <c r="AV1252" s="17"/>
    </row>
    <row r="1253" spans="1:48" ht="15.75" customHeight="1">
      <c r="A1253" s="21" t="s">
        <v>47</v>
      </c>
      <c r="B1253" s="23" t="s">
        <v>558</v>
      </c>
      <c r="C1253" s="22">
        <v>45830</v>
      </c>
      <c r="D1253" s="23" t="s">
        <v>180</v>
      </c>
      <c r="E1253" s="23" t="s">
        <v>264</v>
      </c>
      <c r="F1253" s="21">
        <v>1</v>
      </c>
      <c r="G1253" s="12">
        <v>1599.7931747673217</v>
      </c>
      <c r="H1253" s="12">
        <v>1599.7931747673217</v>
      </c>
      <c r="I1253" s="23" t="s">
        <v>52</v>
      </c>
      <c r="J1253" s="23" t="s">
        <v>61</v>
      </c>
      <c r="K1253" s="24" t="s">
        <v>177</v>
      </c>
      <c r="L1253" s="24">
        <v>152</v>
      </c>
      <c r="M1253" s="12">
        <v>1344.3640124095141</v>
      </c>
      <c r="N1253" s="12">
        <v>1344.3640124095141</v>
      </c>
      <c r="O1253" s="12">
        <v>255.42916235780763</v>
      </c>
      <c r="P1253" s="13"/>
      <c r="Q1253" s="14">
        <v>2025</v>
      </c>
      <c r="R1253" s="15">
        <v>45444</v>
      </c>
      <c r="S1253" s="11" t="s">
        <v>495</v>
      </c>
      <c r="T1253" s="16">
        <v>0</v>
      </c>
      <c r="U1253" s="17"/>
      <c r="V1253" s="12">
        <v>369.36401240951409</v>
      </c>
      <c r="W1253" s="12">
        <v>184.68200620475704</v>
      </c>
      <c r="X1253" s="12">
        <v>92.341003102378522</v>
      </c>
      <c r="Y1253" s="18">
        <v>45824</v>
      </c>
      <c r="Z1253" s="13" t="s">
        <v>497</v>
      </c>
      <c r="AA1253" s="19" t="s">
        <v>367</v>
      </c>
      <c r="AB1253" s="13" t="s">
        <v>357</v>
      </c>
      <c r="AC1253" s="13" t="s">
        <v>367</v>
      </c>
      <c r="AD1253" s="30" t="s">
        <v>40</v>
      </c>
      <c r="AE1253" s="30" t="s">
        <v>560</v>
      </c>
      <c r="AF1253" s="13" t="s">
        <v>40</v>
      </c>
      <c r="AG1253" s="15">
        <v>45444</v>
      </c>
      <c r="AH1253" s="13" t="s">
        <v>41</v>
      </c>
      <c r="AI1253" s="13" t="s">
        <v>47</v>
      </c>
      <c r="AJ1253" s="13" t="s">
        <v>563</v>
      </c>
      <c r="AK1253" s="14">
        <v>-1</v>
      </c>
      <c r="AL1253" s="17"/>
      <c r="AM1253" s="17"/>
      <c r="AN1253" s="17"/>
      <c r="AO1253" s="17"/>
      <c r="AP1253" s="17"/>
      <c r="AQ1253" s="17"/>
      <c r="AR1253" s="17"/>
      <c r="AS1253" s="17"/>
      <c r="AT1253" s="17"/>
      <c r="AU1253" s="17"/>
      <c r="AV1253" s="17"/>
    </row>
    <row r="1254" spans="1:48" ht="15.75" customHeight="1">
      <c r="A1254" s="21" t="s">
        <v>47</v>
      </c>
      <c r="B1254" s="23" t="s">
        <v>558</v>
      </c>
      <c r="C1254" s="22">
        <v>45830</v>
      </c>
      <c r="D1254" s="23" t="s">
        <v>180</v>
      </c>
      <c r="E1254" s="23" t="s">
        <v>304</v>
      </c>
      <c r="F1254" s="21">
        <v>1</v>
      </c>
      <c r="G1254" s="12">
        <v>3200.2079002079004</v>
      </c>
      <c r="H1254" s="12">
        <v>3200.2079002079004</v>
      </c>
      <c r="I1254" s="23" t="s">
        <v>52</v>
      </c>
      <c r="J1254" s="23" t="s">
        <v>61</v>
      </c>
      <c r="K1254" s="24" t="s">
        <v>177</v>
      </c>
      <c r="L1254" s="24">
        <v>152</v>
      </c>
      <c r="M1254" s="12">
        <v>2689.25033630916</v>
      </c>
      <c r="N1254" s="12">
        <v>2689.25033630916</v>
      </c>
      <c r="O1254" s="12">
        <v>510.95756389874032</v>
      </c>
      <c r="P1254" s="13"/>
      <c r="Q1254" s="14">
        <v>2025</v>
      </c>
      <c r="R1254" s="15">
        <v>45444</v>
      </c>
      <c r="S1254" s="11" t="s">
        <v>422</v>
      </c>
      <c r="T1254" s="16">
        <v>0</v>
      </c>
      <c r="U1254" s="17"/>
      <c r="V1254" s="12">
        <v>490.25033630916005</v>
      </c>
      <c r="W1254" s="12">
        <v>245.12516815458002</v>
      </c>
      <c r="X1254" s="12">
        <v>122.56258407729001</v>
      </c>
      <c r="Y1254" s="18">
        <v>45824</v>
      </c>
      <c r="Z1254" s="13" t="s">
        <v>497</v>
      </c>
      <c r="AA1254" s="19" t="s">
        <v>367</v>
      </c>
      <c r="AB1254" s="13" t="s">
        <v>357</v>
      </c>
      <c r="AC1254" s="13" t="s">
        <v>367</v>
      </c>
      <c r="AD1254" s="30" t="s">
        <v>40</v>
      </c>
      <c r="AE1254" s="30" t="s">
        <v>560</v>
      </c>
      <c r="AF1254" s="13" t="s">
        <v>40</v>
      </c>
      <c r="AG1254" s="15">
        <v>45444</v>
      </c>
      <c r="AH1254" s="13" t="s">
        <v>41</v>
      </c>
      <c r="AI1254" s="13" t="s">
        <v>47</v>
      </c>
      <c r="AJ1254" s="13" t="s">
        <v>385</v>
      </c>
      <c r="AK1254" s="14">
        <v>-1</v>
      </c>
      <c r="AL1254" s="17"/>
      <c r="AM1254" s="17"/>
      <c r="AN1254" s="17"/>
      <c r="AO1254" s="17"/>
      <c r="AP1254" s="17"/>
      <c r="AQ1254" s="17"/>
      <c r="AR1254" s="17"/>
      <c r="AS1254" s="17"/>
      <c r="AT1254" s="17"/>
      <c r="AU1254" s="17"/>
      <c r="AV1254" s="17"/>
    </row>
    <row r="1255" spans="1:48" ht="15.75" customHeight="1">
      <c r="A1255" s="21" t="s">
        <v>47</v>
      </c>
      <c r="B1255" s="23" t="s">
        <v>558</v>
      </c>
      <c r="C1255" s="22">
        <v>45830</v>
      </c>
      <c r="D1255" s="23" t="s">
        <v>180</v>
      </c>
      <c r="E1255" s="23" t="s">
        <v>322</v>
      </c>
      <c r="F1255" s="21">
        <v>1</v>
      </c>
      <c r="G1255" s="12">
        <v>4500.0000000000009</v>
      </c>
      <c r="H1255" s="12">
        <v>4500.0000000000009</v>
      </c>
      <c r="I1255" s="23" t="s">
        <v>52</v>
      </c>
      <c r="J1255" s="23" t="s">
        <v>61</v>
      </c>
      <c r="K1255" s="24" t="s">
        <v>177</v>
      </c>
      <c r="L1255" s="24">
        <v>152</v>
      </c>
      <c r="M1255" s="12">
        <v>3781.5126050420176</v>
      </c>
      <c r="N1255" s="12">
        <v>3781.5126050420176</v>
      </c>
      <c r="O1255" s="12">
        <v>718.48739495798327</v>
      </c>
      <c r="P1255" s="13"/>
      <c r="Q1255" s="14">
        <v>2025</v>
      </c>
      <c r="R1255" s="15">
        <v>45444</v>
      </c>
      <c r="S1255" s="11" t="s">
        <v>442</v>
      </c>
      <c r="T1255" s="16">
        <v>0</v>
      </c>
      <c r="U1255" s="17"/>
      <c r="V1255" s="12">
        <v>1667.2268907563034</v>
      </c>
      <c r="W1255" s="12">
        <v>833.61344537815171</v>
      </c>
      <c r="X1255" s="12">
        <v>416.80672268907585</v>
      </c>
      <c r="Y1255" s="18">
        <v>45824</v>
      </c>
      <c r="Z1255" s="13" t="s">
        <v>497</v>
      </c>
      <c r="AA1255" s="19" t="s">
        <v>367</v>
      </c>
      <c r="AB1255" s="13" t="s">
        <v>357</v>
      </c>
      <c r="AC1255" s="13" t="s">
        <v>367</v>
      </c>
      <c r="AD1255" s="30" t="s">
        <v>40</v>
      </c>
      <c r="AE1255" s="30" t="s">
        <v>560</v>
      </c>
      <c r="AF1255" s="13" t="s">
        <v>40</v>
      </c>
      <c r="AG1255" s="15">
        <v>45444</v>
      </c>
      <c r="AH1255" s="13" t="s">
        <v>41</v>
      </c>
      <c r="AI1255" s="13" t="s">
        <v>47</v>
      </c>
      <c r="AJ1255" s="13" t="s">
        <v>443</v>
      </c>
      <c r="AK1255" s="14">
        <v>-2</v>
      </c>
      <c r="AL1255" s="17"/>
      <c r="AM1255" s="17"/>
      <c r="AN1255" s="17"/>
      <c r="AO1255" s="17"/>
      <c r="AP1255" s="17"/>
      <c r="AQ1255" s="17"/>
      <c r="AR1255" s="17"/>
      <c r="AS1255" s="17"/>
      <c r="AT1255" s="17"/>
      <c r="AU1255" s="17"/>
      <c r="AV1255" s="17"/>
    </row>
    <row r="1256" spans="1:48" ht="15.75" customHeight="1">
      <c r="A1256" s="21" t="s">
        <v>47</v>
      </c>
      <c r="B1256" s="23" t="s">
        <v>1692</v>
      </c>
      <c r="C1256" s="22">
        <v>45830</v>
      </c>
      <c r="D1256" s="23" t="s">
        <v>564</v>
      </c>
      <c r="E1256" s="23" t="s">
        <v>303</v>
      </c>
      <c r="F1256" s="21">
        <v>3</v>
      </c>
      <c r="G1256" s="12">
        <v>2000.1655971848479</v>
      </c>
      <c r="H1256" s="12">
        <v>6000.496791554544</v>
      </c>
      <c r="I1256" s="23" t="s">
        <v>52</v>
      </c>
      <c r="J1256" s="23" t="s">
        <v>61</v>
      </c>
      <c r="K1256" s="24" t="s">
        <v>177</v>
      </c>
      <c r="L1256" s="24">
        <v>152</v>
      </c>
      <c r="M1256" s="12">
        <v>1680.8114262057545</v>
      </c>
      <c r="N1256" s="12">
        <v>5042.4342786172638</v>
      </c>
      <c r="O1256" s="12">
        <v>958.06251293728019</v>
      </c>
      <c r="P1256" s="13"/>
      <c r="Q1256" s="14">
        <v>2025</v>
      </c>
      <c r="R1256" s="15">
        <v>45444</v>
      </c>
      <c r="S1256" s="11" t="s">
        <v>433</v>
      </c>
      <c r="T1256" s="16">
        <v>0</v>
      </c>
      <c r="U1256" s="17"/>
      <c r="V1256" s="12">
        <v>1388.4342786172635</v>
      </c>
      <c r="W1256" s="12">
        <v>1388.4342786172635</v>
      </c>
      <c r="X1256" s="12">
        <v>0</v>
      </c>
      <c r="Y1256" s="18">
        <v>45824</v>
      </c>
      <c r="Z1256" s="13" t="s">
        <v>497</v>
      </c>
      <c r="AA1256" s="19" t="s">
        <v>373</v>
      </c>
      <c r="AB1256" s="13" t="s">
        <v>357</v>
      </c>
      <c r="AC1256" s="13" t="s">
        <v>534</v>
      </c>
      <c r="AD1256" s="20"/>
      <c r="AE1256" s="20"/>
      <c r="AF1256" s="13" t="s">
        <v>40</v>
      </c>
      <c r="AG1256" s="15">
        <v>45444</v>
      </c>
      <c r="AH1256" s="13" t="s">
        <v>41</v>
      </c>
      <c r="AI1256" s="13" t="s">
        <v>47</v>
      </c>
      <c r="AJ1256" s="13" t="s">
        <v>434</v>
      </c>
      <c r="AK1256" s="14">
        <v>-3</v>
      </c>
      <c r="AL1256" s="17"/>
      <c r="AM1256" s="17"/>
      <c r="AN1256" s="17"/>
      <c r="AO1256" s="17"/>
      <c r="AP1256" s="17"/>
      <c r="AQ1256" s="17"/>
      <c r="AR1256" s="17"/>
      <c r="AS1256" s="17"/>
      <c r="AT1256" s="17"/>
      <c r="AU1256" s="17"/>
      <c r="AV1256" s="17"/>
    </row>
    <row r="1257" spans="1:48" ht="15.75" customHeight="1">
      <c r="A1257" s="21" t="s">
        <v>47</v>
      </c>
      <c r="B1257" s="23" t="s">
        <v>1692</v>
      </c>
      <c r="C1257" s="22">
        <v>45830</v>
      </c>
      <c r="D1257" s="23" t="s">
        <v>564</v>
      </c>
      <c r="E1257" s="23" t="s">
        <v>314</v>
      </c>
      <c r="F1257" s="21">
        <v>1</v>
      </c>
      <c r="G1257" s="12">
        <v>4000.4198085027374</v>
      </c>
      <c r="H1257" s="12">
        <v>4000.4198085027374</v>
      </c>
      <c r="I1257" s="23" t="s">
        <v>52</v>
      </c>
      <c r="J1257" s="23" t="s">
        <v>61</v>
      </c>
      <c r="K1257" s="24" t="s">
        <v>177</v>
      </c>
      <c r="L1257" s="24">
        <v>152</v>
      </c>
      <c r="M1257" s="12">
        <v>3361.6973180695272</v>
      </c>
      <c r="N1257" s="12">
        <v>3361.6973180695272</v>
      </c>
      <c r="O1257" s="12">
        <v>638.72249043321017</v>
      </c>
      <c r="P1257" s="13"/>
      <c r="Q1257" s="14">
        <v>2025</v>
      </c>
      <c r="R1257" s="15">
        <v>45444</v>
      </c>
      <c r="S1257" s="11" t="s">
        <v>540</v>
      </c>
      <c r="T1257" s="16">
        <v>0</v>
      </c>
      <c r="U1257" s="17"/>
      <c r="V1257" s="12">
        <v>1279.6973180695272</v>
      </c>
      <c r="W1257" s="12">
        <v>1279.6973180695272</v>
      </c>
      <c r="X1257" s="12">
        <v>0</v>
      </c>
      <c r="Y1257" s="18">
        <v>45824</v>
      </c>
      <c r="Z1257" s="13" t="s">
        <v>497</v>
      </c>
      <c r="AA1257" s="19" t="s">
        <v>373</v>
      </c>
      <c r="AB1257" s="13" t="s">
        <v>357</v>
      </c>
      <c r="AC1257" s="13" t="s">
        <v>534</v>
      </c>
      <c r="AD1257" s="20"/>
      <c r="AE1257" s="20"/>
      <c r="AF1257" s="13" t="s">
        <v>40</v>
      </c>
      <c r="AG1257" s="15">
        <v>45444</v>
      </c>
      <c r="AH1257" s="13" t="s">
        <v>41</v>
      </c>
      <c r="AI1257" s="13" t="s">
        <v>47</v>
      </c>
      <c r="AJ1257" s="13" t="s">
        <v>541</v>
      </c>
      <c r="AK1257" s="14">
        <v>-2</v>
      </c>
      <c r="AL1257" s="17"/>
      <c r="AM1257" s="17"/>
      <c r="AN1257" s="17"/>
      <c r="AO1257" s="17"/>
      <c r="AP1257" s="17"/>
      <c r="AQ1257" s="17"/>
      <c r="AR1257" s="17"/>
      <c r="AS1257" s="17"/>
      <c r="AT1257" s="17"/>
      <c r="AU1257" s="17"/>
      <c r="AV1257" s="17"/>
    </row>
    <row r="1258" spans="1:48" ht="15.75" customHeight="1">
      <c r="A1258" s="21" t="s">
        <v>76</v>
      </c>
      <c r="B1258" s="23" t="s">
        <v>1692</v>
      </c>
      <c r="C1258" s="22">
        <v>45830</v>
      </c>
      <c r="D1258" s="23" t="s">
        <v>564</v>
      </c>
      <c r="E1258" s="23" t="s">
        <v>166</v>
      </c>
      <c r="F1258" s="21">
        <v>5</v>
      </c>
      <c r="G1258" s="12">
        <v>3500.0000000000005</v>
      </c>
      <c r="H1258" s="12">
        <v>17500.000000000004</v>
      </c>
      <c r="I1258" s="23" t="s">
        <v>52</v>
      </c>
      <c r="J1258" s="23" t="s">
        <v>61</v>
      </c>
      <c r="K1258" s="24" t="s">
        <v>177</v>
      </c>
      <c r="L1258" s="24">
        <v>152</v>
      </c>
      <c r="M1258" s="12">
        <v>2941.1764705882356</v>
      </c>
      <c r="N1258" s="12">
        <v>14705.88235294118</v>
      </c>
      <c r="O1258" s="12">
        <v>2794.1176470588234</v>
      </c>
      <c r="P1258" s="13"/>
      <c r="Q1258" s="14">
        <v>2025</v>
      </c>
      <c r="R1258" s="15">
        <v>45444</v>
      </c>
      <c r="S1258" s="11" t="s">
        <v>448</v>
      </c>
      <c r="T1258" s="16">
        <v>25</v>
      </c>
      <c r="U1258" s="17"/>
      <c r="V1258" s="12">
        <v>5084.0336134453792</v>
      </c>
      <c r="W1258" s="12">
        <v>5084.0336134453792</v>
      </c>
      <c r="X1258" s="12">
        <v>0</v>
      </c>
      <c r="Y1258" s="18">
        <v>45824</v>
      </c>
      <c r="Z1258" s="13" t="s">
        <v>497</v>
      </c>
      <c r="AA1258" s="19" t="s">
        <v>373</v>
      </c>
      <c r="AB1258" s="13" t="s">
        <v>357</v>
      </c>
      <c r="AC1258" s="13" t="s">
        <v>534</v>
      </c>
      <c r="AD1258" s="20"/>
      <c r="AE1258" s="20"/>
      <c r="AF1258" s="13" t="s">
        <v>40</v>
      </c>
      <c r="AG1258" s="15">
        <v>45444</v>
      </c>
      <c r="AH1258" s="13" t="s">
        <v>41</v>
      </c>
      <c r="AI1258" s="13" t="s">
        <v>76</v>
      </c>
      <c r="AJ1258" s="13" t="s">
        <v>449</v>
      </c>
      <c r="AK1258" s="14">
        <v>-5</v>
      </c>
      <c r="AL1258" s="17"/>
      <c r="AM1258" s="17"/>
      <c r="AN1258" s="17"/>
      <c r="AO1258" s="17"/>
      <c r="AP1258" s="17"/>
      <c r="AQ1258" s="17"/>
      <c r="AR1258" s="17"/>
      <c r="AS1258" s="17"/>
      <c r="AT1258" s="17"/>
      <c r="AU1258" s="17"/>
      <c r="AV1258" s="17"/>
    </row>
    <row r="1259" spans="1:48" ht="15.75" customHeight="1">
      <c r="A1259" s="21" t="s">
        <v>76</v>
      </c>
      <c r="B1259" s="23" t="s">
        <v>1692</v>
      </c>
      <c r="C1259" s="22">
        <v>45830</v>
      </c>
      <c r="D1259" s="23" t="s">
        <v>564</v>
      </c>
      <c r="E1259" s="23" t="s">
        <v>212</v>
      </c>
      <c r="F1259" s="21">
        <v>5</v>
      </c>
      <c r="G1259" s="12">
        <v>3000.0000000000005</v>
      </c>
      <c r="H1259" s="12">
        <v>15000.000000000002</v>
      </c>
      <c r="I1259" s="23" t="s">
        <v>52</v>
      </c>
      <c r="J1259" s="23" t="s">
        <v>61</v>
      </c>
      <c r="K1259" s="24" t="s">
        <v>177</v>
      </c>
      <c r="L1259" s="24">
        <v>152</v>
      </c>
      <c r="M1259" s="12">
        <v>2521.0084033613452</v>
      </c>
      <c r="N1259" s="12">
        <v>12605.042016806725</v>
      </c>
      <c r="O1259" s="12">
        <v>2394.957983193277</v>
      </c>
      <c r="P1259" s="13"/>
      <c r="Q1259" s="14">
        <v>2025</v>
      </c>
      <c r="R1259" s="15">
        <v>45444</v>
      </c>
      <c r="S1259" s="11" t="s">
        <v>446</v>
      </c>
      <c r="T1259" s="16">
        <v>25</v>
      </c>
      <c r="U1259" s="17"/>
      <c r="V1259" s="12">
        <v>3823.5294117647072</v>
      </c>
      <c r="W1259" s="12">
        <v>3823.5294117647072</v>
      </c>
      <c r="X1259" s="12">
        <v>0</v>
      </c>
      <c r="Y1259" s="18">
        <v>45824</v>
      </c>
      <c r="Z1259" s="13" t="s">
        <v>497</v>
      </c>
      <c r="AA1259" s="19" t="s">
        <v>373</v>
      </c>
      <c r="AB1259" s="13" t="s">
        <v>357</v>
      </c>
      <c r="AC1259" s="13" t="s">
        <v>534</v>
      </c>
      <c r="AD1259" s="20"/>
      <c r="AE1259" s="20"/>
      <c r="AF1259" s="13" t="s">
        <v>40</v>
      </c>
      <c r="AG1259" s="15">
        <v>45444</v>
      </c>
      <c r="AH1259" s="13" t="s">
        <v>41</v>
      </c>
      <c r="AI1259" s="13" t="s">
        <v>76</v>
      </c>
      <c r="AJ1259" s="13" t="s">
        <v>447</v>
      </c>
      <c r="AK1259" s="14">
        <v>-5</v>
      </c>
      <c r="AL1259" s="17"/>
      <c r="AM1259" s="17"/>
      <c r="AN1259" s="17"/>
      <c r="AO1259" s="17"/>
      <c r="AP1259" s="17"/>
      <c r="AQ1259" s="17"/>
      <c r="AR1259" s="17"/>
      <c r="AS1259" s="17"/>
      <c r="AT1259" s="17"/>
      <c r="AU1259" s="17"/>
      <c r="AV1259" s="17"/>
    </row>
    <row r="1260" spans="1:48" ht="15.75" customHeight="1">
      <c r="A1260" s="21" t="s">
        <v>53</v>
      </c>
      <c r="B1260" s="23" t="s">
        <v>1692</v>
      </c>
      <c r="C1260" s="22">
        <v>45830</v>
      </c>
      <c r="D1260" s="23" t="s">
        <v>564</v>
      </c>
      <c r="E1260" s="23" t="s">
        <v>114</v>
      </c>
      <c r="F1260" s="21">
        <v>2</v>
      </c>
      <c r="G1260" s="12">
        <v>10500</v>
      </c>
      <c r="H1260" s="12">
        <v>21000</v>
      </c>
      <c r="I1260" s="23" t="s">
        <v>52</v>
      </c>
      <c r="J1260" s="23" t="s">
        <v>61</v>
      </c>
      <c r="K1260" s="24" t="s">
        <v>177</v>
      </c>
      <c r="L1260" s="24">
        <v>152</v>
      </c>
      <c r="M1260" s="12">
        <v>8823.5294117647063</v>
      </c>
      <c r="N1260" s="12">
        <v>17647.058823529413</v>
      </c>
      <c r="O1260" s="12">
        <v>3352.9411764705874</v>
      </c>
      <c r="P1260" s="13"/>
      <c r="Q1260" s="14">
        <v>2025</v>
      </c>
      <c r="R1260" s="15">
        <v>45444</v>
      </c>
      <c r="S1260" s="11" t="s">
        <v>369</v>
      </c>
      <c r="T1260" s="16">
        <v>0</v>
      </c>
      <c r="U1260" s="17"/>
      <c r="V1260" s="12">
        <v>4806.7226890756301</v>
      </c>
      <c r="W1260" s="12">
        <v>4806.7226890756301</v>
      </c>
      <c r="X1260" s="12">
        <v>0</v>
      </c>
      <c r="Y1260" s="18">
        <v>45824</v>
      </c>
      <c r="Z1260" s="13" t="s">
        <v>497</v>
      </c>
      <c r="AA1260" s="19" t="s">
        <v>373</v>
      </c>
      <c r="AB1260" s="13" t="s">
        <v>357</v>
      </c>
      <c r="AC1260" s="13" t="s">
        <v>534</v>
      </c>
      <c r="AD1260" s="20"/>
      <c r="AE1260" s="20"/>
      <c r="AF1260" s="13" t="s">
        <v>40</v>
      </c>
      <c r="AG1260" s="15">
        <v>45444</v>
      </c>
      <c r="AH1260" s="13" t="s">
        <v>41</v>
      </c>
      <c r="AI1260" s="13" t="s">
        <v>53</v>
      </c>
      <c r="AJ1260" s="13" t="s">
        <v>370</v>
      </c>
      <c r="AK1260" s="14">
        <v>-16</v>
      </c>
      <c r="AL1260" s="17"/>
      <c r="AM1260" s="17"/>
      <c r="AN1260" s="17"/>
      <c r="AO1260" s="17"/>
      <c r="AP1260" s="17"/>
      <c r="AQ1260" s="17"/>
      <c r="AR1260" s="17"/>
      <c r="AS1260" s="17"/>
      <c r="AT1260" s="17"/>
      <c r="AU1260" s="17"/>
      <c r="AV1260" s="17"/>
    </row>
    <row r="1261" spans="1:48" ht="15.75" customHeight="1">
      <c r="A1261" s="21" t="s">
        <v>53</v>
      </c>
      <c r="B1261" s="23" t="s">
        <v>1692</v>
      </c>
      <c r="C1261" s="22">
        <v>45830</v>
      </c>
      <c r="D1261" s="23" t="s">
        <v>564</v>
      </c>
      <c r="E1261" s="23" t="s">
        <v>55</v>
      </c>
      <c r="F1261" s="21">
        <v>1</v>
      </c>
      <c r="G1261" s="12">
        <v>20899.657134519988</v>
      </c>
      <c r="H1261" s="12">
        <v>20899.657134519988</v>
      </c>
      <c r="I1261" s="23" t="s">
        <v>52</v>
      </c>
      <c r="J1261" s="23" t="s">
        <v>61</v>
      </c>
      <c r="K1261" s="24" t="s">
        <v>177</v>
      </c>
      <c r="L1261" s="24">
        <v>152</v>
      </c>
      <c r="M1261" s="12">
        <v>17562.737087831923</v>
      </c>
      <c r="N1261" s="12">
        <v>17562.737087831923</v>
      </c>
      <c r="O1261" s="12">
        <v>3336.9200466880648</v>
      </c>
      <c r="P1261" s="13"/>
      <c r="Q1261" s="14">
        <v>2025</v>
      </c>
      <c r="R1261" s="15">
        <v>45444</v>
      </c>
      <c r="S1261" s="11" t="s">
        <v>366</v>
      </c>
      <c r="T1261" s="16">
        <v>0</v>
      </c>
      <c r="U1261" s="17"/>
      <c r="V1261" s="12">
        <v>3117.7370878319234</v>
      </c>
      <c r="W1261" s="12">
        <v>3117.7370878319234</v>
      </c>
      <c r="X1261" s="12">
        <v>0</v>
      </c>
      <c r="Y1261" s="18">
        <v>45824</v>
      </c>
      <c r="Z1261" s="13" t="s">
        <v>497</v>
      </c>
      <c r="AA1261" s="19" t="s">
        <v>373</v>
      </c>
      <c r="AB1261" s="13" t="s">
        <v>357</v>
      </c>
      <c r="AC1261" s="13" t="s">
        <v>534</v>
      </c>
      <c r="AD1261" s="20"/>
      <c r="AE1261" s="20"/>
      <c r="AF1261" s="13" t="s">
        <v>40</v>
      </c>
      <c r="AG1261" s="15">
        <v>45444</v>
      </c>
      <c r="AH1261" s="13" t="s">
        <v>41</v>
      </c>
      <c r="AI1261" s="13" t="s">
        <v>53</v>
      </c>
      <c r="AJ1261" s="13" t="s">
        <v>368</v>
      </c>
      <c r="AK1261" s="14">
        <v>-8</v>
      </c>
      <c r="AL1261" s="17"/>
      <c r="AM1261" s="17"/>
      <c r="AN1261" s="17"/>
      <c r="AO1261" s="17"/>
      <c r="AP1261" s="17"/>
      <c r="AQ1261" s="17"/>
      <c r="AR1261" s="17"/>
      <c r="AS1261" s="17"/>
      <c r="AT1261" s="17"/>
      <c r="AU1261" s="17"/>
      <c r="AV1261" s="17"/>
    </row>
    <row r="1262" spans="1:48" ht="15.75" customHeight="1">
      <c r="A1262" s="21" t="s">
        <v>47</v>
      </c>
      <c r="B1262" s="23" t="s">
        <v>1692</v>
      </c>
      <c r="C1262" s="22">
        <v>45830</v>
      </c>
      <c r="D1262" s="23" t="s">
        <v>564</v>
      </c>
      <c r="E1262" s="23" t="s">
        <v>565</v>
      </c>
      <c r="F1262" s="21">
        <v>1</v>
      </c>
      <c r="G1262" s="12">
        <v>6899.8659641338518</v>
      </c>
      <c r="H1262" s="12">
        <v>6899.8659641338518</v>
      </c>
      <c r="I1262" s="23" t="s">
        <v>52</v>
      </c>
      <c r="J1262" s="23" t="s">
        <v>61</v>
      </c>
      <c r="K1262" s="24" t="s">
        <v>177</v>
      </c>
      <c r="L1262" s="24">
        <v>152</v>
      </c>
      <c r="M1262" s="12">
        <v>5798.2066925494555</v>
      </c>
      <c r="N1262" s="12">
        <v>5798.2066925494555</v>
      </c>
      <c r="O1262" s="12">
        <v>1101.6592715843963</v>
      </c>
      <c r="P1262" s="13"/>
      <c r="Q1262" s="14">
        <v>2025</v>
      </c>
      <c r="R1262" s="15">
        <v>45444</v>
      </c>
      <c r="S1262" s="11" t="s">
        <v>372</v>
      </c>
      <c r="T1262" s="16">
        <v>0</v>
      </c>
      <c r="U1262" s="17"/>
      <c r="V1262" s="12">
        <v>2661.9566925494555</v>
      </c>
      <c r="W1262" s="12">
        <v>2661.9566925494555</v>
      </c>
      <c r="X1262" s="12">
        <v>0</v>
      </c>
      <c r="Y1262" s="18">
        <v>45824</v>
      </c>
      <c r="Z1262" s="13" t="s">
        <v>497</v>
      </c>
      <c r="AA1262" s="19" t="s">
        <v>373</v>
      </c>
      <c r="AB1262" s="13" t="s">
        <v>357</v>
      </c>
      <c r="AC1262" s="13" t="s">
        <v>534</v>
      </c>
      <c r="AD1262" s="20"/>
      <c r="AE1262" s="20"/>
      <c r="AF1262" s="13" t="s">
        <v>40</v>
      </c>
      <c r="AG1262" s="15">
        <v>45444</v>
      </c>
      <c r="AH1262" s="13" t="s">
        <v>41</v>
      </c>
      <c r="AI1262" s="13" t="s">
        <v>47</v>
      </c>
      <c r="AJ1262" s="13" t="s">
        <v>566</v>
      </c>
      <c r="AK1262" s="14">
        <v>-3</v>
      </c>
      <c r="AL1262" s="17"/>
      <c r="AM1262" s="17"/>
      <c r="AN1262" s="17"/>
      <c r="AO1262" s="17"/>
      <c r="AP1262" s="17"/>
      <c r="AQ1262" s="17"/>
      <c r="AR1262" s="17"/>
      <c r="AS1262" s="17"/>
      <c r="AT1262" s="17"/>
      <c r="AU1262" s="17"/>
      <c r="AV1262" s="17"/>
    </row>
    <row r="1263" spans="1:48" ht="15.75" customHeight="1">
      <c r="A1263" s="21" t="s">
        <v>47</v>
      </c>
      <c r="B1263" s="23" t="s">
        <v>1692</v>
      </c>
      <c r="C1263" s="22">
        <v>45830</v>
      </c>
      <c r="D1263" s="23" t="s">
        <v>564</v>
      </c>
      <c r="E1263" s="23" t="s">
        <v>160</v>
      </c>
      <c r="F1263" s="14">
        <v>1</v>
      </c>
      <c r="G1263" s="26">
        <v>-2200</v>
      </c>
      <c r="H1263" s="12">
        <v>-2200</v>
      </c>
      <c r="I1263" s="23" t="s">
        <v>52</v>
      </c>
      <c r="J1263" s="23" t="s">
        <v>61</v>
      </c>
      <c r="K1263" s="24" t="s">
        <v>177</v>
      </c>
      <c r="L1263" s="24">
        <v>152</v>
      </c>
      <c r="M1263" s="12">
        <v>-1848.7394957983195</v>
      </c>
      <c r="N1263" s="12">
        <v>-1848.7394957983195</v>
      </c>
      <c r="O1263" s="12">
        <v>-351.26050420168053</v>
      </c>
      <c r="P1263" s="13"/>
      <c r="Q1263" s="14">
        <v>2025</v>
      </c>
      <c r="R1263" s="15">
        <v>45444</v>
      </c>
      <c r="S1263" s="11" t="s">
        <v>160</v>
      </c>
      <c r="T1263" s="16">
        <v>1000</v>
      </c>
      <c r="U1263" s="17"/>
      <c r="V1263" s="26">
        <v>-2200</v>
      </c>
      <c r="W1263" s="12">
        <v>-2200</v>
      </c>
      <c r="X1263" s="12">
        <v>0</v>
      </c>
      <c r="Y1263" s="18">
        <v>45824</v>
      </c>
      <c r="Z1263" s="13" t="s">
        <v>497</v>
      </c>
      <c r="AA1263" s="19" t="s">
        <v>373</v>
      </c>
      <c r="AB1263" s="13" t="s">
        <v>357</v>
      </c>
      <c r="AC1263" s="13" t="s">
        <v>534</v>
      </c>
      <c r="AD1263" s="20"/>
      <c r="AE1263" s="20"/>
      <c r="AF1263" s="13" t="s">
        <v>40</v>
      </c>
      <c r="AG1263" s="15">
        <v>45444</v>
      </c>
      <c r="AH1263" s="13" t="s">
        <v>41</v>
      </c>
      <c r="AI1263" s="13" t="s">
        <v>47</v>
      </c>
      <c r="AJ1263" s="13" t="s">
        <v>160</v>
      </c>
      <c r="AK1263" s="14">
        <v>-1</v>
      </c>
      <c r="AL1263" s="17"/>
      <c r="AM1263" s="17"/>
      <c r="AN1263" s="17"/>
      <c r="AO1263" s="17"/>
      <c r="AP1263" s="17"/>
      <c r="AQ1263" s="17"/>
      <c r="AR1263" s="17"/>
      <c r="AS1263" s="17"/>
      <c r="AT1263" s="17"/>
      <c r="AU1263" s="17"/>
      <c r="AV1263" s="17"/>
    </row>
    <row r="1264" spans="1:48" ht="15.75" customHeight="1">
      <c r="A1264" s="21" t="s">
        <v>35</v>
      </c>
      <c r="B1264" s="13" t="s">
        <v>558</v>
      </c>
      <c r="C1264" s="25">
        <v>45829</v>
      </c>
      <c r="D1264" s="23" t="s">
        <v>567</v>
      </c>
      <c r="E1264" s="23" t="s">
        <v>46</v>
      </c>
      <c r="F1264" s="14">
        <v>1</v>
      </c>
      <c r="G1264" s="12">
        <v>6000.1548227279782</v>
      </c>
      <c r="H1264" s="12">
        <v>6000.1548227279782</v>
      </c>
      <c r="I1264" s="23" t="s">
        <v>52</v>
      </c>
      <c r="J1264" s="23" t="s">
        <v>61</v>
      </c>
      <c r="K1264" s="24" t="s">
        <v>177</v>
      </c>
      <c r="L1264" s="24">
        <v>151</v>
      </c>
      <c r="M1264" s="12">
        <v>5042.1469098554444</v>
      </c>
      <c r="N1264" s="12">
        <v>5042.1469098554444</v>
      </c>
      <c r="O1264" s="12">
        <v>958.00791287253378</v>
      </c>
      <c r="P1264" s="13"/>
      <c r="Q1264" s="14">
        <v>2025</v>
      </c>
      <c r="R1264" s="15">
        <v>45444</v>
      </c>
      <c r="S1264" s="11" t="s">
        <v>364</v>
      </c>
      <c r="T1264" s="16">
        <v>500</v>
      </c>
      <c r="U1264" s="17"/>
      <c r="V1264" s="12">
        <v>1785.4242207798129</v>
      </c>
      <c r="W1264" s="12">
        <v>892.71211038990646</v>
      </c>
      <c r="X1264" s="12">
        <v>892.71211038990646</v>
      </c>
      <c r="Y1264" s="18">
        <v>45824</v>
      </c>
      <c r="Z1264" s="13" t="s">
        <v>501</v>
      </c>
      <c r="AA1264" s="19" t="s">
        <v>373</v>
      </c>
      <c r="AB1264" s="13" t="s">
        <v>357</v>
      </c>
      <c r="AC1264" s="13" t="s">
        <v>568</v>
      </c>
      <c r="AD1264" s="30" t="s">
        <v>40</v>
      </c>
      <c r="AE1264" s="30" t="s">
        <v>560</v>
      </c>
      <c r="AF1264" s="13" t="s">
        <v>40</v>
      </c>
      <c r="AG1264" s="15">
        <v>45444</v>
      </c>
      <c r="AH1264" s="13" t="s">
        <v>41</v>
      </c>
      <c r="AI1264" s="13" t="s">
        <v>35</v>
      </c>
      <c r="AJ1264" s="13" t="s">
        <v>365</v>
      </c>
      <c r="AK1264" s="14">
        <v>-0.5</v>
      </c>
      <c r="AL1264" s="17"/>
      <c r="AM1264" s="17"/>
      <c r="AN1264" s="17"/>
      <c r="AO1264" s="17"/>
      <c r="AP1264" s="17"/>
      <c r="AQ1264" s="17"/>
      <c r="AR1264" s="17"/>
      <c r="AS1264" s="17"/>
      <c r="AT1264" s="17"/>
      <c r="AU1264" s="17"/>
      <c r="AV1264" s="17"/>
    </row>
    <row r="1265" spans="1:48" ht="15.75" customHeight="1">
      <c r="A1265" s="21" t="s">
        <v>43</v>
      </c>
      <c r="B1265" s="23" t="s">
        <v>558</v>
      </c>
      <c r="C1265" s="25">
        <v>45829</v>
      </c>
      <c r="D1265" s="23" t="s">
        <v>567</v>
      </c>
      <c r="E1265" s="23" t="s">
        <v>45</v>
      </c>
      <c r="F1265" s="21">
        <v>1</v>
      </c>
      <c r="G1265" s="12">
        <v>8199.8965351595689</v>
      </c>
      <c r="H1265" s="12">
        <v>8199.8965351595689</v>
      </c>
      <c r="I1265" s="23" t="s">
        <v>52</v>
      </c>
      <c r="J1265" s="23" t="s">
        <v>61</v>
      </c>
      <c r="K1265" s="24" t="s">
        <v>177</v>
      </c>
      <c r="L1265" s="24">
        <v>151</v>
      </c>
      <c r="M1265" s="12">
        <v>6890.6693572769491</v>
      </c>
      <c r="N1265" s="12">
        <v>6890.6693572769491</v>
      </c>
      <c r="O1265" s="12">
        <v>1309.2271778826198</v>
      </c>
      <c r="P1265" s="13"/>
      <c r="Q1265" s="14">
        <v>2025</v>
      </c>
      <c r="R1265" s="15">
        <v>45444</v>
      </c>
      <c r="S1265" s="11" t="s">
        <v>355</v>
      </c>
      <c r="T1265" s="16">
        <v>0</v>
      </c>
      <c r="U1265" s="17"/>
      <c r="V1265" s="12">
        <v>1296.3416261845123</v>
      </c>
      <c r="W1265" s="12">
        <v>648.17081309225614</v>
      </c>
      <c r="X1265" s="12">
        <v>648.17081309225614</v>
      </c>
      <c r="Y1265" s="18">
        <v>45824</v>
      </c>
      <c r="Z1265" s="13" t="s">
        <v>497</v>
      </c>
      <c r="AA1265" s="19" t="s">
        <v>373</v>
      </c>
      <c r="AB1265" s="13" t="s">
        <v>357</v>
      </c>
      <c r="AC1265" s="13" t="s">
        <v>568</v>
      </c>
      <c r="AD1265" s="30" t="s">
        <v>40</v>
      </c>
      <c r="AE1265" s="30" t="s">
        <v>560</v>
      </c>
      <c r="AF1265" s="13" t="s">
        <v>40</v>
      </c>
      <c r="AG1265" s="15">
        <v>45444</v>
      </c>
      <c r="AH1265" s="13" t="s">
        <v>41</v>
      </c>
      <c r="AI1265" s="13" t="s">
        <v>43</v>
      </c>
      <c r="AJ1265" s="13" t="s">
        <v>359</v>
      </c>
      <c r="AK1265" s="14">
        <v>-1</v>
      </c>
      <c r="AL1265" s="17"/>
      <c r="AM1265" s="17"/>
      <c r="AN1265" s="17"/>
      <c r="AO1265" s="17"/>
      <c r="AP1265" s="17"/>
      <c r="AQ1265" s="17"/>
      <c r="AR1265" s="17"/>
      <c r="AS1265" s="17"/>
      <c r="AT1265" s="17"/>
      <c r="AU1265" s="17"/>
      <c r="AV1265" s="17"/>
    </row>
    <row r="1266" spans="1:48" ht="15.75" customHeight="1">
      <c r="A1266" s="21" t="s">
        <v>35</v>
      </c>
      <c r="B1266" s="13" t="s">
        <v>558</v>
      </c>
      <c r="C1266" s="25">
        <v>45829</v>
      </c>
      <c r="D1266" s="23" t="s">
        <v>179</v>
      </c>
      <c r="E1266" s="23" t="s">
        <v>37</v>
      </c>
      <c r="F1266" s="14">
        <v>1</v>
      </c>
      <c r="G1266" s="12">
        <v>11000.014358944907</v>
      </c>
      <c r="H1266" s="12">
        <v>11000.014358944907</v>
      </c>
      <c r="I1266" s="23" t="s">
        <v>52</v>
      </c>
      <c r="J1266" s="23" t="s">
        <v>61</v>
      </c>
      <c r="K1266" s="24" t="s">
        <v>177</v>
      </c>
      <c r="L1266" s="24">
        <v>151</v>
      </c>
      <c r="M1266" s="12">
        <v>9243.7095453318543</v>
      </c>
      <c r="N1266" s="12">
        <v>9243.7095453318543</v>
      </c>
      <c r="O1266" s="12">
        <v>1756.3048136130528</v>
      </c>
      <c r="P1266" s="13"/>
      <c r="Q1266" s="14">
        <v>2025</v>
      </c>
      <c r="R1266" s="15">
        <v>45444</v>
      </c>
      <c r="S1266" s="11" t="s">
        <v>364</v>
      </c>
      <c r="T1266" s="16">
        <v>1000</v>
      </c>
      <c r="U1266" s="17"/>
      <c r="V1266" s="12">
        <v>2806.1129066763915</v>
      </c>
      <c r="W1266" s="12">
        <v>1403.0564533381958</v>
      </c>
      <c r="X1266" s="12">
        <v>1403.0564533381958</v>
      </c>
      <c r="Y1266" s="18">
        <v>45824</v>
      </c>
      <c r="Z1266" s="13" t="s">
        <v>501</v>
      </c>
      <c r="AA1266" s="19" t="s">
        <v>361</v>
      </c>
      <c r="AB1266" s="13" t="s">
        <v>357</v>
      </c>
      <c r="AC1266" s="13" t="s">
        <v>569</v>
      </c>
      <c r="AD1266" s="30" t="s">
        <v>40</v>
      </c>
      <c r="AE1266" s="30" t="s">
        <v>560</v>
      </c>
      <c r="AF1266" s="13" t="s">
        <v>40</v>
      </c>
      <c r="AG1266" s="15">
        <v>45444</v>
      </c>
      <c r="AH1266" s="13" t="s">
        <v>41</v>
      </c>
      <c r="AI1266" s="13" t="s">
        <v>35</v>
      </c>
      <c r="AJ1266" s="13" t="s">
        <v>365</v>
      </c>
      <c r="AK1266" s="14">
        <v>-1</v>
      </c>
      <c r="AL1266" s="17"/>
      <c r="AM1266" s="17"/>
      <c r="AN1266" s="17"/>
      <c r="AO1266" s="17"/>
      <c r="AP1266" s="17"/>
      <c r="AQ1266" s="17"/>
      <c r="AR1266" s="17"/>
      <c r="AS1266" s="17"/>
      <c r="AT1266" s="17"/>
      <c r="AU1266" s="17"/>
      <c r="AV1266" s="17"/>
    </row>
    <row r="1267" spans="1:48" ht="15.75" customHeight="1">
      <c r="A1267" s="21" t="s">
        <v>53</v>
      </c>
      <c r="B1267" s="23" t="s">
        <v>558</v>
      </c>
      <c r="C1267" s="22">
        <v>45829</v>
      </c>
      <c r="D1267" s="23" t="s">
        <v>229</v>
      </c>
      <c r="E1267" s="23" t="s">
        <v>97</v>
      </c>
      <c r="F1267" s="21">
        <v>1</v>
      </c>
      <c r="G1267" s="12">
        <v>16500.236769693482</v>
      </c>
      <c r="H1267" s="12">
        <v>16500.236769693482</v>
      </c>
      <c r="I1267" s="23" t="s">
        <v>52</v>
      </c>
      <c r="J1267" s="23" t="s">
        <v>61</v>
      </c>
      <c r="K1267" s="24" t="s">
        <v>177</v>
      </c>
      <c r="L1267" s="24">
        <v>151</v>
      </c>
      <c r="M1267" s="12">
        <v>13865.745184616371</v>
      </c>
      <c r="N1267" s="12">
        <v>13865.745184616371</v>
      </c>
      <c r="O1267" s="12">
        <v>2634.4915850771104</v>
      </c>
      <c r="P1267" s="13"/>
      <c r="Q1267" s="14">
        <v>2025</v>
      </c>
      <c r="R1267" s="15">
        <v>45444</v>
      </c>
      <c r="S1267" s="11" t="s">
        <v>366</v>
      </c>
      <c r="T1267" s="16">
        <v>0</v>
      </c>
      <c r="U1267" s="17"/>
      <c r="V1267" s="12">
        <v>3031.7451846163694</v>
      </c>
      <c r="W1267" s="12">
        <v>1515.8725923081847</v>
      </c>
      <c r="X1267" s="12">
        <v>1515.8725923081847</v>
      </c>
      <c r="Y1267" s="18">
        <v>45824</v>
      </c>
      <c r="Z1267" s="13" t="s">
        <v>501</v>
      </c>
      <c r="AA1267" s="19" t="s">
        <v>361</v>
      </c>
      <c r="AB1267" s="13" t="s">
        <v>357</v>
      </c>
      <c r="AC1267" s="13" t="s">
        <v>380</v>
      </c>
      <c r="AD1267" s="30" t="s">
        <v>40</v>
      </c>
      <c r="AE1267" s="30" t="s">
        <v>560</v>
      </c>
      <c r="AF1267" s="13" t="s">
        <v>40</v>
      </c>
      <c r="AG1267" s="15">
        <v>45444</v>
      </c>
      <c r="AH1267" s="13" t="s">
        <v>41</v>
      </c>
      <c r="AI1267" s="13" t="s">
        <v>53</v>
      </c>
      <c r="AJ1267" s="13" t="s">
        <v>368</v>
      </c>
      <c r="AK1267" s="14">
        <v>-6</v>
      </c>
      <c r="AL1267" s="17"/>
      <c r="AM1267" s="17"/>
      <c r="AN1267" s="17"/>
      <c r="AO1267" s="17"/>
      <c r="AP1267" s="17"/>
      <c r="AQ1267" s="17"/>
      <c r="AR1267" s="17"/>
      <c r="AS1267" s="17"/>
      <c r="AT1267" s="17"/>
      <c r="AU1267" s="17"/>
      <c r="AV1267" s="17"/>
    </row>
    <row r="1268" spans="1:48" ht="15.75" customHeight="1">
      <c r="A1268" s="21" t="s">
        <v>76</v>
      </c>
      <c r="B1268" s="23" t="s">
        <v>558</v>
      </c>
      <c r="C1268" s="22">
        <v>45829</v>
      </c>
      <c r="D1268" s="23" t="s">
        <v>229</v>
      </c>
      <c r="E1268" s="23" t="s">
        <v>166</v>
      </c>
      <c r="F1268" s="21">
        <v>1</v>
      </c>
      <c r="G1268" s="12">
        <v>3500.0000000000005</v>
      </c>
      <c r="H1268" s="12">
        <v>3500.0000000000005</v>
      </c>
      <c r="I1268" s="23" t="s">
        <v>52</v>
      </c>
      <c r="J1268" s="23" t="s">
        <v>61</v>
      </c>
      <c r="K1268" s="24" t="s">
        <v>177</v>
      </c>
      <c r="L1268" s="24">
        <v>151</v>
      </c>
      <c r="M1268" s="12">
        <v>2941.1764705882356</v>
      </c>
      <c r="N1268" s="12">
        <v>2941.1764705882356</v>
      </c>
      <c r="O1268" s="12">
        <v>558.82352941176487</v>
      </c>
      <c r="P1268" s="13"/>
      <c r="Q1268" s="14">
        <v>2025</v>
      </c>
      <c r="R1268" s="15">
        <v>45444</v>
      </c>
      <c r="S1268" s="11" t="s">
        <v>448</v>
      </c>
      <c r="T1268" s="16">
        <v>5</v>
      </c>
      <c r="U1268" s="17"/>
      <c r="V1268" s="12">
        <v>1016.8067226890757</v>
      </c>
      <c r="W1268" s="12">
        <v>508.40336134453787</v>
      </c>
      <c r="X1268" s="12">
        <v>508.40336134453787</v>
      </c>
      <c r="Y1268" s="18">
        <v>45824</v>
      </c>
      <c r="Z1268" s="13" t="s">
        <v>501</v>
      </c>
      <c r="AA1268" s="19" t="s">
        <v>361</v>
      </c>
      <c r="AB1268" s="13" t="s">
        <v>357</v>
      </c>
      <c r="AC1268" s="13" t="s">
        <v>380</v>
      </c>
      <c r="AD1268" s="30" t="s">
        <v>40</v>
      </c>
      <c r="AE1268" s="30" t="s">
        <v>560</v>
      </c>
      <c r="AF1268" s="13" t="s">
        <v>40</v>
      </c>
      <c r="AG1268" s="15">
        <v>45444</v>
      </c>
      <c r="AH1268" s="13" t="s">
        <v>41</v>
      </c>
      <c r="AI1268" s="13" t="s">
        <v>76</v>
      </c>
      <c r="AJ1268" s="13" t="s">
        <v>449</v>
      </c>
      <c r="AK1268" s="14">
        <v>-1</v>
      </c>
      <c r="AL1268" s="17"/>
      <c r="AM1268" s="17"/>
      <c r="AN1268" s="17"/>
      <c r="AO1268" s="17"/>
      <c r="AP1268" s="17"/>
      <c r="AQ1268" s="17"/>
      <c r="AR1268" s="17"/>
      <c r="AS1268" s="17"/>
      <c r="AT1268" s="17"/>
      <c r="AU1268" s="17"/>
      <c r="AV1268" s="17"/>
    </row>
    <row r="1269" spans="1:48" ht="15.75" customHeight="1">
      <c r="A1269" s="21" t="s">
        <v>76</v>
      </c>
      <c r="B1269" s="23" t="s">
        <v>558</v>
      </c>
      <c r="C1269" s="22">
        <v>45829</v>
      </c>
      <c r="D1269" s="23" t="s">
        <v>229</v>
      </c>
      <c r="E1269" s="23" t="s">
        <v>194</v>
      </c>
      <c r="F1269" s="21">
        <v>1</v>
      </c>
      <c r="G1269" s="12">
        <v>2400</v>
      </c>
      <c r="H1269" s="12">
        <v>2400</v>
      </c>
      <c r="I1269" s="23" t="s">
        <v>52</v>
      </c>
      <c r="J1269" s="23" t="s">
        <v>61</v>
      </c>
      <c r="K1269" s="24" t="s">
        <v>177</v>
      </c>
      <c r="L1269" s="24">
        <v>151</v>
      </c>
      <c r="M1269" s="12">
        <v>2016.8067226890757</v>
      </c>
      <c r="N1269" s="12">
        <v>2016.8067226890757</v>
      </c>
      <c r="O1269" s="12">
        <v>383.19327731092426</v>
      </c>
      <c r="P1269" s="13"/>
      <c r="Q1269" s="14">
        <v>2025</v>
      </c>
      <c r="R1269" s="15">
        <v>45444</v>
      </c>
      <c r="S1269" s="11" t="s">
        <v>442</v>
      </c>
      <c r="T1269" s="16">
        <v>0</v>
      </c>
      <c r="U1269" s="17"/>
      <c r="V1269" s="12">
        <v>959.6638655462184</v>
      </c>
      <c r="W1269" s="12">
        <v>479.8319327731092</v>
      </c>
      <c r="X1269" s="12">
        <v>479.8319327731092</v>
      </c>
      <c r="Y1269" s="18">
        <v>45824</v>
      </c>
      <c r="Z1269" s="13" t="s">
        <v>501</v>
      </c>
      <c r="AA1269" s="19" t="s">
        <v>361</v>
      </c>
      <c r="AB1269" s="13" t="s">
        <v>357</v>
      </c>
      <c r="AC1269" s="13" t="s">
        <v>380</v>
      </c>
      <c r="AD1269" s="30" t="s">
        <v>40</v>
      </c>
      <c r="AE1269" s="30" t="s">
        <v>560</v>
      </c>
      <c r="AF1269" s="13" t="s">
        <v>40</v>
      </c>
      <c r="AG1269" s="15">
        <v>45444</v>
      </c>
      <c r="AH1269" s="13" t="s">
        <v>41</v>
      </c>
      <c r="AI1269" s="13" t="s">
        <v>76</v>
      </c>
      <c r="AJ1269" s="13" t="s">
        <v>443</v>
      </c>
      <c r="AK1269" s="14">
        <v>-1</v>
      </c>
      <c r="AL1269" s="17"/>
      <c r="AM1269" s="17"/>
      <c r="AN1269" s="17"/>
      <c r="AO1269" s="17"/>
      <c r="AP1269" s="17"/>
      <c r="AQ1269" s="17"/>
      <c r="AR1269" s="17"/>
      <c r="AS1269" s="17"/>
      <c r="AT1269" s="17"/>
      <c r="AU1269" s="17"/>
      <c r="AV1269" s="17"/>
    </row>
    <row r="1270" spans="1:48" ht="15.75" customHeight="1">
      <c r="A1270" s="21" t="s">
        <v>56</v>
      </c>
      <c r="B1270" s="23" t="s">
        <v>558</v>
      </c>
      <c r="C1270" s="22">
        <v>45828</v>
      </c>
      <c r="D1270" s="97" t="s">
        <v>915</v>
      </c>
      <c r="E1270" s="23" t="s">
        <v>67</v>
      </c>
      <c r="F1270" s="21">
        <v>1</v>
      </c>
      <c r="G1270" s="12">
        <v>7000.0000000000009</v>
      </c>
      <c r="H1270" s="12">
        <v>7000.0000000000009</v>
      </c>
      <c r="I1270" s="23" t="s">
        <v>52</v>
      </c>
      <c r="J1270" s="23" t="s">
        <v>61</v>
      </c>
      <c r="K1270" s="24" t="s">
        <v>177</v>
      </c>
      <c r="L1270" s="24">
        <v>151</v>
      </c>
      <c r="M1270" s="12">
        <v>5882.3529411764712</v>
      </c>
      <c r="N1270" s="12">
        <v>5882.3529411764712</v>
      </c>
      <c r="O1270" s="12">
        <v>1117.6470588235297</v>
      </c>
      <c r="P1270" s="13"/>
      <c r="Q1270" s="14">
        <v>2025</v>
      </c>
      <c r="R1270" s="15">
        <v>45444</v>
      </c>
      <c r="S1270" s="11" t="s">
        <v>492</v>
      </c>
      <c r="T1270" s="16">
        <v>200</v>
      </c>
      <c r="U1270" s="17"/>
      <c r="V1270" s="12">
        <v>1512.6050420168067</v>
      </c>
      <c r="W1270" s="12">
        <v>756.30252100840335</v>
      </c>
      <c r="X1270" s="12">
        <v>756.30252100840335</v>
      </c>
      <c r="Y1270" s="18">
        <v>45824</v>
      </c>
      <c r="Z1270" s="13" t="s">
        <v>503</v>
      </c>
      <c r="AA1270" s="19" t="s">
        <v>367</v>
      </c>
      <c r="AB1270" s="13" t="s">
        <v>357</v>
      </c>
      <c r="AC1270" s="13" t="s">
        <v>367</v>
      </c>
      <c r="AD1270" s="30" t="s">
        <v>40</v>
      </c>
      <c r="AE1270" s="30" t="s">
        <v>560</v>
      </c>
      <c r="AF1270" s="13" t="s">
        <v>40</v>
      </c>
      <c r="AG1270" s="15">
        <v>45444</v>
      </c>
      <c r="AH1270" s="13" t="s">
        <v>41</v>
      </c>
      <c r="AI1270" s="13" t="s">
        <v>56</v>
      </c>
      <c r="AJ1270" s="13" t="s">
        <v>493</v>
      </c>
      <c r="AK1270" s="14">
        <v>-3</v>
      </c>
      <c r="AL1270" s="17"/>
      <c r="AM1270" s="17"/>
      <c r="AN1270" s="17"/>
      <c r="AO1270" s="17"/>
      <c r="AP1270" s="17"/>
      <c r="AQ1270" s="17"/>
      <c r="AR1270" s="17"/>
      <c r="AS1270" s="17"/>
      <c r="AT1270" s="17"/>
      <c r="AU1270" s="17"/>
      <c r="AV1270" s="17"/>
    </row>
    <row r="1271" spans="1:48" ht="15.75" customHeight="1">
      <c r="A1271" s="21" t="s">
        <v>43</v>
      </c>
      <c r="B1271" s="23" t="s">
        <v>558</v>
      </c>
      <c r="C1271" s="22">
        <v>45828</v>
      </c>
      <c r="D1271" s="23" t="s">
        <v>469</v>
      </c>
      <c r="E1271" s="23" t="s">
        <v>45</v>
      </c>
      <c r="F1271" s="21">
        <v>1</v>
      </c>
      <c r="G1271" s="12">
        <v>8199.8965351595689</v>
      </c>
      <c r="H1271" s="12">
        <v>8199.8965351595689</v>
      </c>
      <c r="I1271" s="23" t="s">
        <v>52</v>
      </c>
      <c r="J1271" s="23" t="s">
        <v>61</v>
      </c>
      <c r="K1271" s="24" t="s">
        <v>177</v>
      </c>
      <c r="L1271" s="24">
        <v>151</v>
      </c>
      <c r="M1271" s="12">
        <v>6890.6693572769491</v>
      </c>
      <c r="N1271" s="12">
        <v>6890.6693572769491</v>
      </c>
      <c r="O1271" s="12">
        <v>1309.2271778826198</v>
      </c>
      <c r="P1271" s="13"/>
      <c r="Q1271" s="14">
        <v>2025</v>
      </c>
      <c r="R1271" s="15">
        <v>45444</v>
      </c>
      <c r="S1271" s="11" t="s">
        <v>355</v>
      </c>
      <c r="T1271" s="16">
        <v>0</v>
      </c>
      <c r="U1271" s="17"/>
      <c r="V1271" s="12">
        <v>1296.3416261845123</v>
      </c>
      <c r="W1271" s="12">
        <v>648.17081309225614</v>
      </c>
      <c r="X1271" s="12">
        <v>648.17081309225614</v>
      </c>
      <c r="Y1271" s="18">
        <v>45824</v>
      </c>
      <c r="Z1271" s="13" t="s">
        <v>503</v>
      </c>
      <c r="AA1271" s="19" t="s">
        <v>356</v>
      </c>
      <c r="AB1271" s="13" t="s">
        <v>357</v>
      </c>
      <c r="AC1271" s="13" t="s">
        <v>383</v>
      </c>
      <c r="AD1271" s="30" t="s">
        <v>40</v>
      </c>
      <c r="AE1271" s="30" t="s">
        <v>560</v>
      </c>
      <c r="AF1271" s="13" t="s">
        <v>40</v>
      </c>
      <c r="AG1271" s="15">
        <v>45444</v>
      </c>
      <c r="AH1271" s="13" t="s">
        <v>41</v>
      </c>
      <c r="AI1271" s="13" t="s">
        <v>43</v>
      </c>
      <c r="AJ1271" s="13" t="s">
        <v>359</v>
      </c>
      <c r="AK1271" s="14">
        <v>-1</v>
      </c>
      <c r="AL1271" s="17"/>
      <c r="AM1271" s="17"/>
      <c r="AN1271" s="17"/>
      <c r="AO1271" s="17"/>
      <c r="AP1271" s="17"/>
      <c r="AQ1271" s="17"/>
      <c r="AR1271" s="17"/>
      <c r="AS1271" s="17"/>
      <c r="AT1271" s="17"/>
      <c r="AU1271" s="17"/>
      <c r="AV1271" s="17"/>
    </row>
    <row r="1272" spans="1:48" ht="15.75" customHeight="1">
      <c r="A1272" s="21" t="s">
        <v>35</v>
      </c>
      <c r="B1272" s="23" t="s">
        <v>558</v>
      </c>
      <c r="C1272" s="22">
        <v>45828</v>
      </c>
      <c r="D1272" s="23" t="s">
        <v>469</v>
      </c>
      <c r="E1272" s="23" t="s">
        <v>46</v>
      </c>
      <c r="F1272" s="21">
        <v>1</v>
      </c>
      <c r="G1272" s="12">
        <v>6000.1548227279782</v>
      </c>
      <c r="H1272" s="12">
        <v>6000.1548227279782</v>
      </c>
      <c r="I1272" s="23" t="s">
        <v>52</v>
      </c>
      <c r="J1272" s="23" t="s">
        <v>61</v>
      </c>
      <c r="K1272" s="24" t="s">
        <v>177</v>
      </c>
      <c r="L1272" s="24">
        <v>151</v>
      </c>
      <c r="M1272" s="12">
        <v>5042.1469098554444</v>
      </c>
      <c r="N1272" s="12">
        <v>5042.1469098554444</v>
      </c>
      <c r="O1272" s="12">
        <v>958.00791287253378</v>
      </c>
      <c r="P1272" s="13"/>
      <c r="Q1272" s="14">
        <v>2025</v>
      </c>
      <c r="R1272" s="15">
        <v>45444</v>
      </c>
      <c r="S1272" s="11" t="s">
        <v>364</v>
      </c>
      <c r="T1272" s="16">
        <v>500</v>
      </c>
      <c r="U1272" s="17"/>
      <c r="V1272" s="12">
        <v>1785.4242207798129</v>
      </c>
      <c r="W1272" s="12">
        <v>892.71211038990646</v>
      </c>
      <c r="X1272" s="12">
        <v>892.71211038990646</v>
      </c>
      <c r="Y1272" s="18">
        <v>45824</v>
      </c>
      <c r="Z1272" s="13" t="s">
        <v>503</v>
      </c>
      <c r="AA1272" s="19" t="s">
        <v>356</v>
      </c>
      <c r="AB1272" s="13" t="s">
        <v>357</v>
      </c>
      <c r="AC1272" s="13" t="s">
        <v>383</v>
      </c>
      <c r="AD1272" s="30" t="s">
        <v>40</v>
      </c>
      <c r="AE1272" s="30" t="s">
        <v>560</v>
      </c>
      <c r="AF1272" s="13" t="s">
        <v>40</v>
      </c>
      <c r="AG1272" s="15">
        <v>45444</v>
      </c>
      <c r="AH1272" s="13" t="s">
        <v>41</v>
      </c>
      <c r="AI1272" s="13" t="s">
        <v>35</v>
      </c>
      <c r="AJ1272" s="13" t="s">
        <v>365</v>
      </c>
      <c r="AK1272" s="14">
        <v>-0.5</v>
      </c>
      <c r="AL1272" s="17"/>
      <c r="AM1272" s="17"/>
      <c r="AN1272" s="17"/>
      <c r="AO1272" s="17"/>
      <c r="AP1272" s="17"/>
      <c r="AQ1272" s="17"/>
      <c r="AR1272" s="17"/>
      <c r="AS1272" s="17"/>
      <c r="AT1272" s="17"/>
      <c r="AU1272" s="17"/>
      <c r="AV1272" s="17"/>
    </row>
    <row r="1273" spans="1:48" ht="15.75" customHeight="1">
      <c r="A1273" s="21" t="s">
        <v>76</v>
      </c>
      <c r="B1273" s="23" t="s">
        <v>558</v>
      </c>
      <c r="C1273" s="22">
        <v>45828</v>
      </c>
      <c r="D1273" s="23" t="s">
        <v>184</v>
      </c>
      <c r="E1273" s="23" t="s">
        <v>185</v>
      </c>
      <c r="F1273" s="21">
        <v>1</v>
      </c>
      <c r="G1273" s="12">
        <v>3200.1383843625663</v>
      </c>
      <c r="H1273" s="12">
        <v>3200.1383843625663</v>
      </c>
      <c r="I1273" s="23" t="s">
        <v>52</v>
      </c>
      <c r="J1273" s="23" t="s">
        <v>61</v>
      </c>
      <c r="K1273" s="24" t="s">
        <v>177</v>
      </c>
      <c r="L1273" s="24">
        <v>151</v>
      </c>
      <c r="M1273" s="12">
        <v>2689.1919196324088</v>
      </c>
      <c r="N1273" s="12">
        <v>2689.1919196324088</v>
      </c>
      <c r="O1273" s="12">
        <v>510.94646473015746</v>
      </c>
      <c r="P1273" s="13"/>
      <c r="Q1273" s="14">
        <v>2025</v>
      </c>
      <c r="R1273" s="15">
        <v>45444</v>
      </c>
      <c r="S1273" s="11" t="s">
        <v>444</v>
      </c>
      <c r="T1273" s="16">
        <v>5</v>
      </c>
      <c r="U1273" s="17"/>
      <c r="V1273" s="12">
        <v>1134.570070892913</v>
      </c>
      <c r="W1273" s="12">
        <v>567.2850354464565</v>
      </c>
      <c r="X1273" s="12">
        <v>567.2850354464565</v>
      </c>
      <c r="Y1273" s="18">
        <v>45824</v>
      </c>
      <c r="Z1273" s="13" t="s">
        <v>503</v>
      </c>
      <c r="AA1273" s="19" t="s">
        <v>361</v>
      </c>
      <c r="AB1273" s="13" t="s">
        <v>357</v>
      </c>
      <c r="AC1273" s="13" t="s">
        <v>405</v>
      </c>
      <c r="AD1273" s="30" t="s">
        <v>40</v>
      </c>
      <c r="AE1273" s="30" t="s">
        <v>560</v>
      </c>
      <c r="AF1273" s="13" t="s">
        <v>40</v>
      </c>
      <c r="AG1273" s="15">
        <v>45444</v>
      </c>
      <c r="AH1273" s="13" t="s">
        <v>41</v>
      </c>
      <c r="AI1273" s="13" t="s">
        <v>76</v>
      </c>
      <c r="AJ1273" s="13" t="s">
        <v>445</v>
      </c>
      <c r="AK1273" s="14">
        <v>-1</v>
      </c>
      <c r="AL1273" s="17"/>
      <c r="AM1273" s="17"/>
      <c r="AN1273" s="17"/>
      <c r="AO1273" s="17"/>
      <c r="AP1273" s="17"/>
      <c r="AQ1273" s="17"/>
      <c r="AR1273" s="17"/>
      <c r="AS1273" s="17"/>
      <c r="AT1273" s="17"/>
      <c r="AU1273" s="17"/>
      <c r="AV1273" s="17"/>
    </row>
    <row r="1274" spans="1:48" ht="15.75" customHeight="1">
      <c r="A1274" s="21" t="s">
        <v>76</v>
      </c>
      <c r="B1274" s="23" t="s">
        <v>558</v>
      </c>
      <c r="C1274" s="22">
        <v>45828</v>
      </c>
      <c r="D1274" s="23" t="s">
        <v>184</v>
      </c>
      <c r="E1274" s="23" t="s">
        <v>216</v>
      </c>
      <c r="F1274" s="21">
        <v>1</v>
      </c>
      <c r="G1274" s="12">
        <v>4300</v>
      </c>
      <c r="H1274" s="12">
        <v>4300</v>
      </c>
      <c r="I1274" s="23" t="s">
        <v>52</v>
      </c>
      <c r="J1274" s="23" t="s">
        <v>61</v>
      </c>
      <c r="K1274" s="24" t="s">
        <v>177</v>
      </c>
      <c r="L1274" s="24">
        <v>151</v>
      </c>
      <c r="M1274" s="12">
        <v>3613.4453781512607</v>
      </c>
      <c r="N1274" s="12">
        <v>3613.4453781512607</v>
      </c>
      <c r="O1274" s="12">
        <v>686.55462184873932</v>
      </c>
      <c r="P1274" s="13"/>
      <c r="Q1274" s="14">
        <v>2025</v>
      </c>
      <c r="R1274" s="15">
        <v>45444</v>
      </c>
      <c r="S1274" s="11" t="s">
        <v>479</v>
      </c>
      <c r="T1274" s="16">
        <v>5</v>
      </c>
      <c r="U1274" s="17"/>
      <c r="V1274" s="12">
        <v>1134.453781512605</v>
      </c>
      <c r="W1274" s="12">
        <v>567.22689075630251</v>
      </c>
      <c r="X1274" s="12">
        <v>567.22689075630251</v>
      </c>
      <c r="Y1274" s="18">
        <v>45824</v>
      </c>
      <c r="Z1274" s="13" t="s">
        <v>503</v>
      </c>
      <c r="AA1274" s="19" t="s">
        <v>361</v>
      </c>
      <c r="AB1274" s="13" t="s">
        <v>357</v>
      </c>
      <c r="AC1274" s="13" t="s">
        <v>405</v>
      </c>
      <c r="AD1274" s="30" t="s">
        <v>40</v>
      </c>
      <c r="AE1274" s="30" t="s">
        <v>560</v>
      </c>
      <c r="AF1274" s="13" t="s">
        <v>40</v>
      </c>
      <c r="AG1274" s="15">
        <v>45444</v>
      </c>
      <c r="AH1274" s="13" t="s">
        <v>41</v>
      </c>
      <c r="AI1274" s="13" t="s">
        <v>76</v>
      </c>
      <c r="AJ1274" s="13" t="s">
        <v>546</v>
      </c>
      <c r="AK1274" s="14">
        <v>-1</v>
      </c>
      <c r="AL1274" s="17"/>
      <c r="AM1274" s="17"/>
      <c r="AN1274" s="17"/>
      <c r="AO1274" s="17"/>
      <c r="AP1274" s="17"/>
      <c r="AQ1274" s="17"/>
      <c r="AR1274" s="17"/>
      <c r="AS1274" s="17"/>
      <c r="AT1274" s="17"/>
      <c r="AU1274" s="17"/>
      <c r="AV1274" s="17"/>
    </row>
    <row r="1275" spans="1:48" ht="15.75" customHeight="1">
      <c r="A1275" s="21" t="s">
        <v>73</v>
      </c>
      <c r="B1275" s="23" t="s">
        <v>558</v>
      </c>
      <c r="C1275" s="22">
        <v>45828</v>
      </c>
      <c r="D1275" s="23" t="s">
        <v>184</v>
      </c>
      <c r="E1275" s="23" t="s">
        <v>337</v>
      </c>
      <c r="F1275" s="21">
        <v>1</v>
      </c>
      <c r="G1275" s="12">
        <v>1599.9448225124147</v>
      </c>
      <c r="H1275" s="12">
        <v>1599.9448225124147</v>
      </c>
      <c r="I1275" s="23" t="s">
        <v>52</v>
      </c>
      <c r="J1275" s="23" t="s">
        <v>61</v>
      </c>
      <c r="K1275" s="24" t="s">
        <v>177</v>
      </c>
      <c r="L1275" s="24">
        <v>151</v>
      </c>
      <c r="M1275" s="12">
        <v>1344.4914474894242</v>
      </c>
      <c r="N1275" s="12">
        <v>1344.4914474894242</v>
      </c>
      <c r="O1275" s="12">
        <v>255.45337502299049</v>
      </c>
      <c r="P1275" s="13"/>
      <c r="Q1275" s="14">
        <v>2025</v>
      </c>
      <c r="R1275" s="15">
        <v>45444</v>
      </c>
      <c r="S1275" s="11" t="s">
        <v>529</v>
      </c>
      <c r="T1275" s="16">
        <v>0</v>
      </c>
      <c r="U1275" s="17"/>
      <c r="V1275" s="12">
        <v>613.49144748942422</v>
      </c>
      <c r="W1275" s="12">
        <v>306.74572374471211</v>
      </c>
      <c r="X1275" s="12">
        <v>306.74572374471211</v>
      </c>
      <c r="Y1275" s="18">
        <v>45824</v>
      </c>
      <c r="Z1275" s="13" t="s">
        <v>503</v>
      </c>
      <c r="AA1275" s="19" t="s">
        <v>361</v>
      </c>
      <c r="AB1275" s="13" t="s">
        <v>357</v>
      </c>
      <c r="AC1275" s="13" t="s">
        <v>405</v>
      </c>
      <c r="AD1275" s="30" t="s">
        <v>40</v>
      </c>
      <c r="AE1275" s="30" t="s">
        <v>560</v>
      </c>
      <c r="AF1275" s="13" t="s">
        <v>40</v>
      </c>
      <c r="AG1275" s="15">
        <v>45444</v>
      </c>
      <c r="AH1275" s="13" t="s">
        <v>41</v>
      </c>
      <c r="AI1275" s="13" t="s">
        <v>73</v>
      </c>
      <c r="AJ1275" s="13" t="s">
        <v>530</v>
      </c>
      <c r="AK1275" s="14">
        <v>-1</v>
      </c>
      <c r="AL1275" s="17"/>
      <c r="AM1275" s="17"/>
      <c r="AN1275" s="17"/>
      <c r="AO1275" s="17"/>
      <c r="AP1275" s="17"/>
      <c r="AQ1275" s="17"/>
      <c r="AR1275" s="17"/>
      <c r="AS1275" s="17"/>
      <c r="AT1275" s="17"/>
      <c r="AU1275" s="17"/>
      <c r="AV1275" s="17"/>
    </row>
    <row r="1276" spans="1:48" ht="15.75" customHeight="1">
      <c r="A1276" s="21" t="s">
        <v>73</v>
      </c>
      <c r="B1276" s="23" t="s">
        <v>558</v>
      </c>
      <c r="C1276" s="22">
        <v>45828</v>
      </c>
      <c r="D1276" s="23" t="s">
        <v>184</v>
      </c>
      <c r="E1276" s="23" t="s">
        <v>306</v>
      </c>
      <c r="F1276" s="21">
        <v>1</v>
      </c>
      <c r="G1276" s="12">
        <v>8000.0000000000009</v>
      </c>
      <c r="H1276" s="12">
        <v>8000.0000000000009</v>
      </c>
      <c r="I1276" s="23" t="s">
        <v>52</v>
      </c>
      <c r="J1276" s="23" t="s">
        <v>61</v>
      </c>
      <c r="K1276" s="24" t="s">
        <v>177</v>
      </c>
      <c r="L1276" s="24">
        <v>151</v>
      </c>
      <c r="M1276" s="12">
        <v>6722.6890756302528</v>
      </c>
      <c r="N1276" s="12">
        <v>6722.6890756302528</v>
      </c>
      <c r="O1276" s="12">
        <v>1277.3109243697481</v>
      </c>
      <c r="P1276" s="13"/>
      <c r="Q1276" s="14">
        <v>2025</v>
      </c>
      <c r="R1276" s="15">
        <v>45444</v>
      </c>
      <c r="S1276" s="11" t="s">
        <v>372</v>
      </c>
      <c r="T1276" s="16">
        <v>0</v>
      </c>
      <c r="U1276" s="17"/>
      <c r="V1276" s="12">
        <v>1781.5126050420176</v>
      </c>
      <c r="W1276" s="12">
        <v>890.75630252100882</v>
      </c>
      <c r="X1276" s="12">
        <v>890.75630252100882</v>
      </c>
      <c r="Y1276" s="18">
        <v>45824</v>
      </c>
      <c r="Z1276" s="13" t="s">
        <v>503</v>
      </c>
      <c r="AA1276" s="19" t="s">
        <v>361</v>
      </c>
      <c r="AB1276" s="13" t="s">
        <v>357</v>
      </c>
      <c r="AC1276" s="13" t="s">
        <v>405</v>
      </c>
      <c r="AD1276" s="30" t="s">
        <v>40</v>
      </c>
      <c r="AE1276" s="30" t="s">
        <v>560</v>
      </c>
      <c r="AF1276" s="13" t="s">
        <v>40</v>
      </c>
      <c r="AG1276" s="15">
        <v>45444</v>
      </c>
      <c r="AH1276" s="13" t="s">
        <v>41</v>
      </c>
      <c r="AI1276" s="13" t="s">
        <v>73</v>
      </c>
      <c r="AJ1276" s="13" t="s">
        <v>458</v>
      </c>
      <c r="AK1276" s="14">
        <v>-3</v>
      </c>
      <c r="AL1276" s="17"/>
      <c r="AM1276" s="17"/>
      <c r="AN1276" s="17"/>
      <c r="AO1276" s="17"/>
      <c r="AP1276" s="17"/>
      <c r="AQ1276" s="17"/>
      <c r="AR1276" s="17"/>
      <c r="AS1276" s="17"/>
      <c r="AT1276" s="17"/>
      <c r="AU1276" s="17"/>
      <c r="AV1276" s="17"/>
    </row>
    <row r="1277" spans="1:48" ht="15.75" customHeight="1">
      <c r="A1277" s="21" t="s">
        <v>76</v>
      </c>
      <c r="B1277" s="23" t="s">
        <v>558</v>
      </c>
      <c r="C1277" s="22">
        <v>45828</v>
      </c>
      <c r="D1277" s="23" t="s">
        <v>184</v>
      </c>
      <c r="E1277" s="23" t="s">
        <v>137</v>
      </c>
      <c r="F1277" s="21">
        <v>2</v>
      </c>
      <c r="G1277" s="12">
        <v>3500.0000000000005</v>
      </c>
      <c r="H1277" s="12">
        <v>7000.0000000000009</v>
      </c>
      <c r="I1277" s="23" t="s">
        <v>52</v>
      </c>
      <c r="J1277" s="23" t="s">
        <v>61</v>
      </c>
      <c r="K1277" s="24" t="s">
        <v>177</v>
      </c>
      <c r="L1277" s="24">
        <v>151</v>
      </c>
      <c r="M1277" s="12">
        <v>2941.1764705882356</v>
      </c>
      <c r="N1277" s="12">
        <v>5882.3529411764712</v>
      </c>
      <c r="O1277" s="12">
        <v>1117.6470588235297</v>
      </c>
      <c r="P1277" s="13"/>
      <c r="Q1277" s="14">
        <v>2025</v>
      </c>
      <c r="R1277" s="15">
        <v>45444</v>
      </c>
      <c r="S1277" s="11" t="s">
        <v>406</v>
      </c>
      <c r="T1277" s="16">
        <v>10</v>
      </c>
      <c r="U1277" s="17"/>
      <c r="V1277" s="12">
        <v>1697.4789915966394</v>
      </c>
      <c r="W1277" s="12">
        <v>848.73949579831969</v>
      </c>
      <c r="X1277" s="12">
        <v>848.73949579831969</v>
      </c>
      <c r="Y1277" s="18">
        <v>45824</v>
      </c>
      <c r="Z1277" s="13" t="s">
        <v>503</v>
      </c>
      <c r="AA1277" s="19" t="s">
        <v>361</v>
      </c>
      <c r="AB1277" s="13" t="s">
        <v>357</v>
      </c>
      <c r="AC1277" s="13" t="s">
        <v>405</v>
      </c>
      <c r="AD1277" s="30" t="s">
        <v>40</v>
      </c>
      <c r="AE1277" s="30" t="s">
        <v>560</v>
      </c>
      <c r="AF1277" s="13" t="s">
        <v>40</v>
      </c>
      <c r="AG1277" s="15">
        <v>45444</v>
      </c>
      <c r="AH1277" s="13" t="s">
        <v>41</v>
      </c>
      <c r="AI1277" s="13" t="s">
        <v>76</v>
      </c>
      <c r="AJ1277" s="13" t="s">
        <v>407</v>
      </c>
      <c r="AK1277" s="14">
        <v>-2</v>
      </c>
      <c r="AL1277" s="17"/>
      <c r="AM1277" s="17"/>
      <c r="AN1277" s="17"/>
      <c r="AO1277" s="17"/>
      <c r="AP1277" s="17"/>
      <c r="AQ1277" s="17"/>
      <c r="AR1277" s="17"/>
      <c r="AS1277" s="17"/>
      <c r="AT1277" s="17"/>
      <c r="AU1277" s="17"/>
      <c r="AV1277" s="17"/>
    </row>
    <row r="1278" spans="1:48" ht="15.75" customHeight="1">
      <c r="A1278" s="21" t="s">
        <v>76</v>
      </c>
      <c r="B1278" s="23" t="s">
        <v>1692</v>
      </c>
      <c r="C1278" s="22">
        <v>45830</v>
      </c>
      <c r="D1278" s="23" t="s">
        <v>184</v>
      </c>
      <c r="E1278" s="23" t="s">
        <v>82</v>
      </c>
      <c r="F1278" s="21">
        <v>1</v>
      </c>
      <c r="G1278" s="12">
        <v>2000.0000000000002</v>
      </c>
      <c r="H1278" s="12">
        <v>2000.0000000000002</v>
      </c>
      <c r="I1278" s="23" t="s">
        <v>52</v>
      </c>
      <c r="J1278" s="23" t="s">
        <v>61</v>
      </c>
      <c r="K1278" s="24" t="s">
        <v>177</v>
      </c>
      <c r="L1278" s="24">
        <v>151</v>
      </c>
      <c r="M1278" s="12">
        <v>1680.6722689075632</v>
      </c>
      <c r="N1278" s="12">
        <v>1680.6722689075632</v>
      </c>
      <c r="O1278" s="12">
        <v>319.32773109243703</v>
      </c>
      <c r="P1278" s="13"/>
      <c r="Q1278" s="14">
        <v>2025</v>
      </c>
      <c r="R1278" s="15">
        <v>45444</v>
      </c>
      <c r="S1278" s="11" t="s">
        <v>463</v>
      </c>
      <c r="T1278" s="16">
        <v>5</v>
      </c>
      <c r="U1278" s="17"/>
      <c r="V1278" s="12">
        <v>680.67226890756319</v>
      </c>
      <c r="W1278" s="12">
        <v>680.67226890756319</v>
      </c>
      <c r="X1278" s="12">
        <v>0</v>
      </c>
      <c r="Y1278" s="18">
        <v>45824</v>
      </c>
      <c r="Z1278" s="13" t="s">
        <v>497</v>
      </c>
      <c r="AA1278" s="19" t="s">
        <v>361</v>
      </c>
      <c r="AB1278" s="13" t="s">
        <v>357</v>
      </c>
      <c r="AC1278" s="13" t="s">
        <v>405</v>
      </c>
      <c r="AD1278" s="20"/>
      <c r="AE1278" s="20"/>
      <c r="AF1278" s="13" t="s">
        <v>40</v>
      </c>
      <c r="AG1278" s="15">
        <v>45444</v>
      </c>
      <c r="AH1278" s="13" t="s">
        <v>41</v>
      </c>
      <c r="AI1278" s="13" t="s">
        <v>76</v>
      </c>
      <c r="AJ1278" s="13" t="s">
        <v>464</v>
      </c>
      <c r="AK1278" s="14">
        <v>-1</v>
      </c>
      <c r="AL1278" s="17"/>
      <c r="AM1278" s="17"/>
      <c r="AN1278" s="17"/>
      <c r="AO1278" s="17"/>
      <c r="AP1278" s="17"/>
      <c r="AQ1278" s="17"/>
      <c r="AR1278" s="17"/>
      <c r="AS1278" s="17"/>
      <c r="AT1278" s="17"/>
      <c r="AU1278" s="17"/>
      <c r="AV1278" s="17"/>
    </row>
    <row r="1279" spans="1:48" ht="15.75" customHeight="1">
      <c r="A1279" s="21" t="s">
        <v>53</v>
      </c>
      <c r="B1279" s="23" t="s">
        <v>570</v>
      </c>
      <c r="C1279" s="22">
        <v>45828</v>
      </c>
      <c r="D1279" s="97" t="s">
        <v>915</v>
      </c>
      <c r="E1279" s="23" t="s">
        <v>316</v>
      </c>
      <c r="F1279" s="21">
        <v>1</v>
      </c>
      <c r="G1279" s="12">
        <v>3200.0762660158634</v>
      </c>
      <c r="H1279" s="12">
        <v>3200.0762660158634</v>
      </c>
      <c r="I1279" s="23" t="s">
        <v>52</v>
      </c>
      <c r="J1279" s="23" t="s">
        <v>61</v>
      </c>
      <c r="K1279" s="24" t="s">
        <v>177</v>
      </c>
      <c r="L1279" s="24">
        <v>151</v>
      </c>
      <c r="M1279" s="12">
        <v>2689.1397193410617</v>
      </c>
      <c r="N1279" s="12">
        <v>2689.1397193410617</v>
      </c>
      <c r="O1279" s="12">
        <v>510.93654667480178</v>
      </c>
      <c r="P1279" s="13"/>
      <c r="Q1279" s="14">
        <v>2025</v>
      </c>
      <c r="R1279" s="15">
        <v>45444</v>
      </c>
      <c r="S1279" s="11" t="s">
        <v>408</v>
      </c>
      <c r="T1279" s="16">
        <v>100</v>
      </c>
      <c r="U1279" s="17"/>
      <c r="V1279" s="12">
        <v>926.13971934106166</v>
      </c>
      <c r="W1279" s="12">
        <v>463.06985967053083</v>
      </c>
      <c r="X1279" s="12">
        <v>463.06985967053083</v>
      </c>
      <c r="Y1279" s="18">
        <v>45824</v>
      </c>
      <c r="Z1279" s="13" t="s">
        <v>503</v>
      </c>
      <c r="AA1279" s="19" t="s">
        <v>367</v>
      </c>
      <c r="AB1279" s="13" t="s">
        <v>357</v>
      </c>
      <c r="AC1279" s="13" t="s">
        <v>367</v>
      </c>
      <c r="AD1279" s="20"/>
      <c r="AE1279" s="20"/>
      <c r="AF1279" s="13" t="s">
        <v>40</v>
      </c>
      <c r="AG1279" s="15">
        <v>45444</v>
      </c>
      <c r="AH1279" s="13" t="s">
        <v>41</v>
      </c>
      <c r="AI1279" s="13" t="s">
        <v>53</v>
      </c>
      <c r="AJ1279" s="13" t="s">
        <v>409</v>
      </c>
      <c r="AK1279" s="14">
        <v>-1</v>
      </c>
      <c r="AL1279" s="17"/>
      <c r="AM1279" s="17"/>
      <c r="AN1279" s="17"/>
      <c r="AO1279" s="17"/>
      <c r="AP1279" s="17"/>
      <c r="AQ1279" s="17"/>
      <c r="AR1279" s="17"/>
      <c r="AS1279" s="17"/>
      <c r="AT1279" s="17"/>
      <c r="AU1279" s="17"/>
      <c r="AV1279" s="17"/>
    </row>
    <row r="1280" spans="1:48" ht="15.75" customHeight="1">
      <c r="A1280" s="21" t="s">
        <v>53</v>
      </c>
      <c r="B1280" s="23" t="s">
        <v>570</v>
      </c>
      <c r="C1280" s="22">
        <v>45828</v>
      </c>
      <c r="D1280" s="97" t="s">
        <v>915</v>
      </c>
      <c r="E1280" s="23" t="s">
        <v>317</v>
      </c>
      <c r="F1280" s="21">
        <v>1</v>
      </c>
      <c r="G1280" s="12">
        <v>17999.937392393174</v>
      </c>
      <c r="H1280" s="12">
        <v>17999.937392393174</v>
      </c>
      <c r="I1280" s="23" t="s">
        <v>52</v>
      </c>
      <c r="J1280" s="23" t="s">
        <v>61</v>
      </c>
      <c r="K1280" s="24" t="s">
        <v>177</v>
      </c>
      <c r="L1280" s="24">
        <v>151</v>
      </c>
      <c r="M1280" s="12">
        <v>15125.99780873376</v>
      </c>
      <c r="N1280" s="12">
        <v>15125.99780873376</v>
      </c>
      <c r="O1280" s="12">
        <v>2873.939583659414</v>
      </c>
      <c r="P1280" s="13"/>
      <c r="Q1280" s="14">
        <v>2025</v>
      </c>
      <c r="R1280" s="15">
        <v>45444</v>
      </c>
      <c r="S1280" s="11" t="s">
        <v>435</v>
      </c>
      <c r="T1280" s="16">
        <v>0</v>
      </c>
      <c r="U1280" s="17"/>
      <c r="V1280" s="12">
        <v>5461.9978087337604</v>
      </c>
      <c r="W1280" s="12">
        <v>2730.9989043668802</v>
      </c>
      <c r="X1280" s="12">
        <v>2730.9989043668802</v>
      </c>
      <c r="Y1280" s="18">
        <v>45824</v>
      </c>
      <c r="Z1280" s="13" t="s">
        <v>503</v>
      </c>
      <c r="AA1280" s="19" t="s">
        <v>367</v>
      </c>
      <c r="AB1280" s="13" t="s">
        <v>357</v>
      </c>
      <c r="AC1280" s="13" t="s">
        <v>367</v>
      </c>
      <c r="AD1280" s="20"/>
      <c r="AE1280" s="20"/>
      <c r="AF1280" s="13" t="s">
        <v>40</v>
      </c>
      <c r="AG1280" s="15">
        <v>45444</v>
      </c>
      <c r="AH1280" s="13" t="s">
        <v>41</v>
      </c>
      <c r="AI1280" s="13" t="s">
        <v>53</v>
      </c>
      <c r="AJ1280" s="13" t="s">
        <v>436</v>
      </c>
      <c r="AK1280" s="14">
        <v>-8</v>
      </c>
      <c r="AL1280" s="17"/>
      <c r="AM1280" s="17"/>
      <c r="AN1280" s="17"/>
      <c r="AO1280" s="17"/>
      <c r="AP1280" s="17"/>
      <c r="AQ1280" s="17"/>
      <c r="AR1280" s="17"/>
      <c r="AS1280" s="17"/>
      <c r="AT1280" s="17"/>
      <c r="AU1280" s="17"/>
      <c r="AV1280" s="17"/>
    </row>
    <row r="1281" spans="1:48" ht="15.75" customHeight="1">
      <c r="A1281" s="21" t="s">
        <v>35</v>
      </c>
      <c r="B1281" s="23" t="s">
        <v>570</v>
      </c>
      <c r="C1281" s="22">
        <v>45828</v>
      </c>
      <c r="D1281" s="23" t="s">
        <v>176</v>
      </c>
      <c r="E1281" s="23" t="s">
        <v>37</v>
      </c>
      <c r="F1281" s="21">
        <v>1</v>
      </c>
      <c r="G1281" s="12">
        <v>11000.014358944907</v>
      </c>
      <c r="H1281" s="12">
        <v>11000.014358944907</v>
      </c>
      <c r="I1281" s="23" t="s">
        <v>52</v>
      </c>
      <c r="J1281" s="23" t="s">
        <v>61</v>
      </c>
      <c r="K1281" s="24" t="s">
        <v>177</v>
      </c>
      <c r="L1281" s="24">
        <v>151</v>
      </c>
      <c r="M1281" s="12">
        <v>9243.7095453318543</v>
      </c>
      <c r="N1281" s="12">
        <v>9243.7095453318543</v>
      </c>
      <c r="O1281" s="12">
        <v>1756.3048136130528</v>
      </c>
      <c r="P1281" s="13"/>
      <c r="Q1281" s="14">
        <v>2025</v>
      </c>
      <c r="R1281" s="15">
        <v>45444</v>
      </c>
      <c r="S1281" s="11" t="s">
        <v>364</v>
      </c>
      <c r="T1281" s="16">
        <v>1000</v>
      </c>
      <c r="U1281" s="17"/>
      <c r="V1281" s="12">
        <v>2806.1129066763915</v>
      </c>
      <c r="W1281" s="12">
        <v>1403.0564533381958</v>
      </c>
      <c r="X1281" s="12">
        <v>1403.0564533381958</v>
      </c>
      <c r="Y1281" s="18">
        <v>45824</v>
      </c>
      <c r="Z1281" s="13" t="s">
        <v>503</v>
      </c>
      <c r="AA1281" s="19" t="s">
        <v>373</v>
      </c>
      <c r="AB1281" s="13" t="s">
        <v>357</v>
      </c>
      <c r="AC1281" s="13" t="s">
        <v>383</v>
      </c>
      <c r="AD1281" s="20"/>
      <c r="AE1281" s="20"/>
      <c r="AF1281" s="13" t="s">
        <v>40</v>
      </c>
      <c r="AG1281" s="15">
        <v>45444</v>
      </c>
      <c r="AH1281" s="13" t="s">
        <v>41</v>
      </c>
      <c r="AI1281" s="13" t="s">
        <v>35</v>
      </c>
      <c r="AJ1281" s="13" t="s">
        <v>365</v>
      </c>
      <c r="AK1281" s="14">
        <v>-1</v>
      </c>
      <c r="AL1281" s="17"/>
      <c r="AM1281" s="17"/>
      <c r="AN1281" s="17"/>
      <c r="AO1281" s="17"/>
      <c r="AP1281" s="17"/>
      <c r="AQ1281" s="17"/>
      <c r="AR1281" s="17"/>
      <c r="AS1281" s="17"/>
      <c r="AT1281" s="17"/>
      <c r="AU1281" s="17"/>
      <c r="AV1281" s="17"/>
    </row>
    <row r="1282" spans="1:48" ht="15.75" customHeight="1">
      <c r="A1282" s="21" t="s">
        <v>43</v>
      </c>
      <c r="B1282" s="23" t="s">
        <v>570</v>
      </c>
      <c r="C1282" s="22">
        <v>45828</v>
      </c>
      <c r="D1282" s="23" t="s">
        <v>176</v>
      </c>
      <c r="E1282" s="23" t="s">
        <v>45</v>
      </c>
      <c r="F1282" s="21">
        <v>1</v>
      </c>
      <c r="G1282" s="12">
        <v>8199.8965351595689</v>
      </c>
      <c r="H1282" s="12">
        <v>8199.8965351595689</v>
      </c>
      <c r="I1282" s="23" t="s">
        <v>52</v>
      </c>
      <c r="J1282" s="23" t="s">
        <v>61</v>
      </c>
      <c r="K1282" s="24" t="s">
        <v>177</v>
      </c>
      <c r="L1282" s="24">
        <v>151</v>
      </c>
      <c r="M1282" s="12">
        <v>6890.6693572769491</v>
      </c>
      <c r="N1282" s="12">
        <v>6890.6693572769491</v>
      </c>
      <c r="O1282" s="12">
        <v>1309.2271778826198</v>
      </c>
      <c r="P1282" s="13"/>
      <c r="Q1282" s="14">
        <v>2025</v>
      </c>
      <c r="R1282" s="15">
        <v>45444</v>
      </c>
      <c r="S1282" s="11" t="s">
        <v>355</v>
      </c>
      <c r="T1282" s="16">
        <v>0</v>
      </c>
      <c r="U1282" s="17"/>
      <c r="V1282" s="12">
        <v>1296.3416261845123</v>
      </c>
      <c r="W1282" s="12">
        <v>648.17081309225614</v>
      </c>
      <c r="X1282" s="12">
        <v>648.17081309225614</v>
      </c>
      <c r="Y1282" s="18">
        <v>45824</v>
      </c>
      <c r="Z1282" s="13" t="s">
        <v>503</v>
      </c>
      <c r="AA1282" s="19" t="s">
        <v>373</v>
      </c>
      <c r="AB1282" s="13" t="s">
        <v>357</v>
      </c>
      <c r="AC1282" s="13" t="s">
        <v>383</v>
      </c>
      <c r="AD1282" s="20"/>
      <c r="AE1282" s="20"/>
      <c r="AF1282" s="13" t="s">
        <v>40</v>
      </c>
      <c r="AG1282" s="15">
        <v>45444</v>
      </c>
      <c r="AH1282" s="13" t="s">
        <v>41</v>
      </c>
      <c r="AI1282" s="13" t="s">
        <v>43</v>
      </c>
      <c r="AJ1282" s="13" t="s">
        <v>359</v>
      </c>
      <c r="AK1282" s="14">
        <v>-1</v>
      </c>
      <c r="AL1282" s="17"/>
      <c r="AM1282" s="17"/>
      <c r="AN1282" s="17"/>
      <c r="AO1282" s="17"/>
      <c r="AP1282" s="17"/>
      <c r="AQ1282" s="17"/>
      <c r="AR1282" s="17"/>
      <c r="AS1282" s="17"/>
      <c r="AT1282" s="17"/>
      <c r="AU1282" s="17"/>
      <c r="AV1282" s="17"/>
    </row>
    <row r="1283" spans="1:48" ht="15.75" customHeight="1">
      <c r="A1283" s="21" t="s">
        <v>43</v>
      </c>
      <c r="B1283" s="23" t="s">
        <v>570</v>
      </c>
      <c r="C1283" s="22">
        <v>45828</v>
      </c>
      <c r="D1283" s="23" t="s">
        <v>68</v>
      </c>
      <c r="E1283" s="23" t="s">
        <v>45</v>
      </c>
      <c r="F1283" s="21">
        <v>1</v>
      </c>
      <c r="G1283" s="12">
        <v>8199.8965351595689</v>
      </c>
      <c r="H1283" s="12">
        <v>8199.8965351595689</v>
      </c>
      <c r="I1283" s="23" t="s">
        <v>52</v>
      </c>
      <c r="J1283" s="23" t="s">
        <v>61</v>
      </c>
      <c r="K1283" s="24" t="s">
        <v>86</v>
      </c>
      <c r="L1283" s="24">
        <v>93</v>
      </c>
      <c r="M1283" s="12">
        <v>6890.6693572769491</v>
      </c>
      <c r="N1283" s="12">
        <v>6890.6693572769491</v>
      </c>
      <c r="O1283" s="12">
        <v>1309.2271778826198</v>
      </c>
      <c r="P1283" s="13"/>
      <c r="Q1283" s="14">
        <v>2025</v>
      </c>
      <c r="R1283" s="15">
        <v>45444</v>
      </c>
      <c r="S1283" s="11" t="s">
        <v>355</v>
      </c>
      <c r="T1283" s="16">
        <v>0</v>
      </c>
      <c r="U1283" s="17"/>
      <c r="V1283" s="12">
        <v>1296.3416261845123</v>
      </c>
      <c r="W1283" s="12">
        <v>648.17081309225614</v>
      </c>
      <c r="X1283" s="12">
        <v>648.17081309225614</v>
      </c>
      <c r="Y1283" s="18">
        <v>45824</v>
      </c>
      <c r="Z1283" s="13" t="s">
        <v>503</v>
      </c>
      <c r="AA1283" s="19" t="s">
        <v>361</v>
      </c>
      <c r="AB1283" s="13" t="s">
        <v>394</v>
      </c>
      <c r="AC1283" s="13" t="s">
        <v>383</v>
      </c>
      <c r="AD1283" s="20"/>
      <c r="AE1283" s="20"/>
      <c r="AF1283" s="13" t="s">
        <v>40</v>
      </c>
      <c r="AG1283" s="15">
        <v>45444</v>
      </c>
      <c r="AH1283" s="13" t="s">
        <v>41</v>
      </c>
      <c r="AI1283" s="13" t="s">
        <v>43</v>
      </c>
      <c r="AJ1283" s="13" t="s">
        <v>359</v>
      </c>
      <c r="AK1283" s="14">
        <v>-1</v>
      </c>
      <c r="AL1283" s="17"/>
      <c r="AM1283" s="17"/>
      <c r="AN1283" s="17"/>
      <c r="AO1283" s="17"/>
      <c r="AP1283" s="17"/>
      <c r="AQ1283" s="17"/>
      <c r="AR1283" s="17"/>
      <c r="AS1283" s="17"/>
      <c r="AT1283" s="17"/>
      <c r="AU1283" s="17"/>
      <c r="AV1283" s="17"/>
    </row>
    <row r="1284" spans="1:48" ht="15.75" customHeight="1">
      <c r="A1284" s="21" t="s">
        <v>35</v>
      </c>
      <c r="B1284" s="23" t="s">
        <v>570</v>
      </c>
      <c r="C1284" s="22">
        <v>45828</v>
      </c>
      <c r="D1284" s="23" t="s">
        <v>232</v>
      </c>
      <c r="E1284" s="23" t="s">
        <v>37</v>
      </c>
      <c r="F1284" s="21">
        <v>1</v>
      </c>
      <c r="G1284" s="12">
        <v>11000.014358944907</v>
      </c>
      <c r="H1284" s="12">
        <v>11000.014358944907</v>
      </c>
      <c r="I1284" s="23" t="s">
        <v>52</v>
      </c>
      <c r="J1284" s="23" t="s">
        <v>61</v>
      </c>
      <c r="K1284" s="24" t="s">
        <v>177</v>
      </c>
      <c r="L1284" s="24">
        <v>151</v>
      </c>
      <c r="M1284" s="12">
        <v>9243.7095453318543</v>
      </c>
      <c r="N1284" s="12">
        <v>9243.7095453318543</v>
      </c>
      <c r="O1284" s="12">
        <v>1756.3048136130528</v>
      </c>
      <c r="P1284" s="13"/>
      <c r="Q1284" s="14">
        <v>2025</v>
      </c>
      <c r="R1284" s="15">
        <v>45444</v>
      </c>
      <c r="S1284" s="11" t="s">
        <v>364</v>
      </c>
      <c r="T1284" s="16">
        <v>1000</v>
      </c>
      <c r="U1284" s="17"/>
      <c r="V1284" s="12">
        <v>2806.1129066763915</v>
      </c>
      <c r="W1284" s="12">
        <v>1403.0564533381958</v>
      </c>
      <c r="X1284" s="12">
        <v>1403.0564533381958</v>
      </c>
      <c r="Y1284" s="18">
        <v>45824</v>
      </c>
      <c r="Z1284" s="13" t="s">
        <v>503</v>
      </c>
      <c r="AA1284" s="19" t="s">
        <v>356</v>
      </c>
      <c r="AB1284" s="13" t="s">
        <v>357</v>
      </c>
      <c r="AC1284" s="13" t="s">
        <v>358</v>
      </c>
      <c r="AD1284" s="20"/>
      <c r="AE1284" s="20"/>
      <c r="AF1284" s="13" t="s">
        <v>40</v>
      </c>
      <c r="AG1284" s="15">
        <v>45444</v>
      </c>
      <c r="AH1284" s="13" t="s">
        <v>41</v>
      </c>
      <c r="AI1284" s="13" t="s">
        <v>35</v>
      </c>
      <c r="AJ1284" s="13" t="s">
        <v>365</v>
      </c>
      <c r="AK1284" s="14">
        <v>-1</v>
      </c>
      <c r="AL1284" s="17"/>
      <c r="AM1284" s="17"/>
      <c r="AN1284" s="17"/>
      <c r="AO1284" s="17"/>
      <c r="AP1284" s="17"/>
      <c r="AQ1284" s="17"/>
      <c r="AR1284" s="17"/>
      <c r="AS1284" s="17"/>
      <c r="AT1284" s="17"/>
      <c r="AU1284" s="17"/>
      <c r="AV1284" s="17"/>
    </row>
    <row r="1285" spans="1:48" ht="15.75" customHeight="1">
      <c r="A1285" s="21" t="s">
        <v>43</v>
      </c>
      <c r="B1285" s="23" t="s">
        <v>570</v>
      </c>
      <c r="C1285" s="22">
        <v>45828</v>
      </c>
      <c r="D1285" s="23" t="s">
        <v>232</v>
      </c>
      <c r="E1285" s="23" t="s">
        <v>45</v>
      </c>
      <c r="F1285" s="21">
        <v>1</v>
      </c>
      <c r="G1285" s="12">
        <v>8199.8965351595689</v>
      </c>
      <c r="H1285" s="12">
        <v>8199.8965351595689</v>
      </c>
      <c r="I1285" s="23" t="s">
        <v>52</v>
      </c>
      <c r="J1285" s="23" t="s">
        <v>61</v>
      </c>
      <c r="K1285" s="24" t="s">
        <v>177</v>
      </c>
      <c r="L1285" s="24">
        <v>151</v>
      </c>
      <c r="M1285" s="12">
        <v>6890.6693572769491</v>
      </c>
      <c r="N1285" s="12">
        <v>6890.6693572769491</v>
      </c>
      <c r="O1285" s="12">
        <v>1309.2271778826198</v>
      </c>
      <c r="P1285" s="13"/>
      <c r="Q1285" s="14">
        <v>2025</v>
      </c>
      <c r="R1285" s="15">
        <v>45444</v>
      </c>
      <c r="S1285" s="11" t="s">
        <v>355</v>
      </c>
      <c r="T1285" s="16">
        <v>0</v>
      </c>
      <c r="U1285" s="17"/>
      <c r="V1285" s="12">
        <v>1296.3416261845123</v>
      </c>
      <c r="W1285" s="12">
        <v>648.17081309225614</v>
      </c>
      <c r="X1285" s="12">
        <v>648.17081309225614</v>
      </c>
      <c r="Y1285" s="18">
        <v>45824</v>
      </c>
      <c r="Z1285" s="13" t="s">
        <v>503</v>
      </c>
      <c r="AA1285" s="19" t="s">
        <v>356</v>
      </c>
      <c r="AB1285" s="13" t="s">
        <v>357</v>
      </c>
      <c r="AC1285" s="13" t="s">
        <v>358</v>
      </c>
      <c r="AD1285" s="20"/>
      <c r="AE1285" s="20"/>
      <c r="AF1285" s="13" t="s">
        <v>40</v>
      </c>
      <c r="AG1285" s="15">
        <v>45444</v>
      </c>
      <c r="AH1285" s="13" t="s">
        <v>41</v>
      </c>
      <c r="AI1285" s="13" t="s">
        <v>43</v>
      </c>
      <c r="AJ1285" s="13" t="s">
        <v>359</v>
      </c>
      <c r="AK1285" s="14">
        <v>-1</v>
      </c>
      <c r="AL1285" s="17"/>
      <c r="AM1285" s="17"/>
      <c r="AN1285" s="17"/>
      <c r="AO1285" s="17"/>
      <c r="AP1285" s="17"/>
      <c r="AQ1285" s="17"/>
      <c r="AR1285" s="17"/>
      <c r="AS1285" s="17"/>
      <c r="AT1285" s="17"/>
      <c r="AU1285" s="17"/>
      <c r="AV1285" s="17"/>
    </row>
    <row r="1286" spans="1:48" ht="15.75" customHeight="1">
      <c r="A1286" s="21" t="s">
        <v>43</v>
      </c>
      <c r="B1286" s="23" t="s">
        <v>570</v>
      </c>
      <c r="C1286" s="22">
        <v>45828</v>
      </c>
      <c r="D1286" s="23" t="s">
        <v>184</v>
      </c>
      <c r="E1286" s="23" t="s">
        <v>45</v>
      </c>
      <c r="F1286" s="21">
        <v>1</v>
      </c>
      <c r="G1286" s="12">
        <v>8199.8965351595689</v>
      </c>
      <c r="H1286" s="12">
        <v>8199.8965351595689</v>
      </c>
      <c r="I1286" s="23" t="s">
        <v>52</v>
      </c>
      <c r="J1286" s="23" t="s">
        <v>61</v>
      </c>
      <c r="K1286" s="24" t="s">
        <v>177</v>
      </c>
      <c r="L1286" s="24">
        <v>151</v>
      </c>
      <c r="M1286" s="12">
        <v>6890.6693572769491</v>
      </c>
      <c r="N1286" s="12">
        <v>6890.6693572769491</v>
      </c>
      <c r="O1286" s="12">
        <v>1309.2271778826198</v>
      </c>
      <c r="P1286" s="13"/>
      <c r="Q1286" s="14">
        <v>2025</v>
      </c>
      <c r="R1286" s="15">
        <v>45444</v>
      </c>
      <c r="S1286" s="11" t="s">
        <v>355</v>
      </c>
      <c r="T1286" s="16">
        <v>0</v>
      </c>
      <c r="U1286" s="17"/>
      <c r="V1286" s="12">
        <v>1296.3416261845123</v>
      </c>
      <c r="W1286" s="12">
        <v>648.17081309225614</v>
      </c>
      <c r="X1286" s="12">
        <v>648.17081309225614</v>
      </c>
      <c r="Y1286" s="18">
        <v>45824</v>
      </c>
      <c r="Z1286" s="13" t="s">
        <v>503</v>
      </c>
      <c r="AA1286" s="19" t="s">
        <v>361</v>
      </c>
      <c r="AB1286" s="13" t="s">
        <v>357</v>
      </c>
      <c r="AC1286" s="13" t="s">
        <v>405</v>
      </c>
      <c r="AD1286" s="20"/>
      <c r="AE1286" s="20"/>
      <c r="AF1286" s="13" t="s">
        <v>40</v>
      </c>
      <c r="AG1286" s="15">
        <v>45444</v>
      </c>
      <c r="AH1286" s="13" t="s">
        <v>41</v>
      </c>
      <c r="AI1286" s="13" t="s">
        <v>43</v>
      </c>
      <c r="AJ1286" s="13" t="s">
        <v>359</v>
      </c>
      <c r="AK1286" s="14">
        <v>-1</v>
      </c>
      <c r="AL1286" s="17"/>
      <c r="AM1286" s="17"/>
      <c r="AN1286" s="17"/>
      <c r="AO1286" s="17"/>
      <c r="AP1286" s="17"/>
      <c r="AQ1286" s="17"/>
      <c r="AR1286" s="17"/>
      <c r="AS1286" s="17"/>
      <c r="AT1286" s="17"/>
      <c r="AU1286" s="17"/>
      <c r="AV1286" s="17"/>
    </row>
    <row r="1287" spans="1:48" ht="15.75" customHeight="1">
      <c r="A1287" s="21" t="s">
        <v>47</v>
      </c>
      <c r="B1287" s="23" t="s">
        <v>570</v>
      </c>
      <c r="C1287" s="22">
        <v>45828</v>
      </c>
      <c r="D1287" s="23" t="s">
        <v>184</v>
      </c>
      <c r="E1287" s="23" t="s">
        <v>99</v>
      </c>
      <c r="F1287" s="21">
        <v>1</v>
      </c>
      <c r="G1287" s="12">
        <v>1200</v>
      </c>
      <c r="H1287" s="12">
        <v>1200</v>
      </c>
      <c r="I1287" s="23" t="s">
        <v>52</v>
      </c>
      <c r="J1287" s="23" t="s">
        <v>61</v>
      </c>
      <c r="K1287" s="24" t="s">
        <v>177</v>
      </c>
      <c r="L1287" s="24">
        <v>151</v>
      </c>
      <c r="M1287" s="12">
        <v>1008.4033613445379</v>
      </c>
      <c r="N1287" s="12">
        <v>1008.4033613445379</v>
      </c>
      <c r="O1287" s="12">
        <v>191.59663865546213</v>
      </c>
      <c r="P1287" s="13"/>
      <c r="Q1287" s="14">
        <v>2025</v>
      </c>
      <c r="R1287" s="15">
        <v>45444</v>
      </c>
      <c r="S1287" s="11" t="s">
        <v>453</v>
      </c>
      <c r="T1287" s="16">
        <v>0</v>
      </c>
      <c r="U1287" s="17"/>
      <c r="V1287" s="12">
        <v>294.11764705882354</v>
      </c>
      <c r="W1287" s="12">
        <v>147.05882352941177</v>
      </c>
      <c r="X1287" s="12">
        <v>147.05882352941177</v>
      </c>
      <c r="Y1287" s="18">
        <v>45824</v>
      </c>
      <c r="Z1287" s="13" t="s">
        <v>503</v>
      </c>
      <c r="AA1287" s="19" t="s">
        <v>361</v>
      </c>
      <c r="AB1287" s="13" t="s">
        <v>357</v>
      </c>
      <c r="AC1287" s="13" t="s">
        <v>405</v>
      </c>
      <c r="AD1287" s="20"/>
      <c r="AE1287" s="20"/>
      <c r="AF1287" s="13" t="s">
        <v>40</v>
      </c>
      <c r="AG1287" s="15">
        <v>45444</v>
      </c>
      <c r="AH1287" s="13" t="s">
        <v>41</v>
      </c>
      <c r="AI1287" s="13" t="s">
        <v>47</v>
      </c>
      <c r="AJ1287" s="13" t="s">
        <v>487</v>
      </c>
      <c r="AK1287" s="14">
        <v>-1</v>
      </c>
      <c r="AL1287" s="17"/>
      <c r="AM1287" s="17"/>
      <c r="AN1287" s="17"/>
      <c r="AO1287" s="17"/>
      <c r="AP1287" s="17"/>
      <c r="AQ1287" s="17"/>
      <c r="AR1287" s="17"/>
      <c r="AS1287" s="17"/>
      <c r="AT1287" s="17"/>
      <c r="AU1287" s="17"/>
      <c r="AV1287" s="17"/>
    </row>
    <row r="1288" spans="1:48" ht="15.75" customHeight="1">
      <c r="A1288" s="21" t="s">
        <v>47</v>
      </c>
      <c r="B1288" s="23" t="s">
        <v>570</v>
      </c>
      <c r="C1288" s="22">
        <v>45828</v>
      </c>
      <c r="D1288" s="23" t="s">
        <v>184</v>
      </c>
      <c r="E1288" s="23" t="s">
        <v>107</v>
      </c>
      <c r="F1288" s="21">
        <v>1</v>
      </c>
      <c r="G1288" s="12">
        <v>3000.0000000000005</v>
      </c>
      <c r="H1288" s="12">
        <v>3000.0000000000005</v>
      </c>
      <c r="I1288" s="23" t="s">
        <v>52</v>
      </c>
      <c r="J1288" s="23" t="s">
        <v>61</v>
      </c>
      <c r="K1288" s="24" t="s">
        <v>177</v>
      </c>
      <c r="L1288" s="24">
        <v>151</v>
      </c>
      <c r="M1288" s="12">
        <v>2521.0084033613452</v>
      </c>
      <c r="N1288" s="12">
        <v>2521.0084033613452</v>
      </c>
      <c r="O1288" s="12">
        <v>478.99159663865521</v>
      </c>
      <c r="P1288" s="13"/>
      <c r="Q1288" s="14">
        <v>2025</v>
      </c>
      <c r="R1288" s="15">
        <v>45444</v>
      </c>
      <c r="S1288" s="11" t="s">
        <v>453</v>
      </c>
      <c r="T1288" s="16">
        <v>0</v>
      </c>
      <c r="U1288" s="17"/>
      <c r="V1288" s="12">
        <v>758.82352941176487</v>
      </c>
      <c r="W1288" s="12">
        <v>379.41176470588243</v>
      </c>
      <c r="X1288" s="12">
        <v>379.41176470588243</v>
      </c>
      <c r="Y1288" s="18">
        <v>45824</v>
      </c>
      <c r="Z1288" s="13" t="s">
        <v>503</v>
      </c>
      <c r="AA1288" s="19" t="s">
        <v>361</v>
      </c>
      <c r="AB1288" s="13" t="s">
        <v>357</v>
      </c>
      <c r="AC1288" s="13" t="s">
        <v>405</v>
      </c>
      <c r="AD1288" s="20"/>
      <c r="AE1288" s="20"/>
      <c r="AF1288" s="13" t="s">
        <v>40</v>
      </c>
      <c r="AG1288" s="15">
        <v>45444</v>
      </c>
      <c r="AH1288" s="13" t="s">
        <v>41</v>
      </c>
      <c r="AI1288" s="13" t="s">
        <v>47</v>
      </c>
      <c r="AJ1288" s="13" t="s">
        <v>460</v>
      </c>
      <c r="AK1288" s="14">
        <v>-1</v>
      </c>
      <c r="AL1288" s="17"/>
      <c r="AM1288" s="17"/>
      <c r="AN1288" s="17"/>
      <c r="AO1288" s="17"/>
      <c r="AP1288" s="17"/>
      <c r="AQ1288" s="17"/>
      <c r="AR1288" s="17"/>
      <c r="AS1288" s="17"/>
      <c r="AT1288" s="17"/>
      <c r="AU1288" s="17"/>
      <c r="AV1288" s="17"/>
    </row>
    <row r="1289" spans="1:48" ht="15.75" customHeight="1">
      <c r="A1289" s="21" t="s">
        <v>53</v>
      </c>
      <c r="B1289" s="23" t="s">
        <v>570</v>
      </c>
      <c r="C1289" s="22">
        <v>45828</v>
      </c>
      <c r="D1289" s="23" t="s">
        <v>184</v>
      </c>
      <c r="E1289" s="23" t="s">
        <v>70</v>
      </c>
      <c r="F1289" s="21">
        <v>1</v>
      </c>
      <c r="G1289" s="12">
        <v>5000.3257328990221</v>
      </c>
      <c r="H1289" s="12">
        <v>5000.3257328990221</v>
      </c>
      <c r="I1289" s="23" t="s">
        <v>52</v>
      </c>
      <c r="J1289" s="23" t="s">
        <v>61</v>
      </c>
      <c r="K1289" s="24" t="s">
        <v>177</v>
      </c>
      <c r="L1289" s="24">
        <v>151</v>
      </c>
      <c r="M1289" s="12">
        <v>4201.9543973941363</v>
      </c>
      <c r="N1289" s="12">
        <v>4201.9543973941363</v>
      </c>
      <c r="O1289" s="12">
        <v>798.37133550488579</v>
      </c>
      <c r="P1289" s="13"/>
      <c r="Q1289" s="14">
        <v>2025</v>
      </c>
      <c r="R1289" s="15">
        <v>45444</v>
      </c>
      <c r="S1289" s="11" t="s">
        <v>381</v>
      </c>
      <c r="T1289" s="16">
        <v>300</v>
      </c>
      <c r="U1289" s="17"/>
      <c r="V1289" s="12">
        <v>2008.9543973941363</v>
      </c>
      <c r="W1289" s="12">
        <v>1004.4771986970682</v>
      </c>
      <c r="X1289" s="12">
        <v>1004.4771986970682</v>
      </c>
      <c r="Y1289" s="18">
        <v>45824</v>
      </c>
      <c r="Z1289" s="13" t="s">
        <v>503</v>
      </c>
      <c r="AA1289" s="19" t="s">
        <v>361</v>
      </c>
      <c r="AB1289" s="13" t="s">
        <v>357</v>
      </c>
      <c r="AC1289" s="13" t="s">
        <v>405</v>
      </c>
      <c r="AD1289" s="20"/>
      <c r="AE1289" s="20"/>
      <c r="AF1289" s="13" t="s">
        <v>40</v>
      </c>
      <c r="AG1289" s="15">
        <v>45444</v>
      </c>
      <c r="AH1289" s="13" t="s">
        <v>41</v>
      </c>
      <c r="AI1289" s="13" t="s">
        <v>53</v>
      </c>
      <c r="AJ1289" s="13" t="s">
        <v>382</v>
      </c>
      <c r="AK1289" s="14">
        <v>-3</v>
      </c>
      <c r="AL1289" s="17"/>
      <c r="AM1289" s="17"/>
      <c r="AN1289" s="17"/>
      <c r="AO1289" s="17"/>
      <c r="AP1289" s="17"/>
      <c r="AQ1289" s="17"/>
      <c r="AR1289" s="17"/>
      <c r="AS1289" s="17"/>
      <c r="AT1289" s="17"/>
      <c r="AU1289" s="17"/>
      <c r="AV1289" s="17"/>
    </row>
    <row r="1290" spans="1:48" ht="15.75" customHeight="1">
      <c r="A1290" s="21" t="s">
        <v>47</v>
      </c>
      <c r="B1290" s="23" t="s">
        <v>1692</v>
      </c>
      <c r="C1290" s="22">
        <v>45827</v>
      </c>
      <c r="D1290" s="23" t="s">
        <v>125</v>
      </c>
      <c r="E1290" s="23" t="s">
        <v>107</v>
      </c>
      <c r="F1290" s="21">
        <v>1</v>
      </c>
      <c r="G1290" s="12">
        <v>3000.0000000000005</v>
      </c>
      <c r="H1290" s="12">
        <v>3000.0000000000005</v>
      </c>
      <c r="I1290" s="23" t="s">
        <v>52</v>
      </c>
      <c r="J1290" s="23" t="s">
        <v>61</v>
      </c>
      <c r="K1290" s="24" t="s">
        <v>177</v>
      </c>
      <c r="L1290" s="24">
        <v>151</v>
      </c>
      <c r="M1290" s="12">
        <v>2521.0084033613452</v>
      </c>
      <c r="N1290" s="12">
        <v>2521.0084033613452</v>
      </c>
      <c r="O1290" s="12">
        <v>478.99159663865521</v>
      </c>
      <c r="P1290" s="13"/>
      <c r="Q1290" s="14">
        <v>2025</v>
      </c>
      <c r="R1290" s="15">
        <v>45444</v>
      </c>
      <c r="S1290" s="11" t="s">
        <v>453</v>
      </c>
      <c r="T1290" s="16">
        <v>0</v>
      </c>
      <c r="U1290" s="17"/>
      <c r="V1290" s="12">
        <v>758.82352941176487</v>
      </c>
      <c r="W1290" s="12">
        <v>758.82352941176487</v>
      </c>
      <c r="X1290" s="12">
        <v>0</v>
      </c>
      <c r="Y1290" s="18">
        <v>45824</v>
      </c>
      <c r="Z1290" s="13" t="s">
        <v>505</v>
      </c>
      <c r="AA1290" s="19" t="s">
        <v>361</v>
      </c>
      <c r="AB1290" s="13" t="s">
        <v>357</v>
      </c>
      <c r="AC1290" s="13" t="s">
        <v>362</v>
      </c>
      <c r="AD1290" s="20"/>
      <c r="AE1290" s="20"/>
      <c r="AF1290" s="13" t="s">
        <v>40</v>
      </c>
      <c r="AG1290" s="15">
        <v>45444</v>
      </c>
      <c r="AH1290" s="13" t="s">
        <v>41</v>
      </c>
      <c r="AI1290" s="13" t="s">
        <v>47</v>
      </c>
      <c r="AJ1290" s="13" t="s">
        <v>460</v>
      </c>
      <c r="AK1290" s="14">
        <v>-1</v>
      </c>
      <c r="AL1290" s="17"/>
      <c r="AM1290" s="17"/>
      <c r="AN1290" s="17"/>
      <c r="AO1290" s="17"/>
      <c r="AP1290" s="17"/>
      <c r="AQ1290" s="17"/>
      <c r="AR1290" s="17"/>
      <c r="AS1290" s="17"/>
      <c r="AT1290" s="17"/>
      <c r="AU1290" s="17"/>
      <c r="AV1290" s="17"/>
    </row>
    <row r="1291" spans="1:48" ht="15.75" customHeight="1">
      <c r="A1291" s="21" t="s">
        <v>53</v>
      </c>
      <c r="B1291" s="23" t="s">
        <v>1692</v>
      </c>
      <c r="C1291" s="22">
        <v>45827</v>
      </c>
      <c r="D1291" s="23" t="s">
        <v>125</v>
      </c>
      <c r="E1291" s="23" t="s">
        <v>69</v>
      </c>
      <c r="F1291" s="21">
        <v>1</v>
      </c>
      <c r="G1291" s="12">
        <v>2999.9553810458683</v>
      </c>
      <c r="H1291" s="12">
        <v>2999.9553810458683</v>
      </c>
      <c r="I1291" s="23" t="s">
        <v>52</v>
      </c>
      <c r="J1291" s="23" t="s">
        <v>61</v>
      </c>
      <c r="K1291" s="24" t="s">
        <v>177</v>
      </c>
      <c r="L1291" s="24">
        <v>151</v>
      </c>
      <c r="M1291" s="12">
        <v>2520.9709084419064</v>
      </c>
      <c r="N1291" s="12">
        <v>2520.9709084419064</v>
      </c>
      <c r="O1291" s="12">
        <v>478.98447260396188</v>
      </c>
      <c r="P1291" s="13"/>
      <c r="Q1291" s="14">
        <v>2025</v>
      </c>
      <c r="R1291" s="15">
        <v>45444</v>
      </c>
      <c r="S1291" s="11" t="s">
        <v>376</v>
      </c>
      <c r="T1291" s="16">
        <v>0</v>
      </c>
      <c r="U1291" s="17"/>
      <c r="V1291" s="12">
        <v>825.97090844190598</v>
      </c>
      <c r="W1291" s="12">
        <v>825.97090844190598</v>
      </c>
      <c r="X1291" s="12">
        <v>0</v>
      </c>
      <c r="Y1291" s="18">
        <v>45824</v>
      </c>
      <c r="Z1291" s="13" t="s">
        <v>505</v>
      </c>
      <c r="AA1291" s="19" t="s">
        <v>361</v>
      </c>
      <c r="AB1291" s="13" t="s">
        <v>357</v>
      </c>
      <c r="AC1291" s="13" t="s">
        <v>362</v>
      </c>
      <c r="AD1291" s="20"/>
      <c r="AE1291" s="20"/>
      <c r="AF1291" s="13" t="s">
        <v>40</v>
      </c>
      <c r="AG1291" s="15">
        <v>45444</v>
      </c>
      <c r="AH1291" s="13" t="s">
        <v>41</v>
      </c>
      <c r="AI1291" s="13" t="s">
        <v>53</v>
      </c>
      <c r="AJ1291" s="13" t="s">
        <v>377</v>
      </c>
      <c r="AK1291" s="14">
        <v>-1</v>
      </c>
      <c r="AL1291" s="17"/>
      <c r="AM1291" s="17"/>
      <c r="AN1291" s="17"/>
      <c r="AO1291" s="17"/>
      <c r="AP1291" s="17"/>
      <c r="AQ1291" s="17"/>
      <c r="AR1291" s="17"/>
      <c r="AS1291" s="17"/>
      <c r="AT1291" s="17"/>
      <c r="AU1291" s="17"/>
      <c r="AV1291" s="17"/>
    </row>
    <row r="1292" spans="1:48" ht="15.75" customHeight="1">
      <c r="A1292" s="21" t="s">
        <v>76</v>
      </c>
      <c r="B1292" s="23" t="s">
        <v>1692</v>
      </c>
      <c r="C1292" s="22">
        <v>45827</v>
      </c>
      <c r="D1292" s="23" t="s">
        <v>125</v>
      </c>
      <c r="E1292" s="23" t="s">
        <v>202</v>
      </c>
      <c r="F1292" s="21">
        <v>1</v>
      </c>
      <c r="G1292" s="12">
        <v>1500.2338716794634</v>
      </c>
      <c r="H1292" s="12">
        <v>1500.2338716794634</v>
      </c>
      <c r="I1292" s="23" t="s">
        <v>52</v>
      </c>
      <c r="J1292" s="23" t="s">
        <v>61</v>
      </c>
      <c r="K1292" s="24" t="s">
        <v>177</v>
      </c>
      <c r="L1292" s="24">
        <v>151</v>
      </c>
      <c r="M1292" s="12">
        <v>1260.7007325037507</v>
      </c>
      <c r="N1292" s="12">
        <v>1260.7007325037507</v>
      </c>
      <c r="O1292" s="12">
        <v>239.53313917571268</v>
      </c>
      <c r="P1292" s="13"/>
      <c r="Q1292" s="14">
        <v>2025</v>
      </c>
      <c r="R1292" s="15">
        <v>45444</v>
      </c>
      <c r="S1292" s="11" t="s">
        <v>448</v>
      </c>
      <c r="T1292" s="16">
        <v>0</v>
      </c>
      <c r="U1292" s="17"/>
      <c r="V1292" s="12">
        <v>546.45073250375071</v>
      </c>
      <c r="W1292" s="12">
        <v>546.45073250375071</v>
      </c>
      <c r="X1292" s="12">
        <v>0</v>
      </c>
      <c r="Y1292" s="18">
        <v>45824</v>
      </c>
      <c r="Z1292" s="13" t="s">
        <v>505</v>
      </c>
      <c r="AA1292" s="19" t="s">
        <v>361</v>
      </c>
      <c r="AB1292" s="13" t="s">
        <v>357</v>
      </c>
      <c r="AC1292" s="13" t="s">
        <v>362</v>
      </c>
      <c r="AD1292" s="20"/>
      <c r="AE1292" s="20"/>
      <c r="AF1292" s="13" t="s">
        <v>40</v>
      </c>
      <c r="AG1292" s="15">
        <v>45444</v>
      </c>
      <c r="AH1292" s="13" t="s">
        <v>41</v>
      </c>
      <c r="AI1292" s="13" t="s">
        <v>76</v>
      </c>
      <c r="AJ1292" s="13" t="s">
        <v>571</v>
      </c>
      <c r="AK1292" s="14">
        <v>-1</v>
      </c>
      <c r="AL1292" s="17"/>
      <c r="AM1292" s="17"/>
      <c r="AN1292" s="17"/>
      <c r="AO1292" s="17"/>
      <c r="AP1292" s="17"/>
      <c r="AQ1292" s="17"/>
      <c r="AR1292" s="17"/>
      <c r="AS1292" s="17"/>
      <c r="AT1292" s="17"/>
      <c r="AU1292" s="17"/>
      <c r="AV1292" s="17"/>
    </row>
    <row r="1293" spans="1:48" ht="15.75" customHeight="1">
      <c r="A1293" s="21" t="s">
        <v>53</v>
      </c>
      <c r="B1293" s="23" t="s">
        <v>1692</v>
      </c>
      <c r="C1293" s="22">
        <v>45827</v>
      </c>
      <c r="D1293" s="23" t="s">
        <v>288</v>
      </c>
      <c r="E1293" s="23" t="s">
        <v>55</v>
      </c>
      <c r="F1293" s="21">
        <v>1</v>
      </c>
      <c r="G1293" s="12">
        <v>20899.657134519988</v>
      </c>
      <c r="H1293" s="12">
        <v>20899.657134519988</v>
      </c>
      <c r="I1293" s="23" t="s">
        <v>52</v>
      </c>
      <c r="J1293" s="23" t="s">
        <v>61</v>
      </c>
      <c r="K1293" s="24" t="s">
        <v>177</v>
      </c>
      <c r="L1293" s="24">
        <v>151</v>
      </c>
      <c r="M1293" s="12">
        <v>17562.737087831923</v>
      </c>
      <c r="N1293" s="12">
        <v>17562.737087831923</v>
      </c>
      <c r="O1293" s="12">
        <v>3336.9200466880648</v>
      </c>
      <c r="P1293" s="13"/>
      <c r="Q1293" s="14">
        <v>2025</v>
      </c>
      <c r="R1293" s="15">
        <v>45444</v>
      </c>
      <c r="S1293" s="11" t="s">
        <v>366</v>
      </c>
      <c r="T1293" s="16">
        <v>0</v>
      </c>
      <c r="U1293" s="17"/>
      <c r="V1293" s="12">
        <v>3117.7370878319234</v>
      </c>
      <c r="W1293" s="12">
        <v>3117.7370878319234</v>
      </c>
      <c r="X1293" s="12">
        <v>0</v>
      </c>
      <c r="Y1293" s="18">
        <v>45824</v>
      </c>
      <c r="Z1293" s="13" t="s">
        <v>505</v>
      </c>
      <c r="AA1293" s="19" t="s">
        <v>373</v>
      </c>
      <c r="AB1293" s="13" t="s">
        <v>357</v>
      </c>
      <c r="AC1293" s="13" t="s">
        <v>465</v>
      </c>
      <c r="AD1293" s="20"/>
      <c r="AE1293" s="20"/>
      <c r="AF1293" s="13" t="s">
        <v>40</v>
      </c>
      <c r="AG1293" s="15">
        <v>45444</v>
      </c>
      <c r="AH1293" s="13" t="s">
        <v>41</v>
      </c>
      <c r="AI1293" s="13" t="s">
        <v>53</v>
      </c>
      <c r="AJ1293" s="13" t="s">
        <v>368</v>
      </c>
      <c r="AK1293" s="14">
        <v>-8</v>
      </c>
      <c r="AL1293" s="17"/>
      <c r="AM1293" s="17"/>
      <c r="AN1293" s="17"/>
      <c r="AO1293" s="17"/>
      <c r="AP1293" s="17"/>
      <c r="AQ1293" s="17"/>
      <c r="AR1293" s="17"/>
      <c r="AS1293" s="17"/>
      <c r="AT1293" s="17"/>
      <c r="AU1293" s="17"/>
      <c r="AV1293" s="17"/>
    </row>
    <row r="1294" spans="1:48" ht="15.75" customHeight="1">
      <c r="A1294" s="21" t="s">
        <v>53</v>
      </c>
      <c r="B1294" s="23" t="s">
        <v>1692</v>
      </c>
      <c r="C1294" s="22">
        <v>45827</v>
      </c>
      <c r="D1294" s="23" t="s">
        <v>288</v>
      </c>
      <c r="E1294" s="23" t="s">
        <v>274</v>
      </c>
      <c r="F1294" s="21">
        <v>1</v>
      </c>
      <c r="G1294" s="12">
        <v>22500.104577715188</v>
      </c>
      <c r="H1294" s="12">
        <v>22500.104577715188</v>
      </c>
      <c r="I1294" s="23" t="s">
        <v>52</v>
      </c>
      <c r="J1294" s="23" t="s">
        <v>61</v>
      </c>
      <c r="K1294" s="24" t="s">
        <v>177</v>
      </c>
      <c r="L1294" s="24">
        <v>151</v>
      </c>
      <c r="M1294" s="12">
        <v>18907.650905643015</v>
      </c>
      <c r="N1294" s="12">
        <v>18907.650905643015</v>
      </c>
      <c r="O1294" s="12">
        <v>3592.4536720721735</v>
      </c>
      <c r="P1294" s="13"/>
      <c r="Q1294" s="14">
        <v>2025</v>
      </c>
      <c r="R1294" s="15">
        <v>45444</v>
      </c>
      <c r="S1294" s="11" t="s">
        <v>376</v>
      </c>
      <c r="T1294" s="16">
        <v>0</v>
      </c>
      <c r="U1294" s="17"/>
      <c r="V1294" s="12">
        <v>5347.650905643015</v>
      </c>
      <c r="W1294" s="12">
        <v>5347.650905643015</v>
      </c>
      <c r="X1294" s="12">
        <v>0</v>
      </c>
      <c r="Y1294" s="18">
        <v>45824</v>
      </c>
      <c r="Z1294" s="13" t="s">
        <v>505</v>
      </c>
      <c r="AA1294" s="19" t="s">
        <v>373</v>
      </c>
      <c r="AB1294" s="13" t="s">
        <v>357</v>
      </c>
      <c r="AC1294" s="13" t="s">
        <v>465</v>
      </c>
      <c r="AD1294" s="20"/>
      <c r="AE1294" s="20"/>
      <c r="AF1294" s="13" t="s">
        <v>40</v>
      </c>
      <c r="AG1294" s="15">
        <v>45444</v>
      </c>
      <c r="AH1294" s="13" t="s">
        <v>41</v>
      </c>
      <c r="AI1294" s="13" t="s">
        <v>53</v>
      </c>
      <c r="AJ1294" s="13" t="s">
        <v>377</v>
      </c>
      <c r="AK1294" s="14">
        <v>-8</v>
      </c>
      <c r="AL1294" s="17"/>
      <c r="AM1294" s="17"/>
      <c r="AN1294" s="17"/>
      <c r="AO1294" s="17"/>
      <c r="AP1294" s="17"/>
      <c r="AQ1294" s="17"/>
      <c r="AR1294" s="17"/>
      <c r="AS1294" s="17"/>
      <c r="AT1294" s="17"/>
      <c r="AU1294" s="17"/>
      <c r="AV1294" s="17"/>
    </row>
    <row r="1295" spans="1:48" ht="15.75" customHeight="1">
      <c r="A1295" s="21" t="s">
        <v>43</v>
      </c>
      <c r="B1295" s="23" t="s">
        <v>1692</v>
      </c>
      <c r="C1295" s="22">
        <v>45827</v>
      </c>
      <c r="D1295" s="23" t="s">
        <v>291</v>
      </c>
      <c r="E1295" s="23" t="s">
        <v>45</v>
      </c>
      <c r="F1295" s="21">
        <v>1</v>
      </c>
      <c r="G1295" s="12">
        <v>8199.8965351595689</v>
      </c>
      <c r="H1295" s="12">
        <v>8199.8965351595689</v>
      </c>
      <c r="I1295" s="23" t="s">
        <v>52</v>
      </c>
      <c r="J1295" s="23" t="s">
        <v>61</v>
      </c>
      <c r="K1295" s="24" t="s">
        <v>177</v>
      </c>
      <c r="L1295" s="24">
        <v>151</v>
      </c>
      <c r="M1295" s="12">
        <v>6890.6693572769491</v>
      </c>
      <c r="N1295" s="12">
        <v>6890.6693572769491</v>
      </c>
      <c r="O1295" s="12">
        <v>1309.2271778826198</v>
      </c>
      <c r="P1295" s="13"/>
      <c r="Q1295" s="14">
        <v>2025</v>
      </c>
      <c r="R1295" s="15">
        <v>45444</v>
      </c>
      <c r="S1295" s="11" t="s">
        <v>355</v>
      </c>
      <c r="T1295" s="16">
        <v>0</v>
      </c>
      <c r="U1295" s="17"/>
      <c r="V1295" s="12">
        <v>1296.3416261845123</v>
      </c>
      <c r="W1295" s="12">
        <v>1296.3416261845123</v>
      </c>
      <c r="X1295" s="12">
        <v>0</v>
      </c>
      <c r="Y1295" s="18">
        <v>45824</v>
      </c>
      <c r="Z1295" s="13" t="s">
        <v>505</v>
      </c>
      <c r="AA1295" s="19" t="s">
        <v>373</v>
      </c>
      <c r="AB1295" s="13" t="s">
        <v>357</v>
      </c>
      <c r="AC1295" s="13" t="s">
        <v>374</v>
      </c>
      <c r="AD1295" s="20"/>
      <c r="AE1295" s="20"/>
      <c r="AF1295" s="13" t="s">
        <v>40</v>
      </c>
      <c r="AG1295" s="15">
        <v>45444</v>
      </c>
      <c r="AH1295" s="13" t="s">
        <v>41</v>
      </c>
      <c r="AI1295" s="13" t="s">
        <v>43</v>
      </c>
      <c r="AJ1295" s="13" t="s">
        <v>359</v>
      </c>
      <c r="AK1295" s="14">
        <v>-1</v>
      </c>
      <c r="AL1295" s="17"/>
      <c r="AM1295" s="17"/>
      <c r="AN1295" s="17"/>
      <c r="AO1295" s="17"/>
      <c r="AP1295" s="17"/>
      <c r="AQ1295" s="17"/>
      <c r="AR1295" s="17"/>
      <c r="AS1295" s="17"/>
      <c r="AT1295" s="17"/>
      <c r="AU1295" s="17"/>
      <c r="AV1295" s="17"/>
    </row>
    <row r="1296" spans="1:48" ht="15.75" customHeight="1">
      <c r="A1296" s="21" t="s">
        <v>43</v>
      </c>
      <c r="B1296" s="23" t="s">
        <v>570</v>
      </c>
      <c r="C1296" s="22">
        <v>45826</v>
      </c>
      <c r="D1296" s="23" t="s">
        <v>572</v>
      </c>
      <c r="E1296" s="23" t="s">
        <v>45</v>
      </c>
      <c r="F1296" s="21">
        <v>1</v>
      </c>
      <c r="G1296" s="12">
        <v>8199.8965351595689</v>
      </c>
      <c r="H1296" s="12">
        <v>8199.8965351595689</v>
      </c>
      <c r="I1296" s="23" t="s">
        <v>52</v>
      </c>
      <c r="J1296" s="23" t="s">
        <v>61</v>
      </c>
      <c r="K1296" s="24" t="s">
        <v>177</v>
      </c>
      <c r="L1296" s="24">
        <v>151</v>
      </c>
      <c r="M1296" s="12">
        <v>6890.6693572769491</v>
      </c>
      <c r="N1296" s="12">
        <v>6890.6693572769491</v>
      </c>
      <c r="O1296" s="12">
        <v>1309.2271778826198</v>
      </c>
      <c r="P1296" s="13"/>
      <c r="Q1296" s="14">
        <v>2025</v>
      </c>
      <c r="R1296" s="15">
        <v>45444</v>
      </c>
      <c r="S1296" s="11" t="s">
        <v>355</v>
      </c>
      <c r="T1296" s="16">
        <v>0</v>
      </c>
      <c r="U1296" s="17"/>
      <c r="V1296" s="12">
        <v>1296.3416261845123</v>
      </c>
      <c r="W1296" s="12">
        <v>648.17081309225614</v>
      </c>
      <c r="X1296" s="12">
        <v>648.17081309225614</v>
      </c>
      <c r="Y1296" s="18">
        <v>45824</v>
      </c>
      <c r="Z1296" s="13" t="s">
        <v>515</v>
      </c>
      <c r="AA1296" s="19" t="s">
        <v>373</v>
      </c>
      <c r="AB1296" s="13" t="s">
        <v>357</v>
      </c>
      <c r="AC1296" s="13" t="s">
        <v>573</v>
      </c>
      <c r="AD1296" s="20"/>
      <c r="AE1296" s="20"/>
      <c r="AF1296" s="13" t="s">
        <v>40</v>
      </c>
      <c r="AG1296" s="15">
        <v>45444</v>
      </c>
      <c r="AH1296" s="13" t="s">
        <v>41</v>
      </c>
      <c r="AI1296" s="13" t="s">
        <v>43</v>
      </c>
      <c r="AJ1296" s="13" t="s">
        <v>359</v>
      </c>
      <c r="AK1296" s="14">
        <v>-1</v>
      </c>
      <c r="AL1296" s="17"/>
      <c r="AM1296" s="17"/>
      <c r="AN1296" s="17"/>
      <c r="AO1296" s="17"/>
      <c r="AP1296" s="17"/>
      <c r="AQ1296" s="17"/>
      <c r="AR1296" s="17"/>
      <c r="AS1296" s="17"/>
      <c r="AT1296" s="17"/>
      <c r="AU1296" s="17"/>
      <c r="AV1296" s="17"/>
    </row>
    <row r="1297" spans="1:48" ht="15.75" customHeight="1">
      <c r="A1297" s="21" t="s">
        <v>47</v>
      </c>
      <c r="B1297" s="13" t="s">
        <v>570</v>
      </c>
      <c r="C1297" s="22">
        <v>45826</v>
      </c>
      <c r="D1297" s="23" t="s">
        <v>574</v>
      </c>
      <c r="E1297" s="23" t="s">
        <v>82</v>
      </c>
      <c r="F1297" s="21">
        <v>1</v>
      </c>
      <c r="G1297" s="12">
        <v>2000.0000000000002</v>
      </c>
      <c r="H1297" s="12">
        <v>2000.0000000000002</v>
      </c>
      <c r="I1297" s="23" t="s">
        <v>52</v>
      </c>
      <c r="J1297" s="23" t="s">
        <v>61</v>
      </c>
      <c r="K1297" s="24" t="s">
        <v>86</v>
      </c>
      <c r="L1297" s="24">
        <v>90</v>
      </c>
      <c r="M1297" s="12">
        <v>1680.6722689075632</v>
      </c>
      <c r="N1297" s="12">
        <v>1680.6722689075632</v>
      </c>
      <c r="O1297" s="12">
        <v>319.32773109243703</v>
      </c>
      <c r="P1297" s="13"/>
      <c r="Q1297" s="14">
        <v>2025</v>
      </c>
      <c r="R1297" s="15">
        <v>45444</v>
      </c>
      <c r="S1297" s="11" t="s">
        <v>463</v>
      </c>
      <c r="T1297" s="16">
        <v>5</v>
      </c>
      <c r="U1297" s="17"/>
      <c r="V1297" s="12">
        <v>680.67226890756319</v>
      </c>
      <c r="W1297" s="12">
        <v>340.3361344537816</v>
      </c>
      <c r="X1297" s="12">
        <v>340.3361344537816</v>
      </c>
      <c r="Y1297" s="18">
        <v>45824</v>
      </c>
      <c r="Z1297" s="13" t="s">
        <v>515</v>
      </c>
      <c r="AA1297" s="23" t="s">
        <v>373</v>
      </c>
      <c r="AB1297" s="23" t="s">
        <v>394</v>
      </c>
      <c r="AC1297" s="31" t="s">
        <v>575</v>
      </c>
      <c r="AD1297" s="20"/>
      <c r="AE1297" s="20"/>
      <c r="AF1297" s="13" t="s">
        <v>40</v>
      </c>
      <c r="AG1297" s="15">
        <v>45444</v>
      </c>
      <c r="AH1297" s="13" t="s">
        <v>41</v>
      </c>
      <c r="AI1297" s="13" t="s">
        <v>47</v>
      </c>
      <c r="AJ1297" s="13" t="s">
        <v>464</v>
      </c>
      <c r="AK1297" s="14">
        <v>-1</v>
      </c>
      <c r="AL1297" s="17"/>
      <c r="AM1297" s="17"/>
      <c r="AN1297" s="17"/>
      <c r="AO1297" s="17"/>
      <c r="AP1297" s="17"/>
      <c r="AQ1297" s="17"/>
      <c r="AR1297" s="17"/>
      <c r="AS1297" s="17"/>
      <c r="AT1297" s="17"/>
      <c r="AU1297" s="17"/>
      <c r="AV1297" s="17"/>
    </row>
    <row r="1298" spans="1:48" ht="15.75" customHeight="1">
      <c r="A1298" s="21" t="s">
        <v>47</v>
      </c>
      <c r="B1298" s="13" t="s">
        <v>570</v>
      </c>
      <c r="C1298" s="22">
        <v>45826</v>
      </c>
      <c r="D1298" s="23" t="s">
        <v>574</v>
      </c>
      <c r="E1298" s="23" t="s">
        <v>216</v>
      </c>
      <c r="F1298" s="21">
        <v>1</v>
      </c>
      <c r="G1298" s="12">
        <v>4300</v>
      </c>
      <c r="H1298" s="12">
        <v>4300</v>
      </c>
      <c r="I1298" s="23" t="s">
        <v>52</v>
      </c>
      <c r="J1298" s="23" t="s">
        <v>61</v>
      </c>
      <c r="K1298" s="24" t="s">
        <v>86</v>
      </c>
      <c r="L1298" s="24">
        <v>90</v>
      </c>
      <c r="M1298" s="12">
        <v>3613.4453781512607</v>
      </c>
      <c r="N1298" s="12">
        <v>3613.4453781512607</v>
      </c>
      <c r="O1298" s="12">
        <v>686.55462184873932</v>
      </c>
      <c r="P1298" s="13"/>
      <c r="Q1298" s="14">
        <v>2025</v>
      </c>
      <c r="R1298" s="15">
        <v>45444</v>
      </c>
      <c r="S1298" s="11" t="s">
        <v>479</v>
      </c>
      <c r="T1298" s="16">
        <v>5</v>
      </c>
      <c r="U1298" s="17"/>
      <c r="V1298" s="12">
        <v>1134.453781512605</v>
      </c>
      <c r="W1298" s="12">
        <v>567.22689075630251</v>
      </c>
      <c r="X1298" s="12">
        <v>567.22689075630251</v>
      </c>
      <c r="Y1298" s="18">
        <v>45824</v>
      </c>
      <c r="Z1298" s="13" t="s">
        <v>515</v>
      </c>
      <c r="AA1298" s="23" t="s">
        <v>373</v>
      </c>
      <c r="AB1298" s="23" t="s">
        <v>394</v>
      </c>
      <c r="AC1298" s="31" t="s">
        <v>575</v>
      </c>
      <c r="AD1298" s="20"/>
      <c r="AE1298" s="20"/>
      <c r="AF1298" s="13" t="s">
        <v>40</v>
      </c>
      <c r="AG1298" s="15">
        <v>45444</v>
      </c>
      <c r="AH1298" s="13" t="s">
        <v>41</v>
      </c>
      <c r="AI1298" s="13" t="s">
        <v>47</v>
      </c>
      <c r="AJ1298" s="13" t="s">
        <v>546</v>
      </c>
      <c r="AK1298" s="14">
        <v>-1</v>
      </c>
      <c r="AL1298" s="17"/>
      <c r="AM1298" s="17"/>
      <c r="AN1298" s="17"/>
      <c r="AO1298" s="17"/>
      <c r="AP1298" s="17"/>
      <c r="AQ1298" s="17"/>
      <c r="AR1298" s="17"/>
      <c r="AS1298" s="17"/>
      <c r="AT1298" s="17"/>
      <c r="AU1298" s="17"/>
      <c r="AV1298" s="17"/>
    </row>
    <row r="1299" spans="1:48" ht="15.75" customHeight="1">
      <c r="A1299" s="21" t="s">
        <v>73</v>
      </c>
      <c r="B1299" s="13" t="s">
        <v>570</v>
      </c>
      <c r="C1299" s="22">
        <v>45826</v>
      </c>
      <c r="D1299" s="23" t="s">
        <v>574</v>
      </c>
      <c r="E1299" s="23" t="s">
        <v>74</v>
      </c>
      <c r="F1299" s="21">
        <v>1</v>
      </c>
      <c r="G1299" s="12">
        <v>4199.9020019599611</v>
      </c>
      <c r="H1299" s="12">
        <v>4199.9020019599611</v>
      </c>
      <c r="I1299" s="23" t="s">
        <v>52</v>
      </c>
      <c r="J1299" s="23" t="s">
        <v>61</v>
      </c>
      <c r="K1299" s="24" t="s">
        <v>86</v>
      </c>
      <c r="L1299" s="24">
        <v>90</v>
      </c>
      <c r="M1299" s="12">
        <v>3529.3294134117323</v>
      </c>
      <c r="N1299" s="12">
        <v>3529.3294134117323</v>
      </c>
      <c r="O1299" s="12">
        <v>670.57258854822885</v>
      </c>
      <c r="P1299" s="13"/>
      <c r="Q1299" s="14">
        <v>2025</v>
      </c>
      <c r="R1299" s="15">
        <v>45444</v>
      </c>
      <c r="S1299" s="11" t="s">
        <v>424</v>
      </c>
      <c r="T1299" s="16">
        <v>0</v>
      </c>
      <c r="U1299" s="17"/>
      <c r="V1299" s="12">
        <v>1008.3294134117323</v>
      </c>
      <c r="W1299" s="12">
        <v>504.16470670586614</v>
      </c>
      <c r="X1299" s="12">
        <v>504.16470670586614</v>
      </c>
      <c r="Y1299" s="18">
        <v>45824</v>
      </c>
      <c r="Z1299" s="13" t="s">
        <v>515</v>
      </c>
      <c r="AA1299" s="23" t="s">
        <v>373</v>
      </c>
      <c r="AB1299" s="23" t="s">
        <v>394</v>
      </c>
      <c r="AC1299" s="31" t="s">
        <v>575</v>
      </c>
      <c r="AD1299" s="20"/>
      <c r="AE1299" s="20"/>
      <c r="AF1299" s="13" t="s">
        <v>40</v>
      </c>
      <c r="AG1299" s="15">
        <v>45444</v>
      </c>
      <c r="AH1299" s="13" t="s">
        <v>41</v>
      </c>
      <c r="AI1299" s="13" t="s">
        <v>73</v>
      </c>
      <c r="AJ1299" s="13" t="s">
        <v>502</v>
      </c>
      <c r="AK1299" s="14">
        <v>-1</v>
      </c>
      <c r="AL1299" s="17"/>
      <c r="AM1299" s="17"/>
      <c r="AN1299" s="17"/>
      <c r="AO1299" s="17"/>
      <c r="AP1299" s="17"/>
      <c r="AQ1299" s="17"/>
      <c r="AR1299" s="17"/>
      <c r="AS1299" s="17"/>
      <c r="AT1299" s="17"/>
      <c r="AU1299" s="17"/>
      <c r="AV1299" s="17"/>
    </row>
    <row r="1300" spans="1:48" ht="15.75" customHeight="1">
      <c r="A1300" s="21" t="s">
        <v>47</v>
      </c>
      <c r="B1300" s="13" t="s">
        <v>570</v>
      </c>
      <c r="C1300" s="25">
        <v>45826</v>
      </c>
      <c r="D1300" s="23" t="s">
        <v>307</v>
      </c>
      <c r="E1300" s="23" t="s">
        <v>69</v>
      </c>
      <c r="F1300" s="21">
        <v>2</v>
      </c>
      <c r="G1300" s="12">
        <v>2999.9553810458683</v>
      </c>
      <c r="H1300" s="12">
        <v>5999.9107620917366</v>
      </c>
      <c r="I1300" s="23" t="s">
        <v>52</v>
      </c>
      <c r="J1300" s="23" t="s">
        <v>61</v>
      </c>
      <c r="K1300" s="24" t="s">
        <v>177</v>
      </c>
      <c r="L1300" s="24">
        <v>151</v>
      </c>
      <c r="M1300" s="12">
        <v>2520.9709084419064</v>
      </c>
      <c r="N1300" s="12">
        <v>5041.9418168838129</v>
      </c>
      <c r="O1300" s="12">
        <v>957.96894520792375</v>
      </c>
      <c r="P1300" s="13"/>
      <c r="Q1300" s="14">
        <v>2025</v>
      </c>
      <c r="R1300" s="15">
        <v>45444</v>
      </c>
      <c r="S1300" s="11" t="s">
        <v>376</v>
      </c>
      <c r="T1300" s="16">
        <v>0</v>
      </c>
      <c r="U1300" s="17"/>
      <c r="V1300" s="12">
        <v>1651.941816883812</v>
      </c>
      <c r="W1300" s="12">
        <v>825.97090844190598</v>
      </c>
      <c r="X1300" s="12">
        <v>825.97090844190598</v>
      </c>
      <c r="Y1300" s="18">
        <v>45824</v>
      </c>
      <c r="Z1300" s="13" t="s">
        <v>515</v>
      </c>
      <c r="AA1300" s="19" t="s">
        <v>361</v>
      </c>
      <c r="AB1300" s="13" t="str">
        <f>VLOOKUP(D1300,Clientes!$A$2:$K$486,11,FALSE)</f>
        <v>Empresa</v>
      </c>
      <c r="AC1300" s="13" t="s">
        <v>383</v>
      </c>
      <c r="AD1300" s="20"/>
      <c r="AE1300" s="20"/>
      <c r="AF1300" s="13" t="s">
        <v>40</v>
      </c>
      <c r="AG1300" s="15">
        <v>45444</v>
      </c>
      <c r="AH1300" s="13" t="s">
        <v>41</v>
      </c>
      <c r="AI1300" s="13" t="s">
        <v>47</v>
      </c>
      <c r="AJ1300" s="13" t="s">
        <v>377</v>
      </c>
      <c r="AK1300" s="14">
        <v>-2</v>
      </c>
      <c r="AL1300" s="17"/>
      <c r="AM1300" s="17"/>
      <c r="AN1300" s="17"/>
      <c r="AO1300" s="17"/>
      <c r="AP1300" s="17"/>
      <c r="AQ1300" s="17"/>
      <c r="AR1300" s="17"/>
      <c r="AS1300" s="17"/>
      <c r="AT1300" s="17"/>
      <c r="AU1300" s="17"/>
      <c r="AV1300" s="17"/>
    </row>
    <row r="1301" spans="1:48" ht="15.75" customHeight="1">
      <c r="A1301" s="21" t="s">
        <v>47</v>
      </c>
      <c r="B1301" s="13" t="s">
        <v>570</v>
      </c>
      <c r="C1301" s="25">
        <v>45826</v>
      </c>
      <c r="D1301" s="23" t="s">
        <v>307</v>
      </c>
      <c r="E1301" s="23" t="s">
        <v>295</v>
      </c>
      <c r="F1301" s="21">
        <v>2</v>
      </c>
      <c r="G1301" s="12">
        <v>2599.7755362977696</v>
      </c>
      <c r="H1301" s="12">
        <v>5199.5510725955392</v>
      </c>
      <c r="I1301" s="23" t="s">
        <v>52</v>
      </c>
      <c r="J1301" s="23" t="s">
        <v>61</v>
      </c>
      <c r="K1301" s="24" t="s">
        <v>177</v>
      </c>
      <c r="L1301" s="24">
        <v>151</v>
      </c>
      <c r="M1301" s="12">
        <v>2184.6853246199744</v>
      </c>
      <c r="N1301" s="12">
        <v>4369.3706492399488</v>
      </c>
      <c r="O1301" s="12">
        <v>830.18042335559039</v>
      </c>
      <c r="P1301" s="13"/>
      <c r="Q1301" s="14">
        <v>2025</v>
      </c>
      <c r="R1301" s="15">
        <v>45444</v>
      </c>
      <c r="S1301" s="11" t="s">
        <v>372</v>
      </c>
      <c r="T1301" s="16">
        <v>0</v>
      </c>
      <c r="U1301" s="17"/>
      <c r="V1301" s="12">
        <v>1293.7706492399489</v>
      </c>
      <c r="W1301" s="12">
        <v>646.88532461997443</v>
      </c>
      <c r="X1301" s="12">
        <v>646.88532461997443</v>
      </c>
      <c r="Y1301" s="18">
        <v>45824</v>
      </c>
      <c r="Z1301" s="13" t="s">
        <v>515</v>
      </c>
      <c r="AA1301" s="19" t="s">
        <v>361</v>
      </c>
      <c r="AB1301" s="13" t="str">
        <f>VLOOKUP(D1301,Clientes!$A$2:$K$486,11,FALSE)</f>
        <v>Empresa</v>
      </c>
      <c r="AC1301" s="13" t="s">
        <v>383</v>
      </c>
      <c r="AD1301" s="20"/>
      <c r="AE1301" s="20"/>
      <c r="AF1301" s="13" t="s">
        <v>40</v>
      </c>
      <c r="AG1301" s="15">
        <v>45444</v>
      </c>
      <c r="AH1301" s="13" t="s">
        <v>41</v>
      </c>
      <c r="AI1301" s="13" t="s">
        <v>47</v>
      </c>
      <c r="AJ1301" s="13" t="s">
        <v>375</v>
      </c>
      <c r="AK1301" s="14">
        <v>-2</v>
      </c>
      <c r="AL1301" s="17"/>
      <c r="AM1301" s="17"/>
      <c r="AN1301" s="17"/>
      <c r="AO1301" s="17"/>
      <c r="AP1301" s="17"/>
      <c r="AQ1301" s="17"/>
      <c r="AR1301" s="17"/>
      <c r="AS1301" s="17"/>
      <c r="AT1301" s="17"/>
      <c r="AU1301" s="17"/>
      <c r="AV1301" s="17"/>
    </row>
    <row r="1302" spans="1:48" ht="15.75" customHeight="1">
      <c r="A1302" s="21" t="s">
        <v>53</v>
      </c>
      <c r="B1302" s="13" t="s">
        <v>570</v>
      </c>
      <c r="C1302" s="25">
        <v>45826</v>
      </c>
      <c r="D1302" s="23" t="s">
        <v>307</v>
      </c>
      <c r="E1302" s="23" t="s">
        <v>97</v>
      </c>
      <c r="F1302" s="21">
        <v>1</v>
      </c>
      <c r="G1302" s="12">
        <v>16500.236769693482</v>
      </c>
      <c r="H1302" s="12">
        <v>16500.236769693482</v>
      </c>
      <c r="I1302" s="23" t="s">
        <v>52</v>
      </c>
      <c r="J1302" s="23" t="s">
        <v>61</v>
      </c>
      <c r="K1302" s="24" t="s">
        <v>177</v>
      </c>
      <c r="L1302" s="24">
        <v>151</v>
      </c>
      <c r="M1302" s="12">
        <v>13865.745184616371</v>
      </c>
      <c r="N1302" s="12">
        <v>13865.745184616371</v>
      </c>
      <c r="O1302" s="12">
        <v>2634.4915850771104</v>
      </c>
      <c r="P1302" s="13"/>
      <c r="Q1302" s="14">
        <v>2025</v>
      </c>
      <c r="R1302" s="15">
        <v>45444</v>
      </c>
      <c r="S1302" s="11" t="s">
        <v>366</v>
      </c>
      <c r="T1302" s="16">
        <v>0</v>
      </c>
      <c r="U1302" s="17"/>
      <c r="V1302" s="12">
        <v>3031.7451846163694</v>
      </c>
      <c r="W1302" s="12">
        <v>1515.8725923081847</v>
      </c>
      <c r="X1302" s="12">
        <v>1515.8725923081847</v>
      </c>
      <c r="Y1302" s="18">
        <v>45824</v>
      </c>
      <c r="Z1302" s="13" t="s">
        <v>515</v>
      </c>
      <c r="AA1302" s="19" t="s">
        <v>361</v>
      </c>
      <c r="AB1302" s="13" t="str">
        <f>VLOOKUP(D1302,Clientes!$A$2:$K$486,11,FALSE)</f>
        <v>Empresa</v>
      </c>
      <c r="AC1302" s="13" t="s">
        <v>383</v>
      </c>
      <c r="AD1302" s="20"/>
      <c r="AE1302" s="20"/>
      <c r="AF1302" s="13" t="s">
        <v>40</v>
      </c>
      <c r="AG1302" s="15">
        <v>45444</v>
      </c>
      <c r="AH1302" s="13" t="s">
        <v>41</v>
      </c>
      <c r="AI1302" s="13" t="s">
        <v>53</v>
      </c>
      <c r="AJ1302" s="13" t="s">
        <v>368</v>
      </c>
      <c r="AK1302" s="14">
        <v>-6</v>
      </c>
      <c r="AL1302" s="17"/>
      <c r="AM1302" s="17"/>
      <c r="AN1302" s="17"/>
      <c r="AO1302" s="17"/>
      <c r="AP1302" s="17"/>
      <c r="AQ1302" s="17"/>
      <c r="AR1302" s="17"/>
      <c r="AS1302" s="17"/>
      <c r="AT1302" s="17"/>
      <c r="AU1302" s="17"/>
      <c r="AV1302" s="17"/>
    </row>
    <row r="1303" spans="1:48" ht="15.75" customHeight="1">
      <c r="A1303" s="21" t="s">
        <v>47</v>
      </c>
      <c r="B1303" s="13" t="s">
        <v>570</v>
      </c>
      <c r="C1303" s="25">
        <v>45826</v>
      </c>
      <c r="D1303" s="23" t="s">
        <v>307</v>
      </c>
      <c r="E1303" s="23" t="s">
        <v>48</v>
      </c>
      <c r="F1303" s="21">
        <v>1</v>
      </c>
      <c r="G1303" s="12">
        <v>1000</v>
      </c>
      <c r="H1303" s="12">
        <v>1000</v>
      </c>
      <c r="I1303" s="23" t="s">
        <v>52</v>
      </c>
      <c r="J1303" s="23" t="s">
        <v>61</v>
      </c>
      <c r="K1303" s="24" t="s">
        <v>177</v>
      </c>
      <c r="L1303" s="24">
        <v>151</v>
      </c>
      <c r="M1303" s="12">
        <v>840.3361344537816</v>
      </c>
      <c r="N1303" s="12">
        <v>840.3361344537816</v>
      </c>
      <c r="O1303" s="12">
        <v>159.6638655462184</v>
      </c>
      <c r="P1303" s="13"/>
      <c r="Q1303" s="14">
        <v>2025</v>
      </c>
      <c r="R1303" s="15">
        <v>45444</v>
      </c>
      <c r="S1303" s="11" t="s">
        <v>416</v>
      </c>
      <c r="T1303" s="16">
        <v>0</v>
      </c>
      <c r="U1303" s="17"/>
      <c r="V1303" s="12">
        <v>330.33613445378148</v>
      </c>
      <c r="W1303" s="12">
        <v>165.16806722689074</v>
      </c>
      <c r="X1303" s="12">
        <v>165.16806722689074</v>
      </c>
      <c r="Y1303" s="18">
        <v>45824</v>
      </c>
      <c r="Z1303" s="13" t="s">
        <v>515</v>
      </c>
      <c r="AA1303" s="19" t="s">
        <v>361</v>
      </c>
      <c r="AB1303" s="13" t="str">
        <f>VLOOKUP(D1303,Clientes!$A$2:$K$486,11,FALSE)</f>
        <v>Empresa</v>
      </c>
      <c r="AC1303" s="13" t="s">
        <v>383</v>
      </c>
      <c r="AD1303" s="20"/>
      <c r="AE1303" s="20"/>
      <c r="AF1303" s="13" t="s">
        <v>40</v>
      </c>
      <c r="AG1303" s="15">
        <v>45444</v>
      </c>
      <c r="AH1303" s="13" t="s">
        <v>41</v>
      </c>
      <c r="AI1303" s="13" t="s">
        <v>47</v>
      </c>
      <c r="AJ1303" s="13" t="s">
        <v>417</v>
      </c>
      <c r="AK1303" s="14">
        <v>-5</v>
      </c>
      <c r="AL1303" s="17"/>
      <c r="AM1303" s="17"/>
      <c r="AN1303" s="17"/>
      <c r="AO1303" s="17"/>
      <c r="AP1303" s="17"/>
      <c r="AQ1303" s="17"/>
      <c r="AR1303" s="17"/>
      <c r="AS1303" s="17"/>
      <c r="AT1303" s="17"/>
      <c r="AU1303" s="17"/>
      <c r="AV1303" s="17"/>
    </row>
    <row r="1304" spans="1:48" ht="15.75" customHeight="1">
      <c r="A1304" s="21" t="s">
        <v>76</v>
      </c>
      <c r="B1304" s="23" t="s">
        <v>570</v>
      </c>
      <c r="C1304" s="25">
        <v>45826</v>
      </c>
      <c r="D1304" s="23" t="s">
        <v>338</v>
      </c>
      <c r="E1304" s="23" t="s">
        <v>137</v>
      </c>
      <c r="F1304" s="21">
        <v>2</v>
      </c>
      <c r="G1304" s="12">
        <v>3500.0000000000005</v>
      </c>
      <c r="H1304" s="12">
        <v>7000.0000000000009</v>
      </c>
      <c r="I1304" s="23" t="s">
        <v>52</v>
      </c>
      <c r="J1304" s="23" t="s">
        <v>61</v>
      </c>
      <c r="K1304" s="24" t="s">
        <v>177</v>
      </c>
      <c r="L1304" s="24">
        <v>151</v>
      </c>
      <c r="M1304" s="12">
        <v>2941.1764705882356</v>
      </c>
      <c r="N1304" s="12">
        <v>5882.3529411764712</v>
      </c>
      <c r="O1304" s="12">
        <v>1117.6470588235297</v>
      </c>
      <c r="P1304" s="13"/>
      <c r="Q1304" s="14">
        <v>2025</v>
      </c>
      <c r="R1304" s="15">
        <v>45444</v>
      </c>
      <c r="S1304" s="11" t="s">
        <v>406</v>
      </c>
      <c r="T1304" s="16">
        <v>10</v>
      </c>
      <c r="U1304" s="17"/>
      <c r="V1304" s="12">
        <v>1697.4789915966394</v>
      </c>
      <c r="W1304" s="12">
        <v>848.73949579831969</v>
      </c>
      <c r="X1304" s="12">
        <v>848.73949579831969</v>
      </c>
      <c r="Y1304" s="18">
        <v>45824</v>
      </c>
      <c r="Z1304" s="13" t="s">
        <v>515</v>
      </c>
      <c r="AA1304" s="19" t="s">
        <v>361</v>
      </c>
      <c r="AB1304" s="13" t="s">
        <v>357</v>
      </c>
      <c r="AC1304" s="13" t="s">
        <v>554</v>
      </c>
      <c r="AD1304" s="20"/>
      <c r="AE1304" s="20"/>
      <c r="AF1304" s="13" t="s">
        <v>40</v>
      </c>
      <c r="AG1304" s="15">
        <v>45444</v>
      </c>
      <c r="AH1304" s="13" t="s">
        <v>41</v>
      </c>
      <c r="AI1304" s="13" t="s">
        <v>76</v>
      </c>
      <c r="AJ1304" s="13" t="s">
        <v>407</v>
      </c>
      <c r="AK1304" s="14">
        <v>-2</v>
      </c>
      <c r="AL1304" s="17"/>
      <c r="AM1304" s="17"/>
      <c r="AN1304" s="17"/>
      <c r="AO1304" s="17"/>
      <c r="AP1304" s="17"/>
      <c r="AQ1304" s="17"/>
      <c r="AR1304" s="17"/>
      <c r="AS1304" s="17"/>
      <c r="AT1304" s="17"/>
      <c r="AU1304" s="17"/>
      <c r="AV1304" s="17"/>
    </row>
    <row r="1305" spans="1:48" ht="15.75" customHeight="1">
      <c r="A1305" s="21" t="s">
        <v>76</v>
      </c>
      <c r="B1305" s="23" t="s">
        <v>570</v>
      </c>
      <c r="C1305" s="25">
        <v>45826</v>
      </c>
      <c r="D1305" s="23" t="s">
        <v>338</v>
      </c>
      <c r="E1305" s="23" t="s">
        <v>110</v>
      </c>
      <c r="F1305" s="21">
        <v>1</v>
      </c>
      <c r="G1305" s="12">
        <v>2000.0000000000005</v>
      </c>
      <c r="H1305" s="12">
        <v>2000.0000000000005</v>
      </c>
      <c r="I1305" s="23" t="s">
        <v>52</v>
      </c>
      <c r="J1305" s="23" t="s">
        <v>61</v>
      </c>
      <c r="K1305" s="24" t="s">
        <v>177</v>
      </c>
      <c r="L1305" s="24">
        <v>151</v>
      </c>
      <c r="M1305" s="12">
        <v>1680.6722689075634</v>
      </c>
      <c r="N1305" s="12">
        <v>1680.6722689075634</v>
      </c>
      <c r="O1305" s="12">
        <v>319.32773109243703</v>
      </c>
      <c r="P1305" s="13"/>
      <c r="Q1305" s="14">
        <v>2025</v>
      </c>
      <c r="R1305" s="15">
        <v>45444</v>
      </c>
      <c r="S1305" s="11" t="s">
        <v>378</v>
      </c>
      <c r="T1305" s="16">
        <v>5</v>
      </c>
      <c r="U1305" s="17"/>
      <c r="V1305" s="12">
        <v>756.30252100840369</v>
      </c>
      <c r="W1305" s="12">
        <v>378.15126050420184</v>
      </c>
      <c r="X1305" s="12">
        <v>378.15126050420184</v>
      </c>
      <c r="Y1305" s="18">
        <v>45824</v>
      </c>
      <c r="Z1305" s="13" t="s">
        <v>515</v>
      </c>
      <c r="AA1305" s="19" t="s">
        <v>361</v>
      </c>
      <c r="AB1305" s="13" t="s">
        <v>357</v>
      </c>
      <c r="AC1305" s="13" t="s">
        <v>554</v>
      </c>
      <c r="AD1305" s="20"/>
      <c r="AE1305" s="20"/>
      <c r="AF1305" s="13" t="s">
        <v>40</v>
      </c>
      <c r="AG1305" s="15">
        <v>45444</v>
      </c>
      <c r="AH1305" s="13" t="s">
        <v>41</v>
      </c>
      <c r="AI1305" s="13" t="s">
        <v>76</v>
      </c>
      <c r="AJ1305" s="13" t="s">
        <v>379</v>
      </c>
      <c r="AK1305" s="14">
        <v>-1</v>
      </c>
      <c r="AL1305" s="17"/>
      <c r="AM1305" s="17"/>
      <c r="AN1305" s="17"/>
      <c r="AO1305" s="17"/>
      <c r="AP1305" s="17"/>
      <c r="AQ1305" s="17"/>
      <c r="AR1305" s="17"/>
      <c r="AS1305" s="17"/>
      <c r="AT1305" s="17"/>
      <c r="AU1305" s="17"/>
      <c r="AV1305" s="17"/>
    </row>
    <row r="1306" spans="1:48" ht="15.75" customHeight="1">
      <c r="A1306" s="21" t="s">
        <v>53</v>
      </c>
      <c r="B1306" s="23" t="s">
        <v>570</v>
      </c>
      <c r="C1306" s="25">
        <v>45826</v>
      </c>
      <c r="D1306" s="23" t="s">
        <v>338</v>
      </c>
      <c r="E1306" s="23" t="s">
        <v>369</v>
      </c>
      <c r="F1306" s="21">
        <v>1</v>
      </c>
      <c r="G1306" s="12">
        <v>1500.0000000000002</v>
      </c>
      <c r="H1306" s="12">
        <v>1500.0000000000002</v>
      </c>
      <c r="I1306" s="23" t="s">
        <v>52</v>
      </c>
      <c r="J1306" s="23" t="s">
        <v>61</v>
      </c>
      <c r="K1306" s="24" t="s">
        <v>177</v>
      </c>
      <c r="L1306" s="24">
        <v>151</v>
      </c>
      <c r="M1306" s="12">
        <v>1260.5042016806726</v>
      </c>
      <c r="N1306" s="12">
        <v>1260.5042016806726</v>
      </c>
      <c r="O1306" s="12">
        <v>239.4957983193276</v>
      </c>
      <c r="P1306" s="13"/>
      <c r="Q1306" s="14">
        <v>2025</v>
      </c>
      <c r="R1306" s="15">
        <v>45444</v>
      </c>
      <c r="S1306" s="11" t="s">
        <v>369</v>
      </c>
      <c r="T1306" s="16">
        <v>0</v>
      </c>
      <c r="U1306" s="17"/>
      <c r="V1306" s="12">
        <v>457.98319327731099</v>
      </c>
      <c r="W1306" s="12">
        <v>228.99159663865549</v>
      </c>
      <c r="X1306" s="12">
        <v>228.99159663865549</v>
      </c>
      <c r="Y1306" s="18">
        <v>45824</v>
      </c>
      <c r="Z1306" s="13" t="s">
        <v>515</v>
      </c>
      <c r="AA1306" s="19" t="s">
        <v>361</v>
      </c>
      <c r="AB1306" s="13" t="s">
        <v>357</v>
      </c>
      <c r="AC1306" s="13" t="s">
        <v>554</v>
      </c>
      <c r="AD1306" s="20"/>
      <c r="AE1306" s="20"/>
      <c r="AF1306" s="13" t="s">
        <v>40</v>
      </c>
      <c r="AG1306" s="15">
        <v>45444</v>
      </c>
      <c r="AH1306" s="13" t="s">
        <v>41</v>
      </c>
      <c r="AI1306" s="13" t="s">
        <v>53</v>
      </c>
      <c r="AJ1306" s="13" t="s">
        <v>370</v>
      </c>
      <c r="AK1306" s="14">
        <v>-1</v>
      </c>
      <c r="AL1306" s="17"/>
      <c r="AM1306" s="17"/>
      <c r="AN1306" s="17"/>
      <c r="AO1306" s="17"/>
      <c r="AP1306" s="17"/>
      <c r="AQ1306" s="17"/>
      <c r="AR1306" s="17"/>
      <c r="AS1306" s="17"/>
      <c r="AT1306" s="17"/>
      <c r="AU1306" s="17"/>
      <c r="AV1306" s="17"/>
    </row>
    <row r="1307" spans="1:48" ht="15.75" customHeight="1">
      <c r="A1307" s="14" t="s">
        <v>35</v>
      </c>
      <c r="B1307" s="23" t="s">
        <v>1692</v>
      </c>
      <c r="C1307" s="25">
        <v>45826</v>
      </c>
      <c r="D1307" s="23" t="s">
        <v>576</v>
      </c>
      <c r="E1307" s="13" t="s">
        <v>37</v>
      </c>
      <c r="F1307" s="14">
        <v>1</v>
      </c>
      <c r="G1307" s="12">
        <v>11000.014358944907</v>
      </c>
      <c r="H1307" s="12">
        <v>11000.014358944907</v>
      </c>
      <c r="I1307" s="23" t="s">
        <v>52</v>
      </c>
      <c r="J1307" s="23" t="s">
        <v>61</v>
      </c>
      <c r="K1307" s="24" t="s">
        <v>177</v>
      </c>
      <c r="L1307" s="24">
        <v>151</v>
      </c>
      <c r="M1307" s="12">
        <v>9243.7095453318543</v>
      </c>
      <c r="N1307" s="12">
        <v>9243.7095453318543</v>
      </c>
      <c r="O1307" s="12">
        <v>1756.3048136130528</v>
      </c>
      <c r="P1307" s="13"/>
      <c r="Q1307" s="14">
        <v>2025</v>
      </c>
      <c r="R1307" s="15">
        <v>45444</v>
      </c>
      <c r="S1307" s="11" t="s">
        <v>364</v>
      </c>
      <c r="T1307" s="16">
        <v>1000</v>
      </c>
      <c r="U1307" s="17"/>
      <c r="V1307" s="12">
        <v>2806.1129066763915</v>
      </c>
      <c r="W1307" s="12">
        <v>2806.1129066763915</v>
      </c>
      <c r="X1307" s="12">
        <v>0</v>
      </c>
      <c r="Y1307" s="18">
        <v>45824</v>
      </c>
      <c r="Z1307" s="13" t="s">
        <v>515</v>
      </c>
      <c r="AA1307" s="19" t="s">
        <v>373</v>
      </c>
      <c r="AB1307" s="13" t="s">
        <v>357</v>
      </c>
      <c r="AC1307" s="13" t="s">
        <v>577</v>
      </c>
      <c r="AD1307" s="20"/>
      <c r="AE1307" s="20"/>
      <c r="AF1307" s="13" t="s">
        <v>40</v>
      </c>
      <c r="AG1307" s="15">
        <v>45444</v>
      </c>
      <c r="AH1307" s="13" t="s">
        <v>41</v>
      </c>
      <c r="AI1307" s="13" t="s">
        <v>35</v>
      </c>
      <c r="AJ1307" s="13" t="s">
        <v>365</v>
      </c>
      <c r="AK1307" s="14">
        <v>-1</v>
      </c>
      <c r="AL1307" s="17"/>
      <c r="AM1307" s="17"/>
      <c r="AN1307" s="17"/>
      <c r="AO1307" s="17"/>
      <c r="AP1307" s="17"/>
      <c r="AQ1307" s="17"/>
      <c r="AR1307" s="17"/>
      <c r="AS1307" s="17"/>
      <c r="AT1307" s="17"/>
      <c r="AU1307" s="17"/>
      <c r="AV1307" s="17"/>
    </row>
    <row r="1308" spans="1:48" ht="15.75" customHeight="1">
      <c r="A1308" s="14" t="s">
        <v>35</v>
      </c>
      <c r="B1308" s="23" t="s">
        <v>1692</v>
      </c>
      <c r="C1308" s="22">
        <v>45826</v>
      </c>
      <c r="D1308" s="23" t="s">
        <v>576</v>
      </c>
      <c r="E1308" s="23" t="s">
        <v>46</v>
      </c>
      <c r="F1308" s="14">
        <v>1</v>
      </c>
      <c r="G1308" s="12">
        <v>6000.1548227279782</v>
      </c>
      <c r="H1308" s="12">
        <v>6000.1548227279782</v>
      </c>
      <c r="I1308" s="23" t="s">
        <v>52</v>
      </c>
      <c r="J1308" s="23" t="s">
        <v>61</v>
      </c>
      <c r="K1308" s="24" t="s">
        <v>177</v>
      </c>
      <c r="L1308" s="24">
        <v>151</v>
      </c>
      <c r="M1308" s="12">
        <v>5042.1469098554444</v>
      </c>
      <c r="N1308" s="12">
        <v>5042.1469098554444</v>
      </c>
      <c r="O1308" s="12">
        <v>958.00791287253378</v>
      </c>
      <c r="P1308" s="13"/>
      <c r="Q1308" s="14">
        <v>2025</v>
      </c>
      <c r="R1308" s="15">
        <v>45444</v>
      </c>
      <c r="S1308" s="11" t="s">
        <v>364</v>
      </c>
      <c r="T1308" s="16">
        <v>500</v>
      </c>
      <c r="U1308" s="17"/>
      <c r="V1308" s="12">
        <v>1785.4242207798129</v>
      </c>
      <c r="W1308" s="12">
        <v>1785.4242207798129</v>
      </c>
      <c r="X1308" s="12">
        <v>0</v>
      </c>
      <c r="Y1308" s="18">
        <v>45824</v>
      </c>
      <c r="Z1308" s="13" t="s">
        <v>515</v>
      </c>
      <c r="AA1308" s="19" t="s">
        <v>373</v>
      </c>
      <c r="AB1308" s="13" t="s">
        <v>357</v>
      </c>
      <c r="AC1308" s="13" t="s">
        <v>577</v>
      </c>
      <c r="AD1308" s="20"/>
      <c r="AE1308" s="20"/>
      <c r="AF1308" s="13" t="s">
        <v>40</v>
      </c>
      <c r="AG1308" s="15">
        <v>45444</v>
      </c>
      <c r="AH1308" s="13" t="s">
        <v>41</v>
      </c>
      <c r="AI1308" s="13" t="s">
        <v>35</v>
      </c>
      <c r="AJ1308" s="13" t="s">
        <v>365</v>
      </c>
      <c r="AK1308" s="14">
        <v>-0.5</v>
      </c>
      <c r="AL1308" s="17"/>
      <c r="AM1308" s="17"/>
      <c r="AN1308" s="17"/>
      <c r="AO1308" s="17"/>
      <c r="AP1308" s="17"/>
      <c r="AQ1308" s="17"/>
      <c r="AR1308" s="17"/>
      <c r="AS1308" s="17"/>
      <c r="AT1308" s="17"/>
      <c r="AU1308" s="17"/>
      <c r="AV1308" s="17"/>
    </row>
    <row r="1309" spans="1:48" ht="15.75" customHeight="1">
      <c r="A1309" s="21" t="s">
        <v>56</v>
      </c>
      <c r="B1309" s="23" t="s">
        <v>1692</v>
      </c>
      <c r="C1309" s="22">
        <v>45826</v>
      </c>
      <c r="D1309" s="23" t="s">
        <v>576</v>
      </c>
      <c r="E1309" s="23" t="s">
        <v>60</v>
      </c>
      <c r="F1309" s="21">
        <v>2</v>
      </c>
      <c r="G1309" s="12">
        <v>7000.0000000000018</v>
      </c>
      <c r="H1309" s="12">
        <v>14000.000000000004</v>
      </c>
      <c r="I1309" s="23" t="s">
        <v>52</v>
      </c>
      <c r="J1309" s="23" t="s">
        <v>61</v>
      </c>
      <c r="K1309" s="24" t="s">
        <v>177</v>
      </c>
      <c r="L1309" s="24">
        <v>151</v>
      </c>
      <c r="M1309" s="12">
        <v>5882.3529411764721</v>
      </c>
      <c r="N1309" s="12">
        <v>11764.705882352944</v>
      </c>
      <c r="O1309" s="12">
        <v>2235.2941176470595</v>
      </c>
      <c r="P1309" s="13"/>
      <c r="Q1309" s="14">
        <v>2025</v>
      </c>
      <c r="R1309" s="15">
        <v>45444</v>
      </c>
      <c r="S1309" s="11" t="s">
        <v>429</v>
      </c>
      <c r="T1309" s="16">
        <v>400</v>
      </c>
      <c r="U1309" s="17"/>
      <c r="V1309" s="12">
        <v>4161.3445378151282</v>
      </c>
      <c r="W1309" s="12">
        <v>4161.3445378151282</v>
      </c>
      <c r="X1309" s="12">
        <v>0</v>
      </c>
      <c r="Y1309" s="18">
        <v>45824</v>
      </c>
      <c r="Z1309" s="13" t="s">
        <v>515</v>
      </c>
      <c r="AA1309" s="19" t="s">
        <v>373</v>
      </c>
      <c r="AB1309" s="13" t="s">
        <v>357</v>
      </c>
      <c r="AC1309" s="13" t="s">
        <v>577</v>
      </c>
      <c r="AD1309" s="20"/>
      <c r="AE1309" s="20"/>
      <c r="AF1309" s="13" t="s">
        <v>40</v>
      </c>
      <c r="AG1309" s="15">
        <v>45444</v>
      </c>
      <c r="AH1309" s="13" t="s">
        <v>41</v>
      </c>
      <c r="AI1309" s="13" t="s">
        <v>56</v>
      </c>
      <c r="AJ1309" s="13" t="s">
        <v>430</v>
      </c>
      <c r="AK1309" s="14">
        <v>-4</v>
      </c>
      <c r="AL1309" s="17"/>
      <c r="AM1309" s="17"/>
      <c r="AN1309" s="17"/>
      <c r="AO1309" s="17"/>
      <c r="AP1309" s="17"/>
      <c r="AQ1309" s="17"/>
      <c r="AR1309" s="17"/>
      <c r="AS1309" s="17"/>
      <c r="AT1309" s="17"/>
      <c r="AU1309" s="17"/>
      <c r="AV1309" s="17"/>
    </row>
    <row r="1310" spans="1:48" ht="15.75" customHeight="1">
      <c r="A1310" s="21" t="s">
        <v>43</v>
      </c>
      <c r="B1310" s="23" t="s">
        <v>1692</v>
      </c>
      <c r="C1310" s="22">
        <v>45825</v>
      </c>
      <c r="D1310" s="23" t="s">
        <v>116</v>
      </c>
      <c r="E1310" s="23" t="s">
        <v>45</v>
      </c>
      <c r="F1310" s="21">
        <v>1</v>
      </c>
      <c r="G1310" s="12">
        <v>8199.8965351595689</v>
      </c>
      <c r="H1310" s="12">
        <v>8199.8965351595689</v>
      </c>
      <c r="I1310" s="23" t="s">
        <v>52</v>
      </c>
      <c r="J1310" s="23" t="s">
        <v>61</v>
      </c>
      <c r="K1310" s="24" t="s">
        <v>177</v>
      </c>
      <c r="L1310" s="24">
        <v>151</v>
      </c>
      <c r="M1310" s="12">
        <v>6890.6693572769491</v>
      </c>
      <c r="N1310" s="12">
        <v>6890.6693572769491</v>
      </c>
      <c r="O1310" s="12">
        <v>1309.2271778826198</v>
      </c>
      <c r="P1310" s="13"/>
      <c r="Q1310" s="14">
        <v>2025</v>
      </c>
      <c r="R1310" s="15">
        <v>45444</v>
      </c>
      <c r="S1310" s="11" t="s">
        <v>355</v>
      </c>
      <c r="T1310" s="16">
        <v>0</v>
      </c>
      <c r="U1310" s="17"/>
      <c r="V1310" s="12">
        <v>1296.3416261845123</v>
      </c>
      <c r="W1310" s="12">
        <v>1296.3416261845123</v>
      </c>
      <c r="X1310" s="12">
        <v>0</v>
      </c>
      <c r="Y1310" s="18">
        <v>45824</v>
      </c>
      <c r="Z1310" s="13" t="s">
        <v>516</v>
      </c>
      <c r="AA1310" s="19" t="s">
        <v>373</v>
      </c>
      <c r="AB1310" s="13" t="s">
        <v>357</v>
      </c>
      <c r="AC1310" s="13"/>
      <c r="AD1310" s="20"/>
      <c r="AE1310" s="20"/>
      <c r="AF1310" s="13" t="s">
        <v>40</v>
      </c>
      <c r="AG1310" s="15">
        <v>45444</v>
      </c>
      <c r="AH1310" s="13" t="s">
        <v>41</v>
      </c>
      <c r="AI1310" s="13" t="s">
        <v>43</v>
      </c>
      <c r="AJ1310" s="13" t="s">
        <v>359</v>
      </c>
      <c r="AK1310" s="14">
        <v>-1</v>
      </c>
      <c r="AL1310" s="17"/>
      <c r="AM1310" s="17"/>
      <c r="AN1310" s="17"/>
      <c r="AO1310" s="17"/>
      <c r="AP1310" s="17"/>
      <c r="AQ1310" s="17"/>
      <c r="AR1310" s="17"/>
      <c r="AS1310" s="17"/>
      <c r="AT1310" s="17"/>
      <c r="AU1310" s="17"/>
      <c r="AV1310" s="17"/>
    </row>
    <row r="1311" spans="1:48" ht="15.75" customHeight="1">
      <c r="A1311" s="21" t="s">
        <v>35</v>
      </c>
      <c r="B1311" s="23" t="s">
        <v>1692</v>
      </c>
      <c r="C1311" s="22">
        <v>45825</v>
      </c>
      <c r="D1311" s="23" t="s">
        <v>292</v>
      </c>
      <c r="E1311" s="23" t="s">
        <v>37</v>
      </c>
      <c r="F1311" s="21">
        <v>1</v>
      </c>
      <c r="G1311" s="12">
        <v>11000.014358944907</v>
      </c>
      <c r="H1311" s="12">
        <v>11000.014358944907</v>
      </c>
      <c r="I1311" s="23" t="s">
        <v>52</v>
      </c>
      <c r="J1311" s="23" t="s">
        <v>61</v>
      </c>
      <c r="K1311" s="24" t="s">
        <v>177</v>
      </c>
      <c r="L1311" s="24">
        <v>151</v>
      </c>
      <c r="M1311" s="12">
        <v>9243.7095453318543</v>
      </c>
      <c r="N1311" s="12">
        <v>9243.7095453318543</v>
      </c>
      <c r="O1311" s="12">
        <v>1756.3048136130528</v>
      </c>
      <c r="P1311" s="13"/>
      <c r="Q1311" s="14">
        <v>2025</v>
      </c>
      <c r="R1311" s="15">
        <v>45444</v>
      </c>
      <c r="S1311" s="11" t="s">
        <v>364</v>
      </c>
      <c r="T1311" s="16">
        <v>1000</v>
      </c>
      <c r="U1311" s="17"/>
      <c r="V1311" s="12">
        <v>2806.1129066763915</v>
      </c>
      <c r="W1311" s="12">
        <v>2806.1129066763915</v>
      </c>
      <c r="X1311" s="12">
        <v>0</v>
      </c>
      <c r="Y1311" s="18">
        <v>45824</v>
      </c>
      <c r="Z1311" s="13" t="s">
        <v>516</v>
      </c>
      <c r="AA1311" s="19" t="s">
        <v>356</v>
      </c>
      <c r="AB1311" s="13" t="s">
        <v>357</v>
      </c>
      <c r="AC1311" s="13" t="s">
        <v>383</v>
      </c>
      <c r="AD1311" s="20"/>
      <c r="AE1311" s="20"/>
      <c r="AF1311" s="13" t="s">
        <v>40</v>
      </c>
      <c r="AG1311" s="15">
        <v>45444</v>
      </c>
      <c r="AH1311" s="13" t="s">
        <v>41</v>
      </c>
      <c r="AI1311" s="13" t="s">
        <v>35</v>
      </c>
      <c r="AJ1311" s="13" t="s">
        <v>365</v>
      </c>
      <c r="AK1311" s="14">
        <v>-1</v>
      </c>
      <c r="AL1311" s="17"/>
      <c r="AM1311" s="17"/>
      <c r="AN1311" s="17"/>
      <c r="AO1311" s="17"/>
      <c r="AP1311" s="17"/>
      <c r="AQ1311" s="17"/>
      <c r="AR1311" s="17"/>
      <c r="AS1311" s="17"/>
      <c r="AT1311" s="17"/>
      <c r="AU1311" s="17"/>
      <c r="AV1311" s="17"/>
    </row>
    <row r="1312" spans="1:48" ht="15.75" customHeight="1">
      <c r="A1312" s="21" t="s">
        <v>43</v>
      </c>
      <c r="B1312" s="23" t="s">
        <v>1692</v>
      </c>
      <c r="C1312" s="22">
        <v>45825</v>
      </c>
      <c r="D1312" s="23" t="s">
        <v>292</v>
      </c>
      <c r="E1312" s="23" t="s">
        <v>45</v>
      </c>
      <c r="F1312" s="21">
        <v>1</v>
      </c>
      <c r="G1312" s="12">
        <v>8199.8965351595689</v>
      </c>
      <c r="H1312" s="12">
        <v>8199.8965351595689</v>
      </c>
      <c r="I1312" s="23" t="s">
        <v>52</v>
      </c>
      <c r="J1312" s="23" t="s">
        <v>61</v>
      </c>
      <c r="K1312" s="24" t="s">
        <v>177</v>
      </c>
      <c r="L1312" s="24">
        <v>151</v>
      </c>
      <c r="M1312" s="12">
        <v>6890.6693572769491</v>
      </c>
      <c r="N1312" s="12">
        <v>6890.6693572769491</v>
      </c>
      <c r="O1312" s="12">
        <v>1309.2271778826198</v>
      </c>
      <c r="P1312" s="13"/>
      <c r="Q1312" s="14">
        <v>2025</v>
      </c>
      <c r="R1312" s="15">
        <v>45444</v>
      </c>
      <c r="S1312" s="11" t="s">
        <v>355</v>
      </c>
      <c r="T1312" s="16">
        <v>0</v>
      </c>
      <c r="U1312" s="17"/>
      <c r="V1312" s="12">
        <v>1296.3416261845123</v>
      </c>
      <c r="W1312" s="12">
        <v>1296.3416261845123</v>
      </c>
      <c r="X1312" s="12">
        <v>0</v>
      </c>
      <c r="Y1312" s="18">
        <v>45824</v>
      </c>
      <c r="Z1312" s="13" t="s">
        <v>516</v>
      </c>
      <c r="AA1312" s="19" t="s">
        <v>356</v>
      </c>
      <c r="AB1312" s="13" t="s">
        <v>357</v>
      </c>
      <c r="AC1312" s="13" t="s">
        <v>383</v>
      </c>
      <c r="AD1312" s="20"/>
      <c r="AE1312" s="20"/>
      <c r="AF1312" s="13" t="s">
        <v>40</v>
      </c>
      <c r="AG1312" s="15">
        <v>45444</v>
      </c>
      <c r="AH1312" s="13" t="s">
        <v>41</v>
      </c>
      <c r="AI1312" s="13" t="s">
        <v>43</v>
      </c>
      <c r="AJ1312" s="13" t="s">
        <v>359</v>
      </c>
      <c r="AK1312" s="14">
        <v>-1</v>
      </c>
      <c r="AL1312" s="17"/>
      <c r="AM1312" s="17"/>
      <c r="AN1312" s="17"/>
      <c r="AO1312" s="17"/>
      <c r="AP1312" s="17"/>
      <c r="AQ1312" s="17"/>
      <c r="AR1312" s="17"/>
      <c r="AS1312" s="17"/>
      <c r="AT1312" s="17"/>
      <c r="AU1312" s="17"/>
      <c r="AV1312" s="17"/>
    </row>
    <row r="1313" spans="1:48" ht="15.75" customHeight="1">
      <c r="A1313" s="21" t="s">
        <v>35</v>
      </c>
      <c r="B1313" s="23" t="s">
        <v>1692</v>
      </c>
      <c r="C1313" s="25">
        <v>45824</v>
      </c>
      <c r="D1313" s="23" t="s">
        <v>122</v>
      </c>
      <c r="E1313" s="23" t="s">
        <v>37</v>
      </c>
      <c r="F1313" s="21">
        <v>1</v>
      </c>
      <c r="G1313" s="12">
        <v>11000.014358944907</v>
      </c>
      <c r="H1313" s="12">
        <v>11000.014358944907</v>
      </c>
      <c r="I1313" s="23" t="s">
        <v>52</v>
      </c>
      <c r="J1313" s="23" t="s">
        <v>61</v>
      </c>
      <c r="K1313" s="24" t="s">
        <v>177</v>
      </c>
      <c r="L1313" s="24">
        <v>151</v>
      </c>
      <c r="M1313" s="12">
        <v>9243.7095453318543</v>
      </c>
      <c r="N1313" s="12">
        <v>9243.7095453318543</v>
      </c>
      <c r="O1313" s="12">
        <v>1756.3048136130528</v>
      </c>
      <c r="P1313" s="13"/>
      <c r="Q1313" s="14">
        <v>2025</v>
      </c>
      <c r="R1313" s="15">
        <v>45444</v>
      </c>
      <c r="S1313" s="11" t="s">
        <v>364</v>
      </c>
      <c r="T1313" s="16">
        <v>1000</v>
      </c>
      <c r="U1313" s="17"/>
      <c r="V1313" s="12">
        <v>2806.1129066763915</v>
      </c>
      <c r="W1313" s="12">
        <v>2806.1129066763915</v>
      </c>
      <c r="X1313" s="12">
        <v>0</v>
      </c>
      <c r="Y1313" s="18">
        <v>45824</v>
      </c>
      <c r="Z1313" s="13" t="s">
        <v>523</v>
      </c>
      <c r="AA1313" s="19" t="s">
        <v>361</v>
      </c>
      <c r="AB1313" s="13" t="s">
        <v>357</v>
      </c>
      <c r="AC1313" s="13" t="s">
        <v>362</v>
      </c>
      <c r="AD1313" s="20"/>
      <c r="AE1313" s="20"/>
      <c r="AF1313" s="13" t="s">
        <v>40</v>
      </c>
      <c r="AG1313" s="15">
        <v>45444</v>
      </c>
      <c r="AH1313" s="13" t="s">
        <v>41</v>
      </c>
      <c r="AI1313" s="13" t="s">
        <v>35</v>
      </c>
      <c r="AJ1313" s="13" t="s">
        <v>365</v>
      </c>
      <c r="AK1313" s="14">
        <v>-1</v>
      </c>
      <c r="AL1313" s="17"/>
      <c r="AM1313" s="17"/>
      <c r="AN1313" s="17"/>
      <c r="AO1313" s="17"/>
      <c r="AP1313" s="17"/>
      <c r="AQ1313" s="17"/>
      <c r="AR1313" s="17"/>
      <c r="AS1313" s="17"/>
      <c r="AT1313" s="17"/>
      <c r="AU1313" s="17"/>
      <c r="AV1313" s="17"/>
    </row>
    <row r="1314" spans="1:48" ht="15.75" customHeight="1">
      <c r="A1314" s="21" t="s">
        <v>35</v>
      </c>
      <c r="B1314" s="23" t="s">
        <v>1692</v>
      </c>
      <c r="C1314" s="25">
        <v>45824</v>
      </c>
      <c r="D1314" s="23" t="s">
        <v>80</v>
      </c>
      <c r="E1314" s="23" t="s">
        <v>46</v>
      </c>
      <c r="F1314" s="21">
        <v>1</v>
      </c>
      <c r="G1314" s="12">
        <v>6000.1548227279782</v>
      </c>
      <c r="H1314" s="12">
        <v>6000.1548227279782</v>
      </c>
      <c r="I1314" s="23" t="s">
        <v>52</v>
      </c>
      <c r="J1314" s="23" t="s">
        <v>61</v>
      </c>
      <c r="K1314" s="24" t="s">
        <v>177</v>
      </c>
      <c r="L1314" s="24">
        <v>151</v>
      </c>
      <c r="M1314" s="12">
        <v>5042.1469098554444</v>
      </c>
      <c r="N1314" s="12">
        <v>5042.1469098554444</v>
      </c>
      <c r="O1314" s="12">
        <v>958.00791287253378</v>
      </c>
      <c r="P1314" s="13"/>
      <c r="Q1314" s="14">
        <v>2025</v>
      </c>
      <c r="R1314" s="15">
        <v>45444</v>
      </c>
      <c r="S1314" s="11" t="s">
        <v>364</v>
      </c>
      <c r="T1314" s="16">
        <v>500</v>
      </c>
      <c r="U1314" s="17"/>
      <c r="V1314" s="12">
        <v>1785.4242207798129</v>
      </c>
      <c r="W1314" s="12">
        <v>1785.4242207798129</v>
      </c>
      <c r="X1314" s="12">
        <v>0</v>
      </c>
      <c r="Y1314" s="18">
        <v>45824</v>
      </c>
      <c r="Z1314" s="13" t="s">
        <v>523</v>
      </c>
      <c r="AA1314" s="19" t="s">
        <v>361</v>
      </c>
      <c r="AB1314" s="13" t="s">
        <v>357</v>
      </c>
      <c r="AC1314" s="13" t="s">
        <v>362</v>
      </c>
      <c r="AD1314" s="20"/>
      <c r="AE1314" s="20"/>
      <c r="AF1314" s="13" t="s">
        <v>40</v>
      </c>
      <c r="AG1314" s="15">
        <v>45444</v>
      </c>
      <c r="AH1314" s="13" t="s">
        <v>41</v>
      </c>
      <c r="AI1314" s="13" t="s">
        <v>35</v>
      </c>
      <c r="AJ1314" s="13" t="s">
        <v>365</v>
      </c>
      <c r="AK1314" s="14">
        <v>-0.5</v>
      </c>
      <c r="AL1314" s="17"/>
      <c r="AM1314" s="17"/>
      <c r="AN1314" s="17"/>
      <c r="AO1314" s="17"/>
      <c r="AP1314" s="17"/>
      <c r="AQ1314" s="17"/>
      <c r="AR1314" s="17"/>
      <c r="AS1314" s="17"/>
      <c r="AT1314" s="17"/>
      <c r="AU1314" s="17"/>
      <c r="AV1314" s="17"/>
    </row>
    <row r="1315" spans="1:48" ht="15.75" customHeight="1">
      <c r="A1315" s="21" t="s">
        <v>43</v>
      </c>
      <c r="B1315" s="23" t="s">
        <v>1692</v>
      </c>
      <c r="C1315" s="25">
        <v>45824</v>
      </c>
      <c r="D1315" s="23" t="s">
        <v>80</v>
      </c>
      <c r="E1315" s="23" t="s">
        <v>45</v>
      </c>
      <c r="F1315" s="21">
        <v>1</v>
      </c>
      <c r="G1315" s="12">
        <v>8199.8965351595689</v>
      </c>
      <c r="H1315" s="12">
        <v>8199.8965351595689</v>
      </c>
      <c r="I1315" s="23" t="s">
        <v>52</v>
      </c>
      <c r="J1315" s="23" t="s">
        <v>61</v>
      </c>
      <c r="K1315" s="24" t="s">
        <v>177</v>
      </c>
      <c r="L1315" s="24">
        <v>151</v>
      </c>
      <c r="M1315" s="12">
        <v>6890.6693572769491</v>
      </c>
      <c r="N1315" s="12">
        <v>6890.6693572769491</v>
      </c>
      <c r="O1315" s="12">
        <v>1309.2271778826198</v>
      </c>
      <c r="P1315" s="13"/>
      <c r="Q1315" s="14">
        <v>2025</v>
      </c>
      <c r="R1315" s="15">
        <v>45444</v>
      </c>
      <c r="S1315" s="11" t="s">
        <v>355</v>
      </c>
      <c r="T1315" s="16">
        <v>0</v>
      </c>
      <c r="U1315" s="17"/>
      <c r="V1315" s="12">
        <v>1296.3416261845123</v>
      </c>
      <c r="W1315" s="12">
        <v>1296.3416261845123</v>
      </c>
      <c r="X1315" s="12">
        <v>0</v>
      </c>
      <c r="Y1315" s="18">
        <v>45824</v>
      </c>
      <c r="Z1315" s="13" t="s">
        <v>523</v>
      </c>
      <c r="AA1315" s="19" t="s">
        <v>361</v>
      </c>
      <c r="AB1315" s="13" t="s">
        <v>357</v>
      </c>
      <c r="AC1315" s="13" t="s">
        <v>362</v>
      </c>
      <c r="AD1315" s="20"/>
      <c r="AE1315" s="20"/>
      <c r="AF1315" s="13" t="s">
        <v>40</v>
      </c>
      <c r="AG1315" s="15">
        <v>45444</v>
      </c>
      <c r="AH1315" s="13" t="s">
        <v>41</v>
      </c>
      <c r="AI1315" s="13" t="s">
        <v>43</v>
      </c>
      <c r="AJ1315" s="13" t="s">
        <v>359</v>
      </c>
      <c r="AK1315" s="14">
        <v>-1</v>
      </c>
      <c r="AL1315" s="17"/>
      <c r="AM1315" s="17"/>
      <c r="AN1315" s="17"/>
      <c r="AO1315" s="17"/>
      <c r="AP1315" s="17"/>
      <c r="AQ1315" s="17"/>
      <c r="AR1315" s="17"/>
      <c r="AS1315" s="17"/>
      <c r="AT1315" s="17"/>
      <c r="AU1315" s="17"/>
      <c r="AV1315" s="17"/>
    </row>
    <row r="1316" spans="1:48" ht="15.75" customHeight="1">
      <c r="A1316" s="21" t="s">
        <v>47</v>
      </c>
      <c r="B1316" s="23" t="s">
        <v>1692</v>
      </c>
      <c r="C1316" s="25">
        <v>45824</v>
      </c>
      <c r="D1316" s="23" t="s">
        <v>152</v>
      </c>
      <c r="E1316" s="23" t="s">
        <v>531</v>
      </c>
      <c r="F1316" s="21">
        <v>1</v>
      </c>
      <c r="G1316" s="12">
        <v>8699.5893440033688</v>
      </c>
      <c r="H1316" s="12">
        <v>8699.5893440033688</v>
      </c>
      <c r="I1316" s="23" t="s">
        <v>52</v>
      </c>
      <c r="J1316" s="23" t="s">
        <v>61</v>
      </c>
      <c r="K1316" s="24" t="s">
        <v>177</v>
      </c>
      <c r="L1316" s="24">
        <v>151</v>
      </c>
      <c r="M1316" s="12">
        <v>7310.5792806751006</v>
      </c>
      <c r="N1316" s="12">
        <v>7310.5792806751006</v>
      </c>
      <c r="O1316" s="12">
        <v>1389.0100633282682</v>
      </c>
      <c r="P1316" s="13"/>
      <c r="Q1316" s="14">
        <v>2025</v>
      </c>
      <c r="R1316" s="15">
        <v>45444</v>
      </c>
      <c r="S1316" s="11" t="s">
        <v>453</v>
      </c>
      <c r="T1316" s="16">
        <v>0</v>
      </c>
      <c r="U1316" s="17"/>
      <c r="V1316" s="12">
        <v>2450.5792806751006</v>
      </c>
      <c r="W1316" s="12">
        <v>2450.5792806751006</v>
      </c>
      <c r="X1316" s="12">
        <v>0</v>
      </c>
      <c r="Y1316" s="18">
        <v>45824</v>
      </c>
      <c r="Z1316" s="13" t="s">
        <v>523</v>
      </c>
      <c r="AA1316" s="19" t="s">
        <v>373</v>
      </c>
      <c r="AB1316" s="13" t="s">
        <v>357</v>
      </c>
      <c r="AC1316" s="13" t="s">
        <v>383</v>
      </c>
      <c r="AD1316" s="20"/>
      <c r="AE1316" s="20"/>
      <c r="AF1316" s="13" t="s">
        <v>40</v>
      </c>
      <c r="AG1316" s="15">
        <v>45444</v>
      </c>
      <c r="AH1316" s="13" t="s">
        <v>41</v>
      </c>
      <c r="AI1316" s="13" t="s">
        <v>47</v>
      </c>
      <c r="AJ1316" s="13" t="s">
        <v>460</v>
      </c>
      <c r="AK1316" s="14">
        <v>-3</v>
      </c>
      <c r="AL1316" s="17"/>
      <c r="AM1316" s="17"/>
      <c r="AN1316" s="17"/>
      <c r="AO1316" s="17"/>
      <c r="AP1316" s="17"/>
      <c r="AQ1316" s="17"/>
      <c r="AR1316" s="17"/>
      <c r="AS1316" s="17"/>
      <c r="AT1316" s="17"/>
      <c r="AU1316" s="17"/>
      <c r="AV1316" s="17"/>
    </row>
    <row r="1317" spans="1:48" ht="15.75" customHeight="1">
      <c r="A1317" s="21" t="s">
        <v>47</v>
      </c>
      <c r="B1317" s="23" t="s">
        <v>1692</v>
      </c>
      <c r="C1317" s="25">
        <v>45824</v>
      </c>
      <c r="D1317" s="23" t="s">
        <v>214</v>
      </c>
      <c r="E1317" s="23" t="s">
        <v>511</v>
      </c>
      <c r="F1317" s="21">
        <v>5</v>
      </c>
      <c r="G1317" s="12">
        <v>2700.0952628388322</v>
      </c>
      <c r="H1317" s="12">
        <v>13500.476314194162</v>
      </c>
      <c r="I1317" s="23" t="s">
        <v>52</v>
      </c>
      <c r="J1317" s="23" t="s">
        <v>61</v>
      </c>
      <c r="K1317" s="11" t="s">
        <v>86</v>
      </c>
      <c r="L1317" s="24">
        <v>87</v>
      </c>
      <c r="M1317" s="12">
        <v>2268.9876158309517</v>
      </c>
      <c r="N1317" s="12">
        <v>11344.938079154759</v>
      </c>
      <c r="O1317" s="12">
        <v>2155.5382350394029</v>
      </c>
      <c r="P1317" s="13"/>
      <c r="Q1317" s="14">
        <v>2025</v>
      </c>
      <c r="R1317" s="15">
        <v>45444</v>
      </c>
      <c r="S1317" s="11" t="s">
        <v>512</v>
      </c>
      <c r="T1317" s="16">
        <v>0</v>
      </c>
      <c r="U1317" s="17"/>
      <c r="V1317" s="12">
        <v>3484.9380791547583</v>
      </c>
      <c r="W1317" s="12">
        <v>3484.9380791547583</v>
      </c>
      <c r="X1317" s="12">
        <v>0</v>
      </c>
      <c r="Y1317" s="18">
        <v>45824</v>
      </c>
      <c r="Z1317" s="13" t="s">
        <v>523</v>
      </c>
      <c r="AA1317" s="19" t="s">
        <v>373</v>
      </c>
      <c r="AB1317" s="13" t="s">
        <v>394</v>
      </c>
      <c r="AC1317" s="13" t="s">
        <v>578</v>
      </c>
      <c r="AD1317" s="20"/>
      <c r="AE1317" s="20"/>
      <c r="AF1317" s="13" t="s">
        <v>40</v>
      </c>
      <c r="AG1317" s="15">
        <v>45444</v>
      </c>
      <c r="AH1317" s="13" t="s">
        <v>41</v>
      </c>
      <c r="AI1317" s="13" t="s">
        <v>47</v>
      </c>
      <c r="AJ1317" s="13" t="s">
        <v>513</v>
      </c>
      <c r="AK1317" s="14">
        <v>-5</v>
      </c>
      <c r="AL1317" s="17"/>
      <c r="AM1317" s="17"/>
      <c r="AN1317" s="17"/>
      <c r="AO1317" s="17"/>
      <c r="AP1317" s="17"/>
      <c r="AQ1317" s="17"/>
      <c r="AR1317" s="17"/>
      <c r="AS1317" s="17"/>
      <c r="AT1317" s="17"/>
      <c r="AU1317" s="17"/>
      <c r="AV1317" s="17"/>
    </row>
    <row r="1318" spans="1:48" ht="15.75" customHeight="1">
      <c r="A1318" s="21" t="s">
        <v>64</v>
      </c>
      <c r="B1318" s="23" t="s">
        <v>1692</v>
      </c>
      <c r="C1318" s="25">
        <v>45824</v>
      </c>
      <c r="D1318" s="23" t="s">
        <v>104</v>
      </c>
      <c r="E1318" s="23" t="s">
        <v>65</v>
      </c>
      <c r="F1318" s="14">
        <v>1</v>
      </c>
      <c r="G1318" s="12">
        <v>8199.8794599807134</v>
      </c>
      <c r="H1318" s="12">
        <v>8199.8794599807134</v>
      </c>
      <c r="I1318" s="23" t="s">
        <v>52</v>
      </c>
      <c r="J1318" s="23" t="s">
        <v>61</v>
      </c>
      <c r="K1318" s="24" t="s">
        <v>177</v>
      </c>
      <c r="L1318" s="24">
        <v>151</v>
      </c>
      <c r="M1318" s="12">
        <v>6890.6550083871543</v>
      </c>
      <c r="N1318" s="12">
        <v>6890.6550083871543</v>
      </c>
      <c r="O1318" s="12">
        <v>1309.224451593559</v>
      </c>
      <c r="P1318" s="13"/>
      <c r="Q1318" s="14">
        <v>2025</v>
      </c>
      <c r="R1318" s="15">
        <v>45444</v>
      </c>
      <c r="S1318" s="11" t="s">
        <v>64</v>
      </c>
      <c r="T1318" s="16">
        <v>1</v>
      </c>
      <c r="U1318" s="17"/>
      <c r="V1318" s="12">
        <v>1174.1676134291711</v>
      </c>
      <c r="W1318" s="12">
        <v>1174.1676134291711</v>
      </c>
      <c r="X1318" s="12">
        <v>0</v>
      </c>
      <c r="Y1318" s="18">
        <v>45824</v>
      </c>
      <c r="Z1318" s="13" t="s">
        <v>523</v>
      </c>
      <c r="AA1318" s="19" t="s">
        <v>373</v>
      </c>
      <c r="AB1318" s="13" t="s">
        <v>357</v>
      </c>
      <c r="AC1318" s="13" t="s">
        <v>383</v>
      </c>
      <c r="AD1318" s="20"/>
      <c r="AE1318" s="20"/>
      <c r="AF1318" s="13" t="s">
        <v>40</v>
      </c>
      <c r="AG1318" s="15">
        <v>45444</v>
      </c>
      <c r="AH1318" s="13" t="s">
        <v>41</v>
      </c>
      <c r="AI1318" s="13" t="s">
        <v>64</v>
      </c>
      <c r="AJ1318" s="13" t="s">
        <v>543</v>
      </c>
      <c r="AK1318" s="14">
        <v>-1</v>
      </c>
      <c r="AL1318" s="17"/>
      <c r="AM1318" s="17"/>
      <c r="AN1318" s="17"/>
      <c r="AO1318" s="17"/>
      <c r="AP1318" s="17"/>
      <c r="AQ1318" s="17"/>
      <c r="AR1318" s="17"/>
      <c r="AS1318" s="17"/>
      <c r="AT1318" s="17"/>
      <c r="AU1318" s="17"/>
      <c r="AV1318" s="17"/>
    </row>
    <row r="1319" spans="1:48" ht="15.75" customHeight="1">
      <c r="A1319" s="21" t="s">
        <v>35</v>
      </c>
      <c r="B1319" s="23" t="s">
        <v>1692</v>
      </c>
      <c r="C1319" s="25">
        <v>45824</v>
      </c>
      <c r="D1319" s="23" t="s">
        <v>96</v>
      </c>
      <c r="E1319" s="23" t="s">
        <v>37</v>
      </c>
      <c r="F1319" s="21">
        <v>1</v>
      </c>
      <c r="G1319" s="12">
        <v>11000.014358944907</v>
      </c>
      <c r="H1319" s="12">
        <v>11000.014358944907</v>
      </c>
      <c r="I1319" s="23" t="s">
        <v>52</v>
      </c>
      <c r="J1319" s="23" t="s">
        <v>61</v>
      </c>
      <c r="K1319" s="24" t="s">
        <v>177</v>
      </c>
      <c r="L1319" s="24">
        <v>151</v>
      </c>
      <c r="M1319" s="12">
        <v>9243.7095453318543</v>
      </c>
      <c r="N1319" s="12">
        <v>9243.7095453318543</v>
      </c>
      <c r="O1319" s="12">
        <v>1756.3048136130528</v>
      </c>
      <c r="P1319" s="13"/>
      <c r="Q1319" s="14">
        <v>2025</v>
      </c>
      <c r="R1319" s="15">
        <v>45444</v>
      </c>
      <c r="S1319" s="11" t="s">
        <v>364</v>
      </c>
      <c r="T1319" s="16">
        <v>1000</v>
      </c>
      <c r="U1319" s="17"/>
      <c r="V1319" s="12">
        <v>2806.1129066763915</v>
      </c>
      <c r="W1319" s="12">
        <v>2806.1129066763915</v>
      </c>
      <c r="X1319" s="12">
        <v>0</v>
      </c>
      <c r="Y1319" s="18">
        <v>45824</v>
      </c>
      <c r="Z1319" s="13" t="s">
        <v>523</v>
      </c>
      <c r="AA1319" s="19" t="s">
        <v>373</v>
      </c>
      <c r="AB1319" s="13" t="s">
        <v>357</v>
      </c>
      <c r="AC1319" s="13" t="s">
        <v>374</v>
      </c>
      <c r="AD1319" s="20"/>
      <c r="AE1319" s="20"/>
      <c r="AF1319" s="13" t="s">
        <v>40</v>
      </c>
      <c r="AG1319" s="15">
        <v>45444</v>
      </c>
      <c r="AH1319" s="13" t="s">
        <v>41</v>
      </c>
      <c r="AI1319" s="13" t="s">
        <v>35</v>
      </c>
      <c r="AJ1319" s="13" t="s">
        <v>365</v>
      </c>
      <c r="AK1319" s="14">
        <v>-1</v>
      </c>
      <c r="AL1319" s="17"/>
      <c r="AM1319" s="17"/>
      <c r="AN1319" s="17"/>
      <c r="AO1319" s="17"/>
      <c r="AP1319" s="17"/>
      <c r="AQ1319" s="17"/>
      <c r="AR1319" s="17"/>
      <c r="AS1319" s="17"/>
      <c r="AT1319" s="17"/>
      <c r="AU1319" s="17"/>
      <c r="AV1319" s="17"/>
    </row>
    <row r="1320" spans="1:48" ht="15.75" customHeight="1">
      <c r="A1320" s="21" t="s">
        <v>43</v>
      </c>
      <c r="B1320" s="23" t="s">
        <v>1692</v>
      </c>
      <c r="C1320" s="25">
        <v>45824</v>
      </c>
      <c r="D1320" s="23" t="s">
        <v>96</v>
      </c>
      <c r="E1320" s="23" t="s">
        <v>45</v>
      </c>
      <c r="F1320" s="21">
        <v>1</v>
      </c>
      <c r="G1320" s="12">
        <v>8199.8965351595689</v>
      </c>
      <c r="H1320" s="12">
        <v>8199.8965351595689</v>
      </c>
      <c r="I1320" s="23" t="s">
        <v>52</v>
      </c>
      <c r="J1320" s="23" t="s">
        <v>61</v>
      </c>
      <c r="K1320" s="24" t="s">
        <v>177</v>
      </c>
      <c r="L1320" s="24">
        <v>151</v>
      </c>
      <c r="M1320" s="12">
        <v>6890.6693572769491</v>
      </c>
      <c r="N1320" s="12">
        <v>6890.6693572769491</v>
      </c>
      <c r="O1320" s="12">
        <v>1309.2271778826198</v>
      </c>
      <c r="P1320" s="13"/>
      <c r="Q1320" s="14">
        <v>2025</v>
      </c>
      <c r="R1320" s="15">
        <v>45444</v>
      </c>
      <c r="S1320" s="11" t="s">
        <v>355</v>
      </c>
      <c r="T1320" s="16">
        <v>0</v>
      </c>
      <c r="U1320" s="17"/>
      <c r="V1320" s="12">
        <v>1296.3416261845123</v>
      </c>
      <c r="W1320" s="12">
        <v>1296.3416261845123</v>
      </c>
      <c r="X1320" s="12">
        <v>0</v>
      </c>
      <c r="Y1320" s="18">
        <v>45824</v>
      </c>
      <c r="Z1320" s="13" t="s">
        <v>523</v>
      </c>
      <c r="AA1320" s="19" t="s">
        <v>373</v>
      </c>
      <c r="AB1320" s="13" t="s">
        <v>357</v>
      </c>
      <c r="AC1320" s="13" t="s">
        <v>374</v>
      </c>
      <c r="AD1320" s="20"/>
      <c r="AE1320" s="20"/>
      <c r="AF1320" s="13" t="s">
        <v>40</v>
      </c>
      <c r="AG1320" s="15">
        <v>45444</v>
      </c>
      <c r="AH1320" s="13" t="s">
        <v>41</v>
      </c>
      <c r="AI1320" s="13" t="s">
        <v>43</v>
      </c>
      <c r="AJ1320" s="13" t="s">
        <v>359</v>
      </c>
      <c r="AK1320" s="14">
        <v>-1</v>
      </c>
      <c r="AL1320" s="17"/>
      <c r="AM1320" s="17"/>
      <c r="AN1320" s="17"/>
      <c r="AO1320" s="17"/>
      <c r="AP1320" s="17"/>
      <c r="AQ1320" s="17"/>
      <c r="AR1320" s="17"/>
      <c r="AS1320" s="17"/>
      <c r="AT1320" s="17"/>
      <c r="AU1320" s="17"/>
      <c r="AV1320" s="17"/>
    </row>
    <row r="1321" spans="1:48" ht="15.75" customHeight="1">
      <c r="A1321" s="21" t="s">
        <v>47</v>
      </c>
      <c r="B1321" s="23" t="s">
        <v>1692</v>
      </c>
      <c r="C1321" s="25">
        <v>45824</v>
      </c>
      <c r="D1321" s="23" t="s">
        <v>96</v>
      </c>
      <c r="E1321" s="23" t="s">
        <v>295</v>
      </c>
      <c r="F1321" s="21">
        <v>2</v>
      </c>
      <c r="G1321" s="12">
        <v>2599.7755362977696</v>
      </c>
      <c r="H1321" s="12">
        <v>5199.5510725955392</v>
      </c>
      <c r="I1321" s="23" t="s">
        <v>52</v>
      </c>
      <c r="J1321" s="23" t="s">
        <v>61</v>
      </c>
      <c r="K1321" s="24" t="s">
        <v>177</v>
      </c>
      <c r="L1321" s="24">
        <v>151</v>
      </c>
      <c r="M1321" s="12">
        <v>2184.6853246199744</v>
      </c>
      <c r="N1321" s="12">
        <v>4369.3706492399488</v>
      </c>
      <c r="O1321" s="12">
        <v>830.18042335559039</v>
      </c>
      <c r="P1321" s="13"/>
      <c r="Q1321" s="14">
        <v>2025</v>
      </c>
      <c r="R1321" s="15">
        <v>45444</v>
      </c>
      <c r="S1321" s="11" t="s">
        <v>372</v>
      </c>
      <c r="T1321" s="16">
        <v>0</v>
      </c>
      <c r="U1321" s="17"/>
      <c r="V1321" s="12">
        <v>1293.7706492399489</v>
      </c>
      <c r="W1321" s="12">
        <v>1293.7706492399489</v>
      </c>
      <c r="X1321" s="12">
        <v>0</v>
      </c>
      <c r="Y1321" s="18">
        <v>45824</v>
      </c>
      <c r="Z1321" s="13" t="s">
        <v>523</v>
      </c>
      <c r="AA1321" s="19" t="s">
        <v>373</v>
      </c>
      <c r="AB1321" s="13" t="s">
        <v>357</v>
      </c>
      <c r="AC1321" s="13" t="s">
        <v>374</v>
      </c>
      <c r="AD1321" s="20"/>
      <c r="AE1321" s="20"/>
      <c r="AF1321" s="13" t="s">
        <v>40</v>
      </c>
      <c r="AG1321" s="15">
        <v>45444</v>
      </c>
      <c r="AH1321" s="13" t="s">
        <v>41</v>
      </c>
      <c r="AI1321" s="13" t="s">
        <v>47</v>
      </c>
      <c r="AJ1321" s="13" t="s">
        <v>375</v>
      </c>
      <c r="AK1321" s="14">
        <v>-2</v>
      </c>
      <c r="AL1321" s="17"/>
      <c r="AM1321" s="17"/>
      <c r="AN1321" s="17"/>
      <c r="AO1321" s="17"/>
      <c r="AP1321" s="17"/>
      <c r="AQ1321" s="17"/>
      <c r="AR1321" s="17"/>
      <c r="AS1321" s="17"/>
      <c r="AT1321" s="17"/>
      <c r="AU1321" s="17"/>
      <c r="AV1321" s="17"/>
    </row>
    <row r="1322" spans="1:48" ht="15.75" customHeight="1">
      <c r="A1322" s="21" t="s">
        <v>47</v>
      </c>
      <c r="B1322" s="23" t="s">
        <v>1692</v>
      </c>
      <c r="C1322" s="25">
        <v>45824</v>
      </c>
      <c r="D1322" s="23" t="s">
        <v>96</v>
      </c>
      <c r="E1322" s="23" t="s">
        <v>94</v>
      </c>
      <c r="F1322" s="21">
        <v>1</v>
      </c>
      <c r="G1322" s="12">
        <v>1650.3649635036495</v>
      </c>
      <c r="H1322" s="12">
        <v>1650.3649635036495</v>
      </c>
      <c r="I1322" s="23" t="s">
        <v>52</v>
      </c>
      <c r="J1322" s="23" t="s">
        <v>61</v>
      </c>
      <c r="K1322" s="24" t="s">
        <v>177</v>
      </c>
      <c r="L1322" s="24">
        <v>151</v>
      </c>
      <c r="M1322" s="12">
        <v>1386.861313868613</v>
      </c>
      <c r="N1322" s="12">
        <v>1386.861313868613</v>
      </c>
      <c r="O1322" s="12">
        <v>263.50364963503648</v>
      </c>
      <c r="P1322" s="13"/>
      <c r="Q1322" s="14">
        <v>2025</v>
      </c>
      <c r="R1322" s="15">
        <v>45444</v>
      </c>
      <c r="S1322" s="11" t="s">
        <v>384</v>
      </c>
      <c r="T1322" s="16">
        <v>0</v>
      </c>
      <c r="U1322" s="17"/>
      <c r="V1322" s="12">
        <v>436.86131386861302</v>
      </c>
      <c r="W1322" s="12">
        <v>436.86131386861302</v>
      </c>
      <c r="X1322" s="12">
        <v>0</v>
      </c>
      <c r="Y1322" s="18">
        <v>45824</v>
      </c>
      <c r="Z1322" s="13" t="s">
        <v>523</v>
      </c>
      <c r="AA1322" s="19" t="s">
        <v>373</v>
      </c>
      <c r="AB1322" s="13" t="s">
        <v>357</v>
      </c>
      <c r="AC1322" s="13" t="s">
        <v>374</v>
      </c>
      <c r="AD1322" s="20"/>
      <c r="AE1322" s="20"/>
      <c r="AF1322" s="13" t="s">
        <v>40</v>
      </c>
      <c r="AG1322" s="15">
        <v>45444</v>
      </c>
      <c r="AH1322" s="13" t="s">
        <v>41</v>
      </c>
      <c r="AI1322" s="13" t="s">
        <v>47</v>
      </c>
      <c r="AJ1322" s="13" t="s">
        <v>385</v>
      </c>
      <c r="AK1322" s="14">
        <v>-3</v>
      </c>
      <c r="AL1322" s="17"/>
      <c r="AM1322" s="17"/>
      <c r="AN1322" s="17"/>
      <c r="AO1322" s="17"/>
      <c r="AP1322" s="17"/>
      <c r="AQ1322" s="17"/>
      <c r="AR1322" s="17"/>
      <c r="AS1322" s="17"/>
      <c r="AT1322" s="17"/>
      <c r="AU1322" s="17"/>
      <c r="AV1322" s="17"/>
    </row>
    <row r="1323" spans="1:48" ht="15.75" customHeight="1">
      <c r="A1323" s="21" t="s">
        <v>47</v>
      </c>
      <c r="B1323" s="23" t="s">
        <v>1692</v>
      </c>
      <c r="C1323" s="25">
        <v>45824</v>
      </c>
      <c r="D1323" s="23" t="s">
        <v>96</v>
      </c>
      <c r="E1323" s="23" t="s">
        <v>98</v>
      </c>
      <c r="F1323" s="21">
        <v>1</v>
      </c>
      <c r="G1323" s="12">
        <v>2600.0000000000005</v>
      </c>
      <c r="H1323" s="12">
        <v>2600.0000000000005</v>
      </c>
      <c r="I1323" s="23" t="s">
        <v>52</v>
      </c>
      <c r="J1323" s="23" t="s">
        <v>61</v>
      </c>
      <c r="K1323" s="24" t="s">
        <v>177</v>
      </c>
      <c r="L1323" s="24">
        <v>151</v>
      </c>
      <c r="M1323" s="12">
        <v>2184.8739495798322</v>
      </c>
      <c r="N1323" s="12">
        <v>2184.8739495798322</v>
      </c>
      <c r="O1323" s="12">
        <v>415.12605042016821</v>
      </c>
      <c r="P1323" s="13"/>
      <c r="Q1323" s="14">
        <v>2025</v>
      </c>
      <c r="R1323" s="15">
        <v>45444</v>
      </c>
      <c r="S1323" s="11" t="s">
        <v>479</v>
      </c>
      <c r="T1323" s="16">
        <v>0</v>
      </c>
      <c r="U1323" s="17"/>
      <c r="V1323" s="12">
        <v>1052.1008403361348</v>
      </c>
      <c r="W1323" s="12">
        <v>1052.1008403361348</v>
      </c>
      <c r="X1323" s="12">
        <v>0</v>
      </c>
      <c r="Y1323" s="18">
        <v>45824</v>
      </c>
      <c r="Z1323" s="13" t="s">
        <v>523</v>
      </c>
      <c r="AA1323" s="19" t="s">
        <v>373</v>
      </c>
      <c r="AB1323" s="13" t="s">
        <v>357</v>
      </c>
      <c r="AC1323" s="13" t="s">
        <v>374</v>
      </c>
      <c r="AD1323" s="20"/>
      <c r="AE1323" s="20"/>
      <c r="AF1323" s="13" t="s">
        <v>40</v>
      </c>
      <c r="AG1323" s="15">
        <v>45444</v>
      </c>
      <c r="AH1323" s="13" t="s">
        <v>41</v>
      </c>
      <c r="AI1323" s="13" t="s">
        <v>47</v>
      </c>
      <c r="AJ1323" s="13" t="s">
        <v>480</v>
      </c>
      <c r="AK1323" s="14">
        <v>-1</v>
      </c>
      <c r="AL1323" s="17"/>
      <c r="AM1323" s="17"/>
      <c r="AN1323" s="17"/>
      <c r="AO1323" s="17"/>
      <c r="AP1323" s="17"/>
      <c r="AQ1323" s="17"/>
      <c r="AR1323" s="17"/>
      <c r="AS1323" s="17"/>
      <c r="AT1323" s="17"/>
      <c r="AU1323" s="17"/>
      <c r="AV1323" s="17"/>
    </row>
    <row r="1324" spans="1:48" ht="15.75" customHeight="1">
      <c r="A1324" s="21" t="s">
        <v>76</v>
      </c>
      <c r="B1324" s="23" t="s">
        <v>1692</v>
      </c>
      <c r="C1324" s="25">
        <v>45824</v>
      </c>
      <c r="D1324" s="23" t="s">
        <v>96</v>
      </c>
      <c r="E1324" s="23" t="s">
        <v>349</v>
      </c>
      <c r="F1324" s="21">
        <v>1</v>
      </c>
      <c r="G1324" s="12">
        <v>3999.8127946357149</v>
      </c>
      <c r="H1324" s="12">
        <v>3999.8127946357149</v>
      </c>
      <c r="I1324" s="23" t="s">
        <v>52</v>
      </c>
      <c r="J1324" s="23" t="s">
        <v>61</v>
      </c>
      <c r="K1324" s="24" t="s">
        <v>177</v>
      </c>
      <c r="L1324" s="24">
        <v>151</v>
      </c>
      <c r="M1324" s="12">
        <v>3361.1872223829537</v>
      </c>
      <c r="N1324" s="12">
        <v>3361.1872223829537</v>
      </c>
      <c r="O1324" s="12">
        <v>638.62557225276123</v>
      </c>
      <c r="P1324" s="13"/>
      <c r="Q1324" s="14">
        <v>2025</v>
      </c>
      <c r="R1324" s="15">
        <v>45444</v>
      </c>
      <c r="S1324" s="11" t="s">
        <v>550</v>
      </c>
      <c r="T1324" s="16">
        <v>5</v>
      </c>
      <c r="U1324" s="17"/>
      <c r="V1324" s="12">
        <v>1386.1872223829537</v>
      </c>
      <c r="W1324" s="12">
        <v>1386.1872223829537</v>
      </c>
      <c r="X1324" s="12">
        <v>0</v>
      </c>
      <c r="Y1324" s="18">
        <v>45824</v>
      </c>
      <c r="Z1324" s="13" t="s">
        <v>523</v>
      </c>
      <c r="AA1324" s="19" t="s">
        <v>373</v>
      </c>
      <c r="AB1324" s="13" t="s">
        <v>357</v>
      </c>
      <c r="AC1324" s="13" t="s">
        <v>374</v>
      </c>
      <c r="AD1324" s="20"/>
      <c r="AE1324" s="20"/>
      <c r="AF1324" s="13" t="s">
        <v>40</v>
      </c>
      <c r="AG1324" s="15">
        <v>45444</v>
      </c>
      <c r="AH1324" s="13" t="s">
        <v>41</v>
      </c>
      <c r="AI1324" s="13" t="s">
        <v>76</v>
      </c>
      <c r="AJ1324" s="13" t="s">
        <v>551</v>
      </c>
      <c r="AK1324" s="14">
        <v>-1</v>
      </c>
      <c r="AL1324" s="17"/>
      <c r="AM1324" s="17"/>
      <c r="AN1324" s="17"/>
      <c r="AO1324" s="17"/>
      <c r="AP1324" s="17"/>
      <c r="AQ1324" s="17"/>
      <c r="AR1324" s="17"/>
      <c r="AS1324" s="17"/>
      <c r="AT1324" s="17"/>
      <c r="AU1324" s="17"/>
      <c r="AV1324" s="17"/>
    </row>
    <row r="1325" spans="1:48" ht="15.75" customHeight="1">
      <c r="A1325" s="21" t="s">
        <v>53</v>
      </c>
      <c r="B1325" s="23" t="s">
        <v>1692</v>
      </c>
      <c r="C1325" s="25">
        <v>45824</v>
      </c>
      <c r="D1325" s="23" t="s">
        <v>96</v>
      </c>
      <c r="E1325" s="23" t="s">
        <v>97</v>
      </c>
      <c r="F1325" s="21">
        <v>1</v>
      </c>
      <c r="G1325" s="12">
        <v>16500.236769693482</v>
      </c>
      <c r="H1325" s="12">
        <v>16500.236769693482</v>
      </c>
      <c r="I1325" s="23" t="s">
        <v>52</v>
      </c>
      <c r="J1325" s="23" t="s">
        <v>61</v>
      </c>
      <c r="K1325" s="24" t="s">
        <v>177</v>
      </c>
      <c r="L1325" s="24">
        <v>151</v>
      </c>
      <c r="M1325" s="12">
        <v>13865.745184616371</v>
      </c>
      <c r="N1325" s="12">
        <v>13865.745184616371</v>
      </c>
      <c r="O1325" s="12">
        <v>2634.4915850771104</v>
      </c>
      <c r="P1325" s="13"/>
      <c r="Q1325" s="14">
        <v>2025</v>
      </c>
      <c r="R1325" s="15">
        <v>45444</v>
      </c>
      <c r="S1325" s="11" t="s">
        <v>366</v>
      </c>
      <c r="T1325" s="16">
        <v>0</v>
      </c>
      <c r="U1325" s="17"/>
      <c r="V1325" s="12">
        <v>3031.7451846163694</v>
      </c>
      <c r="W1325" s="12">
        <v>3031.7451846163694</v>
      </c>
      <c r="X1325" s="12">
        <v>0</v>
      </c>
      <c r="Y1325" s="18">
        <v>45824</v>
      </c>
      <c r="Z1325" s="13" t="s">
        <v>523</v>
      </c>
      <c r="AA1325" s="19" t="s">
        <v>373</v>
      </c>
      <c r="AB1325" s="13" t="s">
        <v>357</v>
      </c>
      <c r="AC1325" s="13" t="s">
        <v>374</v>
      </c>
      <c r="AD1325" s="20"/>
      <c r="AE1325" s="20"/>
      <c r="AF1325" s="13" t="s">
        <v>40</v>
      </c>
      <c r="AG1325" s="15">
        <v>45444</v>
      </c>
      <c r="AH1325" s="13" t="s">
        <v>41</v>
      </c>
      <c r="AI1325" s="13" t="s">
        <v>53</v>
      </c>
      <c r="AJ1325" s="13" t="s">
        <v>368</v>
      </c>
      <c r="AK1325" s="14">
        <v>-6</v>
      </c>
      <c r="AL1325" s="17"/>
      <c r="AM1325" s="17"/>
      <c r="AN1325" s="17"/>
      <c r="AO1325" s="17"/>
      <c r="AP1325" s="17"/>
      <c r="AQ1325" s="17"/>
      <c r="AR1325" s="17"/>
      <c r="AS1325" s="17"/>
      <c r="AT1325" s="17"/>
      <c r="AU1325" s="17"/>
      <c r="AV1325" s="17"/>
    </row>
    <row r="1326" spans="1:48" ht="15.75" customHeight="1">
      <c r="A1326" s="21" t="s">
        <v>53</v>
      </c>
      <c r="B1326" s="23" t="s">
        <v>1692</v>
      </c>
      <c r="C1326" s="25">
        <v>45824</v>
      </c>
      <c r="D1326" s="23" t="s">
        <v>96</v>
      </c>
      <c r="E1326" s="23" t="s">
        <v>69</v>
      </c>
      <c r="F1326" s="21">
        <v>1</v>
      </c>
      <c r="G1326" s="12">
        <v>2999.9553810458683</v>
      </c>
      <c r="H1326" s="12">
        <v>2999.9553810458683</v>
      </c>
      <c r="I1326" s="23" t="s">
        <v>52</v>
      </c>
      <c r="J1326" s="23" t="s">
        <v>61</v>
      </c>
      <c r="K1326" s="24" t="s">
        <v>177</v>
      </c>
      <c r="L1326" s="24">
        <v>151</v>
      </c>
      <c r="M1326" s="12">
        <v>2520.9709084419064</v>
      </c>
      <c r="N1326" s="12">
        <v>2520.9709084419064</v>
      </c>
      <c r="O1326" s="12">
        <v>478.98447260396188</v>
      </c>
      <c r="P1326" s="13"/>
      <c r="Q1326" s="14">
        <v>2025</v>
      </c>
      <c r="R1326" s="15">
        <v>45444</v>
      </c>
      <c r="S1326" s="11" t="s">
        <v>376</v>
      </c>
      <c r="T1326" s="16">
        <v>0</v>
      </c>
      <c r="U1326" s="17"/>
      <c r="V1326" s="12">
        <v>825.97090844190598</v>
      </c>
      <c r="W1326" s="12">
        <v>825.97090844190598</v>
      </c>
      <c r="X1326" s="12">
        <v>0</v>
      </c>
      <c r="Y1326" s="18">
        <v>45824</v>
      </c>
      <c r="Z1326" s="13" t="s">
        <v>523</v>
      </c>
      <c r="AA1326" s="19" t="s">
        <v>373</v>
      </c>
      <c r="AB1326" s="13" t="s">
        <v>357</v>
      </c>
      <c r="AC1326" s="13" t="s">
        <v>374</v>
      </c>
      <c r="AD1326" s="20"/>
      <c r="AE1326" s="20"/>
      <c r="AF1326" s="13" t="s">
        <v>40</v>
      </c>
      <c r="AG1326" s="15">
        <v>45444</v>
      </c>
      <c r="AH1326" s="13" t="s">
        <v>41</v>
      </c>
      <c r="AI1326" s="13" t="s">
        <v>53</v>
      </c>
      <c r="AJ1326" s="13" t="s">
        <v>377</v>
      </c>
      <c r="AK1326" s="14">
        <v>-1</v>
      </c>
      <c r="AL1326" s="17"/>
      <c r="AM1326" s="17"/>
      <c r="AN1326" s="17"/>
      <c r="AO1326" s="17"/>
      <c r="AP1326" s="17"/>
      <c r="AQ1326" s="17"/>
      <c r="AR1326" s="17"/>
      <c r="AS1326" s="17"/>
      <c r="AT1326" s="17"/>
      <c r="AU1326" s="17"/>
      <c r="AV1326" s="17"/>
    </row>
    <row r="1327" spans="1:48" ht="15.75" customHeight="1">
      <c r="A1327" s="21" t="s">
        <v>53</v>
      </c>
      <c r="B1327" s="23" t="s">
        <v>1692</v>
      </c>
      <c r="C1327" s="25">
        <v>45824</v>
      </c>
      <c r="D1327" s="23" t="s">
        <v>96</v>
      </c>
      <c r="E1327" s="23" t="s">
        <v>150</v>
      </c>
      <c r="F1327" s="21">
        <v>1</v>
      </c>
      <c r="G1327" s="12">
        <v>1799.8965445892823</v>
      </c>
      <c r="H1327" s="12">
        <v>1799.8965445892823</v>
      </c>
      <c r="I1327" s="23" t="s">
        <v>52</v>
      </c>
      <c r="J1327" s="23" t="s">
        <v>61</v>
      </c>
      <c r="K1327" s="24" t="s">
        <v>177</v>
      </c>
      <c r="L1327" s="24">
        <v>151</v>
      </c>
      <c r="M1327" s="12">
        <v>1512.518104696876</v>
      </c>
      <c r="N1327" s="12">
        <v>1512.518104696876</v>
      </c>
      <c r="O1327" s="12">
        <v>287.37843989240628</v>
      </c>
      <c r="P1327" s="13"/>
      <c r="Q1327" s="14">
        <v>2025</v>
      </c>
      <c r="R1327" s="15">
        <v>45444</v>
      </c>
      <c r="S1327" s="11" t="s">
        <v>381</v>
      </c>
      <c r="T1327" s="16">
        <v>300</v>
      </c>
      <c r="U1327" s="17"/>
      <c r="V1327" s="12">
        <v>781.51810469687575</v>
      </c>
      <c r="W1327" s="12">
        <v>781.51810469687575</v>
      </c>
      <c r="X1327" s="12">
        <v>0</v>
      </c>
      <c r="Y1327" s="18">
        <v>45824</v>
      </c>
      <c r="Z1327" s="13" t="s">
        <v>523</v>
      </c>
      <c r="AA1327" s="19" t="s">
        <v>373</v>
      </c>
      <c r="AB1327" s="13" t="s">
        <v>357</v>
      </c>
      <c r="AC1327" s="13" t="s">
        <v>374</v>
      </c>
      <c r="AD1327" s="20"/>
      <c r="AE1327" s="20"/>
      <c r="AF1327" s="13" t="s">
        <v>40</v>
      </c>
      <c r="AG1327" s="15">
        <v>45444</v>
      </c>
      <c r="AH1327" s="13" t="s">
        <v>41</v>
      </c>
      <c r="AI1327" s="13" t="s">
        <v>53</v>
      </c>
      <c r="AJ1327" s="13" t="s">
        <v>382</v>
      </c>
      <c r="AK1327" s="14">
        <v>-1</v>
      </c>
      <c r="AL1327" s="17"/>
      <c r="AM1327" s="17"/>
      <c r="AN1327" s="17"/>
      <c r="AO1327" s="17"/>
      <c r="AP1327" s="17"/>
      <c r="AQ1327" s="17"/>
      <c r="AR1327" s="17"/>
      <c r="AS1327" s="17"/>
      <c r="AT1327" s="17"/>
      <c r="AU1327" s="17"/>
      <c r="AV1327" s="17"/>
    </row>
    <row r="1328" spans="1:48" ht="15.75" customHeight="1">
      <c r="A1328" s="21" t="s">
        <v>76</v>
      </c>
      <c r="B1328" s="23" t="s">
        <v>1692</v>
      </c>
      <c r="C1328" s="25">
        <v>45824</v>
      </c>
      <c r="D1328" s="23" t="s">
        <v>96</v>
      </c>
      <c r="E1328" s="23" t="s">
        <v>101</v>
      </c>
      <c r="F1328" s="21">
        <v>1</v>
      </c>
      <c r="G1328" s="12">
        <v>1599.969512195122</v>
      </c>
      <c r="H1328" s="12">
        <v>1599.969512195122</v>
      </c>
      <c r="I1328" s="23" t="s">
        <v>52</v>
      </c>
      <c r="J1328" s="23" t="s">
        <v>61</v>
      </c>
      <c r="K1328" s="24" t="s">
        <v>177</v>
      </c>
      <c r="L1328" s="24">
        <v>151</v>
      </c>
      <c r="M1328" s="12">
        <v>1344.5121951219512</v>
      </c>
      <c r="N1328" s="12">
        <v>1344.5121951219512</v>
      </c>
      <c r="O1328" s="12">
        <v>255.45731707317077</v>
      </c>
      <c r="P1328" s="13"/>
      <c r="Q1328" s="14">
        <v>2025</v>
      </c>
      <c r="R1328" s="15">
        <v>45444</v>
      </c>
      <c r="S1328" s="11" t="s">
        <v>482</v>
      </c>
      <c r="T1328" s="16">
        <v>800</v>
      </c>
      <c r="U1328" s="17"/>
      <c r="V1328" s="12">
        <v>462.51219512195121</v>
      </c>
      <c r="W1328" s="12">
        <v>462.51219512195121</v>
      </c>
      <c r="X1328" s="12">
        <v>0</v>
      </c>
      <c r="Y1328" s="18">
        <v>45824</v>
      </c>
      <c r="Z1328" s="13" t="s">
        <v>523</v>
      </c>
      <c r="AA1328" s="19" t="s">
        <v>373</v>
      </c>
      <c r="AB1328" s="13" t="s">
        <v>357</v>
      </c>
      <c r="AC1328" s="13" t="s">
        <v>374</v>
      </c>
      <c r="AD1328" s="20"/>
      <c r="AE1328" s="20"/>
      <c r="AF1328" s="13" t="s">
        <v>40</v>
      </c>
      <c r="AG1328" s="15">
        <v>45444</v>
      </c>
      <c r="AH1328" s="13" t="s">
        <v>41</v>
      </c>
      <c r="AI1328" s="13" t="s">
        <v>76</v>
      </c>
      <c r="AJ1328" s="13" t="s">
        <v>485</v>
      </c>
      <c r="AK1328" s="14">
        <v>-1</v>
      </c>
      <c r="AL1328" s="17"/>
      <c r="AM1328" s="17"/>
      <c r="AN1328" s="17"/>
      <c r="AO1328" s="17"/>
      <c r="AP1328" s="17"/>
      <c r="AQ1328" s="17"/>
      <c r="AR1328" s="17"/>
      <c r="AS1328" s="17"/>
      <c r="AT1328" s="17"/>
      <c r="AU1328" s="17"/>
      <c r="AV1328" s="17"/>
    </row>
    <row r="1329" spans="1:48" ht="15.75" customHeight="1">
      <c r="A1329" s="21" t="s">
        <v>76</v>
      </c>
      <c r="B1329" s="23" t="s">
        <v>1692</v>
      </c>
      <c r="C1329" s="25">
        <v>45824</v>
      </c>
      <c r="D1329" s="23" t="s">
        <v>96</v>
      </c>
      <c r="E1329" s="23" t="s">
        <v>102</v>
      </c>
      <c r="F1329" s="21">
        <v>1</v>
      </c>
      <c r="G1329" s="12">
        <v>1599.969512195122</v>
      </c>
      <c r="H1329" s="12">
        <v>1599.969512195122</v>
      </c>
      <c r="I1329" s="23" t="s">
        <v>52</v>
      </c>
      <c r="J1329" s="23" t="s">
        <v>61</v>
      </c>
      <c r="K1329" s="24" t="s">
        <v>177</v>
      </c>
      <c r="L1329" s="24">
        <v>151</v>
      </c>
      <c r="M1329" s="12">
        <v>1344.5121951219512</v>
      </c>
      <c r="N1329" s="12">
        <v>1344.5121951219512</v>
      </c>
      <c r="O1329" s="12">
        <v>255.45731707317077</v>
      </c>
      <c r="P1329" s="13"/>
      <c r="Q1329" s="14">
        <v>2025</v>
      </c>
      <c r="R1329" s="15">
        <v>45444</v>
      </c>
      <c r="S1329" s="11" t="s">
        <v>482</v>
      </c>
      <c r="T1329" s="16">
        <v>800</v>
      </c>
      <c r="U1329" s="17"/>
      <c r="V1329" s="12">
        <v>462.51219512195121</v>
      </c>
      <c r="W1329" s="12">
        <v>462.51219512195121</v>
      </c>
      <c r="X1329" s="12">
        <v>0</v>
      </c>
      <c r="Y1329" s="18">
        <v>45824</v>
      </c>
      <c r="Z1329" s="13" t="s">
        <v>523</v>
      </c>
      <c r="AA1329" s="19" t="s">
        <v>373</v>
      </c>
      <c r="AB1329" s="13" t="s">
        <v>357</v>
      </c>
      <c r="AC1329" s="13" t="s">
        <v>374</v>
      </c>
      <c r="AD1329" s="20"/>
      <c r="AE1329" s="20"/>
      <c r="AF1329" s="13" t="s">
        <v>40</v>
      </c>
      <c r="AG1329" s="15">
        <v>45444</v>
      </c>
      <c r="AH1329" s="13" t="s">
        <v>41</v>
      </c>
      <c r="AI1329" s="13" t="s">
        <v>76</v>
      </c>
      <c r="AJ1329" s="13" t="s">
        <v>484</v>
      </c>
      <c r="AK1329" s="14">
        <v>-1</v>
      </c>
      <c r="AL1329" s="17"/>
      <c r="AM1329" s="17"/>
      <c r="AN1329" s="17"/>
      <c r="AO1329" s="17"/>
      <c r="AP1329" s="17"/>
      <c r="AQ1329" s="17"/>
      <c r="AR1329" s="17"/>
      <c r="AS1329" s="17"/>
      <c r="AT1329" s="17"/>
      <c r="AU1329" s="17"/>
      <c r="AV1329" s="17"/>
    </row>
    <row r="1330" spans="1:48" ht="15.75" customHeight="1">
      <c r="A1330" s="21" t="s">
        <v>47</v>
      </c>
      <c r="B1330" s="23" t="s">
        <v>1692</v>
      </c>
      <c r="C1330" s="25">
        <v>45824</v>
      </c>
      <c r="D1330" s="23" t="s">
        <v>96</v>
      </c>
      <c r="E1330" s="23" t="s">
        <v>48</v>
      </c>
      <c r="F1330" s="21">
        <v>1</v>
      </c>
      <c r="G1330" s="12">
        <v>1000</v>
      </c>
      <c r="H1330" s="12">
        <v>1000</v>
      </c>
      <c r="I1330" s="23" t="s">
        <v>52</v>
      </c>
      <c r="J1330" s="23" t="s">
        <v>61</v>
      </c>
      <c r="K1330" s="24" t="s">
        <v>177</v>
      </c>
      <c r="L1330" s="24">
        <v>151</v>
      </c>
      <c r="M1330" s="12">
        <v>840.3361344537816</v>
      </c>
      <c r="N1330" s="12">
        <v>840.3361344537816</v>
      </c>
      <c r="O1330" s="12">
        <v>159.6638655462184</v>
      </c>
      <c r="P1330" s="13"/>
      <c r="Q1330" s="14">
        <v>2025</v>
      </c>
      <c r="R1330" s="15">
        <v>45444</v>
      </c>
      <c r="S1330" s="11" t="s">
        <v>416</v>
      </c>
      <c r="T1330" s="16">
        <v>0</v>
      </c>
      <c r="U1330" s="17"/>
      <c r="V1330" s="12">
        <v>330.33613445378148</v>
      </c>
      <c r="W1330" s="12">
        <v>330.33613445378148</v>
      </c>
      <c r="X1330" s="12">
        <v>0</v>
      </c>
      <c r="Y1330" s="18">
        <v>45824</v>
      </c>
      <c r="Z1330" s="13" t="s">
        <v>523</v>
      </c>
      <c r="AA1330" s="19" t="s">
        <v>373</v>
      </c>
      <c r="AB1330" s="13" t="s">
        <v>357</v>
      </c>
      <c r="AC1330" s="13" t="s">
        <v>374</v>
      </c>
      <c r="AD1330" s="20"/>
      <c r="AE1330" s="20"/>
      <c r="AF1330" s="13" t="s">
        <v>40</v>
      </c>
      <c r="AG1330" s="15">
        <v>45444</v>
      </c>
      <c r="AH1330" s="13" t="s">
        <v>41</v>
      </c>
      <c r="AI1330" s="13" t="s">
        <v>47</v>
      </c>
      <c r="AJ1330" s="13" t="s">
        <v>417</v>
      </c>
      <c r="AK1330" s="14">
        <v>-5</v>
      </c>
      <c r="AL1330" s="17"/>
      <c r="AM1330" s="17"/>
      <c r="AN1330" s="17"/>
      <c r="AO1330" s="17"/>
      <c r="AP1330" s="17"/>
      <c r="AQ1330" s="17"/>
      <c r="AR1330" s="17"/>
      <c r="AS1330" s="17"/>
      <c r="AT1330" s="17"/>
      <c r="AU1330" s="17"/>
      <c r="AV1330" s="17"/>
    </row>
    <row r="1331" spans="1:48" ht="15.75" customHeight="1">
      <c r="A1331" s="21" t="s">
        <v>47</v>
      </c>
      <c r="B1331" s="23" t="s">
        <v>1692</v>
      </c>
      <c r="C1331" s="25">
        <v>45824</v>
      </c>
      <c r="D1331" s="23" t="s">
        <v>96</v>
      </c>
      <c r="E1331" s="23" t="s">
        <v>100</v>
      </c>
      <c r="F1331" s="21">
        <v>2</v>
      </c>
      <c r="G1331" s="12">
        <v>650.00000000000011</v>
      </c>
      <c r="H1331" s="12">
        <v>1300.0000000000002</v>
      </c>
      <c r="I1331" s="23" t="s">
        <v>52</v>
      </c>
      <c r="J1331" s="23" t="s">
        <v>61</v>
      </c>
      <c r="K1331" s="24" t="s">
        <v>177</v>
      </c>
      <c r="L1331" s="24">
        <v>151</v>
      </c>
      <c r="M1331" s="12">
        <v>546.21848739495806</v>
      </c>
      <c r="N1331" s="12">
        <v>1092.4369747899161</v>
      </c>
      <c r="O1331" s="12">
        <v>207.56302521008411</v>
      </c>
      <c r="P1331" s="13"/>
      <c r="Q1331" s="14">
        <v>2025</v>
      </c>
      <c r="R1331" s="15">
        <v>45444</v>
      </c>
      <c r="S1331" s="11" t="s">
        <v>453</v>
      </c>
      <c r="T1331" s="16">
        <v>0</v>
      </c>
      <c r="U1331" s="17"/>
      <c r="V1331" s="12">
        <v>462.18487394957992</v>
      </c>
      <c r="W1331" s="12">
        <v>462.18487394957992</v>
      </c>
      <c r="X1331" s="12">
        <v>0</v>
      </c>
      <c r="Y1331" s="18">
        <v>45824</v>
      </c>
      <c r="Z1331" s="13" t="s">
        <v>523</v>
      </c>
      <c r="AA1331" s="19" t="s">
        <v>373</v>
      </c>
      <c r="AB1331" s="13" t="s">
        <v>357</v>
      </c>
      <c r="AC1331" s="13" t="s">
        <v>374</v>
      </c>
      <c r="AD1331" s="20"/>
      <c r="AE1331" s="20"/>
      <c r="AF1331" s="13" t="s">
        <v>40</v>
      </c>
      <c r="AG1331" s="15">
        <v>45444</v>
      </c>
      <c r="AH1331" s="13" t="s">
        <v>41</v>
      </c>
      <c r="AI1331" s="13" t="s">
        <v>47</v>
      </c>
      <c r="AJ1331" s="13" t="s">
        <v>454</v>
      </c>
      <c r="AK1331" s="14">
        <v>-2</v>
      </c>
      <c r="AL1331" s="17"/>
      <c r="AM1331" s="17"/>
      <c r="AN1331" s="17"/>
      <c r="AO1331" s="17"/>
      <c r="AP1331" s="17"/>
      <c r="AQ1331" s="17"/>
      <c r="AR1331" s="17"/>
      <c r="AS1331" s="17"/>
      <c r="AT1331" s="17"/>
      <c r="AU1331" s="17"/>
      <c r="AV1331" s="17"/>
    </row>
    <row r="1332" spans="1:48" ht="15.75" customHeight="1">
      <c r="A1332" s="21" t="s">
        <v>47</v>
      </c>
      <c r="B1332" s="23" t="s">
        <v>1692</v>
      </c>
      <c r="C1332" s="25">
        <v>45824</v>
      </c>
      <c r="D1332" s="23" t="s">
        <v>96</v>
      </c>
      <c r="E1332" s="23" t="s">
        <v>99</v>
      </c>
      <c r="F1332" s="21">
        <v>2</v>
      </c>
      <c r="G1332" s="12">
        <v>1200</v>
      </c>
      <c r="H1332" s="12">
        <v>2400</v>
      </c>
      <c r="I1332" s="23" t="s">
        <v>52</v>
      </c>
      <c r="J1332" s="23" t="s">
        <v>61</v>
      </c>
      <c r="K1332" s="24" t="s">
        <v>177</v>
      </c>
      <c r="L1332" s="24">
        <v>151</v>
      </c>
      <c r="M1332" s="12">
        <v>1008.4033613445379</v>
      </c>
      <c r="N1332" s="12">
        <v>2016.8067226890757</v>
      </c>
      <c r="O1332" s="12">
        <v>383.19327731092426</v>
      </c>
      <c r="P1332" s="13"/>
      <c r="Q1332" s="14">
        <v>2025</v>
      </c>
      <c r="R1332" s="15">
        <v>45444</v>
      </c>
      <c r="S1332" s="11" t="s">
        <v>453</v>
      </c>
      <c r="T1332" s="16">
        <v>0</v>
      </c>
      <c r="U1332" s="17"/>
      <c r="V1332" s="12">
        <v>588.23529411764707</v>
      </c>
      <c r="W1332" s="12">
        <v>588.23529411764707</v>
      </c>
      <c r="X1332" s="12">
        <v>0</v>
      </c>
      <c r="Y1332" s="18">
        <v>45824</v>
      </c>
      <c r="Z1332" s="13" t="s">
        <v>523</v>
      </c>
      <c r="AA1332" s="19" t="s">
        <v>373</v>
      </c>
      <c r="AB1332" s="13" t="s">
        <v>357</v>
      </c>
      <c r="AC1332" s="13" t="s">
        <v>374</v>
      </c>
      <c r="AD1332" s="20"/>
      <c r="AE1332" s="20"/>
      <c r="AF1332" s="13" t="s">
        <v>40</v>
      </c>
      <c r="AG1332" s="15">
        <v>45444</v>
      </c>
      <c r="AH1332" s="13" t="s">
        <v>41</v>
      </c>
      <c r="AI1332" s="13" t="s">
        <v>47</v>
      </c>
      <c r="AJ1332" s="13" t="s">
        <v>487</v>
      </c>
      <c r="AK1332" s="14">
        <v>-2</v>
      </c>
      <c r="AL1332" s="17"/>
      <c r="AM1332" s="17"/>
      <c r="AN1332" s="17"/>
      <c r="AO1332" s="17"/>
      <c r="AP1332" s="17"/>
      <c r="AQ1332" s="17"/>
      <c r="AR1332" s="17"/>
      <c r="AS1332" s="17"/>
      <c r="AT1332" s="17"/>
      <c r="AU1332" s="17"/>
      <c r="AV1332" s="17"/>
    </row>
    <row r="1333" spans="1:48" ht="15.75" customHeight="1">
      <c r="A1333" s="21" t="s">
        <v>53</v>
      </c>
      <c r="B1333" s="23" t="s">
        <v>1692</v>
      </c>
      <c r="C1333" s="25">
        <v>45824</v>
      </c>
      <c r="D1333" s="23" t="s">
        <v>245</v>
      </c>
      <c r="E1333" s="23" t="s">
        <v>97</v>
      </c>
      <c r="F1333" s="21">
        <v>1</v>
      </c>
      <c r="G1333" s="12">
        <v>16500.236769693482</v>
      </c>
      <c r="H1333" s="12">
        <v>16500.236769693482</v>
      </c>
      <c r="I1333" s="23" t="s">
        <v>52</v>
      </c>
      <c r="J1333" s="23" t="s">
        <v>61</v>
      </c>
      <c r="K1333" s="24" t="s">
        <v>177</v>
      </c>
      <c r="L1333" s="24">
        <v>151</v>
      </c>
      <c r="M1333" s="12">
        <v>13865.745184616371</v>
      </c>
      <c r="N1333" s="12">
        <v>13865.745184616371</v>
      </c>
      <c r="O1333" s="12">
        <v>2634.4915850771104</v>
      </c>
      <c r="P1333" s="13"/>
      <c r="Q1333" s="14">
        <v>2025</v>
      </c>
      <c r="R1333" s="15">
        <v>45444</v>
      </c>
      <c r="S1333" s="11" t="s">
        <v>366</v>
      </c>
      <c r="T1333" s="16">
        <v>0</v>
      </c>
      <c r="U1333" s="17"/>
      <c r="V1333" s="12">
        <v>3031.7451846163694</v>
      </c>
      <c r="W1333" s="12">
        <v>3031.7451846163694</v>
      </c>
      <c r="X1333" s="12">
        <v>0</v>
      </c>
      <c r="Y1333" s="18">
        <v>45824</v>
      </c>
      <c r="Z1333" s="13" t="s">
        <v>523</v>
      </c>
      <c r="AA1333" s="19" t="s">
        <v>373</v>
      </c>
      <c r="AB1333" s="13" t="s">
        <v>357</v>
      </c>
      <c r="AC1333" s="13" t="s">
        <v>489</v>
      </c>
      <c r="AD1333" s="20"/>
      <c r="AE1333" s="20"/>
      <c r="AF1333" s="13" t="s">
        <v>40</v>
      </c>
      <c r="AG1333" s="15">
        <v>45444</v>
      </c>
      <c r="AH1333" s="13" t="s">
        <v>41</v>
      </c>
      <c r="AI1333" s="13" t="s">
        <v>53</v>
      </c>
      <c r="AJ1333" s="13" t="s">
        <v>368</v>
      </c>
      <c r="AK1333" s="14">
        <v>-6</v>
      </c>
      <c r="AL1333" s="17"/>
      <c r="AM1333" s="17"/>
      <c r="AN1333" s="17"/>
      <c r="AO1333" s="17"/>
      <c r="AP1333" s="17"/>
      <c r="AQ1333" s="17"/>
      <c r="AR1333" s="17"/>
      <c r="AS1333" s="17"/>
      <c r="AT1333" s="17"/>
      <c r="AU1333" s="17"/>
      <c r="AV1333" s="17"/>
    </row>
    <row r="1334" spans="1:48" ht="15.75" customHeight="1">
      <c r="A1334" s="21" t="s">
        <v>47</v>
      </c>
      <c r="B1334" s="23" t="s">
        <v>1692</v>
      </c>
      <c r="C1334" s="25">
        <v>45824</v>
      </c>
      <c r="D1334" s="23" t="s">
        <v>245</v>
      </c>
      <c r="E1334" s="23" t="s">
        <v>48</v>
      </c>
      <c r="F1334" s="21">
        <v>1</v>
      </c>
      <c r="G1334" s="12">
        <v>1000</v>
      </c>
      <c r="H1334" s="12">
        <v>1000</v>
      </c>
      <c r="I1334" s="23" t="s">
        <v>52</v>
      </c>
      <c r="J1334" s="23" t="s">
        <v>61</v>
      </c>
      <c r="K1334" s="24" t="s">
        <v>177</v>
      </c>
      <c r="L1334" s="24">
        <v>151</v>
      </c>
      <c r="M1334" s="12">
        <v>840.3361344537816</v>
      </c>
      <c r="N1334" s="12">
        <v>840.3361344537816</v>
      </c>
      <c r="O1334" s="12">
        <v>159.6638655462184</v>
      </c>
      <c r="P1334" s="13"/>
      <c r="Q1334" s="14">
        <v>2025</v>
      </c>
      <c r="R1334" s="15">
        <v>45444</v>
      </c>
      <c r="S1334" s="11" t="s">
        <v>416</v>
      </c>
      <c r="T1334" s="16">
        <v>0</v>
      </c>
      <c r="U1334" s="17"/>
      <c r="V1334" s="12">
        <v>330.33613445378148</v>
      </c>
      <c r="W1334" s="12">
        <v>330.33613445378148</v>
      </c>
      <c r="X1334" s="12">
        <v>0</v>
      </c>
      <c r="Y1334" s="18">
        <v>45824</v>
      </c>
      <c r="Z1334" s="13" t="s">
        <v>523</v>
      </c>
      <c r="AA1334" s="19" t="s">
        <v>373</v>
      </c>
      <c r="AB1334" s="13" t="s">
        <v>357</v>
      </c>
      <c r="AC1334" s="13" t="s">
        <v>489</v>
      </c>
      <c r="AD1334" s="20"/>
      <c r="AE1334" s="20"/>
      <c r="AF1334" s="13" t="s">
        <v>40</v>
      </c>
      <c r="AG1334" s="15">
        <v>45444</v>
      </c>
      <c r="AH1334" s="13" t="s">
        <v>41</v>
      </c>
      <c r="AI1334" s="13" t="s">
        <v>47</v>
      </c>
      <c r="AJ1334" s="13" t="s">
        <v>417</v>
      </c>
      <c r="AK1334" s="14">
        <v>-5</v>
      </c>
      <c r="AL1334" s="17"/>
      <c r="AM1334" s="17"/>
      <c r="AN1334" s="17"/>
      <c r="AO1334" s="17"/>
      <c r="AP1334" s="17"/>
      <c r="AQ1334" s="17"/>
      <c r="AR1334" s="17"/>
      <c r="AS1334" s="17"/>
      <c r="AT1334" s="17"/>
      <c r="AU1334" s="17"/>
      <c r="AV1334" s="17"/>
    </row>
    <row r="1335" spans="1:48" ht="15.75" customHeight="1">
      <c r="A1335" s="21" t="s">
        <v>47</v>
      </c>
      <c r="B1335" s="23" t="s">
        <v>1692</v>
      </c>
      <c r="C1335" s="25">
        <v>45824</v>
      </c>
      <c r="D1335" s="23" t="s">
        <v>245</v>
      </c>
      <c r="E1335" s="23" t="s">
        <v>153</v>
      </c>
      <c r="F1335" s="21">
        <v>2</v>
      </c>
      <c r="G1335" s="12">
        <v>1700</v>
      </c>
      <c r="H1335" s="12">
        <v>3400</v>
      </c>
      <c r="I1335" s="23" t="s">
        <v>52</v>
      </c>
      <c r="J1335" s="23" t="s">
        <v>61</v>
      </c>
      <c r="K1335" s="24" t="s">
        <v>177</v>
      </c>
      <c r="L1335" s="24">
        <v>151</v>
      </c>
      <c r="M1335" s="12">
        <v>1428.5714285714287</v>
      </c>
      <c r="N1335" s="12">
        <v>2857.1428571428573</v>
      </c>
      <c r="O1335" s="12">
        <v>542.85714285714266</v>
      </c>
      <c r="P1335" s="13"/>
      <c r="Q1335" s="14">
        <v>2025</v>
      </c>
      <c r="R1335" s="15">
        <v>45444</v>
      </c>
      <c r="S1335" s="11" t="s">
        <v>153</v>
      </c>
      <c r="T1335" s="16">
        <v>0</v>
      </c>
      <c r="U1335" s="17"/>
      <c r="V1335" s="12">
        <v>1179.1428571428573</v>
      </c>
      <c r="W1335" s="12">
        <v>1179.1428571428573</v>
      </c>
      <c r="X1335" s="12">
        <v>0</v>
      </c>
      <c r="Y1335" s="18">
        <v>45824</v>
      </c>
      <c r="Z1335" s="13" t="s">
        <v>523</v>
      </c>
      <c r="AA1335" s="19" t="s">
        <v>373</v>
      </c>
      <c r="AB1335" s="13" t="s">
        <v>357</v>
      </c>
      <c r="AC1335" s="13" t="s">
        <v>489</v>
      </c>
      <c r="AD1335" s="20"/>
      <c r="AE1335" s="20"/>
      <c r="AF1335" s="13" t="s">
        <v>40</v>
      </c>
      <c r="AG1335" s="15">
        <v>45444</v>
      </c>
      <c r="AH1335" s="13" t="s">
        <v>41</v>
      </c>
      <c r="AI1335" s="13" t="s">
        <v>47</v>
      </c>
      <c r="AJ1335" s="13" t="s">
        <v>432</v>
      </c>
      <c r="AK1335" s="14">
        <v>-2</v>
      </c>
      <c r="AL1335" s="17"/>
      <c r="AM1335" s="17"/>
      <c r="AN1335" s="17"/>
      <c r="AO1335" s="17"/>
      <c r="AP1335" s="17"/>
      <c r="AQ1335" s="17"/>
      <c r="AR1335" s="17"/>
      <c r="AS1335" s="17"/>
      <c r="AT1335" s="17"/>
      <c r="AU1335" s="17"/>
      <c r="AV1335" s="17"/>
    </row>
    <row r="1336" spans="1:48" ht="15.75" customHeight="1">
      <c r="A1336" s="21" t="s">
        <v>47</v>
      </c>
      <c r="B1336" s="23" t="s">
        <v>1692</v>
      </c>
      <c r="C1336" s="25">
        <v>45824</v>
      </c>
      <c r="D1336" s="23" t="s">
        <v>245</v>
      </c>
      <c r="E1336" s="23" t="s">
        <v>335</v>
      </c>
      <c r="F1336" s="21">
        <v>1</v>
      </c>
      <c r="G1336" s="12">
        <v>2999.6809189534142</v>
      </c>
      <c r="H1336" s="12">
        <v>2999.6809189534142</v>
      </c>
      <c r="I1336" s="23" t="s">
        <v>52</v>
      </c>
      <c r="J1336" s="23" t="s">
        <v>61</v>
      </c>
      <c r="K1336" s="24" t="s">
        <v>177</v>
      </c>
      <c r="L1336" s="24">
        <v>151</v>
      </c>
      <c r="M1336" s="12">
        <v>2520.7402680280793</v>
      </c>
      <c r="N1336" s="12">
        <v>2520.7402680280793</v>
      </c>
      <c r="O1336" s="12">
        <v>478.94065092533492</v>
      </c>
      <c r="P1336" s="13"/>
      <c r="Q1336" s="14">
        <v>2025</v>
      </c>
      <c r="R1336" s="15">
        <v>45444</v>
      </c>
      <c r="S1336" s="11" t="s">
        <v>205</v>
      </c>
      <c r="T1336" s="16">
        <v>0</v>
      </c>
      <c r="U1336" s="17"/>
      <c r="V1336" s="12">
        <v>1335.7402680280793</v>
      </c>
      <c r="W1336" s="12">
        <v>1335.7402680280793</v>
      </c>
      <c r="X1336" s="12">
        <v>0</v>
      </c>
      <c r="Y1336" s="18">
        <v>45824</v>
      </c>
      <c r="Z1336" s="13" t="s">
        <v>523</v>
      </c>
      <c r="AA1336" s="19" t="s">
        <v>373</v>
      </c>
      <c r="AB1336" s="13" t="s">
        <v>357</v>
      </c>
      <c r="AC1336" s="13" t="s">
        <v>489</v>
      </c>
      <c r="AD1336" s="20"/>
      <c r="AE1336" s="20"/>
      <c r="AF1336" s="13" t="s">
        <v>40</v>
      </c>
      <c r="AG1336" s="15">
        <v>45444</v>
      </c>
      <c r="AH1336" s="13" t="s">
        <v>41</v>
      </c>
      <c r="AI1336" s="13" t="s">
        <v>47</v>
      </c>
      <c r="AJ1336" s="13" t="s">
        <v>542</v>
      </c>
      <c r="AK1336" s="21">
        <v>-3</v>
      </c>
      <c r="AL1336" s="17"/>
      <c r="AM1336" s="17"/>
      <c r="AN1336" s="17"/>
      <c r="AO1336" s="17"/>
      <c r="AP1336" s="17"/>
      <c r="AQ1336" s="17"/>
      <c r="AR1336" s="17"/>
      <c r="AS1336" s="17"/>
      <c r="AT1336" s="17"/>
      <c r="AU1336" s="17"/>
      <c r="AV1336" s="17"/>
    </row>
    <row r="1337" spans="1:48" ht="15.75" customHeight="1">
      <c r="A1337" s="21" t="s">
        <v>35</v>
      </c>
      <c r="B1337" s="23" t="s">
        <v>1692</v>
      </c>
      <c r="C1337" s="25">
        <v>45824</v>
      </c>
      <c r="D1337" s="23" t="s">
        <v>245</v>
      </c>
      <c r="E1337" s="23" t="s">
        <v>46</v>
      </c>
      <c r="F1337" s="21">
        <v>1</v>
      </c>
      <c r="G1337" s="12">
        <v>6000.1548227279782</v>
      </c>
      <c r="H1337" s="12">
        <v>6000.1548227279782</v>
      </c>
      <c r="I1337" s="23" t="s">
        <v>52</v>
      </c>
      <c r="J1337" s="23" t="s">
        <v>61</v>
      </c>
      <c r="K1337" s="24" t="s">
        <v>177</v>
      </c>
      <c r="L1337" s="24">
        <v>151</v>
      </c>
      <c r="M1337" s="12">
        <v>5042.1469098554444</v>
      </c>
      <c r="N1337" s="12">
        <v>5042.1469098554444</v>
      </c>
      <c r="O1337" s="12">
        <v>958.00791287253378</v>
      </c>
      <c r="P1337" s="13"/>
      <c r="Q1337" s="14">
        <v>2025</v>
      </c>
      <c r="R1337" s="15">
        <v>45444</v>
      </c>
      <c r="S1337" s="11" t="s">
        <v>364</v>
      </c>
      <c r="T1337" s="16">
        <v>500</v>
      </c>
      <c r="U1337" s="17"/>
      <c r="V1337" s="12">
        <v>1785.4242207798129</v>
      </c>
      <c r="W1337" s="12">
        <v>1785.4242207798129</v>
      </c>
      <c r="X1337" s="12">
        <v>0</v>
      </c>
      <c r="Y1337" s="18">
        <v>45824</v>
      </c>
      <c r="Z1337" s="13" t="s">
        <v>523</v>
      </c>
      <c r="AA1337" s="19" t="s">
        <v>373</v>
      </c>
      <c r="AB1337" s="13" t="s">
        <v>357</v>
      </c>
      <c r="AC1337" s="13" t="s">
        <v>489</v>
      </c>
      <c r="AD1337" s="20"/>
      <c r="AE1337" s="20"/>
      <c r="AF1337" s="13" t="s">
        <v>40</v>
      </c>
      <c r="AG1337" s="15">
        <v>45444</v>
      </c>
      <c r="AH1337" s="13" t="s">
        <v>41</v>
      </c>
      <c r="AI1337" s="13" t="s">
        <v>35</v>
      </c>
      <c r="AJ1337" s="13" t="s">
        <v>365</v>
      </c>
      <c r="AK1337" s="14">
        <v>-0.5</v>
      </c>
      <c r="AL1337" s="17"/>
      <c r="AM1337" s="17"/>
      <c r="AN1337" s="17"/>
      <c r="AO1337" s="17"/>
      <c r="AP1337" s="17"/>
      <c r="AQ1337" s="17"/>
      <c r="AR1337" s="17"/>
      <c r="AS1337" s="17"/>
      <c r="AT1337" s="17"/>
      <c r="AU1337" s="17"/>
      <c r="AV1337" s="17"/>
    </row>
    <row r="1338" spans="1:48" ht="15.75" customHeight="1">
      <c r="A1338" s="21" t="s">
        <v>35</v>
      </c>
      <c r="B1338" s="23" t="s">
        <v>1692</v>
      </c>
      <c r="C1338" s="25">
        <v>45824</v>
      </c>
      <c r="D1338" s="23" t="s">
        <v>245</v>
      </c>
      <c r="E1338" s="23" t="s">
        <v>82</v>
      </c>
      <c r="F1338" s="21">
        <v>1</v>
      </c>
      <c r="G1338" s="12">
        <v>2000.0000000000002</v>
      </c>
      <c r="H1338" s="12">
        <v>2000.0000000000002</v>
      </c>
      <c r="I1338" s="23" t="s">
        <v>52</v>
      </c>
      <c r="J1338" s="23" t="s">
        <v>61</v>
      </c>
      <c r="K1338" s="24" t="s">
        <v>177</v>
      </c>
      <c r="L1338" s="24">
        <v>151</v>
      </c>
      <c r="M1338" s="12">
        <v>1680.6722689075632</v>
      </c>
      <c r="N1338" s="12">
        <v>1680.6722689075632</v>
      </c>
      <c r="O1338" s="12">
        <v>319.32773109243703</v>
      </c>
      <c r="P1338" s="13"/>
      <c r="Q1338" s="14">
        <v>2025</v>
      </c>
      <c r="R1338" s="15">
        <v>45444</v>
      </c>
      <c r="S1338" s="11" t="s">
        <v>463</v>
      </c>
      <c r="T1338" s="16">
        <v>5</v>
      </c>
      <c r="U1338" s="17"/>
      <c r="V1338" s="12">
        <v>680.67226890756319</v>
      </c>
      <c r="W1338" s="12">
        <v>680.67226890756319</v>
      </c>
      <c r="X1338" s="12">
        <v>0</v>
      </c>
      <c r="Y1338" s="18">
        <v>45824</v>
      </c>
      <c r="Z1338" s="13" t="s">
        <v>523</v>
      </c>
      <c r="AA1338" s="19" t="s">
        <v>373</v>
      </c>
      <c r="AB1338" s="13" t="s">
        <v>357</v>
      </c>
      <c r="AC1338" s="13" t="s">
        <v>489</v>
      </c>
      <c r="AD1338" s="20"/>
      <c r="AE1338" s="20"/>
      <c r="AF1338" s="13" t="s">
        <v>40</v>
      </c>
      <c r="AG1338" s="15">
        <v>45444</v>
      </c>
      <c r="AH1338" s="13" t="s">
        <v>41</v>
      </c>
      <c r="AI1338" s="13" t="s">
        <v>35</v>
      </c>
      <c r="AJ1338" s="13" t="s">
        <v>464</v>
      </c>
      <c r="AK1338" s="14">
        <v>-1</v>
      </c>
      <c r="AL1338" s="17"/>
      <c r="AM1338" s="17"/>
      <c r="AN1338" s="17"/>
      <c r="AO1338" s="17"/>
      <c r="AP1338" s="17"/>
      <c r="AQ1338" s="17"/>
      <c r="AR1338" s="17"/>
      <c r="AS1338" s="17"/>
      <c r="AT1338" s="17"/>
      <c r="AU1338" s="17"/>
      <c r="AV1338" s="17"/>
    </row>
    <row r="1339" spans="1:48" ht="15.75" customHeight="1">
      <c r="A1339" s="21" t="s">
        <v>73</v>
      </c>
      <c r="B1339" s="23" t="s">
        <v>1692</v>
      </c>
      <c r="C1339" s="22">
        <v>45824</v>
      </c>
      <c r="D1339" s="23" t="s">
        <v>158</v>
      </c>
      <c r="E1339" s="23" t="s">
        <v>161</v>
      </c>
      <c r="F1339" s="21">
        <v>3</v>
      </c>
      <c r="G1339" s="12">
        <v>4199.9020019599611</v>
      </c>
      <c r="H1339" s="12">
        <v>12599.706005879883</v>
      </c>
      <c r="I1339" s="23" t="s">
        <v>52</v>
      </c>
      <c r="J1339" s="23" t="s">
        <v>61</v>
      </c>
      <c r="K1339" s="24" t="s">
        <v>86</v>
      </c>
      <c r="L1339" s="24">
        <v>89</v>
      </c>
      <c r="M1339" s="12">
        <v>3529.3294134117323</v>
      </c>
      <c r="N1339" s="12">
        <v>10587.988240235196</v>
      </c>
      <c r="O1339" s="12">
        <v>2011.7177656446875</v>
      </c>
      <c r="P1339" s="13"/>
      <c r="Q1339" s="14">
        <v>2025</v>
      </c>
      <c r="R1339" s="15">
        <v>45444</v>
      </c>
      <c r="S1339" s="11" t="s">
        <v>424</v>
      </c>
      <c r="T1339" s="16">
        <v>0</v>
      </c>
      <c r="U1339" s="17"/>
      <c r="V1339" s="12">
        <v>3024.9882402351968</v>
      </c>
      <c r="W1339" s="12">
        <v>3024.9882402351968</v>
      </c>
      <c r="X1339" s="12">
        <v>0</v>
      </c>
      <c r="Y1339" s="18">
        <v>45824</v>
      </c>
      <c r="Z1339" s="13" t="s">
        <v>523</v>
      </c>
      <c r="AA1339" s="19" t="s">
        <v>361</v>
      </c>
      <c r="AB1339" s="13" t="s">
        <v>394</v>
      </c>
      <c r="AC1339" s="13" t="s">
        <v>509</v>
      </c>
      <c r="AD1339" s="20"/>
      <c r="AE1339" s="20"/>
      <c r="AF1339" s="13" t="s">
        <v>40</v>
      </c>
      <c r="AG1339" s="15">
        <v>45444</v>
      </c>
      <c r="AH1339" s="13" t="s">
        <v>41</v>
      </c>
      <c r="AI1339" s="13" t="s">
        <v>73</v>
      </c>
      <c r="AJ1339" s="13" t="s">
        <v>579</v>
      </c>
      <c r="AK1339" s="14">
        <v>-3</v>
      </c>
      <c r="AL1339" s="17"/>
      <c r="AM1339" s="17"/>
      <c r="AN1339" s="17"/>
      <c r="AO1339" s="17"/>
      <c r="AP1339" s="17"/>
      <c r="AQ1339" s="17"/>
      <c r="AR1339" s="17"/>
      <c r="AS1339" s="17"/>
      <c r="AT1339" s="17"/>
      <c r="AU1339" s="17"/>
      <c r="AV1339" s="17"/>
    </row>
    <row r="1340" spans="1:48" ht="15.75" customHeight="1">
      <c r="A1340" s="21" t="s">
        <v>53</v>
      </c>
      <c r="B1340" s="23" t="s">
        <v>1692</v>
      </c>
      <c r="C1340" s="22">
        <v>45824</v>
      </c>
      <c r="D1340" s="23" t="s">
        <v>158</v>
      </c>
      <c r="E1340" s="23" t="s">
        <v>580</v>
      </c>
      <c r="F1340" s="21">
        <v>1</v>
      </c>
      <c r="G1340" s="12">
        <v>11499.993390876765</v>
      </c>
      <c r="H1340" s="12">
        <v>11499.993390876765</v>
      </c>
      <c r="I1340" s="23" t="s">
        <v>52</v>
      </c>
      <c r="J1340" s="23" t="s">
        <v>61</v>
      </c>
      <c r="K1340" s="24" t="s">
        <v>86</v>
      </c>
      <c r="L1340" s="24">
        <v>89</v>
      </c>
      <c r="M1340" s="12">
        <v>9663.8599923334168</v>
      </c>
      <c r="N1340" s="12">
        <v>9663.8599923334168</v>
      </c>
      <c r="O1340" s="12">
        <v>1836.1333985433484</v>
      </c>
      <c r="P1340" s="13"/>
      <c r="Q1340" s="14">
        <v>2025</v>
      </c>
      <c r="R1340" s="15">
        <v>45444</v>
      </c>
      <c r="S1340" s="11" t="s">
        <v>381</v>
      </c>
      <c r="T1340" s="16">
        <v>300</v>
      </c>
      <c r="U1340" s="17"/>
      <c r="V1340" s="12">
        <v>2352.8599923334168</v>
      </c>
      <c r="W1340" s="12">
        <v>2352.8599923334168</v>
      </c>
      <c r="X1340" s="12">
        <v>0</v>
      </c>
      <c r="Y1340" s="18">
        <v>45824</v>
      </c>
      <c r="Z1340" s="13" t="s">
        <v>523</v>
      </c>
      <c r="AA1340" s="19" t="s">
        <v>361</v>
      </c>
      <c r="AB1340" s="13" t="s">
        <v>394</v>
      </c>
      <c r="AC1340" s="13" t="s">
        <v>509</v>
      </c>
      <c r="AD1340" s="20"/>
      <c r="AE1340" s="20"/>
      <c r="AF1340" s="13" t="s">
        <v>40</v>
      </c>
      <c r="AG1340" s="15">
        <v>45444</v>
      </c>
      <c r="AH1340" s="13" t="s">
        <v>41</v>
      </c>
      <c r="AI1340" s="13" t="s">
        <v>53</v>
      </c>
      <c r="AJ1340" s="13" t="s">
        <v>382</v>
      </c>
      <c r="AK1340" s="14">
        <v>-10</v>
      </c>
      <c r="AL1340" s="17"/>
      <c r="AM1340" s="17"/>
      <c r="AN1340" s="17"/>
      <c r="AO1340" s="17"/>
      <c r="AP1340" s="17"/>
      <c r="AQ1340" s="17"/>
      <c r="AR1340" s="17"/>
      <c r="AS1340" s="17"/>
      <c r="AT1340" s="17"/>
      <c r="AU1340" s="17"/>
      <c r="AV1340" s="17"/>
    </row>
    <row r="1341" spans="1:48" ht="15.75" customHeight="1">
      <c r="A1341" s="21" t="s">
        <v>53</v>
      </c>
      <c r="B1341" s="23" t="s">
        <v>1692</v>
      </c>
      <c r="C1341" s="22">
        <v>45824</v>
      </c>
      <c r="D1341" s="23" t="s">
        <v>158</v>
      </c>
      <c r="E1341" s="23" t="s">
        <v>55</v>
      </c>
      <c r="F1341" s="21">
        <v>1</v>
      </c>
      <c r="G1341" s="12">
        <v>20899.657134519988</v>
      </c>
      <c r="H1341" s="12">
        <v>20899.657134519988</v>
      </c>
      <c r="I1341" s="23" t="s">
        <v>52</v>
      </c>
      <c r="J1341" s="23" t="s">
        <v>61</v>
      </c>
      <c r="K1341" s="24" t="s">
        <v>86</v>
      </c>
      <c r="L1341" s="24">
        <v>89</v>
      </c>
      <c r="M1341" s="12">
        <v>17562.737087831923</v>
      </c>
      <c r="N1341" s="12">
        <v>17562.737087831923</v>
      </c>
      <c r="O1341" s="12">
        <v>3336.9200466880648</v>
      </c>
      <c r="P1341" s="13"/>
      <c r="Q1341" s="14">
        <v>2025</v>
      </c>
      <c r="R1341" s="15">
        <v>45444</v>
      </c>
      <c r="S1341" s="11" t="s">
        <v>366</v>
      </c>
      <c r="T1341" s="16">
        <v>0</v>
      </c>
      <c r="U1341" s="17"/>
      <c r="V1341" s="12">
        <v>3117.7370878319234</v>
      </c>
      <c r="W1341" s="12">
        <v>3117.7370878319234</v>
      </c>
      <c r="X1341" s="12">
        <v>0</v>
      </c>
      <c r="Y1341" s="18">
        <v>45824</v>
      </c>
      <c r="Z1341" s="13" t="s">
        <v>523</v>
      </c>
      <c r="AA1341" s="19" t="s">
        <v>361</v>
      </c>
      <c r="AB1341" s="13" t="s">
        <v>394</v>
      </c>
      <c r="AC1341" s="13" t="s">
        <v>509</v>
      </c>
      <c r="AD1341" s="20"/>
      <c r="AE1341" s="20"/>
      <c r="AF1341" s="13" t="s">
        <v>40</v>
      </c>
      <c r="AG1341" s="15">
        <v>45444</v>
      </c>
      <c r="AH1341" s="13" t="s">
        <v>41</v>
      </c>
      <c r="AI1341" s="13" t="s">
        <v>53</v>
      </c>
      <c r="AJ1341" s="13" t="s">
        <v>368</v>
      </c>
      <c r="AK1341" s="14">
        <v>-8</v>
      </c>
      <c r="AL1341" s="17"/>
      <c r="AM1341" s="17"/>
      <c r="AN1341" s="17"/>
      <c r="AO1341" s="17"/>
      <c r="AP1341" s="17"/>
      <c r="AQ1341" s="17"/>
      <c r="AR1341" s="17"/>
      <c r="AS1341" s="17"/>
      <c r="AT1341" s="17"/>
      <c r="AU1341" s="17"/>
      <c r="AV1341" s="17"/>
    </row>
    <row r="1342" spans="1:48" ht="15.75" customHeight="1">
      <c r="A1342" s="21" t="s">
        <v>147</v>
      </c>
      <c r="B1342" s="23" t="s">
        <v>1692</v>
      </c>
      <c r="C1342" s="22">
        <v>45824</v>
      </c>
      <c r="D1342" s="23" t="s">
        <v>158</v>
      </c>
      <c r="E1342" s="23" t="s">
        <v>159</v>
      </c>
      <c r="F1342" s="21">
        <v>1</v>
      </c>
      <c r="G1342" s="12">
        <v>24000.000000000004</v>
      </c>
      <c r="H1342" s="12">
        <v>24000.000000000004</v>
      </c>
      <c r="I1342" s="23" t="s">
        <v>52</v>
      </c>
      <c r="J1342" s="23" t="s">
        <v>61</v>
      </c>
      <c r="K1342" s="24" t="s">
        <v>86</v>
      </c>
      <c r="L1342" s="24">
        <v>89</v>
      </c>
      <c r="M1342" s="12">
        <v>20168.067226890762</v>
      </c>
      <c r="N1342" s="12">
        <v>20168.067226890762</v>
      </c>
      <c r="O1342" s="12">
        <v>3831.9327731092417</v>
      </c>
      <c r="P1342" s="13"/>
      <c r="Q1342" s="14">
        <v>2025</v>
      </c>
      <c r="R1342" s="15">
        <v>45444</v>
      </c>
      <c r="S1342" s="11" t="s">
        <v>412</v>
      </c>
      <c r="T1342" s="16">
        <v>0</v>
      </c>
      <c r="U1342" s="17"/>
      <c r="V1342" s="12">
        <v>6861.3445378151282</v>
      </c>
      <c r="W1342" s="12">
        <v>6861.3445378151282</v>
      </c>
      <c r="X1342" s="12">
        <v>0</v>
      </c>
      <c r="Y1342" s="18">
        <v>45824</v>
      </c>
      <c r="Z1342" s="13" t="s">
        <v>523</v>
      </c>
      <c r="AA1342" s="19" t="s">
        <v>361</v>
      </c>
      <c r="AB1342" s="13" t="s">
        <v>394</v>
      </c>
      <c r="AC1342" s="13" t="s">
        <v>509</v>
      </c>
      <c r="AD1342" s="20"/>
      <c r="AE1342" s="20"/>
      <c r="AF1342" s="13" t="s">
        <v>40</v>
      </c>
      <c r="AG1342" s="15">
        <v>45444</v>
      </c>
      <c r="AH1342" s="13" t="s">
        <v>41</v>
      </c>
      <c r="AI1342" s="13" t="s">
        <v>147</v>
      </c>
      <c r="AJ1342" s="13" t="s">
        <v>510</v>
      </c>
      <c r="AK1342" s="14">
        <v>-1</v>
      </c>
      <c r="AL1342" s="17"/>
      <c r="AM1342" s="17"/>
      <c r="AN1342" s="17"/>
      <c r="AO1342" s="17"/>
      <c r="AP1342" s="17"/>
      <c r="AQ1342" s="17"/>
      <c r="AR1342" s="17"/>
      <c r="AS1342" s="17"/>
      <c r="AT1342" s="17"/>
      <c r="AU1342" s="17"/>
      <c r="AV1342" s="17"/>
    </row>
    <row r="1343" spans="1:48" ht="15.75" customHeight="1">
      <c r="A1343" s="21" t="s">
        <v>147</v>
      </c>
      <c r="B1343" s="23" t="s">
        <v>1692</v>
      </c>
      <c r="C1343" s="22">
        <v>45824</v>
      </c>
      <c r="D1343" s="23" t="s">
        <v>158</v>
      </c>
      <c r="E1343" s="23" t="s">
        <v>160</v>
      </c>
      <c r="F1343" s="21">
        <v>1</v>
      </c>
      <c r="G1343" s="26">
        <v>-500</v>
      </c>
      <c r="H1343" s="12">
        <v>-500</v>
      </c>
      <c r="I1343" s="23" t="s">
        <v>52</v>
      </c>
      <c r="J1343" s="23" t="s">
        <v>61</v>
      </c>
      <c r="K1343" s="24" t="s">
        <v>86</v>
      </c>
      <c r="L1343" s="24">
        <v>89</v>
      </c>
      <c r="M1343" s="12">
        <v>-420.1680672268908</v>
      </c>
      <c r="N1343" s="12">
        <v>-420.1680672268908</v>
      </c>
      <c r="O1343" s="12">
        <v>-79.831932773109202</v>
      </c>
      <c r="P1343" s="13"/>
      <c r="Q1343" s="14">
        <v>2025</v>
      </c>
      <c r="R1343" s="15">
        <v>45444</v>
      </c>
      <c r="S1343" s="11" t="s">
        <v>160</v>
      </c>
      <c r="T1343" s="16">
        <v>1000</v>
      </c>
      <c r="U1343" s="17"/>
      <c r="V1343" s="26">
        <v>-500</v>
      </c>
      <c r="W1343" s="12">
        <v>-500</v>
      </c>
      <c r="X1343" s="12">
        <v>0</v>
      </c>
      <c r="Y1343" s="18">
        <v>45824</v>
      </c>
      <c r="Z1343" s="13" t="s">
        <v>523</v>
      </c>
      <c r="AA1343" s="19" t="s">
        <v>361</v>
      </c>
      <c r="AB1343" s="13" t="s">
        <v>394</v>
      </c>
      <c r="AC1343" s="13" t="s">
        <v>509</v>
      </c>
      <c r="AD1343" s="20"/>
      <c r="AE1343" s="20"/>
      <c r="AF1343" s="13" t="s">
        <v>40</v>
      </c>
      <c r="AG1343" s="15">
        <v>45444</v>
      </c>
      <c r="AH1343" s="13" t="s">
        <v>41</v>
      </c>
      <c r="AI1343" s="13" t="s">
        <v>147</v>
      </c>
      <c r="AJ1343" s="13" t="s">
        <v>160</v>
      </c>
      <c r="AK1343" s="14">
        <v>-1</v>
      </c>
      <c r="AL1343" s="17"/>
      <c r="AM1343" s="17"/>
      <c r="AN1343" s="17"/>
      <c r="AO1343" s="17"/>
      <c r="AP1343" s="17"/>
      <c r="AQ1343" s="17"/>
      <c r="AR1343" s="17"/>
      <c r="AS1343" s="17"/>
      <c r="AT1343" s="17"/>
      <c r="AU1343" s="17"/>
      <c r="AV1343" s="17"/>
    </row>
    <row r="1344" spans="1:48" ht="15.75" customHeight="1">
      <c r="A1344" s="21" t="s">
        <v>53</v>
      </c>
      <c r="B1344" s="23" t="s">
        <v>1692</v>
      </c>
      <c r="C1344" s="22">
        <v>45824</v>
      </c>
      <c r="D1344" s="23" t="s">
        <v>158</v>
      </c>
      <c r="E1344" s="23" t="s">
        <v>162</v>
      </c>
      <c r="F1344" s="21">
        <v>2</v>
      </c>
      <c r="G1344" s="12">
        <v>9500.0304006809747</v>
      </c>
      <c r="H1344" s="12">
        <v>19000.060801361949</v>
      </c>
      <c r="I1344" s="23" t="s">
        <v>52</v>
      </c>
      <c r="J1344" s="23" t="s">
        <v>61</v>
      </c>
      <c r="K1344" s="24" t="s">
        <v>86</v>
      </c>
      <c r="L1344" s="24">
        <v>89</v>
      </c>
      <c r="M1344" s="12">
        <v>7983.2188241016602</v>
      </c>
      <c r="N1344" s="12">
        <v>15966.43764820332</v>
      </c>
      <c r="O1344" s="12">
        <v>3033.6231531586291</v>
      </c>
      <c r="P1344" s="13"/>
      <c r="Q1344" s="14">
        <v>2025</v>
      </c>
      <c r="R1344" s="15">
        <v>45444</v>
      </c>
      <c r="S1344" s="11" t="s">
        <v>437</v>
      </c>
      <c r="T1344" s="16">
        <v>0</v>
      </c>
      <c r="U1344" s="17"/>
      <c r="V1344" s="12">
        <v>5462.4376482033185</v>
      </c>
      <c r="W1344" s="12">
        <v>5462.4376482033185</v>
      </c>
      <c r="X1344" s="12">
        <v>0</v>
      </c>
      <c r="Y1344" s="18">
        <v>45824</v>
      </c>
      <c r="Z1344" s="13" t="s">
        <v>523</v>
      </c>
      <c r="AA1344" s="19" t="s">
        <v>361</v>
      </c>
      <c r="AB1344" s="13" t="s">
        <v>394</v>
      </c>
      <c r="AC1344" s="13" t="s">
        <v>509</v>
      </c>
      <c r="AD1344" s="20"/>
      <c r="AE1344" s="20"/>
      <c r="AF1344" s="13" t="s">
        <v>40</v>
      </c>
      <c r="AG1344" s="15">
        <v>45444</v>
      </c>
      <c r="AH1344" s="13" t="s">
        <v>41</v>
      </c>
      <c r="AI1344" s="13" t="s">
        <v>53</v>
      </c>
      <c r="AJ1344" s="13" t="s">
        <v>438</v>
      </c>
      <c r="AK1344" s="14">
        <v>-2</v>
      </c>
      <c r="AL1344" s="17"/>
      <c r="AM1344" s="17"/>
      <c r="AN1344" s="17"/>
      <c r="AO1344" s="17"/>
      <c r="AP1344" s="17"/>
      <c r="AQ1344" s="17"/>
      <c r="AR1344" s="17"/>
      <c r="AS1344" s="17"/>
      <c r="AT1344" s="17"/>
      <c r="AU1344" s="17"/>
      <c r="AV1344" s="17"/>
    </row>
    <row r="1345" spans="1:48" ht="15.75" customHeight="1">
      <c r="A1345" s="21" t="s">
        <v>53</v>
      </c>
      <c r="B1345" s="23" t="s">
        <v>1692</v>
      </c>
      <c r="C1345" s="22">
        <v>45823</v>
      </c>
      <c r="D1345" s="23" t="s">
        <v>292</v>
      </c>
      <c r="E1345" s="23" t="s">
        <v>55</v>
      </c>
      <c r="F1345" s="14">
        <v>1</v>
      </c>
      <c r="G1345" s="12">
        <v>20899.657134519988</v>
      </c>
      <c r="H1345" s="12">
        <v>20899.657134519988</v>
      </c>
      <c r="I1345" s="23" t="s">
        <v>52</v>
      </c>
      <c r="J1345" s="23" t="s">
        <v>61</v>
      </c>
      <c r="K1345" s="24" t="s">
        <v>177</v>
      </c>
      <c r="L1345" s="24">
        <v>150</v>
      </c>
      <c r="M1345" s="12">
        <v>17562.737087831923</v>
      </c>
      <c r="N1345" s="12">
        <v>17562.737087831923</v>
      </c>
      <c r="O1345" s="12">
        <v>3336.9200466880648</v>
      </c>
      <c r="P1345" s="13"/>
      <c r="Q1345" s="14">
        <v>2025</v>
      </c>
      <c r="R1345" s="15">
        <v>45444</v>
      </c>
      <c r="S1345" s="11" t="s">
        <v>366</v>
      </c>
      <c r="T1345" s="16">
        <v>0</v>
      </c>
      <c r="U1345" s="17"/>
      <c r="V1345" s="12">
        <v>3117.7370878319234</v>
      </c>
      <c r="W1345" s="12">
        <v>3117.7370878319234</v>
      </c>
      <c r="X1345" s="12">
        <v>0</v>
      </c>
      <c r="Y1345" s="18">
        <v>45817</v>
      </c>
      <c r="Z1345" s="13" t="s">
        <v>497</v>
      </c>
      <c r="AA1345" s="19" t="s">
        <v>356</v>
      </c>
      <c r="AB1345" s="13" t="s">
        <v>357</v>
      </c>
      <c r="AC1345" s="13" t="s">
        <v>383</v>
      </c>
      <c r="AD1345" s="20"/>
      <c r="AE1345" s="20"/>
      <c r="AF1345" s="13" t="s">
        <v>40</v>
      </c>
      <c r="AG1345" s="15">
        <v>45444</v>
      </c>
      <c r="AH1345" s="13" t="s">
        <v>41</v>
      </c>
      <c r="AI1345" s="13" t="s">
        <v>53</v>
      </c>
      <c r="AJ1345" s="13" t="s">
        <v>368</v>
      </c>
      <c r="AK1345" s="14">
        <v>-8</v>
      </c>
      <c r="AL1345" s="17"/>
      <c r="AM1345" s="17"/>
      <c r="AN1345" s="17"/>
      <c r="AO1345" s="17"/>
      <c r="AP1345" s="17"/>
      <c r="AQ1345" s="17"/>
      <c r="AR1345" s="17"/>
      <c r="AS1345" s="17"/>
      <c r="AT1345" s="17"/>
      <c r="AU1345" s="17"/>
      <c r="AV1345" s="17"/>
    </row>
    <row r="1346" spans="1:48" ht="15.75" customHeight="1">
      <c r="A1346" s="21" t="s">
        <v>35</v>
      </c>
      <c r="B1346" s="23" t="s">
        <v>1692</v>
      </c>
      <c r="C1346" s="22">
        <v>45823</v>
      </c>
      <c r="D1346" s="23" t="s">
        <v>581</v>
      </c>
      <c r="E1346" s="23" t="s">
        <v>46</v>
      </c>
      <c r="F1346" s="14">
        <v>1</v>
      </c>
      <c r="G1346" s="12">
        <v>6000.1548227279782</v>
      </c>
      <c r="H1346" s="12">
        <v>6000.1548227279782</v>
      </c>
      <c r="I1346" s="23" t="s">
        <v>52</v>
      </c>
      <c r="J1346" s="23" t="s">
        <v>61</v>
      </c>
      <c r="K1346" s="24" t="s">
        <v>177</v>
      </c>
      <c r="L1346" s="24">
        <v>150</v>
      </c>
      <c r="M1346" s="12">
        <v>5042.1469098554444</v>
      </c>
      <c r="N1346" s="12">
        <v>5042.1469098554444</v>
      </c>
      <c r="O1346" s="12">
        <v>958.00791287253378</v>
      </c>
      <c r="P1346" s="13"/>
      <c r="Q1346" s="14">
        <v>2025</v>
      </c>
      <c r="R1346" s="15">
        <v>45444</v>
      </c>
      <c r="S1346" s="11" t="s">
        <v>364</v>
      </c>
      <c r="T1346" s="16">
        <v>500</v>
      </c>
      <c r="U1346" s="17"/>
      <c r="V1346" s="12">
        <v>1785.4242207798129</v>
      </c>
      <c r="W1346" s="12">
        <v>1785.4242207798129</v>
      </c>
      <c r="X1346" s="12">
        <v>0</v>
      </c>
      <c r="Y1346" s="18">
        <v>45817</v>
      </c>
      <c r="Z1346" s="13" t="s">
        <v>497</v>
      </c>
      <c r="AA1346" s="19" t="s">
        <v>356</v>
      </c>
      <c r="AB1346" s="13" t="s">
        <v>357</v>
      </c>
      <c r="AC1346" s="13" t="s">
        <v>362</v>
      </c>
      <c r="AD1346" s="20"/>
      <c r="AE1346" s="20"/>
      <c r="AF1346" s="13" t="s">
        <v>40</v>
      </c>
      <c r="AG1346" s="15">
        <v>45444</v>
      </c>
      <c r="AH1346" s="13" t="s">
        <v>41</v>
      </c>
      <c r="AI1346" s="13" t="s">
        <v>35</v>
      </c>
      <c r="AJ1346" s="13" t="s">
        <v>365</v>
      </c>
      <c r="AK1346" s="14">
        <v>-0.5</v>
      </c>
      <c r="AL1346" s="17"/>
      <c r="AM1346" s="17"/>
      <c r="AN1346" s="17"/>
      <c r="AO1346" s="17"/>
      <c r="AP1346" s="17"/>
      <c r="AQ1346" s="17"/>
      <c r="AR1346" s="17"/>
      <c r="AS1346" s="17"/>
      <c r="AT1346" s="17"/>
      <c r="AU1346" s="17"/>
      <c r="AV1346" s="17"/>
    </row>
    <row r="1347" spans="1:48" ht="15.75" customHeight="1">
      <c r="A1347" s="21" t="s">
        <v>43</v>
      </c>
      <c r="B1347" s="23" t="s">
        <v>1692</v>
      </c>
      <c r="C1347" s="22">
        <v>45823</v>
      </c>
      <c r="D1347" s="23" t="s">
        <v>184</v>
      </c>
      <c r="E1347" s="23" t="s">
        <v>45</v>
      </c>
      <c r="F1347" s="14">
        <v>1</v>
      </c>
      <c r="G1347" s="12">
        <v>8199.8965351595689</v>
      </c>
      <c r="H1347" s="12">
        <v>8199.8965351595689</v>
      </c>
      <c r="I1347" s="23" t="s">
        <v>52</v>
      </c>
      <c r="J1347" s="23" t="s">
        <v>61</v>
      </c>
      <c r="K1347" s="24" t="s">
        <v>177</v>
      </c>
      <c r="L1347" s="24">
        <v>150</v>
      </c>
      <c r="M1347" s="12">
        <v>6890.6693572769491</v>
      </c>
      <c r="N1347" s="12">
        <v>6890.6693572769491</v>
      </c>
      <c r="O1347" s="12">
        <v>1309.2271778826198</v>
      </c>
      <c r="P1347" s="13"/>
      <c r="Q1347" s="14">
        <v>2025</v>
      </c>
      <c r="R1347" s="15">
        <v>45444</v>
      </c>
      <c r="S1347" s="11" t="s">
        <v>355</v>
      </c>
      <c r="T1347" s="16">
        <v>0</v>
      </c>
      <c r="U1347" s="17"/>
      <c r="V1347" s="12">
        <v>1296.3416261845123</v>
      </c>
      <c r="W1347" s="12">
        <v>1296.3416261845123</v>
      </c>
      <c r="X1347" s="12">
        <v>0</v>
      </c>
      <c r="Y1347" s="18">
        <v>45817</v>
      </c>
      <c r="Z1347" s="13" t="s">
        <v>497</v>
      </c>
      <c r="AA1347" s="19" t="s">
        <v>361</v>
      </c>
      <c r="AB1347" s="13" t="s">
        <v>357</v>
      </c>
      <c r="AC1347" s="13" t="s">
        <v>405</v>
      </c>
      <c r="AD1347" s="20"/>
      <c r="AE1347" s="20"/>
      <c r="AF1347" s="13" t="s">
        <v>40</v>
      </c>
      <c r="AG1347" s="15">
        <v>45444</v>
      </c>
      <c r="AH1347" s="13" t="s">
        <v>41</v>
      </c>
      <c r="AI1347" s="13" t="s">
        <v>43</v>
      </c>
      <c r="AJ1347" s="13" t="s">
        <v>359</v>
      </c>
      <c r="AK1347" s="14">
        <v>-1</v>
      </c>
      <c r="AL1347" s="17"/>
      <c r="AM1347" s="17"/>
      <c r="AN1347" s="17"/>
      <c r="AO1347" s="17"/>
      <c r="AP1347" s="17"/>
      <c r="AQ1347" s="17"/>
      <c r="AR1347" s="17"/>
      <c r="AS1347" s="17"/>
      <c r="AT1347" s="17"/>
      <c r="AU1347" s="17"/>
      <c r="AV1347" s="17"/>
    </row>
    <row r="1348" spans="1:48" ht="15.75" customHeight="1">
      <c r="A1348" s="21" t="s">
        <v>35</v>
      </c>
      <c r="B1348" s="23" t="s">
        <v>1692</v>
      </c>
      <c r="C1348" s="22">
        <v>45823</v>
      </c>
      <c r="D1348" s="23" t="s">
        <v>240</v>
      </c>
      <c r="E1348" s="23" t="s">
        <v>37</v>
      </c>
      <c r="F1348" s="14">
        <v>1</v>
      </c>
      <c r="G1348" s="12">
        <v>11000.014358944907</v>
      </c>
      <c r="H1348" s="12">
        <v>11000.014358944907</v>
      </c>
      <c r="I1348" s="23" t="s">
        <v>52</v>
      </c>
      <c r="J1348" s="23" t="s">
        <v>61</v>
      </c>
      <c r="K1348" s="24" t="s">
        <v>177</v>
      </c>
      <c r="L1348" s="24">
        <v>150</v>
      </c>
      <c r="M1348" s="12">
        <v>9243.7095453318543</v>
      </c>
      <c r="N1348" s="12">
        <v>9243.7095453318543</v>
      </c>
      <c r="O1348" s="12">
        <v>1756.3048136130528</v>
      </c>
      <c r="P1348" s="13"/>
      <c r="Q1348" s="14">
        <v>2025</v>
      </c>
      <c r="R1348" s="15">
        <v>45444</v>
      </c>
      <c r="S1348" s="11" t="s">
        <v>364</v>
      </c>
      <c r="T1348" s="16">
        <v>1000</v>
      </c>
      <c r="U1348" s="17"/>
      <c r="V1348" s="12">
        <v>2806.1129066763915</v>
      </c>
      <c r="W1348" s="12">
        <v>2806.1129066763915</v>
      </c>
      <c r="X1348" s="12">
        <v>0</v>
      </c>
      <c r="Y1348" s="18">
        <v>45817</v>
      </c>
      <c r="Z1348" s="13" t="s">
        <v>497</v>
      </c>
      <c r="AA1348" s="19" t="s">
        <v>373</v>
      </c>
      <c r="AB1348" s="13" t="s">
        <v>357</v>
      </c>
      <c r="AC1348" s="13" t="s">
        <v>383</v>
      </c>
      <c r="AD1348" s="20"/>
      <c r="AE1348" s="20"/>
      <c r="AF1348" s="13" t="s">
        <v>40</v>
      </c>
      <c r="AG1348" s="15">
        <v>45444</v>
      </c>
      <c r="AH1348" s="13" t="s">
        <v>41</v>
      </c>
      <c r="AI1348" s="13" t="s">
        <v>35</v>
      </c>
      <c r="AJ1348" s="13" t="s">
        <v>365</v>
      </c>
      <c r="AK1348" s="14">
        <v>-1</v>
      </c>
      <c r="AL1348" s="17"/>
      <c r="AM1348" s="17"/>
      <c r="AN1348" s="17"/>
      <c r="AO1348" s="17"/>
      <c r="AP1348" s="17"/>
      <c r="AQ1348" s="17"/>
      <c r="AR1348" s="17"/>
      <c r="AS1348" s="17"/>
      <c r="AT1348" s="17"/>
      <c r="AU1348" s="17"/>
      <c r="AV1348" s="17"/>
    </row>
    <row r="1349" spans="1:48" ht="15.75" customHeight="1">
      <c r="A1349" s="21" t="s">
        <v>56</v>
      </c>
      <c r="B1349" s="23" t="s">
        <v>1692</v>
      </c>
      <c r="C1349" s="22">
        <v>45823</v>
      </c>
      <c r="D1349" s="23" t="s">
        <v>235</v>
      </c>
      <c r="E1349" s="23" t="s">
        <v>67</v>
      </c>
      <c r="F1349" s="14">
        <v>1</v>
      </c>
      <c r="G1349" s="12">
        <v>7000.0000000000009</v>
      </c>
      <c r="H1349" s="12">
        <v>7000.0000000000009</v>
      </c>
      <c r="I1349" s="23" t="s">
        <v>52</v>
      </c>
      <c r="J1349" s="23" t="s">
        <v>61</v>
      </c>
      <c r="K1349" s="24" t="s">
        <v>177</v>
      </c>
      <c r="L1349" s="24">
        <v>150</v>
      </c>
      <c r="M1349" s="12">
        <v>5882.3529411764712</v>
      </c>
      <c r="N1349" s="12">
        <v>5882.3529411764712</v>
      </c>
      <c r="O1349" s="12">
        <v>1117.6470588235297</v>
      </c>
      <c r="P1349" s="13"/>
      <c r="Q1349" s="14">
        <v>2025</v>
      </c>
      <c r="R1349" s="15">
        <v>45444</v>
      </c>
      <c r="S1349" s="11" t="s">
        <v>492</v>
      </c>
      <c r="T1349" s="16">
        <v>200</v>
      </c>
      <c r="U1349" s="17"/>
      <c r="V1349" s="12">
        <v>1512.6050420168067</v>
      </c>
      <c r="W1349" s="12">
        <v>1512.6050420168067</v>
      </c>
      <c r="X1349" s="12">
        <v>0</v>
      </c>
      <c r="Y1349" s="18">
        <v>45817</v>
      </c>
      <c r="Z1349" s="13" t="s">
        <v>497</v>
      </c>
      <c r="AA1349" s="19" t="s">
        <v>367</v>
      </c>
      <c r="AB1349" s="13" t="s">
        <v>357</v>
      </c>
      <c r="AC1349" s="13" t="s">
        <v>367</v>
      </c>
      <c r="AD1349" s="20"/>
      <c r="AE1349" s="20"/>
      <c r="AF1349" s="13" t="s">
        <v>40</v>
      </c>
      <c r="AG1349" s="15">
        <v>45444</v>
      </c>
      <c r="AH1349" s="13" t="s">
        <v>41</v>
      </c>
      <c r="AI1349" s="13" t="s">
        <v>56</v>
      </c>
      <c r="AJ1349" s="13" t="s">
        <v>493</v>
      </c>
      <c r="AK1349" s="14">
        <v>-3</v>
      </c>
      <c r="AL1349" s="17"/>
      <c r="AM1349" s="17"/>
      <c r="AN1349" s="17"/>
      <c r="AO1349" s="17"/>
      <c r="AP1349" s="17"/>
      <c r="AQ1349" s="17"/>
      <c r="AR1349" s="17"/>
      <c r="AS1349" s="17"/>
      <c r="AT1349" s="17"/>
      <c r="AU1349" s="17"/>
      <c r="AV1349" s="17"/>
    </row>
    <row r="1350" spans="1:48" ht="15.75" customHeight="1">
      <c r="A1350" s="21" t="s">
        <v>56</v>
      </c>
      <c r="B1350" s="23" t="s">
        <v>1692</v>
      </c>
      <c r="C1350" s="22">
        <v>45823</v>
      </c>
      <c r="D1350" s="23" t="s">
        <v>236</v>
      </c>
      <c r="E1350" s="23" t="s">
        <v>67</v>
      </c>
      <c r="F1350" s="14">
        <v>1</v>
      </c>
      <c r="G1350" s="12">
        <v>7000.0000000000009</v>
      </c>
      <c r="H1350" s="12">
        <v>7000.0000000000009</v>
      </c>
      <c r="I1350" s="23" t="s">
        <v>52</v>
      </c>
      <c r="J1350" s="23" t="s">
        <v>61</v>
      </c>
      <c r="K1350" s="24" t="s">
        <v>177</v>
      </c>
      <c r="L1350" s="24">
        <v>150</v>
      </c>
      <c r="M1350" s="12">
        <v>5882.3529411764712</v>
      </c>
      <c r="N1350" s="12">
        <v>5882.3529411764712</v>
      </c>
      <c r="O1350" s="12">
        <v>1117.6470588235297</v>
      </c>
      <c r="P1350" s="13"/>
      <c r="Q1350" s="14">
        <v>2025</v>
      </c>
      <c r="R1350" s="15">
        <v>45444</v>
      </c>
      <c r="S1350" s="11" t="s">
        <v>492</v>
      </c>
      <c r="T1350" s="16">
        <v>200</v>
      </c>
      <c r="U1350" s="17"/>
      <c r="V1350" s="12">
        <v>1512.6050420168067</v>
      </c>
      <c r="W1350" s="12">
        <v>1512.6050420168067</v>
      </c>
      <c r="X1350" s="12">
        <v>0</v>
      </c>
      <c r="Y1350" s="18">
        <v>45817</v>
      </c>
      <c r="Z1350" s="13" t="s">
        <v>497</v>
      </c>
      <c r="AA1350" s="19" t="s">
        <v>367</v>
      </c>
      <c r="AB1350" s="13" t="s">
        <v>357</v>
      </c>
      <c r="AC1350" s="13" t="s">
        <v>367</v>
      </c>
      <c r="AD1350" s="20"/>
      <c r="AE1350" s="20"/>
      <c r="AF1350" s="13" t="s">
        <v>40</v>
      </c>
      <c r="AG1350" s="15">
        <v>45444</v>
      </c>
      <c r="AH1350" s="13" t="s">
        <v>41</v>
      </c>
      <c r="AI1350" s="13" t="s">
        <v>56</v>
      </c>
      <c r="AJ1350" s="13" t="s">
        <v>493</v>
      </c>
      <c r="AK1350" s="14">
        <v>-3</v>
      </c>
      <c r="AL1350" s="17"/>
      <c r="AM1350" s="17"/>
      <c r="AN1350" s="17"/>
      <c r="AO1350" s="17"/>
      <c r="AP1350" s="17"/>
      <c r="AQ1350" s="17"/>
      <c r="AR1350" s="17"/>
      <c r="AS1350" s="17"/>
      <c r="AT1350" s="17"/>
      <c r="AU1350" s="17"/>
      <c r="AV1350" s="17"/>
    </row>
    <row r="1351" spans="1:48" ht="15.75" customHeight="1">
      <c r="A1351" s="21" t="s">
        <v>43</v>
      </c>
      <c r="B1351" s="23" t="s">
        <v>1692</v>
      </c>
      <c r="C1351" s="22">
        <v>45823</v>
      </c>
      <c r="D1351" s="23" t="s">
        <v>236</v>
      </c>
      <c r="E1351" s="23" t="s">
        <v>45</v>
      </c>
      <c r="F1351" s="21">
        <v>2</v>
      </c>
      <c r="G1351" s="12">
        <v>8199.8965351595689</v>
      </c>
      <c r="H1351" s="12">
        <v>16399.793070319138</v>
      </c>
      <c r="I1351" s="23" t="s">
        <v>52</v>
      </c>
      <c r="J1351" s="23" t="s">
        <v>61</v>
      </c>
      <c r="K1351" s="24" t="s">
        <v>177</v>
      </c>
      <c r="L1351" s="24">
        <v>150</v>
      </c>
      <c r="M1351" s="12">
        <v>6890.6693572769491</v>
      </c>
      <c r="N1351" s="12">
        <v>13781.338714553898</v>
      </c>
      <c r="O1351" s="12">
        <v>2618.4543557652396</v>
      </c>
      <c r="P1351" s="13"/>
      <c r="Q1351" s="14">
        <v>2025</v>
      </c>
      <c r="R1351" s="15">
        <v>45444</v>
      </c>
      <c r="S1351" s="11" t="s">
        <v>355</v>
      </c>
      <c r="T1351" s="16">
        <v>0</v>
      </c>
      <c r="U1351" s="17"/>
      <c r="V1351" s="12">
        <v>2592.6832523690246</v>
      </c>
      <c r="W1351" s="12">
        <v>2592.6832523690246</v>
      </c>
      <c r="X1351" s="12">
        <v>0</v>
      </c>
      <c r="Y1351" s="18">
        <v>45817</v>
      </c>
      <c r="Z1351" s="13" t="s">
        <v>497</v>
      </c>
      <c r="AA1351" s="19" t="s">
        <v>367</v>
      </c>
      <c r="AB1351" s="13" t="s">
        <v>357</v>
      </c>
      <c r="AC1351" s="13" t="s">
        <v>367</v>
      </c>
      <c r="AD1351" s="20"/>
      <c r="AE1351" s="20"/>
      <c r="AF1351" s="13" t="s">
        <v>40</v>
      </c>
      <c r="AG1351" s="15">
        <v>45444</v>
      </c>
      <c r="AH1351" s="13" t="s">
        <v>41</v>
      </c>
      <c r="AI1351" s="13" t="s">
        <v>43</v>
      </c>
      <c r="AJ1351" s="13" t="s">
        <v>359</v>
      </c>
      <c r="AK1351" s="14">
        <v>-2</v>
      </c>
      <c r="AL1351" s="17"/>
      <c r="AM1351" s="17"/>
      <c r="AN1351" s="17"/>
      <c r="AO1351" s="17"/>
      <c r="AP1351" s="17"/>
      <c r="AQ1351" s="17"/>
      <c r="AR1351" s="17"/>
      <c r="AS1351" s="17"/>
      <c r="AT1351" s="17"/>
      <c r="AU1351" s="17"/>
      <c r="AV1351" s="17"/>
    </row>
    <row r="1352" spans="1:48" ht="15.75" customHeight="1">
      <c r="A1352" s="21" t="s">
        <v>76</v>
      </c>
      <c r="B1352" s="23" t="s">
        <v>1692</v>
      </c>
      <c r="C1352" s="22">
        <v>45823</v>
      </c>
      <c r="D1352" s="23" t="s">
        <v>236</v>
      </c>
      <c r="E1352" s="23" t="s">
        <v>81</v>
      </c>
      <c r="F1352" s="14">
        <v>1</v>
      </c>
      <c r="G1352" s="12">
        <v>3500.0000000000005</v>
      </c>
      <c r="H1352" s="12">
        <v>3500.0000000000005</v>
      </c>
      <c r="I1352" s="23" t="s">
        <v>52</v>
      </c>
      <c r="J1352" s="23" t="s">
        <v>61</v>
      </c>
      <c r="K1352" s="24" t="s">
        <v>177</v>
      </c>
      <c r="L1352" s="24">
        <v>150</v>
      </c>
      <c r="M1352" s="12">
        <v>2941.1764705882356</v>
      </c>
      <c r="N1352" s="12">
        <v>2941.1764705882356</v>
      </c>
      <c r="O1352" s="12">
        <v>558.82352941176487</v>
      </c>
      <c r="P1352" s="13"/>
      <c r="Q1352" s="14">
        <v>2025</v>
      </c>
      <c r="R1352" s="15">
        <v>45444</v>
      </c>
      <c r="S1352" s="11" t="s">
        <v>397</v>
      </c>
      <c r="T1352" s="16">
        <v>5</v>
      </c>
      <c r="U1352" s="17"/>
      <c r="V1352" s="12">
        <v>764.70588235294144</v>
      </c>
      <c r="W1352" s="12">
        <v>764.70588235294144</v>
      </c>
      <c r="X1352" s="12">
        <v>0</v>
      </c>
      <c r="Y1352" s="18">
        <v>45817</v>
      </c>
      <c r="Z1352" s="13" t="s">
        <v>497</v>
      </c>
      <c r="AA1352" s="19" t="s">
        <v>367</v>
      </c>
      <c r="AB1352" s="13" t="s">
        <v>357</v>
      </c>
      <c r="AC1352" s="13" t="s">
        <v>367</v>
      </c>
      <c r="AD1352" s="20"/>
      <c r="AE1352" s="20"/>
      <c r="AF1352" s="13" t="s">
        <v>40</v>
      </c>
      <c r="AG1352" s="15">
        <v>45444</v>
      </c>
      <c r="AH1352" s="13" t="s">
        <v>41</v>
      </c>
      <c r="AI1352" s="13" t="s">
        <v>76</v>
      </c>
      <c r="AJ1352" s="13" t="s">
        <v>398</v>
      </c>
      <c r="AK1352" s="14">
        <v>-1</v>
      </c>
      <c r="AL1352" s="17"/>
      <c r="AM1352" s="17"/>
      <c r="AN1352" s="17"/>
      <c r="AO1352" s="17"/>
      <c r="AP1352" s="17"/>
      <c r="AQ1352" s="17"/>
      <c r="AR1352" s="17"/>
      <c r="AS1352" s="17"/>
      <c r="AT1352" s="17"/>
      <c r="AU1352" s="17"/>
      <c r="AV1352" s="17"/>
    </row>
    <row r="1353" spans="1:48" ht="15.75" customHeight="1">
      <c r="A1353" s="21" t="s">
        <v>56</v>
      </c>
      <c r="B1353" s="23" t="s">
        <v>1692</v>
      </c>
      <c r="C1353" s="22">
        <v>45823</v>
      </c>
      <c r="D1353" s="23" t="s">
        <v>285</v>
      </c>
      <c r="E1353" s="23" t="s">
        <v>67</v>
      </c>
      <c r="F1353" s="14">
        <v>1</v>
      </c>
      <c r="G1353" s="12">
        <v>7000.0000000000009</v>
      </c>
      <c r="H1353" s="12">
        <v>7000.0000000000009</v>
      </c>
      <c r="I1353" s="23" t="s">
        <v>52</v>
      </c>
      <c r="J1353" s="23" t="s">
        <v>61</v>
      </c>
      <c r="K1353" s="24" t="s">
        <v>177</v>
      </c>
      <c r="L1353" s="24">
        <v>150</v>
      </c>
      <c r="M1353" s="12">
        <v>5882.3529411764712</v>
      </c>
      <c r="N1353" s="12">
        <v>5882.3529411764712</v>
      </c>
      <c r="O1353" s="12">
        <v>1117.6470588235297</v>
      </c>
      <c r="P1353" s="13"/>
      <c r="Q1353" s="14">
        <v>2025</v>
      </c>
      <c r="R1353" s="15">
        <v>45444</v>
      </c>
      <c r="S1353" s="11" t="s">
        <v>492</v>
      </c>
      <c r="T1353" s="16">
        <v>200</v>
      </c>
      <c r="U1353" s="17"/>
      <c r="V1353" s="12">
        <v>1512.6050420168067</v>
      </c>
      <c r="W1353" s="12">
        <v>1512.6050420168067</v>
      </c>
      <c r="X1353" s="12">
        <v>0</v>
      </c>
      <c r="Y1353" s="18">
        <v>45817</v>
      </c>
      <c r="Z1353" s="13" t="s">
        <v>497</v>
      </c>
      <c r="AA1353" s="19" t="s">
        <v>367</v>
      </c>
      <c r="AB1353" s="13" t="s">
        <v>357</v>
      </c>
      <c r="AC1353" s="13" t="s">
        <v>367</v>
      </c>
      <c r="AD1353" s="20"/>
      <c r="AE1353" s="20"/>
      <c r="AF1353" s="13" t="s">
        <v>40</v>
      </c>
      <c r="AG1353" s="15">
        <v>45444</v>
      </c>
      <c r="AH1353" s="13" t="s">
        <v>41</v>
      </c>
      <c r="AI1353" s="13" t="s">
        <v>56</v>
      </c>
      <c r="AJ1353" s="13" t="s">
        <v>493</v>
      </c>
      <c r="AK1353" s="14">
        <v>-3</v>
      </c>
      <c r="AL1353" s="17"/>
      <c r="AM1353" s="17"/>
      <c r="AN1353" s="17"/>
      <c r="AO1353" s="17"/>
      <c r="AP1353" s="17"/>
      <c r="AQ1353" s="17"/>
      <c r="AR1353" s="17"/>
      <c r="AS1353" s="17"/>
      <c r="AT1353" s="17"/>
      <c r="AU1353" s="17"/>
      <c r="AV1353" s="17"/>
    </row>
    <row r="1354" spans="1:48" ht="15.75" customHeight="1">
      <c r="A1354" s="21" t="s">
        <v>64</v>
      </c>
      <c r="B1354" s="23" t="s">
        <v>1692</v>
      </c>
      <c r="C1354" s="22">
        <v>45823</v>
      </c>
      <c r="D1354" s="23" t="s">
        <v>582</v>
      </c>
      <c r="E1354" s="23" t="s">
        <v>173</v>
      </c>
      <c r="F1354" s="14">
        <v>1</v>
      </c>
      <c r="G1354" s="12">
        <v>23999.835002946373</v>
      </c>
      <c r="H1354" s="12">
        <v>23999.835002946373</v>
      </c>
      <c r="I1354" s="23" t="s">
        <v>52</v>
      </c>
      <c r="J1354" s="23" t="s">
        <v>61</v>
      </c>
      <c r="K1354" s="24" t="s">
        <v>177</v>
      </c>
      <c r="L1354" s="24">
        <v>150</v>
      </c>
      <c r="M1354" s="12">
        <v>20167.928573904515</v>
      </c>
      <c r="N1354" s="12">
        <v>20167.928573904515</v>
      </c>
      <c r="O1354" s="12">
        <v>3831.9064290418573</v>
      </c>
      <c r="P1354" s="13"/>
      <c r="Q1354" s="14">
        <v>2025</v>
      </c>
      <c r="R1354" s="15">
        <v>45444</v>
      </c>
      <c r="S1354" s="11" t="s">
        <v>64</v>
      </c>
      <c r="T1354" s="16">
        <v>3</v>
      </c>
      <c r="U1354" s="17"/>
      <c r="V1354" s="12">
        <v>3055.4411789465339</v>
      </c>
      <c r="W1354" s="12">
        <v>3055.4411789465339</v>
      </c>
      <c r="X1354" s="12">
        <v>0</v>
      </c>
      <c r="Y1354" s="18">
        <v>45817</v>
      </c>
      <c r="Z1354" s="13" t="s">
        <v>497</v>
      </c>
      <c r="AA1354" s="19" t="s">
        <v>373</v>
      </c>
      <c r="AB1354" s="13" t="s">
        <v>357</v>
      </c>
      <c r="AC1354" s="13" t="s">
        <v>583</v>
      </c>
      <c r="AD1354" s="20"/>
      <c r="AE1354" s="20"/>
      <c r="AF1354" s="13" t="s">
        <v>40</v>
      </c>
      <c r="AG1354" s="15">
        <v>45444</v>
      </c>
      <c r="AH1354" s="13" t="s">
        <v>41</v>
      </c>
      <c r="AI1354" s="13" t="s">
        <v>64</v>
      </c>
      <c r="AJ1354" s="13" t="s">
        <v>543</v>
      </c>
      <c r="AK1354" s="14">
        <v>-3</v>
      </c>
      <c r="AL1354" s="17"/>
      <c r="AM1354" s="17"/>
      <c r="AN1354" s="17"/>
      <c r="AO1354" s="17"/>
      <c r="AP1354" s="17"/>
      <c r="AQ1354" s="17"/>
      <c r="AR1354" s="17"/>
      <c r="AS1354" s="17"/>
      <c r="AT1354" s="17"/>
      <c r="AU1354" s="17"/>
      <c r="AV1354" s="17"/>
    </row>
    <row r="1355" spans="1:48" ht="15.75" customHeight="1">
      <c r="A1355" s="21" t="s">
        <v>35</v>
      </c>
      <c r="B1355" s="23" t="s">
        <v>558</v>
      </c>
      <c r="C1355" s="22">
        <v>45822</v>
      </c>
      <c r="D1355" s="23" t="s">
        <v>104</v>
      </c>
      <c r="E1355" s="23" t="s">
        <v>46</v>
      </c>
      <c r="F1355" s="14">
        <v>1</v>
      </c>
      <c r="G1355" s="12">
        <v>6000.1548227279782</v>
      </c>
      <c r="H1355" s="12">
        <v>6000.1548227279782</v>
      </c>
      <c r="I1355" s="23" t="s">
        <v>52</v>
      </c>
      <c r="J1355" s="23" t="s">
        <v>61</v>
      </c>
      <c r="K1355" s="24" t="s">
        <v>177</v>
      </c>
      <c r="L1355" s="24">
        <v>150</v>
      </c>
      <c r="M1355" s="12">
        <v>5042.1469098554444</v>
      </c>
      <c r="N1355" s="12">
        <v>5042.1469098554444</v>
      </c>
      <c r="O1355" s="12">
        <v>958.00791287253378</v>
      </c>
      <c r="P1355" s="13"/>
      <c r="Q1355" s="14">
        <v>2025</v>
      </c>
      <c r="R1355" s="15">
        <v>45444</v>
      </c>
      <c r="S1355" s="11" t="s">
        <v>364</v>
      </c>
      <c r="T1355" s="16">
        <v>500</v>
      </c>
      <c r="U1355" s="17"/>
      <c r="V1355" s="12">
        <v>1785.4242207798129</v>
      </c>
      <c r="W1355" s="12">
        <v>892.71211038990646</v>
      </c>
      <c r="X1355" s="12">
        <v>892.71211038990646</v>
      </c>
      <c r="Y1355" s="18">
        <v>45817</v>
      </c>
      <c r="Z1355" s="13" t="s">
        <v>501</v>
      </c>
      <c r="AA1355" s="19" t="s">
        <v>373</v>
      </c>
      <c r="AB1355" s="13" t="s">
        <v>357</v>
      </c>
      <c r="AC1355" s="13" t="s">
        <v>383</v>
      </c>
      <c r="AD1355" s="30" t="s">
        <v>40</v>
      </c>
      <c r="AE1355" s="30" t="s">
        <v>560</v>
      </c>
      <c r="AF1355" s="13" t="s">
        <v>40</v>
      </c>
      <c r="AG1355" s="15">
        <v>45444</v>
      </c>
      <c r="AH1355" s="13" t="s">
        <v>41</v>
      </c>
      <c r="AI1355" s="13" t="s">
        <v>35</v>
      </c>
      <c r="AJ1355" s="13" t="s">
        <v>365</v>
      </c>
      <c r="AK1355" s="14">
        <v>-0.5</v>
      </c>
      <c r="AL1355" s="17"/>
      <c r="AM1355" s="17"/>
      <c r="AN1355" s="17"/>
      <c r="AO1355" s="17"/>
      <c r="AP1355" s="17"/>
      <c r="AQ1355" s="17"/>
      <c r="AR1355" s="17"/>
      <c r="AS1355" s="17"/>
      <c r="AT1355" s="17"/>
      <c r="AU1355" s="17"/>
      <c r="AV1355" s="17"/>
    </row>
    <row r="1356" spans="1:48" ht="15.75" customHeight="1">
      <c r="A1356" s="21" t="s">
        <v>43</v>
      </c>
      <c r="B1356" s="23" t="s">
        <v>1692</v>
      </c>
      <c r="C1356" s="22">
        <v>45822</v>
      </c>
      <c r="D1356" s="23" t="s">
        <v>584</v>
      </c>
      <c r="E1356" s="23" t="s">
        <v>45</v>
      </c>
      <c r="F1356" s="14">
        <v>1</v>
      </c>
      <c r="G1356" s="12">
        <v>8199.8965351595689</v>
      </c>
      <c r="H1356" s="12">
        <v>8199.8965351595689</v>
      </c>
      <c r="I1356" s="23" t="s">
        <v>52</v>
      </c>
      <c r="J1356" s="23" t="s">
        <v>61</v>
      </c>
      <c r="K1356" s="24" t="s">
        <v>177</v>
      </c>
      <c r="L1356" s="24">
        <v>150</v>
      </c>
      <c r="M1356" s="12">
        <v>6890.6693572769491</v>
      </c>
      <c r="N1356" s="12">
        <v>6890.6693572769491</v>
      </c>
      <c r="O1356" s="12">
        <v>1309.2271778826198</v>
      </c>
      <c r="P1356" s="13"/>
      <c r="Q1356" s="14">
        <v>2025</v>
      </c>
      <c r="R1356" s="15">
        <v>45444</v>
      </c>
      <c r="S1356" s="11" t="s">
        <v>355</v>
      </c>
      <c r="T1356" s="16">
        <v>0</v>
      </c>
      <c r="U1356" s="17"/>
      <c r="V1356" s="12">
        <v>1296.3416261845123</v>
      </c>
      <c r="W1356" s="12">
        <v>1296.3416261845123</v>
      </c>
      <c r="X1356" s="12">
        <v>0</v>
      </c>
      <c r="Y1356" s="18">
        <v>45817</v>
      </c>
      <c r="Z1356" s="13" t="s">
        <v>501</v>
      </c>
      <c r="AA1356" s="19" t="s">
        <v>373</v>
      </c>
      <c r="AB1356" s="13" t="s">
        <v>357</v>
      </c>
      <c r="AC1356" s="13" t="s">
        <v>374</v>
      </c>
      <c r="AD1356" s="20"/>
      <c r="AE1356" s="20"/>
      <c r="AF1356" s="13" t="s">
        <v>40</v>
      </c>
      <c r="AG1356" s="15">
        <v>45444</v>
      </c>
      <c r="AH1356" s="13" t="s">
        <v>41</v>
      </c>
      <c r="AI1356" s="13" t="s">
        <v>43</v>
      </c>
      <c r="AJ1356" s="13" t="s">
        <v>359</v>
      </c>
      <c r="AK1356" s="14">
        <v>-1</v>
      </c>
      <c r="AL1356" s="17"/>
      <c r="AM1356" s="17"/>
      <c r="AN1356" s="17"/>
      <c r="AO1356" s="17"/>
      <c r="AP1356" s="17"/>
      <c r="AQ1356" s="17"/>
      <c r="AR1356" s="17"/>
      <c r="AS1356" s="17"/>
      <c r="AT1356" s="17"/>
      <c r="AU1356" s="17"/>
      <c r="AV1356" s="17"/>
    </row>
    <row r="1357" spans="1:48" ht="15.75" customHeight="1">
      <c r="A1357" s="21" t="s">
        <v>35</v>
      </c>
      <c r="B1357" s="23" t="s">
        <v>1692</v>
      </c>
      <c r="C1357" s="22">
        <v>45822</v>
      </c>
      <c r="D1357" s="23" t="s">
        <v>151</v>
      </c>
      <c r="E1357" s="23" t="s">
        <v>37</v>
      </c>
      <c r="F1357" s="14">
        <v>1</v>
      </c>
      <c r="G1357" s="12">
        <v>11000.014358944907</v>
      </c>
      <c r="H1357" s="12">
        <v>11000.014358944907</v>
      </c>
      <c r="I1357" s="23" t="s">
        <v>52</v>
      </c>
      <c r="J1357" s="23" t="s">
        <v>61</v>
      </c>
      <c r="K1357" s="24" t="s">
        <v>177</v>
      </c>
      <c r="L1357" s="24">
        <v>150</v>
      </c>
      <c r="M1357" s="12">
        <v>9243.7095453318543</v>
      </c>
      <c r="N1357" s="12">
        <v>9243.7095453318543</v>
      </c>
      <c r="O1357" s="12">
        <v>1756.3048136130528</v>
      </c>
      <c r="P1357" s="13"/>
      <c r="Q1357" s="14">
        <v>2025</v>
      </c>
      <c r="R1357" s="15">
        <v>45444</v>
      </c>
      <c r="S1357" s="11" t="s">
        <v>364</v>
      </c>
      <c r="T1357" s="16">
        <v>1000</v>
      </c>
      <c r="U1357" s="17"/>
      <c r="V1357" s="12">
        <v>2806.1129066763915</v>
      </c>
      <c r="W1357" s="12">
        <v>2806.1129066763915</v>
      </c>
      <c r="X1357" s="12">
        <v>0</v>
      </c>
      <c r="Y1357" s="18">
        <v>45817</v>
      </c>
      <c r="Z1357" s="13" t="s">
        <v>501</v>
      </c>
      <c r="AA1357" s="19" t="s">
        <v>373</v>
      </c>
      <c r="AB1357" s="13" t="s">
        <v>357</v>
      </c>
      <c r="AC1357" s="13" t="s">
        <v>462</v>
      </c>
      <c r="AD1357" s="20"/>
      <c r="AE1357" s="20"/>
      <c r="AF1357" s="13" t="s">
        <v>40</v>
      </c>
      <c r="AG1357" s="15">
        <v>45444</v>
      </c>
      <c r="AH1357" s="13" t="s">
        <v>41</v>
      </c>
      <c r="AI1357" s="13" t="s">
        <v>35</v>
      </c>
      <c r="AJ1357" s="13" t="s">
        <v>365</v>
      </c>
      <c r="AK1357" s="14">
        <v>-1</v>
      </c>
      <c r="AL1357" s="17"/>
      <c r="AM1357" s="17"/>
      <c r="AN1357" s="17"/>
      <c r="AO1357" s="17"/>
      <c r="AP1357" s="17"/>
      <c r="AQ1357" s="17"/>
      <c r="AR1357" s="17"/>
      <c r="AS1357" s="17"/>
      <c r="AT1357" s="17"/>
      <c r="AU1357" s="17"/>
      <c r="AV1357" s="17"/>
    </row>
    <row r="1358" spans="1:48" ht="15.75" customHeight="1">
      <c r="A1358" s="21" t="s">
        <v>47</v>
      </c>
      <c r="B1358" s="23" t="s">
        <v>1692</v>
      </c>
      <c r="C1358" s="22">
        <v>45822</v>
      </c>
      <c r="D1358" s="23" t="s">
        <v>126</v>
      </c>
      <c r="E1358" s="23" t="s">
        <v>153</v>
      </c>
      <c r="F1358" s="14">
        <v>1</v>
      </c>
      <c r="G1358" s="12">
        <v>1700</v>
      </c>
      <c r="H1358" s="12">
        <v>1700</v>
      </c>
      <c r="I1358" s="23" t="s">
        <v>52</v>
      </c>
      <c r="J1358" s="23" t="s">
        <v>61</v>
      </c>
      <c r="K1358" s="24" t="s">
        <v>177</v>
      </c>
      <c r="L1358" s="24">
        <v>150</v>
      </c>
      <c r="M1358" s="12">
        <v>1428.5714285714287</v>
      </c>
      <c r="N1358" s="12">
        <v>1428.5714285714287</v>
      </c>
      <c r="O1358" s="12">
        <v>271.42857142857133</v>
      </c>
      <c r="P1358" s="13"/>
      <c r="Q1358" s="14">
        <v>2025</v>
      </c>
      <c r="R1358" s="15">
        <v>45444</v>
      </c>
      <c r="S1358" s="11" t="s">
        <v>153</v>
      </c>
      <c r="T1358" s="16">
        <v>0</v>
      </c>
      <c r="U1358" s="17"/>
      <c r="V1358" s="12">
        <v>589.57142857142867</v>
      </c>
      <c r="W1358" s="12">
        <v>589.57142857142867</v>
      </c>
      <c r="X1358" s="12">
        <v>0</v>
      </c>
      <c r="Y1358" s="18">
        <v>45817</v>
      </c>
      <c r="Z1358" s="13" t="s">
        <v>501</v>
      </c>
      <c r="AA1358" s="19" t="s">
        <v>361</v>
      </c>
      <c r="AB1358" s="13" t="s">
        <v>357</v>
      </c>
      <c r="AC1358" s="13" t="s">
        <v>362</v>
      </c>
      <c r="AD1358" s="20"/>
      <c r="AE1358" s="20"/>
      <c r="AF1358" s="13" t="s">
        <v>40</v>
      </c>
      <c r="AG1358" s="15">
        <v>45444</v>
      </c>
      <c r="AH1358" s="13" t="s">
        <v>41</v>
      </c>
      <c r="AI1358" s="13" t="s">
        <v>47</v>
      </c>
      <c r="AJ1358" s="13" t="s">
        <v>432</v>
      </c>
      <c r="AK1358" s="14">
        <v>-1</v>
      </c>
      <c r="AL1358" s="17"/>
      <c r="AM1358" s="17"/>
      <c r="AN1358" s="17"/>
      <c r="AO1358" s="17"/>
      <c r="AP1358" s="17"/>
      <c r="AQ1358" s="17"/>
      <c r="AR1358" s="17"/>
      <c r="AS1358" s="17"/>
      <c r="AT1358" s="17"/>
      <c r="AU1358" s="17"/>
      <c r="AV1358" s="17"/>
    </row>
    <row r="1359" spans="1:48" ht="15.75" customHeight="1">
      <c r="A1359" s="21" t="s">
        <v>53</v>
      </c>
      <c r="B1359" s="23" t="s">
        <v>1692</v>
      </c>
      <c r="C1359" s="22">
        <v>45822</v>
      </c>
      <c r="D1359" s="23" t="s">
        <v>238</v>
      </c>
      <c r="E1359" s="23" t="s">
        <v>55</v>
      </c>
      <c r="F1359" s="14">
        <v>1</v>
      </c>
      <c r="G1359" s="12">
        <v>20899.657134519988</v>
      </c>
      <c r="H1359" s="12">
        <v>20899.657134519988</v>
      </c>
      <c r="I1359" s="23" t="s">
        <v>52</v>
      </c>
      <c r="J1359" s="23" t="s">
        <v>61</v>
      </c>
      <c r="K1359" s="24" t="s">
        <v>177</v>
      </c>
      <c r="L1359" s="24">
        <v>150</v>
      </c>
      <c r="M1359" s="12">
        <v>17562.737087831923</v>
      </c>
      <c r="N1359" s="12">
        <v>17562.737087831923</v>
      </c>
      <c r="O1359" s="12">
        <v>3336.9200466880648</v>
      </c>
      <c r="P1359" s="13"/>
      <c r="Q1359" s="14">
        <v>2025</v>
      </c>
      <c r="R1359" s="15">
        <v>45444</v>
      </c>
      <c r="S1359" s="11" t="s">
        <v>366</v>
      </c>
      <c r="T1359" s="16">
        <v>0</v>
      </c>
      <c r="U1359" s="17"/>
      <c r="V1359" s="12">
        <v>3117.7370878319234</v>
      </c>
      <c r="W1359" s="12">
        <v>3117.7370878319234</v>
      </c>
      <c r="X1359" s="12">
        <v>0</v>
      </c>
      <c r="Y1359" s="18">
        <v>45817</v>
      </c>
      <c r="Z1359" s="13" t="s">
        <v>501</v>
      </c>
      <c r="AA1359" s="19" t="s">
        <v>373</v>
      </c>
      <c r="AB1359" s="13" t="s">
        <v>357</v>
      </c>
      <c r="AC1359" s="13" t="s">
        <v>533</v>
      </c>
      <c r="AD1359" s="20"/>
      <c r="AE1359" s="20"/>
      <c r="AF1359" s="13" t="s">
        <v>40</v>
      </c>
      <c r="AG1359" s="15">
        <v>45444</v>
      </c>
      <c r="AH1359" s="13" t="s">
        <v>41</v>
      </c>
      <c r="AI1359" s="13" t="s">
        <v>53</v>
      </c>
      <c r="AJ1359" s="13" t="s">
        <v>368</v>
      </c>
      <c r="AK1359" s="14">
        <v>-8</v>
      </c>
      <c r="AL1359" s="17"/>
      <c r="AM1359" s="17"/>
      <c r="AN1359" s="17"/>
      <c r="AO1359" s="17"/>
      <c r="AP1359" s="17"/>
      <c r="AQ1359" s="17"/>
      <c r="AR1359" s="17"/>
      <c r="AS1359" s="17"/>
      <c r="AT1359" s="17"/>
      <c r="AU1359" s="17"/>
      <c r="AV1359" s="17"/>
    </row>
    <row r="1360" spans="1:48" ht="15.75" customHeight="1">
      <c r="A1360" s="21" t="s">
        <v>53</v>
      </c>
      <c r="B1360" s="23" t="s">
        <v>1692</v>
      </c>
      <c r="C1360" s="22">
        <v>45822</v>
      </c>
      <c r="D1360" s="23" t="s">
        <v>238</v>
      </c>
      <c r="E1360" s="23" t="s">
        <v>100</v>
      </c>
      <c r="F1360" s="14">
        <v>1</v>
      </c>
      <c r="G1360" s="12">
        <v>650.00000000000011</v>
      </c>
      <c r="H1360" s="12">
        <v>650.00000000000011</v>
      </c>
      <c r="I1360" s="23" t="s">
        <v>52</v>
      </c>
      <c r="J1360" s="23" t="s">
        <v>61</v>
      </c>
      <c r="K1360" s="24" t="s">
        <v>177</v>
      </c>
      <c r="L1360" s="24">
        <v>150</v>
      </c>
      <c r="M1360" s="12">
        <v>546.21848739495806</v>
      </c>
      <c r="N1360" s="12">
        <v>546.21848739495806</v>
      </c>
      <c r="O1360" s="12">
        <v>103.78151260504205</v>
      </c>
      <c r="P1360" s="13"/>
      <c r="Q1360" s="14">
        <v>2025</v>
      </c>
      <c r="R1360" s="15">
        <v>45444</v>
      </c>
      <c r="S1360" s="11" t="s">
        <v>453</v>
      </c>
      <c r="T1360" s="16">
        <v>0</v>
      </c>
      <c r="U1360" s="17"/>
      <c r="V1360" s="12">
        <v>231.09243697478996</v>
      </c>
      <c r="W1360" s="12">
        <v>231.09243697478996</v>
      </c>
      <c r="X1360" s="12">
        <v>0</v>
      </c>
      <c r="Y1360" s="18">
        <v>45817</v>
      </c>
      <c r="Z1360" s="13" t="s">
        <v>501</v>
      </c>
      <c r="AA1360" s="19" t="s">
        <v>373</v>
      </c>
      <c r="AB1360" s="13" t="s">
        <v>357</v>
      </c>
      <c r="AC1360" s="13" t="s">
        <v>533</v>
      </c>
      <c r="AD1360" s="20"/>
      <c r="AE1360" s="20"/>
      <c r="AF1360" s="13" t="s">
        <v>40</v>
      </c>
      <c r="AG1360" s="15">
        <v>45444</v>
      </c>
      <c r="AH1360" s="13" t="s">
        <v>41</v>
      </c>
      <c r="AI1360" s="13" t="s">
        <v>53</v>
      </c>
      <c r="AJ1360" s="13" t="s">
        <v>454</v>
      </c>
      <c r="AK1360" s="14">
        <v>-1</v>
      </c>
      <c r="AL1360" s="17"/>
      <c r="AM1360" s="17"/>
      <c r="AN1360" s="17"/>
      <c r="AO1360" s="17"/>
      <c r="AP1360" s="17"/>
      <c r="AQ1360" s="17"/>
      <c r="AR1360" s="17"/>
      <c r="AS1360" s="17"/>
      <c r="AT1360" s="17"/>
      <c r="AU1360" s="17"/>
      <c r="AV1360" s="17"/>
    </row>
    <row r="1361" spans="1:48" ht="15.75" customHeight="1">
      <c r="A1361" s="21" t="s">
        <v>35</v>
      </c>
      <c r="B1361" s="23" t="s">
        <v>1692</v>
      </c>
      <c r="C1361" s="25">
        <v>45821</v>
      </c>
      <c r="D1361" s="23" t="s">
        <v>189</v>
      </c>
      <c r="E1361" s="23" t="s">
        <v>46</v>
      </c>
      <c r="F1361" s="21">
        <v>1</v>
      </c>
      <c r="G1361" s="12">
        <v>6000.1548227279782</v>
      </c>
      <c r="H1361" s="12">
        <v>6000.1548227279782</v>
      </c>
      <c r="I1361" s="23" t="s">
        <v>52</v>
      </c>
      <c r="J1361" s="23" t="s">
        <v>61</v>
      </c>
      <c r="K1361" s="24" t="s">
        <v>177</v>
      </c>
      <c r="L1361" s="24">
        <v>150</v>
      </c>
      <c r="M1361" s="12">
        <v>5042.1469098554444</v>
      </c>
      <c r="N1361" s="12">
        <v>5042.1469098554444</v>
      </c>
      <c r="O1361" s="12">
        <v>958.00791287253378</v>
      </c>
      <c r="P1361" s="13"/>
      <c r="Q1361" s="14">
        <v>2025</v>
      </c>
      <c r="R1361" s="15">
        <v>45444</v>
      </c>
      <c r="S1361" s="11" t="s">
        <v>364</v>
      </c>
      <c r="T1361" s="16">
        <v>500</v>
      </c>
      <c r="U1361" s="17"/>
      <c r="V1361" s="12">
        <v>1785.4242207798129</v>
      </c>
      <c r="W1361" s="12">
        <v>1785.4242207798129</v>
      </c>
      <c r="X1361" s="12">
        <v>0</v>
      </c>
      <c r="Y1361" s="18">
        <v>45817</v>
      </c>
      <c r="Z1361" s="13" t="s">
        <v>503</v>
      </c>
      <c r="AA1361" s="19" t="s">
        <v>361</v>
      </c>
      <c r="AB1361" s="13" t="s">
        <v>357</v>
      </c>
      <c r="AC1361" s="13" t="s">
        <v>362</v>
      </c>
      <c r="AD1361" s="20"/>
      <c r="AE1361" s="20"/>
      <c r="AF1361" s="13" t="s">
        <v>40</v>
      </c>
      <c r="AG1361" s="15">
        <v>45444</v>
      </c>
      <c r="AH1361" s="13" t="s">
        <v>41</v>
      </c>
      <c r="AI1361" s="13" t="s">
        <v>35</v>
      </c>
      <c r="AJ1361" s="13" t="s">
        <v>365</v>
      </c>
      <c r="AK1361" s="14">
        <v>-0.5</v>
      </c>
      <c r="AL1361" s="17"/>
      <c r="AM1361" s="17"/>
      <c r="AN1361" s="17"/>
      <c r="AO1361" s="17"/>
      <c r="AP1361" s="17"/>
      <c r="AQ1361" s="17"/>
      <c r="AR1361" s="17"/>
      <c r="AS1361" s="17"/>
      <c r="AT1361" s="17"/>
      <c r="AU1361" s="17"/>
      <c r="AV1361" s="17"/>
    </row>
    <row r="1362" spans="1:48" ht="15.75" customHeight="1">
      <c r="A1362" s="21" t="s">
        <v>43</v>
      </c>
      <c r="B1362" s="23" t="s">
        <v>1692</v>
      </c>
      <c r="C1362" s="25">
        <v>45821</v>
      </c>
      <c r="D1362" s="23" t="s">
        <v>189</v>
      </c>
      <c r="E1362" s="23" t="s">
        <v>45</v>
      </c>
      <c r="F1362" s="21">
        <v>1</v>
      </c>
      <c r="G1362" s="12">
        <v>8199.8965351595689</v>
      </c>
      <c r="H1362" s="12">
        <v>8199.8965351595689</v>
      </c>
      <c r="I1362" s="23" t="s">
        <v>52</v>
      </c>
      <c r="J1362" s="23" t="s">
        <v>61</v>
      </c>
      <c r="K1362" s="24" t="s">
        <v>177</v>
      </c>
      <c r="L1362" s="24">
        <v>150</v>
      </c>
      <c r="M1362" s="12">
        <v>6890.6693572769491</v>
      </c>
      <c r="N1362" s="12">
        <v>6890.6693572769491</v>
      </c>
      <c r="O1362" s="12">
        <v>1309.2271778826198</v>
      </c>
      <c r="P1362" s="13"/>
      <c r="Q1362" s="14">
        <v>2025</v>
      </c>
      <c r="R1362" s="15">
        <v>45444</v>
      </c>
      <c r="S1362" s="11" t="s">
        <v>355</v>
      </c>
      <c r="T1362" s="16">
        <v>0</v>
      </c>
      <c r="U1362" s="17"/>
      <c r="V1362" s="12">
        <v>1296.3416261845123</v>
      </c>
      <c r="W1362" s="12">
        <v>1296.3416261845123</v>
      </c>
      <c r="X1362" s="12">
        <v>0</v>
      </c>
      <c r="Y1362" s="18">
        <v>45817</v>
      </c>
      <c r="Z1362" s="13" t="s">
        <v>503</v>
      </c>
      <c r="AA1362" s="19" t="s">
        <v>361</v>
      </c>
      <c r="AB1362" s="13" t="s">
        <v>357</v>
      </c>
      <c r="AC1362" s="13" t="s">
        <v>362</v>
      </c>
      <c r="AD1362" s="20"/>
      <c r="AE1362" s="20"/>
      <c r="AF1362" s="13" t="s">
        <v>40</v>
      </c>
      <c r="AG1362" s="15">
        <v>45444</v>
      </c>
      <c r="AH1362" s="13" t="s">
        <v>41</v>
      </c>
      <c r="AI1362" s="13" t="s">
        <v>43</v>
      </c>
      <c r="AJ1362" s="13" t="s">
        <v>359</v>
      </c>
      <c r="AK1362" s="14">
        <v>-1</v>
      </c>
      <c r="AL1362" s="17"/>
      <c r="AM1362" s="17"/>
      <c r="AN1362" s="17"/>
      <c r="AO1362" s="17"/>
      <c r="AP1362" s="17"/>
      <c r="AQ1362" s="17"/>
      <c r="AR1362" s="17"/>
      <c r="AS1362" s="17"/>
      <c r="AT1362" s="17"/>
      <c r="AU1362" s="17"/>
      <c r="AV1362" s="17"/>
    </row>
    <row r="1363" spans="1:48" ht="15.75" customHeight="1">
      <c r="A1363" s="21" t="s">
        <v>35</v>
      </c>
      <c r="B1363" s="23" t="s">
        <v>1692</v>
      </c>
      <c r="C1363" s="25">
        <v>45821</v>
      </c>
      <c r="D1363" s="23" t="s">
        <v>58</v>
      </c>
      <c r="E1363" s="23" t="s">
        <v>37</v>
      </c>
      <c r="F1363" s="21">
        <v>1</v>
      </c>
      <c r="G1363" s="12">
        <v>11000.014358944907</v>
      </c>
      <c r="H1363" s="12">
        <v>11000.014358944907</v>
      </c>
      <c r="I1363" s="23" t="s">
        <v>52</v>
      </c>
      <c r="J1363" s="23" t="s">
        <v>61</v>
      </c>
      <c r="K1363" s="24" t="s">
        <v>177</v>
      </c>
      <c r="L1363" s="24">
        <v>150</v>
      </c>
      <c r="M1363" s="12">
        <v>9243.7095453318543</v>
      </c>
      <c r="N1363" s="12">
        <v>9243.7095453318543</v>
      </c>
      <c r="O1363" s="12">
        <v>1756.3048136130528</v>
      </c>
      <c r="P1363" s="13"/>
      <c r="Q1363" s="14">
        <v>2025</v>
      </c>
      <c r="R1363" s="15">
        <v>45444</v>
      </c>
      <c r="S1363" s="11" t="s">
        <v>364</v>
      </c>
      <c r="T1363" s="16">
        <v>1000</v>
      </c>
      <c r="U1363" s="17"/>
      <c r="V1363" s="12">
        <v>2806.1129066763915</v>
      </c>
      <c r="W1363" s="12">
        <v>2806.1129066763915</v>
      </c>
      <c r="X1363" s="12">
        <v>0</v>
      </c>
      <c r="Y1363" s="18">
        <v>45817</v>
      </c>
      <c r="Z1363" s="13" t="s">
        <v>503</v>
      </c>
      <c r="AA1363" s="19" t="s">
        <v>356</v>
      </c>
      <c r="AB1363" s="13" t="s">
        <v>357</v>
      </c>
      <c r="AC1363" s="13" t="s">
        <v>362</v>
      </c>
      <c r="AD1363" s="20"/>
      <c r="AE1363" s="20"/>
      <c r="AF1363" s="13" t="s">
        <v>40</v>
      </c>
      <c r="AG1363" s="15">
        <v>45444</v>
      </c>
      <c r="AH1363" s="13" t="s">
        <v>41</v>
      </c>
      <c r="AI1363" s="13" t="s">
        <v>35</v>
      </c>
      <c r="AJ1363" s="13" t="s">
        <v>365</v>
      </c>
      <c r="AK1363" s="14">
        <v>-1</v>
      </c>
      <c r="AL1363" s="17"/>
      <c r="AM1363" s="17"/>
      <c r="AN1363" s="17"/>
      <c r="AO1363" s="17"/>
      <c r="AP1363" s="17"/>
      <c r="AQ1363" s="17"/>
      <c r="AR1363" s="17"/>
      <c r="AS1363" s="17"/>
      <c r="AT1363" s="17"/>
      <c r="AU1363" s="17"/>
      <c r="AV1363" s="17"/>
    </row>
    <row r="1364" spans="1:48" ht="15.75" customHeight="1">
      <c r="A1364" s="21" t="s">
        <v>35</v>
      </c>
      <c r="B1364" s="23" t="s">
        <v>1692</v>
      </c>
      <c r="C1364" s="25">
        <v>45821</v>
      </c>
      <c r="D1364" s="23" t="s">
        <v>128</v>
      </c>
      <c r="E1364" s="23" t="s">
        <v>37</v>
      </c>
      <c r="F1364" s="21">
        <v>1</v>
      </c>
      <c r="G1364" s="12">
        <v>11000.014358944907</v>
      </c>
      <c r="H1364" s="12">
        <v>11000.014358944907</v>
      </c>
      <c r="I1364" s="23" t="s">
        <v>52</v>
      </c>
      <c r="J1364" s="23" t="s">
        <v>61</v>
      </c>
      <c r="K1364" s="24" t="s">
        <v>177</v>
      </c>
      <c r="L1364" s="24">
        <v>150</v>
      </c>
      <c r="M1364" s="12">
        <v>9243.7095453318543</v>
      </c>
      <c r="N1364" s="12">
        <v>9243.7095453318543</v>
      </c>
      <c r="O1364" s="12">
        <v>1756.3048136130528</v>
      </c>
      <c r="P1364" s="13"/>
      <c r="Q1364" s="14">
        <v>2025</v>
      </c>
      <c r="R1364" s="15">
        <v>45444</v>
      </c>
      <c r="S1364" s="11" t="s">
        <v>364</v>
      </c>
      <c r="T1364" s="16">
        <v>1000</v>
      </c>
      <c r="U1364" s="17"/>
      <c r="V1364" s="12">
        <v>2806.1129066763915</v>
      </c>
      <c r="W1364" s="12">
        <v>2806.1129066763915</v>
      </c>
      <c r="X1364" s="12">
        <v>0</v>
      </c>
      <c r="Y1364" s="18">
        <v>45817</v>
      </c>
      <c r="Z1364" s="13" t="s">
        <v>503</v>
      </c>
      <c r="AA1364" s="19" t="s">
        <v>373</v>
      </c>
      <c r="AB1364" s="13" t="s">
        <v>357</v>
      </c>
      <c r="AC1364" s="13" t="s">
        <v>405</v>
      </c>
      <c r="AD1364" s="20"/>
      <c r="AE1364" s="20"/>
      <c r="AF1364" s="13" t="s">
        <v>40</v>
      </c>
      <c r="AG1364" s="15">
        <v>45444</v>
      </c>
      <c r="AH1364" s="13" t="s">
        <v>41</v>
      </c>
      <c r="AI1364" s="13" t="s">
        <v>35</v>
      </c>
      <c r="AJ1364" s="13" t="s">
        <v>365</v>
      </c>
      <c r="AK1364" s="14">
        <v>-1</v>
      </c>
      <c r="AL1364" s="17"/>
      <c r="AM1364" s="17"/>
      <c r="AN1364" s="17"/>
      <c r="AO1364" s="17"/>
      <c r="AP1364" s="17"/>
      <c r="AQ1364" s="17"/>
      <c r="AR1364" s="17"/>
      <c r="AS1364" s="17"/>
      <c r="AT1364" s="17"/>
      <c r="AU1364" s="17"/>
      <c r="AV1364" s="17"/>
    </row>
    <row r="1365" spans="1:48" ht="15.75" customHeight="1">
      <c r="A1365" s="21" t="s">
        <v>35</v>
      </c>
      <c r="B1365" s="23" t="s">
        <v>1692</v>
      </c>
      <c r="C1365" s="25">
        <v>45821</v>
      </c>
      <c r="D1365" s="23" t="s">
        <v>128</v>
      </c>
      <c r="E1365" s="23" t="s">
        <v>46</v>
      </c>
      <c r="F1365" s="21">
        <v>1</v>
      </c>
      <c r="G1365" s="12">
        <v>6000.1548227279782</v>
      </c>
      <c r="H1365" s="12">
        <v>6000.1548227279782</v>
      </c>
      <c r="I1365" s="23" t="s">
        <v>52</v>
      </c>
      <c r="J1365" s="23" t="s">
        <v>61</v>
      </c>
      <c r="K1365" s="24" t="s">
        <v>177</v>
      </c>
      <c r="L1365" s="24">
        <v>150</v>
      </c>
      <c r="M1365" s="12">
        <v>5042.1469098554444</v>
      </c>
      <c r="N1365" s="12">
        <v>5042.1469098554444</v>
      </c>
      <c r="O1365" s="12">
        <v>958.00791287253378</v>
      </c>
      <c r="P1365" s="13"/>
      <c r="Q1365" s="14">
        <v>2025</v>
      </c>
      <c r="R1365" s="15">
        <v>45444</v>
      </c>
      <c r="S1365" s="11" t="s">
        <v>364</v>
      </c>
      <c r="T1365" s="16">
        <v>500</v>
      </c>
      <c r="U1365" s="17"/>
      <c r="V1365" s="12">
        <v>1785.4242207798129</v>
      </c>
      <c r="W1365" s="12">
        <v>1785.4242207798129</v>
      </c>
      <c r="X1365" s="12">
        <v>0</v>
      </c>
      <c r="Y1365" s="18">
        <v>45817</v>
      </c>
      <c r="Z1365" s="13" t="s">
        <v>503</v>
      </c>
      <c r="AA1365" s="19" t="s">
        <v>373</v>
      </c>
      <c r="AB1365" s="13" t="s">
        <v>357</v>
      </c>
      <c r="AC1365" s="13" t="s">
        <v>405</v>
      </c>
      <c r="AD1365" s="20"/>
      <c r="AE1365" s="20"/>
      <c r="AF1365" s="13" t="s">
        <v>40</v>
      </c>
      <c r="AG1365" s="15">
        <v>45444</v>
      </c>
      <c r="AH1365" s="13" t="s">
        <v>41</v>
      </c>
      <c r="AI1365" s="13" t="s">
        <v>35</v>
      </c>
      <c r="AJ1365" s="13" t="s">
        <v>365</v>
      </c>
      <c r="AK1365" s="14">
        <v>-0.5</v>
      </c>
      <c r="AL1365" s="17"/>
      <c r="AM1365" s="17"/>
      <c r="AN1365" s="17"/>
      <c r="AO1365" s="17"/>
      <c r="AP1365" s="17"/>
      <c r="AQ1365" s="17"/>
      <c r="AR1365" s="17"/>
      <c r="AS1365" s="17"/>
      <c r="AT1365" s="17"/>
      <c r="AU1365" s="17"/>
      <c r="AV1365" s="17"/>
    </row>
    <row r="1366" spans="1:48" ht="15.75" customHeight="1">
      <c r="A1366" s="21" t="s">
        <v>35</v>
      </c>
      <c r="B1366" s="23" t="s">
        <v>1692</v>
      </c>
      <c r="C1366" s="25">
        <v>45821</v>
      </c>
      <c r="D1366" s="23" t="s">
        <v>915</v>
      </c>
      <c r="E1366" s="23" t="s">
        <v>37</v>
      </c>
      <c r="F1366" s="21">
        <v>1</v>
      </c>
      <c r="G1366" s="12">
        <v>11000.014358944907</v>
      </c>
      <c r="H1366" s="12">
        <v>11000.014358944907</v>
      </c>
      <c r="I1366" s="23" t="s">
        <v>52</v>
      </c>
      <c r="J1366" s="23" t="s">
        <v>61</v>
      </c>
      <c r="K1366" s="24" t="s">
        <v>177</v>
      </c>
      <c r="L1366" s="24">
        <v>150</v>
      </c>
      <c r="M1366" s="12">
        <v>9243.7095453318543</v>
      </c>
      <c r="N1366" s="12">
        <v>9243.7095453318543</v>
      </c>
      <c r="O1366" s="12">
        <v>1756.3048136130528</v>
      </c>
      <c r="P1366" s="13"/>
      <c r="Q1366" s="14">
        <v>2025</v>
      </c>
      <c r="R1366" s="15">
        <v>45444</v>
      </c>
      <c r="S1366" s="11" t="s">
        <v>364</v>
      </c>
      <c r="T1366" s="16">
        <v>1000</v>
      </c>
      <c r="U1366" s="17"/>
      <c r="V1366" s="12">
        <v>2806.1129066763915</v>
      </c>
      <c r="W1366" s="12">
        <v>2806.1129066763915</v>
      </c>
      <c r="X1366" s="12">
        <v>0</v>
      </c>
      <c r="Y1366" s="18">
        <v>45817</v>
      </c>
      <c r="Z1366" s="13" t="s">
        <v>503</v>
      </c>
      <c r="AA1366" s="19" t="s">
        <v>367</v>
      </c>
      <c r="AB1366" s="13" t="s">
        <v>357</v>
      </c>
      <c r="AC1366" s="13" t="s">
        <v>367</v>
      </c>
      <c r="AD1366" s="20"/>
      <c r="AE1366" s="20"/>
      <c r="AF1366" s="13" t="s">
        <v>40</v>
      </c>
      <c r="AG1366" s="15">
        <v>45444</v>
      </c>
      <c r="AH1366" s="13" t="s">
        <v>41</v>
      </c>
      <c r="AI1366" s="13" t="s">
        <v>35</v>
      </c>
      <c r="AJ1366" s="13" t="s">
        <v>365</v>
      </c>
      <c r="AK1366" s="14">
        <v>-1</v>
      </c>
      <c r="AL1366" s="17"/>
      <c r="AM1366" s="17"/>
      <c r="AN1366" s="17"/>
      <c r="AO1366" s="17"/>
      <c r="AP1366" s="17"/>
      <c r="AQ1366" s="17"/>
      <c r="AR1366" s="17"/>
      <c r="AS1366" s="17"/>
      <c r="AT1366" s="17"/>
      <c r="AU1366" s="17"/>
      <c r="AV1366" s="17"/>
    </row>
    <row r="1367" spans="1:48" ht="15.75" customHeight="1">
      <c r="A1367" s="21" t="s">
        <v>147</v>
      </c>
      <c r="B1367" s="23" t="s">
        <v>1692</v>
      </c>
      <c r="C1367" s="25">
        <v>45821</v>
      </c>
      <c r="D1367" s="23" t="s">
        <v>145</v>
      </c>
      <c r="E1367" s="23" t="s">
        <v>148</v>
      </c>
      <c r="F1367" s="21">
        <v>1</v>
      </c>
      <c r="G1367" s="12">
        <v>1200.0000000000002</v>
      </c>
      <c r="H1367" s="12">
        <v>1200.0000000000002</v>
      </c>
      <c r="I1367" s="23" t="s">
        <v>52</v>
      </c>
      <c r="J1367" s="23" t="s">
        <v>61</v>
      </c>
      <c r="K1367" s="24" t="s">
        <v>177</v>
      </c>
      <c r="L1367" s="24">
        <v>150</v>
      </c>
      <c r="M1367" s="12">
        <v>1008.4033613445381</v>
      </c>
      <c r="N1367" s="12">
        <v>1008.4033613445381</v>
      </c>
      <c r="O1367" s="12">
        <v>191.59663865546213</v>
      </c>
      <c r="P1367" s="13"/>
      <c r="Q1367" s="14">
        <v>2025</v>
      </c>
      <c r="R1367" s="15">
        <v>45444</v>
      </c>
      <c r="S1367" s="11" t="s">
        <v>360</v>
      </c>
      <c r="T1367" s="16">
        <v>0</v>
      </c>
      <c r="U1367" s="17"/>
      <c r="V1367" s="12">
        <v>357.9831932773111</v>
      </c>
      <c r="W1367" s="12">
        <v>357.9831932773111</v>
      </c>
      <c r="X1367" s="12">
        <v>0</v>
      </c>
      <c r="Y1367" s="18">
        <v>45817</v>
      </c>
      <c r="Z1367" s="13" t="s">
        <v>503</v>
      </c>
      <c r="AA1367" s="19" t="s">
        <v>373</v>
      </c>
      <c r="AB1367" s="13" t="s">
        <v>357</v>
      </c>
      <c r="AC1367" s="13" t="s">
        <v>380</v>
      </c>
      <c r="AD1367" s="20"/>
      <c r="AE1367" s="20"/>
      <c r="AF1367" s="13" t="s">
        <v>40</v>
      </c>
      <c r="AG1367" s="15">
        <v>45444</v>
      </c>
      <c r="AH1367" s="13" t="s">
        <v>41</v>
      </c>
      <c r="AI1367" s="13" t="s">
        <v>147</v>
      </c>
      <c r="AJ1367" s="13" t="s">
        <v>363</v>
      </c>
      <c r="AK1367" s="14">
        <v>-1</v>
      </c>
      <c r="AL1367" s="17"/>
      <c r="AM1367" s="17"/>
      <c r="AN1367" s="17"/>
      <c r="AO1367" s="17"/>
      <c r="AP1367" s="17"/>
      <c r="AQ1367" s="17"/>
      <c r="AR1367" s="17"/>
      <c r="AS1367" s="17"/>
      <c r="AT1367" s="17"/>
      <c r="AU1367" s="17"/>
      <c r="AV1367" s="17"/>
    </row>
    <row r="1368" spans="1:48" ht="15.75" customHeight="1">
      <c r="A1368" s="21" t="s">
        <v>35</v>
      </c>
      <c r="B1368" s="23" t="s">
        <v>1692</v>
      </c>
      <c r="C1368" s="25">
        <v>45821</v>
      </c>
      <c r="D1368" s="23" t="s">
        <v>585</v>
      </c>
      <c r="E1368" s="23" t="s">
        <v>37</v>
      </c>
      <c r="F1368" s="21">
        <v>1</v>
      </c>
      <c r="G1368" s="12">
        <v>11000.014358944907</v>
      </c>
      <c r="H1368" s="12">
        <v>11000.014358944907</v>
      </c>
      <c r="I1368" s="23" t="s">
        <v>52</v>
      </c>
      <c r="J1368" s="23" t="s">
        <v>61</v>
      </c>
      <c r="K1368" s="24" t="s">
        <v>177</v>
      </c>
      <c r="L1368" s="24">
        <v>150</v>
      </c>
      <c r="M1368" s="12">
        <v>9243.7095453318543</v>
      </c>
      <c r="N1368" s="12">
        <v>9243.7095453318543</v>
      </c>
      <c r="O1368" s="12">
        <v>1756.3048136130528</v>
      </c>
      <c r="P1368" s="13"/>
      <c r="Q1368" s="14">
        <v>2025</v>
      </c>
      <c r="R1368" s="15">
        <v>45444</v>
      </c>
      <c r="S1368" s="11" t="s">
        <v>364</v>
      </c>
      <c r="T1368" s="16">
        <v>1000</v>
      </c>
      <c r="U1368" s="17"/>
      <c r="V1368" s="12">
        <v>2806.1129066763915</v>
      </c>
      <c r="W1368" s="12">
        <v>2806.1129066763915</v>
      </c>
      <c r="X1368" s="12">
        <v>0</v>
      </c>
      <c r="Y1368" s="18">
        <v>45817</v>
      </c>
      <c r="Z1368" s="13" t="s">
        <v>503</v>
      </c>
      <c r="AA1368" s="19" t="s">
        <v>373</v>
      </c>
      <c r="AB1368" s="13" t="s">
        <v>357</v>
      </c>
      <c r="AC1368" s="13" t="s">
        <v>568</v>
      </c>
      <c r="AD1368" s="20"/>
      <c r="AE1368" s="20"/>
      <c r="AF1368" s="13" t="s">
        <v>40</v>
      </c>
      <c r="AG1368" s="15">
        <v>45444</v>
      </c>
      <c r="AH1368" s="13" t="s">
        <v>41</v>
      </c>
      <c r="AI1368" s="13" t="s">
        <v>35</v>
      </c>
      <c r="AJ1368" s="13" t="s">
        <v>365</v>
      </c>
      <c r="AK1368" s="14">
        <v>-1</v>
      </c>
      <c r="AL1368" s="17"/>
      <c r="AM1368" s="17"/>
      <c r="AN1368" s="17"/>
      <c r="AO1368" s="17"/>
      <c r="AP1368" s="17"/>
      <c r="AQ1368" s="17"/>
      <c r="AR1368" s="17"/>
      <c r="AS1368" s="17"/>
      <c r="AT1368" s="17"/>
      <c r="AU1368" s="17"/>
      <c r="AV1368" s="17"/>
    </row>
    <row r="1369" spans="1:48" ht="15.75" customHeight="1">
      <c r="A1369" s="21" t="s">
        <v>56</v>
      </c>
      <c r="B1369" s="23" t="s">
        <v>1692</v>
      </c>
      <c r="C1369" s="25">
        <v>45821</v>
      </c>
      <c r="D1369" s="23" t="s">
        <v>59</v>
      </c>
      <c r="E1369" s="23" t="s">
        <v>60</v>
      </c>
      <c r="F1369" s="21">
        <v>1</v>
      </c>
      <c r="G1369" s="12">
        <v>7000.0000000000018</v>
      </c>
      <c r="H1369" s="12">
        <v>7000.0000000000018</v>
      </c>
      <c r="I1369" s="23" t="s">
        <v>52</v>
      </c>
      <c r="J1369" s="23" t="s">
        <v>61</v>
      </c>
      <c r="K1369" s="24" t="s">
        <v>177</v>
      </c>
      <c r="L1369" s="24">
        <v>150</v>
      </c>
      <c r="M1369" s="12">
        <v>5882.3529411764721</v>
      </c>
      <c r="N1369" s="12">
        <v>5882.3529411764721</v>
      </c>
      <c r="O1369" s="12">
        <v>1117.6470588235297</v>
      </c>
      <c r="P1369" s="13"/>
      <c r="Q1369" s="14">
        <v>2025</v>
      </c>
      <c r="R1369" s="15">
        <v>45444</v>
      </c>
      <c r="S1369" s="11" t="s">
        <v>429</v>
      </c>
      <c r="T1369" s="16">
        <v>200</v>
      </c>
      <c r="U1369" s="17"/>
      <c r="V1369" s="12">
        <v>2080.6722689075641</v>
      </c>
      <c r="W1369" s="12">
        <v>2080.6722689075641</v>
      </c>
      <c r="X1369" s="12">
        <v>0</v>
      </c>
      <c r="Y1369" s="18">
        <v>45817</v>
      </c>
      <c r="Z1369" s="13" t="s">
        <v>503</v>
      </c>
      <c r="AA1369" s="19" t="s">
        <v>373</v>
      </c>
      <c r="AB1369" s="13" t="s">
        <v>357</v>
      </c>
      <c r="AC1369" s="13" t="s">
        <v>380</v>
      </c>
      <c r="AD1369" s="20"/>
      <c r="AE1369" s="20"/>
      <c r="AF1369" s="13" t="s">
        <v>40</v>
      </c>
      <c r="AG1369" s="15">
        <v>45444</v>
      </c>
      <c r="AH1369" s="13" t="s">
        <v>41</v>
      </c>
      <c r="AI1369" s="13" t="s">
        <v>56</v>
      </c>
      <c r="AJ1369" s="13" t="s">
        <v>430</v>
      </c>
      <c r="AK1369" s="14">
        <v>-2</v>
      </c>
      <c r="AL1369" s="17"/>
      <c r="AM1369" s="17"/>
      <c r="AN1369" s="17"/>
      <c r="AO1369" s="17"/>
      <c r="AP1369" s="17"/>
      <c r="AQ1369" s="17"/>
      <c r="AR1369" s="17"/>
      <c r="AS1369" s="17"/>
      <c r="AT1369" s="17"/>
      <c r="AU1369" s="17"/>
      <c r="AV1369" s="17"/>
    </row>
    <row r="1370" spans="1:48" ht="15.75" customHeight="1">
      <c r="A1370" s="21" t="s">
        <v>56</v>
      </c>
      <c r="B1370" s="23" t="s">
        <v>1692</v>
      </c>
      <c r="C1370" s="25">
        <v>45821</v>
      </c>
      <c r="D1370" s="23" t="s">
        <v>59</v>
      </c>
      <c r="E1370" s="23" t="s">
        <v>62</v>
      </c>
      <c r="F1370" s="21">
        <v>1</v>
      </c>
      <c r="G1370" s="12">
        <v>3700</v>
      </c>
      <c r="H1370" s="12">
        <v>3700</v>
      </c>
      <c r="I1370" s="23" t="s">
        <v>52</v>
      </c>
      <c r="J1370" s="23" t="s">
        <v>61</v>
      </c>
      <c r="K1370" s="24" t="s">
        <v>177</v>
      </c>
      <c r="L1370" s="24">
        <v>150</v>
      </c>
      <c r="M1370" s="12">
        <v>3109.2436974789916</v>
      </c>
      <c r="N1370" s="12">
        <v>3109.2436974789916</v>
      </c>
      <c r="O1370" s="12">
        <v>590.75630252100837</v>
      </c>
      <c r="P1370" s="13"/>
      <c r="Q1370" s="14">
        <v>2025</v>
      </c>
      <c r="R1370" s="15">
        <v>45444</v>
      </c>
      <c r="S1370" s="11" t="s">
        <v>429</v>
      </c>
      <c r="T1370" s="16">
        <v>200</v>
      </c>
      <c r="U1370" s="17"/>
      <c r="V1370" s="12">
        <v>1199.159663865546</v>
      </c>
      <c r="W1370" s="12">
        <v>1199.159663865546</v>
      </c>
      <c r="X1370" s="12">
        <v>0</v>
      </c>
      <c r="Y1370" s="18">
        <v>45817</v>
      </c>
      <c r="Z1370" s="13" t="s">
        <v>503</v>
      </c>
      <c r="AA1370" s="19" t="s">
        <v>373</v>
      </c>
      <c r="AB1370" s="13" t="s">
        <v>357</v>
      </c>
      <c r="AC1370" s="13" t="s">
        <v>380</v>
      </c>
      <c r="AD1370" s="20"/>
      <c r="AE1370" s="20"/>
      <c r="AF1370" s="13" t="s">
        <v>40</v>
      </c>
      <c r="AG1370" s="15">
        <v>45444</v>
      </c>
      <c r="AH1370" s="13" t="s">
        <v>41</v>
      </c>
      <c r="AI1370" s="13" t="s">
        <v>56</v>
      </c>
      <c r="AJ1370" s="13" t="s">
        <v>430</v>
      </c>
      <c r="AK1370" s="14">
        <v>-1</v>
      </c>
      <c r="AL1370" s="17"/>
      <c r="AM1370" s="17"/>
      <c r="AN1370" s="17"/>
      <c r="AO1370" s="17"/>
      <c r="AP1370" s="17"/>
      <c r="AQ1370" s="17"/>
      <c r="AR1370" s="17"/>
      <c r="AS1370" s="17"/>
      <c r="AT1370" s="17"/>
      <c r="AU1370" s="17"/>
      <c r="AV1370" s="17"/>
    </row>
    <row r="1371" spans="1:48" ht="15.75" customHeight="1">
      <c r="A1371" s="21" t="s">
        <v>56</v>
      </c>
      <c r="B1371" s="23" t="s">
        <v>1692</v>
      </c>
      <c r="C1371" s="25">
        <v>45821</v>
      </c>
      <c r="D1371" s="23" t="s">
        <v>59</v>
      </c>
      <c r="E1371" s="23" t="s">
        <v>112</v>
      </c>
      <c r="F1371" s="21">
        <v>1</v>
      </c>
      <c r="G1371" s="12">
        <v>7999.6031746031749</v>
      </c>
      <c r="H1371" s="12">
        <v>7999.6031746031749</v>
      </c>
      <c r="I1371" s="23" t="s">
        <v>52</v>
      </c>
      <c r="J1371" s="23" t="s">
        <v>61</v>
      </c>
      <c r="K1371" s="24" t="s">
        <v>177</v>
      </c>
      <c r="L1371" s="24">
        <v>150</v>
      </c>
      <c r="M1371" s="12">
        <v>6722.3556089102312</v>
      </c>
      <c r="N1371" s="12">
        <v>6722.3556089102312</v>
      </c>
      <c r="O1371" s="12">
        <v>1277.2475656929437</v>
      </c>
      <c r="P1371" s="13"/>
      <c r="Q1371" s="14">
        <v>2025</v>
      </c>
      <c r="R1371" s="15">
        <v>45444</v>
      </c>
      <c r="S1371" s="11" t="s">
        <v>427</v>
      </c>
      <c r="T1371" s="16">
        <v>135</v>
      </c>
      <c r="U1371" s="17"/>
      <c r="V1371" s="12">
        <v>2317.868213952248</v>
      </c>
      <c r="W1371" s="12">
        <v>2317.868213952248</v>
      </c>
      <c r="X1371" s="12">
        <v>0</v>
      </c>
      <c r="Y1371" s="18">
        <v>45817</v>
      </c>
      <c r="Z1371" s="13" t="s">
        <v>503</v>
      </c>
      <c r="AA1371" s="19" t="s">
        <v>373</v>
      </c>
      <c r="AB1371" s="13" t="s">
        <v>357</v>
      </c>
      <c r="AC1371" s="13" t="s">
        <v>380</v>
      </c>
      <c r="AD1371" s="20"/>
      <c r="AE1371" s="20"/>
      <c r="AF1371" s="13" t="s">
        <v>40</v>
      </c>
      <c r="AG1371" s="15">
        <v>45444</v>
      </c>
      <c r="AH1371" s="13" t="s">
        <v>41</v>
      </c>
      <c r="AI1371" s="13" t="s">
        <v>56</v>
      </c>
      <c r="AJ1371" s="13" t="s">
        <v>428</v>
      </c>
      <c r="AK1371" s="14">
        <v>-3</v>
      </c>
      <c r="AL1371" s="17"/>
      <c r="AM1371" s="17"/>
      <c r="AN1371" s="17"/>
      <c r="AO1371" s="17"/>
      <c r="AP1371" s="17"/>
      <c r="AQ1371" s="17"/>
      <c r="AR1371" s="17"/>
      <c r="AS1371" s="17"/>
      <c r="AT1371" s="17"/>
      <c r="AU1371" s="17"/>
      <c r="AV1371" s="17"/>
    </row>
    <row r="1372" spans="1:48" ht="15.75" customHeight="1">
      <c r="A1372" s="21" t="s">
        <v>53</v>
      </c>
      <c r="B1372" s="23" t="s">
        <v>1692</v>
      </c>
      <c r="C1372" s="25">
        <v>45821</v>
      </c>
      <c r="D1372" s="23" t="s">
        <v>68</v>
      </c>
      <c r="E1372" s="23" t="s">
        <v>55</v>
      </c>
      <c r="F1372" s="21">
        <v>1</v>
      </c>
      <c r="G1372" s="12">
        <v>20899.657134519988</v>
      </c>
      <c r="H1372" s="12">
        <v>20899.657134519988</v>
      </c>
      <c r="I1372" s="23" t="s">
        <v>52</v>
      </c>
      <c r="J1372" s="23" t="s">
        <v>61</v>
      </c>
      <c r="K1372" s="11" t="s">
        <v>86</v>
      </c>
      <c r="L1372" s="24">
        <v>88</v>
      </c>
      <c r="M1372" s="12">
        <v>17562.737087831923</v>
      </c>
      <c r="N1372" s="12">
        <v>17562.737087831923</v>
      </c>
      <c r="O1372" s="12">
        <v>3336.9200466880648</v>
      </c>
      <c r="P1372" s="13"/>
      <c r="Q1372" s="14">
        <v>2025</v>
      </c>
      <c r="R1372" s="15">
        <v>45444</v>
      </c>
      <c r="S1372" s="11" t="s">
        <v>366</v>
      </c>
      <c r="T1372" s="16">
        <v>0</v>
      </c>
      <c r="U1372" s="17"/>
      <c r="V1372" s="12">
        <v>3117.7370878319234</v>
      </c>
      <c r="W1372" s="12">
        <v>3117.7370878319234</v>
      </c>
      <c r="X1372" s="12">
        <v>0</v>
      </c>
      <c r="Y1372" s="18">
        <v>45817</v>
      </c>
      <c r="Z1372" s="13" t="s">
        <v>503</v>
      </c>
      <c r="AA1372" s="19" t="s">
        <v>361</v>
      </c>
      <c r="AB1372" s="13" t="s">
        <v>394</v>
      </c>
      <c r="AC1372" s="13" t="s">
        <v>383</v>
      </c>
      <c r="AD1372" s="20"/>
      <c r="AE1372" s="20"/>
      <c r="AF1372" s="13" t="s">
        <v>40</v>
      </c>
      <c r="AG1372" s="15">
        <v>45444</v>
      </c>
      <c r="AH1372" s="13" t="s">
        <v>41</v>
      </c>
      <c r="AI1372" s="13" t="s">
        <v>53</v>
      </c>
      <c r="AJ1372" s="13" t="s">
        <v>368</v>
      </c>
      <c r="AK1372" s="14">
        <v>-8</v>
      </c>
      <c r="AL1372" s="17"/>
      <c r="AM1372" s="17"/>
      <c r="AN1372" s="17"/>
      <c r="AO1372" s="17"/>
      <c r="AP1372" s="17"/>
      <c r="AQ1372" s="17"/>
      <c r="AR1372" s="17"/>
      <c r="AS1372" s="17"/>
      <c r="AT1372" s="17"/>
      <c r="AU1372" s="17"/>
      <c r="AV1372" s="17"/>
    </row>
    <row r="1373" spans="1:48" ht="15.75" customHeight="1">
      <c r="A1373" s="21" t="s">
        <v>53</v>
      </c>
      <c r="B1373" s="23" t="s">
        <v>1692</v>
      </c>
      <c r="C1373" s="25">
        <v>45821</v>
      </c>
      <c r="D1373" s="23" t="s">
        <v>68</v>
      </c>
      <c r="E1373" s="23" t="s">
        <v>109</v>
      </c>
      <c r="F1373" s="21">
        <v>1</v>
      </c>
      <c r="G1373" s="12">
        <v>10000</v>
      </c>
      <c r="H1373" s="12">
        <v>10000</v>
      </c>
      <c r="I1373" s="23" t="s">
        <v>52</v>
      </c>
      <c r="J1373" s="23" t="s">
        <v>61</v>
      </c>
      <c r="K1373" s="11" t="s">
        <v>86</v>
      </c>
      <c r="L1373" s="24">
        <v>88</v>
      </c>
      <c r="M1373" s="12">
        <v>8403.361344537816</v>
      </c>
      <c r="N1373" s="12">
        <v>8403.361344537816</v>
      </c>
      <c r="O1373" s="12">
        <v>1596.638655462184</v>
      </c>
      <c r="P1373" s="13"/>
      <c r="Q1373" s="14">
        <v>2025</v>
      </c>
      <c r="R1373" s="15">
        <v>45444</v>
      </c>
      <c r="S1373" s="11" t="s">
        <v>395</v>
      </c>
      <c r="T1373" s="16">
        <v>400</v>
      </c>
      <c r="U1373" s="17"/>
      <c r="V1373" s="12">
        <v>2100.8403361344544</v>
      </c>
      <c r="W1373" s="12">
        <v>2100.8403361344544</v>
      </c>
      <c r="X1373" s="12">
        <v>0</v>
      </c>
      <c r="Y1373" s="18">
        <v>45817</v>
      </c>
      <c r="Z1373" s="13" t="s">
        <v>503</v>
      </c>
      <c r="AA1373" s="19" t="s">
        <v>361</v>
      </c>
      <c r="AB1373" s="13" t="s">
        <v>394</v>
      </c>
      <c r="AC1373" s="13" t="s">
        <v>383</v>
      </c>
      <c r="AD1373" s="20"/>
      <c r="AE1373" s="20"/>
      <c r="AF1373" s="13" t="s">
        <v>40</v>
      </c>
      <c r="AG1373" s="15">
        <v>45444</v>
      </c>
      <c r="AH1373" s="13" t="s">
        <v>41</v>
      </c>
      <c r="AI1373" s="13" t="s">
        <v>53</v>
      </c>
      <c r="AJ1373" s="13" t="s">
        <v>396</v>
      </c>
      <c r="AK1373" s="14">
        <v>-4</v>
      </c>
      <c r="AL1373" s="17"/>
      <c r="AM1373" s="17"/>
      <c r="AN1373" s="17"/>
      <c r="AO1373" s="17"/>
      <c r="AP1373" s="17"/>
      <c r="AQ1373" s="17"/>
      <c r="AR1373" s="17"/>
      <c r="AS1373" s="17"/>
      <c r="AT1373" s="17"/>
      <c r="AU1373" s="17"/>
      <c r="AV1373" s="17"/>
    </row>
    <row r="1374" spans="1:48" ht="15.75" customHeight="1">
      <c r="A1374" s="21" t="s">
        <v>53</v>
      </c>
      <c r="B1374" s="23" t="s">
        <v>1692</v>
      </c>
      <c r="C1374" s="25">
        <v>45821</v>
      </c>
      <c r="D1374" s="23" t="s">
        <v>68</v>
      </c>
      <c r="E1374" s="23" t="s">
        <v>70</v>
      </c>
      <c r="F1374" s="21">
        <v>1</v>
      </c>
      <c r="G1374" s="12">
        <v>5000.3257328990221</v>
      </c>
      <c r="H1374" s="12">
        <v>5000.3257328990221</v>
      </c>
      <c r="I1374" s="23" t="s">
        <v>52</v>
      </c>
      <c r="J1374" s="23" t="s">
        <v>61</v>
      </c>
      <c r="K1374" s="11" t="s">
        <v>86</v>
      </c>
      <c r="L1374" s="24">
        <v>88</v>
      </c>
      <c r="M1374" s="12">
        <v>4201.9543973941363</v>
      </c>
      <c r="N1374" s="12">
        <v>4201.9543973941363</v>
      </c>
      <c r="O1374" s="12">
        <v>798.37133550488579</v>
      </c>
      <c r="P1374" s="13"/>
      <c r="Q1374" s="14">
        <v>2025</v>
      </c>
      <c r="R1374" s="15">
        <v>45444</v>
      </c>
      <c r="S1374" s="11" t="s">
        <v>381</v>
      </c>
      <c r="T1374" s="16">
        <v>300</v>
      </c>
      <c r="U1374" s="17"/>
      <c r="V1374" s="12">
        <v>2008.9543973941363</v>
      </c>
      <c r="W1374" s="12">
        <v>2008.9543973941363</v>
      </c>
      <c r="X1374" s="12">
        <v>0</v>
      </c>
      <c r="Y1374" s="18">
        <v>45817</v>
      </c>
      <c r="Z1374" s="13" t="s">
        <v>503</v>
      </c>
      <c r="AA1374" s="19" t="s">
        <v>361</v>
      </c>
      <c r="AB1374" s="13" t="s">
        <v>394</v>
      </c>
      <c r="AC1374" s="13" t="s">
        <v>383</v>
      </c>
      <c r="AD1374" s="20"/>
      <c r="AE1374" s="20"/>
      <c r="AF1374" s="13" t="s">
        <v>40</v>
      </c>
      <c r="AG1374" s="15">
        <v>45444</v>
      </c>
      <c r="AH1374" s="13" t="s">
        <v>41</v>
      </c>
      <c r="AI1374" s="13" t="s">
        <v>53</v>
      </c>
      <c r="AJ1374" s="13" t="s">
        <v>382</v>
      </c>
      <c r="AK1374" s="14">
        <v>-3</v>
      </c>
      <c r="AL1374" s="17"/>
      <c r="AM1374" s="17"/>
      <c r="AN1374" s="17"/>
      <c r="AO1374" s="17"/>
      <c r="AP1374" s="17"/>
      <c r="AQ1374" s="17"/>
      <c r="AR1374" s="17"/>
      <c r="AS1374" s="17"/>
      <c r="AT1374" s="17"/>
      <c r="AU1374" s="17"/>
      <c r="AV1374" s="17"/>
    </row>
    <row r="1375" spans="1:48" ht="15.75" customHeight="1">
      <c r="A1375" s="21" t="s">
        <v>76</v>
      </c>
      <c r="B1375" s="23" t="s">
        <v>1692</v>
      </c>
      <c r="C1375" s="25">
        <v>45821</v>
      </c>
      <c r="D1375" s="23" t="s">
        <v>68</v>
      </c>
      <c r="E1375" s="23" t="s">
        <v>81</v>
      </c>
      <c r="F1375" s="21">
        <v>1</v>
      </c>
      <c r="G1375" s="12">
        <v>3500.0000000000005</v>
      </c>
      <c r="H1375" s="12">
        <v>3500.0000000000005</v>
      </c>
      <c r="I1375" s="23" t="s">
        <v>52</v>
      </c>
      <c r="J1375" s="23" t="s">
        <v>61</v>
      </c>
      <c r="K1375" s="11" t="s">
        <v>86</v>
      </c>
      <c r="L1375" s="24">
        <v>88</v>
      </c>
      <c r="M1375" s="12">
        <v>2941.1764705882356</v>
      </c>
      <c r="N1375" s="12">
        <v>2941.1764705882356</v>
      </c>
      <c r="O1375" s="12">
        <v>558.82352941176487</v>
      </c>
      <c r="P1375" s="13"/>
      <c r="Q1375" s="14">
        <v>2025</v>
      </c>
      <c r="R1375" s="15">
        <v>45444</v>
      </c>
      <c r="S1375" s="11" t="s">
        <v>397</v>
      </c>
      <c r="T1375" s="16">
        <v>5</v>
      </c>
      <c r="U1375" s="17"/>
      <c r="V1375" s="12">
        <v>764.70588235294144</v>
      </c>
      <c r="W1375" s="12">
        <v>764.70588235294144</v>
      </c>
      <c r="X1375" s="12">
        <v>0</v>
      </c>
      <c r="Y1375" s="18">
        <v>45817</v>
      </c>
      <c r="Z1375" s="13" t="s">
        <v>503</v>
      </c>
      <c r="AA1375" s="19" t="s">
        <v>361</v>
      </c>
      <c r="AB1375" s="13" t="s">
        <v>394</v>
      </c>
      <c r="AC1375" s="13" t="s">
        <v>383</v>
      </c>
      <c r="AD1375" s="20"/>
      <c r="AE1375" s="20"/>
      <c r="AF1375" s="13" t="s">
        <v>40</v>
      </c>
      <c r="AG1375" s="15">
        <v>45444</v>
      </c>
      <c r="AH1375" s="13" t="s">
        <v>41</v>
      </c>
      <c r="AI1375" s="13" t="s">
        <v>76</v>
      </c>
      <c r="AJ1375" s="13" t="s">
        <v>398</v>
      </c>
      <c r="AK1375" s="14">
        <v>-1</v>
      </c>
      <c r="AL1375" s="17"/>
      <c r="AM1375" s="17"/>
      <c r="AN1375" s="17"/>
      <c r="AO1375" s="17"/>
      <c r="AP1375" s="17"/>
      <c r="AQ1375" s="17"/>
      <c r="AR1375" s="17"/>
      <c r="AS1375" s="17"/>
      <c r="AT1375" s="17"/>
      <c r="AU1375" s="17"/>
      <c r="AV1375" s="17"/>
    </row>
    <row r="1376" spans="1:48" ht="15.75" customHeight="1">
      <c r="A1376" s="21" t="s">
        <v>47</v>
      </c>
      <c r="B1376" s="23" t="s">
        <v>1692</v>
      </c>
      <c r="C1376" s="25">
        <v>45821</v>
      </c>
      <c r="D1376" s="23" t="s">
        <v>68</v>
      </c>
      <c r="E1376" s="23" t="s">
        <v>48</v>
      </c>
      <c r="F1376" s="21">
        <v>1</v>
      </c>
      <c r="G1376" s="12">
        <v>1000</v>
      </c>
      <c r="H1376" s="12">
        <v>1000</v>
      </c>
      <c r="I1376" s="23" t="s">
        <v>52</v>
      </c>
      <c r="J1376" s="23" t="s">
        <v>61</v>
      </c>
      <c r="K1376" s="11" t="s">
        <v>86</v>
      </c>
      <c r="L1376" s="24">
        <v>88</v>
      </c>
      <c r="M1376" s="12">
        <v>840.3361344537816</v>
      </c>
      <c r="N1376" s="12">
        <v>840.3361344537816</v>
      </c>
      <c r="O1376" s="12">
        <v>159.6638655462184</v>
      </c>
      <c r="P1376" s="13"/>
      <c r="Q1376" s="14">
        <v>2025</v>
      </c>
      <c r="R1376" s="15">
        <v>45444</v>
      </c>
      <c r="S1376" s="11" t="s">
        <v>416</v>
      </c>
      <c r="T1376" s="16">
        <v>0</v>
      </c>
      <c r="U1376" s="17"/>
      <c r="V1376" s="12">
        <v>330.33613445378148</v>
      </c>
      <c r="W1376" s="12">
        <v>330.33613445378148</v>
      </c>
      <c r="X1376" s="12">
        <v>0</v>
      </c>
      <c r="Y1376" s="18">
        <v>45817</v>
      </c>
      <c r="Z1376" s="13" t="s">
        <v>503</v>
      </c>
      <c r="AA1376" s="19" t="s">
        <v>361</v>
      </c>
      <c r="AB1376" s="13" t="s">
        <v>394</v>
      </c>
      <c r="AC1376" s="13" t="s">
        <v>383</v>
      </c>
      <c r="AD1376" s="20"/>
      <c r="AE1376" s="20"/>
      <c r="AF1376" s="13" t="s">
        <v>40</v>
      </c>
      <c r="AG1376" s="15">
        <v>45444</v>
      </c>
      <c r="AH1376" s="13" t="s">
        <v>41</v>
      </c>
      <c r="AI1376" s="13" t="s">
        <v>47</v>
      </c>
      <c r="AJ1376" s="13" t="s">
        <v>417</v>
      </c>
      <c r="AK1376" s="14">
        <v>-5</v>
      </c>
      <c r="AL1376" s="17"/>
      <c r="AM1376" s="17"/>
      <c r="AN1376" s="17"/>
      <c r="AO1376" s="17"/>
      <c r="AP1376" s="17"/>
      <c r="AQ1376" s="17"/>
      <c r="AR1376" s="17"/>
      <c r="AS1376" s="17"/>
      <c r="AT1376" s="17"/>
      <c r="AU1376" s="17"/>
      <c r="AV1376" s="17"/>
    </row>
    <row r="1377" spans="1:48" ht="15.75" customHeight="1">
      <c r="A1377" s="21" t="s">
        <v>76</v>
      </c>
      <c r="B1377" s="23" t="s">
        <v>1692</v>
      </c>
      <c r="C1377" s="25">
        <v>45821</v>
      </c>
      <c r="D1377" s="23" t="s">
        <v>68</v>
      </c>
      <c r="E1377" s="23" t="s">
        <v>77</v>
      </c>
      <c r="F1377" s="21">
        <v>1</v>
      </c>
      <c r="G1377" s="12">
        <v>1700.4255319148936</v>
      </c>
      <c r="H1377" s="12">
        <v>1700.4255319148936</v>
      </c>
      <c r="I1377" s="23" t="s">
        <v>52</v>
      </c>
      <c r="J1377" s="23" t="s">
        <v>61</v>
      </c>
      <c r="K1377" s="11" t="s">
        <v>86</v>
      </c>
      <c r="L1377" s="24">
        <v>88</v>
      </c>
      <c r="M1377" s="12">
        <v>1428.929018415877</v>
      </c>
      <c r="N1377" s="12">
        <v>1428.929018415877</v>
      </c>
      <c r="O1377" s="12">
        <v>271.4965134990166</v>
      </c>
      <c r="P1377" s="13"/>
      <c r="Q1377" s="14">
        <v>2025</v>
      </c>
      <c r="R1377" s="15">
        <v>45444</v>
      </c>
      <c r="S1377" s="11" t="s">
        <v>448</v>
      </c>
      <c r="T1377" s="16">
        <v>0</v>
      </c>
      <c r="U1377" s="17"/>
      <c r="V1377" s="12">
        <v>589.43322009654923</v>
      </c>
      <c r="W1377" s="12">
        <v>589.43322009654923</v>
      </c>
      <c r="X1377" s="12">
        <v>0</v>
      </c>
      <c r="Y1377" s="18">
        <v>45817</v>
      </c>
      <c r="Z1377" s="13" t="s">
        <v>503</v>
      </c>
      <c r="AA1377" s="19" t="s">
        <v>361</v>
      </c>
      <c r="AB1377" s="13" t="s">
        <v>394</v>
      </c>
      <c r="AC1377" s="13" t="s">
        <v>383</v>
      </c>
      <c r="AD1377" s="20"/>
      <c r="AE1377" s="20"/>
      <c r="AF1377" s="13" t="s">
        <v>40</v>
      </c>
      <c r="AG1377" s="15">
        <v>45444</v>
      </c>
      <c r="AH1377" s="13" t="s">
        <v>41</v>
      </c>
      <c r="AI1377" s="13" t="s">
        <v>76</v>
      </c>
      <c r="AJ1377" s="13" t="s">
        <v>457</v>
      </c>
      <c r="AK1377" s="14">
        <v>-1</v>
      </c>
      <c r="AL1377" s="17"/>
      <c r="AM1377" s="17"/>
      <c r="AN1377" s="17"/>
      <c r="AO1377" s="17"/>
      <c r="AP1377" s="17"/>
      <c r="AQ1377" s="17"/>
      <c r="AR1377" s="17"/>
      <c r="AS1377" s="17"/>
      <c r="AT1377" s="17"/>
      <c r="AU1377" s="17"/>
      <c r="AV1377" s="17"/>
    </row>
    <row r="1378" spans="1:48" ht="15.75" customHeight="1">
      <c r="A1378" s="21" t="s">
        <v>47</v>
      </c>
      <c r="B1378" s="23" t="s">
        <v>1692</v>
      </c>
      <c r="C1378" s="25">
        <v>45821</v>
      </c>
      <c r="D1378" s="23" t="s">
        <v>68</v>
      </c>
      <c r="E1378" s="23" t="s">
        <v>504</v>
      </c>
      <c r="F1378" s="21">
        <v>1</v>
      </c>
      <c r="G1378" s="12">
        <v>3000.0000000000005</v>
      </c>
      <c r="H1378" s="12">
        <v>3000.0000000000005</v>
      </c>
      <c r="I1378" s="23" t="s">
        <v>52</v>
      </c>
      <c r="J1378" s="23" t="s">
        <v>61</v>
      </c>
      <c r="K1378" s="11" t="s">
        <v>86</v>
      </c>
      <c r="L1378" s="24">
        <v>88</v>
      </c>
      <c r="M1378" s="12">
        <v>2521.0084033613452</v>
      </c>
      <c r="N1378" s="12">
        <v>2521.0084033613452</v>
      </c>
      <c r="O1378" s="12">
        <v>478.99159663865521</v>
      </c>
      <c r="P1378" s="13"/>
      <c r="Q1378" s="14">
        <v>2025</v>
      </c>
      <c r="R1378" s="15">
        <v>45444</v>
      </c>
      <c r="S1378" s="11" t="s">
        <v>105</v>
      </c>
      <c r="T1378" s="16">
        <v>0</v>
      </c>
      <c r="U1378" s="17"/>
      <c r="V1378" s="12">
        <v>776.47058823529437</v>
      </c>
      <c r="W1378" s="12">
        <v>776.47058823529437</v>
      </c>
      <c r="X1378" s="12">
        <v>0</v>
      </c>
      <c r="Y1378" s="18">
        <v>45817</v>
      </c>
      <c r="Z1378" s="13" t="s">
        <v>503</v>
      </c>
      <c r="AA1378" s="19" t="s">
        <v>361</v>
      </c>
      <c r="AB1378" s="13" t="s">
        <v>394</v>
      </c>
      <c r="AC1378" s="13" t="s">
        <v>383</v>
      </c>
      <c r="AD1378" s="20"/>
      <c r="AE1378" s="20"/>
      <c r="AF1378" s="13" t="s">
        <v>40</v>
      </c>
      <c r="AG1378" s="15">
        <v>45444</v>
      </c>
      <c r="AH1378" s="13" t="s">
        <v>41</v>
      </c>
      <c r="AI1378" s="13" t="s">
        <v>47</v>
      </c>
      <c r="AJ1378" s="13" t="s">
        <v>371</v>
      </c>
      <c r="AK1378" s="14">
        <v>-3</v>
      </c>
      <c r="AL1378" s="17"/>
      <c r="AM1378" s="17"/>
      <c r="AN1378" s="17"/>
      <c r="AO1378" s="17"/>
      <c r="AP1378" s="17"/>
      <c r="AQ1378" s="17"/>
      <c r="AR1378" s="17"/>
      <c r="AS1378" s="17"/>
      <c r="AT1378" s="17"/>
      <c r="AU1378" s="17"/>
      <c r="AV1378" s="17"/>
    </row>
    <row r="1379" spans="1:48" ht="15.75" customHeight="1">
      <c r="A1379" s="21" t="s">
        <v>35</v>
      </c>
      <c r="B1379" s="23" t="s">
        <v>1692</v>
      </c>
      <c r="C1379" s="25">
        <v>45821</v>
      </c>
      <c r="D1379" s="23" t="s">
        <v>271</v>
      </c>
      <c r="E1379" s="23" t="s">
        <v>37</v>
      </c>
      <c r="F1379" s="21">
        <v>1</v>
      </c>
      <c r="G1379" s="12">
        <v>11000.014358944907</v>
      </c>
      <c r="H1379" s="12">
        <v>11000.014358944907</v>
      </c>
      <c r="I1379" s="23" t="s">
        <v>52</v>
      </c>
      <c r="J1379" s="23" t="s">
        <v>61</v>
      </c>
      <c r="K1379" s="24" t="s">
        <v>177</v>
      </c>
      <c r="L1379" s="24">
        <v>150</v>
      </c>
      <c r="M1379" s="12">
        <v>9243.7095453318543</v>
      </c>
      <c r="N1379" s="12">
        <v>9243.7095453318543</v>
      </c>
      <c r="O1379" s="12">
        <v>1756.3048136130528</v>
      </c>
      <c r="P1379" s="13"/>
      <c r="Q1379" s="14">
        <v>2025</v>
      </c>
      <c r="R1379" s="15">
        <v>45444</v>
      </c>
      <c r="S1379" s="11" t="s">
        <v>364</v>
      </c>
      <c r="T1379" s="16">
        <v>1000</v>
      </c>
      <c r="U1379" s="17"/>
      <c r="V1379" s="12">
        <v>2806.1129066763915</v>
      </c>
      <c r="W1379" s="12">
        <v>2806.1129066763915</v>
      </c>
      <c r="X1379" s="12">
        <v>0</v>
      </c>
      <c r="Y1379" s="18">
        <v>45817</v>
      </c>
      <c r="Z1379" s="13" t="s">
        <v>503</v>
      </c>
      <c r="AA1379" s="19" t="s">
        <v>373</v>
      </c>
      <c r="AB1379" s="13" t="s">
        <v>357</v>
      </c>
      <c r="AC1379" s="13" t="s">
        <v>461</v>
      </c>
      <c r="AD1379" s="20"/>
      <c r="AE1379" s="20"/>
      <c r="AF1379" s="13" t="s">
        <v>40</v>
      </c>
      <c r="AG1379" s="15">
        <v>45444</v>
      </c>
      <c r="AH1379" s="13" t="s">
        <v>41</v>
      </c>
      <c r="AI1379" s="13" t="s">
        <v>35</v>
      </c>
      <c r="AJ1379" s="13" t="s">
        <v>365</v>
      </c>
      <c r="AK1379" s="14">
        <v>-1</v>
      </c>
      <c r="AL1379" s="17"/>
      <c r="AM1379" s="17"/>
      <c r="AN1379" s="17"/>
      <c r="AO1379" s="17"/>
      <c r="AP1379" s="17"/>
      <c r="AQ1379" s="17"/>
      <c r="AR1379" s="17"/>
      <c r="AS1379" s="17"/>
      <c r="AT1379" s="17"/>
      <c r="AU1379" s="17"/>
      <c r="AV1379" s="17"/>
    </row>
    <row r="1380" spans="1:48" ht="15.75" customHeight="1">
      <c r="A1380" s="21" t="s">
        <v>43</v>
      </c>
      <c r="B1380" s="23" t="s">
        <v>1692</v>
      </c>
      <c r="C1380" s="25">
        <v>45821</v>
      </c>
      <c r="D1380" s="23" t="s">
        <v>350</v>
      </c>
      <c r="E1380" s="23" t="s">
        <v>45</v>
      </c>
      <c r="F1380" s="21">
        <v>2</v>
      </c>
      <c r="G1380" s="12">
        <v>8199.8965351595689</v>
      </c>
      <c r="H1380" s="12">
        <v>16399.793070319138</v>
      </c>
      <c r="I1380" s="23" t="s">
        <v>52</v>
      </c>
      <c r="J1380" s="23" t="s">
        <v>61</v>
      </c>
      <c r="K1380" s="24" t="s">
        <v>177</v>
      </c>
      <c r="L1380" s="24">
        <v>150</v>
      </c>
      <c r="M1380" s="12">
        <v>6890.6693572769491</v>
      </c>
      <c r="N1380" s="12">
        <v>13781.338714553898</v>
      </c>
      <c r="O1380" s="12">
        <v>2618.4543557652396</v>
      </c>
      <c r="P1380" s="13"/>
      <c r="Q1380" s="14">
        <v>2025</v>
      </c>
      <c r="R1380" s="15">
        <v>45444</v>
      </c>
      <c r="S1380" s="11" t="s">
        <v>355</v>
      </c>
      <c r="T1380" s="16">
        <v>0</v>
      </c>
      <c r="U1380" s="17"/>
      <c r="V1380" s="12">
        <v>2592.6832523690246</v>
      </c>
      <c r="W1380" s="12">
        <v>2592.6832523690246</v>
      </c>
      <c r="X1380" s="12">
        <v>0</v>
      </c>
      <c r="Y1380" s="18">
        <v>45817</v>
      </c>
      <c r="Z1380" s="13" t="s">
        <v>503</v>
      </c>
      <c r="AA1380" s="19" t="s">
        <v>373</v>
      </c>
      <c r="AB1380" s="13" t="s">
        <v>357</v>
      </c>
      <c r="AC1380" s="13" t="s">
        <v>389</v>
      </c>
      <c r="AD1380" s="20"/>
      <c r="AE1380" s="20"/>
      <c r="AF1380" s="13" t="s">
        <v>40</v>
      </c>
      <c r="AG1380" s="15">
        <v>45444</v>
      </c>
      <c r="AH1380" s="13" t="s">
        <v>41</v>
      </c>
      <c r="AI1380" s="13" t="s">
        <v>43</v>
      </c>
      <c r="AJ1380" s="13" t="s">
        <v>359</v>
      </c>
      <c r="AK1380" s="14">
        <v>-2</v>
      </c>
      <c r="AL1380" s="17"/>
      <c r="AM1380" s="17"/>
      <c r="AN1380" s="17"/>
      <c r="AO1380" s="17"/>
      <c r="AP1380" s="17"/>
      <c r="AQ1380" s="17"/>
      <c r="AR1380" s="17"/>
      <c r="AS1380" s="17"/>
      <c r="AT1380" s="17"/>
      <c r="AU1380" s="17"/>
      <c r="AV1380" s="17"/>
    </row>
    <row r="1381" spans="1:48" ht="15.75" customHeight="1">
      <c r="A1381" s="21" t="s">
        <v>43</v>
      </c>
      <c r="B1381" s="23" t="s">
        <v>1692</v>
      </c>
      <c r="C1381" s="22">
        <v>45820</v>
      </c>
      <c r="D1381" s="23" t="s">
        <v>241</v>
      </c>
      <c r="E1381" s="23" t="s">
        <v>45</v>
      </c>
      <c r="F1381" s="21">
        <v>1</v>
      </c>
      <c r="G1381" s="12">
        <v>8199.8965351595689</v>
      </c>
      <c r="H1381" s="12">
        <v>8199.8965351595689</v>
      </c>
      <c r="I1381" s="23" t="s">
        <v>52</v>
      </c>
      <c r="J1381" s="23" t="s">
        <v>61</v>
      </c>
      <c r="K1381" s="24" t="s">
        <v>177</v>
      </c>
      <c r="L1381" s="24">
        <v>150</v>
      </c>
      <c r="M1381" s="12">
        <v>6890.6693572769491</v>
      </c>
      <c r="N1381" s="12">
        <v>6890.6693572769491</v>
      </c>
      <c r="O1381" s="12">
        <v>1309.2271778826198</v>
      </c>
      <c r="P1381" s="13"/>
      <c r="Q1381" s="14">
        <v>2025</v>
      </c>
      <c r="R1381" s="15">
        <v>45444</v>
      </c>
      <c r="S1381" s="11" t="s">
        <v>355</v>
      </c>
      <c r="T1381" s="16">
        <v>0</v>
      </c>
      <c r="U1381" s="17"/>
      <c r="V1381" s="12">
        <v>1296.3416261845123</v>
      </c>
      <c r="W1381" s="12">
        <v>1296.3416261845123</v>
      </c>
      <c r="X1381" s="12">
        <v>0</v>
      </c>
      <c r="Y1381" s="18">
        <v>45817</v>
      </c>
      <c r="Z1381" s="13" t="s">
        <v>505</v>
      </c>
      <c r="AA1381" s="19" t="s">
        <v>373</v>
      </c>
      <c r="AB1381" s="13" t="s">
        <v>357</v>
      </c>
      <c r="AC1381" s="13" t="s">
        <v>488</v>
      </c>
      <c r="AD1381" s="20"/>
      <c r="AE1381" s="20"/>
      <c r="AF1381" s="13" t="s">
        <v>40</v>
      </c>
      <c r="AG1381" s="15">
        <v>45444</v>
      </c>
      <c r="AH1381" s="13" t="s">
        <v>41</v>
      </c>
      <c r="AI1381" s="13" t="s">
        <v>43</v>
      </c>
      <c r="AJ1381" s="13" t="s">
        <v>359</v>
      </c>
      <c r="AK1381" s="14">
        <v>-1</v>
      </c>
      <c r="AL1381" s="17"/>
      <c r="AM1381" s="17"/>
      <c r="AN1381" s="17"/>
      <c r="AO1381" s="17"/>
      <c r="AP1381" s="17"/>
      <c r="AQ1381" s="17"/>
      <c r="AR1381" s="17"/>
      <c r="AS1381" s="17"/>
      <c r="AT1381" s="17"/>
      <c r="AU1381" s="17"/>
      <c r="AV1381" s="17"/>
    </row>
    <row r="1382" spans="1:48" ht="15.75" customHeight="1">
      <c r="A1382" s="21" t="s">
        <v>43</v>
      </c>
      <c r="B1382" s="23" t="s">
        <v>1692</v>
      </c>
      <c r="C1382" s="22">
        <v>45820</v>
      </c>
      <c r="D1382" s="23" t="s">
        <v>124</v>
      </c>
      <c r="E1382" s="23" t="s">
        <v>45</v>
      </c>
      <c r="F1382" s="21">
        <v>1</v>
      </c>
      <c r="G1382" s="12">
        <v>8199.8965351595689</v>
      </c>
      <c r="H1382" s="12">
        <v>8199.8965351595689</v>
      </c>
      <c r="I1382" s="23" t="s">
        <v>52</v>
      </c>
      <c r="J1382" s="23" t="s">
        <v>61</v>
      </c>
      <c r="K1382" s="24" t="s">
        <v>177</v>
      </c>
      <c r="L1382" s="24">
        <v>150</v>
      </c>
      <c r="M1382" s="12">
        <v>6890.6693572769491</v>
      </c>
      <c r="N1382" s="12">
        <v>6890.6693572769491</v>
      </c>
      <c r="O1382" s="12">
        <v>1309.2271778826198</v>
      </c>
      <c r="P1382" s="13"/>
      <c r="Q1382" s="14">
        <v>2025</v>
      </c>
      <c r="R1382" s="15">
        <v>45444</v>
      </c>
      <c r="S1382" s="11" t="s">
        <v>355</v>
      </c>
      <c r="T1382" s="16">
        <v>0</v>
      </c>
      <c r="U1382" s="17"/>
      <c r="V1382" s="12">
        <v>1296.3416261845123</v>
      </c>
      <c r="W1382" s="12">
        <v>1296.3416261845123</v>
      </c>
      <c r="X1382" s="12">
        <v>0</v>
      </c>
      <c r="Y1382" s="18">
        <v>45817</v>
      </c>
      <c r="Z1382" s="13" t="s">
        <v>505</v>
      </c>
      <c r="AA1382" s="19" t="s">
        <v>356</v>
      </c>
      <c r="AB1382" s="13" t="s">
        <v>357</v>
      </c>
      <c r="AC1382" s="13" t="s">
        <v>383</v>
      </c>
      <c r="AD1382" s="20"/>
      <c r="AE1382" s="20"/>
      <c r="AF1382" s="13" t="s">
        <v>40</v>
      </c>
      <c r="AG1382" s="15">
        <v>45444</v>
      </c>
      <c r="AH1382" s="13" t="s">
        <v>41</v>
      </c>
      <c r="AI1382" s="13" t="s">
        <v>43</v>
      </c>
      <c r="AJ1382" s="13" t="s">
        <v>359</v>
      </c>
      <c r="AK1382" s="14">
        <v>-1</v>
      </c>
      <c r="AL1382" s="17"/>
      <c r="AM1382" s="17"/>
      <c r="AN1382" s="17"/>
      <c r="AO1382" s="17"/>
      <c r="AP1382" s="17"/>
      <c r="AQ1382" s="17"/>
      <c r="AR1382" s="17"/>
      <c r="AS1382" s="17"/>
      <c r="AT1382" s="17"/>
      <c r="AU1382" s="17"/>
      <c r="AV1382" s="17"/>
    </row>
    <row r="1383" spans="1:48" ht="15.75" customHeight="1">
      <c r="A1383" s="21" t="s">
        <v>35</v>
      </c>
      <c r="B1383" s="23" t="s">
        <v>1692</v>
      </c>
      <c r="C1383" s="22">
        <v>45820</v>
      </c>
      <c r="D1383" s="23" t="s">
        <v>124</v>
      </c>
      <c r="E1383" s="23" t="s">
        <v>37</v>
      </c>
      <c r="F1383" s="21">
        <v>1</v>
      </c>
      <c r="G1383" s="12">
        <v>11000.014358944907</v>
      </c>
      <c r="H1383" s="12">
        <v>11000.014358944907</v>
      </c>
      <c r="I1383" s="23" t="s">
        <v>52</v>
      </c>
      <c r="J1383" s="23" t="s">
        <v>61</v>
      </c>
      <c r="K1383" s="24" t="s">
        <v>177</v>
      </c>
      <c r="L1383" s="24">
        <v>150</v>
      </c>
      <c r="M1383" s="12">
        <v>9243.7095453318543</v>
      </c>
      <c r="N1383" s="12">
        <v>9243.7095453318543</v>
      </c>
      <c r="O1383" s="12">
        <v>1756.3048136130528</v>
      </c>
      <c r="P1383" s="13"/>
      <c r="Q1383" s="14">
        <v>2025</v>
      </c>
      <c r="R1383" s="15">
        <v>45444</v>
      </c>
      <c r="S1383" s="11" t="s">
        <v>364</v>
      </c>
      <c r="T1383" s="16">
        <v>1000</v>
      </c>
      <c r="U1383" s="17"/>
      <c r="V1383" s="12">
        <v>2806.1129066763915</v>
      </c>
      <c r="W1383" s="12">
        <v>2806.1129066763915</v>
      </c>
      <c r="X1383" s="12">
        <v>0</v>
      </c>
      <c r="Y1383" s="18">
        <v>45817</v>
      </c>
      <c r="Z1383" s="13" t="s">
        <v>505</v>
      </c>
      <c r="AA1383" s="19" t="s">
        <v>356</v>
      </c>
      <c r="AB1383" s="13" t="s">
        <v>357</v>
      </c>
      <c r="AC1383" s="13" t="s">
        <v>383</v>
      </c>
      <c r="AD1383" s="20"/>
      <c r="AE1383" s="20"/>
      <c r="AF1383" s="13" t="s">
        <v>40</v>
      </c>
      <c r="AG1383" s="15">
        <v>45444</v>
      </c>
      <c r="AH1383" s="13" t="s">
        <v>41</v>
      </c>
      <c r="AI1383" s="13" t="s">
        <v>35</v>
      </c>
      <c r="AJ1383" s="13" t="s">
        <v>365</v>
      </c>
      <c r="AK1383" s="14">
        <v>-1</v>
      </c>
      <c r="AL1383" s="17"/>
      <c r="AM1383" s="17"/>
      <c r="AN1383" s="17"/>
      <c r="AO1383" s="17"/>
      <c r="AP1383" s="17"/>
      <c r="AQ1383" s="17"/>
      <c r="AR1383" s="17"/>
      <c r="AS1383" s="17"/>
      <c r="AT1383" s="17"/>
      <c r="AU1383" s="17"/>
      <c r="AV1383" s="17"/>
    </row>
    <row r="1384" spans="1:48" ht="15.75" customHeight="1">
      <c r="A1384" s="21" t="s">
        <v>47</v>
      </c>
      <c r="B1384" s="23" t="s">
        <v>1692</v>
      </c>
      <c r="C1384" s="22">
        <v>45820</v>
      </c>
      <c r="D1384" s="23" t="s">
        <v>915</v>
      </c>
      <c r="E1384" s="23" t="s">
        <v>49</v>
      </c>
      <c r="F1384" s="21">
        <v>1</v>
      </c>
      <c r="G1384" s="12">
        <v>4500.0000000000009</v>
      </c>
      <c r="H1384" s="12">
        <v>4500.0000000000009</v>
      </c>
      <c r="I1384" s="23" t="s">
        <v>52</v>
      </c>
      <c r="J1384" s="23" t="s">
        <v>61</v>
      </c>
      <c r="K1384" s="24" t="s">
        <v>177</v>
      </c>
      <c r="L1384" s="24">
        <v>150</v>
      </c>
      <c r="M1384" s="12">
        <v>3781.5126050420176</v>
      </c>
      <c r="N1384" s="12">
        <v>3781.5126050420176</v>
      </c>
      <c r="O1384" s="12">
        <v>718.48739495798327</v>
      </c>
      <c r="P1384" s="13"/>
      <c r="Q1384" s="14">
        <v>2025</v>
      </c>
      <c r="R1384" s="15">
        <v>45444</v>
      </c>
      <c r="S1384" s="11" t="s">
        <v>384</v>
      </c>
      <c r="T1384" s="16">
        <v>0</v>
      </c>
      <c r="U1384" s="17"/>
      <c r="V1384" s="12">
        <v>988.23529411764775</v>
      </c>
      <c r="W1384" s="12">
        <v>988.23529411764775</v>
      </c>
      <c r="X1384" s="12">
        <v>0</v>
      </c>
      <c r="Y1384" s="18">
        <v>45817</v>
      </c>
      <c r="Z1384" s="13" t="s">
        <v>505</v>
      </c>
      <c r="AA1384" s="19" t="s">
        <v>367</v>
      </c>
      <c r="AB1384" s="13" t="s">
        <v>357</v>
      </c>
      <c r="AC1384" s="13" t="s">
        <v>367</v>
      </c>
      <c r="AD1384" s="20"/>
      <c r="AE1384" s="20"/>
      <c r="AF1384" s="13" t="s">
        <v>40</v>
      </c>
      <c r="AG1384" s="15">
        <v>45444</v>
      </c>
      <c r="AH1384" s="13" t="s">
        <v>41</v>
      </c>
      <c r="AI1384" s="13" t="s">
        <v>47</v>
      </c>
      <c r="AJ1384" s="13" t="s">
        <v>385</v>
      </c>
      <c r="AK1384" s="14">
        <v>-3</v>
      </c>
      <c r="AL1384" s="17"/>
      <c r="AM1384" s="17"/>
      <c r="AN1384" s="17"/>
      <c r="AO1384" s="17"/>
      <c r="AP1384" s="17"/>
      <c r="AQ1384" s="17"/>
      <c r="AR1384" s="17"/>
      <c r="AS1384" s="17"/>
      <c r="AT1384" s="17"/>
      <c r="AU1384" s="17"/>
      <c r="AV1384" s="17"/>
    </row>
    <row r="1385" spans="1:48" ht="15.75" customHeight="1">
      <c r="A1385" s="21" t="s">
        <v>76</v>
      </c>
      <c r="B1385" s="23" t="s">
        <v>1692</v>
      </c>
      <c r="C1385" s="22">
        <v>45820</v>
      </c>
      <c r="D1385" s="23" t="s">
        <v>222</v>
      </c>
      <c r="E1385" s="23" t="s">
        <v>166</v>
      </c>
      <c r="F1385" s="21">
        <v>1</v>
      </c>
      <c r="G1385" s="12">
        <v>3500.0000000000005</v>
      </c>
      <c r="H1385" s="12">
        <v>3500.0000000000005</v>
      </c>
      <c r="I1385" s="23" t="s">
        <v>52</v>
      </c>
      <c r="J1385" s="23" t="s">
        <v>61</v>
      </c>
      <c r="K1385" s="24" t="s">
        <v>177</v>
      </c>
      <c r="L1385" s="24">
        <v>150</v>
      </c>
      <c r="M1385" s="12">
        <v>2941.1764705882356</v>
      </c>
      <c r="N1385" s="12">
        <v>2941.1764705882356</v>
      </c>
      <c r="O1385" s="12">
        <v>558.82352941176487</v>
      </c>
      <c r="P1385" s="13"/>
      <c r="Q1385" s="14">
        <v>2025</v>
      </c>
      <c r="R1385" s="15">
        <v>45444</v>
      </c>
      <c r="S1385" s="11" t="s">
        <v>448</v>
      </c>
      <c r="T1385" s="16">
        <v>5</v>
      </c>
      <c r="U1385" s="17"/>
      <c r="V1385" s="12">
        <v>1016.8067226890757</v>
      </c>
      <c r="W1385" s="12">
        <v>1016.8067226890757</v>
      </c>
      <c r="X1385" s="12">
        <v>0</v>
      </c>
      <c r="Y1385" s="18">
        <v>45817</v>
      </c>
      <c r="Z1385" s="13" t="s">
        <v>505</v>
      </c>
      <c r="AA1385" s="19" t="s">
        <v>373</v>
      </c>
      <c r="AB1385" s="13" t="s">
        <v>357</v>
      </c>
      <c r="AC1385" s="13" t="s">
        <v>405</v>
      </c>
      <c r="AD1385" s="20"/>
      <c r="AE1385" s="20"/>
      <c r="AF1385" s="13" t="s">
        <v>40</v>
      </c>
      <c r="AG1385" s="15">
        <v>45444</v>
      </c>
      <c r="AH1385" s="13" t="s">
        <v>41</v>
      </c>
      <c r="AI1385" s="13" t="s">
        <v>76</v>
      </c>
      <c r="AJ1385" s="13" t="s">
        <v>449</v>
      </c>
      <c r="AK1385" s="14">
        <v>-1</v>
      </c>
      <c r="AL1385" s="17"/>
      <c r="AM1385" s="17"/>
      <c r="AN1385" s="17"/>
      <c r="AO1385" s="17"/>
      <c r="AP1385" s="17"/>
      <c r="AQ1385" s="17"/>
      <c r="AR1385" s="17"/>
      <c r="AS1385" s="17"/>
      <c r="AT1385" s="17"/>
      <c r="AU1385" s="17"/>
      <c r="AV1385" s="17"/>
    </row>
    <row r="1386" spans="1:48" ht="15.75" customHeight="1">
      <c r="A1386" s="21" t="s">
        <v>64</v>
      </c>
      <c r="B1386" s="23" t="s">
        <v>1692</v>
      </c>
      <c r="C1386" s="22">
        <v>45820</v>
      </c>
      <c r="D1386" s="23" t="s">
        <v>586</v>
      </c>
      <c r="E1386" s="23" t="s">
        <v>65</v>
      </c>
      <c r="F1386" s="21">
        <v>1</v>
      </c>
      <c r="G1386" s="12">
        <v>8199.8794599807134</v>
      </c>
      <c r="H1386" s="12">
        <v>8199.8794599807134</v>
      </c>
      <c r="I1386" s="23" t="s">
        <v>52</v>
      </c>
      <c r="J1386" s="23" t="s">
        <v>61</v>
      </c>
      <c r="K1386" s="24" t="s">
        <v>177</v>
      </c>
      <c r="L1386" s="24">
        <v>150</v>
      </c>
      <c r="M1386" s="12">
        <v>6890.6550083871543</v>
      </c>
      <c r="N1386" s="12">
        <v>6890.6550083871543</v>
      </c>
      <c r="O1386" s="12">
        <v>1309.224451593559</v>
      </c>
      <c r="P1386" s="13"/>
      <c r="Q1386" s="14">
        <v>2025</v>
      </c>
      <c r="R1386" s="15">
        <v>45444</v>
      </c>
      <c r="S1386" s="11" t="s">
        <v>64</v>
      </c>
      <c r="T1386" s="16">
        <v>1</v>
      </c>
      <c r="U1386" s="17"/>
      <c r="V1386" s="12">
        <v>1174.1676134291711</v>
      </c>
      <c r="W1386" s="12">
        <v>1174.1676134291711</v>
      </c>
      <c r="X1386" s="12">
        <v>0</v>
      </c>
      <c r="Y1386" s="18">
        <v>45817</v>
      </c>
      <c r="Z1386" s="13" t="s">
        <v>505</v>
      </c>
      <c r="AA1386" s="19" t="s">
        <v>373</v>
      </c>
      <c r="AB1386" s="13" t="s">
        <v>357</v>
      </c>
      <c r="AC1386" s="13" t="s">
        <v>405</v>
      </c>
      <c r="AD1386" s="20"/>
      <c r="AE1386" s="20"/>
      <c r="AF1386" s="13" t="s">
        <v>40</v>
      </c>
      <c r="AG1386" s="15">
        <v>45444</v>
      </c>
      <c r="AH1386" s="13" t="s">
        <v>41</v>
      </c>
      <c r="AI1386" s="13" t="s">
        <v>64</v>
      </c>
      <c r="AJ1386" s="13" t="s">
        <v>543</v>
      </c>
      <c r="AK1386" s="14">
        <v>-1</v>
      </c>
      <c r="AL1386" s="17"/>
      <c r="AM1386" s="17"/>
      <c r="AN1386" s="17"/>
      <c r="AO1386" s="17"/>
      <c r="AP1386" s="17"/>
      <c r="AQ1386" s="17"/>
      <c r="AR1386" s="17"/>
      <c r="AS1386" s="17"/>
      <c r="AT1386" s="17"/>
      <c r="AU1386" s="17"/>
      <c r="AV1386" s="17"/>
    </row>
    <row r="1387" spans="1:48" ht="15.75" customHeight="1">
      <c r="A1387" s="21" t="s">
        <v>35</v>
      </c>
      <c r="B1387" s="23" t="s">
        <v>1692</v>
      </c>
      <c r="C1387" s="22">
        <v>45820</v>
      </c>
      <c r="D1387" s="23" t="s">
        <v>128</v>
      </c>
      <c r="E1387" s="23" t="s">
        <v>37</v>
      </c>
      <c r="F1387" s="21">
        <v>1</v>
      </c>
      <c r="G1387" s="12">
        <v>11000.014358944907</v>
      </c>
      <c r="H1387" s="12">
        <v>11000.014358944907</v>
      </c>
      <c r="I1387" s="23" t="s">
        <v>52</v>
      </c>
      <c r="J1387" s="23" t="s">
        <v>61</v>
      </c>
      <c r="K1387" s="24" t="s">
        <v>177</v>
      </c>
      <c r="L1387" s="24">
        <v>150</v>
      </c>
      <c r="M1387" s="12">
        <v>9243.7095453318543</v>
      </c>
      <c r="N1387" s="12">
        <v>9243.7095453318543</v>
      </c>
      <c r="O1387" s="12">
        <v>1756.3048136130528</v>
      </c>
      <c r="P1387" s="13"/>
      <c r="Q1387" s="14">
        <v>2025</v>
      </c>
      <c r="R1387" s="15">
        <v>45444</v>
      </c>
      <c r="S1387" s="11" t="s">
        <v>364</v>
      </c>
      <c r="T1387" s="16">
        <v>1000</v>
      </c>
      <c r="U1387" s="17"/>
      <c r="V1387" s="12">
        <v>2806.1129066763915</v>
      </c>
      <c r="W1387" s="12">
        <v>2806.1129066763915</v>
      </c>
      <c r="X1387" s="12">
        <v>0</v>
      </c>
      <c r="Y1387" s="18">
        <v>45817</v>
      </c>
      <c r="Z1387" s="13" t="s">
        <v>505</v>
      </c>
      <c r="AA1387" s="19" t="s">
        <v>373</v>
      </c>
      <c r="AB1387" s="13" t="s">
        <v>357</v>
      </c>
      <c r="AC1387" s="13" t="s">
        <v>405</v>
      </c>
      <c r="AD1387" s="20"/>
      <c r="AE1387" s="20"/>
      <c r="AF1387" s="13" t="s">
        <v>40</v>
      </c>
      <c r="AG1387" s="15">
        <v>45444</v>
      </c>
      <c r="AH1387" s="13" t="s">
        <v>41</v>
      </c>
      <c r="AI1387" s="13" t="s">
        <v>35</v>
      </c>
      <c r="AJ1387" s="13" t="s">
        <v>365</v>
      </c>
      <c r="AK1387" s="14">
        <v>-1</v>
      </c>
      <c r="AL1387" s="17"/>
      <c r="AM1387" s="17"/>
      <c r="AN1387" s="17"/>
      <c r="AO1387" s="17"/>
      <c r="AP1387" s="17"/>
      <c r="AQ1387" s="17"/>
      <c r="AR1387" s="17"/>
      <c r="AS1387" s="17"/>
      <c r="AT1387" s="17"/>
      <c r="AU1387" s="17"/>
      <c r="AV1387" s="17"/>
    </row>
    <row r="1388" spans="1:48" ht="15.75" customHeight="1">
      <c r="A1388" s="21" t="s">
        <v>53</v>
      </c>
      <c r="B1388" s="23" t="s">
        <v>1692</v>
      </c>
      <c r="C1388" s="22">
        <v>45820</v>
      </c>
      <c r="D1388" s="23" t="s">
        <v>145</v>
      </c>
      <c r="E1388" s="23" t="s">
        <v>55</v>
      </c>
      <c r="F1388" s="21">
        <v>1</v>
      </c>
      <c r="G1388" s="12">
        <v>20899.657134519988</v>
      </c>
      <c r="H1388" s="12">
        <v>20899.657134519988</v>
      </c>
      <c r="I1388" s="23" t="s">
        <v>52</v>
      </c>
      <c r="J1388" s="23" t="s">
        <v>61</v>
      </c>
      <c r="K1388" s="24" t="s">
        <v>177</v>
      </c>
      <c r="L1388" s="24">
        <v>150</v>
      </c>
      <c r="M1388" s="12">
        <v>17562.737087831923</v>
      </c>
      <c r="N1388" s="12">
        <v>17562.737087831923</v>
      </c>
      <c r="O1388" s="12">
        <v>3336.9200466880648</v>
      </c>
      <c r="P1388" s="13"/>
      <c r="Q1388" s="14">
        <v>2025</v>
      </c>
      <c r="R1388" s="15">
        <v>45444</v>
      </c>
      <c r="S1388" s="11" t="s">
        <v>366</v>
      </c>
      <c r="T1388" s="16">
        <v>0</v>
      </c>
      <c r="U1388" s="17"/>
      <c r="V1388" s="12">
        <v>3117.7370878319234</v>
      </c>
      <c r="W1388" s="12">
        <v>3117.7370878319234</v>
      </c>
      <c r="X1388" s="12">
        <v>0</v>
      </c>
      <c r="Y1388" s="18">
        <v>45817</v>
      </c>
      <c r="Z1388" s="13" t="s">
        <v>505</v>
      </c>
      <c r="AA1388" s="19" t="s">
        <v>373</v>
      </c>
      <c r="AB1388" s="13" t="s">
        <v>357</v>
      </c>
      <c r="AC1388" s="13" t="s">
        <v>380</v>
      </c>
      <c r="AD1388" s="20"/>
      <c r="AE1388" s="20"/>
      <c r="AF1388" s="13" t="s">
        <v>40</v>
      </c>
      <c r="AG1388" s="15">
        <v>45444</v>
      </c>
      <c r="AH1388" s="13" t="s">
        <v>41</v>
      </c>
      <c r="AI1388" s="13" t="s">
        <v>53</v>
      </c>
      <c r="AJ1388" s="13" t="s">
        <v>368</v>
      </c>
      <c r="AK1388" s="14">
        <v>-8</v>
      </c>
      <c r="AL1388" s="17"/>
      <c r="AM1388" s="17"/>
      <c r="AN1388" s="17"/>
      <c r="AO1388" s="17"/>
      <c r="AP1388" s="17"/>
      <c r="AQ1388" s="17"/>
      <c r="AR1388" s="17"/>
      <c r="AS1388" s="17"/>
      <c r="AT1388" s="17"/>
      <c r="AU1388" s="17"/>
      <c r="AV1388" s="17"/>
    </row>
    <row r="1389" spans="1:48" ht="15.75" customHeight="1">
      <c r="A1389" s="21" t="s">
        <v>53</v>
      </c>
      <c r="B1389" s="23" t="s">
        <v>1692</v>
      </c>
      <c r="C1389" s="22">
        <v>45820</v>
      </c>
      <c r="D1389" s="23" t="s">
        <v>145</v>
      </c>
      <c r="E1389" s="23" t="s">
        <v>109</v>
      </c>
      <c r="F1389" s="21">
        <v>1</v>
      </c>
      <c r="G1389" s="12">
        <v>10000</v>
      </c>
      <c r="H1389" s="12">
        <v>10000</v>
      </c>
      <c r="I1389" s="23" t="s">
        <v>52</v>
      </c>
      <c r="J1389" s="23" t="s">
        <v>61</v>
      </c>
      <c r="K1389" s="24" t="s">
        <v>177</v>
      </c>
      <c r="L1389" s="24">
        <v>150</v>
      </c>
      <c r="M1389" s="12">
        <v>8403.361344537816</v>
      </c>
      <c r="N1389" s="12">
        <v>8403.361344537816</v>
      </c>
      <c r="O1389" s="12">
        <v>1596.638655462184</v>
      </c>
      <c r="P1389" s="13"/>
      <c r="Q1389" s="14">
        <v>2025</v>
      </c>
      <c r="R1389" s="15">
        <v>45444</v>
      </c>
      <c r="S1389" s="11" t="s">
        <v>395</v>
      </c>
      <c r="T1389" s="16">
        <v>400</v>
      </c>
      <c r="U1389" s="17"/>
      <c r="V1389" s="12">
        <v>2100.8403361344544</v>
      </c>
      <c r="W1389" s="12">
        <v>2100.8403361344544</v>
      </c>
      <c r="X1389" s="12">
        <v>0</v>
      </c>
      <c r="Y1389" s="18">
        <v>45817</v>
      </c>
      <c r="Z1389" s="13" t="s">
        <v>505</v>
      </c>
      <c r="AA1389" s="19" t="s">
        <v>373</v>
      </c>
      <c r="AB1389" s="13" t="s">
        <v>357</v>
      </c>
      <c r="AC1389" s="13" t="s">
        <v>380</v>
      </c>
      <c r="AD1389" s="20"/>
      <c r="AE1389" s="20"/>
      <c r="AF1389" s="13" t="s">
        <v>40</v>
      </c>
      <c r="AG1389" s="15">
        <v>45444</v>
      </c>
      <c r="AH1389" s="13" t="s">
        <v>41</v>
      </c>
      <c r="AI1389" s="13" t="s">
        <v>53</v>
      </c>
      <c r="AJ1389" s="13" t="s">
        <v>396</v>
      </c>
      <c r="AK1389" s="14">
        <v>-4</v>
      </c>
      <c r="AL1389" s="17"/>
      <c r="AM1389" s="17"/>
      <c r="AN1389" s="17"/>
      <c r="AO1389" s="17"/>
      <c r="AP1389" s="17"/>
      <c r="AQ1389" s="17"/>
      <c r="AR1389" s="17"/>
      <c r="AS1389" s="17"/>
      <c r="AT1389" s="17"/>
      <c r="AU1389" s="17"/>
      <c r="AV1389" s="17"/>
    </row>
    <row r="1390" spans="1:48" ht="15.75" customHeight="1">
      <c r="A1390" s="21" t="s">
        <v>43</v>
      </c>
      <c r="B1390" s="23" t="s">
        <v>1692</v>
      </c>
      <c r="C1390" s="22">
        <v>45820</v>
      </c>
      <c r="D1390" s="23" t="s">
        <v>146</v>
      </c>
      <c r="E1390" s="23" t="s">
        <v>45</v>
      </c>
      <c r="F1390" s="21">
        <v>1</v>
      </c>
      <c r="G1390" s="12">
        <v>8199.8965351595689</v>
      </c>
      <c r="H1390" s="12">
        <v>8199.8965351595689</v>
      </c>
      <c r="I1390" s="23" t="s">
        <v>52</v>
      </c>
      <c r="J1390" s="23" t="s">
        <v>61</v>
      </c>
      <c r="K1390" s="24" t="s">
        <v>177</v>
      </c>
      <c r="L1390" s="24">
        <v>150</v>
      </c>
      <c r="M1390" s="12">
        <v>6890.6693572769491</v>
      </c>
      <c r="N1390" s="12">
        <v>6890.6693572769491</v>
      </c>
      <c r="O1390" s="12">
        <v>1309.2271778826198</v>
      </c>
      <c r="P1390" s="13"/>
      <c r="Q1390" s="14">
        <v>2025</v>
      </c>
      <c r="R1390" s="15">
        <v>45444</v>
      </c>
      <c r="S1390" s="11" t="s">
        <v>355</v>
      </c>
      <c r="T1390" s="16">
        <v>0</v>
      </c>
      <c r="U1390" s="17"/>
      <c r="V1390" s="12">
        <v>1296.3416261845123</v>
      </c>
      <c r="W1390" s="12">
        <v>1296.3416261845123</v>
      </c>
      <c r="X1390" s="12">
        <v>0</v>
      </c>
      <c r="Y1390" s="18">
        <v>45817</v>
      </c>
      <c r="Z1390" s="13" t="s">
        <v>505</v>
      </c>
      <c r="AA1390" s="19" t="s">
        <v>373</v>
      </c>
      <c r="AB1390" s="13" t="s">
        <v>357</v>
      </c>
      <c r="AC1390" s="13" t="s">
        <v>374</v>
      </c>
      <c r="AD1390" s="20"/>
      <c r="AE1390" s="20"/>
      <c r="AF1390" s="13" t="s">
        <v>40</v>
      </c>
      <c r="AG1390" s="15">
        <v>45444</v>
      </c>
      <c r="AH1390" s="13" t="s">
        <v>41</v>
      </c>
      <c r="AI1390" s="13" t="s">
        <v>43</v>
      </c>
      <c r="AJ1390" s="13" t="s">
        <v>359</v>
      </c>
      <c r="AK1390" s="14">
        <v>-1</v>
      </c>
      <c r="AL1390" s="17"/>
      <c r="AM1390" s="17"/>
      <c r="AN1390" s="17"/>
      <c r="AO1390" s="17"/>
      <c r="AP1390" s="17"/>
      <c r="AQ1390" s="17"/>
      <c r="AR1390" s="17"/>
      <c r="AS1390" s="17"/>
      <c r="AT1390" s="17"/>
      <c r="AU1390" s="17"/>
      <c r="AV1390" s="17"/>
    </row>
    <row r="1391" spans="1:48" ht="15.75" customHeight="1">
      <c r="A1391" s="21" t="s">
        <v>53</v>
      </c>
      <c r="B1391" s="23" t="s">
        <v>1692</v>
      </c>
      <c r="C1391" s="22">
        <v>45820</v>
      </c>
      <c r="D1391" s="23" t="s">
        <v>146</v>
      </c>
      <c r="E1391" s="23" t="s">
        <v>97</v>
      </c>
      <c r="F1391" s="21">
        <v>1</v>
      </c>
      <c r="G1391" s="12">
        <v>16500.236769693482</v>
      </c>
      <c r="H1391" s="12">
        <v>16500.236769693482</v>
      </c>
      <c r="I1391" s="23" t="s">
        <v>52</v>
      </c>
      <c r="J1391" s="23" t="s">
        <v>61</v>
      </c>
      <c r="K1391" s="24" t="s">
        <v>177</v>
      </c>
      <c r="L1391" s="24">
        <v>150</v>
      </c>
      <c r="M1391" s="12">
        <v>13865.745184616371</v>
      </c>
      <c r="N1391" s="12">
        <v>13865.745184616371</v>
      </c>
      <c r="O1391" s="12">
        <v>2634.4915850771104</v>
      </c>
      <c r="P1391" s="13"/>
      <c r="Q1391" s="14">
        <v>2025</v>
      </c>
      <c r="R1391" s="15">
        <v>45444</v>
      </c>
      <c r="S1391" s="11" t="s">
        <v>366</v>
      </c>
      <c r="T1391" s="16">
        <v>0</v>
      </c>
      <c r="U1391" s="17"/>
      <c r="V1391" s="12">
        <v>3031.7451846163694</v>
      </c>
      <c r="W1391" s="12">
        <v>3031.7451846163694</v>
      </c>
      <c r="X1391" s="12">
        <v>0</v>
      </c>
      <c r="Y1391" s="18">
        <v>45817</v>
      </c>
      <c r="Z1391" s="13" t="s">
        <v>505</v>
      </c>
      <c r="AA1391" s="19" t="s">
        <v>373</v>
      </c>
      <c r="AB1391" s="13" t="s">
        <v>357</v>
      </c>
      <c r="AC1391" s="13" t="s">
        <v>374</v>
      </c>
      <c r="AD1391" s="20"/>
      <c r="AE1391" s="20"/>
      <c r="AF1391" s="13" t="s">
        <v>40</v>
      </c>
      <c r="AG1391" s="15">
        <v>45444</v>
      </c>
      <c r="AH1391" s="13" t="s">
        <v>41</v>
      </c>
      <c r="AI1391" s="13" t="s">
        <v>53</v>
      </c>
      <c r="AJ1391" s="13" t="s">
        <v>368</v>
      </c>
      <c r="AK1391" s="14">
        <v>-6</v>
      </c>
      <c r="AL1391" s="17"/>
      <c r="AM1391" s="17"/>
      <c r="AN1391" s="17"/>
      <c r="AO1391" s="17"/>
      <c r="AP1391" s="17"/>
      <c r="AQ1391" s="17"/>
      <c r="AR1391" s="17"/>
      <c r="AS1391" s="17"/>
      <c r="AT1391" s="17"/>
      <c r="AU1391" s="17"/>
      <c r="AV1391" s="17"/>
    </row>
    <row r="1392" spans="1:48" ht="15.75" customHeight="1">
      <c r="A1392" s="21" t="s">
        <v>76</v>
      </c>
      <c r="B1392" s="23" t="s">
        <v>1692</v>
      </c>
      <c r="C1392" s="22">
        <v>45820</v>
      </c>
      <c r="D1392" s="23" t="s">
        <v>333</v>
      </c>
      <c r="E1392" s="23" t="s">
        <v>137</v>
      </c>
      <c r="F1392" s="21">
        <v>4</v>
      </c>
      <c r="G1392" s="12">
        <v>3500.0000000000005</v>
      </c>
      <c r="H1392" s="12">
        <v>14000.000000000002</v>
      </c>
      <c r="I1392" s="23" t="s">
        <v>52</v>
      </c>
      <c r="J1392" s="23" t="s">
        <v>61</v>
      </c>
      <c r="K1392" s="24" t="s">
        <v>177</v>
      </c>
      <c r="L1392" s="24">
        <v>150</v>
      </c>
      <c r="M1392" s="12">
        <v>2941.1764705882356</v>
      </c>
      <c r="N1392" s="12">
        <v>11764.705882352942</v>
      </c>
      <c r="O1392" s="12">
        <v>2235.2941176470595</v>
      </c>
      <c r="P1392" s="13"/>
      <c r="Q1392" s="14">
        <v>2025</v>
      </c>
      <c r="R1392" s="15">
        <v>45444</v>
      </c>
      <c r="S1392" s="11" t="s">
        <v>406</v>
      </c>
      <c r="T1392" s="16">
        <v>20</v>
      </c>
      <c r="U1392" s="17"/>
      <c r="V1392" s="12">
        <v>3394.9579831932788</v>
      </c>
      <c r="W1392" s="12">
        <v>3394.9579831932788</v>
      </c>
      <c r="X1392" s="12">
        <v>0</v>
      </c>
      <c r="Y1392" s="18">
        <v>45817</v>
      </c>
      <c r="Z1392" s="13" t="s">
        <v>505</v>
      </c>
      <c r="AA1392" s="19" t="s">
        <v>373</v>
      </c>
      <c r="AB1392" s="13" t="s">
        <v>357</v>
      </c>
      <c r="AC1392" s="13" t="s">
        <v>489</v>
      </c>
      <c r="AD1392" s="20"/>
      <c r="AE1392" s="20"/>
      <c r="AF1392" s="13" t="s">
        <v>40</v>
      </c>
      <c r="AG1392" s="15">
        <v>45444</v>
      </c>
      <c r="AH1392" s="13" t="s">
        <v>41</v>
      </c>
      <c r="AI1392" s="13" t="s">
        <v>76</v>
      </c>
      <c r="AJ1392" s="13" t="s">
        <v>407</v>
      </c>
      <c r="AK1392" s="14">
        <v>-4</v>
      </c>
      <c r="AL1392" s="17"/>
      <c r="AM1392" s="17"/>
      <c r="AN1392" s="17"/>
      <c r="AO1392" s="17"/>
      <c r="AP1392" s="17"/>
      <c r="AQ1392" s="17"/>
      <c r="AR1392" s="17"/>
      <c r="AS1392" s="17"/>
      <c r="AT1392" s="17"/>
      <c r="AU1392" s="17"/>
      <c r="AV1392" s="17"/>
    </row>
    <row r="1393" spans="1:48" ht="15.75" customHeight="1">
      <c r="A1393" s="21" t="s">
        <v>76</v>
      </c>
      <c r="B1393" s="23" t="s">
        <v>1692</v>
      </c>
      <c r="C1393" s="22">
        <v>45820</v>
      </c>
      <c r="D1393" s="23" t="s">
        <v>333</v>
      </c>
      <c r="E1393" s="23" t="s">
        <v>110</v>
      </c>
      <c r="F1393" s="21">
        <v>1</v>
      </c>
      <c r="G1393" s="12">
        <v>2000.0000000000005</v>
      </c>
      <c r="H1393" s="12">
        <v>2000.0000000000005</v>
      </c>
      <c r="I1393" s="23" t="s">
        <v>52</v>
      </c>
      <c r="J1393" s="23" t="s">
        <v>61</v>
      </c>
      <c r="K1393" s="24" t="s">
        <v>177</v>
      </c>
      <c r="L1393" s="24">
        <v>150</v>
      </c>
      <c r="M1393" s="12">
        <v>1680.6722689075634</v>
      </c>
      <c r="N1393" s="12">
        <v>1680.6722689075634</v>
      </c>
      <c r="O1393" s="12">
        <v>319.32773109243703</v>
      </c>
      <c r="P1393" s="13"/>
      <c r="Q1393" s="14">
        <v>2025</v>
      </c>
      <c r="R1393" s="15">
        <v>45444</v>
      </c>
      <c r="S1393" s="11" t="s">
        <v>378</v>
      </c>
      <c r="T1393" s="16">
        <v>5</v>
      </c>
      <c r="U1393" s="17"/>
      <c r="V1393" s="12">
        <v>756.30252100840369</v>
      </c>
      <c r="W1393" s="12">
        <v>756.30252100840369</v>
      </c>
      <c r="X1393" s="12">
        <v>0</v>
      </c>
      <c r="Y1393" s="18">
        <v>45817</v>
      </c>
      <c r="Z1393" s="13" t="s">
        <v>505</v>
      </c>
      <c r="AA1393" s="19" t="s">
        <v>373</v>
      </c>
      <c r="AB1393" s="13" t="s">
        <v>357</v>
      </c>
      <c r="AC1393" s="13" t="s">
        <v>489</v>
      </c>
      <c r="AD1393" s="20"/>
      <c r="AE1393" s="20"/>
      <c r="AF1393" s="13" t="s">
        <v>40</v>
      </c>
      <c r="AG1393" s="15">
        <v>45444</v>
      </c>
      <c r="AH1393" s="13" t="s">
        <v>41</v>
      </c>
      <c r="AI1393" s="13" t="s">
        <v>76</v>
      </c>
      <c r="AJ1393" s="13" t="s">
        <v>379</v>
      </c>
      <c r="AK1393" s="14">
        <v>-1</v>
      </c>
      <c r="AL1393" s="17"/>
      <c r="AM1393" s="17"/>
      <c r="AN1393" s="17"/>
      <c r="AO1393" s="17"/>
      <c r="AP1393" s="17"/>
      <c r="AQ1393" s="17"/>
      <c r="AR1393" s="17"/>
      <c r="AS1393" s="17"/>
      <c r="AT1393" s="17"/>
      <c r="AU1393" s="17"/>
      <c r="AV1393" s="17"/>
    </row>
    <row r="1394" spans="1:48" ht="15.75" customHeight="1">
      <c r="A1394" s="21" t="s">
        <v>76</v>
      </c>
      <c r="B1394" s="23" t="s">
        <v>1692</v>
      </c>
      <c r="C1394" s="22">
        <v>45820</v>
      </c>
      <c r="D1394" s="23" t="s">
        <v>333</v>
      </c>
      <c r="E1394" s="23" t="s">
        <v>216</v>
      </c>
      <c r="F1394" s="21">
        <v>1</v>
      </c>
      <c r="G1394" s="12">
        <v>4300</v>
      </c>
      <c r="H1394" s="12">
        <v>4300</v>
      </c>
      <c r="I1394" s="23" t="s">
        <v>52</v>
      </c>
      <c r="J1394" s="23" t="s">
        <v>61</v>
      </c>
      <c r="K1394" s="24" t="s">
        <v>177</v>
      </c>
      <c r="L1394" s="24">
        <v>150</v>
      </c>
      <c r="M1394" s="12">
        <v>3613.4453781512607</v>
      </c>
      <c r="N1394" s="12">
        <v>3613.4453781512607</v>
      </c>
      <c r="O1394" s="12">
        <v>686.55462184873932</v>
      </c>
      <c r="P1394" s="13"/>
      <c r="Q1394" s="14">
        <v>2025</v>
      </c>
      <c r="R1394" s="15">
        <v>45444</v>
      </c>
      <c r="S1394" s="11" t="s">
        <v>479</v>
      </c>
      <c r="T1394" s="16">
        <v>5</v>
      </c>
      <c r="U1394" s="17"/>
      <c r="V1394" s="12">
        <v>1134.453781512605</v>
      </c>
      <c r="W1394" s="12">
        <v>1134.453781512605</v>
      </c>
      <c r="X1394" s="12">
        <v>0</v>
      </c>
      <c r="Y1394" s="18">
        <v>45817</v>
      </c>
      <c r="Z1394" s="13" t="s">
        <v>505</v>
      </c>
      <c r="AA1394" s="19" t="s">
        <v>373</v>
      </c>
      <c r="AB1394" s="13" t="s">
        <v>357</v>
      </c>
      <c r="AC1394" s="13" t="s">
        <v>489</v>
      </c>
      <c r="AD1394" s="20"/>
      <c r="AE1394" s="20"/>
      <c r="AF1394" s="13" t="s">
        <v>40</v>
      </c>
      <c r="AG1394" s="15">
        <v>45444</v>
      </c>
      <c r="AH1394" s="13" t="s">
        <v>41</v>
      </c>
      <c r="AI1394" s="13" t="s">
        <v>76</v>
      </c>
      <c r="AJ1394" s="13" t="s">
        <v>546</v>
      </c>
      <c r="AK1394" s="14">
        <v>-1</v>
      </c>
      <c r="AL1394" s="17"/>
      <c r="AM1394" s="17"/>
      <c r="AN1394" s="17"/>
      <c r="AO1394" s="17"/>
      <c r="AP1394" s="17"/>
      <c r="AQ1394" s="17"/>
      <c r="AR1394" s="17"/>
      <c r="AS1394" s="17"/>
      <c r="AT1394" s="17"/>
      <c r="AU1394" s="17"/>
      <c r="AV1394" s="17"/>
    </row>
    <row r="1395" spans="1:48" ht="15.75" customHeight="1">
      <c r="A1395" s="21" t="s">
        <v>53</v>
      </c>
      <c r="B1395" s="23" t="s">
        <v>1692</v>
      </c>
      <c r="C1395" s="22">
        <v>45820</v>
      </c>
      <c r="D1395" s="23" t="s">
        <v>309</v>
      </c>
      <c r="E1395" s="23" t="s">
        <v>192</v>
      </c>
      <c r="F1395" s="21">
        <v>2</v>
      </c>
      <c r="G1395" s="12">
        <v>15990.211345939933</v>
      </c>
      <c r="H1395" s="12">
        <v>31980.422691879867</v>
      </c>
      <c r="I1395" s="23" t="s">
        <v>52</v>
      </c>
      <c r="J1395" s="23" t="s">
        <v>61</v>
      </c>
      <c r="K1395" s="24" t="s">
        <v>177</v>
      </c>
      <c r="L1395" s="24">
        <v>150</v>
      </c>
      <c r="M1395" s="12">
        <v>13437.152391546164</v>
      </c>
      <c r="N1395" s="12">
        <v>26874.304783092328</v>
      </c>
      <c r="O1395" s="12">
        <v>5106.1179087875389</v>
      </c>
      <c r="P1395" s="13"/>
      <c r="Q1395" s="14">
        <v>2025</v>
      </c>
      <c r="R1395" s="15">
        <v>45444</v>
      </c>
      <c r="S1395" s="11" t="s">
        <v>435</v>
      </c>
      <c r="T1395" s="16">
        <v>0</v>
      </c>
      <c r="U1395" s="17"/>
      <c r="V1395" s="12">
        <v>7546.3047830923242</v>
      </c>
      <c r="W1395" s="12">
        <v>7546.3047830923242</v>
      </c>
      <c r="X1395" s="12">
        <v>0</v>
      </c>
      <c r="Y1395" s="18">
        <v>45817</v>
      </c>
      <c r="Z1395" s="13" t="s">
        <v>505</v>
      </c>
      <c r="AA1395" s="19" t="s">
        <v>373</v>
      </c>
      <c r="AB1395" s="13" t="s">
        <v>357</v>
      </c>
      <c r="AC1395" s="13" t="s">
        <v>362</v>
      </c>
      <c r="AD1395" s="20"/>
      <c r="AE1395" s="20"/>
      <c r="AF1395" s="13" t="s">
        <v>40</v>
      </c>
      <c r="AG1395" s="15">
        <v>45444</v>
      </c>
      <c r="AH1395" s="13" t="s">
        <v>41</v>
      </c>
      <c r="AI1395" s="13" t="s">
        <v>53</v>
      </c>
      <c r="AJ1395" s="13" t="s">
        <v>436</v>
      </c>
      <c r="AK1395" s="14">
        <v>-16</v>
      </c>
      <c r="AL1395" s="17"/>
      <c r="AM1395" s="17"/>
      <c r="AN1395" s="17"/>
      <c r="AO1395" s="17"/>
      <c r="AP1395" s="17"/>
      <c r="AQ1395" s="17"/>
      <c r="AR1395" s="17"/>
      <c r="AS1395" s="17"/>
      <c r="AT1395" s="17"/>
      <c r="AU1395" s="17"/>
      <c r="AV1395" s="17"/>
    </row>
    <row r="1396" spans="1:48" ht="15.75" customHeight="1">
      <c r="A1396" s="21" t="s">
        <v>56</v>
      </c>
      <c r="B1396" s="23" t="s">
        <v>1692</v>
      </c>
      <c r="C1396" s="22">
        <v>45820</v>
      </c>
      <c r="D1396" s="23" t="s">
        <v>309</v>
      </c>
      <c r="E1396" s="23" t="s">
        <v>60</v>
      </c>
      <c r="F1396" s="21">
        <v>1</v>
      </c>
      <c r="G1396" s="12">
        <v>7000.0000000000018</v>
      </c>
      <c r="H1396" s="12">
        <v>7000.0000000000018</v>
      </c>
      <c r="I1396" s="23" t="s">
        <v>52</v>
      </c>
      <c r="J1396" s="23" t="s">
        <v>61</v>
      </c>
      <c r="K1396" s="24" t="s">
        <v>177</v>
      </c>
      <c r="L1396" s="24">
        <v>150</v>
      </c>
      <c r="M1396" s="12">
        <v>5882.3529411764721</v>
      </c>
      <c r="N1396" s="12">
        <v>5882.3529411764721</v>
      </c>
      <c r="O1396" s="12">
        <v>1117.6470588235297</v>
      </c>
      <c r="P1396" s="13"/>
      <c r="Q1396" s="14">
        <v>2025</v>
      </c>
      <c r="R1396" s="15">
        <v>45444</v>
      </c>
      <c r="S1396" s="11" t="s">
        <v>429</v>
      </c>
      <c r="T1396" s="16">
        <v>200</v>
      </c>
      <c r="U1396" s="17"/>
      <c r="V1396" s="12">
        <v>2080.6722689075641</v>
      </c>
      <c r="W1396" s="12">
        <v>2080.6722689075641</v>
      </c>
      <c r="X1396" s="12">
        <v>0</v>
      </c>
      <c r="Y1396" s="18">
        <v>45817</v>
      </c>
      <c r="Z1396" s="13" t="s">
        <v>505</v>
      </c>
      <c r="AA1396" s="19" t="s">
        <v>373</v>
      </c>
      <c r="AB1396" s="13" t="s">
        <v>357</v>
      </c>
      <c r="AC1396" s="13" t="s">
        <v>362</v>
      </c>
      <c r="AD1396" s="20"/>
      <c r="AE1396" s="20"/>
      <c r="AF1396" s="13" t="s">
        <v>40</v>
      </c>
      <c r="AG1396" s="15">
        <v>45444</v>
      </c>
      <c r="AH1396" s="13" t="s">
        <v>41</v>
      </c>
      <c r="AI1396" s="13" t="s">
        <v>56</v>
      </c>
      <c r="AJ1396" s="13" t="s">
        <v>430</v>
      </c>
      <c r="AK1396" s="14">
        <v>-2</v>
      </c>
      <c r="AL1396" s="17"/>
      <c r="AM1396" s="17"/>
      <c r="AN1396" s="17"/>
      <c r="AO1396" s="17"/>
      <c r="AP1396" s="17"/>
      <c r="AQ1396" s="17"/>
      <c r="AR1396" s="17"/>
      <c r="AS1396" s="17"/>
      <c r="AT1396" s="17"/>
      <c r="AU1396" s="17"/>
      <c r="AV1396" s="17"/>
    </row>
    <row r="1397" spans="1:48" ht="15.75" customHeight="1">
      <c r="A1397" s="21" t="s">
        <v>76</v>
      </c>
      <c r="B1397" s="23" t="s">
        <v>1692</v>
      </c>
      <c r="C1397" s="22">
        <v>45820</v>
      </c>
      <c r="D1397" s="23" t="s">
        <v>309</v>
      </c>
      <c r="E1397" s="23" t="s">
        <v>110</v>
      </c>
      <c r="F1397" s="21">
        <v>1</v>
      </c>
      <c r="G1397" s="12">
        <v>2000.0000000000005</v>
      </c>
      <c r="H1397" s="12">
        <v>2000.0000000000005</v>
      </c>
      <c r="I1397" s="23" t="s">
        <v>52</v>
      </c>
      <c r="J1397" s="23" t="s">
        <v>61</v>
      </c>
      <c r="K1397" s="24" t="s">
        <v>177</v>
      </c>
      <c r="L1397" s="24">
        <v>150</v>
      </c>
      <c r="M1397" s="12">
        <v>1680.6722689075634</v>
      </c>
      <c r="N1397" s="12">
        <v>1680.6722689075634</v>
      </c>
      <c r="O1397" s="12">
        <v>319.32773109243703</v>
      </c>
      <c r="P1397" s="13"/>
      <c r="Q1397" s="14">
        <v>2025</v>
      </c>
      <c r="R1397" s="15">
        <v>45444</v>
      </c>
      <c r="S1397" s="11" t="s">
        <v>378</v>
      </c>
      <c r="T1397" s="16">
        <v>5</v>
      </c>
      <c r="U1397" s="17"/>
      <c r="V1397" s="12">
        <v>756.30252100840369</v>
      </c>
      <c r="W1397" s="12">
        <v>756.30252100840369</v>
      </c>
      <c r="X1397" s="12">
        <v>0</v>
      </c>
      <c r="Y1397" s="18">
        <v>45817</v>
      </c>
      <c r="Z1397" s="13" t="s">
        <v>505</v>
      </c>
      <c r="AA1397" s="19" t="s">
        <v>373</v>
      </c>
      <c r="AB1397" s="13" t="s">
        <v>357</v>
      </c>
      <c r="AC1397" s="13" t="s">
        <v>362</v>
      </c>
      <c r="AD1397" s="20"/>
      <c r="AE1397" s="20"/>
      <c r="AF1397" s="13" t="s">
        <v>40</v>
      </c>
      <c r="AG1397" s="15">
        <v>45444</v>
      </c>
      <c r="AH1397" s="13" t="s">
        <v>41</v>
      </c>
      <c r="AI1397" s="13" t="s">
        <v>76</v>
      </c>
      <c r="AJ1397" s="13" t="s">
        <v>379</v>
      </c>
      <c r="AK1397" s="14">
        <v>-1</v>
      </c>
      <c r="AL1397" s="17"/>
      <c r="AM1397" s="17"/>
      <c r="AN1397" s="17"/>
      <c r="AO1397" s="17"/>
      <c r="AP1397" s="17"/>
      <c r="AQ1397" s="17"/>
      <c r="AR1397" s="17"/>
      <c r="AS1397" s="17"/>
      <c r="AT1397" s="17"/>
      <c r="AU1397" s="17"/>
      <c r="AV1397" s="17"/>
    </row>
    <row r="1398" spans="1:48" ht="15.75" customHeight="1">
      <c r="A1398" s="21" t="s">
        <v>76</v>
      </c>
      <c r="B1398" s="23" t="s">
        <v>1692</v>
      </c>
      <c r="C1398" s="22">
        <v>45820</v>
      </c>
      <c r="D1398" s="23" t="s">
        <v>309</v>
      </c>
      <c r="E1398" s="23" t="s">
        <v>166</v>
      </c>
      <c r="F1398" s="21">
        <v>1</v>
      </c>
      <c r="G1398" s="12">
        <v>3500.0000000000005</v>
      </c>
      <c r="H1398" s="12">
        <v>3500.0000000000005</v>
      </c>
      <c r="I1398" s="23" t="s">
        <v>52</v>
      </c>
      <c r="J1398" s="23" t="s">
        <v>61</v>
      </c>
      <c r="K1398" s="24" t="s">
        <v>177</v>
      </c>
      <c r="L1398" s="24">
        <v>150</v>
      </c>
      <c r="M1398" s="12">
        <v>2941.1764705882356</v>
      </c>
      <c r="N1398" s="12">
        <v>2941.1764705882356</v>
      </c>
      <c r="O1398" s="12">
        <v>558.82352941176487</v>
      </c>
      <c r="P1398" s="13"/>
      <c r="Q1398" s="14">
        <v>2025</v>
      </c>
      <c r="R1398" s="15">
        <v>45444</v>
      </c>
      <c r="S1398" s="11" t="s">
        <v>448</v>
      </c>
      <c r="T1398" s="16">
        <v>5</v>
      </c>
      <c r="U1398" s="17"/>
      <c r="V1398" s="12">
        <v>1016.8067226890757</v>
      </c>
      <c r="W1398" s="12">
        <v>1016.8067226890757</v>
      </c>
      <c r="X1398" s="12">
        <v>0</v>
      </c>
      <c r="Y1398" s="18">
        <v>45817</v>
      </c>
      <c r="Z1398" s="13" t="s">
        <v>505</v>
      </c>
      <c r="AA1398" s="19" t="s">
        <v>373</v>
      </c>
      <c r="AB1398" s="13" t="s">
        <v>357</v>
      </c>
      <c r="AC1398" s="13" t="s">
        <v>362</v>
      </c>
      <c r="AD1398" s="20"/>
      <c r="AE1398" s="20"/>
      <c r="AF1398" s="13" t="s">
        <v>40</v>
      </c>
      <c r="AG1398" s="15">
        <v>45444</v>
      </c>
      <c r="AH1398" s="13" t="s">
        <v>41</v>
      </c>
      <c r="AI1398" s="13" t="s">
        <v>76</v>
      </c>
      <c r="AJ1398" s="13" t="s">
        <v>449</v>
      </c>
      <c r="AK1398" s="14">
        <v>-1</v>
      </c>
      <c r="AL1398" s="17"/>
      <c r="AM1398" s="17"/>
      <c r="AN1398" s="17"/>
      <c r="AO1398" s="17"/>
      <c r="AP1398" s="17"/>
      <c r="AQ1398" s="17"/>
      <c r="AR1398" s="17"/>
      <c r="AS1398" s="17"/>
      <c r="AT1398" s="17"/>
      <c r="AU1398" s="17"/>
      <c r="AV1398" s="17"/>
    </row>
    <row r="1399" spans="1:48" ht="15.75" customHeight="1">
      <c r="A1399" s="21" t="s">
        <v>53</v>
      </c>
      <c r="B1399" s="23" t="s">
        <v>1692</v>
      </c>
      <c r="C1399" s="22">
        <v>45820</v>
      </c>
      <c r="D1399" s="23" t="s">
        <v>309</v>
      </c>
      <c r="E1399" s="23" t="s">
        <v>587</v>
      </c>
      <c r="F1399" s="21">
        <v>1</v>
      </c>
      <c r="G1399" s="12">
        <v>3499.8985330782161</v>
      </c>
      <c r="H1399" s="12">
        <v>3499.8985330782161</v>
      </c>
      <c r="I1399" s="23" t="s">
        <v>52</v>
      </c>
      <c r="J1399" s="23" t="s">
        <v>61</v>
      </c>
      <c r="K1399" s="24" t="s">
        <v>177</v>
      </c>
      <c r="L1399" s="24">
        <v>150</v>
      </c>
      <c r="M1399" s="12">
        <v>2941.0912042674086</v>
      </c>
      <c r="N1399" s="12">
        <v>2941.0912042674086</v>
      </c>
      <c r="O1399" s="12">
        <v>558.80732881080758</v>
      </c>
      <c r="P1399" s="13"/>
      <c r="Q1399" s="14">
        <v>2025</v>
      </c>
      <c r="R1399" s="15">
        <v>45444</v>
      </c>
      <c r="S1399" s="11" t="s">
        <v>408</v>
      </c>
      <c r="T1399" s="16">
        <v>0</v>
      </c>
      <c r="U1399" s="17"/>
      <c r="V1399" s="12">
        <v>912.09120426740856</v>
      </c>
      <c r="W1399" s="12">
        <v>912.09120426740856</v>
      </c>
      <c r="X1399" s="12">
        <v>0</v>
      </c>
      <c r="Y1399" s="18">
        <v>45817</v>
      </c>
      <c r="Z1399" s="13" t="s">
        <v>505</v>
      </c>
      <c r="AA1399" s="19" t="s">
        <v>373</v>
      </c>
      <c r="AB1399" s="13" t="s">
        <v>357</v>
      </c>
      <c r="AC1399" s="13" t="s">
        <v>362</v>
      </c>
      <c r="AD1399" s="20"/>
      <c r="AE1399" s="20"/>
      <c r="AF1399" s="13" t="s">
        <v>40</v>
      </c>
      <c r="AG1399" s="15">
        <v>45444</v>
      </c>
      <c r="AH1399" s="13" t="s">
        <v>41</v>
      </c>
      <c r="AI1399" s="13" t="s">
        <v>53</v>
      </c>
      <c r="AJ1399" s="13" t="s">
        <v>536</v>
      </c>
      <c r="AK1399" s="14">
        <v>-1</v>
      </c>
      <c r="AL1399" s="17"/>
      <c r="AM1399" s="17"/>
      <c r="AN1399" s="17"/>
      <c r="AO1399" s="17"/>
      <c r="AP1399" s="17"/>
      <c r="AQ1399" s="17"/>
      <c r="AR1399" s="17"/>
      <c r="AS1399" s="17"/>
      <c r="AT1399" s="17"/>
      <c r="AU1399" s="17"/>
      <c r="AV1399" s="17"/>
    </row>
    <row r="1400" spans="1:48" ht="15.75" customHeight="1">
      <c r="A1400" s="21" t="s">
        <v>53</v>
      </c>
      <c r="B1400" s="23" t="s">
        <v>1692</v>
      </c>
      <c r="C1400" s="22">
        <v>45820</v>
      </c>
      <c r="D1400" s="23" t="s">
        <v>309</v>
      </c>
      <c r="E1400" s="23" t="s">
        <v>261</v>
      </c>
      <c r="F1400" s="21">
        <v>1</v>
      </c>
      <c r="G1400" s="12">
        <v>19499.95289684409</v>
      </c>
      <c r="H1400" s="12">
        <v>19499.95289684409</v>
      </c>
      <c r="I1400" s="23" t="s">
        <v>52</v>
      </c>
      <c r="J1400" s="23" t="s">
        <v>61</v>
      </c>
      <c r="K1400" s="24" t="s">
        <v>177</v>
      </c>
      <c r="L1400" s="24">
        <v>150</v>
      </c>
      <c r="M1400" s="12">
        <v>16386.515039364782</v>
      </c>
      <c r="N1400" s="12">
        <v>16386.515039364782</v>
      </c>
      <c r="O1400" s="12">
        <v>3113.4378574793081</v>
      </c>
      <c r="P1400" s="13"/>
      <c r="Q1400" s="14">
        <v>2025</v>
      </c>
      <c r="R1400" s="15">
        <v>45444</v>
      </c>
      <c r="S1400" s="11" t="s">
        <v>408</v>
      </c>
      <c r="T1400" s="16">
        <v>0</v>
      </c>
      <c r="U1400" s="17"/>
      <c r="V1400" s="12">
        <v>4210.5150393647818</v>
      </c>
      <c r="W1400" s="12">
        <v>4210.5150393647818</v>
      </c>
      <c r="X1400" s="12">
        <v>0</v>
      </c>
      <c r="Y1400" s="18">
        <v>45817</v>
      </c>
      <c r="Z1400" s="13" t="s">
        <v>505</v>
      </c>
      <c r="AA1400" s="19" t="s">
        <v>373</v>
      </c>
      <c r="AB1400" s="13" t="s">
        <v>357</v>
      </c>
      <c r="AC1400" s="13" t="s">
        <v>362</v>
      </c>
      <c r="AD1400" s="20"/>
      <c r="AE1400" s="20"/>
      <c r="AF1400" s="13" t="s">
        <v>40</v>
      </c>
      <c r="AG1400" s="15">
        <v>45444</v>
      </c>
      <c r="AH1400" s="13" t="s">
        <v>41</v>
      </c>
      <c r="AI1400" s="13" t="s">
        <v>53</v>
      </c>
      <c r="AJ1400" s="13" t="s">
        <v>536</v>
      </c>
      <c r="AK1400" s="14">
        <v>-6</v>
      </c>
      <c r="AL1400" s="17"/>
      <c r="AM1400" s="17"/>
      <c r="AN1400" s="17"/>
      <c r="AO1400" s="17"/>
      <c r="AP1400" s="17"/>
      <c r="AQ1400" s="17"/>
      <c r="AR1400" s="17"/>
      <c r="AS1400" s="17"/>
      <c r="AT1400" s="17"/>
      <c r="AU1400" s="17"/>
      <c r="AV1400" s="17"/>
    </row>
    <row r="1401" spans="1:48" ht="15.75" customHeight="1">
      <c r="A1401" s="14" t="s">
        <v>35</v>
      </c>
      <c r="B1401" s="23" t="s">
        <v>1692</v>
      </c>
      <c r="C1401" s="22">
        <v>45820</v>
      </c>
      <c r="D1401" s="23" t="s">
        <v>348</v>
      </c>
      <c r="E1401" s="23" t="s">
        <v>37</v>
      </c>
      <c r="F1401" s="21">
        <v>1</v>
      </c>
      <c r="G1401" s="12">
        <v>11000.014358944907</v>
      </c>
      <c r="H1401" s="12">
        <v>11000.014358944907</v>
      </c>
      <c r="I1401" s="23" t="s">
        <v>52</v>
      </c>
      <c r="J1401" s="23" t="s">
        <v>61</v>
      </c>
      <c r="K1401" s="24" t="s">
        <v>177</v>
      </c>
      <c r="L1401" s="24">
        <v>150</v>
      </c>
      <c r="M1401" s="12">
        <v>9243.7095453318543</v>
      </c>
      <c r="N1401" s="12">
        <v>9243.7095453318543</v>
      </c>
      <c r="O1401" s="12">
        <v>1756.3048136130528</v>
      </c>
      <c r="P1401" s="13"/>
      <c r="Q1401" s="14">
        <v>2025</v>
      </c>
      <c r="R1401" s="15">
        <v>45444</v>
      </c>
      <c r="S1401" s="11" t="s">
        <v>364</v>
      </c>
      <c r="T1401" s="16">
        <v>1000</v>
      </c>
      <c r="U1401" s="17"/>
      <c r="V1401" s="12">
        <v>2806.1129066763915</v>
      </c>
      <c r="W1401" s="12">
        <v>2806.1129066763915</v>
      </c>
      <c r="X1401" s="12">
        <v>0</v>
      </c>
      <c r="Y1401" s="18">
        <v>45817</v>
      </c>
      <c r="Z1401" s="13" t="s">
        <v>505</v>
      </c>
      <c r="AA1401" s="19" t="s">
        <v>356</v>
      </c>
      <c r="AB1401" s="13" t="s">
        <v>357</v>
      </c>
      <c r="AC1401" s="13" t="s">
        <v>362</v>
      </c>
      <c r="AD1401" s="20"/>
      <c r="AE1401" s="20"/>
      <c r="AF1401" s="13" t="s">
        <v>40</v>
      </c>
      <c r="AG1401" s="15">
        <v>45444</v>
      </c>
      <c r="AH1401" s="13" t="s">
        <v>41</v>
      </c>
      <c r="AI1401" s="13" t="s">
        <v>35</v>
      </c>
      <c r="AJ1401" s="13" t="s">
        <v>365</v>
      </c>
      <c r="AK1401" s="14">
        <v>-1</v>
      </c>
      <c r="AL1401" s="17"/>
      <c r="AM1401" s="17"/>
      <c r="AN1401" s="17"/>
      <c r="AO1401" s="17"/>
      <c r="AP1401" s="17"/>
      <c r="AQ1401" s="17"/>
      <c r="AR1401" s="17"/>
      <c r="AS1401" s="17"/>
      <c r="AT1401" s="17"/>
      <c r="AU1401" s="17"/>
      <c r="AV1401" s="17"/>
    </row>
    <row r="1402" spans="1:48" ht="15.75" customHeight="1">
      <c r="A1402" s="21" t="s">
        <v>43</v>
      </c>
      <c r="B1402" s="23" t="s">
        <v>1692</v>
      </c>
      <c r="C1402" s="22">
        <v>45820</v>
      </c>
      <c r="D1402" s="23" t="s">
        <v>348</v>
      </c>
      <c r="E1402" s="23" t="s">
        <v>45</v>
      </c>
      <c r="F1402" s="21">
        <v>1</v>
      </c>
      <c r="G1402" s="12">
        <v>8199.8965351595689</v>
      </c>
      <c r="H1402" s="12">
        <v>8199.8965351595689</v>
      </c>
      <c r="I1402" s="23" t="s">
        <v>52</v>
      </c>
      <c r="J1402" s="23" t="s">
        <v>61</v>
      </c>
      <c r="K1402" s="24" t="s">
        <v>177</v>
      </c>
      <c r="L1402" s="24">
        <v>150</v>
      </c>
      <c r="M1402" s="12">
        <v>6890.6693572769491</v>
      </c>
      <c r="N1402" s="12">
        <v>6890.6693572769491</v>
      </c>
      <c r="O1402" s="12">
        <v>1309.2271778826198</v>
      </c>
      <c r="P1402" s="13"/>
      <c r="Q1402" s="14">
        <v>2025</v>
      </c>
      <c r="R1402" s="15">
        <v>45444</v>
      </c>
      <c r="S1402" s="11" t="s">
        <v>355</v>
      </c>
      <c r="T1402" s="16">
        <v>0</v>
      </c>
      <c r="U1402" s="17"/>
      <c r="V1402" s="12">
        <v>1296.3416261845123</v>
      </c>
      <c r="W1402" s="12">
        <v>1296.3416261845123</v>
      </c>
      <c r="X1402" s="12">
        <v>0</v>
      </c>
      <c r="Y1402" s="18">
        <v>45817</v>
      </c>
      <c r="Z1402" s="13" t="s">
        <v>505</v>
      </c>
      <c r="AA1402" s="19" t="s">
        <v>356</v>
      </c>
      <c r="AB1402" s="13" t="s">
        <v>357</v>
      </c>
      <c r="AC1402" s="13" t="s">
        <v>362</v>
      </c>
      <c r="AD1402" s="20"/>
      <c r="AE1402" s="20"/>
      <c r="AF1402" s="13" t="s">
        <v>40</v>
      </c>
      <c r="AG1402" s="15">
        <v>45444</v>
      </c>
      <c r="AH1402" s="13" t="s">
        <v>41</v>
      </c>
      <c r="AI1402" s="13" t="s">
        <v>43</v>
      </c>
      <c r="AJ1402" s="13" t="s">
        <v>359</v>
      </c>
      <c r="AK1402" s="14">
        <v>-1</v>
      </c>
      <c r="AL1402" s="17"/>
      <c r="AM1402" s="17"/>
      <c r="AN1402" s="17"/>
      <c r="AO1402" s="17"/>
      <c r="AP1402" s="17"/>
      <c r="AQ1402" s="17"/>
      <c r="AR1402" s="17"/>
      <c r="AS1402" s="17"/>
      <c r="AT1402" s="17"/>
      <c r="AU1402" s="17"/>
      <c r="AV1402" s="17"/>
    </row>
    <row r="1403" spans="1:48" ht="15.75" customHeight="1">
      <c r="A1403" s="21" t="s">
        <v>35</v>
      </c>
      <c r="B1403" s="23" t="s">
        <v>1692</v>
      </c>
      <c r="C1403" s="22">
        <v>45819</v>
      </c>
      <c r="D1403" s="23" t="s">
        <v>270</v>
      </c>
      <c r="E1403" s="23" t="s">
        <v>46</v>
      </c>
      <c r="F1403" s="21">
        <v>1</v>
      </c>
      <c r="G1403" s="12">
        <v>6000.1548227279782</v>
      </c>
      <c r="H1403" s="12">
        <v>6000.1548227279782</v>
      </c>
      <c r="I1403" s="23" t="s">
        <v>52</v>
      </c>
      <c r="J1403" s="23" t="s">
        <v>61</v>
      </c>
      <c r="K1403" s="24" t="s">
        <v>177</v>
      </c>
      <c r="L1403" s="24">
        <v>149</v>
      </c>
      <c r="M1403" s="12">
        <v>5042.1469098554444</v>
      </c>
      <c r="N1403" s="12">
        <v>5042.1469098554444</v>
      </c>
      <c r="O1403" s="12">
        <v>958.00791287253378</v>
      </c>
      <c r="P1403" s="13"/>
      <c r="Q1403" s="14">
        <v>2025</v>
      </c>
      <c r="R1403" s="15">
        <v>45444</v>
      </c>
      <c r="S1403" s="11" t="s">
        <v>364</v>
      </c>
      <c r="T1403" s="16">
        <v>500</v>
      </c>
      <c r="U1403" s="17"/>
      <c r="V1403" s="12">
        <v>1785.4242207798129</v>
      </c>
      <c r="W1403" s="12">
        <v>1785.4242207798129</v>
      </c>
      <c r="X1403" s="12">
        <v>0</v>
      </c>
      <c r="Y1403" s="18">
        <v>45817</v>
      </c>
      <c r="Z1403" s="13" t="s">
        <v>515</v>
      </c>
      <c r="AA1403" s="19" t="s">
        <v>367</v>
      </c>
      <c r="AB1403" s="13" t="s">
        <v>357</v>
      </c>
      <c r="AC1403" s="13" t="s">
        <v>367</v>
      </c>
      <c r="AD1403" s="20"/>
      <c r="AE1403" s="20"/>
      <c r="AF1403" s="13" t="s">
        <v>40</v>
      </c>
      <c r="AG1403" s="15">
        <v>45444</v>
      </c>
      <c r="AH1403" s="13" t="s">
        <v>41</v>
      </c>
      <c r="AI1403" s="13" t="s">
        <v>35</v>
      </c>
      <c r="AJ1403" s="13" t="s">
        <v>365</v>
      </c>
      <c r="AK1403" s="14">
        <v>-0.5</v>
      </c>
      <c r="AL1403" s="17"/>
      <c r="AM1403" s="17"/>
      <c r="AN1403" s="17"/>
      <c r="AO1403" s="17"/>
      <c r="AP1403" s="17"/>
      <c r="AQ1403" s="17"/>
      <c r="AR1403" s="17"/>
      <c r="AS1403" s="17"/>
      <c r="AT1403" s="17"/>
      <c r="AU1403" s="17"/>
      <c r="AV1403" s="17"/>
    </row>
    <row r="1404" spans="1:48" ht="15.75" customHeight="1">
      <c r="A1404" s="21" t="s">
        <v>53</v>
      </c>
      <c r="B1404" s="23" t="s">
        <v>1692</v>
      </c>
      <c r="C1404" s="22">
        <v>45819</v>
      </c>
      <c r="D1404" s="23" t="s">
        <v>270</v>
      </c>
      <c r="E1404" s="23" t="s">
        <v>150</v>
      </c>
      <c r="F1404" s="21">
        <v>1</v>
      </c>
      <c r="G1404" s="12">
        <v>1799.8965445892823</v>
      </c>
      <c r="H1404" s="12">
        <v>1799.8965445892823</v>
      </c>
      <c r="I1404" s="23" t="s">
        <v>52</v>
      </c>
      <c r="J1404" s="23" t="s">
        <v>61</v>
      </c>
      <c r="K1404" s="24" t="s">
        <v>177</v>
      </c>
      <c r="L1404" s="24">
        <v>149</v>
      </c>
      <c r="M1404" s="12">
        <v>1512.518104696876</v>
      </c>
      <c r="N1404" s="12">
        <v>1512.518104696876</v>
      </c>
      <c r="O1404" s="12">
        <v>287.37843989240628</v>
      </c>
      <c r="P1404" s="13"/>
      <c r="Q1404" s="14">
        <v>2025</v>
      </c>
      <c r="R1404" s="15">
        <v>45444</v>
      </c>
      <c r="S1404" s="11" t="s">
        <v>381</v>
      </c>
      <c r="T1404" s="16">
        <v>300</v>
      </c>
      <c r="U1404" s="17"/>
      <c r="V1404" s="12">
        <v>781.51810469687575</v>
      </c>
      <c r="W1404" s="12">
        <v>781.51810469687575</v>
      </c>
      <c r="X1404" s="12">
        <v>0</v>
      </c>
      <c r="Y1404" s="18">
        <v>45817</v>
      </c>
      <c r="Z1404" s="13" t="s">
        <v>515</v>
      </c>
      <c r="AA1404" s="19" t="s">
        <v>367</v>
      </c>
      <c r="AB1404" s="13" t="s">
        <v>357</v>
      </c>
      <c r="AC1404" s="13" t="s">
        <v>367</v>
      </c>
      <c r="AD1404" s="20"/>
      <c r="AE1404" s="20"/>
      <c r="AF1404" s="13" t="s">
        <v>40</v>
      </c>
      <c r="AG1404" s="15">
        <v>45444</v>
      </c>
      <c r="AH1404" s="13" t="s">
        <v>41</v>
      </c>
      <c r="AI1404" s="13" t="s">
        <v>53</v>
      </c>
      <c r="AJ1404" s="13" t="s">
        <v>382</v>
      </c>
      <c r="AK1404" s="14">
        <v>-1</v>
      </c>
      <c r="AL1404" s="17"/>
      <c r="AM1404" s="17"/>
      <c r="AN1404" s="17"/>
      <c r="AO1404" s="17"/>
      <c r="AP1404" s="17"/>
      <c r="AQ1404" s="17"/>
      <c r="AR1404" s="17"/>
      <c r="AS1404" s="17"/>
      <c r="AT1404" s="17"/>
      <c r="AU1404" s="17"/>
      <c r="AV1404" s="17"/>
    </row>
    <row r="1405" spans="1:48" ht="15.75" customHeight="1">
      <c r="A1405" s="21" t="s">
        <v>35</v>
      </c>
      <c r="B1405" s="23" t="s">
        <v>1692</v>
      </c>
      <c r="C1405" s="22">
        <v>45819</v>
      </c>
      <c r="D1405" s="23" t="s">
        <v>588</v>
      </c>
      <c r="E1405" s="23" t="s">
        <v>589</v>
      </c>
      <c r="F1405" s="21">
        <v>2</v>
      </c>
      <c r="G1405" s="12">
        <v>12000.115247205256</v>
      </c>
      <c r="H1405" s="12">
        <v>24000.230494410513</v>
      </c>
      <c r="I1405" s="23" t="s">
        <v>52</v>
      </c>
      <c r="J1405" s="23" t="s">
        <v>61</v>
      </c>
      <c r="K1405" s="24" t="s">
        <v>177</v>
      </c>
      <c r="L1405" s="24">
        <v>149</v>
      </c>
      <c r="M1405" s="12">
        <v>10084.130459836349</v>
      </c>
      <c r="N1405" s="12">
        <v>20168.260919672699</v>
      </c>
      <c r="O1405" s="12">
        <v>3831.9695747378137</v>
      </c>
      <c r="P1405" s="13"/>
      <c r="Q1405" s="14">
        <v>2025</v>
      </c>
      <c r="R1405" s="15">
        <v>45444</v>
      </c>
      <c r="S1405" s="11" t="s">
        <v>364</v>
      </c>
      <c r="T1405" s="16">
        <v>2000</v>
      </c>
      <c r="U1405" s="17"/>
      <c r="V1405" s="12">
        <v>6168.2609196726989</v>
      </c>
      <c r="W1405" s="12">
        <v>6168.2609196726989</v>
      </c>
      <c r="X1405" s="12">
        <v>0</v>
      </c>
      <c r="Y1405" s="18">
        <v>45817</v>
      </c>
      <c r="Z1405" s="13" t="s">
        <v>515</v>
      </c>
      <c r="AA1405" s="19" t="s">
        <v>373</v>
      </c>
      <c r="AB1405" s="13" t="s">
        <v>357</v>
      </c>
      <c r="AC1405" s="13" t="s">
        <v>367</v>
      </c>
      <c r="AD1405" s="20"/>
      <c r="AE1405" s="20"/>
      <c r="AF1405" s="13" t="s">
        <v>40</v>
      </c>
      <c r="AG1405" s="15">
        <v>45444</v>
      </c>
      <c r="AH1405" s="13" t="s">
        <v>41</v>
      </c>
      <c r="AI1405" s="13" t="s">
        <v>35</v>
      </c>
      <c r="AJ1405" s="13" t="s">
        <v>390</v>
      </c>
      <c r="AK1405" s="14">
        <v>-2</v>
      </c>
      <c r="AL1405" s="17"/>
      <c r="AM1405" s="17"/>
      <c r="AN1405" s="17"/>
      <c r="AO1405" s="17"/>
      <c r="AP1405" s="17"/>
      <c r="AQ1405" s="17"/>
      <c r="AR1405" s="17"/>
      <c r="AS1405" s="17"/>
      <c r="AT1405" s="17"/>
      <c r="AU1405" s="17"/>
      <c r="AV1405" s="17"/>
    </row>
    <row r="1406" spans="1:48" ht="15.75" customHeight="1">
      <c r="A1406" s="21" t="s">
        <v>35</v>
      </c>
      <c r="B1406" s="23" t="s">
        <v>1692</v>
      </c>
      <c r="C1406" s="22">
        <v>45819</v>
      </c>
      <c r="D1406" s="23" t="s">
        <v>588</v>
      </c>
      <c r="E1406" s="23" t="s">
        <v>590</v>
      </c>
      <c r="F1406" s="21">
        <v>1</v>
      </c>
      <c r="G1406" s="12">
        <v>3249.8439450686637</v>
      </c>
      <c r="H1406" s="12">
        <v>3249.8439450686637</v>
      </c>
      <c r="I1406" s="23" t="s">
        <v>52</v>
      </c>
      <c r="J1406" s="23" t="s">
        <v>61</v>
      </c>
      <c r="K1406" s="24" t="s">
        <v>177</v>
      </c>
      <c r="L1406" s="24">
        <v>149</v>
      </c>
      <c r="M1406" s="12">
        <v>2730.9612983770285</v>
      </c>
      <c r="N1406" s="12">
        <v>2730.9612983770285</v>
      </c>
      <c r="O1406" s="12">
        <v>518.88264669163527</v>
      </c>
      <c r="P1406" s="13"/>
      <c r="Q1406" s="14">
        <v>2025</v>
      </c>
      <c r="R1406" s="15">
        <v>45444</v>
      </c>
      <c r="S1406" s="11" t="s">
        <v>364</v>
      </c>
      <c r="T1406" s="16">
        <v>250</v>
      </c>
      <c r="U1406" s="17"/>
      <c r="V1406" s="12">
        <v>980.96129837702847</v>
      </c>
      <c r="W1406" s="12">
        <v>980.96129837702847</v>
      </c>
      <c r="X1406" s="12">
        <v>0</v>
      </c>
      <c r="Y1406" s="18">
        <v>45817</v>
      </c>
      <c r="Z1406" s="13" t="s">
        <v>515</v>
      </c>
      <c r="AA1406" s="19" t="s">
        <v>373</v>
      </c>
      <c r="AB1406" s="13" t="s">
        <v>357</v>
      </c>
      <c r="AC1406" s="13" t="s">
        <v>367</v>
      </c>
      <c r="AD1406" s="20"/>
      <c r="AE1406" s="20"/>
      <c r="AF1406" s="13" t="s">
        <v>40</v>
      </c>
      <c r="AG1406" s="15">
        <v>45444</v>
      </c>
      <c r="AH1406" s="13" t="s">
        <v>41</v>
      </c>
      <c r="AI1406" s="13" t="s">
        <v>35</v>
      </c>
      <c r="AJ1406" s="13" t="s">
        <v>390</v>
      </c>
      <c r="AK1406" s="14">
        <v>-0.25</v>
      </c>
      <c r="AL1406" s="17"/>
      <c r="AM1406" s="17"/>
      <c r="AN1406" s="17"/>
      <c r="AO1406" s="17"/>
      <c r="AP1406" s="17"/>
      <c r="AQ1406" s="17"/>
      <c r="AR1406" s="17"/>
      <c r="AS1406" s="17"/>
      <c r="AT1406" s="17"/>
      <c r="AU1406" s="17"/>
      <c r="AV1406" s="17"/>
    </row>
    <row r="1407" spans="1:48" ht="15.75" customHeight="1">
      <c r="A1407" s="21" t="s">
        <v>43</v>
      </c>
      <c r="B1407" s="23" t="s">
        <v>1692</v>
      </c>
      <c r="C1407" s="22">
        <v>45819</v>
      </c>
      <c r="D1407" s="23" t="s">
        <v>588</v>
      </c>
      <c r="E1407" s="23" t="s">
        <v>45</v>
      </c>
      <c r="F1407" s="21">
        <v>1</v>
      </c>
      <c r="G1407" s="12">
        <v>8199.8965351595689</v>
      </c>
      <c r="H1407" s="12">
        <v>8199.8965351595689</v>
      </c>
      <c r="I1407" s="23" t="s">
        <v>52</v>
      </c>
      <c r="J1407" s="23" t="s">
        <v>61</v>
      </c>
      <c r="K1407" s="24" t="s">
        <v>177</v>
      </c>
      <c r="L1407" s="24">
        <v>149</v>
      </c>
      <c r="M1407" s="12">
        <v>6890.6693572769491</v>
      </c>
      <c r="N1407" s="12">
        <v>6890.6693572769491</v>
      </c>
      <c r="O1407" s="12">
        <v>1309.2271778826198</v>
      </c>
      <c r="P1407" s="13"/>
      <c r="Q1407" s="14">
        <v>2025</v>
      </c>
      <c r="R1407" s="15">
        <v>45444</v>
      </c>
      <c r="S1407" s="11" t="s">
        <v>355</v>
      </c>
      <c r="T1407" s="16">
        <v>0</v>
      </c>
      <c r="U1407" s="17"/>
      <c r="V1407" s="12">
        <v>1296.3416261845123</v>
      </c>
      <c r="W1407" s="12">
        <v>1296.3416261845123</v>
      </c>
      <c r="X1407" s="12">
        <v>0</v>
      </c>
      <c r="Y1407" s="18">
        <v>45817</v>
      </c>
      <c r="Z1407" s="13" t="s">
        <v>515</v>
      </c>
      <c r="AA1407" s="19" t="s">
        <v>373</v>
      </c>
      <c r="AB1407" s="13" t="s">
        <v>357</v>
      </c>
      <c r="AC1407" s="13" t="s">
        <v>367</v>
      </c>
      <c r="AD1407" s="20"/>
      <c r="AE1407" s="20"/>
      <c r="AF1407" s="13" t="s">
        <v>40</v>
      </c>
      <c r="AG1407" s="15">
        <v>45444</v>
      </c>
      <c r="AH1407" s="13" t="s">
        <v>41</v>
      </c>
      <c r="AI1407" s="13" t="s">
        <v>43</v>
      </c>
      <c r="AJ1407" s="13" t="s">
        <v>359</v>
      </c>
      <c r="AK1407" s="14">
        <v>-1</v>
      </c>
      <c r="AL1407" s="17"/>
      <c r="AM1407" s="17"/>
      <c r="AN1407" s="17"/>
      <c r="AO1407" s="17"/>
      <c r="AP1407" s="17"/>
      <c r="AQ1407" s="17"/>
      <c r="AR1407" s="17"/>
      <c r="AS1407" s="17"/>
      <c r="AT1407" s="17"/>
      <c r="AU1407" s="17"/>
      <c r="AV1407" s="17"/>
    </row>
    <row r="1408" spans="1:48" ht="15.75" customHeight="1">
      <c r="A1408" s="21" t="s">
        <v>53</v>
      </c>
      <c r="B1408" s="23" t="s">
        <v>1692</v>
      </c>
      <c r="C1408" s="22">
        <v>45818</v>
      </c>
      <c r="D1408" s="23" t="s">
        <v>591</v>
      </c>
      <c r="E1408" s="23" t="s">
        <v>317</v>
      </c>
      <c r="F1408" s="21">
        <v>1</v>
      </c>
      <c r="G1408" s="12">
        <v>12500.17391304348</v>
      </c>
      <c r="H1408" s="12">
        <v>12500.17391304348</v>
      </c>
      <c r="I1408" s="23" t="s">
        <v>52</v>
      </c>
      <c r="J1408" s="23" t="s">
        <v>61</v>
      </c>
      <c r="K1408" s="24" t="s">
        <v>177</v>
      </c>
      <c r="L1408" s="24">
        <v>149</v>
      </c>
      <c r="M1408" s="12">
        <v>10504.347826086958</v>
      </c>
      <c r="N1408" s="12">
        <v>10504.347826086958</v>
      </c>
      <c r="O1408" s="12">
        <v>1995.826086956522</v>
      </c>
      <c r="P1408" s="13"/>
      <c r="Q1408" s="14">
        <v>2025</v>
      </c>
      <c r="R1408" s="15">
        <v>45444</v>
      </c>
      <c r="S1408" s="11" t="s">
        <v>435</v>
      </c>
      <c r="T1408" s="16">
        <v>0</v>
      </c>
      <c r="U1408" s="17"/>
      <c r="V1408" s="12">
        <v>3256.3478260869579</v>
      </c>
      <c r="W1408" s="12">
        <v>3256.3478260869579</v>
      </c>
      <c r="X1408" s="12">
        <v>0</v>
      </c>
      <c r="Y1408" s="18">
        <v>45817</v>
      </c>
      <c r="Z1408" s="13" t="s">
        <v>516</v>
      </c>
      <c r="AA1408" s="19" t="s">
        <v>373</v>
      </c>
      <c r="AB1408" s="13" t="s">
        <v>357</v>
      </c>
      <c r="AC1408" s="13" t="s">
        <v>592</v>
      </c>
      <c r="AD1408" s="20"/>
      <c r="AE1408" s="20"/>
      <c r="AF1408" s="13" t="s">
        <v>40</v>
      </c>
      <c r="AG1408" s="15">
        <v>45444</v>
      </c>
      <c r="AH1408" s="13" t="s">
        <v>41</v>
      </c>
      <c r="AI1408" s="13" t="s">
        <v>53</v>
      </c>
      <c r="AJ1408" s="13" t="s">
        <v>436</v>
      </c>
      <c r="AK1408" s="14">
        <v>-6</v>
      </c>
      <c r="AL1408" s="17"/>
      <c r="AM1408" s="17"/>
      <c r="AN1408" s="17"/>
      <c r="AO1408" s="17"/>
      <c r="AP1408" s="17"/>
      <c r="AQ1408" s="17"/>
      <c r="AR1408" s="17"/>
      <c r="AS1408" s="17"/>
      <c r="AT1408" s="17"/>
      <c r="AU1408" s="17"/>
      <c r="AV1408" s="17"/>
    </row>
    <row r="1409" spans="1:48" ht="15.75" customHeight="1">
      <c r="A1409" s="21" t="s">
        <v>53</v>
      </c>
      <c r="B1409" s="23" t="s">
        <v>1692</v>
      </c>
      <c r="C1409" s="22">
        <v>45818</v>
      </c>
      <c r="D1409" s="23" t="s">
        <v>591</v>
      </c>
      <c r="E1409" s="23" t="s">
        <v>69</v>
      </c>
      <c r="F1409" s="21">
        <v>1</v>
      </c>
      <c r="G1409" s="12">
        <v>2999.9553810458683</v>
      </c>
      <c r="H1409" s="12">
        <v>2999.9553810458683</v>
      </c>
      <c r="I1409" s="23" t="s">
        <v>52</v>
      </c>
      <c r="J1409" s="23" t="s">
        <v>61</v>
      </c>
      <c r="K1409" s="24" t="s">
        <v>177</v>
      </c>
      <c r="L1409" s="24">
        <v>149</v>
      </c>
      <c r="M1409" s="12">
        <v>2520.9709084419064</v>
      </c>
      <c r="N1409" s="12">
        <v>2520.9709084419064</v>
      </c>
      <c r="O1409" s="12">
        <v>478.98447260396188</v>
      </c>
      <c r="P1409" s="13"/>
      <c r="Q1409" s="14">
        <v>2025</v>
      </c>
      <c r="R1409" s="15">
        <v>45444</v>
      </c>
      <c r="S1409" s="11" t="s">
        <v>376</v>
      </c>
      <c r="T1409" s="16">
        <v>0</v>
      </c>
      <c r="U1409" s="17"/>
      <c r="V1409" s="12">
        <v>825.97090844190598</v>
      </c>
      <c r="W1409" s="12">
        <v>825.97090844190598</v>
      </c>
      <c r="X1409" s="12">
        <v>0</v>
      </c>
      <c r="Y1409" s="18">
        <v>45817</v>
      </c>
      <c r="Z1409" s="13" t="s">
        <v>516</v>
      </c>
      <c r="AA1409" s="19" t="s">
        <v>373</v>
      </c>
      <c r="AB1409" s="13" t="s">
        <v>357</v>
      </c>
      <c r="AC1409" s="13" t="s">
        <v>592</v>
      </c>
      <c r="AD1409" s="20"/>
      <c r="AE1409" s="20"/>
      <c r="AF1409" s="13" t="s">
        <v>40</v>
      </c>
      <c r="AG1409" s="15">
        <v>45444</v>
      </c>
      <c r="AH1409" s="13" t="s">
        <v>41</v>
      </c>
      <c r="AI1409" s="13" t="s">
        <v>53</v>
      </c>
      <c r="AJ1409" s="13" t="s">
        <v>377</v>
      </c>
      <c r="AK1409" s="14">
        <v>-1</v>
      </c>
      <c r="AL1409" s="17"/>
      <c r="AM1409" s="17"/>
      <c r="AN1409" s="17"/>
      <c r="AO1409" s="17"/>
      <c r="AP1409" s="17"/>
      <c r="AQ1409" s="17"/>
      <c r="AR1409" s="17"/>
      <c r="AS1409" s="17"/>
      <c r="AT1409" s="17"/>
      <c r="AU1409" s="17"/>
      <c r="AV1409" s="17"/>
    </row>
    <row r="1410" spans="1:48" ht="15.75" customHeight="1">
      <c r="A1410" s="21" t="s">
        <v>53</v>
      </c>
      <c r="B1410" s="23" t="s">
        <v>1692</v>
      </c>
      <c r="C1410" s="22">
        <v>45818</v>
      </c>
      <c r="D1410" s="23" t="s">
        <v>591</v>
      </c>
      <c r="E1410" s="23" t="s">
        <v>150</v>
      </c>
      <c r="F1410" s="21">
        <v>1</v>
      </c>
      <c r="G1410" s="12">
        <v>1799.8965445892823</v>
      </c>
      <c r="H1410" s="12">
        <v>1799.8965445892823</v>
      </c>
      <c r="I1410" s="23" t="s">
        <v>52</v>
      </c>
      <c r="J1410" s="23" t="s">
        <v>61</v>
      </c>
      <c r="K1410" s="24" t="s">
        <v>177</v>
      </c>
      <c r="L1410" s="24">
        <v>149</v>
      </c>
      <c r="M1410" s="12">
        <v>1512.518104696876</v>
      </c>
      <c r="N1410" s="12">
        <v>1512.518104696876</v>
      </c>
      <c r="O1410" s="12">
        <v>287.37843989240628</v>
      </c>
      <c r="P1410" s="13"/>
      <c r="Q1410" s="14">
        <v>2025</v>
      </c>
      <c r="R1410" s="15">
        <v>45444</v>
      </c>
      <c r="S1410" s="11" t="s">
        <v>381</v>
      </c>
      <c r="T1410" s="16">
        <v>300</v>
      </c>
      <c r="U1410" s="17"/>
      <c r="V1410" s="12">
        <v>781.51810469687575</v>
      </c>
      <c r="W1410" s="12">
        <v>781.51810469687575</v>
      </c>
      <c r="X1410" s="12">
        <v>0</v>
      </c>
      <c r="Y1410" s="18">
        <v>45817</v>
      </c>
      <c r="Z1410" s="13" t="s">
        <v>516</v>
      </c>
      <c r="AA1410" s="19" t="s">
        <v>373</v>
      </c>
      <c r="AB1410" s="13" t="s">
        <v>357</v>
      </c>
      <c r="AC1410" s="13" t="s">
        <v>592</v>
      </c>
      <c r="AD1410" s="20"/>
      <c r="AE1410" s="20"/>
      <c r="AF1410" s="13" t="s">
        <v>40</v>
      </c>
      <c r="AG1410" s="15">
        <v>45444</v>
      </c>
      <c r="AH1410" s="13" t="s">
        <v>41</v>
      </c>
      <c r="AI1410" s="13" t="s">
        <v>53</v>
      </c>
      <c r="AJ1410" s="13" t="s">
        <v>382</v>
      </c>
      <c r="AK1410" s="14">
        <v>-1</v>
      </c>
      <c r="AL1410" s="17"/>
      <c r="AM1410" s="17"/>
      <c r="AN1410" s="17"/>
      <c r="AO1410" s="17"/>
      <c r="AP1410" s="17"/>
      <c r="AQ1410" s="17"/>
      <c r="AR1410" s="17"/>
      <c r="AS1410" s="17"/>
      <c r="AT1410" s="17"/>
      <c r="AU1410" s="17"/>
      <c r="AV1410" s="17"/>
    </row>
    <row r="1411" spans="1:48" ht="15.75" customHeight="1">
      <c r="A1411" s="21" t="s">
        <v>35</v>
      </c>
      <c r="B1411" s="23" t="s">
        <v>1692</v>
      </c>
      <c r="C1411" s="22">
        <v>45818</v>
      </c>
      <c r="D1411" s="23" t="s">
        <v>132</v>
      </c>
      <c r="E1411" s="23" t="s">
        <v>46</v>
      </c>
      <c r="F1411" s="21">
        <v>1</v>
      </c>
      <c r="G1411" s="12">
        <v>6000.1548227279782</v>
      </c>
      <c r="H1411" s="12">
        <v>6000.1548227279782</v>
      </c>
      <c r="I1411" s="23" t="s">
        <v>52</v>
      </c>
      <c r="J1411" s="23" t="s">
        <v>61</v>
      </c>
      <c r="K1411" s="24" t="s">
        <v>177</v>
      </c>
      <c r="L1411" s="24">
        <v>149</v>
      </c>
      <c r="M1411" s="12">
        <v>5042.1469098554444</v>
      </c>
      <c r="N1411" s="12">
        <v>5042.1469098554444</v>
      </c>
      <c r="O1411" s="12">
        <v>958.00791287253378</v>
      </c>
      <c r="P1411" s="13"/>
      <c r="Q1411" s="14">
        <v>2025</v>
      </c>
      <c r="R1411" s="15">
        <v>45444</v>
      </c>
      <c r="S1411" s="11" t="s">
        <v>364</v>
      </c>
      <c r="T1411" s="16">
        <v>500</v>
      </c>
      <c r="U1411" s="17"/>
      <c r="V1411" s="12">
        <v>1785.4242207798129</v>
      </c>
      <c r="W1411" s="12">
        <v>1785.4242207798129</v>
      </c>
      <c r="X1411" s="12">
        <v>0</v>
      </c>
      <c r="Y1411" s="18">
        <v>45817</v>
      </c>
      <c r="Z1411" s="13" t="s">
        <v>516</v>
      </c>
      <c r="AA1411" s="19" t="s">
        <v>373</v>
      </c>
      <c r="AB1411" s="13" t="s">
        <v>357</v>
      </c>
      <c r="AC1411" s="13" t="s">
        <v>389</v>
      </c>
      <c r="AD1411" s="20"/>
      <c r="AE1411" s="20"/>
      <c r="AF1411" s="13" t="s">
        <v>40</v>
      </c>
      <c r="AG1411" s="15">
        <v>45444</v>
      </c>
      <c r="AH1411" s="13" t="s">
        <v>41</v>
      </c>
      <c r="AI1411" s="13" t="s">
        <v>35</v>
      </c>
      <c r="AJ1411" s="13" t="s">
        <v>365</v>
      </c>
      <c r="AK1411" s="14">
        <v>-0.5</v>
      </c>
      <c r="AL1411" s="17"/>
      <c r="AM1411" s="17"/>
      <c r="AN1411" s="17"/>
      <c r="AO1411" s="17"/>
      <c r="AP1411" s="17"/>
      <c r="AQ1411" s="17"/>
      <c r="AR1411" s="17"/>
      <c r="AS1411" s="17"/>
      <c r="AT1411" s="17"/>
      <c r="AU1411" s="17"/>
      <c r="AV1411" s="17"/>
    </row>
    <row r="1412" spans="1:48" ht="15.75" customHeight="1">
      <c r="A1412" s="21" t="s">
        <v>73</v>
      </c>
      <c r="B1412" s="23" t="s">
        <v>1692</v>
      </c>
      <c r="C1412" s="22">
        <v>45818</v>
      </c>
      <c r="D1412" s="23" t="s">
        <v>423</v>
      </c>
      <c r="E1412" s="23" t="s">
        <v>90</v>
      </c>
      <c r="F1412" s="21">
        <v>1</v>
      </c>
      <c r="G1412" s="12">
        <v>4199.9020019599611</v>
      </c>
      <c r="H1412" s="12">
        <v>4199.9020019599611</v>
      </c>
      <c r="I1412" s="23" t="s">
        <v>52</v>
      </c>
      <c r="J1412" s="23" t="s">
        <v>61</v>
      </c>
      <c r="K1412" s="24" t="s">
        <v>177</v>
      </c>
      <c r="L1412" s="24">
        <v>149</v>
      </c>
      <c r="M1412" s="12">
        <v>3529.3294134117323</v>
      </c>
      <c r="N1412" s="12">
        <v>3529.3294134117323</v>
      </c>
      <c r="O1412" s="12">
        <v>670.57258854822885</v>
      </c>
      <c r="P1412" s="13"/>
      <c r="Q1412" s="14">
        <v>2025</v>
      </c>
      <c r="R1412" s="15">
        <v>45444</v>
      </c>
      <c r="S1412" s="11" t="s">
        <v>424</v>
      </c>
      <c r="T1412" s="16">
        <v>0</v>
      </c>
      <c r="U1412" s="17"/>
      <c r="V1412" s="12">
        <v>1008.3294134117323</v>
      </c>
      <c r="W1412" s="12">
        <v>1008.3294134117323</v>
      </c>
      <c r="X1412" s="12">
        <v>0</v>
      </c>
      <c r="Y1412" s="18">
        <v>45817</v>
      </c>
      <c r="Z1412" s="13" t="s">
        <v>516</v>
      </c>
      <c r="AA1412" s="19" t="s">
        <v>373</v>
      </c>
      <c r="AB1412" s="13" t="s">
        <v>357</v>
      </c>
      <c r="AC1412" s="13" t="s">
        <v>425</v>
      </c>
      <c r="AD1412" s="20"/>
      <c r="AE1412" s="20"/>
      <c r="AF1412" s="13" t="s">
        <v>40</v>
      </c>
      <c r="AG1412" s="15">
        <v>45444</v>
      </c>
      <c r="AH1412" s="13" t="s">
        <v>41</v>
      </c>
      <c r="AI1412" s="13" t="s">
        <v>73</v>
      </c>
      <c r="AJ1412" s="13" t="s">
        <v>426</v>
      </c>
      <c r="AK1412" s="14">
        <v>-1</v>
      </c>
      <c r="AL1412" s="17"/>
      <c r="AM1412" s="17"/>
      <c r="AN1412" s="17"/>
      <c r="AO1412" s="17"/>
      <c r="AP1412" s="17"/>
      <c r="AQ1412" s="17"/>
      <c r="AR1412" s="17"/>
      <c r="AS1412" s="17"/>
      <c r="AT1412" s="17"/>
      <c r="AU1412" s="17"/>
      <c r="AV1412" s="17"/>
    </row>
    <row r="1413" spans="1:48" ht="15.75" customHeight="1">
      <c r="A1413" s="21" t="s">
        <v>76</v>
      </c>
      <c r="B1413" s="23" t="s">
        <v>1692</v>
      </c>
      <c r="C1413" s="22">
        <v>45818</v>
      </c>
      <c r="D1413" s="23" t="s">
        <v>915</v>
      </c>
      <c r="E1413" s="23" t="s">
        <v>137</v>
      </c>
      <c r="F1413" s="21">
        <v>1</v>
      </c>
      <c r="G1413" s="12">
        <v>3500.0000000000005</v>
      </c>
      <c r="H1413" s="12">
        <v>3500.0000000000005</v>
      </c>
      <c r="I1413" s="23" t="s">
        <v>52</v>
      </c>
      <c r="J1413" s="23" t="s">
        <v>61</v>
      </c>
      <c r="K1413" s="24" t="s">
        <v>177</v>
      </c>
      <c r="L1413" s="24">
        <v>149</v>
      </c>
      <c r="M1413" s="12">
        <v>2941.1764705882356</v>
      </c>
      <c r="N1413" s="12">
        <v>2941.1764705882356</v>
      </c>
      <c r="O1413" s="12">
        <v>558.82352941176487</v>
      </c>
      <c r="P1413" s="13"/>
      <c r="Q1413" s="14">
        <v>2025</v>
      </c>
      <c r="R1413" s="15">
        <v>45444</v>
      </c>
      <c r="S1413" s="11" t="s">
        <v>406</v>
      </c>
      <c r="T1413" s="16">
        <v>5</v>
      </c>
      <c r="U1413" s="17"/>
      <c r="V1413" s="12">
        <v>848.73949579831969</v>
      </c>
      <c r="W1413" s="12">
        <v>848.73949579831969</v>
      </c>
      <c r="X1413" s="12">
        <v>0</v>
      </c>
      <c r="Y1413" s="18">
        <v>45817</v>
      </c>
      <c r="Z1413" s="13" t="s">
        <v>516</v>
      </c>
      <c r="AA1413" s="19" t="s">
        <v>367</v>
      </c>
      <c r="AB1413" s="13" t="s">
        <v>357</v>
      </c>
      <c r="AC1413" s="13" t="s">
        <v>367</v>
      </c>
      <c r="AD1413" s="20"/>
      <c r="AE1413" s="20"/>
      <c r="AF1413" s="13" t="s">
        <v>40</v>
      </c>
      <c r="AG1413" s="15">
        <v>45444</v>
      </c>
      <c r="AH1413" s="13" t="s">
        <v>41</v>
      </c>
      <c r="AI1413" s="13" t="s">
        <v>76</v>
      </c>
      <c r="AJ1413" s="13" t="s">
        <v>407</v>
      </c>
      <c r="AK1413" s="14">
        <v>-1</v>
      </c>
      <c r="AL1413" s="17"/>
      <c r="AM1413" s="17"/>
      <c r="AN1413" s="17"/>
      <c r="AO1413" s="17"/>
      <c r="AP1413" s="17"/>
      <c r="AQ1413" s="17"/>
      <c r="AR1413" s="17"/>
      <c r="AS1413" s="17"/>
      <c r="AT1413" s="17"/>
      <c r="AU1413" s="17"/>
      <c r="AV1413" s="17"/>
    </row>
    <row r="1414" spans="1:48" ht="15.75" customHeight="1">
      <c r="A1414" s="21" t="s">
        <v>76</v>
      </c>
      <c r="B1414" s="23" t="s">
        <v>1692</v>
      </c>
      <c r="C1414" s="22">
        <v>45818</v>
      </c>
      <c r="D1414" s="23" t="s">
        <v>108</v>
      </c>
      <c r="E1414" s="23" t="s">
        <v>81</v>
      </c>
      <c r="F1414" s="21">
        <v>1</v>
      </c>
      <c r="G1414" s="12">
        <v>3500.0000000000005</v>
      </c>
      <c r="H1414" s="12">
        <v>3500.0000000000005</v>
      </c>
      <c r="I1414" s="23" t="s">
        <v>52</v>
      </c>
      <c r="J1414" s="23" t="s">
        <v>61</v>
      </c>
      <c r="K1414" s="24" t="s">
        <v>177</v>
      </c>
      <c r="L1414" s="24">
        <v>149</v>
      </c>
      <c r="M1414" s="12">
        <v>2941.1764705882356</v>
      </c>
      <c r="N1414" s="12">
        <v>2941.1764705882356</v>
      </c>
      <c r="O1414" s="12">
        <v>558.82352941176487</v>
      </c>
      <c r="P1414" s="13"/>
      <c r="Q1414" s="14">
        <v>2025</v>
      </c>
      <c r="R1414" s="15">
        <v>45444</v>
      </c>
      <c r="S1414" s="11" t="s">
        <v>397</v>
      </c>
      <c r="T1414" s="16">
        <v>5</v>
      </c>
      <c r="U1414" s="17"/>
      <c r="V1414" s="12">
        <v>764.70588235294144</v>
      </c>
      <c r="W1414" s="12">
        <v>764.70588235294144</v>
      </c>
      <c r="X1414" s="12">
        <v>0</v>
      </c>
      <c r="Y1414" s="18">
        <v>45817</v>
      </c>
      <c r="Z1414" s="13" t="s">
        <v>516</v>
      </c>
      <c r="AA1414" s="19" t="s">
        <v>361</v>
      </c>
      <c r="AB1414" s="13" t="s">
        <v>357</v>
      </c>
      <c r="AC1414" s="13" t="s">
        <v>362</v>
      </c>
      <c r="AD1414" s="20"/>
      <c r="AE1414" s="20"/>
      <c r="AF1414" s="13" t="s">
        <v>40</v>
      </c>
      <c r="AG1414" s="15">
        <v>45444</v>
      </c>
      <c r="AH1414" s="13" t="s">
        <v>41</v>
      </c>
      <c r="AI1414" s="13" t="s">
        <v>76</v>
      </c>
      <c r="AJ1414" s="13" t="s">
        <v>398</v>
      </c>
      <c r="AK1414" s="14">
        <v>-1</v>
      </c>
      <c r="AL1414" s="17"/>
      <c r="AM1414" s="17"/>
      <c r="AN1414" s="17"/>
      <c r="AO1414" s="17"/>
      <c r="AP1414" s="17"/>
      <c r="AQ1414" s="17"/>
      <c r="AR1414" s="17"/>
      <c r="AS1414" s="17"/>
      <c r="AT1414" s="17"/>
      <c r="AU1414" s="17"/>
      <c r="AV1414" s="17"/>
    </row>
    <row r="1415" spans="1:48" ht="15.75" customHeight="1">
      <c r="A1415" s="21" t="s">
        <v>76</v>
      </c>
      <c r="B1415" s="23" t="s">
        <v>1692</v>
      </c>
      <c r="C1415" s="22">
        <v>45818</v>
      </c>
      <c r="D1415" s="23" t="s">
        <v>108</v>
      </c>
      <c r="E1415" s="23" t="s">
        <v>216</v>
      </c>
      <c r="F1415" s="21">
        <v>1</v>
      </c>
      <c r="G1415" s="12">
        <v>4300</v>
      </c>
      <c r="H1415" s="12">
        <v>4300</v>
      </c>
      <c r="I1415" s="23" t="s">
        <v>52</v>
      </c>
      <c r="J1415" s="23" t="s">
        <v>61</v>
      </c>
      <c r="K1415" s="24" t="s">
        <v>177</v>
      </c>
      <c r="L1415" s="24">
        <v>149</v>
      </c>
      <c r="M1415" s="12">
        <v>3613.4453781512607</v>
      </c>
      <c r="N1415" s="12">
        <v>3613.4453781512607</v>
      </c>
      <c r="O1415" s="12">
        <v>686.55462184873932</v>
      </c>
      <c r="P1415" s="13"/>
      <c r="Q1415" s="14">
        <v>2025</v>
      </c>
      <c r="R1415" s="15">
        <v>45444</v>
      </c>
      <c r="S1415" s="11" t="s">
        <v>479</v>
      </c>
      <c r="T1415" s="16">
        <v>5</v>
      </c>
      <c r="U1415" s="17"/>
      <c r="V1415" s="12">
        <v>1134.453781512605</v>
      </c>
      <c r="W1415" s="12">
        <v>1134.453781512605</v>
      </c>
      <c r="X1415" s="12">
        <v>0</v>
      </c>
      <c r="Y1415" s="18">
        <v>45817</v>
      </c>
      <c r="Z1415" s="13" t="s">
        <v>516</v>
      </c>
      <c r="AA1415" s="19" t="s">
        <v>361</v>
      </c>
      <c r="AB1415" s="13" t="s">
        <v>357</v>
      </c>
      <c r="AC1415" s="13" t="s">
        <v>362</v>
      </c>
      <c r="AD1415" s="20"/>
      <c r="AE1415" s="20"/>
      <c r="AF1415" s="13" t="s">
        <v>40</v>
      </c>
      <c r="AG1415" s="15">
        <v>45444</v>
      </c>
      <c r="AH1415" s="13" t="s">
        <v>41</v>
      </c>
      <c r="AI1415" s="13" t="s">
        <v>76</v>
      </c>
      <c r="AJ1415" s="13" t="s">
        <v>546</v>
      </c>
      <c r="AK1415" s="14">
        <v>-1</v>
      </c>
      <c r="AL1415" s="17"/>
      <c r="AM1415" s="17"/>
      <c r="AN1415" s="17"/>
      <c r="AO1415" s="17"/>
      <c r="AP1415" s="17"/>
      <c r="AQ1415" s="17"/>
      <c r="AR1415" s="17"/>
      <c r="AS1415" s="17"/>
      <c r="AT1415" s="17"/>
      <c r="AU1415" s="17"/>
      <c r="AV1415" s="17"/>
    </row>
    <row r="1416" spans="1:48" ht="15.75" customHeight="1">
      <c r="A1416" s="21" t="s">
        <v>47</v>
      </c>
      <c r="B1416" s="23" t="s">
        <v>1692</v>
      </c>
      <c r="C1416" s="22">
        <v>45818</v>
      </c>
      <c r="D1416" s="23" t="s">
        <v>108</v>
      </c>
      <c r="E1416" s="23" t="s">
        <v>155</v>
      </c>
      <c r="F1416" s="21">
        <v>2</v>
      </c>
      <c r="G1416" s="12">
        <v>3400</v>
      </c>
      <c r="H1416" s="12">
        <v>6800</v>
      </c>
      <c r="I1416" s="23" t="s">
        <v>52</v>
      </c>
      <c r="J1416" s="23" t="s">
        <v>61</v>
      </c>
      <c r="K1416" s="24" t="s">
        <v>177</v>
      </c>
      <c r="L1416" s="24">
        <v>149</v>
      </c>
      <c r="M1416" s="12">
        <v>2857.1428571428573</v>
      </c>
      <c r="N1416" s="12">
        <v>5714.2857142857147</v>
      </c>
      <c r="O1416" s="12">
        <v>1085.7142857142853</v>
      </c>
      <c r="P1416" s="13"/>
      <c r="Q1416" s="14">
        <v>2025</v>
      </c>
      <c r="R1416" s="15">
        <v>45444</v>
      </c>
      <c r="S1416" s="11" t="s">
        <v>453</v>
      </c>
      <c r="T1416" s="16">
        <v>0</v>
      </c>
      <c r="U1416" s="17"/>
      <c r="V1416" s="12">
        <v>2510.2857142857147</v>
      </c>
      <c r="W1416" s="12">
        <v>2510.2857142857147</v>
      </c>
      <c r="X1416" s="12">
        <v>0</v>
      </c>
      <c r="Y1416" s="18">
        <v>45817</v>
      </c>
      <c r="Z1416" s="13" t="s">
        <v>516</v>
      </c>
      <c r="AA1416" s="19" t="s">
        <v>361</v>
      </c>
      <c r="AB1416" s="13" t="s">
        <v>357</v>
      </c>
      <c r="AC1416" s="13" t="s">
        <v>362</v>
      </c>
      <c r="AD1416" s="20"/>
      <c r="AE1416" s="20"/>
      <c r="AF1416" s="13" t="s">
        <v>40</v>
      </c>
      <c r="AG1416" s="15">
        <v>45444</v>
      </c>
      <c r="AH1416" s="13" t="s">
        <v>41</v>
      </c>
      <c r="AI1416" s="13" t="s">
        <v>47</v>
      </c>
      <c r="AJ1416" s="13" t="s">
        <v>454</v>
      </c>
      <c r="AK1416" s="14">
        <v>-12</v>
      </c>
      <c r="AL1416" s="17"/>
      <c r="AM1416" s="17"/>
      <c r="AN1416" s="17"/>
      <c r="AO1416" s="17"/>
      <c r="AP1416" s="17"/>
      <c r="AQ1416" s="17"/>
      <c r="AR1416" s="17"/>
      <c r="AS1416" s="17"/>
      <c r="AT1416" s="17"/>
      <c r="AU1416" s="17"/>
      <c r="AV1416" s="17"/>
    </row>
    <row r="1417" spans="1:48" ht="15.75" customHeight="1">
      <c r="A1417" s="21" t="s">
        <v>47</v>
      </c>
      <c r="B1417" s="23" t="s">
        <v>1692</v>
      </c>
      <c r="C1417" s="22">
        <v>45818</v>
      </c>
      <c r="D1417" s="23" t="s">
        <v>108</v>
      </c>
      <c r="E1417" s="23" t="s">
        <v>45</v>
      </c>
      <c r="F1417" s="21">
        <v>1</v>
      </c>
      <c r="G1417" s="12">
        <v>8199.8965351595689</v>
      </c>
      <c r="H1417" s="12">
        <v>8199.8965351595689</v>
      </c>
      <c r="I1417" s="23" t="s">
        <v>52</v>
      </c>
      <c r="J1417" s="23" t="s">
        <v>61</v>
      </c>
      <c r="K1417" s="24" t="s">
        <v>177</v>
      </c>
      <c r="L1417" s="24">
        <v>149</v>
      </c>
      <c r="M1417" s="12">
        <v>6890.6693572769491</v>
      </c>
      <c r="N1417" s="12">
        <v>6890.6693572769491</v>
      </c>
      <c r="O1417" s="12">
        <v>1309.2271778826198</v>
      </c>
      <c r="P1417" s="13"/>
      <c r="Q1417" s="14">
        <v>2025</v>
      </c>
      <c r="R1417" s="15">
        <v>45444</v>
      </c>
      <c r="S1417" s="11" t="s">
        <v>355</v>
      </c>
      <c r="T1417" s="16">
        <v>0</v>
      </c>
      <c r="U1417" s="17"/>
      <c r="V1417" s="12">
        <v>1296.3416261845123</v>
      </c>
      <c r="W1417" s="12">
        <v>1296.3416261845123</v>
      </c>
      <c r="X1417" s="12">
        <v>0</v>
      </c>
      <c r="Y1417" s="18">
        <v>45817</v>
      </c>
      <c r="Z1417" s="13" t="s">
        <v>516</v>
      </c>
      <c r="AA1417" s="19" t="s">
        <v>361</v>
      </c>
      <c r="AB1417" s="13" t="s">
        <v>357</v>
      </c>
      <c r="AC1417" s="13" t="s">
        <v>362</v>
      </c>
      <c r="AD1417" s="20"/>
      <c r="AE1417" s="20"/>
      <c r="AF1417" s="13" t="s">
        <v>40</v>
      </c>
      <c r="AG1417" s="15">
        <v>45444</v>
      </c>
      <c r="AH1417" s="13" t="s">
        <v>41</v>
      </c>
      <c r="AI1417" s="13" t="s">
        <v>47</v>
      </c>
      <c r="AJ1417" s="13" t="s">
        <v>359</v>
      </c>
      <c r="AK1417" s="14">
        <v>-1</v>
      </c>
      <c r="AL1417" s="17"/>
      <c r="AM1417" s="17"/>
      <c r="AN1417" s="17"/>
      <c r="AO1417" s="17"/>
      <c r="AP1417" s="17"/>
      <c r="AQ1417" s="17"/>
      <c r="AR1417" s="17"/>
      <c r="AS1417" s="17"/>
      <c r="AT1417" s="17"/>
      <c r="AU1417" s="17"/>
      <c r="AV1417" s="17"/>
    </row>
    <row r="1418" spans="1:48" ht="15.75" customHeight="1">
      <c r="A1418" s="21" t="s">
        <v>56</v>
      </c>
      <c r="B1418" s="23" t="s">
        <v>1692</v>
      </c>
      <c r="C1418" s="22">
        <v>45818</v>
      </c>
      <c r="D1418" s="23" t="s">
        <v>116</v>
      </c>
      <c r="E1418" s="23" t="s">
        <v>67</v>
      </c>
      <c r="F1418" s="21">
        <v>1</v>
      </c>
      <c r="G1418" s="12">
        <v>7000.0000000000009</v>
      </c>
      <c r="H1418" s="12">
        <v>7000.0000000000009</v>
      </c>
      <c r="I1418" s="23" t="s">
        <v>52</v>
      </c>
      <c r="J1418" s="23" t="s">
        <v>61</v>
      </c>
      <c r="K1418" s="24" t="s">
        <v>177</v>
      </c>
      <c r="L1418" s="24">
        <v>149</v>
      </c>
      <c r="M1418" s="12">
        <v>5882.3529411764712</v>
      </c>
      <c r="N1418" s="12">
        <v>5882.3529411764712</v>
      </c>
      <c r="O1418" s="12">
        <v>1117.6470588235297</v>
      </c>
      <c r="P1418" s="13"/>
      <c r="Q1418" s="14">
        <v>2025</v>
      </c>
      <c r="R1418" s="15">
        <v>45444</v>
      </c>
      <c r="S1418" s="11" t="s">
        <v>492</v>
      </c>
      <c r="T1418" s="16">
        <v>200</v>
      </c>
      <c r="U1418" s="17"/>
      <c r="V1418" s="12">
        <v>1512.6050420168067</v>
      </c>
      <c r="W1418" s="12">
        <v>1512.6050420168067</v>
      </c>
      <c r="X1418" s="12">
        <v>0</v>
      </c>
      <c r="Y1418" s="18">
        <v>45817</v>
      </c>
      <c r="Z1418" s="13" t="s">
        <v>516</v>
      </c>
      <c r="AA1418" s="19" t="s">
        <v>373</v>
      </c>
      <c r="AB1418" s="13" t="s">
        <v>357</v>
      </c>
      <c r="AC1418" s="13"/>
      <c r="AD1418" s="20"/>
      <c r="AE1418" s="20"/>
      <c r="AF1418" s="13" t="s">
        <v>40</v>
      </c>
      <c r="AG1418" s="15">
        <v>45444</v>
      </c>
      <c r="AH1418" s="13" t="s">
        <v>41</v>
      </c>
      <c r="AI1418" s="13" t="s">
        <v>56</v>
      </c>
      <c r="AJ1418" s="13" t="s">
        <v>493</v>
      </c>
      <c r="AK1418" s="14">
        <v>-3</v>
      </c>
      <c r="AL1418" s="17"/>
      <c r="AM1418" s="17"/>
      <c r="AN1418" s="17"/>
      <c r="AO1418" s="17"/>
      <c r="AP1418" s="17"/>
      <c r="AQ1418" s="17"/>
      <c r="AR1418" s="17"/>
      <c r="AS1418" s="17"/>
      <c r="AT1418" s="17"/>
      <c r="AU1418" s="17"/>
      <c r="AV1418" s="17"/>
    </row>
    <row r="1419" spans="1:48" ht="15.75" customHeight="1">
      <c r="A1419" s="21" t="s">
        <v>147</v>
      </c>
      <c r="B1419" s="23" t="s">
        <v>1692</v>
      </c>
      <c r="C1419" s="22">
        <v>45818</v>
      </c>
      <c r="D1419" s="23" t="s">
        <v>593</v>
      </c>
      <c r="E1419" s="23" t="s">
        <v>594</v>
      </c>
      <c r="F1419" s="21">
        <v>1</v>
      </c>
      <c r="G1419" s="12">
        <v>16000.413714640326</v>
      </c>
      <c r="H1419" s="12">
        <v>16000.413714640326</v>
      </c>
      <c r="I1419" s="23" t="s">
        <v>52</v>
      </c>
      <c r="J1419" s="23" t="s">
        <v>61</v>
      </c>
      <c r="K1419" s="24" t="s">
        <v>177</v>
      </c>
      <c r="L1419" s="24">
        <v>149</v>
      </c>
      <c r="M1419" s="12">
        <v>13445.725810622123</v>
      </c>
      <c r="N1419" s="12">
        <v>13445.725810622123</v>
      </c>
      <c r="O1419" s="12">
        <v>2554.687904018203</v>
      </c>
      <c r="P1419" s="13"/>
      <c r="Q1419" s="14">
        <v>2025</v>
      </c>
      <c r="R1419" s="15">
        <v>45444</v>
      </c>
      <c r="S1419" s="11" t="s">
        <v>455</v>
      </c>
      <c r="T1419" s="16">
        <v>0</v>
      </c>
      <c r="U1419" s="17"/>
      <c r="V1419" s="12">
        <v>5645.7258106221234</v>
      </c>
      <c r="W1419" s="12">
        <v>5645.7258106221234</v>
      </c>
      <c r="X1419" s="12">
        <v>0</v>
      </c>
      <c r="Y1419" s="18">
        <v>45817</v>
      </c>
      <c r="Z1419" s="13" t="s">
        <v>516</v>
      </c>
      <c r="AA1419" s="19" t="s">
        <v>373</v>
      </c>
      <c r="AB1419" s="13" t="s">
        <v>357</v>
      </c>
      <c r="AC1419" s="13" t="s">
        <v>595</v>
      </c>
      <c r="AD1419" s="20"/>
      <c r="AE1419" s="20"/>
      <c r="AF1419" s="13" t="s">
        <v>40</v>
      </c>
      <c r="AG1419" s="15">
        <v>45444</v>
      </c>
      <c r="AH1419" s="13" t="s">
        <v>41</v>
      </c>
      <c r="AI1419" s="13" t="s">
        <v>147</v>
      </c>
      <c r="AJ1419" s="13" t="s">
        <v>455</v>
      </c>
      <c r="AK1419" s="14">
        <v>-3</v>
      </c>
      <c r="AL1419" s="17"/>
      <c r="AM1419" s="17"/>
      <c r="AN1419" s="17"/>
      <c r="AO1419" s="17"/>
      <c r="AP1419" s="17"/>
      <c r="AQ1419" s="17"/>
      <c r="AR1419" s="17"/>
      <c r="AS1419" s="17"/>
      <c r="AT1419" s="17"/>
      <c r="AU1419" s="17"/>
      <c r="AV1419" s="17"/>
    </row>
    <row r="1420" spans="1:48" ht="15.75" customHeight="1">
      <c r="A1420" s="21" t="s">
        <v>35</v>
      </c>
      <c r="B1420" s="23" t="s">
        <v>1692</v>
      </c>
      <c r="C1420" s="22">
        <v>45818</v>
      </c>
      <c r="D1420" s="23" t="s">
        <v>213</v>
      </c>
      <c r="E1420" s="23" t="s">
        <v>37</v>
      </c>
      <c r="F1420" s="21">
        <v>1</v>
      </c>
      <c r="G1420" s="12">
        <v>11000.014358944907</v>
      </c>
      <c r="H1420" s="12">
        <v>11000.014358944907</v>
      </c>
      <c r="I1420" s="23" t="s">
        <v>52</v>
      </c>
      <c r="J1420" s="23" t="s">
        <v>61</v>
      </c>
      <c r="K1420" s="24" t="s">
        <v>177</v>
      </c>
      <c r="L1420" s="24">
        <v>149</v>
      </c>
      <c r="M1420" s="12">
        <v>9243.7095453318543</v>
      </c>
      <c r="N1420" s="12">
        <v>9243.7095453318543</v>
      </c>
      <c r="O1420" s="12">
        <v>1756.3048136130528</v>
      </c>
      <c r="P1420" s="13"/>
      <c r="Q1420" s="14">
        <v>2025</v>
      </c>
      <c r="R1420" s="15">
        <v>45444</v>
      </c>
      <c r="S1420" s="11" t="s">
        <v>364</v>
      </c>
      <c r="T1420" s="16">
        <v>1000</v>
      </c>
      <c r="U1420" s="17"/>
      <c r="V1420" s="12">
        <v>2806.1129066763915</v>
      </c>
      <c r="W1420" s="12">
        <v>2806.1129066763915</v>
      </c>
      <c r="X1420" s="12">
        <v>0</v>
      </c>
      <c r="Y1420" s="18">
        <v>45817</v>
      </c>
      <c r="Z1420" s="13" t="s">
        <v>516</v>
      </c>
      <c r="AA1420" s="19" t="s">
        <v>373</v>
      </c>
      <c r="AB1420" s="13" t="s">
        <v>357</v>
      </c>
      <c r="AC1420" s="13" t="s">
        <v>374</v>
      </c>
      <c r="AD1420" s="20"/>
      <c r="AE1420" s="20"/>
      <c r="AF1420" s="13" t="s">
        <v>40</v>
      </c>
      <c r="AG1420" s="15">
        <v>45444</v>
      </c>
      <c r="AH1420" s="13" t="s">
        <v>41</v>
      </c>
      <c r="AI1420" s="13" t="s">
        <v>35</v>
      </c>
      <c r="AJ1420" s="13" t="s">
        <v>365</v>
      </c>
      <c r="AK1420" s="14">
        <v>-1</v>
      </c>
      <c r="AL1420" s="17"/>
      <c r="AM1420" s="17"/>
      <c r="AN1420" s="17"/>
      <c r="AO1420" s="17"/>
      <c r="AP1420" s="17"/>
      <c r="AQ1420" s="17"/>
      <c r="AR1420" s="17"/>
      <c r="AS1420" s="17"/>
      <c r="AT1420" s="17"/>
      <c r="AU1420" s="17"/>
      <c r="AV1420" s="17"/>
    </row>
    <row r="1421" spans="1:48" ht="15.75" customHeight="1">
      <c r="A1421" s="21" t="s">
        <v>35</v>
      </c>
      <c r="B1421" s="23" t="s">
        <v>1692</v>
      </c>
      <c r="C1421" s="22">
        <v>45818</v>
      </c>
      <c r="D1421" s="23" t="s">
        <v>213</v>
      </c>
      <c r="E1421" s="23" t="s">
        <v>46</v>
      </c>
      <c r="F1421" s="21">
        <v>1</v>
      </c>
      <c r="G1421" s="12">
        <v>6000.1548227279782</v>
      </c>
      <c r="H1421" s="12">
        <v>6000.1548227279782</v>
      </c>
      <c r="I1421" s="23" t="s">
        <v>52</v>
      </c>
      <c r="J1421" s="23" t="s">
        <v>61</v>
      </c>
      <c r="K1421" s="24" t="s">
        <v>177</v>
      </c>
      <c r="L1421" s="24">
        <v>149</v>
      </c>
      <c r="M1421" s="12">
        <v>5042.1469098554444</v>
      </c>
      <c r="N1421" s="12">
        <v>5042.1469098554444</v>
      </c>
      <c r="O1421" s="12">
        <v>958.00791287253378</v>
      </c>
      <c r="P1421" s="13"/>
      <c r="Q1421" s="14">
        <v>2025</v>
      </c>
      <c r="R1421" s="15">
        <v>45444</v>
      </c>
      <c r="S1421" s="11" t="s">
        <v>364</v>
      </c>
      <c r="T1421" s="16">
        <v>500</v>
      </c>
      <c r="U1421" s="17"/>
      <c r="V1421" s="12">
        <v>1785.4242207798129</v>
      </c>
      <c r="W1421" s="12">
        <v>1785.4242207798129</v>
      </c>
      <c r="X1421" s="12">
        <v>0</v>
      </c>
      <c r="Y1421" s="18">
        <v>45817</v>
      </c>
      <c r="Z1421" s="13" t="s">
        <v>516</v>
      </c>
      <c r="AA1421" s="19" t="s">
        <v>373</v>
      </c>
      <c r="AB1421" s="13" t="s">
        <v>357</v>
      </c>
      <c r="AC1421" s="13" t="s">
        <v>374</v>
      </c>
      <c r="AD1421" s="20"/>
      <c r="AE1421" s="20"/>
      <c r="AF1421" s="13" t="s">
        <v>40</v>
      </c>
      <c r="AG1421" s="15">
        <v>45444</v>
      </c>
      <c r="AH1421" s="13" t="s">
        <v>41</v>
      </c>
      <c r="AI1421" s="13" t="s">
        <v>35</v>
      </c>
      <c r="AJ1421" s="13" t="s">
        <v>365</v>
      </c>
      <c r="AK1421" s="14">
        <v>-0.5</v>
      </c>
      <c r="AL1421" s="17"/>
      <c r="AM1421" s="17"/>
      <c r="AN1421" s="17"/>
      <c r="AO1421" s="17"/>
      <c r="AP1421" s="17"/>
      <c r="AQ1421" s="17"/>
      <c r="AR1421" s="17"/>
      <c r="AS1421" s="17"/>
      <c r="AT1421" s="17"/>
      <c r="AU1421" s="17"/>
      <c r="AV1421" s="17"/>
    </row>
    <row r="1422" spans="1:48" ht="15.75" customHeight="1">
      <c r="A1422" s="21" t="s">
        <v>53</v>
      </c>
      <c r="B1422" s="23" t="s">
        <v>1692</v>
      </c>
      <c r="C1422" s="22">
        <v>45817</v>
      </c>
      <c r="D1422" s="23" t="s">
        <v>141</v>
      </c>
      <c r="E1422" s="23" t="s">
        <v>203</v>
      </c>
      <c r="F1422" s="21">
        <v>1</v>
      </c>
      <c r="G1422" s="12">
        <v>10000.35681042507</v>
      </c>
      <c r="H1422" s="12">
        <v>10000.35681042507</v>
      </c>
      <c r="I1422" s="23" t="s">
        <v>52</v>
      </c>
      <c r="J1422" s="23" t="s">
        <v>38</v>
      </c>
      <c r="K1422" s="24" t="s">
        <v>177</v>
      </c>
      <c r="L1422" s="24">
        <v>149</v>
      </c>
      <c r="M1422" s="12">
        <v>8403.6611852311507</v>
      </c>
      <c r="N1422" s="12">
        <v>8403.6611852311507</v>
      </c>
      <c r="O1422" s="12">
        <v>1596.6956251939191</v>
      </c>
      <c r="P1422" s="13"/>
      <c r="Q1422" s="14">
        <v>2025</v>
      </c>
      <c r="R1422" s="15">
        <v>45444</v>
      </c>
      <c r="S1422" s="11" t="s">
        <v>366</v>
      </c>
      <c r="T1422" s="16">
        <v>0</v>
      </c>
      <c r="U1422" s="17"/>
      <c r="V1422" s="12">
        <v>2986.6611852311507</v>
      </c>
      <c r="W1422" s="12">
        <v>2986.6611852311507</v>
      </c>
      <c r="X1422" s="12">
        <v>0</v>
      </c>
      <c r="Y1422" s="18">
        <v>45817</v>
      </c>
      <c r="Z1422" s="13" t="s">
        <v>523</v>
      </c>
      <c r="AA1422" s="19" t="s">
        <v>367</v>
      </c>
      <c r="AB1422" s="13" t="s">
        <v>357</v>
      </c>
      <c r="AC1422" s="13" t="s">
        <v>367</v>
      </c>
      <c r="AD1422" s="20"/>
      <c r="AE1422" s="20"/>
      <c r="AF1422" s="13" t="s">
        <v>40</v>
      </c>
      <c r="AG1422" s="15">
        <v>45444</v>
      </c>
      <c r="AH1422" s="13" t="s">
        <v>41</v>
      </c>
      <c r="AI1422" s="13" t="s">
        <v>53</v>
      </c>
      <c r="AJ1422" s="13" t="s">
        <v>368</v>
      </c>
      <c r="AK1422" s="14">
        <v>-3</v>
      </c>
      <c r="AL1422" s="17"/>
      <c r="AM1422" s="17"/>
      <c r="AN1422" s="17"/>
      <c r="AO1422" s="17"/>
      <c r="AP1422" s="17"/>
      <c r="AQ1422" s="17"/>
      <c r="AR1422" s="17"/>
      <c r="AS1422" s="17"/>
      <c r="AT1422" s="17"/>
      <c r="AU1422" s="17"/>
      <c r="AV1422" s="17"/>
    </row>
    <row r="1423" spans="1:48" ht="15.75" customHeight="1">
      <c r="A1423" s="21" t="s">
        <v>53</v>
      </c>
      <c r="B1423" s="23" t="s">
        <v>1692</v>
      </c>
      <c r="C1423" s="22">
        <v>45817</v>
      </c>
      <c r="D1423" s="23" t="s">
        <v>141</v>
      </c>
      <c r="E1423" s="23" t="s">
        <v>339</v>
      </c>
      <c r="F1423" s="21">
        <v>1</v>
      </c>
      <c r="G1423" s="12">
        <v>4000.0000000000005</v>
      </c>
      <c r="H1423" s="12">
        <v>4000.0000000000005</v>
      </c>
      <c r="I1423" s="23" t="s">
        <v>52</v>
      </c>
      <c r="J1423" s="23" t="s">
        <v>38</v>
      </c>
      <c r="K1423" s="24" t="s">
        <v>177</v>
      </c>
      <c r="L1423" s="24">
        <v>149</v>
      </c>
      <c r="M1423" s="12">
        <v>3361.3445378151264</v>
      </c>
      <c r="N1423" s="12">
        <v>3361.3445378151264</v>
      </c>
      <c r="O1423" s="12">
        <v>638.65546218487407</v>
      </c>
      <c r="P1423" s="13"/>
      <c r="Q1423" s="14">
        <v>2025</v>
      </c>
      <c r="R1423" s="15">
        <v>45444</v>
      </c>
      <c r="S1423" s="11" t="s">
        <v>369</v>
      </c>
      <c r="T1423" s="16">
        <v>0</v>
      </c>
      <c r="U1423" s="17"/>
      <c r="V1423" s="12">
        <v>953.78151260504228</v>
      </c>
      <c r="W1423" s="12">
        <v>953.78151260504228</v>
      </c>
      <c r="X1423" s="12">
        <v>0</v>
      </c>
      <c r="Y1423" s="18">
        <v>45817</v>
      </c>
      <c r="Z1423" s="13" t="s">
        <v>523</v>
      </c>
      <c r="AA1423" s="19" t="s">
        <v>367</v>
      </c>
      <c r="AB1423" s="13" t="s">
        <v>357</v>
      </c>
      <c r="AC1423" s="13" t="s">
        <v>367</v>
      </c>
      <c r="AD1423" s="20"/>
      <c r="AE1423" s="20"/>
      <c r="AF1423" s="13" t="s">
        <v>40</v>
      </c>
      <c r="AG1423" s="15">
        <v>45444</v>
      </c>
      <c r="AH1423" s="13" t="s">
        <v>41</v>
      </c>
      <c r="AI1423" s="13" t="s">
        <v>53</v>
      </c>
      <c r="AJ1423" s="13" t="s">
        <v>370</v>
      </c>
      <c r="AK1423" s="14">
        <v>-3</v>
      </c>
      <c r="AL1423" s="17"/>
      <c r="AM1423" s="17"/>
      <c r="AN1423" s="17"/>
      <c r="AO1423" s="17"/>
      <c r="AP1423" s="17"/>
      <c r="AQ1423" s="17"/>
      <c r="AR1423" s="17"/>
      <c r="AS1423" s="17"/>
      <c r="AT1423" s="17"/>
      <c r="AU1423" s="17"/>
      <c r="AV1423" s="17"/>
    </row>
    <row r="1424" spans="1:48" ht="15.75" customHeight="1">
      <c r="A1424" s="21" t="s">
        <v>76</v>
      </c>
      <c r="B1424" s="23" t="s">
        <v>1692</v>
      </c>
      <c r="C1424" s="22">
        <v>45817</v>
      </c>
      <c r="D1424" s="23" t="s">
        <v>141</v>
      </c>
      <c r="E1424" s="23" t="s">
        <v>81</v>
      </c>
      <c r="F1424" s="21">
        <v>1</v>
      </c>
      <c r="G1424" s="12">
        <v>3500.0000000000005</v>
      </c>
      <c r="H1424" s="12">
        <v>3500.0000000000005</v>
      </c>
      <c r="I1424" s="23" t="s">
        <v>52</v>
      </c>
      <c r="J1424" s="23" t="s">
        <v>38</v>
      </c>
      <c r="K1424" s="24" t="s">
        <v>177</v>
      </c>
      <c r="L1424" s="24">
        <v>149</v>
      </c>
      <c r="M1424" s="12">
        <v>2941.1764705882356</v>
      </c>
      <c r="N1424" s="12">
        <v>2941.1764705882356</v>
      </c>
      <c r="O1424" s="12">
        <v>558.82352941176487</v>
      </c>
      <c r="P1424" s="13"/>
      <c r="Q1424" s="14">
        <v>2025</v>
      </c>
      <c r="R1424" s="15">
        <v>45444</v>
      </c>
      <c r="S1424" s="11" t="s">
        <v>397</v>
      </c>
      <c r="T1424" s="16">
        <v>5</v>
      </c>
      <c r="U1424" s="17"/>
      <c r="V1424" s="12">
        <v>764.70588235294144</v>
      </c>
      <c r="W1424" s="12">
        <v>764.70588235294144</v>
      </c>
      <c r="X1424" s="12">
        <v>0</v>
      </c>
      <c r="Y1424" s="18">
        <v>45817</v>
      </c>
      <c r="Z1424" s="13" t="s">
        <v>523</v>
      </c>
      <c r="AA1424" s="19" t="s">
        <v>367</v>
      </c>
      <c r="AB1424" s="13" t="s">
        <v>357</v>
      </c>
      <c r="AC1424" s="13" t="s">
        <v>367</v>
      </c>
      <c r="AD1424" s="20"/>
      <c r="AE1424" s="20"/>
      <c r="AF1424" s="13" t="s">
        <v>40</v>
      </c>
      <c r="AG1424" s="15">
        <v>45444</v>
      </c>
      <c r="AH1424" s="13" t="s">
        <v>41</v>
      </c>
      <c r="AI1424" s="13" t="s">
        <v>76</v>
      </c>
      <c r="AJ1424" s="13" t="s">
        <v>398</v>
      </c>
      <c r="AK1424" s="14">
        <v>-1</v>
      </c>
      <c r="AL1424" s="17"/>
      <c r="AM1424" s="17"/>
      <c r="AN1424" s="17"/>
      <c r="AO1424" s="17"/>
      <c r="AP1424" s="17"/>
      <c r="AQ1424" s="17"/>
      <c r="AR1424" s="17"/>
      <c r="AS1424" s="17"/>
      <c r="AT1424" s="17"/>
      <c r="AU1424" s="17"/>
      <c r="AV1424" s="17"/>
    </row>
    <row r="1425" spans="1:48" ht="15.75" customHeight="1">
      <c r="A1425" s="21" t="s">
        <v>47</v>
      </c>
      <c r="B1425" s="23" t="s">
        <v>1692</v>
      </c>
      <c r="C1425" s="22">
        <v>45817</v>
      </c>
      <c r="D1425" s="23" t="s">
        <v>141</v>
      </c>
      <c r="E1425" s="23" t="s">
        <v>562</v>
      </c>
      <c r="F1425" s="21">
        <v>1</v>
      </c>
      <c r="G1425" s="12">
        <v>6499.5824285952895</v>
      </c>
      <c r="H1425" s="12">
        <v>6499.5824285952895</v>
      </c>
      <c r="I1425" s="23" t="s">
        <v>52</v>
      </c>
      <c r="J1425" s="23" t="s">
        <v>61</v>
      </c>
      <c r="K1425" s="24" t="s">
        <v>177</v>
      </c>
      <c r="L1425" s="24">
        <v>149</v>
      </c>
      <c r="M1425" s="12">
        <v>5461.8339736094867</v>
      </c>
      <c r="N1425" s="12">
        <v>5461.8339736094867</v>
      </c>
      <c r="O1425" s="12">
        <v>1037.7484549858027</v>
      </c>
      <c r="P1425" s="13"/>
      <c r="Q1425" s="14">
        <v>2025</v>
      </c>
      <c r="R1425" s="15">
        <v>45444</v>
      </c>
      <c r="S1425" s="11" t="s">
        <v>453</v>
      </c>
      <c r="T1425" s="16">
        <v>0</v>
      </c>
      <c r="U1425" s="17"/>
      <c r="V1425" s="12">
        <v>2191.8339736094867</v>
      </c>
      <c r="W1425" s="12">
        <v>2191.8339736094867</v>
      </c>
      <c r="X1425" s="12">
        <v>0</v>
      </c>
      <c r="Y1425" s="18">
        <v>45817</v>
      </c>
      <c r="Z1425" s="13" t="s">
        <v>523</v>
      </c>
      <c r="AA1425" s="19" t="s">
        <v>367</v>
      </c>
      <c r="AB1425" s="13" t="s">
        <v>357</v>
      </c>
      <c r="AC1425" s="13" t="s">
        <v>367</v>
      </c>
      <c r="AD1425" s="20"/>
      <c r="AE1425" s="20"/>
      <c r="AF1425" s="13" t="s">
        <v>40</v>
      </c>
      <c r="AG1425" s="15">
        <v>45444</v>
      </c>
      <c r="AH1425" s="13" t="s">
        <v>41</v>
      </c>
      <c r="AI1425" s="13" t="s">
        <v>47</v>
      </c>
      <c r="AJ1425" s="13" t="s">
        <v>487</v>
      </c>
      <c r="AK1425" s="14">
        <v>-6</v>
      </c>
      <c r="AL1425" s="17"/>
      <c r="AM1425" s="17"/>
      <c r="AN1425" s="17"/>
      <c r="AO1425" s="17"/>
      <c r="AP1425" s="17"/>
      <c r="AQ1425" s="17"/>
      <c r="AR1425" s="17"/>
      <c r="AS1425" s="17"/>
      <c r="AT1425" s="17"/>
      <c r="AU1425" s="17"/>
      <c r="AV1425" s="17"/>
    </row>
    <row r="1426" spans="1:48" ht="15.75" customHeight="1">
      <c r="A1426" s="21" t="s">
        <v>76</v>
      </c>
      <c r="B1426" s="23" t="s">
        <v>1692</v>
      </c>
      <c r="C1426" s="22">
        <v>45817</v>
      </c>
      <c r="D1426" s="23" t="s">
        <v>141</v>
      </c>
      <c r="E1426" s="23" t="s">
        <v>216</v>
      </c>
      <c r="F1426" s="21">
        <v>1</v>
      </c>
      <c r="G1426" s="12">
        <v>4300</v>
      </c>
      <c r="H1426" s="12">
        <v>4300</v>
      </c>
      <c r="I1426" s="23" t="s">
        <v>52</v>
      </c>
      <c r="J1426" s="23" t="s">
        <v>61</v>
      </c>
      <c r="K1426" s="24" t="s">
        <v>177</v>
      </c>
      <c r="L1426" s="24">
        <v>149</v>
      </c>
      <c r="M1426" s="12">
        <v>3613.4453781512607</v>
      </c>
      <c r="N1426" s="12">
        <v>3613.4453781512607</v>
      </c>
      <c r="O1426" s="12">
        <v>686.55462184873932</v>
      </c>
      <c r="P1426" s="13"/>
      <c r="Q1426" s="14">
        <v>2025</v>
      </c>
      <c r="R1426" s="15">
        <v>45444</v>
      </c>
      <c r="S1426" s="11" t="s">
        <v>479</v>
      </c>
      <c r="T1426" s="16">
        <v>5</v>
      </c>
      <c r="U1426" s="17"/>
      <c r="V1426" s="12">
        <v>1134.453781512605</v>
      </c>
      <c r="W1426" s="12">
        <v>1134.453781512605</v>
      </c>
      <c r="X1426" s="12">
        <v>0</v>
      </c>
      <c r="Y1426" s="18">
        <v>45817</v>
      </c>
      <c r="Z1426" s="13" t="s">
        <v>523</v>
      </c>
      <c r="AA1426" s="19" t="s">
        <v>367</v>
      </c>
      <c r="AB1426" s="13" t="s">
        <v>357</v>
      </c>
      <c r="AC1426" s="13" t="s">
        <v>367</v>
      </c>
      <c r="AD1426" s="20"/>
      <c r="AE1426" s="20"/>
      <c r="AF1426" s="13" t="s">
        <v>40</v>
      </c>
      <c r="AG1426" s="15">
        <v>45444</v>
      </c>
      <c r="AH1426" s="13" t="s">
        <v>41</v>
      </c>
      <c r="AI1426" s="13" t="s">
        <v>76</v>
      </c>
      <c r="AJ1426" s="13" t="s">
        <v>546</v>
      </c>
      <c r="AK1426" s="14">
        <v>-1</v>
      </c>
      <c r="AL1426" s="17"/>
      <c r="AM1426" s="17"/>
      <c r="AN1426" s="17"/>
      <c r="AO1426" s="17"/>
      <c r="AP1426" s="17"/>
      <c r="AQ1426" s="17"/>
      <c r="AR1426" s="17"/>
      <c r="AS1426" s="17"/>
      <c r="AT1426" s="17"/>
      <c r="AU1426" s="17"/>
      <c r="AV1426" s="17"/>
    </row>
    <row r="1427" spans="1:48" ht="15.75" customHeight="1">
      <c r="A1427" s="21" t="s">
        <v>43</v>
      </c>
      <c r="B1427" s="23" t="s">
        <v>1692</v>
      </c>
      <c r="C1427" s="22">
        <v>45817</v>
      </c>
      <c r="D1427" s="23" t="s">
        <v>141</v>
      </c>
      <c r="E1427" s="23" t="s">
        <v>45</v>
      </c>
      <c r="F1427" s="21">
        <v>1</v>
      </c>
      <c r="G1427" s="12">
        <v>8199.8965351595689</v>
      </c>
      <c r="H1427" s="12">
        <v>8199.8965351595689</v>
      </c>
      <c r="I1427" s="23" t="s">
        <v>52</v>
      </c>
      <c r="J1427" s="23" t="s">
        <v>61</v>
      </c>
      <c r="K1427" s="24" t="s">
        <v>177</v>
      </c>
      <c r="L1427" s="24">
        <v>149</v>
      </c>
      <c r="M1427" s="12">
        <v>6890.6693572769491</v>
      </c>
      <c r="N1427" s="12">
        <v>6890.6693572769491</v>
      </c>
      <c r="O1427" s="12">
        <v>1309.2271778826198</v>
      </c>
      <c r="P1427" s="13"/>
      <c r="Q1427" s="14">
        <v>2025</v>
      </c>
      <c r="R1427" s="15">
        <v>45444</v>
      </c>
      <c r="S1427" s="11" t="s">
        <v>355</v>
      </c>
      <c r="T1427" s="16">
        <v>0</v>
      </c>
      <c r="U1427" s="17"/>
      <c r="V1427" s="12">
        <v>1296.3416261845123</v>
      </c>
      <c r="W1427" s="12">
        <v>1296.3416261845123</v>
      </c>
      <c r="X1427" s="12">
        <v>0</v>
      </c>
      <c r="Y1427" s="18">
        <v>45817</v>
      </c>
      <c r="Z1427" s="13" t="s">
        <v>523</v>
      </c>
      <c r="AA1427" s="19" t="s">
        <v>367</v>
      </c>
      <c r="AB1427" s="13" t="s">
        <v>357</v>
      </c>
      <c r="AC1427" s="13" t="s">
        <v>367</v>
      </c>
      <c r="AD1427" s="20"/>
      <c r="AE1427" s="20"/>
      <c r="AF1427" s="13" t="s">
        <v>40</v>
      </c>
      <c r="AG1427" s="15">
        <v>45444</v>
      </c>
      <c r="AH1427" s="13" t="s">
        <v>41</v>
      </c>
      <c r="AI1427" s="13" t="s">
        <v>43</v>
      </c>
      <c r="AJ1427" s="13" t="s">
        <v>359</v>
      </c>
      <c r="AK1427" s="14">
        <v>-1</v>
      </c>
      <c r="AL1427" s="17"/>
      <c r="AM1427" s="17"/>
      <c r="AN1427" s="17"/>
      <c r="AO1427" s="17"/>
      <c r="AP1427" s="17"/>
      <c r="AQ1427" s="17"/>
      <c r="AR1427" s="17"/>
      <c r="AS1427" s="17"/>
      <c r="AT1427" s="17"/>
      <c r="AU1427" s="17"/>
      <c r="AV1427" s="17"/>
    </row>
    <row r="1428" spans="1:48" ht="15.75" customHeight="1">
      <c r="A1428" s="21" t="s">
        <v>35</v>
      </c>
      <c r="B1428" s="23" t="s">
        <v>1692</v>
      </c>
      <c r="C1428" s="22">
        <v>45817</v>
      </c>
      <c r="D1428" s="23" t="s">
        <v>141</v>
      </c>
      <c r="E1428" s="23" t="s">
        <v>37</v>
      </c>
      <c r="F1428" s="21">
        <v>1</v>
      </c>
      <c r="G1428" s="12">
        <v>11000.014358944907</v>
      </c>
      <c r="H1428" s="12">
        <v>11000.014358944907</v>
      </c>
      <c r="I1428" s="23" t="s">
        <v>52</v>
      </c>
      <c r="J1428" s="23" t="s">
        <v>61</v>
      </c>
      <c r="K1428" s="24" t="s">
        <v>177</v>
      </c>
      <c r="L1428" s="24">
        <v>149</v>
      </c>
      <c r="M1428" s="12">
        <v>9243.7095453318543</v>
      </c>
      <c r="N1428" s="12">
        <v>9243.7095453318543</v>
      </c>
      <c r="O1428" s="12">
        <v>1756.3048136130528</v>
      </c>
      <c r="P1428" s="13"/>
      <c r="Q1428" s="14">
        <v>2025</v>
      </c>
      <c r="R1428" s="15">
        <v>45444</v>
      </c>
      <c r="S1428" s="11" t="s">
        <v>364</v>
      </c>
      <c r="T1428" s="16">
        <v>1000</v>
      </c>
      <c r="U1428" s="17"/>
      <c r="V1428" s="12">
        <v>2806.1129066763915</v>
      </c>
      <c r="W1428" s="12">
        <v>2806.1129066763915</v>
      </c>
      <c r="X1428" s="12">
        <v>0</v>
      </c>
      <c r="Y1428" s="18">
        <v>45817</v>
      </c>
      <c r="Z1428" s="13" t="s">
        <v>523</v>
      </c>
      <c r="AA1428" s="19" t="s">
        <v>367</v>
      </c>
      <c r="AB1428" s="13" t="s">
        <v>357</v>
      </c>
      <c r="AC1428" s="13" t="s">
        <v>367</v>
      </c>
      <c r="AD1428" s="20"/>
      <c r="AE1428" s="20"/>
      <c r="AF1428" s="13" t="s">
        <v>40</v>
      </c>
      <c r="AG1428" s="15">
        <v>45444</v>
      </c>
      <c r="AH1428" s="13" t="s">
        <v>41</v>
      </c>
      <c r="AI1428" s="13" t="s">
        <v>35</v>
      </c>
      <c r="AJ1428" s="13" t="s">
        <v>365</v>
      </c>
      <c r="AK1428" s="14">
        <v>-1</v>
      </c>
      <c r="AL1428" s="17"/>
      <c r="AM1428" s="17"/>
      <c r="AN1428" s="17"/>
      <c r="AO1428" s="17"/>
      <c r="AP1428" s="17"/>
      <c r="AQ1428" s="17"/>
      <c r="AR1428" s="17"/>
      <c r="AS1428" s="17"/>
      <c r="AT1428" s="17"/>
      <c r="AU1428" s="17"/>
      <c r="AV1428" s="17"/>
    </row>
    <row r="1429" spans="1:48" ht="15.75" customHeight="1">
      <c r="A1429" s="21" t="s">
        <v>47</v>
      </c>
      <c r="B1429" s="23" t="s">
        <v>1692</v>
      </c>
      <c r="C1429" s="22">
        <v>45817</v>
      </c>
      <c r="D1429" s="23" t="s">
        <v>141</v>
      </c>
      <c r="E1429" s="23" t="s">
        <v>48</v>
      </c>
      <c r="F1429" s="21">
        <v>2</v>
      </c>
      <c r="G1429" s="12">
        <v>1000</v>
      </c>
      <c r="H1429" s="12">
        <v>2000</v>
      </c>
      <c r="I1429" s="23" t="s">
        <v>52</v>
      </c>
      <c r="J1429" s="23" t="s">
        <v>61</v>
      </c>
      <c r="K1429" s="24" t="s">
        <v>177</v>
      </c>
      <c r="L1429" s="24">
        <v>149</v>
      </c>
      <c r="M1429" s="12">
        <v>840.3361344537816</v>
      </c>
      <c r="N1429" s="12">
        <v>1680.6722689075632</v>
      </c>
      <c r="O1429" s="12">
        <v>319.32773109243681</v>
      </c>
      <c r="P1429" s="13"/>
      <c r="Q1429" s="14">
        <v>2025</v>
      </c>
      <c r="R1429" s="15">
        <v>45444</v>
      </c>
      <c r="S1429" s="11" t="s">
        <v>416</v>
      </c>
      <c r="T1429" s="16">
        <v>0</v>
      </c>
      <c r="U1429" s="17"/>
      <c r="V1429" s="12">
        <v>660.67226890756297</v>
      </c>
      <c r="W1429" s="12">
        <v>660.67226890756297</v>
      </c>
      <c r="X1429" s="12">
        <v>0</v>
      </c>
      <c r="Y1429" s="18">
        <v>45817</v>
      </c>
      <c r="Z1429" s="13" t="s">
        <v>523</v>
      </c>
      <c r="AA1429" s="19" t="s">
        <v>367</v>
      </c>
      <c r="AB1429" s="13" t="s">
        <v>357</v>
      </c>
      <c r="AC1429" s="13" t="s">
        <v>367</v>
      </c>
      <c r="AD1429" s="20"/>
      <c r="AE1429" s="20"/>
      <c r="AF1429" s="13" t="s">
        <v>40</v>
      </c>
      <c r="AG1429" s="15">
        <v>45444</v>
      </c>
      <c r="AH1429" s="13" t="s">
        <v>41</v>
      </c>
      <c r="AI1429" s="13" t="s">
        <v>47</v>
      </c>
      <c r="AJ1429" s="13" t="s">
        <v>417</v>
      </c>
      <c r="AK1429" s="14">
        <v>-10</v>
      </c>
      <c r="AL1429" s="17"/>
      <c r="AM1429" s="17"/>
      <c r="AN1429" s="17"/>
      <c r="AO1429" s="17"/>
      <c r="AP1429" s="17"/>
      <c r="AQ1429" s="17"/>
      <c r="AR1429" s="17"/>
      <c r="AS1429" s="17"/>
      <c r="AT1429" s="17"/>
      <c r="AU1429" s="17"/>
      <c r="AV1429" s="17"/>
    </row>
    <row r="1430" spans="1:48" ht="15.75" customHeight="1">
      <c r="A1430" s="21" t="s">
        <v>35</v>
      </c>
      <c r="B1430" s="23" t="s">
        <v>1692</v>
      </c>
      <c r="C1430" s="22">
        <v>45817</v>
      </c>
      <c r="D1430" s="23" t="s">
        <v>198</v>
      </c>
      <c r="E1430" s="23" t="s">
        <v>37</v>
      </c>
      <c r="F1430" s="21">
        <v>4</v>
      </c>
      <c r="G1430" s="12">
        <v>11000.014358944907</v>
      </c>
      <c r="H1430" s="12">
        <v>44000.057435779629</v>
      </c>
      <c r="I1430" s="23" t="s">
        <v>52</v>
      </c>
      <c r="J1430" s="23" t="s">
        <v>61</v>
      </c>
      <c r="K1430" s="24" t="s">
        <v>177</v>
      </c>
      <c r="L1430" s="24">
        <v>149</v>
      </c>
      <c r="M1430" s="12">
        <v>9243.7095453318543</v>
      </c>
      <c r="N1430" s="12">
        <v>36974.838181327417</v>
      </c>
      <c r="O1430" s="12">
        <v>7025.2192544522113</v>
      </c>
      <c r="P1430" s="13"/>
      <c r="Q1430" s="14">
        <v>2025</v>
      </c>
      <c r="R1430" s="15">
        <v>45444</v>
      </c>
      <c r="S1430" s="11" t="s">
        <v>364</v>
      </c>
      <c r="T1430" s="16">
        <v>4000</v>
      </c>
      <c r="U1430" s="17"/>
      <c r="V1430" s="12">
        <v>11224.451626705566</v>
      </c>
      <c r="W1430" s="12">
        <v>11224.451626705566</v>
      </c>
      <c r="X1430" s="12">
        <v>0</v>
      </c>
      <c r="Y1430" s="18">
        <v>45817</v>
      </c>
      <c r="Z1430" s="13" t="s">
        <v>523</v>
      </c>
      <c r="AA1430" s="19" t="s">
        <v>361</v>
      </c>
      <c r="AB1430" s="13" t="s">
        <v>357</v>
      </c>
      <c r="AC1430" s="13" t="s">
        <v>489</v>
      </c>
      <c r="AD1430" s="20"/>
      <c r="AE1430" s="20"/>
      <c r="AF1430" s="13" t="s">
        <v>40</v>
      </c>
      <c r="AG1430" s="15">
        <v>45444</v>
      </c>
      <c r="AH1430" s="13" t="s">
        <v>41</v>
      </c>
      <c r="AI1430" s="13" t="s">
        <v>35</v>
      </c>
      <c r="AJ1430" s="13" t="s">
        <v>365</v>
      </c>
      <c r="AK1430" s="14">
        <v>-4</v>
      </c>
      <c r="AL1430" s="17"/>
      <c r="AM1430" s="17"/>
      <c r="AN1430" s="17"/>
      <c r="AO1430" s="17"/>
      <c r="AP1430" s="17"/>
      <c r="AQ1430" s="17"/>
      <c r="AR1430" s="17"/>
      <c r="AS1430" s="17"/>
      <c r="AT1430" s="17"/>
      <c r="AU1430" s="17"/>
      <c r="AV1430" s="17"/>
    </row>
    <row r="1431" spans="1:48" ht="15.75" customHeight="1">
      <c r="A1431" s="21" t="s">
        <v>56</v>
      </c>
      <c r="B1431" s="23" t="s">
        <v>1692</v>
      </c>
      <c r="C1431" s="22">
        <v>45817</v>
      </c>
      <c r="D1431" s="23" t="s">
        <v>198</v>
      </c>
      <c r="E1431" s="23" t="s">
        <v>60</v>
      </c>
      <c r="F1431" s="21">
        <v>3</v>
      </c>
      <c r="G1431" s="12">
        <v>7000.0000000000018</v>
      </c>
      <c r="H1431" s="12">
        <v>21000.000000000007</v>
      </c>
      <c r="I1431" s="23" t="s">
        <v>52</v>
      </c>
      <c r="J1431" s="23" t="s">
        <v>61</v>
      </c>
      <c r="K1431" s="24" t="s">
        <v>177</v>
      </c>
      <c r="L1431" s="24">
        <v>149</v>
      </c>
      <c r="M1431" s="12">
        <v>5882.3529411764721</v>
      </c>
      <c r="N1431" s="12">
        <v>17647.05882352942</v>
      </c>
      <c r="O1431" s="12">
        <v>3352.9411764705874</v>
      </c>
      <c r="P1431" s="13"/>
      <c r="Q1431" s="14">
        <v>2025</v>
      </c>
      <c r="R1431" s="15">
        <v>45444</v>
      </c>
      <c r="S1431" s="11" t="s">
        <v>429</v>
      </c>
      <c r="T1431" s="16">
        <v>600</v>
      </c>
      <c r="U1431" s="17"/>
      <c r="V1431" s="12">
        <v>6242.0168067226923</v>
      </c>
      <c r="W1431" s="12">
        <v>6242.0168067226923</v>
      </c>
      <c r="X1431" s="12">
        <v>0</v>
      </c>
      <c r="Y1431" s="18">
        <v>45817</v>
      </c>
      <c r="Z1431" s="13" t="s">
        <v>523</v>
      </c>
      <c r="AA1431" s="19" t="s">
        <v>361</v>
      </c>
      <c r="AB1431" s="13" t="s">
        <v>357</v>
      </c>
      <c r="AC1431" s="13" t="s">
        <v>489</v>
      </c>
      <c r="AD1431" s="20"/>
      <c r="AE1431" s="20"/>
      <c r="AF1431" s="13" t="s">
        <v>40</v>
      </c>
      <c r="AG1431" s="15">
        <v>45444</v>
      </c>
      <c r="AH1431" s="13" t="s">
        <v>41</v>
      </c>
      <c r="AI1431" s="13" t="s">
        <v>56</v>
      </c>
      <c r="AJ1431" s="13" t="s">
        <v>430</v>
      </c>
      <c r="AK1431" s="14">
        <v>-6</v>
      </c>
      <c r="AL1431" s="17"/>
      <c r="AM1431" s="17"/>
      <c r="AN1431" s="17"/>
      <c r="AO1431" s="17"/>
      <c r="AP1431" s="17"/>
      <c r="AQ1431" s="17"/>
      <c r="AR1431" s="17"/>
      <c r="AS1431" s="17"/>
      <c r="AT1431" s="17"/>
      <c r="AU1431" s="17"/>
      <c r="AV1431" s="17"/>
    </row>
    <row r="1432" spans="1:48" ht="15.75" customHeight="1">
      <c r="A1432" s="21" t="s">
        <v>56</v>
      </c>
      <c r="B1432" s="23" t="s">
        <v>1692</v>
      </c>
      <c r="C1432" s="22">
        <v>45817</v>
      </c>
      <c r="D1432" s="23" t="s">
        <v>198</v>
      </c>
      <c r="E1432" s="23" t="s">
        <v>57</v>
      </c>
      <c r="F1432" s="21">
        <v>1</v>
      </c>
      <c r="G1432" s="12">
        <v>2999.6253023129066</v>
      </c>
      <c r="H1432" s="12">
        <v>2999.6253023129066</v>
      </c>
      <c r="I1432" s="23" t="s">
        <v>52</v>
      </c>
      <c r="J1432" s="23" t="s">
        <v>61</v>
      </c>
      <c r="K1432" s="24" t="s">
        <v>177</v>
      </c>
      <c r="L1432" s="24">
        <v>149</v>
      </c>
      <c r="M1432" s="12">
        <v>2520.6935313553836</v>
      </c>
      <c r="N1432" s="12">
        <v>2520.6935313553836</v>
      </c>
      <c r="O1432" s="12">
        <v>478.93177095752299</v>
      </c>
      <c r="P1432" s="13"/>
      <c r="Q1432" s="14">
        <v>2025</v>
      </c>
      <c r="R1432" s="15">
        <v>45444</v>
      </c>
      <c r="S1432" s="11" t="s">
        <v>427</v>
      </c>
      <c r="T1432" s="16">
        <v>135</v>
      </c>
      <c r="U1432" s="17"/>
      <c r="V1432" s="12">
        <v>1040.6935313553836</v>
      </c>
      <c r="W1432" s="12">
        <v>1040.6935313553836</v>
      </c>
      <c r="X1432" s="12">
        <v>0</v>
      </c>
      <c r="Y1432" s="18">
        <v>45817</v>
      </c>
      <c r="Z1432" s="13" t="s">
        <v>523</v>
      </c>
      <c r="AA1432" s="19" t="s">
        <v>361</v>
      </c>
      <c r="AB1432" s="13" t="s">
        <v>357</v>
      </c>
      <c r="AC1432" s="13" t="s">
        <v>489</v>
      </c>
      <c r="AD1432" s="20"/>
      <c r="AE1432" s="20"/>
      <c r="AF1432" s="13" t="s">
        <v>40</v>
      </c>
      <c r="AG1432" s="15">
        <v>45444</v>
      </c>
      <c r="AH1432" s="13" t="s">
        <v>41</v>
      </c>
      <c r="AI1432" s="13" t="s">
        <v>56</v>
      </c>
      <c r="AJ1432" s="13" t="s">
        <v>428</v>
      </c>
      <c r="AK1432" s="14">
        <v>-1</v>
      </c>
      <c r="AL1432" s="17"/>
      <c r="AM1432" s="17"/>
      <c r="AN1432" s="17"/>
      <c r="AO1432" s="17"/>
      <c r="AP1432" s="17"/>
      <c r="AQ1432" s="17"/>
      <c r="AR1432" s="17"/>
      <c r="AS1432" s="17"/>
      <c r="AT1432" s="17"/>
      <c r="AU1432" s="17"/>
      <c r="AV1432" s="17"/>
    </row>
    <row r="1433" spans="1:48" ht="15.75" customHeight="1">
      <c r="A1433" s="21" t="s">
        <v>56</v>
      </c>
      <c r="B1433" s="23" t="s">
        <v>1692</v>
      </c>
      <c r="C1433" s="22">
        <v>45817</v>
      </c>
      <c r="D1433" s="23" t="s">
        <v>198</v>
      </c>
      <c r="E1433" s="23" t="s">
        <v>67</v>
      </c>
      <c r="F1433" s="21">
        <v>3</v>
      </c>
      <c r="G1433" s="12">
        <v>7000.0000000000009</v>
      </c>
      <c r="H1433" s="12">
        <v>21000.000000000004</v>
      </c>
      <c r="I1433" s="23" t="s">
        <v>52</v>
      </c>
      <c r="J1433" s="23" t="s">
        <v>61</v>
      </c>
      <c r="K1433" s="24" t="s">
        <v>177</v>
      </c>
      <c r="L1433" s="24">
        <v>149</v>
      </c>
      <c r="M1433" s="12">
        <v>5882.3529411764712</v>
      </c>
      <c r="N1433" s="12">
        <v>17647.058823529416</v>
      </c>
      <c r="O1433" s="12">
        <v>3352.9411764705874</v>
      </c>
      <c r="P1433" s="13"/>
      <c r="Q1433" s="14">
        <v>2025</v>
      </c>
      <c r="R1433" s="15">
        <v>45444</v>
      </c>
      <c r="S1433" s="11" t="s">
        <v>492</v>
      </c>
      <c r="T1433" s="16">
        <v>600</v>
      </c>
      <c r="U1433" s="17"/>
      <c r="V1433" s="12">
        <v>4537.8151260504201</v>
      </c>
      <c r="W1433" s="12">
        <v>4537.8151260504201</v>
      </c>
      <c r="X1433" s="12">
        <v>0</v>
      </c>
      <c r="Y1433" s="18">
        <v>45817</v>
      </c>
      <c r="Z1433" s="13" t="s">
        <v>523</v>
      </c>
      <c r="AA1433" s="19" t="s">
        <v>361</v>
      </c>
      <c r="AB1433" s="13" t="s">
        <v>357</v>
      </c>
      <c r="AC1433" s="13" t="s">
        <v>489</v>
      </c>
      <c r="AD1433" s="20"/>
      <c r="AE1433" s="20"/>
      <c r="AF1433" s="13" t="s">
        <v>40</v>
      </c>
      <c r="AG1433" s="15">
        <v>45444</v>
      </c>
      <c r="AH1433" s="13" t="s">
        <v>41</v>
      </c>
      <c r="AI1433" s="13" t="s">
        <v>56</v>
      </c>
      <c r="AJ1433" s="13" t="s">
        <v>493</v>
      </c>
      <c r="AK1433" s="14">
        <v>-9</v>
      </c>
      <c r="AL1433" s="17"/>
      <c r="AM1433" s="17"/>
      <c r="AN1433" s="17"/>
      <c r="AO1433" s="17"/>
      <c r="AP1433" s="17"/>
      <c r="AQ1433" s="17"/>
      <c r="AR1433" s="17"/>
      <c r="AS1433" s="17"/>
      <c r="AT1433" s="17"/>
      <c r="AU1433" s="17"/>
      <c r="AV1433" s="17"/>
    </row>
    <row r="1434" spans="1:48" ht="15.75" customHeight="1">
      <c r="A1434" s="21" t="s">
        <v>43</v>
      </c>
      <c r="B1434" s="23" t="s">
        <v>1692</v>
      </c>
      <c r="C1434" s="22">
        <v>45817</v>
      </c>
      <c r="D1434" s="23" t="s">
        <v>198</v>
      </c>
      <c r="E1434" s="23" t="s">
        <v>45</v>
      </c>
      <c r="F1434" s="21">
        <v>1</v>
      </c>
      <c r="G1434" s="12">
        <v>8199.8965351595689</v>
      </c>
      <c r="H1434" s="12">
        <v>8199.8965351595689</v>
      </c>
      <c r="I1434" s="23" t="s">
        <v>52</v>
      </c>
      <c r="J1434" s="23" t="s">
        <v>61</v>
      </c>
      <c r="K1434" s="24" t="s">
        <v>177</v>
      </c>
      <c r="L1434" s="24">
        <v>149</v>
      </c>
      <c r="M1434" s="12">
        <v>6890.6693572769491</v>
      </c>
      <c r="N1434" s="12">
        <v>6890.6693572769491</v>
      </c>
      <c r="O1434" s="12">
        <v>1309.2271778826198</v>
      </c>
      <c r="P1434" s="13"/>
      <c r="Q1434" s="14">
        <v>2025</v>
      </c>
      <c r="R1434" s="15">
        <v>45444</v>
      </c>
      <c r="S1434" s="11" t="s">
        <v>355</v>
      </c>
      <c r="T1434" s="16">
        <v>0</v>
      </c>
      <c r="U1434" s="17"/>
      <c r="V1434" s="12">
        <v>1296.3416261845123</v>
      </c>
      <c r="W1434" s="12">
        <v>1296.3416261845123</v>
      </c>
      <c r="X1434" s="12">
        <v>0</v>
      </c>
      <c r="Y1434" s="18">
        <v>45817</v>
      </c>
      <c r="Z1434" s="13" t="s">
        <v>523</v>
      </c>
      <c r="AA1434" s="19" t="s">
        <v>361</v>
      </c>
      <c r="AB1434" s="13" t="s">
        <v>357</v>
      </c>
      <c r="AC1434" s="13" t="s">
        <v>489</v>
      </c>
      <c r="AD1434" s="20"/>
      <c r="AE1434" s="20"/>
      <c r="AF1434" s="13" t="s">
        <v>40</v>
      </c>
      <c r="AG1434" s="15">
        <v>45444</v>
      </c>
      <c r="AH1434" s="13" t="s">
        <v>41</v>
      </c>
      <c r="AI1434" s="13" t="s">
        <v>43</v>
      </c>
      <c r="AJ1434" s="13" t="s">
        <v>359</v>
      </c>
      <c r="AK1434" s="14">
        <v>-1</v>
      </c>
      <c r="AL1434" s="17"/>
      <c r="AM1434" s="17"/>
      <c r="AN1434" s="17"/>
      <c r="AO1434" s="17"/>
      <c r="AP1434" s="17"/>
      <c r="AQ1434" s="17"/>
      <c r="AR1434" s="17"/>
      <c r="AS1434" s="17"/>
      <c r="AT1434" s="17"/>
      <c r="AU1434" s="17"/>
      <c r="AV1434" s="17"/>
    </row>
    <row r="1435" spans="1:48" ht="15.75" customHeight="1">
      <c r="A1435" s="21" t="s">
        <v>147</v>
      </c>
      <c r="B1435" s="23" t="s">
        <v>1692</v>
      </c>
      <c r="C1435" s="22">
        <v>45817</v>
      </c>
      <c r="D1435" s="23" t="s">
        <v>319</v>
      </c>
      <c r="E1435" s="23" t="s">
        <v>296</v>
      </c>
      <c r="F1435" s="14">
        <v>1</v>
      </c>
      <c r="G1435" s="12">
        <v>6000.0775704921853</v>
      </c>
      <c r="H1435" s="12">
        <v>6000.0775704921853</v>
      </c>
      <c r="I1435" s="23" t="s">
        <v>52</v>
      </c>
      <c r="J1435" s="23" t="s">
        <v>61</v>
      </c>
      <c r="K1435" s="24" t="s">
        <v>177</v>
      </c>
      <c r="L1435" s="24">
        <v>149</v>
      </c>
      <c r="M1435" s="12">
        <v>5042.0819920102404</v>
      </c>
      <c r="N1435" s="12">
        <v>5042.0819920102404</v>
      </c>
      <c r="O1435" s="12">
        <v>957.9955784819449</v>
      </c>
      <c r="P1435" s="13"/>
      <c r="Q1435" s="14">
        <v>2025</v>
      </c>
      <c r="R1435" s="15">
        <v>45444</v>
      </c>
      <c r="S1435" s="11" t="s">
        <v>455</v>
      </c>
      <c r="T1435" s="16">
        <v>0</v>
      </c>
      <c r="U1435" s="17"/>
      <c r="V1435" s="12">
        <v>2442.0819920102394</v>
      </c>
      <c r="W1435" s="12">
        <v>2442.0819920102394</v>
      </c>
      <c r="X1435" s="12">
        <v>0</v>
      </c>
      <c r="Y1435" s="18">
        <v>45817</v>
      </c>
      <c r="Z1435" s="13" t="s">
        <v>523</v>
      </c>
      <c r="AA1435" s="19" t="s">
        <v>373</v>
      </c>
      <c r="AB1435" s="13" t="s">
        <v>357</v>
      </c>
      <c r="AC1435" s="13" t="s">
        <v>467</v>
      </c>
      <c r="AD1435" s="20"/>
      <c r="AE1435" s="20"/>
      <c r="AF1435" s="13" t="s">
        <v>40</v>
      </c>
      <c r="AG1435" s="15">
        <v>45444</v>
      </c>
      <c r="AH1435" s="13" t="s">
        <v>41</v>
      </c>
      <c r="AI1435" s="13" t="s">
        <v>147</v>
      </c>
      <c r="AJ1435" s="13" t="s">
        <v>455</v>
      </c>
      <c r="AK1435" s="14">
        <v>-1</v>
      </c>
      <c r="AL1435" s="17"/>
      <c r="AM1435" s="17"/>
      <c r="AN1435" s="17"/>
      <c r="AO1435" s="17"/>
      <c r="AP1435" s="17"/>
      <c r="AQ1435" s="17"/>
      <c r="AR1435" s="17"/>
      <c r="AS1435" s="17"/>
      <c r="AT1435" s="17"/>
      <c r="AU1435" s="17"/>
      <c r="AV1435" s="17"/>
    </row>
    <row r="1436" spans="1:48" ht="15.75" customHeight="1">
      <c r="A1436" s="21" t="s">
        <v>76</v>
      </c>
      <c r="B1436" s="23" t="s">
        <v>1692</v>
      </c>
      <c r="C1436" s="22">
        <v>45817</v>
      </c>
      <c r="D1436" s="23" t="s">
        <v>319</v>
      </c>
      <c r="E1436" s="23" t="s">
        <v>201</v>
      </c>
      <c r="F1436" s="14">
        <v>1</v>
      </c>
      <c r="G1436" s="12">
        <v>1499.6316758747698</v>
      </c>
      <c r="H1436" s="12">
        <v>1499.6316758747698</v>
      </c>
      <c r="I1436" s="23" t="s">
        <v>52</v>
      </c>
      <c r="J1436" s="23" t="s">
        <v>61</v>
      </c>
      <c r="K1436" s="24" t="s">
        <v>177</v>
      </c>
      <c r="L1436" s="24">
        <v>149</v>
      </c>
      <c r="M1436" s="12">
        <v>1260.1946856090503</v>
      </c>
      <c r="N1436" s="12">
        <v>1260.1946856090503</v>
      </c>
      <c r="O1436" s="12">
        <v>239.43699026571949</v>
      </c>
      <c r="P1436" s="13"/>
      <c r="Q1436" s="14">
        <v>2025</v>
      </c>
      <c r="R1436" s="15">
        <v>45444</v>
      </c>
      <c r="S1436" s="11" t="s">
        <v>479</v>
      </c>
      <c r="T1436" s="16">
        <v>0</v>
      </c>
      <c r="U1436" s="17"/>
      <c r="V1436" s="12">
        <v>461.86135227571697</v>
      </c>
      <c r="W1436" s="12">
        <v>461.86135227571697</v>
      </c>
      <c r="X1436" s="12">
        <v>0</v>
      </c>
      <c r="Y1436" s="18">
        <v>45817</v>
      </c>
      <c r="Z1436" s="13" t="s">
        <v>523</v>
      </c>
      <c r="AA1436" s="19" t="s">
        <v>373</v>
      </c>
      <c r="AB1436" s="13" t="s">
        <v>357</v>
      </c>
      <c r="AC1436" s="13" t="s">
        <v>467</v>
      </c>
      <c r="AD1436" s="20"/>
      <c r="AE1436" s="20"/>
      <c r="AF1436" s="13" t="s">
        <v>40</v>
      </c>
      <c r="AG1436" s="15">
        <v>45444</v>
      </c>
      <c r="AH1436" s="13" t="s">
        <v>41</v>
      </c>
      <c r="AI1436" s="13" t="s">
        <v>76</v>
      </c>
      <c r="AJ1436" s="13" t="s">
        <v>517</v>
      </c>
      <c r="AK1436" s="14">
        <v>-1</v>
      </c>
      <c r="AL1436" s="17"/>
      <c r="AM1436" s="17"/>
      <c r="AN1436" s="17"/>
      <c r="AO1436" s="17"/>
      <c r="AP1436" s="17"/>
      <c r="AQ1436" s="17"/>
      <c r="AR1436" s="17"/>
      <c r="AS1436" s="17"/>
      <c r="AT1436" s="17"/>
      <c r="AU1436" s="17"/>
      <c r="AV1436" s="17"/>
    </row>
    <row r="1437" spans="1:48" ht="15.75" customHeight="1">
      <c r="A1437" s="21" t="s">
        <v>53</v>
      </c>
      <c r="B1437" s="23" t="s">
        <v>1692</v>
      </c>
      <c r="C1437" s="22">
        <v>45817</v>
      </c>
      <c r="D1437" s="23" t="s">
        <v>319</v>
      </c>
      <c r="E1437" s="23" t="s">
        <v>518</v>
      </c>
      <c r="F1437" s="14">
        <v>1</v>
      </c>
      <c r="G1437" s="12">
        <v>2500.0347826086959</v>
      </c>
      <c r="H1437" s="12">
        <v>2500.0347826086959</v>
      </c>
      <c r="I1437" s="23" t="s">
        <v>52</v>
      </c>
      <c r="J1437" s="23" t="s">
        <v>61</v>
      </c>
      <c r="K1437" s="24" t="s">
        <v>177</v>
      </c>
      <c r="L1437" s="24">
        <v>149</v>
      </c>
      <c r="M1437" s="12">
        <v>2100.8695652173915</v>
      </c>
      <c r="N1437" s="12">
        <v>2100.8695652173915</v>
      </c>
      <c r="O1437" s="12">
        <v>399.1652173913044</v>
      </c>
      <c r="P1437" s="13"/>
      <c r="Q1437" s="14">
        <v>2025</v>
      </c>
      <c r="R1437" s="15">
        <v>45444</v>
      </c>
      <c r="S1437" s="11" t="s">
        <v>435</v>
      </c>
      <c r="T1437" s="16">
        <v>0</v>
      </c>
      <c r="U1437" s="17"/>
      <c r="V1437" s="12">
        <v>892.86956521739148</v>
      </c>
      <c r="W1437" s="12">
        <v>892.86956521739148</v>
      </c>
      <c r="X1437" s="12">
        <v>0</v>
      </c>
      <c r="Y1437" s="18">
        <v>45817</v>
      </c>
      <c r="Z1437" s="13" t="s">
        <v>523</v>
      </c>
      <c r="AA1437" s="19" t="s">
        <v>373</v>
      </c>
      <c r="AB1437" s="13" t="s">
        <v>357</v>
      </c>
      <c r="AC1437" s="13" t="s">
        <v>467</v>
      </c>
      <c r="AD1437" s="20"/>
      <c r="AE1437" s="20"/>
      <c r="AF1437" s="13" t="s">
        <v>40</v>
      </c>
      <c r="AG1437" s="15">
        <v>45444</v>
      </c>
      <c r="AH1437" s="13" t="s">
        <v>41</v>
      </c>
      <c r="AI1437" s="13" t="s">
        <v>53</v>
      </c>
      <c r="AJ1437" s="13" t="s">
        <v>436</v>
      </c>
      <c r="AK1437" s="14">
        <v>-1</v>
      </c>
      <c r="AL1437" s="17"/>
      <c r="AM1437" s="17"/>
      <c r="AN1437" s="17"/>
      <c r="AO1437" s="17"/>
      <c r="AP1437" s="17"/>
      <c r="AQ1437" s="17"/>
      <c r="AR1437" s="17"/>
      <c r="AS1437" s="17"/>
      <c r="AT1437" s="17"/>
      <c r="AU1437" s="17"/>
      <c r="AV1437" s="17"/>
    </row>
    <row r="1438" spans="1:48" ht="15.75" customHeight="1">
      <c r="A1438" s="21" t="s">
        <v>53</v>
      </c>
      <c r="B1438" s="23" t="s">
        <v>1692</v>
      </c>
      <c r="C1438" s="22">
        <v>45817</v>
      </c>
      <c r="D1438" s="23" t="s">
        <v>596</v>
      </c>
      <c r="E1438" s="23" t="s">
        <v>55</v>
      </c>
      <c r="F1438" s="14">
        <v>1</v>
      </c>
      <c r="G1438" s="12">
        <v>20899.657134519988</v>
      </c>
      <c r="H1438" s="12">
        <v>20899.657134519988</v>
      </c>
      <c r="I1438" s="23" t="s">
        <v>52</v>
      </c>
      <c r="J1438" s="23" t="s">
        <v>61</v>
      </c>
      <c r="K1438" s="24" t="s">
        <v>177</v>
      </c>
      <c r="L1438" s="24">
        <v>149</v>
      </c>
      <c r="M1438" s="12">
        <v>17562.737087831923</v>
      </c>
      <c r="N1438" s="12">
        <v>17562.737087831923</v>
      </c>
      <c r="O1438" s="12">
        <v>3336.9200466880648</v>
      </c>
      <c r="P1438" s="13"/>
      <c r="Q1438" s="14">
        <v>2025</v>
      </c>
      <c r="R1438" s="15">
        <v>45444</v>
      </c>
      <c r="S1438" s="11" t="s">
        <v>366</v>
      </c>
      <c r="T1438" s="16">
        <v>0</v>
      </c>
      <c r="U1438" s="17"/>
      <c r="V1438" s="12">
        <v>3117.7370878319234</v>
      </c>
      <c r="W1438" s="12">
        <v>3117.7370878319234</v>
      </c>
      <c r="X1438" s="12">
        <v>0</v>
      </c>
      <c r="Y1438" s="18">
        <v>45817</v>
      </c>
      <c r="Z1438" s="13" t="s">
        <v>523</v>
      </c>
      <c r="AA1438" s="19" t="s">
        <v>373</v>
      </c>
      <c r="AB1438" s="13" t="s">
        <v>357</v>
      </c>
      <c r="AC1438" s="13" t="s">
        <v>380</v>
      </c>
      <c r="AD1438" s="20"/>
      <c r="AE1438" s="20"/>
      <c r="AF1438" s="13" t="s">
        <v>40</v>
      </c>
      <c r="AG1438" s="15">
        <v>45444</v>
      </c>
      <c r="AH1438" s="13" t="s">
        <v>41</v>
      </c>
      <c r="AI1438" s="13" t="s">
        <v>53</v>
      </c>
      <c r="AJ1438" s="13" t="s">
        <v>368</v>
      </c>
      <c r="AK1438" s="14">
        <v>-8</v>
      </c>
      <c r="AL1438" s="17"/>
      <c r="AM1438" s="17"/>
      <c r="AN1438" s="17"/>
      <c r="AO1438" s="17"/>
      <c r="AP1438" s="17"/>
      <c r="AQ1438" s="17"/>
      <c r="AR1438" s="17"/>
      <c r="AS1438" s="17"/>
      <c r="AT1438" s="17"/>
      <c r="AU1438" s="17"/>
      <c r="AV1438" s="17"/>
    </row>
    <row r="1439" spans="1:48" ht="15.75" customHeight="1">
      <c r="A1439" s="21" t="s">
        <v>47</v>
      </c>
      <c r="B1439" s="23" t="s">
        <v>1692</v>
      </c>
      <c r="C1439" s="22">
        <v>45817</v>
      </c>
      <c r="D1439" s="23" t="s">
        <v>84</v>
      </c>
      <c r="E1439" s="23" t="s">
        <v>162</v>
      </c>
      <c r="F1439" s="21">
        <v>3</v>
      </c>
      <c r="G1439" s="12">
        <v>9500.0304006809747</v>
      </c>
      <c r="H1439" s="12">
        <v>28500.091202042924</v>
      </c>
      <c r="I1439" s="23" t="s">
        <v>52</v>
      </c>
      <c r="J1439" s="23" t="s">
        <v>61</v>
      </c>
      <c r="K1439" s="24" t="s">
        <v>86</v>
      </c>
      <c r="L1439" s="24">
        <v>85</v>
      </c>
      <c r="M1439" s="12">
        <v>7983.2188241016602</v>
      </c>
      <c r="N1439" s="12">
        <v>23949.656472304978</v>
      </c>
      <c r="O1439" s="12">
        <v>4550.4347297379463</v>
      </c>
      <c r="P1439" s="13"/>
      <c r="Q1439" s="14">
        <v>2025</v>
      </c>
      <c r="R1439" s="15">
        <v>45444</v>
      </c>
      <c r="S1439" s="11" t="s">
        <v>437</v>
      </c>
      <c r="T1439" s="16">
        <v>0</v>
      </c>
      <c r="U1439" s="17"/>
      <c r="V1439" s="12">
        <v>8193.6564723049778</v>
      </c>
      <c r="W1439" s="12">
        <v>8193.6564723049778</v>
      </c>
      <c r="X1439" s="12">
        <v>0</v>
      </c>
      <c r="Y1439" s="18">
        <v>45817</v>
      </c>
      <c r="Z1439" s="13" t="s">
        <v>523</v>
      </c>
      <c r="AA1439" s="19" t="s">
        <v>373</v>
      </c>
      <c r="AB1439" s="13" t="s">
        <v>394</v>
      </c>
      <c r="AC1439" s="13" t="s">
        <v>569</v>
      </c>
      <c r="AD1439" s="20"/>
      <c r="AE1439" s="20"/>
      <c r="AF1439" s="13" t="s">
        <v>40</v>
      </c>
      <c r="AG1439" s="15">
        <v>45444</v>
      </c>
      <c r="AH1439" s="13" t="s">
        <v>41</v>
      </c>
      <c r="AI1439" s="13" t="s">
        <v>47</v>
      </c>
      <c r="AJ1439" s="13" t="s">
        <v>438</v>
      </c>
      <c r="AK1439" s="14">
        <v>-3</v>
      </c>
      <c r="AL1439" s="17"/>
      <c r="AM1439" s="17"/>
      <c r="AN1439" s="17"/>
      <c r="AO1439" s="17"/>
      <c r="AP1439" s="17"/>
      <c r="AQ1439" s="17"/>
      <c r="AR1439" s="17"/>
      <c r="AS1439" s="17"/>
      <c r="AT1439" s="17"/>
      <c r="AU1439" s="17"/>
      <c r="AV1439" s="17"/>
    </row>
    <row r="1440" spans="1:48" ht="15.75" customHeight="1">
      <c r="A1440" s="14" t="s">
        <v>35</v>
      </c>
      <c r="B1440" s="13" t="s">
        <v>570</v>
      </c>
      <c r="C1440" s="22">
        <v>45816</v>
      </c>
      <c r="D1440" s="97" t="s">
        <v>915</v>
      </c>
      <c r="E1440" s="23" t="s">
        <v>524</v>
      </c>
      <c r="F1440" s="14">
        <v>1</v>
      </c>
      <c r="G1440" s="12">
        <v>4799.9749310604157</v>
      </c>
      <c r="H1440" s="12">
        <v>4799.9749310604157</v>
      </c>
      <c r="I1440" s="13" t="s">
        <v>52</v>
      </c>
      <c r="J1440" s="23" t="s">
        <v>61</v>
      </c>
      <c r="K1440" s="24" t="s">
        <v>177</v>
      </c>
      <c r="L1440" s="24">
        <v>148</v>
      </c>
      <c r="M1440" s="12">
        <v>4033.5923790423662</v>
      </c>
      <c r="N1440" s="12">
        <v>4033.5923790423662</v>
      </c>
      <c r="O1440" s="12">
        <v>766.38255201804941</v>
      </c>
      <c r="P1440" s="13"/>
      <c r="Q1440" s="14">
        <v>2025</v>
      </c>
      <c r="R1440" s="15">
        <v>45444</v>
      </c>
      <c r="S1440" s="11" t="s">
        <v>429</v>
      </c>
      <c r="T1440" s="16">
        <v>200</v>
      </c>
      <c r="U1440" s="17"/>
      <c r="V1440" s="12">
        <v>815.59237904236625</v>
      </c>
      <c r="W1440" s="12">
        <v>407.79618952118312</v>
      </c>
      <c r="X1440" s="12">
        <v>407.79618952118312</v>
      </c>
      <c r="Y1440" s="18">
        <v>45810</v>
      </c>
      <c r="Z1440" s="13" t="s">
        <v>497</v>
      </c>
      <c r="AA1440" s="19" t="s">
        <v>367</v>
      </c>
      <c r="AB1440" s="13" t="s">
        <v>357</v>
      </c>
      <c r="AC1440" s="13" t="s">
        <v>367</v>
      </c>
      <c r="AD1440" s="20"/>
      <c r="AE1440" s="20"/>
      <c r="AF1440" s="13" t="s">
        <v>40</v>
      </c>
      <c r="AG1440" s="15">
        <v>45444</v>
      </c>
      <c r="AH1440" s="13" t="s">
        <v>41</v>
      </c>
      <c r="AI1440" s="13" t="s">
        <v>35</v>
      </c>
      <c r="AJ1440" s="13" t="s">
        <v>525</v>
      </c>
      <c r="AK1440" s="14">
        <v>-1</v>
      </c>
      <c r="AL1440" s="17"/>
      <c r="AM1440" s="17"/>
      <c r="AN1440" s="17"/>
      <c r="AO1440" s="17"/>
      <c r="AP1440" s="17"/>
      <c r="AQ1440" s="17"/>
      <c r="AR1440" s="17"/>
      <c r="AS1440" s="17"/>
      <c r="AT1440" s="17"/>
      <c r="AU1440" s="17"/>
      <c r="AV1440" s="17"/>
    </row>
    <row r="1441" spans="1:48" ht="15.75" customHeight="1">
      <c r="A1441" s="14" t="s">
        <v>35</v>
      </c>
      <c r="B1441" s="13" t="s">
        <v>570</v>
      </c>
      <c r="C1441" s="22">
        <v>45816</v>
      </c>
      <c r="D1441" s="97" t="s">
        <v>915</v>
      </c>
      <c r="E1441" s="23" t="s">
        <v>60</v>
      </c>
      <c r="F1441" s="14">
        <v>1</v>
      </c>
      <c r="G1441" s="12">
        <v>7000.0000000000018</v>
      </c>
      <c r="H1441" s="12">
        <v>7000.0000000000018</v>
      </c>
      <c r="I1441" s="13" t="s">
        <v>52</v>
      </c>
      <c r="J1441" s="23" t="s">
        <v>61</v>
      </c>
      <c r="K1441" s="24" t="s">
        <v>177</v>
      </c>
      <c r="L1441" s="24">
        <v>148</v>
      </c>
      <c r="M1441" s="12">
        <v>5882.3529411764721</v>
      </c>
      <c r="N1441" s="12">
        <v>5882.3529411764721</v>
      </c>
      <c r="O1441" s="12">
        <v>1117.6470588235297</v>
      </c>
      <c r="P1441" s="13"/>
      <c r="Q1441" s="14">
        <v>2025</v>
      </c>
      <c r="R1441" s="15">
        <v>45444</v>
      </c>
      <c r="S1441" s="11" t="s">
        <v>429</v>
      </c>
      <c r="T1441" s="16">
        <v>200</v>
      </c>
      <c r="U1441" s="17"/>
      <c r="V1441" s="12">
        <v>2080.6722689075641</v>
      </c>
      <c r="W1441" s="12">
        <v>1040.3361344537821</v>
      </c>
      <c r="X1441" s="12">
        <v>1040.3361344537821</v>
      </c>
      <c r="Y1441" s="18">
        <v>45810</v>
      </c>
      <c r="Z1441" s="13" t="s">
        <v>497</v>
      </c>
      <c r="AA1441" s="19" t="s">
        <v>367</v>
      </c>
      <c r="AB1441" s="13" t="s">
        <v>357</v>
      </c>
      <c r="AC1441" s="13" t="s">
        <v>367</v>
      </c>
      <c r="AD1441" s="20"/>
      <c r="AE1441" s="20"/>
      <c r="AF1441" s="13" t="s">
        <v>40</v>
      </c>
      <c r="AG1441" s="15">
        <v>45444</v>
      </c>
      <c r="AH1441" s="13" t="s">
        <v>41</v>
      </c>
      <c r="AI1441" s="13" t="s">
        <v>35</v>
      </c>
      <c r="AJ1441" s="13" t="s">
        <v>430</v>
      </c>
      <c r="AK1441" s="14">
        <v>-2</v>
      </c>
      <c r="AL1441" s="17"/>
      <c r="AM1441" s="17"/>
      <c r="AN1441" s="17"/>
      <c r="AO1441" s="17"/>
      <c r="AP1441" s="17"/>
      <c r="AQ1441" s="17"/>
      <c r="AR1441" s="17"/>
      <c r="AS1441" s="17"/>
      <c r="AT1441" s="17"/>
      <c r="AU1441" s="17"/>
      <c r="AV1441" s="17"/>
    </row>
    <row r="1442" spans="1:48" ht="15.75" customHeight="1">
      <c r="A1442" s="14" t="s">
        <v>35</v>
      </c>
      <c r="B1442" s="13" t="s">
        <v>570</v>
      </c>
      <c r="C1442" s="22">
        <v>45816</v>
      </c>
      <c r="D1442" s="97" t="s">
        <v>915</v>
      </c>
      <c r="E1442" s="23" t="s">
        <v>46</v>
      </c>
      <c r="F1442" s="14">
        <v>1</v>
      </c>
      <c r="G1442" s="12">
        <v>6000.1548227279782</v>
      </c>
      <c r="H1442" s="12">
        <v>6000.1548227279782</v>
      </c>
      <c r="I1442" s="13" t="s">
        <v>52</v>
      </c>
      <c r="J1442" s="23" t="s">
        <v>61</v>
      </c>
      <c r="K1442" s="24" t="s">
        <v>177</v>
      </c>
      <c r="L1442" s="24">
        <v>148</v>
      </c>
      <c r="M1442" s="12">
        <v>5042.1469098554444</v>
      </c>
      <c r="N1442" s="12">
        <v>5042.1469098554444</v>
      </c>
      <c r="O1442" s="12">
        <v>958.00791287253378</v>
      </c>
      <c r="P1442" s="13"/>
      <c r="Q1442" s="14">
        <v>2025</v>
      </c>
      <c r="R1442" s="15">
        <v>45444</v>
      </c>
      <c r="S1442" s="11" t="s">
        <v>364</v>
      </c>
      <c r="T1442" s="16">
        <v>500</v>
      </c>
      <c r="U1442" s="17"/>
      <c r="V1442" s="12">
        <v>1785.4242207798129</v>
      </c>
      <c r="W1442" s="12">
        <v>892.71211038990646</v>
      </c>
      <c r="X1442" s="12">
        <v>892.71211038990646</v>
      </c>
      <c r="Y1442" s="18">
        <v>45810</v>
      </c>
      <c r="Z1442" s="13" t="s">
        <v>497</v>
      </c>
      <c r="AA1442" s="19" t="s">
        <v>367</v>
      </c>
      <c r="AB1442" s="13" t="s">
        <v>357</v>
      </c>
      <c r="AC1442" s="13" t="s">
        <v>367</v>
      </c>
      <c r="AD1442" s="20"/>
      <c r="AE1442" s="20"/>
      <c r="AF1442" s="13" t="s">
        <v>40</v>
      </c>
      <c r="AG1442" s="15">
        <v>45444</v>
      </c>
      <c r="AH1442" s="13" t="s">
        <v>41</v>
      </c>
      <c r="AI1442" s="13" t="s">
        <v>35</v>
      </c>
      <c r="AJ1442" s="13" t="s">
        <v>365</v>
      </c>
      <c r="AK1442" s="14">
        <v>-0.5</v>
      </c>
      <c r="AL1442" s="17"/>
      <c r="AM1442" s="17"/>
      <c r="AN1442" s="17"/>
      <c r="AO1442" s="17"/>
      <c r="AP1442" s="17"/>
      <c r="AQ1442" s="17"/>
      <c r="AR1442" s="17"/>
      <c r="AS1442" s="17"/>
      <c r="AT1442" s="17"/>
      <c r="AU1442" s="17"/>
      <c r="AV1442" s="17"/>
    </row>
    <row r="1443" spans="1:48" ht="15.75" customHeight="1">
      <c r="A1443" s="21" t="s">
        <v>35</v>
      </c>
      <c r="B1443" s="23" t="s">
        <v>570</v>
      </c>
      <c r="C1443" s="22">
        <v>45816</v>
      </c>
      <c r="D1443" s="23" t="s">
        <v>115</v>
      </c>
      <c r="E1443" s="23" t="s">
        <v>46</v>
      </c>
      <c r="F1443" s="14">
        <v>1</v>
      </c>
      <c r="G1443" s="12">
        <v>6000.1548227279782</v>
      </c>
      <c r="H1443" s="12">
        <v>6000.1548227279782</v>
      </c>
      <c r="I1443" s="23" t="s">
        <v>52</v>
      </c>
      <c r="J1443" s="23" t="s">
        <v>61</v>
      </c>
      <c r="K1443" s="24" t="s">
        <v>177</v>
      </c>
      <c r="L1443" s="24">
        <v>148</v>
      </c>
      <c r="M1443" s="12">
        <v>5042.1469098554444</v>
      </c>
      <c r="N1443" s="12">
        <v>5042.1469098554444</v>
      </c>
      <c r="O1443" s="12">
        <v>958.00791287253378</v>
      </c>
      <c r="P1443" s="13"/>
      <c r="Q1443" s="14">
        <v>2025</v>
      </c>
      <c r="R1443" s="15">
        <v>45444</v>
      </c>
      <c r="S1443" s="11" t="s">
        <v>364</v>
      </c>
      <c r="T1443" s="16">
        <v>500</v>
      </c>
      <c r="U1443" s="17"/>
      <c r="V1443" s="12">
        <v>1785.4242207798129</v>
      </c>
      <c r="W1443" s="12">
        <v>892.71211038990646</v>
      </c>
      <c r="X1443" s="12">
        <v>892.71211038990646</v>
      </c>
      <c r="Y1443" s="18">
        <v>45810</v>
      </c>
      <c r="Z1443" s="13" t="s">
        <v>497</v>
      </c>
      <c r="AA1443" s="19" t="s">
        <v>373</v>
      </c>
      <c r="AB1443" s="13" t="s">
        <v>357</v>
      </c>
      <c r="AC1443" s="13" t="s">
        <v>383</v>
      </c>
      <c r="AD1443" s="20"/>
      <c r="AE1443" s="20"/>
      <c r="AF1443" s="13" t="s">
        <v>40</v>
      </c>
      <c r="AG1443" s="15">
        <v>45444</v>
      </c>
      <c r="AH1443" s="13" t="s">
        <v>41</v>
      </c>
      <c r="AI1443" s="13" t="s">
        <v>35</v>
      </c>
      <c r="AJ1443" s="13" t="s">
        <v>365</v>
      </c>
      <c r="AK1443" s="14">
        <v>-0.5</v>
      </c>
      <c r="AL1443" s="17"/>
      <c r="AM1443" s="17"/>
      <c r="AN1443" s="17"/>
      <c r="AO1443" s="17"/>
      <c r="AP1443" s="17"/>
      <c r="AQ1443" s="17"/>
      <c r="AR1443" s="17"/>
      <c r="AS1443" s="17"/>
      <c r="AT1443" s="17"/>
      <c r="AU1443" s="17"/>
      <c r="AV1443" s="17"/>
    </row>
    <row r="1444" spans="1:48" ht="15.75" customHeight="1">
      <c r="A1444" s="21" t="s">
        <v>43</v>
      </c>
      <c r="B1444" s="23" t="s">
        <v>570</v>
      </c>
      <c r="C1444" s="22">
        <v>45816</v>
      </c>
      <c r="D1444" s="23" t="s">
        <v>115</v>
      </c>
      <c r="E1444" s="23" t="s">
        <v>45</v>
      </c>
      <c r="F1444" s="21">
        <v>1</v>
      </c>
      <c r="G1444" s="12">
        <v>8199.8965351595689</v>
      </c>
      <c r="H1444" s="12">
        <v>8199.8965351595689</v>
      </c>
      <c r="I1444" s="23" t="s">
        <v>52</v>
      </c>
      <c r="J1444" s="23" t="s">
        <v>61</v>
      </c>
      <c r="K1444" s="24" t="s">
        <v>177</v>
      </c>
      <c r="L1444" s="24">
        <v>148</v>
      </c>
      <c r="M1444" s="12">
        <v>6890.6693572769491</v>
      </c>
      <c r="N1444" s="12">
        <v>6890.6693572769491</v>
      </c>
      <c r="O1444" s="12">
        <v>1309.2271778826198</v>
      </c>
      <c r="P1444" s="13"/>
      <c r="Q1444" s="14">
        <v>2025</v>
      </c>
      <c r="R1444" s="15">
        <v>45444</v>
      </c>
      <c r="S1444" s="11" t="s">
        <v>355</v>
      </c>
      <c r="T1444" s="16">
        <v>0</v>
      </c>
      <c r="U1444" s="17"/>
      <c r="V1444" s="12">
        <v>1296.3416261845123</v>
      </c>
      <c r="W1444" s="12">
        <v>648.17081309225614</v>
      </c>
      <c r="X1444" s="12">
        <v>648.17081309225614</v>
      </c>
      <c r="Y1444" s="18">
        <v>45810</v>
      </c>
      <c r="Z1444" s="13" t="s">
        <v>497</v>
      </c>
      <c r="AA1444" s="19" t="s">
        <v>373</v>
      </c>
      <c r="AB1444" s="13" t="s">
        <v>357</v>
      </c>
      <c r="AC1444" s="13" t="s">
        <v>383</v>
      </c>
      <c r="AD1444" s="20"/>
      <c r="AE1444" s="20"/>
      <c r="AF1444" s="13" t="s">
        <v>40</v>
      </c>
      <c r="AG1444" s="15">
        <v>45444</v>
      </c>
      <c r="AH1444" s="13" t="s">
        <v>41</v>
      </c>
      <c r="AI1444" s="13" t="s">
        <v>43</v>
      </c>
      <c r="AJ1444" s="13" t="s">
        <v>359</v>
      </c>
      <c r="AK1444" s="14">
        <v>-1</v>
      </c>
      <c r="AL1444" s="17"/>
      <c r="AM1444" s="17"/>
      <c r="AN1444" s="17"/>
      <c r="AO1444" s="17"/>
      <c r="AP1444" s="17"/>
      <c r="AQ1444" s="17"/>
      <c r="AR1444" s="17"/>
      <c r="AS1444" s="17"/>
      <c r="AT1444" s="17"/>
      <c r="AU1444" s="17"/>
      <c r="AV1444" s="17"/>
    </row>
    <row r="1445" spans="1:48" ht="15.75" customHeight="1">
      <c r="A1445" s="21" t="s">
        <v>147</v>
      </c>
      <c r="B1445" s="13" t="s">
        <v>570</v>
      </c>
      <c r="C1445" s="22">
        <v>45816</v>
      </c>
      <c r="D1445" s="23" t="s">
        <v>158</v>
      </c>
      <c r="E1445" s="23" t="s">
        <v>159</v>
      </c>
      <c r="F1445" s="21">
        <v>1</v>
      </c>
      <c r="G1445" s="12">
        <v>24000.000000000004</v>
      </c>
      <c r="H1445" s="12">
        <v>24000.000000000004</v>
      </c>
      <c r="I1445" s="13" t="s">
        <v>52</v>
      </c>
      <c r="J1445" s="23" t="s">
        <v>61</v>
      </c>
      <c r="K1445" s="24" t="s">
        <v>86</v>
      </c>
      <c r="L1445" s="24">
        <v>86</v>
      </c>
      <c r="M1445" s="12">
        <v>20168.067226890762</v>
      </c>
      <c r="N1445" s="12">
        <v>20168.067226890762</v>
      </c>
      <c r="O1445" s="12">
        <v>3831.9327731092417</v>
      </c>
      <c r="P1445" s="13"/>
      <c r="Q1445" s="14">
        <v>2025</v>
      </c>
      <c r="R1445" s="15">
        <v>45444</v>
      </c>
      <c r="S1445" s="11" t="s">
        <v>412</v>
      </c>
      <c r="T1445" s="16">
        <v>0</v>
      </c>
      <c r="U1445" s="17"/>
      <c r="V1445" s="12">
        <v>6861.3445378151282</v>
      </c>
      <c r="W1445" s="12">
        <v>3430.6722689075641</v>
      </c>
      <c r="X1445" s="12">
        <v>3430.6722689075641</v>
      </c>
      <c r="Y1445" s="18">
        <v>45810</v>
      </c>
      <c r="Z1445" s="13" t="s">
        <v>497</v>
      </c>
      <c r="AA1445" s="32" t="s">
        <v>361</v>
      </c>
      <c r="AB1445" s="33" t="s">
        <v>394</v>
      </c>
      <c r="AC1445" s="33" t="s">
        <v>509</v>
      </c>
      <c r="AD1445" s="20"/>
      <c r="AE1445" s="20"/>
      <c r="AF1445" s="13" t="s">
        <v>40</v>
      </c>
      <c r="AG1445" s="15">
        <v>45444</v>
      </c>
      <c r="AH1445" s="13" t="s">
        <v>41</v>
      </c>
      <c r="AI1445" s="13" t="s">
        <v>147</v>
      </c>
      <c r="AJ1445" s="13" t="s">
        <v>510</v>
      </c>
      <c r="AK1445" s="14">
        <v>-1</v>
      </c>
      <c r="AL1445" s="17"/>
      <c r="AM1445" s="17"/>
      <c r="AN1445" s="17"/>
      <c r="AO1445" s="17"/>
      <c r="AP1445" s="17"/>
      <c r="AQ1445" s="17"/>
      <c r="AR1445" s="17"/>
      <c r="AS1445" s="17"/>
      <c r="AT1445" s="17"/>
      <c r="AU1445" s="17"/>
      <c r="AV1445" s="17"/>
    </row>
    <row r="1446" spans="1:48" ht="15.75" customHeight="1">
      <c r="A1446" s="21" t="s">
        <v>147</v>
      </c>
      <c r="B1446" s="13" t="s">
        <v>570</v>
      </c>
      <c r="C1446" s="22">
        <v>45816</v>
      </c>
      <c r="D1446" s="23" t="s">
        <v>158</v>
      </c>
      <c r="E1446" s="23" t="s">
        <v>160</v>
      </c>
      <c r="F1446" s="21">
        <v>1</v>
      </c>
      <c r="G1446" s="26">
        <v>-500</v>
      </c>
      <c r="H1446" s="12">
        <v>-500</v>
      </c>
      <c r="I1446" s="13" t="s">
        <v>52</v>
      </c>
      <c r="J1446" s="23" t="s">
        <v>61</v>
      </c>
      <c r="K1446" s="24" t="s">
        <v>86</v>
      </c>
      <c r="L1446" s="24">
        <v>86</v>
      </c>
      <c r="M1446" s="12">
        <v>-420.1680672268908</v>
      </c>
      <c r="N1446" s="12">
        <v>-420.1680672268908</v>
      </c>
      <c r="O1446" s="12">
        <v>-79.831932773109202</v>
      </c>
      <c r="P1446" s="13"/>
      <c r="Q1446" s="14">
        <v>2025</v>
      </c>
      <c r="R1446" s="15">
        <v>45444</v>
      </c>
      <c r="S1446" s="11" t="s">
        <v>160</v>
      </c>
      <c r="T1446" s="16">
        <v>1000</v>
      </c>
      <c r="U1446" s="17"/>
      <c r="V1446" s="26">
        <v>-500</v>
      </c>
      <c r="W1446" s="12">
        <v>-250</v>
      </c>
      <c r="X1446" s="12">
        <v>-250</v>
      </c>
      <c r="Y1446" s="18">
        <v>45810</v>
      </c>
      <c r="Z1446" s="13" t="s">
        <v>497</v>
      </c>
      <c r="AA1446" s="32" t="s">
        <v>361</v>
      </c>
      <c r="AB1446" s="33" t="s">
        <v>394</v>
      </c>
      <c r="AC1446" s="33" t="s">
        <v>509</v>
      </c>
      <c r="AD1446" s="20"/>
      <c r="AE1446" s="20"/>
      <c r="AF1446" s="13" t="s">
        <v>40</v>
      </c>
      <c r="AG1446" s="15">
        <v>45444</v>
      </c>
      <c r="AH1446" s="13" t="s">
        <v>41</v>
      </c>
      <c r="AI1446" s="13" t="s">
        <v>147</v>
      </c>
      <c r="AJ1446" s="13" t="s">
        <v>160</v>
      </c>
      <c r="AK1446" s="14">
        <v>-1</v>
      </c>
      <c r="AL1446" s="17"/>
      <c r="AM1446" s="17"/>
      <c r="AN1446" s="17"/>
      <c r="AO1446" s="17"/>
      <c r="AP1446" s="17"/>
      <c r="AQ1446" s="17"/>
      <c r="AR1446" s="17"/>
      <c r="AS1446" s="17"/>
      <c r="AT1446" s="17"/>
      <c r="AU1446" s="17"/>
      <c r="AV1446" s="17"/>
    </row>
    <row r="1447" spans="1:48" ht="15.75" customHeight="1">
      <c r="A1447" s="14" t="s">
        <v>53</v>
      </c>
      <c r="B1447" s="13" t="s">
        <v>570</v>
      </c>
      <c r="C1447" s="22">
        <v>45816</v>
      </c>
      <c r="D1447" s="13" t="s">
        <v>332</v>
      </c>
      <c r="E1447" s="23" t="s">
        <v>150</v>
      </c>
      <c r="F1447" s="21">
        <v>1</v>
      </c>
      <c r="G1447" s="12">
        <v>1799.8965445892823</v>
      </c>
      <c r="H1447" s="12">
        <v>1799.8965445892823</v>
      </c>
      <c r="I1447" s="13" t="s">
        <v>52</v>
      </c>
      <c r="J1447" s="23" t="s">
        <v>61</v>
      </c>
      <c r="K1447" s="24" t="s">
        <v>177</v>
      </c>
      <c r="L1447" s="24">
        <v>148</v>
      </c>
      <c r="M1447" s="12">
        <v>1512.518104696876</v>
      </c>
      <c r="N1447" s="12">
        <v>1512.518104696876</v>
      </c>
      <c r="O1447" s="12">
        <v>287.37843989240628</v>
      </c>
      <c r="P1447" s="13"/>
      <c r="Q1447" s="14">
        <v>2025</v>
      </c>
      <c r="R1447" s="15">
        <v>45444</v>
      </c>
      <c r="S1447" s="11" t="s">
        <v>381</v>
      </c>
      <c r="T1447" s="16">
        <v>300</v>
      </c>
      <c r="U1447" s="17"/>
      <c r="V1447" s="12">
        <v>781.51810469687575</v>
      </c>
      <c r="W1447" s="12">
        <v>390.75905234843788</v>
      </c>
      <c r="X1447" s="12">
        <v>390.75905234843788</v>
      </c>
      <c r="Y1447" s="18">
        <v>45810</v>
      </c>
      <c r="Z1447" s="13" t="s">
        <v>497</v>
      </c>
      <c r="AA1447" s="32" t="s">
        <v>373</v>
      </c>
      <c r="AB1447" s="33" t="s">
        <v>357</v>
      </c>
      <c r="AC1447" s="33" t="s">
        <v>362</v>
      </c>
      <c r="AD1447" s="20"/>
      <c r="AE1447" s="20"/>
      <c r="AF1447" s="13" t="s">
        <v>40</v>
      </c>
      <c r="AG1447" s="15">
        <v>45444</v>
      </c>
      <c r="AH1447" s="13" t="s">
        <v>41</v>
      </c>
      <c r="AI1447" s="13" t="s">
        <v>53</v>
      </c>
      <c r="AJ1447" s="13" t="s">
        <v>382</v>
      </c>
      <c r="AK1447" s="14">
        <v>-1</v>
      </c>
      <c r="AL1447" s="17"/>
      <c r="AM1447" s="17"/>
      <c r="AN1447" s="17"/>
      <c r="AO1447" s="17"/>
      <c r="AP1447" s="17"/>
      <c r="AQ1447" s="17"/>
      <c r="AR1447" s="17"/>
      <c r="AS1447" s="17"/>
      <c r="AT1447" s="17"/>
      <c r="AU1447" s="17"/>
      <c r="AV1447" s="17"/>
    </row>
    <row r="1448" spans="1:48" ht="15.75" customHeight="1">
      <c r="A1448" s="14" t="s">
        <v>53</v>
      </c>
      <c r="B1448" s="13" t="s">
        <v>570</v>
      </c>
      <c r="C1448" s="22">
        <v>45816</v>
      </c>
      <c r="D1448" s="13" t="s">
        <v>332</v>
      </c>
      <c r="E1448" s="23" t="s">
        <v>597</v>
      </c>
      <c r="F1448" s="21">
        <v>2</v>
      </c>
      <c r="G1448" s="12">
        <v>20899.657134519988</v>
      </c>
      <c r="H1448" s="12">
        <v>41799.314269039976</v>
      </c>
      <c r="I1448" s="13" t="s">
        <v>52</v>
      </c>
      <c r="J1448" s="23" t="s">
        <v>61</v>
      </c>
      <c r="K1448" s="24" t="s">
        <v>177</v>
      </c>
      <c r="L1448" s="24">
        <v>148</v>
      </c>
      <c r="M1448" s="12">
        <v>17562.737087831923</v>
      </c>
      <c r="N1448" s="12">
        <v>35125.474175663847</v>
      </c>
      <c r="O1448" s="12">
        <v>6673.8400933761295</v>
      </c>
      <c r="P1448" s="13"/>
      <c r="Q1448" s="14">
        <v>2025</v>
      </c>
      <c r="R1448" s="15">
        <v>45444</v>
      </c>
      <c r="S1448" s="11" t="s">
        <v>366</v>
      </c>
      <c r="T1448" s="16">
        <v>0</v>
      </c>
      <c r="U1448" s="17"/>
      <c r="V1448" s="12">
        <v>6235.4741756638468</v>
      </c>
      <c r="W1448" s="12">
        <v>3117.7370878319234</v>
      </c>
      <c r="X1448" s="12">
        <v>3117.7370878319234</v>
      </c>
      <c r="Y1448" s="18">
        <v>45810</v>
      </c>
      <c r="Z1448" s="13" t="s">
        <v>497</v>
      </c>
      <c r="AA1448" s="32" t="s">
        <v>373</v>
      </c>
      <c r="AB1448" s="33" t="s">
        <v>357</v>
      </c>
      <c r="AC1448" s="33" t="s">
        <v>362</v>
      </c>
      <c r="AD1448" s="20"/>
      <c r="AE1448" s="20"/>
      <c r="AF1448" s="13" t="s">
        <v>40</v>
      </c>
      <c r="AG1448" s="15">
        <v>45444</v>
      </c>
      <c r="AH1448" s="13" t="s">
        <v>41</v>
      </c>
      <c r="AI1448" s="13" t="s">
        <v>53</v>
      </c>
      <c r="AJ1448" s="13" t="s">
        <v>368</v>
      </c>
      <c r="AK1448" s="14">
        <v>-16</v>
      </c>
      <c r="AL1448" s="17"/>
      <c r="AM1448" s="17"/>
      <c r="AN1448" s="17"/>
      <c r="AO1448" s="17"/>
      <c r="AP1448" s="17"/>
      <c r="AQ1448" s="17"/>
      <c r="AR1448" s="17"/>
      <c r="AS1448" s="17"/>
      <c r="AT1448" s="17"/>
      <c r="AU1448" s="17"/>
      <c r="AV1448" s="17"/>
    </row>
    <row r="1449" spans="1:48" ht="15.75" customHeight="1">
      <c r="A1449" s="14" t="s">
        <v>53</v>
      </c>
      <c r="B1449" s="13" t="s">
        <v>570</v>
      </c>
      <c r="C1449" s="22">
        <v>45816</v>
      </c>
      <c r="D1449" s="13" t="s">
        <v>332</v>
      </c>
      <c r="E1449" s="23" t="s">
        <v>160</v>
      </c>
      <c r="F1449" s="21">
        <v>2</v>
      </c>
      <c r="G1449" s="26">
        <v>-400</v>
      </c>
      <c r="H1449" s="12">
        <v>-800</v>
      </c>
      <c r="I1449" s="13" t="s">
        <v>52</v>
      </c>
      <c r="J1449" s="23" t="s">
        <v>61</v>
      </c>
      <c r="K1449" s="24" t="s">
        <v>177</v>
      </c>
      <c r="L1449" s="24">
        <v>148</v>
      </c>
      <c r="M1449" s="12">
        <v>-336.1344537815126</v>
      </c>
      <c r="N1449" s="12">
        <v>-672.26890756302521</v>
      </c>
      <c r="O1449" s="12">
        <v>-127.73109243697479</v>
      </c>
      <c r="P1449" s="13"/>
      <c r="Q1449" s="14">
        <v>2025</v>
      </c>
      <c r="R1449" s="15">
        <v>45444</v>
      </c>
      <c r="S1449" s="11" t="s">
        <v>160</v>
      </c>
      <c r="T1449" s="16">
        <v>2000</v>
      </c>
      <c r="U1449" s="17"/>
      <c r="V1449" s="26">
        <v>-800</v>
      </c>
      <c r="W1449" s="12">
        <v>-400</v>
      </c>
      <c r="X1449" s="12">
        <v>-400</v>
      </c>
      <c r="Y1449" s="18">
        <v>45810</v>
      </c>
      <c r="Z1449" s="13" t="s">
        <v>497</v>
      </c>
      <c r="AA1449" s="32" t="s">
        <v>373</v>
      </c>
      <c r="AB1449" s="33" t="s">
        <v>357</v>
      </c>
      <c r="AC1449" s="33" t="s">
        <v>362</v>
      </c>
      <c r="AD1449" s="20"/>
      <c r="AE1449" s="20"/>
      <c r="AF1449" s="13" t="s">
        <v>40</v>
      </c>
      <c r="AG1449" s="15">
        <v>45444</v>
      </c>
      <c r="AH1449" s="13" t="s">
        <v>41</v>
      </c>
      <c r="AI1449" s="13" t="s">
        <v>53</v>
      </c>
      <c r="AJ1449" s="13" t="s">
        <v>160</v>
      </c>
      <c r="AK1449" s="14">
        <v>-2</v>
      </c>
      <c r="AL1449" s="17"/>
      <c r="AM1449" s="17"/>
      <c r="AN1449" s="17"/>
      <c r="AO1449" s="17"/>
      <c r="AP1449" s="17"/>
      <c r="AQ1449" s="17"/>
      <c r="AR1449" s="17"/>
      <c r="AS1449" s="17"/>
      <c r="AT1449" s="17"/>
      <c r="AU1449" s="17"/>
      <c r="AV1449" s="17"/>
    </row>
    <row r="1450" spans="1:48" ht="15.75" customHeight="1">
      <c r="A1450" s="21" t="s">
        <v>53</v>
      </c>
      <c r="B1450" s="23" t="s">
        <v>570</v>
      </c>
      <c r="C1450" s="22">
        <v>45816</v>
      </c>
      <c r="D1450" s="23" t="s">
        <v>332</v>
      </c>
      <c r="E1450" s="23" t="s">
        <v>326</v>
      </c>
      <c r="F1450" s="21">
        <v>1</v>
      </c>
      <c r="G1450" s="12">
        <v>7600.2445509220424</v>
      </c>
      <c r="H1450" s="12">
        <v>7600.2445509220424</v>
      </c>
      <c r="I1450" s="23" t="s">
        <v>52</v>
      </c>
      <c r="J1450" s="23" t="s">
        <v>61</v>
      </c>
      <c r="K1450" s="24" t="s">
        <v>177</v>
      </c>
      <c r="L1450" s="24">
        <v>148</v>
      </c>
      <c r="M1450" s="12">
        <v>6386.7601268252456</v>
      </c>
      <c r="N1450" s="12">
        <v>6386.7601268252456</v>
      </c>
      <c r="O1450" s="12">
        <v>1213.4844240967968</v>
      </c>
      <c r="P1450" s="13"/>
      <c r="Q1450" s="14">
        <v>2025</v>
      </c>
      <c r="R1450" s="15">
        <v>45444</v>
      </c>
      <c r="S1450" s="11" t="s">
        <v>410</v>
      </c>
      <c r="T1450" s="16">
        <v>0</v>
      </c>
      <c r="U1450" s="17"/>
      <c r="V1450" s="12">
        <v>1894.7601268252456</v>
      </c>
      <c r="W1450" s="12">
        <v>947.3800634126228</v>
      </c>
      <c r="X1450" s="12">
        <v>947.3800634126228</v>
      </c>
      <c r="Y1450" s="18">
        <v>45810</v>
      </c>
      <c r="Z1450" s="13" t="s">
        <v>497</v>
      </c>
      <c r="AA1450" s="19" t="s">
        <v>373</v>
      </c>
      <c r="AB1450" s="13" t="s">
        <v>357</v>
      </c>
      <c r="AC1450" s="13" t="s">
        <v>362</v>
      </c>
      <c r="AD1450" s="20"/>
      <c r="AE1450" s="20"/>
      <c r="AF1450" s="13" t="s">
        <v>40</v>
      </c>
      <c r="AG1450" s="15">
        <v>45444</v>
      </c>
      <c r="AH1450" s="13" t="s">
        <v>41</v>
      </c>
      <c r="AI1450" s="13" t="s">
        <v>53</v>
      </c>
      <c r="AJ1450" s="13" t="s">
        <v>411</v>
      </c>
      <c r="AK1450" s="14">
        <v>-4</v>
      </c>
      <c r="AL1450" s="17"/>
      <c r="AM1450" s="17"/>
      <c r="AN1450" s="17"/>
      <c r="AO1450" s="17"/>
      <c r="AP1450" s="17"/>
      <c r="AQ1450" s="17"/>
      <c r="AR1450" s="17"/>
      <c r="AS1450" s="17"/>
      <c r="AT1450" s="17"/>
      <c r="AU1450" s="17"/>
      <c r="AV1450" s="17"/>
    </row>
    <row r="1451" spans="1:48" ht="15.75" customHeight="1">
      <c r="A1451" s="21" t="s">
        <v>43</v>
      </c>
      <c r="B1451" s="23" t="s">
        <v>570</v>
      </c>
      <c r="C1451" s="22">
        <v>45816</v>
      </c>
      <c r="D1451" s="23" t="s">
        <v>120</v>
      </c>
      <c r="E1451" s="23" t="s">
        <v>45</v>
      </c>
      <c r="F1451" s="21">
        <v>2</v>
      </c>
      <c r="G1451" s="12">
        <v>8199.8965351595689</v>
      </c>
      <c r="H1451" s="12">
        <v>16399.793070319138</v>
      </c>
      <c r="I1451" s="23" t="s">
        <v>52</v>
      </c>
      <c r="J1451" s="23" t="s">
        <v>61</v>
      </c>
      <c r="K1451" s="24" t="s">
        <v>177</v>
      </c>
      <c r="L1451" s="24">
        <v>148</v>
      </c>
      <c r="M1451" s="12">
        <v>6890.6693572769491</v>
      </c>
      <c r="N1451" s="12">
        <v>13781.338714553898</v>
      </c>
      <c r="O1451" s="12">
        <v>2618.4543557652396</v>
      </c>
      <c r="P1451" s="13"/>
      <c r="Q1451" s="14">
        <v>2025</v>
      </c>
      <c r="R1451" s="15">
        <v>45444</v>
      </c>
      <c r="S1451" s="11" t="s">
        <v>355</v>
      </c>
      <c r="T1451" s="16">
        <v>0</v>
      </c>
      <c r="U1451" s="17"/>
      <c r="V1451" s="12">
        <v>2592.6832523690246</v>
      </c>
      <c r="W1451" s="12">
        <v>1296.3416261845123</v>
      </c>
      <c r="X1451" s="12">
        <v>1296.3416261845123</v>
      </c>
      <c r="Y1451" s="18">
        <v>45810</v>
      </c>
      <c r="Z1451" s="13" t="s">
        <v>497</v>
      </c>
      <c r="AA1451" s="19" t="s">
        <v>373</v>
      </c>
      <c r="AB1451" s="13" t="s">
        <v>357</v>
      </c>
      <c r="AC1451" s="13" t="s">
        <v>383</v>
      </c>
      <c r="AD1451" s="20"/>
      <c r="AE1451" s="20"/>
      <c r="AF1451" s="13" t="s">
        <v>40</v>
      </c>
      <c r="AG1451" s="15">
        <v>45444</v>
      </c>
      <c r="AH1451" s="13" t="s">
        <v>41</v>
      </c>
      <c r="AI1451" s="13" t="s">
        <v>43</v>
      </c>
      <c r="AJ1451" s="13" t="s">
        <v>359</v>
      </c>
      <c r="AK1451" s="14">
        <v>-2</v>
      </c>
      <c r="AL1451" s="17"/>
      <c r="AM1451" s="17"/>
      <c r="AN1451" s="17"/>
      <c r="AO1451" s="17"/>
      <c r="AP1451" s="17"/>
      <c r="AQ1451" s="17"/>
      <c r="AR1451" s="17"/>
      <c r="AS1451" s="17"/>
      <c r="AT1451" s="17"/>
      <c r="AU1451" s="17"/>
      <c r="AV1451" s="17"/>
    </row>
    <row r="1452" spans="1:48" ht="15.75" customHeight="1">
      <c r="A1452" s="14" t="s">
        <v>35</v>
      </c>
      <c r="B1452" s="13" t="s">
        <v>570</v>
      </c>
      <c r="C1452" s="22">
        <v>45816</v>
      </c>
      <c r="D1452" s="23" t="s">
        <v>120</v>
      </c>
      <c r="E1452" s="23" t="s">
        <v>37</v>
      </c>
      <c r="F1452" s="14">
        <v>1</v>
      </c>
      <c r="G1452" s="12">
        <v>11000.014358944907</v>
      </c>
      <c r="H1452" s="12">
        <v>11000.014358944907</v>
      </c>
      <c r="I1452" s="13" t="s">
        <v>52</v>
      </c>
      <c r="J1452" s="23" t="s">
        <v>61</v>
      </c>
      <c r="K1452" s="24" t="s">
        <v>177</v>
      </c>
      <c r="L1452" s="24">
        <v>148</v>
      </c>
      <c r="M1452" s="12">
        <v>9243.7095453318543</v>
      </c>
      <c r="N1452" s="12">
        <v>9243.7095453318543</v>
      </c>
      <c r="O1452" s="12">
        <v>1756.3048136130528</v>
      </c>
      <c r="P1452" s="13"/>
      <c r="Q1452" s="14">
        <v>2025</v>
      </c>
      <c r="R1452" s="15">
        <v>45444</v>
      </c>
      <c r="S1452" s="11" t="s">
        <v>364</v>
      </c>
      <c r="T1452" s="16">
        <v>1000</v>
      </c>
      <c r="U1452" s="17"/>
      <c r="V1452" s="12">
        <v>2806.1129066763915</v>
      </c>
      <c r="W1452" s="12">
        <v>1403.0564533381958</v>
      </c>
      <c r="X1452" s="12">
        <v>1403.0564533381958</v>
      </c>
      <c r="Y1452" s="18">
        <v>45810</v>
      </c>
      <c r="Z1452" s="13" t="s">
        <v>497</v>
      </c>
      <c r="AA1452" s="19" t="s">
        <v>373</v>
      </c>
      <c r="AB1452" s="13" t="s">
        <v>357</v>
      </c>
      <c r="AC1452" s="13" t="s">
        <v>383</v>
      </c>
      <c r="AD1452" s="20"/>
      <c r="AE1452" s="20"/>
      <c r="AF1452" s="13" t="s">
        <v>40</v>
      </c>
      <c r="AG1452" s="15">
        <v>45444</v>
      </c>
      <c r="AH1452" s="13" t="s">
        <v>41</v>
      </c>
      <c r="AI1452" s="13" t="s">
        <v>35</v>
      </c>
      <c r="AJ1452" s="13" t="s">
        <v>365</v>
      </c>
      <c r="AK1452" s="14">
        <v>-1</v>
      </c>
      <c r="AL1452" s="17"/>
      <c r="AM1452" s="17"/>
      <c r="AN1452" s="17"/>
      <c r="AO1452" s="17"/>
      <c r="AP1452" s="17"/>
      <c r="AQ1452" s="17"/>
      <c r="AR1452" s="17"/>
      <c r="AS1452" s="17"/>
      <c r="AT1452" s="17"/>
      <c r="AU1452" s="17"/>
      <c r="AV1452" s="17"/>
    </row>
    <row r="1453" spans="1:48" ht="15.75" customHeight="1">
      <c r="A1453" s="21" t="s">
        <v>35</v>
      </c>
      <c r="B1453" s="23" t="s">
        <v>570</v>
      </c>
      <c r="C1453" s="22">
        <v>45816</v>
      </c>
      <c r="D1453" s="23" t="s">
        <v>232</v>
      </c>
      <c r="E1453" s="23" t="s">
        <v>46</v>
      </c>
      <c r="F1453" s="14">
        <v>1</v>
      </c>
      <c r="G1453" s="12">
        <v>6000.1548227279782</v>
      </c>
      <c r="H1453" s="12">
        <v>6000.1548227279782</v>
      </c>
      <c r="I1453" s="23" t="s">
        <v>52</v>
      </c>
      <c r="J1453" s="23" t="s">
        <v>61</v>
      </c>
      <c r="K1453" s="24" t="s">
        <v>177</v>
      </c>
      <c r="L1453" s="24">
        <v>148</v>
      </c>
      <c r="M1453" s="12">
        <v>5042.1469098554444</v>
      </c>
      <c r="N1453" s="12">
        <v>5042.1469098554444</v>
      </c>
      <c r="O1453" s="12">
        <v>958.00791287253378</v>
      </c>
      <c r="P1453" s="13"/>
      <c r="Q1453" s="14">
        <v>2025</v>
      </c>
      <c r="R1453" s="15">
        <v>45444</v>
      </c>
      <c r="S1453" s="11" t="s">
        <v>364</v>
      </c>
      <c r="T1453" s="16">
        <v>500</v>
      </c>
      <c r="U1453" s="17"/>
      <c r="V1453" s="12">
        <v>1785.4242207798129</v>
      </c>
      <c r="W1453" s="12">
        <v>892.71211038990646</v>
      </c>
      <c r="X1453" s="12">
        <v>892.71211038990646</v>
      </c>
      <c r="Y1453" s="18">
        <v>45810</v>
      </c>
      <c r="Z1453" s="13" t="s">
        <v>497</v>
      </c>
      <c r="AA1453" s="19" t="s">
        <v>356</v>
      </c>
      <c r="AB1453" s="13" t="s">
        <v>357</v>
      </c>
      <c r="AC1453" s="13" t="s">
        <v>358</v>
      </c>
      <c r="AD1453" s="20"/>
      <c r="AE1453" s="20"/>
      <c r="AF1453" s="13" t="s">
        <v>40</v>
      </c>
      <c r="AG1453" s="15">
        <v>45444</v>
      </c>
      <c r="AH1453" s="13" t="s">
        <v>41</v>
      </c>
      <c r="AI1453" s="13" t="s">
        <v>35</v>
      </c>
      <c r="AJ1453" s="13" t="s">
        <v>365</v>
      </c>
      <c r="AK1453" s="14">
        <v>-0.5</v>
      </c>
      <c r="AL1453" s="17"/>
      <c r="AM1453" s="17"/>
      <c r="AN1453" s="17"/>
      <c r="AO1453" s="17"/>
      <c r="AP1453" s="17"/>
      <c r="AQ1453" s="17"/>
      <c r="AR1453" s="17"/>
      <c r="AS1453" s="17"/>
      <c r="AT1453" s="17"/>
      <c r="AU1453" s="17"/>
      <c r="AV1453" s="17"/>
    </row>
    <row r="1454" spans="1:48" ht="15.75" customHeight="1">
      <c r="A1454" s="21" t="s">
        <v>35</v>
      </c>
      <c r="B1454" s="23" t="s">
        <v>570</v>
      </c>
      <c r="C1454" s="22">
        <v>45816</v>
      </c>
      <c r="D1454" s="23" t="s">
        <v>598</v>
      </c>
      <c r="E1454" s="23" t="s">
        <v>46</v>
      </c>
      <c r="F1454" s="14">
        <v>1</v>
      </c>
      <c r="G1454" s="12">
        <v>6000.1548227279782</v>
      </c>
      <c r="H1454" s="12">
        <v>6000.1548227279782</v>
      </c>
      <c r="I1454" s="23" t="s">
        <v>52</v>
      </c>
      <c r="J1454" s="23" t="s">
        <v>61</v>
      </c>
      <c r="K1454" s="24" t="s">
        <v>177</v>
      </c>
      <c r="L1454" s="24">
        <v>148</v>
      </c>
      <c r="M1454" s="12">
        <v>5042.1469098554444</v>
      </c>
      <c r="N1454" s="12">
        <v>5042.1469098554444</v>
      </c>
      <c r="O1454" s="12">
        <v>958.00791287253378</v>
      </c>
      <c r="P1454" s="13"/>
      <c r="Q1454" s="14">
        <v>2025</v>
      </c>
      <c r="R1454" s="15">
        <v>45444</v>
      </c>
      <c r="S1454" s="11" t="s">
        <v>364</v>
      </c>
      <c r="T1454" s="16">
        <v>500</v>
      </c>
      <c r="U1454" s="17"/>
      <c r="V1454" s="12">
        <v>1785.4242207798129</v>
      </c>
      <c r="W1454" s="12">
        <v>892.71211038990646</v>
      </c>
      <c r="X1454" s="12">
        <v>892.71211038990646</v>
      </c>
      <c r="Y1454" s="18">
        <v>45810</v>
      </c>
      <c r="Z1454" s="13" t="s">
        <v>497</v>
      </c>
      <c r="AA1454" s="19" t="s">
        <v>373</v>
      </c>
      <c r="AB1454" s="13" t="s">
        <v>357</v>
      </c>
      <c r="AC1454" s="13" t="s">
        <v>599</v>
      </c>
      <c r="AD1454" s="20"/>
      <c r="AE1454" s="20"/>
      <c r="AF1454" s="13" t="s">
        <v>40</v>
      </c>
      <c r="AG1454" s="15">
        <v>45444</v>
      </c>
      <c r="AH1454" s="13" t="s">
        <v>41</v>
      </c>
      <c r="AI1454" s="13" t="s">
        <v>35</v>
      </c>
      <c r="AJ1454" s="13" t="s">
        <v>365</v>
      </c>
      <c r="AK1454" s="14">
        <v>-0.5</v>
      </c>
      <c r="AL1454" s="17"/>
      <c r="AM1454" s="17"/>
      <c r="AN1454" s="17"/>
      <c r="AO1454" s="17"/>
      <c r="AP1454" s="17"/>
      <c r="AQ1454" s="17"/>
      <c r="AR1454" s="17"/>
      <c r="AS1454" s="17"/>
      <c r="AT1454" s="17"/>
      <c r="AU1454" s="17"/>
      <c r="AV1454" s="17"/>
    </row>
    <row r="1455" spans="1:48" ht="15.75" customHeight="1">
      <c r="A1455" s="21" t="s">
        <v>43</v>
      </c>
      <c r="B1455" s="23" t="s">
        <v>570</v>
      </c>
      <c r="C1455" s="22">
        <v>45816</v>
      </c>
      <c r="D1455" s="23" t="s">
        <v>598</v>
      </c>
      <c r="E1455" s="23" t="s">
        <v>45</v>
      </c>
      <c r="F1455" s="14">
        <v>1</v>
      </c>
      <c r="G1455" s="12">
        <v>8199.8965351595689</v>
      </c>
      <c r="H1455" s="12">
        <v>8199.8965351595689</v>
      </c>
      <c r="I1455" s="23" t="s">
        <v>52</v>
      </c>
      <c r="J1455" s="23" t="s">
        <v>61</v>
      </c>
      <c r="K1455" s="24" t="s">
        <v>177</v>
      </c>
      <c r="L1455" s="24">
        <v>148</v>
      </c>
      <c r="M1455" s="12">
        <v>6890.6693572769491</v>
      </c>
      <c r="N1455" s="12">
        <v>6890.6693572769491</v>
      </c>
      <c r="O1455" s="12">
        <v>1309.2271778826198</v>
      </c>
      <c r="P1455" s="13"/>
      <c r="Q1455" s="14">
        <v>2025</v>
      </c>
      <c r="R1455" s="15">
        <v>45444</v>
      </c>
      <c r="S1455" s="11" t="s">
        <v>355</v>
      </c>
      <c r="T1455" s="16">
        <v>0</v>
      </c>
      <c r="U1455" s="17"/>
      <c r="V1455" s="12">
        <v>1296.3416261845123</v>
      </c>
      <c r="W1455" s="12">
        <v>648.17081309225614</v>
      </c>
      <c r="X1455" s="12">
        <v>648.17081309225614</v>
      </c>
      <c r="Y1455" s="18">
        <v>45810</v>
      </c>
      <c r="Z1455" s="13" t="s">
        <v>497</v>
      </c>
      <c r="AA1455" s="19" t="s">
        <v>373</v>
      </c>
      <c r="AB1455" s="13" t="s">
        <v>357</v>
      </c>
      <c r="AC1455" s="13" t="s">
        <v>599</v>
      </c>
      <c r="AD1455" s="20"/>
      <c r="AE1455" s="20"/>
      <c r="AF1455" s="13" t="s">
        <v>40</v>
      </c>
      <c r="AG1455" s="15">
        <v>45444</v>
      </c>
      <c r="AH1455" s="13" t="s">
        <v>41</v>
      </c>
      <c r="AI1455" s="13" t="s">
        <v>43</v>
      </c>
      <c r="AJ1455" s="13" t="s">
        <v>359</v>
      </c>
      <c r="AK1455" s="14">
        <v>-1</v>
      </c>
      <c r="AL1455" s="17"/>
      <c r="AM1455" s="17"/>
      <c r="AN1455" s="17"/>
      <c r="AO1455" s="17"/>
      <c r="AP1455" s="17"/>
      <c r="AQ1455" s="17"/>
      <c r="AR1455" s="17"/>
      <c r="AS1455" s="17"/>
      <c r="AT1455" s="17"/>
      <c r="AU1455" s="17"/>
      <c r="AV1455" s="17"/>
    </row>
    <row r="1456" spans="1:48" ht="15.75" customHeight="1">
      <c r="A1456" s="21" t="s">
        <v>53</v>
      </c>
      <c r="B1456" s="23" t="s">
        <v>1692</v>
      </c>
      <c r="C1456" s="25">
        <v>45814</v>
      </c>
      <c r="D1456" s="23" t="s">
        <v>329</v>
      </c>
      <c r="E1456" s="23" t="s">
        <v>109</v>
      </c>
      <c r="F1456" s="14">
        <v>1</v>
      </c>
      <c r="G1456" s="12">
        <v>10000</v>
      </c>
      <c r="H1456" s="12">
        <v>10000</v>
      </c>
      <c r="I1456" s="23" t="s">
        <v>52</v>
      </c>
      <c r="J1456" s="23" t="s">
        <v>61</v>
      </c>
      <c r="K1456" s="24" t="s">
        <v>177</v>
      </c>
      <c r="L1456" s="24">
        <v>148</v>
      </c>
      <c r="M1456" s="12">
        <v>8403.361344537816</v>
      </c>
      <c r="N1456" s="12">
        <v>8403.361344537816</v>
      </c>
      <c r="O1456" s="12">
        <v>1596.638655462184</v>
      </c>
      <c r="P1456" s="13"/>
      <c r="Q1456" s="14">
        <v>2025</v>
      </c>
      <c r="R1456" s="15">
        <v>45444</v>
      </c>
      <c r="S1456" s="11" t="s">
        <v>395</v>
      </c>
      <c r="T1456" s="16">
        <v>400</v>
      </c>
      <c r="U1456" s="17"/>
      <c r="V1456" s="12">
        <v>2100.8403361344544</v>
      </c>
      <c r="W1456" s="12">
        <v>2100.8403361344544</v>
      </c>
      <c r="X1456" s="12">
        <v>0</v>
      </c>
      <c r="Y1456" s="18">
        <v>45810</v>
      </c>
      <c r="Z1456" s="13" t="s">
        <v>503</v>
      </c>
      <c r="AA1456" s="19" t="s">
        <v>373</v>
      </c>
      <c r="AB1456" s="13" t="s">
        <v>357</v>
      </c>
      <c r="AC1456" s="13" t="s">
        <v>532</v>
      </c>
      <c r="AD1456" s="20"/>
      <c r="AE1456" s="20"/>
      <c r="AF1456" s="13" t="s">
        <v>40</v>
      </c>
      <c r="AG1456" s="15">
        <v>45444</v>
      </c>
      <c r="AH1456" s="13" t="s">
        <v>41</v>
      </c>
      <c r="AI1456" s="13" t="s">
        <v>53</v>
      </c>
      <c r="AJ1456" s="13" t="s">
        <v>396</v>
      </c>
      <c r="AK1456" s="14">
        <v>-4</v>
      </c>
      <c r="AL1456" s="17"/>
      <c r="AM1456" s="17"/>
      <c r="AN1456" s="17"/>
      <c r="AO1456" s="17"/>
      <c r="AP1456" s="17"/>
      <c r="AQ1456" s="17"/>
      <c r="AR1456" s="17"/>
      <c r="AS1456" s="17"/>
      <c r="AT1456" s="17"/>
      <c r="AU1456" s="17"/>
      <c r="AV1456" s="17"/>
    </row>
    <row r="1457" spans="1:48" ht="15.75" customHeight="1">
      <c r="A1457" s="21" t="s">
        <v>43</v>
      </c>
      <c r="B1457" s="23" t="s">
        <v>1692</v>
      </c>
      <c r="C1457" s="25">
        <v>45814</v>
      </c>
      <c r="D1457" s="23" t="s">
        <v>329</v>
      </c>
      <c r="E1457" s="23" t="s">
        <v>45</v>
      </c>
      <c r="F1457" s="14">
        <v>1</v>
      </c>
      <c r="G1457" s="12">
        <v>8199.8965351595689</v>
      </c>
      <c r="H1457" s="12">
        <v>8199.8965351595689</v>
      </c>
      <c r="I1457" s="23" t="s">
        <v>52</v>
      </c>
      <c r="J1457" s="23" t="s">
        <v>61</v>
      </c>
      <c r="K1457" s="24" t="s">
        <v>177</v>
      </c>
      <c r="L1457" s="24">
        <v>148</v>
      </c>
      <c r="M1457" s="12">
        <v>6890.6693572769491</v>
      </c>
      <c r="N1457" s="12">
        <v>6890.6693572769491</v>
      </c>
      <c r="O1457" s="12">
        <v>1309.2271778826198</v>
      </c>
      <c r="P1457" s="13"/>
      <c r="Q1457" s="14">
        <v>2025</v>
      </c>
      <c r="R1457" s="15">
        <v>45444</v>
      </c>
      <c r="S1457" s="11" t="s">
        <v>355</v>
      </c>
      <c r="T1457" s="16">
        <v>0</v>
      </c>
      <c r="U1457" s="17"/>
      <c r="V1457" s="12">
        <v>1296.3416261845123</v>
      </c>
      <c r="W1457" s="12">
        <v>1296.3416261845123</v>
      </c>
      <c r="X1457" s="12">
        <v>0</v>
      </c>
      <c r="Y1457" s="18">
        <v>45810</v>
      </c>
      <c r="Z1457" s="13" t="s">
        <v>503</v>
      </c>
      <c r="AA1457" s="19" t="s">
        <v>373</v>
      </c>
      <c r="AB1457" s="13" t="s">
        <v>357</v>
      </c>
      <c r="AC1457" s="13" t="s">
        <v>532</v>
      </c>
      <c r="AD1457" s="20"/>
      <c r="AE1457" s="20"/>
      <c r="AF1457" s="13" t="s">
        <v>40</v>
      </c>
      <c r="AG1457" s="15">
        <v>45444</v>
      </c>
      <c r="AH1457" s="13" t="s">
        <v>41</v>
      </c>
      <c r="AI1457" s="13" t="s">
        <v>43</v>
      </c>
      <c r="AJ1457" s="13" t="s">
        <v>359</v>
      </c>
      <c r="AK1457" s="14">
        <v>-1</v>
      </c>
      <c r="AL1457" s="17"/>
      <c r="AM1457" s="17"/>
      <c r="AN1457" s="17"/>
      <c r="AO1457" s="17"/>
      <c r="AP1457" s="17"/>
      <c r="AQ1457" s="17"/>
      <c r="AR1457" s="17"/>
      <c r="AS1457" s="17"/>
      <c r="AT1457" s="17"/>
      <c r="AU1457" s="17"/>
      <c r="AV1457" s="17"/>
    </row>
    <row r="1458" spans="1:48" ht="15.75" customHeight="1">
      <c r="A1458" s="21" t="s">
        <v>43</v>
      </c>
      <c r="B1458" s="23" t="s">
        <v>1692</v>
      </c>
      <c r="C1458" s="25">
        <v>45814</v>
      </c>
      <c r="D1458" s="23" t="s">
        <v>270</v>
      </c>
      <c r="E1458" s="23" t="s">
        <v>45</v>
      </c>
      <c r="F1458" s="14">
        <v>1</v>
      </c>
      <c r="G1458" s="12">
        <v>8199.8965351595689</v>
      </c>
      <c r="H1458" s="12">
        <v>8199.8965351595689</v>
      </c>
      <c r="I1458" s="23" t="s">
        <v>52</v>
      </c>
      <c r="J1458" s="23" t="s">
        <v>61</v>
      </c>
      <c r="K1458" s="24" t="s">
        <v>177</v>
      </c>
      <c r="L1458" s="24">
        <v>148</v>
      </c>
      <c r="M1458" s="12">
        <v>6890.6693572769491</v>
      </c>
      <c r="N1458" s="12">
        <v>6890.6693572769491</v>
      </c>
      <c r="O1458" s="12">
        <v>1309.2271778826198</v>
      </c>
      <c r="P1458" s="13"/>
      <c r="Q1458" s="14">
        <v>2025</v>
      </c>
      <c r="R1458" s="15">
        <v>45444</v>
      </c>
      <c r="S1458" s="11" t="s">
        <v>355</v>
      </c>
      <c r="T1458" s="16">
        <v>0</v>
      </c>
      <c r="U1458" s="17"/>
      <c r="V1458" s="12">
        <v>1296.3416261845123</v>
      </c>
      <c r="W1458" s="12">
        <v>1296.3416261845123</v>
      </c>
      <c r="X1458" s="12">
        <v>0</v>
      </c>
      <c r="Y1458" s="18">
        <v>45810</v>
      </c>
      <c r="Z1458" s="13" t="s">
        <v>503</v>
      </c>
      <c r="AA1458" s="19" t="s">
        <v>367</v>
      </c>
      <c r="AB1458" s="13" t="s">
        <v>357</v>
      </c>
      <c r="AC1458" s="13" t="s">
        <v>367</v>
      </c>
      <c r="AD1458" s="20"/>
      <c r="AE1458" s="20"/>
      <c r="AF1458" s="13" t="s">
        <v>40</v>
      </c>
      <c r="AG1458" s="15">
        <v>45444</v>
      </c>
      <c r="AH1458" s="13" t="s">
        <v>41</v>
      </c>
      <c r="AI1458" s="13" t="s">
        <v>43</v>
      </c>
      <c r="AJ1458" s="13" t="s">
        <v>359</v>
      </c>
      <c r="AK1458" s="14">
        <v>-1</v>
      </c>
      <c r="AL1458" s="17"/>
      <c r="AM1458" s="17"/>
      <c r="AN1458" s="17"/>
      <c r="AO1458" s="17"/>
      <c r="AP1458" s="17"/>
      <c r="AQ1458" s="17"/>
      <c r="AR1458" s="17"/>
      <c r="AS1458" s="17"/>
      <c r="AT1458" s="17"/>
      <c r="AU1458" s="17"/>
      <c r="AV1458" s="17"/>
    </row>
    <row r="1459" spans="1:48" ht="15.75" customHeight="1">
      <c r="A1459" s="21" t="s">
        <v>43</v>
      </c>
      <c r="B1459" s="23" t="s">
        <v>1692</v>
      </c>
      <c r="C1459" s="25">
        <v>45814</v>
      </c>
      <c r="D1459" s="23" t="s">
        <v>915</v>
      </c>
      <c r="E1459" s="23" t="s">
        <v>45</v>
      </c>
      <c r="F1459" s="14">
        <v>1</v>
      </c>
      <c r="G1459" s="12">
        <v>8199.8965351595689</v>
      </c>
      <c r="H1459" s="12">
        <v>8199.8965351595689</v>
      </c>
      <c r="I1459" s="23" t="s">
        <v>52</v>
      </c>
      <c r="J1459" s="23" t="s">
        <v>61</v>
      </c>
      <c r="K1459" s="24" t="s">
        <v>177</v>
      </c>
      <c r="L1459" s="24">
        <v>148</v>
      </c>
      <c r="M1459" s="12">
        <v>6890.6693572769491</v>
      </c>
      <c r="N1459" s="12">
        <v>6890.6693572769491</v>
      </c>
      <c r="O1459" s="12">
        <v>1309.2271778826198</v>
      </c>
      <c r="P1459" s="13"/>
      <c r="Q1459" s="14">
        <v>2025</v>
      </c>
      <c r="R1459" s="15">
        <v>45444</v>
      </c>
      <c r="S1459" s="11" t="s">
        <v>355</v>
      </c>
      <c r="T1459" s="16">
        <v>0</v>
      </c>
      <c r="U1459" s="17"/>
      <c r="V1459" s="12">
        <v>1296.3416261845123</v>
      </c>
      <c r="W1459" s="12">
        <v>1296.3416261845123</v>
      </c>
      <c r="X1459" s="12">
        <v>0</v>
      </c>
      <c r="Y1459" s="18">
        <v>45810</v>
      </c>
      <c r="Z1459" s="13" t="s">
        <v>503</v>
      </c>
      <c r="AA1459" s="19" t="s">
        <v>367</v>
      </c>
      <c r="AB1459" s="13" t="s">
        <v>357</v>
      </c>
      <c r="AC1459" s="13" t="s">
        <v>367</v>
      </c>
      <c r="AD1459" s="20"/>
      <c r="AE1459" s="20"/>
      <c r="AF1459" s="13" t="s">
        <v>40</v>
      </c>
      <c r="AG1459" s="15">
        <v>45444</v>
      </c>
      <c r="AH1459" s="13" t="s">
        <v>41</v>
      </c>
      <c r="AI1459" s="13" t="s">
        <v>43</v>
      </c>
      <c r="AJ1459" s="13" t="s">
        <v>359</v>
      </c>
      <c r="AK1459" s="14">
        <v>-1</v>
      </c>
      <c r="AL1459" s="17"/>
      <c r="AM1459" s="17"/>
      <c r="AN1459" s="17"/>
      <c r="AO1459" s="17"/>
      <c r="AP1459" s="17"/>
      <c r="AQ1459" s="17"/>
      <c r="AR1459" s="17"/>
      <c r="AS1459" s="17"/>
      <c r="AT1459" s="17"/>
      <c r="AU1459" s="17"/>
      <c r="AV1459" s="17"/>
    </row>
    <row r="1460" spans="1:48" ht="15.75" customHeight="1">
      <c r="A1460" s="21" t="s">
        <v>73</v>
      </c>
      <c r="B1460" s="23" t="s">
        <v>1692</v>
      </c>
      <c r="C1460" s="25">
        <v>45814</v>
      </c>
      <c r="D1460" s="23" t="s">
        <v>151</v>
      </c>
      <c r="E1460" s="23" t="s">
        <v>300</v>
      </c>
      <c r="F1460" s="14">
        <v>1</v>
      </c>
      <c r="G1460" s="12">
        <v>1600</v>
      </c>
      <c r="H1460" s="12">
        <v>1600</v>
      </c>
      <c r="I1460" s="23" t="s">
        <v>52</v>
      </c>
      <c r="J1460" s="23" t="s">
        <v>61</v>
      </c>
      <c r="K1460" s="24" t="s">
        <v>177</v>
      </c>
      <c r="L1460" s="24">
        <v>148</v>
      </c>
      <c r="M1460" s="12">
        <v>1344.5378151260504</v>
      </c>
      <c r="N1460" s="12">
        <v>1344.5378151260504</v>
      </c>
      <c r="O1460" s="12">
        <v>255.46218487394958</v>
      </c>
      <c r="P1460" s="13"/>
      <c r="Q1460" s="14">
        <v>2025</v>
      </c>
      <c r="R1460" s="15">
        <v>45444</v>
      </c>
      <c r="S1460" s="11" t="s">
        <v>559</v>
      </c>
      <c r="T1460" s="16">
        <v>0</v>
      </c>
      <c r="U1460" s="17"/>
      <c r="V1460" s="12">
        <v>638.65546218487395</v>
      </c>
      <c r="W1460" s="12">
        <v>638.65546218487395</v>
      </c>
      <c r="X1460" s="12">
        <v>0</v>
      </c>
      <c r="Y1460" s="18">
        <v>45810</v>
      </c>
      <c r="Z1460" s="13" t="s">
        <v>503</v>
      </c>
      <c r="AA1460" s="19" t="s">
        <v>373</v>
      </c>
      <c r="AB1460" s="13" t="s">
        <v>357</v>
      </c>
      <c r="AC1460" s="13" t="s">
        <v>462</v>
      </c>
      <c r="AD1460" s="20"/>
      <c r="AE1460" s="20"/>
      <c r="AF1460" s="13" t="s">
        <v>40</v>
      </c>
      <c r="AG1460" s="15">
        <v>45444</v>
      </c>
      <c r="AH1460" s="13" t="s">
        <v>41</v>
      </c>
      <c r="AI1460" s="13" t="s">
        <v>73</v>
      </c>
      <c r="AJ1460" s="13" t="s">
        <v>561</v>
      </c>
      <c r="AK1460" s="14">
        <v>-1</v>
      </c>
      <c r="AL1460" s="17"/>
      <c r="AM1460" s="17"/>
      <c r="AN1460" s="17"/>
      <c r="AO1460" s="17"/>
      <c r="AP1460" s="17"/>
      <c r="AQ1460" s="17"/>
      <c r="AR1460" s="17"/>
      <c r="AS1460" s="17"/>
      <c r="AT1460" s="17"/>
      <c r="AU1460" s="17"/>
      <c r="AV1460" s="17"/>
    </row>
    <row r="1461" spans="1:48" ht="15.75" customHeight="1">
      <c r="A1461" s="21" t="s">
        <v>76</v>
      </c>
      <c r="B1461" s="23" t="s">
        <v>1692</v>
      </c>
      <c r="C1461" s="25">
        <v>45814</v>
      </c>
      <c r="D1461" s="23" t="s">
        <v>151</v>
      </c>
      <c r="E1461" s="23" t="s">
        <v>82</v>
      </c>
      <c r="F1461" s="14">
        <v>1</v>
      </c>
      <c r="G1461" s="12">
        <v>2000.0000000000002</v>
      </c>
      <c r="H1461" s="12">
        <v>2000.0000000000002</v>
      </c>
      <c r="I1461" s="23" t="s">
        <v>52</v>
      </c>
      <c r="J1461" s="23" t="s">
        <v>61</v>
      </c>
      <c r="K1461" s="24" t="s">
        <v>177</v>
      </c>
      <c r="L1461" s="24">
        <v>148</v>
      </c>
      <c r="M1461" s="12">
        <v>1680.6722689075632</v>
      </c>
      <c r="N1461" s="12">
        <v>1680.6722689075632</v>
      </c>
      <c r="O1461" s="12">
        <v>319.32773109243703</v>
      </c>
      <c r="P1461" s="13"/>
      <c r="Q1461" s="14">
        <v>2025</v>
      </c>
      <c r="R1461" s="15">
        <v>45444</v>
      </c>
      <c r="S1461" s="11" t="s">
        <v>463</v>
      </c>
      <c r="T1461" s="16">
        <v>5</v>
      </c>
      <c r="U1461" s="17"/>
      <c r="V1461" s="12">
        <v>680.67226890756319</v>
      </c>
      <c r="W1461" s="12">
        <v>680.67226890756319</v>
      </c>
      <c r="X1461" s="12">
        <v>0</v>
      </c>
      <c r="Y1461" s="18">
        <v>45810</v>
      </c>
      <c r="Z1461" s="13" t="s">
        <v>503</v>
      </c>
      <c r="AA1461" s="19" t="s">
        <v>373</v>
      </c>
      <c r="AB1461" s="13" t="s">
        <v>357</v>
      </c>
      <c r="AC1461" s="13" t="s">
        <v>462</v>
      </c>
      <c r="AD1461" s="20"/>
      <c r="AE1461" s="20"/>
      <c r="AF1461" s="13" t="s">
        <v>40</v>
      </c>
      <c r="AG1461" s="15">
        <v>45444</v>
      </c>
      <c r="AH1461" s="13" t="s">
        <v>41</v>
      </c>
      <c r="AI1461" s="13" t="s">
        <v>76</v>
      </c>
      <c r="AJ1461" s="13" t="s">
        <v>464</v>
      </c>
      <c r="AK1461" s="14">
        <v>-1</v>
      </c>
      <c r="AL1461" s="17"/>
      <c r="AM1461" s="17"/>
      <c r="AN1461" s="17"/>
      <c r="AO1461" s="17"/>
      <c r="AP1461" s="17"/>
      <c r="AQ1461" s="17"/>
      <c r="AR1461" s="17"/>
      <c r="AS1461" s="17"/>
      <c r="AT1461" s="17"/>
      <c r="AU1461" s="17"/>
      <c r="AV1461" s="17"/>
    </row>
    <row r="1462" spans="1:48" ht="15.75" customHeight="1">
      <c r="A1462" s="21" t="s">
        <v>47</v>
      </c>
      <c r="B1462" s="23" t="s">
        <v>1692</v>
      </c>
      <c r="C1462" s="25">
        <v>45814</v>
      </c>
      <c r="D1462" s="23" t="s">
        <v>151</v>
      </c>
      <c r="E1462" s="23" t="s">
        <v>305</v>
      </c>
      <c r="F1462" s="14">
        <v>1</v>
      </c>
      <c r="G1462" s="12">
        <v>2999.9015263417036</v>
      </c>
      <c r="H1462" s="12">
        <v>2999.9015263417036</v>
      </c>
      <c r="I1462" s="23" t="s">
        <v>52</v>
      </c>
      <c r="J1462" s="23" t="s">
        <v>61</v>
      </c>
      <c r="K1462" s="24" t="s">
        <v>177</v>
      </c>
      <c r="L1462" s="24">
        <v>148</v>
      </c>
      <c r="M1462" s="12">
        <v>2520.9256523879862</v>
      </c>
      <c r="N1462" s="12">
        <v>2520.9256523879862</v>
      </c>
      <c r="O1462" s="12">
        <v>478.97587395371738</v>
      </c>
      <c r="P1462" s="13"/>
      <c r="Q1462" s="14">
        <v>2025</v>
      </c>
      <c r="R1462" s="15">
        <v>45444</v>
      </c>
      <c r="S1462" s="11" t="s">
        <v>600</v>
      </c>
      <c r="T1462" s="16">
        <v>0</v>
      </c>
      <c r="U1462" s="17"/>
      <c r="V1462" s="12">
        <v>984.92565238798625</v>
      </c>
      <c r="W1462" s="12">
        <v>984.92565238798625</v>
      </c>
      <c r="X1462" s="12">
        <v>0</v>
      </c>
      <c r="Y1462" s="18">
        <v>45810</v>
      </c>
      <c r="Z1462" s="13" t="s">
        <v>503</v>
      </c>
      <c r="AA1462" s="19" t="s">
        <v>373</v>
      </c>
      <c r="AB1462" s="13" t="s">
        <v>357</v>
      </c>
      <c r="AC1462" s="13" t="s">
        <v>462</v>
      </c>
      <c r="AD1462" s="20"/>
      <c r="AE1462" s="20"/>
      <c r="AF1462" s="13" t="s">
        <v>40</v>
      </c>
      <c r="AG1462" s="15">
        <v>45444</v>
      </c>
      <c r="AH1462" s="13" t="s">
        <v>41</v>
      </c>
      <c r="AI1462" s="13" t="s">
        <v>47</v>
      </c>
      <c r="AJ1462" s="13" t="s">
        <v>601</v>
      </c>
      <c r="AK1462" s="14">
        <v>-2</v>
      </c>
      <c r="AL1462" s="17"/>
      <c r="AM1462" s="17"/>
      <c r="AN1462" s="17"/>
      <c r="AO1462" s="17"/>
      <c r="AP1462" s="17"/>
      <c r="AQ1462" s="17"/>
      <c r="AR1462" s="17"/>
      <c r="AS1462" s="17"/>
      <c r="AT1462" s="17"/>
      <c r="AU1462" s="17"/>
      <c r="AV1462" s="17"/>
    </row>
    <row r="1463" spans="1:48" ht="15.75" customHeight="1">
      <c r="A1463" s="21" t="s">
        <v>47</v>
      </c>
      <c r="B1463" s="23" t="s">
        <v>1692</v>
      </c>
      <c r="C1463" s="25">
        <v>45814</v>
      </c>
      <c r="D1463" s="23" t="s">
        <v>151</v>
      </c>
      <c r="E1463" s="23" t="s">
        <v>143</v>
      </c>
      <c r="F1463" s="14">
        <v>1</v>
      </c>
      <c r="G1463" s="12">
        <v>2999.9379074821477</v>
      </c>
      <c r="H1463" s="12">
        <v>2999.9379074821477</v>
      </c>
      <c r="I1463" s="23" t="s">
        <v>52</v>
      </c>
      <c r="J1463" s="23" t="s">
        <v>61</v>
      </c>
      <c r="K1463" s="24" t="s">
        <v>177</v>
      </c>
      <c r="L1463" s="24">
        <v>148</v>
      </c>
      <c r="M1463" s="12">
        <v>2520.9562247749141</v>
      </c>
      <c r="N1463" s="12">
        <v>2520.9562247749141</v>
      </c>
      <c r="O1463" s="12">
        <v>478.98168270723363</v>
      </c>
      <c r="P1463" s="13"/>
      <c r="Q1463" s="14">
        <v>2025</v>
      </c>
      <c r="R1463" s="15">
        <v>45444</v>
      </c>
      <c r="S1463" s="11" t="s">
        <v>414</v>
      </c>
      <c r="T1463" s="16">
        <v>0</v>
      </c>
      <c r="U1463" s="17"/>
      <c r="V1463" s="12">
        <v>1708.9562247749141</v>
      </c>
      <c r="W1463" s="12">
        <v>1708.9562247749141</v>
      </c>
      <c r="X1463" s="12">
        <v>0</v>
      </c>
      <c r="Y1463" s="18">
        <v>45810</v>
      </c>
      <c r="Z1463" s="13" t="s">
        <v>503</v>
      </c>
      <c r="AA1463" s="19" t="s">
        <v>373</v>
      </c>
      <c r="AB1463" s="13" t="s">
        <v>357</v>
      </c>
      <c r="AC1463" s="13" t="s">
        <v>462</v>
      </c>
      <c r="AD1463" s="20"/>
      <c r="AE1463" s="20"/>
      <c r="AF1463" s="13" t="s">
        <v>40</v>
      </c>
      <c r="AG1463" s="15">
        <v>45444</v>
      </c>
      <c r="AH1463" s="13" t="s">
        <v>41</v>
      </c>
      <c r="AI1463" s="13" t="s">
        <v>47</v>
      </c>
      <c r="AJ1463" s="13" t="s">
        <v>602</v>
      </c>
      <c r="AK1463" s="14">
        <v>-1</v>
      </c>
      <c r="AL1463" s="17"/>
      <c r="AM1463" s="17"/>
      <c r="AN1463" s="17"/>
      <c r="AO1463" s="17"/>
      <c r="AP1463" s="17"/>
      <c r="AQ1463" s="17"/>
      <c r="AR1463" s="17"/>
      <c r="AS1463" s="17"/>
      <c r="AT1463" s="17"/>
      <c r="AU1463" s="17"/>
      <c r="AV1463" s="17"/>
    </row>
    <row r="1464" spans="1:48" ht="15.75" customHeight="1">
      <c r="A1464" s="21" t="s">
        <v>76</v>
      </c>
      <c r="B1464" s="23" t="s">
        <v>1692</v>
      </c>
      <c r="C1464" s="25">
        <v>45814</v>
      </c>
      <c r="D1464" s="23" t="s">
        <v>151</v>
      </c>
      <c r="E1464" s="23" t="s">
        <v>218</v>
      </c>
      <c r="F1464" s="14">
        <v>1</v>
      </c>
      <c r="G1464" s="12">
        <v>1500.0000000000002</v>
      </c>
      <c r="H1464" s="12">
        <v>1500.0000000000002</v>
      </c>
      <c r="I1464" s="23" t="s">
        <v>52</v>
      </c>
      <c r="J1464" s="23" t="s">
        <v>61</v>
      </c>
      <c r="K1464" s="24" t="s">
        <v>177</v>
      </c>
      <c r="L1464" s="24">
        <v>148</v>
      </c>
      <c r="M1464" s="12">
        <v>1260.5042016806726</v>
      </c>
      <c r="N1464" s="12">
        <v>1260.5042016806726</v>
      </c>
      <c r="O1464" s="12">
        <v>239.4957983193276</v>
      </c>
      <c r="P1464" s="13"/>
      <c r="Q1464" s="14">
        <v>2025</v>
      </c>
      <c r="R1464" s="15">
        <v>45444</v>
      </c>
      <c r="S1464" s="11" t="s">
        <v>444</v>
      </c>
      <c r="T1464" s="16">
        <v>500</v>
      </c>
      <c r="U1464" s="17"/>
      <c r="V1464" s="12">
        <v>504.20168067226905</v>
      </c>
      <c r="W1464" s="12">
        <v>504.20168067226905</v>
      </c>
      <c r="X1464" s="12">
        <v>0</v>
      </c>
      <c r="Y1464" s="18">
        <v>45810</v>
      </c>
      <c r="Z1464" s="13" t="s">
        <v>503</v>
      </c>
      <c r="AA1464" s="19" t="s">
        <v>373</v>
      </c>
      <c r="AB1464" s="13" t="s">
        <v>357</v>
      </c>
      <c r="AC1464" s="13" t="s">
        <v>462</v>
      </c>
      <c r="AD1464" s="20"/>
      <c r="AE1464" s="20"/>
      <c r="AF1464" s="13" t="s">
        <v>40</v>
      </c>
      <c r="AG1464" s="15">
        <v>45444</v>
      </c>
      <c r="AH1464" s="13" t="s">
        <v>41</v>
      </c>
      <c r="AI1464" s="13" t="s">
        <v>76</v>
      </c>
      <c r="AJ1464" s="13" t="s">
        <v>603</v>
      </c>
      <c r="AK1464" s="14">
        <v>-1</v>
      </c>
      <c r="AL1464" s="17"/>
      <c r="AM1464" s="17"/>
      <c r="AN1464" s="17"/>
      <c r="AO1464" s="17"/>
      <c r="AP1464" s="17"/>
      <c r="AQ1464" s="17"/>
      <c r="AR1464" s="17"/>
      <c r="AS1464" s="17"/>
      <c r="AT1464" s="17"/>
      <c r="AU1464" s="17"/>
      <c r="AV1464" s="17"/>
    </row>
    <row r="1465" spans="1:48" ht="15.75" customHeight="1">
      <c r="A1465" s="21" t="s">
        <v>76</v>
      </c>
      <c r="B1465" s="23" t="s">
        <v>1692</v>
      </c>
      <c r="C1465" s="25">
        <v>45814</v>
      </c>
      <c r="D1465" s="23" t="s">
        <v>151</v>
      </c>
      <c r="E1465" s="23" t="s">
        <v>337</v>
      </c>
      <c r="F1465" s="14">
        <v>1</v>
      </c>
      <c r="G1465" s="12">
        <v>1599.9448225124147</v>
      </c>
      <c r="H1465" s="12">
        <v>1599.9448225124147</v>
      </c>
      <c r="I1465" s="23" t="s">
        <v>52</v>
      </c>
      <c r="J1465" s="23" t="s">
        <v>61</v>
      </c>
      <c r="K1465" s="24" t="s">
        <v>177</v>
      </c>
      <c r="L1465" s="24">
        <v>148</v>
      </c>
      <c r="M1465" s="12">
        <v>1344.4914474894242</v>
      </c>
      <c r="N1465" s="12">
        <v>1344.4914474894242</v>
      </c>
      <c r="O1465" s="12">
        <v>255.45337502299049</v>
      </c>
      <c r="P1465" s="13"/>
      <c r="Q1465" s="14">
        <v>2025</v>
      </c>
      <c r="R1465" s="15">
        <v>45444</v>
      </c>
      <c r="S1465" s="11" t="s">
        <v>529</v>
      </c>
      <c r="T1465" s="16">
        <v>0</v>
      </c>
      <c r="U1465" s="17"/>
      <c r="V1465" s="12">
        <v>613.49144748942422</v>
      </c>
      <c r="W1465" s="12">
        <v>613.49144748942422</v>
      </c>
      <c r="X1465" s="12">
        <v>0</v>
      </c>
      <c r="Y1465" s="18">
        <v>45810</v>
      </c>
      <c r="Z1465" s="13" t="s">
        <v>503</v>
      </c>
      <c r="AA1465" s="19" t="s">
        <v>373</v>
      </c>
      <c r="AB1465" s="13" t="s">
        <v>357</v>
      </c>
      <c r="AC1465" s="13" t="s">
        <v>462</v>
      </c>
      <c r="AD1465" s="20"/>
      <c r="AE1465" s="20"/>
      <c r="AF1465" s="13" t="s">
        <v>40</v>
      </c>
      <c r="AG1465" s="15">
        <v>45444</v>
      </c>
      <c r="AH1465" s="13" t="s">
        <v>41</v>
      </c>
      <c r="AI1465" s="13" t="s">
        <v>76</v>
      </c>
      <c r="AJ1465" s="13" t="s">
        <v>530</v>
      </c>
      <c r="AK1465" s="14">
        <v>-1</v>
      </c>
      <c r="AL1465" s="17"/>
      <c r="AM1465" s="17"/>
      <c r="AN1465" s="17"/>
      <c r="AO1465" s="17"/>
      <c r="AP1465" s="17"/>
      <c r="AQ1465" s="17"/>
      <c r="AR1465" s="17"/>
      <c r="AS1465" s="17"/>
      <c r="AT1465" s="17"/>
      <c r="AU1465" s="17"/>
      <c r="AV1465" s="17"/>
    </row>
    <row r="1466" spans="1:48" ht="15.75" customHeight="1">
      <c r="A1466" s="21" t="s">
        <v>47</v>
      </c>
      <c r="B1466" s="23" t="s">
        <v>1692</v>
      </c>
      <c r="C1466" s="25">
        <v>45814</v>
      </c>
      <c r="D1466" s="23" t="s">
        <v>151</v>
      </c>
      <c r="E1466" s="23" t="s">
        <v>267</v>
      </c>
      <c r="F1466" s="14">
        <v>1</v>
      </c>
      <c r="G1466" s="12">
        <v>7499.8770659745942</v>
      </c>
      <c r="H1466" s="12">
        <v>7499.8770659745942</v>
      </c>
      <c r="I1466" s="23" t="s">
        <v>52</v>
      </c>
      <c r="J1466" s="23" t="s">
        <v>61</v>
      </c>
      <c r="K1466" s="24" t="s">
        <v>177</v>
      </c>
      <c r="L1466" s="24">
        <v>148</v>
      </c>
      <c r="M1466" s="12">
        <v>6302.4177024996588</v>
      </c>
      <c r="N1466" s="12">
        <v>6302.4177024996588</v>
      </c>
      <c r="O1466" s="12">
        <v>1197.4593634749353</v>
      </c>
      <c r="P1466" s="13"/>
      <c r="Q1466" s="14">
        <v>2025</v>
      </c>
      <c r="R1466" s="15">
        <v>45444</v>
      </c>
      <c r="S1466" s="11" t="s">
        <v>372</v>
      </c>
      <c r="T1466" s="16">
        <v>0</v>
      </c>
      <c r="U1466" s="17"/>
      <c r="V1466" s="12">
        <v>1688.4177024996588</v>
      </c>
      <c r="W1466" s="12">
        <v>1688.4177024996588</v>
      </c>
      <c r="X1466" s="12">
        <v>0</v>
      </c>
      <c r="Y1466" s="18">
        <v>45810</v>
      </c>
      <c r="Z1466" s="13" t="s">
        <v>503</v>
      </c>
      <c r="AA1466" s="19" t="s">
        <v>373</v>
      </c>
      <c r="AB1466" s="13" t="s">
        <v>357</v>
      </c>
      <c r="AC1466" s="13" t="s">
        <v>462</v>
      </c>
      <c r="AD1466" s="20"/>
      <c r="AE1466" s="20"/>
      <c r="AF1466" s="13" t="s">
        <v>40</v>
      </c>
      <c r="AG1466" s="15">
        <v>45444</v>
      </c>
      <c r="AH1466" s="13" t="s">
        <v>41</v>
      </c>
      <c r="AI1466" s="13" t="s">
        <v>47</v>
      </c>
      <c r="AJ1466" s="13" t="s">
        <v>375</v>
      </c>
      <c r="AK1466" s="14">
        <v>-3</v>
      </c>
      <c r="AL1466" s="17"/>
      <c r="AM1466" s="17"/>
      <c r="AN1466" s="17"/>
      <c r="AO1466" s="17"/>
      <c r="AP1466" s="17"/>
      <c r="AQ1466" s="17"/>
      <c r="AR1466" s="17"/>
      <c r="AS1466" s="17"/>
      <c r="AT1466" s="17"/>
      <c r="AU1466" s="17"/>
      <c r="AV1466" s="17"/>
    </row>
    <row r="1467" spans="1:48" ht="15.75" customHeight="1">
      <c r="A1467" s="14" t="s">
        <v>35</v>
      </c>
      <c r="B1467" s="23" t="s">
        <v>1692</v>
      </c>
      <c r="C1467" s="25">
        <v>45814</v>
      </c>
      <c r="D1467" s="23" t="s">
        <v>915</v>
      </c>
      <c r="E1467" s="23" t="s">
        <v>46</v>
      </c>
      <c r="F1467" s="14">
        <v>1</v>
      </c>
      <c r="G1467" s="12">
        <v>6000.1548227279782</v>
      </c>
      <c r="H1467" s="12">
        <v>6000.1548227279782</v>
      </c>
      <c r="I1467" s="13" t="s">
        <v>52</v>
      </c>
      <c r="J1467" s="23" t="s">
        <v>61</v>
      </c>
      <c r="K1467" s="24" t="s">
        <v>177</v>
      </c>
      <c r="L1467" s="24">
        <v>148</v>
      </c>
      <c r="M1467" s="12">
        <v>5042.1469098554444</v>
      </c>
      <c r="N1467" s="12">
        <v>5042.1469098554444</v>
      </c>
      <c r="O1467" s="12">
        <v>958.00791287253378</v>
      </c>
      <c r="P1467" s="13"/>
      <c r="Q1467" s="14">
        <v>2025</v>
      </c>
      <c r="R1467" s="15">
        <v>45444</v>
      </c>
      <c r="S1467" s="11" t="s">
        <v>364</v>
      </c>
      <c r="T1467" s="16">
        <v>500</v>
      </c>
      <c r="U1467" s="17"/>
      <c r="V1467" s="12">
        <v>1785.4242207798129</v>
      </c>
      <c r="W1467" s="12">
        <v>1785.4242207798129</v>
      </c>
      <c r="X1467" s="12">
        <v>0</v>
      </c>
      <c r="Y1467" s="18">
        <v>45810</v>
      </c>
      <c r="Z1467" s="13" t="s">
        <v>503</v>
      </c>
      <c r="AA1467" s="19" t="s">
        <v>367</v>
      </c>
      <c r="AB1467" s="13" t="s">
        <v>357</v>
      </c>
      <c r="AC1467" s="13" t="s">
        <v>367</v>
      </c>
      <c r="AD1467" s="20"/>
      <c r="AE1467" s="20"/>
      <c r="AF1467" s="13" t="s">
        <v>40</v>
      </c>
      <c r="AG1467" s="15">
        <v>45444</v>
      </c>
      <c r="AH1467" s="13" t="s">
        <v>41</v>
      </c>
      <c r="AI1467" s="13" t="s">
        <v>35</v>
      </c>
      <c r="AJ1467" s="13" t="s">
        <v>365</v>
      </c>
      <c r="AK1467" s="14">
        <v>-0.5</v>
      </c>
      <c r="AL1467" s="17"/>
      <c r="AM1467" s="17"/>
      <c r="AN1467" s="17"/>
      <c r="AO1467" s="17"/>
      <c r="AP1467" s="17"/>
      <c r="AQ1467" s="17"/>
      <c r="AR1467" s="17"/>
      <c r="AS1467" s="17"/>
      <c r="AT1467" s="17"/>
      <c r="AU1467" s="17"/>
      <c r="AV1467" s="17"/>
    </row>
    <row r="1468" spans="1:48" ht="15.75" customHeight="1">
      <c r="A1468" s="21" t="s">
        <v>53</v>
      </c>
      <c r="B1468" s="23" t="s">
        <v>1692</v>
      </c>
      <c r="C1468" s="22">
        <v>45814</v>
      </c>
      <c r="D1468" s="23" t="s">
        <v>227</v>
      </c>
      <c r="E1468" s="23" t="s">
        <v>55</v>
      </c>
      <c r="F1468" s="21">
        <v>1</v>
      </c>
      <c r="G1468" s="12">
        <v>20899.657134519988</v>
      </c>
      <c r="H1468" s="12">
        <v>20899.657134519988</v>
      </c>
      <c r="I1468" s="23" t="s">
        <v>52</v>
      </c>
      <c r="J1468" s="23" t="s">
        <v>61</v>
      </c>
      <c r="K1468" s="24" t="s">
        <v>177</v>
      </c>
      <c r="L1468" s="24">
        <v>148</v>
      </c>
      <c r="M1468" s="12">
        <v>17562.737087831923</v>
      </c>
      <c r="N1468" s="12">
        <v>17562.737087831923</v>
      </c>
      <c r="O1468" s="12">
        <v>3336.9200466880648</v>
      </c>
      <c r="P1468" s="13"/>
      <c r="Q1468" s="14">
        <v>2025</v>
      </c>
      <c r="R1468" s="15">
        <v>45444</v>
      </c>
      <c r="S1468" s="11" t="s">
        <v>366</v>
      </c>
      <c r="T1468" s="16">
        <v>0</v>
      </c>
      <c r="U1468" s="17"/>
      <c r="V1468" s="12">
        <v>3117.7370878319234</v>
      </c>
      <c r="W1468" s="12">
        <v>3117.7370878319234</v>
      </c>
      <c r="X1468" s="12">
        <v>0</v>
      </c>
      <c r="Y1468" s="18">
        <v>45810</v>
      </c>
      <c r="Z1468" s="13" t="s">
        <v>503</v>
      </c>
      <c r="AA1468" s="19" t="s">
        <v>361</v>
      </c>
      <c r="AB1468" s="13" t="s">
        <v>357</v>
      </c>
      <c r="AC1468" s="13" t="s">
        <v>393</v>
      </c>
      <c r="AD1468" s="20"/>
      <c r="AE1468" s="20"/>
      <c r="AF1468" s="13" t="s">
        <v>40</v>
      </c>
      <c r="AG1468" s="15">
        <v>45444</v>
      </c>
      <c r="AH1468" s="13" t="s">
        <v>41</v>
      </c>
      <c r="AI1468" s="13" t="s">
        <v>53</v>
      </c>
      <c r="AJ1468" s="13" t="s">
        <v>368</v>
      </c>
      <c r="AK1468" s="14">
        <v>-8</v>
      </c>
      <c r="AL1468" s="17"/>
      <c r="AM1468" s="17"/>
      <c r="AN1468" s="17"/>
      <c r="AO1468" s="17"/>
      <c r="AP1468" s="17"/>
      <c r="AQ1468" s="17"/>
      <c r="AR1468" s="17"/>
      <c r="AS1468" s="17"/>
      <c r="AT1468" s="17"/>
      <c r="AU1468" s="17"/>
      <c r="AV1468" s="17"/>
    </row>
    <row r="1469" spans="1:48" ht="15.75" customHeight="1">
      <c r="A1469" s="21" t="s">
        <v>35</v>
      </c>
      <c r="B1469" s="23" t="s">
        <v>1692</v>
      </c>
      <c r="C1469" s="22">
        <v>45814</v>
      </c>
      <c r="D1469" s="23" t="s">
        <v>345</v>
      </c>
      <c r="E1469" s="23" t="s">
        <v>37</v>
      </c>
      <c r="F1469" s="21">
        <v>1</v>
      </c>
      <c r="G1469" s="12">
        <v>11000.014358944907</v>
      </c>
      <c r="H1469" s="12">
        <v>11000.014358944907</v>
      </c>
      <c r="I1469" s="23" t="s">
        <v>52</v>
      </c>
      <c r="J1469" s="23" t="s">
        <v>61</v>
      </c>
      <c r="K1469" s="24" t="s">
        <v>177</v>
      </c>
      <c r="L1469" s="24">
        <v>148</v>
      </c>
      <c r="M1469" s="12">
        <v>9243.7095453318543</v>
      </c>
      <c r="N1469" s="12">
        <v>9243.7095453318543</v>
      </c>
      <c r="O1469" s="12">
        <v>1756.3048136130528</v>
      </c>
      <c r="P1469" s="13"/>
      <c r="Q1469" s="14">
        <v>2025</v>
      </c>
      <c r="R1469" s="15">
        <v>45444</v>
      </c>
      <c r="S1469" s="11" t="s">
        <v>364</v>
      </c>
      <c r="T1469" s="16">
        <v>1000</v>
      </c>
      <c r="U1469" s="17"/>
      <c r="V1469" s="12">
        <v>2806.1129066763915</v>
      </c>
      <c r="W1469" s="12">
        <v>2806.1129066763915</v>
      </c>
      <c r="X1469" s="12">
        <v>0</v>
      </c>
      <c r="Y1469" s="18">
        <v>45810</v>
      </c>
      <c r="Z1469" s="13" t="s">
        <v>503</v>
      </c>
      <c r="AA1469" s="19" t="s">
        <v>373</v>
      </c>
      <c r="AB1469" s="13" t="s">
        <v>357</v>
      </c>
      <c r="AC1469" s="13" t="s">
        <v>367</v>
      </c>
      <c r="AD1469" s="20"/>
      <c r="AE1469" s="20"/>
      <c r="AF1469" s="13" t="s">
        <v>40</v>
      </c>
      <c r="AG1469" s="15">
        <v>45444</v>
      </c>
      <c r="AH1469" s="13" t="s">
        <v>41</v>
      </c>
      <c r="AI1469" s="13" t="s">
        <v>35</v>
      </c>
      <c r="AJ1469" s="13" t="s">
        <v>365</v>
      </c>
      <c r="AK1469" s="14">
        <v>-1</v>
      </c>
      <c r="AL1469" s="17"/>
      <c r="AM1469" s="17"/>
      <c r="AN1469" s="17"/>
      <c r="AO1469" s="17"/>
      <c r="AP1469" s="17"/>
      <c r="AQ1469" s="17"/>
      <c r="AR1469" s="17"/>
      <c r="AS1469" s="17"/>
      <c r="AT1469" s="17"/>
      <c r="AU1469" s="17"/>
      <c r="AV1469" s="17"/>
    </row>
    <row r="1470" spans="1:48" ht="15.75" customHeight="1">
      <c r="A1470" s="21" t="s">
        <v>43</v>
      </c>
      <c r="B1470" s="23" t="s">
        <v>570</v>
      </c>
      <c r="C1470" s="22">
        <v>45813</v>
      </c>
      <c r="D1470" s="23" t="s">
        <v>291</v>
      </c>
      <c r="E1470" s="23" t="s">
        <v>45</v>
      </c>
      <c r="F1470" s="21">
        <v>1</v>
      </c>
      <c r="G1470" s="12">
        <v>8199.8965351595689</v>
      </c>
      <c r="H1470" s="12">
        <v>8199.8965351595689</v>
      </c>
      <c r="I1470" s="23" t="s">
        <v>52</v>
      </c>
      <c r="J1470" s="23" t="s">
        <v>61</v>
      </c>
      <c r="K1470" s="24" t="s">
        <v>177</v>
      </c>
      <c r="L1470" s="24">
        <v>148</v>
      </c>
      <c r="M1470" s="12">
        <v>6890.6693572769491</v>
      </c>
      <c r="N1470" s="12">
        <v>6890.6693572769491</v>
      </c>
      <c r="O1470" s="12">
        <v>1309.2271778826198</v>
      </c>
      <c r="P1470" s="13"/>
      <c r="Q1470" s="14">
        <v>2025</v>
      </c>
      <c r="R1470" s="15">
        <v>45444</v>
      </c>
      <c r="S1470" s="11" t="s">
        <v>355</v>
      </c>
      <c r="T1470" s="16">
        <v>0</v>
      </c>
      <c r="U1470" s="17"/>
      <c r="V1470" s="12">
        <v>1296.3416261845123</v>
      </c>
      <c r="W1470" s="12">
        <v>648.17081309225614</v>
      </c>
      <c r="X1470" s="12">
        <v>648.17081309225614</v>
      </c>
      <c r="Y1470" s="18">
        <v>45810</v>
      </c>
      <c r="Z1470" s="13" t="s">
        <v>505</v>
      </c>
      <c r="AA1470" s="19" t="s">
        <v>373</v>
      </c>
      <c r="AB1470" s="13" t="s">
        <v>357</v>
      </c>
      <c r="AC1470" s="13" t="s">
        <v>374</v>
      </c>
      <c r="AD1470" s="20"/>
      <c r="AE1470" s="20"/>
      <c r="AF1470" s="13" t="s">
        <v>40</v>
      </c>
      <c r="AG1470" s="15">
        <v>45444</v>
      </c>
      <c r="AH1470" s="13" t="s">
        <v>41</v>
      </c>
      <c r="AI1470" s="13" t="s">
        <v>43</v>
      </c>
      <c r="AJ1470" s="13" t="s">
        <v>359</v>
      </c>
      <c r="AK1470" s="14">
        <v>-1</v>
      </c>
      <c r="AL1470" s="17"/>
      <c r="AM1470" s="17"/>
      <c r="AN1470" s="17"/>
      <c r="AO1470" s="17"/>
      <c r="AP1470" s="17"/>
      <c r="AQ1470" s="17"/>
      <c r="AR1470" s="17"/>
      <c r="AS1470" s="17"/>
      <c r="AT1470" s="17"/>
      <c r="AU1470" s="17"/>
      <c r="AV1470" s="17"/>
    </row>
    <row r="1471" spans="1:48" ht="15.75" customHeight="1">
      <c r="A1471" s="21" t="s">
        <v>35</v>
      </c>
      <c r="B1471" s="23" t="s">
        <v>570</v>
      </c>
      <c r="C1471" s="22">
        <v>45813</v>
      </c>
      <c r="D1471" s="23" t="s">
        <v>116</v>
      </c>
      <c r="E1471" s="23" t="s">
        <v>46</v>
      </c>
      <c r="F1471" s="21">
        <v>1</v>
      </c>
      <c r="G1471" s="12">
        <v>6000.1548227279782</v>
      </c>
      <c r="H1471" s="12">
        <v>6000.1548227279782</v>
      </c>
      <c r="I1471" s="23" t="s">
        <v>52</v>
      </c>
      <c r="J1471" s="23" t="s">
        <v>61</v>
      </c>
      <c r="K1471" s="24" t="s">
        <v>177</v>
      </c>
      <c r="L1471" s="24">
        <v>148</v>
      </c>
      <c r="M1471" s="12">
        <v>5042.1469098554444</v>
      </c>
      <c r="N1471" s="12">
        <v>5042.1469098554444</v>
      </c>
      <c r="O1471" s="12">
        <v>958.00791287253378</v>
      </c>
      <c r="P1471" s="13"/>
      <c r="Q1471" s="14">
        <v>2025</v>
      </c>
      <c r="R1471" s="15">
        <v>45444</v>
      </c>
      <c r="S1471" s="11" t="s">
        <v>364</v>
      </c>
      <c r="T1471" s="16">
        <v>500</v>
      </c>
      <c r="U1471" s="17"/>
      <c r="V1471" s="12">
        <v>1785.4242207798129</v>
      </c>
      <c r="W1471" s="12">
        <v>892.71211038990646</v>
      </c>
      <c r="X1471" s="12">
        <v>892.71211038990646</v>
      </c>
      <c r="Y1471" s="18">
        <v>45810</v>
      </c>
      <c r="Z1471" s="13" t="s">
        <v>505</v>
      </c>
      <c r="AA1471" s="19" t="s">
        <v>373</v>
      </c>
      <c r="AB1471" s="13" t="s">
        <v>357</v>
      </c>
      <c r="AC1471" s="13"/>
      <c r="AD1471" s="20"/>
      <c r="AE1471" s="20"/>
      <c r="AF1471" s="13" t="s">
        <v>40</v>
      </c>
      <c r="AG1471" s="15">
        <v>45444</v>
      </c>
      <c r="AH1471" s="13" t="s">
        <v>41</v>
      </c>
      <c r="AI1471" s="13" t="s">
        <v>35</v>
      </c>
      <c r="AJ1471" s="13" t="s">
        <v>365</v>
      </c>
      <c r="AK1471" s="14">
        <v>-0.5</v>
      </c>
      <c r="AL1471" s="17"/>
      <c r="AM1471" s="17"/>
      <c r="AN1471" s="17"/>
      <c r="AO1471" s="17"/>
      <c r="AP1471" s="17"/>
      <c r="AQ1471" s="17"/>
      <c r="AR1471" s="17"/>
      <c r="AS1471" s="17"/>
      <c r="AT1471" s="17"/>
      <c r="AU1471" s="17"/>
      <c r="AV1471" s="17"/>
    </row>
    <row r="1472" spans="1:48" ht="15.75" customHeight="1">
      <c r="A1472" s="21" t="s">
        <v>35</v>
      </c>
      <c r="B1472" s="23" t="s">
        <v>570</v>
      </c>
      <c r="C1472" s="22">
        <v>45813</v>
      </c>
      <c r="D1472" s="23" t="s">
        <v>132</v>
      </c>
      <c r="E1472" s="23" t="s">
        <v>46</v>
      </c>
      <c r="F1472" s="21">
        <v>1</v>
      </c>
      <c r="G1472" s="12">
        <v>6000.1548227279782</v>
      </c>
      <c r="H1472" s="12">
        <v>6000.1548227279782</v>
      </c>
      <c r="I1472" s="23" t="s">
        <v>52</v>
      </c>
      <c r="J1472" s="23" t="s">
        <v>61</v>
      </c>
      <c r="K1472" s="24" t="s">
        <v>177</v>
      </c>
      <c r="L1472" s="24">
        <v>148</v>
      </c>
      <c r="M1472" s="12">
        <v>5042.1469098554444</v>
      </c>
      <c r="N1472" s="12">
        <v>5042.1469098554444</v>
      </c>
      <c r="O1472" s="12">
        <v>958.00791287253378</v>
      </c>
      <c r="P1472" s="13"/>
      <c r="Q1472" s="14">
        <v>2025</v>
      </c>
      <c r="R1472" s="15">
        <v>45444</v>
      </c>
      <c r="S1472" s="11" t="s">
        <v>364</v>
      </c>
      <c r="T1472" s="16">
        <v>500</v>
      </c>
      <c r="U1472" s="17"/>
      <c r="V1472" s="12">
        <v>1785.4242207798129</v>
      </c>
      <c r="W1472" s="12">
        <v>892.71211038990646</v>
      </c>
      <c r="X1472" s="12">
        <v>892.71211038990646</v>
      </c>
      <c r="Y1472" s="18">
        <v>45810</v>
      </c>
      <c r="Z1472" s="13" t="s">
        <v>505</v>
      </c>
      <c r="AA1472" s="19" t="s">
        <v>373</v>
      </c>
      <c r="AB1472" s="13" t="s">
        <v>357</v>
      </c>
      <c r="AC1472" s="13" t="s">
        <v>389</v>
      </c>
      <c r="AD1472" s="20"/>
      <c r="AE1472" s="20"/>
      <c r="AF1472" s="13" t="s">
        <v>40</v>
      </c>
      <c r="AG1472" s="15">
        <v>45444</v>
      </c>
      <c r="AH1472" s="13" t="s">
        <v>41</v>
      </c>
      <c r="AI1472" s="13" t="s">
        <v>35</v>
      </c>
      <c r="AJ1472" s="13" t="s">
        <v>365</v>
      </c>
      <c r="AK1472" s="14">
        <v>-0.5</v>
      </c>
      <c r="AL1472" s="17"/>
      <c r="AM1472" s="17"/>
      <c r="AN1472" s="17"/>
      <c r="AO1472" s="17"/>
      <c r="AP1472" s="17"/>
      <c r="AQ1472" s="17"/>
      <c r="AR1472" s="17"/>
      <c r="AS1472" s="17"/>
      <c r="AT1472" s="17"/>
      <c r="AU1472" s="17"/>
      <c r="AV1472" s="17"/>
    </row>
    <row r="1473" spans="1:48" ht="15.75" customHeight="1">
      <c r="A1473" s="21" t="s">
        <v>43</v>
      </c>
      <c r="B1473" s="23" t="s">
        <v>570</v>
      </c>
      <c r="C1473" s="22">
        <v>45813</v>
      </c>
      <c r="D1473" s="23" t="s">
        <v>604</v>
      </c>
      <c r="E1473" s="23" t="s">
        <v>45</v>
      </c>
      <c r="F1473" s="21">
        <v>1</v>
      </c>
      <c r="G1473" s="12">
        <v>8199.8965351595689</v>
      </c>
      <c r="H1473" s="12">
        <v>8199.8965351595689</v>
      </c>
      <c r="I1473" s="23" t="s">
        <v>52</v>
      </c>
      <c r="J1473" s="23" t="s">
        <v>61</v>
      </c>
      <c r="K1473" s="24" t="s">
        <v>177</v>
      </c>
      <c r="L1473" s="24">
        <v>148</v>
      </c>
      <c r="M1473" s="12">
        <v>6890.6693572769491</v>
      </c>
      <c r="N1473" s="12">
        <v>6890.6693572769491</v>
      </c>
      <c r="O1473" s="12">
        <v>1309.2271778826198</v>
      </c>
      <c r="P1473" s="13"/>
      <c r="Q1473" s="14">
        <v>2025</v>
      </c>
      <c r="R1473" s="15">
        <v>45444</v>
      </c>
      <c r="S1473" s="11" t="s">
        <v>355</v>
      </c>
      <c r="T1473" s="16">
        <v>0</v>
      </c>
      <c r="U1473" s="17"/>
      <c r="V1473" s="12">
        <v>1296.3416261845123</v>
      </c>
      <c r="W1473" s="12">
        <v>648.17081309225614</v>
      </c>
      <c r="X1473" s="12">
        <v>648.17081309225614</v>
      </c>
      <c r="Y1473" s="18">
        <v>45810</v>
      </c>
      <c r="Z1473" s="13" t="s">
        <v>505</v>
      </c>
      <c r="AA1473" s="23" t="s">
        <v>373</v>
      </c>
      <c r="AB1473" s="23" t="s">
        <v>357</v>
      </c>
      <c r="AC1473" s="23" t="s">
        <v>465</v>
      </c>
      <c r="AD1473" s="20"/>
      <c r="AE1473" s="20"/>
      <c r="AF1473" s="13" t="s">
        <v>40</v>
      </c>
      <c r="AG1473" s="15">
        <v>45444</v>
      </c>
      <c r="AH1473" s="13" t="s">
        <v>41</v>
      </c>
      <c r="AI1473" s="13" t="s">
        <v>43</v>
      </c>
      <c r="AJ1473" s="13" t="s">
        <v>359</v>
      </c>
      <c r="AK1473" s="14">
        <v>-1</v>
      </c>
      <c r="AL1473" s="17"/>
      <c r="AM1473" s="17"/>
      <c r="AN1473" s="17"/>
      <c r="AO1473" s="17"/>
      <c r="AP1473" s="17"/>
      <c r="AQ1473" s="17"/>
      <c r="AR1473" s="17"/>
      <c r="AS1473" s="17"/>
      <c r="AT1473" s="17"/>
      <c r="AU1473" s="17"/>
      <c r="AV1473" s="17"/>
    </row>
    <row r="1474" spans="1:48" ht="15.75" customHeight="1">
      <c r="A1474" s="21" t="s">
        <v>43</v>
      </c>
      <c r="B1474" s="23" t="s">
        <v>1692</v>
      </c>
      <c r="C1474" s="22">
        <v>45812</v>
      </c>
      <c r="D1474" s="23" t="s">
        <v>292</v>
      </c>
      <c r="E1474" s="23" t="s">
        <v>45</v>
      </c>
      <c r="F1474" s="21">
        <v>1</v>
      </c>
      <c r="G1474" s="12">
        <v>8199.8965351595689</v>
      </c>
      <c r="H1474" s="12">
        <v>8199.8965351595689</v>
      </c>
      <c r="I1474" s="23" t="s">
        <v>52</v>
      </c>
      <c r="J1474" s="23" t="s">
        <v>61</v>
      </c>
      <c r="K1474" s="24" t="s">
        <v>177</v>
      </c>
      <c r="L1474" s="26">
        <v>147</v>
      </c>
      <c r="M1474" s="12">
        <v>6890.6693572769491</v>
      </c>
      <c r="N1474" s="12">
        <v>6890.6693572769491</v>
      </c>
      <c r="O1474" s="12">
        <v>1309.2271778826198</v>
      </c>
      <c r="P1474" s="13"/>
      <c r="Q1474" s="14">
        <v>2025</v>
      </c>
      <c r="R1474" s="15">
        <v>45444</v>
      </c>
      <c r="S1474" s="11" t="s">
        <v>355</v>
      </c>
      <c r="T1474" s="16">
        <v>0</v>
      </c>
      <c r="U1474" s="17"/>
      <c r="V1474" s="12">
        <v>1296.3416261845123</v>
      </c>
      <c r="W1474" s="12">
        <v>1296.3416261845123</v>
      </c>
      <c r="X1474" s="12">
        <v>0</v>
      </c>
      <c r="Y1474" s="18">
        <v>45810</v>
      </c>
      <c r="Z1474" s="13" t="s">
        <v>515</v>
      </c>
      <c r="AA1474" s="19" t="s">
        <v>356</v>
      </c>
      <c r="AB1474" s="13" t="s">
        <v>357</v>
      </c>
      <c r="AC1474" s="13" t="s">
        <v>383</v>
      </c>
      <c r="AD1474" s="20"/>
      <c r="AE1474" s="20"/>
      <c r="AF1474" s="13" t="s">
        <v>40</v>
      </c>
      <c r="AG1474" s="15">
        <v>45444</v>
      </c>
      <c r="AH1474" s="13" t="s">
        <v>41</v>
      </c>
      <c r="AI1474" s="13" t="s">
        <v>43</v>
      </c>
      <c r="AJ1474" s="13" t="s">
        <v>359</v>
      </c>
      <c r="AK1474" s="14">
        <v>-1</v>
      </c>
      <c r="AL1474" s="17"/>
      <c r="AM1474" s="17"/>
      <c r="AN1474" s="17"/>
      <c r="AO1474" s="17"/>
      <c r="AP1474" s="17"/>
      <c r="AQ1474" s="17"/>
      <c r="AR1474" s="17"/>
      <c r="AS1474" s="17"/>
      <c r="AT1474" s="17"/>
      <c r="AU1474" s="17"/>
      <c r="AV1474" s="17"/>
    </row>
    <row r="1475" spans="1:48" ht="15.75" customHeight="1">
      <c r="A1475" s="21" t="s">
        <v>35</v>
      </c>
      <c r="B1475" s="23" t="s">
        <v>1692</v>
      </c>
      <c r="C1475" s="22">
        <v>45812</v>
      </c>
      <c r="D1475" s="23" t="s">
        <v>292</v>
      </c>
      <c r="E1475" s="23" t="s">
        <v>37</v>
      </c>
      <c r="F1475" s="21">
        <v>1</v>
      </c>
      <c r="G1475" s="12">
        <v>11000.014358944907</v>
      </c>
      <c r="H1475" s="12">
        <v>11000.014358944907</v>
      </c>
      <c r="I1475" s="23" t="s">
        <v>52</v>
      </c>
      <c r="J1475" s="23" t="s">
        <v>61</v>
      </c>
      <c r="K1475" s="24" t="s">
        <v>177</v>
      </c>
      <c r="L1475" s="26">
        <v>147</v>
      </c>
      <c r="M1475" s="12">
        <v>9243.7095453318543</v>
      </c>
      <c r="N1475" s="12">
        <v>9243.7095453318543</v>
      </c>
      <c r="O1475" s="12">
        <v>1756.3048136130528</v>
      </c>
      <c r="P1475" s="13"/>
      <c r="Q1475" s="14">
        <v>2025</v>
      </c>
      <c r="R1475" s="15">
        <v>45444</v>
      </c>
      <c r="S1475" s="11" t="s">
        <v>364</v>
      </c>
      <c r="T1475" s="16">
        <v>1000</v>
      </c>
      <c r="U1475" s="17"/>
      <c r="V1475" s="12">
        <v>2806.1129066763915</v>
      </c>
      <c r="W1475" s="12">
        <v>2806.1129066763915</v>
      </c>
      <c r="X1475" s="12">
        <v>0</v>
      </c>
      <c r="Y1475" s="18">
        <v>45810</v>
      </c>
      <c r="Z1475" s="13" t="s">
        <v>515</v>
      </c>
      <c r="AA1475" s="19" t="s">
        <v>356</v>
      </c>
      <c r="AB1475" s="13" t="s">
        <v>357</v>
      </c>
      <c r="AC1475" s="13" t="s">
        <v>383</v>
      </c>
      <c r="AD1475" s="20"/>
      <c r="AE1475" s="20"/>
      <c r="AF1475" s="13" t="s">
        <v>40</v>
      </c>
      <c r="AG1475" s="15">
        <v>45444</v>
      </c>
      <c r="AH1475" s="13" t="s">
        <v>41</v>
      </c>
      <c r="AI1475" s="13" t="s">
        <v>35</v>
      </c>
      <c r="AJ1475" s="13" t="s">
        <v>365</v>
      </c>
      <c r="AK1475" s="14">
        <v>-1</v>
      </c>
      <c r="AL1475" s="17"/>
      <c r="AM1475" s="17"/>
      <c r="AN1475" s="17"/>
      <c r="AO1475" s="17"/>
      <c r="AP1475" s="17"/>
      <c r="AQ1475" s="17"/>
      <c r="AR1475" s="17"/>
      <c r="AS1475" s="17"/>
      <c r="AT1475" s="17"/>
      <c r="AU1475" s="17"/>
      <c r="AV1475" s="17"/>
    </row>
    <row r="1476" spans="1:48" ht="15.75" customHeight="1">
      <c r="A1476" s="21" t="s">
        <v>53</v>
      </c>
      <c r="B1476" s="23" t="s">
        <v>1692</v>
      </c>
      <c r="C1476" s="22">
        <v>45812</v>
      </c>
      <c r="D1476" s="23" t="s">
        <v>270</v>
      </c>
      <c r="E1476" s="23" t="s">
        <v>55</v>
      </c>
      <c r="F1476" s="21">
        <v>1</v>
      </c>
      <c r="G1476" s="12">
        <v>20899.657134519988</v>
      </c>
      <c r="H1476" s="12">
        <v>20899.657134519988</v>
      </c>
      <c r="I1476" s="23" t="s">
        <v>52</v>
      </c>
      <c r="J1476" s="23" t="s">
        <v>61</v>
      </c>
      <c r="K1476" s="24" t="s">
        <v>177</v>
      </c>
      <c r="L1476" s="26">
        <v>147</v>
      </c>
      <c r="M1476" s="12">
        <v>17562.737087831923</v>
      </c>
      <c r="N1476" s="12">
        <v>17562.737087831923</v>
      </c>
      <c r="O1476" s="12">
        <v>3336.9200466880648</v>
      </c>
      <c r="P1476" s="13"/>
      <c r="Q1476" s="14">
        <v>2025</v>
      </c>
      <c r="R1476" s="15">
        <v>45444</v>
      </c>
      <c r="S1476" s="11" t="s">
        <v>366</v>
      </c>
      <c r="T1476" s="16">
        <v>0</v>
      </c>
      <c r="U1476" s="17"/>
      <c r="V1476" s="12">
        <v>3117.7370878319234</v>
      </c>
      <c r="W1476" s="12">
        <v>3117.7370878319234</v>
      </c>
      <c r="X1476" s="12">
        <v>0</v>
      </c>
      <c r="Y1476" s="18">
        <v>45810</v>
      </c>
      <c r="Z1476" s="13" t="s">
        <v>515</v>
      </c>
      <c r="AA1476" s="19" t="s">
        <v>367</v>
      </c>
      <c r="AB1476" s="13" t="s">
        <v>357</v>
      </c>
      <c r="AC1476" s="13" t="s">
        <v>367</v>
      </c>
      <c r="AD1476" s="20"/>
      <c r="AE1476" s="20"/>
      <c r="AF1476" s="13" t="s">
        <v>40</v>
      </c>
      <c r="AG1476" s="15">
        <v>45444</v>
      </c>
      <c r="AH1476" s="13" t="s">
        <v>41</v>
      </c>
      <c r="AI1476" s="13" t="s">
        <v>53</v>
      </c>
      <c r="AJ1476" s="13" t="s">
        <v>368</v>
      </c>
      <c r="AK1476" s="14">
        <v>-8</v>
      </c>
      <c r="AL1476" s="17"/>
      <c r="AM1476" s="17"/>
      <c r="AN1476" s="17"/>
      <c r="AO1476" s="17"/>
      <c r="AP1476" s="17"/>
      <c r="AQ1476" s="17"/>
      <c r="AR1476" s="17"/>
      <c r="AS1476" s="17"/>
      <c r="AT1476" s="17"/>
      <c r="AU1476" s="17"/>
      <c r="AV1476" s="17"/>
    </row>
    <row r="1477" spans="1:48" ht="15.75" customHeight="1">
      <c r="A1477" s="21" t="s">
        <v>76</v>
      </c>
      <c r="B1477" s="23" t="s">
        <v>1692</v>
      </c>
      <c r="C1477" s="22">
        <v>45812</v>
      </c>
      <c r="D1477" s="23" t="s">
        <v>270</v>
      </c>
      <c r="E1477" s="23" t="s">
        <v>81</v>
      </c>
      <c r="F1477" s="21">
        <v>1</v>
      </c>
      <c r="G1477" s="12">
        <v>3500.0000000000005</v>
      </c>
      <c r="H1477" s="12">
        <v>3500.0000000000005</v>
      </c>
      <c r="I1477" s="23" t="s">
        <v>52</v>
      </c>
      <c r="J1477" s="23" t="s">
        <v>61</v>
      </c>
      <c r="K1477" s="24" t="s">
        <v>177</v>
      </c>
      <c r="L1477" s="26">
        <v>147</v>
      </c>
      <c r="M1477" s="12">
        <v>2941.1764705882356</v>
      </c>
      <c r="N1477" s="12">
        <v>2941.1764705882356</v>
      </c>
      <c r="O1477" s="12">
        <v>558.82352941176487</v>
      </c>
      <c r="P1477" s="13"/>
      <c r="Q1477" s="14">
        <v>2025</v>
      </c>
      <c r="R1477" s="15">
        <v>45444</v>
      </c>
      <c r="S1477" s="11" t="s">
        <v>397</v>
      </c>
      <c r="T1477" s="16">
        <v>5</v>
      </c>
      <c r="U1477" s="17"/>
      <c r="V1477" s="12">
        <v>764.70588235294144</v>
      </c>
      <c r="W1477" s="12">
        <v>764.70588235294144</v>
      </c>
      <c r="X1477" s="12">
        <v>0</v>
      </c>
      <c r="Y1477" s="18">
        <v>45810</v>
      </c>
      <c r="Z1477" s="13" t="s">
        <v>515</v>
      </c>
      <c r="AA1477" s="19" t="s">
        <v>367</v>
      </c>
      <c r="AB1477" s="13" t="s">
        <v>357</v>
      </c>
      <c r="AC1477" s="13" t="s">
        <v>367</v>
      </c>
      <c r="AD1477" s="20"/>
      <c r="AE1477" s="20"/>
      <c r="AF1477" s="13" t="s">
        <v>40</v>
      </c>
      <c r="AG1477" s="15">
        <v>45444</v>
      </c>
      <c r="AH1477" s="13" t="s">
        <v>41</v>
      </c>
      <c r="AI1477" s="13" t="s">
        <v>76</v>
      </c>
      <c r="AJ1477" s="13" t="s">
        <v>398</v>
      </c>
      <c r="AK1477" s="14">
        <v>-1</v>
      </c>
      <c r="AL1477" s="17"/>
      <c r="AM1477" s="17"/>
      <c r="AN1477" s="17"/>
      <c r="AO1477" s="17"/>
      <c r="AP1477" s="17"/>
      <c r="AQ1477" s="17"/>
      <c r="AR1477" s="17"/>
      <c r="AS1477" s="17"/>
      <c r="AT1477" s="17"/>
      <c r="AU1477" s="17"/>
      <c r="AV1477" s="17"/>
    </row>
    <row r="1478" spans="1:48" ht="15.75" customHeight="1">
      <c r="A1478" s="21" t="s">
        <v>43</v>
      </c>
      <c r="B1478" s="23" t="s">
        <v>1692</v>
      </c>
      <c r="C1478" s="25">
        <v>45811</v>
      </c>
      <c r="D1478" s="23" t="s">
        <v>184</v>
      </c>
      <c r="E1478" s="23" t="s">
        <v>45</v>
      </c>
      <c r="F1478" s="14">
        <v>1</v>
      </c>
      <c r="G1478" s="12">
        <v>8199.8965351595689</v>
      </c>
      <c r="H1478" s="12">
        <v>8199.8965351595689</v>
      </c>
      <c r="I1478" s="23" t="s">
        <v>52</v>
      </c>
      <c r="J1478" s="23" t="s">
        <v>61</v>
      </c>
      <c r="K1478" s="24" t="s">
        <v>177</v>
      </c>
      <c r="L1478" s="26">
        <v>147</v>
      </c>
      <c r="M1478" s="12">
        <v>6890.6693572769491</v>
      </c>
      <c r="N1478" s="12">
        <v>6890.6693572769491</v>
      </c>
      <c r="O1478" s="12">
        <v>1309.2271778826198</v>
      </c>
      <c r="P1478" s="13"/>
      <c r="Q1478" s="14">
        <v>2025</v>
      </c>
      <c r="R1478" s="15">
        <v>45444</v>
      </c>
      <c r="S1478" s="11" t="s">
        <v>355</v>
      </c>
      <c r="T1478" s="16">
        <v>0</v>
      </c>
      <c r="U1478" s="17"/>
      <c r="V1478" s="12">
        <v>1296.3416261845123</v>
      </c>
      <c r="W1478" s="12">
        <v>1296.3416261845123</v>
      </c>
      <c r="X1478" s="12">
        <v>0</v>
      </c>
      <c r="Y1478" s="18">
        <v>45810</v>
      </c>
      <c r="Z1478" s="13" t="s">
        <v>516</v>
      </c>
      <c r="AA1478" s="19" t="s">
        <v>361</v>
      </c>
      <c r="AB1478" s="13" t="s">
        <v>357</v>
      </c>
      <c r="AC1478" s="13" t="s">
        <v>405</v>
      </c>
      <c r="AD1478" s="20"/>
      <c r="AE1478" s="20"/>
      <c r="AF1478" s="13" t="s">
        <v>40</v>
      </c>
      <c r="AG1478" s="15">
        <v>45444</v>
      </c>
      <c r="AH1478" s="13" t="s">
        <v>41</v>
      </c>
      <c r="AI1478" s="13" t="s">
        <v>43</v>
      </c>
      <c r="AJ1478" s="13" t="s">
        <v>359</v>
      </c>
      <c r="AK1478" s="14">
        <v>-1</v>
      </c>
      <c r="AL1478" s="17"/>
      <c r="AM1478" s="17"/>
      <c r="AN1478" s="17"/>
      <c r="AO1478" s="17"/>
      <c r="AP1478" s="17"/>
      <c r="AQ1478" s="17"/>
      <c r="AR1478" s="17"/>
      <c r="AS1478" s="17"/>
      <c r="AT1478" s="17"/>
      <c r="AU1478" s="17"/>
      <c r="AV1478" s="17"/>
    </row>
    <row r="1479" spans="1:48" ht="15.75" customHeight="1">
      <c r="A1479" s="21" t="s">
        <v>53</v>
      </c>
      <c r="B1479" s="23" t="s">
        <v>1692</v>
      </c>
      <c r="C1479" s="22">
        <v>45811</v>
      </c>
      <c r="D1479" s="23" t="s">
        <v>80</v>
      </c>
      <c r="E1479" s="23" t="s">
        <v>55</v>
      </c>
      <c r="F1479" s="21">
        <v>1</v>
      </c>
      <c r="G1479" s="12">
        <v>20899.657134519988</v>
      </c>
      <c r="H1479" s="12">
        <v>20899.657134519988</v>
      </c>
      <c r="I1479" s="23" t="s">
        <v>52</v>
      </c>
      <c r="J1479" s="23" t="s">
        <v>61</v>
      </c>
      <c r="K1479" s="24" t="s">
        <v>177</v>
      </c>
      <c r="L1479" s="26">
        <v>147</v>
      </c>
      <c r="M1479" s="12">
        <v>17562.737087831923</v>
      </c>
      <c r="N1479" s="12">
        <v>17562.737087831923</v>
      </c>
      <c r="O1479" s="12">
        <v>3336.9200466880648</v>
      </c>
      <c r="P1479" s="13"/>
      <c r="Q1479" s="14">
        <v>2025</v>
      </c>
      <c r="R1479" s="15">
        <v>45444</v>
      </c>
      <c r="S1479" s="11" t="s">
        <v>366</v>
      </c>
      <c r="T1479" s="16">
        <v>0</v>
      </c>
      <c r="U1479" s="17"/>
      <c r="V1479" s="12">
        <v>3117.7370878319234</v>
      </c>
      <c r="W1479" s="12">
        <v>3117.7370878319234</v>
      </c>
      <c r="X1479" s="12">
        <v>0</v>
      </c>
      <c r="Y1479" s="18">
        <v>45810</v>
      </c>
      <c r="Z1479" s="13" t="s">
        <v>516</v>
      </c>
      <c r="AA1479" s="19" t="s">
        <v>361</v>
      </c>
      <c r="AB1479" s="13" t="s">
        <v>357</v>
      </c>
      <c r="AC1479" s="13" t="s">
        <v>362</v>
      </c>
      <c r="AD1479" s="20"/>
      <c r="AE1479" s="20"/>
      <c r="AF1479" s="13" t="s">
        <v>40</v>
      </c>
      <c r="AG1479" s="15">
        <v>45444</v>
      </c>
      <c r="AH1479" s="13" t="s">
        <v>41</v>
      </c>
      <c r="AI1479" s="13" t="s">
        <v>53</v>
      </c>
      <c r="AJ1479" s="13" t="s">
        <v>368</v>
      </c>
      <c r="AK1479" s="14">
        <v>-8</v>
      </c>
      <c r="AL1479" s="17"/>
      <c r="AM1479" s="17"/>
      <c r="AN1479" s="17"/>
      <c r="AO1479" s="17"/>
      <c r="AP1479" s="17"/>
      <c r="AQ1479" s="17"/>
      <c r="AR1479" s="17"/>
      <c r="AS1479" s="17"/>
      <c r="AT1479" s="17"/>
      <c r="AU1479" s="17"/>
      <c r="AV1479" s="17"/>
    </row>
    <row r="1480" spans="1:48" ht="15.75" customHeight="1">
      <c r="A1480" s="21" t="s">
        <v>35</v>
      </c>
      <c r="B1480" s="23" t="s">
        <v>1692</v>
      </c>
      <c r="C1480" s="22">
        <v>45811</v>
      </c>
      <c r="D1480" s="23" t="s">
        <v>605</v>
      </c>
      <c r="E1480" s="23" t="s">
        <v>46</v>
      </c>
      <c r="F1480" s="21">
        <v>1</v>
      </c>
      <c r="G1480" s="12">
        <v>6000.1548227279782</v>
      </c>
      <c r="H1480" s="12">
        <v>6000.1548227279782</v>
      </c>
      <c r="I1480" s="23" t="s">
        <v>52</v>
      </c>
      <c r="J1480" s="23" t="s">
        <v>61</v>
      </c>
      <c r="K1480" s="24" t="s">
        <v>177</v>
      </c>
      <c r="L1480" s="26">
        <v>147</v>
      </c>
      <c r="M1480" s="12">
        <v>5042.1469098554444</v>
      </c>
      <c r="N1480" s="12">
        <v>5042.1469098554444</v>
      </c>
      <c r="O1480" s="12">
        <v>958.00791287253378</v>
      </c>
      <c r="P1480" s="13"/>
      <c r="Q1480" s="14">
        <v>2025</v>
      </c>
      <c r="R1480" s="15">
        <v>45444</v>
      </c>
      <c r="S1480" s="11" t="s">
        <v>364</v>
      </c>
      <c r="T1480" s="16">
        <v>500</v>
      </c>
      <c r="U1480" s="17"/>
      <c r="V1480" s="12">
        <v>1785.4242207798129</v>
      </c>
      <c r="W1480" s="12">
        <v>1785.4242207798129</v>
      </c>
      <c r="X1480" s="12">
        <v>0</v>
      </c>
      <c r="Y1480" s="18">
        <v>45810</v>
      </c>
      <c r="Z1480" s="13" t="s">
        <v>516</v>
      </c>
      <c r="AA1480" s="19" t="s">
        <v>373</v>
      </c>
      <c r="AB1480" s="13" t="s">
        <v>357</v>
      </c>
      <c r="AC1480" s="13" t="s">
        <v>606</v>
      </c>
      <c r="AD1480" s="20"/>
      <c r="AE1480" s="20"/>
      <c r="AF1480" s="13" t="s">
        <v>40</v>
      </c>
      <c r="AG1480" s="15">
        <v>45444</v>
      </c>
      <c r="AH1480" s="13" t="s">
        <v>41</v>
      </c>
      <c r="AI1480" s="13" t="s">
        <v>35</v>
      </c>
      <c r="AJ1480" s="13" t="s">
        <v>365</v>
      </c>
      <c r="AK1480" s="14">
        <v>-0.5</v>
      </c>
      <c r="AL1480" s="17"/>
      <c r="AM1480" s="17"/>
      <c r="AN1480" s="17"/>
      <c r="AO1480" s="17"/>
      <c r="AP1480" s="17"/>
      <c r="AQ1480" s="17"/>
      <c r="AR1480" s="17"/>
      <c r="AS1480" s="17"/>
      <c r="AT1480" s="17"/>
      <c r="AU1480" s="17"/>
      <c r="AV1480" s="17"/>
    </row>
    <row r="1481" spans="1:48" ht="15.75" customHeight="1">
      <c r="A1481" s="21" t="s">
        <v>56</v>
      </c>
      <c r="B1481" s="23" t="s">
        <v>1692</v>
      </c>
      <c r="C1481" s="22">
        <v>45811</v>
      </c>
      <c r="D1481" s="23" t="s">
        <v>605</v>
      </c>
      <c r="E1481" s="23" t="s">
        <v>190</v>
      </c>
      <c r="F1481" s="21">
        <v>1</v>
      </c>
      <c r="G1481" s="12">
        <v>2499.8855507868384</v>
      </c>
      <c r="H1481" s="12">
        <v>2499.8855507868384</v>
      </c>
      <c r="I1481" s="23" t="s">
        <v>52</v>
      </c>
      <c r="J1481" s="23" t="s">
        <v>61</v>
      </c>
      <c r="K1481" s="24" t="s">
        <v>177</v>
      </c>
      <c r="L1481" s="26">
        <v>147</v>
      </c>
      <c r="M1481" s="12">
        <v>2100.7441603250745</v>
      </c>
      <c r="N1481" s="12">
        <v>2100.7441603250745</v>
      </c>
      <c r="O1481" s="12">
        <v>399.14139046176388</v>
      </c>
      <c r="P1481" s="13"/>
      <c r="Q1481" s="14">
        <v>2025</v>
      </c>
      <c r="R1481" s="15">
        <v>45444</v>
      </c>
      <c r="S1481" s="11" t="s">
        <v>492</v>
      </c>
      <c r="T1481" s="16">
        <v>200</v>
      </c>
      <c r="U1481" s="17"/>
      <c r="V1481" s="12">
        <v>632.32399225784707</v>
      </c>
      <c r="W1481" s="12">
        <v>632.32399225784707</v>
      </c>
      <c r="X1481" s="12">
        <v>0</v>
      </c>
      <c r="Y1481" s="18">
        <v>45810</v>
      </c>
      <c r="Z1481" s="13" t="s">
        <v>516</v>
      </c>
      <c r="AA1481" s="19" t="s">
        <v>373</v>
      </c>
      <c r="AB1481" s="13" t="s">
        <v>357</v>
      </c>
      <c r="AC1481" s="13" t="s">
        <v>606</v>
      </c>
      <c r="AD1481" s="20"/>
      <c r="AE1481" s="20"/>
      <c r="AF1481" s="13" t="s">
        <v>40</v>
      </c>
      <c r="AG1481" s="15">
        <v>45444</v>
      </c>
      <c r="AH1481" s="13" t="s">
        <v>41</v>
      </c>
      <c r="AI1481" s="13" t="s">
        <v>56</v>
      </c>
      <c r="AJ1481" s="13" t="s">
        <v>493</v>
      </c>
      <c r="AK1481" s="14">
        <v>-1</v>
      </c>
      <c r="AL1481" s="17"/>
      <c r="AM1481" s="17"/>
      <c r="AN1481" s="17"/>
      <c r="AO1481" s="17"/>
      <c r="AP1481" s="17"/>
      <c r="AQ1481" s="17"/>
      <c r="AR1481" s="17"/>
      <c r="AS1481" s="17"/>
      <c r="AT1481" s="17"/>
      <c r="AU1481" s="17"/>
      <c r="AV1481" s="17"/>
    </row>
    <row r="1482" spans="1:48" ht="15.75" customHeight="1">
      <c r="A1482" s="21" t="s">
        <v>47</v>
      </c>
      <c r="B1482" s="23" t="s">
        <v>1692</v>
      </c>
      <c r="C1482" s="22">
        <v>45811</v>
      </c>
      <c r="D1482" s="23" t="s">
        <v>605</v>
      </c>
      <c r="E1482" s="23" t="s">
        <v>303</v>
      </c>
      <c r="F1482" s="21">
        <v>2</v>
      </c>
      <c r="G1482" s="12">
        <v>2000.1655971848479</v>
      </c>
      <c r="H1482" s="12">
        <v>4000.3311943696958</v>
      </c>
      <c r="I1482" s="23" t="s">
        <v>52</v>
      </c>
      <c r="J1482" s="23" t="s">
        <v>61</v>
      </c>
      <c r="K1482" s="24" t="s">
        <v>177</v>
      </c>
      <c r="L1482" s="26">
        <v>147</v>
      </c>
      <c r="M1482" s="12">
        <v>1680.8114262057545</v>
      </c>
      <c r="N1482" s="12">
        <v>3361.622852411509</v>
      </c>
      <c r="O1482" s="12">
        <v>638.70834195818679</v>
      </c>
      <c r="P1482" s="13"/>
      <c r="Q1482" s="14">
        <v>2025</v>
      </c>
      <c r="R1482" s="15">
        <v>45444</v>
      </c>
      <c r="S1482" s="11" t="s">
        <v>433</v>
      </c>
      <c r="T1482" s="16">
        <v>0</v>
      </c>
      <c r="U1482" s="17"/>
      <c r="V1482" s="12">
        <v>925.62285241150903</v>
      </c>
      <c r="W1482" s="12">
        <v>925.62285241150903</v>
      </c>
      <c r="X1482" s="12">
        <v>0</v>
      </c>
      <c r="Y1482" s="18">
        <v>45810</v>
      </c>
      <c r="Z1482" s="13" t="s">
        <v>516</v>
      </c>
      <c r="AA1482" s="19" t="s">
        <v>373</v>
      </c>
      <c r="AB1482" s="13" t="s">
        <v>357</v>
      </c>
      <c r="AC1482" s="13" t="s">
        <v>606</v>
      </c>
      <c r="AD1482" s="20"/>
      <c r="AE1482" s="20"/>
      <c r="AF1482" s="13" t="s">
        <v>40</v>
      </c>
      <c r="AG1482" s="15">
        <v>45444</v>
      </c>
      <c r="AH1482" s="13" t="s">
        <v>41</v>
      </c>
      <c r="AI1482" s="13" t="s">
        <v>47</v>
      </c>
      <c r="AJ1482" s="13" t="s">
        <v>434</v>
      </c>
      <c r="AK1482" s="14">
        <v>-2</v>
      </c>
      <c r="AL1482" s="17"/>
      <c r="AM1482" s="17"/>
      <c r="AN1482" s="17"/>
      <c r="AO1482" s="17"/>
      <c r="AP1482" s="17"/>
      <c r="AQ1482" s="17"/>
      <c r="AR1482" s="17"/>
      <c r="AS1482" s="17"/>
      <c r="AT1482" s="17"/>
      <c r="AU1482" s="17"/>
      <c r="AV1482" s="17"/>
    </row>
    <row r="1483" spans="1:48" ht="15.75" customHeight="1">
      <c r="A1483" s="21" t="s">
        <v>76</v>
      </c>
      <c r="B1483" s="23" t="s">
        <v>1692</v>
      </c>
      <c r="C1483" s="22">
        <v>45811</v>
      </c>
      <c r="D1483" s="23" t="s">
        <v>605</v>
      </c>
      <c r="E1483" s="23" t="s">
        <v>511</v>
      </c>
      <c r="F1483" s="21">
        <v>1</v>
      </c>
      <c r="G1483" s="12">
        <v>2700.0952628388322</v>
      </c>
      <c r="H1483" s="12">
        <v>2700.0952628388322</v>
      </c>
      <c r="I1483" s="23" t="s">
        <v>52</v>
      </c>
      <c r="J1483" s="23" t="s">
        <v>61</v>
      </c>
      <c r="K1483" s="24" t="s">
        <v>177</v>
      </c>
      <c r="L1483" s="26">
        <v>147</v>
      </c>
      <c r="M1483" s="12">
        <v>2268.9876158309517</v>
      </c>
      <c r="N1483" s="12">
        <v>2268.9876158309517</v>
      </c>
      <c r="O1483" s="12">
        <v>431.10764700788059</v>
      </c>
      <c r="P1483" s="13"/>
      <c r="Q1483" s="14">
        <v>2025</v>
      </c>
      <c r="R1483" s="15">
        <v>45444</v>
      </c>
      <c r="S1483" s="11" t="s">
        <v>512</v>
      </c>
      <c r="T1483" s="16">
        <v>0</v>
      </c>
      <c r="U1483" s="17"/>
      <c r="V1483" s="12">
        <v>696.98761583095165</v>
      </c>
      <c r="W1483" s="12">
        <v>696.98761583095165</v>
      </c>
      <c r="X1483" s="12">
        <v>0</v>
      </c>
      <c r="Y1483" s="18">
        <v>45810</v>
      </c>
      <c r="Z1483" s="13" t="s">
        <v>516</v>
      </c>
      <c r="AA1483" s="19" t="s">
        <v>373</v>
      </c>
      <c r="AB1483" s="13" t="s">
        <v>357</v>
      </c>
      <c r="AC1483" s="13" t="s">
        <v>606</v>
      </c>
      <c r="AD1483" s="20"/>
      <c r="AE1483" s="20"/>
      <c r="AF1483" s="13" t="s">
        <v>40</v>
      </c>
      <c r="AG1483" s="15">
        <v>45444</v>
      </c>
      <c r="AH1483" s="13" t="s">
        <v>41</v>
      </c>
      <c r="AI1483" s="13" t="s">
        <v>76</v>
      </c>
      <c r="AJ1483" s="13" t="s">
        <v>513</v>
      </c>
      <c r="AK1483" s="14">
        <v>-1</v>
      </c>
      <c r="AL1483" s="17"/>
      <c r="AM1483" s="17"/>
      <c r="AN1483" s="17"/>
      <c r="AO1483" s="17"/>
      <c r="AP1483" s="17"/>
      <c r="AQ1483" s="17"/>
      <c r="AR1483" s="17"/>
      <c r="AS1483" s="17"/>
      <c r="AT1483" s="17"/>
      <c r="AU1483" s="17"/>
      <c r="AV1483" s="17"/>
    </row>
    <row r="1484" spans="1:48" ht="15.75" customHeight="1">
      <c r="A1484" s="21" t="s">
        <v>76</v>
      </c>
      <c r="B1484" s="23" t="s">
        <v>1692</v>
      </c>
      <c r="C1484" s="22">
        <v>45811</v>
      </c>
      <c r="D1484" s="23" t="s">
        <v>605</v>
      </c>
      <c r="E1484" s="23" t="s">
        <v>252</v>
      </c>
      <c r="F1484" s="21">
        <v>1</v>
      </c>
      <c r="G1484" s="12">
        <v>1599.969512195122</v>
      </c>
      <c r="H1484" s="12">
        <v>1599.969512195122</v>
      </c>
      <c r="I1484" s="23" t="s">
        <v>52</v>
      </c>
      <c r="J1484" s="23" t="s">
        <v>61</v>
      </c>
      <c r="K1484" s="24" t="s">
        <v>177</v>
      </c>
      <c r="L1484" s="26">
        <v>147</v>
      </c>
      <c r="M1484" s="12">
        <v>1344.5121951219512</v>
      </c>
      <c r="N1484" s="12">
        <v>1344.5121951219512</v>
      </c>
      <c r="O1484" s="12">
        <v>255.45731707317077</v>
      </c>
      <c r="P1484" s="13"/>
      <c r="Q1484" s="14">
        <v>2025</v>
      </c>
      <c r="R1484" s="15">
        <v>45444</v>
      </c>
      <c r="S1484" s="11" t="s">
        <v>252</v>
      </c>
      <c r="T1484" s="16">
        <v>0</v>
      </c>
      <c r="U1484" s="17"/>
      <c r="V1484" s="12">
        <v>462.51219512195121</v>
      </c>
      <c r="W1484" s="12">
        <v>462.51219512195121</v>
      </c>
      <c r="X1484" s="12">
        <v>0</v>
      </c>
      <c r="Y1484" s="18">
        <v>45810</v>
      </c>
      <c r="Z1484" s="13" t="s">
        <v>516</v>
      </c>
      <c r="AA1484" s="19" t="s">
        <v>373</v>
      </c>
      <c r="AB1484" s="13" t="s">
        <v>357</v>
      </c>
      <c r="AC1484" s="13" t="s">
        <v>606</v>
      </c>
      <c r="AD1484" s="20"/>
      <c r="AE1484" s="20"/>
      <c r="AF1484" s="13" t="s">
        <v>40</v>
      </c>
      <c r="AG1484" s="15">
        <v>45444</v>
      </c>
      <c r="AH1484" s="13" t="s">
        <v>41</v>
      </c>
      <c r="AI1484" s="13" t="s">
        <v>76</v>
      </c>
      <c r="AJ1484" s="13" t="s">
        <v>486</v>
      </c>
      <c r="AK1484" s="14">
        <v>-1</v>
      </c>
      <c r="AL1484" s="17"/>
      <c r="AM1484" s="17"/>
      <c r="AN1484" s="17"/>
      <c r="AO1484" s="17"/>
      <c r="AP1484" s="17"/>
      <c r="AQ1484" s="17"/>
      <c r="AR1484" s="17"/>
      <c r="AS1484" s="17"/>
      <c r="AT1484" s="17"/>
      <c r="AU1484" s="17"/>
      <c r="AV1484" s="17"/>
    </row>
    <row r="1485" spans="1:48" ht="15.75" customHeight="1">
      <c r="A1485" s="21" t="s">
        <v>53</v>
      </c>
      <c r="B1485" s="23" t="s">
        <v>1692</v>
      </c>
      <c r="C1485" s="22">
        <v>45811</v>
      </c>
      <c r="D1485" s="23" t="s">
        <v>605</v>
      </c>
      <c r="E1485" s="23" t="s">
        <v>55</v>
      </c>
      <c r="F1485" s="21">
        <v>1</v>
      </c>
      <c r="G1485" s="12">
        <v>20899.657134519988</v>
      </c>
      <c r="H1485" s="12">
        <v>20899.657134519988</v>
      </c>
      <c r="I1485" s="23" t="s">
        <v>52</v>
      </c>
      <c r="J1485" s="23" t="s">
        <v>61</v>
      </c>
      <c r="K1485" s="24" t="s">
        <v>177</v>
      </c>
      <c r="L1485" s="26">
        <v>147</v>
      </c>
      <c r="M1485" s="12">
        <v>17562.737087831923</v>
      </c>
      <c r="N1485" s="12">
        <v>17562.737087831923</v>
      </c>
      <c r="O1485" s="12">
        <v>3336.9200466880648</v>
      </c>
      <c r="P1485" s="13"/>
      <c r="Q1485" s="14">
        <v>2025</v>
      </c>
      <c r="R1485" s="15">
        <v>45444</v>
      </c>
      <c r="S1485" s="11" t="s">
        <v>366</v>
      </c>
      <c r="T1485" s="16">
        <v>0</v>
      </c>
      <c r="U1485" s="17"/>
      <c r="V1485" s="12">
        <v>3117.7370878319234</v>
      </c>
      <c r="W1485" s="12">
        <v>3117.7370878319234</v>
      </c>
      <c r="X1485" s="12">
        <v>0</v>
      </c>
      <c r="Y1485" s="18">
        <v>45810</v>
      </c>
      <c r="Z1485" s="13" t="s">
        <v>516</v>
      </c>
      <c r="AA1485" s="19" t="s">
        <v>373</v>
      </c>
      <c r="AB1485" s="13" t="s">
        <v>357</v>
      </c>
      <c r="AC1485" s="13" t="s">
        <v>606</v>
      </c>
      <c r="AD1485" s="20"/>
      <c r="AE1485" s="20"/>
      <c r="AF1485" s="13" t="s">
        <v>40</v>
      </c>
      <c r="AG1485" s="15">
        <v>45444</v>
      </c>
      <c r="AH1485" s="13" t="s">
        <v>41</v>
      </c>
      <c r="AI1485" s="13" t="s">
        <v>53</v>
      </c>
      <c r="AJ1485" s="13" t="s">
        <v>368</v>
      </c>
      <c r="AK1485" s="14">
        <v>-8</v>
      </c>
      <c r="AL1485" s="17"/>
      <c r="AM1485" s="17"/>
      <c r="AN1485" s="17"/>
      <c r="AO1485" s="17"/>
      <c r="AP1485" s="17"/>
      <c r="AQ1485" s="17"/>
      <c r="AR1485" s="17"/>
      <c r="AS1485" s="17"/>
      <c r="AT1485" s="17"/>
      <c r="AU1485" s="17"/>
      <c r="AV1485" s="17"/>
    </row>
    <row r="1486" spans="1:48" ht="15.75" customHeight="1">
      <c r="A1486" s="21" t="s">
        <v>73</v>
      </c>
      <c r="B1486" s="23" t="s">
        <v>1692</v>
      </c>
      <c r="C1486" s="22">
        <v>45811</v>
      </c>
      <c r="D1486" s="23" t="s">
        <v>247</v>
      </c>
      <c r="E1486" s="23" t="s">
        <v>300</v>
      </c>
      <c r="F1486" s="21">
        <v>2</v>
      </c>
      <c r="G1486" s="12">
        <v>1600</v>
      </c>
      <c r="H1486" s="12">
        <v>3200</v>
      </c>
      <c r="I1486" s="23" t="s">
        <v>52</v>
      </c>
      <c r="J1486" s="23" t="s">
        <v>61</v>
      </c>
      <c r="K1486" s="24" t="s">
        <v>177</v>
      </c>
      <c r="L1486" s="26">
        <v>147</v>
      </c>
      <c r="M1486" s="12">
        <v>1344.5378151260504</v>
      </c>
      <c r="N1486" s="12">
        <v>2689.0756302521008</v>
      </c>
      <c r="O1486" s="12">
        <v>510.92436974789916</v>
      </c>
      <c r="P1486" s="13"/>
      <c r="Q1486" s="14">
        <v>2025</v>
      </c>
      <c r="R1486" s="15">
        <v>45444</v>
      </c>
      <c r="S1486" s="11" t="s">
        <v>559</v>
      </c>
      <c r="T1486" s="16">
        <v>0</v>
      </c>
      <c r="U1486" s="17"/>
      <c r="V1486" s="12">
        <v>1277.3109243697479</v>
      </c>
      <c r="W1486" s="12">
        <v>1277.3109243697479</v>
      </c>
      <c r="X1486" s="12">
        <v>0</v>
      </c>
      <c r="Y1486" s="18">
        <v>45810</v>
      </c>
      <c r="Z1486" s="13" t="s">
        <v>516</v>
      </c>
      <c r="AA1486" s="19" t="s">
        <v>361</v>
      </c>
      <c r="AB1486" s="13" t="s">
        <v>357</v>
      </c>
      <c r="AC1486" s="13" t="s">
        <v>374</v>
      </c>
      <c r="AD1486" s="20"/>
      <c r="AE1486" s="20"/>
      <c r="AF1486" s="13" t="s">
        <v>40</v>
      </c>
      <c r="AG1486" s="15">
        <v>45444</v>
      </c>
      <c r="AH1486" s="13" t="s">
        <v>41</v>
      </c>
      <c r="AI1486" s="13" t="s">
        <v>73</v>
      </c>
      <c r="AJ1486" s="13" t="s">
        <v>561</v>
      </c>
      <c r="AK1486" s="14">
        <v>-2</v>
      </c>
      <c r="AL1486" s="17"/>
      <c r="AM1486" s="17"/>
      <c r="AN1486" s="17"/>
      <c r="AO1486" s="17"/>
      <c r="AP1486" s="17"/>
      <c r="AQ1486" s="17"/>
      <c r="AR1486" s="17"/>
      <c r="AS1486" s="17"/>
      <c r="AT1486" s="17"/>
      <c r="AU1486" s="17"/>
      <c r="AV1486" s="17"/>
    </row>
    <row r="1487" spans="1:48" ht="15.75" customHeight="1">
      <c r="A1487" s="21" t="s">
        <v>147</v>
      </c>
      <c r="B1487" s="23" t="s">
        <v>1692</v>
      </c>
      <c r="C1487" s="22">
        <v>45811</v>
      </c>
      <c r="D1487" s="23" t="s">
        <v>247</v>
      </c>
      <c r="E1487" s="23" t="s">
        <v>257</v>
      </c>
      <c r="F1487" s="21">
        <v>1</v>
      </c>
      <c r="G1487" s="12">
        <v>4000.0000000000005</v>
      </c>
      <c r="H1487" s="12">
        <v>4000.0000000000005</v>
      </c>
      <c r="I1487" s="23" t="s">
        <v>52</v>
      </c>
      <c r="J1487" s="23" t="s">
        <v>61</v>
      </c>
      <c r="K1487" s="24" t="s">
        <v>177</v>
      </c>
      <c r="L1487" s="26">
        <v>147</v>
      </c>
      <c r="M1487" s="12">
        <v>3361.3445378151264</v>
      </c>
      <c r="N1487" s="12">
        <v>3361.3445378151264</v>
      </c>
      <c r="O1487" s="12">
        <v>638.65546218487407</v>
      </c>
      <c r="P1487" s="13"/>
      <c r="Q1487" s="14">
        <v>2025</v>
      </c>
      <c r="R1487" s="15">
        <v>45444</v>
      </c>
      <c r="S1487" s="11" t="s">
        <v>412</v>
      </c>
      <c r="T1487" s="16">
        <v>0</v>
      </c>
      <c r="U1487" s="17"/>
      <c r="V1487" s="12">
        <v>1680.6722689075632</v>
      </c>
      <c r="W1487" s="12">
        <v>1680.6722689075632</v>
      </c>
      <c r="X1487" s="12">
        <v>0</v>
      </c>
      <c r="Y1487" s="18">
        <v>45810</v>
      </c>
      <c r="Z1487" s="13" t="s">
        <v>516</v>
      </c>
      <c r="AA1487" s="19" t="s">
        <v>361</v>
      </c>
      <c r="AB1487" s="13" t="s">
        <v>357</v>
      </c>
      <c r="AC1487" s="13" t="s">
        <v>374</v>
      </c>
      <c r="AD1487" s="20"/>
      <c r="AE1487" s="20"/>
      <c r="AF1487" s="13" t="s">
        <v>40</v>
      </c>
      <c r="AG1487" s="15">
        <v>45444</v>
      </c>
      <c r="AH1487" s="13" t="s">
        <v>41</v>
      </c>
      <c r="AI1487" s="13" t="s">
        <v>147</v>
      </c>
      <c r="AJ1487" s="13" t="s">
        <v>456</v>
      </c>
      <c r="AK1487" s="14">
        <v>-1</v>
      </c>
      <c r="AL1487" s="17"/>
      <c r="AM1487" s="17"/>
      <c r="AN1487" s="17"/>
      <c r="AO1487" s="17"/>
      <c r="AP1487" s="17"/>
      <c r="AQ1487" s="17"/>
      <c r="AR1487" s="17"/>
      <c r="AS1487" s="17"/>
      <c r="AT1487" s="17"/>
      <c r="AU1487" s="17"/>
      <c r="AV1487" s="17"/>
    </row>
    <row r="1488" spans="1:48" ht="15.75" customHeight="1">
      <c r="A1488" s="21" t="s">
        <v>147</v>
      </c>
      <c r="B1488" s="23" t="s">
        <v>1692</v>
      </c>
      <c r="C1488" s="22">
        <v>45811</v>
      </c>
      <c r="D1488" s="23" t="s">
        <v>247</v>
      </c>
      <c r="E1488" s="23" t="s">
        <v>148</v>
      </c>
      <c r="F1488" s="21">
        <v>1</v>
      </c>
      <c r="G1488" s="12">
        <v>1200.0000000000002</v>
      </c>
      <c r="H1488" s="12">
        <v>1200.0000000000002</v>
      </c>
      <c r="I1488" s="23" t="s">
        <v>52</v>
      </c>
      <c r="J1488" s="23" t="s">
        <v>61</v>
      </c>
      <c r="K1488" s="24" t="s">
        <v>177</v>
      </c>
      <c r="L1488" s="26">
        <v>147</v>
      </c>
      <c r="M1488" s="12">
        <v>1008.4033613445381</v>
      </c>
      <c r="N1488" s="12">
        <v>1008.4033613445381</v>
      </c>
      <c r="O1488" s="12">
        <v>191.59663865546213</v>
      </c>
      <c r="P1488" s="13"/>
      <c r="Q1488" s="14">
        <v>2025</v>
      </c>
      <c r="R1488" s="15">
        <v>45444</v>
      </c>
      <c r="S1488" s="11" t="s">
        <v>360</v>
      </c>
      <c r="T1488" s="16">
        <v>0</v>
      </c>
      <c r="U1488" s="17"/>
      <c r="V1488" s="12">
        <v>357.9831932773111</v>
      </c>
      <c r="W1488" s="12">
        <v>357.9831932773111</v>
      </c>
      <c r="X1488" s="12">
        <v>0</v>
      </c>
      <c r="Y1488" s="18">
        <v>45810</v>
      </c>
      <c r="Z1488" s="13" t="s">
        <v>516</v>
      </c>
      <c r="AA1488" s="19" t="s">
        <v>361</v>
      </c>
      <c r="AB1488" s="13" t="s">
        <v>357</v>
      </c>
      <c r="AC1488" s="13" t="s">
        <v>374</v>
      </c>
      <c r="AD1488" s="20"/>
      <c r="AE1488" s="20"/>
      <c r="AF1488" s="13" t="s">
        <v>40</v>
      </c>
      <c r="AG1488" s="15">
        <v>45444</v>
      </c>
      <c r="AH1488" s="13" t="s">
        <v>41</v>
      </c>
      <c r="AI1488" s="13" t="s">
        <v>147</v>
      </c>
      <c r="AJ1488" s="13" t="s">
        <v>363</v>
      </c>
      <c r="AK1488" s="14">
        <v>-1</v>
      </c>
      <c r="AL1488" s="17"/>
      <c r="AM1488" s="17"/>
      <c r="AN1488" s="17"/>
      <c r="AO1488" s="17"/>
      <c r="AP1488" s="17"/>
      <c r="AQ1488" s="17"/>
      <c r="AR1488" s="17"/>
      <c r="AS1488" s="17"/>
      <c r="AT1488" s="17"/>
      <c r="AU1488" s="17"/>
      <c r="AV1488" s="17"/>
    </row>
    <row r="1489" spans="1:48" ht="15.75" customHeight="1">
      <c r="A1489" s="21" t="s">
        <v>147</v>
      </c>
      <c r="B1489" s="23" t="s">
        <v>1692</v>
      </c>
      <c r="C1489" s="22">
        <v>45811</v>
      </c>
      <c r="D1489" s="23" t="s">
        <v>247</v>
      </c>
      <c r="E1489" s="23" t="s">
        <v>249</v>
      </c>
      <c r="F1489" s="21">
        <v>1</v>
      </c>
      <c r="G1489" s="12">
        <v>8500.0000000000018</v>
      </c>
      <c r="H1489" s="12">
        <v>8500.0000000000018</v>
      </c>
      <c r="I1489" s="23" t="s">
        <v>52</v>
      </c>
      <c r="J1489" s="23" t="s">
        <v>61</v>
      </c>
      <c r="K1489" s="24" t="s">
        <v>177</v>
      </c>
      <c r="L1489" s="26">
        <v>147</v>
      </c>
      <c r="M1489" s="12">
        <v>7142.8571428571449</v>
      </c>
      <c r="N1489" s="12">
        <v>7142.8571428571449</v>
      </c>
      <c r="O1489" s="12">
        <v>1357.1428571428569</v>
      </c>
      <c r="P1489" s="13"/>
      <c r="Q1489" s="14">
        <v>2025</v>
      </c>
      <c r="R1489" s="15">
        <v>45444</v>
      </c>
      <c r="S1489" s="11" t="s">
        <v>360</v>
      </c>
      <c r="T1489" s="16">
        <v>0</v>
      </c>
      <c r="U1489" s="17"/>
      <c r="V1489" s="12">
        <v>2212.857142857144</v>
      </c>
      <c r="W1489" s="12">
        <v>2212.857142857144</v>
      </c>
      <c r="X1489" s="12">
        <v>0</v>
      </c>
      <c r="Y1489" s="18">
        <v>45810</v>
      </c>
      <c r="Z1489" s="13" t="s">
        <v>516</v>
      </c>
      <c r="AA1489" s="19" t="s">
        <v>361</v>
      </c>
      <c r="AB1489" s="13" t="s">
        <v>357</v>
      </c>
      <c r="AC1489" s="13" t="s">
        <v>374</v>
      </c>
      <c r="AD1489" s="20"/>
      <c r="AE1489" s="20"/>
      <c r="AF1489" s="13" t="s">
        <v>40</v>
      </c>
      <c r="AG1489" s="15">
        <v>45444</v>
      </c>
      <c r="AH1489" s="13" t="s">
        <v>41</v>
      </c>
      <c r="AI1489" s="13" t="s">
        <v>147</v>
      </c>
      <c r="AJ1489" s="13" t="s">
        <v>607</v>
      </c>
      <c r="AK1489" s="14">
        <v>-1</v>
      </c>
      <c r="AL1489" s="17"/>
      <c r="AM1489" s="17"/>
      <c r="AN1489" s="17"/>
      <c r="AO1489" s="17"/>
      <c r="AP1489" s="17"/>
      <c r="AQ1489" s="17"/>
      <c r="AR1489" s="17"/>
      <c r="AS1489" s="17"/>
      <c r="AT1489" s="17"/>
      <c r="AU1489" s="17"/>
      <c r="AV1489" s="17"/>
    </row>
    <row r="1490" spans="1:48" ht="15.75" customHeight="1">
      <c r="A1490" s="21" t="s">
        <v>47</v>
      </c>
      <c r="B1490" s="23" t="s">
        <v>1692</v>
      </c>
      <c r="C1490" s="22">
        <v>45811</v>
      </c>
      <c r="D1490" s="23" t="s">
        <v>247</v>
      </c>
      <c r="E1490" s="23" t="s">
        <v>562</v>
      </c>
      <c r="F1490" s="21">
        <v>1</v>
      </c>
      <c r="G1490" s="12">
        <v>6499.5824285952895</v>
      </c>
      <c r="H1490" s="12">
        <v>6499.5824285952895</v>
      </c>
      <c r="I1490" s="23" t="s">
        <v>52</v>
      </c>
      <c r="J1490" s="23" t="s">
        <v>61</v>
      </c>
      <c r="K1490" s="24" t="s">
        <v>177</v>
      </c>
      <c r="L1490" s="26">
        <v>147</v>
      </c>
      <c r="M1490" s="12">
        <v>5461.8339736094867</v>
      </c>
      <c r="N1490" s="12">
        <v>5461.8339736094867</v>
      </c>
      <c r="O1490" s="12">
        <v>1037.7484549858027</v>
      </c>
      <c r="P1490" s="13"/>
      <c r="Q1490" s="14">
        <v>2025</v>
      </c>
      <c r="R1490" s="15">
        <v>45444</v>
      </c>
      <c r="S1490" s="11" t="s">
        <v>453</v>
      </c>
      <c r="T1490" s="16">
        <v>0</v>
      </c>
      <c r="U1490" s="17"/>
      <c r="V1490" s="12">
        <v>2191.8339736094867</v>
      </c>
      <c r="W1490" s="12">
        <v>2191.8339736094867</v>
      </c>
      <c r="X1490" s="12">
        <v>0</v>
      </c>
      <c r="Y1490" s="18">
        <v>45810</v>
      </c>
      <c r="Z1490" s="13" t="s">
        <v>516</v>
      </c>
      <c r="AA1490" s="19" t="s">
        <v>361</v>
      </c>
      <c r="AB1490" s="13" t="s">
        <v>357</v>
      </c>
      <c r="AC1490" s="13" t="s">
        <v>374</v>
      </c>
      <c r="AD1490" s="20"/>
      <c r="AE1490" s="20"/>
      <c r="AF1490" s="13" t="s">
        <v>40</v>
      </c>
      <c r="AG1490" s="15">
        <v>45444</v>
      </c>
      <c r="AH1490" s="13" t="s">
        <v>41</v>
      </c>
      <c r="AI1490" s="13" t="s">
        <v>47</v>
      </c>
      <c r="AJ1490" s="13" t="s">
        <v>487</v>
      </c>
      <c r="AK1490" s="14">
        <v>-6</v>
      </c>
      <c r="AL1490" s="17"/>
      <c r="AM1490" s="17"/>
      <c r="AN1490" s="17"/>
      <c r="AO1490" s="17"/>
      <c r="AP1490" s="17"/>
      <c r="AQ1490" s="17"/>
      <c r="AR1490" s="17"/>
      <c r="AS1490" s="17"/>
      <c r="AT1490" s="17"/>
      <c r="AU1490" s="17"/>
      <c r="AV1490" s="17"/>
    </row>
    <row r="1491" spans="1:48" ht="15.75" customHeight="1">
      <c r="A1491" s="21" t="s">
        <v>47</v>
      </c>
      <c r="B1491" s="23" t="s">
        <v>1692</v>
      </c>
      <c r="C1491" s="22">
        <v>45811</v>
      </c>
      <c r="D1491" s="23" t="s">
        <v>247</v>
      </c>
      <c r="E1491" s="23" t="s">
        <v>169</v>
      </c>
      <c r="F1491" s="21">
        <v>1</v>
      </c>
      <c r="G1491" s="12">
        <v>1650.3934426229507</v>
      </c>
      <c r="H1491" s="12">
        <v>1650.3934426229507</v>
      </c>
      <c r="I1491" s="23" t="s">
        <v>52</v>
      </c>
      <c r="J1491" s="23" t="s">
        <v>61</v>
      </c>
      <c r="K1491" s="24" t="s">
        <v>177</v>
      </c>
      <c r="L1491" s="26">
        <v>147</v>
      </c>
      <c r="M1491" s="12">
        <v>1386.8852459016393</v>
      </c>
      <c r="N1491" s="12">
        <v>1386.8852459016393</v>
      </c>
      <c r="O1491" s="12">
        <v>263.50819672131138</v>
      </c>
      <c r="P1491" s="13"/>
      <c r="Q1491" s="14">
        <v>2025</v>
      </c>
      <c r="R1491" s="15">
        <v>45444</v>
      </c>
      <c r="S1491" s="11" t="s">
        <v>453</v>
      </c>
      <c r="T1491" s="16">
        <v>0</v>
      </c>
      <c r="U1491" s="17"/>
      <c r="V1491" s="12">
        <v>540.88524590163934</v>
      </c>
      <c r="W1491" s="12">
        <v>540.88524590163934</v>
      </c>
      <c r="X1491" s="12">
        <v>0</v>
      </c>
      <c r="Y1491" s="18">
        <v>45810</v>
      </c>
      <c r="Z1491" s="13" t="s">
        <v>516</v>
      </c>
      <c r="AA1491" s="19" t="s">
        <v>361</v>
      </c>
      <c r="AB1491" s="13" t="s">
        <v>357</v>
      </c>
      <c r="AC1491" s="13" t="s">
        <v>374</v>
      </c>
      <c r="AD1491" s="20"/>
      <c r="AE1491" s="20"/>
      <c r="AF1491" s="13" t="s">
        <v>40</v>
      </c>
      <c r="AG1491" s="15">
        <v>45444</v>
      </c>
      <c r="AH1491" s="13" t="s">
        <v>41</v>
      </c>
      <c r="AI1491" s="13" t="s">
        <v>47</v>
      </c>
      <c r="AJ1491" s="13" t="s">
        <v>491</v>
      </c>
      <c r="AK1491" s="14">
        <v>-3</v>
      </c>
      <c r="AL1491" s="17"/>
      <c r="AM1491" s="17"/>
      <c r="AN1491" s="17"/>
      <c r="AO1491" s="17"/>
      <c r="AP1491" s="17"/>
      <c r="AQ1491" s="17"/>
      <c r="AR1491" s="17"/>
      <c r="AS1491" s="17"/>
      <c r="AT1491" s="17"/>
      <c r="AU1491" s="17"/>
      <c r="AV1491" s="17"/>
    </row>
    <row r="1492" spans="1:48" ht="15.75" customHeight="1">
      <c r="A1492" s="21" t="s">
        <v>47</v>
      </c>
      <c r="B1492" s="23" t="s">
        <v>1692</v>
      </c>
      <c r="C1492" s="22">
        <v>45811</v>
      </c>
      <c r="D1492" s="23" t="s">
        <v>247</v>
      </c>
      <c r="E1492" s="23" t="s">
        <v>49</v>
      </c>
      <c r="F1492" s="21">
        <v>1</v>
      </c>
      <c r="G1492" s="12">
        <v>4500.0000000000009</v>
      </c>
      <c r="H1492" s="12">
        <v>4500.0000000000009</v>
      </c>
      <c r="I1492" s="23" t="s">
        <v>52</v>
      </c>
      <c r="J1492" s="23" t="s">
        <v>61</v>
      </c>
      <c r="K1492" s="24" t="s">
        <v>177</v>
      </c>
      <c r="L1492" s="26">
        <v>147</v>
      </c>
      <c r="M1492" s="12">
        <v>3781.5126050420176</v>
      </c>
      <c r="N1492" s="12">
        <v>3781.5126050420176</v>
      </c>
      <c r="O1492" s="12">
        <v>718.48739495798327</v>
      </c>
      <c r="P1492" s="13"/>
      <c r="Q1492" s="14">
        <v>2025</v>
      </c>
      <c r="R1492" s="15">
        <v>45444</v>
      </c>
      <c r="S1492" s="11" t="s">
        <v>384</v>
      </c>
      <c r="T1492" s="16">
        <v>0</v>
      </c>
      <c r="U1492" s="17"/>
      <c r="V1492" s="12">
        <v>988.23529411764775</v>
      </c>
      <c r="W1492" s="12">
        <v>988.23529411764775</v>
      </c>
      <c r="X1492" s="12">
        <v>0</v>
      </c>
      <c r="Y1492" s="18">
        <v>45810</v>
      </c>
      <c r="Z1492" s="13" t="s">
        <v>516</v>
      </c>
      <c r="AA1492" s="19" t="s">
        <v>361</v>
      </c>
      <c r="AB1492" s="13" t="s">
        <v>357</v>
      </c>
      <c r="AC1492" s="13" t="s">
        <v>374</v>
      </c>
      <c r="AD1492" s="20"/>
      <c r="AE1492" s="20"/>
      <c r="AF1492" s="13" t="s">
        <v>40</v>
      </c>
      <c r="AG1492" s="15">
        <v>45444</v>
      </c>
      <c r="AH1492" s="13" t="s">
        <v>41</v>
      </c>
      <c r="AI1492" s="13" t="s">
        <v>47</v>
      </c>
      <c r="AJ1492" s="13" t="s">
        <v>385</v>
      </c>
      <c r="AK1492" s="14">
        <v>-3</v>
      </c>
      <c r="AL1492" s="17"/>
      <c r="AM1492" s="17"/>
      <c r="AN1492" s="17"/>
      <c r="AO1492" s="17"/>
      <c r="AP1492" s="17"/>
      <c r="AQ1492" s="17"/>
      <c r="AR1492" s="17"/>
      <c r="AS1492" s="17"/>
      <c r="AT1492" s="17"/>
      <c r="AU1492" s="17"/>
      <c r="AV1492" s="17"/>
    </row>
    <row r="1493" spans="1:48" ht="15.75" customHeight="1">
      <c r="A1493" s="21" t="s">
        <v>47</v>
      </c>
      <c r="B1493" s="23" t="s">
        <v>1692</v>
      </c>
      <c r="C1493" s="22">
        <v>45811</v>
      </c>
      <c r="D1493" s="23" t="s">
        <v>247</v>
      </c>
      <c r="E1493" s="23" t="s">
        <v>255</v>
      </c>
      <c r="F1493" s="21">
        <v>4</v>
      </c>
      <c r="G1493" s="12">
        <v>1800</v>
      </c>
      <c r="H1493" s="12">
        <v>7200</v>
      </c>
      <c r="I1493" s="23" t="s">
        <v>52</v>
      </c>
      <c r="J1493" s="23" t="s">
        <v>61</v>
      </c>
      <c r="K1493" s="24" t="s">
        <v>177</v>
      </c>
      <c r="L1493" s="26">
        <v>147</v>
      </c>
      <c r="M1493" s="12">
        <v>1512.6050420168067</v>
      </c>
      <c r="N1493" s="12">
        <v>6050.4201680672268</v>
      </c>
      <c r="O1493" s="12">
        <v>1149.5798319327732</v>
      </c>
      <c r="P1493" s="13"/>
      <c r="Q1493" s="14">
        <v>2025</v>
      </c>
      <c r="R1493" s="15">
        <v>45444</v>
      </c>
      <c r="S1493" s="11" t="s">
        <v>414</v>
      </c>
      <c r="T1493" s="16">
        <v>0</v>
      </c>
      <c r="U1493" s="17"/>
      <c r="V1493" s="12">
        <v>2124.3697478991594</v>
      </c>
      <c r="W1493" s="12">
        <v>2124.3697478991594</v>
      </c>
      <c r="X1493" s="12">
        <v>0</v>
      </c>
      <c r="Y1493" s="18">
        <v>45810</v>
      </c>
      <c r="Z1493" s="13" t="s">
        <v>516</v>
      </c>
      <c r="AA1493" s="19" t="s">
        <v>361</v>
      </c>
      <c r="AB1493" s="13" t="s">
        <v>357</v>
      </c>
      <c r="AC1493" s="13" t="s">
        <v>374</v>
      </c>
      <c r="AD1493" s="20"/>
      <c r="AE1493" s="20"/>
      <c r="AF1493" s="13" t="s">
        <v>40</v>
      </c>
      <c r="AG1493" s="15">
        <v>45444</v>
      </c>
      <c r="AH1493" s="13" t="s">
        <v>41</v>
      </c>
      <c r="AI1493" s="13" t="s">
        <v>47</v>
      </c>
      <c r="AJ1493" s="13" t="s">
        <v>608</v>
      </c>
      <c r="AK1493" s="14">
        <v>-4</v>
      </c>
      <c r="AL1493" s="17"/>
      <c r="AM1493" s="17"/>
      <c r="AN1493" s="17"/>
      <c r="AO1493" s="17"/>
      <c r="AP1493" s="17"/>
      <c r="AQ1493" s="17"/>
      <c r="AR1493" s="17"/>
      <c r="AS1493" s="17"/>
      <c r="AT1493" s="17"/>
      <c r="AU1493" s="17"/>
      <c r="AV1493" s="17"/>
    </row>
    <row r="1494" spans="1:48" ht="15.75" customHeight="1">
      <c r="A1494" s="21" t="s">
        <v>76</v>
      </c>
      <c r="B1494" s="23" t="s">
        <v>1692</v>
      </c>
      <c r="C1494" s="22">
        <v>45811</v>
      </c>
      <c r="D1494" s="23" t="s">
        <v>247</v>
      </c>
      <c r="E1494" s="23" t="s">
        <v>252</v>
      </c>
      <c r="F1494" s="21">
        <v>2</v>
      </c>
      <c r="G1494" s="12">
        <v>1599.969512195122</v>
      </c>
      <c r="H1494" s="12">
        <v>3199.939024390244</v>
      </c>
      <c r="I1494" s="23" t="s">
        <v>52</v>
      </c>
      <c r="J1494" s="23" t="s">
        <v>61</v>
      </c>
      <c r="K1494" s="24" t="s">
        <v>177</v>
      </c>
      <c r="L1494" s="26">
        <v>147</v>
      </c>
      <c r="M1494" s="12">
        <v>1344.5121951219512</v>
      </c>
      <c r="N1494" s="12">
        <v>2689.0243902439024</v>
      </c>
      <c r="O1494" s="12">
        <v>510.91463414634154</v>
      </c>
      <c r="P1494" s="13"/>
      <c r="Q1494" s="14">
        <v>2025</v>
      </c>
      <c r="R1494" s="15">
        <v>45444</v>
      </c>
      <c r="S1494" s="11" t="s">
        <v>252</v>
      </c>
      <c r="T1494" s="16">
        <v>0</v>
      </c>
      <c r="U1494" s="17"/>
      <c r="V1494" s="12">
        <v>925.02439024390242</v>
      </c>
      <c r="W1494" s="12">
        <v>925.02439024390242</v>
      </c>
      <c r="X1494" s="12">
        <v>0</v>
      </c>
      <c r="Y1494" s="18">
        <v>45810</v>
      </c>
      <c r="Z1494" s="13" t="s">
        <v>516</v>
      </c>
      <c r="AA1494" s="19" t="s">
        <v>361</v>
      </c>
      <c r="AB1494" s="13" t="s">
        <v>357</v>
      </c>
      <c r="AC1494" s="13" t="s">
        <v>374</v>
      </c>
      <c r="AD1494" s="20"/>
      <c r="AE1494" s="20"/>
      <c r="AF1494" s="13" t="s">
        <v>40</v>
      </c>
      <c r="AG1494" s="15">
        <v>45444</v>
      </c>
      <c r="AH1494" s="13" t="s">
        <v>41</v>
      </c>
      <c r="AI1494" s="13" t="s">
        <v>76</v>
      </c>
      <c r="AJ1494" s="13" t="s">
        <v>486</v>
      </c>
      <c r="AK1494" s="14">
        <v>-2</v>
      </c>
      <c r="AL1494" s="17"/>
      <c r="AM1494" s="17"/>
      <c r="AN1494" s="17"/>
      <c r="AO1494" s="17"/>
      <c r="AP1494" s="17"/>
      <c r="AQ1494" s="17"/>
      <c r="AR1494" s="17"/>
      <c r="AS1494" s="17"/>
      <c r="AT1494" s="17"/>
      <c r="AU1494" s="17"/>
      <c r="AV1494" s="17"/>
    </row>
    <row r="1495" spans="1:48" ht="15.75" customHeight="1">
      <c r="A1495" s="21" t="s">
        <v>53</v>
      </c>
      <c r="B1495" s="23" t="s">
        <v>1692</v>
      </c>
      <c r="C1495" s="22">
        <v>45811</v>
      </c>
      <c r="D1495" s="23" t="s">
        <v>247</v>
      </c>
      <c r="E1495" s="23" t="s">
        <v>55</v>
      </c>
      <c r="F1495" s="21">
        <v>1</v>
      </c>
      <c r="G1495" s="12">
        <v>20899.657134519988</v>
      </c>
      <c r="H1495" s="12">
        <v>20899.657134519988</v>
      </c>
      <c r="I1495" s="23" t="s">
        <v>52</v>
      </c>
      <c r="J1495" s="23" t="s">
        <v>61</v>
      </c>
      <c r="K1495" s="24" t="s">
        <v>177</v>
      </c>
      <c r="L1495" s="26">
        <v>147</v>
      </c>
      <c r="M1495" s="12">
        <v>17562.737087831923</v>
      </c>
      <c r="N1495" s="12">
        <v>17562.737087831923</v>
      </c>
      <c r="O1495" s="12">
        <v>3336.9200466880648</v>
      </c>
      <c r="P1495" s="13"/>
      <c r="Q1495" s="14">
        <v>2025</v>
      </c>
      <c r="R1495" s="15">
        <v>45444</v>
      </c>
      <c r="S1495" s="11" t="s">
        <v>366</v>
      </c>
      <c r="T1495" s="16">
        <v>0</v>
      </c>
      <c r="U1495" s="17"/>
      <c r="V1495" s="12">
        <v>3117.7370878319234</v>
      </c>
      <c r="W1495" s="12">
        <v>3117.7370878319234</v>
      </c>
      <c r="X1495" s="12">
        <v>0</v>
      </c>
      <c r="Y1495" s="18">
        <v>45810</v>
      </c>
      <c r="Z1495" s="13" t="s">
        <v>516</v>
      </c>
      <c r="AA1495" s="19" t="s">
        <v>361</v>
      </c>
      <c r="AB1495" s="13" t="s">
        <v>357</v>
      </c>
      <c r="AC1495" s="13" t="s">
        <v>374</v>
      </c>
      <c r="AD1495" s="20"/>
      <c r="AE1495" s="20"/>
      <c r="AF1495" s="13" t="s">
        <v>40</v>
      </c>
      <c r="AG1495" s="15">
        <v>45444</v>
      </c>
      <c r="AH1495" s="13" t="s">
        <v>41</v>
      </c>
      <c r="AI1495" s="13" t="s">
        <v>53</v>
      </c>
      <c r="AJ1495" s="13" t="s">
        <v>368</v>
      </c>
      <c r="AK1495" s="14">
        <v>-8</v>
      </c>
      <c r="AL1495" s="17"/>
      <c r="AM1495" s="17"/>
      <c r="AN1495" s="17"/>
      <c r="AO1495" s="17"/>
      <c r="AP1495" s="17"/>
      <c r="AQ1495" s="17"/>
      <c r="AR1495" s="17"/>
      <c r="AS1495" s="17"/>
      <c r="AT1495" s="17"/>
      <c r="AU1495" s="17"/>
      <c r="AV1495" s="17"/>
    </row>
    <row r="1496" spans="1:48" ht="15.75" customHeight="1">
      <c r="A1496" s="21" t="s">
        <v>53</v>
      </c>
      <c r="B1496" s="23" t="s">
        <v>1692</v>
      </c>
      <c r="C1496" s="22">
        <v>45811</v>
      </c>
      <c r="D1496" s="23" t="s">
        <v>247</v>
      </c>
      <c r="E1496" s="23" t="s">
        <v>261</v>
      </c>
      <c r="F1496" s="21">
        <v>1</v>
      </c>
      <c r="G1496" s="12">
        <v>19499.95289684409</v>
      </c>
      <c r="H1496" s="12">
        <v>19499.95289684409</v>
      </c>
      <c r="I1496" s="23" t="s">
        <v>52</v>
      </c>
      <c r="J1496" s="23" t="s">
        <v>61</v>
      </c>
      <c r="K1496" s="24" t="s">
        <v>177</v>
      </c>
      <c r="L1496" s="26">
        <v>147</v>
      </c>
      <c r="M1496" s="12">
        <v>16386.515039364782</v>
      </c>
      <c r="N1496" s="12">
        <v>16386.515039364782</v>
      </c>
      <c r="O1496" s="12">
        <v>3113.4378574793081</v>
      </c>
      <c r="P1496" s="13"/>
      <c r="Q1496" s="14">
        <v>2025</v>
      </c>
      <c r="R1496" s="15">
        <v>45444</v>
      </c>
      <c r="S1496" s="11" t="s">
        <v>408</v>
      </c>
      <c r="T1496" s="16">
        <v>0</v>
      </c>
      <c r="U1496" s="17"/>
      <c r="V1496" s="12">
        <v>4210.5150393647818</v>
      </c>
      <c r="W1496" s="12">
        <v>4210.5150393647818</v>
      </c>
      <c r="X1496" s="12">
        <v>0</v>
      </c>
      <c r="Y1496" s="18">
        <v>45810</v>
      </c>
      <c r="Z1496" s="13" t="s">
        <v>516</v>
      </c>
      <c r="AA1496" s="19" t="s">
        <v>361</v>
      </c>
      <c r="AB1496" s="13" t="s">
        <v>357</v>
      </c>
      <c r="AC1496" s="13" t="s">
        <v>374</v>
      </c>
      <c r="AD1496" s="20"/>
      <c r="AE1496" s="20"/>
      <c r="AF1496" s="13" t="s">
        <v>40</v>
      </c>
      <c r="AG1496" s="15">
        <v>45444</v>
      </c>
      <c r="AH1496" s="13" t="s">
        <v>41</v>
      </c>
      <c r="AI1496" s="13" t="s">
        <v>53</v>
      </c>
      <c r="AJ1496" s="13" t="s">
        <v>536</v>
      </c>
      <c r="AK1496" s="14">
        <v>-6</v>
      </c>
      <c r="AL1496" s="17"/>
      <c r="AM1496" s="17"/>
      <c r="AN1496" s="17"/>
      <c r="AO1496" s="17"/>
      <c r="AP1496" s="17"/>
      <c r="AQ1496" s="17"/>
      <c r="AR1496" s="17"/>
      <c r="AS1496" s="17"/>
      <c r="AT1496" s="17"/>
      <c r="AU1496" s="17"/>
      <c r="AV1496" s="17"/>
    </row>
    <row r="1497" spans="1:48" ht="15.75" customHeight="1">
      <c r="A1497" s="21" t="s">
        <v>53</v>
      </c>
      <c r="B1497" s="23" t="s">
        <v>1692</v>
      </c>
      <c r="C1497" s="22">
        <v>45811</v>
      </c>
      <c r="D1497" s="23" t="s">
        <v>247</v>
      </c>
      <c r="E1497" s="23" t="s">
        <v>280</v>
      </c>
      <c r="F1497" s="21">
        <v>1</v>
      </c>
      <c r="G1497" s="12">
        <v>13500.442251291839</v>
      </c>
      <c r="H1497" s="12">
        <v>13500.442251291839</v>
      </c>
      <c r="I1497" s="23" t="s">
        <v>52</v>
      </c>
      <c r="J1497" s="23" t="s">
        <v>61</v>
      </c>
      <c r="K1497" s="24" t="s">
        <v>177</v>
      </c>
      <c r="L1497" s="26">
        <v>147</v>
      </c>
      <c r="M1497" s="12">
        <v>11344.909454867093</v>
      </c>
      <c r="N1497" s="12">
        <v>11344.909454867093</v>
      </c>
      <c r="O1497" s="12">
        <v>2155.5327964247463</v>
      </c>
      <c r="P1497" s="13"/>
      <c r="Q1497" s="14">
        <v>2025</v>
      </c>
      <c r="R1497" s="15">
        <v>45444</v>
      </c>
      <c r="S1497" s="11" t="s">
        <v>381</v>
      </c>
      <c r="T1497" s="16">
        <v>300</v>
      </c>
      <c r="U1497" s="17"/>
      <c r="V1497" s="12">
        <v>4033.909454867091</v>
      </c>
      <c r="W1497" s="12">
        <v>4033.909454867091</v>
      </c>
      <c r="X1497" s="12">
        <v>0</v>
      </c>
      <c r="Y1497" s="18">
        <v>45810</v>
      </c>
      <c r="Z1497" s="13" t="s">
        <v>516</v>
      </c>
      <c r="AA1497" s="19" t="s">
        <v>361</v>
      </c>
      <c r="AB1497" s="13" t="s">
        <v>357</v>
      </c>
      <c r="AC1497" s="13" t="s">
        <v>374</v>
      </c>
      <c r="AD1497" s="20"/>
      <c r="AE1497" s="20"/>
      <c r="AF1497" s="13" t="s">
        <v>40</v>
      </c>
      <c r="AG1497" s="15">
        <v>45444</v>
      </c>
      <c r="AH1497" s="13" t="s">
        <v>41</v>
      </c>
      <c r="AI1497" s="13" t="s">
        <v>53</v>
      </c>
      <c r="AJ1497" s="13" t="s">
        <v>382</v>
      </c>
      <c r="AK1497" s="14">
        <v>-10</v>
      </c>
      <c r="AL1497" s="17"/>
      <c r="AM1497" s="17"/>
      <c r="AN1497" s="17"/>
      <c r="AO1497" s="17"/>
      <c r="AP1497" s="17"/>
      <c r="AQ1497" s="17"/>
      <c r="AR1497" s="17"/>
      <c r="AS1497" s="17"/>
      <c r="AT1497" s="17"/>
      <c r="AU1497" s="17"/>
      <c r="AV1497" s="17"/>
    </row>
    <row r="1498" spans="1:48" ht="15.75" customHeight="1">
      <c r="A1498" s="21" t="s">
        <v>35</v>
      </c>
      <c r="B1498" s="23" t="s">
        <v>1692</v>
      </c>
      <c r="C1498" s="22">
        <v>45811</v>
      </c>
      <c r="D1498" s="23" t="s">
        <v>915</v>
      </c>
      <c r="E1498" s="23" t="s">
        <v>46</v>
      </c>
      <c r="F1498" s="21">
        <v>1</v>
      </c>
      <c r="G1498" s="12">
        <v>6000.1548227279782</v>
      </c>
      <c r="H1498" s="12">
        <v>6000.1548227279782</v>
      </c>
      <c r="I1498" s="23" t="s">
        <v>52</v>
      </c>
      <c r="J1498" s="23" t="s">
        <v>61</v>
      </c>
      <c r="K1498" s="24" t="s">
        <v>177</v>
      </c>
      <c r="L1498" s="26">
        <v>147</v>
      </c>
      <c r="M1498" s="12">
        <v>5042.1469098554444</v>
      </c>
      <c r="N1498" s="12">
        <v>5042.1469098554444</v>
      </c>
      <c r="O1498" s="12">
        <v>958.00791287253378</v>
      </c>
      <c r="P1498" s="13"/>
      <c r="Q1498" s="14">
        <v>2025</v>
      </c>
      <c r="R1498" s="15">
        <v>45444</v>
      </c>
      <c r="S1498" s="11" t="s">
        <v>364</v>
      </c>
      <c r="T1498" s="16">
        <v>500</v>
      </c>
      <c r="U1498" s="17"/>
      <c r="V1498" s="12">
        <v>1785.4242207798129</v>
      </c>
      <c r="W1498" s="12">
        <v>1785.4242207798129</v>
      </c>
      <c r="X1498" s="12">
        <v>0</v>
      </c>
      <c r="Y1498" s="18">
        <v>45810</v>
      </c>
      <c r="Z1498" s="13" t="s">
        <v>516</v>
      </c>
      <c r="AA1498" s="19" t="s">
        <v>367</v>
      </c>
      <c r="AB1498" s="13" t="s">
        <v>357</v>
      </c>
      <c r="AC1498" s="13" t="s">
        <v>367</v>
      </c>
      <c r="AD1498" s="20"/>
      <c r="AE1498" s="20"/>
      <c r="AF1498" s="13" t="s">
        <v>40</v>
      </c>
      <c r="AG1498" s="15">
        <v>45444</v>
      </c>
      <c r="AH1498" s="13" t="s">
        <v>41</v>
      </c>
      <c r="AI1498" s="13" t="s">
        <v>35</v>
      </c>
      <c r="AJ1498" s="13" t="s">
        <v>365</v>
      </c>
      <c r="AK1498" s="14">
        <v>-0.5</v>
      </c>
      <c r="AL1498" s="17"/>
      <c r="AM1498" s="17"/>
      <c r="AN1498" s="17"/>
      <c r="AO1498" s="17"/>
      <c r="AP1498" s="17"/>
      <c r="AQ1498" s="17"/>
      <c r="AR1498" s="17"/>
      <c r="AS1498" s="17"/>
      <c r="AT1498" s="17"/>
      <c r="AU1498" s="17"/>
      <c r="AV1498" s="17"/>
    </row>
    <row r="1499" spans="1:48" ht="15.75" customHeight="1">
      <c r="A1499" s="21" t="s">
        <v>47</v>
      </c>
      <c r="B1499" s="23" t="s">
        <v>1692</v>
      </c>
      <c r="C1499" s="22">
        <v>45811</v>
      </c>
      <c r="D1499" s="23" t="s">
        <v>236</v>
      </c>
      <c r="E1499" s="23" t="s">
        <v>48</v>
      </c>
      <c r="F1499" s="21">
        <v>2</v>
      </c>
      <c r="G1499" s="12">
        <v>1000</v>
      </c>
      <c r="H1499" s="12">
        <v>2000</v>
      </c>
      <c r="I1499" s="23" t="s">
        <v>52</v>
      </c>
      <c r="J1499" s="23" t="s">
        <v>61</v>
      </c>
      <c r="K1499" s="24" t="s">
        <v>177</v>
      </c>
      <c r="L1499" s="26">
        <v>147</v>
      </c>
      <c r="M1499" s="12">
        <v>840.3361344537816</v>
      </c>
      <c r="N1499" s="12">
        <v>1680.6722689075632</v>
      </c>
      <c r="O1499" s="12">
        <v>319.32773109243681</v>
      </c>
      <c r="P1499" s="13"/>
      <c r="Q1499" s="14">
        <v>2025</v>
      </c>
      <c r="R1499" s="15">
        <v>45444</v>
      </c>
      <c r="S1499" s="11" t="s">
        <v>416</v>
      </c>
      <c r="T1499" s="16">
        <v>0</v>
      </c>
      <c r="U1499" s="17"/>
      <c r="V1499" s="12">
        <v>660.67226890756297</v>
      </c>
      <c r="W1499" s="12">
        <v>660.67226890756297</v>
      </c>
      <c r="X1499" s="12">
        <v>0</v>
      </c>
      <c r="Y1499" s="18">
        <v>45810</v>
      </c>
      <c r="Z1499" s="13" t="s">
        <v>516</v>
      </c>
      <c r="AA1499" s="19" t="s">
        <v>367</v>
      </c>
      <c r="AB1499" s="13" t="s">
        <v>357</v>
      </c>
      <c r="AC1499" s="13" t="s">
        <v>367</v>
      </c>
      <c r="AD1499" s="20"/>
      <c r="AE1499" s="20"/>
      <c r="AF1499" s="13" t="s">
        <v>40</v>
      </c>
      <c r="AG1499" s="15">
        <v>45444</v>
      </c>
      <c r="AH1499" s="13" t="s">
        <v>41</v>
      </c>
      <c r="AI1499" s="13" t="s">
        <v>47</v>
      </c>
      <c r="AJ1499" s="13" t="s">
        <v>417</v>
      </c>
      <c r="AK1499" s="14">
        <v>-10</v>
      </c>
      <c r="AL1499" s="17"/>
      <c r="AM1499" s="17"/>
      <c r="AN1499" s="17"/>
      <c r="AO1499" s="17"/>
      <c r="AP1499" s="17"/>
      <c r="AQ1499" s="17"/>
      <c r="AR1499" s="17"/>
      <c r="AS1499" s="17"/>
      <c r="AT1499" s="17"/>
      <c r="AU1499" s="17"/>
      <c r="AV1499" s="17"/>
    </row>
    <row r="1500" spans="1:48" ht="15.75" customHeight="1">
      <c r="A1500" s="21" t="s">
        <v>35</v>
      </c>
      <c r="B1500" s="23" t="s">
        <v>1692</v>
      </c>
      <c r="C1500" s="22">
        <v>45811</v>
      </c>
      <c r="D1500" s="23" t="s">
        <v>44</v>
      </c>
      <c r="E1500" s="23" t="s">
        <v>46</v>
      </c>
      <c r="F1500" s="14">
        <v>1</v>
      </c>
      <c r="G1500" s="12">
        <v>6000.1548227279782</v>
      </c>
      <c r="H1500" s="12">
        <v>6000.1548227279782</v>
      </c>
      <c r="I1500" s="23" t="s">
        <v>52</v>
      </c>
      <c r="J1500" s="23" t="s">
        <v>61</v>
      </c>
      <c r="K1500" s="24" t="s">
        <v>177</v>
      </c>
      <c r="L1500" s="26">
        <v>147</v>
      </c>
      <c r="M1500" s="12">
        <v>5042.1469098554444</v>
      </c>
      <c r="N1500" s="12">
        <v>5042.1469098554444</v>
      </c>
      <c r="O1500" s="12">
        <v>958.00791287253378</v>
      </c>
      <c r="P1500" s="13"/>
      <c r="Q1500" s="14">
        <v>2025</v>
      </c>
      <c r="R1500" s="15">
        <v>45444</v>
      </c>
      <c r="S1500" s="11" t="s">
        <v>364</v>
      </c>
      <c r="T1500" s="16">
        <v>500</v>
      </c>
      <c r="U1500" s="17"/>
      <c r="V1500" s="12">
        <v>1785.4242207798129</v>
      </c>
      <c r="W1500" s="12">
        <v>1785.4242207798129</v>
      </c>
      <c r="X1500" s="12">
        <v>0</v>
      </c>
      <c r="Y1500" s="18">
        <v>45810</v>
      </c>
      <c r="Z1500" s="13" t="s">
        <v>516</v>
      </c>
      <c r="AA1500" s="19" t="s">
        <v>361</v>
      </c>
      <c r="AB1500" s="13" t="s">
        <v>357</v>
      </c>
      <c r="AC1500" s="13" t="s">
        <v>554</v>
      </c>
      <c r="AD1500" s="20"/>
      <c r="AE1500" s="20"/>
      <c r="AF1500" s="13" t="s">
        <v>40</v>
      </c>
      <c r="AG1500" s="15">
        <v>45444</v>
      </c>
      <c r="AH1500" s="13" t="s">
        <v>41</v>
      </c>
      <c r="AI1500" s="13" t="s">
        <v>35</v>
      </c>
      <c r="AJ1500" s="13" t="s">
        <v>365</v>
      </c>
      <c r="AK1500" s="14">
        <v>-0.5</v>
      </c>
      <c r="AL1500" s="17"/>
      <c r="AM1500" s="17"/>
      <c r="AN1500" s="17"/>
      <c r="AO1500" s="17"/>
      <c r="AP1500" s="17"/>
      <c r="AQ1500" s="17"/>
      <c r="AR1500" s="17"/>
      <c r="AS1500" s="17"/>
      <c r="AT1500" s="17"/>
      <c r="AU1500" s="17"/>
      <c r="AV1500" s="17"/>
    </row>
    <row r="1501" spans="1:48" ht="15.75" customHeight="1">
      <c r="A1501" s="21" t="s">
        <v>35</v>
      </c>
      <c r="B1501" s="23" t="s">
        <v>1692</v>
      </c>
      <c r="C1501" s="22">
        <v>45810</v>
      </c>
      <c r="D1501" s="23" t="s">
        <v>96</v>
      </c>
      <c r="E1501" s="23" t="s">
        <v>37</v>
      </c>
      <c r="F1501" s="14">
        <v>1</v>
      </c>
      <c r="G1501" s="12">
        <v>11000.014358944907</v>
      </c>
      <c r="H1501" s="12">
        <v>11000.014358944907</v>
      </c>
      <c r="I1501" s="23" t="s">
        <v>52</v>
      </c>
      <c r="J1501" s="23" t="s">
        <v>61</v>
      </c>
      <c r="K1501" s="24" t="s">
        <v>177</v>
      </c>
      <c r="L1501" s="26">
        <v>147</v>
      </c>
      <c r="M1501" s="12">
        <v>9243.7095453318543</v>
      </c>
      <c r="N1501" s="12">
        <v>9243.7095453318543</v>
      </c>
      <c r="O1501" s="12">
        <v>1756.3048136130528</v>
      </c>
      <c r="P1501" s="13"/>
      <c r="Q1501" s="14">
        <v>2025</v>
      </c>
      <c r="R1501" s="15">
        <v>45444</v>
      </c>
      <c r="S1501" s="11" t="s">
        <v>364</v>
      </c>
      <c r="T1501" s="16">
        <v>1000</v>
      </c>
      <c r="U1501" s="17"/>
      <c r="V1501" s="12">
        <v>2806.1129066763915</v>
      </c>
      <c r="W1501" s="12">
        <v>2806.1129066763915</v>
      </c>
      <c r="X1501" s="12">
        <v>0</v>
      </c>
      <c r="Y1501" s="18">
        <v>45810</v>
      </c>
      <c r="Z1501" s="13" t="s">
        <v>523</v>
      </c>
      <c r="AA1501" s="19" t="s">
        <v>373</v>
      </c>
      <c r="AB1501" s="13" t="s">
        <v>357</v>
      </c>
      <c r="AC1501" s="13" t="s">
        <v>374</v>
      </c>
      <c r="AD1501" s="20"/>
      <c r="AE1501" s="20"/>
      <c r="AF1501" s="13" t="s">
        <v>40</v>
      </c>
      <c r="AG1501" s="15">
        <v>45444</v>
      </c>
      <c r="AH1501" s="13" t="s">
        <v>41</v>
      </c>
      <c r="AI1501" s="13" t="s">
        <v>35</v>
      </c>
      <c r="AJ1501" s="13" t="s">
        <v>365</v>
      </c>
      <c r="AK1501" s="14">
        <v>-1</v>
      </c>
      <c r="AL1501" s="17"/>
      <c r="AM1501" s="17"/>
      <c r="AN1501" s="17"/>
      <c r="AO1501" s="17"/>
      <c r="AP1501" s="17"/>
      <c r="AQ1501" s="17"/>
      <c r="AR1501" s="17"/>
      <c r="AS1501" s="17"/>
      <c r="AT1501" s="17"/>
      <c r="AU1501" s="17"/>
      <c r="AV1501" s="17"/>
    </row>
    <row r="1502" spans="1:48" ht="15.75" customHeight="1">
      <c r="A1502" s="21" t="s">
        <v>53</v>
      </c>
      <c r="B1502" s="23" t="s">
        <v>1692</v>
      </c>
      <c r="C1502" s="22">
        <v>45810</v>
      </c>
      <c r="D1502" s="23" t="s">
        <v>96</v>
      </c>
      <c r="E1502" s="23" t="s">
        <v>203</v>
      </c>
      <c r="F1502" s="14">
        <v>1</v>
      </c>
      <c r="G1502" s="12">
        <v>10000.35681042507</v>
      </c>
      <c r="H1502" s="12">
        <v>10000.35681042507</v>
      </c>
      <c r="I1502" s="23" t="s">
        <v>52</v>
      </c>
      <c r="J1502" s="23" t="s">
        <v>61</v>
      </c>
      <c r="K1502" s="24" t="s">
        <v>177</v>
      </c>
      <c r="L1502" s="26">
        <v>147</v>
      </c>
      <c r="M1502" s="12">
        <v>8403.6611852311507</v>
      </c>
      <c r="N1502" s="12">
        <v>8403.6611852311507</v>
      </c>
      <c r="O1502" s="12">
        <v>1596.6956251939191</v>
      </c>
      <c r="P1502" s="13"/>
      <c r="Q1502" s="14">
        <v>2025</v>
      </c>
      <c r="R1502" s="15">
        <v>45444</v>
      </c>
      <c r="S1502" s="11" t="s">
        <v>366</v>
      </c>
      <c r="T1502" s="16">
        <v>0</v>
      </c>
      <c r="U1502" s="17"/>
      <c r="V1502" s="12">
        <v>2986.6611852311507</v>
      </c>
      <c r="W1502" s="12">
        <v>2986.6611852311507</v>
      </c>
      <c r="X1502" s="12">
        <v>0</v>
      </c>
      <c r="Y1502" s="18">
        <v>45810</v>
      </c>
      <c r="Z1502" s="13" t="s">
        <v>523</v>
      </c>
      <c r="AA1502" s="19" t="s">
        <v>373</v>
      </c>
      <c r="AB1502" s="13" t="s">
        <v>357</v>
      </c>
      <c r="AC1502" s="13" t="s">
        <v>374</v>
      </c>
      <c r="AD1502" s="20"/>
      <c r="AE1502" s="20"/>
      <c r="AF1502" s="13" t="s">
        <v>40</v>
      </c>
      <c r="AG1502" s="15">
        <v>45444</v>
      </c>
      <c r="AH1502" s="13" t="s">
        <v>41</v>
      </c>
      <c r="AI1502" s="13" t="s">
        <v>53</v>
      </c>
      <c r="AJ1502" s="13" t="s">
        <v>368</v>
      </c>
      <c r="AK1502" s="14">
        <v>-3</v>
      </c>
      <c r="AL1502" s="17"/>
      <c r="AM1502" s="17"/>
      <c r="AN1502" s="17"/>
      <c r="AO1502" s="17"/>
      <c r="AP1502" s="17"/>
      <c r="AQ1502" s="17"/>
      <c r="AR1502" s="17"/>
      <c r="AS1502" s="17"/>
      <c r="AT1502" s="17"/>
      <c r="AU1502" s="17"/>
      <c r="AV1502" s="17"/>
    </row>
    <row r="1503" spans="1:48" ht="15.75" customHeight="1">
      <c r="A1503" s="21" t="s">
        <v>53</v>
      </c>
      <c r="B1503" s="23" t="s">
        <v>1692</v>
      </c>
      <c r="C1503" s="22">
        <v>45810</v>
      </c>
      <c r="D1503" s="23" t="s">
        <v>135</v>
      </c>
      <c r="E1503" s="23" t="s">
        <v>97</v>
      </c>
      <c r="F1503" s="14">
        <v>1</v>
      </c>
      <c r="G1503" s="12">
        <v>16500.236769693482</v>
      </c>
      <c r="H1503" s="12">
        <v>16500.236769693482</v>
      </c>
      <c r="I1503" s="23" t="s">
        <v>52</v>
      </c>
      <c r="J1503" s="23" t="s">
        <v>61</v>
      </c>
      <c r="K1503" s="24" t="s">
        <v>177</v>
      </c>
      <c r="L1503" s="26">
        <v>147</v>
      </c>
      <c r="M1503" s="12">
        <v>13865.745184616371</v>
      </c>
      <c r="N1503" s="12">
        <v>13865.745184616371</v>
      </c>
      <c r="O1503" s="12">
        <v>2634.4915850771104</v>
      </c>
      <c r="P1503" s="13"/>
      <c r="Q1503" s="14">
        <v>2025</v>
      </c>
      <c r="R1503" s="15">
        <v>45444</v>
      </c>
      <c r="S1503" s="11" t="s">
        <v>366</v>
      </c>
      <c r="T1503" s="16">
        <v>0</v>
      </c>
      <c r="U1503" s="17"/>
      <c r="V1503" s="12">
        <v>3031.7451846163694</v>
      </c>
      <c r="W1503" s="12">
        <v>3031.7451846163694</v>
      </c>
      <c r="X1503" s="12">
        <v>0</v>
      </c>
      <c r="Y1503" s="18">
        <v>45810</v>
      </c>
      <c r="Z1503" s="13" t="s">
        <v>523</v>
      </c>
      <c r="AA1503" s="19" t="s">
        <v>361</v>
      </c>
      <c r="AB1503" s="13" t="s">
        <v>357</v>
      </c>
      <c r="AC1503" s="13" t="s">
        <v>538</v>
      </c>
      <c r="AD1503" s="20"/>
      <c r="AE1503" s="20"/>
      <c r="AF1503" s="13" t="s">
        <v>40</v>
      </c>
      <c r="AG1503" s="15">
        <v>45444</v>
      </c>
      <c r="AH1503" s="13" t="s">
        <v>41</v>
      </c>
      <c r="AI1503" s="13" t="s">
        <v>53</v>
      </c>
      <c r="AJ1503" s="13" t="s">
        <v>368</v>
      </c>
      <c r="AK1503" s="14">
        <v>-6</v>
      </c>
      <c r="AL1503" s="17"/>
      <c r="AM1503" s="17"/>
      <c r="AN1503" s="17"/>
      <c r="AO1503" s="17"/>
      <c r="AP1503" s="17"/>
      <c r="AQ1503" s="17"/>
      <c r="AR1503" s="17"/>
      <c r="AS1503" s="17"/>
      <c r="AT1503" s="17"/>
      <c r="AU1503" s="17"/>
      <c r="AV1503" s="17"/>
    </row>
    <row r="1504" spans="1:48" ht="15.75" customHeight="1">
      <c r="A1504" s="21" t="s">
        <v>76</v>
      </c>
      <c r="B1504" s="23" t="s">
        <v>1692</v>
      </c>
      <c r="C1504" s="22">
        <v>45810</v>
      </c>
      <c r="D1504" s="23" t="s">
        <v>135</v>
      </c>
      <c r="E1504" s="23" t="s">
        <v>137</v>
      </c>
      <c r="F1504" s="21">
        <v>2</v>
      </c>
      <c r="G1504" s="12">
        <v>3500.0000000000005</v>
      </c>
      <c r="H1504" s="12">
        <v>7000.0000000000009</v>
      </c>
      <c r="I1504" s="23" t="s">
        <v>52</v>
      </c>
      <c r="J1504" s="23" t="s">
        <v>61</v>
      </c>
      <c r="K1504" s="24" t="s">
        <v>177</v>
      </c>
      <c r="L1504" s="26">
        <v>147</v>
      </c>
      <c r="M1504" s="12">
        <v>2941.1764705882356</v>
      </c>
      <c r="N1504" s="12">
        <v>5882.3529411764712</v>
      </c>
      <c r="O1504" s="12">
        <v>1117.6470588235297</v>
      </c>
      <c r="P1504" s="13"/>
      <c r="Q1504" s="14">
        <v>2025</v>
      </c>
      <c r="R1504" s="15">
        <v>45444</v>
      </c>
      <c r="S1504" s="11" t="s">
        <v>406</v>
      </c>
      <c r="T1504" s="16">
        <v>10</v>
      </c>
      <c r="U1504" s="17"/>
      <c r="V1504" s="12">
        <v>1697.4789915966394</v>
      </c>
      <c r="W1504" s="12">
        <v>1697.4789915966394</v>
      </c>
      <c r="X1504" s="12">
        <v>0</v>
      </c>
      <c r="Y1504" s="18">
        <v>45810</v>
      </c>
      <c r="Z1504" s="13" t="s">
        <v>523</v>
      </c>
      <c r="AA1504" s="19" t="s">
        <v>361</v>
      </c>
      <c r="AB1504" s="13" t="s">
        <v>357</v>
      </c>
      <c r="AC1504" s="13" t="s">
        <v>538</v>
      </c>
      <c r="AD1504" s="20"/>
      <c r="AE1504" s="20"/>
      <c r="AF1504" s="13" t="s">
        <v>40</v>
      </c>
      <c r="AG1504" s="15">
        <v>45444</v>
      </c>
      <c r="AH1504" s="13" t="s">
        <v>41</v>
      </c>
      <c r="AI1504" s="13" t="s">
        <v>76</v>
      </c>
      <c r="AJ1504" s="13" t="s">
        <v>407</v>
      </c>
      <c r="AK1504" s="14">
        <v>-2</v>
      </c>
      <c r="AL1504" s="17"/>
      <c r="AM1504" s="17"/>
      <c r="AN1504" s="17"/>
      <c r="AO1504" s="17"/>
      <c r="AP1504" s="17"/>
      <c r="AQ1504" s="17"/>
      <c r="AR1504" s="17"/>
      <c r="AS1504" s="17"/>
      <c r="AT1504" s="17"/>
      <c r="AU1504" s="17"/>
      <c r="AV1504" s="17"/>
    </row>
    <row r="1505" spans="1:48" ht="15.75" customHeight="1">
      <c r="A1505" s="21" t="s">
        <v>76</v>
      </c>
      <c r="B1505" s="23" t="s">
        <v>1692</v>
      </c>
      <c r="C1505" s="22">
        <v>45810</v>
      </c>
      <c r="D1505" s="23" t="s">
        <v>537</v>
      </c>
      <c r="E1505" s="23" t="s">
        <v>110</v>
      </c>
      <c r="F1505" s="21">
        <v>1</v>
      </c>
      <c r="G1505" s="12">
        <v>2000.0000000000005</v>
      </c>
      <c r="H1505" s="12">
        <v>2000.0000000000005</v>
      </c>
      <c r="I1505" s="23" t="s">
        <v>52</v>
      </c>
      <c r="J1505" s="23" t="s">
        <v>61</v>
      </c>
      <c r="K1505" s="24" t="s">
        <v>177</v>
      </c>
      <c r="L1505" s="26">
        <v>147</v>
      </c>
      <c r="M1505" s="12">
        <v>1680.6722689075634</v>
      </c>
      <c r="N1505" s="12">
        <v>1680.6722689075634</v>
      </c>
      <c r="O1505" s="12">
        <v>319.32773109243703</v>
      </c>
      <c r="P1505" s="13"/>
      <c r="Q1505" s="14">
        <v>2025</v>
      </c>
      <c r="R1505" s="15">
        <v>45444</v>
      </c>
      <c r="S1505" s="11" t="s">
        <v>378</v>
      </c>
      <c r="T1505" s="16">
        <v>5</v>
      </c>
      <c r="U1505" s="17"/>
      <c r="V1505" s="12">
        <v>756.30252100840369</v>
      </c>
      <c r="W1505" s="12">
        <v>756.30252100840369</v>
      </c>
      <c r="X1505" s="12">
        <v>0</v>
      </c>
      <c r="Y1505" s="18">
        <v>45810</v>
      </c>
      <c r="Z1505" s="13" t="s">
        <v>523</v>
      </c>
      <c r="AA1505" s="19" t="s">
        <v>361</v>
      </c>
      <c r="AB1505" s="13" t="s">
        <v>357</v>
      </c>
      <c r="AC1505" s="13" t="s">
        <v>538</v>
      </c>
      <c r="AD1505" s="20"/>
      <c r="AE1505" s="20"/>
      <c r="AF1505" s="13" t="s">
        <v>40</v>
      </c>
      <c r="AG1505" s="15">
        <v>45444</v>
      </c>
      <c r="AH1505" s="13" t="s">
        <v>41</v>
      </c>
      <c r="AI1505" s="13" t="s">
        <v>76</v>
      </c>
      <c r="AJ1505" s="13" t="s">
        <v>379</v>
      </c>
      <c r="AK1505" s="14">
        <v>-1</v>
      </c>
      <c r="AL1505" s="17"/>
      <c r="AM1505" s="17"/>
      <c r="AN1505" s="17"/>
      <c r="AO1505" s="17"/>
      <c r="AP1505" s="17"/>
      <c r="AQ1505" s="17"/>
      <c r="AR1505" s="17"/>
      <c r="AS1505" s="17"/>
      <c r="AT1505" s="17"/>
      <c r="AU1505" s="17"/>
      <c r="AV1505" s="17"/>
    </row>
    <row r="1506" spans="1:48" ht="15.75" customHeight="1">
      <c r="A1506" s="21" t="s">
        <v>53</v>
      </c>
      <c r="B1506" s="23" t="s">
        <v>1692</v>
      </c>
      <c r="C1506" s="22">
        <v>45810</v>
      </c>
      <c r="D1506" s="23" t="s">
        <v>537</v>
      </c>
      <c r="E1506" s="23" t="s">
        <v>97</v>
      </c>
      <c r="F1506" s="21">
        <v>1</v>
      </c>
      <c r="G1506" s="12">
        <v>16500.236769693482</v>
      </c>
      <c r="H1506" s="12">
        <v>16500.236769693482</v>
      </c>
      <c r="I1506" s="23" t="s">
        <v>52</v>
      </c>
      <c r="J1506" s="23" t="s">
        <v>61</v>
      </c>
      <c r="K1506" s="24" t="s">
        <v>177</v>
      </c>
      <c r="L1506" s="26">
        <v>147</v>
      </c>
      <c r="M1506" s="12">
        <v>13865.745184616371</v>
      </c>
      <c r="N1506" s="12">
        <v>13865.745184616371</v>
      </c>
      <c r="O1506" s="12">
        <v>2634.4915850771104</v>
      </c>
      <c r="P1506" s="13"/>
      <c r="Q1506" s="14">
        <v>2025</v>
      </c>
      <c r="R1506" s="15">
        <v>45444</v>
      </c>
      <c r="S1506" s="11" t="s">
        <v>366</v>
      </c>
      <c r="T1506" s="16">
        <v>0</v>
      </c>
      <c r="U1506" s="17"/>
      <c r="V1506" s="12">
        <v>3031.7451846163694</v>
      </c>
      <c r="W1506" s="12">
        <v>3031.7451846163694</v>
      </c>
      <c r="X1506" s="12">
        <v>0</v>
      </c>
      <c r="Y1506" s="18">
        <v>45810</v>
      </c>
      <c r="Z1506" s="13" t="s">
        <v>523</v>
      </c>
      <c r="AA1506" s="19" t="s">
        <v>361</v>
      </c>
      <c r="AB1506" s="13" t="s">
        <v>357</v>
      </c>
      <c r="AC1506" s="13" t="s">
        <v>538</v>
      </c>
      <c r="AD1506" s="20"/>
      <c r="AE1506" s="20"/>
      <c r="AF1506" s="13" t="s">
        <v>40</v>
      </c>
      <c r="AG1506" s="15">
        <v>45444</v>
      </c>
      <c r="AH1506" s="13" t="s">
        <v>41</v>
      </c>
      <c r="AI1506" s="13" t="s">
        <v>53</v>
      </c>
      <c r="AJ1506" s="13" t="s">
        <v>368</v>
      </c>
      <c r="AK1506" s="14">
        <v>-6</v>
      </c>
      <c r="AL1506" s="17"/>
      <c r="AM1506" s="17"/>
      <c r="AN1506" s="17"/>
      <c r="AO1506" s="17"/>
      <c r="AP1506" s="17"/>
      <c r="AQ1506" s="17"/>
      <c r="AR1506" s="17"/>
      <c r="AS1506" s="17"/>
      <c r="AT1506" s="17"/>
      <c r="AU1506" s="17"/>
      <c r="AV1506" s="17"/>
    </row>
    <row r="1507" spans="1:48" ht="15.75" customHeight="1">
      <c r="A1507" s="21" t="s">
        <v>53</v>
      </c>
      <c r="B1507" s="23" t="s">
        <v>1692</v>
      </c>
      <c r="C1507" s="22">
        <v>45810</v>
      </c>
      <c r="D1507" s="23" t="s">
        <v>537</v>
      </c>
      <c r="E1507" s="23" t="s">
        <v>70</v>
      </c>
      <c r="F1507" s="21">
        <v>1</v>
      </c>
      <c r="G1507" s="12">
        <v>5000.3257328990221</v>
      </c>
      <c r="H1507" s="12">
        <v>5000.3257328990221</v>
      </c>
      <c r="I1507" s="23" t="s">
        <v>52</v>
      </c>
      <c r="J1507" s="23" t="s">
        <v>61</v>
      </c>
      <c r="K1507" s="24" t="s">
        <v>177</v>
      </c>
      <c r="L1507" s="26">
        <v>147</v>
      </c>
      <c r="M1507" s="12">
        <v>4201.9543973941363</v>
      </c>
      <c r="N1507" s="12">
        <v>4201.9543973941363</v>
      </c>
      <c r="O1507" s="12">
        <v>798.37133550488579</v>
      </c>
      <c r="P1507" s="13"/>
      <c r="Q1507" s="14">
        <v>2025</v>
      </c>
      <c r="R1507" s="15">
        <v>45444</v>
      </c>
      <c r="S1507" s="11" t="s">
        <v>381</v>
      </c>
      <c r="T1507" s="16">
        <v>300</v>
      </c>
      <c r="U1507" s="17"/>
      <c r="V1507" s="12">
        <v>2008.9543973941363</v>
      </c>
      <c r="W1507" s="12">
        <v>2008.9543973941363</v>
      </c>
      <c r="X1507" s="12">
        <v>0</v>
      </c>
      <c r="Y1507" s="18">
        <v>45810</v>
      </c>
      <c r="Z1507" s="13" t="s">
        <v>523</v>
      </c>
      <c r="AA1507" s="19" t="s">
        <v>361</v>
      </c>
      <c r="AB1507" s="13" t="s">
        <v>357</v>
      </c>
      <c r="AC1507" s="13" t="s">
        <v>538</v>
      </c>
      <c r="AD1507" s="20"/>
      <c r="AE1507" s="20"/>
      <c r="AF1507" s="13" t="s">
        <v>40</v>
      </c>
      <c r="AG1507" s="15">
        <v>45444</v>
      </c>
      <c r="AH1507" s="13" t="s">
        <v>41</v>
      </c>
      <c r="AI1507" s="13" t="s">
        <v>53</v>
      </c>
      <c r="AJ1507" s="13" t="s">
        <v>382</v>
      </c>
      <c r="AK1507" s="14">
        <v>-3</v>
      </c>
      <c r="AL1507" s="17"/>
      <c r="AM1507" s="17"/>
      <c r="AN1507" s="17"/>
      <c r="AO1507" s="17"/>
      <c r="AP1507" s="17"/>
      <c r="AQ1507" s="17"/>
      <c r="AR1507" s="17"/>
      <c r="AS1507" s="17"/>
      <c r="AT1507" s="17"/>
      <c r="AU1507" s="17"/>
      <c r="AV1507" s="17"/>
    </row>
    <row r="1508" spans="1:48" ht="15.75" customHeight="1">
      <c r="A1508" s="21" t="s">
        <v>53</v>
      </c>
      <c r="B1508" s="23" t="s">
        <v>1692</v>
      </c>
      <c r="C1508" s="22">
        <v>45810</v>
      </c>
      <c r="D1508" s="23" t="s">
        <v>537</v>
      </c>
      <c r="E1508" s="23" t="s">
        <v>69</v>
      </c>
      <c r="F1508" s="21">
        <v>2</v>
      </c>
      <c r="G1508" s="12">
        <v>2999.9553810458683</v>
      </c>
      <c r="H1508" s="12">
        <v>5999.9107620917366</v>
      </c>
      <c r="I1508" s="23" t="s">
        <v>52</v>
      </c>
      <c r="J1508" s="23" t="s">
        <v>61</v>
      </c>
      <c r="K1508" s="24" t="s">
        <v>177</v>
      </c>
      <c r="L1508" s="26">
        <v>147</v>
      </c>
      <c r="M1508" s="12">
        <v>2520.9709084419064</v>
      </c>
      <c r="N1508" s="12">
        <v>5041.9418168838129</v>
      </c>
      <c r="O1508" s="12">
        <v>957.96894520792375</v>
      </c>
      <c r="P1508" s="13"/>
      <c r="Q1508" s="14">
        <v>2025</v>
      </c>
      <c r="R1508" s="15">
        <v>45444</v>
      </c>
      <c r="S1508" s="11" t="s">
        <v>376</v>
      </c>
      <c r="T1508" s="16">
        <v>0</v>
      </c>
      <c r="U1508" s="17"/>
      <c r="V1508" s="12">
        <v>1651.941816883812</v>
      </c>
      <c r="W1508" s="12">
        <v>1651.941816883812</v>
      </c>
      <c r="X1508" s="12">
        <v>0</v>
      </c>
      <c r="Y1508" s="18">
        <v>45810</v>
      </c>
      <c r="Z1508" s="13" t="s">
        <v>523</v>
      </c>
      <c r="AA1508" s="19" t="s">
        <v>361</v>
      </c>
      <c r="AB1508" s="13" t="s">
        <v>357</v>
      </c>
      <c r="AC1508" s="13" t="s">
        <v>538</v>
      </c>
      <c r="AD1508" s="20"/>
      <c r="AE1508" s="20"/>
      <c r="AF1508" s="13" t="s">
        <v>40</v>
      </c>
      <c r="AG1508" s="15">
        <v>45444</v>
      </c>
      <c r="AH1508" s="13" t="s">
        <v>41</v>
      </c>
      <c r="AI1508" s="13" t="s">
        <v>53</v>
      </c>
      <c r="AJ1508" s="13" t="s">
        <v>377</v>
      </c>
      <c r="AK1508" s="14">
        <v>-2</v>
      </c>
      <c r="AL1508" s="17"/>
      <c r="AM1508" s="17"/>
      <c r="AN1508" s="17"/>
      <c r="AO1508" s="17"/>
      <c r="AP1508" s="17"/>
      <c r="AQ1508" s="17"/>
      <c r="AR1508" s="17"/>
      <c r="AS1508" s="17"/>
      <c r="AT1508" s="17"/>
      <c r="AU1508" s="17"/>
      <c r="AV1508" s="17"/>
    </row>
    <row r="1509" spans="1:48" ht="15.75" customHeight="1">
      <c r="A1509" s="21" t="s">
        <v>76</v>
      </c>
      <c r="B1509" s="23" t="s">
        <v>1692</v>
      </c>
      <c r="C1509" s="22">
        <v>45810</v>
      </c>
      <c r="D1509" s="23" t="s">
        <v>537</v>
      </c>
      <c r="E1509" s="23" t="s">
        <v>137</v>
      </c>
      <c r="F1509" s="21">
        <v>1</v>
      </c>
      <c r="G1509" s="12">
        <v>3500.0000000000005</v>
      </c>
      <c r="H1509" s="12">
        <v>3500.0000000000005</v>
      </c>
      <c r="I1509" s="23" t="s">
        <v>52</v>
      </c>
      <c r="J1509" s="23" t="s">
        <v>61</v>
      </c>
      <c r="K1509" s="24" t="s">
        <v>177</v>
      </c>
      <c r="L1509" s="26">
        <v>147</v>
      </c>
      <c r="M1509" s="12">
        <v>2941.1764705882356</v>
      </c>
      <c r="N1509" s="12">
        <v>2941.1764705882356</v>
      </c>
      <c r="O1509" s="12">
        <v>558.82352941176487</v>
      </c>
      <c r="P1509" s="13"/>
      <c r="Q1509" s="14">
        <v>2025</v>
      </c>
      <c r="R1509" s="15">
        <v>45444</v>
      </c>
      <c r="S1509" s="11" t="s">
        <v>406</v>
      </c>
      <c r="T1509" s="16">
        <v>5</v>
      </c>
      <c r="U1509" s="17"/>
      <c r="V1509" s="12">
        <v>848.73949579831969</v>
      </c>
      <c r="W1509" s="12">
        <v>848.73949579831969</v>
      </c>
      <c r="X1509" s="12">
        <v>0</v>
      </c>
      <c r="Y1509" s="18">
        <v>45810</v>
      </c>
      <c r="Z1509" s="13" t="s">
        <v>523</v>
      </c>
      <c r="AA1509" s="19" t="s">
        <v>361</v>
      </c>
      <c r="AB1509" s="13" t="s">
        <v>357</v>
      </c>
      <c r="AC1509" s="13" t="s">
        <v>538</v>
      </c>
      <c r="AD1509" s="20"/>
      <c r="AE1509" s="20"/>
      <c r="AF1509" s="13" t="s">
        <v>40</v>
      </c>
      <c r="AG1509" s="15">
        <v>45444</v>
      </c>
      <c r="AH1509" s="13" t="s">
        <v>41</v>
      </c>
      <c r="AI1509" s="13" t="s">
        <v>76</v>
      </c>
      <c r="AJ1509" s="13" t="s">
        <v>407</v>
      </c>
      <c r="AK1509" s="14">
        <v>-1</v>
      </c>
      <c r="AL1509" s="17"/>
      <c r="AM1509" s="17"/>
      <c r="AN1509" s="17"/>
      <c r="AO1509" s="17"/>
      <c r="AP1509" s="17"/>
      <c r="AQ1509" s="17"/>
      <c r="AR1509" s="17"/>
      <c r="AS1509" s="17"/>
      <c r="AT1509" s="17"/>
      <c r="AU1509" s="17"/>
      <c r="AV1509" s="17"/>
    </row>
    <row r="1510" spans="1:48" ht="15.75" customHeight="1">
      <c r="A1510" s="21" t="s">
        <v>35</v>
      </c>
      <c r="B1510" s="23" t="s">
        <v>1692</v>
      </c>
      <c r="C1510" s="22">
        <v>45810</v>
      </c>
      <c r="D1510" s="23" t="s">
        <v>609</v>
      </c>
      <c r="E1510" s="23" t="s">
        <v>37</v>
      </c>
      <c r="F1510" s="14">
        <v>1</v>
      </c>
      <c r="G1510" s="12">
        <v>11000.014358944907</v>
      </c>
      <c r="H1510" s="12">
        <v>11000.014358944907</v>
      </c>
      <c r="I1510" s="23" t="s">
        <v>52</v>
      </c>
      <c r="J1510" s="23" t="s">
        <v>61</v>
      </c>
      <c r="K1510" s="24" t="s">
        <v>177</v>
      </c>
      <c r="L1510" s="26">
        <v>147</v>
      </c>
      <c r="M1510" s="12">
        <v>9243.7095453318543</v>
      </c>
      <c r="N1510" s="12">
        <v>9243.7095453318543</v>
      </c>
      <c r="O1510" s="12">
        <v>1756.3048136130528</v>
      </c>
      <c r="P1510" s="13"/>
      <c r="Q1510" s="14">
        <v>2025</v>
      </c>
      <c r="R1510" s="15">
        <v>45444</v>
      </c>
      <c r="S1510" s="11" t="s">
        <v>364</v>
      </c>
      <c r="T1510" s="16">
        <v>1000</v>
      </c>
      <c r="U1510" s="17"/>
      <c r="V1510" s="12">
        <v>2806.1129066763915</v>
      </c>
      <c r="W1510" s="12">
        <v>2806.1129066763915</v>
      </c>
      <c r="X1510" s="12">
        <v>0</v>
      </c>
      <c r="Y1510" s="18">
        <v>45810</v>
      </c>
      <c r="Z1510" s="13" t="s">
        <v>523</v>
      </c>
      <c r="AA1510" s="19" t="s">
        <v>373</v>
      </c>
      <c r="AB1510" s="13" t="s">
        <v>357</v>
      </c>
      <c r="AC1510" s="13" t="s">
        <v>534</v>
      </c>
      <c r="AD1510" s="20"/>
      <c r="AE1510" s="20"/>
      <c r="AF1510" s="13" t="s">
        <v>40</v>
      </c>
      <c r="AG1510" s="15">
        <v>45444</v>
      </c>
      <c r="AH1510" s="13" t="s">
        <v>41</v>
      </c>
      <c r="AI1510" s="13" t="s">
        <v>35</v>
      </c>
      <c r="AJ1510" s="13" t="s">
        <v>365</v>
      </c>
      <c r="AK1510" s="14">
        <v>-1</v>
      </c>
      <c r="AL1510" s="17"/>
      <c r="AM1510" s="17"/>
      <c r="AN1510" s="17"/>
      <c r="AO1510" s="17"/>
      <c r="AP1510" s="17"/>
      <c r="AQ1510" s="17"/>
      <c r="AR1510" s="17"/>
      <c r="AS1510" s="17"/>
      <c r="AT1510" s="17"/>
      <c r="AU1510" s="17"/>
      <c r="AV1510" s="17"/>
    </row>
    <row r="1511" spans="1:48" ht="15.75" customHeight="1">
      <c r="A1511" s="21" t="s">
        <v>43</v>
      </c>
      <c r="B1511" s="23" t="s">
        <v>1692</v>
      </c>
      <c r="C1511" s="22">
        <v>45810</v>
      </c>
      <c r="D1511" s="23" t="s">
        <v>609</v>
      </c>
      <c r="E1511" s="23" t="s">
        <v>45</v>
      </c>
      <c r="F1511" s="14">
        <v>1</v>
      </c>
      <c r="G1511" s="12">
        <v>8199.8965351595689</v>
      </c>
      <c r="H1511" s="12">
        <v>8199.8965351595689</v>
      </c>
      <c r="I1511" s="23" t="s">
        <v>52</v>
      </c>
      <c r="J1511" s="23" t="s">
        <v>61</v>
      </c>
      <c r="K1511" s="24" t="s">
        <v>177</v>
      </c>
      <c r="L1511" s="26">
        <v>147</v>
      </c>
      <c r="M1511" s="12">
        <v>6890.6693572769491</v>
      </c>
      <c r="N1511" s="12">
        <v>6890.6693572769491</v>
      </c>
      <c r="O1511" s="12">
        <v>1309.2271778826198</v>
      </c>
      <c r="P1511" s="13"/>
      <c r="Q1511" s="14">
        <v>2025</v>
      </c>
      <c r="R1511" s="15">
        <v>45444</v>
      </c>
      <c r="S1511" s="11" t="s">
        <v>355</v>
      </c>
      <c r="T1511" s="16">
        <v>0</v>
      </c>
      <c r="U1511" s="17"/>
      <c r="V1511" s="12">
        <v>1296.3416261845123</v>
      </c>
      <c r="W1511" s="12">
        <v>1296.3416261845123</v>
      </c>
      <c r="X1511" s="12">
        <v>0</v>
      </c>
      <c r="Y1511" s="18">
        <v>45810</v>
      </c>
      <c r="Z1511" s="13" t="s">
        <v>523</v>
      </c>
      <c r="AA1511" s="19" t="s">
        <v>373</v>
      </c>
      <c r="AB1511" s="13" t="s">
        <v>357</v>
      </c>
      <c r="AC1511" s="13" t="s">
        <v>534</v>
      </c>
      <c r="AD1511" s="20"/>
      <c r="AE1511" s="20"/>
      <c r="AF1511" s="13" t="s">
        <v>40</v>
      </c>
      <c r="AG1511" s="15">
        <v>45444</v>
      </c>
      <c r="AH1511" s="13" t="s">
        <v>41</v>
      </c>
      <c r="AI1511" s="13" t="s">
        <v>43</v>
      </c>
      <c r="AJ1511" s="13" t="s">
        <v>359</v>
      </c>
      <c r="AK1511" s="14">
        <v>-1</v>
      </c>
      <c r="AL1511" s="17"/>
      <c r="AM1511" s="17"/>
      <c r="AN1511" s="17"/>
      <c r="AO1511" s="17"/>
      <c r="AP1511" s="17"/>
      <c r="AQ1511" s="17"/>
      <c r="AR1511" s="17"/>
      <c r="AS1511" s="17"/>
      <c r="AT1511" s="17"/>
      <c r="AU1511" s="17"/>
      <c r="AV1511" s="17"/>
    </row>
    <row r="1512" spans="1:48" ht="15.75" customHeight="1">
      <c r="A1512" s="21" t="s">
        <v>43</v>
      </c>
      <c r="B1512" s="23" t="s">
        <v>1692</v>
      </c>
      <c r="C1512" s="22">
        <v>45810</v>
      </c>
      <c r="D1512" s="23" t="s">
        <v>215</v>
      </c>
      <c r="E1512" s="23" t="s">
        <v>45</v>
      </c>
      <c r="F1512" s="21">
        <v>2</v>
      </c>
      <c r="G1512" s="12">
        <v>8199.8965351595689</v>
      </c>
      <c r="H1512" s="12">
        <v>16399.793070319138</v>
      </c>
      <c r="I1512" s="23" t="s">
        <v>52</v>
      </c>
      <c r="J1512" s="23" t="s">
        <v>61</v>
      </c>
      <c r="K1512" s="24" t="s">
        <v>177</v>
      </c>
      <c r="L1512" s="26">
        <v>147</v>
      </c>
      <c r="M1512" s="12">
        <v>6890.6693572769491</v>
      </c>
      <c r="N1512" s="12">
        <v>13781.338714553898</v>
      </c>
      <c r="O1512" s="12">
        <v>2618.4543557652396</v>
      </c>
      <c r="P1512" s="13"/>
      <c r="Q1512" s="14">
        <v>2025</v>
      </c>
      <c r="R1512" s="15">
        <v>45444</v>
      </c>
      <c r="S1512" s="11" t="s">
        <v>355</v>
      </c>
      <c r="T1512" s="16">
        <v>0</v>
      </c>
      <c r="U1512" s="17"/>
      <c r="V1512" s="12">
        <v>2592.6832523690246</v>
      </c>
      <c r="W1512" s="12">
        <v>2592.6832523690246</v>
      </c>
      <c r="X1512" s="12">
        <v>0</v>
      </c>
      <c r="Y1512" s="18">
        <v>45810</v>
      </c>
      <c r="Z1512" s="13" t="s">
        <v>523</v>
      </c>
      <c r="AA1512" s="19" t="s">
        <v>373</v>
      </c>
      <c r="AB1512" s="13" t="s">
        <v>357</v>
      </c>
      <c r="AC1512" s="13" t="s">
        <v>465</v>
      </c>
      <c r="AD1512" s="20"/>
      <c r="AE1512" s="20"/>
      <c r="AF1512" s="13" t="s">
        <v>40</v>
      </c>
      <c r="AG1512" s="15">
        <v>45444</v>
      </c>
      <c r="AH1512" s="13" t="s">
        <v>41</v>
      </c>
      <c r="AI1512" s="13" t="s">
        <v>43</v>
      </c>
      <c r="AJ1512" s="13" t="s">
        <v>359</v>
      </c>
      <c r="AK1512" s="14">
        <v>-2</v>
      </c>
      <c r="AL1512" s="17"/>
      <c r="AM1512" s="17"/>
      <c r="AN1512" s="17"/>
      <c r="AO1512" s="17"/>
      <c r="AP1512" s="17"/>
      <c r="AQ1512" s="17"/>
      <c r="AR1512" s="17"/>
      <c r="AS1512" s="17"/>
      <c r="AT1512" s="17"/>
      <c r="AU1512" s="17"/>
      <c r="AV1512" s="17"/>
    </row>
    <row r="1513" spans="1:48" ht="15.75" customHeight="1">
      <c r="A1513" s="21" t="s">
        <v>35</v>
      </c>
      <c r="B1513" s="23" t="s">
        <v>1692</v>
      </c>
      <c r="C1513" s="22">
        <v>45809</v>
      </c>
      <c r="D1513" s="23" t="s">
        <v>915</v>
      </c>
      <c r="E1513" s="23" t="s">
        <v>46</v>
      </c>
      <c r="F1513" s="14">
        <v>1</v>
      </c>
      <c r="G1513" s="12">
        <v>6000.1548227279782</v>
      </c>
      <c r="H1513" s="12">
        <v>6000.1548227279782</v>
      </c>
      <c r="I1513" s="23" t="s">
        <v>52</v>
      </c>
      <c r="J1513" s="23" t="s">
        <v>61</v>
      </c>
      <c r="K1513" s="24" t="s">
        <v>177</v>
      </c>
      <c r="L1513" s="26">
        <v>147</v>
      </c>
      <c r="M1513" s="12">
        <v>5042.1469098554444</v>
      </c>
      <c r="N1513" s="12">
        <v>5042.1469098554444</v>
      </c>
      <c r="O1513" s="12">
        <v>958.00791287253378</v>
      </c>
      <c r="P1513" s="13"/>
      <c r="Q1513" s="14">
        <v>2025</v>
      </c>
      <c r="R1513" s="15">
        <v>45444</v>
      </c>
      <c r="S1513" s="11" t="s">
        <v>364</v>
      </c>
      <c r="T1513" s="16">
        <v>500</v>
      </c>
      <c r="U1513" s="17"/>
      <c r="V1513" s="12">
        <v>1785.4242207798129</v>
      </c>
      <c r="W1513" s="12">
        <v>1785.4242207798129</v>
      </c>
      <c r="X1513" s="12">
        <v>0</v>
      </c>
      <c r="Y1513" s="18">
        <v>45803</v>
      </c>
      <c r="Z1513" s="13" t="s">
        <v>497</v>
      </c>
      <c r="AA1513" s="19" t="s">
        <v>367</v>
      </c>
      <c r="AB1513" s="13" t="s">
        <v>357</v>
      </c>
      <c r="AC1513" s="13" t="s">
        <v>367</v>
      </c>
      <c r="AD1513" s="20"/>
      <c r="AE1513" s="20"/>
      <c r="AF1513" s="13" t="s">
        <v>40</v>
      </c>
      <c r="AG1513" s="15">
        <v>45444</v>
      </c>
      <c r="AH1513" s="13" t="s">
        <v>41</v>
      </c>
      <c r="AI1513" s="13" t="s">
        <v>35</v>
      </c>
      <c r="AJ1513" s="13" t="s">
        <v>365</v>
      </c>
      <c r="AK1513" s="14">
        <v>-0.5</v>
      </c>
      <c r="AL1513" s="17"/>
      <c r="AM1513" s="17"/>
      <c r="AN1513" s="17"/>
      <c r="AO1513" s="17"/>
      <c r="AP1513" s="17"/>
      <c r="AQ1513" s="17"/>
      <c r="AR1513" s="17"/>
      <c r="AS1513" s="17"/>
      <c r="AT1513" s="17"/>
      <c r="AU1513" s="17"/>
      <c r="AV1513" s="17"/>
    </row>
    <row r="1514" spans="1:48" ht="15.75" customHeight="1">
      <c r="A1514" s="21" t="s">
        <v>35</v>
      </c>
      <c r="B1514" s="23" t="s">
        <v>1692</v>
      </c>
      <c r="C1514" s="22">
        <v>45809</v>
      </c>
      <c r="D1514" s="23" t="s">
        <v>123</v>
      </c>
      <c r="E1514" s="23" t="s">
        <v>46</v>
      </c>
      <c r="F1514" s="14">
        <v>1</v>
      </c>
      <c r="G1514" s="12">
        <v>6000.1548227279782</v>
      </c>
      <c r="H1514" s="12">
        <v>6000.1548227279782</v>
      </c>
      <c r="I1514" s="23" t="s">
        <v>52</v>
      </c>
      <c r="J1514" s="23" t="s">
        <v>61</v>
      </c>
      <c r="K1514" s="24" t="s">
        <v>177</v>
      </c>
      <c r="L1514" s="26">
        <v>147</v>
      </c>
      <c r="M1514" s="12">
        <v>5042.1469098554444</v>
      </c>
      <c r="N1514" s="12">
        <v>5042.1469098554444</v>
      </c>
      <c r="O1514" s="12">
        <v>958.00791287253378</v>
      </c>
      <c r="P1514" s="13"/>
      <c r="Q1514" s="14">
        <v>2025</v>
      </c>
      <c r="R1514" s="15">
        <v>45444</v>
      </c>
      <c r="S1514" s="11" t="s">
        <v>364</v>
      </c>
      <c r="T1514" s="16">
        <v>500</v>
      </c>
      <c r="U1514" s="17"/>
      <c r="V1514" s="12">
        <v>1785.4242207798129</v>
      </c>
      <c r="W1514" s="12">
        <v>1785.4242207798129</v>
      </c>
      <c r="X1514" s="12">
        <v>0</v>
      </c>
      <c r="Y1514" s="18">
        <v>45803</v>
      </c>
      <c r="Z1514" s="13" t="s">
        <v>497</v>
      </c>
      <c r="AA1514" s="19" t="s">
        <v>373</v>
      </c>
      <c r="AB1514" s="13" t="s">
        <v>357</v>
      </c>
      <c r="AC1514" s="13" t="s">
        <v>383</v>
      </c>
      <c r="AD1514" s="20"/>
      <c r="AE1514" s="20"/>
      <c r="AF1514" s="13" t="s">
        <v>40</v>
      </c>
      <c r="AG1514" s="15">
        <v>45444</v>
      </c>
      <c r="AH1514" s="13" t="s">
        <v>41</v>
      </c>
      <c r="AI1514" s="13" t="s">
        <v>35</v>
      </c>
      <c r="AJ1514" s="13" t="s">
        <v>365</v>
      </c>
      <c r="AK1514" s="14">
        <v>-0.5</v>
      </c>
      <c r="AL1514" s="17"/>
      <c r="AM1514" s="17"/>
      <c r="AN1514" s="17"/>
      <c r="AO1514" s="17"/>
      <c r="AP1514" s="17"/>
      <c r="AQ1514" s="17"/>
      <c r="AR1514" s="17"/>
      <c r="AS1514" s="17"/>
      <c r="AT1514" s="17"/>
      <c r="AU1514" s="17"/>
      <c r="AV1514" s="17"/>
    </row>
    <row r="1515" spans="1:48" ht="15.75" customHeight="1">
      <c r="A1515" s="21" t="s">
        <v>35</v>
      </c>
      <c r="B1515" s="23" t="s">
        <v>1692</v>
      </c>
      <c r="C1515" s="22">
        <v>45809</v>
      </c>
      <c r="D1515" s="23" t="s">
        <v>238</v>
      </c>
      <c r="E1515" s="23" t="s">
        <v>46</v>
      </c>
      <c r="F1515" s="14">
        <v>1</v>
      </c>
      <c r="G1515" s="12">
        <v>6000.1548227279782</v>
      </c>
      <c r="H1515" s="12">
        <v>6000.1548227279782</v>
      </c>
      <c r="I1515" s="23" t="s">
        <v>52</v>
      </c>
      <c r="J1515" s="23" t="s">
        <v>61</v>
      </c>
      <c r="K1515" s="24" t="s">
        <v>177</v>
      </c>
      <c r="L1515" s="26">
        <v>147</v>
      </c>
      <c r="M1515" s="12">
        <v>5042.1469098554444</v>
      </c>
      <c r="N1515" s="12">
        <v>5042.1469098554444</v>
      </c>
      <c r="O1515" s="12">
        <v>958.00791287253378</v>
      </c>
      <c r="P1515" s="13"/>
      <c r="Q1515" s="14">
        <v>2025</v>
      </c>
      <c r="R1515" s="15">
        <v>45444</v>
      </c>
      <c r="S1515" s="11" t="s">
        <v>364</v>
      </c>
      <c r="T1515" s="16">
        <v>500</v>
      </c>
      <c r="U1515" s="17"/>
      <c r="V1515" s="12">
        <v>1785.4242207798129</v>
      </c>
      <c r="W1515" s="12">
        <v>1785.4242207798129</v>
      </c>
      <c r="X1515" s="12">
        <v>0</v>
      </c>
      <c r="Y1515" s="18">
        <v>45803</v>
      </c>
      <c r="Z1515" s="13" t="s">
        <v>497</v>
      </c>
      <c r="AA1515" s="19" t="s">
        <v>373</v>
      </c>
      <c r="AB1515" s="13" t="s">
        <v>357</v>
      </c>
      <c r="AC1515" s="13" t="s">
        <v>533</v>
      </c>
      <c r="AD1515" s="20"/>
      <c r="AE1515" s="20"/>
      <c r="AF1515" s="13" t="s">
        <v>40</v>
      </c>
      <c r="AG1515" s="15">
        <v>45444</v>
      </c>
      <c r="AH1515" s="13" t="s">
        <v>41</v>
      </c>
      <c r="AI1515" s="13" t="s">
        <v>35</v>
      </c>
      <c r="AJ1515" s="13" t="s">
        <v>365</v>
      </c>
      <c r="AK1515" s="14">
        <v>-0.5</v>
      </c>
      <c r="AL1515" s="17"/>
      <c r="AM1515" s="17"/>
      <c r="AN1515" s="17"/>
      <c r="AO1515" s="17"/>
      <c r="AP1515" s="17"/>
      <c r="AQ1515" s="17"/>
      <c r="AR1515" s="17"/>
      <c r="AS1515" s="17"/>
      <c r="AT1515" s="17"/>
      <c r="AU1515" s="17"/>
      <c r="AV1515" s="17"/>
    </row>
    <row r="1516" spans="1:48" ht="15.75" customHeight="1">
      <c r="A1516" s="21" t="s">
        <v>47</v>
      </c>
      <c r="B1516" s="23" t="s">
        <v>1692</v>
      </c>
      <c r="C1516" s="22">
        <v>45809</v>
      </c>
      <c r="D1516" s="23" t="s">
        <v>238</v>
      </c>
      <c r="E1516" s="23" t="s">
        <v>153</v>
      </c>
      <c r="F1516" s="14">
        <v>1</v>
      </c>
      <c r="G1516" s="12">
        <v>1700</v>
      </c>
      <c r="H1516" s="12">
        <v>1700</v>
      </c>
      <c r="I1516" s="23" t="s">
        <v>52</v>
      </c>
      <c r="J1516" s="23" t="s">
        <v>61</v>
      </c>
      <c r="K1516" s="24" t="s">
        <v>177</v>
      </c>
      <c r="L1516" s="26">
        <v>147</v>
      </c>
      <c r="M1516" s="12">
        <v>1428.5714285714287</v>
      </c>
      <c r="N1516" s="12">
        <v>1428.5714285714287</v>
      </c>
      <c r="O1516" s="12">
        <v>271.42857142857133</v>
      </c>
      <c r="P1516" s="13"/>
      <c r="Q1516" s="14">
        <v>2025</v>
      </c>
      <c r="R1516" s="15">
        <v>45444</v>
      </c>
      <c r="S1516" s="11" t="s">
        <v>153</v>
      </c>
      <c r="T1516" s="16">
        <v>0</v>
      </c>
      <c r="U1516" s="17"/>
      <c r="V1516" s="12">
        <v>589.57142857142867</v>
      </c>
      <c r="W1516" s="12">
        <v>589.57142857142867</v>
      </c>
      <c r="X1516" s="12">
        <v>0</v>
      </c>
      <c r="Y1516" s="18">
        <v>45803</v>
      </c>
      <c r="Z1516" s="13" t="s">
        <v>497</v>
      </c>
      <c r="AA1516" s="19" t="s">
        <v>373</v>
      </c>
      <c r="AB1516" s="13" t="s">
        <v>357</v>
      </c>
      <c r="AC1516" s="13" t="s">
        <v>533</v>
      </c>
      <c r="AD1516" s="20"/>
      <c r="AE1516" s="20"/>
      <c r="AF1516" s="13" t="s">
        <v>40</v>
      </c>
      <c r="AG1516" s="15">
        <v>45444</v>
      </c>
      <c r="AH1516" s="13" t="s">
        <v>41</v>
      </c>
      <c r="AI1516" s="13" t="s">
        <v>47</v>
      </c>
      <c r="AJ1516" s="13" t="s">
        <v>432</v>
      </c>
      <c r="AK1516" s="14">
        <v>-1</v>
      </c>
      <c r="AL1516" s="17"/>
      <c r="AM1516" s="17"/>
      <c r="AN1516" s="17"/>
      <c r="AO1516" s="17"/>
      <c r="AP1516" s="17"/>
      <c r="AQ1516" s="17"/>
      <c r="AR1516" s="17"/>
      <c r="AS1516" s="17"/>
      <c r="AT1516" s="17"/>
      <c r="AU1516" s="17"/>
      <c r="AV1516" s="17"/>
    </row>
    <row r="1517" spans="1:48" ht="15.75" customHeight="1">
      <c r="A1517" s="21" t="s">
        <v>53</v>
      </c>
      <c r="B1517" s="23" t="s">
        <v>1692</v>
      </c>
      <c r="C1517" s="22">
        <v>45809</v>
      </c>
      <c r="D1517" s="23" t="s">
        <v>238</v>
      </c>
      <c r="E1517" s="23" t="s">
        <v>69</v>
      </c>
      <c r="F1517" s="14">
        <v>1</v>
      </c>
      <c r="G1517" s="12">
        <v>2999.9553810458683</v>
      </c>
      <c r="H1517" s="12">
        <v>2999.9553810458683</v>
      </c>
      <c r="I1517" s="23" t="s">
        <v>52</v>
      </c>
      <c r="J1517" s="23" t="s">
        <v>61</v>
      </c>
      <c r="K1517" s="24" t="s">
        <v>177</v>
      </c>
      <c r="L1517" s="26">
        <v>147</v>
      </c>
      <c r="M1517" s="12">
        <v>2520.9709084419064</v>
      </c>
      <c r="N1517" s="12">
        <v>2520.9709084419064</v>
      </c>
      <c r="O1517" s="12">
        <v>478.98447260396188</v>
      </c>
      <c r="P1517" s="13"/>
      <c r="Q1517" s="14">
        <v>2025</v>
      </c>
      <c r="R1517" s="15">
        <v>45444</v>
      </c>
      <c r="S1517" s="11" t="s">
        <v>376</v>
      </c>
      <c r="T1517" s="16">
        <v>0</v>
      </c>
      <c r="U1517" s="17"/>
      <c r="V1517" s="12">
        <v>825.97090844190598</v>
      </c>
      <c r="W1517" s="12">
        <v>825.97090844190598</v>
      </c>
      <c r="X1517" s="12">
        <v>0</v>
      </c>
      <c r="Y1517" s="18">
        <v>45803</v>
      </c>
      <c r="Z1517" s="13" t="s">
        <v>497</v>
      </c>
      <c r="AA1517" s="19" t="s">
        <v>373</v>
      </c>
      <c r="AB1517" s="13" t="s">
        <v>357</v>
      </c>
      <c r="AC1517" s="13" t="s">
        <v>533</v>
      </c>
      <c r="AD1517" s="20"/>
      <c r="AE1517" s="20"/>
      <c r="AF1517" s="13" t="s">
        <v>40</v>
      </c>
      <c r="AG1517" s="15">
        <v>45444</v>
      </c>
      <c r="AH1517" s="13" t="s">
        <v>41</v>
      </c>
      <c r="AI1517" s="13" t="s">
        <v>53</v>
      </c>
      <c r="AJ1517" s="13" t="s">
        <v>377</v>
      </c>
      <c r="AK1517" s="14">
        <v>-1</v>
      </c>
      <c r="AL1517" s="17"/>
      <c r="AM1517" s="17"/>
      <c r="AN1517" s="17"/>
      <c r="AO1517" s="17"/>
      <c r="AP1517" s="17"/>
      <c r="AQ1517" s="17"/>
      <c r="AR1517" s="17"/>
      <c r="AS1517" s="17"/>
      <c r="AT1517" s="17"/>
      <c r="AU1517" s="17"/>
      <c r="AV1517" s="17"/>
    </row>
    <row r="1518" spans="1:48" ht="15.75" customHeight="1">
      <c r="A1518" s="21" t="s">
        <v>76</v>
      </c>
      <c r="B1518" s="23" t="s">
        <v>1692</v>
      </c>
      <c r="C1518" s="22">
        <v>45809</v>
      </c>
      <c r="D1518" s="23" t="s">
        <v>238</v>
      </c>
      <c r="E1518" s="23" t="s">
        <v>201</v>
      </c>
      <c r="F1518" s="14">
        <v>1</v>
      </c>
      <c r="G1518" s="12">
        <v>1499.6316758747698</v>
      </c>
      <c r="H1518" s="12">
        <v>1499.6316758747698</v>
      </c>
      <c r="I1518" s="23" t="s">
        <v>52</v>
      </c>
      <c r="J1518" s="23" t="s">
        <v>61</v>
      </c>
      <c r="K1518" s="24" t="s">
        <v>177</v>
      </c>
      <c r="L1518" s="26">
        <v>147</v>
      </c>
      <c r="M1518" s="12">
        <v>1260.1946856090503</v>
      </c>
      <c r="N1518" s="12">
        <v>1260.1946856090503</v>
      </c>
      <c r="O1518" s="12">
        <v>239.43699026571949</v>
      </c>
      <c r="P1518" s="13"/>
      <c r="Q1518" s="14">
        <v>2025</v>
      </c>
      <c r="R1518" s="15">
        <v>45444</v>
      </c>
      <c r="S1518" s="11" t="s">
        <v>479</v>
      </c>
      <c r="T1518" s="16">
        <v>0</v>
      </c>
      <c r="U1518" s="17"/>
      <c r="V1518" s="12">
        <v>461.86135227571697</v>
      </c>
      <c r="W1518" s="12">
        <v>461.86135227571697</v>
      </c>
      <c r="X1518" s="12">
        <v>0</v>
      </c>
      <c r="Y1518" s="18">
        <v>45803</v>
      </c>
      <c r="Z1518" s="13" t="s">
        <v>497</v>
      </c>
      <c r="AA1518" s="19" t="s">
        <v>373</v>
      </c>
      <c r="AB1518" s="13" t="s">
        <v>357</v>
      </c>
      <c r="AC1518" s="13" t="s">
        <v>533</v>
      </c>
      <c r="AD1518" s="20"/>
      <c r="AE1518" s="20"/>
      <c r="AF1518" s="13" t="s">
        <v>40</v>
      </c>
      <c r="AG1518" s="15">
        <v>45444</v>
      </c>
      <c r="AH1518" s="13" t="s">
        <v>41</v>
      </c>
      <c r="AI1518" s="13" t="s">
        <v>76</v>
      </c>
      <c r="AJ1518" s="13" t="s">
        <v>517</v>
      </c>
      <c r="AK1518" s="14">
        <v>-1</v>
      </c>
      <c r="AL1518" s="17"/>
      <c r="AM1518" s="17"/>
      <c r="AN1518" s="17"/>
      <c r="AO1518" s="17"/>
      <c r="AP1518" s="17"/>
      <c r="AQ1518" s="17"/>
      <c r="AR1518" s="17"/>
      <c r="AS1518" s="17"/>
      <c r="AT1518" s="17"/>
      <c r="AU1518" s="17"/>
      <c r="AV1518" s="17"/>
    </row>
    <row r="1519" spans="1:48" ht="15.75" customHeight="1">
      <c r="A1519" s="21" t="s">
        <v>53</v>
      </c>
      <c r="B1519" s="23" t="s">
        <v>1692</v>
      </c>
      <c r="C1519" s="22">
        <v>45809</v>
      </c>
      <c r="D1519" s="23" t="s">
        <v>229</v>
      </c>
      <c r="E1519" s="23" t="s">
        <v>69</v>
      </c>
      <c r="F1519" s="14">
        <v>1</v>
      </c>
      <c r="G1519" s="12">
        <v>2999.9553810458683</v>
      </c>
      <c r="H1519" s="12">
        <v>2999.9553810458683</v>
      </c>
      <c r="I1519" s="23" t="s">
        <v>52</v>
      </c>
      <c r="J1519" s="23" t="s">
        <v>61</v>
      </c>
      <c r="K1519" s="24" t="s">
        <v>177</v>
      </c>
      <c r="L1519" s="26">
        <v>147</v>
      </c>
      <c r="M1519" s="12">
        <v>2520.9709084419064</v>
      </c>
      <c r="N1519" s="12">
        <v>2520.9709084419064</v>
      </c>
      <c r="O1519" s="12">
        <v>478.98447260396188</v>
      </c>
      <c r="P1519" s="13"/>
      <c r="Q1519" s="14">
        <v>2025</v>
      </c>
      <c r="R1519" s="15">
        <v>45444</v>
      </c>
      <c r="S1519" s="11" t="s">
        <v>376</v>
      </c>
      <c r="T1519" s="16">
        <v>0</v>
      </c>
      <c r="U1519" s="17"/>
      <c r="V1519" s="12">
        <v>825.97090844190598</v>
      </c>
      <c r="W1519" s="12">
        <v>825.97090844190598</v>
      </c>
      <c r="X1519" s="12">
        <v>0</v>
      </c>
      <c r="Y1519" s="18">
        <v>45803</v>
      </c>
      <c r="Z1519" s="13" t="s">
        <v>497</v>
      </c>
      <c r="AA1519" s="19" t="s">
        <v>361</v>
      </c>
      <c r="AB1519" s="13" t="s">
        <v>357</v>
      </c>
      <c r="AC1519" s="13" t="s">
        <v>380</v>
      </c>
      <c r="AD1519" s="20"/>
      <c r="AE1519" s="20"/>
      <c r="AF1519" s="13" t="s">
        <v>40</v>
      </c>
      <c r="AG1519" s="15">
        <v>45444</v>
      </c>
      <c r="AH1519" s="13" t="s">
        <v>41</v>
      </c>
      <c r="AI1519" s="13" t="s">
        <v>53</v>
      </c>
      <c r="AJ1519" s="13" t="s">
        <v>377</v>
      </c>
      <c r="AK1519" s="14">
        <v>-1</v>
      </c>
      <c r="AL1519" s="17"/>
      <c r="AM1519" s="17"/>
      <c r="AN1519" s="17"/>
      <c r="AO1519" s="17"/>
      <c r="AP1519" s="17"/>
      <c r="AQ1519" s="17"/>
      <c r="AR1519" s="17"/>
      <c r="AS1519" s="17"/>
      <c r="AT1519" s="17"/>
      <c r="AU1519" s="17"/>
      <c r="AV1519" s="17"/>
    </row>
    <row r="1520" spans="1:48" ht="15.75" customHeight="1">
      <c r="A1520" s="21" t="s">
        <v>47</v>
      </c>
      <c r="B1520" s="23" t="s">
        <v>1692</v>
      </c>
      <c r="C1520" s="22">
        <v>45809</v>
      </c>
      <c r="D1520" s="23" t="s">
        <v>235</v>
      </c>
      <c r="E1520" s="23" t="s">
        <v>304</v>
      </c>
      <c r="F1520" s="14">
        <v>1</v>
      </c>
      <c r="G1520" s="12">
        <v>3200.2079002079004</v>
      </c>
      <c r="H1520" s="12">
        <v>3200.2079002079004</v>
      </c>
      <c r="I1520" s="23" t="s">
        <v>52</v>
      </c>
      <c r="J1520" s="23" t="s">
        <v>61</v>
      </c>
      <c r="K1520" s="24" t="s">
        <v>177</v>
      </c>
      <c r="L1520" s="26">
        <v>147</v>
      </c>
      <c r="M1520" s="12">
        <v>2689.25033630916</v>
      </c>
      <c r="N1520" s="12">
        <v>2689.25033630916</v>
      </c>
      <c r="O1520" s="12">
        <v>510.95756389874032</v>
      </c>
      <c r="P1520" s="13"/>
      <c r="Q1520" s="14">
        <v>2025</v>
      </c>
      <c r="R1520" s="15">
        <v>45444</v>
      </c>
      <c r="S1520" s="11" t="s">
        <v>422</v>
      </c>
      <c r="T1520" s="16">
        <v>0</v>
      </c>
      <c r="U1520" s="17"/>
      <c r="V1520" s="12">
        <v>490.25033630916005</v>
      </c>
      <c r="W1520" s="12">
        <v>490.25033630916005</v>
      </c>
      <c r="X1520" s="12">
        <v>0</v>
      </c>
      <c r="Y1520" s="18">
        <v>45803</v>
      </c>
      <c r="Z1520" s="13" t="s">
        <v>497</v>
      </c>
      <c r="AA1520" s="19" t="s">
        <v>367</v>
      </c>
      <c r="AB1520" s="13" t="s">
        <v>357</v>
      </c>
      <c r="AC1520" s="13" t="s">
        <v>367</v>
      </c>
      <c r="AD1520" s="20"/>
      <c r="AE1520" s="20"/>
      <c r="AF1520" s="13" t="s">
        <v>40</v>
      </c>
      <c r="AG1520" s="15">
        <v>45444</v>
      </c>
      <c r="AH1520" s="13" t="s">
        <v>41</v>
      </c>
      <c r="AI1520" s="13" t="s">
        <v>47</v>
      </c>
      <c r="AJ1520" s="13" t="s">
        <v>385</v>
      </c>
      <c r="AK1520" s="14">
        <v>-1</v>
      </c>
      <c r="AL1520" s="17"/>
      <c r="AM1520" s="17"/>
      <c r="AN1520" s="17"/>
      <c r="AO1520" s="17"/>
      <c r="AP1520" s="17"/>
      <c r="AQ1520" s="17"/>
      <c r="AR1520" s="17"/>
      <c r="AS1520" s="17"/>
      <c r="AT1520" s="17"/>
      <c r="AU1520" s="17"/>
      <c r="AV1520" s="17"/>
    </row>
    <row r="1521" spans="1:48" ht="15.75" customHeight="1">
      <c r="A1521" s="21" t="s">
        <v>47</v>
      </c>
      <c r="B1521" s="23" t="s">
        <v>1692</v>
      </c>
      <c r="C1521" s="22">
        <v>45809</v>
      </c>
      <c r="D1521" s="23" t="s">
        <v>235</v>
      </c>
      <c r="E1521" s="23" t="s">
        <v>610</v>
      </c>
      <c r="F1521" s="14">
        <v>1</v>
      </c>
      <c r="G1521" s="12">
        <v>1600.2801610926285</v>
      </c>
      <c r="H1521" s="12">
        <v>1600.2801610926285</v>
      </c>
      <c r="I1521" s="23" t="s">
        <v>52</v>
      </c>
      <c r="J1521" s="23" t="s">
        <v>61</v>
      </c>
      <c r="K1521" s="24" t="s">
        <v>177</v>
      </c>
      <c r="L1521" s="26">
        <v>147</v>
      </c>
      <c r="M1521" s="12">
        <v>1344.7732446156542</v>
      </c>
      <c r="N1521" s="12">
        <v>1344.7732446156542</v>
      </c>
      <c r="O1521" s="12">
        <v>255.50691647697431</v>
      </c>
      <c r="P1521" s="13"/>
      <c r="Q1521" s="14">
        <v>2025</v>
      </c>
      <c r="R1521" s="15">
        <v>45444</v>
      </c>
      <c r="S1521" s="11" t="s">
        <v>600</v>
      </c>
      <c r="T1521" s="16">
        <v>0</v>
      </c>
      <c r="U1521" s="17"/>
      <c r="V1521" s="12">
        <v>576.77324461565422</v>
      </c>
      <c r="W1521" s="12">
        <v>576.77324461565422</v>
      </c>
      <c r="X1521" s="12">
        <v>0</v>
      </c>
      <c r="Y1521" s="18">
        <v>45803</v>
      </c>
      <c r="Z1521" s="13" t="s">
        <v>497</v>
      </c>
      <c r="AA1521" s="19" t="s">
        <v>367</v>
      </c>
      <c r="AB1521" s="13" t="s">
        <v>357</v>
      </c>
      <c r="AC1521" s="13" t="s">
        <v>367</v>
      </c>
      <c r="AD1521" s="20"/>
      <c r="AE1521" s="20"/>
      <c r="AF1521" s="13" t="s">
        <v>40</v>
      </c>
      <c r="AG1521" s="15">
        <v>45444</v>
      </c>
      <c r="AH1521" s="13" t="s">
        <v>41</v>
      </c>
      <c r="AI1521" s="13" t="s">
        <v>47</v>
      </c>
      <c r="AJ1521" s="13" t="s">
        <v>601</v>
      </c>
      <c r="AK1521" s="14">
        <v>-1</v>
      </c>
      <c r="AL1521" s="17"/>
      <c r="AM1521" s="17"/>
      <c r="AN1521" s="17"/>
      <c r="AO1521" s="17"/>
      <c r="AP1521" s="17"/>
      <c r="AQ1521" s="17"/>
      <c r="AR1521" s="17"/>
      <c r="AS1521" s="17"/>
      <c r="AT1521" s="17"/>
      <c r="AU1521" s="17"/>
      <c r="AV1521" s="17"/>
    </row>
    <row r="1522" spans="1:48" ht="15.75" customHeight="1">
      <c r="A1522" s="21" t="s">
        <v>47</v>
      </c>
      <c r="B1522" s="23" t="s">
        <v>1692</v>
      </c>
      <c r="C1522" s="22">
        <v>45809</v>
      </c>
      <c r="D1522" s="23" t="s">
        <v>235</v>
      </c>
      <c r="E1522" s="23" t="s">
        <v>205</v>
      </c>
      <c r="F1522" s="14">
        <v>1</v>
      </c>
      <c r="G1522" s="12">
        <v>1100.0468055230517</v>
      </c>
      <c r="H1522" s="12">
        <v>1100.0468055230517</v>
      </c>
      <c r="I1522" s="23" t="s">
        <v>52</v>
      </c>
      <c r="J1522" s="23" t="s">
        <v>61</v>
      </c>
      <c r="K1522" s="24" t="s">
        <v>177</v>
      </c>
      <c r="L1522" s="26">
        <v>147</v>
      </c>
      <c r="M1522" s="12">
        <v>924.40908027147202</v>
      </c>
      <c r="N1522" s="12">
        <v>924.40908027147202</v>
      </c>
      <c r="O1522" s="12">
        <v>175.6377252515797</v>
      </c>
      <c r="P1522" s="13"/>
      <c r="Q1522" s="14">
        <v>2025</v>
      </c>
      <c r="R1522" s="15">
        <v>45444</v>
      </c>
      <c r="S1522" s="11" t="s">
        <v>205</v>
      </c>
      <c r="T1522" s="16">
        <v>0</v>
      </c>
      <c r="U1522" s="17"/>
      <c r="V1522" s="12">
        <v>529.40908027147202</v>
      </c>
      <c r="W1522" s="12">
        <v>529.40908027147202</v>
      </c>
      <c r="X1522" s="12">
        <v>0</v>
      </c>
      <c r="Y1522" s="18">
        <v>45803</v>
      </c>
      <c r="Z1522" s="13" t="s">
        <v>497</v>
      </c>
      <c r="AA1522" s="19" t="s">
        <v>367</v>
      </c>
      <c r="AB1522" s="13" t="s">
        <v>357</v>
      </c>
      <c r="AC1522" s="13" t="s">
        <v>367</v>
      </c>
      <c r="AD1522" s="20"/>
      <c r="AE1522" s="20"/>
      <c r="AF1522" s="13" t="s">
        <v>40</v>
      </c>
      <c r="AG1522" s="15">
        <v>45444</v>
      </c>
      <c r="AH1522" s="13" t="s">
        <v>41</v>
      </c>
      <c r="AI1522" s="13" t="s">
        <v>47</v>
      </c>
      <c r="AJ1522" s="13" t="s">
        <v>542</v>
      </c>
      <c r="AK1522" s="14">
        <v>-1</v>
      </c>
      <c r="AL1522" s="17"/>
      <c r="AM1522" s="17"/>
      <c r="AN1522" s="17"/>
      <c r="AO1522" s="17"/>
      <c r="AP1522" s="17"/>
      <c r="AQ1522" s="17"/>
      <c r="AR1522" s="17"/>
      <c r="AS1522" s="17"/>
      <c r="AT1522" s="17"/>
      <c r="AU1522" s="17"/>
      <c r="AV1522" s="17"/>
    </row>
    <row r="1523" spans="1:48" ht="15.75" customHeight="1">
      <c r="A1523" s="21" t="s">
        <v>43</v>
      </c>
      <c r="B1523" s="23" t="s">
        <v>1692</v>
      </c>
      <c r="C1523" s="22">
        <v>45809</v>
      </c>
      <c r="D1523" s="23" t="s">
        <v>292</v>
      </c>
      <c r="E1523" s="23" t="s">
        <v>45</v>
      </c>
      <c r="F1523" s="14">
        <v>1</v>
      </c>
      <c r="G1523" s="12">
        <v>8199.8965351595689</v>
      </c>
      <c r="H1523" s="12">
        <v>8199.8965351595689</v>
      </c>
      <c r="I1523" s="23" t="s">
        <v>52</v>
      </c>
      <c r="J1523" s="23" t="s">
        <v>61</v>
      </c>
      <c r="K1523" s="24" t="s">
        <v>177</v>
      </c>
      <c r="L1523" s="26">
        <v>147</v>
      </c>
      <c r="M1523" s="12">
        <v>6890.6693572769491</v>
      </c>
      <c r="N1523" s="12">
        <v>6890.6693572769491</v>
      </c>
      <c r="O1523" s="12">
        <v>1309.2271778826198</v>
      </c>
      <c r="P1523" s="13"/>
      <c r="Q1523" s="14">
        <v>2025</v>
      </c>
      <c r="R1523" s="15">
        <v>45444</v>
      </c>
      <c r="S1523" s="11" t="s">
        <v>355</v>
      </c>
      <c r="T1523" s="16">
        <v>0</v>
      </c>
      <c r="U1523" s="17"/>
      <c r="V1523" s="12">
        <v>1296.3416261845123</v>
      </c>
      <c r="W1523" s="12">
        <v>1296.3416261845123</v>
      </c>
      <c r="X1523" s="12">
        <v>0</v>
      </c>
      <c r="Y1523" s="18">
        <v>45803</v>
      </c>
      <c r="Z1523" s="13" t="s">
        <v>497</v>
      </c>
      <c r="AA1523" s="19" t="s">
        <v>356</v>
      </c>
      <c r="AB1523" s="13" t="s">
        <v>357</v>
      </c>
      <c r="AC1523" s="13" t="s">
        <v>383</v>
      </c>
      <c r="AD1523" s="20"/>
      <c r="AE1523" s="20"/>
      <c r="AF1523" s="13" t="s">
        <v>40</v>
      </c>
      <c r="AG1523" s="15">
        <v>45444</v>
      </c>
      <c r="AH1523" s="13" t="s">
        <v>41</v>
      </c>
      <c r="AI1523" s="13" t="s">
        <v>43</v>
      </c>
      <c r="AJ1523" s="13" t="s">
        <v>359</v>
      </c>
      <c r="AK1523" s="14">
        <v>-1</v>
      </c>
      <c r="AL1523" s="17"/>
      <c r="AM1523" s="17"/>
      <c r="AN1523" s="17"/>
      <c r="AO1523" s="17"/>
      <c r="AP1523" s="17"/>
      <c r="AQ1523" s="17"/>
      <c r="AR1523" s="17"/>
      <c r="AS1523" s="17"/>
      <c r="AT1523" s="17"/>
      <c r="AU1523" s="17"/>
      <c r="AV1523" s="17"/>
    </row>
    <row r="1524" spans="1:48" ht="15.75" customHeight="1">
      <c r="A1524" s="21" t="s">
        <v>35</v>
      </c>
      <c r="B1524" s="23" t="s">
        <v>1692</v>
      </c>
      <c r="C1524" s="22">
        <v>45809</v>
      </c>
      <c r="D1524" s="23" t="s">
        <v>292</v>
      </c>
      <c r="E1524" s="23" t="s">
        <v>37</v>
      </c>
      <c r="F1524" s="14">
        <v>1</v>
      </c>
      <c r="G1524" s="12">
        <v>11000.014358944907</v>
      </c>
      <c r="H1524" s="12">
        <v>11000.014358944907</v>
      </c>
      <c r="I1524" s="23" t="s">
        <v>52</v>
      </c>
      <c r="J1524" s="23" t="s">
        <v>61</v>
      </c>
      <c r="K1524" s="24" t="s">
        <v>177</v>
      </c>
      <c r="L1524" s="26">
        <v>147</v>
      </c>
      <c r="M1524" s="12">
        <v>9243.7095453318543</v>
      </c>
      <c r="N1524" s="12">
        <v>9243.7095453318543</v>
      </c>
      <c r="O1524" s="12">
        <v>1756.3048136130528</v>
      </c>
      <c r="P1524" s="13"/>
      <c r="Q1524" s="14">
        <v>2025</v>
      </c>
      <c r="R1524" s="15">
        <v>45444</v>
      </c>
      <c r="S1524" s="11" t="s">
        <v>364</v>
      </c>
      <c r="T1524" s="16">
        <v>1000</v>
      </c>
      <c r="U1524" s="17"/>
      <c r="V1524" s="12">
        <v>2806.1129066763915</v>
      </c>
      <c r="W1524" s="12">
        <v>2806.1129066763915</v>
      </c>
      <c r="X1524" s="12">
        <v>0</v>
      </c>
      <c r="Y1524" s="18">
        <v>45803</v>
      </c>
      <c r="Z1524" s="13" t="s">
        <v>497</v>
      </c>
      <c r="AA1524" s="19" t="s">
        <v>356</v>
      </c>
      <c r="AB1524" s="13" t="s">
        <v>357</v>
      </c>
      <c r="AC1524" s="13" t="s">
        <v>383</v>
      </c>
      <c r="AD1524" s="20"/>
      <c r="AE1524" s="20"/>
      <c r="AF1524" s="13" t="s">
        <v>40</v>
      </c>
      <c r="AG1524" s="15">
        <v>45444</v>
      </c>
      <c r="AH1524" s="13" t="s">
        <v>41</v>
      </c>
      <c r="AI1524" s="13" t="s">
        <v>35</v>
      </c>
      <c r="AJ1524" s="13" t="s">
        <v>365</v>
      </c>
      <c r="AK1524" s="14">
        <v>-1</v>
      </c>
      <c r="AL1524" s="17"/>
      <c r="AM1524" s="17"/>
      <c r="AN1524" s="17"/>
      <c r="AO1524" s="17"/>
      <c r="AP1524" s="17"/>
      <c r="AQ1524" s="17"/>
      <c r="AR1524" s="17"/>
      <c r="AS1524" s="17"/>
      <c r="AT1524" s="17"/>
      <c r="AU1524" s="17"/>
      <c r="AV1524" s="17"/>
    </row>
    <row r="1525" spans="1:48" ht="15.75" customHeight="1">
      <c r="A1525" s="21" t="s">
        <v>47</v>
      </c>
      <c r="B1525" s="23" t="s">
        <v>1692</v>
      </c>
      <c r="C1525" s="22">
        <v>45808</v>
      </c>
      <c r="D1525" s="23" t="s">
        <v>235</v>
      </c>
      <c r="E1525" s="23" t="s">
        <v>306</v>
      </c>
      <c r="F1525" s="14">
        <v>1</v>
      </c>
      <c r="G1525" s="12">
        <v>8000.0000000000009</v>
      </c>
      <c r="H1525" s="12">
        <v>8000.0000000000009</v>
      </c>
      <c r="I1525" s="23" t="s">
        <v>52</v>
      </c>
      <c r="J1525" s="23" t="s">
        <v>61</v>
      </c>
      <c r="K1525" s="24" t="s">
        <v>177</v>
      </c>
      <c r="L1525" s="26">
        <v>146</v>
      </c>
      <c r="M1525" s="12">
        <v>6722.6890756302528</v>
      </c>
      <c r="N1525" s="12">
        <v>6722.6890756302528</v>
      </c>
      <c r="O1525" s="12">
        <v>1277.3109243697481</v>
      </c>
      <c r="P1525" s="13"/>
      <c r="Q1525" s="14">
        <v>2025</v>
      </c>
      <c r="R1525" s="15">
        <v>45413</v>
      </c>
      <c r="S1525" s="11" t="s">
        <v>372</v>
      </c>
      <c r="T1525" s="16">
        <v>0</v>
      </c>
      <c r="U1525" s="17"/>
      <c r="V1525" s="12">
        <v>1781.5126050420176</v>
      </c>
      <c r="W1525" s="12">
        <v>1781.5126050420176</v>
      </c>
      <c r="X1525" s="12">
        <v>0</v>
      </c>
      <c r="Y1525" s="18">
        <v>45803</v>
      </c>
      <c r="Z1525" s="13" t="s">
        <v>501</v>
      </c>
      <c r="AA1525" s="19" t="s">
        <v>367</v>
      </c>
      <c r="AB1525" s="13" t="s">
        <v>357</v>
      </c>
      <c r="AC1525" s="13" t="s">
        <v>367</v>
      </c>
      <c r="AD1525" s="20"/>
      <c r="AE1525" s="20"/>
      <c r="AF1525" s="13" t="s">
        <v>40</v>
      </c>
      <c r="AG1525" s="15">
        <v>45413</v>
      </c>
      <c r="AH1525" s="13" t="s">
        <v>41</v>
      </c>
      <c r="AI1525" s="13" t="s">
        <v>47</v>
      </c>
      <c r="AJ1525" s="13" t="str">
        <f>VLOOKUP(E1525,Precios!Z$2:AA$941,2,FALSE)</f>
        <v>Traperos Humedos VIRGINIA</v>
      </c>
      <c r="AK1525" s="14">
        <f>VLOOKUP(E1525,Precios!Z$2:BB$941,3,FALSE)*F1525</f>
        <v>-3</v>
      </c>
      <c r="AL1525" s="17"/>
      <c r="AM1525" s="17"/>
      <c r="AN1525" s="17"/>
      <c r="AO1525" s="17"/>
      <c r="AP1525" s="17"/>
      <c r="AQ1525" s="17"/>
      <c r="AR1525" s="17"/>
      <c r="AS1525" s="17"/>
      <c r="AT1525" s="17"/>
      <c r="AU1525" s="17"/>
      <c r="AV1525" s="17"/>
    </row>
    <row r="1526" spans="1:48" ht="15.75" customHeight="1">
      <c r="A1526" s="21" t="s">
        <v>56</v>
      </c>
      <c r="B1526" s="23" t="s">
        <v>1692</v>
      </c>
      <c r="C1526" s="22">
        <v>45808</v>
      </c>
      <c r="D1526" s="23" t="s">
        <v>611</v>
      </c>
      <c r="E1526" s="23" t="s">
        <v>112</v>
      </c>
      <c r="F1526" s="14">
        <v>1</v>
      </c>
      <c r="G1526" s="12">
        <v>7999.6031746031749</v>
      </c>
      <c r="H1526" s="12">
        <v>7999.6031746031749</v>
      </c>
      <c r="I1526" s="23" t="s">
        <v>52</v>
      </c>
      <c r="J1526" s="23" t="s">
        <v>61</v>
      </c>
      <c r="K1526" s="24" t="s">
        <v>177</v>
      </c>
      <c r="L1526" s="26">
        <v>146</v>
      </c>
      <c r="M1526" s="12">
        <v>6722.3556089102312</v>
      </c>
      <c r="N1526" s="12">
        <v>6722.3556089102312</v>
      </c>
      <c r="O1526" s="12">
        <v>1277.2475656929437</v>
      </c>
      <c r="P1526" s="13"/>
      <c r="Q1526" s="14">
        <v>2025</v>
      </c>
      <c r="R1526" s="15">
        <v>45413</v>
      </c>
      <c r="S1526" s="11" t="s">
        <v>427</v>
      </c>
      <c r="T1526" s="16">
        <v>135</v>
      </c>
      <c r="U1526" s="17"/>
      <c r="V1526" s="12">
        <v>2317.868213952248</v>
      </c>
      <c r="W1526" s="12">
        <v>2317.868213952248</v>
      </c>
      <c r="X1526" s="12">
        <v>0</v>
      </c>
      <c r="Y1526" s="18">
        <v>45803</v>
      </c>
      <c r="Z1526" s="13" t="s">
        <v>501</v>
      </c>
      <c r="AA1526" s="19" t="s">
        <v>373</v>
      </c>
      <c r="AB1526" s="13" t="s">
        <v>357</v>
      </c>
      <c r="AC1526" s="13"/>
      <c r="AD1526" s="20"/>
      <c r="AE1526" s="20"/>
      <c r="AF1526" s="13" t="s">
        <v>40</v>
      </c>
      <c r="AG1526" s="15">
        <v>45413</v>
      </c>
      <c r="AH1526" s="13" t="s">
        <v>41</v>
      </c>
      <c r="AI1526" s="13" t="s">
        <v>56</v>
      </c>
      <c r="AJ1526" s="13" t="str">
        <f>VLOOKUP(E1526,Precios!Z$2:AA$941,2,FALSE)</f>
        <v>Provoleta Parrillera</v>
      </c>
      <c r="AK1526" s="14">
        <f>VLOOKUP(E1526,Precios!Z$2:BB$941,3,FALSE)*F1526</f>
        <v>-3</v>
      </c>
      <c r="AL1526" s="17"/>
      <c r="AM1526" s="17"/>
      <c r="AN1526" s="17"/>
      <c r="AO1526" s="17"/>
      <c r="AP1526" s="17"/>
      <c r="AQ1526" s="17"/>
      <c r="AR1526" s="17"/>
      <c r="AS1526" s="17"/>
      <c r="AT1526" s="17"/>
      <c r="AU1526" s="17"/>
      <c r="AV1526" s="17"/>
    </row>
    <row r="1527" spans="1:48" ht="15.75" customHeight="1">
      <c r="A1527" s="21" t="s">
        <v>35</v>
      </c>
      <c r="B1527" s="23" t="s">
        <v>1692</v>
      </c>
      <c r="C1527" s="22">
        <v>45808</v>
      </c>
      <c r="D1527" s="23" t="s">
        <v>308</v>
      </c>
      <c r="E1527" s="23" t="s">
        <v>37</v>
      </c>
      <c r="F1527" s="14">
        <v>1</v>
      </c>
      <c r="G1527" s="12">
        <v>11000.014358944907</v>
      </c>
      <c r="H1527" s="12">
        <v>11000.014358944907</v>
      </c>
      <c r="I1527" s="23" t="s">
        <v>52</v>
      </c>
      <c r="J1527" s="23" t="s">
        <v>61</v>
      </c>
      <c r="K1527" s="24" t="s">
        <v>177</v>
      </c>
      <c r="L1527" s="26">
        <v>146</v>
      </c>
      <c r="M1527" s="12">
        <v>9243.7095453318543</v>
      </c>
      <c r="N1527" s="12">
        <v>9243.7095453318543</v>
      </c>
      <c r="O1527" s="12">
        <v>1756.3048136130528</v>
      </c>
      <c r="P1527" s="13"/>
      <c r="Q1527" s="14">
        <v>2025</v>
      </c>
      <c r="R1527" s="15">
        <v>45413</v>
      </c>
      <c r="S1527" s="11" t="s">
        <v>364</v>
      </c>
      <c r="T1527" s="16">
        <v>1000</v>
      </c>
      <c r="U1527" s="17"/>
      <c r="V1527" s="12">
        <v>2806.1129066763915</v>
      </c>
      <c r="W1527" s="12">
        <v>2806.1129066763915</v>
      </c>
      <c r="X1527" s="12">
        <v>0</v>
      </c>
      <c r="Y1527" s="18">
        <v>45803</v>
      </c>
      <c r="Z1527" s="13" t="s">
        <v>501</v>
      </c>
      <c r="AA1527" s="19" t="s">
        <v>373</v>
      </c>
      <c r="AB1527" s="13" t="s">
        <v>357</v>
      </c>
      <c r="AC1527" s="13" t="s">
        <v>612</v>
      </c>
      <c r="AD1527" s="20"/>
      <c r="AE1527" s="20"/>
      <c r="AF1527" s="13" t="s">
        <v>40</v>
      </c>
      <c r="AG1527" s="15">
        <v>45413</v>
      </c>
      <c r="AH1527" s="13" t="s">
        <v>41</v>
      </c>
      <c r="AI1527" s="13" t="s">
        <v>35</v>
      </c>
      <c r="AJ1527" s="13" t="str">
        <f>VLOOKUP(E1527,Precios!Z$2:AA$941,2,FALSE)</f>
        <v>Queso RUNCA Mantecoso</v>
      </c>
      <c r="AK1527" s="14">
        <f>VLOOKUP(E1527,Precios!Z$2:BB$941,3,FALSE)*F1527</f>
        <v>-1</v>
      </c>
      <c r="AL1527" s="17"/>
      <c r="AM1527" s="17"/>
      <c r="AN1527" s="17"/>
      <c r="AO1527" s="17"/>
      <c r="AP1527" s="17"/>
      <c r="AQ1527" s="17"/>
      <c r="AR1527" s="17"/>
      <c r="AS1527" s="17"/>
      <c r="AT1527" s="17"/>
      <c r="AU1527" s="17"/>
      <c r="AV1527" s="17"/>
    </row>
    <row r="1528" spans="1:48" ht="15.75" customHeight="1">
      <c r="A1528" s="21" t="s">
        <v>76</v>
      </c>
      <c r="B1528" s="23" t="s">
        <v>1692</v>
      </c>
      <c r="C1528" s="22">
        <v>45808</v>
      </c>
      <c r="D1528" s="23" t="s">
        <v>308</v>
      </c>
      <c r="E1528" s="23" t="s">
        <v>185</v>
      </c>
      <c r="F1528" s="14">
        <v>1</v>
      </c>
      <c r="G1528" s="12">
        <v>3200.1383843625663</v>
      </c>
      <c r="H1528" s="12">
        <v>3200.1383843625663</v>
      </c>
      <c r="I1528" s="23" t="s">
        <v>52</v>
      </c>
      <c r="J1528" s="23" t="s">
        <v>61</v>
      </c>
      <c r="K1528" s="24" t="s">
        <v>177</v>
      </c>
      <c r="L1528" s="26">
        <v>146</v>
      </c>
      <c r="M1528" s="12">
        <v>2689.1919196324088</v>
      </c>
      <c r="N1528" s="12">
        <v>2689.1919196324088</v>
      </c>
      <c r="O1528" s="12">
        <v>510.94646473015746</v>
      </c>
      <c r="P1528" s="13"/>
      <c r="Q1528" s="14">
        <v>2025</v>
      </c>
      <c r="R1528" s="15">
        <v>45413</v>
      </c>
      <c r="S1528" s="11" t="s">
        <v>444</v>
      </c>
      <c r="T1528" s="16">
        <v>5</v>
      </c>
      <c r="U1528" s="17"/>
      <c r="V1528" s="12">
        <v>1134.570070892913</v>
      </c>
      <c r="W1528" s="12">
        <v>1134.570070892913</v>
      </c>
      <c r="X1528" s="12">
        <v>0</v>
      </c>
      <c r="Y1528" s="18">
        <v>45803</v>
      </c>
      <c r="Z1528" s="13" t="s">
        <v>501</v>
      </c>
      <c r="AA1528" s="19" t="s">
        <v>373</v>
      </c>
      <c r="AB1528" s="13" t="s">
        <v>357</v>
      </c>
      <c r="AC1528" s="13" t="s">
        <v>612</v>
      </c>
      <c r="AD1528" s="20"/>
      <c r="AE1528" s="20"/>
      <c r="AF1528" s="13" t="s">
        <v>40</v>
      </c>
      <c r="AG1528" s="15">
        <v>45413</v>
      </c>
      <c r="AH1528" s="13" t="s">
        <v>41</v>
      </c>
      <c r="AI1528" s="13" t="s">
        <v>76</v>
      </c>
      <c r="AJ1528" s="13" t="str">
        <f>VLOOKUP(E1528,Precios!Z$2:AA$941,2,FALSE)</f>
        <v>Limpia Vidrio SPUM 5 litros</v>
      </c>
      <c r="AK1528" s="14">
        <f>VLOOKUP(E1528,Precios!Z$2:BB$941,3,FALSE)*F1528</f>
        <v>-1</v>
      </c>
      <c r="AL1528" s="17"/>
      <c r="AM1528" s="17"/>
      <c r="AN1528" s="17"/>
      <c r="AO1528" s="17"/>
      <c r="AP1528" s="17"/>
      <c r="AQ1528" s="17"/>
      <c r="AR1528" s="17"/>
      <c r="AS1528" s="17"/>
      <c r="AT1528" s="17"/>
      <c r="AU1528" s="17"/>
      <c r="AV1528" s="17"/>
    </row>
    <row r="1529" spans="1:48" ht="15.75" customHeight="1">
      <c r="A1529" s="21" t="s">
        <v>76</v>
      </c>
      <c r="B1529" s="23" t="s">
        <v>1692</v>
      </c>
      <c r="C1529" s="22">
        <v>45808</v>
      </c>
      <c r="D1529" s="23" t="s">
        <v>308</v>
      </c>
      <c r="E1529" s="23" t="s">
        <v>82</v>
      </c>
      <c r="F1529" s="14">
        <v>1</v>
      </c>
      <c r="G1529" s="12">
        <v>2000.0000000000002</v>
      </c>
      <c r="H1529" s="12">
        <v>2000.0000000000002</v>
      </c>
      <c r="I1529" s="23" t="s">
        <v>52</v>
      </c>
      <c r="J1529" s="23" t="s">
        <v>61</v>
      </c>
      <c r="K1529" s="24" t="s">
        <v>177</v>
      </c>
      <c r="L1529" s="26">
        <v>146</v>
      </c>
      <c r="M1529" s="12">
        <v>1680.6722689075632</v>
      </c>
      <c r="N1529" s="12">
        <v>1680.6722689075632</v>
      </c>
      <c r="O1529" s="12">
        <v>319.32773109243703</v>
      </c>
      <c r="P1529" s="13"/>
      <c r="Q1529" s="14">
        <v>2025</v>
      </c>
      <c r="R1529" s="15">
        <v>45413</v>
      </c>
      <c r="S1529" s="11" t="s">
        <v>463</v>
      </c>
      <c r="T1529" s="16">
        <v>5</v>
      </c>
      <c r="U1529" s="17"/>
      <c r="V1529" s="12">
        <v>680.67226890756319</v>
      </c>
      <c r="W1529" s="12">
        <v>680.67226890756319</v>
      </c>
      <c r="X1529" s="12">
        <v>0</v>
      </c>
      <c r="Y1529" s="18">
        <v>45803</v>
      </c>
      <c r="Z1529" s="13" t="s">
        <v>501</v>
      </c>
      <c r="AA1529" s="19" t="s">
        <v>373</v>
      </c>
      <c r="AB1529" s="13" t="s">
        <v>357</v>
      </c>
      <c r="AC1529" s="13" t="s">
        <v>612</v>
      </c>
      <c r="AD1529" s="20"/>
      <c r="AE1529" s="20"/>
      <c r="AF1529" s="13" t="s">
        <v>40</v>
      </c>
      <c r="AG1529" s="15">
        <v>45413</v>
      </c>
      <c r="AH1529" s="13" t="s">
        <v>41</v>
      </c>
      <c r="AI1529" s="13" t="s">
        <v>76</v>
      </c>
      <c r="AJ1529" s="13" t="str">
        <f>VLOOKUP(E1529,Precios!Z$2:AA$941,2,FALSE)</f>
        <v>Limpiapiso SPUM 5 Litros</v>
      </c>
      <c r="AK1529" s="14">
        <f>VLOOKUP(E1529,Precios!Z$2:BB$941,3,FALSE)*F1529</f>
        <v>-1</v>
      </c>
      <c r="AL1529" s="17"/>
      <c r="AM1529" s="17"/>
      <c r="AN1529" s="17"/>
      <c r="AO1529" s="17"/>
      <c r="AP1529" s="17"/>
      <c r="AQ1529" s="17"/>
      <c r="AR1529" s="17"/>
      <c r="AS1529" s="17"/>
      <c r="AT1529" s="17"/>
      <c r="AU1529" s="17"/>
      <c r="AV1529" s="17"/>
    </row>
    <row r="1530" spans="1:48" ht="15.75" customHeight="1">
      <c r="A1530" s="21" t="s">
        <v>76</v>
      </c>
      <c r="B1530" s="23" t="s">
        <v>1692</v>
      </c>
      <c r="C1530" s="22">
        <v>45808</v>
      </c>
      <c r="D1530" s="23" t="s">
        <v>308</v>
      </c>
      <c r="E1530" s="23" t="s">
        <v>166</v>
      </c>
      <c r="F1530" s="14">
        <v>1</v>
      </c>
      <c r="G1530" s="12">
        <v>3500.0000000000005</v>
      </c>
      <c r="H1530" s="12">
        <v>3500.0000000000005</v>
      </c>
      <c r="I1530" s="23" t="s">
        <v>52</v>
      </c>
      <c r="J1530" s="23" t="s">
        <v>61</v>
      </c>
      <c r="K1530" s="24" t="s">
        <v>177</v>
      </c>
      <c r="L1530" s="26">
        <v>146</v>
      </c>
      <c r="M1530" s="12">
        <v>2941.1764705882356</v>
      </c>
      <c r="N1530" s="12">
        <v>2941.1764705882356</v>
      </c>
      <c r="O1530" s="12">
        <v>558.82352941176487</v>
      </c>
      <c r="P1530" s="13"/>
      <c r="Q1530" s="14">
        <v>2025</v>
      </c>
      <c r="R1530" s="15">
        <v>45413</v>
      </c>
      <c r="S1530" s="11" t="s">
        <v>448</v>
      </c>
      <c r="T1530" s="16">
        <v>5</v>
      </c>
      <c r="U1530" s="17"/>
      <c r="V1530" s="12">
        <v>1016.8067226890757</v>
      </c>
      <c r="W1530" s="12">
        <v>1016.8067226890757</v>
      </c>
      <c r="X1530" s="12">
        <v>0</v>
      </c>
      <c r="Y1530" s="18">
        <v>45803</v>
      </c>
      <c r="Z1530" s="13" t="s">
        <v>501</v>
      </c>
      <c r="AA1530" s="19" t="s">
        <v>373</v>
      </c>
      <c r="AB1530" s="13" t="s">
        <v>357</v>
      </c>
      <c r="AC1530" s="13" t="s">
        <v>612</v>
      </c>
      <c r="AD1530" s="20"/>
      <c r="AE1530" s="20"/>
      <c r="AF1530" s="13" t="s">
        <v>40</v>
      </c>
      <c r="AG1530" s="15">
        <v>45413</v>
      </c>
      <c r="AH1530" s="13" t="s">
        <v>41</v>
      </c>
      <c r="AI1530" s="13" t="s">
        <v>76</v>
      </c>
      <c r="AJ1530" s="13" t="str">
        <f>VLOOKUP(E1530,Precios!Z$2:AA$941,2,FALSE)</f>
        <v>Cloro GEL SPUM 5 Litros</v>
      </c>
      <c r="AK1530" s="14">
        <f>VLOOKUP(E1530,Precios!Z$2:BB$941,3,FALSE)*F1530</f>
        <v>-1</v>
      </c>
      <c r="AL1530" s="17"/>
      <c r="AM1530" s="17"/>
      <c r="AN1530" s="17"/>
      <c r="AO1530" s="17"/>
      <c r="AP1530" s="17"/>
      <c r="AQ1530" s="17"/>
      <c r="AR1530" s="17"/>
      <c r="AS1530" s="17"/>
      <c r="AT1530" s="17"/>
      <c r="AU1530" s="17"/>
      <c r="AV1530" s="17"/>
    </row>
    <row r="1531" spans="1:48" ht="15.75" customHeight="1">
      <c r="A1531" s="21" t="s">
        <v>53</v>
      </c>
      <c r="B1531" s="23" t="s">
        <v>1692</v>
      </c>
      <c r="C1531" s="22">
        <v>45808</v>
      </c>
      <c r="D1531" s="23" t="s">
        <v>308</v>
      </c>
      <c r="E1531" s="23" t="s">
        <v>55</v>
      </c>
      <c r="F1531" s="14">
        <v>1</v>
      </c>
      <c r="G1531" s="12">
        <v>20899.657134519988</v>
      </c>
      <c r="H1531" s="12">
        <v>20899.657134519988</v>
      </c>
      <c r="I1531" s="23" t="s">
        <v>52</v>
      </c>
      <c r="J1531" s="23" t="s">
        <v>61</v>
      </c>
      <c r="K1531" s="24" t="s">
        <v>177</v>
      </c>
      <c r="L1531" s="26">
        <v>146</v>
      </c>
      <c r="M1531" s="12">
        <v>17562.737087831923</v>
      </c>
      <c r="N1531" s="12">
        <v>17562.737087831923</v>
      </c>
      <c r="O1531" s="12">
        <v>3336.9200466880648</v>
      </c>
      <c r="P1531" s="13"/>
      <c r="Q1531" s="14">
        <v>2025</v>
      </c>
      <c r="R1531" s="15">
        <v>45413</v>
      </c>
      <c r="S1531" s="11" t="s">
        <v>366</v>
      </c>
      <c r="T1531" s="16">
        <v>0</v>
      </c>
      <c r="U1531" s="17"/>
      <c r="V1531" s="12">
        <v>3117.7370878319234</v>
      </c>
      <c r="W1531" s="12">
        <v>3117.7370878319234</v>
      </c>
      <c r="X1531" s="12">
        <v>0</v>
      </c>
      <c r="Y1531" s="18">
        <v>45803</v>
      </c>
      <c r="Z1531" s="13" t="s">
        <v>501</v>
      </c>
      <c r="AA1531" s="19" t="s">
        <v>373</v>
      </c>
      <c r="AB1531" s="13" t="s">
        <v>357</v>
      </c>
      <c r="AC1531" s="13" t="s">
        <v>612</v>
      </c>
      <c r="AD1531" s="20"/>
      <c r="AE1531" s="20"/>
      <c r="AF1531" s="13" t="s">
        <v>40</v>
      </c>
      <c r="AG1531" s="15">
        <v>45413</v>
      </c>
      <c r="AH1531" s="13" t="s">
        <v>41</v>
      </c>
      <c r="AI1531" s="13" t="s">
        <v>53</v>
      </c>
      <c r="AJ1531" s="13" t="str">
        <f>VLOOKUP(E1531,Precios!Z$2:AA$941,2,FALSE)</f>
        <v>Papel Higienico ELITE 50 metros</v>
      </c>
      <c r="AK1531" s="14">
        <f>VLOOKUP(E1531,Precios!Z$2:BB$941,3,FALSE)*F1531</f>
        <v>-8</v>
      </c>
      <c r="AL1531" s="17"/>
      <c r="AM1531" s="17"/>
      <c r="AN1531" s="17"/>
      <c r="AO1531" s="17"/>
      <c r="AP1531" s="17"/>
      <c r="AQ1531" s="17"/>
      <c r="AR1531" s="17"/>
      <c r="AS1531" s="17"/>
      <c r="AT1531" s="17"/>
      <c r="AU1531" s="17"/>
      <c r="AV1531" s="17"/>
    </row>
    <row r="1532" spans="1:48" ht="15.75" customHeight="1">
      <c r="A1532" s="21" t="s">
        <v>76</v>
      </c>
      <c r="B1532" s="23" t="s">
        <v>1692</v>
      </c>
      <c r="C1532" s="22">
        <v>45808</v>
      </c>
      <c r="D1532" s="23" t="s">
        <v>308</v>
      </c>
      <c r="E1532" s="23" t="s">
        <v>137</v>
      </c>
      <c r="F1532" s="14">
        <v>1</v>
      </c>
      <c r="G1532" s="12">
        <v>3500.0000000000005</v>
      </c>
      <c r="H1532" s="12">
        <v>3500.0000000000005</v>
      </c>
      <c r="I1532" s="23" t="s">
        <v>52</v>
      </c>
      <c r="J1532" s="23" t="s">
        <v>61</v>
      </c>
      <c r="K1532" s="24" t="s">
        <v>177</v>
      </c>
      <c r="L1532" s="26">
        <v>146</v>
      </c>
      <c r="M1532" s="12">
        <v>2941.1764705882356</v>
      </c>
      <c r="N1532" s="12">
        <v>2941.1764705882356</v>
      </c>
      <c r="O1532" s="12">
        <v>558.82352941176487</v>
      </c>
      <c r="P1532" s="13"/>
      <c r="Q1532" s="14">
        <v>2025</v>
      </c>
      <c r="R1532" s="15">
        <v>45413</v>
      </c>
      <c r="S1532" s="11" t="s">
        <v>406</v>
      </c>
      <c r="T1532" s="16">
        <v>5</v>
      </c>
      <c r="U1532" s="17"/>
      <c r="V1532" s="12">
        <v>848.73949579831969</v>
      </c>
      <c r="W1532" s="12">
        <v>848.73949579831969</v>
      </c>
      <c r="X1532" s="12">
        <v>0</v>
      </c>
      <c r="Y1532" s="18">
        <v>45803</v>
      </c>
      <c r="Z1532" s="13" t="s">
        <v>501</v>
      </c>
      <c r="AA1532" s="19" t="s">
        <v>373</v>
      </c>
      <c r="AB1532" s="13" t="s">
        <v>357</v>
      </c>
      <c r="AC1532" s="13" t="s">
        <v>612</v>
      </c>
      <c r="AD1532" s="20"/>
      <c r="AE1532" s="20"/>
      <c r="AF1532" s="13" t="s">
        <v>40</v>
      </c>
      <c r="AG1532" s="15">
        <v>45413</v>
      </c>
      <c r="AH1532" s="13" t="s">
        <v>41</v>
      </c>
      <c r="AI1532" s="13" t="s">
        <v>76</v>
      </c>
      <c r="AJ1532" s="13" t="str">
        <f>VLOOKUP(E1532,Precios!Z$2:AA$941,2,FALSE)</f>
        <v>Detergente SPUM 5 Litros (Blanco)</v>
      </c>
      <c r="AK1532" s="14">
        <f>VLOOKUP(E1532,Precios!Z$2:BB$941,3,FALSE)*F1532</f>
        <v>-1</v>
      </c>
      <c r="AL1532" s="17"/>
      <c r="AM1532" s="17"/>
      <c r="AN1532" s="17"/>
      <c r="AO1532" s="17"/>
      <c r="AP1532" s="17"/>
      <c r="AQ1532" s="17"/>
      <c r="AR1532" s="17"/>
      <c r="AS1532" s="17"/>
      <c r="AT1532" s="17"/>
      <c r="AU1532" s="17"/>
      <c r="AV1532" s="17"/>
    </row>
    <row r="1533" spans="1:48" ht="15.75" customHeight="1">
      <c r="A1533" s="21" t="s">
        <v>35</v>
      </c>
      <c r="B1533" s="23" t="s">
        <v>1692</v>
      </c>
      <c r="C1533" s="22">
        <v>45808</v>
      </c>
      <c r="D1533" s="23" t="s">
        <v>240</v>
      </c>
      <c r="E1533" s="23" t="s">
        <v>37</v>
      </c>
      <c r="F1533" s="14">
        <v>1</v>
      </c>
      <c r="G1533" s="12">
        <v>11000.014358944907</v>
      </c>
      <c r="H1533" s="12">
        <v>11000.014358944907</v>
      </c>
      <c r="I1533" s="23" t="s">
        <v>52</v>
      </c>
      <c r="J1533" s="23" t="s">
        <v>61</v>
      </c>
      <c r="K1533" s="24" t="s">
        <v>177</v>
      </c>
      <c r="L1533" s="26">
        <v>146</v>
      </c>
      <c r="M1533" s="12">
        <v>9243.7095453318543</v>
      </c>
      <c r="N1533" s="12">
        <v>9243.7095453318543</v>
      </c>
      <c r="O1533" s="12">
        <v>1756.3048136130528</v>
      </c>
      <c r="P1533" s="13"/>
      <c r="Q1533" s="14">
        <v>2025</v>
      </c>
      <c r="R1533" s="15">
        <v>45413</v>
      </c>
      <c r="S1533" s="11" t="s">
        <v>364</v>
      </c>
      <c r="T1533" s="16">
        <v>1000</v>
      </c>
      <c r="U1533" s="17"/>
      <c r="V1533" s="12">
        <v>2806.1129066763915</v>
      </c>
      <c r="W1533" s="12">
        <v>2806.1129066763915</v>
      </c>
      <c r="X1533" s="12">
        <v>0</v>
      </c>
      <c r="Y1533" s="18">
        <v>45803</v>
      </c>
      <c r="Z1533" s="13" t="s">
        <v>501</v>
      </c>
      <c r="AA1533" s="19" t="s">
        <v>373</v>
      </c>
      <c r="AB1533" s="13" t="s">
        <v>357</v>
      </c>
      <c r="AC1533" s="13" t="s">
        <v>383</v>
      </c>
      <c r="AD1533" s="20"/>
      <c r="AE1533" s="20"/>
      <c r="AF1533" s="13" t="s">
        <v>40</v>
      </c>
      <c r="AG1533" s="15">
        <v>45413</v>
      </c>
      <c r="AH1533" s="13" t="s">
        <v>41</v>
      </c>
      <c r="AI1533" s="13" t="s">
        <v>35</v>
      </c>
      <c r="AJ1533" s="13" t="str">
        <f>VLOOKUP(E1533,Precios!Z$2:AA$941,2,FALSE)</f>
        <v>Queso RUNCA Mantecoso</v>
      </c>
      <c r="AK1533" s="14">
        <f>VLOOKUP(E1533,Precios!Z$2:BB$941,3,FALSE)*F1533</f>
        <v>-1</v>
      </c>
      <c r="AL1533" s="17"/>
      <c r="AM1533" s="17"/>
      <c r="AN1533" s="17"/>
      <c r="AO1533" s="17"/>
      <c r="AP1533" s="17"/>
      <c r="AQ1533" s="17"/>
      <c r="AR1533" s="17"/>
      <c r="AS1533" s="17"/>
      <c r="AT1533" s="17"/>
      <c r="AU1533" s="17"/>
      <c r="AV1533" s="17"/>
    </row>
    <row r="1534" spans="1:48" ht="15.75" customHeight="1">
      <c r="A1534" s="21" t="s">
        <v>73</v>
      </c>
      <c r="B1534" s="23" t="s">
        <v>1692</v>
      </c>
      <c r="C1534" s="22">
        <v>45808</v>
      </c>
      <c r="D1534" s="23" t="s">
        <v>240</v>
      </c>
      <c r="E1534" s="23" t="s">
        <v>74</v>
      </c>
      <c r="F1534" s="14">
        <v>1</v>
      </c>
      <c r="G1534" s="12">
        <v>4199.9020019599611</v>
      </c>
      <c r="H1534" s="12">
        <v>4199.9020019599611</v>
      </c>
      <c r="I1534" s="23" t="s">
        <v>52</v>
      </c>
      <c r="J1534" s="23" t="s">
        <v>61</v>
      </c>
      <c r="K1534" s="24" t="s">
        <v>177</v>
      </c>
      <c r="L1534" s="26">
        <v>146</v>
      </c>
      <c r="M1534" s="12">
        <v>3529.3294134117323</v>
      </c>
      <c r="N1534" s="12">
        <v>3529.3294134117323</v>
      </c>
      <c r="O1534" s="12">
        <v>670.57258854822885</v>
      </c>
      <c r="P1534" s="13"/>
      <c r="Q1534" s="14">
        <v>2025</v>
      </c>
      <c r="R1534" s="15">
        <v>45413</v>
      </c>
      <c r="S1534" s="11" t="s">
        <v>424</v>
      </c>
      <c r="T1534" s="16">
        <v>0</v>
      </c>
      <c r="U1534" s="17"/>
      <c r="V1534" s="12">
        <v>1008.3294134117323</v>
      </c>
      <c r="W1534" s="12">
        <v>1008.3294134117323</v>
      </c>
      <c r="X1534" s="12">
        <v>0</v>
      </c>
      <c r="Y1534" s="18">
        <v>45803</v>
      </c>
      <c r="Z1534" s="13" t="s">
        <v>501</v>
      </c>
      <c r="AA1534" s="19" t="s">
        <v>373</v>
      </c>
      <c r="AB1534" s="13" t="s">
        <v>357</v>
      </c>
      <c r="AC1534" s="13" t="s">
        <v>383</v>
      </c>
      <c r="AD1534" s="20"/>
      <c r="AE1534" s="20"/>
      <c r="AF1534" s="13" t="s">
        <v>40</v>
      </c>
      <c r="AG1534" s="15">
        <v>45413</v>
      </c>
      <c r="AH1534" s="13" t="s">
        <v>41</v>
      </c>
      <c r="AI1534" s="13" t="s">
        <v>73</v>
      </c>
      <c r="AJ1534" s="13" t="str">
        <f>VLOOKUP(E1534,Precios!Z$2:AA$941,2,FALSE)</f>
        <v>Guante NITRILO Talla S</v>
      </c>
      <c r="AK1534" s="14">
        <f>VLOOKUP(E1534,Precios!Z$2:BB$941,3,FALSE)*F1534</f>
        <v>-1</v>
      </c>
      <c r="AL1534" s="17"/>
      <c r="AM1534" s="17"/>
      <c r="AN1534" s="17"/>
      <c r="AO1534" s="17"/>
      <c r="AP1534" s="17"/>
      <c r="AQ1534" s="17"/>
      <c r="AR1534" s="17"/>
      <c r="AS1534" s="17"/>
      <c r="AT1534" s="17"/>
      <c r="AU1534" s="17"/>
      <c r="AV1534" s="17"/>
    </row>
    <row r="1535" spans="1:48" ht="15.75" customHeight="1">
      <c r="A1535" s="21" t="s">
        <v>147</v>
      </c>
      <c r="B1535" s="23" t="s">
        <v>1692</v>
      </c>
      <c r="C1535" s="22">
        <v>45808</v>
      </c>
      <c r="D1535" s="23" t="s">
        <v>125</v>
      </c>
      <c r="E1535" s="23" t="s">
        <v>248</v>
      </c>
      <c r="F1535" s="14">
        <v>1</v>
      </c>
      <c r="G1535" s="12">
        <v>9000</v>
      </c>
      <c r="H1535" s="12">
        <v>9000</v>
      </c>
      <c r="I1535" s="23" t="s">
        <v>52</v>
      </c>
      <c r="J1535" s="23" t="s">
        <v>61</v>
      </c>
      <c r="K1535" s="24" t="s">
        <v>177</v>
      </c>
      <c r="L1535" s="26">
        <v>146</v>
      </c>
      <c r="M1535" s="12">
        <v>7563.0252100840344</v>
      </c>
      <c r="N1535" s="12">
        <v>7563.0252100840344</v>
      </c>
      <c r="O1535" s="12">
        <v>1436.9747899159656</v>
      </c>
      <c r="P1535" s="13"/>
      <c r="Q1535" s="14">
        <v>2025</v>
      </c>
      <c r="R1535" s="15">
        <v>45413</v>
      </c>
      <c r="S1535" s="11" t="s">
        <v>412</v>
      </c>
      <c r="T1535" s="16">
        <v>0</v>
      </c>
      <c r="U1535" s="17"/>
      <c r="V1535" s="12">
        <v>2773.1092436974795</v>
      </c>
      <c r="W1535" s="12">
        <v>2773.1092436974795</v>
      </c>
      <c r="X1535" s="12">
        <v>0</v>
      </c>
      <c r="Y1535" s="18">
        <v>45803</v>
      </c>
      <c r="Z1535" s="13" t="s">
        <v>501</v>
      </c>
      <c r="AA1535" s="19" t="s">
        <v>361</v>
      </c>
      <c r="AB1535" s="13" t="s">
        <v>357</v>
      </c>
      <c r="AC1535" s="13" t="s">
        <v>362</v>
      </c>
      <c r="AD1535" s="20"/>
      <c r="AE1535" s="20"/>
      <c r="AF1535" s="13" t="s">
        <v>40</v>
      </c>
      <c r="AG1535" s="15">
        <v>45413</v>
      </c>
      <c r="AH1535" s="13" t="s">
        <v>41</v>
      </c>
      <c r="AI1535" s="13" t="s">
        <v>147</v>
      </c>
      <c r="AJ1535" s="13" t="str">
        <f>VLOOKUP(E1535,Precios!Z$2:AA$941,2,FALSE)</f>
        <v>Film Plástico 300 metros</v>
      </c>
      <c r="AK1535" s="14">
        <f>VLOOKUP(E1535,Precios!Z$2:BB$941,3,FALSE)*F1535</f>
        <v>-1</v>
      </c>
      <c r="AL1535" s="17"/>
      <c r="AM1535" s="17"/>
      <c r="AN1535" s="17"/>
      <c r="AO1535" s="17"/>
      <c r="AP1535" s="17"/>
      <c r="AQ1535" s="17"/>
      <c r="AR1535" s="17"/>
      <c r="AS1535" s="17"/>
      <c r="AT1535" s="17"/>
      <c r="AU1535" s="17"/>
      <c r="AV1535" s="17"/>
    </row>
    <row r="1536" spans="1:48" ht="15.75" customHeight="1">
      <c r="A1536" s="21" t="s">
        <v>56</v>
      </c>
      <c r="B1536" s="23" t="s">
        <v>1692</v>
      </c>
      <c r="C1536" s="22">
        <v>45807</v>
      </c>
      <c r="D1536" s="23" t="s">
        <v>189</v>
      </c>
      <c r="E1536" s="23" t="s">
        <v>67</v>
      </c>
      <c r="F1536" s="21">
        <v>1</v>
      </c>
      <c r="G1536" s="12">
        <v>7000.0000000000009</v>
      </c>
      <c r="H1536" s="12">
        <v>7000.0000000000009</v>
      </c>
      <c r="I1536" s="23" t="s">
        <v>52</v>
      </c>
      <c r="J1536" s="23" t="s">
        <v>61</v>
      </c>
      <c r="K1536" s="24" t="s">
        <v>177</v>
      </c>
      <c r="L1536" s="24">
        <v>145</v>
      </c>
      <c r="M1536" s="12">
        <v>5882.3529411764712</v>
      </c>
      <c r="N1536" s="12">
        <v>5882.3529411764712</v>
      </c>
      <c r="O1536" s="12">
        <v>1117.6470588235297</v>
      </c>
      <c r="P1536" s="13"/>
      <c r="Q1536" s="14">
        <v>2025</v>
      </c>
      <c r="R1536" s="15">
        <v>45413</v>
      </c>
      <c r="S1536" s="11" t="s">
        <v>492</v>
      </c>
      <c r="T1536" s="16">
        <v>200</v>
      </c>
      <c r="U1536" s="17"/>
      <c r="V1536" s="12">
        <v>1512.6050420168067</v>
      </c>
      <c r="W1536" s="12">
        <v>1512.6050420168067</v>
      </c>
      <c r="X1536" s="12">
        <v>0</v>
      </c>
      <c r="Y1536" s="18">
        <v>45803</v>
      </c>
      <c r="Z1536" s="13" t="s">
        <v>503</v>
      </c>
      <c r="AA1536" s="19" t="s">
        <v>361</v>
      </c>
      <c r="AB1536" s="13" t="s">
        <v>357</v>
      </c>
      <c r="AC1536" s="13" t="s">
        <v>362</v>
      </c>
      <c r="AD1536" s="20"/>
      <c r="AE1536" s="20"/>
      <c r="AF1536" s="13" t="s">
        <v>40</v>
      </c>
      <c r="AG1536" s="15">
        <v>45413</v>
      </c>
      <c r="AH1536" s="13" t="s">
        <v>41</v>
      </c>
      <c r="AI1536" s="13" t="s">
        <v>56</v>
      </c>
      <c r="AJ1536" s="13" t="str">
        <f>VLOOKUP(E1536,Precios!Z$2:AA$941,2,FALSE)</f>
        <v>Mantequilla RUMAY</v>
      </c>
      <c r="AK1536" s="14">
        <f>VLOOKUP(E1536,Precios!Z$2:BB$941,3,FALSE)*F1536</f>
        <v>-3</v>
      </c>
      <c r="AL1536" s="17"/>
      <c r="AM1536" s="17"/>
      <c r="AN1536" s="17"/>
      <c r="AO1536" s="17"/>
      <c r="AP1536" s="17"/>
      <c r="AQ1536" s="17"/>
      <c r="AR1536" s="17"/>
      <c r="AS1536" s="17"/>
      <c r="AT1536" s="17"/>
      <c r="AU1536" s="17"/>
      <c r="AV1536" s="17"/>
    </row>
    <row r="1537" spans="1:48" ht="15.75" customHeight="1">
      <c r="A1537" s="21" t="s">
        <v>53</v>
      </c>
      <c r="B1537" s="23" t="s">
        <v>1692</v>
      </c>
      <c r="C1537" s="22">
        <v>45807</v>
      </c>
      <c r="D1537" s="23" t="s">
        <v>189</v>
      </c>
      <c r="E1537" s="23" t="s">
        <v>69</v>
      </c>
      <c r="F1537" s="21">
        <v>2</v>
      </c>
      <c r="G1537" s="12">
        <v>2999.9553810458683</v>
      </c>
      <c r="H1537" s="12">
        <v>5999.9107620917366</v>
      </c>
      <c r="I1537" s="23" t="s">
        <v>52</v>
      </c>
      <c r="J1537" s="23" t="s">
        <v>61</v>
      </c>
      <c r="K1537" s="24" t="s">
        <v>177</v>
      </c>
      <c r="L1537" s="24">
        <v>145</v>
      </c>
      <c r="M1537" s="12">
        <v>2520.9709084419064</v>
      </c>
      <c r="N1537" s="12">
        <v>5041.9418168838129</v>
      </c>
      <c r="O1537" s="12">
        <v>957.96894520792375</v>
      </c>
      <c r="P1537" s="13"/>
      <c r="Q1537" s="14">
        <v>2025</v>
      </c>
      <c r="R1537" s="15">
        <v>45413</v>
      </c>
      <c r="S1537" s="11" t="s">
        <v>376</v>
      </c>
      <c r="T1537" s="16">
        <v>0</v>
      </c>
      <c r="U1537" s="17"/>
      <c r="V1537" s="12">
        <v>1651.941816883812</v>
      </c>
      <c r="W1537" s="12">
        <v>1651.941816883812</v>
      </c>
      <c r="X1537" s="12">
        <v>0</v>
      </c>
      <c r="Y1537" s="18">
        <v>45803</v>
      </c>
      <c r="Z1537" s="13" t="s">
        <v>503</v>
      </c>
      <c r="AA1537" s="19" t="s">
        <v>361</v>
      </c>
      <c r="AB1537" s="13" t="s">
        <v>357</v>
      </c>
      <c r="AC1537" s="13" t="s">
        <v>362</v>
      </c>
      <c r="AD1537" s="20"/>
      <c r="AE1537" s="20"/>
      <c r="AF1537" s="13" t="s">
        <v>40</v>
      </c>
      <c r="AG1537" s="15">
        <v>45413</v>
      </c>
      <c r="AH1537" s="13" t="s">
        <v>41</v>
      </c>
      <c r="AI1537" s="13" t="s">
        <v>53</v>
      </c>
      <c r="AJ1537" s="13" t="str">
        <f>VLOOKUP(E1537,Precios!Z$2:AA$941,2,FALSE)</f>
        <v>Toalla Papel NOVA 70 metros</v>
      </c>
      <c r="AK1537" s="14">
        <f>VLOOKUP(E1537,Precios!Z$2:BB$941,3,FALSE)*F1537</f>
        <v>-2</v>
      </c>
      <c r="AL1537" s="17"/>
      <c r="AM1537" s="17"/>
      <c r="AN1537" s="17"/>
      <c r="AO1537" s="17"/>
      <c r="AP1537" s="17"/>
      <c r="AQ1537" s="17"/>
      <c r="AR1537" s="17"/>
      <c r="AS1537" s="17"/>
      <c r="AT1537" s="17"/>
      <c r="AU1537" s="17"/>
      <c r="AV1537" s="17"/>
    </row>
    <row r="1538" spans="1:48" ht="15.75" customHeight="1">
      <c r="A1538" s="21" t="s">
        <v>53</v>
      </c>
      <c r="B1538" s="23" t="s">
        <v>1692</v>
      </c>
      <c r="C1538" s="22">
        <v>45807</v>
      </c>
      <c r="D1538" s="23" t="s">
        <v>189</v>
      </c>
      <c r="E1538" s="23" t="s">
        <v>150</v>
      </c>
      <c r="F1538" s="21">
        <v>2</v>
      </c>
      <c r="G1538" s="12">
        <v>1799.8965445892823</v>
      </c>
      <c r="H1538" s="12">
        <v>3599.7930891785645</v>
      </c>
      <c r="I1538" s="23" t="s">
        <v>52</v>
      </c>
      <c r="J1538" s="23" t="s">
        <v>61</v>
      </c>
      <c r="K1538" s="24" t="s">
        <v>177</v>
      </c>
      <c r="L1538" s="24">
        <v>145</v>
      </c>
      <c r="M1538" s="12">
        <v>1512.518104696876</v>
      </c>
      <c r="N1538" s="12">
        <v>3025.036209393752</v>
      </c>
      <c r="O1538" s="12">
        <v>574.75687978481255</v>
      </c>
      <c r="P1538" s="13"/>
      <c r="Q1538" s="14">
        <v>2025</v>
      </c>
      <c r="R1538" s="15">
        <v>45413</v>
      </c>
      <c r="S1538" s="11" t="s">
        <v>381</v>
      </c>
      <c r="T1538" s="16">
        <v>600</v>
      </c>
      <c r="U1538" s="17"/>
      <c r="V1538" s="12">
        <v>1563.0362093937515</v>
      </c>
      <c r="W1538" s="12">
        <v>1563.0362093937515</v>
      </c>
      <c r="X1538" s="12">
        <v>0</v>
      </c>
      <c r="Y1538" s="18">
        <v>45803</v>
      </c>
      <c r="Z1538" s="13" t="s">
        <v>503</v>
      </c>
      <c r="AA1538" s="19" t="s">
        <v>361</v>
      </c>
      <c r="AB1538" s="13" t="s">
        <v>357</v>
      </c>
      <c r="AC1538" s="13" t="s">
        <v>362</v>
      </c>
      <c r="AD1538" s="20"/>
      <c r="AE1538" s="20"/>
      <c r="AF1538" s="13" t="s">
        <v>40</v>
      </c>
      <c r="AG1538" s="15">
        <v>45413</v>
      </c>
      <c r="AH1538" s="13" t="s">
        <v>41</v>
      </c>
      <c r="AI1538" s="13" t="s">
        <v>53</v>
      </c>
      <c r="AJ1538" s="13" t="str">
        <f>VLOOKUP(E1538,Precios!Z$2:AA$941,2,FALSE)</f>
        <v>Servilletas SOFTQUALITY 300 unidades</v>
      </c>
      <c r="AK1538" s="14">
        <f>VLOOKUP(E1538,Precios!Z$2:BB$941,3,FALSE)*F1538</f>
        <v>-2</v>
      </c>
      <c r="AL1538" s="17"/>
      <c r="AM1538" s="17"/>
      <c r="AN1538" s="17"/>
      <c r="AO1538" s="17"/>
      <c r="AP1538" s="17"/>
      <c r="AQ1538" s="17"/>
      <c r="AR1538" s="17"/>
      <c r="AS1538" s="17"/>
      <c r="AT1538" s="17"/>
      <c r="AU1538" s="17"/>
      <c r="AV1538" s="17"/>
    </row>
    <row r="1539" spans="1:48" ht="15.75" customHeight="1">
      <c r="A1539" s="21" t="s">
        <v>76</v>
      </c>
      <c r="B1539" s="23" t="s">
        <v>1692</v>
      </c>
      <c r="C1539" s="22">
        <v>45807</v>
      </c>
      <c r="D1539" s="23" t="s">
        <v>189</v>
      </c>
      <c r="E1539" s="23" t="s">
        <v>81</v>
      </c>
      <c r="F1539" s="21">
        <v>1</v>
      </c>
      <c r="G1539" s="12">
        <v>3500.0000000000005</v>
      </c>
      <c r="H1539" s="12">
        <v>3500.0000000000005</v>
      </c>
      <c r="I1539" s="23" t="s">
        <v>52</v>
      </c>
      <c r="J1539" s="23" t="s">
        <v>61</v>
      </c>
      <c r="K1539" s="24" t="s">
        <v>177</v>
      </c>
      <c r="L1539" s="24">
        <v>145</v>
      </c>
      <c r="M1539" s="12">
        <v>2941.1764705882356</v>
      </c>
      <c r="N1539" s="12">
        <v>2941.1764705882356</v>
      </c>
      <c r="O1539" s="12">
        <v>558.82352941176487</v>
      </c>
      <c r="P1539" s="13"/>
      <c r="Q1539" s="14">
        <v>2025</v>
      </c>
      <c r="R1539" s="15">
        <v>45413</v>
      </c>
      <c r="S1539" s="11" t="s">
        <v>397</v>
      </c>
      <c r="T1539" s="16">
        <v>5</v>
      </c>
      <c r="U1539" s="17"/>
      <c r="V1539" s="12">
        <v>764.70588235294144</v>
      </c>
      <c r="W1539" s="12">
        <v>764.70588235294144</v>
      </c>
      <c r="X1539" s="12">
        <v>0</v>
      </c>
      <c r="Y1539" s="18">
        <v>45803</v>
      </c>
      <c r="Z1539" s="13" t="s">
        <v>503</v>
      </c>
      <c r="AA1539" s="19" t="s">
        <v>361</v>
      </c>
      <c r="AB1539" s="13" t="s">
        <v>357</v>
      </c>
      <c r="AC1539" s="13" t="s">
        <v>362</v>
      </c>
      <c r="AD1539" s="20"/>
      <c r="AE1539" s="20"/>
      <c r="AF1539" s="13" t="s">
        <v>40</v>
      </c>
      <c r="AG1539" s="15">
        <v>45413</v>
      </c>
      <c r="AH1539" s="13" t="s">
        <v>41</v>
      </c>
      <c r="AI1539" s="13" t="s">
        <v>76</v>
      </c>
      <c r="AJ1539" s="13" t="str">
        <f>VLOOKUP(E1539,Precios!Z$2:AA$941,2,FALSE)</f>
        <v>Detergente SPUM 5 Litros (Verde)</v>
      </c>
      <c r="AK1539" s="14">
        <f>VLOOKUP(E1539,Precios!Z$2:BB$941,3,FALSE)*F1539</f>
        <v>-1</v>
      </c>
      <c r="AL1539" s="17"/>
      <c r="AM1539" s="17"/>
      <c r="AN1539" s="17"/>
      <c r="AO1539" s="17"/>
      <c r="AP1539" s="17"/>
      <c r="AQ1539" s="17"/>
      <c r="AR1539" s="17"/>
      <c r="AS1539" s="17"/>
      <c r="AT1539" s="17"/>
      <c r="AU1539" s="17"/>
      <c r="AV1539" s="17"/>
    </row>
    <row r="1540" spans="1:48" ht="15.75" customHeight="1">
      <c r="A1540" s="21" t="s">
        <v>76</v>
      </c>
      <c r="B1540" s="23" t="s">
        <v>1692</v>
      </c>
      <c r="C1540" s="22">
        <v>45807</v>
      </c>
      <c r="D1540" s="23" t="s">
        <v>189</v>
      </c>
      <c r="E1540" s="23" t="s">
        <v>137</v>
      </c>
      <c r="F1540" s="21">
        <v>1</v>
      </c>
      <c r="G1540" s="12">
        <v>3500.0000000000005</v>
      </c>
      <c r="H1540" s="12">
        <v>3500.0000000000005</v>
      </c>
      <c r="I1540" s="23" t="s">
        <v>52</v>
      </c>
      <c r="J1540" s="23" t="s">
        <v>61</v>
      </c>
      <c r="K1540" s="24" t="s">
        <v>177</v>
      </c>
      <c r="L1540" s="24">
        <v>145</v>
      </c>
      <c r="M1540" s="12">
        <v>2941.1764705882356</v>
      </c>
      <c r="N1540" s="12">
        <v>2941.1764705882356</v>
      </c>
      <c r="O1540" s="12">
        <v>558.82352941176487</v>
      </c>
      <c r="P1540" s="13"/>
      <c r="Q1540" s="14">
        <v>2025</v>
      </c>
      <c r="R1540" s="15">
        <v>45413</v>
      </c>
      <c r="S1540" s="11" t="s">
        <v>406</v>
      </c>
      <c r="T1540" s="16">
        <v>5</v>
      </c>
      <c r="U1540" s="17"/>
      <c r="V1540" s="12">
        <v>848.73949579831969</v>
      </c>
      <c r="W1540" s="12">
        <v>848.73949579831969</v>
      </c>
      <c r="X1540" s="12">
        <v>0</v>
      </c>
      <c r="Y1540" s="18">
        <v>45803</v>
      </c>
      <c r="Z1540" s="13" t="s">
        <v>503</v>
      </c>
      <c r="AA1540" s="19" t="s">
        <v>361</v>
      </c>
      <c r="AB1540" s="13" t="s">
        <v>357</v>
      </c>
      <c r="AC1540" s="13" t="s">
        <v>362</v>
      </c>
      <c r="AD1540" s="20"/>
      <c r="AE1540" s="20"/>
      <c r="AF1540" s="13" t="s">
        <v>40</v>
      </c>
      <c r="AG1540" s="15">
        <v>45413</v>
      </c>
      <c r="AH1540" s="13" t="s">
        <v>41</v>
      </c>
      <c r="AI1540" s="13" t="s">
        <v>76</v>
      </c>
      <c r="AJ1540" s="13" t="str">
        <f>VLOOKUP(E1540,Precios!Z$2:AA$941,2,FALSE)</f>
        <v>Detergente SPUM 5 Litros (Blanco)</v>
      </c>
      <c r="AK1540" s="14">
        <f>VLOOKUP(E1540,Precios!Z$2:BB$941,3,FALSE)*F1540</f>
        <v>-1</v>
      </c>
      <c r="AL1540" s="17"/>
      <c r="AM1540" s="17"/>
      <c r="AN1540" s="17"/>
      <c r="AO1540" s="17"/>
      <c r="AP1540" s="17"/>
      <c r="AQ1540" s="17"/>
      <c r="AR1540" s="17"/>
      <c r="AS1540" s="17"/>
      <c r="AT1540" s="17"/>
      <c r="AU1540" s="17"/>
      <c r="AV1540" s="17"/>
    </row>
    <row r="1541" spans="1:48" ht="15.75" customHeight="1">
      <c r="A1541" s="21" t="s">
        <v>43</v>
      </c>
      <c r="B1541" s="23" t="s">
        <v>1692</v>
      </c>
      <c r="C1541" s="22">
        <v>45807</v>
      </c>
      <c r="D1541" s="23" t="s">
        <v>262</v>
      </c>
      <c r="E1541" s="23" t="s">
        <v>45</v>
      </c>
      <c r="F1541" s="21">
        <v>1</v>
      </c>
      <c r="G1541" s="12">
        <v>8199.8965351595689</v>
      </c>
      <c r="H1541" s="12">
        <v>8199.8965351595689</v>
      </c>
      <c r="I1541" s="23" t="s">
        <v>52</v>
      </c>
      <c r="J1541" s="23" t="s">
        <v>61</v>
      </c>
      <c r="K1541" s="24" t="s">
        <v>177</v>
      </c>
      <c r="L1541" s="24">
        <v>145</v>
      </c>
      <c r="M1541" s="12">
        <v>6890.6693572769491</v>
      </c>
      <c r="N1541" s="12">
        <v>6890.6693572769491</v>
      </c>
      <c r="O1541" s="12">
        <v>1309.2271778826198</v>
      </c>
      <c r="P1541" s="13"/>
      <c r="Q1541" s="14">
        <v>2025</v>
      </c>
      <c r="R1541" s="15">
        <v>45413</v>
      </c>
      <c r="S1541" s="11" t="s">
        <v>355</v>
      </c>
      <c r="T1541" s="16">
        <v>0</v>
      </c>
      <c r="U1541" s="17"/>
      <c r="V1541" s="12">
        <v>1296.3416261845123</v>
      </c>
      <c r="W1541" s="12">
        <v>1296.3416261845123</v>
      </c>
      <c r="X1541" s="12">
        <v>0</v>
      </c>
      <c r="Y1541" s="18">
        <v>45803</v>
      </c>
      <c r="Z1541" s="13" t="s">
        <v>503</v>
      </c>
      <c r="AA1541" s="19" t="s">
        <v>361</v>
      </c>
      <c r="AB1541" s="13" t="s">
        <v>357</v>
      </c>
      <c r="AC1541" s="13" t="s">
        <v>362</v>
      </c>
      <c r="AD1541" s="20"/>
      <c r="AE1541" s="20"/>
      <c r="AF1541" s="13" t="s">
        <v>40</v>
      </c>
      <c r="AG1541" s="15">
        <v>45413</v>
      </c>
      <c r="AH1541" s="13" t="s">
        <v>41</v>
      </c>
      <c r="AI1541" s="13" t="s">
        <v>43</v>
      </c>
      <c r="AJ1541" s="13" t="str">
        <f>VLOOKUP(E1541,Precios!Z$2:AA$941,2,FALSE)</f>
        <v>Bandeja Huevos EXTRA</v>
      </c>
      <c r="AK1541" s="14">
        <f>VLOOKUP(E1541,Precios!Z$2:BB$941,3,FALSE)*F1541</f>
        <v>-1</v>
      </c>
      <c r="AL1541" s="17"/>
      <c r="AM1541" s="17"/>
      <c r="AN1541" s="17"/>
      <c r="AO1541" s="17"/>
      <c r="AP1541" s="17"/>
      <c r="AQ1541" s="17"/>
      <c r="AR1541" s="17"/>
      <c r="AS1541" s="17"/>
      <c r="AT1541" s="17"/>
      <c r="AU1541" s="17"/>
      <c r="AV1541" s="17"/>
    </row>
    <row r="1542" spans="1:48" ht="15.75" customHeight="1">
      <c r="A1542" s="21" t="s">
        <v>35</v>
      </c>
      <c r="B1542" s="23" t="s">
        <v>1692</v>
      </c>
      <c r="C1542" s="22">
        <v>45807</v>
      </c>
      <c r="D1542" s="23" t="s">
        <v>507</v>
      </c>
      <c r="E1542" s="23" t="s">
        <v>46</v>
      </c>
      <c r="F1542" s="21">
        <v>1</v>
      </c>
      <c r="G1542" s="12">
        <v>6000.1548227279782</v>
      </c>
      <c r="H1542" s="12">
        <v>6000.1548227279782</v>
      </c>
      <c r="I1542" s="23" t="s">
        <v>52</v>
      </c>
      <c r="J1542" s="23" t="s">
        <v>61</v>
      </c>
      <c r="K1542" s="24" t="s">
        <v>177</v>
      </c>
      <c r="L1542" s="24">
        <v>145</v>
      </c>
      <c r="M1542" s="12">
        <v>5042.1469098554444</v>
      </c>
      <c r="N1542" s="12">
        <v>5042.1469098554444</v>
      </c>
      <c r="O1542" s="12">
        <v>958.00791287253378</v>
      </c>
      <c r="P1542" s="13"/>
      <c r="Q1542" s="14">
        <v>2025</v>
      </c>
      <c r="R1542" s="15">
        <v>45413</v>
      </c>
      <c r="S1542" s="11" t="s">
        <v>364</v>
      </c>
      <c r="T1542" s="16">
        <v>500</v>
      </c>
      <c r="U1542" s="17"/>
      <c r="V1542" s="12">
        <v>1785.4242207798129</v>
      </c>
      <c r="W1542" s="12">
        <v>1785.4242207798129</v>
      </c>
      <c r="X1542" s="12">
        <v>0</v>
      </c>
      <c r="Y1542" s="18">
        <v>45803</v>
      </c>
      <c r="Z1542" s="13" t="s">
        <v>503</v>
      </c>
      <c r="AA1542" s="19" t="s">
        <v>373</v>
      </c>
      <c r="AB1542" s="13" t="s">
        <v>357</v>
      </c>
      <c r="AC1542" s="13" t="s">
        <v>383</v>
      </c>
      <c r="AD1542" s="20"/>
      <c r="AE1542" s="20"/>
      <c r="AF1542" s="13" t="s">
        <v>40</v>
      </c>
      <c r="AG1542" s="15">
        <v>45413</v>
      </c>
      <c r="AH1542" s="13" t="s">
        <v>41</v>
      </c>
      <c r="AI1542" s="13" t="s">
        <v>35</v>
      </c>
      <c r="AJ1542" s="13" t="str">
        <f>VLOOKUP(E1542,Precios!Z$2:AA$941,2,FALSE)</f>
        <v>Queso RUNCA Mantecoso</v>
      </c>
      <c r="AK1542" s="14">
        <f>VLOOKUP(E1542,Precios!Z$2:BB$941,3,FALSE)*F1542</f>
        <v>-0.5</v>
      </c>
      <c r="AL1542" s="17"/>
      <c r="AM1542" s="17"/>
      <c r="AN1542" s="17"/>
      <c r="AO1542" s="17"/>
      <c r="AP1542" s="17"/>
      <c r="AQ1542" s="17"/>
      <c r="AR1542" s="17"/>
      <c r="AS1542" s="17"/>
      <c r="AT1542" s="17"/>
      <c r="AU1542" s="17"/>
      <c r="AV1542" s="17"/>
    </row>
    <row r="1543" spans="1:48" ht="15.75" customHeight="1">
      <c r="A1543" s="21" t="s">
        <v>35</v>
      </c>
      <c r="B1543" s="23" t="s">
        <v>1692</v>
      </c>
      <c r="C1543" s="22">
        <v>45807</v>
      </c>
      <c r="D1543" s="23" t="s">
        <v>80</v>
      </c>
      <c r="E1543" s="23" t="s">
        <v>46</v>
      </c>
      <c r="F1543" s="21">
        <v>1</v>
      </c>
      <c r="G1543" s="12">
        <v>6000.1548227279782</v>
      </c>
      <c r="H1543" s="12">
        <v>6000.1548227279782</v>
      </c>
      <c r="I1543" s="23" t="s">
        <v>52</v>
      </c>
      <c r="J1543" s="23" t="s">
        <v>61</v>
      </c>
      <c r="K1543" s="24" t="s">
        <v>177</v>
      </c>
      <c r="L1543" s="24">
        <v>145</v>
      </c>
      <c r="M1543" s="12">
        <v>5042.1469098554444</v>
      </c>
      <c r="N1543" s="12">
        <v>5042.1469098554444</v>
      </c>
      <c r="O1543" s="12">
        <v>958.00791287253378</v>
      </c>
      <c r="P1543" s="13"/>
      <c r="Q1543" s="14">
        <v>2025</v>
      </c>
      <c r="R1543" s="15">
        <v>45413</v>
      </c>
      <c r="S1543" s="11" t="s">
        <v>364</v>
      </c>
      <c r="T1543" s="16">
        <v>500</v>
      </c>
      <c r="U1543" s="17"/>
      <c r="V1543" s="12">
        <v>1785.4242207798129</v>
      </c>
      <c r="W1543" s="12">
        <v>1785.4242207798129</v>
      </c>
      <c r="X1543" s="12">
        <v>0</v>
      </c>
      <c r="Y1543" s="18">
        <v>45803</v>
      </c>
      <c r="Z1543" s="13" t="s">
        <v>503</v>
      </c>
      <c r="AA1543" s="19" t="s">
        <v>361</v>
      </c>
      <c r="AB1543" s="13" t="s">
        <v>357</v>
      </c>
      <c r="AC1543" s="13" t="s">
        <v>362</v>
      </c>
      <c r="AD1543" s="20"/>
      <c r="AE1543" s="20"/>
      <c r="AF1543" s="13" t="s">
        <v>40</v>
      </c>
      <c r="AG1543" s="15">
        <v>45413</v>
      </c>
      <c r="AH1543" s="13" t="s">
        <v>41</v>
      </c>
      <c r="AI1543" s="13" t="s">
        <v>35</v>
      </c>
      <c r="AJ1543" s="13" t="str">
        <f>VLOOKUP(E1543,Precios!Z$2:AA$941,2,FALSE)</f>
        <v>Queso RUNCA Mantecoso</v>
      </c>
      <c r="AK1543" s="14">
        <f>VLOOKUP(E1543,Precios!Z$2:BB$941,3,FALSE)*F1543</f>
        <v>-0.5</v>
      </c>
      <c r="AL1543" s="17"/>
      <c r="AM1543" s="17"/>
      <c r="AN1543" s="17"/>
      <c r="AO1543" s="17"/>
      <c r="AP1543" s="17"/>
      <c r="AQ1543" s="17"/>
      <c r="AR1543" s="17"/>
      <c r="AS1543" s="17"/>
      <c r="AT1543" s="17"/>
      <c r="AU1543" s="17"/>
      <c r="AV1543" s="17"/>
    </row>
    <row r="1544" spans="1:48" ht="15.75" customHeight="1">
      <c r="A1544" s="21" t="s">
        <v>56</v>
      </c>
      <c r="B1544" s="23" t="s">
        <v>1692</v>
      </c>
      <c r="C1544" s="22">
        <v>45807</v>
      </c>
      <c r="D1544" s="23" t="s">
        <v>80</v>
      </c>
      <c r="E1544" s="23" t="s">
        <v>190</v>
      </c>
      <c r="F1544" s="21">
        <v>1</v>
      </c>
      <c r="G1544" s="12">
        <v>2499.8855507868384</v>
      </c>
      <c r="H1544" s="12">
        <v>2499.8855507868384</v>
      </c>
      <c r="I1544" s="23" t="s">
        <v>52</v>
      </c>
      <c r="J1544" s="23" t="s">
        <v>61</v>
      </c>
      <c r="K1544" s="24" t="s">
        <v>177</v>
      </c>
      <c r="L1544" s="24">
        <v>145</v>
      </c>
      <c r="M1544" s="12">
        <v>2100.7441603250745</v>
      </c>
      <c r="N1544" s="12">
        <v>2100.7441603250745</v>
      </c>
      <c r="O1544" s="12">
        <v>399.14139046176388</v>
      </c>
      <c r="P1544" s="13"/>
      <c r="Q1544" s="14">
        <v>2025</v>
      </c>
      <c r="R1544" s="15">
        <v>45413</v>
      </c>
      <c r="S1544" s="11" t="s">
        <v>492</v>
      </c>
      <c r="T1544" s="16">
        <v>200</v>
      </c>
      <c r="U1544" s="17"/>
      <c r="V1544" s="12">
        <v>632.32399225784707</v>
      </c>
      <c r="W1544" s="12">
        <v>632.32399225784707</v>
      </c>
      <c r="X1544" s="12">
        <v>0</v>
      </c>
      <c r="Y1544" s="18">
        <v>45803</v>
      </c>
      <c r="Z1544" s="13" t="s">
        <v>503</v>
      </c>
      <c r="AA1544" s="19" t="s">
        <v>361</v>
      </c>
      <c r="AB1544" s="13" t="s">
        <v>357</v>
      </c>
      <c r="AC1544" s="13" t="s">
        <v>362</v>
      </c>
      <c r="AD1544" s="20"/>
      <c r="AE1544" s="20"/>
      <c r="AF1544" s="13" t="s">
        <v>40</v>
      </c>
      <c r="AG1544" s="15">
        <v>45413</v>
      </c>
      <c r="AH1544" s="13" t="s">
        <v>41</v>
      </c>
      <c r="AI1544" s="13" t="s">
        <v>56</v>
      </c>
      <c r="AJ1544" s="13" t="str">
        <f>VLOOKUP(E1544,Precios!Z$2:AA$941,2,FALSE)</f>
        <v>Mantequilla RUMAY</v>
      </c>
      <c r="AK1544" s="14">
        <f>VLOOKUP(E1544,Precios!Z$2:BB$941,3,FALSE)*F1544</f>
        <v>-1</v>
      </c>
      <c r="AL1544" s="17"/>
      <c r="AM1544" s="17"/>
      <c r="AN1544" s="17"/>
      <c r="AO1544" s="17"/>
      <c r="AP1544" s="17"/>
      <c r="AQ1544" s="17"/>
      <c r="AR1544" s="17"/>
      <c r="AS1544" s="17"/>
      <c r="AT1544" s="17"/>
      <c r="AU1544" s="17"/>
      <c r="AV1544" s="17"/>
    </row>
    <row r="1545" spans="1:48" ht="15.75" customHeight="1">
      <c r="A1545" s="21" t="s">
        <v>47</v>
      </c>
      <c r="B1545" s="23" t="s">
        <v>1692</v>
      </c>
      <c r="C1545" s="22">
        <v>45807</v>
      </c>
      <c r="D1545" s="23" t="s">
        <v>80</v>
      </c>
      <c r="E1545" s="23" t="s">
        <v>610</v>
      </c>
      <c r="F1545" s="21">
        <v>1</v>
      </c>
      <c r="G1545" s="12">
        <v>1600.2801610926285</v>
      </c>
      <c r="H1545" s="12">
        <v>1600.2801610926285</v>
      </c>
      <c r="I1545" s="23" t="s">
        <v>52</v>
      </c>
      <c r="J1545" s="23" t="s">
        <v>61</v>
      </c>
      <c r="K1545" s="24" t="s">
        <v>177</v>
      </c>
      <c r="L1545" s="24">
        <v>145</v>
      </c>
      <c r="M1545" s="12">
        <v>1344.7732446156542</v>
      </c>
      <c r="N1545" s="12">
        <v>1344.7732446156542</v>
      </c>
      <c r="O1545" s="12">
        <v>255.50691647697431</v>
      </c>
      <c r="P1545" s="13"/>
      <c r="Q1545" s="14">
        <v>2025</v>
      </c>
      <c r="R1545" s="15">
        <v>45413</v>
      </c>
      <c r="S1545" s="11" t="s">
        <v>600</v>
      </c>
      <c r="T1545" s="16">
        <v>0</v>
      </c>
      <c r="U1545" s="17"/>
      <c r="V1545" s="12">
        <v>576.77324461565422</v>
      </c>
      <c r="W1545" s="12">
        <v>576.77324461565422</v>
      </c>
      <c r="X1545" s="12">
        <v>0</v>
      </c>
      <c r="Y1545" s="18">
        <v>45803</v>
      </c>
      <c r="Z1545" s="13" t="s">
        <v>503</v>
      </c>
      <c r="AA1545" s="19" t="s">
        <v>361</v>
      </c>
      <c r="AB1545" s="13" t="s">
        <v>357</v>
      </c>
      <c r="AC1545" s="13" t="s">
        <v>362</v>
      </c>
      <c r="AD1545" s="20"/>
      <c r="AE1545" s="20"/>
      <c r="AF1545" s="13" t="s">
        <v>40</v>
      </c>
      <c r="AG1545" s="15">
        <v>45413</v>
      </c>
      <c r="AH1545" s="13" t="s">
        <v>41</v>
      </c>
      <c r="AI1545" s="13" t="s">
        <v>47</v>
      </c>
      <c r="AJ1545" s="13" t="str">
        <f>VLOOKUP(E1545,Precios!Z$2:AA$941,2,FALSE)</f>
        <v>Toallas Humedas Bebé TEDDY 80 unidades</v>
      </c>
      <c r="AK1545" s="14">
        <f>VLOOKUP(E1545,Precios!Z$2:BB$941,3,FALSE)*F1545</f>
        <v>-1</v>
      </c>
      <c r="AL1545" s="17"/>
      <c r="AM1545" s="17"/>
      <c r="AN1545" s="17"/>
      <c r="AO1545" s="17"/>
      <c r="AP1545" s="17"/>
      <c r="AQ1545" s="17"/>
      <c r="AR1545" s="17"/>
      <c r="AS1545" s="17"/>
      <c r="AT1545" s="17"/>
      <c r="AU1545" s="17"/>
      <c r="AV1545" s="17"/>
    </row>
    <row r="1546" spans="1:48" ht="15.75" customHeight="1">
      <c r="A1546" s="21" t="s">
        <v>47</v>
      </c>
      <c r="B1546" s="23" t="s">
        <v>1692</v>
      </c>
      <c r="C1546" s="22">
        <v>45807</v>
      </c>
      <c r="D1546" s="23" t="s">
        <v>348</v>
      </c>
      <c r="E1546" s="23" t="s">
        <v>100</v>
      </c>
      <c r="F1546" s="21">
        <v>2</v>
      </c>
      <c r="G1546" s="12">
        <v>650.00000000000011</v>
      </c>
      <c r="H1546" s="12">
        <v>1300.0000000000002</v>
      </c>
      <c r="I1546" s="23" t="s">
        <v>52</v>
      </c>
      <c r="J1546" s="23" t="s">
        <v>61</v>
      </c>
      <c r="K1546" s="24" t="s">
        <v>177</v>
      </c>
      <c r="L1546" s="24">
        <v>145</v>
      </c>
      <c r="M1546" s="12">
        <v>546.21848739495806</v>
      </c>
      <c r="N1546" s="12">
        <v>1092.4369747899161</v>
      </c>
      <c r="O1546" s="12">
        <v>207.56302521008411</v>
      </c>
      <c r="P1546" s="13"/>
      <c r="Q1546" s="14">
        <v>2025</v>
      </c>
      <c r="R1546" s="15">
        <v>45413</v>
      </c>
      <c r="S1546" s="11" t="s">
        <v>453</v>
      </c>
      <c r="T1546" s="16">
        <v>0</v>
      </c>
      <c r="U1546" s="17"/>
      <c r="V1546" s="12">
        <v>462.18487394957992</v>
      </c>
      <c r="W1546" s="12">
        <v>462.18487394957992</v>
      </c>
      <c r="X1546" s="12">
        <v>0</v>
      </c>
      <c r="Y1546" s="18">
        <v>45803</v>
      </c>
      <c r="Z1546" s="13" t="s">
        <v>503</v>
      </c>
      <c r="AA1546" s="19" t="s">
        <v>356</v>
      </c>
      <c r="AB1546" s="13" t="s">
        <v>357</v>
      </c>
      <c r="AC1546" s="13" t="s">
        <v>362</v>
      </c>
      <c r="AD1546" s="20"/>
      <c r="AE1546" s="20"/>
      <c r="AF1546" s="13" t="s">
        <v>40</v>
      </c>
      <c r="AG1546" s="15">
        <v>45413</v>
      </c>
      <c r="AH1546" s="13" t="s">
        <v>41</v>
      </c>
      <c r="AI1546" s="13" t="s">
        <v>47</v>
      </c>
      <c r="AJ1546" s="13" t="str">
        <f>VLOOKUP(E1546,Precios!Z$2:AA$941,2,FALSE)</f>
        <v xml:space="preserve">Bolsas Basura TEDDY 50x70 </v>
      </c>
      <c r="AK1546" s="14">
        <f>VLOOKUP(E1546,Precios!Z$2:BB$941,3,FALSE)*F1546</f>
        <v>-2</v>
      </c>
      <c r="AL1546" s="17"/>
      <c r="AM1546" s="17"/>
      <c r="AN1546" s="17"/>
      <c r="AO1546" s="17"/>
      <c r="AP1546" s="17"/>
      <c r="AQ1546" s="17"/>
      <c r="AR1546" s="17"/>
      <c r="AS1546" s="17"/>
      <c r="AT1546" s="17"/>
      <c r="AU1546" s="17"/>
      <c r="AV1546" s="17"/>
    </row>
    <row r="1547" spans="1:48" ht="15.75" customHeight="1">
      <c r="A1547" s="21" t="s">
        <v>47</v>
      </c>
      <c r="B1547" s="23" t="s">
        <v>1692</v>
      </c>
      <c r="C1547" s="22">
        <v>45807</v>
      </c>
      <c r="D1547" s="23" t="s">
        <v>348</v>
      </c>
      <c r="E1547" s="23" t="s">
        <v>99</v>
      </c>
      <c r="F1547" s="21">
        <v>1</v>
      </c>
      <c r="G1547" s="12">
        <v>1200</v>
      </c>
      <c r="H1547" s="12">
        <v>1200</v>
      </c>
      <c r="I1547" s="23" t="s">
        <v>52</v>
      </c>
      <c r="J1547" s="23" t="s">
        <v>61</v>
      </c>
      <c r="K1547" s="24" t="s">
        <v>177</v>
      </c>
      <c r="L1547" s="24">
        <v>145</v>
      </c>
      <c r="M1547" s="12">
        <v>1008.4033613445379</v>
      </c>
      <c r="N1547" s="12">
        <v>1008.4033613445379</v>
      </c>
      <c r="O1547" s="12">
        <v>191.59663865546213</v>
      </c>
      <c r="P1547" s="13"/>
      <c r="Q1547" s="14">
        <v>2025</v>
      </c>
      <c r="R1547" s="15">
        <v>45413</v>
      </c>
      <c r="S1547" s="11" t="s">
        <v>453</v>
      </c>
      <c r="T1547" s="16">
        <v>0</v>
      </c>
      <c r="U1547" s="17"/>
      <c r="V1547" s="12">
        <v>294.11764705882354</v>
      </c>
      <c r="W1547" s="12">
        <v>294.11764705882354</v>
      </c>
      <c r="X1547" s="12">
        <v>0</v>
      </c>
      <c r="Y1547" s="18">
        <v>45803</v>
      </c>
      <c r="Z1547" s="13" t="s">
        <v>503</v>
      </c>
      <c r="AA1547" s="19" t="s">
        <v>356</v>
      </c>
      <c r="AB1547" s="13" t="s">
        <v>357</v>
      </c>
      <c r="AC1547" s="13" t="s">
        <v>362</v>
      </c>
      <c r="AD1547" s="20"/>
      <c r="AE1547" s="20"/>
      <c r="AF1547" s="13" t="s">
        <v>40</v>
      </c>
      <c r="AG1547" s="15">
        <v>45413</v>
      </c>
      <c r="AH1547" s="13" t="s">
        <v>41</v>
      </c>
      <c r="AI1547" s="13" t="s">
        <v>47</v>
      </c>
      <c r="AJ1547" s="13" t="str">
        <f>VLOOKUP(E1547,Precios!Z$2:AA$941,2,FALSE)</f>
        <v xml:space="preserve">Bolsas Basura TEDDY 70x90 </v>
      </c>
      <c r="AK1547" s="14">
        <f>VLOOKUP(E1547,Precios!Z$2:BB$941,3,FALSE)*F1547</f>
        <v>-1</v>
      </c>
      <c r="AL1547" s="17"/>
      <c r="AM1547" s="17"/>
      <c r="AN1547" s="17"/>
      <c r="AO1547" s="17"/>
      <c r="AP1547" s="17"/>
      <c r="AQ1547" s="17"/>
      <c r="AR1547" s="17"/>
      <c r="AS1547" s="17"/>
      <c r="AT1547" s="17"/>
      <c r="AU1547" s="17"/>
      <c r="AV1547" s="17"/>
    </row>
    <row r="1548" spans="1:48" ht="15.75" customHeight="1">
      <c r="A1548" s="21" t="s">
        <v>47</v>
      </c>
      <c r="B1548" s="23" t="s">
        <v>1692</v>
      </c>
      <c r="C1548" s="22">
        <v>45807</v>
      </c>
      <c r="D1548" s="23" t="s">
        <v>348</v>
      </c>
      <c r="E1548" s="23" t="s">
        <v>92</v>
      </c>
      <c r="F1548" s="21">
        <v>-1</v>
      </c>
      <c r="G1548" s="12">
        <v>3400.2970989164628</v>
      </c>
      <c r="H1548" s="26">
        <v>-3400.2970989164601</v>
      </c>
      <c r="I1548" s="23" t="s">
        <v>52</v>
      </c>
      <c r="J1548" s="23" t="s">
        <v>61</v>
      </c>
      <c r="K1548" s="24" t="s">
        <v>177</v>
      </c>
      <c r="L1548" s="24">
        <v>145</v>
      </c>
      <c r="M1548" s="26">
        <v>-2857.3925200978701</v>
      </c>
      <c r="N1548" s="26">
        <v>-2857.3925200978701</v>
      </c>
      <c r="O1548" s="26">
        <v>-542.90457881859504</v>
      </c>
      <c r="P1548" s="13"/>
      <c r="Q1548" s="14">
        <v>2025</v>
      </c>
      <c r="R1548" s="15">
        <v>45413</v>
      </c>
      <c r="S1548" s="11" t="s">
        <v>453</v>
      </c>
      <c r="T1548" s="16">
        <v>0</v>
      </c>
      <c r="U1548" s="17"/>
      <c r="V1548" s="26">
        <v>-1222.3925200978699</v>
      </c>
      <c r="W1548" s="26">
        <v>-1222.3925200978699</v>
      </c>
      <c r="X1548" s="12">
        <v>0</v>
      </c>
      <c r="Y1548" s="18">
        <v>45796</v>
      </c>
      <c r="Z1548" s="13" t="s">
        <v>501</v>
      </c>
      <c r="AA1548" s="19" t="s">
        <v>356</v>
      </c>
      <c r="AB1548" s="13" t="s">
        <v>357</v>
      </c>
      <c r="AC1548" s="13" t="s">
        <v>362</v>
      </c>
      <c r="AD1548" s="20"/>
      <c r="AE1548" s="20"/>
      <c r="AF1548" s="13" t="s">
        <v>40</v>
      </c>
      <c r="AG1548" s="15">
        <v>45413</v>
      </c>
      <c r="AH1548" s="13" t="s">
        <v>41</v>
      </c>
      <c r="AI1548" s="13" t="s">
        <v>47</v>
      </c>
      <c r="AJ1548" s="13" t="str">
        <f>VLOOKUP(E1548,Precios!Z$2:AA$941,2,FALSE)</f>
        <v xml:space="preserve">Bolsas Basura TEDDY 70x90 </v>
      </c>
      <c r="AK1548" s="14">
        <f>VLOOKUP(E1548,Precios!Z$2:BB$941,3,FALSE)*F1548</f>
        <v>3</v>
      </c>
      <c r="AL1548" s="17"/>
      <c r="AM1548" s="17"/>
      <c r="AN1548" s="17"/>
      <c r="AO1548" s="17"/>
      <c r="AP1548" s="17"/>
      <c r="AQ1548" s="17"/>
      <c r="AR1548" s="17"/>
      <c r="AS1548" s="17"/>
      <c r="AT1548" s="17"/>
      <c r="AU1548" s="17"/>
      <c r="AV1548" s="17"/>
    </row>
    <row r="1549" spans="1:48" ht="15.75" customHeight="1">
      <c r="A1549" s="21" t="s">
        <v>47</v>
      </c>
      <c r="B1549" s="23" t="s">
        <v>1692</v>
      </c>
      <c r="C1549" s="22">
        <v>45807</v>
      </c>
      <c r="D1549" s="23" t="s">
        <v>68</v>
      </c>
      <c r="E1549" s="23" t="s">
        <v>71</v>
      </c>
      <c r="F1549" s="21">
        <v>3</v>
      </c>
      <c r="G1549" s="12">
        <v>2700.2147898128264</v>
      </c>
      <c r="H1549" s="12">
        <v>8100.6443694384798</v>
      </c>
      <c r="I1549" s="23" t="s">
        <v>52</v>
      </c>
      <c r="J1549" s="23" t="s">
        <v>61</v>
      </c>
      <c r="K1549" s="24" t="s">
        <v>86</v>
      </c>
      <c r="L1549" s="24">
        <v>84</v>
      </c>
      <c r="M1549" s="12">
        <v>2269.0880586662406</v>
      </c>
      <c r="N1549" s="12">
        <v>6807.2641759987227</v>
      </c>
      <c r="O1549" s="12">
        <v>1293.380193439757</v>
      </c>
      <c r="P1549" s="13"/>
      <c r="Q1549" s="14">
        <v>2025</v>
      </c>
      <c r="R1549" s="15">
        <v>45413</v>
      </c>
      <c r="S1549" s="11" t="s">
        <v>414</v>
      </c>
      <c r="T1549" s="16">
        <v>0</v>
      </c>
      <c r="U1549" s="17"/>
      <c r="V1549" s="12">
        <v>2370.2893860827553</v>
      </c>
      <c r="W1549" s="12">
        <v>2370.2893860827553</v>
      </c>
      <c r="X1549" s="12">
        <v>0</v>
      </c>
      <c r="Y1549" s="18">
        <v>45803</v>
      </c>
      <c r="Z1549" s="13" t="s">
        <v>503</v>
      </c>
      <c r="AA1549" s="19" t="s">
        <v>361</v>
      </c>
      <c r="AB1549" s="13" t="s">
        <v>394</v>
      </c>
      <c r="AC1549" s="13" t="s">
        <v>383</v>
      </c>
      <c r="AD1549" s="20"/>
      <c r="AE1549" s="20"/>
      <c r="AF1549" s="13" t="s">
        <v>40</v>
      </c>
      <c r="AG1549" s="15">
        <v>45413</v>
      </c>
      <c r="AH1549" s="13" t="s">
        <v>41</v>
      </c>
      <c r="AI1549" s="13" t="s">
        <v>47</v>
      </c>
      <c r="AJ1549" s="13" t="str">
        <f>VLOOKUP(E1549,Precios!Z$2:AA$941,2,FALSE)</f>
        <v>Toalla desinfectante IGENIX 50 unidades</v>
      </c>
      <c r="AK1549" s="14">
        <f>VLOOKUP(E1549,Precios!Z$2:BB$941,3,FALSE)*F1549</f>
        <v>-3</v>
      </c>
      <c r="AL1549" s="17"/>
      <c r="AM1549" s="17"/>
      <c r="AN1549" s="17"/>
      <c r="AO1549" s="17"/>
      <c r="AP1549" s="17"/>
      <c r="AQ1549" s="17"/>
      <c r="AR1549" s="17"/>
      <c r="AS1549" s="17"/>
      <c r="AT1549" s="17"/>
      <c r="AU1549" s="17"/>
      <c r="AV1549" s="17"/>
    </row>
    <row r="1550" spans="1:48" ht="15.75" customHeight="1">
      <c r="A1550" s="21" t="s">
        <v>53</v>
      </c>
      <c r="B1550" s="23" t="s">
        <v>1692</v>
      </c>
      <c r="C1550" s="22">
        <v>45807</v>
      </c>
      <c r="D1550" s="23" t="s">
        <v>68</v>
      </c>
      <c r="E1550" s="23" t="s">
        <v>55</v>
      </c>
      <c r="F1550" s="21">
        <v>1</v>
      </c>
      <c r="G1550" s="12">
        <v>20899.657134519988</v>
      </c>
      <c r="H1550" s="12">
        <v>20899.657134519988</v>
      </c>
      <c r="I1550" s="23" t="s">
        <v>52</v>
      </c>
      <c r="J1550" s="23" t="s">
        <v>61</v>
      </c>
      <c r="K1550" s="24" t="s">
        <v>86</v>
      </c>
      <c r="L1550" s="24">
        <v>84</v>
      </c>
      <c r="M1550" s="12">
        <v>17562.737087831923</v>
      </c>
      <c r="N1550" s="12">
        <v>17562.737087831923</v>
      </c>
      <c r="O1550" s="12">
        <v>3336.9200466880648</v>
      </c>
      <c r="P1550" s="13"/>
      <c r="Q1550" s="14">
        <v>2025</v>
      </c>
      <c r="R1550" s="15">
        <v>45413</v>
      </c>
      <c r="S1550" s="11" t="s">
        <v>366</v>
      </c>
      <c r="T1550" s="16">
        <v>0</v>
      </c>
      <c r="U1550" s="17"/>
      <c r="V1550" s="12">
        <v>3117.7370878319234</v>
      </c>
      <c r="W1550" s="12">
        <v>3117.7370878319234</v>
      </c>
      <c r="X1550" s="12">
        <v>0</v>
      </c>
      <c r="Y1550" s="18">
        <v>45803</v>
      </c>
      <c r="Z1550" s="13" t="s">
        <v>503</v>
      </c>
      <c r="AA1550" s="19" t="s">
        <v>361</v>
      </c>
      <c r="AB1550" s="13" t="s">
        <v>394</v>
      </c>
      <c r="AC1550" s="13" t="s">
        <v>383</v>
      </c>
      <c r="AD1550" s="20"/>
      <c r="AE1550" s="20"/>
      <c r="AF1550" s="13" t="s">
        <v>40</v>
      </c>
      <c r="AG1550" s="15">
        <v>45413</v>
      </c>
      <c r="AH1550" s="13" t="s">
        <v>41</v>
      </c>
      <c r="AI1550" s="13" t="s">
        <v>53</v>
      </c>
      <c r="AJ1550" s="13" t="str">
        <f>VLOOKUP(E1550,Precios!Z$2:AA$941,2,FALSE)</f>
        <v>Papel Higienico ELITE 50 metros</v>
      </c>
      <c r="AK1550" s="14">
        <f>VLOOKUP(E1550,Precios!Z$2:BB$941,3,FALSE)*F1550</f>
        <v>-8</v>
      </c>
      <c r="AL1550" s="17"/>
      <c r="AM1550" s="17"/>
      <c r="AN1550" s="17"/>
      <c r="AO1550" s="17"/>
      <c r="AP1550" s="17"/>
      <c r="AQ1550" s="17"/>
      <c r="AR1550" s="17"/>
      <c r="AS1550" s="17"/>
      <c r="AT1550" s="17"/>
      <c r="AU1550" s="17"/>
      <c r="AV1550" s="17"/>
    </row>
    <row r="1551" spans="1:48" ht="15.75" customHeight="1">
      <c r="A1551" s="21" t="s">
        <v>76</v>
      </c>
      <c r="B1551" s="23" t="s">
        <v>1692</v>
      </c>
      <c r="C1551" s="22">
        <v>45807</v>
      </c>
      <c r="D1551" s="23" t="s">
        <v>68</v>
      </c>
      <c r="E1551" s="23" t="s">
        <v>98</v>
      </c>
      <c r="F1551" s="21">
        <v>1</v>
      </c>
      <c r="G1551" s="12">
        <v>2600.0000000000005</v>
      </c>
      <c r="H1551" s="12">
        <v>2600.0000000000005</v>
      </c>
      <c r="I1551" s="23" t="s">
        <v>52</v>
      </c>
      <c r="J1551" s="23" t="s">
        <v>61</v>
      </c>
      <c r="K1551" s="24" t="s">
        <v>86</v>
      </c>
      <c r="L1551" s="24">
        <v>84</v>
      </c>
      <c r="M1551" s="12">
        <v>2184.8739495798322</v>
      </c>
      <c r="N1551" s="12">
        <v>2184.8739495798322</v>
      </c>
      <c r="O1551" s="12">
        <v>415.12605042016821</v>
      </c>
      <c r="P1551" s="13"/>
      <c r="Q1551" s="14">
        <v>2025</v>
      </c>
      <c r="R1551" s="15">
        <v>45413</v>
      </c>
      <c r="S1551" s="11" t="s">
        <v>479</v>
      </c>
      <c r="T1551" s="16">
        <v>0</v>
      </c>
      <c r="U1551" s="17"/>
      <c r="V1551" s="12">
        <v>1052.1008403361348</v>
      </c>
      <c r="W1551" s="12">
        <v>1052.1008403361348</v>
      </c>
      <c r="X1551" s="12">
        <v>0</v>
      </c>
      <c r="Y1551" s="18">
        <v>45803</v>
      </c>
      <c r="Z1551" s="13" t="s">
        <v>503</v>
      </c>
      <c r="AA1551" s="19" t="s">
        <v>361</v>
      </c>
      <c r="AB1551" s="13" t="s">
        <v>394</v>
      </c>
      <c r="AC1551" s="13" t="s">
        <v>383</v>
      </c>
      <c r="AD1551" s="20"/>
      <c r="AE1551" s="20"/>
      <c r="AF1551" s="13" t="s">
        <v>40</v>
      </c>
      <c r="AG1551" s="15">
        <v>45413</v>
      </c>
      <c r="AH1551" s="13" t="s">
        <v>41</v>
      </c>
      <c r="AI1551" s="13" t="s">
        <v>76</v>
      </c>
      <c r="AJ1551" s="13" t="str">
        <f>VLOOKUP(E1551,Precios!Z$2:AA$941,2,FALSE)</f>
        <v>Lavaloza QUIX 750 cc</v>
      </c>
      <c r="AK1551" s="14">
        <f>VLOOKUP(E1551,Precios!Z$2:BB$941,3,FALSE)*F1551</f>
        <v>-1</v>
      </c>
      <c r="AL1551" s="17"/>
      <c r="AM1551" s="17"/>
      <c r="AN1551" s="17"/>
      <c r="AO1551" s="17"/>
      <c r="AP1551" s="17"/>
      <c r="AQ1551" s="17"/>
      <c r="AR1551" s="17"/>
      <c r="AS1551" s="17"/>
      <c r="AT1551" s="17"/>
      <c r="AU1551" s="17"/>
      <c r="AV1551" s="17"/>
    </row>
    <row r="1552" spans="1:48" ht="15.75" customHeight="1">
      <c r="A1552" s="21" t="s">
        <v>43</v>
      </c>
      <c r="B1552" s="23" t="s">
        <v>1692</v>
      </c>
      <c r="C1552" s="22">
        <v>45807</v>
      </c>
      <c r="D1552" s="23" t="s">
        <v>68</v>
      </c>
      <c r="E1552" s="23" t="s">
        <v>45</v>
      </c>
      <c r="F1552" s="21">
        <v>1</v>
      </c>
      <c r="G1552" s="12">
        <v>8199.8965351595689</v>
      </c>
      <c r="H1552" s="12">
        <v>8199.8965351595689</v>
      </c>
      <c r="I1552" s="23" t="s">
        <v>52</v>
      </c>
      <c r="J1552" s="23" t="s">
        <v>61</v>
      </c>
      <c r="K1552" s="24" t="s">
        <v>86</v>
      </c>
      <c r="L1552" s="24">
        <v>84</v>
      </c>
      <c r="M1552" s="12">
        <v>6890.6693572769491</v>
      </c>
      <c r="N1552" s="12">
        <v>6890.6693572769491</v>
      </c>
      <c r="O1552" s="12">
        <v>1309.2271778826198</v>
      </c>
      <c r="P1552" s="13"/>
      <c r="Q1552" s="14">
        <v>2025</v>
      </c>
      <c r="R1552" s="15">
        <v>45413</v>
      </c>
      <c r="S1552" s="11" t="s">
        <v>355</v>
      </c>
      <c r="T1552" s="16">
        <v>0</v>
      </c>
      <c r="U1552" s="17"/>
      <c r="V1552" s="12">
        <v>1296.3416261845123</v>
      </c>
      <c r="W1552" s="12">
        <v>1296.3416261845123</v>
      </c>
      <c r="X1552" s="12">
        <v>0</v>
      </c>
      <c r="Y1552" s="18">
        <v>45803</v>
      </c>
      <c r="Z1552" s="13" t="s">
        <v>503</v>
      </c>
      <c r="AA1552" s="19" t="s">
        <v>361</v>
      </c>
      <c r="AB1552" s="13" t="s">
        <v>394</v>
      </c>
      <c r="AC1552" s="13" t="s">
        <v>383</v>
      </c>
      <c r="AD1552" s="20"/>
      <c r="AE1552" s="20"/>
      <c r="AF1552" s="13" t="s">
        <v>40</v>
      </c>
      <c r="AG1552" s="15">
        <v>45413</v>
      </c>
      <c r="AH1552" s="13" t="s">
        <v>41</v>
      </c>
      <c r="AI1552" s="13" t="s">
        <v>43</v>
      </c>
      <c r="AJ1552" s="13" t="str">
        <f>VLOOKUP(E1552,Precios!Z$2:AA$941,2,FALSE)</f>
        <v>Bandeja Huevos EXTRA</v>
      </c>
      <c r="AK1552" s="14">
        <f>VLOOKUP(E1552,Precios!Z$2:BB$941,3,FALSE)*F1552</f>
        <v>-1</v>
      </c>
      <c r="AL1552" s="17"/>
      <c r="AM1552" s="17"/>
      <c r="AN1552" s="17"/>
      <c r="AO1552" s="17"/>
      <c r="AP1552" s="17"/>
      <c r="AQ1552" s="17"/>
      <c r="AR1552" s="17"/>
      <c r="AS1552" s="17"/>
      <c r="AT1552" s="17"/>
      <c r="AU1552" s="17"/>
      <c r="AV1552" s="17"/>
    </row>
    <row r="1553" spans="1:48" ht="15.75" customHeight="1">
      <c r="A1553" s="21" t="s">
        <v>53</v>
      </c>
      <c r="B1553" s="23" t="s">
        <v>1692</v>
      </c>
      <c r="C1553" s="22">
        <v>45807</v>
      </c>
      <c r="D1553" s="23" t="s">
        <v>242</v>
      </c>
      <c r="E1553" s="23" t="s">
        <v>97</v>
      </c>
      <c r="F1553" s="21">
        <v>1</v>
      </c>
      <c r="G1553" s="12">
        <v>16500.236769693482</v>
      </c>
      <c r="H1553" s="12">
        <v>16500.236769693482</v>
      </c>
      <c r="I1553" s="23" t="s">
        <v>52</v>
      </c>
      <c r="J1553" s="23" t="s">
        <v>61</v>
      </c>
      <c r="K1553" s="24" t="s">
        <v>177</v>
      </c>
      <c r="L1553" s="24">
        <v>145</v>
      </c>
      <c r="M1553" s="12">
        <v>13865.745184616371</v>
      </c>
      <c r="N1553" s="12">
        <v>13865.745184616371</v>
      </c>
      <c r="O1553" s="12">
        <v>2634.4915850771104</v>
      </c>
      <c r="P1553" s="13"/>
      <c r="Q1553" s="14">
        <v>2025</v>
      </c>
      <c r="R1553" s="15">
        <v>45413</v>
      </c>
      <c r="S1553" s="11" t="s">
        <v>366</v>
      </c>
      <c r="T1553" s="16">
        <v>0</v>
      </c>
      <c r="U1553" s="17"/>
      <c r="V1553" s="12">
        <v>3031.7451846163694</v>
      </c>
      <c r="W1553" s="12">
        <v>3031.7451846163694</v>
      </c>
      <c r="X1553" s="12">
        <v>0</v>
      </c>
      <c r="Y1553" s="18">
        <v>45803</v>
      </c>
      <c r="Z1553" s="13" t="s">
        <v>503</v>
      </c>
      <c r="AA1553" s="19" t="s">
        <v>373</v>
      </c>
      <c r="AB1553" s="13" t="s">
        <v>357</v>
      </c>
      <c r="AC1553" s="13" t="s">
        <v>613</v>
      </c>
      <c r="AD1553" s="20"/>
      <c r="AE1553" s="20"/>
      <c r="AF1553" s="13" t="s">
        <v>40</v>
      </c>
      <c r="AG1553" s="15">
        <v>45413</v>
      </c>
      <c r="AH1553" s="13" t="s">
        <v>41</v>
      </c>
      <c r="AI1553" s="13" t="s">
        <v>53</v>
      </c>
      <c r="AJ1553" s="13" t="str">
        <f>VLOOKUP(E1553,Precios!Z$2:AA$941,2,FALSE)</f>
        <v>Papel Higienico ELITE 50 metros</v>
      </c>
      <c r="AK1553" s="14">
        <f>VLOOKUP(E1553,Precios!Z$2:BB$941,3,FALSE)*F1553</f>
        <v>-6</v>
      </c>
      <c r="AL1553" s="17"/>
      <c r="AM1553" s="17"/>
      <c r="AN1553" s="17"/>
      <c r="AO1553" s="17"/>
      <c r="AP1553" s="17"/>
      <c r="AQ1553" s="17"/>
      <c r="AR1553" s="17"/>
      <c r="AS1553" s="17"/>
      <c r="AT1553" s="17"/>
      <c r="AU1553" s="17"/>
      <c r="AV1553" s="17"/>
    </row>
    <row r="1554" spans="1:48" ht="15.75" customHeight="1">
      <c r="A1554" s="21" t="s">
        <v>53</v>
      </c>
      <c r="B1554" s="23" t="s">
        <v>1692</v>
      </c>
      <c r="C1554" s="22">
        <v>45807</v>
      </c>
      <c r="D1554" s="23" t="s">
        <v>242</v>
      </c>
      <c r="E1554" s="23" t="s">
        <v>263</v>
      </c>
      <c r="F1554" s="21">
        <v>1</v>
      </c>
      <c r="G1554" s="12">
        <v>9999.6135265700505</v>
      </c>
      <c r="H1554" s="12">
        <v>9999.6135265700505</v>
      </c>
      <c r="I1554" s="23" t="s">
        <v>52</v>
      </c>
      <c r="J1554" s="23" t="s">
        <v>61</v>
      </c>
      <c r="K1554" s="24" t="s">
        <v>177</v>
      </c>
      <c r="L1554" s="24">
        <v>145</v>
      </c>
      <c r="M1554" s="12">
        <v>8403.036576949622</v>
      </c>
      <c r="N1554" s="12">
        <v>8403.036576949622</v>
      </c>
      <c r="O1554" s="12">
        <v>1596.5769496204284</v>
      </c>
      <c r="P1554" s="13"/>
      <c r="Q1554" s="14">
        <v>2025</v>
      </c>
      <c r="R1554" s="15">
        <v>45413</v>
      </c>
      <c r="S1554" s="11" t="s">
        <v>408</v>
      </c>
      <c r="T1554" s="16">
        <v>0</v>
      </c>
      <c r="U1554" s="17"/>
      <c r="V1554" s="12">
        <v>2315.036576949622</v>
      </c>
      <c r="W1554" s="12">
        <v>2315.036576949622</v>
      </c>
      <c r="X1554" s="12">
        <v>0</v>
      </c>
      <c r="Y1554" s="18">
        <v>45803</v>
      </c>
      <c r="Z1554" s="13" t="s">
        <v>503</v>
      </c>
      <c r="AA1554" s="19" t="s">
        <v>373</v>
      </c>
      <c r="AB1554" s="13" t="s">
        <v>357</v>
      </c>
      <c r="AC1554" s="13" t="s">
        <v>613</v>
      </c>
      <c r="AD1554" s="20"/>
      <c r="AE1554" s="20"/>
      <c r="AF1554" s="13" t="s">
        <v>40</v>
      </c>
      <c r="AG1554" s="15">
        <v>45413</v>
      </c>
      <c r="AH1554" s="13" t="s">
        <v>41</v>
      </c>
      <c r="AI1554" s="13" t="s">
        <v>53</v>
      </c>
      <c r="AJ1554" s="13" t="str">
        <f>VLOOKUP(E1554,Precios!Z$2:AA$941,2,FALSE)</f>
        <v>Toalla Papel SWAN D/H AZUL 100 metros</v>
      </c>
      <c r="AK1554" s="14">
        <f>VLOOKUP(E1554,Precios!Z$2:BB$941,3,FALSE)*F1554</f>
        <v>-3</v>
      </c>
      <c r="AL1554" s="17"/>
      <c r="AM1554" s="17"/>
      <c r="AN1554" s="17"/>
      <c r="AO1554" s="17"/>
      <c r="AP1554" s="17"/>
      <c r="AQ1554" s="17"/>
      <c r="AR1554" s="17"/>
      <c r="AS1554" s="17"/>
      <c r="AT1554" s="17"/>
      <c r="AU1554" s="17"/>
      <c r="AV1554" s="17"/>
    </row>
    <row r="1555" spans="1:48" ht="15.75" customHeight="1">
      <c r="A1555" s="21" t="s">
        <v>47</v>
      </c>
      <c r="B1555" s="23" t="s">
        <v>1692</v>
      </c>
      <c r="C1555" s="22">
        <v>45807</v>
      </c>
      <c r="D1555" s="23" t="s">
        <v>242</v>
      </c>
      <c r="E1555" s="23" t="s">
        <v>143</v>
      </c>
      <c r="F1555" s="21">
        <v>1</v>
      </c>
      <c r="G1555" s="12">
        <v>2999.9379074821477</v>
      </c>
      <c r="H1555" s="12">
        <v>2999.9379074821477</v>
      </c>
      <c r="I1555" s="23" t="s">
        <v>52</v>
      </c>
      <c r="J1555" s="23" t="s">
        <v>61</v>
      </c>
      <c r="K1555" s="24" t="s">
        <v>177</v>
      </c>
      <c r="L1555" s="24">
        <v>145</v>
      </c>
      <c r="M1555" s="12">
        <v>2520.9562247749141</v>
      </c>
      <c r="N1555" s="12">
        <v>2520.9562247749141</v>
      </c>
      <c r="O1555" s="12">
        <v>478.98168270723363</v>
      </c>
      <c r="P1555" s="13"/>
      <c r="Q1555" s="14">
        <v>2025</v>
      </c>
      <c r="R1555" s="15">
        <v>45413</v>
      </c>
      <c r="S1555" s="11" t="s">
        <v>414</v>
      </c>
      <c r="T1555" s="16">
        <v>0</v>
      </c>
      <c r="U1555" s="17"/>
      <c r="V1555" s="12">
        <v>1708.9562247749141</v>
      </c>
      <c r="W1555" s="12">
        <v>1708.9562247749141</v>
      </c>
      <c r="X1555" s="12">
        <v>0</v>
      </c>
      <c r="Y1555" s="18">
        <v>45803</v>
      </c>
      <c r="Z1555" s="13" t="s">
        <v>503</v>
      </c>
      <c r="AA1555" s="19" t="s">
        <v>373</v>
      </c>
      <c r="AB1555" s="13" t="s">
        <v>357</v>
      </c>
      <c r="AC1555" s="13" t="s">
        <v>613</v>
      </c>
      <c r="AD1555" s="20"/>
      <c r="AE1555" s="20"/>
      <c r="AF1555" s="13" t="s">
        <v>40</v>
      </c>
      <c r="AG1555" s="15">
        <v>45413</v>
      </c>
      <c r="AH1555" s="13" t="s">
        <v>41</v>
      </c>
      <c r="AI1555" s="13" t="s">
        <v>47</v>
      </c>
      <c r="AJ1555" s="13" t="str">
        <f>VLOOKUP(E1555,Precios!Z$2:AA$941,2,FALSE)</f>
        <v>Toalla desinfectante TEDDY 80 unidades</v>
      </c>
      <c r="AK1555" s="14">
        <f>VLOOKUP(E1555,Precios!Z$2:BB$941,3,FALSE)*F1555</f>
        <v>-1</v>
      </c>
      <c r="AL1555" s="17"/>
      <c r="AM1555" s="17"/>
      <c r="AN1555" s="17"/>
      <c r="AO1555" s="17"/>
      <c r="AP1555" s="17"/>
      <c r="AQ1555" s="17"/>
      <c r="AR1555" s="17"/>
      <c r="AS1555" s="17"/>
      <c r="AT1555" s="17"/>
      <c r="AU1555" s="17"/>
      <c r="AV1555" s="17"/>
    </row>
    <row r="1556" spans="1:48" ht="15.75" customHeight="1">
      <c r="A1556" s="21" t="s">
        <v>47</v>
      </c>
      <c r="B1556" s="23" t="s">
        <v>1692</v>
      </c>
      <c r="C1556" s="22">
        <v>45807</v>
      </c>
      <c r="D1556" s="23" t="s">
        <v>242</v>
      </c>
      <c r="E1556" s="23" t="s">
        <v>153</v>
      </c>
      <c r="F1556" s="21">
        <v>1</v>
      </c>
      <c r="G1556" s="12">
        <v>1700</v>
      </c>
      <c r="H1556" s="12">
        <v>1700</v>
      </c>
      <c r="I1556" s="23" t="s">
        <v>52</v>
      </c>
      <c r="J1556" s="23" t="s">
        <v>61</v>
      </c>
      <c r="K1556" s="24" t="s">
        <v>177</v>
      </c>
      <c r="L1556" s="24">
        <v>145</v>
      </c>
      <c r="M1556" s="12">
        <v>1428.5714285714287</v>
      </c>
      <c r="N1556" s="12">
        <v>1428.5714285714287</v>
      </c>
      <c r="O1556" s="12">
        <v>271.42857142857133</v>
      </c>
      <c r="P1556" s="13"/>
      <c r="Q1556" s="14">
        <v>2025</v>
      </c>
      <c r="R1556" s="15">
        <v>45413</v>
      </c>
      <c r="S1556" s="11" t="s">
        <v>153</v>
      </c>
      <c r="T1556" s="16">
        <v>0</v>
      </c>
      <c r="U1556" s="17"/>
      <c r="V1556" s="12">
        <v>589.57142857142867</v>
      </c>
      <c r="W1556" s="12">
        <v>589.57142857142867</v>
      </c>
      <c r="X1556" s="12">
        <v>0</v>
      </c>
      <c r="Y1556" s="18">
        <v>45803</v>
      </c>
      <c r="Z1556" s="13" t="s">
        <v>503</v>
      </c>
      <c r="AA1556" s="19" t="s">
        <v>373</v>
      </c>
      <c r="AB1556" s="13" t="s">
        <v>357</v>
      </c>
      <c r="AC1556" s="13" t="s">
        <v>613</v>
      </c>
      <c r="AD1556" s="20"/>
      <c r="AE1556" s="20"/>
      <c r="AF1556" s="13" t="s">
        <v>40</v>
      </c>
      <c r="AG1556" s="15">
        <v>45413</v>
      </c>
      <c r="AH1556" s="13" t="s">
        <v>41</v>
      </c>
      <c r="AI1556" s="13" t="s">
        <v>47</v>
      </c>
      <c r="AJ1556" s="13" t="str">
        <f>VLOOKUP(E1556,Precios!Z$2:AA$941,2,FALSE)</f>
        <v>Escobillon TEDDY</v>
      </c>
      <c r="AK1556" s="14">
        <f>VLOOKUP(E1556,Precios!Z$2:BB$941,3,FALSE)*F1556</f>
        <v>-1</v>
      </c>
      <c r="AL1556" s="17"/>
      <c r="AM1556" s="17"/>
      <c r="AN1556" s="17"/>
      <c r="AO1556" s="17"/>
      <c r="AP1556" s="17"/>
      <c r="AQ1556" s="17"/>
      <c r="AR1556" s="17"/>
      <c r="AS1556" s="17"/>
      <c r="AT1556" s="17"/>
      <c r="AU1556" s="17"/>
      <c r="AV1556" s="17"/>
    </row>
    <row r="1557" spans="1:48" ht="15.75" customHeight="1">
      <c r="A1557" s="21" t="s">
        <v>53</v>
      </c>
      <c r="B1557" s="23" t="s">
        <v>1692</v>
      </c>
      <c r="C1557" s="22">
        <v>45807</v>
      </c>
      <c r="D1557" s="23" t="s">
        <v>353</v>
      </c>
      <c r="E1557" s="23" t="s">
        <v>55</v>
      </c>
      <c r="F1557" s="21">
        <v>1</v>
      </c>
      <c r="G1557" s="12">
        <v>20899.657134519988</v>
      </c>
      <c r="H1557" s="12">
        <v>20899.657134519988</v>
      </c>
      <c r="I1557" s="23" t="s">
        <v>52</v>
      </c>
      <c r="J1557" s="23" t="s">
        <v>61</v>
      </c>
      <c r="K1557" s="24" t="s">
        <v>177</v>
      </c>
      <c r="L1557" s="24">
        <v>145</v>
      </c>
      <c r="M1557" s="12">
        <v>17562.737087831923</v>
      </c>
      <c r="N1557" s="12">
        <v>17562.737087831923</v>
      </c>
      <c r="O1557" s="12">
        <v>3336.9200466880648</v>
      </c>
      <c r="P1557" s="13"/>
      <c r="Q1557" s="14">
        <v>2025</v>
      </c>
      <c r="R1557" s="15">
        <v>45413</v>
      </c>
      <c r="S1557" s="11" t="s">
        <v>366</v>
      </c>
      <c r="T1557" s="16">
        <v>0</v>
      </c>
      <c r="U1557" s="17"/>
      <c r="V1557" s="12">
        <v>3117.7370878319234</v>
      </c>
      <c r="W1557" s="12">
        <v>3117.7370878319234</v>
      </c>
      <c r="X1557" s="12">
        <v>0</v>
      </c>
      <c r="Y1557" s="18">
        <v>45803</v>
      </c>
      <c r="Z1557" s="13" t="s">
        <v>503</v>
      </c>
      <c r="AA1557" s="19" t="s">
        <v>373</v>
      </c>
      <c r="AB1557" s="13" t="s">
        <v>357</v>
      </c>
      <c r="AC1557" s="13" t="s">
        <v>374</v>
      </c>
      <c r="AD1557" s="20"/>
      <c r="AE1557" s="20"/>
      <c r="AF1557" s="13" t="s">
        <v>40</v>
      </c>
      <c r="AG1557" s="15">
        <v>45413</v>
      </c>
      <c r="AH1557" s="13" t="s">
        <v>41</v>
      </c>
      <c r="AI1557" s="13" t="s">
        <v>53</v>
      </c>
      <c r="AJ1557" s="13" t="str">
        <f>VLOOKUP(E1557,Precios!Z$2:AA$941,2,FALSE)</f>
        <v>Papel Higienico ELITE 50 metros</v>
      </c>
      <c r="AK1557" s="14">
        <f>VLOOKUP(E1557,Precios!Z$2:BB$941,3,FALSE)*F1557</f>
        <v>-8</v>
      </c>
      <c r="AL1557" s="17"/>
      <c r="AM1557" s="17"/>
      <c r="AN1557" s="17"/>
      <c r="AO1557" s="17"/>
      <c r="AP1557" s="17"/>
      <c r="AQ1557" s="17"/>
      <c r="AR1557" s="17"/>
      <c r="AS1557" s="17"/>
      <c r="AT1557" s="17"/>
      <c r="AU1557" s="17"/>
      <c r="AV1557" s="17"/>
    </row>
    <row r="1558" spans="1:48" ht="15.75" customHeight="1">
      <c r="A1558" s="21" t="s">
        <v>53</v>
      </c>
      <c r="B1558" s="23" t="s">
        <v>1692</v>
      </c>
      <c r="C1558" s="25">
        <v>45806</v>
      </c>
      <c r="D1558" s="23" t="s">
        <v>133</v>
      </c>
      <c r="E1558" s="23" t="s">
        <v>97</v>
      </c>
      <c r="F1558" s="21">
        <v>1</v>
      </c>
      <c r="G1558" s="12">
        <v>16500.236769693482</v>
      </c>
      <c r="H1558" s="12">
        <v>16500.236769693482</v>
      </c>
      <c r="I1558" s="23" t="s">
        <v>52</v>
      </c>
      <c r="J1558" s="23" t="s">
        <v>61</v>
      </c>
      <c r="K1558" s="24" t="s">
        <v>177</v>
      </c>
      <c r="L1558" s="24">
        <v>145</v>
      </c>
      <c r="M1558" s="12">
        <v>13865.745184616371</v>
      </c>
      <c r="N1558" s="12">
        <v>13865.745184616371</v>
      </c>
      <c r="O1558" s="12">
        <v>2634.4915850771104</v>
      </c>
      <c r="P1558" s="13"/>
      <c r="Q1558" s="14">
        <v>2025</v>
      </c>
      <c r="R1558" s="15">
        <v>45413</v>
      </c>
      <c r="S1558" s="11" t="s">
        <v>366</v>
      </c>
      <c r="T1558" s="16">
        <v>0</v>
      </c>
      <c r="U1558" s="17"/>
      <c r="V1558" s="12">
        <v>3031.7451846163694</v>
      </c>
      <c r="W1558" s="12">
        <v>3031.7451846163694</v>
      </c>
      <c r="X1558" s="12">
        <v>0</v>
      </c>
      <c r="Y1558" s="18">
        <v>45803</v>
      </c>
      <c r="Z1558" s="13" t="s">
        <v>505</v>
      </c>
      <c r="AA1558" s="19" t="s">
        <v>361</v>
      </c>
      <c r="AB1558" s="13" t="s">
        <v>357</v>
      </c>
      <c r="AC1558" s="13" t="s">
        <v>362</v>
      </c>
      <c r="AD1558" s="20"/>
      <c r="AE1558" s="20"/>
      <c r="AF1558" s="13" t="s">
        <v>40</v>
      </c>
      <c r="AG1558" s="15">
        <v>45413</v>
      </c>
      <c r="AH1558" s="13" t="s">
        <v>41</v>
      </c>
      <c r="AI1558" s="13" t="s">
        <v>53</v>
      </c>
      <c r="AJ1558" s="13" t="str">
        <f>VLOOKUP(E1558,Precios!Z$2:AA$941,2,FALSE)</f>
        <v>Papel Higienico ELITE 50 metros</v>
      </c>
      <c r="AK1558" s="14">
        <f>VLOOKUP(E1558,Precios!Z$2:BB$941,3,FALSE)*F1558</f>
        <v>-6</v>
      </c>
      <c r="AL1558" s="17"/>
      <c r="AM1558" s="17"/>
      <c r="AN1558" s="17"/>
      <c r="AO1558" s="17"/>
      <c r="AP1558" s="17"/>
      <c r="AQ1558" s="17"/>
      <c r="AR1558" s="17"/>
      <c r="AS1558" s="17"/>
      <c r="AT1558" s="17"/>
      <c r="AU1558" s="17"/>
      <c r="AV1558" s="17"/>
    </row>
    <row r="1559" spans="1:48" ht="15.75" customHeight="1">
      <c r="A1559" s="21" t="s">
        <v>47</v>
      </c>
      <c r="B1559" s="23" t="s">
        <v>1692</v>
      </c>
      <c r="C1559" s="25">
        <v>45806</v>
      </c>
      <c r="D1559" s="23" t="s">
        <v>348</v>
      </c>
      <c r="E1559" s="23" t="s">
        <v>205</v>
      </c>
      <c r="F1559" s="21">
        <v>1</v>
      </c>
      <c r="G1559" s="12">
        <v>1100.0468055230517</v>
      </c>
      <c r="H1559" s="12">
        <v>1100.0468055230517</v>
      </c>
      <c r="I1559" s="23" t="s">
        <v>52</v>
      </c>
      <c r="J1559" s="23" t="s">
        <v>61</v>
      </c>
      <c r="K1559" s="24" t="s">
        <v>177</v>
      </c>
      <c r="L1559" s="24">
        <v>145</v>
      </c>
      <c r="M1559" s="12">
        <v>924.40908027147202</v>
      </c>
      <c r="N1559" s="12">
        <v>924.40908027147202</v>
      </c>
      <c r="O1559" s="12">
        <v>175.6377252515797</v>
      </c>
      <c r="P1559" s="13"/>
      <c r="Q1559" s="14">
        <v>2025</v>
      </c>
      <c r="R1559" s="15">
        <v>45413</v>
      </c>
      <c r="S1559" s="11" t="s">
        <v>205</v>
      </c>
      <c r="T1559" s="16">
        <v>0</v>
      </c>
      <c r="U1559" s="17"/>
      <c r="V1559" s="12">
        <v>529.40908027147202</v>
      </c>
      <c r="W1559" s="12">
        <v>529.40908027147202</v>
      </c>
      <c r="X1559" s="12">
        <v>0</v>
      </c>
      <c r="Y1559" s="18">
        <v>45803</v>
      </c>
      <c r="Z1559" s="13" t="s">
        <v>505</v>
      </c>
      <c r="AA1559" s="19" t="s">
        <v>356</v>
      </c>
      <c r="AB1559" s="13" t="s">
        <v>357</v>
      </c>
      <c r="AC1559" s="13" t="s">
        <v>362</v>
      </c>
      <c r="AD1559" s="20"/>
      <c r="AE1559" s="20"/>
      <c r="AF1559" s="13" t="s">
        <v>40</v>
      </c>
      <c r="AG1559" s="15">
        <v>45413</v>
      </c>
      <c r="AH1559" s="13" t="s">
        <v>41</v>
      </c>
      <c r="AI1559" s="13" t="s">
        <v>47</v>
      </c>
      <c r="AJ1559" s="13" t="str">
        <f>VLOOKUP(E1559,Precios!Z$2:AA$941,2,FALSE)</f>
        <v>Paño Multiuso</v>
      </c>
      <c r="AK1559" s="14">
        <f>VLOOKUP(E1559,Precios!Z$2:BB$941,3,FALSE)*F1559</f>
        <v>-1</v>
      </c>
      <c r="AL1559" s="17"/>
      <c r="AM1559" s="17"/>
      <c r="AN1559" s="17"/>
      <c r="AO1559" s="17"/>
      <c r="AP1559" s="17"/>
      <c r="AQ1559" s="17"/>
      <c r="AR1559" s="17"/>
      <c r="AS1559" s="17"/>
      <c r="AT1559" s="17"/>
      <c r="AU1559" s="17"/>
      <c r="AV1559" s="17"/>
    </row>
    <row r="1560" spans="1:48" ht="15.75" customHeight="1">
      <c r="A1560" s="21" t="s">
        <v>43</v>
      </c>
      <c r="B1560" s="23" t="s">
        <v>1692</v>
      </c>
      <c r="C1560" s="25">
        <v>45806</v>
      </c>
      <c r="D1560" s="23" t="s">
        <v>219</v>
      </c>
      <c r="E1560" s="23" t="s">
        <v>45</v>
      </c>
      <c r="F1560" s="21">
        <v>1</v>
      </c>
      <c r="G1560" s="12">
        <v>8199.8965351595689</v>
      </c>
      <c r="H1560" s="12">
        <v>8199.8965351595689</v>
      </c>
      <c r="I1560" s="23" t="s">
        <v>52</v>
      </c>
      <c r="J1560" s="23" t="s">
        <v>61</v>
      </c>
      <c r="K1560" s="24" t="s">
        <v>177</v>
      </c>
      <c r="L1560" s="24">
        <v>145</v>
      </c>
      <c r="M1560" s="12">
        <v>6890.6693572769491</v>
      </c>
      <c r="N1560" s="12">
        <v>6890.6693572769491</v>
      </c>
      <c r="O1560" s="12">
        <v>1309.2271778826198</v>
      </c>
      <c r="P1560" s="13"/>
      <c r="Q1560" s="14">
        <v>2025</v>
      </c>
      <c r="R1560" s="15">
        <v>45413</v>
      </c>
      <c r="S1560" s="11" t="s">
        <v>355</v>
      </c>
      <c r="T1560" s="16">
        <v>0</v>
      </c>
      <c r="U1560" s="17"/>
      <c r="V1560" s="12">
        <v>1296.3416261845123</v>
      </c>
      <c r="W1560" s="12">
        <v>1296.3416261845123</v>
      </c>
      <c r="X1560" s="12">
        <v>0</v>
      </c>
      <c r="Y1560" s="18">
        <v>45803</v>
      </c>
      <c r="Z1560" s="13" t="s">
        <v>505</v>
      </c>
      <c r="AA1560" s="19" t="s">
        <v>373</v>
      </c>
      <c r="AB1560" s="13" t="s">
        <v>357</v>
      </c>
      <c r="AC1560" s="13" t="s">
        <v>362</v>
      </c>
      <c r="AD1560" s="20"/>
      <c r="AE1560" s="20"/>
      <c r="AF1560" s="13" t="s">
        <v>40</v>
      </c>
      <c r="AG1560" s="15">
        <v>45413</v>
      </c>
      <c r="AH1560" s="13" t="s">
        <v>41</v>
      </c>
      <c r="AI1560" s="13" t="s">
        <v>43</v>
      </c>
      <c r="AJ1560" s="13" t="str">
        <f>VLOOKUP(E1560,Precios!Z$2:AA$941,2,FALSE)</f>
        <v>Bandeja Huevos EXTRA</v>
      </c>
      <c r="AK1560" s="14">
        <f>VLOOKUP(E1560,Precios!Z$2:BB$941,3,FALSE)*F1560</f>
        <v>-1</v>
      </c>
      <c r="AL1560" s="17"/>
      <c r="AM1560" s="17"/>
      <c r="AN1560" s="17"/>
      <c r="AO1560" s="17"/>
      <c r="AP1560" s="17"/>
      <c r="AQ1560" s="17"/>
      <c r="AR1560" s="17"/>
      <c r="AS1560" s="17"/>
      <c r="AT1560" s="17"/>
      <c r="AU1560" s="17"/>
      <c r="AV1560" s="17"/>
    </row>
    <row r="1561" spans="1:48" ht="15.75" customHeight="1">
      <c r="A1561" s="21" t="s">
        <v>43</v>
      </c>
      <c r="B1561" s="23" t="s">
        <v>1692</v>
      </c>
      <c r="C1561" s="25">
        <v>45806</v>
      </c>
      <c r="D1561" s="23" t="s">
        <v>236</v>
      </c>
      <c r="E1561" s="23" t="s">
        <v>45</v>
      </c>
      <c r="F1561" s="21">
        <v>2</v>
      </c>
      <c r="G1561" s="12">
        <v>8199.8965351595689</v>
      </c>
      <c r="H1561" s="12">
        <v>16399.793070319138</v>
      </c>
      <c r="I1561" s="23" t="s">
        <v>52</v>
      </c>
      <c r="J1561" s="23" t="s">
        <v>61</v>
      </c>
      <c r="K1561" s="24" t="s">
        <v>177</v>
      </c>
      <c r="L1561" s="24">
        <v>145</v>
      </c>
      <c r="M1561" s="12">
        <v>6890.6693572769491</v>
      </c>
      <c r="N1561" s="12">
        <v>13781.338714553898</v>
      </c>
      <c r="O1561" s="12">
        <v>2618.4543557652396</v>
      </c>
      <c r="P1561" s="13"/>
      <c r="Q1561" s="14">
        <v>2025</v>
      </c>
      <c r="R1561" s="15">
        <v>45413</v>
      </c>
      <c r="S1561" s="11" t="s">
        <v>355</v>
      </c>
      <c r="T1561" s="16">
        <v>0</v>
      </c>
      <c r="U1561" s="17"/>
      <c r="V1561" s="12">
        <v>2592.6832523690246</v>
      </c>
      <c r="W1561" s="12">
        <v>2592.6832523690246</v>
      </c>
      <c r="X1561" s="12">
        <v>0</v>
      </c>
      <c r="Y1561" s="18">
        <v>45803</v>
      </c>
      <c r="Z1561" s="13" t="s">
        <v>505</v>
      </c>
      <c r="AA1561" s="19" t="s">
        <v>367</v>
      </c>
      <c r="AB1561" s="13" t="s">
        <v>357</v>
      </c>
      <c r="AC1561" s="13" t="s">
        <v>367</v>
      </c>
      <c r="AD1561" s="20"/>
      <c r="AE1561" s="20"/>
      <c r="AF1561" s="13" t="s">
        <v>40</v>
      </c>
      <c r="AG1561" s="15">
        <v>45413</v>
      </c>
      <c r="AH1561" s="13" t="s">
        <v>41</v>
      </c>
      <c r="AI1561" s="13" t="s">
        <v>43</v>
      </c>
      <c r="AJ1561" s="13" t="str">
        <f>VLOOKUP(E1561,Precios!Z$2:AA$941,2,FALSE)</f>
        <v>Bandeja Huevos EXTRA</v>
      </c>
      <c r="AK1561" s="14">
        <f>VLOOKUP(E1561,Precios!Z$2:BB$941,3,FALSE)*F1561</f>
        <v>-2</v>
      </c>
      <c r="AL1561" s="17"/>
      <c r="AM1561" s="17"/>
      <c r="AN1561" s="17"/>
      <c r="AO1561" s="17"/>
      <c r="AP1561" s="17"/>
      <c r="AQ1561" s="17"/>
      <c r="AR1561" s="17"/>
      <c r="AS1561" s="17"/>
      <c r="AT1561" s="17"/>
      <c r="AU1561" s="17"/>
      <c r="AV1561" s="17"/>
    </row>
    <row r="1562" spans="1:48" ht="15.75" customHeight="1">
      <c r="A1562" s="21" t="s">
        <v>64</v>
      </c>
      <c r="B1562" s="23" t="s">
        <v>1692</v>
      </c>
      <c r="C1562" s="25">
        <v>45806</v>
      </c>
      <c r="D1562" s="23" t="s">
        <v>236</v>
      </c>
      <c r="E1562" s="23" t="s">
        <v>65</v>
      </c>
      <c r="F1562" s="21">
        <v>1</v>
      </c>
      <c r="G1562" s="12">
        <v>8199.8794599807134</v>
      </c>
      <c r="H1562" s="12">
        <v>8199.8794599807134</v>
      </c>
      <c r="I1562" s="23" t="s">
        <v>52</v>
      </c>
      <c r="J1562" s="23" t="s">
        <v>61</v>
      </c>
      <c r="K1562" s="24" t="s">
        <v>177</v>
      </c>
      <c r="L1562" s="24">
        <v>145</v>
      </c>
      <c r="M1562" s="12">
        <v>6890.6550083871543</v>
      </c>
      <c r="N1562" s="12">
        <v>6890.6550083871543</v>
      </c>
      <c r="O1562" s="12">
        <v>1309.224451593559</v>
      </c>
      <c r="P1562" s="13"/>
      <c r="Q1562" s="14">
        <v>2025</v>
      </c>
      <c r="R1562" s="15">
        <v>45413</v>
      </c>
      <c r="S1562" s="11" t="s">
        <v>64</v>
      </c>
      <c r="T1562" s="16">
        <v>1</v>
      </c>
      <c r="U1562" s="17"/>
      <c r="V1562" s="12">
        <v>1174.1676134291711</v>
      </c>
      <c r="W1562" s="12">
        <v>1174.1676134291711</v>
      </c>
      <c r="X1562" s="12">
        <v>0</v>
      </c>
      <c r="Y1562" s="18">
        <v>45803</v>
      </c>
      <c r="Z1562" s="13" t="s">
        <v>505</v>
      </c>
      <c r="AA1562" s="19" t="s">
        <v>367</v>
      </c>
      <c r="AB1562" s="13" t="s">
        <v>357</v>
      </c>
      <c r="AC1562" s="13" t="s">
        <v>367</v>
      </c>
      <c r="AD1562" s="20"/>
      <c r="AE1562" s="20"/>
      <c r="AF1562" s="13" t="s">
        <v>40</v>
      </c>
      <c r="AG1562" s="15">
        <v>45413</v>
      </c>
      <c r="AH1562" s="13" t="s">
        <v>41</v>
      </c>
      <c r="AI1562" s="13" t="s">
        <v>64</v>
      </c>
      <c r="AJ1562" s="13" t="str">
        <f>VLOOKUP(E1562,Precios!Z$2:AA$941,2,FALSE)</f>
        <v>Longanizas VILLABLANCA</v>
      </c>
      <c r="AK1562" s="14">
        <f>VLOOKUP(E1562,Precios!Z$2:BB$941,3,FALSE)*F1562</f>
        <v>-1</v>
      </c>
      <c r="AL1562" s="17"/>
      <c r="AM1562" s="17"/>
      <c r="AN1562" s="17"/>
      <c r="AO1562" s="17"/>
      <c r="AP1562" s="17"/>
      <c r="AQ1562" s="17"/>
      <c r="AR1562" s="17"/>
      <c r="AS1562" s="17"/>
      <c r="AT1562" s="17"/>
      <c r="AU1562" s="17"/>
      <c r="AV1562" s="17"/>
    </row>
    <row r="1563" spans="1:48" ht="15.75" customHeight="1">
      <c r="A1563" s="21" t="s">
        <v>56</v>
      </c>
      <c r="B1563" s="23" t="s">
        <v>1692</v>
      </c>
      <c r="C1563" s="25">
        <v>45806</v>
      </c>
      <c r="D1563" s="23" t="s">
        <v>236</v>
      </c>
      <c r="E1563" s="23" t="s">
        <v>190</v>
      </c>
      <c r="F1563" s="21">
        <v>2</v>
      </c>
      <c r="G1563" s="12">
        <v>2499.8855507868384</v>
      </c>
      <c r="H1563" s="12">
        <v>4999.7711015736768</v>
      </c>
      <c r="I1563" s="23" t="s">
        <v>52</v>
      </c>
      <c r="J1563" s="23" t="s">
        <v>61</v>
      </c>
      <c r="K1563" s="24" t="s">
        <v>177</v>
      </c>
      <c r="L1563" s="24">
        <v>145</v>
      </c>
      <c r="M1563" s="12">
        <v>2100.7441603250745</v>
      </c>
      <c r="N1563" s="12">
        <v>4201.488320650149</v>
      </c>
      <c r="O1563" s="12">
        <v>798.28278092352775</v>
      </c>
      <c r="P1563" s="13"/>
      <c r="Q1563" s="14">
        <v>2025</v>
      </c>
      <c r="R1563" s="15">
        <v>45413</v>
      </c>
      <c r="S1563" s="11" t="s">
        <v>492</v>
      </c>
      <c r="T1563" s="16">
        <v>400</v>
      </c>
      <c r="U1563" s="17"/>
      <c r="V1563" s="12">
        <v>1264.6479845156941</v>
      </c>
      <c r="W1563" s="12">
        <v>1264.6479845156941</v>
      </c>
      <c r="X1563" s="12">
        <v>0</v>
      </c>
      <c r="Y1563" s="18">
        <v>45803</v>
      </c>
      <c r="Z1563" s="13" t="s">
        <v>505</v>
      </c>
      <c r="AA1563" s="19" t="s">
        <v>367</v>
      </c>
      <c r="AB1563" s="13" t="s">
        <v>357</v>
      </c>
      <c r="AC1563" s="13" t="s">
        <v>367</v>
      </c>
      <c r="AD1563" s="20"/>
      <c r="AE1563" s="20"/>
      <c r="AF1563" s="13" t="s">
        <v>40</v>
      </c>
      <c r="AG1563" s="15">
        <v>45413</v>
      </c>
      <c r="AH1563" s="13" t="s">
        <v>41</v>
      </c>
      <c r="AI1563" s="13" t="s">
        <v>56</v>
      </c>
      <c r="AJ1563" s="13" t="str">
        <f>VLOOKUP(E1563,Precios!Z$2:AA$941,2,FALSE)</f>
        <v>Mantequilla RUMAY</v>
      </c>
      <c r="AK1563" s="14">
        <f>VLOOKUP(E1563,Precios!Z$2:BB$941,3,FALSE)*F1563</f>
        <v>-2</v>
      </c>
      <c r="AL1563" s="17"/>
      <c r="AM1563" s="17"/>
      <c r="AN1563" s="17"/>
      <c r="AO1563" s="17"/>
      <c r="AP1563" s="17"/>
      <c r="AQ1563" s="17"/>
      <c r="AR1563" s="17"/>
      <c r="AS1563" s="17"/>
      <c r="AT1563" s="17"/>
      <c r="AU1563" s="17"/>
      <c r="AV1563" s="17"/>
    </row>
    <row r="1564" spans="1:48" ht="15.75" customHeight="1">
      <c r="A1564" s="21" t="s">
        <v>53</v>
      </c>
      <c r="B1564" s="23" t="s">
        <v>1692</v>
      </c>
      <c r="C1564" s="25">
        <v>45806</v>
      </c>
      <c r="D1564" s="23" t="s">
        <v>236</v>
      </c>
      <c r="E1564" s="23" t="s">
        <v>192</v>
      </c>
      <c r="F1564" s="21">
        <v>1</v>
      </c>
      <c r="G1564" s="12">
        <v>15990.211345939933</v>
      </c>
      <c r="H1564" s="12">
        <v>15990.211345939933</v>
      </c>
      <c r="I1564" s="23" t="s">
        <v>52</v>
      </c>
      <c r="J1564" s="23" t="s">
        <v>61</v>
      </c>
      <c r="K1564" s="24" t="s">
        <v>177</v>
      </c>
      <c r="L1564" s="24">
        <v>145</v>
      </c>
      <c r="M1564" s="12">
        <v>13437.152391546164</v>
      </c>
      <c r="N1564" s="12">
        <v>13437.152391546164</v>
      </c>
      <c r="O1564" s="12">
        <v>2553.0589543937695</v>
      </c>
      <c r="P1564" s="13"/>
      <c r="Q1564" s="14">
        <v>2025</v>
      </c>
      <c r="R1564" s="15">
        <v>45413</v>
      </c>
      <c r="S1564" s="11" t="s">
        <v>435</v>
      </c>
      <c r="T1564" s="16">
        <v>0</v>
      </c>
      <c r="U1564" s="17"/>
      <c r="V1564" s="12">
        <v>3773.1523915461621</v>
      </c>
      <c r="W1564" s="12">
        <v>3773.1523915461621</v>
      </c>
      <c r="X1564" s="12">
        <v>0</v>
      </c>
      <c r="Y1564" s="18">
        <v>45803</v>
      </c>
      <c r="Z1564" s="13" t="s">
        <v>505</v>
      </c>
      <c r="AA1564" s="19" t="s">
        <v>367</v>
      </c>
      <c r="AB1564" s="13" t="s">
        <v>357</v>
      </c>
      <c r="AC1564" s="13" t="s">
        <v>367</v>
      </c>
      <c r="AD1564" s="20"/>
      <c r="AE1564" s="20"/>
      <c r="AF1564" s="13" t="s">
        <v>40</v>
      </c>
      <c r="AG1564" s="15">
        <v>45413</v>
      </c>
      <c r="AH1564" s="13" t="s">
        <v>41</v>
      </c>
      <c r="AI1564" s="13" t="s">
        <v>53</v>
      </c>
      <c r="AJ1564" s="13" t="str">
        <f>VLOOKUP(E1564,Precios!Z$2:AA$941,2,FALSE)</f>
        <v>Papel Higienico SWAN 400 hojas</v>
      </c>
      <c r="AK1564" s="14">
        <f>VLOOKUP(E1564,Precios!Z$2:BB$941,3,FALSE)*F1564</f>
        <v>-8</v>
      </c>
      <c r="AL1564" s="17"/>
      <c r="AM1564" s="17"/>
      <c r="AN1564" s="17"/>
      <c r="AO1564" s="17"/>
      <c r="AP1564" s="17"/>
      <c r="AQ1564" s="17"/>
      <c r="AR1564" s="17"/>
      <c r="AS1564" s="17"/>
      <c r="AT1564" s="17"/>
      <c r="AU1564" s="17"/>
      <c r="AV1564" s="17"/>
    </row>
    <row r="1565" spans="1:48" ht="15.75" customHeight="1">
      <c r="A1565" s="21" t="s">
        <v>43</v>
      </c>
      <c r="B1565" s="23" t="s">
        <v>1692</v>
      </c>
      <c r="C1565" s="25">
        <v>45806</v>
      </c>
      <c r="D1565" s="23" t="s">
        <v>229</v>
      </c>
      <c r="E1565" s="23" t="s">
        <v>45</v>
      </c>
      <c r="F1565" s="21">
        <v>1</v>
      </c>
      <c r="G1565" s="12">
        <v>8199.8965351595689</v>
      </c>
      <c r="H1565" s="12">
        <v>8199.8965351595689</v>
      </c>
      <c r="I1565" s="23" t="s">
        <v>52</v>
      </c>
      <c r="J1565" s="23" t="s">
        <v>61</v>
      </c>
      <c r="K1565" s="24" t="s">
        <v>177</v>
      </c>
      <c r="L1565" s="24">
        <v>145</v>
      </c>
      <c r="M1565" s="12">
        <v>6890.6693572769491</v>
      </c>
      <c r="N1565" s="12">
        <v>6890.6693572769491</v>
      </c>
      <c r="O1565" s="12">
        <v>1309.2271778826198</v>
      </c>
      <c r="P1565" s="13"/>
      <c r="Q1565" s="14">
        <v>2025</v>
      </c>
      <c r="R1565" s="15">
        <v>45413</v>
      </c>
      <c r="S1565" s="11" t="s">
        <v>355</v>
      </c>
      <c r="T1565" s="16">
        <v>0</v>
      </c>
      <c r="U1565" s="17"/>
      <c r="V1565" s="12">
        <v>1296.3416261845123</v>
      </c>
      <c r="W1565" s="12">
        <v>1296.3416261845123</v>
      </c>
      <c r="X1565" s="12">
        <v>0</v>
      </c>
      <c r="Y1565" s="18">
        <v>45803</v>
      </c>
      <c r="Z1565" s="13" t="s">
        <v>505</v>
      </c>
      <c r="AA1565" s="19" t="s">
        <v>361</v>
      </c>
      <c r="AB1565" s="13" t="s">
        <v>357</v>
      </c>
      <c r="AC1565" s="13" t="s">
        <v>380</v>
      </c>
      <c r="AD1565" s="20"/>
      <c r="AE1565" s="20"/>
      <c r="AF1565" s="13" t="s">
        <v>40</v>
      </c>
      <c r="AG1565" s="15">
        <v>45413</v>
      </c>
      <c r="AH1565" s="13" t="s">
        <v>41</v>
      </c>
      <c r="AI1565" s="13" t="s">
        <v>43</v>
      </c>
      <c r="AJ1565" s="13" t="str">
        <f>VLOOKUP(E1565,Precios!Z$2:AA$941,2,FALSE)</f>
        <v>Bandeja Huevos EXTRA</v>
      </c>
      <c r="AK1565" s="14">
        <f>VLOOKUP(E1565,Precios!Z$2:BB$941,3,FALSE)*F1565</f>
        <v>-1</v>
      </c>
      <c r="AL1565" s="17"/>
      <c r="AM1565" s="17"/>
      <c r="AN1565" s="17"/>
      <c r="AO1565" s="17"/>
      <c r="AP1565" s="17"/>
      <c r="AQ1565" s="17"/>
      <c r="AR1565" s="17"/>
      <c r="AS1565" s="17"/>
      <c r="AT1565" s="17"/>
      <c r="AU1565" s="17"/>
      <c r="AV1565" s="17"/>
    </row>
    <row r="1566" spans="1:48" ht="15.75" customHeight="1">
      <c r="A1566" s="21" t="s">
        <v>35</v>
      </c>
      <c r="B1566" s="23" t="s">
        <v>1692</v>
      </c>
      <c r="C1566" s="25">
        <v>45806</v>
      </c>
      <c r="D1566" s="23" t="s">
        <v>340</v>
      </c>
      <c r="E1566" s="23" t="s">
        <v>46</v>
      </c>
      <c r="F1566" s="21">
        <v>1</v>
      </c>
      <c r="G1566" s="12">
        <v>6000.1548227279782</v>
      </c>
      <c r="H1566" s="12">
        <v>6000.1548227279782</v>
      </c>
      <c r="I1566" s="23" t="s">
        <v>52</v>
      </c>
      <c r="J1566" s="23" t="s">
        <v>61</v>
      </c>
      <c r="K1566" s="24" t="s">
        <v>177</v>
      </c>
      <c r="L1566" s="24">
        <v>145</v>
      </c>
      <c r="M1566" s="12">
        <v>5042.1469098554444</v>
      </c>
      <c r="N1566" s="12">
        <v>5042.1469098554444</v>
      </c>
      <c r="O1566" s="12">
        <v>958.00791287253378</v>
      </c>
      <c r="P1566" s="13"/>
      <c r="Q1566" s="14">
        <v>2025</v>
      </c>
      <c r="R1566" s="15">
        <v>45413</v>
      </c>
      <c r="S1566" s="11" t="s">
        <v>364</v>
      </c>
      <c r="T1566" s="16">
        <v>500</v>
      </c>
      <c r="U1566" s="17"/>
      <c r="V1566" s="12">
        <v>1785.4242207798129</v>
      </c>
      <c r="W1566" s="12">
        <v>1785.4242207798129</v>
      </c>
      <c r="X1566" s="12">
        <v>0</v>
      </c>
      <c r="Y1566" s="18">
        <v>45803</v>
      </c>
      <c r="Z1566" s="13" t="s">
        <v>505</v>
      </c>
      <c r="AA1566" s="19" t="s">
        <v>373</v>
      </c>
      <c r="AB1566" s="13" t="s">
        <v>357</v>
      </c>
      <c r="AC1566" s="13" t="s">
        <v>380</v>
      </c>
      <c r="AD1566" s="20"/>
      <c r="AE1566" s="20"/>
      <c r="AF1566" s="13" t="s">
        <v>40</v>
      </c>
      <c r="AG1566" s="15">
        <v>45413</v>
      </c>
      <c r="AH1566" s="13" t="s">
        <v>41</v>
      </c>
      <c r="AI1566" s="13" t="s">
        <v>35</v>
      </c>
      <c r="AJ1566" s="13" t="str">
        <f>VLOOKUP(E1566,Precios!Z$2:AA$941,2,FALSE)</f>
        <v>Queso RUNCA Mantecoso</v>
      </c>
      <c r="AK1566" s="14">
        <f>VLOOKUP(E1566,Precios!Z$2:BB$941,3,FALSE)*F1566</f>
        <v>-0.5</v>
      </c>
      <c r="AL1566" s="17"/>
      <c r="AM1566" s="17"/>
      <c r="AN1566" s="17"/>
      <c r="AO1566" s="17"/>
      <c r="AP1566" s="17"/>
      <c r="AQ1566" s="17"/>
      <c r="AR1566" s="17"/>
      <c r="AS1566" s="17"/>
      <c r="AT1566" s="17"/>
      <c r="AU1566" s="17"/>
      <c r="AV1566" s="17"/>
    </row>
    <row r="1567" spans="1:48" ht="15.75" customHeight="1">
      <c r="A1567" s="14" t="s">
        <v>47</v>
      </c>
      <c r="B1567" s="23" t="s">
        <v>1692</v>
      </c>
      <c r="C1567" s="25">
        <v>45806</v>
      </c>
      <c r="D1567" s="23" t="s">
        <v>614</v>
      </c>
      <c r="E1567" s="23" t="s">
        <v>153</v>
      </c>
      <c r="F1567" s="21">
        <v>1</v>
      </c>
      <c r="G1567" s="12">
        <v>1700</v>
      </c>
      <c r="H1567" s="12">
        <v>1700</v>
      </c>
      <c r="I1567" s="23" t="s">
        <v>52</v>
      </c>
      <c r="J1567" s="23" t="s">
        <v>61</v>
      </c>
      <c r="K1567" s="24" t="s">
        <v>177</v>
      </c>
      <c r="L1567" s="24">
        <v>145</v>
      </c>
      <c r="M1567" s="12">
        <v>1428.5714285714287</v>
      </c>
      <c r="N1567" s="12">
        <v>1428.5714285714287</v>
      </c>
      <c r="O1567" s="12">
        <v>271.42857142857133</v>
      </c>
      <c r="P1567" s="13"/>
      <c r="Q1567" s="14">
        <v>2025</v>
      </c>
      <c r="R1567" s="15">
        <v>45413</v>
      </c>
      <c r="S1567" s="11" t="s">
        <v>153</v>
      </c>
      <c r="T1567" s="16">
        <v>0</v>
      </c>
      <c r="U1567" s="17"/>
      <c r="V1567" s="12">
        <v>589.57142857142867</v>
      </c>
      <c r="W1567" s="12">
        <v>589.57142857142867</v>
      </c>
      <c r="X1567" s="12">
        <v>0</v>
      </c>
      <c r="Y1567" s="18">
        <v>45803</v>
      </c>
      <c r="Z1567" s="13" t="s">
        <v>505</v>
      </c>
      <c r="AA1567" s="19" t="s">
        <v>356</v>
      </c>
      <c r="AB1567" s="13" t="s">
        <v>357</v>
      </c>
      <c r="AC1567" s="13" t="s">
        <v>615</v>
      </c>
      <c r="AD1567" s="20"/>
      <c r="AE1567" s="20"/>
      <c r="AF1567" s="13" t="s">
        <v>40</v>
      </c>
      <c r="AG1567" s="15">
        <v>45413</v>
      </c>
      <c r="AH1567" s="13" t="s">
        <v>41</v>
      </c>
      <c r="AI1567" s="13" t="s">
        <v>47</v>
      </c>
      <c r="AJ1567" s="13" t="str">
        <f>VLOOKUP(E1567,Precios!Z$2:AA$941,2,FALSE)</f>
        <v>Escobillon TEDDY</v>
      </c>
      <c r="AK1567" s="14">
        <f>VLOOKUP(E1567,Precios!Z$2:BB$941,3,FALSE)*F1567</f>
        <v>-1</v>
      </c>
      <c r="AL1567" s="17"/>
      <c r="AM1567" s="17"/>
      <c r="AN1567" s="17"/>
      <c r="AO1567" s="17"/>
      <c r="AP1567" s="17"/>
      <c r="AQ1567" s="17"/>
      <c r="AR1567" s="17"/>
      <c r="AS1567" s="17"/>
      <c r="AT1567" s="17"/>
      <c r="AU1567" s="17"/>
      <c r="AV1567" s="17"/>
    </row>
    <row r="1568" spans="1:48" ht="15.75" customHeight="1">
      <c r="A1568" s="21" t="s">
        <v>47</v>
      </c>
      <c r="B1568" s="23" t="s">
        <v>1692</v>
      </c>
      <c r="C1568" s="22">
        <v>45806</v>
      </c>
      <c r="D1568" s="23" t="s">
        <v>42</v>
      </c>
      <c r="E1568" s="23" t="s">
        <v>204</v>
      </c>
      <c r="F1568" s="21">
        <v>4</v>
      </c>
      <c r="G1568" s="12">
        <v>1199.9357739242132</v>
      </c>
      <c r="H1568" s="12">
        <v>4799.7430956968528</v>
      </c>
      <c r="I1568" s="23" t="s">
        <v>52</v>
      </c>
      <c r="J1568" s="23" t="s">
        <v>61</v>
      </c>
      <c r="K1568" s="24" t="s">
        <v>177</v>
      </c>
      <c r="L1568" s="24">
        <v>145</v>
      </c>
      <c r="M1568" s="12">
        <v>1008.3493898522801</v>
      </c>
      <c r="N1568" s="12">
        <v>4033.3975594091203</v>
      </c>
      <c r="O1568" s="12">
        <v>766.34553628773256</v>
      </c>
      <c r="P1568" s="13"/>
      <c r="Q1568" s="14">
        <v>2025</v>
      </c>
      <c r="R1568" s="15">
        <v>45413</v>
      </c>
      <c r="S1568" s="11" t="s">
        <v>400</v>
      </c>
      <c r="T1568" s="16">
        <v>0</v>
      </c>
      <c r="U1568" s="17"/>
      <c r="V1568" s="12">
        <v>2149.3975594091203</v>
      </c>
      <c r="W1568" s="12">
        <v>2149.3975594091203</v>
      </c>
      <c r="X1568" s="12">
        <v>0</v>
      </c>
      <c r="Y1568" s="18">
        <v>45803</v>
      </c>
      <c r="Z1568" s="13" t="s">
        <v>505</v>
      </c>
      <c r="AA1568" s="19" t="s">
        <v>361</v>
      </c>
      <c r="AB1568" s="13" t="s">
        <v>357</v>
      </c>
      <c r="AC1568" s="13" t="s">
        <v>506</v>
      </c>
      <c r="AD1568" s="20"/>
      <c r="AE1568" s="20"/>
      <c r="AF1568" s="13" t="s">
        <v>40</v>
      </c>
      <c r="AG1568" s="15">
        <v>45413</v>
      </c>
      <c r="AH1568" s="13" t="s">
        <v>41</v>
      </c>
      <c r="AI1568" s="13" t="s">
        <v>47</v>
      </c>
      <c r="AJ1568" s="13" t="str">
        <f>VLOOKUP(E1568,Precios!Z$2:AA$941,2,FALSE)</f>
        <v>Trapero Algodón TEDDY</v>
      </c>
      <c r="AK1568" s="14">
        <f>VLOOKUP(E1568,Precios!Z$2:BB$941,3,FALSE)*F1568</f>
        <v>-4</v>
      </c>
      <c r="AL1568" s="17"/>
      <c r="AM1568" s="17"/>
      <c r="AN1568" s="17"/>
      <c r="AO1568" s="17"/>
      <c r="AP1568" s="17"/>
      <c r="AQ1568" s="17"/>
      <c r="AR1568" s="17"/>
      <c r="AS1568" s="17"/>
      <c r="AT1568" s="17"/>
      <c r="AU1568" s="17"/>
      <c r="AV1568" s="17"/>
    </row>
    <row r="1569" spans="1:48" ht="15.75" customHeight="1">
      <c r="A1569" s="21" t="s">
        <v>47</v>
      </c>
      <c r="B1569" s="23" t="s">
        <v>1692</v>
      </c>
      <c r="C1569" s="22">
        <v>45806</v>
      </c>
      <c r="D1569" s="23" t="s">
        <v>42</v>
      </c>
      <c r="E1569" s="23" t="s">
        <v>153</v>
      </c>
      <c r="F1569" s="21">
        <v>2</v>
      </c>
      <c r="G1569" s="12">
        <v>1700</v>
      </c>
      <c r="H1569" s="12">
        <v>3400</v>
      </c>
      <c r="I1569" s="23" t="s">
        <v>52</v>
      </c>
      <c r="J1569" s="23" t="s">
        <v>61</v>
      </c>
      <c r="K1569" s="24" t="s">
        <v>177</v>
      </c>
      <c r="L1569" s="24">
        <v>145</v>
      </c>
      <c r="M1569" s="12">
        <v>1428.5714285714287</v>
      </c>
      <c r="N1569" s="12">
        <v>2857.1428571428573</v>
      </c>
      <c r="O1569" s="12">
        <v>542.85714285714266</v>
      </c>
      <c r="P1569" s="13"/>
      <c r="Q1569" s="14">
        <v>2025</v>
      </c>
      <c r="R1569" s="15">
        <v>45413</v>
      </c>
      <c r="S1569" s="11" t="s">
        <v>153</v>
      </c>
      <c r="T1569" s="16">
        <v>0</v>
      </c>
      <c r="U1569" s="17"/>
      <c r="V1569" s="12">
        <v>1179.1428571428573</v>
      </c>
      <c r="W1569" s="12">
        <v>1179.1428571428573</v>
      </c>
      <c r="X1569" s="12">
        <v>0</v>
      </c>
      <c r="Y1569" s="18">
        <v>45803</v>
      </c>
      <c r="Z1569" s="13" t="s">
        <v>505</v>
      </c>
      <c r="AA1569" s="19" t="s">
        <v>361</v>
      </c>
      <c r="AB1569" s="13" t="s">
        <v>357</v>
      </c>
      <c r="AC1569" s="13" t="s">
        <v>506</v>
      </c>
      <c r="AD1569" s="20"/>
      <c r="AE1569" s="20"/>
      <c r="AF1569" s="13" t="s">
        <v>40</v>
      </c>
      <c r="AG1569" s="15">
        <v>45413</v>
      </c>
      <c r="AH1569" s="13" t="s">
        <v>41</v>
      </c>
      <c r="AI1569" s="13" t="s">
        <v>47</v>
      </c>
      <c r="AJ1569" s="13" t="str">
        <f>VLOOKUP(E1569,Precios!Z$2:AA$941,2,FALSE)</f>
        <v>Escobillon TEDDY</v>
      </c>
      <c r="AK1569" s="14">
        <f>VLOOKUP(E1569,Precios!Z$2:BB$941,3,FALSE)*F1569</f>
        <v>-2</v>
      </c>
      <c r="AL1569" s="17"/>
      <c r="AM1569" s="17"/>
      <c r="AN1569" s="17"/>
      <c r="AO1569" s="17"/>
      <c r="AP1569" s="17"/>
      <c r="AQ1569" s="17"/>
      <c r="AR1569" s="17"/>
      <c r="AS1569" s="17"/>
      <c r="AT1569" s="17"/>
      <c r="AU1569" s="17"/>
      <c r="AV1569" s="17"/>
    </row>
    <row r="1570" spans="1:48" ht="15.75" customHeight="1">
      <c r="A1570" s="21" t="s">
        <v>76</v>
      </c>
      <c r="B1570" s="23" t="s">
        <v>1692</v>
      </c>
      <c r="C1570" s="22">
        <v>45806</v>
      </c>
      <c r="D1570" s="23" t="s">
        <v>42</v>
      </c>
      <c r="E1570" s="23" t="s">
        <v>325</v>
      </c>
      <c r="F1570" s="21">
        <v>1</v>
      </c>
      <c r="G1570" s="12">
        <v>7000.3784806704516</v>
      </c>
      <c r="H1570" s="12">
        <v>7000.3784806704516</v>
      </c>
      <c r="I1570" s="23" t="s">
        <v>52</v>
      </c>
      <c r="J1570" s="23" t="s">
        <v>61</v>
      </c>
      <c r="K1570" s="24" t="s">
        <v>177</v>
      </c>
      <c r="L1570" s="24">
        <v>145</v>
      </c>
      <c r="M1570" s="12">
        <v>5882.6709921600441</v>
      </c>
      <c r="N1570" s="12">
        <v>5882.6709921600441</v>
      </c>
      <c r="O1570" s="12">
        <v>1117.7074885104075</v>
      </c>
      <c r="P1570" s="13"/>
      <c r="Q1570" s="14">
        <v>2025</v>
      </c>
      <c r="R1570" s="15">
        <v>45413</v>
      </c>
      <c r="S1570" s="11" t="s">
        <v>479</v>
      </c>
      <c r="T1570" s="16">
        <v>0</v>
      </c>
      <c r="U1570" s="17"/>
      <c r="V1570" s="12">
        <v>1530.6709921600432</v>
      </c>
      <c r="W1570" s="12">
        <v>1530.6709921600432</v>
      </c>
      <c r="X1570" s="12">
        <v>0</v>
      </c>
      <c r="Y1570" s="18">
        <v>45803</v>
      </c>
      <c r="Z1570" s="13" t="s">
        <v>505</v>
      </c>
      <c r="AA1570" s="19" t="s">
        <v>361</v>
      </c>
      <c r="AB1570" s="13" t="s">
        <v>357</v>
      </c>
      <c r="AC1570" s="13" t="s">
        <v>506</v>
      </c>
      <c r="AD1570" s="20"/>
      <c r="AE1570" s="20"/>
      <c r="AF1570" s="13" t="s">
        <v>40</v>
      </c>
      <c r="AG1570" s="15">
        <v>45413</v>
      </c>
      <c r="AH1570" s="13" t="s">
        <v>41</v>
      </c>
      <c r="AI1570" s="13" t="s">
        <v>76</v>
      </c>
      <c r="AJ1570" s="13" t="str">
        <f>VLOOKUP(E1570,Precios!Z$2:AA$941,2,FALSE)</f>
        <v>Lavaloza MAGISTRAL 500 ml</v>
      </c>
      <c r="AK1570" s="14">
        <f>VLOOKUP(E1570,Precios!Z$2:BB$941,3,FALSE)*F1570</f>
        <v>-2</v>
      </c>
      <c r="AL1570" s="17"/>
      <c r="AM1570" s="17"/>
      <c r="AN1570" s="17"/>
      <c r="AO1570" s="17"/>
      <c r="AP1570" s="17"/>
      <c r="AQ1570" s="17"/>
      <c r="AR1570" s="17"/>
      <c r="AS1570" s="17"/>
      <c r="AT1570" s="17"/>
      <c r="AU1570" s="17"/>
      <c r="AV1570" s="17"/>
    </row>
    <row r="1571" spans="1:48" ht="15.75" customHeight="1">
      <c r="A1571" s="21" t="s">
        <v>43</v>
      </c>
      <c r="B1571" s="23" t="s">
        <v>1692</v>
      </c>
      <c r="C1571" s="22">
        <v>45806</v>
      </c>
      <c r="D1571" s="23" t="s">
        <v>552</v>
      </c>
      <c r="E1571" s="23" t="s">
        <v>45</v>
      </c>
      <c r="F1571" s="21">
        <v>1</v>
      </c>
      <c r="G1571" s="12">
        <v>8199.8965351595689</v>
      </c>
      <c r="H1571" s="12">
        <v>8199.8965351595689</v>
      </c>
      <c r="I1571" s="23" t="s">
        <v>52</v>
      </c>
      <c r="J1571" s="23" t="s">
        <v>61</v>
      </c>
      <c r="K1571" s="24" t="s">
        <v>177</v>
      </c>
      <c r="L1571" s="24">
        <v>145</v>
      </c>
      <c r="M1571" s="12">
        <v>6890.6693572769491</v>
      </c>
      <c r="N1571" s="12">
        <v>6890.6693572769491</v>
      </c>
      <c r="O1571" s="12">
        <v>1309.2271778826198</v>
      </c>
      <c r="P1571" s="13"/>
      <c r="Q1571" s="14">
        <v>2025</v>
      </c>
      <c r="R1571" s="15">
        <v>45413</v>
      </c>
      <c r="S1571" s="11" t="s">
        <v>355</v>
      </c>
      <c r="T1571" s="16">
        <v>0</v>
      </c>
      <c r="U1571" s="17"/>
      <c r="V1571" s="12">
        <v>1296.3416261845123</v>
      </c>
      <c r="W1571" s="12">
        <v>1296.3416261845123</v>
      </c>
      <c r="X1571" s="12">
        <v>0</v>
      </c>
      <c r="Y1571" s="18">
        <v>45803</v>
      </c>
      <c r="Z1571" s="13" t="s">
        <v>505</v>
      </c>
      <c r="AA1571" s="19" t="s">
        <v>373</v>
      </c>
      <c r="AB1571" s="13" t="s">
        <v>357</v>
      </c>
      <c r="AC1571" s="13" t="s">
        <v>506</v>
      </c>
      <c r="AD1571" s="20"/>
      <c r="AE1571" s="20"/>
      <c r="AF1571" s="13" t="s">
        <v>40</v>
      </c>
      <c r="AG1571" s="15">
        <v>45413</v>
      </c>
      <c r="AH1571" s="13" t="s">
        <v>41</v>
      </c>
      <c r="AI1571" s="13" t="s">
        <v>43</v>
      </c>
      <c r="AJ1571" s="13" t="str">
        <f>VLOOKUP(E1571,Precios!Z$2:AA$941,2,FALSE)</f>
        <v>Bandeja Huevos EXTRA</v>
      </c>
      <c r="AK1571" s="14">
        <f>VLOOKUP(E1571,Precios!Z$2:BB$941,3,FALSE)*F1571</f>
        <v>-1</v>
      </c>
      <c r="AL1571" s="17"/>
      <c r="AM1571" s="17"/>
      <c r="AN1571" s="17"/>
      <c r="AO1571" s="17"/>
      <c r="AP1571" s="17"/>
      <c r="AQ1571" s="17"/>
      <c r="AR1571" s="17"/>
      <c r="AS1571" s="17"/>
      <c r="AT1571" s="17"/>
      <c r="AU1571" s="17"/>
      <c r="AV1571" s="17"/>
    </row>
    <row r="1572" spans="1:48" ht="15.75" customHeight="1">
      <c r="A1572" s="21" t="s">
        <v>53</v>
      </c>
      <c r="B1572" s="23" t="s">
        <v>1692</v>
      </c>
      <c r="C1572" s="22">
        <v>45806</v>
      </c>
      <c r="D1572" s="23" t="s">
        <v>229</v>
      </c>
      <c r="E1572" s="23" t="s">
        <v>97</v>
      </c>
      <c r="F1572" s="21">
        <v>1</v>
      </c>
      <c r="G1572" s="12">
        <v>16500.236769693482</v>
      </c>
      <c r="H1572" s="12">
        <v>16500.236769693482</v>
      </c>
      <c r="I1572" s="23" t="s">
        <v>52</v>
      </c>
      <c r="J1572" s="23" t="s">
        <v>61</v>
      </c>
      <c r="K1572" s="24" t="s">
        <v>177</v>
      </c>
      <c r="L1572" s="24">
        <v>145</v>
      </c>
      <c r="M1572" s="12">
        <v>13865.745184616371</v>
      </c>
      <c r="N1572" s="12">
        <v>13865.745184616371</v>
      </c>
      <c r="O1572" s="12">
        <v>2634.4915850771104</v>
      </c>
      <c r="P1572" s="13"/>
      <c r="Q1572" s="14">
        <v>2025</v>
      </c>
      <c r="R1572" s="15">
        <v>45413</v>
      </c>
      <c r="S1572" s="11" t="s">
        <v>366</v>
      </c>
      <c r="T1572" s="16">
        <v>0</v>
      </c>
      <c r="U1572" s="17"/>
      <c r="V1572" s="12">
        <v>3031.7451846163694</v>
      </c>
      <c r="W1572" s="12">
        <v>3031.7451846163694</v>
      </c>
      <c r="X1572" s="12">
        <v>0</v>
      </c>
      <c r="Y1572" s="18">
        <v>45803</v>
      </c>
      <c r="Z1572" s="13" t="s">
        <v>505</v>
      </c>
      <c r="AA1572" s="19" t="s">
        <v>361</v>
      </c>
      <c r="AB1572" s="13" t="s">
        <v>357</v>
      </c>
      <c r="AC1572" s="13" t="s">
        <v>380</v>
      </c>
      <c r="AD1572" s="20"/>
      <c r="AE1572" s="20"/>
      <c r="AF1572" s="13" t="s">
        <v>40</v>
      </c>
      <c r="AG1572" s="15">
        <v>45413</v>
      </c>
      <c r="AH1572" s="13" t="s">
        <v>41</v>
      </c>
      <c r="AI1572" s="13" t="s">
        <v>53</v>
      </c>
      <c r="AJ1572" s="13" t="str">
        <f>VLOOKUP(E1572,Precios!Z$2:AA$941,2,FALSE)</f>
        <v>Papel Higienico ELITE 50 metros</v>
      </c>
      <c r="AK1572" s="14">
        <f>VLOOKUP(E1572,Precios!Z$2:BB$941,3,FALSE)*F1572</f>
        <v>-6</v>
      </c>
      <c r="AL1572" s="17"/>
      <c r="AM1572" s="17"/>
      <c r="AN1572" s="17"/>
      <c r="AO1572" s="17"/>
      <c r="AP1572" s="17"/>
      <c r="AQ1572" s="17"/>
      <c r="AR1572" s="17"/>
      <c r="AS1572" s="17"/>
      <c r="AT1572" s="17"/>
      <c r="AU1572" s="17"/>
      <c r="AV1572" s="17"/>
    </row>
    <row r="1573" spans="1:48" ht="15.75" customHeight="1">
      <c r="A1573" s="21" t="s">
        <v>53</v>
      </c>
      <c r="B1573" s="23" t="s">
        <v>1692</v>
      </c>
      <c r="C1573" s="22">
        <v>45806</v>
      </c>
      <c r="D1573" s="23" t="s">
        <v>346</v>
      </c>
      <c r="E1573" s="23" t="s">
        <v>55</v>
      </c>
      <c r="F1573" s="21">
        <v>1</v>
      </c>
      <c r="G1573" s="12">
        <v>20899.657134519988</v>
      </c>
      <c r="H1573" s="12">
        <v>20899.657134519988</v>
      </c>
      <c r="I1573" s="23" t="s">
        <v>52</v>
      </c>
      <c r="J1573" s="23" t="s">
        <v>61</v>
      </c>
      <c r="K1573" s="24" t="s">
        <v>177</v>
      </c>
      <c r="L1573" s="24">
        <v>145</v>
      </c>
      <c r="M1573" s="12">
        <v>17562.737087831923</v>
      </c>
      <c r="N1573" s="12">
        <v>17562.737087831923</v>
      </c>
      <c r="O1573" s="12">
        <v>3336.9200466880648</v>
      </c>
      <c r="P1573" s="13"/>
      <c r="Q1573" s="14">
        <v>2025</v>
      </c>
      <c r="R1573" s="15">
        <v>45413</v>
      </c>
      <c r="S1573" s="11" t="s">
        <v>366</v>
      </c>
      <c r="T1573" s="16">
        <v>0</v>
      </c>
      <c r="U1573" s="17"/>
      <c r="V1573" s="12">
        <v>3117.7370878319234</v>
      </c>
      <c r="W1573" s="12">
        <v>3117.7370878319234</v>
      </c>
      <c r="X1573" s="12">
        <v>0</v>
      </c>
      <c r="Y1573" s="18">
        <v>45803</v>
      </c>
      <c r="Z1573" s="13" t="s">
        <v>505</v>
      </c>
      <c r="AA1573" s="19" t="s">
        <v>373</v>
      </c>
      <c r="AB1573" s="13" t="s">
        <v>357</v>
      </c>
      <c r="AC1573" s="13" t="s">
        <v>522</v>
      </c>
      <c r="AD1573" s="20"/>
      <c r="AE1573" s="20"/>
      <c r="AF1573" s="13" t="s">
        <v>40</v>
      </c>
      <c r="AG1573" s="15">
        <v>45413</v>
      </c>
      <c r="AH1573" s="13" t="s">
        <v>41</v>
      </c>
      <c r="AI1573" s="13" t="s">
        <v>53</v>
      </c>
      <c r="AJ1573" s="13" t="str">
        <f>VLOOKUP(E1573,Precios!Z$2:AA$941,2,FALSE)</f>
        <v>Papel Higienico ELITE 50 metros</v>
      </c>
      <c r="AK1573" s="14">
        <f>VLOOKUP(E1573,Precios!Z$2:BB$941,3,FALSE)*F1573</f>
        <v>-8</v>
      </c>
      <c r="AL1573" s="17"/>
      <c r="AM1573" s="17"/>
      <c r="AN1573" s="17"/>
      <c r="AO1573" s="17"/>
      <c r="AP1573" s="17"/>
      <c r="AQ1573" s="17"/>
      <c r="AR1573" s="17"/>
      <c r="AS1573" s="17"/>
      <c r="AT1573" s="17"/>
      <c r="AU1573" s="17"/>
      <c r="AV1573" s="17"/>
    </row>
    <row r="1574" spans="1:48" ht="15.75" customHeight="1">
      <c r="A1574" s="21" t="s">
        <v>53</v>
      </c>
      <c r="B1574" s="23" t="s">
        <v>1692</v>
      </c>
      <c r="C1574" s="22">
        <v>45805</v>
      </c>
      <c r="D1574" s="23" t="s">
        <v>230</v>
      </c>
      <c r="E1574" s="23" t="s">
        <v>114</v>
      </c>
      <c r="F1574" s="21">
        <v>1</v>
      </c>
      <c r="G1574" s="12">
        <v>10500</v>
      </c>
      <c r="H1574" s="12">
        <v>10500</v>
      </c>
      <c r="I1574" s="23" t="s">
        <v>52</v>
      </c>
      <c r="J1574" s="23" t="s">
        <v>61</v>
      </c>
      <c r="K1574" s="24" t="s">
        <v>177</v>
      </c>
      <c r="L1574" s="24">
        <v>144</v>
      </c>
      <c r="M1574" s="12">
        <v>8823.5294117647063</v>
      </c>
      <c r="N1574" s="12">
        <v>8823.5294117647063</v>
      </c>
      <c r="O1574" s="12">
        <v>1676.4705882352937</v>
      </c>
      <c r="P1574" s="13"/>
      <c r="Q1574" s="14">
        <v>2025</v>
      </c>
      <c r="R1574" s="15">
        <v>45413</v>
      </c>
      <c r="S1574" s="11" t="s">
        <v>369</v>
      </c>
      <c r="T1574" s="16">
        <v>0</v>
      </c>
      <c r="U1574" s="17"/>
      <c r="V1574" s="12">
        <v>2403.3613445378151</v>
      </c>
      <c r="W1574" s="12">
        <v>2403.3613445378151</v>
      </c>
      <c r="X1574" s="12">
        <v>0</v>
      </c>
      <c r="Y1574" s="18">
        <v>45803</v>
      </c>
      <c r="Z1574" s="13" t="s">
        <v>515</v>
      </c>
      <c r="AA1574" s="19" t="s">
        <v>373</v>
      </c>
      <c r="AB1574" s="13" t="s">
        <v>357</v>
      </c>
      <c r="AC1574" s="13" t="s">
        <v>374</v>
      </c>
      <c r="AD1574" s="20"/>
      <c r="AE1574" s="20"/>
      <c r="AF1574" s="13" t="s">
        <v>40</v>
      </c>
      <c r="AG1574" s="15">
        <v>45413</v>
      </c>
      <c r="AH1574" s="13" t="s">
        <v>41</v>
      </c>
      <c r="AI1574" s="13" t="s">
        <v>53</v>
      </c>
      <c r="AJ1574" s="13" t="str">
        <f>VLOOKUP(E1574,Precios!Z$2:AA$941,2,FALSE)</f>
        <v>Toalla Papel NOVA 12 metros</v>
      </c>
      <c r="AK1574" s="14">
        <f>VLOOKUP(E1574,Precios!Z$2:BB$941,3,FALSE)*F1574</f>
        <v>-8</v>
      </c>
      <c r="AL1574" s="17"/>
      <c r="AM1574" s="17"/>
      <c r="AN1574" s="17"/>
      <c r="AO1574" s="17"/>
      <c r="AP1574" s="17"/>
      <c r="AQ1574" s="17"/>
      <c r="AR1574" s="17"/>
      <c r="AS1574" s="17"/>
      <c r="AT1574" s="17"/>
      <c r="AU1574" s="17"/>
      <c r="AV1574" s="17"/>
    </row>
    <row r="1575" spans="1:48" ht="15.75" customHeight="1">
      <c r="A1575" s="21" t="s">
        <v>43</v>
      </c>
      <c r="B1575" s="23" t="s">
        <v>1692</v>
      </c>
      <c r="C1575" s="22">
        <v>45805</v>
      </c>
      <c r="D1575" s="23" t="s">
        <v>123</v>
      </c>
      <c r="E1575" s="23" t="s">
        <v>45</v>
      </c>
      <c r="F1575" s="21">
        <v>1</v>
      </c>
      <c r="G1575" s="12">
        <v>8199.8965351595689</v>
      </c>
      <c r="H1575" s="12">
        <v>8199.8965351595689</v>
      </c>
      <c r="I1575" s="23" t="s">
        <v>52</v>
      </c>
      <c r="J1575" s="23" t="s">
        <v>61</v>
      </c>
      <c r="K1575" s="24" t="s">
        <v>177</v>
      </c>
      <c r="L1575" s="24">
        <v>144</v>
      </c>
      <c r="M1575" s="12">
        <v>6890.6693572769491</v>
      </c>
      <c r="N1575" s="12">
        <v>6890.6693572769491</v>
      </c>
      <c r="O1575" s="12">
        <v>1309.2271778826198</v>
      </c>
      <c r="P1575" s="13"/>
      <c r="Q1575" s="14">
        <v>2025</v>
      </c>
      <c r="R1575" s="15">
        <v>45413</v>
      </c>
      <c r="S1575" s="11" t="s">
        <v>355</v>
      </c>
      <c r="T1575" s="16">
        <v>0</v>
      </c>
      <c r="U1575" s="17"/>
      <c r="V1575" s="12">
        <v>1296.3416261845123</v>
      </c>
      <c r="W1575" s="12">
        <v>1296.3416261845123</v>
      </c>
      <c r="X1575" s="12">
        <v>0</v>
      </c>
      <c r="Y1575" s="18">
        <v>45803</v>
      </c>
      <c r="Z1575" s="13" t="s">
        <v>515</v>
      </c>
      <c r="AA1575" s="19" t="s">
        <v>373</v>
      </c>
      <c r="AB1575" s="13" t="s">
        <v>357</v>
      </c>
      <c r="AC1575" s="13" t="s">
        <v>383</v>
      </c>
      <c r="AD1575" s="20"/>
      <c r="AE1575" s="20"/>
      <c r="AF1575" s="13" t="s">
        <v>40</v>
      </c>
      <c r="AG1575" s="15">
        <v>45413</v>
      </c>
      <c r="AH1575" s="13" t="s">
        <v>41</v>
      </c>
      <c r="AI1575" s="13" t="s">
        <v>43</v>
      </c>
      <c r="AJ1575" s="13" t="str">
        <f>VLOOKUP(E1575,Precios!Z$2:AA$941,2,FALSE)</f>
        <v>Bandeja Huevos EXTRA</v>
      </c>
      <c r="AK1575" s="14">
        <f>VLOOKUP(E1575,Precios!Z$2:BB$941,3,FALSE)*F1575</f>
        <v>-1</v>
      </c>
      <c r="AL1575" s="17"/>
      <c r="AM1575" s="17"/>
      <c r="AN1575" s="17"/>
      <c r="AO1575" s="17"/>
      <c r="AP1575" s="17"/>
      <c r="AQ1575" s="17"/>
      <c r="AR1575" s="17"/>
      <c r="AS1575" s="17"/>
      <c r="AT1575" s="17"/>
      <c r="AU1575" s="17"/>
      <c r="AV1575" s="17"/>
    </row>
    <row r="1576" spans="1:48" ht="15.75" customHeight="1">
      <c r="A1576" s="21" t="s">
        <v>35</v>
      </c>
      <c r="B1576" s="23" t="s">
        <v>1692</v>
      </c>
      <c r="C1576" s="22">
        <v>45805</v>
      </c>
      <c r="D1576" s="23" t="s">
        <v>123</v>
      </c>
      <c r="E1576" s="23" t="s">
        <v>46</v>
      </c>
      <c r="F1576" s="21">
        <v>1</v>
      </c>
      <c r="G1576" s="12">
        <v>6000.1548227279782</v>
      </c>
      <c r="H1576" s="12">
        <v>6000.1548227279782</v>
      </c>
      <c r="I1576" s="23" t="s">
        <v>52</v>
      </c>
      <c r="J1576" s="23" t="s">
        <v>61</v>
      </c>
      <c r="K1576" s="24" t="s">
        <v>177</v>
      </c>
      <c r="L1576" s="24">
        <v>144</v>
      </c>
      <c r="M1576" s="12">
        <v>5042.1469098554444</v>
      </c>
      <c r="N1576" s="12">
        <v>5042.1469098554444</v>
      </c>
      <c r="O1576" s="12">
        <v>958.00791287253378</v>
      </c>
      <c r="P1576" s="13"/>
      <c r="Q1576" s="14">
        <v>2025</v>
      </c>
      <c r="R1576" s="15">
        <v>45413</v>
      </c>
      <c r="S1576" s="11" t="s">
        <v>364</v>
      </c>
      <c r="T1576" s="16">
        <v>500</v>
      </c>
      <c r="U1576" s="17"/>
      <c r="V1576" s="12">
        <v>1785.4242207798129</v>
      </c>
      <c r="W1576" s="12">
        <v>1785.4242207798129</v>
      </c>
      <c r="X1576" s="12">
        <v>0</v>
      </c>
      <c r="Y1576" s="18">
        <v>45803</v>
      </c>
      <c r="Z1576" s="13" t="s">
        <v>515</v>
      </c>
      <c r="AA1576" s="19" t="s">
        <v>373</v>
      </c>
      <c r="AB1576" s="13" t="s">
        <v>357</v>
      </c>
      <c r="AC1576" s="13" t="s">
        <v>383</v>
      </c>
      <c r="AD1576" s="20"/>
      <c r="AE1576" s="20"/>
      <c r="AF1576" s="13" t="s">
        <v>40</v>
      </c>
      <c r="AG1576" s="15">
        <v>45413</v>
      </c>
      <c r="AH1576" s="13" t="s">
        <v>41</v>
      </c>
      <c r="AI1576" s="13" t="s">
        <v>35</v>
      </c>
      <c r="AJ1576" s="13" t="str">
        <f>VLOOKUP(E1576,Precios!Z$2:AA$941,2,FALSE)</f>
        <v>Queso RUNCA Mantecoso</v>
      </c>
      <c r="AK1576" s="14">
        <f>VLOOKUP(E1576,Precios!Z$2:BB$941,3,FALSE)*F1576</f>
        <v>-0.5</v>
      </c>
      <c r="AL1576" s="17"/>
      <c r="AM1576" s="17"/>
      <c r="AN1576" s="17"/>
      <c r="AO1576" s="17"/>
      <c r="AP1576" s="17"/>
      <c r="AQ1576" s="17"/>
      <c r="AR1576" s="17"/>
      <c r="AS1576" s="17"/>
      <c r="AT1576" s="17"/>
      <c r="AU1576" s="17"/>
      <c r="AV1576" s="17"/>
    </row>
    <row r="1577" spans="1:48" ht="15.75" customHeight="1">
      <c r="A1577" s="21" t="s">
        <v>53</v>
      </c>
      <c r="B1577" s="23" t="s">
        <v>1692</v>
      </c>
      <c r="C1577" s="22">
        <v>45805</v>
      </c>
      <c r="D1577" s="23" t="s">
        <v>307</v>
      </c>
      <c r="E1577" s="23" t="s">
        <v>320</v>
      </c>
      <c r="F1577" s="21">
        <v>1</v>
      </c>
      <c r="G1577" s="12">
        <v>6999.7727641616621</v>
      </c>
      <c r="H1577" s="12">
        <v>6999.7727641616621</v>
      </c>
      <c r="I1577" s="23" t="s">
        <v>52</v>
      </c>
      <c r="J1577" s="23" t="s">
        <v>61</v>
      </c>
      <c r="K1577" s="24" t="s">
        <v>177</v>
      </c>
      <c r="L1577" s="24">
        <v>144</v>
      </c>
      <c r="M1577" s="12">
        <v>5882.161986690473</v>
      </c>
      <c r="N1577" s="12">
        <v>5882.161986690473</v>
      </c>
      <c r="O1577" s="12">
        <v>1117.6107774711891</v>
      </c>
      <c r="P1577" s="13"/>
      <c r="Q1577" s="14">
        <v>2025</v>
      </c>
      <c r="R1577" s="15">
        <v>45413</v>
      </c>
      <c r="S1577" s="11" t="s">
        <v>435</v>
      </c>
      <c r="T1577" s="16">
        <v>0</v>
      </c>
      <c r="U1577" s="17"/>
      <c r="V1577" s="12">
        <v>2258.1619866904721</v>
      </c>
      <c r="W1577" s="12">
        <v>2258.1619866904721</v>
      </c>
      <c r="X1577" s="12">
        <v>0</v>
      </c>
      <c r="Y1577" s="18">
        <v>45803</v>
      </c>
      <c r="Z1577" s="13" t="s">
        <v>515</v>
      </c>
      <c r="AA1577" s="19" t="s">
        <v>361</v>
      </c>
      <c r="AB1577" s="13" t="str">
        <f>VLOOKUP(D1577,Clientes!$A$2:$K$486,11,FALSE)</f>
        <v>Empresa</v>
      </c>
      <c r="AC1577" s="13" t="s">
        <v>383</v>
      </c>
      <c r="AD1577" s="20"/>
      <c r="AE1577" s="20"/>
      <c r="AF1577" s="13" t="s">
        <v>40</v>
      </c>
      <c r="AG1577" s="15">
        <v>45413</v>
      </c>
      <c r="AH1577" s="13" t="s">
        <v>41</v>
      </c>
      <c r="AI1577" s="13" t="s">
        <v>53</v>
      </c>
      <c r="AJ1577" s="13" t="str">
        <f>VLOOKUP(E1577,Precios!Z$2:AA$941,2,FALSE)</f>
        <v>Papel Higienico SWAN 400 hojas</v>
      </c>
      <c r="AK1577" s="14">
        <f>VLOOKUP(E1577,Precios!Z$2:BB$941,3,FALSE)*F1577</f>
        <v>-3</v>
      </c>
      <c r="AL1577" s="17"/>
      <c r="AM1577" s="17"/>
      <c r="AN1577" s="17"/>
      <c r="AO1577" s="17"/>
      <c r="AP1577" s="17"/>
      <c r="AQ1577" s="17"/>
      <c r="AR1577" s="17"/>
      <c r="AS1577" s="17"/>
      <c r="AT1577" s="17"/>
      <c r="AU1577" s="17"/>
      <c r="AV1577" s="17"/>
    </row>
    <row r="1578" spans="1:48" ht="15.75" customHeight="1">
      <c r="A1578" s="21" t="s">
        <v>76</v>
      </c>
      <c r="B1578" s="23" t="s">
        <v>1692</v>
      </c>
      <c r="C1578" s="22">
        <v>45805</v>
      </c>
      <c r="D1578" s="23" t="s">
        <v>307</v>
      </c>
      <c r="E1578" s="23" t="s">
        <v>82</v>
      </c>
      <c r="F1578" s="21">
        <v>1</v>
      </c>
      <c r="G1578" s="12">
        <v>2000.0000000000002</v>
      </c>
      <c r="H1578" s="12">
        <v>2000.0000000000002</v>
      </c>
      <c r="I1578" s="23" t="s">
        <v>52</v>
      </c>
      <c r="J1578" s="23" t="s">
        <v>61</v>
      </c>
      <c r="K1578" s="24" t="s">
        <v>177</v>
      </c>
      <c r="L1578" s="24">
        <v>144</v>
      </c>
      <c r="M1578" s="12">
        <v>1680.6722689075632</v>
      </c>
      <c r="N1578" s="12">
        <v>1680.6722689075632</v>
      </c>
      <c r="O1578" s="12">
        <v>319.32773109243703</v>
      </c>
      <c r="P1578" s="13"/>
      <c r="Q1578" s="14">
        <v>2025</v>
      </c>
      <c r="R1578" s="15">
        <v>45413</v>
      </c>
      <c r="S1578" s="11" t="s">
        <v>463</v>
      </c>
      <c r="T1578" s="16">
        <v>5</v>
      </c>
      <c r="U1578" s="17"/>
      <c r="V1578" s="12">
        <v>680.67226890756319</v>
      </c>
      <c r="W1578" s="12">
        <v>680.67226890756319</v>
      </c>
      <c r="X1578" s="12">
        <v>0</v>
      </c>
      <c r="Y1578" s="18">
        <v>45803</v>
      </c>
      <c r="Z1578" s="13" t="s">
        <v>515</v>
      </c>
      <c r="AA1578" s="19" t="s">
        <v>361</v>
      </c>
      <c r="AB1578" s="13" t="str">
        <f>VLOOKUP(D1578,Clientes!$A$2:$K$486,11,FALSE)</f>
        <v>Empresa</v>
      </c>
      <c r="AC1578" s="13" t="s">
        <v>383</v>
      </c>
      <c r="AD1578" s="20"/>
      <c r="AE1578" s="20"/>
      <c r="AF1578" s="13" t="s">
        <v>40</v>
      </c>
      <c r="AG1578" s="15">
        <v>45413</v>
      </c>
      <c r="AH1578" s="13" t="s">
        <v>41</v>
      </c>
      <c r="AI1578" s="13" t="s">
        <v>76</v>
      </c>
      <c r="AJ1578" s="13" t="str">
        <f>VLOOKUP(E1578,Precios!Z$2:AA$941,2,FALSE)</f>
        <v>Limpiapiso SPUM 5 Litros</v>
      </c>
      <c r="AK1578" s="14">
        <f>VLOOKUP(E1578,Precios!Z$2:BB$941,3,FALSE)*F1578</f>
        <v>-1</v>
      </c>
      <c r="AL1578" s="17"/>
      <c r="AM1578" s="17"/>
      <c r="AN1578" s="17"/>
      <c r="AO1578" s="17"/>
      <c r="AP1578" s="17"/>
      <c r="AQ1578" s="17"/>
      <c r="AR1578" s="17"/>
      <c r="AS1578" s="17"/>
      <c r="AT1578" s="17"/>
      <c r="AU1578" s="17"/>
      <c r="AV1578" s="17"/>
    </row>
    <row r="1579" spans="1:48" ht="15.75" customHeight="1">
      <c r="A1579" s="21" t="s">
        <v>76</v>
      </c>
      <c r="B1579" s="23" t="s">
        <v>1692</v>
      </c>
      <c r="C1579" s="22">
        <v>45805</v>
      </c>
      <c r="D1579" s="23" t="s">
        <v>307</v>
      </c>
      <c r="E1579" s="23" t="s">
        <v>166</v>
      </c>
      <c r="F1579" s="21">
        <v>1</v>
      </c>
      <c r="G1579" s="12">
        <v>3500.0000000000005</v>
      </c>
      <c r="H1579" s="12">
        <v>3500.0000000000005</v>
      </c>
      <c r="I1579" s="23" t="s">
        <v>52</v>
      </c>
      <c r="J1579" s="23" t="s">
        <v>61</v>
      </c>
      <c r="K1579" s="24" t="s">
        <v>177</v>
      </c>
      <c r="L1579" s="24">
        <v>144</v>
      </c>
      <c r="M1579" s="12">
        <v>2941.1764705882356</v>
      </c>
      <c r="N1579" s="12">
        <v>2941.1764705882356</v>
      </c>
      <c r="O1579" s="12">
        <v>558.82352941176487</v>
      </c>
      <c r="P1579" s="13"/>
      <c r="Q1579" s="14">
        <v>2025</v>
      </c>
      <c r="R1579" s="15">
        <v>45413</v>
      </c>
      <c r="S1579" s="11" t="s">
        <v>448</v>
      </c>
      <c r="T1579" s="16">
        <v>5</v>
      </c>
      <c r="U1579" s="17"/>
      <c r="V1579" s="12">
        <v>1016.8067226890757</v>
      </c>
      <c r="W1579" s="12">
        <v>1016.8067226890757</v>
      </c>
      <c r="X1579" s="12">
        <v>0</v>
      </c>
      <c r="Y1579" s="18">
        <v>45803</v>
      </c>
      <c r="Z1579" s="13" t="s">
        <v>515</v>
      </c>
      <c r="AA1579" s="19" t="s">
        <v>361</v>
      </c>
      <c r="AB1579" s="13" t="str">
        <f>VLOOKUP(D1579,Clientes!$A$2:$K$486,11,FALSE)</f>
        <v>Empresa</v>
      </c>
      <c r="AC1579" s="13" t="s">
        <v>383</v>
      </c>
      <c r="AD1579" s="20"/>
      <c r="AE1579" s="20"/>
      <c r="AF1579" s="13" t="s">
        <v>40</v>
      </c>
      <c r="AG1579" s="15">
        <v>45413</v>
      </c>
      <c r="AH1579" s="13" t="s">
        <v>41</v>
      </c>
      <c r="AI1579" s="13" t="s">
        <v>76</v>
      </c>
      <c r="AJ1579" s="13" t="str">
        <f>VLOOKUP(E1579,Precios!Z$2:AA$941,2,FALSE)</f>
        <v>Cloro GEL SPUM 5 Litros</v>
      </c>
      <c r="AK1579" s="14">
        <f>VLOOKUP(E1579,Precios!Z$2:BB$941,3,FALSE)*F1579</f>
        <v>-1</v>
      </c>
      <c r="AL1579" s="17"/>
      <c r="AM1579" s="17"/>
      <c r="AN1579" s="17"/>
      <c r="AO1579" s="17"/>
      <c r="AP1579" s="17"/>
      <c r="AQ1579" s="17"/>
      <c r="AR1579" s="17"/>
      <c r="AS1579" s="17"/>
      <c r="AT1579" s="17"/>
      <c r="AU1579" s="17"/>
      <c r="AV1579" s="17"/>
    </row>
    <row r="1580" spans="1:48" ht="15.75" customHeight="1">
      <c r="A1580" s="21" t="s">
        <v>47</v>
      </c>
      <c r="B1580" s="23" t="s">
        <v>1692</v>
      </c>
      <c r="C1580" s="22">
        <v>45805</v>
      </c>
      <c r="D1580" s="23" t="s">
        <v>307</v>
      </c>
      <c r="E1580" s="23" t="s">
        <v>155</v>
      </c>
      <c r="F1580" s="21">
        <v>1</v>
      </c>
      <c r="G1580" s="12">
        <v>3400</v>
      </c>
      <c r="H1580" s="12">
        <v>3400</v>
      </c>
      <c r="I1580" s="23" t="s">
        <v>52</v>
      </c>
      <c r="J1580" s="23" t="s">
        <v>61</v>
      </c>
      <c r="K1580" s="24" t="s">
        <v>177</v>
      </c>
      <c r="L1580" s="24">
        <v>144</v>
      </c>
      <c r="M1580" s="12">
        <v>2857.1428571428573</v>
      </c>
      <c r="N1580" s="12">
        <v>2857.1428571428573</v>
      </c>
      <c r="O1580" s="12">
        <v>542.85714285714266</v>
      </c>
      <c r="P1580" s="13"/>
      <c r="Q1580" s="14">
        <v>2025</v>
      </c>
      <c r="R1580" s="15">
        <v>45413</v>
      </c>
      <c r="S1580" s="11" t="s">
        <v>453</v>
      </c>
      <c r="T1580" s="16">
        <v>0</v>
      </c>
      <c r="U1580" s="17"/>
      <c r="V1580" s="12">
        <v>1255.1428571428573</v>
      </c>
      <c r="W1580" s="12">
        <v>1255.1428571428573</v>
      </c>
      <c r="X1580" s="12">
        <v>0</v>
      </c>
      <c r="Y1580" s="18">
        <v>45803</v>
      </c>
      <c r="Z1580" s="13" t="s">
        <v>515</v>
      </c>
      <c r="AA1580" s="19" t="s">
        <v>361</v>
      </c>
      <c r="AB1580" s="13" t="str">
        <f>VLOOKUP(D1580,Clientes!$A$2:$K$486,11,FALSE)</f>
        <v>Empresa</v>
      </c>
      <c r="AC1580" s="13" t="s">
        <v>383</v>
      </c>
      <c r="AD1580" s="20"/>
      <c r="AE1580" s="20"/>
      <c r="AF1580" s="13" t="s">
        <v>40</v>
      </c>
      <c r="AG1580" s="15">
        <v>45413</v>
      </c>
      <c r="AH1580" s="13" t="s">
        <v>41</v>
      </c>
      <c r="AI1580" s="13" t="s">
        <v>47</v>
      </c>
      <c r="AJ1580" s="13" t="str">
        <f>VLOOKUP(E1580,Precios!Z$2:AA$941,2,FALSE)</f>
        <v xml:space="preserve">Bolsas Basura TEDDY 50x70 </v>
      </c>
      <c r="AK1580" s="14">
        <f>VLOOKUP(E1580,Precios!Z$2:BB$941,3,FALSE)*F1580</f>
        <v>-6</v>
      </c>
      <c r="AL1580" s="17"/>
      <c r="AM1580" s="17"/>
      <c r="AN1580" s="17"/>
      <c r="AO1580" s="17"/>
      <c r="AP1580" s="17"/>
      <c r="AQ1580" s="17"/>
      <c r="AR1580" s="17"/>
      <c r="AS1580" s="17"/>
      <c r="AT1580" s="17"/>
      <c r="AU1580" s="17"/>
      <c r="AV1580" s="17"/>
    </row>
    <row r="1581" spans="1:48" ht="15.75" customHeight="1">
      <c r="A1581" s="21" t="s">
        <v>47</v>
      </c>
      <c r="B1581" s="23" t="s">
        <v>1692</v>
      </c>
      <c r="C1581" s="22">
        <v>45805</v>
      </c>
      <c r="D1581" s="23" t="s">
        <v>307</v>
      </c>
      <c r="E1581" s="23" t="s">
        <v>107</v>
      </c>
      <c r="F1581" s="21">
        <v>1</v>
      </c>
      <c r="G1581" s="12">
        <v>3000.0000000000005</v>
      </c>
      <c r="H1581" s="12">
        <v>3000.0000000000005</v>
      </c>
      <c r="I1581" s="23" t="s">
        <v>52</v>
      </c>
      <c r="J1581" s="23" t="s">
        <v>61</v>
      </c>
      <c r="K1581" s="24" t="s">
        <v>177</v>
      </c>
      <c r="L1581" s="24">
        <v>144</v>
      </c>
      <c r="M1581" s="12">
        <v>2521.0084033613452</v>
      </c>
      <c r="N1581" s="12">
        <v>2521.0084033613452</v>
      </c>
      <c r="O1581" s="12">
        <v>478.99159663865521</v>
      </c>
      <c r="P1581" s="13"/>
      <c r="Q1581" s="14">
        <v>2025</v>
      </c>
      <c r="R1581" s="15">
        <v>45413</v>
      </c>
      <c r="S1581" s="11" t="s">
        <v>453</v>
      </c>
      <c r="T1581" s="16">
        <v>0</v>
      </c>
      <c r="U1581" s="17"/>
      <c r="V1581" s="12">
        <v>758.82352941176487</v>
      </c>
      <c r="W1581" s="12">
        <v>758.82352941176487</v>
      </c>
      <c r="X1581" s="12">
        <v>0</v>
      </c>
      <c r="Y1581" s="18">
        <v>45803</v>
      </c>
      <c r="Z1581" s="13" t="s">
        <v>515</v>
      </c>
      <c r="AA1581" s="19" t="s">
        <v>361</v>
      </c>
      <c r="AB1581" s="13" t="str">
        <f>VLOOKUP(D1581,Clientes!$A$2:$K$486,11,FALSE)</f>
        <v>Empresa</v>
      </c>
      <c r="AC1581" s="13" t="s">
        <v>383</v>
      </c>
      <c r="AD1581" s="20"/>
      <c r="AE1581" s="20"/>
      <c r="AF1581" s="13" t="s">
        <v>40</v>
      </c>
      <c r="AG1581" s="15">
        <v>45413</v>
      </c>
      <c r="AH1581" s="13" t="s">
        <v>41</v>
      </c>
      <c r="AI1581" s="13" t="s">
        <v>47</v>
      </c>
      <c r="AJ1581" s="13" t="str">
        <f>VLOOKUP(E1581,Precios!Z$2:AA$941,2,FALSE)</f>
        <v xml:space="preserve">Bolsas Basura TEDDY 90x120 </v>
      </c>
      <c r="AK1581" s="14">
        <f>VLOOKUP(E1581,Precios!Z$2:BB$941,3,FALSE)*F1581</f>
        <v>-1</v>
      </c>
      <c r="AL1581" s="17"/>
      <c r="AM1581" s="17"/>
      <c r="AN1581" s="17"/>
      <c r="AO1581" s="17"/>
      <c r="AP1581" s="17"/>
      <c r="AQ1581" s="17"/>
      <c r="AR1581" s="17"/>
      <c r="AS1581" s="17"/>
      <c r="AT1581" s="17"/>
      <c r="AU1581" s="17"/>
      <c r="AV1581" s="17"/>
    </row>
    <row r="1582" spans="1:48" ht="15.75" customHeight="1">
      <c r="A1582" s="21" t="s">
        <v>47</v>
      </c>
      <c r="B1582" s="23" t="s">
        <v>1692</v>
      </c>
      <c r="C1582" s="22">
        <v>45805</v>
      </c>
      <c r="D1582" s="23" t="s">
        <v>307</v>
      </c>
      <c r="E1582" s="23" t="s">
        <v>204</v>
      </c>
      <c r="F1582" s="21">
        <v>1</v>
      </c>
      <c r="G1582" s="12">
        <v>1199.9357739242132</v>
      </c>
      <c r="H1582" s="12">
        <v>1199.9357739242132</v>
      </c>
      <c r="I1582" s="23" t="s">
        <v>52</v>
      </c>
      <c r="J1582" s="23" t="s">
        <v>61</v>
      </c>
      <c r="K1582" s="24" t="s">
        <v>177</v>
      </c>
      <c r="L1582" s="24">
        <v>144</v>
      </c>
      <c r="M1582" s="12">
        <v>1008.3493898522801</v>
      </c>
      <c r="N1582" s="12">
        <v>1008.3493898522801</v>
      </c>
      <c r="O1582" s="12">
        <v>191.58638407193314</v>
      </c>
      <c r="P1582" s="13"/>
      <c r="Q1582" s="14">
        <v>2025</v>
      </c>
      <c r="R1582" s="15">
        <v>45413</v>
      </c>
      <c r="S1582" s="11" t="s">
        <v>400</v>
      </c>
      <c r="T1582" s="16">
        <v>0</v>
      </c>
      <c r="U1582" s="17"/>
      <c r="V1582" s="12">
        <v>537.34938985228007</v>
      </c>
      <c r="W1582" s="12">
        <v>537.34938985228007</v>
      </c>
      <c r="X1582" s="12">
        <v>0</v>
      </c>
      <c r="Y1582" s="18">
        <v>45803</v>
      </c>
      <c r="Z1582" s="13" t="s">
        <v>515</v>
      </c>
      <c r="AA1582" s="19" t="s">
        <v>361</v>
      </c>
      <c r="AB1582" s="13" t="str">
        <f>VLOOKUP(D1582,Clientes!$A$2:$K$486,11,FALSE)</f>
        <v>Empresa</v>
      </c>
      <c r="AC1582" s="13" t="s">
        <v>383</v>
      </c>
      <c r="AD1582" s="20"/>
      <c r="AE1582" s="20"/>
      <c r="AF1582" s="13" t="s">
        <v>40</v>
      </c>
      <c r="AG1582" s="15">
        <v>45413</v>
      </c>
      <c r="AH1582" s="13" t="s">
        <v>41</v>
      </c>
      <c r="AI1582" s="13" t="s">
        <v>47</v>
      </c>
      <c r="AJ1582" s="13" t="str">
        <f>VLOOKUP(E1582,Precios!Z$2:AA$941,2,FALSE)</f>
        <v>Trapero Algodón TEDDY</v>
      </c>
      <c r="AK1582" s="14">
        <f>VLOOKUP(E1582,Precios!Z$2:BB$941,3,FALSE)*F1582</f>
        <v>-1</v>
      </c>
      <c r="AL1582" s="17"/>
      <c r="AM1582" s="17"/>
      <c r="AN1582" s="17"/>
      <c r="AO1582" s="17"/>
      <c r="AP1582" s="17"/>
      <c r="AQ1582" s="17"/>
      <c r="AR1582" s="17"/>
      <c r="AS1582" s="17"/>
      <c r="AT1582" s="17"/>
      <c r="AU1582" s="17"/>
      <c r="AV1582" s="17"/>
    </row>
    <row r="1583" spans="1:48" ht="15.75" customHeight="1">
      <c r="A1583" s="21" t="s">
        <v>47</v>
      </c>
      <c r="B1583" s="23" t="s">
        <v>1692</v>
      </c>
      <c r="C1583" s="22">
        <v>45805</v>
      </c>
      <c r="D1583" s="23" t="s">
        <v>307</v>
      </c>
      <c r="E1583" s="23" t="s">
        <v>587</v>
      </c>
      <c r="F1583" s="21">
        <v>1</v>
      </c>
      <c r="G1583" s="12">
        <v>3499.8985330782161</v>
      </c>
      <c r="H1583" s="12">
        <v>3499.8985330782161</v>
      </c>
      <c r="I1583" s="23" t="s">
        <v>52</v>
      </c>
      <c r="J1583" s="23" t="s">
        <v>61</v>
      </c>
      <c r="K1583" s="24" t="s">
        <v>177</v>
      </c>
      <c r="L1583" s="24">
        <v>144</v>
      </c>
      <c r="M1583" s="12">
        <v>2941.0912042674086</v>
      </c>
      <c r="N1583" s="12">
        <v>2941.0912042674086</v>
      </c>
      <c r="O1583" s="12">
        <v>558.80732881080758</v>
      </c>
      <c r="P1583" s="13"/>
      <c r="Q1583" s="14">
        <v>2025</v>
      </c>
      <c r="R1583" s="15">
        <v>45413</v>
      </c>
      <c r="S1583" s="11" t="s">
        <v>408</v>
      </c>
      <c r="T1583" s="16">
        <v>0</v>
      </c>
      <c r="U1583" s="17"/>
      <c r="V1583" s="12">
        <v>912.09120426740856</v>
      </c>
      <c r="W1583" s="12">
        <v>912.09120426740856</v>
      </c>
      <c r="X1583" s="12">
        <v>0</v>
      </c>
      <c r="Y1583" s="18">
        <v>45803</v>
      </c>
      <c r="Z1583" s="13" t="s">
        <v>515</v>
      </c>
      <c r="AA1583" s="19" t="s">
        <v>361</v>
      </c>
      <c r="AB1583" s="13" t="str">
        <f>VLOOKUP(D1583,Clientes!$A$2:$K$486,11,FALSE)</f>
        <v>Empresa</v>
      </c>
      <c r="AC1583" s="13" t="s">
        <v>383</v>
      </c>
      <c r="AD1583" s="20"/>
      <c r="AE1583" s="20"/>
      <c r="AF1583" s="13" t="s">
        <v>40</v>
      </c>
      <c r="AG1583" s="15">
        <v>45413</v>
      </c>
      <c r="AH1583" s="13" t="s">
        <v>41</v>
      </c>
      <c r="AI1583" s="13" t="s">
        <v>47</v>
      </c>
      <c r="AJ1583" s="13" t="str">
        <f>VLOOKUP(E1583,Precios!Z$2:AA$941,2,FALSE)</f>
        <v>Toalla Papel SWAN D/H AZUL 100 metros</v>
      </c>
      <c r="AK1583" s="14">
        <f>VLOOKUP(E1583,Precios!Z$2:BB$941,3,FALSE)*F1583</f>
        <v>-1</v>
      </c>
      <c r="AL1583" s="17"/>
      <c r="AM1583" s="17"/>
      <c r="AN1583" s="17"/>
      <c r="AO1583" s="17"/>
      <c r="AP1583" s="17"/>
      <c r="AQ1583" s="17"/>
      <c r="AR1583" s="17"/>
      <c r="AS1583" s="17"/>
      <c r="AT1583" s="17"/>
      <c r="AU1583" s="17"/>
      <c r="AV1583" s="17"/>
    </row>
    <row r="1584" spans="1:48" ht="15.75" customHeight="1">
      <c r="A1584" s="21" t="s">
        <v>47</v>
      </c>
      <c r="B1584" s="23" t="s">
        <v>1692</v>
      </c>
      <c r="C1584" s="22">
        <v>45805</v>
      </c>
      <c r="D1584" s="23" t="s">
        <v>307</v>
      </c>
      <c r="E1584" s="23" t="s">
        <v>511</v>
      </c>
      <c r="F1584" s="21">
        <v>1</v>
      </c>
      <c r="G1584" s="12">
        <v>2700.0952628388322</v>
      </c>
      <c r="H1584" s="12">
        <v>2700.0952628388322</v>
      </c>
      <c r="I1584" s="23" t="s">
        <v>52</v>
      </c>
      <c r="J1584" s="23" t="s">
        <v>61</v>
      </c>
      <c r="K1584" s="24" t="s">
        <v>177</v>
      </c>
      <c r="L1584" s="24">
        <v>144</v>
      </c>
      <c r="M1584" s="12">
        <v>2268.9876158309517</v>
      </c>
      <c r="N1584" s="12">
        <v>2268.9876158309517</v>
      </c>
      <c r="O1584" s="12">
        <v>431.10764700788059</v>
      </c>
      <c r="P1584" s="13"/>
      <c r="Q1584" s="14">
        <v>2025</v>
      </c>
      <c r="R1584" s="15">
        <v>45413</v>
      </c>
      <c r="S1584" s="11" t="s">
        <v>512</v>
      </c>
      <c r="T1584" s="16">
        <v>0</v>
      </c>
      <c r="U1584" s="17"/>
      <c r="V1584" s="12">
        <v>696.98761583095165</v>
      </c>
      <c r="W1584" s="12">
        <v>696.98761583095165</v>
      </c>
      <c r="X1584" s="12">
        <v>0</v>
      </c>
      <c r="Y1584" s="18">
        <v>45803</v>
      </c>
      <c r="Z1584" s="13" t="s">
        <v>515</v>
      </c>
      <c r="AA1584" s="19" t="s">
        <v>361</v>
      </c>
      <c r="AB1584" s="13" t="str">
        <f>VLOOKUP(D1584,Clientes!$A$2:$K$486,11,FALSE)</f>
        <v>Empresa</v>
      </c>
      <c r="AC1584" s="13" t="s">
        <v>383</v>
      </c>
      <c r="AD1584" s="20"/>
      <c r="AE1584" s="20"/>
      <c r="AF1584" s="13" t="s">
        <v>40</v>
      </c>
      <c r="AG1584" s="15">
        <v>45413</v>
      </c>
      <c r="AH1584" s="13" t="s">
        <v>41</v>
      </c>
      <c r="AI1584" s="13" t="s">
        <v>47</v>
      </c>
      <c r="AJ1584" s="13" t="str">
        <f>VLOOKUP(E1584,Precios!Z$2:AA$941,2,FALSE)</f>
        <v>Desinfectante IGENIX</v>
      </c>
      <c r="AK1584" s="14">
        <f>VLOOKUP(E1584,Precios!Z$2:BB$941,3,FALSE)*F1584</f>
        <v>-1</v>
      </c>
      <c r="AL1584" s="17"/>
      <c r="AM1584" s="17"/>
      <c r="AN1584" s="17"/>
      <c r="AO1584" s="17"/>
      <c r="AP1584" s="17"/>
      <c r="AQ1584" s="17"/>
      <c r="AR1584" s="17"/>
      <c r="AS1584" s="17"/>
      <c r="AT1584" s="17"/>
      <c r="AU1584" s="17"/>
      <c r="AV1584" s="17"/>
    </row>
    <row r="1585" spans="1:48" ht="15.75" customHeight="1">
      <c r="A1585" s="21" t="s">
        <v>43</v>
      </c>
      <c r="B1585" s="23" t="s">
        <v>1692</v>
      </c>
      <c r="C1585" s="22">
        <v>45805</v>
      </c>
      <c r="D1585" s="23" t="s">
        <v>66</v>
      </c>
      <c r="E1585" s="23" t="s">
        <v>45</v>
      </c>
      <c r="F1585" s="21">
        <v>1</v>
      </c>
      <c r="G1585" s="12">
        <v>8199.8965351595689</v>
      </c>
      <c r="H1585" s="12">
        <v>8199.8965351595689</v>
      </c>
      <c r="I1585" s="23" t="s">
        <v>52</v>
      </c>
      <c r="J1585" s="23" t="s">
        <v>61</v>
      </c>
      <c r="K1585" s="24" t="s">
        <v>177</v>
      </c>
      <c r="L1585" s="24">
        <v>144</v>
      </c>
      <c r="M1585" s="12">
        <v>6890.6693572769491</v>
      </c>
      <c r="N1585" s="12">
        <v>6890.6693572769491</v>
      </c>
      <c r="O1585" s="12">
        <v>1309.2271778826198</v>
      </c>
      <c r="P1585" s="13"/>
      <c r="Q1585" s="14">
        <v>2025</v>
      </c>
      <c r="R1585" s="15">
        <v>45413</v>
      </c>
      <c r="S1585" s="11" t="s">
        <v>355</v>
      </c>
      <c r="T1585" s="16">
        <v>0</v>
      </c>
      <c r="U1585" s="17"/>
      <c r="V1585" s="12">
        <v>1296.3416261845123</v>
      </c>
      <c r="W1585" s="12">
        <v>1296.3416261845123</v>
      </c>
      <c r="X1585" s="12">
        <v>0</v>
      </c>
      <c r="Y1585" s="18">
        <v>45803</v>
      </c>
      <c r="Z1585" s="13" t="s">
        <v>515</v>
      </c>
      <c r="AA1585" s="19" t="s">
        <v>373</v>
      </c>
      <c r="AB1585" s="13" t="s">
        <v>357</v>
      </c>
      <c r="AC1585" s="13" t="s">
        <v>534</v>
      </c>
      <c r="AD1585" s="20"/>
      <c r="AE1585" s="20"/>
      <c r="AF1585" s="13" t="s">
        <v>40</v>
      </c>
      <c r="AG1585" s="15">
        <v>45413</v>
      </c>
      <c r="AH1585" s="13" t="s">
        <v>41</v>
      </c>
      <c r="AI1585" s="13" t="s">
        <v>43</v>
      </c>
      <c r="AJ1585" s="13" t="str">
        <f>VLOOKUP(E1585,Precios!Z$2:AA$941,2,FALSE)</f>
        <v>Bandeja Huevos EXTRA</v>
      </c>
      <c r="AK1585" s="14">
        <f>VLOOKUP(E1585,Precios!Z$2:BB$941,3,FALSE)*F1585</f>
        <v>-1</v>
      </c>
      <c r="AL1585" s="17"/>
      <c r="AM1585" s="17"/>
      <c r="AN1585" s="17"/>
      <c r="AO1585" s="17"/>
      <c r="AP1585" s="17"/>
      <c r="AQ1585" s="17"/>
      <c r="AR1585" s="17"/>
      <c r="AS1585" s="17"/>
      <c r="AT1585" s="17"/>
      <c r="AU1585" s="17"/>
      <c r="AV1585" s="17"/>
    </row>
    <row r="1586" spans="1:48" ht="15.75" customHeight="1">
      <c r="A1586" s="21" t="s">
        <v>73</v>
      </c>
      <c r="B1586" s="23" t="s">
        <v>1692</v>
      </c>
      <c r="C1586" s="22">
        <v>45805</v>
      </c>
      <c r="D1586" s="23" t="s">
        <v>286</v>
      </c>
      <c r="E1586" s="23" t="s">
        <v>74</v>
      </c>
      <c r="F1586" s="21">
        <v>1</v>
      </c>
      <c r="G1586" s="12">
        <v>4199.9020019599611</v>
      </c>
      <c r="H1586" s="12">
        <v>4199.9020019599611</v>
      </c>
      <c r="I1586" s="23" t="s">
        <v>52</v>
      </c>
      <c r="J1586" s="23" t="s">
        <v>61</v>
      </c>
      <c r="K1586" s="24" t="s">
        <v>177</v>
      </c>
      <c r="L1586" s="24">
        <v>144</v>
      </c>
      <c r="M1586" s="12">
        <v>3529.3294134117323</v>
      </c>
      <c r="N1586" s="12">
        <v>3529.3294134117323</v>
      </c>
      <c r="O1586" s="12">
        <v>670.57258854822885</v>
      </c>
      <c r="P1586" s="13"/>
      <c r="Q1586" s="14">
        <v>2025</v>
      </c>
      <c r="R1586" s="15">
        <v>45413</v>
      </c>
      <c r="S1586" s="11" t="s">
        <v>424</v>
      </c>
      <c r="T1586" s="16">
        <v>0</v>
      </c>
      <c r="U1586" s="17"/>
      <c r="V1586" s="12">
        <v>1008.3294134117323</v>
      </c>
      <c r="W1586" s="12">
        <v>1008.3294134117323</v>
      </c>
      <c r="X1586" s="12">
        <v>0</v>
      </c>
      <c r="Y1586" s="18">
        <v>45803</v>
      </c>
      <c r="Z1586" s="13" t="s">
        <v>515</v>
      </c>
      <c r="AA1586" s="19" t="s">
        <v>373</v>
      </c>
      <c r="AB1586" s="13" t="s">
        <v>357</v>
      </c>
      <c r="AC1586" s="13" t="s">
        <v>616</v>
      </c>
      <c r="AD1586" s="20"/>
      <c r="AE1586" s="20"/>
      <c r="AF1586" s="13" t="s">
        <v>40</v>
      </c>
      <c r="AG1586" s="15">
        <v>45413</v>
      </c>
      <c r="AH1586" s="13" t="s">
        <v>41</v>
      </c>
      <c r="AI1586" s="13" t="s">
        <v>73</v>
      </c>
      <c r="AJ1586" s="13" t="str">
        <f>VLOOKUP(E1586,Precios!Z$2:AA$941,2,FALSE)</f>
        <v>Guante NITRILO Talla S</v>
      </c>
      <c r="AK1586" s="14">
        <f>VLOOKUP(E1586,Precios!Z$2:BB$941,3,FALSE)*F1586</f>
        <v>-1</v>
      </c>
      <c r="AL1586" s="17"/>
      <c r="AM1586" s="17"/>
      <c r="AN1586" s="17"/>
      <c r="AO1586" s="17"/>
      <c r="AP1586" s="17"/>
      <c r="AQ1586" s="17"/>
      <c r="AR1586" s="17"/>
      <c r="AS1586" s="17"/>
      <c r="AT1586" s="17"/>
      <c r="AU1586" s="17"/>
      <c r="AV1586" s="17"/>
    </row>
    <row r="1587" spans="1:48" ht="15.75" customHeight="1">
      <c r="A1587" s="21" t="s">
        <v>73</v>
      </c>
      <c r="B1587" s="23" t="s">
        <v>1692</v>
      </c>
      <c r="C1587" s="22">
        <v>45805</v>
      </c>
      <c r="D1587" s="23" t="s">
        <v>286</v>
      </c>
      <c r="E1587" s="23" t="s">
        <v>300</v>
      </c>
      <c r="F1587" s="21">
        <v>1</v>
      </c>
      <c r="G1587" s="12">
        <v>1600</v>
      </c>
      <c r="H1587" s="12">
        <v>1600</v>
      </c>
      <c r="I1587" s="23" t="s">
        <v>52</v>
      </c>
      <c r="J1587" s="23" t="s">
        <v>61</v>
      </c>
      <c r="K1587" s="24" t="s">
        <v>177</v>
      </c>
      <c r="L1587" s="24">
        <v>144</v>
      </c>
      <c r="M1587" s="12">
        <v>1344.5378151260504</v>
      </c>
      <c r="N1587" s="12">
        <v>1344.5378151260504</v>
      </c>
      <c r="O1587" s="12">
        <v>255.46218487394958</v>
      </c>
      <c r="P1587" s="13"/>
      <c r="Q1587" s="14">
        <v>2025</v>
      </c>
      <c r="R1587" s="15">
        <v>45413</v>
      </c>
      <c r="S1587" s="11" t="s">
        <v>559</v>
      </c>
      <c r="T1587" s="16">
        <v>0</v>
      </c>
      <c r="U1587" s="17"/>
      <c r="V1587" s="12">
        <v>638.65546218487395</v>
      </c>
      <c r="W1587" s="12">
        <v>638.65546218487395</v>
      </c>
      <c r="X1587" s="12">
        <v>0</v>
      </c>
      <c r="Y1587" s="18">
        <v>45803</v>
      </c>
      <c r="Z1587" s="13" t="s">
        <v>515</v>
      </c>
      <c r="AA1587" s="19" t="s">
        <v>373</v>
      </c>
      <c r="AB1587" s="13" t="s">
        <v>357</v>
      </c>
      <c r="AC1587" s="13" t="s">
        <v>616</v>
      </c>
      <c r="AD1587" s="20"/>
      <c r="AE1587" s="20"/>
      <c r="AF1587" s="13" t="s">
        <v>40</v>
      </c>
      <c r="AG1587" s="15">
        <v>45413</v>
      </c>
      <c r="AH1587" s="13" t="s">
        <v>41</v>
      </c>
      <c r="AI1587" s="13" t="s">
        <v>73</v>
      </c>
      <c r="AJ1587" s="13" t="str">
        <f>VLOOKUP(E1587,Precios!Z$2:AA$941,2,FALSE)</f>
        <v>Mascarillas Triple Pliegue</v>
      </c>
      <c r="AK1587" s="14">
        <f>VLOOKUP(E1587,Precios!Z$2:BB$941,3,FALSE)*F1587</f>
        <v>-1</v>
      </c>
      <c r="AL1587" s="17"/>
      <c r="AM1587" s="17"/>
      <c r="AN1587" s="17"/>
      <c r="AO1587" s="17"/>
      <c r="AP1587" s="17"/>
      <c r="AQ1587" s="17"/>
      <c r="AR1587" s="17"/>
      <c r="AS1587" s="17"/>
      <c r="AT1587" s="17"/>
      <c r="AU1587" s="17"/>
      <c r="AV1587" s="17"/>
    </row>
    <row r="1588" spans="1:48" ht="15.75" customHeight="1">
      <c r="A1588" s="21" t="s">
        <v>53</v>
      </c>
      <c r="B1588" s="23" t="s">
        <v>1692</v>
      </c>
      <c r="C1588" s="22">
        <v>45805</v>
      </c>
      <c r="D1588" s="23" t="s">
        <v>614</v>
      </c>
      <c r="E1588" s="23" t="s">
        <v>97</v>
      </c>
      <c r="F1588" s="21">
        <v>1</v>
      </c>
      <c r="G1588" s="12">
        <v>16500.236769693482</v>
      </c>
      <c r="H1588" s="12">
        <v>16500.236769693482</v>
      </c>
      <c r="I1588" s="23" t="s">
        <v>52</v>
      </c>
      <c r="J1588" s="23" t="s">
        <v>61</v>
      </c>
      <c r="K1588" s="24" t="s">
        <v>177</v>
      </c>
      <c r="L1588" s="24">
        <v>144</v>
      </c>
      <c r="M1588" s="12">
        <v>13865.745184616371</v>
      </c>
      <c r="N1588" s="12">
        <v>13865.745184616371</v>
      </c>
      <c r="O1588" s="12">
        <v>2634.4915850771104</v>
      </c>
      <c r="P1588" s="13"/>
      <c r="Q1588" s="14">
        <v>2025</v>
      </c>
      <c r="R1588" s="15">
        <v>45413</v>
      </c>
      <c r="S1588" s="11" t="s">
        <v>366</v>
      </c>
      <c r="T1588" s="16">
        <v>0</v>
      </c>
      <c r="U1588" s="17"/>
      <c r="V1588" s="12">
        <v>3031.7451846163694</v>
      </c>
      <c r="W1588" s="12">
        <v>3031.7451846163694</v>
      </c>
      <c r="X1588" s="12">
        <v>0</v>
      </c>
      <c r="Y1588" s="18">
        <v>45803</v>
      </c>
      <c r="Z1588" s="13" t="s">
        <v>515</v>
      </c>
      <c r="AA1588" s="19" t="s">
        <v>356</v>
      </c>
      <c r="AB1588" s="13" t="s">
        <v>357</v>
      </c>
      <c r="AC1588" s="13" t="s">
        <v>615</v>
      </c>
      <c r="AD1588" s="20"/>
      <c r="AE1588" s="20"/>
      <c r="AF1588" s="13" t="s">
        <v>40</v>
      </c>
      <c r="AG1588" s="15">
        <v>45413</v>
      </c>
      <c r="AH1588" s="13" t="s">
        <v>41</v>
      </c>
      <c r="AI1588" s="13" t="s">
        <v>53</v>
      </c>
      <c r="AJ1588" s="13" t="str">
        <f>VLOOKUP(E1588,Precios!Z$2:AA$941,2,FALSE)</f>
        <v>Papel Higienico ELITE 50 metros</v>
      </c>
      <c r="AK1588" s="14">
        <f>VLOOKUP(E1588,Precios!Z$2:BB$941,3,FALSE)*F1588</f>
        <v>-6</v>
      </c>
      <c r="AL1588" s="17"/>
      <c r="AM1588" s="17"/>
      <c r="AN1588" s="17"/>
      <c r="AO1588" s="17"/>
      <c r="AP1588" s="17"/>
      <c r="AQ1588" s="17"/>
      <c r="AR1588" s="17"/>
      <c r="AS1588" s="17"/>
      <c r="AT1588" s="17"/>
      <c r="AU1588" s="17"/>
      <c r="AV1588" s="17"/>
    </row>
    <row r="1589" spans="1:48" ht="15.75" customHeight="1">
      <c r="A1589" s="21" t="s">
        <v>76</v>
      </c>
      <c r="B1589" s="23" t="s">
        <v>1692</v>
      </c>
      <c r="C1589" s="22">
        <v>45805</v>
      </c>
      <c r="D1589" s="23" t="s">
        <v>614</v>
      </c>
      <c r="E1589" s="23" t="s">
        <v>110</v>
      </c>
      <c r="F1589" s="21">
        <v>1</v>
      </c>
      <c r="G1589" s="12">
        <v>2000.0000000000005</v>
      </c>
      <c r="H1589" s="12">
        <v>2000.0000000000005</v>
      </c>
      <c r="I1589" s="23" t="s">
        <v>52</v>
      </c>
      <c r="J1589" s="23" t="s">
        <v>61</v>
      </c>
      <c r="K1589" s="24" t="s">
        <v>177</v>
      </c>
      <c r="L1589" s="24">
        <v>144</v>
      </c>
      <c r="M1589" s="12">
        <v>1680.6722689075634</v>
      </c>
      <c r="N1589" s="12">
        <v>1680.6722689075634</v>
      </c>
      <c r="O1589" s="12">
        <v>319.32773109243703</v>
      </c>
      <c r="P1589" s="13"/>
      <c r="Q1589" s="14">
        <v>2025</v>
      </c>
      <c r="R1589" s="15">
        <v>45413</v>
      </c>
      <c r="S1589" s="11" t="s">
        <v>378</v>
      </c>
      <c r="T1589" s="16">
        <v>5</v>
      </c>
      <c r="U1589" s="17"/>
      <c r="V1589" s="12">
        <v>756.30252100840369</v>
      </c>
      <c r="W1589" s="12">
        <v>756.30252100840369</v>
      </c>
      <c r="X1589" s="12">
        <v>0</v>
      </c>
      <c r="Y1589" s="18">
        <v>45803</v>
      </c>
      <c r="Z1589" s="13" t="s">
        <v>515</v>
      </c>
      <c r="AA1589" s="19" t="s">
        <v>356</v>
      </c>
      <c r="AB1589" s="13" t="s">
        <v>357</v>
      </c>
      <c r="AC1589" s="13" t="s">
        <v>615</v>
      </c>
      <c r="AD1589" s="20"/>
      <c r="AE1589" s="20"/>
      <c r="AF1589" s="13" t="s">
        <v>40</v>
      </c>
      <c r="AG1589" s="15">
        <v>45413</v>
      </c>
      <c r="AH1589" s="13" t="s">
        <v>41</v>
      </c>
      <c r="AI1589" s="13" t="s">
        <v>76</v>
      </c>
      <c r="AJ1589" s="13" t="str">
        <f>VLOOKUP(E1589,Precios!Z$2:AA$941,2,FALSE)</f>
        <v>Cloro SPUM 5 Litros</v>
      </c>
      <c r="AK1589" s="14">
        <f>VLOOKUP(E1589,Precios!Z$2:BB$941,3,FALSE)*F1589</f>
        <v>-1</v>
      </c>
      <c r="AL1589" s="17"/>
      <c r="AM1589" s="17"/>
      <c r="AN1589" s="17"/>
      <c r="AO1589" s="17"/>
      <c r="AP1589" s="17"/>
      <c r="AQ1589" s="17"/>
      <c r="AR1589" s="17"/>
      <c r="AS1589" s="17"/>
      <c r="AT1589" s="17"/>
      <c r="AU1589" s="17"/>
      <c r="AV1589" s="17"/>
    </row>
    <row r="1590" spans="1:48" ht="15.75" customHeight="1">
      <c r="A1590" s="21" t="s">
        <v>47</v>
      </c>
      <c r="B1590" s="23" t="s">
        <v>1692</v>
      </c>
      <c r="C1590" s="22">
        <v>45805</v>
      </c>
      <c r="D1590" s="23" t="s">
        <v>614</v>
      </c>
      <c r="E1590" s="23" t="s">
        <v>304</v>
      </c>
      <c r="F1590" s="21">
        <v>1</v>
      </c>
      <c r="G1590" s="12">
        <v>3200.2079002079004</v>
      </c>
      <c r="H1590" s="12">
        <v>3200.2079002079004</v>
      </c>
      <c r="I1590" s="23" t="s">
        <v>52</v>
      </c>
      <c r="J1590" s="23" t="s">
        <v>61</v>
      </c>
      <c r="K1590" s="24" t="s">
        <v>177</v>
      </c>
      <c r="L1590" s="24">
        <v>144</v>
      </c>
      <c r="M1590" s="12">
        <v>2689.25033630916</v>
      </c>
      <c r="N1590" s="12">
        <v>2689.25033630916</v>
      </c>
      <c r="O1590" s="12">
        <v>510.95756389874032</v>
      </c>
      <c r="P1590" s="13"/>
      <c r="Q1590" s="14">
        <v>2025</v>
      </c>
      <c r="R1590" s="15">
        <v>45413</v>
      </c>
      <c r="S1590" s="11" t="s">
        <v>422</v>
      </c>
      <c r="T1590" s="16">
        <v>0</v>
      </c>
      <c r="U1590" s="17"/>
      <c r="V1590" s="12">
        <v>490.25033630916005</v>
      </c>
      <c r="W1590" s="12">
        <v>490.25033630916005</v>
      </c>
      <c r="X1590" s="12">
        <v>0</v>
      </c>
      <c r="Y1590" s="18">
        <v>45803</v>
      </c>
      <c r="Z1590" s="13" t="s">
        <v>515</v>
      </c>
      <c r="AA1590" s="19" t="s">
        <v>356</v>
      </c>
      <c r="AB1590" s="13" t="s">
        <v>357</v>
      </c>
      <c r="AC1590" s="13" t="s">
        <v>615</v>
      </c>
      <c r="AD1590" s="20"/>
      <c r="AE1590" s="20"/>
      <c r="AF1590" s="13" t="s">
        <v>40</v>
      </c>
      <c r="AG1590" s="15">
        <v>45413</v>
      </c>
      <c r="AH1590" s="13" t="s">
        <v>41</v>
      </c>
      <c r="AI1590" s="13" t="s">
        <v>47</v>
      </c>
      <c r="AJ1590" s="13" t="str">
        <f>VLOOKUP(E1590,Precios!Z$2:AA$941,2,FALSE)</f>
        <v>Jabón Lìquido BALLERINA</v>
      </c>
      <c r="AK1590" s="14">
        <f>VLOOKUP(E1590,Precios!Z$2:BB$941,3,FALSE)*F1590</f>
        <v>-1</v>
      </c>
      <c r="AL1590" s="17"/>
      <c r="AM1590" s="17"/>
      <c r="AN1590" s="17"/>
      <c r="AO1590" s="17"/>
      <c r="AP1590" s="17"/>
      <c r="AQ1590" s="17"/>
      <c r="AR1590" s="17"/>
      <c r="AS1590" s="17"/>
      <c r="AT1590" s="17"/>
      <c r="AU1590" s="17"/>
      <c r="AV1590" s="17"/>
    </row>
    <row r="1591" spans="1:48" ht="15.75" customHeight="1">
      <c r="A1591" s="21" t="s">
        <v>47</v>
      </c>
      <c r="B1591" s="23" t="s">
        <v>1692</v>
      </c>
      <c r="C1591" s="22">
        <v>45805</v>
      </c>
      <c r="D1591" s="23" t="s">
        <v>614</v>
      </c>
      <c r="E1591" s="23" t="s">
        <v>155</v>
      </c>
      <c r="F1591" s="21">
        <v>1</v>
      </c>
      <c r="G1591" s="12">
        <v>3400</v>
      </c>
      <c r="H1591" s="12">
        <v>3400</v>
      </c>
      <c r="I1591" s="23" t="s">
        <v>52</v>
      </c>
      <c r="J1591" s="23" t="s">
        <v>61</v>
      </c>
      <c r="K1591" s="24" t="s">
        <v>177</v>
      </c>
      <c r="L1591" s="24">
        <v>144</v>
      </c>
      <c r="M1591" s="12">
        <v>2857.1428571428573</v>
      </c>
      <c r="N1591" s="12">
        <v>2857.1428571428573</v>
      </c>
      <c r="O1591" s="12">
        <v>542.85714285714266</v>
      </c>
      <c r="P1591" s="13"/>
      <c r="Q1591" s="14">
        <v>2025</v>
      </c>
      <c r="R1591" s="15">
        <v>45413</v>
      </c>
      <c r="S1591" s="11" t="s">
        <v>453</v>
      </c>
      <c r="T1591" s="16">
        <v>0</v>
      </c>
      <c r="U1591" s="17"/>
      <c r="V1591" s="12">
        <v>1255.1428571428573</v>
      </c>
      <c r="W1591" s="12">
        <v>1255.1428571428573</v>
      </c>
      <c r="X1591" s="12">
        <v>0</v>
      </c>
      <c r="Y1591" s="18">
        <v>45803</v>
      </c>
      <c r="Z1591" s="13" t="s">
        <v>515</v>
      </c>
      <c r="AA1591" s="19" t="s">
        <v>356</v>
      </c>
      <c r="AB1591" s="13" t="s">
        <v>357</v>
      </c>
      <c r="AC1591" s="13" t="s">
        <v>615</v>
      </c>
      <c r="AD1591" s="20"/>
      <c r="AE1591" s="20"/>
      <c r="AF1591" s="13" t="s">
        <v>40</v>
      </c>
      <c r="AG1591" s="15">
        <v>45413</v>
      </c>
      <c r="AH1591" s="13" t="s">
        <v>41</v>
      </c>
      <c r="AI1591" s="13" t="s">
        <v>47</v>
      </c>
      <c r="AJ1591" s="13" t="str">
        <f>VLOOKUP(E1591,Precios!Z$2:AA$941,2,FALSE)</f>
        <v xml:space="preserve">Bolsas Basura TEDDY 50x70 </v>
      </c>
      <c r="AK1591" s="14">
        <f>VLOOKUP(E1591,Precios!Z$2:BB$941,3,FALSE)*F1591</f>
        <v>-6</v>
      </c>
      <c r="AL1591" s="17"/>
      <c r="AM1591" s="17"/>
      <c r="AN1591" s="17"/>
      <c r="AO1591" s="17"/>
      <c r="AP1591" s="17"/>
      <c r="AQ1591" s="17"/>
      <c r="AR1591" s="17"/>
      <c r="AS1591" s="17"/>
      <c r="AT1591" s="17"/>
      <c r="AU1591" s="17"/>
      <c r="AV1591" s="17"/>
    </row>
    <row r="1592" spans="1:48" ht="15.75" customHeight="1">
      <c r="A1592" s="21" t="s">
        <v>47</v>
      </c>
      <c r="B1592" s="23" t="s">
        <v>1692</v>
      </c>
      <c r="C1592" s="22">
        <v>45805</v>
      </c>
      <c r="D1592" s="23" t="s">
        <v>614</v>
      </c>
      <c r="E1592" s="23" t="s">
        <v>72</v>
      </c>
      <c r="F1592" s="21">
        <v>1</v>
      </c>
      <c r="G1592" s="12">
        <v>2750</v>
      </c>
      <c r="H1592" s="12">
        <v>2750</v>
      </c>
      <c r="I1592" s="23" t="s">
        <v>52</v>
      </c>
      <c r="J1592" s="23" t="s">
        <v>61</v>
      </c>
      <c r="K1592" s="24" t="s">
        <v>177</v>
      </c>
      <c r="L1592" s="24">
        <v>144</v>
      </c>
      <c r="M1592" s="12">
        <v>2310.9243697478992</v>
      </c>
      <c r="N1592" s="12">
        <v>2310.9243697478992</v>
      </c>
      <c r="O1592" s="12">
        <v>439.07563025210084</v>
      </c>
      <c r="P1592" s="13"/>
      <c r="Q1592" s="14">
        <v>2025</v>
      </c>
      <c r="R1592" s="15">
        <v>45413</v>
      </c>
      <c r="S1592" s="11" t="s">
        <v>372</v>
      </c>
      <c r="T1592" s="16">
        <v>0</v>
      </c>
      <c r="U1592" s="17"/>
      <c r="V1592" s="12">
        <v>663.86554621848722</v>
      </c>
      <c r="W1592" s="12">
        <v>663.86554621848722</v>
      </c>
      <c r="X1592" s="12">
        <v>0</v>
      </c>
      <c r="Y1592" s="18">
        <v>45803</v>
      </c>
      <c r="Z1592" s="13" t="s">
        <v>515</v>
      </c>
      <c r="AA1592" s="19" t="s">
        <v>356</v>
      </c>
      <c r="AB1592" s="13" t="s">
        <v>357</v>
      </c>
      <c r="AC1592" s="13" t="s">
        <v>615</v>
      </c>
      <c r="AD1592" s="20"/>
      <c r="AE1592" s="20"/>
      <c r="AF1592" s="13" t="s">
        <v>40</v>
      </c>
      <c r="AG1592" s="15">
        <v>45413</v>
      </c>
      <c r="AH1592" s="13" t="s">
        <v>41</v>
      </c>
      <c r="AI1592" s="13" t="s">
        <v>47</v>
      </c>
      <c r="AJ1592" s="13" t="str">
        <f>VLOOKUP(E1592,Precios!Z$2:AA$941,2,FALSE)</f>
        <v>Traperos Humedos VIRGINIA</v>
      </c>
      <c r="AK1592" s="14">
        <f>VLOOKUP(E1592,Precios!Z$2:BB$941,3,FALSE)*F1592</f>
        <v>-1</v>
      </c>
      <c r="AL1592" s="17"/>
      <c r="AM1592" s="17"/>
      <c r="AN1592" s="17"/>
      <c r="AO1592" s="17"/>
      <c r="AP1592" s="17"/>
      <c r="AQ1592" s="17"/>
      <c r="AR1592" s="17"/>
      <c r="AS1592" s="17"/>
      <c r="AT1592" s="17"/>
      <c r="AU1592" s="17"/>
      <c r="AV1592" s="17"/>
    </row>
    <row r="1593" spans="1:48" ht="15.75" customHeight="1">
      <c r="A1593" s="21" t="s">
        <v>47</v>
      </c>
      <c r="B1593" s="23" t="s">
        <v>1692</v>
      </c>
      <c r="C1593" s="22">
        <v>45805</v>
      </c>
      <c r="D1593" s="23" t="s">
        <v>614</v>
      </c>
      <c r="E1593" s="23" t="s">
        <v>143</v>
      </c>
      <c r="F1593" s="21">
        <v>1</v>
      </c>
      <c r="G1593" s="12">
        <v>2999.9379074821477</v>
      </c>
      <c r="H1593" s="12">
        <v>2999.9379074821477</v>
      </c>
      <c r="I1593" s="23" t="s">
        <v>52</v>
      </c>
      <c r="J1593" s="23" t="s">
        <v>61</v>
      </c>
      <c r="K1593" s="24" t="s">
        <v>177</v>
      </c>
      <c r="L1593" s="24">
        <v>144</v>
      </c>
      <c r="M1593" s="12">
        <v>2520.9562247749141</v>
      </c>
      <c r="N1593" s="12">
        <v>2520.9562247749141</v>
      </c>
      <c r="O1593" s="12">
        <v>478.98168270723363</v>
      </c>
      <c r="P1593" s="13"/>
      <c r="Q1593" s="14">
        <v>2025</v>
      </c>
      <c r="R1593" s="15">
        <v>45413</v>
      </c>
      <c r="S1593" s="11" t="s">
        <v>414</v>
      </c>
      <c r="T1593" s="16">
        <v>0</v>
      </c>
      <c r="U1593" s="17"/>
      <c r="V1593" s="12">
        <v>1708.9562247749141</v>
      </c>
      <c r="W1593" s="12">
        <v>1708.9562247749141</v>
      </c>
      <c r="X1593" s="12">
        <v>0</v>
      </c>
      <c r="Y1593" s="18">
        <v>45803</v>
      </c>
      <c r="Z1593" s="13" t="s">
        <v>515</v>
      </c>
      <c r="AA1593" s="19" t="s">
        <v>356</v>
      </c>
      <c r="AB1593" s="13" t="s">
        <v>357</v>
      </c>
      <c r="AC1593" s="13" t="s">
        <v>615</v>
      </c>
      <c r="AD1593" s="20"/>
      <c r="AE1593" s="20"/>
      <c r="AF1593" s="13" t="s">
        <v>40</v>
      </c>
      <c r="AG1593" s="15">
        <v>45413</v>
      </c>
      <c r="AH1593" s="13" t="s">
        <v>41</v>
      </c>
      <c r="AI1593" s="13" t="s">
        <v>47</v>
      </c>
      <c r="AJ1593" s="13" t="str">
        <f>VLOOKUP(E1593,Precios!Z$2:AA$941,2,FALSE)</f>
        <v>Toalla desinfectante TEDDY 80 unidades</v>
      </c>
      <c r="AK1593" s="14">
        <f>VLOOKUP(E1593,Precios!Z$2:BB$941,3,FALSE)*F1593</f>
        <v>-1</v>
      </c>
      <c r="AL1593" s="17"/>
      <c r="AM1593" s="17"/>
      <c r="AN1593" s="17"/>
      <c r="AO1593" s="17"/>
      <c r="AP1593" s="17"/>
      <c r="AQ1593" s="17"/>
      <c r="AR1593" s="17"/>
      <c r="AS1593" s="17"/>
      <c r="AT1593" s="17"/>
      <c r="AU1593" s="17"/>
      <c r="AV1593" s="17"/>
    </row>
    <row r="1594" spans="1:48" ht="15.75" customHeight="1">
      <c r="A1594" s="21" t="s">
        <v>47</v>
      </c>
      <c r="B1594" s="23" t="s">
        <v>1692</v>
      </c>
      <c r="C1594" s="22">
        <v>45805</v>
      </c>
      <c r="D1594" s="23" t="s">
        <v>614</v>
      </c>
      <c r="E1594" s="23" t="s">
        <v>48</v>
      </c>
      <c r="F1594" s="21">
        <v>1</v>
      </c>
      <c r="G1594" s="12">
        <v>1000</v>
      </c>
      <c r="H1594" s="12">
        <v>1000</v>
      </c>
      <c r="I1594" s="23" t="s">
        <v>52</v>
      </c>
      <c r="J1594" s="23" t="s">
        <v>61</v>
      </c>
      <c r="K1594" s="24" t="s">
        <v>177</v>
      </c>
      <c r="L1594" s="24">
        <v>144</v>
      </c>
      <c r="M1594" s="12">
        <v>840.3361344537816</v>
      </c>
      <c r="N1594" s="12">
        <v>840.3361344537816</v>
      </c>
      <c r="O1594" s="12">
        <v>159.6638655462184</v>
      </c>
      <c r="P1594" s="13"/>
      <c r="Q1594" s="14">
        <v>2025</v>
      </c>
      <c r="R1594" s="15">
        <v>45413</v>
      </c>
      <c r="S1594" s="11" t="s">
        <v>416</v>
      </c>
      <c r="T1594" s="16">
        <v>0</v>
      </c>
      <c r="U1594" s="17"/>
      <c r="V1594" s="12">
        <v>330.33613445378148</v>
      </c>
      <c r="W1594" s="12">
        <v>330.33613445378148</v>
      </c>
      <c r="X1594" s="12">
        <v>0</v>
      </c>
      <c r="Y1594" s="18">
        <v>45803</v>
      </c>
      <c r="Z1594" s="13" t="s">
        <v>515</v>
      </c>
      <c r="AA1594" s="19" t="s">
        <v>356</v>
      </c>
      <c r="AB1594" s="13" t="s">
        <v>357</v>
      </c>
      <c r="AC1594" s="13" t="s">
        <v>615</v>
      </c>
      <c r="AD1594" s="20"/>
      <c r="AE1594" s="20"/>
      <c r="AF1594" s="13" t="s">
        <v>40</v>
      </c>
      <c r="AG1594" s="15">
        <v>45413</v>
      </c>
      <c r="AH1594" s="13" t="s">
        <v>41</v>
      </c>
      <c r="AI1594" s="13" t="s">
        <v>47</v>
      </c>
      <c r="AJ1594" s="13" t="str">
        <f>VLOOKUP(E1594,Precios!Z$2:AA$941,2,FALSE)</f>
        <v>Esponja Acanalada TEDDY</v>
      </c>
      <c r="AK1594" s="14">
        <f>VLOOKUP(E1594,Precios!Z$2:BB$941,3,FALSE)*F1594</f>
        <v>-5</v>
      </c>
      <c r="AL1594" s="17"/>
      <c r="AM1594" s="17"/>
      <c r="AN1594" s="17"/>
      <c r="AO1594" s="17"/>
      <c r="AP1594" s="17"/>
      <c r="AQ1594" s="17"/>
      <c r="AR1594" s="17"/>
      <c r="AS1594" s="17"/>
      <c r="AT1594" s="17"/>
      <c r="AU1594" s="17"/>
      <c r="AV1594" s="17"/>
    </row>
    <row r="1595" spans="1:48" ht="15.75" customHeight="1">
      <c r="A1595" s="21" t="s">
        <v>47</v>
      </c>
      <c r="B1595" s="23" t="s">
        <v>1692</v>
      </c>
      <c r="C1595" s="22">
        <v>45805</v>
      </c>
      <c r="D1595" s="23" t="s">
        <v>614</v>
      </c>
      <c r="E1595" s="23" t="s">
        <v>504</v>
      </c>
      <c r="F1595" s="21">
        <v>1</v>
      </c>
      <c r="G1595" s="12">
        <v>3000.0000000000005</v>
      </c>
      <c r="H1595" s="12">
        <v>3000.0000000000005</v>
      </c>
      <c r="I1595" s="23" t="s">
        <v>52</v>
      </c>
      <c r="J1595" s="23" t="s">
        <v>61</v>
      </c>
      <c r="K1595" s="24" t="s">
        <v>177</v>
      </c>
      <c r="L1595" s="24">
        <v>144</v>
      </c>
      <c r="M1595" s="12">
        <v>2521.0084033613452</v>
      </c>
      <c r="N1595" s="12">
        <v>2521.0084033613452</v>
      </c>
      <c r="O1595" s="12">
        <v>478.99159663865521</v>
      </c>
      <c r="P1595" s="13"/>
      <c r="Q1595" s="14">
        <v>2025</v>
      </c>
      <c r="R1595" s="15">
        <v>45413</v>
      </c>
      <c r="S1595" s="11" t="s">
        <v>105</v>
      </c>
      <c r="T1595" s="16">
        <v>0</v>
      </c>
      <c r="U1595" s="17"/>
      <c r="V1595" s="12">
        <v>776.47058823529437</v>
      </c>
      <c r="W1595" s="12">
        <v>776.47058823529437</v>
      </c>
      <c r="X1595" s="12">
        <v>0</v>
      </c>
      <c r="Y1595" s="18">
        <v>45803</v>
      </c>
      <c r="Z1595" s="13" t="s">
        <v>515</v>
      </c>
      <c r="AA1595" s="19" t="s">
        <v>356</v>
      </c>
      <c r="AB1595" s="13" t="s">
        <v>357</v>
      </c>
      <c r="AC1595" s="13" t="s">
        <v>615</v>
      </c>
      <c r="AD1595" s="20"/>
      <c r="AE1595" s="20"/>
      <c r="AF1595" s="13" t="s">
        <v>40</v>
      </c>
      <c r="AG1595" s="15">
        <v>45413</v>
      </c>
      <c r="AH1595" s="13" t="s">
        <v>41</v>
      </c>
      <c r="AI1595" s="13" t="s">
        <v>47</v>
      </c>
      <c r="AJ1595" s="13" t="str">
        <f>VLOOKUP(E1595,Precios!Z$2:AA$941,2,FALSE)</f>
        <v>Paños Esponja TEDDY</v>
      </c>
      <c r="AK1595" s="14">
        <f>VLOOKUP(E1595,Precios!Z$2:BB$941,3,FALSE)*F1595</f>
        <v>-3</v>
      </c>
      <c r="AL1595" s="17"/>
      <c r="AM1595" s="17"/>
      <c r="AN1595" s="17"/>
      <c r="AO1595" s="17"/>
      <c r="AP1595" s="17"/>
      <c r="AQ1595" s="17"/>
      <c r="AR1595" s="17"/>
      <c r="AS1595" s="17"/>
      <c r="AT1595" s="17"/>
      <c r="AU1595" s="17"/>
      <c r="AV1595" s="17"/>
    </row>
    <row r="1596" spans="1:48" ht="15.75" customHeight="1">
      <c r="A1596" s="21" t="s">
        <v>47</v>
      </c>
      <c r="B1596" s="23" t="s">
        <v>1692</v>
      </c>
      <c r="C1596" s="22">
        <v>45805</v>
      </c>
      <c r="D1596" s="23" t="s">
        <v>614</v>
      </c>
      <c r="E1596" s="23" t="s">
        <v>153</v>
      </c>
      <c r="F1596" s="21">
        <v>1</v>
      </c>
      <c r="G1596" s="12">
        <v>1700</v>
      </c>
      <c r="H1596" s="12">
        <v>1700</v>
      </c>
      <c r="I1596" s="23" t="s">
        <v>52</v>
      </c>
      <c r="J1596" s="23" t="s">
        <v>61</v>
      </c>
      <c r="K1596" s="24" t="s">
        <v>177</v>
      </c>
      <c r="L1596" s="24">
        <v>144</v>
      </c>
      <c r="M1596" s="12">
        <v>1428.5714285714287</v>
      </c>
      <c r="N1596" s="12">
        <v>1428.5714285714287</v>
      </c>
      <c r="O1596" s="12">
        <v>271.42857142857133</v>
      </c>
      <c r="P1596" s="13"/>
      <c r="Q1596" s="14">
        <v>2025</v>
      </c>
      <c r="R1596" s="15">
        <v>45413</v>
      </c>
      <c r="S1596" s="11" t="s">
        <v>153</v>
      </c>
      <c r="T1596" s="16">
        <v>0</v>
      </c>
      <c r="U1596" s="17"/>
      <c r="V1596" s="12">
        <v>589.57142857142867</v>
      </c>
      <c r="W1596" s="12">
        <v>589.57142857142867</v>
      </c>
      <c r="X1596" s="12">
        <v>0</v>
      </c>
      <c r="Y1596" s="18">
        <v>45803</v>
      </c>
      <c r="Z1596" s="13" t="s">
        <v>515</v>
      </c>
      <c r="AA1596" s="19" t="s">
        <v>356</v>
      </c>
      <c r="AB1596" s="13" t="s">
        <v>357</v>
      </c>
      <c r="AC1596" s="13" t="s">
        <v>615</v>
      </c>
      <c r="AD1596" s="20"/>
      <c r="AE1596" s="20"/>
      <c r="AF1596" s="13" t="s">
        <v>40</v>
      </c>
      <c r="AG1596" s="15">
        <v>45413</v>
      </c>
      <c r="AH1596" s="13" t="s">
        <v>41</v>
      </c>
      <c r="AI1596" s="13" t="s">
        <v>47</v>
      </c>
      <c r="AJ1596" s="13" t="str">
        <f>VLOOKUP(E1596,Precios!Z$2:AA$941,2,FALSE)</f>
        <v>Escobillon TEDDY</v>
      </c>
      <c r="AK1596" s="14">
        <f>VLOOKUP(E1596,Precios!Z$2:BB$941,3,FALSE)*F1596</f>
        <v>-1</v>
      </c>
      <c r="AL1596" s="17"/>
      <c r="AM1596" s="17"/>
      <c r="AN1596" s="17"/>
      <c r="AO1596" s="17"/>
      <c r="AP1596" s="17"/>
      <c r="AQ1596" s="17"/>
      <c r="AR1596" s="17"/>
      <c r="AS1596" s="17"/>
      <c r="AT1596" s="17"/>
      <c r="AU1596" s="17"/>
      <c r="AV1596" s="17"/>
    </row>
    <row r="1597" spans="1:48" ht="15.75" customHeight="1">
      <c r="A1597" s="21" t="s">
        <v>47</v>
      </c>
      <c r="B1597" s="23" t="s">
        <v>1692</v>
      </c>
      <c r="C1597" s="22">
        <v>45805</v>
      </c>
      <c r="D1597" s="23" t="s">
        <v>236</v>
      </c>
      <c r="E1597" s="23" t="s">
        <v>171</v>
      </c>
      <c r="F1597" s="21">
        <v>1</v>
      </c>
      <c r="G1597" s="12">
        <v>1599.7931747673217</v>
      </c>
      <c r="H1597" s="12">
        <v>1599.7931747673217</v>
      </c>
      <c r="I1597" s="23" t="s">
        <v>52</v>
      </c>
      <c r="J1597" s="23" t="s">
        <v>61</v>
      </c>
      <c r="K1597" s="24" t="s">
        <v>177</v>
      </c>
      <c r="L1597" s="24">
        <v>144</v>
      </c>
      <c r="M1597" s="12">
        <v>1344.3640124095141</v>
      </c>
      <c r="N1597" s="12">
        <v>1344.3640124095141</v>
      </c>
      <c r="O1597" s="12">
        <v>255.42916235780763</v>
      </c>
      <c r="P1597" s="13"/>
      <c r="Q1597" s="14">
        <v>2025</v>
      </c>
      <c r="R1597" s="15">
        <v>45413</v>
      </c>
      <c r="S1597" s="11" t="s">
        <v>495</v>
      </c>
      <c r="T1597" s="16">
        <v>0</v>
      </c>
      <c r="U1597" s="17"/>
      <c r="V1597" s="12">
        <v>369.36401240951409</v>
      </c>
      <c r="W1597" s="12">
        <v>369.36401240951409</v>
      </c>
      <c r="X1597" s="12">
        <v>0</v>
      </c>
      <c r="Y1597" s="18">
        <v>45803</v>
      </c>
      <c r="Z1597" s="13" t="s">
        <v>515</v>
      </c>
      <c r="AA1597" s="19" t="s">
        <v>367</v>
      </c>
      <c r="AB1597" s="13" t="s">
        <v>357</v>
      </c>
      <c r="AC1597" s="13" t="s">
        <v>367</v>
      </c>
      <c r="AD1597" s="20"/>
      <c r="AE1597" s="20"/>
      <c r="AF1597" s="13" t="s">
        <v>40</v>
      </c>
      <c r="AG1597" s="15">
        <v>45413</v>
      </c>
      <c r="AH1597" s="13" t="s">
        <v>41</v>
      </c>
      <c r="AI1597" s="13" t="s">
        <v>47</v>
      </c>
      <c r="AJ1597" s="13" t="str">
        <f>VLOOKUP(E1597,Precios!Z$2:AA$941,2,FALSE)</f>
        <v>Cera Tierra Color Brillina</v>
      </c>
      <c r="AK1597" s="14">
        <f>VLOOKUP(E1597,Precios!Z$2:BB$941,3,FALSE)*F1597</f>
        <v>-1</v>
      </c>
      <c r="AL1597" s="17"/>
      <c r="AM1597" s="17"/>
      <c r="AN1597" s="17"/>
      <c r="AO1597" s="17"/>
      <c r="AP1597" s="17"/>
      <c r="AQ1597" s="17"/>
      <c r="AR1597" s="17"/>
      <c r="AS1597" s="17"/>
      <c r="AT1597" s="17"/>
      <c r="AU1597" s="17"/>
      <c r="AV1597" s="17"/>
    </row>
    <row r="1598" spans="1:48" ht="15.75" customHeight="1">
      <c r="A1598" s="21" t="s">
        <v>47</v>
      </c>
      <c r="B1598" s="23" t="s">
        <v>1692</v>
      </c>
      <c r="C1598" s="22">
        <v>45805</v>
      </c>
      <c r="D1598" s="23" t="s">
        <v>236</v>
      </c>
      <c r="E1598" s="23" t="s">
        <v>494</v>
      </c>
      <c r="F1598" s="21">
        <v>1</v>
      </c>
      <c r="G1598" s="12">
        <v>1599.7931747673217</v>
      </c>
      <c r="H1598" s="12">
        <v>1599.7931747673217</v>
      </c>
      <c r="I1598" s="23" t="s">
        <v>52</v>
      </c>
      <c r="J1598" s="23" t="s">
        <v>61</v>
      </c>
      <c r="K1598" s="24" t="s">
        <v>177</v>
      </c>
      <c r="L1598" s="24">
        <v>144</v>
      </c>
      <c r="M1598" s="12">
        <v>1344.3640124095141</v>
      </c>
      <c r="N1598" s="12">
        <v>1344.3640124095141</v>
      </c>
      <c r="O1598" s="12">
        <v>255.42916235780763</v>
      </c>
      <c r="P1598" s="13"/>
      <c r="Q1598" s="14">
        <v>2025</v>
      </c>
      <c r="R1598" s="15">
        <v>45413</v>
      </c>
      <c r="S1598" s="11" t="s">
        <v>495</v>
      </c>
      <c r="T1598" s="16">
        <v>0</v>
      </c>
      <c r="U1598" s="17"/>
      <c r="V1598" s="12">
        <v>369.36401240951409</v>
      </c>
      <c r="W1598" s="12">
        <v>369.36401240951409</v>
      </c>
      <c r="X1598" s="12">
        <v>0</v>
      </c>
      <c r="Y1598" s="18">
        <v>45803</v>
      </c>
      <c r="Z1598" s="13" t="s">
        <v>515</v>
      </c>
      <c r="AA1598" s="19" t="s">
        <v>367</v>
      </c>
      <c r="AB1598" s="13" t="s">
        <v>357</v>
      </c>
      <c r="AC1598" s="13" t="s">
        <v>367</v>
      </c>
      <c r="AD1598" s="20"/>
      <c r="AE1598" s="20"/>
      <c r="AF1598" s="13" t="s">
        <v>40</v>
      </c>
      <c r="AG1598" s="15">
        <v>45413</v>
      </c>
      <c r="AH1598" s="13" t="s">
        <v>41</v>
      </c>
      <c r="AI1598" s="13" t="s">
        <v>47</v>
      </c>
      <c r="AJ1598" s="13" t="str">
        <f>VLOOKUP(E1598,Precios!Z$2:AA$941,2,FALSE)</f>
        <v>Cera Incolora Brillina</v>
      </c>
      <c r="AK1598" s="14">
        <f>VLOOKUP(E1598,Precios!Z$2:BB$941,3,FALSE)*F1598</f>
        <v>-1</v>
      </c>
      <c r="AL1598" s="17"/>
      <c r="AM1598" s="17"/>
      <c r="AN1598" s="17"/>
      <c r="AO1598" s="17"/>
      <c r="AP1598" s="17"/>
      <c r="AQ1598" s="17"/>
      <c r="AR1598" s="17"/>
      <c r="AS1598" s="17"/>
      <c r="AT1598" s="17"/>
      <c r="AU1598" s="17"/>
      <c r="AV1598" s="17"/>
    </row>
    <row r="1599" spans="1:48" ht="15.75" customHeight="1">
      <c r="A1599" s="21" t="s">
        <v>47</v>
      </c>
      <c r="B1599" s="23" t="s">
        <v>1692</v>
      </c>
      <c r="C1599" s="22">
        <v>45805</v>
      </c>
      <c r="D1599" s="23" t="s">
        <v>236</v>
      </c>
      <c r="E1599" s="23" t="s">
        <v>49</v>
      </c>
      <c r="F1599" s="21">
        <v>1</v>
      </c>
      <c r="G1599" s="12">
        <v>4500.0000000000009</v>
      </c>
      <c r="H1599" s="12">
        <v>4500.0000000000009</v>
      </c>
      <c r="I1599" s="23" t="s">
        <v>52</v>
      </c>
      <c r="J1599" s="23" t="s">
        <v>61</v>
      </c>
      <c r="K1599" s="24" t="s">
        <v>177</v>
      </c>
      <c r="L1599" s="24">
        <v>144</v>
      </c>
      <c r="M1599" s="12">
        <v>3781.5126050420176</v>
      </c>
      <c r="N1599" s="12">
        <v>3781.5126050420176</v>
      </c>
      <c r="O1599" s="12">
        <v>718.48739495798327</v>
      </c>
      <c r="P1599" s="13"/>
      <c r="Q1599" s="14">
        <v>2025</v>
      </c>
      <c r="R1599" s="15">
        <v>45413</v>
      </c>
      <c r="S1599" s="11" t="s">
        <v>384</v>
      </c>
      <c r="T1599" s="16">
        <v>0</v>
      </c>
      <c r="U1599" s="17"/>
      <c r="V1599" s="12">
        <v>988.23529411764775</v>
      </c>
      <c r="W1599" s="12">
        <v>988.23529411764775</v>
      </c>
      <c r="X1599" s="12">
        <v>0</v>
      </c>
      <c r="Y1599" s="18">
        <v>45803</v>
      </c>
      <c r="Z1599" s="13" t="s">
        <v>515</v>
      </c>
      <c r="AA1599" s="19" t="s">
        <v>367</v>
      </c>
      <c r="AB1599" s="13" t="s">
        <v>357</v>
      </c>
      <c r="AC1599" s="13" t="s">
        <v>367</v>
      </c>
      <c r="AD1599" s="20"/>
      <c r="AE1599" s="20"/>
      <c r="AF1599" s="13" t="s">
        <v>40</v>
      </c>
      <c r="AG1599" s="15">
        <v>45413</v>
      </c>
      <c r="AH1599" s="13" t="s">
        <v>41</v>
      </c>
      <c r="AI1599" s="13" t="s">
        <v>47</v>
      </c>
      <c r="AJ1599" s="13" t="str">
        <f>VLOOKUP(E1599,Precios!Z$2:AA$941,2,FALSE)</f>
        <v>Jabón Lìquido BALLERINA</v>
      </c>
      <c r="AK1599" s="14">
        <f>VLOOKUP(E1599,Precios!Z$2:BB$941,3,FALSE)*F1599</f>
        <v>-3</v>
      </c>
      <c r="AL1599" s="17"/>
      <c r="AM1599" s="17"/>
      <c r="AN1599" s="17"/>
      <c r="AO1599" s="17"/>
      <c r="AP1599" s="17"/>
      <c r="AQ1599" s="17"/>
      <c r="AR1599" s="17"/>
      <c r="AS1599" s="17"/>
      <c r="AT1599" s="17"/>
      <c r="AU1599" s="17"/>
      <c r="AV1599" s="17"/>
    </row>
    <row r="1600" spans="1:48" ht="15.75" customHeight="1">
      <c r="A1600" s="21" t="s">
        <v>53</v>
      </c>
      <c r="B1600" s="23" t="s">
        <v>1692</v>
      </c>
      <c r="C1600" s="22">
        <v>45805</v>
      </c>
      <c r="D1600" s="23" t="s">
        <v>236</v>
      </c>
      <c r="E1600" s="23" t="s">
        <v>339</v>
      </c>
      <c r="F1600" s="21">
        <v>1</v>
      </c>
      <c r="G1600" s="12">
        <v>4000.0000000000005</v>
      </c>
      <c r="H1600" s="12">
        <v>4000.0000000000005</v>
      </c>
      <c r="I1600" s="23" t="s">
        <v>52</v>
      </c>
      <c r="J1600" s="23" t="s">
        <v>61</v>
      </c>
      <c r="K1600" s="24" t="s">
        <v>177</v>
      </c>
      <c r="L1600" s="24">
        <v>144</v>
      </c>
      <c r="M1600" s="12">
        <v>3361.3445378151264</v>
      </c>
      <c r="N1600" s="12">
        <v>3361.3445378151264</v>
      </c>
      <c r="O1600" s="12">
        <v>638.65546218487407</v>
      </c>
      <c r="P1600" s="13"/>
      <c r="Q1600" s="14">
        <v>2025</v>
      </c>
      <c r="R1600" s="15">
        <v>45413</v>
      </c>
      <c r="S1600" s="11" t="s">
        <v>369</v>
      </c>
      <c r="T1600" s="16">
        <v>0</v>
      </c>
      <c r="U1600" s="17"/>
      <c r="V1600" s="12">
        <v>953.78151260504228</v>
      </c>
      <c r="W1600" s="12">
        <v>953.78151260504228</v>
      </c>
      <c r="X1600" s="12">
        <v>0</v>
      </c>
      <c r="Y1600" s="18">
        <v>45803</v>
      </c>
      <c r="Z1600" s="13" t="s">
        <v>515</v>
      </c>
      <c r="AA1600" s="19" t="s">
        <v>367</v>
      </c>
      <c r="AB1600" s="13" t="s">
        <v>357</v>
      </c>
      <c r="AC1600" s="13" t="s">
        <v>367</v>
      </c>
      <c r="AD1600" s="20"/>
      <c r="AE1600" s="20"/>
      <c r="AF1600" s="13" t="s">
        <v>40</v>
      </c>
      <c r="AG1600" s="15">
        <v>45413</v>
      </c>
      <c r="AH1600" s="13" t="s">
        <v>41</v>
      </c>
      <c r="AI1600" s="13" t="s">
        <v>53</v>
      </c>
      <c r="AJ1600" s="13" t="str">
        <f>VLOOKUP(E1600,Precios!Z$2:AA$941,2,FALSE)</f>
        <v>Toalla Papel NOVA 12 metros</v>
      </c>
      <c r="AK1600" s="14">
        <f>VLOOKUP(E1600,Precios!Z$2:BB$941,3,FALSE)*F1600</f>
        <v>-3</v>
      </c>
      <c r="AL1600" s="17"/>
      <c r="AM1600" s="17"/>
      <c r="AN1600" s="17"/>
      <c r="AO1600" s="17"/>
      <c r="AP1600" s="17"/>
      <c r="AQ1600" s="17"/>
      <c r="AR1600" s="17"/>
      <c r="AS1600" s="17"/>
      <c r="AT1600" s="17"/>
      <c r="AU1600" s="17"/>
      <c r="AV1600" s="17"/>
    </row>
    <row r="1601" spans="1:48" ht="15.75" customHeight="1">
      <c r="A1601" s="21" t="s">
        <v>76</v>
      </c>
      <c r="B1601" s="23" t="s">
        <v>1692</v>
      </c>
      <c r="C1601" s="22">
        <v>45805</v>
      </c>
      <c r="D1601" s="23" t="s">
        <v>236</v>
      </c>
      <c r="E1601" s="23" t="s">
        <v>77</v>
      </c>
      <c r="F1601" s="21">
        <v>1</v>
      </c>
      <c r="G1601" s="12">
        <v>1700.4255319148936</v>
      </c>
      <c r="H1601" s="12">
        <v>1700.4255319148936</v>
      </c>
      <c r="I1601" s="23" t="s">
        <v>52</v>
      </c>
      <c r="J1601" s="23" t="s">
        <v>61</v>
      </c>
      <c r="K1601" s="24" t="s">
        <v>177</v>
      </c>
      <c r="L1601" s="24">
        <v>144</v>
      </c>
      <c r="M1601" s="12">
        <v>1428.929018415877</v>
      </c>
      <c r="N1601" s="12">
        <v>1428.929018415877</v>
      </c>
      <c r="O1601" s="12">
        <v>271.4965134990166</v>
      </c>
      <c r="P1601" s="13"/>
      <c r="Q1601" s="14">
        <v>2025</v>
      </c>
      <c r="R1601" s="15">
        <v>45413</v>
      </c>
      <c r="S1601" s="11" t="s">
        <v>448</v>
      </c>
      <c r="T1601" s="16">
        <v>0</v>
      </c>
      <c r="U1601" s="17"/>
      <c r="V1601" s="12">
        <v>589.43322009654923</v>
      </c>
      <c r="W1601" s="12">
        <v>589.43322009654923</v>
      </c>
      <c r="X1601" s="12">
        <v>0</v>
      </c>
      <c r="Y1601" s="18">
        <v>45803</v>
      </c>
      <c r="Z1601" s="13" t="s">
        <v>515</v>
      </c>
      <c r="AA1601" s="19" t="s">
        <v>367</v>
      </c>
      <c r="AB1601" s="13" t="s">
        <v>357</v>
      </c>
      <c r="AC1601" s="13" t="s">
        <v>367</v>
      </c>
      <c r="AD1601" s="20"/>
      <c r="AE1601" s="20"/>
      <c r="AF1601" s="13" t="s">
        <v>40</v>
      </c>
      <c r="AG1601" s="15">
        <v>45413</v>
      </c>
      <c r="AH1601" s="13" t="s">
        <v>41</v>
      </c>
      <c r="AI1601" s="13" t="s">
        <v>76</v>
      </c>
      <c r="AJ1601" s="13" t="str">
        <f>VLOOKUP(E1601,Precios!Z$2:AA$941,2,FALSE)</f>
        <v>Cloro GEL IGENIX 900ml</v>
      </c>
      <c r="AK1601" s="14">
        <f>VLOOKUP(E1601,Precios!Z$2:BB$941,3,FALSE)*F1601</f>
        <v>-1</v>
      </c>
      <c r="AL1601" s="17"/>
      <c r="AM1601" s="17"/>
      <c r="AN1601" s="17"/>
      <c r="AO1601" s="17"/>
      <c r="AP1601" s="17"/>
      <c r="AQ1601" s="17"/>
      <c r="AR1601" s="17"/>
      <c r="AS1601" s="17"/>
      <c r="AT1601" s="17"/>
      <c r="AU1601" s="17"/>
      <c r="AV1601" s="17"/>
    </row>
    <row r="1602" spans="1:48" ht="15.75" customHeight="1">
      <c r="A1602" s="21" t="s">
        <v>47</v>
      </c>
      <c r="B1602" s="23" t="s">
        <v>1692</v>
      </c>
      <c r="C1602" s="22">
        <v>45805</v>
      </c>
      <c r="D1602" s="23" t="s">
        <v>236</v>
      </c>
      <c r="E1602" s="23" t="s">
        <v>92</v>
      </c>
      <c r="F1602" s="21">
        <v>1</v>
      </c>
      <c r="G1602" s="12">
        <v>3400.2970989164628</v>
      </c>
      <c r="H1602" s="12">
        <v>3400.2970989164628</v>
      </c>
      <c r="I1602" s="23" t="s">
        <v>52</v>
      </c>
      <c r="J1602" s="23" t="s">
        <v>61</v>
      </c>
      <c r="K1602" s="24" t="s">
        <v>177</v>
      </c>
      <c r="L1602" s="24">
        <v>144</v>
      </c>
      <c r="M1602" s="12">
        <v>2857.3925200978679</v>
      </c>
      <c r="N1602" s="12">
        <v>2857.3925200978679</v>
      </c>
      <c r="O1602" s="12">
        <v>542.90457881859493</v>
      </c>
      <c r="P1602" s="13"/>
      <c r="Q1602" s="14">
        <v>2025</v>
      </c>
      <c r="R1602" s="15">
        <v>45413</v>
      </c>
      <c r="S1602" s="11" t="s">
        <v>453</v>
      </c>
      <c r="T1602" s="16">
        <v>0</v>
      </c>
      <c r="U1602" s="17"/>
      <c r="V1602" s="12">
        <v>1222.3925200978679</v>
      </c>
      <c r="W1602" s="12">
        <v>1222.3925200978679</v>
      </c>
      <c r="X1602" s="12">
        <v>0</v>
      </c>
      <c r="Y1602" s="18">
        <v>45803</v>
      </c>
      <c r="Z1602" s="13" t="s">
        <v>515</v>
      </c>
      <c r="AA1602" s="19" t="s">
        <v>367</v>
      </c>
      <c r="AB1602" s="13" t="s">
        <v>357</v>
      </c>
      <c r="AC1602" s="13" t="s">
        <v>367</v>
      </c>
      <c r="AD1602" s="20"/>
      <c r="AE1602" s="20"/>
      <c r="AF1602" s="13" t="s">
        <v>40</v>
      </c>
      <c r="AG1602" s="15">
        <v>45413</v>
      </c>
      <c r="AH1602" s="13" t="s">
        <v>41</v>
      </c>
      <c r="AI1602" s="13" t="s">
        <v>47</v>
      </c>
      <c r="AJ1602" s="13" t="str">
        <f>VLOOKUP(E1602,Precios!Z$2:AA$941,2,FALSE)</f>
        <v xml:space="preserve">Bolsas Basura TEDDY 70x90 </v>
      </c>
      <c r="AK1602" s="14">
        <f>VLOOKUP(E1602,Precios!Z$2:BB$941,3,FALSE)*F1602</f>
        <v>-3</v>
      </c>
      <c r="AL1602" s="17"/>
      <c r="AM1602" s="17"/>
      <c r="AN1602" s="17"/>
      <c r="AO1602" s="17"/>
      <c r="AP1602" s="17"/>
      <c r="AQ1602" s="17"/>
      <c r="AR1602" s="17"/>
      <c r="AS1602" s="17"/>
      <c r="AT1602" s="17"/>
      <c r="AU1602" s="17"/>
      <c r="AV1602" s="17"/>
    </row>
    <row r="1603" spans="1:48" ht="15.75" customHeight="1">
      <c r="A1603" s="21" t="s">
        <v>47</v>
      </c>
      <c r="B1603" s="23" t="s">
        <v>1692</v>
      </c>
      <c r="C1603" s="22">
        <v>45805</v>
      </c>
      <c r="D1603" s="23" t="s">
        <v>236</v>
      </c>
      <c r="E1603" s="23" t="s">
        <v>306</v>
      </c>
      <c r="F1603" s="21">
        <v>1</v>
      </c>
      <c r="G1603" s="12">
        <v>8000.0000000000009</v>
      </c>
      <c r="H1603" s="12">
        <v>8000.0000000000009</v>
      </c>
      <c r="I1603" s="23" t="s">
        <v>52</v>
      </c>
      <c r="J1603" s="23" t="s">
        <v>61</v>
      </c>
      <c r="K1603" s="24" t="s">
        <v>177</v>
      </c>
      <c r="L1603" s="24">
        <v>144</v>
      </c>
      <c r="M1603" s="12">
        <v>6722.6890756302528</v>
      </c>
      <c r="N1603" s="12">
        <v>6722.6890756302528</v>
      </c>
      <c r="O1603" s="12">
        <v>1277.3109243697481</v>
      </c>
      <c r="P1603" s="13"/>
      <c r="Q1603" s="14">
        <v>2025</v>
      </c>
      <c r="R1603" s="15">
        <v>45413</v>
      </c>
      <c r="S1603" s="11" t="s">
        <v>372</v>
      </c>
      <c r="T1603" s="16">
        <v>0</v>
      </c>
      <c r="U1603" s="17"/>
      <c r="V1603" s="12">
        <v>1781.5126050420176</v>
      </c>
      <c r="W1603" s="12">
        <v>1781.5126050420176</v>
      </c>
      <c r="X1603" s="12">
        <v>0</v>
      </c>
      <c r="Y1603" s="18">
        <v>45803</v>
      </c>
      <c r="Z1603" s="13" t="s">
        <v>515</v>
      </c>
      <c r="AA1603" s="19" t="s">
        <v>367</v>
      </c>
      <c r="AB1603" s="13" t="s">
        <v>357</v>
      </c>
      <c r="AC1603" s="13" t="s">
        <v>367</v>
      </c>
      <c r="AD1603" s="20"/>
      <c r="AE1603" s="20"/>
      <c r="AF1603" s="13" t="s">
        <v>40</v>
      </c>
      <c r="AG1603" s="15">
        <v>45413</v>
      </c>
      <c r="AH1603" s="13" t="s">
        <v>41</v>
      </c>
      <c r="AI1603" s="13" t="s">
        <v>47</v>
      </c>
      <c r="AJ1603" s="13" t="str">
        <f>VLOOKUP(E1603,Precios!Z$2:AA$941,2,FALSE)</f>
        <v>Traperos Humedos VIRGINIA</v>
      </c>
      <c r="AK1603" s="14">
        <f>VLOOKUP(E1603,Precios!Z$2:BB$941,3,FALSE)*F1603</f>
        <v>-3</v>
      </c>
      <c r="AL1603" s="17"/>
      <c r="AM1603" s="17"/>
      <c r="AN1603" s="17"/>
      <c r="AO1603" s="17"/>
      <c r="AP1603" s="17"/>
      <c r="AQ1603" s="17"/>
      <c r="AR1603" s="17"/>
      <c r="AS1603" s="17"/>
      <c r="AT1603" s="17"/>
      <c r="AU1603" s="17"/>
      <c r="AV1603" s="17"/>
    </row>
    <row r="1604" spans="1:48" ht="15.75" customHeight="1">
      <c r="A1604" s="21" t="s">
        <v>47</v>
      </c>
      <c r="B1604" s="23" t="s">
        <v>1692</v>
      </c>
      <c r="C1604" s="22">
        <v>45805</v>
      </c>
      <c r="D1604" s="23" t="s">
        <v>236</v>
      </c>
      <c r="E1604" s="23" t="s">
        <v>153</v>
      </c>
      <c r="F1604" s="21">
        <v>2</v>
      </c>
      <c r="G1604" s="12">
        <v>1700</v>
      </c>
      <c r="H1604" s="12">
        <v>3400</v>
      </c>
      <c r="I1604" s="23" t="s">
        <v>52</v>
      </c>
      <c r="J1604" s="23" t="s">
        <v>61</v>
      </c>
      <c r="K1604" s="24" t="s">
        <v>177</v>
      </c>
      <c r="L1604" s="24">
        <v>144</v>
      </c>
      <c r="M1604" s="12">
        <v>1428.5714285714287</v>
      </c>
      <c r="N1604" s="12">
        <v>2857.1428571428573</v>
      </c>
      <c r="O1604" s="12">
        <v>542.85714285714266</v>
      </c>
      <c r="P1604" s="13"/>
      <c r="Q1604" s="14">
        <v>2025</v>
      </c>
      <c r="R1604" s="15">
        <v>45413</v>
      </c>
      <c r="S1604" s="11" t="s">
        <v>153</v>
      </c>
      <c r="T1604" s="16">
        <v>0</v>
      </c>
      <c r="U1604" s="17"/>
      <c r="V1604" s="12">
        <v>1179.1428571428573</v>
      </c>
      <c r="W1604" s="12">
        <v>1179.1428571428573</v>
      </c>
      <c r="X1604" s="12">
        <v>0</v>
      </c>
      <c r="Y1604" s="18">
        <v>45803</v>
      </c>
      <c r="Z1604" s="13" t="s">
        <v>515</v>
      </c>
      <c r="AA1604" s="19" t="s">
        <v>367</v>
      </c>
      <c r="AB1604" s="13" t="s">
        <v>357</v>
      </c>
      <c r="AC1604" s="13" t="s">
        <v>367</v>
      </c>
      <c r="AD1604" s="20"/>
      <c r="AE1604" s="20"/>
      <c r="AF1604" s="13" t="s">
        <v>40</v>
      </c>
      <c r="AG1604" s="15">
        <v>45413</v>
      </c>
      <c r="AH1604" s="13" t="s">
        <v>41</v>
      </c>
      <c r="AI1604" s="13" t="s">
        <v>47</v>
      </c>
      <c r="AJ1604" s="13" t="str">
        <f>VLOOKUP(E1604,Precios!Z$2:AA$941,2,FALSE)</f>
        <v>Escobillon TEDDY</v>
      </c>
      <c r="AK1604" s="14">
        <f>VLOOKUP(E1604,Precios!Z$2:BB$941,3,FALSE)*F1604</f>
        <v>-2</v>
      </c>
      <c r="AL1604" s="17"/>
      <c r="AM1604" s="17"/>
      <c r="AN1604" s="17"/>
      <c r="AO1604" s="17"/>
      <c r="AP1604" s="17"/>
      <c r="AQ1604" s="17"/>
      <c r="AR1604" s="17"/>
      <c r="AS1604" s="17"/>
      <c r="AT1604" s="17"/>
      <c r="AU1604" s="17"/>
      <c r="AV1604" s="17"/>
    </row>
    <row r="1605" spans="1:48" ht="15.75" customHeight="1">
      <c r="A1605" s="21" t="s">
        <v>43</v>
      </c>
      <c r="B1605" s="23" t="s">
        <v>1692</v>
      </c>
      <c r="C1605" s="22">
        <v>45805</v>
      </c>
      <c r="D1605" s="23" t="s">
        <v>285</v>
      </c>
      <c r="E1605" s="23" t="s">
        <v>45</v>
      </c>
      <c r="F1605" s="21">
        <v>1</v>
      </c>
      <c r="G1605" s="12">
        <v>8199.8965351595689</v>
      </c>
      <c r="H1605" s="12">
        <v>8199.8965351595689</v>
      </c>
      <c r="I1605" s="23" t="s">
        <v>52</v>
      </c>
      <c r="J1605" s="23" t="s">
        <v>61</v>
      </c>
      <c r="K1605" s="24" t="s">
        <v>177</v>
      </c>
      <c r="L1605" s="24">
        <v>144</v>
      </c>
      <c r="M1605" s="12">
        <v>6890.6693572769491</v>
      </c>
      <c r="N1605" s="12">
        <v>6890.6693572769491</v>
      </c>
      <c r="O1605" s="12">
        <v>1309.2271778826198</v>
      </c>
      <c r="P1605" s="13"/>
      <c r="Q1605" s="14">
        <v>2025</v>
      </c>
      <c r="R1605" s="15">
        <v>45413</v>
      </c>
      <c r="S1605" s="11" t="s">
        <v>355</v>
      </c>
      <c r="T1605" s="16">
        <v>0</v>
      </c>
      <c r="U1605" s="17"/>
      <c r="V1605" s="12">
        <v>1296.3416261845123</v>
      </c>
      <c r="W1605" s="12">
        <v>1296.3416261845123</v>
      </c>
      <c r="X1605" s="12">
        <v>0</v>
      </c>
      <c r="Y1605" s="18">
        <v>45803</v>
      </c>
      <c r="Z1605" s="13" t="s">
        <v>515</v>
      </c>
      <c r="AA1605" s="19" t="s">
        <v>367</v>
      </c>
      <c r="AB1605" s="13" t="s">
        <v>357</v>
      </c>
      <c r="AC1605" s="13" t="s">
        <v>367</v>
      </c>
      <c r="AD1605" s="20"/>
      <c r="AE1605" s="20"/>
      <c r="AF1605" s="13" t="s">
        <v>40</v>
      </c>
      <c r="AG1605" s="15">
        <v>45413</v>
      </c>
      <c r="AH1605" s="13" t="s">
        <v>41</v>
      </c>
      <c r="AI1605" s="13" t="s">
        <v>43</v>
      </c>
      <c r="AJ1605" s="13" t="str">
        <f>VLOOKUP(E1605,Precios!Z$2:AA$941,2,FALSE)</f>
        <v>Bandeja Huevos EXTRA</v>
      </c>
      <c r="AK1605" s="14">
        <f>VLOOKUP(E1605,Precios!Z$2:BB$941,3,FALSE)*F1605</f>
        <v>-1</v>
      </c>
      <c r="AL1605" s="17"/>
      <c r="AM1605" s="17"/>
      <c r="AN1605" s="17"/>
      <c r="AO1605" s="17"/>
      <c r="AP1605" s="17"/>
      <c r="AQ1605" s="17"/>
      <c r="AR1605" s="17"/>
      <c r="AS1605" s="17"/>
      <c r="AT1605" s="17"/>
      <c r="AU1605" s="17"/>
      <c r="AV1605" s="17"/>
    </row>
    <row r="1606" spans="1:48" ht="15.75" customHeight="1">
      <c r="A1606" s="21" t="s">
        <v>47</v>
      </c>
      <c r="B1606" s="23" t="s">
        <v>1692</v>
      </c>
      <c r="C1606" s="22">
        <v>45805</v>
      </c>
      <c r="D1606" s="23" t="s">
        <v>285</v>
      </c>
      <c r="E1606" s="23" t="s">
        <v>305</v>
      </c>
      <c r="F1606" s="21">
        <v>3</v>
      </c>
      <c r="G1606" s="12">
        <v>2999.9015263417036</v>
      </c>
      <c r="H1606" s="12">
        <v>8999.7045790251104</v>
      </c>
      <c r="I1606" s="23" t="s">
        <v>52</v>
      </c>
      <c r="J1606" s="23" t="s">
        <v>61</v>
      </c>
      <c r="K1606" s="24" t="s">
        <v>177</v>
      </c>
      <c r="L1606" s="24">
        <v>144</v>
      </c>
      <c r="M1606" s="12">
        <v>2520.9256523879862</v>
      </c>
      <c r="N1606" s="12">
        <v>7562.7769571639583</v>
      </c>
      <c r="O1606" s="12">
        <v>1436.9276218611521</v>
      </c>
      <c r="P1606" s="13"/>
      <c r="Q1606" s="14">
        <v>2025</v>
      </c>
      <c r="R1606" s="15">
        <v>45413</v>
      </c>
      <c r="S1606" s="11" t="s">
        <v>600</v>
      </c>
      <c r="T1606" s="16">
        <v>0</v>
      </c>
      <c r="U1606" s="17"/>
      <c r="V1606" s="12">
        <v>2954.7769571639587</v>
      </c>
      <c r="W1606" s="12">
        <v>2954.7769571639587</v>
      </c>
      <c r="X1606" s="12">
        <v>0</v>
      </c>
      <c r="Y1606" s="18">
        <v>45803</v>
      </c>
      <c r="Z1606" s="13" t="s">
        <v>515</v>
      </c>
      <c r="AA1606" s="19" t="s">
        <v>367</v>
      </c>
      <c r="AB1606" s="13" t="s">
        <v>357</v>
      </c>
      <c r="AC1606" s="13" t="s">
        <v>367</v>
      </c>
      <c r="AD1606" s="20"/>
      <c r="AE1606" s="20"/>
      <c r="AF1606" s="13" t="s">
        <v>40</v>
      </c>
      <c r="AG1606" s="15">
        <v>45413</v>
      </c>
      <c r="AH1606" s="13" t="s">
        <v>41</v>
      </c>
      <c r="AI1606" s="13" t="s">
        <v>47</v>
      </c>
      <c r="AJ1606" s="13" t="str">
        <f>VLOOKUP(E1606,Precios!Z$2:AA$941,2,FALSE)</f>
        <v>Toallas Humedas Bebé TEDDY 80 unidades</v>
      </c>
      <c r="AK1606" s="14">
        <f>VLOOKUP(E1606,Precios!Z$2:BB$941,3,FALSE)*F1606</f>
        <v>-6</v>
      </c>
      <c r="AL1606" s="17"/>
      <c r="AM1606" s="17"/>
      <c r="AN1606" s="17"/>
      <c r="AO1606" s="17"/>
      <c r="AP1606" s="17"/>
      <c r="AQ1606" s="17"/>
      <c r="AR1606" s="17"/>
      <c r="AS1606" s="17"/>
      <c r="AT1606" s="17"/>
      <c r="AU1606" s="17"/>
      <c r="AV1606" s="17"/>
    </row>
    <row r="1607" spans="1:48" ht="15.75" customHeight="1">
      <c r="A1607" s="21" t="s">
        <v>47</v>
      </c>
      <c r="B1607" s="23" t="s">
        <v>1692</v>
      </c>
      <c r="C1607" s="22">
        <v>45805</v>
      </c>
      <c r="D1607" s="23" t="s">
        <v>285</v>
      </c>
      <c r="E1607" s="23" t="s">
        <v>156</v>
      </c>
      <c r="F1607" s="21">
        <v>1</v>
      </c>
      <c r="G1607" s="12">
        <v>4800</v>
      </c>
      <c r="H1607" s="12">
        <v>4800</v>
      </c>
      <c r="I1607" s="23" t="s">
        <v>52</v>
      </c>
      <c r="J1607" s="23" t="s">
        <v>61</v>
      </c>
      <c r="K1607" s="24" t="s">
        <v>177</v>
      </c>
      <c r="L1607" s="24">
        <v>144</v>
      </c>
      <c r="M1607" s="12">
        <v>4033.6134453781515</v>
      </c>
      <c r="N1607" s="12">
        <v>4033.6134453781515</v>
      </c>
      <c r="O1607" s="12">
        <v>766.38655462184852</v>
      </c>
      <c r="P1607" s="13"/>
      <c r="Q1607" s="14">
        <v>2025</v>
      </c>
      <c r="R1607" s="15">
        <v>45413</v>
      </c>
      <c r="S1607" s="11" t="s">
        <v>479</v>
      </c>
      <c r="T1607" s="16">
        <v>0</v>
      </c>
      <c r="U1607" s="17"/>
      <c r="V1607" s="12">
        <v>1768.0672268907565</v>
      </c>
      <c r="W1607" s="12">
        <v>1768.0672268907565</v>
      </c>
      <c r="X1607" s="12">
        <v>0</v>
      </c>
      <c r="Y1607" s="18">
        <v>45803</v>
      </c>
      <c r="Z1607" s="13" t="s">
        <v>515</v>
      </c>
      <c r="AA1607" s="19" t="s">
        <v>367</v>
      </c>
      <c r="AB1607" s="13" t="s">
        <v>357</v>
      </c>
      <c r="AC1607" s="13" t="s">
        <v>367</v>
      </c>
      <c r="AD1607" s="20"/>
      <c r="AE1607" s="20"/>
      <c r="AF1607" s="13" t="s">
        <v>40</v>
      </c>
      <c r="AG1607" s="15">
        <v>45413</v>
      </c>
      <c r="AH1607" s="13" t="s">
        <v>41</v>
      </c>
      <c r="AI1607" s="13" t="s">
        <v>47</v>
      </c>
      <c r="AJ1607" s="13" t="str">
        <f>VLOOKUP(E1607,Precios!Z$2:AA$941,2,FALSE)</f>
        <v>Lavaloza QUIX 750 cc</v>
      </c>
      <c r="AK1607" s="14">
        <f>VLOOKUP(E1607,Precios!Z$2:BB$941,3,FALSE)*F1607</f>
        <v>-2</v>
      </c>
      <c r="AL1607" s="17"/>
      <c r="AM1607" s="17"/>
      <c r="AN1607" s="17"/>
      <c r="AO1607" s="17"/>
      <c r="AP1607" s="17"/>
      <c r="AQ1607" s="17"/>
      <c r="AR1607" s="17"/>
      <c r="AS1607" s="17"/>
      <c r="AT1607" s="17"/>
      <c r="AU1607" s="17"/>
      <c r="AV1607" s="17"/>
    </row>
    <row r="1608" spans="1:48" ht="15.75" customHeight="1">
      <c r="A1608" s="21" t="s">
        <v>47</v>
      </c>
      <c r="B1608" s="23" t="s">
        <v>1692</v>
      </c>
      <c r="C1608" s="22">
        <v>45805</v>
      </c>
      <c r="D1608" s="23" t="s">
        <v>285</v>
      </c>
      <c r="E1608" s="23" t="s">
        <v>204</v>
      </c>
      <c r="F1608" s="21">
        <v>4</v>
      </c>
      <c r="G1608" s="12">
        <v>1199.9357739242132</v>
      </c>
      <c r="H1608" s="12">
        <v>4799.7430956968528</v>
      </c>
      <c r="I1608" s="23" t="s">
        <v>52</v>
      </c>
      <c r="J1608" s="23" t="s">
        <v>61</v>
      </c>
      <c r="K1608" s="24" t="s">
        <v>177</v>
      </c>
      <c r="L1608" s="24">
        <v>144</v>
      </c>
      <c r="M1608" s="12">
        <v>1008.3493898522801</v>
      </c>
      <c r="N1608" s="12">
        <v>4033.3975594091203</v>
      </c>
      <c r="O1608" s="12">
        <v>766.34553628773256</v>
      </c>
      <c r="P1608" s="13"/>
      <c r="Q1608" s="14">
        <v>2025</v>
      </c>
      <c r="R1608" s="15">
        <v>45413</v>
      </c>
      <c r="S1608" s="11" t="s">
        <v>400</v>
      </c>
      <c r="T1608" s="16">
        <v>0</v>
      </c>
      <c r="U1608" s="17"/>
      <c r="V1608" s="12">
        <v>2149.3975594091203</v>
      </c>
      <c r="W1608" s="12">
        <v>2149.3975594091203</v>
      </c>
      <c r="X1608" s="12">
        <v>0</v>
      </c>
      <c r="Y1608" s="18">
        <v>45803</v>
      </c>
      <c r="Z1608" s="13" t="s">
        <v>515</v>
      </c>
      <c r="AA1608" s="19" t="s">
        <v>367</v>
      </c>
      <c r="AB1608" s="13" t="s">
        <v>357</v>
      </c>
      <c r="AC1608" s="13" t="s">
        <v>367</v>
      </c>
      <c r="AD1608" s="20"/>
      <c r="AE1608" s="20"/>
      <c r="AF1608" s="13" t="s">
        <v>40</v>
      </c>
      <c r="AG1608" s="15">
        <v>45413</v>
      </c>
      <c r="AH1608" s="13" t="s">
        <v>41</v>
      </c>
      <c r="AI1608" s="13" t="s">
        <v>47</v>
      </c>
      <c r="AJ1608" s="13" t="str">
        <f>VLOOKUP(E1608,Precios!Z$2:AA$941,2,FALSE)</f>
        <v>Trapero Algodón TEDDY</v>
      </c>
      <c r="AK1608" s="14">
        <f>VLOOKUP(E1608,Precios!Z$2:BB$941,3,FALSE)*F1608</f>
        <v>-4</v>
      </c>
      <c r="AL1608" s="17"/>
      <c r="AM1608" s="17"/>
      <c r="AN1608" s="17"/>
      <c r="AO1608" s="17"/>
      <c r="AP1608" s="17"/>
      <c r="AQ1608" s="17"/>
      <c r="AR1608" s="17"/>
      <c r="AS1608" s="17"/>
      <c r="AT1608" s="17"/>
      <c r="AU1608" s="17"/>
      <c r="AV1608" s="17"/>
    </row>
    <row r="1609" spans="1:48" ht="15.75" customHeight="1">
      <c r="A1609" s="21" t="s">
        <v>43</v>
      </c>
      <c r="B1609" s="23" t="s">
        <v>1692</v>
      </c>
      <c r="C1609" s="22">
        <v>45804</v>
      </c>
      <c r="D1609" s="23" t="s">
        <v>323</v>
      </c>
      <c r="E1609" s="23" t="s">
        <v>45</v>
      </c>
      <c r="F1609" s="21">
        <v>1</v>
      </c>
      <c r="G1609" s="12">
        <v>8199.8965351595689</v>
      </c>
      <c r="H1609" s="12">
        <v>8199.8965351595689</v>
      </c>
      <c r="I1609" s="23" t="s">
        <v>52</v>
      </c>
      <c r="J1609" s="23" t="s">
        <v>61</v>
      </c>
      <c r="K1609" s="24" t="s">
        <v>177</v>
      </c>
      <c r="L1609" s="24">
        <v>144</v>
      </c>
      <c r="M1609" s="12">
        <v>6890.6693572769491</v>
      </c>
      <c r="N1609" s="12">
        <v>6890.6693572769491</v>
      </c>
      <c r="O1609" s="12">
        <v>1309.2271778826198</v>
      </c>
      <c r="P1609" s="13"/>
      <c r="Q1609" s="14">
        <v>2025</v>
      </c>
      <c r="R1609" s="15">
        <v>45413</v>
      </c>
      <c r="S1609" s="11" t="s">
        <v>355</v>
      </c>
      <c r="T1609" s="16">
        <v>0</v>
      </c>
      <c r="U1609" s="17"/>
      <c r="V1609" s="12">
        <v>1296.3416261845123</v>
      </c>
      <c r="W1609" s="12">
        <v>1296.3416261845123</v>
      </c>
      <c r="X1609" s="12">
        <v>0</v>
      </c>
      <c r="Y1609" s="18">
        <v>45803</v>
      </c>
      <c r="Z1609" s="13" t="s">
        <v>516</v>
      </c>
      <c r="AA1609" s="19" t="s">
        <v>373</v>
      </c>
      <c r="AB1609" s="13" t="s">
        <v>357</v>
      </c>
      <c r="AC1609" s="13" t="s">
        <v>553</v>
      </c>
      <c r="AD1609" s="20"/>
      <c r="AE1609" s="20"/>
      <c r="AF1609" s="13" t="s">
        <v>40</v>
      </c>
      <c r="AG1609" s="15">
        <v>45413</v>
      </c>
      <c r="AH1609" s="13" t="s">
        <v>41</v>
      </c>
      <c r="AI1609" s="13" t="s">
        <v>43</v>
      </c>
      <c r="AJ1609" s="13" t="str">
        <f>VLOOKUP(E1609,Precios!Z$2:AA$941,2,FALSE)</f>
        <v>Bandeja Huevos EXTRA</v>
      </c>
      <c r="AK1609" s="14">
        <f>VLOOKUP(E1609,Precios!Z$2:BB$941,3,FALSE)*F1609</f>
        <v>-1</v>
      </c>
      <c r="AL1609" s="17"/>
      <c r="AM1609" s="17"/>
      <c r="AN1609" s="17"/>
      <c r="AO1609" s="17"/>
      <c r="AP1609" s="17"/>
      <c r="AQ1609" s="17"/>
      <c r="AR1609" s="17"/>
      <c r="AS1609" s="17"/>
      <c r="AT1609" s="17"/>
      <c r="AU1609" s="17"/>
      <c r="AV1609" s="17"/>
    </row>
    <row r="1610" spans="1:48" ht="15.75" customHeight="1">
      <c r="A1610" s="21" t="s">
        <v>35</v>
      </c>
      <c r="B1610" s="23" t="s">
        <v>1692</v>
      </c>
      <c r="C1610" s="22">
        <v>45804</v>
      </c>
      <c r="D1610" s="23" t="s">
        <v>323</v>
      </c>
      <c r="E1610" s="23" t="s">
        <v>37</v>
      </c>
      <c r="F1610" s="21">
        <v>1</v>
      </c>
      <c r="G1610" s="12">
        <v>11000.014358944907</v>
      </c>
      <c r="H1610" s="12">
        <v>11000.014358944907</v>
      </c>
      <c r="I1610" s="23" t="s">
        <v>52</v>
      </c>
      <c r="J1610" s="23" t="s">
        <v>61</v>
      </c>
      <c r="K1610" s="24" t="s">
        <v>177</v>
      </c>
      <c r="L1610" s="24">
        <v>144</v>
      </c>
      <c r="M1610" s="12">
        <v>9243.7095453318543</v>
      </c>
      <c r="N1610" s="12">
        <v>9243.7095453318543</v>
      </c>
      <c r="O1610" s="12">
        <v>1756.3048136130528</v>
      </c>
      <c r="P1610" s="13"/>
      <c r="Q1610" s="14">
        <v>2025</v>
      </c>
      <c r="R1610" s="15">
        <v>45413</v>
      </c>
      <c r="S1610" s="11" t="s">
        <v>364</v>
      </c>
      <c r="T1610" s="16">
        <v>1000</v>
      </c>
      <c r="U1610" s="17"/>
      <c r="V1610" s="12">
        <v>2806.1129066763915</v>
      </c>
      <c r="W1610" s="12">
        <v>2806.1129066763915</v>
      </c>
      <c r="X1610" s="12">
        <v>0</v>
      </c>
      <c r="Y1610" s="18">
        <v>45803</v>
      </c>
      <c r="Z1610" s="13" t="s">
        <v>516</v>
      </c>
      <c r="AA1610" s="19" t="s">
        <v>373</v>
      </c>
      <c r="AB1610" s="13" t="s">
        <v>357</v>
      </c>
      <c r="AC1610" s="13" t="s">
        <v>553</v>
      </c>
      <c r="AD1610" s="20"/>
      <c r="AE1610" s="20"/>
      <c r="AF1610" s="13" t="s">
        <v>40</v>
      </c>
      <c r="AG1610" s="15">
        <v>45413</v>
      </c>
      <c r="AH1610" s="13" t="s">
        <v>41</v>
      </c>
      <c r="AI1610" s="13" t="s">
        <v>35</v>
      </c>
      <c r="AJ1610" s="13" t="str">
        <f>VLOOKUP(E1610,Precios!Z$2:AA$941,2,FALSE)</f>
        <v>Queso RUNCA Mantecoso</v>
      </c>
      <c r="AK1610" s="14">
        <f>VLOOKUP(E1610,Precios!Z$2:BB$941,3,FALSE)*F1610</f>
        <v>-1</v>
      </c>
      <c r="AL1610" s="17"/>
      <c r="AM1610" s="17"/>
      <c r="AN1610" s="17"/>
      <c r="AO1610" s="17"/>
      <c r="AP1610" s="17"/>
      <c r="AQ1610" s="17"/>
      <c r="AR1610" s="17"/>
      <c r="AS1610" s="17"/>
      <c r="AT1610" s="17"/>
      <c r="AU1610" s="17"/>
      <c r="AV1610" s="17"/>
    </row>
    <row r="1611" spans="1:48" ht="15.75" customHeight="1">
      <c r="A1611" s="21" t="s">
        <v>56</v>
      </c>
      <c r="B1611" s="23" t="s">
        <v>1692</v>
      </c>
      <c r="C1611" s="22">
        <v>45804</v>
      </c>
      <c r="D1611" s="23" t="s">
        <v>323</v>
      </c>
      <c r="E1611" s="23" t="s">
        <v>67</v>
      </c>
      <c r="F1611" s="21">
        <v>1</v>
      </c>
      <c r="G1611" s="12">
        <v>7000.0000000000009</v>
      </c>
      <c r="H1611" s="12">
        <v>7000.0000000000009</v>
      </c>
      <c r="I1611" s="23" t="s">
        <v>52</v>
      </c>
      <c r="J1611" s="23" t="s">
        <v>61</v>
      </c>
      <c r="K1611" s="24" t="s">
        <v>177</v>
      </c>
      <c r="L1611" s="24">
        <v>144</v>
      </c>
      <c r="M1611" s="12">
        <v>5882.3529411764712</v>
      </c>
      <c r="N1611" s="12">
        <v>5882.3529411764712</v>
      </c>
      <c r="O1611" s="12">
        <v>1117.6470588235297</v>
      </c>
      <c r="P1611" s="13"/>
      <c r="Q1611" s="14">
        <v>2025</v>
      </c>
      <c r="R1611" s="15">
        <v>45413</v>
      </c>
      <c r="S1611" s="11" t="s">
        <v>492</v>
      </c>
      <c r="T1611" s="16">
        <v>200</v>
      </c>
      <c r="U1611" s="17"/>
      <c r="V1611" s="12">
        <v>1512.6050420168067</v>
      </c>
      <c r="W1611" s="12">
        <v>1512.6050420168067</v>
      </c>
      <c r="X1611" s="12">
        <v>0</v>
      </c>
      <c r="Y1611" s="18">
        <v>45803</v>
      </c>
      <c r="Z1611" s="13" t="s">
        <v>516</v>
      </c>
      <c r="AA1611" s="19" t="s">
        <v>373</v>
      </c>
      <c r="AB1611" s="13" t="s">
        <v>357</v>
      </c>
      <c r="AC1611" s="13" t="s">
        <v>553</v>
      </c>
      <c r="AD1611" s="20"/>
      <c r="AE1611" s="20"/>
      <c r="AF1611" s="13" t="s">
        <v>40</v>
      </c>
      <c r="AG1611" s="15">
        <v>45413</v>
      </c>
      <c r="AH1611" s="13" t="s">
        <v>41</v>
      </c>
      <c r="AI1611" s="13" t="s">
        <v>56</v>
      </c>
      <c r="AJ1611" s="13" t="str">
        <f>VLOOKUP(E1611,Precios!Z$2:AA$941,2,FALSE)</f>
        <v>Mantequilla RUMAY</v>
      </c>
      <c r="AK1611" s="14">
        <f>VLOOKUP(E1611,Precios!Z$2:BB$941,3,FALSE)*F1611</f>
        <v>-3</v>
      </c>
      <c r="AL1611" s="17"/>
      <c r="AM1611" s="17"/>
      <c r="AN1611" s="17"/>
      <c r="AO1611" s="17"/>
      <c r="AP1611" s="17"/>
      <c r="AQ1611" s="17"/>
      <c r="AR1611" s="17"/>
      <c r="AS1611" s="17"/>
      <c r="AT1611" s="17"/>
      <c r="AU1611" s="17"/>
      <c r="AV1611" s="17"/>
    </row>
    <row r="1612" spans="1:48" ht="15.75" customHeight="1">
      <c r="A1612" s="21" t="s">
        <v>35</v>
      </c>
      <c r="B1612" s="23" t="s">
        <v>1692</v>
      </c>
      <c r="C1612" s="22">
        <v>45804</v>
      </c>
      <c r="D1612" s="23" t="s">
        <v>42</v>
      </c>
      <c r="E1612" s="23" t="s">
        <v>37</v>
      </c>
      <c r="F1612" s="21">
        <v>1</v>
      </c>
      <c r="G1612" s="12">
        <v>11000.014358944907</v>
      </c>
      <c r="H1612" s="12">
        <v>11000.014358944907</v>
      </c>
      <c r="I1612" s="23" t="s">
        <v>52</v>
      </c>
      <c r="J1612" s="23" t="s">
        <v>61</v>
      </c>
      <c r="K1612" s="24" t="s">
        <v>177</v>
      </c>
      <c r="L1612" s="24">
        <v>144</v>
      </c>
      <c r="M1612" s="12">
        <v>9243.7095453318543</v>
      </c>
      <c r="N1612" s="12">
        <v>9243.7095453318543</v>
      </c>
      <c r="O1612" s="12">
        <v>1756.3048136130528</v>
      </c>
      <c r="P1612" s="13"/>
      <c r="Q1612" s="14">
        <v>2025</v>
      </c>
      <c r="R1612" s="15">
        <v>45413</v>
      </c>
      <c r="S1612" s="11" t="s">
        <v>364</v>
      </c>
      <c r="T1612" s="16">
        <v>1000</v>
      </c>
      <c r="U1612" s="17"/>
      <c r="V1612" s="12">
        <v>2806.1129066763915</v>
      </c>
      <c r="W1612" s="12">
        <v>2806.1129066763915</v>
      </c>
      <c r="X1612" s="12">
        <v>0</v>
      </c>
      <c r="Y1612" s="18">
        <v>45803</v>
      </c>
      <c r="Z1612" s="13" t="s">
        <v>516</v>
      </c>
      <c r="AA1612" s="19" t="s">
        <v>361</v>
      </c>
      <c r="AB1612" s="13" t="s">
        <v>357</v>
      </c>
      <c r="AC1612" s="13" t="s">
        <v>506</v>
      </c>
      <c r="AD1612" s="20"/>
      <c r="AE1612" s="20"/>
      <c r="AF1612" s="13" t="s">
        <v>40</v>
      </c>
      <c r="AG1612" s="15">
        <v>45413</v>
      </c>
      <c r="AH1612" s="13" t="s">
        <v>41</v>
      </c>
      <c r="AI1612" s="13" t="s">
        <v>35</v>
      </c>
      <c r="AJ1612" s="13" t="str">
        <f>VLOOKUP(E1612,Precios!Z$2:AA$941,2,FALSE)</f>
        <v>Queso RUNCA Mantecoso</v>
      </c>
      <c r="AK1612" s="14">
        <f>VLOOKUP(E1612,Precios!Z$2:BB$941,3,FALSE)*F1612</f>
        <v>-1</v>
      </c>
      <c r="AL1612" s="17"/>
      <c r="AM1612" s="17"/>
      <c r="AN1612" s="17"/>
      <c r="AO1612" s="17"/>
      <c r="AP1612" s="17"/>
      <c r="AQ1612" s="17"/>
      <c r="AR1612" s="17"/>
      <c r="AS1612" s="17"/>
      <c r="AT1612" s="17"/>
      <c r="AU1612" s="17"/>
      <c r="AV1612" s="17"/>
    </row>
    <row r="1613" spans="1:48" ht="15.75" customHeight="1">
      <c r="A1613" s="21" t="s">
        <v>56</v>
      </c>
      <c r="B1613" s="23" t="s">
        <v>1692</v>
      </c>
      <c r="C1613" s="22">
        <v>45804</v>
      </c>
      <c r="D1613" s="23" t="s">
        <v>42</v>
      </c>
      <c r="E1613" s="23" t="s">
        <v>67</v>
      </c>
      <c r="F1613" s="21">
        <v>1</v>
      </c>
      <c r="G1613" s="12">
        <v>7000.0000000000009</v>
      </c>
      <c r="H1613" s="12">
        <v>7000.0000000000009</v>
      </c>
      <c r="I1613" s="23" t="s">
        <v>52</v>
      </c>
      <c r="J1613" s="23" t="s">
        <v>61</v>
      </c>
      <c r="K1613" s="24" t="s">
        <v>177</v>
      </c>
      <c r="L1613" s="24">
        <v>144</v>
      </c>
      <c r="M1613" s="12">
        <v>5882.3529411764712</v>
      </c>
      <c r="N1613" s="12">
        <v>5882.3529411764712</v>
      </c>
      <c r="O1613" s="12">
        <v>1117.6470588235297</v>
      </c>
      <c r="P1613" s="13"/>
      <c r="Q1613" s="14">
        <v>2025</v>
      </c>
      <c r="R1613" s="15">
        <v>45413</v>
      </c>
      <c r="S1613" s="11" t="s">
        <v>492</v>
      </c>
      <c r="T1613" s="16">
        <v>200</v>
      </c>
      <c r="U1613" s="17"/>
      <c r="V1613" s="12">
        <v>1512.6050420168067</v>
      </c>
      <c r="W1613" s="12">
        <v>1512.6050420168067</v>
      </c>
      <c r="X1613" s="12">
        <v>0</v>
      </c>
      <c r="Y1613" s="18">
        <v>45803</v>
      </c>
      <c r="Z1613" s="13" t="s">
        <v>516</v>
      </c>
      <c r="AA1613" s="19" t="s">
        <v>361</v>
      </c>
      <c r="AB1613" s="13" t="s">
        <v>357</v>
      </c>
      <c r="AC1613" s="13" t="s">
        <v>506</v>
      </c>
      <c r="AD1613" s="20"/>
      <c r="AE1613" s="20"/>
      <c r="AF1613" s="13" t="s">
        <v>40</v>
      </c>
      <c r="AG1613" s="15">
        <v>45413</v>
      </c>
      <c r="AH1613" s="13" t="s">
        <v>41</v>
      </c>
      <c r="AI1613" s="13" t="s">
        <v>56</v>
      </c>
      <c r="AJ1613" s="13" t="str">
        <f>VLOOKUP(E1613,Precios!Z$2:AA$941,2,FALSE)</f>
        <v>Mantequilla RUMAY</v>
      </c>
      <c r="AK1613" s="14">
        <f>VLOOKUP(E1613,Precios!Z$2:BB$941,3,FALSE)*F1613</f>
        <v>-3</v>
      </c>
      <c r="AL1613" s="17"/>
      <c r="AM1613" s="17"/>
      <c r="AN1613" s="17"/>
      <c r="AO1613" s="17"/>
      <c r="AP1613" s="17"/>
      <c r="AQ1613" s="17"/>
      <c r="AR1613" s="17"/>
      <c r="AS1613" s="17"/>
      <c r="AT1613" s="17"/>
      <c r="AU1613" s="17"/>
      <c r="AV1613" s="17"/>
    </row>
    <row r="1614" spans="1:48" ht="15.75" customHeight="1">
      <c r="A1614" s="21" t="s">
        <v>56</v>
      </c>
      <c r="B1614" s="23" t="s">
        <v>1692</v>
      </c>
      <c r="C1614" s="22">
        <v>45804</v>
      </c>
      <c r="D1614" s="23" t="s">
        <v>42</v>
      </c>
      <c r="E1614" s="23" t="s">
        <v>617</v>
      </c>
      <c r="F1614" s="21">
        <v>1</v>
      </c>
      <c r="G1614" s="12">
        <v>9399.5742010115791</v>
      </c>
      <c r="H1614" s="12">
        <v>9399.5742010115791</v>
      </c>
      <c r="I1614" s="23" t="s">
        <v>52</v>
      </c>
      <c r="J1614" s="23" t="s">
        <v>61</v>
      </c>
      <c r="K1614" s="24" t="s">
        <v>177</v>
      </c>
      <c r="L1614" s="24">
        <v>144</v>
      </c>
      <c r="M1614" s="12">
        <v>7898.8018495895631</v>
      </c>
      <c r="N1614" s="12">
        <v>7898.8018495895631</v>
      </c>
      <c r="O1614" s="12">
        <v>1500.7723514220161</v>
      </c>
      <c r="P1614" s="13"/>
      <c r="Q1614" s="14">
        <v>2025</v>
      </c>
      <c r="R1614" s="15">
        <v>45413</v>
      </c>
      <c r="S1614" s="11" t="s">
        <v>429</v>
      </c>
      <c r="T1614" s="16">
        <v>200</v>
      </c>
      <c r="U1614" s="17"/>
      <c r="V1614" s="12">
        <v>1480.3144546315798</v>
      </c>
      <c r="W1614" s="12">
        <v>1480.3144546315798</v>
      </c>
      <c r="X1614" s="12">
        <v>0</v>
      </c>
      <c r="Y1614" s="18">
        <v>45803</v>
      </c>
      <c r="Z1614" s="13" t="s">
        <v>516</v>
      </c>
      <c r="AA1614" s="19" t="s">
        <v>361</v>
      </c>
      <c r="AB1614" s="13" t="s">
        <v>357</v>
      </c>
      <c r="AC1614" s="13" t="s">
        <v>506</v>
      </c>
      <c r="AD1614" s="20"/>
      <c r="AE1614" s="20"/>
      <c r="AF1614" s="13" t="s">
        <v>40</v>
      </c>
      <c r="AG1614" s="15">
        <v>45413</v>
      </c>
      <c r="AH1614" s="13" t="s">
        <v>41</v>
      </c>
      <c r="AI1614" s="13" t="s">
        <v>56</v>
      </c>
      <c r="AJ1614" s="13" t="str">
        <f>VLOOKUP(E1614,Precios!Z$2:AA$941,2,FALSE)</f>
        <v>Queso Cabra</v>
      </c>
      <c r="AK1614" s="14">
        <f>VLOOKUP(E1614,Precios!Z$2:BB$941,3,FALSE)*F1614</f>
        <v>-2</v>
      </c>
      <c r="AL1614" s="17"/>
      <c r="AM1614" s="17"/>
      <c r="AN1614" s="17"/>
      <c r="AO1614" s="17"/>
      <c r="AP1614" s="17"/>
      <c r="AQ1614" s="17"/>
      <c r="AR1614" s="17"/>
      <c r="AS1614" s="17"/>
      <c r="AT1614" s="17"/>
      <c r="AU1614" s="17"/>
      <c r="AV1614" s="17"/>
    </row>
    <row r="1615" spans="1:48" ht="15.75" customHeight="1">
      <c r="A1615" s="21" t="s">
        <v>56</v>
      </c>
      <c r="B1615" s="23" t="s">
        <v>1692</v>
      </c>
      <c r="C1615" s="22">
        <v>45804</v>
      </c>
      <c r="D1615" s="23" t="s">
        <v>618</v>
      </c>
      <c r="E1615" s="23" t="s">
        <v>67</v>
      </c>
      <c r="F1615" s="21">
        <v>1</v>
      </c>
      <c r="G1615" s="12">
        <v>7000.0000000000009</v>
      </c>
      <c r="H1615" s="12">
        <v>7000.0000000000009</v>
      </c>
      <c r="I1615" s="23" t="s">
        <v>52</v>
      </c>
      <c r="J1615" s="23" t="s">
        <v>61</v>
      </c>
      <c r="K1615" s="24" t="s">
        <v>177</v>
      </c>
      <c r="L1615" s="24">
        <v>144</v>
      </c>
      <c r="M1615" s="12">
        <v>5882.3529411764712</v>
      </c>
      <c r="N1615" s="12">
        <v>5882.3529411764712</v>
      </c>
      <c r="O1615" s="12">
        <v>1117.6470588235297</v>
      </c>
      <c r="P1615" s="13"/>
      <c r="Q1615" s="14">
        <v>2025</v>
      </c>
      <c r="R1615" s="15">
        <v>45413</v>
      </c>
      <c r="S1615" s="11" t="s">
        <v>492</v>
      </c>
      <c r="T1615" s="16">
        <v>200</v>
      </c>
      <c r="U1615" s="17"/>
      <c r="V1615" s="12">
        <v>1512.6050420168067</v>
      </c>
      <c r="W1615" s="12">
        <v>1512.6050420168067</v>
      </c>
      <c r="X1615" s="12">
        <v>0</v>
      </c>
      <c r="Y1615" s="18">
        <v>45803</v>
      </c>
      <c r="Z1615" s="13" t="s">
        <v>516</v>
      </c>
      <c r="AA1615" s="19" t="s">
        <v>356</v>
      </c>
      <c r="AB1615" s="13" t="s">
        <v>357</v>
      </c>
      <c r="AC1615" s="13" t="s">
        <v>506</v>
      </c>
      <c r="AD1615" s="20"/>
      <c r="AE1615" s="20"/>
      <c r="AF1615" s="13" t="s">
        <v>40</v>
      </c>
      <c r="AG1615" s="15">
        <v>45413</v>
      </c>
      <c r="AH1615" s="13" t="s">
        <v>41</v>
      </c>
      <c r="AI1615" s="13" t="s">
        <v>56</v>
      </c>
      <c r="AJ1615" s="13" t="str">
        <f>VLOOKUP(E1615,Precios!Z$2:AA$941,2,FALSE)</f>
        <v>Mantequilla RUMAY</v>
      </c>
      <c r="AK1615" s="14">
        <f>VLOOKUP(E1615,Precios!Z$2:BB$941,3,FALSE)*F1615</f>
        <v>-3</v>
      </c>
      <c r="AL1615" s="17"/>
      <c r="AM1615" s="17"/>
      <c r="AN1615" s="17"/>
      <c r="AO1615" s="17"/>
      <c r="AP1615" s="17"/>
      <c r="AQ1615" s="17"/>
      <c r="AR1615" s="17"/>
      <c r="AS1615" s="17"/>
      <c r="AT1615" s="17"/>
      <c r="AU1615" s="17"/>
      <c r="AV1615" s="17"/>
    </row>
    <row r="1616" spans="1:48" ht="15.75" customHeight="1">
      <c r="A1616" s="21" t="s">
        <v>56</v>
      </c>
      <c r="B1616" s="23" t="s">
        <v>1692</v>
      </c>
      <c r="C1616" s="22">
        <v>45804</v>
      </c>
      <c r="D1616" s="23" t="s">
        <v>618</v>
      </c>
      <c r="E1616" s="23" t="s">
        <v>190</v>
      </c>
      <c r="F1616" s="21">
        <v>1</v>
      </c>
      <c r="G1616" s="12">
        <v>2499.8855507868384</v>
      </c>
      <c r="H1616" s="12">
        <v>2499.8855507868384</v>
      </c>
      <c r="I1616" s="23" t="s">
        <v>52</v>
      </c>
      <c r="J1616" s="23" t="s">
        <v>61</v>
      </c>
      <c r="K1616" s="24" t="s">
        <v>177</v>
      </c>
      <c r="L1616" s="24">
        <v>144</v>
      </c>
      <c r="M1616" s="12">
        <v>2100.7441603250745</v>
      </c>
      <c r="N1616" s="12">
        <v>2100.7441603250745</v>
      </c>
      <c r="O1616" s="12">
        <v>399.14139046176388</v>
      </c>
      <c r="P1616" s="13"/>
      <c r="Q1616" s="14">
        <v>2025</v>
      </c>
      <c r="R1616" s="15">
        <v>45413</v>
      </c>
      <c r="S1616" s="11" t="s">
        <v>492</v>
      </c>
      <c r="T1616" s="16">
        <v>200</v>
      </c>
      <c r="U1616" s="17"/>
      <c r="V1616" s="12">
        <v>632.32399225784707</v>
      </c>
      <c r="W1616" s="12">
        <v>632.32399225784707</v>
      </c>
      <c r="X1616" s="12">
        <v>0</v>
      </c>
      <c r="Y1616" s="18">
        <v>45803</v>
      </c>
      <c r="Z1616" s="13" t="s">
        <v>516</v>
      </c>
      <c r="AA1616" s="19" t="s">
        <v>356</v>
      </c>
      <c r="AB1616" s="13" t="s">
        <v>357</v>
      </c>
      <c r="AC1616" s="13" t="s">
        <v>506</v>
      </c>
      <c r="AD1616" s="20"/>
      <c r="AE1616" s="20"/>
      <c r="AF1616" s="13" t="s">
        <v>40</v>
      </c>
      <c r="AG1616" s="15">
        <v>45413</v>
      </c>
      <c r="AH1616" s="13" t="s">
        <v>41</v>
      </c>
      <c r="AI1616" s="13" t="s">
        <v>56</v>
      </c>
      <c r="AJ1616" s="13" t="str">
        <f>VLOOKUP(E1616,Precios!Z$2:AA$941,2,FALSE)</f>
        <v>Mantequilla RUMAY</v>
      </c>
      <c r="AK1616" s="14">
        <f>VLOOKUP(E1616,Precios!Z$2:BB$941,3,FALSE)*F1616</f>
        <v>-1</v>
      </c>
      <c r="AL1616" s="17"/>
      <c r="AM1616" s="17"/>
      <c r="AN1616" s="17"/>
      <c r="AO1616" s="17"/>
      <c r="AP1616" s="17"/>
      <c r="AQ1616" s="17"/>
      <c r="AR1616" s="17"/>
      <c r="AS1616" s="17"/>
      <c r="AT1616" s="17"/>
      <c r="AU1616" s="17"/>
      <c r="AV1616" s="17"/>
    </row>
    <row r="1617" spans="1:48" ht="15.75" customHeight="1">
      <c r="A1617" s="21" t="s">
        <v>43</v>
      </c>
      <c r="B1617" s="23" t="s">
        <v>1692</v>
      </c>
      <c r="C1617" s="22">
        <v>45804</v>
      </c>
      <c r="D1617" s="23" t="s">
        <v>142</v>
      </c>
      <c r="E1617" s="23" t="s">
        <v>45</v>
      </c>
      <c r="F1617" s="21">
        <v>1</v>
      </c>
      <c r="G1617" s="12">
        <v>8199.8965351595689</v>
      </c>
      <c r="H1617" s="12">
        <v>8199.8965351595689</v>
      </c>
      <c r="I1617" s="23" t="s">
        <v>52</v>
      </c>
      <c r="J1617" s="23" t="s">
        <v>61</v>
      </c>
      <c r="K1617" s="24" t="s">
        <v>177</v>
      </c>
      <c r="L1617" s="24">
        <v>144</v>
      </c>
      <c r="M1617" s="12">
        <v>6890.6693572769491</v>
      </c>
      <c r="N1617" s="12">
        <v>6890.6693572769491</v>
      </c>
      <c r="O1617" s="12">
        <v>1309.2271778826198</v>
      </c>
      <c r="P1617" s="13"/>
      <c r="Q1617" s="14">
        <v>2025</v>
      </c>
      <c r="R1617" s="15">
        <v>45413</v>
      </c>
      <c r="S1617" s="11" t="s">
        <v>355</v>
      </c>
      <c r="T1617" s="16">
        <v>0</v>
      </c>
      <c r="U1617" s="17"/>
      <c r="V1617" s="12">
        <v>1296.3416261845123</v>
      </c>
      <c r="W1617" s="12">
        <v>1296.3416261845123</v>
      </c>
      <c r="X1617" s="12">
        <v>0</v>
      </c>
      <c r="Y1617" s="18">
        <v>45803</v>
      </c>
      <c r="Z1617" s="13" t="s">
        <v>516</v>
      </c>
      <c r="AA1617" s="19" t="s">
        <v>361</v>
      </c>
      <c r="AB1617" s="13" t="s">
        <v>357</v>
      </c>
      <c r="AC1617" s="13" t="s">
        <v>489</v>
      </c>
      <c r="AD1617" s="20"/>
      <c r="AE1617" s="20"/>
      <c r="AF1617" s="13" t="s">
        <v>40</v>
      </c>
      <c r="AG1617" s="15">
        <v>45413</v>
      </c>
      <c r="AH1617" s="13" t="s">
        <v>41</v>
      </c>
      <c r="AI1617" s="13" t="s">
        <v>43</v>
      </c>
      <c r="AJ1617" s="13" t="str">
        <f>VLOOKUP(E1617,Precios!Z$2:AA$941,2,FALSE)</f>
        <v>Bandeja Huevos EXTRA</v>
      </c>
      <c r="AK1617" s="14">
        <f>VLOOKUP(E1617,Precios!Z$2:BB$941,3,FALSE)*F1617</f>
        <v>-1</v>
      </c>
      <c r="AL1617" s="17"/>
      <c r="AM1617" s="17"/>
      <c r="AN1617" s="17"/>
      <c r="AO1617" s="17"/>
      <c r="AP1617" s="17"/>
      <c r="AQ1617" s="17"/>
      <c r="AR1617" s="17"/>
      <c r="AS1617" s="17"/>
      <c r="AT1617" s="17"/>
      <c r="AU1617" s="17"/>
      <c r="AV1617" s="17"/>
    </row>
    <row r="1618" spans="1:48" ht="15.75" customHeight="1">
      <c r="A1618" s="21" t="s">
        <v>76</v>
      </c>
      <c r="B1618" s="23" t="s">
        <v>1692</v>
      </c>
      <c r="C1618" s="22">
        <v>45804</v>
      </c>
      <c r="D1618" s="23" t="s">
        <v>142</v>
      </c>
      <c r="E1618" s="23" t="s">
        <v>137</v>
      </c>
      <c r="F1618" s="21">
        <v>1</v>
      </c>
      <c r="G1618" s="12">
        <v>3500.0000000000005</v>
      </c>
      <c r="H1618" s="12">
        <v>3500.0000000000005</v>
      </c>
      <c r="I1618" s="23" t="s">
        <v>52</v>
      </c>
      <c r="J1618" s="23" t="s">
        <v>61</v>
      </c>
      <c r="K1618" s="24" t="s">
        <v>177</v>
      </c>
      <c r="L1618" s="24">
        <v>144</v>
      </c>
      <c r="M1618" s="12">
        <v>2941.1764705882356</v>
      </c>
      <c r="N1618" s="12">
        <v>2941.1764705882356</v>
      </c>
      <c r="O1618" s="12">
        <v>558.82352941176487</v>
      </c>
      <c r="P1618" s="13"/>
      <c r="Q1618" s="14">
        <v>2025</v>
      </c>
      <c r="R1618" s="15">
        <v>45413</v>
      </c>
      <c r="S1618" s="11" t="s">
        <v>406</v>
      </c>
      <c r="T1618" s="16">
        <v>5</v>
      </c>
      <c r="U1618" s="17"/>
      <c r="V1618" s="12">
        <v>848.73949579831969</v>
      </c>
      <c r="W1618" s="12">
        <v>848.73949579831969</v>
      </c>
      <c r="X1618" s="12">
        <v>0</v>
      </c>
      <c r="Y1618" s="18">
        <v>45803</v>
      </c>
      <c r="Z1618" s="13" t="s">
        <v>516</v>
      </c>
      <c r="AA1618" s="19" t="s">
        <v>361</v>
      </c>
      <c r="AB1618" s="13" t="s">
        <v>357</v>
      </c>
      <c r="AC1618" s="13" t="s">
        <v>489</v>
      </c>
      <c r="AD1618" s="20"/>
      <c r="AE1618" s="20"/>
      <c r="AF1618" s="13" t="s">
        <v>40</v>
      </c>
      <c r="AG1618" s="15">
        <v>45413</v>
      </c>
      <c r="AH1618" s="13" t="s">
        <v>41</v>
      </c>
      <c r="AI1618" s="13" t="s">
        <v>76</v>
      </c>
      <c r="AJ1618" s="13" t="str">
        <f>VLOOKUP(E1618,Precios!Z$2:AA$941,2,FALSE)</f>
        <v>Detergente SPUM 5 Litros (Blanco)</v>
      </c>
      <c r="AK1618" s="14">
        <f>VLOOKUP(E1618,Precios!Z$2:BB$941,3,FALSE)*F1618</f>
        <v>-1</v>
      </c>
      <c r="AL1618" s="17"/>
      <c r="AM1618" s="17"/>
      <c r="AN1618" s="17"/>
      <c r="AO1618" s="17"/>
      <c r="AP1618" s="17"/>
      <c r="AQ1618" s="17"/>
      <c r="AR1618" s="17"/>
      <c r="AS1618" s="17"/>
      <c r="AT1618" s="17"/>
      <c r="AU1618" s="17"/>
      <c r="AV1618" s="17"/>
    </row>
    <row r="1619" spans="1:48" ht="15.75" customHeight="1">
      <c r="A1619" s="21" t="s">
        <v>35</v>
      </c>
      <c r="B1619" s="23" t="s">
        <v>1692</v>
      </c>
      <c r="C1619" s="22">
        <v>45804</v>
      </c>
      <c r="D1619" s="23" t="s">
        <v>142</v>
      </c>
      <c r="E1619" s="23" t="s">
        <v>37</v>
      </c>
      <c r="F1619" s="21">
        <v>2</v>
      </c>
      <c r="G1619" s="12">
        <v>11000.014358944907</v>
      </c>
      <c r="H1619" s="12">
        <v>22000.028717889814</v>
      </c>
      <c r="I1619" s="23" t="s">
        <v>52</v>
      </c>
      <c r="J1619" s="23" t="s">
        <v>61</v>
      </c>
      <c r="K1619" s="24" t="s">
        <v>177</v>
      </c>
      <c r="L1619" s="24">
        <v>144</v>
      </c>
      <c r="M1619" s="12">
        <v>9243.7095453318543</v>
      </c>
      <c r="N1619" s="12">
        <v>18487.419090663709</v>
      </c>
      <c r="O1619" s="12">
        <v>3512.6096272261057</v>
      </c>
      <c r="P1619" s="13"/>
      <c r="Q1619" s="14">
        <v>2025</v>
      </c>
      <c r="R1619" s="15">
        <v>45413</v>
      </c>
      <c r="S1619" s="11" t="s">
        <v>364</v>
      </c>
      <c r="T1619" s="16">
        <v>2000</v>
      </c>
      <c r="U1619" s="17"/>
      <c r="V1619" s="12">
        <v>5612.225813352783</v>
      </c>
      <c r="W1619" s="12">
        <v>5612.225813352783</v>
      </c>
      <c r="X1619" s="12">
        <v>0</v>
      </c>
      <c r="Y1619" s="18">
        <v>45803</v>
      </c>
      <c r="Z1619" s="13" t="s">
        <v>516</v>
      </c>
      <c r="AA1619" s="19" t="s">
        <v>361</v>
      </c>
      <c r="AB1619" s="13" t="s">
        <v>357</v>
      </c>
      <c r="AC1619" s="13" t="s">
        <v>489</v>
      </c>
      <c r="AD1619" s="20"/>
      <c r="AE1619" s="20"/>
      <c r="AF1619" s="13" t="s">
        <v>40</v>
      </c>
      <c r="AG1619" s="15">
        <v>45413</v>
      </c>
      <c r="AH1619" s="13" t="s">
        <v>41</v>
      </c>
      <c r="AI1619" s="13" t="s">
        <v>35</v>
      </c>
      <c r="AJ1619" s="13" t="str">
        <f>VLOOKUP(E1619,Precios!Z$2:AA$941,2,FALSE)</f>
        <v>Queso RUNCA Mantecoso</v>
      </c>
      <c r="AK1619" s="14">
        <f>VLOOKUP(E1619,Precios!Z$2:BB$941,3,FALSE)*F1619</f>
        <v>-2</v>
      </c>
      <c r="AL1619" s="17"/>
      <c r="AM1619" s="17"/>
      <c r="AN1619" s="17"/>
      <c r="AO1619" s="17"/>
      <c r="AP1619" s="17"/>
      <c r="AQ1619" s="17"/>
      <c r="AR1619" s="17"/>
      <c r="AS1619" s="17"/>
      <c r="AT1619" s="17"/>
      <c r="AU1619" s="17"/>
      <c r="AV1619" s="17"/>
    </row>
    <row r="1620" spans="1:48" ht="15.75" customHeight="1">
      <c r="A1620" s="21" t="s">
        <v>47</v>
      </c>
      <c r="B1620" s="23" t="s">
        <v>1692</v>
      </c>
      <c r="C1620" s="22">
        <v>45804</v>
      </c>
      <c r="D1620" s="23" t="s">
        <v>142</v>
      </c>
      <c r="E1620" s="23" t="s">
        <v>153</v>
      </c>
      <c r="F1620" s="21">
        <v>1</v>
      </c>
      <c r="G1620" s="12">
        <v>1700</v>
      </c>
      <c r="H1620" s="12">
        <v>1700</v>
      </c>
      <c r="I1620" s="23" t="s">
        <v>52</v>
      </c>
      <c r="J1620" s="23" t="s">
        <v>61</v>
      </c>
      <c r="K1620" s="24" t="s">
        <v>177</v>
      </c>
      <c r="L1620" s="24">
        <v>144</v>
      </c>
      <c r="M1620" s="12">
        <v>1428.5714285714287</v>
      </c>
      <c r="N1620" s="12">
        <v>1428.5714285714287</v>
      </c>
      <c r="O1620" s="12">
        <v>271.42857142857133</v>
      </c>
      <c r="P1620" s="13"/>
      <c r="Q1620" s="14">
        <v>2025</v>
      </c>
      <c r="R1620" s="15">
        <v>45413</v>
      </c>
      <c r="S1620" s="11" t="s">
        <v>153</v>
      </c>
      <c r="T1620" s="16">
        <v>0</v>
      </c>
      <c r="U1620" s="17"/>
      <c r="V1620" s="12">
        <v>589.57142857142867</v>
      </c>
      <c r="W1620" s="12">
        <v>589.57142857142867</v>
      </c>
      <c r="X1620" s="12">
        <v>0</v>
      </c>
      <c r="Y1620" s="18">
        <v>45803</v>
      </c>
      <c r="Z1620" s="13" t="s">
        <v>516</v>
      </c>
      <c r="AA1620" s="19" t="s">
        <v>361</v>
      </c>
      <c r="AB1620" s="13" t="s">
        <v>357</v>
      </c>
      <c r="AC1620" s="13" t="s">
        <v>489</v>
      </c>
      <c r="AD1620" s="20"/>
      <c r="AE1620" s="20"/>
      <c r="AF1620" s="13" t="s">
        <v>40</v>
      </c>
      <c r="AG1620" s="15">
        <v>45413</v>
      </c>
      <c r="AH1620" s="13" t="s">
        <v>41</v>
      </c>
      <c r="AI1620" s="13" t="s">
        <v>47</v>
      </c>
      <c r="AJ1620" s="13" t="str">
        <f>VLOOKUP(E1620,Precios!Z$2:AA$941,2,FALSE)</f>
        <v>Escobillon TEDDY</v>
      </c>
      <c r="AK1620" s="14">
        <f>VLOOKUP(E1620,Precios!Z$2:BB$941,3,FALSE)*F1620</f>
        <v>-1</v>
      </c>
      <c r="AL1620" s="17"/>
      <c r="AM1620" s="17"/>
      <c r="AN1620" s="17"/>
      <c r="AO1620" s="17"/>
      <c r="AP1620" s="17"/>
      <c r="AQ1620" s="17"/>
      <c r="AR1620" s="17"/>
      <c r="AS1620" s="17"/>
      <c r="AT1620" s="17"/>
      <c r="AU1620" s="17"/>
      <c r="AV1620" s="17"/>
    </row>
    <row r="1621" spans="1:48" ht="15.75" customHeight="1">
      <c r="A1621" s="21" t="s">
        <v>147</v>
      </c>
      <c r="B1621" s="23" t="s">
        <v>1692</v>
      </c>
      <c r="C1621" s="22">
        <v>45804</v>
      </c>
      <c r="D1621" s="23" t="s">
        <v>142</v>
      </c>
      <c r="E1621" s="23" t="s">
        <v>149</v>
      </c>
      <c r="F1621" s="21">
        <v>1</v>
      </c>
      <c r="G1621" s="12">
        <v>1700</v>
      </c>
      <c r="H1621" s="12">
        <v>1700</v>
      </c>
      <c r="I1621" s="23" t="s">
        <v>52</v>
      </c>
      <c r="J1621" s="23" t="s">
        <v>61</v>
      </c>
      <c r="K1621" s="24" t="s">
        <v>177</v>
      </c>
      <c r="L1621" s="24">
        <v>144</v>
      </c>
      <c r="M1621" s="12">
        <v>1428.5714285714287</v>
      </c>
      <c r="N1621" s="12">
        <v>1428.5714285714287</v>
      </c>
      <c r="O1621" s="12">
        <v>271.42857142857133</v>
      </c>
      <c r="P1621" s="13"/>
      <c r="Q1621" s="14">
        <v>2025</v>
      </c>
      <c r="R1621" s="15">
        <v>45413</v>
      </c>
      <c r="S1621" s="11" t="s">
        <v>412</v>
      </c>
      <c r="T1621" s="16">
        <v>0</v>
      </c>
      <c r="U1621" s="17"/>
      <c r="V1621" s="12">
        <v>774.78991596638662</v>
      </c>
      <c r="W1621" s="12">
        <v>774.78991596638662</v>
      </c>
      <c r="X1621" s="12">
        <v>0</v>
      </c>
      <c r="Y1621" s="18">
        <v>45803</v>
      </c>
      <c r="Z1621" s="13" t="s">
        <v>516</v>
      </c>
      <c r="AA1621" s="19" t="s">
        <v>361</v>
      </c>
      <c r="AB1621" s="13" t="s">
        <v>357</v>
      </c>
      <c r="AC1621" s="13" t="s">
        <v>489</v>
      </c>
      <c r="AD1621" s="20"/>
      <c r="AE1621" s="20"/>
      <c r="AF1621" s="13" t="s">
        <v>40</v>
      </c>
      <c r="AG1621" s="15">
        <v>45413</v>
      </c>
      <c r="AH1621" s="13" t="s">
        <v>41</v>
      </c>
      <c r="AI1621" s="13" t="s">
        <v>147</v>
      </c>
      <c r="AJ1621" s="13" t="str">
        <f>VLOOKUP(E1621,Precios!Z$2:AA$941,2,FALSE)</f>
        <v>Film Plástico 30 metros</v>
      </c>
      <c r="AK1621" s="14">
        <f>VLOOKUP(E1621,Precios!Z$2:BB$941,3,FALSE)*F1621</f>
        <v>-1</v>
      </c>
      <c r="AL1621" s="17"/>
      <c r="AM1621" s="17"/>
      <c r="AN1621" s="17"/>
      <c r="AO1621" s="17"/>
      <c r="AP1621" s="17"/>
      <c r="AQ1621" s="17"/>
      <c r="AR1621" s="17"/>
      <c r="AS1621" s="17"/>
      <c r="AT1621" s="17"/>
      <c r="AU1621" s="17"/>
      <c r="AV1621" s="17"/>
    </row>
    <row r="1622" spans="1:48" ht="15.75" customHeight="1">
      <c r="A1622" s="21" t="s">
        <v>56</v>
      </c>
      <c r="B1622" s="23" t="s">
        <v>1692</v>
      </c>
      <c r="C1622" s="22">
        <v>45804</v>
      </c>
      <c r="D1622" s="23" t="s">
        <v>142</v>
      </c>
      <c r="E1622" s="23" t="s">
        <v>190</v>
      </c>
      <c r="F1622" s="21">
        <v>1</v>
      </c>
      <c r="G1622" s="12">
        <v>2499.8855507868384</v>
      </c>
      <c r="H1622" s="12">
        <v>2499.8855507868384</v>
      </c>
      <c r="I1622" s="23" t="s">
        <v>52</v>
      </c>
      <c r="J1622" s="23" t="s">
        <v>61</v>
      </c>
      <c r="K1622" s="24" t="s">
        <v>177</v>
      </c>
      <c r="L1622" s="24">
        <v>144</v>
      </c>
      <c r="M1622" s="12">
        <v>2100.7441603250745</v>
      </c>
      <c r="N1622" s="12">
        <v>2100.7441603250745</v>
      </c>
      <c r="O1622" s="12">
        <v>399.14139046176388</v>
      </c>
      <c r="P1622" s="13"/>
      <c r="Q1622" s="14">
        <v>2025</v>
      </c>
      <c r="R1622" s="15">
        <v>45413</v>
      </c>
      <c r="S1622" s="11" t="s">
        <v>492</v>
      </c>
      <c r="T1622" s="16">
        <v>200</v>
      </c>
      <c r="U1622" s="17"/>
      <c r="V1622" s="12">
        <v>632.32399225784707</v>
      </c>
      <c r="W1622" s="12">
        <v>632.32399225784707</v>
      </c>
      <c r="X1622" s="12">
        <v>0</v>
      </c>
      <c r="Y1622" s="18">
        <v>45803</v>
      </c>
      <c r="Z1622" s="13" t="s">
        <v>516</v>
      </c>
      <c r="AA1622" s="19" t="s">
        <v>361</v>
      </c>
      <c r="AB1622" s="13" t="s">
        <v>357</v>
      </c>
      <c r="AC1622" s="13" t="s">
        <v>489</v>
      </c>
      <c r="AD1622" s="20"/>
      <c r="AE1622" s="20"/>
      <c r="AF1622" s="13" t="s">
        <v>40</v>
      </c>
      <c r="AG1622" s="15">
        <v>45413</v>
      </c>
      <c r="AH1622" s="13" t="s">
        <v>41</v>
      </c>
      <c r="AI1622" s="13" t="s">
        <v>56</v>
      </c>
      <c r="AJ1622" s="13" t="str">
        <f>VLOOKUP(E1622,Precios!Z$2:AA$941,2,FALSE)</f>
        <v>Mantequilla RUMAY</v>
      </c>
      <c r="AK1622" s="14">
        <f>VLOOKUP(E1622,Precios!Z$2:BB$941,3,FALSE)*F1622</f>
        <v>-1</v>
      </c>
      <c r="AL1622" s="17"/>
      <c r="AM1622" s="17"/>
      <c r="AN1622" s="17"/>
      <c r="AO1622" s="17"/>
      <c r="AP1622" s="17"/>
      <c r="AQ1622" s="17"/>
      <c r="AR1622" s="17"/>
      <c r="AS1622" s="17"/>
      <c r="AT1622" s="17"/>
      <c r="AU1622" s="17"/>
      <c r="AV1622" s="17"/>
    </row>
    <row r="1623" spans="1:48" ht="15.75" customHeight="1">
      <c r="A1623" s="21" t="s">
        <v>56</v>
      </c>
      <c r="B1623" s="23" t="s">
        <v>1692</v>
      </c>
      <c r="C1623" s="22">
        <v>45804</v>
      </c>
      <c r="D1623" s="23" t="s">
        <v>915</v>
      </c>
      <c r="E1623" s="23" t="s">
        <v>524</v>
      </c>
      <c r="F1623" s="21">
        <v>1</v>
      </c>
      <c r="G1623" s="12">
        <v>4799.9749310604157</v>
      </c>
      <c r="H1623" s="12">
        <v>4799.9749310604157</v>
      </c>
      <c r="I1623" s="23" t="s">
        <v>52</v>
      </c>
      <c r="J1623" s="23" t="s">
        <v>61</v>
      </c>
      <c r="K1623" s="24" t="s">
        <v>177</v>
      </c>
      <c r="L1623" s="24">
        <v>144</v>
      </c>
      <c r="M1623" s="12">
        <v>4033.5923790423662</v>
      </c>
      <c r="N1623" s="12">
        <v>4033.5923790423662</v>
      </c>
      <c r="O1623" s="12">
        <v>766.38255201804941</v>
      </c>
      <c r="P1623" s="13"/>
      <c r="Q1623" s="14">
        <v>2025</v>
      </c>
      <c r="R1623" s="15">
        <v>45413</v>
      </c>
      <c r="S1623" s="11" t="s">
        <v>429</v>
      </c>
      <c r="T1623" s="16">
        <v>200</v>
      </c>
      <c r="U1623" s="17"/>
      <c r="V1623" s="12">
        <v>815.59237904236625</v>
      </c>
      <c r="W1623" s="12">
        <v>815.59237904236625</v>
      </c>
      <c r="X1623" s="12">
        <v>0</v>
      </c>
      <c r="Y1623" s="18">
        <v>45803</v>
      </c>
      <c r="Z1623" s="13" t="s">
        <v>516</v>
      </c>
      <c r="AA1623" s="19" t="s">
        <v>367</v>
      </c>
      <c r="AB1623" s="13" t="s">
        <v>357</v>
      </c>
      <c r="AC1623" s="13" t="s">
        <v>367</v>
      </c>
      <c r="AD1623" s="20"/>
      <c r="AE1623" s="20"/>
      <c r="AF1623" s="13" t="s">
        <v>40</v>
      </c>
      <c r="AG1623" s="15">
        <v>45413</v>
      </c>
      <c r="AH1623" s="13" t="s">
        <v>41</v>
      </c>
      <c r="AI1623" s="13" t="s">
        <v>56</v>
      </c>
      <c r="AJ1623" s="13" t="str">
        <f>VLOOKUP(E1623,Precios!Z$2:AA$941,2,FALSE)</f>
        <v>Queso Cabra</v>
      </c>
      <c r="AK1623" s="14">
        <f>VLOOKUP(E1623,Precios!Z$2:BB$941,3,FALSE)*F1623</f>
        <v>-1</v>
      </c>
      <c r="AL1623" s="17"/>
      <c r="AM1623" s="17"/>
      <c r="AN1623" s="17"/>
      <c r="AO1623" s="17"/>
      <c r="AP1623" s="17"/>
      <c r="AQ1623" s="17"/>
      <c r="AR1623" s="17"/>
      <c r="AS1623" s="17"/>
      <c r="AT1623" s="17"/>
      <c r="AU1623" s="17"/>
      <c r="AV1623" s="17"/>
    </row>
    <row r="1624" spans="1:48" ht="15.75" customHeight="1">
      <c r="A1624" s="21" t="s">
        <v>76</v>
      </c>
      <c r="B1624" s="23" t="s">
        <v>1692</v>
      </c>
      <c r="C1624" s="22">
        <v>45804</v>
      </c>
      <c r="D1624" s="23" t="s">
        <v>915</v>
      </c>
      <c r="E1624" s="23" t="s">
        <v>137</v>
      </c>
      <c r="F1624" s="21">
        <v>1</v>
      </c>
      <c r="G1624" s="12">
        <v>3500.0000000000005</v>
      </c>
      <c r="H1624" s="12">
        <v>3500.0000000000005</v>
      </c>
      <c r="I1624" s="23" t="s">
        <v>52</v>
      </c>
      <c r="J1624" s="23" t="s">
        <v>61</v>
      </c>
      <c r="K1624" s="24" t="s">
        <v>177</v>
      </c>
      <c r="L1624" s="24">
        <v>144</v>
      </c>
      <c r="M1624" s="12">
        <v>2941.1764705882356</v>
      </c>
      <c r="N1624" s="12">
        <v>2941.1764705882356</v>
      </c>
      <c r="O1624" s="12">
        <v>558.82352941176487</v>
      </c>
      <c r="P1624" s="13"/>
      <c r="Q1624" s="14">
        <v>2025</v>
      </c>
      <c r="R1624" s="15">
        <v>45413</v>
      </c>
      <c r="S1624" s="11" t="s">
        <v>406</v>
      </c>
      <c r="T1624" s="16">
        <v>5</v>
      </c>
      <c r="U1624" s="17"/>
      <c r="V1624" s="12">
        <v>848.73949579831969</v>
      </c>
      <c r="W1624" s="12">
        <v>848.73949579831969</v>
      </c>
      <c r="X1624" s="12">
        <v>0</v>
      </c>
      <c r="Y1624" s="18">
        <v>45803</v>
      </c>
      <c r="Z1624" s="13" t="s">
        <v>516</v>
      </c>
      <c r="AA1624" s="19" t="s">
        <v>367</v>
      </c>
      <c r="AB1624" s="13" t="s">
        <v>357</v>
      </c>
      <c r="AC1624" s="13" t="s">
        <v>367</v>
      </c>
      <c r="AD1624" s="20"/>
      <c r="AE1624" s="20"/>
      <c r="AF1624" s="13" t="s">
        <v>40</v>
      </c>
      <c r="AG1624" s="15">
        <v>45413</v>
      </c>
      <c r="AH1624" s="13" t="s">
        <v>41</v>
      </c>
      <c r="AI1624" s="13" t="s">
        <v>76</v>
      </c>
      <c r="AJ1624" s="13" t="str">
        <f>VLOOKUP(E1624,Precios!Z$2:AA$941,2,FALSE)</f>
        <v>Detergente SPUM 5 Litros (Blanco)</v>
      </c>
      <c r="AK1624" s="14">
        <f>VLOOKUP(E1624,Precios!Z$2:BB$941,3,FALSE)*F1624</f>
        <v>-1</v>
      </c>
      <c r="AL1624" s="17"/>
      <c r="AM1624" s="17"/>
      <c r="AN1624" s="17"/>
      <c r="AO1624" s="17"/>
      <c r="AP1624" s="17"/>
      <c r="AQ1624" s="17"/>
      <c r="AR1624" s="17"/>
      <c r="AS1624" s="17"/>
      <c r="AT1624" s="17"/>
      <c r="AU1624" s="17"/>
      <c r="AV1624" s="17"/>
    </row>
    <row r="1625" spans="1:48" ht="15.75" customHeight="1">
      <c r="A1625" s="21" t="s">
        <v>43</v>
      </c>
      <c r="B1625" s="23" t="s">
        <v>1692</v>
      </c>
      <c r="C1625" s="22">
        <v>45804</v>
      </c>
      <c r="D1625" s="23" t="s">
        <v>291</v>
      </c>
      <c r="E1625" s="23" t="s">
        <v>45</v>
      </c>
      <c r="F1625" s="21">
        <v>1</v>
      </c>
      <c r="G1625" s="12">
        <v>8199.8965351595689</v>
      </c>
      <c r="H1625" s="12">
        <v>8199.8965351595689</v>
      </c>
      <c r="I1625" s="23" t="s">
        <v>52</v>
      </c>
      <c r="J1625" s="23" t="s">
        <v>61</v>
      </c>
      <c r="K1625" s="24" t="s">
        <v>177</v>
      </c>
      <c r="L1625" s="24">
        <v>144</v>
      </c>
      <c r="M1625" s="12">
        <v>6890.6693572769491</v>
      </c>
      <c r="N1625" s="12">
        <v>6890.6693572769491</v>
      </c>
      <c r="O1625" s="12">
        <v>1309.2271778826198</v>
      </c>
      <c r="P1625" s="13"/>
      <c r="Q1625" s="14">
        <v>2025</v>
      </c>
      <c r="R1625" s="15">
        <v>45413</v>
      </c>
      <c r="S1625" s="11" t="s">
        <v>355</v>
      </c>
      <c r="T1625" s="16">
        <v>0</v>
      </c>
      <c r="U1625" s="17"/>
      <c r="V1625" s="12">
        <v>1296.3416261845123</v>
      </c>
      <c r="W1625" s="12">
        <v>1296.3416261845123</v>
      </c>
      <c r="X1625" s="12">
        <v>0</v>
      </c>
      <c r="Y1625" s="18">
        <v>45803</v>
      </c>
      <c r="Z1625" s="13" t="s">
        <v>516</v>
      </c>
      <c r="AA1625" s="19" t="s">
        <v>373</v>
      </c>
      <c r="AB1625" s="13" t="s">
        <v>357</v>
      </c>
      <c r="AC1625" s="13" t="s">
        <v>374</v>
      </c>
      <c r="AD1625" s="20"/>
      <c r="AE1625" s="20"/>
      <c r="AF1625" s="13" t="s">
        <v>40</v>
      </c>
      <c r="AG1625" s="15">
        <v>45413</v>
      </c>
      <c r="AH1625" s="13" t="s">
        <v>41</v>
      </c>
      <c r="AI1625" s="13" t="s">
        <v>43</v>
      </c>
      <c r="AJ1625" s="13" t="str">
        <f>VLOOKUP(E1625,Precios!Z$2:AA$941,2,FALSE)</f>
        <v>Bandeja Huevos EXTRA</v>
      </c>
      <c r="AK1625" s="14">
        <f>VLOOKUP(E1625,Precios!Z$2:BB$941,3,FALSE)*F1625</f>
        <v>-1</v>
      </c>
      <c r="AL1625" s="17"/>
      <c r="AM1625" s="17"/>
      <c r="AN1625" s="17"/>
      <c r="AO1625" s="17"/>
      <c r="AP1625" s="17"/>
      <c r="AQ1625" s="17"/>
      <c r="AR1625" s="17"/>
      <c r="AS1625" s="17"/>
      <c r="AT1625" s="17"/>
      <c r="AU1625" s="17"/>
      <c r="AV1625" s="17"/>
    </row>
    <row r="1626" spans="1:48" ht="15.75" customHeight="1">
      <c r="A1626" s="21" t="s">
        <v>35</v>
      </c>
      <c r="B1626" s="23" t="s">
        <v>1692</v>
      </c>
      <c r="C1626" s="22">
        <v>45804</v>
      </c>
      <c r="D1626" s="23" t="s">
        <v>619</v>
      </c>
      <c r="E1626" s="23" t="s">
        <v>46</v>
      </c>
      <c r="F1626" s="21">
        <v>1</v>
      </c>
      <c r="G1626" s="12">
        <v>6000.1548227279782</v>
      </c>
      <c r="H1626" s="12">
        <v>6000.1548227279782</v>
      </c>
      <c r="I1626" s="23" t="s">
        <v>52</v>
      </c>
      <c r="J1626" s="23" t="s">
        <v>61</v>
      </c>
      <c r="K1626" s="24" t="s">
        <v>177</v>
      </c>
      <c r="L1626" s="24">
        <v>144</v>
      </c>
      <c r="M1626" s="12">
        <v>5042.1469098554444</v>
      </c>
      <c r="N1626" s="12">
        <v>5042.1469098554444</v>
      </c>
      <c r="O1626" s="12">
        <v>958.00791287253378</v>
      </c>
      <c r="P1626" s="13"/>
      <c r="Q1626" s="14">
        <v>2025</v>
      </c>
      <c r="R1626" s="15">
        <v>45413</v>
      </c>
      <c r="S1626" s="11" t="s">
        <v>364</v>
      </c>
      <c r="T1626" s="16">
        <v>500</v>
      </c>
      <c r="U1626" s="17"/>
      <c r="V1626" s="12">
        <v>1785.4242207798129</v>
      </c>
      <c r="W1626" s="12">
        <v>1785.4242207798129</v>
      </c>
      <c r="X1626" s="12">
        <v>0</v>
      </c>
      <c r="Y1626" s="18">
        <v>45803</v>
      </c>
      <c r="Z1626" s="13" t="s">
        <v>516</v>
      </c>
      <c r="AA1626" s="19" t="s">
        <v>373</v>
      </c>
      <c r="AB1626" s="13" t="s">
        <v>357</v>
      </c>
      <c r="AC1626" s="13" t="s">
        <v>461</v>
      </c>
      <c r="AD1626" s="20"/>
      <c r="AE1626" s="20"/>
      <c r="AF1626" s="13" t="s">
        <v>40</v>
      </c>
      <c r="AG1626" s="15">
        <v>45413</v>
      </c>
      <c r="AH1626" s="13" t="s">
        <v>41</v>
      </c>
      <c r="AI1626" s="13" t="s">
        <v>35</v>
      </c>
      <c r="AJ1626" s="13" t="str">
        <f>VLOOKUP(E1626,Precios!Z$2:AA$941,2,FALSE)</f>
        <v>Queso RUNCA Mantecoso</v>
      </c>
      <c r="AK1626" s="14">
        <f>VLOOKUP(E1626,Precios!Z$2:BB$941,3,FALSE)*F1626</f>
        <v>-0.5</v>
      </c>
      <c r="AL1626" s="17"/>
      <c r="AM1626" s="17"/>
      <c r="AN1626" s="17"/>
      <c r="AO1626" s="17"/>
      <c r="AP1626" s="17"/>
      <c r="AQ1626" s="17"/>
      <c r="AR1626" s="17"/>
      <c r="AS1626" s="17"/>
      <c r="AT1626" s="17"/>
      <c r="AU1626" s="17"/>
      <c r="AV1626" s="17"/>
    </row>
    <row r="1627" spans="1:48" ht="15.75" customHeight="1">
      <c r="A1627" s="21" t="s">
        <v>47</v>
      </c>
      <c r="B1627" s="23" t="s">
        <v>1692</v>
      </c>
      <c r="C1627" s="22">
        <v>45804</v>
      </c>
      <c r="D1627" s="23" t="s">
        <v>619</v>
      </c>
      <c r="E1627" s="23" t="s">
        <v>153</v>
      </c>
      <c r="F1627" s="21">
        <v>1</v>
      </c>
      <c r="G1627" s="12">
        <v>1700</v>
      </c>
      <c r="H1627" s="12">
        <v>1700</v>
      </c>
      <c r="I1627" s="23" t="s">
        <v>52</v>
      </c>
      <c r="J1627" s="23" t="s">
        <v>61</v>
      </c>
      <c r="K1627" s="24" t="s">
        <v>177</v>
      </c>
      <c r="L1627" s="24">
        <v>144</v>
      </c>
      <c r="M1627" s="12">
        <v>1428.5714285714287</v>
      </c>
      <c r="N1627" s="12">
        <v>1428.5714285714287</v>
      </c>
      <c r="O1627" s="12">
        <v>271.42857142857133</v>
      </c>
      <c r="P1627" s="13"/>
      <c r="Q1627" s="14">
        <v>2025</v>
      </c>
      <c r="R1627" s="15">
        <v>45413</v>
      </c>
      <c r="S1627" s="11" t="s">
        <v>153</v>
      </c>
      <c r="T1627" s="16">
        <v>0</v>
      </c>
      <c r="U1627" s="17"/>
      <c r="V1627" s="12">
        <v>589.57142857142867</v>
      </c>
      <c r="W1627" s="12">
        <v>589.57142857142867</v>
      </c>
      <c r="X1627" s="12">
        <v>0</v>
      </c>
      <c r="Y1627" s="18">
        <v>45803</v>
      </c>
      <c r="Z1627" s="13" t="s">
        <v>516</v>
      </c>
      <c r="AA1627" s="19" t="s">
        <v>373</v>
      </c>
      <c r="AB1627" s="13" t="s">
        <v>357</v>
      </c>
      <c r="AC1627" s="13" t="s">
        <v>461</v>
      </c>
      <c r="AD1627" s="20"/>
      <c r="AE1627" s="20"/>
      <c r="AF1627" s="13" t="s">
        <v>40</v>
      </c>
      <c r="AG1627" s="15">
        <v>45413</v>
      </c>
      <c r="AH1627" s="13" t="s">
        <v>41</v>
      </c>
      <c r="AI1627" s="13" t="s">
        <v>47</v>
      </c>
      <c r="AJ1627" s="13" t="str">
        <f>VLOOKUP(E1627,Precios!Z$2:AA$941,2,FALSE)</f>
        <v>Escobillon TEDDY</v>
      </c>
      <c r="AK1627" s="14">
        <f>VLOOKUP(E1627,Precios!Z$2:BB$941,3,FALSE)*F1627</f>
        <v>-1</v>
      </c>
      <c r="AL1627" s="17"/>
      <c r="AM1627" s="17"/>
      <c r="AN1627" s="17"/>
      <c r="AO1627" s="17"/>
      <c r="AP1627" s="17"/>
      <c r="AQ1627" s="17"/>
      <c r="AR1627" s="17"/>
      <c r="AS1627" s="17"/>
      <c r="AT1627" s="17"/>
      <c r="AU1627" s="17"/>
      <c r="AV1627" s="17"/>
    </row>
    <row r="1628" spans="1:48" ht="15.75" customHeight="1">
      <c r="A1628" s="21" t="s">
        <v>76</v>
      </c>
      <c r="B1628" s="23" t="s">
        <v>1692</v>
      </c>
      <c r="C1628" s="22">
        <v>45804</v>
      </c>
      <c r="D1628" s="23" t="s">
        <v>619</v>
      </c>
      <c r="E1628" s="23" t="s">
        <v>77</v>
      </c>
      <c r="F1628" s="21">
        <v>1</v>
      </c>
      <c r="G1628" s="12">
        <v>1700.4255319148936</v>
      </c>
      <c r="H1628" s="12">
        <v>1700.4255319148936</v>
      </c>
      <c r="I1628" s="23" t="s">
        <v>52</v>
      </c>
      <c r="J1628" s="23" t="s">
        <v>61</v>
      </c>
      <c r="K1628" s="24" t="s">
        <v>177</v>
      </c>
      <c r="L1628" s="24">
        <v>144</v>
      </c>
      <c r="M1628" s="12">
        <v>1428.929018415877</v>
      </c>
      <c r="N1628" s="12">
        <v>1428.929018415877</v>
      </c>
      <c r="O1628" s="12">
        <v>271.4965134990166</v>
      </c>
      <c r="P1628" s="13"/>
      <c r="Q1628" s="14">
        <v>2025</v>
      </c>
      <c r="R1628" s="15">
        <v>45413</v>
      </c>
      <c r="S1628" s="11" t="s">
        <v>448</v>
      </c>
      <c r="T1628" s="16">
        <v>0</v>
      </c>
      <c r="U1628" s="17"/>
      <c r="V1628" s="12">
        <v>589.43322009654923</v>
      </c>
      <c r="W1628" s="12">
        <v>589.43322009654923</v>
      </c>
      <c r="X1628" s="12">
        <v>0</v>
      </c>
      <c r="Y1628" s="18">
        <v>45803</v>
      </c>
      <c r="Z1628" s="13" t="s">
        <v>516</v>
      </c>
      <c r="AA1628" s="19" t="s">
        <v>373</v>
      </c>
      <c r="AB1628" s="13" t="s">
        <v>357</v>
      </c>
      <c r="AC1628" s="13" t="s">
        <v>461</v>
      </c>
      <c r="AD1628" s="20"/>
      <c r="AE1628" s="20"/>
      <c r="AF1628" s="13" t="s">
        <v>40</v>
      </c>
      <c r="AG1628" s="15">
        <v>45413</v>
      </c>
      <c r="AH1628" s="13" t="s">
        <v>41</v>
      </c>
      <c r="AI1628" s="13" t="s">
        <v>76</v>
      </c>
      <c r="AJ1628" s="13" t="str">
        <f>VLOOKUP(E1628,Precios!Z$2:AA$941,2,FALSE)</f>
        <v>Cloro GEL IGENIX 900ml</v>
      </c>
      <c r="AK1628" s="14">
        <f>VLOOKUP(E1628,Precios!Z$2:BB$941,3,FALSE)*F1628</f>
        <v>-1</v>
      </c>
      <c r="AL1628" s="17"/>
      <c r="AM1628" s="17"/>
      <c r="AN1628" s="17"/>
      <c r="AO1628" s="17"/>
      <c r="AP1628" s="17"/>
      <c r="AQ1628" s="17"/>
      <c r="AR1628" s="17"/>
      <c r="AS1628" s="17"/>
      <c r="AT1628" s="17"/>
      <c r="AU1628" s="17"/>
      <c r="AV1628" s="17"/>
    </row>
    <row r="1629" spans="1:48" ht="15.75" customHeight="1">
      <c r="A1629" s="21" t="s">
        <v>76</v>
      </c>
      <c r="B1629" s="23" t="s">
        <v>1692</v>
      </c>
      <c r="C1629" s="22">
        <v>45804</v>
      </c>
      <c r="D1629" s="23" t="s">
        <v>619</v>
      </c>
      <c r="E1629" s="23" t="s">
        <v>78</v>
      </c>
      <c r="F1629" s="21">
        <v>1</v>
      </c>
      <c r="G1629" s="12">
        <v>3699.7285326475212</v>
      </c>
      <c r="H1629" s="12">
        <v>3699.7285326475212</v>
      </c>
      <c r="I1629" s="23" t="s">
        <v>52</v>
      </c>
      <c r="J1629" s="23" t="s">
        <v>61</v>
      </c>
      <c r="K1629" s="24" t="s">
        <v>177</v>
      </c>
      <c r="L1629" s="24">
        <v>144</v>
      </c>
      <c r="M1629" s="12">
        <v>3109.0155736533793</v>
      </c>
      <c r="N1629" s="12">
        <v>3109.0155736533793</v>
      </c>
      <c r="O1629" s="12">
        <v>590.7129589941419</v>
      </c>
      <c r="P1629" s="13"/>
      <c r="Q1629" s="14">
        <v>2025</v>
      </c>
      <c r="R1629" s="15">
        <v>45413</v>
      </c>
      <c r="S1629" s="11" t="s">
        <v>479</v>
      </c>
      <c r="T1629" s="16">
        <v>0</v>
      </c>
      <c r="U1629" s="17"/>
      <c r="V1629" s="12">
        <v>933.01557365337931</v>
      </c>
      <c r="W1629" s="12">
        <v>933.01557365337931</v>
      </c>
      <c r="X1629" s="12">
        <v>0</v>
      </c>
      <c r="Y1629" s="18">
        <v>45803</v>
      </c>
      <c r="Z1629" s="13" t="s">
        <v>516</v>
      </c>
      <c r="AA1629" s="19" t="s">
        <v>373</v>
      </c>
      <c r="AB1629" s="13" t="s">
        <v>357</v>
      </c>
      <c r="AC1629" s="13" t="s">
        <v>461</v>
      </c>
      <c r="AD1629" s="20"/>
      <c r="AE1629" s="20"/>
      <c r="AF1629" s="13" t="s">
        <v>40</v>
      </c>
      <c r="AG1629" s="15">
        <v>45413</v>
      </c>
      <c r="AH1629" s="13" t="s">
        <v>41</v>
      </c>
      <c r="AI1629" s="13" t="s">
        <v>76</v>
      </c>
      <c r="AJ1629" s="13" t="str">
        <f>VLOOKUP(E1629,Precios!Z$2:AA$941,2,FALSE)</f>
        <v>Lavaloza MAGISTRAL 500 ml</v>
      </c>
      <c r="AK1629" s="14">
        <f>VLOOKUP(E1629,Precios!Z$2:BB$941,3,FALSE)*F1629</f>
        <v>-1</v>
      </c>
      <c r="AL1629" s="17"/>
      <c r="AM1629" s="17"/>
      <c r="AN1629" s="17"/>
      <c r="AO1629" s="17"/>
      <c r="AP1629" s="17"/>
      <c r="AQ1629" s="17"/>
      <c r="AR1629" s="17"/>
      <c r="AS1629" s="17"/>
      <c r="AT1629" s="17"/>
      <c r="AU1629" s="17"/>
      <c r="AV1629" s="17"/>
    </row>
    <row r="1630" spans="1:48" ht="15.75" customHeight="1">
      <c r="A1630" s="21" t="s">
        <v>53</v>
      </c>
      <c r="B1630" s="23" t="s">
        <v>1692</v>
      </c>
      <c r="C1630" s="22">
        <v>45804</v>
      </c>
      <c r="D1630" s="23" t="s">
        <v>619</v>
      </c>
      <c r="E1630" s="23" t="s">
        <v>320</v>
      </c>
      <c r="F1630" s="21">
        <v>1</v>
      </c>
      <c r="G1630" s="12">
        <v>6999.7727641616621</v>
      </c>
      <c r="H1630" s="12">
        <v>6999.7727641616621</v>
      </c>
      <c r="I1630" s="23" t="s">
        <v>52</v>
      </c>
      <c r="J1630" s="23" t="s">
        <v>61</v>
      </c>
      <c r="K1630" s="24" t="s">
        <v>177</v>
      </c>
      <c r="L1630" s="24">
        <v>144</v>
      </c>
      <c r="M1630" s="12">
        <v>5882.161986690473</v>
      </c>
      <c r="N1630" s="12">
        <v>5882.161986690473</v>
      </c>
      <c r="O1630" s="12">
        <v>1117.6107774711891</v>
      </c>
      <c r="P1630" s="13"/>
      <c r="Q1630" s="14">
        <v>2025</v>
      </c>
      <c r="R1630" s="15">
        <v>45413</v>
      </c>
      <c r="S1630" s="11" t="s">
        <v>435</v>
      </c>
      <c r="T1630" s="16">
        <v>0</v>
      </c>
      <c r="U1630" s="17"/>
      <c r="V1630" s="12">
        <v>2258.1619866904721</v>
      </c>
      <c r="W1630" s="12">
        <v>2258.1619866904721</v>
      </c>
      <c r="X1630" s="12">
        <v>0</v>
      </c>
      <c r="Y1630" s="18">
        <v>45803</v>
      </c>
      <c r="Z1630" s="13" t="s">
        <v>516</v>
      </c>
      <c r="AA1630" s="19" t="s">
        <v>373</v>
      </c>
      <c r="AB1630" s="13" t="s">
        <v>357</v>
      </c>
      <c r="AC1630" s="13" t="s">
        <v>461</v>
      </c>
      <c r="AD1630" s="20"/>
      <c r="AE1630" s="20"/>
      <c r="AF1630" s="13" t="s">
        <v>40</v>
      </c>
      <c r="AG1630" s="15">
        <v>45413</v>
      </c>
      <c r="AH1630" s="13" t="s">
        <v>41</v>
      </c>
      <c r="AI1630" s="13" t="s">
        <v>53</v>
      </c>
      <c r="AJ1630" s="13" t="str">
        <f>VLOOKUP(E1630,Precios!Z$2:AA$941,2,FALSE)</f>
        <v>Papel Higienico SWAN 400 hojas</v>
      </c>
      <c r="AK1630" s="14">
        <f>VLOOKUP(E1630,Precios!Z$2:BB$941,3,FALSE)*F1630</f>
        <v>-3</v>
      </c>
      <c r="AL1630" s="17"/>
      <c r="AM1630" s="17"/>
      <c r="AN1630" s="17"/>
      <c r="AO1630" s="17"/>
      <c r="AP1630" s="17"/>
      <c r="AQ1630" s="17"/>
      <c r="AR1630" s="17"/>
      <c r="AS1630" s="17"/>
      <c r="AT1630" s="17"/>
      <c r="AU1630" s="17"/>
      <c r="AV1630" s="17"/>
    </row>
    <row r="1631" spans="1:48" ht="15.75" customHeight="1">
      <c r="A1631" s="21" t="s">
        <v>43</v>
      </c>
      <c r="B1631" s="23" t="s">
        <v>1692</v>
      </c>
      <c r="C1631" s="22">
        <v>45804</v>
      </c>
      <c r="D1631" s="23" t="s">
        <v>246</v>
      </c>
      <c r="E1631" s="23" t="s">
        <v>45</v>
      </c>
      <c r="F1631" s="21">
        <v>1</v>
      </c>
      <c r="G1631" s="12">
        <v>8199.8965351595689</v>
      </c>
      <c r="H1631" s="12">
        <v>8199.8965351595689</v>
      </c>
      <c r="I1631" s="23" t="s">
        <v>52</v>
      </c>
      <c r="J1631" s="23" t="s">
        <v>61</v>
      </c>
      <c r="K1631" s="24" t="s">
        <v>177</v>
      </c>
      <c r="L1631" s="24">
        <v>144</v>
      </c>
      <c r="M1631" s="12">
        <v>6890.6693572769491</v>
      </c>
      <c r="N1631" s="12">
        <v>6890.6693572769491</v>
      </c>
      <c r="O1631" s="12">
        <v>1309.2271778826198</v>
      </c>
      <c r="P1631" s="13"/>
      <c r="Q1631" s="14">
        <v>2025</v>
      </c>
      <c r="R1631" s="15">
        <v>45413</v>
      </c>
      <c r="S1631" s="11" t="s">
        <v>355</v>
      </c>
      <c r="T1631" s="16">
        <v>0</v>
      </c>
      <c r="U1631" s="17"/>
      <c r="V1631" s="12">
        <v>1296.3416261845123</v>
      </c>
      <c r="W1631" s="12">
        <v>1296.3416261845123</v>
      </c>
      <c r="X1631" s="12">
        <v>0</v>
      </c>
      <c r="Y1631" s="18">
        <v>45803</v>
      </c>
      <c r="Z1631" s="13" t="s">
        <v>516</v>
      </c>
      <c r="AA1631" s="19" t="s">
        <v>373</v>
      </c>
      <c r="AB1631" s="13" t="s">
        <v>357</v>
      </c>
      <c r="AC1631" s="13" t="s">
        <v>389</v>
      </c>
      <c r="AD1631" s="20"/>
      <c r="AE1631" s="20"/>
      <c r="AF1631" s="13" t="s">
        <v>40</v>
      </c>
      <c r="AG1631" s="15">
        <v>45413</v>
      </c>
      <c r="AH1631" s="13" t="s">
        <v>41</v>
      </c>
      <c r="AI1631" s="13" t="s">
        <v>43</v>
      </c>
      <c r="AJ1631" s="13" t="str">
        <f>VLOOKUP(E1631,Precios!Z$2:AA$941,2,FALSE)</f>
        <v>Bandeja Huevos EXTRA</v>
      </c>
      <c r="AK1631" s="14">
        <f>VLOOKUP(E1631,Precios!Z$2:BB$941,3,FALSE)*F1631</f>
        <v>-1</v>
      </c>
      <c r="AL1631" s="17"/>
      <c r="AM1631" s="17"/>
      <c r="AN1631" s="17"/>
      <c r="AO1631" s="17"/>
      <c r="AP1631" s="17"/>
      <c r="AQ1631" s="17"/>
      <c r="AR1631" s="17"/>
      <c r="AS1631" s="17"/>
      <c r="AT1631" s="17"/>
      <c r="AU1631" s="17"/>
      <c r="AV1631" s="17"/>
    </row>
    <row r="1632" spans="1:48" ht="15.75" customHeight="1">
      <c r="A1632" s="21" t="s">
        <v>43</v>
      </c>
      <c r="B1632" s="23" t="s">
        <v>1692</v>
      </c>
      <c r="C1632" s="22">
        <v>45804</v>
      </c>
      <c r="D1632" s="23" t="s">
        <v>469</v>
      </c>
      <c r="E1632" s="23" t="s">
        <v>45</v>
      </c>
      <c r="F1632" s="21">
        <v>1</v>
      </c>
      <c r="G1632" s="12">
        <v>8199.8965351595689</v>
      </c>
      <c r="H1632" s="12">
        <v>8199.8965351595689</v>
      </c>
      <c r="I1632" s="23" t="s">
        <v>52</v>
      </c>
      <c r="J1632" s="23" t="s">
        <v>61</v>
      </c>
      <c r="K1632" s="24" t="s">
        <v>177</v>
      </c>
      <c r="L1632" s="24">
        <v>144</v>
      </c>
      <c r="M1632" s="12">
        <v>6890.6693572769491</v>
      </c>
      <c r="N1632" s="12">
        <v>6890.6693572769491</v>
      </c>
      <c r="O1632" s="12">
        <v>1309.2271778826198</v>
      </c>
      <c r="P1632" s="13"/>
      <c r="Q1632" s="14">
        <v>2025</v>
      </c>
      <c r="R1632" s="15">
        <v>45413</v>
      </c>
      <c r="S1632" s="11" t="s">
        <v>355</v>
      </c>
      <c r="T1632" s="16">
        <v>0</v>
      </c>
      <c r="U1632" s="17"/>
      <c r="V1632" s="12">
        <v>1296.3416261845123</v>
      </c>
      <c r="W1632" s="12">
        <v>1296.3416261845123</v>
      </c>
      <c r="X1632" s="12">
        <v>0</v>
      </c>
      <c r="Y1632" s="18">
        <v>45803</v>
      </c>
      <c r="Z1632" s="13" t="s">
        <v>516</v>
      </c>
      <c r="AA1632" s="19" t="s">
        <v>356</v>
      </c>
      <c r="AB1632" s="13" t="s">
        <v>357</v>
      </c>
      <c r="AC1632" s="13" t="s">
        <v>383</v>
      </c>
      <c r="AD1632" s="20"/>
      <c r="AE1632" s="20"/>
      <c r="AF1632" s="13" t="s">
        <v>40</v>
      </c>
      <c r="AG1632" s="15">
        <v>45413</v>
      </c>
      <c r="AH1632" s="13" t="s">
        <v>41</v>
      </c>
      <c r="AI1632" s="13" t="s">
        <v>43</v>
      </c>
      <c r="AJ1632" s="13" t="str">
        <f>VLOOKUP(E1632,Precios!Z$2:AA$941,2,FALSE)</f>
        <v>Bandeja Huevos EXTRA</v>
      </c>
      <c r="AK1632" s="14">
        <f>VLOOKUP(E1632,Precios!Z$2:BB$941,3,FALSE)*F1632</f>
        <v>-1</v>
      </c>
      <c r="AL1632" s="17"/>
      <c r="AM1632" s="17"/>
      <c r="AN1632" s="17"/>
      <c r="AO1632" s="17"/>
      <c r="AP1632" s="17"/>
      <c r="AQ1632" s="17"/>
      <c r="AR1632" s="17"/>
      <c r="AS1632" s="17"/>
      <c r="AT1632" s="17"/>
      <c r="AU1632" s="17"/>
      <c r="AV1632" s="17"/>
    </row>
    <row r="1633" spans="1:48" ht="15.75" customHeight="1">
      <c r="A1633" s="21" t="s">
        <v>43</v>
      </c>
      <c r="B1633" s="23" t="s">
        <v>1692</v>
      </c>
      <c r="C1633" s="22">
        <v>45804</v>
      </c>
      <c r="D1633" s="23" t="s">
        <v>96</v>
      </c>
      <c r="E1633" s="23" t="s">
        <v>45</v>
      </c>
      <c r="F1633" s="21">
        <v>1</v>
      </c>
      <c r="G1633" s="12">
        <v>8199.8965351595689</v>
      </c>
      <c r="H1633" s="12">
        <v>8199.8965351595689</v>
      </c>
      <c r="I1633" s="23" t="s">
        <v>52</v>
      </c>
      <c r="J1633" s="23" t="s">
        <v>61</v>
      </c>
      <c r="K1633" s="24" t="s">
        <v>177</v>
      </c>
      <c r="L1633" s="24">
        <v>144</v>
      </c>
      <c r="M1633" s="12">
        <v>6890.6693572769491</v>
      </c>
      <c r="N1633" s="12">
        <v>6890.6693572769491</v>
      </c>
      <c r="O1633" s="12">
        <v>1309.2271778826198</v>
      </c>
      <c r="P1633" s="13"/>
      <c r="Q1633" s="14">
        <v>2025</v>
      </c>
      <c r="R1633" s="15">
        <v>45413</v>
      </c>
      <c r="S1633" s="11" t="s">
        <v>355</v>
      </c>
      <c r="T1633" s="16">
        <v>0</v>
      </c>
      <c r="U1633" s="17"/>
      <c r="V1633" s="12">
        <v>1296.3416261845123</v>
      </c>
      <c r="W1633" s="12">
        <v>1296.3416261845123</v>
      </c>
      <c r="X1633" s="12">
        <v>0</v>
      </c>
      <c r="Y1633" s="18">
        <v>45803</v>
      </c>
      <c r="Z1633" s="13" t="s">
        <v>516</v>
      </c>
      <c r="AA1633" s="19" t="s">
        <v>373</v>
      </c>
      <c r="AB1633" s="13" t="s">
        <v>357</v>
      </c>
      <c r="AC1633" s="13" t="s">
        <v>374</v>
      </c>
      <c r="AD1633" s="20"/>
      <c r="AE1633" s="20"/>
      <c r="AF1633" s="13" t="s">
        <v>40</v>
      </c>
      <c r="AG1633" s="15">
        <v>45413</v>
      </c>
      <c r="AH1633" s="13" t="s">
        <v>41</v>
      </c>
      <c r="AI1633" s="13" t="s">
        <v>43</v>
      </c>
      <c r="AJ1633" s="13" t="str">
        <f>VLOOKUP(E1633,Precios!Z$2:AA$941,2,FALSE)</f>
        <v>Bandeja Huevos EXTRA</v>
      </c>
      <c r="AK1633" s="14">
        <f>VLOOKUP(E1633,Precios!Z$2:BB$941,3,FALSE)*F1633</f>
        <v>-1</v>
      </c>
      <c r="AL1633" s="17"/>
      <c r="AM1633" s="17"/>
      <c r="AN1633" s="17"/>
      <c r="AO1633" s="17"/>
      <c r="AP1633" s="17"/>
      <c r="AQ1633" s="17"/>
      <c r="AR1633" s="17"/>
      <c r="AS1633" s="17"/>
      <c r="AT1633" s="17"/>
      <c r="AU1633" s="17"/>
      <c r="AV1633" s="17"/>
    </row>
    <row r="1634" spans="1:48" ht="15.75" customHeight="1">
      <c r="A1634" s="21" t="s">
        <v>35</v>
      </c>
      <c r="B1634" s="23" t="s">
        <v>1692</v>
      </c>
      <c r="C1634" s="22">
        <v>45803</v>
      </c>
      <c r="D1634" s="23" t="s">
        <v>96</v>
      </c>
      <c r="E1634" s="23" t="s">
        <v>37</v>
      </c>
      <c r="F1634" s="21">
        <v>1</v>
      </c>
      <c r="G1634" s="12">
        <v>11000.014358944907</v>
      </c>
      <c r="H1634" s="12">
        <v>11000.014358944907</v>
      </c>
      <c r="I1634" s="23" t="s">
        <v>52</v>
      </c>
      <c r="J1634" s="23" t="s">
        <v>61</v>
      </c>
      <c r="K1634" s="24" t="s">
        <v>177</v>
      </c>
      <c r="L1634" s="24">
        <v>144</v>
      </c>
      <c r="M1634" s="12">
        <v>9243.7095453318543</v>
      </c>
      <c r="N1634" s="12">
        <v>9243.7095453318543</v>
      </c>
      <c r="O1634" s="12">
        <v>1756.3048136130528</v>
      </c>
      <c r="P1634" s="13"/>
      <c r="Q1634" s="14">
        <v>2025</v>
      </c>
      <c r="R1634" s="15">
        <v>45413</v>
      </c>
      <c r="S1634" s="11" t="s">
        <v>364</v>
      </c>
      <c r="T1634" s="16">
        <v>1000</v>
      </c>
      <c r="U1634" s="17"/>
      <c r="V1634" s="12">
        <v>2806.1129066763915</v>
      </c>
      <c r="W1634" s="12">
        <v>2806.1129066763915</v>
      </c>
      <c r="X1634" s="12">
        <v>0</v>
      </c>
      <c r="Y1634" s="18">
        <v>45803</v>
      </c>
      <c r="Z1634" s="13" t="s">
        <v>523</v>
      </c>
      <c r="AA1634" s="19" t="s">
        <v>373</v>
      </c>
      <c r="AB1634" s="13" t="s">
        <v>357</v>
      </c>
      <c r="AC1634" s="13" t="s">
        <v>374</v>
      </c>
      <c r="AD1634" s="20"/>
      <c r="AE1634" s="20"/>
      <c r="AF1634" s="13" t="s">
        <v>40</v>
      </c>
      <c r="AG1634" s="15">
        <v>45413</v>
      </c>
      <c r="AH1634" s="13" t="s">
        <v>41</v>
      </c>
      <c r="AI1634" s="13" t="s">
        <v>35</v>
      </c>
      <c r="AJ1634" s="13" t="str">
        <f>VLOOKUP(E1634,Precios!Z$2:AA$941,2,FALSE)</f>
        <v>Queso RUNCA Mantecoso</v>
      </c>
      <c r="AK1634" s="14">
        <f>VLOOKUP(E1634,Precios!Z$2:BB$941,3,FALSE)*F1634</f>
        <v>-1</v>
      </c>
      <c r="AL1634" s="17"/>
      <c r="AM1634" s="17"/>
      <c r="AN1634" s="17"/>
      <c r="AO1634" s="17"/>
      <c r="AP1634" s="17"/>
      <c r="AQ1634" s="17"/>
      <c r="AR1634" s="17"/>
      <c r="AS1634" s="17"/>
      <c r="AT1634" s="17"/>
      <c r="AU1634" s="17"/>
      <c r="AV1634" s="17"/>
    </row>
    <row r="1635" spans="1:48" ht="15.75" customHeight="1">
      <c r="A1635" s="21" t="s">
        <v>147</v>
      </c>
      <c r="B1635" s="23" t="s">
        <v>1692</v>
      </c>
      <c r="C1635" s="22">
        <v>45803</v>
      </c>
      <c r="D1635" s="23" t="s">
        <v>96</v>
      </c>
      <c r="E1635" s="23" t="s">
        <v>257</v>
      </c>
      <c r="F1635" s="21">
        <v>1</v>
      </c>
      <c r="G1635" s="12">
        <v>4000.0000000000005</v>
      </c>
      <c r="H1635" s="12">
        <v>4000.0000000000005</v>
      </c>
      <c r="I1635" s="23" t="s">
        <v>52</v>
      </c>
      <c r="J1635" s="23" t="s">
        <v>61</v>
      </c>
      <c r="K1635" s="24" t="s">
        <v>177</v>
      </c>
      <c r="L1635" s="24">
        <v>144</v>
      </c>
      <c r="M1635" s="12">
        <v>3361.3445378151264</v>
      </c>
      <c r="N1635" s="12">
        <v>3361.3445378151264</v>
      </c>
      <c r="O1635" s="12">
        <v>638.65546218487407</v>
      </c>
      <c r="P1635" s="13"/>
      <c r="Q1635" s="14">
        <v>2025</v>
      </c>
      <c r="R1635" s="15">
        <v>45413</v>
      </c>
      <c r="S1635" s="11" t="s">
        <v>412</v>
      </c>
      <c r="T1635" s="16">
        <v>0</v>
      </c>
      <c r="U1635" s="17"/>
      <c r="V1635" s="12">
        <v>1680.6722689075632</v>
      </c>
      <c r="W1635" s="12">
        <v>1680.6722689075632</v>
      </c>
      <c r="X1635" s="12">
        <v>0</v>
      </c>
      <c r="Y1635" s="18">
        <v>45803</v>
      </c>
      <c r="Z1635" s="13" t="s">
        <v>523</v>
      </c>
      <c r="AA1635" s="19" t="s">
        <v>373</v>
      </c>
      <c r="AB1635" s="13" t="s">
        <v>357</v>
      </c>
      <c r="AC1635" s="13" t="s">
        <v>374</v>
      </c>
      <c r="AD1635" s="20"/>
      <c r="AE1635" s="20"/>
      <c r="AF1635" s="13" t="s">
        <v>40</v>
      </c>
      <c r="AG1635" s="15">
        <v>45413</v>
      </c>
      <c r="AH1635" s="13" t="s">
        <v>41</v>
      </c>
      <c r="AI1635" s="13" t="s">
        <v>147</v>
      </c>
      <c r="AJ1635" s="13" t="str">
        <f>VLOOKUP(E1635,Precios!Z$2:AA$941,2,FALSE)</f>
        <v>Film Plástico 100 metros</v>
      </c>
      <c r="AK1635" s="14">
        <f>VLOOKUP(E1635,Precios!Z$2:BB$941,3,FALSE)*F1635</f>
        <v>-1</v>
      </c>
      <c r="AL1635" s="17"/>
      <c r="AM1635" s="17"/>
      <c r="AN1635" s="17"/>
      <c r="AO1635" s="17"/>
      <c r="AP1635" s="17"/>
      <c r="AQ1635" s="17"/>
      <c r="AR1635" s="17"/>
      <c r="AS1635" s="17"/>
      <c r="AT1635" s="17"/>
      <c r="AU1635" s="17"/>
      <c r="AV1635" s="17"/>
    </row>
    <row r="1636" spans="1:48" ht="15.75" customHeight="1">
      <c r="A1636" s="21" t="s">
        <v>147</v>
      </c>
      <c r="B1636" s="23" t="s">
        <v>1692</v>
      </c>
      <c r="C1636" s="22">
        <v>45803</v>
      </c>
      <c r="D1636" s="23" t="s">
        <v>96</v>
      </c>
      <c r="E1636" s="23" t="s">
        <v>148</v>
      </c>
      <c r="F1636" s="21">
        <v>1</v>
      </c>
      <c r="G1636" s="12">
        <v>1200.0000000000002</v>
      </c>
      <c r="H1636" s="12">
        <v>1200.0000000000002</v>
      </c>
      <c r="I1636" s="23" t="s">
        <v>52</v>
      </c>
      <c r="J1636" s="23" t="s">
        <v>61</v>
      </c>
      <c r="K1636" s="24" t="s">
        <v>177</v>
      </c>
      <c r="L1636" s="24">
        <v>144</v>
      </c>
      <c r="M1636" s="12">
        <v>1008.4033613445381</v>
      </c>
      <c r="N1636" s="12">
        <v>1008.4033613445381</v>
      </c>
      <c r="O1636" s="12">
        <v>191.59663865546213</v>
      </c>
      <c r="P1636" s="13"/>
      <c r="Q1636" s="14">
        <v>2025</v>
      </c>
      <c r="R1636" s="15">
        <v>45413</v>
      </c>
      <c r="S1636" s="11" t="s">
        <v>360</v>
      </c>
      <c r="T1636" s="16">
        <v>0</v>
      </c>
      <c r="U1636" s="17"/>
      <c r="V1636" s="12">
        <v>357.9831932773111</v>
      </c>
      <c r="W1636" s="12">
        <v>357.9831932773111</v>
      </c>
      <c r="X1636" s="12">
        <v>0</v>
      </c>
      <c r="Y1636" s="18">
        <v>45803</v>
      </c>
      <c r="Z1636" s="13" t="s">
        <v>523</v>
      </c>
      <c r="AA1636" s="19" t="s">
        <v>373</v>
      </c>
      <c r="AB1636" s="13" t="s">
        <v>357</v>
      </c>
      <c r="AC1636" s="13" t="s">
        <v>374</v>
      </c>
      <c r="AD1636" s="20"/>
      <c r="AE1636" s="20"/>
      <c r="AF1636" s="13" t="s">
        <v>40</v>
      </c>
      <c r="AG1636" s="15">
        <v>45413</v>
      </c>
      <c r="AH1636" s="13" t="s">
        <v>41</v>
      </c>
      <c r="AI1636" s="13" t="s">
        <v>147</v>
      </c>
      <c r="AJ1636" s="13" t="str">
        <f>VLOOKUP(E1636,Precios!Z$2:AA$941,2,FALSE)</f>
        <v>Papel Aluminio 7.5 metros</v>
      </c>
      <c r="AK1636" s="14">
        <f>VLOOKUP(E1636,Precios!Z$2:BB$941,3,FALSE)*F1636</f>
        <v>-1</v>
      </c>
      <c r="AL1636" s="17"/>
      <c r="AM1636" s="17"/>
      <c r="AN1636" s="17"/>
      <c r="AO1636" s="17"/>
      <c r="AP1636" s="17"/>
      <c r="AQ1636" s="17"/>
      <c r="AR1636" s="17"/>
      <c r="AS1636" s="17"/>
      <c r="AT1636" s="17"/>
      <c r="AU1636" s="17"/>
      <c r="AV1636" s="17"/>
    </row>
    <row r="1637" spans="1:48" ht="15.75" customHeight="1">
      <c r="A1637" s="21" t="s">
        <v>47</v>
      </c>
      <c r="B1637" s="23" t="s">
        <v>1692</v>
      </c>
      <c r="C1637" s="22">
        <v>45803</v>
      </c>
      <c r="D1637" s="23" t="s">
        <v>96</v>
      </c>
      <c r="E1637" s="23" t="s">
        <v>267</v>
      </c>
      <c r="F1637" s="21">
        <v>1</v>
      </c>
      <c r="G1637" s="12">
        <v>7499.8770659745942</v>
      </c>
      <c r="H1637" s="12">
        <v>7499.8770659745942</v>
      </c>
      <c r="I1637" s="23" t="s">
        <v>52</v>
      </c>
      <c r="J1637" s="23" t="s">
        <v>61</v>
      </c>
      <c r="K1637" s="24" t="s">
        <v>177</v>
      </c>
      <c r="L1637" s="24">
        <v>144</v>
      </c>
      <c r="M1637" s="12">
        <v>6302.4177024996588</v>
      </c>
      <c r="N1637" s="12">
        <v>6302.4177024996588</v>
      </c>
      <c r="O1637" s="12">
        <v>1197.4593634749353</v>
      </c>
      <c r="P1637" s="13"/>
      <c r="Q1637" s="14">
        <v>2025</v>
      </c>
      <c r="R1637" s="15">
        <v>45413</v>
      </c>
      <c r="S1637" s="11" t="s">
        <v>372</v>
      </c>
      <c r="T1637" s="16">
        <v>0</v>
      </c>
      <c r="U1637" s="17"/>
      <c r="V1637" s="12">
        <v>1688.4177024996588</v>
      </c>
      <c r="W1637" s="12">
        <v>1688.4177024996588</v>
      </c>
      <c r="X1637" s="12">
        <v>0</v>
      </c>
      <c r="Y1637" s="18">
        <v>45803</v>
      </c>
      <c r="Z1637" s="13" t="s">
        <v>523</v>
      </c>
      <c r="AA1637" s="19" t="s">
        <v>373</v>
      </c>
      <c r="AB1637" s="13" t="s">
        <v>357</v>
      </c>
      <c r="AC1637" s="13" t="s">
        <v>374</v>
      </c>
      <c r="AD1637" s="20"/>
      <c r="AE1637" s="20"/>
      <c r="AF1637" s="13" t="s">
        <v>40</v>
      </c>
      <c r="AG1637" s="15">
        <v>45413</v>
      </c>
      <c r="AH1637" s="13" t="s">
        <v>41</v>
      </c>
      <c r="AI1637" s="13" t="s">
        <v>47</v>
      </c>
      <c r="AJ1637" s="13" t="str">
        <f>VLOOKUP(E1637,Precios!Z$2:AA$941,2,FALSE)</f>
        <v>Traperos Humedos EXCELL</v>
      </c>
      <c r="AK1637" s="14">
        <f>VLOOKUP(E1637,Precios!Z$2:BB$941,3,FALSE)*F1637</f>
        <v>-3</v>
      </c>
      <c r="AL1637" s="17"/>
      <c r="AM1637" s="17"/>
      <c r="AN1637" s="17"/>
      <c r="AO1637" s="17"/>
      <c r="AP1637" s="17"/>
      <c r="AQ1637" s="17"/>
      <c r="AR1637" s="17"/>
      <c r="AS1637" s="17"/>
      <c r="AT1637" s="17"/>
      <c r="AU1637" s="17"/>
      <c r="AV1637" s="17"/>
    </row>
    <row r="1638" spans="1:48" ht="15.75" customHeight="1">
      <c r="A1638" s="21" t="s">
        <v>76</v>
      </c>
      <c r="B1638" s="23" t="s">
        <v>1692</v>
      </c>
      <c r="C1638" s="22">
        <v>45803</v>
      </c>
      <c r="D1638" s="23" t="s">
        <v>96</v>
      </c>
      <c r="E1638" s="23" t="s">
        <v>98</v>
      </c>
      <c r="F1638" s="21">
        <v>1</v>
      </c>
      <c r="G1638" s="12">
        <v>2600.0000000000005</v>
      </c>
      <c r="H1638" s="12">
        <v>2600.0000000000005</v>
      </c>
      <c r="I1638" s="23" t="s">
        <v>52</v>
      </c>
      <c r="J1638" s="23" t="s">
        <v>61</v>
      </c>
      <c r="K1638" s="24" t="s">
        <v>177</v>
      </c>
      <c r="L1638" s="24">
        <v>144</v>
      </c>
      <c r="M1638" s="12">
        <v>2184.8739495798322</v>
      </c>
      <c r="N1638" s="12">
        <v>2184.8739495798322</v>
      </c>
      <c r="O1638" s="12">
        <v>415.12605042016821</v>
      </c>
      <c r="P1638" s="13"/>
      <c r="Q1638" s="14">
        <v>2025</v>
      </c>
      <c r="R1638" s="15">
        <v>45413</v>
      </c>
      <c r="S1638" s="11" t="s">
        <v>479</v>
      </c>
      <c r="T1638" s="16">
        <v>0</v>
      </c>
      <c r="U1638" s="17"/>
      <c r="V1638" s="12">
        <v>1052.1008403361348</v>
      </c>
      <c r="W1638" s="12">
        <v>1052.1008403361348</v>
      </c>
      <c r="X1638" s="12">
        <v>0</v>
      </c>
      <c r="Y1638" s="18">
        <v>45803</v>
      </c>
      <c r="Z1638" s="13" t="s">
        <v>523</v>
      </c>
      <c r="AA1638" s="19" t="s">
        <v>373</v>
      </c>
      <c r="AB1638" s="13" t="s">
        <v>357</v>
      </c>
      <c r="AC1638" s="13" t="s">
        <v>374</v>
      </c>
      <c r="AD1638" s="20"/>
      <c r="AE1638" s="20"/>
      <c r="AF1638" s="13" t="s">
        <v>40</v>
      </c>
      <c r="AG1638" s="15">
        <v>45413</v>
      </c>
      <c r="AH1638" s="13" t="s">
        <v>41</v>
      </c>
      <c r="AI1638" s="13" t="s">
        <v>76</v>
      </c>
      <c r="AJ1638" s="13" t="str">
        <f>VLOOKUP(E1638,Precios!Z$2:AA$941,2,FALSE)</f>
        <v>Lavaloza QUIX 750 cc</v>
      </c>
      <c r="AK1638" s="14">
        <f>VLOOKUP(E1638,Precios!Z$2:BB$941,3,FALSE)*F1638</f>
        <v>-1</v>
      </c>
      <c r="AL1638" s="17"/>
      <c r="AM1638" s="17"/>
      <c r="AN1638" s="17"/>
      <c r="AO1638" s="17"/>
      <c r="AP1638" s="17"/>
      <c r="AQ1638" s="17"/>
      <c r="AR1638" s="17"/>
      <c r="AS1638" s="17"/>
      <c r="AT1638" s="17"/>
      <c r="AU1638" s="17"/>
      <c r="AV1638" s="17"/>
    </row>
    <row r="1639" spans="1:48" ht="15.75" customHeight="1">
      <c r="A1639" s="21" t="s">
        <v>76</v>
      </c>
      <c r="B1639" s="23" t="s">
        <v>1692</v>
      </c>
      <c r="C1639" s="22">
        <v>45803</v>
      </c>
      <c r="D1639" s="23" t="s">
        <v>96</v>
      </c>
      <c r="E1639" s="23" t="s">
        <v>481</v>
      </c>
      <c r="F1639" s="21">
        <v>1</v>
      </c>
      <c r="G1639" s="12">
        <v>1599.969512195122</v>
      </c>
      <c r="H1639" s="12">
        <v>1599.969512195122</v>
      </c>
      <c r="I1639" s="23" t="s">
        <v>52</v>
      </c>
      <c r="J1639" s="23" t="s">
        <v>61</v>
      </c>
      <c r="K1639" s="24" t="s">
        <v>177</v>
      </c>
      <c r="L1639" s="24">
        <v>144</v>
      </c>
      <c r="M1639" s="12">
        <v>1344.5121951219512</v>
      </c>
      <c r="N1639" s="12">
        <v>1344.5121951219512</v>
      </c>
      <c r="O1639" s="12">
        <v>255.45731707317077</v>
      </c>
      <c r="P1639" s="13"/>
      <c r="Q1639" s="14">
        <v>2025</v>
      </c>
      <c r="R1639" s="15">
        <v>45413</v>
      </c>
      <c r="S1639" s="11" t="s">
        <v>482</v>
      </c>
      <c r="T1639" s="16">
        <v>800</v>
      </c>
      <c r="U1639" s="17"/>
      <c r="V1639" s="12">
        <v>462.51219512195121</v>
      </c>
      <c r="W1639" s="12">
        <v>462.51219512195121</v>
      </c>
      <c r="X1639" s="12">
        <v>0</v>
      </c>
      <c r="Y1639" s="18">
        <v>45803</v>
      </c>
      <c r="Z1639" s="13" t="s">
        <v>523</v>
      </c>
      <c r="AA1639" s="19" t="s">
        <v>373</v>
      </c>
      <c r="AB1639" s="13" t="s">
        <v>357</v>
      </c>
      <c r="AC1639" s="13" t="s">
        <v>374</v>
      </c>
      <c r="AD1639" s="20"/>
      <c r="AE1639" s="20"/>
      <c r="AF1639" s="13" t="s">
        <v>40</v>
      </c>
      <c r="AG1639" s="15">
        <v>45413</v>
      </c>
      <c r="AH1639" s="13" t="s">
        <v>41</v>
      </c>
      <c r="AI1639" s="13" t="s">
        <v>76</v>
      </c>
      <c r="AJ1639" s="13" t="str">
        <f>VLOOKUP(E1639,Precios!Z$2:AA$941,2,FALSE)</f>
        <v>Detergente BIO FRESCURA Bosque Nativo (Verde)</v>
      </c>
      <c r="AK1639" s="14">
        <f>VLOOKUP(E1639,Precios!Z$2:BB$941,3,FALSE)*F1639</f>
        <v>-1</v>
      </c>
      <c r="AL1639" s="17"/>
      <c r="AM1639" s="17"/>
      <c r="AN1639" s="17"/>
      <c r="AO1639" s="17"/>
      <c r="AP1639" s="17"/>
      <c r="AQ1639" s="17"/>
      <c r="AR1639" s="17"/>
      <c r="AS1639" s="17"/>
      <c r="AT1639" s="17"/>
      <c r="AU1639" s="17"/>
      <c r="AV1639" s="17"/>
    </row>
    <row r="1640" spans="1:48" ht="15.75" customHeight="1">
      <c r="A1640" s="21" t="s">
        <v>76</v>
      </c>
      <c r="B1640" s="23" t="s">
        <v>1692</v>
      </c>
      <c r="C1640" s="22">
        <v>45803</v>
      </c>
      <c r="D1640" s="23" t="s">
        <v>96</v>
      </c>
      <c r="E1640" s="23" t="s">
        <v>101</v>
      </c>
      <c r="F1640" s="21">
        <v>1</v>
      </c>
      <c r="G1640" s="12">
        <v>1599.969512195122</v>
      </c>
      <c r="H1640" s="12">
        <v>1599.969512195122</v>
      </c>
      <c r="I1640" s="23" t="s">
        <v>52</v>
      </c>
      <c r="J1640" s="23" t="s">
        <v>61</v>
      </c>
      <c r="K1640" s="24" t="s">
        <v>177</v>
      </c>
      <c r="L1640" s="24">
        <v>144</v>
      </c>
      <c r="M1640" s="12">
        <v>1344.5121951219512</v>
      </c>
      <c r="N1640" s="12">
        <v>1344.5121951219512</v>
      </c>
      <c r="O1640" s="12">
        <v>255.45731707317077</v>
      </c>
      <c r="P1640" s="13"/>
      <c r="Q1640" s="14">
        <v>2025</v>
      </c>
      <c r="R1640" s="15">
        <v>45413</v>
      </c>
      <c r="S1640" s="11" t="s">
        <v>482</v>
      </c>
      <c r="T1640" s="16">
        <v>800</v>
      </c>
      <c r="U1640" s="17"/>
      <c r="V1640" s="12">
        <v>462.51219512195121</v>
      </c>
      <c r="W1640" s="12">
        <v>462.51219512195121</v>
      </c>
      <c r="X1640" s="12">
        <v>0</v>
      </c>
      <c r="Y1640" s="18">
        <v>45803</v>
      </c>
      <c r="Z1640" s="13" t="s">
        <v>523</v>
      </c>
      <c r="AA1640" s="19" t="s">
        <v>373</v>
      </c>
      <c r="AB1640" s="13" t="s">
        <v>357</v>
      </c>
      <c r="AC1640" s="13" t="s">
        <v>374</v>
      </c>
      <c r="AD1640" s="20"/>
      <c r="AE1640" s="20"/>
      <c r="AF1640" s="13" t="s">
        <v>40</v>
      </c>
      <c r="AG1640" s="15">
        <v>45413</v>
      </c>
      <c r="AH1640" s="13" t="s">
        <v>41</v>
      </c>
      <c r="AI1640" s="13" t="s">
        <v>76</v>
      </c>
      <c r="AJ1640" s="13" t="str">
        <f>VLOOKUP(E1640,Precios!Z$2:AA$941,2,FALSE)</f>
        <v>Detergente BIO FRESCURA Desierto Florido (Naranjo)</v>
      </c>
      <c r="AK1640" s="14">
        <f>VLOOKUP(E1640,Precios!Z$2:BB$941,3,FALSE)*F1640</f>
        <v>-1</v>
      </c>
      <c r="AL1640" s="17"/>
      <c r="AM1640" s="17"/>
      <c r="AN1640" s="17"/>
      <c r="AO1640" s="17"/>
      <c r="AP1640" s="17"/>
      <c r="AQ1640" s="17"/>
      <c r="AR1640" s="17"/>
      <c r="AS1640" s="17"/>
      <c r="AT1640" s="17"/>
      <c r="AU1640" s="17"/>
      <c r="AV1640" s="17"/>
    </row>
    <row r="1641" spans="1:48" ht="15.75" customHeight="1">
      <c r="A1641" s="21" t="s">
        <v>53</v>
      </c>
      <c r="B1641" s="23" t="s">
        <v>1692</v>
      </c>
      <c r="C1641" s="22">
        <v>45803</v>
      </c>
      <c r="D1641" s="23" t="s">
        <v>96</v>
      </c>
      <c r="E1641" s="23" t="s">
        <v>69</v>
      </c>
      <c r="F1641" s="21">
        <v>1</v>
      </c>
      <c r="G1641" s="12">
        <v>2999.9553810458683</v>
      </c>
      <c r="H1641" s="12">
        <v>2999.9553810458683</v>
      </c>
      <c r="I1641" s="23" t="s">
        <v>52</v>
      </c>
      <c r="J1641" s="23" t="s">
        <v>61</v>
      </c>
      <c r="K1641" s="24" t="s">
        <v>177</v>
      </c>
      <c r="L1641" s="24">
        <v>144</v>
      </c>
      <c r="M1641" s="12">
        <v>2520.9709084419064</v>
      </c>
      <c r="N1641" s="12">
        <v>2520.9709084419064</v>
      </c>
      <c r="O1641" s="12">
        <v>478.98447260396188</v>
      </c>
      <c r="P1641" s="13"/>
      <c r="Q1641" s="14">
        <v>2025</v>
      </c>
      <c r="R1641" s="15">
        <v>45413</v>
      </c>
      <c r="S1641" s="11" t="s">
        <v>376</v>
      </c>
      <c r="T1641" s="16">
        <v>0</v>
      </c>
      <c r="U1641" s="17"/>
      <c r="V1641" s="12">
        <v>825.97090844190598</v>
      </c>
      <c r="W1641" s="12">
        <v>825.97090844190598</v>
      </c>
      <c r="X1641" s="12">
        <v>0</v>
      </c>
      <c r="Y1641" s="18">
        <v>45803</v>
      </c>
      <c r="Z1641" s="13" t="s">
        <v>523</v>
      </c>
      <c r="AA1641" s="19" t="s">
        <v>373</v>
      </c>
      <c r="AB1641" s="13" t="s">
        <v>357</v>
      </c>
      <c r="AC1641" s="13" t="s">
        <v>374</v>
      </c>
      <c r="AD1641" s="20"/>
      <c r="AE1641" s="20"/>
      <c r="AF1641" s="13" t="s">
        <v>40</v>
      </c>
      <c r="AG1641" s="15">
        <v>45413</v>
      </c>
      <c r="AH1641" s="13" t="s">
        <v>41</v>
      </c>
      <c r="AI1641" s="13" t="s">
        <v>53</v>
      </c>
      <c r="AJ1641" s="13" t="str">
        <f>VLOOKUP(E1641,Precios!Z$2:AA$941,2,FALSE)</f>
        <v>Toalla Papel NOVA 70 metros</v>
      </c>
      <c r="AK1641" s="14">
        <f>VLOOKUP(E1641,Precios!Z$2:BB$941,3,FALSE)*F1641</f>
        <v>-1</v>
      </c>
      <c r="AL1641" s="17"/>
      <c r="AM1641" s="17"/>
      <c r="AN1641" s="17"/>
      <c r="AO1641" s="17"/>
      <c r="AP1641" s="17"/>
      <c r="AQ1641" s="17"/>
      <c r="AR1641" s="17"/>
      <c r="AS1641" s="17"/>
      <c r="AT1641" s="17"/>
      <c r="AU1641" s="17"/>
      <c r="AV1641" s="17"/>
    </row>
    <row r="1642" spans="1:48" ht="15.75" customHeight="1">
      <c r="A1642" s="21" t="s">
        <v>53</v>
      </c>
      <c r="B1642" s="23" t="s">
        <v>1692</v>
      </c>
      <c r="C1642" s="22">
        <v>45803</v>
      </c>
      <c r="D1642" s="23" t="s">
        <v>96</v>
      </c>
      <c r="E1642" s="23" t="s">
        <v>203</v>
      </c>
      <c r="F1642" s="21">
        <v>1</v>
      </c>
      <c r="G1642" s="12">
        <v>10000.35681042507</v>
      </c>
      <c r="H1642" s="12">
        <v>10000.35681042507</v>
      </c>
      <c r="I1642" s="23" t="s">
        <v>52</v>
      </c>
      <c r="J1642" s="23" t="s">
        <v>61</v>
      </c>
      <c r="K1642" s="24" t="s">
        <v>177</v>
      </c>
      <c r="L1642" s="24">
        <v>144</v>
      </c>
      <c r="M1642" s="12">
        <v>8403.6611852311507</v>
      </c>
      <c r="N1642" s="12">
        <v>8403.6611852311507</v>
      </c>
      <c r="O1642" s="12">
        <v>1596.6956251939191</v>
      </c>
      <c r="P1642" s="13"/>
      <c r="Q1642" s="14">
        <v>2025</v>
      </c>
      <c r="R1642" s="15">
        <v>45413</v>
      </c>
      <c r="S1642" s="11" t="s">
        <v>366</v>
      </c>
      <c r="T1642" s="16">
        <v>0</v>
      </c>
      <c r="U1642" s="17"/>
      <c r="V1642" s="12">
        <v>2986.6611852311507</v>
      </c>
      <c r="W1642" s="12">
        <v>2986.6611852311507</v>
      </c>
      <c r="X1642" s="12">
        <v>0</v>
      </c>
      <c r="Y1642" s="18">
        <v>45803</v>
      </c>
      <c r="Z1642" s="13" t="s">
        <v>523</v>
      </c>
      <c r="AA1642" s="19" t="s">
        <v>373</v>
      </c>
      <c r="AB1642" s="13" t="s">
        <v>357</v>
      </c>
      <c r="AC1642" s="13" t="s">
        <v>374</v>
      </c>
      <c r="AD1642" s="20"/>
      <c r="AE1642" s="20"/>
      <c r="AF1642" s="13" t="s">
        <v>40</v>
      </c>
      <c r="AG1642" s="15">
        <v>45413</v>
      </c>
      <c r="AH1642" s="13" t="s">
        <v>41</v>
      </c>
      <c r="AI1642" s="13" t="s">
        <v>53</v>
      </c>
      <c r="AJ1642" s="13" t="str">
        <f>VLOOKUP(E1642,Precios!Z$2:AA$941,2,FALSE)</f>
        <v>Papel Higienico ELITE 50 metros</v>
      </c>
      <c r="AK1642" s="14">
        <f>VLOOKUP(E1642,Precios!Z$2:BB$941,3,FALSE)*F1642</f>
        <v>-3</v>
      </c>
      <c r="AL1642" s="17"/>
      <c r="AM1642" s="17"/>
      <c r="AN1642" s="17"/>
      <c r="AO1642" s="17"/>
      <c r="AP1642" s="17"/>
      <c r="AQ1642" s="17"/>
      <c r="AR1642" s="17"/>
      <c r="AS1642" s="17"/>
      <c r="AT1642" s="17"/>
      <c r="AU1642" s="17"/>
      <c r="AV1642" s="17"/>
    </row>
    <row r="1643" spans="1:48" ht="15.75" customHeight="1">
      <c r="A1643" s="21" t="s">
        <v>56</v>
      </c>
      <c r="B1643" s="23" t="s">
        <v>1692</v>
      </c>
      <c r="C1643" s="22">
        <v>45803</v>
      </c>
      <c r="D1643" s="23" t="s">
        <v>116</v>
      </c>
      <c r="E1643" s="23" t="s">
        <v>67</v>
      </c>
      <c r="F1643" s="21">
        <v>1</v>
      </c>
      <c r="G1643" s="12">
        <v>7000.0000000000009</v>
      </c>
      <c r="H1643" s="12">
        <v>7000.0000000000009</v>
      </c>
      <c r="I1643" s="23" t="s">
        <v>52</v>
      </c>
      <c r="J1643" s="23" t="s">
        <v>61</v>
      </c>
      <c r="K1643" s="24" t="s">
        <v>177</v>
      </c>
      <c r="L1643" s="24">
        <v>144</v>
      </c>
      <c r="M1643" s="12">
        <v>5882.3529411764712</v>
      </c>
      <c r="N1643" s="12">
        <v>5882.3529411764712</v>
      </c>
      <c r="O1643" s="12">
        <v>1117.6470588235297</v>
      </c>
      <c r="P1643" s="13"/>
      <c r="Q1643" s="14">
        <v>2025</v>
      </c>
      <c r="R1643" s="15">
        <v>45413</v>
      </c>
      <c r="S1643" s="11" t="s">
        <v>492</v>
      </c>
      <c r="T1643" s="16">
        <v>200</v>
      </c>
      <c r="U1643" s="17"/>
      <c r="V1643" s="12">
        <v>1512.6050420168067</v>
      </c>
      <c r="W1643" s="12">
        <v>1512.6050420168067</v>
      </c>
      <c r="X1643" s="12">
        <v>0</v>
      </c>
      <c r="Y1643" s="18">
        <v>45803</v>
      </c>
      <c r="Z1643" s="13" t="s">
        <v>523</v>
      </c>
      <c r="AA1643" s="19" t="s">
        <v>373</v>
      </c>
      <c r="AB1643" s="13" t="s">
        <v>357</v>
      </c>
      <c r="AC1643" s="13"/>
      <c r="AD1643" s="20"/>
      <c r="AE1643" s="20"/>
      <c r="AF1643" s="13" t="s">
        <v>40</v>
      </c>
      <c r="AG1643" s="15">
        <v>45413</v>
      </c>
      <c r="AH1643" s="13" t="s">
        <v>41</v>
      </c>
      <c r="AI1643" s="13" t="s">
        <v>56</v>
      </c>
      <c r="AJ1643" s="13" t="str">
        <f>VLOOKUP(E1643,Precios!Z$2:AA$941,2,FALSE)</f>
        <v>Mantequilla RUMAY</v>
      </c>
      <c r="AK1643" s="14">
        <f>VLOOKUP(E1643,Precios!Z$2:BB$941,3,FALSE)*F1643</f>
        <v>-3</v>
      </c>
      <c r="AL1643" s="17"/>
      <c r="AM1643" s="17"/>
      <c r="AN1643" s="17"/>
      <c r="AO1643" s="17"/>
      <c r="AP1643" s="17"/>
      <c r="AQ1643" s="17"/>
      <c r="AR1643" s="17"/>
      <c r="AS1643" s="17"/>
      <c r="AT1643" s="17"/>
      <c r="AU1643" s="17"/>
      <c r="AV1643" s="17"/>
    </row>
    <row r="1644" spans="1:48" ht="15.75" customHeight="1">
      <c r="A1644" s="21" t="s">
        <v>35</v>
      </c>
      <c r="B1644" s="23" t="s">
        <v>1692</v>
      </c>
      <c r="C1644" s="22">
        <v>45803</v>
      </c>
      <c r="D1644" s="23" t="s">
        <v>116</v>
      </c>
      <c r="E1644" s="23" t="s">
        <v>46</v>
      </c>
      <c r="F1644" s="21">
        <v>1</v>
      </c>
      <c r="G1644" s="12">
        <v>6000.1548227279782</v>
      </c>
      <c r="H1644" s="12">
        <v>6000.1548227279782</v>
      </c>
      <c r="I1644" s="23" t="s">
        <v>52</v>
      </c>
      <c r="J1644" s="23" t="s">
        <v>61</v>
      </c>
      <c r="K1644" s="24" t="s">
        <v>177</v>
      </c>
      <c r="L1644" s="24">
        <v>144</v>
      </c>
      <c r="M1644" s="12">
        <v>5042.1469098554444</v>
      </c>
      <c r="N1644" s="12">
        <v>5042.1469098554444</v>
      </c>
      <c r="O1644" s="12">
        <v>958.00791287253378</v>
      </c>
      <c r="P1644" s="13"/>
      <c r="Q1644" s="14">
        <v>2025</v>
      </c>
      <c r="R1644" s="15">
        <v>45413</v>
      </c>
      <c r="S1644" s="11" t="s">
        <v>364</v>
      </c>
      <c r="T1644" s="16">
        <v>500</v>
      </c>
      <c r="U1644" s="17"/>
      <c r="V1644" s="12">
        <v>1785.4242207798129</v>
      </c>
      <c r="W1644" s="12">
        <v>1785.4242207798129</v>
      </c>
      <c r="X1644" s="12">
        <v>0</v>
      </c>
      <c r="Y1644" s="18">
        <v>45803</v>
      </c>
      <c r="Z1644" s="13" t="s">
        <v>523</v>
      </c>
      <c r="AA1644" s="19" t="s">
        <v>373</v>
      </c>
      <c r="AB1644" s="13" t="s">
        <v>357</v>
      </c>
      <c r="AC1644" s="13"/>
      <c r="AD1644" s="20"/>
      <c r="AE1644" s="20"/>
      <c r="AF1644" s="13" t="s">
        <v>40</v>
      </c>
      <c r="AG1644" s="15">
        <v>45413</v>
      </c>
      <c r="AH1644" s="13" t="s">
        <v>41</v>
      </c>
      <c r="AI1644" s="13" t="s">
        <v>35</v>
      </c>
      <c r="AJ1644" s="13" t="str">
        <f>VLOOKUP(E1644,Precios!Z$2:AA$941,2,FALSE)</f>
        <v>Queso RUNCA Mantecoso</v>
      </c>
      <c r="AK1644" s="14">
        <f>VLOOKUP(E1644,Precios!Z$2:BB$941,3,FALSE)*F1644</f>
        <v>-0.5</v>
      </c>
      <c r="AL1644" s="17"/>
      <c r="AM1644" s="17"/>
      <c r="AN1644" s="17"/>
      <c r="AO1644" s="17"/>
      <c r="AP1644" s="17"/>
      <c r="AQ1644" s="17"/>
      <c r="AR1644" s="17"/>
      <c r="AS1644" s="17"/>
      <c r="AT1644" s="17"/>
      <c r="AU1644" s="17"/>
      <c r="AV1644" s="17"/>
    </row>
    <row r="1645" spans="1:48" ht="15.75" customHeight="1">
      <c r="A1645" s="21" t="s">
        <v>35</v>
      </c>
      <c r="B1645" s="23" t="s">
        <v>1692</v>
      </c>
      <c r="C1645" s="22">
        <v>45803</v>
      </c>
      <c r="D1645" s="23" t="s">
        <v>915</v>
      </c>
      <c r="E1645" s="23" t="s">
        <v>46</v>
      </c>
      <c r="F1645" s="21">
        <v>1</v>
      </c>
      <c r="G1645" s="12">
        <v>6000.1548227279782</v>
      </c>
      <c r="H1645" s="12">
        <v>6000.1548227279782</v>
      </c>
      <c r="I1645" s="23" t="s">
        <v>52</v>
      </c>
      <c r="J1645" s="23" t="s">
        <v>61</v>
      </c>
      <c r="K1645" s="24" t="s">
        <v>177</v>
      </c>
      <c r="L1645" s="24">
        <v>144</v>
      </c>
      <c r="M1645" s="12">
        <v>5042.1469098554444</v>
      </c>
      <c r="N1645" s="12">
        <v>5042.1469098554444</v>
      </c>
      <c r="O1645" s="12">
        <v>958.00791287253378</v>
      </c>
      <c r="P1645" s="13"/>
      <c r="Q1645" s="14">
        <v>2025</v>
      </c>
      <c r="R1645" s="15">
        <v>45413</v>
      </c>
      <c r="S1645" s="11" t="s">
        <v>364</v>
      </c>
      <c r="T1645" s="16">
        <v>500</v>
      </c>
      <c r="U1645" s="17"/>
      <c r="V1645" s="12">
        <v>1785.4242207798129</v>
      </c>
      <c r="W1645" s="12">
        <v>1785.4242207798129</v>
      </c>
      <c r="X1645" s="12">
        <v>0</v>
      </c>
      <c r="Y1645" s="18">
        <v>45803</v>
      </c>
      <c r="Z1645" s="13" t="s">
        <v>523</v>
      </c>
      <c r="AA1645" s="19" t="s">
        <v>367</v>
      </c>
      <c r="AB1645" s="13" t="s">
        <v>357</v>
      </c>
      <c r="AC1645" s="13" t="s">
        <v>367</v>
      </c>
      <c r="AD1645" s="20"/>
      <c r="AE1645" s="20"/>
      <c r="AF1645" s="13" t="s">
        <v>40</v>
      </c>
      <c r="AG1645" s="15">
        <v>45413</v>
      </c>
      <c r="AH1645" s="13" t="s">
        <v>41</v>
      </c>
      <c r="AI1645" s="13" t="s">
        <v>35</v>
      </c>
      <c r="AJ1645" s="13" t="str">
        <f>VLOOKUP(E1645,Precios!Z$2:AA$941,2,FALSE)</f>
        <v>Queso RUNCA Mantecoso</v>
      </c>
      <c r="AK1645" s="14">
        <f>VLOOKUP(E1645,Precios!Z$2:BB$941,3,FALSE)*F1645</f>
        <v>-0.5</v>
      </c>
      <c r="AL1645" s="17"/>
      <c r="AM1645" s="17"/>
      <c r="AN1645" s="17"/>
      <c r="AO1645" s="17"/>
      <c r="AP1645" s="17"/>
      <c r="AQ1645" s="17"/>
      <c r="AR1645" s="17"/>
      <c r="AS1645" s="17"/>
      <c r="AT1645" s="17"/>
      <c r="AU1645" s="17"/>
      <c r="AV1645" s="17"/>
    </row>
    <row r="1646" spans="1:48" ht="15.75" customHeight="1">
      <c r="A1646" s="21" t="s">
        <v>35</v>
      </c>
      <c r="B1646" s="23" t="s">
        <v>1692</v>
      </c>
      <c r="C1646" s="22">
        <v>45803</v>
      </c>
      <c r="D1646" s="23" t="s">
        <v>469</v>
      </c>
      <c r="E1646" s="23" t="s">
        <v>46</v>
      </c>
      <c r="F1646" s="21">
        <v>1</v>
      </c>
      <c r="G1646" s="12">
        <v>6000.1548227279782</v>
      </c>
      <c r="H1646" s="12">
        <v>6000.1548227279782</v>
      </c>
      <c r="I1646" s="23" t="s">
        <v>52</v>
      </c>
      <c r="J1646" s="23" t="s">
        <v>61</v>
      </c>
      <c r="K1646" s="24" t="s">
        <v>177</v>
      </c>
      <c r="L1646" s="24">
        <v>144</v>
      </c>
      <c r="M1646" s="12">
        <v>5042.1469098554444</v>
      </c>
      <c r="N1646" s="12">
        <v>5042.1469098554444</v>
      </c>
      <c r="O1646" s="12">
        <v>958.00791287253378</v>
      </c>
      <c r="P1646" s="13"/>
      <c r="Q1646" s="14">
        <v>2025</v>
      </c>
      <c r="R1646" s="15">
        <v>45413</v>
      </c>
      <c r="S1646" s="11" t="s">
        <v>364</v>
      </c>
      <c r="T1646" s="16">
        <v>500</v>
      </c>
      <c r="U1646" s="17"/>
      <c r="V1646" s="12">
        <v>1785.4242207798129</v>
      </c>
      <c r="W1646" s="12">
        <v>1785.4242207798129</v>
      </c>
      <c r="X1646" s="12">
        <v>0</v>
      </c>
      <c r="Y1646" s="18">
        <v>45803</v>
      </c>
      <c r="Z1646" s="13" t="s">
        <v>523</v>
      </c>
      <c r="AA1646" s="19" t="s">
        <v>356</v>
      </c>
      <c r="AB1646" s="13" t="s">
        <v>357</v>
      </c>
      <c r="AC1646" s="13" t="s">
        <v>383</v>
      </c>
      <c r="AD1646" s="20"/>
      <c r="AE1646" s="20"/>
      <c r="AF1646" s="13" t="s">
        <v>40</v>
      </c>
      <c r="AG1646" s="15">
        <v>45413</v>
      </c>
      <c r="AH1646" s="13" t="s">
        <v>41</v>
      </c>
      <c r="AI1646" s="13" t="s">
        <v>35</v>
      </c>
      <c r="AJ1646" s="13" t="str">
        <f>VLOOKUP(E1646,Precios!Z$2:AA$941,2,FALSE)</f>
        <v>Queso RUNCA Mantecoso</v>
      </c>
      <c r="AK1646" s="14">
        <f>VLOOKUP(E1646,Precios!Z$2:BB$941,3,FALSE)*F1646</f>
        <v>-0.5</v>
      </c>
      <c r="AL1646" s="17"/>
      <c r="AM1646" s="17"/>
      <c r="AN1646" s="17"/>
      <c r="AO1646" s="17"/>
      <c r="AP1646" s="17"/>
      <c r="AQ1646" s="17"/>
      <c r="AR1646" s="17"/>
      <c r="AS1646" s="17"/>
      <c r="AT1646" s="17"/>
      <c r="AU1646" s="17"/>
      <c r="AV1646" s="17"/>
    </row>
    <row r="1647" spans="1:48" ht="15.75" customHeight="1">
      <c r="A1647" s="21" t="s">
        <v>35</v>
      </c>
      <c r="B1647" s="23" t="s">
        <v>1692</v>
      </c>
      <c r="C1647" s="22">
        <v>45803</v>
      </c>
      <c r="D1647" s="23" t="s">
        <v>121</v>
      </c>
      <c r="E1647" s="23" t="s">
        <v>37</v>
      </c>
      <c r="F1647" s="21">
        <v>2</v>
      </c>
      <c r="G1647" s="12">
        <v>11000.014358944907</v>
      </c>
      <c r="H1647" s="12">
        <v>22000.028717889814</v>
      </c>
      <c r="I1647" s="23" t="s">
        <v>52</v>
      </c>
      <c r="J1647" s="23" t="s">
        <v>61</v>
      </c>
      <c r="K1647" s="24" t="s">
        <v>177</v>
      </c>
      <c r="L1647" s="24">
        <v>144</v>
      </c>
      <c r="M1647" s="12">
        <v>9243.7095453318543</v>
      </c>
      <c r="N1647" s="12">
        <v>18487.419090663709</v>
      </c>
      <c r="O1647" s="12">
        <v>3512.6096272261057</v>
      </c>
      <c r="P1647" s="13"/>
      <c r="Q1647" s="14">
        <v>2025</v>
      </c>
      <c r="R1647" s="15">
        <v>45413</v>
      </c>
      <c r="S1647" s="11" t="s">
        <v>364</v>
      </c>
      <c r="T1647" s="16">
        <v>2000</v>
      </c>
      <c r="U1647" s="17"/>
      <c r="V1647" s="12">
        <v>5612.225813352783</v>
      </c>
      <c r="W1647" s="12">
        <v>5612.225813352783</v>
      </c>
      <c r="X1647" s="12">
        <v>0</v>
      </c>
      <c r="Y1647" s="18">
        <v>45803</v>
      </c>
      <c r="Z1647" s="13" t="s">
        <v>523</v>
      </c>
      <c r="AA1647" s="19" t="s">
        <v>373</v>
      </c>
      <c r="AB1647" s="13" t="s">
        <v>357</v>
      </c>
      <c r="AC1647" s="13" t="s">
        <v>471</v>
      </c>
      <c r="AD1647" s="20"/>
      <c r="AE1647" s="20"/>
      <c r="AF1647" s="13" t="s">
        <v>40</v>
      </c>
      <c r="AG1647" s="15">
        <v>45413</v>
      </c>
      <c r="AH1647" s="13" t="s">
        <v>41</v>
      </c>
      <c r="AI1647" s="13" t="s">
        <v>35</v>
      </c>
      <c r="AJ1647" s="13" t="str">
        <f>VLOOKUP(E1647,Precios!Z$2:AA$941,2,FALSE)</f>
        <v>Queso RUNCA Mantecoso</v>
      </c>
      <c r="AK1647" s="14">
        <f>VLOOKUP(E1647,Precios!Z$2:BB$941,3,FALSE)*F1647</f>
        <v>-2</v>
      </c>
      <c r="AL1647" s="17"/>
      <c r="AM1647" s="17"/>
      <c r="AN1647" s="17"/>
      <c r="AO1647" s="17"/>
      <c r="AP1647" s="17"/>
      <c r="AQ1647" s="17"/>
      <c r="AR1647" s="17"/>
      <c r="AS1647" s="17"/>
      <c r="AT1647" s="17"/>
      <c r="AU1647" s="17"/>
      <c r="AV1647" s="17"/>
    </row>
    <row r="1648" spans="1:48" ht="15.75" customHeight="1">
      <c r="A1648" s="21" t="s">
        <v>53</v>
      </c>
      <c r="B1648" s="23" t="s">
        <v>1692</v>
      </c>
      <c r="C1648" s="22">
        <v>45803</v>
      </c>
      <c r="D1648" s="23" t="s">
        <v>348</v>
      </c>
      <c r="E1648" s="23" t="s">
        <v>203</v>
      </c>
      <c r="F1648" s="21">
        <v>1</v>
      </c>
      <c r="G1648" s="12">
        <v>1500.0000000000002</v>
      </c>
      <c r="H1648" s="12">
        <v>1500.0000000000002</v>
      </c>
      <c r="I1648" s="23" t="s">
        <v>52</v>
      </c>
      <c r="J1648" s="23" t="s">
        <v>61</v>
      </c>
      <c r="K1648" s="24" t="s">
        <v>177</v>
      </c>
      <c r="L1648" s="24">
        <v>144</v>
      </c>
      <c r="M1648" s="12">
        <v>1260.5042016806726</v>
      </c>
      <c r="N1648" s="12">
        <v>1260.5042016806726</v>
      </c>
      <c r="O1648" s="12">
        <v>239.4957983193276</v>
      </c>
      <c r="P1648" s="13"/>
      <c r="Q1648" s="14">
        <v>2025</v>
      </c>
      <c r="R1648" s="15">
        <v>45413</v>
      </c>
      <c r="S1648" s="11" t="s">
        <v>369</v>
      </c>
      <c r="T1648" s="16">
        <v>0</v>
      </c>
      <c r="U1648" s="17"/>
      <c r="V1648" s="12">
        <v>457.98319327731099</v>
      </c>
      <c r="W1648" s="12">
        <v>457.98319327731099</v>
      </c>
      <c r="X1648" s="12">
        <v>0</v>
      </c>
      <c r="Y1648" s="18">
        <v>45803</v>
      </c>
      <c r="Z1648" s="13" t="s">
        <v>523</v>
      </c>
      <c r="AA1648" s="19" t="s">
        <v>356</v>
      </c>
      <c r="AB1648" s="13" t="s">
        <v>357</v>
      </c>
      <c r="AC1648" s="13" t="s">
        <v>362</v>
      </c>
      <c r="AD1648" s="20"/>
      <c r="AE1648" s="20"/>
      <c r="AF1648" s="13" t="s">
        <v>40</v>
      </c>
      <c r="AG1648" s="15">
        <v>45413</v>
      </c>
      <c r="AH1648" s="13" t="s">
        <v>41</v>
      </c>
      <c r="AI1648" s="13" t="s">
        <v>53</v>
      </c>
      <c r="AJ1648" s="13" t="str">
        <f>VLOOKUP(E1648,Precios!Z$2:AA$941,2,FALSE)</f>
        <v>Papel Higienico ELITE 50 metros</v>
      </c>
      <c r="AK1648" s="14">
        <f>VLOOKUP(E1648,Precios!Z$2:BB$941,3,FALSE)*F1648</f>
        <v>-3</v>
      </c>
      <c r="AL1648" s="17"/>
      <c r="AM1648" s="17"/>
      <c r="AN1648" s="17"/>
      <c r="AO1648" s="17"/>
      <c r="AP1648" s="17"/>
      <c r="AQ1648" s="17"/>
      <c r="AR1648" s="17"/>
      <c r="AS1648" s="17"/>
      <c r="AT1648" s="17"/>
      <c r="AU1648" s="17"/>
      <c r="AV1648" s="17"/>
    </row>
    <row r="1649" spans="1:48" ht="15.75" customHeight="1">
      <c r="A1649" s="21" t="s">
        <v>53</v>
      </c>
      <c r="B1649" s="23" t="s">
        <v>1692</v>
      </c>
      <c r="C1649" s="22">
        <v>45803</v>
      </c>
      <c r="D1649" s="23" t="s">
        <v>348</v>
      </c>
      <c r="E1649" s="23" t="s">
        <v>369</v>
      </c>
      <c r="F1649" s="21">
        <v>1</v>
      </c>
      <c r="G1649" s="12">
        <v>1500.0000000000002</v>
      </c>
      <c r="H1649" s="12">
        <v>1500.0000000000002</v>
      </c>
      <c r="I1649" s="23" t="s">
        <v>52</v>
      </c>
      <c r="J1649" s="23" t="s">
        <v>61</v>
      </c>
      <c r="K1649" s="24" t="s">
        <v>177</v>
      </c>
      <c r="L1649" s="24">
        <v>144</v>
      </c>
      <c r="M1649" s="12">
        <v>1260.5042016806726</v>
      </c>
      <c r="N1649" s="12">
        <v>1260.5042016806726</v>
      </c>
      <c r="O1649" s="12">
        <v>239.4957983193276</v>
      </c>
      <c r="P1649" s="13"/>
      <c r="Q1649" s="14">
        <v>2025</v>
      </c>
      <c r="R1649" s="15">
        <v>45413</v>
      </c>
      <c r="S1649" s="11" t="s">
        <v>369</v>
      </c>
      <c r="T1649" s="16">
        <v>0</v>
      </c>
      <c r="U1649" s="17"/>
      <c r="V1649" s="12">
        <v>457.98319327731099</v>
      </c>
      <c r="W1649" s="12">
        <v>457.98319327731099</v>
      </c>
      <c r="X1649" s="12">
        <v>0</v>
      </c>
      <c r="Y1649" s="18">
        <v>45803</v>
      </c>
      <c r="Z1649" s="13" t="s">
        <v>523</v>
      </c>
      <c r="AA1649" s="19" t="s">
        <v>356</v>
      </c>
      <c r="AB1649" s="13" t="s">
        <v>357</v>
      </c>
      <c r="AC1649" s="13" t="s">
        <v>362</v>
      </c>
      <c r="AD1649" s="20"/>
      <c r="AE1649" s="20"/>
      <c r="AF1649" s="13" t="s">
        <v>40</v>
      </c>
      <c r="AG1649" s="15">
        <v>45413</v>
      </c>
      <c r="AH1649" s="13" t="s">
        <v>41</v>
      </c>
      <c r="AI1649" s="13" t="s">
        <v>53</v>
      </c>
      <c r="AJ1649" s="13" t="str">
        <f>VLOOKUP(E1649,Precios!Z$2:AA$941,2,FALSE)</f>
        <v>Toalla Papel NOVA 12 metros</v>
      </c>
      <c r="AK1649" s="14">
        <f>VLOOKUP(E1649,Precios!Z$2:BB$941,3,FALSE)*F1649</f>
        <v>-1</v>
      </c>
      <c r="AL1649" s="17"/>
      <c r="AM1649" s="17"/>
      <c r="AN1649" s="17"/>
      <c r="AO1649" s="17"/>
      <c r="AP1649" s="17"/>
      <c r="AQ1649" s="17"/>
      <c r="AR1649" s="17"/>
      <c r="AS1649" s="17"/>
      <c r="AT1649" s="17"/>
      <c r="AU1649" s="17"/>
      <c r="AV1649" s="17"/>
    </row>
    <row r="1650" spans="1:48" ht="15.75" customHeight="1">
      <c r="A1650" s="21" t="s">
        <v>53</v>
      </c>
      <c r="B1650" s="23" t="s">
        <v>1692</v>
      </c>
      <c r="C1650" s="22">
        <v>45803</v>
      </c>
      <c r="D1650" s="23" t="s">
        <v>348</v>
      </c>
      <c r="E1650" s="23" t="s">
        <v>69</v>
      </c>
      <c r="F1650" s="21">
        <v>1</v>
      </c>
      <c r="G1650" s="12">
        <v>2999.9553810458683</v>
      </c>
      <c r="H1650" s="12">
        <v>2999.9553810458683</v>
      </c>
      <c r="I1650" s="23" t="s">
        <v>52</v>
      </c>
      <c r="J1650" s="23" t="s">
        <v>61</v>
      </c>
      <c r="K1650" s="24" t="s">
        <v>177</v>
      </c>
      <c r="L1650" s="24">
        <v>144</v>
      </c>
      <c r="M1650" s="12">
        <v>2520.9709084419064</v>
      </c>
      <c r="N1650" s="12">
        <v>2520.9709084419064</v>
      </c>
      <c r="O1650" s="12">
        <v>478.98447260396188</v>
      </c>
      <c r="P1650" s="13"/>
      <c r="Q1650" s="14">
        <v>2025</v>
      </c>
      <c r="R1650" s="15">
        <v>45413</v>
      </c>
      <c r="S1650" s="11" t="s">
        <v>376</v>
      </c>
      <c r="T1650" s="16">
        <v>0</v>
      </c>
      <c r="U1650" s="17"/>
      <c r="V1650" s="12">
        <v>825.97090844190598</v>
      </c>
      <c r="W1650" s="12">
        <v>825.97090844190598</v>
      </c>
      <c r="X1650" s="12">
        <v>0</v>
      </c>
      <c r="Y1650" s="18">
        <v>45803</v>
      </c>
      <c r="Z1650" s="13" t="s">
        <v>523</v>
      </c>
      <c r="AA1650" s="19" t="s">
        <v>356</v>
      </c>
      <c r="AB1650" s="13" t="s">
        <v>357</v>
      </c>
      <c r="AC1650" s="13" t="s">
        <v>362</v>
      </c>
      <c r="AD1650" s="20"/>
      <c r="AE1650" s="20"/>
      <c r="AF1650" s="13" t="s">
        <v>40</v>
      </c>
      <c r="AG1650" s="15">
        <v>45413</v>
      </c>
      <c r="AH1650" s="13" t="s">
        <v>41</v>
      </c>
      <c r="AI1650" s="13" t="s">
        <v>53</v>
      </c>
      <c r="AJ1650" s="13" t="str">
        <f>VLOOKUP(E1650,Precios!Z$2:AA$941,2,FALSE)</f>
        <v>Toalla Papel NOVA 70 metros</v>
      </c>
      <c r="AK1650" s="14">
        <f>VLOOKUP(E1650,Precios!Z$2:BB$941,3,FALSE)*F1650</f>
        <v>-1</v>
      </c>
      <c r="AL1650" s="17"/>
      <c r="AM1650" s="17"/>
      <c r="AN1650" s="17"/>
      <c r="AO1650" s="17"/>
      <c r="AP1650" s="17"/>
      <c r="AQ1650" s="17"/>
      <c r="AR1650" s="17"/>
      <c r="AS1650" s="17"/>
      <c r="AT1650" s="17"/>
      <c r="AU1650" s="17"/>
      <c r="AV1650" s="17"/>
    </row>
    <row r="1651" spans="1:48" ht="15.75" customHeight="1">
      <c r="A1651" s="21" t="s">
        <v>56</v>
      </c>
      <c r="B1651" s="23" t="s">
        <v>1692</v>
      </c>
      <c r="C1651" s="22">
        <v>45803</v>
      </c>
      <c r="D1651" s="23" t="s">
        <v>348</v>
      </c>
      <c r="E1651" s="23" t="s">
        <v>190</v>
      </c>
      <c r="F1651" s="21">
        <v>2</v>
      </c>
      <c r="G1651" s="12">
        <v>2499.5279645258192</v>
      </c>
      <c r="H1651" s="12">
        <v>2499.5279645258192</v>
      </c>
      <c r="I1651" s="23" t="s">
        <v>52</v>
      </c>
      <c r="J1651" s="23" t="s">
        <v>61</v>
      </c>
      <c r="K1651" s="24" t="s">
        <v>177</v>
      </c>
      <c r="L1651" s="24">
        <v>144</v>
      </c>
      <c r="M1651" s="12">
        <v>2100.4436676687556</v>
      </c>
      <c r="N1651" s="12">
        <v>2100.4436676687556</v>
      </c>
      <c r="O1651" s="12">
        <v>399.08429685706369</v>
      </c>
      <c r="P1651" s="13"/>
      <c r="Q1651" s="14">
        <v>2025</v>
      </c>
      <c r="R1651" s="15">
        <v>45413</v>
      </c>
      <c r="S1651" s="11" t="s">
        <v>492</v>
      </c>
      <c r="T1651" s="16">
        <v>200</v>
      </c>
      <c r="U1651" s="17"/>
      <c r="V1651" s="12">
        <v>632.02349960152856</v>
      </c>
      <c r="W1651" s="12">
        <v>632.02349960152856</v>
      </c>
      <c r="X1651" s="12">
        <v>0</v>
      </c>
      <c r="Y1651" s="18">
        <v>45803</v>
      </c>
      <c r="Z1651" s="13" t="s">
        <v>523</v>
      </c>
      <c r="AA1651" s="19" t="s">
        <v>356</v>
      </c>
      <c r="AB1651" s="13" t="s">
        <v>357</v>
      </c>
      <c r="AC1651" s="13" t="s">
        <v>362</v>
      </c>
      <c r="AD1651" s="20"/>
      <c r="AE1651" s="20"/>
      <c r="AF1651" s="13" t="s">
        <v>40</v>
      </c>
      <c r="AG1651" s="15">
        <v>45413</v>
      </c>
      <c r="AH1651" s="13" t="s">
        <v>41</v>
      </c>
      <c r="AI1651" s="13" t="s">
        <v>56</v>
      </c>
      <c r="AJ1651" s="13" t="str">
        <f>VLOOKUP(E1651,Precios!Z$2:AA$941,2,FALSE)</f>
        <v>Mantequilla RUMAY</v>
      </c>
      <c r="AK1651" s="14">
        <f>VLOOKUP(E1651,Precios!Z$2:BB$941,3,FALSE)*F1651</f>
        <v>-2</v>
      </c>
      <c r="AL1651" s="17"/>
      <c r="AM1651" s="17"/>
      <c r="AN1651" s="17"/>
      <c r="AO1651" s="17"/>
      <c r="AP1651" s="17"/>
      <c r="AQ1651" s="17"/>
      <c r="AR1651" s="17"/>
      <c r="AS1651" s="17"/>
      <c r="AT1651" s="17"/>
      <c r="AU1651" s="17"/>
      <c r="AV1651" s="17"/>
    </row>
    <row r="1652" spans="1:48" ht="15.75" customHeight="1">
      <c r="A1652" s="21" t="s">
        <v>76</v>
      </c>
      <c r="B1652" s="23" t="s">
        <v>1692</v>
      </c>
      <c r="C1652" s="22">
        <v>45803</v>
      </c>
      <c r="D1652" s="23" t="s">
        <v>348</v>
      </c>
      <c r="E1652" s="23" t="s">
        <v>110</v>
      </c>
      <c r="F1652" s="21">
        <v>1</v>
      </c>
      <c r="G1652" s="12">
        <v>2000.0000000000005</v>
      </c>
      <c r="H1652" s="12">
        <v>2000.0000000000005</v>
      </c>
      <c r="I1652" s="23" t="s">
        <v>52</v>
      </c>
      <c r="J1652" s="23" t="s">
        <v>61</v>
      </c>
      <c r="K1652" s="24" t="s">
        <v>177</v>
      </c>
      <c r="L1652" s="24">
        <v>144</v>
      </c>
      <c r="M1652" s="12">
        <v>1680.6722689075634</v>
      </c>
      <c r="N1652" s="12">
        <v>1680.6722689075634</v>
      </c>
      <c r="O1652" s="12">
        <v>319.32773109243703</v>
      </c>
      <c r="P1652" s="13"/>
      <c r="Q1652" s="14">
        <v>2025</v>
      </c>
      <c r="R1652" s="15">
        <v>45413</v>
      </c>
      <c r="S1652" s="11" t="s">
        <v>378</v>
      </c>
      <c r="T1652" s="16">
        <v>5</v>
      </c>
      <c r="U1652" s="17"/>
      <c r="V1652" s="12">
        <v>756.30252100840369</v>
      </c>
      <c r="W1652" s="12">
        <v>756.30252100840369</v>
      </c>
      <c r="X1652" s="12">
        <v>0</v>
      </c>
      <c r="Y1652" s="18">
        <v>45803</v>
      </c>
      <c r="Z1652" s="13" t="s">
        <v>523</v>
      </c>
      <c r="AA1652" s="19" t="s">
        <v>356</v>
      </c>
      <c r="AB1652" s="13" t="s">
        <v>357</v>
      </c>
      <c r="AC1652" s="13" t="s">
        <v>362</v>
      </c>
      <c r="AD1652" s="20"/>
      <c r="AE1652" s="20"/>
      <c r="AF1652" s="13" t="s">
        <v>40</v>
      </c>
      <c r="AG1652" s="15">
        <v>45413</v>
      </c>
      <c r="AH1652" s="13" t="s">
        <v>41</v>
      </c>
      <c r="AI1652" s="13" t="s">
        <v>76</v>
      </c>
      <c r="AJ1652" s="13" t="str">
        <f>VLOOKUP(E1652,Precios!Z$2:AA$941,2,FALSE)</f>
        <v>Cloro SPUM 5 Litros</v>
      </c>
      <c r="AK1652" s="14">
        <f>VLOOKUP(E1652,Precios!Z$2:BB$941,3,FALSE)*F1652</f>
        <v>-1</v>
      </c>
      <c r="AL1652" s="17"/>
      <c r="AM1652" s="17"/>
      <c r="AN1652" s="17"/>
      <c r="AO1652" s="17"/>
      <c r="AP1652" s="17"/>
      <c r="AQ1652" s="17"/>
      <c r="AR1652" s="17"/>
      <c r="AS1652" s="17"/>
      <c r="AT1652" s="17"/>
      <c r="AU1652" s="17"/>
      <c r="AV1652" s="17"/>
    </row>
    <row r="1653" spans="1:48" ht="15.75" customHeight="1">
      <c r="A1653" s="21" t="s">
        <v>56</v>
      </c>
      <c r="B1653" s="23" t="s">
        <v>1692</v>
      </c>
      <c r="C1653" s="22">
        <v>45802</v>
      </c>
      <c r="D1653" s="23" t="s">
        <v>915</v>
      </c>
      <c r="E1653" s="23" t="s">
        <v>62</v>
      </c>
      <c r="F1653" s="21">
        <v>1</v>
      </c>
      <c r="G1653" s="12">
        <v>3700</v>
      </c>
      <c r="H1653" s="12">
        <v>3700</v>
      </c>
      <c r="I1653" s="23" t="s">
        <v>52</v>
      </c>
      <c r="J1653" s="23" t="s">
        <v>61</v>
      </c>
      <c r="K1653" s="24" t="s">
        <v>177</v>
      </c>
      <c r="L1653" s="24">
        <v>143</v>
      </c>
      <c r="M1653" s="12">
        <v>3109.2436974789916</v>
      </c>
      <c r="N1653" s="12">
        <v>3109.2436974789916</v>
      </c>
      <c r="O1653" s="12">
        <v>590.75630252100837</v>
      </c>
      <c r="P1653" s="13"/>
      <c r="Q1653" s="14">
        <v>2025</v>
      </c>
      <c r="R1653" s="15">
        <v>45413</v>
      </c>
      <c r="S1653" s="11" t="s">
        <v>429</v>
      </c>
      <c r="T1653" s="16">
        <v>200</v>
      </c>
      <c r="U1653" s="17"/>
      <c r="V1653" s="12">
        <v>1199.159663865546</v>
      </c>
      <c r="W1653" s="12">
        <v>1199.159663865546</v>
      </c>
      <c r="X1653" s="12">
        <v>0</v>
      </c>
      <c r="Y1653" s="18">
        <v>45796</v>
      </c>
      <c r="Z1653" s="13" t="s">
        <v>497</v>
      </c>
      <c r="AA1653" s="19" t="s">
        <v>367</v>
      </c>
      <c r="AB1653" s="13" t="s">
        <v>357</v>
      </c>
      <c r="AC1653" s="13" t="s">
        <v>367</v>
      </c>
      <c r="AD1653" s="20"/>
      <c r="AE1653" s="20"/>
      <c r="AF1653" s="13" t="s">
        <v>40</v>
      </c>
      <c r="AG1653" s="15">
        <v>45413</v>
      </c>
      <c r="AH1653" s="13" t="s">
        <v>41</v>
      </c>
      <c r="AI1653" s="13" t="s">
        <v>56</v>
      </c>
      <c r="AJ1653" s="13" t="str">
        <f>VLOOKUP(E1653,Precios!Z$2:AA$941,2,FALSE)</f>
        <v>Queso Sabores</v>
      </c>
      <c r="AK1653" s="14">
        <f>VLOOKUP(E1653,Precios!Z$2:BB$941,3,FALSE)*F1653</f>
        <v>-1</v>
      </c>
      <c r="AL1653" s="17"/>
      <c r="AM1653" s="17"/>
      <c r="AN1653" s="17"/>
      <c r="AO1653" s="17"/>
      <c r="AP1653" s="17"/>
      <c r="AQ1653" s="17"/>
      <c r="AR1653" s="17"/>
      <c r="AS1653" s="17"/>
      <c r="AT1653" s="17"/>
      <c r="AU1653" s="17"/>
      <c r="AV1653" s="17"/>
    </row>
    <row r="1654" spans="1:48" ht="15.75" customHeight="1">
      <c r="A1654" s="21" t="s">
        <v>56</v>
      </c>
      <c r="B1654" s="23" t="s">
        <v>1692</v>
      </c>
      <c r="C1654" s="22">
        <v>45802</v>
      </c>
      <c r="D1654" s="23" t="s">
        <v>915</v>
      </c>
      <c r="E1654" s="23" t="s">
        <v>67</v>
      </c>
      <c r="F1654" s="21">
        <v>1</v>
      </c>
      <c r="G1654" s="12">
        <v>7000.0000000000009</v>
      </c>
      <c r="H1654" s="12">
        <v>7000.0000000000009</v>
      </c>
      <c r="I1654" s="23" t="s">
        <v>52</v>
      </c>
      <c r="J1654" s="23" t="s">
        <v>61</v>
      </c>
      <c r="K1654" s="24" t="s">
        <v>177</v>
      </c>
      <c r="L1654" s="24">
        <v>143</v>
      </c>
      <c r="M1654" s="12">
        <v>5882.3529411764712</v>
      </c>
      <c r="N1654" s="12">
        <v>5882.3529411764712</v>
      </c>
      <c r="O1654" s="12">
        <v>1117.6470588235297</v>
      </c>
      <c r="P1654" s="13"/>
      <c r="Q1654" s="14">
        <v>2025</v>
      </c>
      <c r="R1654" s="15">
        <v>45413</v>
      </c>
      <c r="S1654" s="11" t="s">
        <v>492</v>
      </c>
      <c r="T1654" s="16">
        <v>200</v>
      </c>
      <c r="U1654" s="17"/>
      <c r="V1654" s="12">
        <v>1512.6050420168067</v>
      </c>
      <c r="W1654" s="12">
        <v>1512.6050420168067</v>
      </c>
      <c r="X1654" s="12">
        <v>0</v>
      </c>
      <c r="Y1654" s="18">
        <v>45796</v>
      </c>
      <c r="Z1654" s="13" t="s">
        <v>497</v>
      </c>
      <c r="AA1654" s="19" t="s">
        <v>367</v>
      </c>
      <c r="AB1654" s="13" t="s">
        <v>357</v>
      </c>
      <c r="AC1654" s="13" t="s">
        <v>367</v>
      </c>
      <c r="AD1654" s="20"/>
      <c r="AE1654" s="20"/>
      <c r="AF1654" s="13" t="s">
        <v>40</v>
      </c>
      <c r="AG1654" s="15">
        <v>45413</v>
      </c>
      <c r="AH1654" s="13" t="s">
        <v>41</v>
      </c>
      <c r="AI1654" s="13" t="s">
        <v>56</v>
      </c>
      <c r="AJ1654" s="13" t="str">
        <f>VLOOKUP(E1654,Precios!Z$2:AA$941,2,FALSE)</f>
        <v>Mantequilla RUMAY</v>
      </c>
      <c r="AK1654" s="14">
        <f>VLOOKUP(E1654,Precios!Z$2:BB$941,3,FALSE)*F1654</f>
        <v>-3</v>
      </c>
      <c r="AL1654" s="17"/>
      <c r="AM1654" s="17"/>
      <c r="AN1654" s="17"/>
      <c r="AO1654" s="17"/>
      <c r="AP1654" s="17"/>
      <c r="AQ1654" s="17"/>
      <c r="AR1654" s="17"/>
      <c r="AS1654" s="17"/>
      <c r="AT1654" s="17"/>
      <c r="AU1654" s="17"/>
      <c r="AV1654" s="17"/>
    </row>
    <row r="1655" spans="1:48" ht="15.75" customHeight="1">
      <c r="A1655" s="21" t="s">
        <v>53</v>
      </c>
      <c r="B1655" s="23" t="s">
        <v>1692</v>
      </c>
      <c r="C1655" s="22">
        <v>45802</v>
      </c>
      <c r="D1655" s="23" t="s">
        <v>315</v>
      </c>
      <c r="E1655" s="23" t="s">
        <v>97</v>
      </c>
      <c r="F1655" s="21">
        <v>1</v>
      </c>
      <c r="G1655" s="12">
        <v>16500.126742712295</v>
      </c>
      <c r="H1655" s="12">
        <v>16500.126742712295</v>
      </c>
      <c r="I1655" s="23" t="s">
        <v>52</v>
      </c>
      <c r="J1655" s="23" t="s">
        <v>61</v>
      </c>
      <c r="K1655" s="24" t="s">
        <v>177</v>
      </c>
      <c r="L1655" s="24">
        <v>143</v>
      </c>
      <c r="M1655" s="12">
        <v>13865.652724968315</v>
      </c>
      <c r="N1655" s="12">
        <v>13865.652724968315</v>
      </c>
      <c r="O1655" s="12">
        <v>2634.4740177439799</v>
      </c>
      <c r="P1655" s="13"/>
      <c r="Q1655" s="14">
        <v>2025</v>
      </c>
      <c r="R1655" s="15">
        <v>45413</v>
      </c>
      <c r="S1655" s="11" t="s">
        <v>366</v>
      </c>
      <c r="T1655" s="16">
        <v>0</v>
      </c>
      <c r="U1655" s="17"/>
      <c r="V1655" s="12">
        <v>3031.7451846163694</v>
      </c>
      <c r="W1655" s="12">
        <v>3031.7451846163694</v>
      </c>
      <c r="X1655" s="12">
        <v>0</v>
      </c>
      <c r="Y1655" s="18">
        <v>45796</v>
      </c>
      <c r="Z1655" s="13" t="s">
        <v>497</v>
      </c>
      <c r="AA1655" s="19" t="s">
        <v>373</v>
      </c>
      <c r="AB1655" s="13" t="s">
        <v>357</v>
      </c>
      <c r="AC1655" s="13" t="s">
        <v>362</v>
      </c>
      <c r="AD1655" s="20"/>
      <c r="AE1655" s="20"/>
      <c r="AF1655" s="13" t="s">
        <v>40</v>
      </c>
      <c r="AG1655" s="15">
        <v>45413</v>
      </c>
      <c r="AH1655" s="13" t="s">
        <v>41</v>
      </c>
      <c r="AI1655" s="13" t="s">
        <v>53</v>
      </c>
      <c r="AJ1655" s="13" t="str">
        <f>VLOOKUP(E1655,Precios!Z$2:AA$941,2,FALSE)</f>
        <v>Papel Higienico ELITE 50 metros</v>
      </c>
      <c r="AK1655" s="14">
        <f>VLOOKUP(E1655,Precios!Z$2:BB$941,3,FALSE)*F1655</f>
        <v>-6</v>
      </c>
      <c r="AL1655" s="17"/>
      <c r="AM1655" s="17"/>
      <c r="AN1655" s="17"/>
      <c r="AO1655" s="17"/>
      <c r="AP1655" s="17"/>
      <c r="AQ1655" s="17"/>
      <c r="AR1655" s="17"/>
      <c r="AS1655" s="17"/>
      <c r="AT1655" s="17"/>
      <c r="AU1655" s="17"/>
      <c r="AV1655" s="17"/>
    </row>
    <row r="1656" spans="1:48" ht="15.75" customHeight="1">
      <c r="A1656" s="21" t="s">
        <v>76</v>
      </c>
      <c r="B1656" s="23" t="s">
        <v>1692</v>
      </c>
      <c r="C1656" s="22">
        <v>45802</v>
      </c>
      <c r="D1656" s="23" t="s">
        <v>172</v>
      </c>
      <c r="E1656" s="23" t="s">
        <v>137</v>
      </c>
      <c r="F1656" s="21">
        <v>4</v>
      </c>
      <c r="G1656" s="12">
        <v>3500.0000000000005</v>
      </c>
      <c r="H1656" s="12">
        <v>14000.000000000002</v>
      </c>
      <c r="I1656" s="23" t="s">
        <v>52</v>
      </c>
      <c r="J1656" s="23" t="s">
        <v>61</v>
      </c>
      <c r="K1656" s="24" t="s">
        <v>177</v>
      </c>
      <c r="L1656" s="24">
        <v>143</v>
      </c>
      <c r="M1656" s="12">
        <v>2941.1764705882356</v>
      </c>
      <c r="N1656" s="12">
        <v>11764.705882352942</v>
      </c>
      <c r="O1656" s="12">
        <v>2235.2941176470595</v>
      </c>
      <c r="P1656" s="13"/>
      <c r="Q1656" s="14">
        <v>2025</v>
      </c>
      <c r="R1656" s="15">
        <v>45413</v>
      </c>
      <c r="S1656" s="11" t="s">
        <v>406</v>
      </c>
      <c r="T1656" s="16">
        <v>20</v>
      </c>
      <c r="U1656" s="17"/>
      <c r="V1656" s="12">
        <v>3394.9579831932788</v>
      </c>
      <c r="W1656" s="12">
        <v>3394.9579831932788</v>
      </c>
      <c r="X1656" s="12">
        <v>0</v>
      </c>
      <c r="Y1656" s="18">
        <v>45796</v>
      </c>
      <c r="Z1656" s="13" t="s">
        <v>497</v>
      </c>
      <c r="AA1656" s="19" t="s">
        <v>361</v>
      </c>
      <c r="AB1656" s="13" t="s">
        <v>357</v>
      </c>
      <c r="AC1656" s="13" t="s">
        <v>405</v>
      </c>
      <c r="AD1656" s="20"/>
      <c r="AE1656" s="20"/>
      <c r="AF1656" s="13" t="s">
        <v>40</v>
      </c>
      <c r="AG1656" s="15">
        <v>45413</v>
      </c>
      <c r="AH1656" s="13" t="s">
        <v>41</v>
      </c>
      <c r="AI1656" s="13" t="s">
        <v>76</v>
      </c>
      <c r="AJ1656" s="13" t="str">
        <f>VLOOKUP(E1656,Precios!Z$2:AA$941,2,FALSE)</f>
        <v>Detergente SPUM 5 Litros (Blanco)</v>
      </c>
      <c r="AK1656" s="14">
        <f>VLOOKUP(E1656,Precios!Z$2:BB$941,3,FALSE)*F1656</f>
        <v>-4</v>
      </c>
      <c r="AL1656" s="17"/>
      <c r="AM1656" s="17"/>
      <c r="AN1656" s="17"/>
      <c r="AO1656" s="17"/>
      <c r="AP1656" s="17"/>
      <c r="AQ1656" s="17"/>
      <c r="AR1656" s="17"/>
      <c r="AS1656" s="17"/>
      <c r="AT1656" s="17"/>
      <c r="AU1656" s="17"/>
      <c r="AV1656" s="17"/>
    </row>
    <row r="1657" spans="1:48" ht="15.75" customHeight="1">
      <c r="A1657" s="21" t="s">
        <v>76</v>
      </c>
      <c r="B1657" s="23" t="s">
        <v>1692</v>
      </c>
      <c r="C1657" s="22">
        <v>45802</v>
      </c>
      <c r="D1657" s="23" t="s">
        <v>172</v>
      </c>
      <c r="E1657" s="23" t="s">
        <v>212</v>
      </c>
      <c r="F1657" s="21">
        <v>1</v>
      </c>
      <c r="G1657" s="12">
        <v>3000.0000000000005</v>
      </c>
      <c r="H1657" s="12">
        <v>3000.0000000000005</v>
      </c>
      <c r="I1657" s="23" t="s">
        <v>52</v>
      </c>
      <c r="J1657" s="23" t="s">
        <v>61</v>
      </c>
      <c r="K1657" s="24" t="s">
        <v>177</v>
      </c>
      <c r="L1657" s="24">
        <v>143</v>
      </c>
      <c r="M1657" s="12">
        <v>2521.0084033613452</v>
      </c>
      <c r="N1657" s="12">
        <v>2521.0084033613452</v>
      </c>
      <c r="O1657" s="12">
        <v>478.99159663865521</v>
      </c>
      <c r="P1657" s="13"/>
      <c r="Q1657" s="14">
        <v>2025</v>
      </c>
      <c r="R1657" s="15">
        <v>45413</v>
      </c>
      <c r="S1657" s="11" t="s">
        <v>446</v>
      </c>
      <c r="T1657" s="16">
        <v>5</v>
      </c>
      <c r="U1657" s="17"/>
      <c r="V1657" s="12">
        <v>764.70588235294144</v>
      </c>
      <c r="W1657" s="12">
        <v>764.70588235294144</v>
      </c>
      <c r="X1657" s="12">
        <v>0</v>
      </c>
      <c r="Y1657" s="18">
        <v>45796</v>
      </c>
      <c r="Z1657" s="13" t="s">
        <v>497</v>
      </c>
      <c r="AA1657" s="19" t="s">
        <v>361</v>
      </c>
      <c r="AB1657" s="13" t="s">
        <v>357</v>
      </c>
      <c r="AC1657" s="13" t="s">
        <v>405</v>
      </c>
      <c r="AD1657" s="20"/>
      <c r="AE1657" s="20"/>
      <c r="AF1657" s="13" t="s">
        <v>40</v>
      </c>
      <c r="AG1657" s="15">
        <v>45413</v>
      </c>
      <c r="AH1657" s="13" t="s">
        <v>41</v>
      </c>
      <c r="AI1657" s="13" t="s">
        <v>76</v>
      </c>
      <c r="AJ1657" s="13" t="str">
        <f>VLOOKUP(E1657,Precios!Z$2:AA$941,2,FALSE)</f>
        <v>Suavizante SPUM 5 Litros</v>
      </c>
      <c r="AK1657" s="14">
        <f>VLOOKUP(E1657,Precios!Z$2:BB$941,3,FALSE)*F1657</f>
        <v>-1</v>
      </c>
      <c r="AL1657" s="17"/>
      <c r="AM1657" s="17"/>
      <c r="AN1657" s="17"/>
      <c r="AO1657" s="17"/>
      <c r="AP1657" s="17"/>
      <c r="AQ1657" s="17"/>
      <c r="AR1657" s="17"/>
      <c r="AS1657" s="17"/>
      <c r="AT1657" s="17"/>
      <c r="AU1657" s="17"/>
      <c r="AV1657" s="17"/>
    </row>
    <row r="1658" spans="1:48" ht="15.75" customHeight="1">
      <c r="A1658" s="21" t="s">
        <v>76</v>
      </c>
      <c r="B1658" s="23" t="s">
        <v>1692</v>
      </c>
      <c r="C1658" s="22">
        <v>45802</v>
      </c>
      <c r="D1658" s="23" t="s">
        <v>172</v>
      </c>
      <c r="E1658" s="23" t="s">
        <v>194</v>
      </c>
      <c r="F1658" s="21">
        <v>1</v>
      </c>
      <c r="G1658" s="12">
        <v>2400</v>
      </c>
      <c r="H1658" s="12">
        <v>2400</v>
      </c>
      <c r="I1658" s="23" t="s">
        <v>52</v>
      </c>
      <c r="J1658" s="23" t="s">
        <v>61</v>
      </c>
      <c r="K1658" s="24" t="s">
        <v>177</v>
      </c>
      <c r="L1658" s="24">
        <v>143</v>
      </c>
      <c r="M1658" s="12">
        <v>2016.8067226890757</v>
      </c>
      <c r="N1658" s="12">
        <v>2016.8067226890757</v>
      </c>
      <c r="O1658" s="12">
        <v>383.19327731092426</v>
      </c>
      <c r="P1658" s="13"/>
      <c r="Q1658" s="14">
        <v>2025</v>
      </c>
      <c r="R1658" s="15">
        <v>45413</v>
      </c>
      <c r="S1658" s="11" t="s">
        <v>442</v>
      </c>
      <c r="T1658" s="16">
        <v>0</v>
      </c>
      <c r="U1658" s="17"/>
      <c r="V1658" s="12">
        <v>959.6638655462184</v>
      </c>
      <c r="W1658" s="12">
        <v>959.6638655462184</v>
      </c>
      <c r="X1658" s="12">
        <v>0</v>
      </c>
      <c r="Y1658" s="18">
        <v>45796</v>
      </c>
      <c r="Z1658" s="13" t="s">
        <v>497</v>
      </c>
      <c r="AA1658" s="19" t="s">
        <v>361</v>
      </c>
      <c r="AB1658" s="13" t="s">
        <v>357</v>
      </c>
      <c r="AC1658" s="13" t="s">
        <v>405</v>
      </c>
      <c r="AD1658" s="20"/>
      <c r="AE1658" s="20"/>
      <c r="AF1658" s="13" t="s">
        <v>40</v>
      </c>
      <c r="AG1658" s="15">
        <v>45413</v>
      </c>
      <c r="AH1658" s="13" t="s">
        <v>41</v>
      </c>
      <c r="AI1658" s="13" t="s">
        <v>76</v>
      </c>
      <c r="AJ1658" s="13" t="str">
        <f>VLOOKUP(E1658,Precios!Z$2:AA$941,2,FALSE)</f>
        <v>CIF 750 cc</v>
      </c>
      <c r="AK1658" s="14">
        <f>VLOOKUP(E1658,Precios!Z$2:BB$941,3,FALSE)*F1658</f>
        <v>-1</v>
      </c>
      <c r="AL1658" s="17"/>
      <c r="AM1658" s="17"/>
      <c r="AN1658" s="17"/>
      <c r="AO1658" s="17"/>
      <c r="AP1658" s="17"/>
      <c r="AQ1658" s="17"/>
      <c r="AR1658" s="17"/>
      <c r="AS1658" s="17"/>
      <c r="AT1658" s="17"/>
      <c r="AU1658" s="17"/>
      <c r="AV1658" s="17"/>
    </row>
    <row r="1659" spans="1:48" ht="15.75" customHeight="1">
      <c r="A1659" s="21" t="s">
        <v>76</v>
      </c>
      <c r="B1659" s="23" t="s">
        <v>1692</v>
      </c>
      <c r="C1659" s="22">
        <v>45802</v>
      </c>
      <c r="D1659" s="23" t="s">
        <v>172</v>
      </c>
      <c r="E1659" s="23" t="s">
        <v>187</v>
      </c>
      <c r="F1659" s="21">
        <v>1</v>
      </c>
      <c r="G1659" s="12">
        <v>2699.9280057595392</v>
      </c>
      <c r="H1659" s="12">
        <v>2699.9280057595392</v>
      </c>
      <c r="I1659" s="23" t="s">
        <v>52</v>
      </c>
      <c r="J1659" s="23" t="s">
        <v>61</v>
      </c>
      <c r="K1659" s="24" t="s">
        <v>177</v>
      </c>
      <c r="L1659" s="24">
        <v>143</v>
      </c>
      <c r="M1659" s="12">
        <v>2268.8470636634784</v>
      </c>
      <c r="N1659" s="12">
        <v>2268.8470636634784</v>
      </c>
      <c r="O1659" s="12">
        <v>431.08094209606088</v>
      </c>
      <c r="P1659" s="13"/>
      <c r="Q1659" s="14">
        <v>2025</v>
      </c>
      <c r="R1659" s="15">
        <v>45413</v>
      </c>
      <c r="S1659" s="11" t="s">
        <v>479</v>
      </c>
      <c r="T1659" s="16">
        <v>0</v>
      </c>
      <c r="U1659" s="17"/>
      <c r="V1659" s="12">
        <v>798.18039699681162</v>
      </c>
      <c r="W1659" s="12">
        <v>798.18039699681162</v>
      </c>
      <c r="X1659" s="12">
        <v>0</v>
      </c>
      <c r="Y1659" s="18">
        <v>45796</v>
      </c>
      <c r="Z1659" s="13" t="s">
        <v>497</v>
      </c>
      <c r="AA1659" s="19" t="s">
        <v>361</v>
      </c>
      <c r="AB1659" s="13" t="s">
        <v>357</v>
      </c>
      <c r="AC1659" s="13" t="s">
        <v>405</v>
      </c>
      <c r="AD1659" s="20"/>
      <c r="AE1659" s="20"/>
      <c r="AF1659" s="13" t="s">
        <v>40</v>
      </c>
      <c r="AG1659" s="15">
        <v>45413</v>
      </c>
      <c r="AH1659" s="13" t="s">
        <v>41</v>
      </c>
      <c r="AI1659" s="13" t="s">
        <v>76</v>
      </c>
      <c r="AJ1659" s="13" t="str">
        <f>VLOOKUP(E1659,Precios!Z$2:AA$941,2,FALSE)</f>
        <v>Lavaloza WYN 1.5 Litros (recarga)</v>
      </c>
      <c r="AK1659" s="14">
        <f>VLOOKUP(E1659,Precios!Z$2:BB$941,3,FALSE)*F1659</f>
        <v>-1</v>
      </c>
      <c r="AL1659" s="17"/>
      <c r="AM1659" s="17"/>
      <c r="AN1659" s="17"/>
      <c r="AO1659" s="17"/>
      <c r="AP1659" s="17"/>
      <c r="AQ1659" s="17"/>
      <c r="AR1659" s="17"/>
      <c r="AS1659" s="17"/>
      <c r="AT1659" s="17"/>
      <c r="AU1659" s="17"/>
      <c r="AV1659" s="17"/>
    </row>
    <row r="1660" spans="1:48" ht="15.75" customHeight="1">
      <c r="A1660" s="21" t="s">
        <v>47</v>
      </c>
      <c r="B1660" s="23" t="s">
        <v>1692</v>
      </c>
      <c r="C1660" s="22">
        <v>45802</v>
      </c>
      <c r="D1660" s="23" t="s">
        <v>172</v>
      </c>
      <c r="E1660" s="23" t="s">
        <v>107</v>
      </c>
      <c r="F1660" s="21">
        <v>1</v>
      </c>
      <c r="G1660" s="12">
        <v>3000.0000000000005</v>
      </c>
      <c r="H1660" s="12">
        <v>3000.0000000000005</v>
      </c>
      <c r="I1660" s="23" t="s">
        <v>52</v>
      </c>
      <c r="J1660" s="23" t="s">
        <v>61</v>
      </c>
      <c r="K1660" s="24" t="s">
        <v>177</v>
      </c>
      <c r="L1660" s="24">
        <v>143</v>
      </c>
      <c r="M1660" s="12">
        <v>2521.0084033613452</v>
      </c>
      <c r="N1660" s="12">
        <v>2521.0084033613452</v>
      </c>
      <c r="O1660" s="12">
        <v>478.99159663865521</v>
      </c>
      <c r="P1660" s="13"/>
      <c r="Q1660" s="14">
        <v>2025</v>
      </c>
      <c r="R1660" s="15">
        <v>45413</v>
      </c>
      <c r="S1660" s="11" t="s">
        <v>453</v>
      </c>
      <c r="T1660" s="16">
        <v>0</v>
      </c>
      <c r="U1660" s="17"/>
      <c r="V1660" s="12">
        <v>758.82352941176487</v>
      </c>
      <c r="W1660" s="12">
        <v>758.82352941176487</v>
      </c>
      <c r="X1660" s="12">
        <v>0</v>
      </c>
      <c r="Y1660" s="18">
        <v>45796</v>
      </c>
      <c r="Z1660" s="13" t="s">
        <v>497</v>
      </c>
      <c r="AA1660" s="19" t="s">
        <v>361</v>
      </c>
      <c r="AB1660" s="13" t="s">
        <v>357</v>
      </c>
      <c r="AC1660" s="13" t="s">
        <v>405</v>
      </c>
      <c r="AD1660" s="20"/>
      <c r="AE1660" s="20"/>
      <c r="AF1660" s="13" t="s">
        <v>40</v>
      </c>
      <c r="AG1660" s="15">
        <v>45413</v>
      </c>
      <c r="AH1660" s="13" t="s">
        <v>41</v>
      </c>
      <c r="AI1660" s="13" t="s">
        <v>47</v>
      </c>
      <c r="AJ1660" s="13" t="str">
        <f>VLOOKUP(E1660,Precios!Z$2:AA$941,2,FALSE)</f>
        <v xml:space="preserve">Bolsas Basura TEDDY 90x120 </v>
      </c>
      <c r="AK1660" s="14">
        <f>VLOOKUP(E1660,Precios!Z$2:BB$941,3,FALSE)*F1660</f>
        <v>-1</v>
      </c>
      <c r="AL1660" s="17"/>
      <c r="AM1660" s="17"/>
      <c r="AN1660" s="17"/>
      <c r="AO1660" s="17"/>
      <c r="AP1660" s="17"/>
      <c r="AQ1660" s="17"/>
      <c r="AR1660" s="17"/>
      <c r="AS1660" s="17"/>
      <c r="AT1660" s="17"/>
      <c r="AU1660" s="17"/>
      <c r="AV1660" s="17"/>
    </row>
    <row r="1661" spans="1:48" ht="15.75" customHeight="1">
      <c r="A1661" s="21" t="s">
        <v>47</v>
      </c>
      <c r="B1661" s="23" t="s">
        <v>1692</v>
      </c>
      <c r="C1661" s="22">
        <v>45802</v>
      </c>
      <c r="D1661" s="23" t="s">
        <v>172</v>
      </c>
      <c r="E1661" s="23" t="s">
        <v>100</v>
      </c>
      <c r="F1661" s="21">
        <v>1</v>
      </c>
      <c r="G1661" s="12">
        <v>650.00000000000011</v>
      </c>
      <c r="H1661" s="12">
        <v>650.00000000000011</v>
      </c>
      <c r="I1661" s="23" t="s">
        <v>52</v>
      </c>
      <c r="J1661" s="23" t="s">
        <v>61</v>
      </c>
      <c r="K1661" s="24" t="s">
        <v>177</v>
      </c>
      <c r="L1661" s="24">
        <v>143</v>
      </c>
      <c r="M1661" s="12">
        <v>546.21848739495806</v>
      </c>
      <c r="N1661" s="12">
        <v>546.21848739495806</v>
      </c>
      <c r="O1661" s="12">
        <v>103.78151260504205</v>
      </c>
      <c r="P1661" s="13"/>
      <c r="Q1661" s="14">
        <v>2025</v>
      </c>
      <c r="R1661" s="15">
        <v>45413</v>
      </c>
      <c r="S1661" s="11" t="s">
        <v>453</v>
      </c>
      <c r="T1661" s="16">
        <v>0</v>
      </c>
      <c r="U1661" s="17"/>
      <c r="V1661" s="12">
        <v>231.09243697478996</v>
      </c>
      <c r="W1661" s="12">
        <v>231.09243697478996</v>
      </c>
      <c r="X1661" s="12">
        <v>0</v>
      </c>
      <c r="Y1661" s="18">
        <v>45796</v>
      </c>
      <c r="Z1661" s="13" t="s">
        <v>497</v>
      </c>
      <c r="AA1661" s="19" t="s">
        <v>361</v>
      </c>
      <c r="AB1661" s="13" t="s">
        <v>357</v>
      </c>
      <c r="AC1661" s="13" t="s">
        <v>405</v>
      </c>
      <c r="AD1661" s="20"/>
      <c r="AE1661" s="20"/>
      <c r="AF1661" s="13" t="s">
        <v>40</v>
      </c>
      <c r="AG1661" s="15">
        <v>45413</v>
      </c>
      <c r="AH1661" s="13" t="s">
        <v>41</v>
      </c>
      <c r="AI1661" s="13" t="s">
        <v>47</v>
      </c>
      <c r="AJ1661" s="13" t="str">
        <f>VLOOKUP(E1661,Precios!Z$2:AA$941,2,FALSE)</f>
        <v xml:space="preserve">Bolsas Basura TEDDY 50x70 </v>
      </c>
      <c r="AK1661" s="14">
        <f>VLOOKUP(E1661,Precios!Z$2:BB$941,3,FALSE)*F1661</f>
        <v>-1</v>
      </c>
      <c r="AL1661" s="17"/>
      <c r="AM1661" s="17"/>
      <c r="AN1661" s="17"/>
      <c r="AO1661" s="17"/>
      <c r="AP1661" s="17"/>
      <c r="AQ1661" s="17"/>
      <c r="AR1661" s="17"/>
      <c r="AS1661" s="17"/>
      <c r="AT1661" s="17"/>
      <c r="AU1661" s="17"/>
      <c r="AV1661" s="17"/>
    </row>
    <row r="1662" spans="1:48" ht="15.75" customHeight="1">
      <c r="A1662" s="21" t="s">
        <v>53</v>
      </c>
      <c r="B1662" s="23" t="s">
        <v>1692</v>
      </c>
      <c r="C1662" s="22">
        <v>45802</v>
      </c>
      <c r="D1662" s="23" t="s">
        <v>172</v>
      </c>
      <c r="E1662" s="23" t="s">
        <v>203</v>
      </c>
      <c r="F1662" s="21">
        <v>1</v>
      </c>
      <c r="G1662" s="12">
        <v>10000.38816108685</v>
      </c>
      <c r="H1662" s="12">
        <v>10000.38816108685</v>
      </c>
      <c r="I1662" s="23" t="s">
        <v>52</v>
      </c>
      <c r="J1662" s="23" t="s">
        <v>61</v>
      </c>
      <c r="K1662" s="24" t="s">
        <v>177</v>
      </c>
      <c r="L1662" s="24">
        <v>143</v>
      </c>
      <c r="M1662" s="12">
        <v>8403.6875303250854</v>
      </c>
      <c r="N1662" s="12">
        <v>8403.6875303250854</v>
      </c>
      <c r="O1662" s="12">
        <v>1596.7006307617648</v>
      </c>
      <c r="P1662" s="13"/>
      <c r="Q1662" s="14">
        <v>2025</v>
      </c>
      <c r="R1662" s="15">
        <v>45413</v>
      </c>
      <c r="S1662" s="11" t="s">
        <v>366</v>
      </c>
      <c r="T1662" s="16">
        <v>0</v>
      </c>
      <c r="U1662" s="17"/>
      <c r="V1662" s="12">
        <v>2986.6611852311507</v>
      </c>
      <c r="W1662" s="12">
        <v>2986.6611852311507</v>
      </c>
      <c r="X1662" s="12">
        <v>0</v>
      </c>
      <c r="Y1662" s="18">
        <v>45796</v>
      </c>
      <c r="Z1662" s="13" t="s">
        <v>497</v>
      </c>
      <c r="AA1662" s="19" t="s">
        <v>361</v>
      </c>
      <c r="AB1662" s="13" t="s">
        <v>357</v>
      </c>
      <c r="AC1662" s="13" t="s">
        <v>405</v>
      </c>
      <c r="AD1662" s="20"/>
      <c r="AE1662" s="20"/>
      <c r="AF1662" s="13" t="s">
        <v>40</v>
      </c>
      <c r="AG1662" s="15">
        <v>45413</v>
      </c>
      <c r="AH1662" s="13" t="s">
        <v>41</v>
      </c>
      <c r="AI1662" s="13" t="s">
        <v>53</v>
      </c>
      <c r="AJ1662" s="13" t="str">
        <f>VLOOKUP(E1662,Precios!Z$2:AA$941,2,FALSE)</f>
        <v>Papel Higienico ELITE 50 metros</v>
      </c>
      <c r="AK1662" s="14">
        <f>VLOOKUP(E1662,Precios!Z$2:BB$941,3,FALSE)*F1662</f>
        <v>-3</v>
      </c>
      <c r="AL1662" s="17"/>
      <c r="AM1662" s="17"/>
      <c r="AN1662" s="17"/>
      <c r="AO1662" s="17"/>
      <c r="AP1662" s="17"/>
      <c r="AQ1662" s="17"/>
      <c r="AR1662" s="17"/>
      <c r="AS1662" s="17"/>
      <c r="AT1662" s="17"/>
      <c r="AU1662" s="17"/>
      <c r="AV1662" s="17"/>
    </row>
    <row r="1663" spans="1:48" ht="15.75" customHeight="1">
      <c r="A1663" s="21" t="s">
        <v>53</v>
      </c>
      <c r="B1663" s="23" t="s">
        <v>1692</v>
      </c>
      <c r="C1663" s="22">
        <v>45802</v>
      </c>
      <c r="D1663" s="23" t="s">
        <v>172</v>
      </c>
      <c r="E1663" s="23" t="s">
        <v>69</v>
      </c>
      <c r="F1663" s="21">
        <v>2</v>
      </c>
      <c r="G1663" s="12">
        <v>2999.9553810458683</v>
      </c>
      <c r="H1663" s="12">
        <v>5999.9107620917366</v>
      </c>
      <c r="I1663" s="23" t="s">
        <v>52</v>
      </c>
      <c r="J1663" s="23" t="s">
        <v>61</v>
      </c>
      <c r="K1663" s="24" t="s">
        <v>177</v>
      </c>
      <c r="L1663" s="24">
        <v>143</v>
      </c>
      <c r="M1663" s="12">
        <v>2520.9709084419064</v>
      </c>
      <c r="N1663" s="12">
        <v>5041.9418168838129</v>
      </c>
      <c r="O1663" s="12">
        <v>957.96894520792375</v>
      </c>
      <c r="P1663" s="13"/>
      <c r="Q1663" s="14">
        <v>2025</v>
      </c>
      <c r="R1663" s="15">
        <v>45413</v>
      </c>
      <c r="S1663" s="11" t="s">
        <v>376</v>
      </c>
      <c r="T1663" s="16">
        <v>0</v>
      </c>
      <c r="U1663" s="17"/>
      <c r="V1663" s="12">
        <v>1651.941816883812</v>
      </c>
      <c r="W1663" s="12">
        <v>1651.941816883812</v>
      </c>
      <c r="X1663" s="12">
        <v>0</v>
      </c>
      <c r="Y1663" s="18">
        <v>45796</v>
      </c>
      <c r="Z1663" s="13" t="s">
        <v>497</v>
      </c>
      <c r="AA1663" s="19" t="s">
        <v>361</v>
      </c>
      <c r="AB1663" s="13" t="s">
        <v>357</v>
      </c>
      <c r="AC1663" s="13" t="s">
        <v>405</v>
      </c>
      <c r="AD1663" s="20"/>
      <c r="AE1663" s="20"/>
      <c r="AF1663" s="13" t="s">
        <v>40</v>
      </c>
      <c r="AG1663" s="15">
        <v>45413</v>
      </c>
      <c r="AH1663" s="13" t="s">
        <v>41</v>
      </c>
      <c r="AI1663" s="13" t="s">
        <v>53</v>
      </c>
      <c r="AJ1663" s="13" t="str">
        <f>VLOOKUP(E1663,Precios!Z$2:AA$941,2,FALSE)</f>
        <v>Toalla Papel NOVA 70 metros</v>
      </c>
      <c r="AK1663" s="14">
        <f>VLOOKUP(E1663,Precios!Z$2:BB$941,3,FALSE)*F1663</f>
        <v>-2</v>
      </c>
      <c r="AL1663" s="17"/>
      <c r="AM1663" s="17"/>
      <c r="AN1663" s="17"/>
      <c r="AO1663" s="17"/>
      <c r="AP1663" s="17"/>
      <c r="AQ1663" s="17"/>
      <c r="AR1663" s="17"/>
      <c r="AS1663" s="17"/>
      <c r="AT1663" s="17"/>
      <c r="AU1663" s="17"/>
      <c r="AV1663" s="17"/>
    </row>
    <row r="1664" spans="1:48" ht="15.75" customHeight="1">
      <c r="A1664" s="21" t="s">
        <v>43</v>
      </c>
      <c r="B1664" s="23" t="s">
        <v>1692</v>
      </c>
      <c r="C1664" s="22">
        <v>45802</v>
      </c>
      <c r="D1664" s="23" t="s">
        <v>184</v>
      </c>
      <c r="E1664" s="23" t="s">
        <v>45</v>
      </c>
      <c r="F1664" s="21">
        <v>1</v>
      </c>
      <c r="G1664" s="12">
        <v>7999.7710567538261</v>
      </c>
      <c r="H1664" s="12">
        <v>7999.7710567538261</v>
      </c>
      <c r="I1664" s="23" t="s">
        <v>52</v>
      </c>
      <c r="J1664" s="23" t="s">
        <v>61</v>
      </c>
      <c r="K1664" s="24" t="s">
        <v>177</v>
      </c>
      <c r="L1664" s="24">
        <v>143</v>
      </c>
      <c r="M1664" s="12">
        <v>6722.496686347753</v>
      </c>
      <c r="N1664" s="12">
        <v>6722.496686347753</v>
      </c>
      <c r="O1664" s="12">
        <v>1277.2743704060731</v>
      </c>
      <c r="P1664" s="13"/>
      <c r="Q1664" s="14">
        <v>2025</v>
      </c>
      <c r="R1664" s="15">
        <v>45413</v>
      </c>
      <c r="S1664" s="11" t="s">
        <v>355</v>
      </c>
      <c r="T1664" s="16">
        <v>0</v>
      </c>
      <c r="U1664" s="17"/>
      <c r="V1664" s="12">
        <v>1143.496686347753</v>
      </c>
      <c r="W1664" s="12">
        <v>1143.496686347753</v>
      </c>
      <c r="X1664" s="12">
        <v>0</v>
      </c>
      <c r="Y1664" s="18">
        <v>45796</v>
      </c>
      <c r="Z1664" s="13" t="s">
        <v>497</v>
      </c>
      <c r="AA1664" s="19" t="s">
        <v>361</v>
      </c>
      <c r="AB1664" s="13" t="s">
        <v>357</v>
      </c>
      <c r="AC1664" s="13" t="s">
        <v>405</v>
      </c>
      <c r="AD1664" s="20"/>
      <c r="AE1664" s="20"/>
      <c r="AF1664" s="13" t="s">
        <v>40</v>
      </c>
      <c r="AG1664" s="15">
        <v>45413</v>
      </c>
      <c r="AH1664" s="13" t="s">
        <v>41</v>
      </c>
      <c r="AI1664" s="13" t="s">
        <v>43</v>
      </c>
      <c r="AJ1664" s="13" t="str">
        <f>VLOOKUP(E1664,Precios!Z$2:AA$941,2,FALSE)</f>
        <v>Bandeja Huevos EXTRA</v>
      </c>
      <c r="AK1664" s="14">
        <f>VLOOKUP(E1664,Precios!Z$2:BB$941,3,FALSE)*F1664</f>
        <v>-1</v>
      </c>
      <c r="AL1664" s="17"/>
      <c r="AM1664" s="17"/>
      <c r="AN1664" s="17"/>
      <c r="AO1664" s="17"/>
      <c r="AP1664" s="17"/>
      <c r="AQ1664" s="17"/>
      <c r="AR1664" s="17"/>
      <c r="AS1664" s="17"/>
      <c r="AT1664" s="17"/>
      <c r="AU1664" s="17"/>
      <c r="AV1664" s="17"/>
    </row>
    <row r="1665" spans="1:48" ht="15.75" customHeight="1">
      <c r="A1665" s="21" t="s">
        <v>53</v>
      </c>
      <c r="B1665" s="23" t="s">
        <v>1692</v>
      </c>
      <c r="C1665" s="22">
        <v>45802</v>
      </c>
      <c r="D1665" s="23" t="s">
        <v>168</v>
      </c>
      <c r="E1665" s="23" t="s">
        <v>55</v>
      </c>
      <c r="F1665" s="21">
        <v>2</v>
      </c>
      <c r="G1665" s="12">
        <v>20899.922685965601</v>
      </c>
      <c r="H1665" s="12">
        <v>41799.845371931202</v>
      </c>
      <c r="I1665" s="23" t="s">
        <v>52</v>
      </c>
      <c r="J1665" s="23" t="s">
        <v>61</v>
      </c>
      <c r="K1665" s="24" t="s">
        <v>177</v>
      </c>
      <c r="L1665" s="24">
        <v>143</v>
      </c>
      <c r="M1665" s="12">
        <v>17562.960240307228</v>
      </c>
      <c r="N1665" s="12">
        <v>35125.920480614455</v>
      </c>
      <c r="O1665" s="12">
        <v>6673.9248913167467</v>
      </c>
      <c r="P1665" s="13"/>
      <c r="Q1665" s="14">
        <v>2025</v>
      </c>
      <c r="R1665" s="15">
        <v>45413</v>
      </c>
      <c r="S1665" s="11" t="s">
        <v>366</v>
      </c>
      <c r="T1665" s="16">
        <v>0</v>
      </c>
      <c r="U1665" s="17"/>
      <c r="V1665" s="12">
        <v>6235.4741756638468</v>
      </c>
      <c r="W1665" s="12">
        <v>6235.4741756638468</v>
      </c>
      <c r="X1665" s="12">
        <v>0</v>
      </c>
      <c r="Y1665" s="18">
        <v>45796</v>
      </c>
      <c r="Z1665" s="13" t="s">
        <v>497</v>
      </c>
      <c r="AA1665" s="19" t="s">
        <v>361</v>
      </c>
      <c r="AB1665" s="13" t="s">
        <v>357</v>
      </c>
      <c r="AC1665" s="13" t="s">
        <v>405</v>
      </c>
      <c r="AD1665" s="20"/>
      <c r="AE1665" s="20"/>
      <c r="AF1665" s="13" t="s">
        <v>40</v>
      </c>
      <c r="AG1665" s="15">
        <v>45413</v>
      </c>
      <c r="AH1665" s="13" t="s">
        <v>41</v>
      </c>
      <c r="AI1665" s="13" t="s">
        <v>53</v>
      </c>
      <c r="AJ1665" s="13" t="str">
        <f>VLOOKUP(E1665,Precios!Z$2:AA$941,2,FALSE)</f>
        <v>Papel Higienico ELITE 50 metros</v>
      </c>
      <c r="AK1665" s="14">
        <f>VLOOKUP(E1665,Precios!Z$2:BB$941,3,FALSE)*F1665</f>
        <v>-16</v>
      </c>
      <c r="AL1665" s="17"/>
      <c r="AM1665" s="17"/>
      <c r="AN1665" s="17"/>
      <c r="AO1665" s="17"/>
      <c r="AP1665" s="17"/>
      <c r="AQ1665" s="17"/>
      <c r="AR1665" s="17"/>
      <c r="AS1665" s="17"/>
      <c r="AT1665" s="17"/>
      <c r="AU1665" s="17"/>
      <c r="AV1665" s="17"/>
    </row>
    <row r="1666" spans="1:48" ht="15.75" customHeight="1">
      <c r="A1666" s="21" t="s">
        <v>53</v>
      </c>
      <c r="B1666" s="23" t="s">
        <v>1692</v>
      </c>
      <c r="C1666" s="22">
        <v>45802</v>
      </c>
      <c r="D1666" s="23" t="s">
        <v>168</v>
      </c>
      <c r="E1666" s="23" t="s">
        <v>280</v>
      </c>
      <c r="F1666" s="21">
        <v>1</v>
      </c>
      <c r="G1666" s="12">
        <v>13500.442251291839</v>
      </c>
      <c r="H1666" s="12">
        <v>13500.442251291839</v>
      </c>
      <c r="I1666" s="23" t="s">
        <v>52</v>
      </c>
      <c r="J1666" s="23" t="s">
        <v>61</v>
      </c>
      <c r="K1666" s="24" t="s">
        <v>177</v>
      </c>
      <c r="L1666" s="24">
        <v>143</v>
      </c>
      <c r="M1666" s="12">
        <v>11344.909454867093</v>
      </c>
      <c r="N1666" s="12">
        <v>11344.909454867093</v>
      </c>
      <c r="O1666" s="12">
        <v>2155.5327964247463</v>
      </c>
      <c r="P1666" s="13"/>
      <c r="Q1666" s="14">
        <v>2025</v>
      </c>
      <c r="R1666" s="15">
        <v>45413</v>
      </c>
      <c r="S1666" s="11" t="s">
        <v>381</v>
      </c>
      <c r="T1666" s="16">
        <v>300</v>
      </c>
      <c r="U1666" s="17"/>
      <c r="V1666" s="12">
        <v>4033.909454867091</v>
      </c>
      <c r="W1666" s="12">
        <v>4033.909454867091</v>
      </c>
      <c r="X1666" s="12">
        <v>0</v>
      </c>
      <c r="Y1666" s="18">
        <v>45796</v>
      </c>
      <c r="Z1666" s="13" t="s">
        <v>497</v>
      </c>
      <c r="AA1666" s="19" t="s">
        <v>361</v>
      </c>
      <c r="AB1666" s="13" t="s">
        <v>357</v>
      </c>
      <c r="AC1666" s="13" t="s">
        <v>405</v>
      </c>
      <c r="AD1666" s="20"/>
      <c r="AE1666" s="20"/>
      <c r="AF1666" s="13" t="s">
        <v>40</v>
      </c>
      <c r="AG1666" s="15">
        <v>45413</v>
      </c>
      <c r="AH1666" s="13" t="s">
        <v>41</v>
      </c>
      <c r="AI1666" s="13" t="s">
        <v>53</v>
      </c>
      <c r="AJ1666" s="13" t="str">
        <f>VLOOKUP(E1666,Precios!Z$2:AA$941,2,FALSE)</f>
        <v>Servilletas SOFTQUALITY 300 unidades</v>
      </c>
      <c r="AK1666" s="14">
        <f>VLOOKUP(E1666,Precios!Z$2:BB$941,3,FALSE)*F1666</f>
        <v>-10</v>
      </c>
      <c r="AL1666" s="17"/>
      <c r="AM1666" s="17"/>
      <c r="AN1666" s="17"/>
      <c r="AO1666" s="17"/>
      <c r="AP1666" s="17"/>
      <c r="AQ1666" s="17"/>
      <c r="AR1666" s="17"/>
      <c r="AS1666" s="17"/>
      <c r="AT1666" s="17"/>
      <c r="AU1666" s="17"/>
      <c r="AV1666" s="17"/>
    </row>
    <row r="1667" spans="1:48" ht="15.75" customHeight="1">
      <c r="A1667" s="21" t="s">
        <v>53</v>
      </c>
      <c r="B1667" s="23" t="s">
        <v>1692</v>
      </c>
      <c r="C1667" s="22">
        <v>45802</v>
      </c>
      <c r="D1667" s="23" t="s">
        <v>168</v>
      </c>
      <c r="E1667" s="23" t="s">
        <v>274</v>
      </c>
      <c r="F1667" s="21">
        <v>1</v>
      </c>
      <c r="G1667" s="12">
        <v>22500.104577715188</v>
      </c>
      <c r="H1667" s="12">
        <v>22500.104577715188</v>
      </c>
      <c r="I1667" s="23" t="s">
        <v>52</v>
      </c>
      <c r="J1667" s="23" t="s">
        <v>61</v>
      </c>
      <c r="K1667" s="24" t="s">
        <v>177</v>
      </c>
      <c r="L1667" s="24">
        <v>143</v>
      </c>
      <c r="M1667" s="12">
        <v>18907.650905643015</v>
      </c>
      <c r="N1667" s="12">
        <v>18907.650905643015</v>
      </c>
      <c r="O1667" s="12">
        <v>3592.4536720721735</v>
      </c>
      <c r="P1667" s="13"/>
      <c r="Q1667" s="14">
        <v>2025</v>
      </c>
      <c r="R1667" s="15">
        <v>45413</v>
      </c>
      <c r="S1667" s="11" t="s">
        <v>376</v>
      </c>
      <c r="T1667" s="16">
        <v>0</v>
      </c>
      <c r="U1667" s="17"/>
      <c r="V1667" s="12">
        <v>5347.650905643015</v>
      </c>
      <c r="W1667" s="12">
        <v>5347.650905643015</v>
      </c>
      <c r="X1667" s="12">
        <v>0</v>
      </c>
      <c r="Y1667" s="18">
        <v>45796</v>
      </c>
      <c r="Z1667" s="13" t="s">
        <v>497</v>
      </c>
      <c r="AA1667" s="19" t="s">
        <v>361</v>
      </c>
      <c r="AB1667" s="13" t="s">
        <v>357</v>
      </c>
      <c r="AC1667" s="13" t="s">
        <v>405</v>
      </c>
      <c r="AD1667" s="20"/>
      <c r="AE1667" s="20"/>
      <c r="AF1667" s="13" t="s">
        <v>40</v>
      </c>
      <c r="AG1667" s="15">
        <v>45413</v>
      </c>
      <c r="AH1667" s="13" t="s">
        <v>41</v>
      </c>
      <c r="AI1667" s="13" t="s">
        <v>53</v>
      </c>
      <c r="AJ1667" s="13" t="str">
        <f>VLOOKUP(E1667,Precios!Z$2:AA$941,2,FALSE)</f>
        <v>Toalla Papel NOVA 70 metros</v>
      </c>
      <c r="AK1667" s="14">
        <f>VLOOKUP(E1667,Precios!Z$2:BB$941,3,FALSE)*F1667</f>
        <v>-8</v>
      </c>
      <c r="AL1667" s="17"/>
      <c r="AM1667" s="17"/>
      <c r="AN1667" s="17"/>
      <c r="AO1667" s="17"/>
      <c r="AP1667" s="17"/>
      <c r="AQ1667" s="17"/>
      <c r="AR1667" s="17"/>
      <c r="AS1667" s="17"/>
      <c r="AT1667" s="17"/>
      <c r="AU1667" s="17"/>
      <c r="AV1667" s="17"/>
    </row>
    <row r="1668" spans="1:48" ht="15.75" customHeight="1">
      <c r="A1668" s="21" t="s">
        <v>76</v>
      </c>
      <c r="B1668" s="23" t="s">
        <v>1692</v>
      </c>
      <c r="C1668" s="22">
        <v>45802</v>
      </c>
      <c r="D1668" s="23" t="s">
        <v>168</v>
      </c>
      <c r="E1668" s="23" t="s">
        <v>77</v>
      </c>
      <c r="F1668" s="21">
        <v>1</v>
      </c>
      <c r="G1668" s="12">
        <v>1500.0000000000002</v>
      </c>
      <c r="H1668" s="12">
        <v>1500.0000000000002</v>
      </c>
      <c r="I1668" s="23" t="s">
        <v>52</v>
      </c>
      <c r="J1668" s="23" t="s">
        <v>61</v>
      </c>
      <c r="K1668" s="24" t="s">
        <v>177</v>
      </c>
      <c r="L1668" s="24">
        <v>143</v>
      </c>
      <c r="M1668" s="12">
        <v>1260.5042016806726</v>
      </c>
      <c r="N1668" s="12">
        <v>1260.5042016806726</v>
      </c>
      <c r="O1668" s="12">
        <v>239.4957983193276</v>
      </c>
      <c r="P1668" s="13"/>
      <c r="Q1668" s="14">
        <v>2025</v>
      </c>
      <c r="R1668" s="15">
        <v>45413</v>
      </c>
      <c r="S1668" s="11" t="s">
        <v>448</v>
      </c>
      <c r="T1668" s="16">
        <v>0</v>
      </c>
      <c r="U1668" s="17"/>
      <c r="V1668" s="12">
        <v>421.00840336134468</v>
      </c>
      <c r="W1668" s="12">
        <v>421.00840336134468</v>
      </c>
      <c r="X1668" s="12">
        <v>0</v>
      </c>
      <c r="Y1668" s="18">
        <v>45796</v>
      </c>
      <c r="Z1668" s="13" t="s">
        <v>497</v>
      </c>
      <c r="AA1668" s="19" t="s">
        <v>361</v>
      </c>
      <c r="AB1668" s="13" t="s">
        <v>357</v>
      </c>
      <c r="AC1668" s="13" t="s">
        <v>405</v>
      </c>
      <c r="AD1668" s="20"/>
      <c r="AE1668" s="20"/>
      <c r="AF1668" s="13" t="s">
        <v>40</v>
      </c>
      <c r="AG1668" s="15">
        <v>45413</v>
      </c>
      <c r="AH1668" s="13" t="s">
        <v>41</v>
      </c>
      <c r="AI1668" s="13" t="s">
        <v>76</v>
      </c>
      <c r="AJ1668" s="13" t="str">
        <f>VLOOKUP(E1668,Precios!Z$2:AA$941,2,FALSE)</f>
        <v>Cloro GEL IGENIX 900ml</v>
      </c>
      <c r="AK1668" s="14">
        <f>VLOOKUP(E1668,Precios!Z$2:BB$941,3,FALSE)*F1668</f>
        <v>-1</v>
      </c>
      <c r="AL1668" s="17"/>
      <c r="AM1668" s="17"/>
      <c r="AN1668" s="17"/>
      <c r="AO1668" s="17"/>
      <c r="AP1668" s="17"/>
      <c r="AQ1668" s="17"/>
      <c r="AR1668" s="17"/>
      <c r="AS1668" s="17"/>
      <c r="AT1668" s="17"/>
      <c r="AU1668" s="17"/>
      <c r="AV1668" s="17"/>
    </row>
    <row r="1669" spans="1:48" ht="15.75" customHeight="1">
      <c r="A1669" s="21" t="s">
        <v>147</v>
      </c>
      <c r="B1669" s="23" t="s">
        <v>1692</v>
      </c>
      <c r="C1669" s="22">
        <v>45802</v>
      </c>
      <c r="D1669" s="23" t="s">
        <v>259</v>
      </c>
      <c r="E1669" s="23" t="s">
        <v>249</v>
      </c>
      <c r="F1669" s="21">
        <v>1</v>
      </c>
      <c r="G1669" s="12">
        <v>8500.0000000000018</v>
      </c>
      <c r="H1669" s="12">
        <v>8500.0000000000018</v>
      </c>
      <c r="I1669" s="23" t="s">
        <v>52</v>
      </c>
      <c r="J1669" s="23" t="s">
        <v>61</v>
      </c>
      <c r="K1669" s="24" t="s">
        <v>177</v>
      </c>
      <c r="L1669" s="24">
        <v>143</v>
      </c>
      <c r="M1669" s="12">
        <v>7142.8571428571449</v>
      </c>
      <c r="N1669" s="12">
        <v>7142.8571428571449</v>
      </c>
      <c r="O1669" s="12">
        <v>1357.1428571428569</v>
      </c>
      <c r="P1669" s="13"/>
      <c r="Q1669" s="14">
        <v>2025</v>
      </c>
      <c r="R1669" s="15">
        <v>45413</v>
      </c>
      <c r="S1669" s="11" t="s">
        <v>360</v>
      </c>
      <c r="T1669" s="16">
        <v>0</v>
      </c>
      <c r="U1669" s="17"/>
      <c r="V1669" s="12">
        <v>2212.857142857144</v>
      </c>
      <c r="W1669" s="12">
        <v>2212.857142857144</v>
      </c>
      <c r="X1669" s="12">
        <v>0</v>
      </c>
      <c r="Y1669" s="18">
        <v>45796</v>
      </c>
      <c r="Z1669" s="13" t="s">
        <v>497</v>
      </c>
      <c r="AA1669" s="19" t="s">
        <v>373</v>
      </c>
      <c r="AB1669" s="13" t="s">
        <v>357</v>
      </c>
      <c r="AC1669" s="13" t="s">
        <v>399</v>
      </c>
      <c r="AD1669" s="20"/>
      <c r="AE1669" s="20"/>
      <c r="AF1669" s="13" t="s">
        <v>40</v>
      </c>
      <c r="AG1669" s="15">
        <v>45413</v>
      </c>
      <c r="AH1669" s="13" t="s">
        <v>41</v>
      </c>
      <c r="AI1669" s="13" t="s">
        <v>147</v>
      </c>
      <c r="AJ1669" s="13" t="str">
        <f>VLOOKUP(E1669,Precios!Z$2:AA$941,2,FALSE)</f>
        <v>Papel Aluminio 100 metros</v>
      </c>
      <c r="AK1669" s="14">
        <f>VLOOKUP(E1669,Precios!Z$2:BB$941,3,FALSE)*F1669</f>
        <v>-1</v>
      </c>
      <c r="AL1669" s="17"/>
      <c r="AM1669" s="17"/>
      <c r="AN1669" s="17"/>
      <c r="AO1669" s="17"/>
      <c r="AP1669" s="17"/>
      <c r="AQ1669" s="17"/>
      <c r="AR1669" s="17"/>
      <c r="AS1669" s="17"/>
      <c r="AT1669" s="17"/>
      <c r="AU1669" s="17"/>
      <c r="AV1669" s="17"/>
    </row>
    <row r="1670" spans="1:48" ht="15.75" customHeight="1">
      <c r="A1670" s="21" t="s">
        <v>53</v>
      </c>
      <c r="B1670" s="23" t="s">
        <v>1692</v>
      </c>
      <c r="C1670" s="22">
        <v>45802</v>
      </c>
      <c r="D1670" s="23" t="s">
        <v>259</v>
      </c>
      <c r="E1670" s="23" t="s">
        <v>263</v>
      </c>
      <c r="F1670" s="21">
        <v>1</v>
      </c>
      <c r="G1670" s="12">
        <v>9999.6135265700505</v>
      </c>
      <c r="H1670" s="12">
        <v>9999.6135265700505</v>
      </c>
      <c r="I1670" s="23" t="s">
        <v>52</v>
      </c>
      <c r="J1670" s="23" t="s">
        <v>61</v>
      </c>
      <c r="K1670" s="24" t="s">
        <v>177</v>
      </c>
      <c r="L1670" s="24">
        <v>143</v>
      </c>
      <c r="M1670" s="12">
        <v>8403.036576949622</v>
      </c>
      <c r="N1670" s="12">
        <v>8403.036576949622</v>
      </c>
      <c r="O1670" s="12">
        <v>1596.5769496204284</v>
      </c>
      <c r="P1670" s="13"/>
      <c r="Q1670" s="14">
        <v>2025</v>
      </c>
      <c r="R1670" s="15">
        <v>45413</v>
      </c>
      <c r="S1670" s="11" t="s">
        <v>408</v>
      </c>
      <c r="T1670" s="16">
        <v>0</v>
      </c>
      <c r="U1670" s="17"/>
      <c r="V1670" s="12">
        <v>2315.036576949622</v>
      </c>
      <c r="W1670" s="12">
        <v>2315.036576949622</v>
      </c>
      <c r="X1670" s="12">
        <v>0</v>
      </c>
      <c r="Y1670" s="18">
        <v>45796</v>
      </c>
      <c r="Z1670" s="13" t="s">
        <v>497</v>
      </c>
      <c r="AA1670" s="19" t="s">
        <v>373</v>
      </c>
      <c r="AB1670" s="13" t="s">
        <v>357</v>
      </c>
      <c r="AC1670" s="13" t="s">
        <v>399</v>
      </c>
      <c r="AD1670" s="20"/>
      <c r="AE1670" s="20"/>
      <c r="AF1670" s="13" t="s">
        <v>40</v>
      </c>
      <c r="AG1670" s="15">
        <v>45413</v>
      </c>
      <c r="AH1670" s="13" t="s">
        <v>41</v>
      </c>
      <c r="AI1670" s="13" t="s">
        <v>53</v>
      </c>
      <c r="AJ1670" s="13" t="str">
        <f>VLOOKUP(E1670,Precios!Z$2:AA$941,2,FALSE)</f>
        <v>Toalla Papel SWAN D/H AZUL 100 metros</v>
      </c>
      <c r="AK1670" s="14">
        <f>VLOOKUP(E1670,Precios!Z$2:BB$941,3,FALSE)*F1670</f>
        <v>-3</v>
      </c>
      <c r="AL1670" s="17"/>
      <c r="AM1670" s="17"/>
      <c r="AN1670" s="17"/>
      <c r="AO1670" s="17"/>
      <c r="AP1670" s="17"/>
      <c r="AQ1670" s="17"/>
      <c r="AR1670" s="17"/>
      <c r="AS1670" s="17"/>
      <c r="AT1670" s="17"/>
      <c r="AU1670" s="17"/>
      <c r="AV1670" s="17"/>
    </row>
    <row r="1671" spans="1:48" ht="15.75" customHeight="1">
      <c r="A1671" s="21" t="s">
        <v>47</v>
      </c>
      <c r="B1671" s="23" t="s">
        <v>1692</v>
      </c>
      <c r="C1671" s="22">
        <v>45802</v>
      </c>
      <c r="D1671" s="23" t="s">
        <v>259</v>
      </c>
      <c r="E1671" s="23" t="s">
        <v>200</v>
      </c>
      <c r="F1671" s="21">
        <v>2</v>
      </c>
      <c r="G1671" s="12">
        <v>1799.8604716059717</v>
      </c>
      <c r="H1671" s="12">
        <v>3599.7209432119434</v>
      </c>
      <c r="I1671" s="23" t="s">
        <v>52</v>
      </c>
      <c r="J1671" s="23" t="s">
        <v>61</v>
      </c>
      <c r="K1671" s="24" t="s">
        <v>177</v>
      </c>
      <c r="L1671" s="24">
        <v>143</v>
      </c>
      <c r="M1671" s="12">
        <v>1512.4877912655224</v>
      </c>
      <c r="N1671" s="12">
        <v>3024.9755825310449</v>
      </c>
      <c r="O1671" s="12">
        <v>574.74536068089856</v>
      </c>
      <c r="P1671" s="13"/>
      <c r="Q1671" s="14">
        <v>2025</v>
      </c>
      <c r="R1671" s="15">
        <v>45413</v>
      </c>
      <c r="S1671" s="11" t="s">
        <v>476</v>
      </c>
      <c r="T1671" s="16">
        <v>0</v>
      </c>
      <c r="U1671" s="17"/>
      <c r="V1671" s="12">
        <v>856.97558253104489</v>
      </c>
      <c r="W1671" s="12">
        <v>856.97558253104489</v>
      </c>
      <c r="X1671" s="12">
        <v>0</v>
      </c>
      <c r="Y1671" s="18">
        <v>45796</v>
      </c>
      <c r="Z1671" s="13" t="s">
        <v>497</v>
      </c>
      <c r="AA1671" s="19" t="s">
        <v>373</v>
      </c>
      <c r="AB1671" s="13" t="s">
        <v>357</v>
      </c>
      <c r="AC1671" s="13" t="s">
        <v>399</v>
      </c>
      <c r="AD1671" s="20"/>
      <c r="AE1671" s="20"/>
      <c r="AF1671" s="13" t="s">
        <v>40</v>
      </c>
      <c r="AG1671" s="15">
        <v>45413</v>
      </c>
      <c r="AH1671" s="13" t="s">
        <v>41</v>
      </c>
      <c r="AI1671" s="13" t="s">
        <v>47</v>
      </c>
      <c r="AJ1671" s="13" t="str">
        <f>VLOOKUP(E1671,Precios!Z$2:AA$941,2,FALSE)</f>
        <v>Ambiental Tubo AROM</v>
      </c>
      <c r="AK1671" s="14">
        <f>VLOOKUP(E1671,Precios!Z$2:BB$941,3,FALSE)*F1671</f>
        <v>-2</v>
      </c>
      <c r="AL1671" s="17"/>
      <c r="AM1671" s="17"/>
      <c r="AN1671" s="17"/>
      <c r="AO1671" s="17"/>
      <c r="AP1671" s="17"/>
      <c r="AQ1671" s="17"/>
      <c r="AR1671" s="17"/>
      <c r="AS1671" s="17"/>
      <c r="AT1671" s="17"/>
      <c r="AU1671" s="17"/>
      <c r="AV1671" s="17"/>
    </row>
    <row r="1672" spans="1:48" ht="15.75" customHeight="1">
      <c r="A1672" s="21" t="s">
        <v>35</v>
      </c>
      <c r="B1672" s="23" t="s">
        <v>1692</v>
      </c>
      <c r="C1672" s="22">
        <v>45801</v>
      </c>
      <c r="D1672" s="23" t="s">
        <v>235</v>
      </c>
      <c r="E1672" s="23" t="s">
        <v>37</v>
      </c>
      <c r="F1672" s="21">
        <v>1</v>
      </c>
      <c r="G1672" s="12">
        <v>11000.014358944907</v>
      </c>
      <c r="H1672" s="12">
        <v>11000.014358944907</v>
      </c>
      <c r="I1672" s="23" t="s">
        <v>52</v>
      </c>
      <c r="J1672" s="23" t="s">
        <v>61</v>
      </c>
      <c r="K1672" s="24" t="s">
        <v>177</v>
      </c>
      <c r="L1672" s="24">
        <v>143</v>
      </c>
      <c r="M1672" s="12">
        <v>9243.7095453318543</v>
      </c>
      <c r="N1672" s="12">
        <v>9243.7095453318543</v>
      </c>
      <c r="O1672" s="12">
        <v>1756.3048136130528</v>
      </c>
      <c r="P1672" s="13"/>
      <c r="Q1672" s="14">
        <v>2025</v>
      </c>
      <c r="R1672" s="15">
        <v>45413</v>
      </c>
      <c r="S1672" s="11" t="s">
        <v>364</v>
      </c>
      <c r="T1672" s="16">
        <v>1000</v>
      </c>
      <c r="U1672" s="17"/>
      <c r="V1672" s="12">
        <v>2806.1129066763915</v>
      </c>
      <c r="W1672" s="12">
        <v>2806.1129066763915</v>
      </c>
      <c r="X1672" s="12">
        <v>0</v>
      </c>
      <c r="Y1672" s="18">
        <v>45796</v>
      </c>
      <c r="Z1672" s="13" t="s">
        <v>501</v>
      </c>
      <c r="AA1672" s="19" t="s">
        <v>367</v>
      </c>
      <c r="AB1672" s="13" t="s">
        <v>357</v>
      </c>
      <c r="AC1672" s="13" t="s">
        <v>367</v>
      </c>
      <c r="AD1672" s="20"/>
      <c r="AE1672" s="20"/>
      <c r="AF1672" s="13" t="s">
        <v>40</v>
      </c>
      <c r="AG1672" s="15">
        <v>45413</v>
      </c>
      <c r="AH1672" s="13" t="s">
        <v>41</v>
      </c>
      <c r="AI1672" s="13" t="s">
        <v>35</v>
      </c>
      <c r="AJ1672" s="13" t="str">
        <f>VLOOKUP(E1672,Precios!Z$2:AA$941,2,FALSE)</f>
        <v>Queso RUNCA Mantecoso</v>
      </c>
      <c r="AK1672" s="14">
        <f>VLOOKUP(E1672,Precios!Z$2:BB$941,3,FALSE)*F1672</f>
        <v>-1</v>
      </c>
      <c r="AL1672" s="17"/>
      <c r="AM1672" s="17"/>
      <c r="AN1672" s="17"/>
      <c r="AO1672" s="17"/>
      <c r="AP1672" s="17"/>
      <c r="AQ1672" s="17"/>
      <c r="AR1672" s="17"/>
      <c r="AS1672" s="17"/>
      <c r="AT1672" s="17"/>
      <c r="AU1672" s="17"/>
      <c r="AV1672" s="17"/>
    </row>
    <row r="1673" spans="1:48" ht="15.75" customHeight="1">
      <c r="A1673" s="21" t="s">
        <v>56</v>
      </c>
      <c r="B1673" s="23" t="s">
        <v>1692</v>
      </c>
      <c r="C1673" s="22">
        <v>45801</v>
      </c>
      <c r="D1673" s="23" t="s">
        <v>235</v>
      </c>
      <c r="E1673" s="23" t="s">
        <v>60</v>
      </c>
      <c r="F1673" s="21">
        <v>1</v>
      </c>
      <c r="G1673" s="12">
        <v>7000.0000000000018</v>
      </c>
      <c r="H1673" s="12">
        <v>7000.0000000000018</v>
      </c>
      <c r="I1673" s="23" t="s">
        <v>52</v>
      </c>
      <c r="J1673" s="23" t="s">
        <v>61</v>
      </c>
      <c r="K1673" s="24" t="s">
        <v>177</v>
      </c>
      <c r="L1673" s="24">
        <v>143</v>
      </c>
      <c r="M1673" s="12">
        <v>5882.3529411764721</v>
      </c>
      <c r="N1673" s="12">
        <v>5882.3529411764721</v>
      </c>
      <c r="O1673" s="12">
        <v>1117.6470588235297</v>
      </c>
      <c r="P1673" s="13"/>
      <c r="Q1673" s="14">
        <v>2025</v>
      </c>
      <c r="R1673" s="15">
        <v>45413</v>
      </c>
      <c r="S1673" s="11" t="s">
        <v>429</v>
      </c>
      <c r="T1673" s="16">
        <v>200</v>
      </c>
      <c r="U1673" s="17"/>
      <c r="V1673" s="12">
        <v>2080.6722689075641</v>
      </c>
      <c r="W1673" s="12">
        <v>2080.6722689075641</v>
      </c>
      <c r="X1673" s="12">
        <v>0</v>
      </c>
      <c r="Y1673" s="18">
        <v>45796</v>
      </c>
      <c r="Z1673" s="13" t="s">
        <v>501</v>
      </c>
      <c r="AA1673" s="19" t="s">
        <v>367</v>
      </c>
      <c r="AB1673" s="13" t="s">
        <v>357</v>
      </c>
      <c r="AC1673" s="13" t="s">
        <v>367</v>
      </c>
      <c r="AD1673" s="20"/>
      <c r="AE1673" s="20"/>
      <c r="AF1673" s="13" t="s">
        <v>40</v>
      </c>
      <c r="AG1673" s="15">
        <v>45413</v>
      </c>
      <c r="AH1673" s="13" t="s">
        <v>41</v>
      </c>
      <c r="AI1673" s="13" t="s">
        <v>56</v>
      </c>
      <c r="AJ1673" s="13" t="str">
        <f>VLOOKUP(E1673,Precios!Z$2:AA$941,2,FALSE)</f>
        <v>Queso Sabores</v>
      </c>
      <c r="AK1673" s="14">
        <f>VLOOKUP(E1673,Precios!Z$2:BB$941,3,FALSE)*F1673</f>
        <v>-2</v>
      </c>
      <c r="AL1673" s="17"/>
      <c r="AM1673" s="17"/>
      <c r="AN1673" s="17"/>
      <c r="AO1673" s="17"/>
      <c r="AP1673" s="17"/>
      <c r="AQ1673" s="17"/>
      <c r="AR1673" s="17"/>
      <c r="AS1673" s="17"/>
      <c r="AT1673" s="17"/>
      <c r="AU1673" s="17"/>
      <c r="AV1673" s="17"/>
    </row>
    <row r="1674" spans="1:48" ht="15.75" customHeight="1">
      <c r="A1674" s="21" t="s">
        <v>35</v>
      </c>
      <c r="B1674" s="23" t="s">
        <v>1692</v>
      </c>
      <c r="C1674" s="22">
        <v>45801</v>
      </c>
      <c r="D1674" s="23" t="s">
        <v>348</v>
      </c>
      <c r="E1674" s="23" t="s">
        <v>37</v>
      </c>
      <c r="F1674" s="21">
        <v>1</v>
      </c>
      <c r="G1674" s="12">
        <v>11000.014358944907</v>
      </c>
      <c r="H1674" s="12">
        <v>11000.014358944907</v>
      </c>
      <c r="I1674" s="23" t="s">
        <v>52</v>
      </c>
      <c r="J1674" s="23" t="s">
        <v>61</v>
      </c>
      <c r="K1674" s="24" t="s">
        <v>177</v>
      </c>
      <c r="L1674" s="24">
        <v>143</v>
      </c>
      <c r="M1674" s="12">
        <v>9243.7095453318543</v>
      </c>
      <c r="N1674" s="12">
        <v>9243.7095453318543</v>
      </c>
      <c r="O1674" s="12">
        <v>1756.3048136130528</v>
      </c>
      <c r="P1674" s="13"/>
      <c r="Q1674" s="14">
        <v>2025</v>
      </c>
      <c r="R1674" s="15">
        <v>45413</v>
      </c>
      <c r="S1674" s="11" t="s">
        <v>364</v>
      </c>
      <c r="T1674" s="16">
        <v>1000</v>
      </c>
      <c r="U1674" s="17"/>
      <c r="V1674" s="12">
        <v>2806.1129066763915</v>
      </c>
      <c r="W1674" s="12">
        <v>2806.1129066763915</v>
      </c>
      <c r="X1674" s="12">
        <v>0</v>
      </c>
      <c r="Y1674" s="18">
        <v>45796</v>
      </c>
      <c r="Z1674" s="13" t="s">
        <v>501</v>
      </c>
      <c r="AA1674" s="19" t="s">
        <v>356</v>
      </c>
      <c r="AB1674" s="13" t="s">
        <v>357</v>
      </c>
      <c r="AC1674" s="13" t="s">
        <v>362</v>
      </c>
      <c r="AD1674" s="20"/>
      <c r="AE1674" s="20"/>
      <c r="AF1674" s="13" t="s">
        <v>40</v>
      </c>
      <c r="AG1674" s="15">
        <v>45413</v>
      </c>
      <c r="AH1674" s="13" t="s">
        <v>41</v>
      </c>
      <c r="AI1674" s="13" t="s">
        <v>35</v>
      </c>
      <c r="AJ1674" s="13" t="str">
        <f>VLOOKUP(E1674,Precios!Z$2:AA$941,2,FALSE)</f>
        <v>Queso RUNCA Mantecoso</v>
      </c>
      <c r="AK1674" s="14">
        <f>VLOOKUP(E1674,Precios!Z$2:BB$941,3,FALSE)*F1674</f>
        <v>-1</v>
      </c>
      <c r="AL1674" s="17"/>
      <c r="AM1674" s="17"/>
      <c r="AN1674" s="17"/>
      <c r="AO1674" s="17"/>
      <c r="AP1674" s="17"/>
      <c r="AQ1674" s="17"/>
      <c r="AR1674" s="17"/>
      <c r="AS1674" s="17"/>
      <c r="AT1674" s="17"/>
      <c r="AU1674" s="17"/>
      <c r="AV1674" s="17"/>
    </row>
    <row r="1675" spans="1:48" ht="15.75" customHeight="1">
      <c r="A1675" s="21" t="s">
        <v>47</v>
      </c>
      <c r="B1675" s="23" t="s">
        <v>1692</v>
      </c>
      <c r="C1675" s="22">
        <v>45801</v>
      </c>
      <c r="D1675" s="23" t="s">
        <v>348</v>
      </c>
      <c r="E1675" s="23" t="s">
        <v>531</v>
      </c>
      <c r="F1675" s="21">
        <v>1</v>
      </c>
      <c r="G1675" s="12">
        <v>8699.5893440033688</v>
      </c>
      <c r="H1675" s="12">
        <v>8699.5893440033688</v>
      </c>
      <c r="I1675" s="23" t="s">
        <v>52</v>
      </c>
      <c r="J1675" s="23" t="s">
        <v>61</v>
      </c>
      <c r="K1675" s="24" t="s">
        <v>177</v>
      </c>
      <c r="L1675" s="24">
        <v>143</v>
      </c>
      <c r="M1675" s="12">
        <v>7310.5792806751006</v>
      </c>
      <c r="N1675" s="12">
        <v>7310.5792806751006</v>
      </c>
      <c r="O1675" s="12">
        <v>1389.0100633282682</v>
      </c>
      <c r="P1675" s="13"/>
      <c r="Q1675" s="14">
        <v>2025</v>
      </c>
      <c r="R1675" s="15">
        <v>45413</v>
      </c>
      <c r="S1675" s="11" t="s">
        <v>453</v>
      </c>
      <c r="T1675" s="16">
        <v>0</v>
      </c>
      <c r="U1675" s="17"/>
      <c r="V1675" s="12">
        <v>2450.5792806751006</v>
      </c>
      <c r="W1675" s="12">
        <v>2450.5792806751006</v>
      </c>
      <c r="X1675" s="12">
        <v>0</v>
      </c>
      <c r="Y1675" s="18">
        <v>45796</v>
      </c>
      <c r="Z1675" s="13" t="s">
        <v>501</v>
      </c>
      <c r="AA1675" s="19" t="s">
        <v>356</v>
      </c>
      <c r="AB1675" s="13" t="s">
        <v>357</v>
      </c>
      <c r="AC1675" s="13" t="s">
        <v>362</v>
      </c>
      <c r="AD1675" s="20"/>
      <c r="AE1675" s="20"/>
      <c r="AF1675" s="13" t="s">
        <v>40</v>
      </c>
      <c r="AG1675" s="15">
        <v>45413</v>
      </c>
      <c r="AH1675" s="13" t="s">
        <v>41</v>
      </c>
      <c r="AI1675" s="13" t="s">
        <v>47</v>
      </c>
      <c r="AJ1675" s="13" t="str">
        <f>VLOOKUP(E1675,Precios!Z$2:AA$941,2,FALSE)</f>
        <v xml:space="preserve">Bolsas Basura TEDDY 90x120 </v>
      </c>
      <c r="AK1675" s="14">
        <f>VLOOKUP(E1675,Precios!Z$2:BB$941,3,FALSE)*F1675</f>
        <v>-3</v>
      </c>
      <c r="AL1675" s="17"/>
      <c r="AM1675" s="17"/>
      <c r="AN1675" s="17"/>
      <c r="AO1675" s="17"/>
      <c r="AP1675" s="17"/>
      <c r="AQ1675" s="17"/>
      <c r="AR1675" s="17"/>
      <c r="AS1675" s="17"/>
      <c r="AT1675" s="17"/>
      <c r="AU1675" s="17"/>
      <c r="AV1675" s="17"/>
    </row>
    <row r="1676" spans="1:48" ht="15.75" customHeight="1">
      <c r="A1676" s="21" t="s">
        <v>47</v>
      </c>
      <c r="B1676" s="23" t="s">
        <v>1692</v>
      </c>
      <c r="C1676" s="22">
        <v>45801</v>
      </c>
      <c r="D1676" s="23" t="s">
        <v>348</v>
      </c>
      <c r="E1676" s="23" t="s">
        <v>169</v>
      </c>
      <c r="F1676" s="21">
        <v>1</v>
      </c>
      <c r="G1676" s="12">
        <v>1650.3934426229507</v>
      </c>
      <c r="H1676" s="12">
        <v>1650.3934426229507</v>
      </c>
      <c r="I1676" s="23" t="s">
        <v>52</v>
      </c>
      <c r="J1676" s="23" t="s">
        <v>61</v>
      </c>
      <c r="K1676" s="24" t="s">
        <v>177</v>
      </c>
      <c r="L1676" s="24">
        <v>143</v>
      </c>
      <c r="M1676" s="12">
        <v>1386.8852459016393</v>
      </c>
      <c r="N1676" s="12">
        <v>1386.8852459016393</v>
      </c>
      <c r="O1676" s="12">
        <v>263.50819672131138</v>
      </c>
      <c r="P1676" s="13"/>
      <c r="Q1676" s="14">
        <v>2025</v>
      </c>
      <c r="R1676" s="15">
        <v>45413</v>
      </c>
      <c r="S1676" s="11" t="s">
        <v>453</v>
      </c>
      <c r="T1676" s="16">
        <v>0</v>
      </c>
      <c r="U1676" s="17"/>
      <c r="V1676" s="12">
        <v>540.88524590163934</v>
      </c>
      <c r="W1676" s="12">
        <v>540.88524590163934</v>
      </c>
      <c r="X1676" s="12">
        <v>0</v>
      </c>
      <c r="Y1676" s="18">
        <v>45796</v>
      </c>
      <c r="Z1676" s="13" t="s">
        <v>501</v>
      </c>
      <c r="AA1676" s="19" t="s">
        <v>356</v>
      </c>
      <c r="AB1676" s="13" t="s">
        <v>357</v>
      </c>
      <c r="AC1676" s="13" t="s">
        <v>362</v>
      </c>
      <c r="AD1676" s="20"/>
      <c r="AE1676" s="20"/>
      <c r="AF1676" s="13" t="s">
        <v>40</v>
      </c>
      <c r="AG1676" s="15">
        <v>45413</v>
      </c>
      <c r="AH1676" s="13" t="s">
        <v>41</v>
      </c>
      <c r="AI1676" s="13" t="s">
        <v>47</v>
      </c>
      <c r="AJ1676" s="13" t="str">
        <f>VLOOKUP(E1676,Precios!Z$2:AA$941,2,FALSE)</f>
        <v xml:space="preserve">Bolsas Basura TEDDY 45x55 con Asas </v>
      </c>
      <c r="AK1676" s="14">
        <f>VLOOKUP(E1676,Precios!Z$2:BB$941,3,FALSE)*F1676</f>
        <v>-3</v>
      </c>
      <c r="AL1676" s="17"/>
      <c r="AM1676" s="17"/>
      <c r="AN1676" s="17"/>
      <c r="AO1676" s="17"/>
      <c r="AP1676" s="17"/>
      <c r="AQ1676" s="17"/>
      <c r="AR1676" s="17"/>
      <c r="AS1676" s="17"/>
      <c r="AT1676" s="17"/>
      <c r="AU1676" s="17"/>
      <c r="AV1676" s="17"/>
    </row>
    <row r="1677" spans="1:48" ht="15.75" customHeight="1">
      <c r="A1677" s="21" t="s">
        <v>47</v>
      </c>
      <c r="B1677" s="23" t="s">
        <v>1692</v>
      </c>
      <c r="C1677" s="22">
        <v>45801</v>
      </c>
      <c r="D1677" s="23" t="s">
        <v>348</v>
      </c>
      <c r="E1677" s="23" t="s">
        <v>475</v>
      </c>
      <c r="F1677" s="21">
        <v>1</v>
      </c>
      <c r="G1677" s="12">
        <v>1500.121212121212</v>
      </c>
      <c r="H1677" s="12">
        <v>1500.121212121212</v>
      </c>
      <c r="I1677" s="23" t="s">
        <v>52</v>
      </c>
      <c r="J1677" s="23" t="s">
        <v>61</v>
      </c>
      <c r="K1677" s="24" t="s">
        <v>177</v>
      </c>
      <c r="L1677" s="24">
        <v>143</v>
      </c>
      <c r="M1677" s="12">
        <v>1260.6060606060605</v>
      </c>
      <c r="N1677" s="12">
        <v>1260.6060606060605</v>
      </c>
      <c r="O1677" s="12">
        <v>239.5151515151515</v>
      </c>
      <c r="P1677" s="13"/>
      <c r="Q1677" s="14">
        <v>2025</v>
      </c>
      <c r="R1677" s="15">
        <v>45413</v>
      </c>
      <c r="S1677" s="11" t="s">
        <v>476</v>
      </c>
      <c r="T1677" s="16">
        <v>0</v>
      </c>
      <c r="U1677" s="17"/>
      <c r="V1677" s="12">
        <v>532.60606060606051</v>
      </c>
      <c r="W1677" s="12">
        <v>532.60606060606051</v>
      </c>
      <c r="X1677" s="12">
        <v>0</v>
      </c>
      <c r="Y1677" s="18">
        <v>45796</v>
      </c>
      <c r="Z1677" s="13" t="s">
        <v>501</v>
      </c>
      <c r="AA1677" s="19" t="s">
        <v>356</v>
      </c>
      <c r="AB1677" s="13" t="s">
        <v>357</v>
      </c>
      <c r="AC1677" s="13" t="s">
        <v>362</v>
      </c>
      <c r="AD1677" s="20"/>
      <c r="AE1677" s="20"/>
      <c r="AF1677" s="13" t="s">
        <v>40</v>
      </c>
      <c r="AG1677" s="15">
        <v>45413</v>
      </c>
      <c r="AH1677" s="13" t="s">
        <v>41</v>
      </c>
      <c r="AI1677" s="13" t="s">
        <v>47</v>
      </c>
      <c r="AJ1677" s="13" t="str">
        <f>VLOOKUP(E1677,Precios!Z$2:AA$941,2,FALSE)</f>
        <v>Ambiental Tubo TEDDY</v>
      </c>
      <c r="AK1677" s="14">
        <f>VLOOKUP(E1677,Precios!Z$2:BB$941,3,FALSE)*F1677</f>
        <v>-1</v>
      </c>
      <c r="AL1677" s="17"/>
      <c r="AM1677" s="17"/>
      <c r="AN1677" s="17"/>
      <c r="AO1677" s="17"/>
      <c r="AP1677" s="17"/>
      <c r="AQ1677" s="17"/>
      <c r="AR1677" s="17"/>
      <c r="AS1677" s="17"/>
      <c r="AT1677" s="17"/>
      <c r="AU1677" s="17"/>
      <c r="AV1677" s="17"/>
    </row>
    <row r="1678" spans="1:48" ht="15.75" customHeight="1">
      <c r="A1678" s="21" t="s">
        <v>64</v>
      </c>
      <c r="B1678" s="23" t="s">
        <v>1692</v>
      </c>
      <c r="C1678" s="22">
        <v>45801</v>
      </c>
      <c r="D1678" s="23" t="s">
        <v>348</v>
      </c>
      <c r="E1678" s="23" t="s">
        <v>65</v>
      </c>
      <c r="F1678" s="21">
        <v>1</v>
      </c>
      <c r="G1678" s="12">
        <v>8199.8794599807134</v>
      </c>
      <c r="H1678" s="12">
        <v>8199.8794599807134</v>
      </c>
      <c r="I1678" s="23" t="s">
        <v>52</v>
      </c>
      <c r="J1678" s="23" t="s">
        <v>61</v>
      </c>
      <c r="K1678" s="24" t="s">
        <v>177</v>
      </c>
      <c r="L1678" s="24">
        <v>143</v>
      </c>
      <c r="M1678" s="12">
        <v>6890.6550083871543</v>
      </c>
      <c r="N1678" s="12">
        <v>6890.6550083871543</v>
      </c>
      <c r="O1678" s="12">
        <v>1309.224451593559</v>
      </c>
      <c r="P1678" s="13"/>
      <c r="Q1678" s="14">
        <v>2025</v>
      </c>
      <c r="R1678" s="15">
        <v>45413</v>
      </c>
      <c r="S1678" s="11" t="s">
        <v>64</v>
      </c>
      <c r="T1678" s="16">
        <v>1</v>
      </c>
      <c r="U1678" s="17"/>
      <c r="V1678" s="12">
        <v>1174.1676134291711</v>
      </c>
      <c r="W1678" s="12">
        <v>1174.1676134291711</v>
      </c>
      <c r="X1678" s="12">
        <v>0</v>
      </c>
      <c r="Y1678" s="18">
        <v>45796</v>
      </c>
      <c r="Z1678" s="13" t="s">
        <v>501</v>
      </c>
      <c r="AA1678" s="19" t="s">
        <v>356</v>
      </c>
      <c r="AB1678" s="13" t="s">
        <v>357</v>
      </c>
      <c r="AC1678" s="13" t="s">
        <v>362</v>
      </c>
      <c r="AD1678" s="20"/>
      <c r="AE1678" s="20"/>
      <c r="AF1678" s="13" t="s">
        <v>40</v>
      </c>
      <c r="AG1678" s="15">
        <v>45413</v>
      </c>
      <c r="AH1678" s="13" t="s">
        <v>41</v>
      </c>
      <c r="AI1678" s="13" t="s">
        <v>64</v>
      </c>
      <c r="AJ1678" s="13" t="str">
        <f>VLOOKUP(E1678,Precios!Z$2:AA$941,2,FALSE)</f>
        <v>Longanizas VILLABLANCA</v>
      </c>
      <c r="AK1678" s="14">
        <f>VLOOKUP(E1678,Precios!Z$2:BB$941,3,FALSE)*F1678</f>
        <v>-1</v>
      </c>
      <c r="AL1678" s="17"/>
      <c r="AM1678" s="17"/>
      <c r="AN1678" s="17"/>
      <c r="AO1678" s="17"/>
      <c r="AP1678" s="17"/>
      <c r="AQ1678" s="17"/>
      <c r="AR1678" s="17"/>
      <c r="AS1678" s="17"/>
      <c r="AT1678" s="17"/>
      <c r="AU1678" s="17"/>
      <c r="AV1678" s="17"/>
    </row>
    <row r="1679" spans="1:48" ht="15.75" customHeight="1">
      <c r="A1679" s="21" t="s">
        <v>47</v>
      </c>
      <c r="B1679" s="23" t="s">
        <v>1692</v>
      </c>
      <c r="C1679" s="22">
        <v>45801</v>
      </c>
      <c r="D1679" s="23" t="s">
        <v>348</v>
      </c>
      <c r="E1679" s="23" t="s">
        <v>92</v>
      </c>
      <c r="F1679" s="21">
        <v>1</v>
      </c>
      <c r="G1679" s="12">
        <v>3400.2970989164628</v>
      </c>
      <c r="H1679" s="12">
        <v>3400.2970989164628</v>
      </c>
      <c r="I1679" s="23" t="s">
        <v>52</v>
      </c>
      <c r="J1679" s="23" t="s">
        <v>61</v>
      </c>
      <c r="K1679" s="24" t="s">
        <v>177</v>
      </c>
      <c r="L1679" s="24">
        <v>143</v>
      </c>
      <c r="M1679" s="12">
        <v>2857.3925200978679</v>
      </c>
      <c r="N1679" s="12">
        <v>2857.3925200978679</v>
      </c>
      <c r="O1679" s="12">
        <v>542.90457881859493</v>
      </c>
      <c r="P1679" s="13"/>
      <c r="Q1679" s="14">
        <v>2025</v>
      </c>
      <c r="R1679" s="15">
        <v>45413</v>
      </c>
      <c r="S1679" s="11" t="s">
        <v>453</v>
      </c>
      <c r="T1679" s="16">
        <v>0</v>
      </c>
      <c r="U1679" s="17"/>
      <c r="V1679" s="12">
        <v>1222.3925200978679</v>
      </c>
      <c r="W1679" s="12">
        <v>1222.3925200978679</v>
      </c>
      <c r="X1679" s="12">
        <v>0</v>
      </c>
      <c r="Y1679" s="18">
        <v>45796</v>
      </c>
      <c r="Z1679" s="13" t="s">
        <v>501</v>
      </c>
      <c r="AA1679" s="19" t="s">
        <v>356</v>
      </c>
      <c r="AB1679" s="13" t="s">
        <v>357</v>
      </c>
      <c r="AC1679" s="13" t="s">
        <v>362</v>
      </c>
      <c r="AD1679" s="20"/>
      <c r="AE1679" s="20"/>
      <c r="AF1679" s="13" t="s">
        <v>40</v>
      </c>
      <c r="AG1679" s="15">
        <v>45413</v>
      </c>
      <c r="AH1679" s="13" t="s">
        <v>41</v>
      </c>
      <c r="AI1679" s="13" t="s">
        <v>47</v>
      </c>
      <c r="AJ1679" s="13" t="str">
        <f>VLOOKUP(E1679,Precios!Z$2:AA$941,2,FALSE)</f>
        <v xml:space="preserve">Bolsas Basura TEDDY 70x90 </v>
      </c>
      <c r="AK1679" s="14">
        <f>VLOOKUP(E1679,Precios!Z$2:BB$941,3,FALSE)*F1679</f>
        <v>-3</v>
      </c>
      <c r="AL1679" s="17"/>
      <c r="AM1679" s="17"/>
      <c r="AN1679" s="17"/>
      <c r="AO1679" s="17"/>
      <c r="AP1679" s="17"/>
      <c r="AQ1679" s="17"/>
      <c r="AR1679" s="17"/>
      <c r="AS1679" s="17"/>
      <c r="AT1679" s="17"/>
      <c r="AU1679" s="17"/>
      <c r="AV1679" s="17"/>
    </row>
    <row r="1680" spans="1:48" ht="15.75" customHeight="1">
      <c r="A1680" s="21" t="s">
        <v>76</v>
      </c>
      <c r="B1680" s="23" t="s">
        <v>1692</v>
      </c>
      <c r="C1680" s="22">
        <v>45801</v>
      </c>
      <c r="D1680" s="23" t="s">
        <v>184</v>
      </c>
      <c r="E1680" s="23" t="s">
        <v>137</v>
      </c>
      <c r="F1680" s="21">
        <v>2</v>
      </c>
      <c r="G1680" s="12">
        <v>3500.0000000000005</v>
      </c>
      <c r="H1680" s="12">
        <v>7000.0000000000009</v>
      </c>
      <c r="I1680" s="23" t="s">
        <v>52</v>
      </c>
      <c r="J1680" s="23" t="s">
        <v>61</v>
      </c>
      <c r="K1680" s="24" t="s">
        <v>177</v>
      </c>
      <c r="L1680" s="24">
        <v>143</v>
      </c>
      <c r="M1680" s="12">
        <v>2941.1764705882356</v>
      </c>
      <c r="N1680" s="12">
        <v>5882.3529411764712</v>
      </c>
      <c r="O1680" s="12">
        <v>1117.6470588235297</v>
      </c>
      <c r="P1680" s="13"/>
      <c r="Q1680" s="14">
        <v>2025</v>
      </c>
      <c r="R1680" s="15">
        <v>45413</v>
      </c>
      <c r="S1680" s="11" t="s">
        <v>406</v>
      </c>
      <c r="T1680" s="16">
        <v>10</v>
      </c>
      <c r="U1680" s="17"/>
      <c r="V1680" s="12">
        <v>1697.4789915966394</v>
      </c>
      <c r="W1680" s="12">
        <v>1697.4789915966394</v>
      </c>
      <c r="X1680" s="12">
        <v>0</v>
      </c>
      <c r="Y1680" s="18">
        <v>45796</v>
      </c>
      <c r="Z1680" s="13" t="s">
        <v>501</v>
      </c>
      <c r="AA1680" s="19" t="s">
        <v>361</v>
      </c>
      <c r="AB1680" s="13" t="s">
        <v>357</v>
      </c>
      <c r="AC1680" s="13" t="s">
        <v>405</v>
      </c>
      <c r="AD1680" s="20"/>
      <c r="AE1680" s="20"/>
      <c r="AF1680" s="13" t="s">
        <v>40</v>
      </c>
      <c r="AG1680" s="15">
        <v>45413</v>
      </c>
      <c r="AH1680" s="13" t="s">
        <v>41</v>
      </c>
      <c r="AI1680" s="13" t="s">
        <v>76</v>
      </c>
      <c r="AJ1680" s="13" t="str">
        <f>VLOOKUP(E1680,Precios!Z$2:AA$941,2,FALSE)</f>
        <v>Detergente SPUM 5 Litros (Blanco)</v>
      </c>
      <c r="AK1680" s="14">
        <f>VLOOKUP(E1680,Precios!Z$2:BB$941,3,FALSE)*F1680</f>
        <v>-2</v>
      </c>
      <c r="AL1680" s="17"/>
      <c r="AM1680" s="17"/>
      <c r="AN1680" s="17"/>
      <c r="AO1680" s="17"/>
      <c r="AP1680" s="17"/>
      <c r="AQ1680" s="17"/>
      <c r="AR1680" s="17"/>
      <c r="AS1680" s="17"/>
      <c r="AT1680" s="17"/>
      <c r="AU1680" s="17"/>
      <c r="AV1680" s="17"/>
    </row>
    <row r="1681" spans="1:48" ht="15.75" customHeight="1">
      <c r="A1681" s="21" t="s">
        <v>53</v>
      </c>
      <c r="B1681" s="23" t="s">
        <v>1692</v>
      </c>
      <c r="C1681" s="22">
        <v>45801</v>
      </c>
      <c r="D1681" s="23" t="s">
        <v>184</v>
      </c>
      <c r="E1681" s="23" t="s">
        <v>97</v>
      </c>
      <c r="F1681" s="21">
        <v>1</v>
      </c>
      <c r="G1681" s="12">
        <v>16500.126742712295</v>
      </c>
      <c r="H1681" s="12">
        <v>16500.126742712295</v>
      </c>
      <c r="I1681" s="23" t="s">
        <v>52</v>
      </c>
      <c r="J1681" s="23" t="s">
        <v>61</v>
      </c>
      <c r="K1681" s="24" t="s">
        <v>177</v>
      </c>
      <c r="L1681" s="24">
        <v>143</v>
      </c>
      <c r="M1681" s="12">
        <v>13865.652724968315</v>
      </c>
      <c r="N1681" s="12">
        <v>13865.652724968315</v>
      </c>
      <c r="O1681" s="12">
        <v>2634.4740177439799</v>
      </c>
      <c r="P1681" s="13"/>
      <c r="Q1681" s="14">
        <v>2025</v>
      </c>
      <c r="R1681" s="15">
        <v>45413</v>
      </c>
      <c r="S1681" s="11" t="s">
        <v>366</v>
      </c>
      <c r="T1681" s="16">
        <v>0</v>
      </c>
      <c r="U1681" s="17"/>
      <c r="V1681" s="12">
        <v>3031.7451846163694</v>
      </c>
      <c r="W1681" s="12">
        <v>3031.7451846163694</v>
      </c>
      <c r="X1681" s="12">
        <v>0</v>
      </c>
      <c r="Y1681" s="18">
        <v>45796</v>
      </c>
      <c r="Z1681" s="13" t="s">
        <v>501</v>
      </c>
      <c r="AA1681" s="19" t="s">
        <v>361</v>
      </c>
      <c r="AB1681" s="13" t="s">
        <v>357</v>
      </c>
      <c r="AC1681" s="13" t="s">
        <v>405</v>
      </c>
      <c r="AD1681" s="20"/>
      <c r="AE1681" s="20"/>
      <c r="AF1681" s="13" t="s">
        <v>40</v>
      </c>
      <c r="AG1681" s="15">
        <v>45413</v>
      </c>
      <c r="AH1681" s="13" t="s">
        <v>41</v>
      </c>
      <c r="AI1681" s="13" t="s">
        <v>53</v>
      </c>
      <c r="AJ1681" s="13" t="str">
        <f>VLOOKUP(E1681,Precios!Z$2:AA$941,2,FALSE)</f>
        <v>Papel Higienico ELITE 50 metros</v>
      </c>
      <c r="AK1681" s="14">
        <f>VLOOKUP(E1681,Precios!Z$2:BB$941,3,FALSE)*F1681</f>
        <v>-6</v>
      </c>
      <c r="AL1681" s="17"/>
      <c r="AM1681" s="17"/>
      <c r="AN1681" s="17"/>
      <c r="AO1681" s="17"/>
      <c r="AP1681" s="17"/>
      <c r="AQ1681" s="17"/>
      <c r="AR1681" s="17"/>
      <c r="AS1681" s="17"/>
      <c r="AT1681" s="17"/>
      <c r="AU1681" s="17"/>
      <c r="AV1681" s="17"/>
    </row>
    <row r="1682" spans="1:48" ht="15.75" customHeight="1">
      <c r="A1682" s="21" t="s">
        <v>53</v>
      </c>
      <c r="B1682" s="23" t="s">
        <v>1692</v>
      </c>
      <c r="C1682" s="22">
        <v>45801</v>
      </c>
      <c r="D1682" s="23" t="s">
        <v>184</v>
      </c>
      <c r="E1682" s="23" t="s">
        <v>261</v>
      </c>
      <c r="F1682" s="21">
        <v>1</v>
      </c>
      <c r="G1682" s="12">
        <v>19499.95289684409</v>
      </c>
      <c r="H1682" s="12">
        <v>19499.95289684409</v>
      </c>
      <c r="I1682" s="23" t="s">
        <v>52</v>
      </c>
      <c r="J1682" s="23" t="s">
        <v>61</v>
      </c>
      <c r="K1682" s="24" t="s">
        <v>177</v>
      </c>
      <c r="L1682" s="24">
        <v>143</v>
      </c>
      <c r="M1682" s="12">
        <v>16386.515039364782</v>
      </c>
      <c r="N1682" s="12">
        <v>16386.515039364782</v>
      </c>
      <c r="O1682" s="12">
        <v>3113.4378574793081</v>
      </c>
      <c r="P1682" s="13"/>
      <c r="Q1682" s="14">
        <v>2025</v>
      </c>
      <c r="R1682" s="15">
        <v>45413</v>
      </c>
      <c r="S1682" s="11" t="s">
        <v>408</v>
      </c>
      <c r="T1682" s="16">
        <v>0</v>
      </c>
      <c r="U1682" s="17"/>
      <c r="V1682" s="12">
        <v>4210.5150393647818</v>
      </c>
      <c r="W1682" s="12">
        <v>4210.5150393647818</v>
      </c>
      <c r="X1682" s="12">
        <v>0</v>
      </c>
      <c r="Y1682" s="18">
        <v>45796</v>
      </c>
      <c r="Z1682" s="13" t="s">
        <v>501</v>
      </c>
      <c r="AA1682" s="19" t="s">
        <v>361</v>
      </c>
      <c r="AB1682" s="13" t="s">
        <v>357</v>
      </c>
      <c r="AC1682" s="13" t="s">
        <v>405</v>
      </c>
      <c r="AD1682" s="20"/>
      <c r="AE1682" s="20"/>
      <c r="AF1682" s="13" t="s">
        <v>40</v>
      </c>
      <c r="AG1682" s="15">
        <v>45413</v>
      </c>
      <c r="AH1682" s="13" t="s">
        <v>41</v>
      </c>
      <c r="AI1682" s="13" t="s">
        <v>76</v>
      </c>
      <c r="AJ1682" s="13" t="str">
        <f>VLOOKUP(E1682,Precios!Z$2:AA$941,2,FALSE)</f>
        <v>Toalla Papel SWAN D/H AZUL 100 metros</v>
      </c>
      <c r="AK1682" s="14">
        <f>VLOOKUP(E1682,Precios!Z$2:BB$941,3,FALSE)*F1682</f>
        <v>-6</v>
      </c>
      <c r="AL1682" s="17"/>
      <c r="AM1682" s="17"/>
      <c r="AN1682" s="17"/>
      <c r="AO1682" s="17"/>
      <c r="AP1682" s="17"/>
      <c r="AQ1682" s="17"/>
      <c r="AR1682" s="17"/>
      <c r="AS1682" s="17"/>
      <c r="AT1682" s="17"/>
      <c r="AU1682" s="17"/>
      <c r="AV1682" s="17"/>
    </row>
    <row r="1683" spans="1:48" ht="15.75" customHeight="1">
      <c r="A1683" s="21" t="s">
        <v>47</v>
      </c>
      <c r="B1683" s="23" t="s">
        <v>1692</v>
      </c>
      <c r="C1683" s="22">
        <v>45801</v>
      </c>
      <c r="D1683" s="23" t="s">
        <v>184</v>
      </c>
      <c r="E1683" s="23" t="s">
        <v>182</v>
      </c>
      <c r="F1683" s="21">
        <v>1</v>
      </c>
      <c r="G1683" s="12">
        <v>1599.9189101524487</v>
      </c>
      <c r="H1683" s="12">
        <v>1599.9189101524487</v>
      </c>
      <c r="I1683" s="23" t="s">
        <v>52</v>
      </c>
      <c r="J1683" s="23" t="s">
        <v>61</v>
      </c>
      <c r="K1683" s="24" t="s">
        <v>177</v>
      </c>
      <c r="L1683" s="24">
        <v>143</v>
      </c>
      <c r="M1683" s="12">
        <v>1344.4696723970158</v>
      </c>
      <c r="N1683" s="12">
        <v>1344.4696723970158</v>
      </c>
      <c r="O1683" s="12">
        <v>255.44923775543293</v>
      </c>
      <c r="P1683" s="13"/>
      <c r="Q1683" s="14">
        <v>2025</v>
      </c>
      <c r="R1683" s="15">
        <v>45413</v>
      </c>
      <c r="S1683" s="11" t="s">
        <v>620</v>
      </c>
      <c r="T1683" s="16">
        <v>0</v>
      </c>
      <c r="U1683" s="17"/>
      <c r="V1683" s="12">
        <v>515.46967239701576</v>
      </c>
      <c r="W1683" s="12">
        <v>515.46967239701576</v>
      </c>
      <c r="X1683" s="12">
        <v>0</v>
      </c>
      <c r="Y1683" s="18">
        <v>45796</v>
      </c>
      <c r="Z1683" s="13" t="s">
        <v>501</v>
      </c>
      <c r="AA1683" s="19" t="s">
        <v>361</v>
      </c>
      <c r="AB1683" s="13" t="s">
        <v>357</v>
      </c>
      <c r="AC1683" s="13" t="s">
        <v>405</v>
      </c>
      <c r="AD1683" s="20"/>
      <c r="AE1683" s="20"/>
      <c r="AF1683" s="13" t="s">
        <v>40</v>
      </c>
      <c r="AG1683" s="15">
        <v>45413</v>
      </c>
      <c r="AH1683" s="13" t="s">
        <v>41</v>
      </c>
      <c r="AI1683" s="13" t="s">
        <v>47</v>
      </c>
      <c r="AJ1683" s="13" t="str">
        <f>VLOOKUP(E1683,Precios!Z$2:AA$941,2,FALSE)</f>
        <v>Aromatizante Cono TEDDY Gel LAVANDA</v>
      </c>
      <c r="AK1683" s="14">
        <f>VLOOKUP(E1683,Precios!Z$2:BB$941,3,FALSE)*F1683</f>
        <v>-1</v>
      </c>
      <c r="AL1683" s="17"/>
      <c r="AM1683" s="17"/>
      <c r="AN1683" s="17"/>
      <c r="AO1683" s="17"/>
      <c r="AP1683" s="17"/>
      <c r="AQ1683" s="17"/>
      <c r="AR1683" s="17"/>
      <c r="AS1683" s="17"/>
      <c r="AT1683" s="17"/>
      <c r="AU1683" s="17"/>
      <c r="AV1683" s="17"/>
    </row>
    <row r="1684" spans="1:48" ht="15.75" customHeight="1">
      <c r="A1684" s="21" t="s">
        <v>47</v>
      </c>
      <c r="B1684" s="23" t="s">
        <v>1692</v>
      </c>
      <c r="C1684" s="22">
        <v>45801</v>
      </c>
      <c r="D1684" s="23" t="s">
        <v>184</v>
      </c>
      <c r="E1684" s="23" t="s">
        <v>48</v>
      </c>
      <c r="F1684" s="21">
        <v>1</v>
      </c>
      <c r="G1684" s="12">
        <v>1000</v>
      </c>
      <c r="H1684" s="12">
        <v>1000</v>
      </c>
      <c r="I1684" s="23" t="s">
        <v>52</v>
      </c>
      <c r="J1684" s="23" t="s">
        <v>61</v>
      </c>
      <c r="K1684" s="24" t="s">
        <v>177</v>
      </c>
      <c r="L1684" s="24">
        <v>143</v>
      </c>
      <c r="M1684" s="12">
        <v>840.3361344537816</v>
      </c>
      <c r="N1684" s="12">
        <v>840.3361344537816</v>
      </c>
      <c r="O1684" s="12">
        <v>159.6638655462184</v>
      </c>
      <c r="P1684" s="13"/>
      <c r="Q1684" s="14">
        <v>2025</v>
      </c>
      <c r="R1684" s="15">
        <v>45413</v>
      </c>
      <c r="S1684" s="11" t="s">
        <v>416</v>
      </c>
      <c r="T1684" s="16">
        <v>0</v>
      </c>
      <c r="U1684" s="17"/>
      <c r="V1684" s="12">
        <v>330.33613445378148</v>
      </c>
      <c r="W1684" s="12">
        <v>330.33613445378148</v>
      </c>
      <c r="X1684" s="12">
        <v>0</v>
      </c>
      <c r="Y1684" s="18">
        <v>45796</v>
      </c>
      <c r="Z1684" s="13" t="s">
        <v>501</v>
      </c>
      <c r="AA1684" s="19" t="s">
        <v>361</v>
      </c>
      <c r="AB1684" s="13" t="s">
        <v>357</v>
      </c>
      <c r="AC1684" s="13" t="s">
        <v>405</v>
      </c>
      <c r="AD1684" s="20"/>
      <c r="AE1684" s="20"/>
      <c r="AF1684" s="13" t="s">
        <v>40</v>
      </c>
      <c r="AG1684" s="15">
        <v>45413</v>
      </c>
      <c r="AH1684" s="13" t="s">
        <v>41</v>
      </c>
      <c r="AI1684" s="13" t="s">
        <v>47</v>
      </c>
      <c r="AJ1684" s="13" t="str">
        <f>VLOOKUP(E1684,Precios!Z$2:AA$941,2,FALSE)</f>
        <v>Esponja Acanalada TEDDY</v>
      </c>
      <c r="AK1684" s="14">
        <f>VLOOKUP(E1684,Precios!Z$2:BB$941,3,FALSE)*F1684</f>
        <v>-5</v>
      </c>
      <c r="AL1684" s="17"/>
      <c r="AM1684" s="17"/>
      <c r="AN1684" s="17"/>
      <c r="AO1684" s="17"/>
      <c r="AP1684" s="17"/>
      <c r="AQ1684" s="17"/>
      <c r="AR1684" s="17"/>
      <c r="AS1684" s="17"/>
      <c r="AT1684" s="17"/>
      <c r="AU1684" s="17"/>
      <c r="AV1684" s="17"/>
    </row>
    <row r="1685" spans="1:48" ht="15.75" customHeight="1">
      <c r="A1685" s="21" t="s">
        <v>47</v>
      </c>
      <c r="B1685" s="23" t="s">
        <v>1692</v>
      </c>
      <c r="C1685" s="22">
        <v>45801</v>
      </c>
      <c r="D1685" s="23" t="s">
        <v>184</v>
      </c>
      <c r="E1685" s="23" t="s">
        <v>92</v>
      </c>
      <c r="F1685" s="21">
        <v>1</v>
      </c>
      <c r="G1685" s="12">
        <v>3400.2970989164628</v>
      </c>
      <c r="H1685" s="12">
        <v>3400.2970989164628</v>
      </c>
      <c r="I1685" s="23" t="s">
        <v>52</v>
      </c>
      <c r="J1685" s="23" t="s">
        <v>61</v>
      </c>
      <c r="K1685" s="24" t="s">
        <v>177</v>
      </c>
      <c r="L1685" s="24">
        <v>143</v>
      </c>
      <c r="M1685" s="12">
        <v>2857.3925200978679</v>
      </c>
      <c r="N1685" s="12">
        <v>2857.3925200978679</v>
      </c>
      <c r="O1685" s="12">
        <v>542.90457881859493</v>
      </c>
      <c r="P1685" s="13"/>
      <c r="Q1685" s="14">
        <v>2025</v>
      </c>
      <c r="R1685" s="15">
        <v>45413</v>
      </c>
      <c r="S1685" s="11" t="s">
        <v>453</v>
      </c>
      <c r="T1685" s="16">
        <v>0</v>
      </c>
      <c r="U1685" s="17"/>
      <c r="V1685" s="12">
        <v>1222.3925200978679</v>
      </c>
      <c r="W1685" s="12">
        <v>1222.3925200978679</v>
      </c>
      <c r="X1685" s="12">
        <v>0</v>
      </c>
      <c r="Y1685" s="18">
        <v>45796</v>
      </c>
      <c r="Z1685" s="13" t="s">
        <v>501</v>
      </c>
      <c r="AA1685" s="19" t="s">
        <v>361</v>
      </c>
      <c r="AB1685" s="13" t="s">
        <v>357</v>
      </c>
      <c r="AC1685" s="13" t="s">
        <v>405</v>
      </c>
      <c r="AD1685" s="20"/>
      <c r="AE1685" s="20"/>
      <c r="AF1685" s="13" t="s">
        <v>40</v>
      </c>
      <c r="AG1685" s="15">
        <v>45413</v>
      </c>
      <c r="AH1685" s="13" t="s">
        <v>41</v>
      </c>
      <c r="AI1685" s="13" t="s">
        <v>47</v>
      </c>
      <c r="AJ1685" s="13" t="str">
        <f>VLOOKUP(E1685,Precios!Z$2:AA$941,2,FALSE)</f>
        <v xml:space="preserve">Bolsas Basura TEDDY 70x90 </v>
      </c>
      <c r="AK1685" s="14">
        <f>VLOOKUP(E1685,Precios!Z$2:BB$941,3,FALSE)*F1685</f>
        <v>-3</v>
      </c>
      <c r="AL1685" s="17"/>
      <c r="AM1685" s="17"/>
      <c r="AN1685" s="17"/>
      <c r="AO1685" s="17"/>
      <c r="AP1685" s="17"/>
      <c r="AQ1685" s="17"/>
      <c r="AR1685" s="17"/>
      <c r="AS1685" s="17"/>
      <c r="AT1685" s="17"/>
      <c r="AU1685" s="17"/>
      <c r="AV1685" s="17"/>
    </row>
    <row r="1686" spans="1:48" ht="15.75" customHeight="1">
      <c r="A1686" s="21" t="s">
        <v>47</v>
      </c>
      <c r="B1686" s="23" t="s">
        <v>1692</v>
      </c>
      <c r="C1686" s="22">
        <v>45801</v>
      </c>
      <c r="D1686" s="23" t="s">
        <v>184</v>
      </c>
      <c r="E1686" s="23" t="s">
        <v>337</v>
      </c>
      <c r="F1686" s="21">
        <v>1</v>
      </c>
      <c r="G1686" s="12">
        <v>1599.9448225124147</v>
      </c>
      <c r="H1686" s="12">
        <v>1599.9448225124147</v>
      </c>
      <c r="I1686" s="23" t="s">
        <v>52</v>
      </c>
      <c r="J1686" s="23" t="s">
        <v>61</v>
      </c>
      <c r="K1686" s="24" t="s">
        <v>177</v>
      </c>
      <c r="L1686" s="24">
        <v>143</v>
      </c>
      <c r="M1686" s="12">
        <v>1344.4914474894242</v>
      </c>
      <c r="N1686" s="12">
        <v>1344.4914474894242</v>
      </c>
      <c r="O1686" s="12">
        <v>255.45337502299049</v>
      </c>
      <c r="P1686" s="13"/>
      <c r="Q1686" s="14">
        <v>2025</v>
      </c>
      <c r="R1686" s="15">
        <v>45413</v>
      </c>
      <c r="S1686" s="11" t="s">
        <v>529</v>
      </c>
      <c r="T1686" s="16">
        <v>0</v>
      </c>
      <c r="U1686" s="17"/>
      <c r="V1686" s="12">
        <v>613.49144748942422</v>
      </c>
      <c r="W1686" s="12">
        <v>613.49144748942422</v>
      </c>
      <c r="X1686" s="12">
        <v>0</v>
      </c>
      <c r="Y1686" s="18">
        <v>45796</v>
      </c>
      <c r="Z1686" s="13" t="s">
        <v>501</v>
      </c>
      <c r="AA1686" s="19" t="s">
        <v>361</v>
      </c>
      <c r="AB1686" s="13" t="s">
        <v>357</v>
      </c>
      <c r="AC1686" s="13" t="s">
        <v>405</v>
      </c>
      <c r="AD1686" s="20"/>
      <c r="AE1686" s="20"/>
      <c r="AF1686" s="13" t="s">
        <v>40</v>
      </c>
      <c r="AG1686" s="15">
        <v>45413</v>
      </c>
      <c r="AH1686" s="13" t="s">
        <v>41</v>
      </c>
      <c r="AI1686" s="13" t="s">
        <v>47</v>
      </c>
      <c r="AJ1686" s="13" t="str">
        <f>VLOOKUP(E1686,Precios!Z$2:AA$941,2,FALSE)</f>
        <v>Limpia Inodoro TEDDY</v>
      </c>
      <c r="AK1686" s="14">
        <f>VLOOKUP(E1686,Precios!Z$2:BB$941,3,FALSE)*F1686</f>
        <v>-1</v>
      </c>
      <c r="AL1686" s="17"/>
      <c r="AM1686" s="17"/>
      <c r="AN1686" s="17"/>
      <c r="AO1686" s="17"/>
      <c r="AP1686" s="17"/>
      <c r="AQ1686" s="17"/>
      <c r="AR1686" s="17"/>
      <c r="AS1686" s="17"/>
      <c r="AT1686" s="17"/>
      <c r="AU1686" s="17"/>
      <c r="AV1686" s="17"/>
    </row>
    <row r="1687" spans="1:48" ht="15.75" customHeight="1">
      <c r="A1687" s="21" t="s">
        <v>53</v>
      </c>
      <c r="B1687" s="23" t="s">
        <v>1692</v>
      </c>
      <c r="C1687" s="22">
        <v>45801</v>
      </c>
      <c r="D1687" s="23" t="s">
        <v>152</v>
      </c>
      <c r="E1687" s="23" t="s">
        <v>192</v>
      </c>
      <c r="F1687" s="21">
        <v>1</v>
      </c>
      <c r="G1687" s="12">
        <v>15990.211345939933</v>
      </c>
      <c r="H1687" s="12">
        <v>15990.211345939933</v>
      </c>
      <c r="I1687" s="23" t="s">
        <v>52</v>
      </c>
      <c r="J1687" s="23" t="s">
        <v>61</v>
      </c>
      <c r="K1687" s="24" t="s">
        <v>177</v>
      </c>
      <c r="L1687" s="24">
        <v>143</v>
      </c>
      <c r="M1687" s="12">
        <v>13437.152391546164</v>
      </c>
      <c r="N1687" s="12">
        <v>13437.152391546164</v>
      </c>
      <c r="O1687" s="12">
        <v>2553.0589543937695</v>
      </c>
      <c r="P1687" s="13"/>
      <c r="Q1687" s="14">
        <v>2025</v>
      </c>
      <c r="R1687" s="15">
        <v>45413</v>
      </c>
      <c r="S1687" s="11" t="s">
        <v>435</v>
      </c>
      <c r="T1687" s="16">
        <v>0</v>
      </c>
      <c r="U1687" s="17"/>
      <c r="V1687" s="12">
        <v>3773.1523915461621</v>
      </c>
      <c r="W1687" s="12">
        <v>3773.1523915461621</v>
      </c>
      <c r="X1687" s="12">
        <v>0</v>
      </c>
      <c r="Y1687" s="18">
        <v>45796</v>
      </c>
      <c r="Z1687" s="13" t="s">
        <v>501</v>
      </c>
      <c r="AA1687" s="19" t="s">
        <v>373</v>
      </c>
      <c r="AB1687" s="13" t="s">
        <v>357</v>
      </c>
      <c r="AC1687" s="13" t="s">
        <v>383</v>
      </c>
      <c r="AD1687" s="20"/>
      <c r="AE1687" s="20"/>
      <c r="AF1687" s="13" t="s">
        <v>40</v>
      </c>
      <c r="AG1687" s="15">
        <v>45413</v>
      </c>
      <c r="AH1687" s="13" t="s">
        <v>41</v>
      </c>
      <c r="AI1687" s="13" t="s">
        <v>53</v>
      </c>
      <c r="AJ1687" s="13" t="str">
        <f>VLOOKUP(E1687,Precios!Z$2:AA$941,2,FALSE)</f>
        <v>Papel Higienico SWAN 400 hojas</v>
      </c>
      <c r="AK1687" s="14">
        <f>VLOOKUP(E1687,Precios!Z$2:BB$941,3,FALSE)*F1687</f>
        <v>-8</v>
      </c>
      <c r="AL1687" s="17"/>
      <c r="AM1687" s="17"/>
      <c r="AN1687" s="17"/>
      <c r="AO1687" s="17"/>
      <c r="AP1687" s="17"/>
      <c r="AQ1687" s="17"/>
      <c r="AR1687" s="17"/>
      <c r="AS1687" s="17"/>
      <c r="AT1687" s="17"/>
      <c r="AU1687" s="17"/>
      <c r="AV1687" s="17"/>
    </row>
    <row r="1688" spans="1:48" ht="15.75" customHeight="1">
      <c r="A1688" s="21" t="s">
        <v>53</v>
      </c>
      <c r="B1688" s="23" t="s">
        <v>1692</v>
      </c>
      <c r="C1688" s="22">
        <v>45801</v>
      </c>
      <c r="D1688" s="23" t="s">
        <v>152</v>
      </c>
      <c r="E1688" s="23" t="s">
        <v>263</v>
      </c>
      <c r="F1688" s="21">
        <v>1</v>
      </c>
      <c r="G1688" s="12">
        <v>9999.6135265700505</v>
      </c>
      <c r="H1688" s="12">
        <v>9999.6135265700505</v>
      </c>
      <c r="I1688" s="23" t="s">
        <v>52</v>
      </c>
      <c r="J1688" s="23" t="s">
        <v>61</v>
      </c>
      <c r="K1688" s="24" t="s">
        <v>177</v>
      </c>
      <c r="L1688" s="24">
        <v>143</v>
      </c>
      <c r="M1688" s="12">
        <v>8403.036576949622</v>
      </c>
      <c r="N1688" s="12">
        <v>8403.036576949622</v>
      </c>
      <c r="O1688" s="12">
        <v>1596.5769496204284</v>
      </c>
      <c r="P1688" s="13"/>
      <c r="Q1688" s="14">
        <v>2025</v>
      </c>
      <c r="R1688" s="15">
        <v>45413</v>
      </c>
      <c r="S1688" s="11" t="s">
        <v>408</v>
      </c>
      <c r="T1688" s="16">
        <v>0</v>
      </c>
      <c r="U1688" s="17"/>
      <c r="V1688" s="12">
        <v>2315.036576949622</v>
      </c>
      <c r="W1688" s="12">
        <v>2315.036576949622</v>
      </c>
      <c r="X1688" s="12">
        <v>0</v>
      </c>
      <c r="Y1688" s="18">
        <v>45796</v>
      </c>
      <c r="Z1688" s="13" t="s">
        <v>501</v>
      </c>
      <c r="AA1688" s="19" t="s">
        <v>373</v>
      </c>
      <c r="AB1688" s="13" t="s">
        <v>357</v>
      </c>
      <c r="AC1688" s="13" t="s">
        <v>383</v>
      </c>
      <c r="AD1688" s="20"/>
      <c r="AE1688" s="20"/>
      <c r="AF1688" s="13" t="s">
        <v>40</v>
      </c>
      <c r="AG1688" s="15">
        <v>45413</v>
      </c>
      <c r="AH1688" s="13" t="s">
        <v>41</v>
      </c>
      <c r="AI1688" s="13" t="s">
        <v>53</v>
      </c>
      <c r="AJ1688" s="13" t="str">
        <f>VLOOKUP(E1688,Precios!Z$2:AA$941,2,FALSE)</f>
        <v>Toalla Papel SWAN D/H AZUL 100 metros</v>
      </c>
      <c r="AK1688" s="14">
        <f>VLOOKUP(E1688,Precios!Z$2:BB$941,3,FALSE)*F1688</f>
        <v>-3</v>
      </c>
      <c r="AL1688" s="17"/>
      <c r="AM1688" s="17"/>
      <c r="AN1688" s="17"/>
      <c r="AO1688" s="17"/>
      <c r="AP1688" s="17"/>
      <c r="AQ1688" s="17"/>
      <c r="AR1688" s="17"/>
      <c r="AS1688" s="17"/>
      <c r="AT1688" s="17"/>
      <c r="AU1688" s="17"/>
      <c r="AV1688" s="17"/>
    </row>
    <row r="1689" spans="1:48" ht="15.75" customHeight="1">
      <c r="A1689" s="21" t="s">
        <v>47</v>
      </c>
      <c r="B1689" s="23" t="s">
        <v>1692</v>
      </c>
      <c r="C1689" s="22">
        <v>45801</v>
      </c>
      <c r="D1689" s="23" t="s">
        <v>152</v>
      </c>
      <c r="E1689" s="23" t="s">
        <v>294</v>
      </c>
      <c r="F1689" s="21">
        <v>1</v>
      </c>
      <c r="G1689" s="12">
        <v>4199.9016948855005</v>
      </c>
      <c r="H1689" s="12">
        <v>4199.9016948855005</v>
      </c>
      <c r="I1689" s="23" t="s">
        <v>52</v>
      </c>
      <c r="J1689" s="23" t="s">
        <v>61</v>
      </c>
      <c r="K1689" s="24" t="s">
        <v>177</v>
      </c>
      <c r="L1689" s="24">
        <v>143</v>
      </c>
      <c r="M1689" s="12">
        <v>3529.3291553659669</v>
      </c>
      <c r="N1689" s="12">
        <v>3529.3291553659669</v>
      </c>
      <c r="O1689" s="12">
        <v>670.57253951953362</v>
      </c>
      <c r="P1689" s="13"/>
      <c r="Q1689" s="14">
        <v>2025</v>
      </c>
      <c r="R1689" s="15">
        <v>45413</v>
      </c>
      <c r="S1689" s="11" t="s">
        <v>621</v>
      </c>
      <c r="T1689" s="16">
        <v>0</v>
      </c>
      <c r="U1689" s="17"/>
      <c r="V1689" s="12">
        <v>848.66248869930041</v>
      </c>
      <c r="W1689" s="12">
        <v>848.66248869930041</v>
      </c>
      <c r="X1689" s="12">
        <v>0</v>
      </c>
      <c r="Y1689" s="18">
        <v>45796</v>
      </c>
      <c r="Z1689" s="13" t="s">
        <v>501</v>
      </c>
      <c r="AA1689" s="19" t="s">
        <v>373</v>
      </c>
      <c r="AB1689" s="13" t="s">
        <v>357</v>
      </c>
      <c r="AC1689" s="13" t="s">
        <v>383</v>
      </c>
      <c r="AD1689" s="20"/>
      <c r="AE1689" s="20"/>
      <c r="AF1689" s="13" t="s">
        <v>40</v>
      </c>
      <c r="AG1689" s="15">
        <v>45413</v>
      </c>
      <c r="AH1689" s="13" t="s">
        <v>41</v>
      </c>
      <c r="AI1689" s="13" t="s">
        <v>47</v>
      </c>
      <c r="AJ1689" s="13" t="str">
        <f>VLOOKUP(E1689,Precios!Z$2:AA$941,2,FALSE)</f>
        <v>Insecticida RAID 360 cc Todo Insecto (Morado)</v>
      </c>
      <c r="AK1689" s="14">
        <f>VLOOKUP(E1689,Precios!Z$2:BB$941,3,FALSE)*F1689</f>
        <v>-1</v>
      </c>
      <c r="AL1689" s="17"/>
      <c r="AM1689" s="17"/>
      <c r="AN1689" s="17"/>
      <c r="AO1689" s="17"/>
      <c r="AP1689" s="17"/>
      <c r="AQ1689" s="17"/>
      <c r="AR1689" s="17"/>
      <c r="AS1689" s="17"/>
      <c r="AT1689" s="17"/>
      <c r="AU1689" s="17"/>
      <c r="AV1689" s="17"/>
    </row>
    <row r="1690" spans="1:48" ht="15.75" customHeight="1">
      <c r="A1690" s="21" t="s">
        <v>43</v>
      </c>
      <c r="B1690" s="23" t="s">
        <v>1692</v>
      </c>
      <c r="C1690" s="22">
        <v>45801</v>
      </c>
      <c r="D1690" s="23" t="s">
        <v>622</v>
      </c>
      <c r="E1690" s="23" t="s">
        <v>45</v>
      </c>
      <c r="F1690" s="21">
        <v>1</v>
      </c>
      <c r="G1690" s="12">
        <v>7999.7710567538261</v>
      </c>
      <c r="H1690" s="12">
        <v>7999.7710567538261</v>
      </c>
      <c r="I1690" s="23" t="s">
        <v>52</v>
      </c>
      <c r="J1690" s="23" t="s">
        <v>61</v>
      </c>
      <c r="K1690" s="24" t="s">
        <v>177</v>
      </c>
      <c r="L1690" s="24">
        <v>143</v>
      </c>
      <c r="M1690" s="12">
        <v>6722.496686347753</v>
      </c>
      <c r="N1690" s="12">
        <v>6722.496686347753</v>
      </c>
      <c r="O1690" s="12">
        <v>1277.2743704060731</v>
      </c>
      <c r="P1690" s="13"/>
      <c r="Q1690" s="14">
        <v>2025</v>
      </c>
      <c r="R1690" s="15">
        <v>45413</v>
      </c>
      <c r="S1690" s="11" t="s">
        <v>355</v>
      </c>
      <c r="T1690" s="16">
        <v>0</v>
      </c>
      <c r="U1690" s="17"/>
      <c r="V1690" s="12">
        <v>1143.496686347753</v>
      </c>
      <c r="W1690" s="12">
        <v>1143.496686347753</v>
      </c>
      <c r="X1690" s="12">
        <v>0</v>
      </c>
      <c r="Y1690" s="18">
        <v>45796</v>
      </c>
      <c r="Z1690" s="13" t="s">
        <v>501</v>
      </c>
      <c r="AA1690" s="19" t="s">
        <v>373</v>
      </c>
      <c r="AB1690" s="13" t="s">
        <v>357</v>
      </c>
      <c r="AC1690" s="13" t="s">
        <v>623</v>
      </c>
      <c r="AD1690" s="20"/>
      <c r="AE1690" s="20"/>
      <c r="AF1690" s="13" t="s">
        <v>40</v>
      </c>
      <c r="AG1690" s="15">
        <v>45413</v>
      </c>
      <c r="AH1690" s="13" t="s">
        <v>41</v>
      </c>
      <c r="AI1690" s="13" t="s">
        <v>43</v>
      </c>
      <c r="AJ1690" s="13" t="str">
        <f>VLOOKUP(E1690,Precios!Z$2:AA$941,2,FALSE)</f>
        <v>Bandeja Huevos EXTRA</v>
      </c>
      <c r="AK1690" s="14">
        <f>VLOOKUP(E1690,Precios!Z$2:BB$941,3,FALSE)*F1690</f>
        <v>-1</v>
      </c>
      <c r="AL1690" s="17"/>
      <c r="AM1690" s="17"/>
      <c r="AN1690" s="17"/>
      <c r="AO1690" s="17"/>
      <c r="AP1690" s="17"/>
      <c r="AQ1690" s="17"/>
      <c r="AR1690" s="17"/>
      <c r="AS1690" s="17"/>
      <c r="AT1690" s="17"/>
      <c r="AU1690" s="17"/>
      <c r="AV1690" s="17"/>
    </row>
    <row r="1691" spans="1:48" ht="15.75" customHeight="1">
      <c r="A1691" s="21" t="s">
        <v>43</v>
      </c>
      <c r="B1691" s="23" t="s">
        <v>1692</v>
      </c>
      <c r="C1691" s="22">
        <v>45801</v>
      </c>
      <c r="D1691" s="23" t="s">
        <v>189</v>
      </c>
      <c r="E1691" s="23" t="s">
        <v>45</v>
      </c>
      <c r="F1691" s="21">
        <v>1</v>
      </c>
      <c r="G1691" s="12">
        <v>7999.7710567538261</v>
      </c>
      <c r="H1691" s="12">
        <v>7999.7710567538261</v>
      </c>
      <c r="I1691" s="23" t="s">
        <v>52</v>
      </c>
      <c r="J1691" s="23" t="s">
        <v>61</v>
      </c>
      <c r="K1691" s="24" t="s">
        <v>177</v>
      </c>
      <c r="L1691" s="24">
        <v>143</v>
      </c>
      <c r="M1691" s="12">
        <v>6722.496686347753</v>
      </c>
      <c r="N1691" s="12">
        <v>6722.496686347753</v>
      </c>
      <c r="O1691" s="12">
        <v>1277.2743704060731</v>
      </c>
      <c r="P1691" s="13"/>
      <c r="Q1691" s="14">
        <v>2025</v>
      </c>
      <c r="R1691" s="15">
        <v>45413</v>
      </c>
      <c r="S1691" s="11" t="s">
        <v>355</v>
      </c>
      <c r="T1691" s="16">
        <v>0</v>
      </c>
      <c r="U1691" s="17"/>
      <c r="V1691" s="12">
        <v>1143.496686347753</v>
      </c>
      <c r="W1691" s="12">
        <v>1143.496686347753</v>
      </c>
      <c r="X1691" s="12">
        <v>0</v>
      </c>
      <c r="Y1691" s="18">
        <v>45796</v>
      </c>
      <c r="Z1691" s="13" t="s">
        <v>501</v>
      </c>
      <c r="AA1691" s="19" t="s">
        <v>361</v>
      </c>
      <c r="AB1691" s="13" t="s">
        <v>357</v>
      </c>
      <c r="AC1691" s="13" t="s">
        <v>362</v>
      </c>
      <c r="AD1691" s="20"/>
      <c r="AE1691" s="20"/>
      <c r="AF1691" s="13" t="s">
        <v>40</v>
      </c>
      <c r="AG1691" s="15">
        <v>45413</v>
      </c>
      <c r="AH1691" s="13" t="s">
        <v>41</v>
      </c>
      <c r="AI1691" s="13" t="s">
        <v>43</v>
      </c>
      <c r="AJ1691" s="13" t="str">
        <f>VLOOKUP(E1691,Precios!Z$2:AA$941,2,FALSE)</f>
        <v>Bandeja Huevos EXTRA</v>
      </c>
      <c r="AK1691" s="14">
        <f>VLOOKUP(E1691,Precios!Z$2:BB$941,3,FALSE)*F1691</f>
        <v>-1</v>
      </c>
      <c r="AL1691" s="17"/>
      <c r="AM1691" s="17"/>
      <c r="AN1691" s="17"/>
      <c r="AO1691" s="17"/>
      <c r="AP1691" s="17"/>
      <c r="AQ1691" s="17"/>
      <c r="AR1691" s="17"/>
      <c r="AS1691" s="17"/>
      <c r="AT1691" s="17"/>
      <c r="AU1691" s="17"/>
      <c r="AV1691" s="17"/>
    </row>
    <row r="1692" spans="1:48" ht="15.75" customHeight="1">
      <c r="A1692" s="21" t="s">
        <v>35</v>
      </c>
      <c r="B1692" s="23" t="s">
        <v>1692</v>
      </c>
      <c r="C1692" s="22">
        <v>45801</v>
      </c>
      <c r="D1692" s="23" t="s">
        <v>189</v>
      </c>
      <c r="E1692" s="23" t="s">
        <v>46</v>
      </c>
      <c r="F1692" s="21">
        <v>1</v>
      </c>
      <c r="G1692" s="12">
        <v>6000.1548227279782</v>
      </c>
      <c r="H1692" s="12">
        <v>6000.1548227279782</v>
      </c>
      <c r="I1692" s="23" t="s">
        <v>52</v>
      </c>
      <c r="J1692" s="23" t="s">
        <v>61</v>
      </c>
      <c r="K1692" s="24" t="s">
        <v>177</v>
      </c>
      <c r="L1692" s="24">
        <v>143</v>
      </c>
      <c r="M1692" s="12">
        <v>5042.1469098554444</v>
      </c>
      <c r="N1692" s="12">
        <v>5042.1469098554444</v>
      </c>
      <c r="O1692" s="12">
        <v>958.00791287253378</v>
      </c>
      <c r="P1692" s="13"/>
      <c r="Q1692" s="14">
        <v>2025</v>
      </c>
      <c r="R1692" s="15">
        <v>45413</v>
      </c>
      <c r="S1692" s="11" t="s">
        <v>364</v>
      </c>
      <c r="T1692" s="16">
        <v>500</v>
      </c>
      <c r="U1692" s="17"/>
      <c r="V1692" s="12">
        <v>1785.4242207798129</v>
      </c>
      <c r="W1692" s="12">
        <v>1785.4242207798129</v>
      </c>
      <c r="X1692" s="12">
        <v>0</v>
      </c>
      <c r="Y1692" s="18">
        <v>45796</v>
      </c>
      <c r="Z1692" s="13" t="s">
        <v>501</v>
      </c>
      <c r="AA1692" s="19" t="s">
        <v>361</v>
      </c>
      <c r="AB1692" s="13" t="s">
        <v>357</v>
      </c>
      <c r="AC1692" s="13" t="s">
        <v>362</v>
      </c>
      <c r="AD1692" s="20"/>
      <c r="AE1692" s="20"/>
      <c r="AF1692" s="13" t="s">
        <v>40</v>
      </c>
      <c r="AG1692" s="15">
        <v>45413</v>
      </c>
      <c r="AH1692" s="13" t="s">
        <v>41</v>
      </c>
      <c r="AI1692" s="13" t="s">
        <v>35</v>
      </c>
      <c r="AJ1692" s="13" t="str">
        <f>VLOOKUP(E1692,Precios!Z$2:AA$941,2,FALSE)</f>
        <v>Queso RUNCA Mantecoso</v>
      </c>
      <c r="AK1692" s="14">
        <f>VLOOKUP(E1692,Precios!Z$2:BB$941,3,FALSE)*F1692</f>
        <v>-0.5</v>
      </c>
      <c r="AL1692" s="17"/>
      <c r="AM1692" s="17"/>
      <c r="AN1692" s="17"/>
      <c r="AO1692" s="17"/>
      <c r="AP1692" s="17"/>
      <c r="AQ1692" s="17"/>
      <c r="AR1692" s="17"/>
      <c r="AS1692" s="17"/>
      <c r="AT1692" s="17"/>
      <c r="AU1692" s="17"/>
      <c r="AV1692" s="17"/>
    </row>
    <row r="1693" spans="1:48" ht="15.75" customHeight="1">
      <c r="A1693" s="21" t="s">
        <v>53</v>
      </c>
      <c r="B1693" s="23" t="s">
        <v>1692</v>
      </c>
      <c r="C1693" s="22">
        <v>45800</v>
      </c>
      <c r="D1693" s="23" t="s">
        <v>108</v>
      </c>
      <c r="E1693" s="23" t="s">
        <v>55</v>
      </c>
      <c r="F1693" s="21">
        <v>1</v>
      </c>
      <c r="G1693" s="12">
        <v>20899.922685965601</v>
      </c>
      <c r="H1693" s="12">
        <v>20899.922685965601</v>
      </c>
      <c r="I1693" s="23" t="s">
        <v>52</v>
      </c>
      <c r="J1693" s="23" t="s">
        <v>61</v>
      </c>
      <c r="K1693" s="24" t="s">
        <v>177</v>
      </c>
      <c r="L1693" s="24">
        <v>142</v>
      </c>
      <c r="M1693" s="12">
        <v>17562.960240307228</v>
      </c>
      <c r="N1693" s="12">
        <v>17562.960240307228</v>
      </c>
      <c r="O1693" s="12">
        <v>3336.9624456583733</v>
      </c>
      <c r="P1693" s="13"/>
      <c r="Q1693" s="14">
        <v>2025</v>
      </c>
      <c r="R1693" s="15">
        <v>45413</v>
      </c>
      <c r="S1693" s="11" t="s">
        <v>366</v>
      </c>
      <c r="T1693" s="16">
        <v>0</v>
      </c>
      <c r="U1693" s="17"/>
      <c r="V1693" s="12">
        <v>3117.7370878319234</v>
      </c>
      <c r="W1693" s="12">
        <v>3117.7370878319234</v>
      </c>
      <c r="X1693" s="12">
        <v>0</v>
      </c>
      <c r="Y1693" s="18">
        <v>45796</v>
      </c>
      <c r="Z1693" s="13" t="s">
        <v>503</v>
      </c>
      <c r="AA1693" s="19" t="s">
        <v>361</v>
      </c>
      <c r="AB1693" s="13" t="s">
        <v>357</v>
      </c>
      <c r="AC1693" s="13" t="s">
        <v>362</v>
      </c>
      <c r="AD1693" s="20"/>
      <c r="AE1693" s="20"/>
      <c r="AF1693" s="13" t="s">
        <v>40</v>
      </c>
      <c r="AG1693" s="15">
        <v>45413</v>
      </c>
      <c r="AH1693" s="13" t="s">
        <v>41</v>
      </c>
      <c r="AI1693" s="13" t="s">
        <v>53</v>
      </c>
      <c r="AJ1693" s="13" t="str">
        <f>VLOOKUP(E1693,Precios!Z$2:AA$941,2,FALSE)</f>
        <v>Papel Higienico ELITE 50 metros</v>
      </c>
      <c r="AK1693" s="14">
        <f>VLOOKUP(E1693,Precios!Z$2:BB$941,3,FALSE)*F1693</f>
        <v>-8</v>
      </c>
      <c r="AL1693" s="17"/>
      <c r="AM1693" s="17"/>
      <c r="AN1693" s="17"/>
      <c r="AO1693" s="17"/>
      <c r="AP1693" s="17"/>
      <c r="AQ1693" s="17"/>
      <c r="AR1693" s="17"/>
      <c r="AS1693" s="17"/>
      <c r="AT1693" s="17"/>
      <c r="AU1693" s="17"/>
      <c r="AV1693" s="17"/>
    </row>
    <row r="1694" spans="1:48" ht="15.75" customHeight="1">
      <c r="A1694" s="21" t="s">
        <v>53</v>
      </c>
      <c r="B1694" s="23" t="s">
        <v>1692</v>
      </c>
      <c r="C1694" s="22">
        <v>45800</v>
      </c>
      <c r="D1694" s="23" t="s">
        <v>108</v>
      </c>
      <c r="E1694" s="23" t="s">
        <v>109</v>
      </c>
      <c r="F1694" s="21">
        <v>1</v>
      </c>
      <c r="G1694" s="12">
        <v>10000</v>
      </c>
      <c r="H1694" s="12">
        <v>10000</v>
      </c>
      <c r="I1694" s="23" t="s">
        <v>52</v>
      </c>
      <c r="J1694" s="23" t="s">
        <v>61</v>
      </c>
      <c r="K1694" s="24" t="s">
        <v>177</v>
      </c>
      <c r="L1694" s="24">
        <v>142</v>
      </c>
      <c r="M1694" s="12">
        <v>8403.361344537816</v>
      </c>
      <c r="N1694" s="12">
        <v>8403.361344537816</v>
      </c>
      <c r="O1694" s="12">
        <v>1596.638655462184</v>
      </c>
      <c r="P1694" s="13"/>
      <c r="Q1694" s="14">
        <v>2025</v>
      </c>
      <c r="R1694" s="15">
        <v>45413</v>
      </c>
      <c r="S1694" s="11" t="s">
        <v>395</v>
      </c>
      <c r="T1694" s="16">
        <v>400</v>
      </c>
      <c r="U1694" s="17"/>
      <c r="V1694" s="12">
        <v>2100.8403361344544</v>
      </c>
      <c r="W1694" s="12">
        <v>2100.8403361344544</v>
      </c>
      <c r="X1694" s="12">
        <v>0</v>
      </c>
      <c r="Y1694" s="18">
        <v>45796</v>
      </c>
      <c r="Z1694" s="13" t="s">
        <v>503</v>
      </c>
      <c r="AA1694" s="19" t="s">
        <v>361</v>
      </c>
      <c r="AB1694" s="13" t="s">
        <v>357</v>
      </c>
      <c r="AC1694" s="13" t="s">
        <v>362</v>
      </c>
      <c r="AD1694" s="20"/>
      <c r="AE1694" s="20"/>
      <c r="AF1694" s="13" t="s">
        <v>40</v>
      </c>
      <c r="AG1694" s="15">
        <v>45413</v>
      </c>
      <c r="AH1694" s="13" t="s">
        <v>41</v>
      </c>
      <c r="AI1694" s="13" t="s">
        <v>53</v>
      </c>
      <c r="AJ1694" s="13" t="str">
        <f>VLOOKUP(E1694,Precios!Z$2:AA$941,2,FALSE)</f>
        <v>Toalla Papel SPUM D/H 100 metros</v>
      </c>
      <c r="AK1694" s="14">
        <f>VLOOKUP(E1694,Precios!Z$2:BB$941,3,FALSE)*F1694</f>
        <v>-4</v>
      </c>
      <c r="AL1694" s="17"/>
      <c r="AM1694" s="17"/>
      <c r="AN1694" s="17"/>
      <c r="AO1694" s="17"/>
      <c r="AP1694" s="17"/>
      <c r="AQ1694" s="17"/>
      <c r="AR1694" s="17"/>
      <c r="AS1694" s="17"/>
      <c r="AT1694" s="17"/>
      <c r="AU1694" s="17"/>
      <c r="AV1694" s="17"/>
    </row>
    <row r="1695" spans="1:48" ht="15.75" customHeight="1">
      <c r="A1695" s="21" t="s">
        <v>53</v>
      </c>
      <c r="B1695" s="23" t="s">
        <v>1692</v>
      </c>
      <c r="C1695" s="22">
        <v>45800</v>
      </c>
      <c r="D1695" s="23" t="s">
        <v>108</v>
      </c>
      <c r="E1695" s="23" t="s">
        <v>150</v>
      </c>
      <c r="F1695" s="21">
        <v>2</v>
      </c>
      <c r="G1695" s="12">
        <v>1799.8965445892823</v>
      </c>
      <c r="H1695" s="12">
        <v>3599.7930891785645</v>
      </c>
      <c r="I1695" s="23" t="s">
        <v>52</v>
      </c>
      <c r="J1695" s="23" t="s">
        <v>61</v>
      </c>
      <c r="K1695" s="24" t="s">
        <v>177</v>
      </c>
      <c r="L1695" s="24">
        <v>142</v>
      </c>
      <c r="M1695" s="12">
        <v>1512.518104696876</v>
      </c>
      <c r="N1695" s="12">
        <v>3025.036209393752</v>
      </c>
      <c r="O1695" s="12">
        <v>574.75687978481255</v>
      </c>
      <c r="P1695" s="13"/>
      <c r="Q1695" s="14">
        <v>2025</v>
      </c>
      <c r="R1695" s="15">
        <v>45413</v>
      </c>
      <c r="S1695" s="11" t="s">
        <v>381</v>
      </c>
      <c r="T1695" s="16">
        <v>600</v>
      </c>
      <c r="U1695" s="17"/>
      <c r="V1695" s="12">
        <v>1563.0362093937515</v>
      </c>
      <c r="W1695" s="12">
        <v>1563.0362093937515</v>
      </c>
      <c r="X1695" s="12">
        <v>0</v>
      </c>
      <c r="Y1695" s="18">
        <v>45796</v>
      </c>
      <c r="Z1695" s="13" t="s">
        <v>503</v>
      </c>
      <c r="AA1695" s="19" t="s">
        <v>361</v>
      </c>
      <c r="AB1695" s="13" t="s">
        <v>357</v>
      </c>
      <c r="AC1695" s="13" t="s">
        <v>362</v>
      </c>
      <c r="AD1695" s="20"/>
      <c r="AE1695" s="20"/>
      <c r="AF1695" s="13" t="s">
        <v>40</v>
      </c>
      <c r="AG1695" s="15">
        <v>45413</v>
      </c>
      <c r="AH1695" s="13" t="s">
        <v>41</v>
      </c>
      <c r="AI1695" s="13" t="s">
        <v>53</v>
      </c>
      <c r="AJ1695" s="13" t="str">
        <f>VLOOKUP(E1695,Precios!Z$2:AA$941,2,FALSE)</f>
        <v>Servilletas SOFTQUALITY 300 unidades</v>
      </c>
      <c r="AK1695" s="14">
        <f>VLOOKUP(E1695,Precios!Z$2:BB$941,3,FALSE)*F1695</f>
        <v>-2</v>
      </c>
      <c r="AL1695" s="17"/>
      <c r="AM1695" s="17"/>
      <c r="AN1695" s="17"/>
      <c r="AO1695" s="17"/>
      <c r="AP1695" s="17"/>
      <c r="AQ1695" s="17"/>
      <c r="AR1695" s="17"/>
      <c r="AS1695" s="17"/>
      <c r="AT1695" s="17"/>
      <c r="AU1695" s="17"/>
      <c r="AV1695" s="17"/>
    </row>
    <row r="1696" spans="1:48" ht="15.75" customHeight="1">
      <c r="A1696" s="21" t="s">
        <v>43</v>
      </c>
      <c r="B1696" s="23" t="s">
        <v>1692</v>
      </c>
      <c r="C1696" s="22">
        <v>45800</v>
      </c>
      <c r="D1696" s="23" t="s">
        <v>108</v>
      </c>
      <c r="E1696" s="23" t="s">
        <v>45</v>
      </c>
      <c r="F1696" s="21">
        <v>1</v>
      </c>
      <c r="G1696" s="12">
        <v>7999.7710567538261</v>
      </c>
      <c r="H1696" s="12">
        <v>7999.7710567538261</v>
      </c>
      <c r="I1696" s="23" t="s">
        <v>52</v>
      </c>
      <c r="J1696" s="23" t="s">
        <v>61</v>
      </c>
      <c r="K1696" s="24" t="s">
        <v>177</v>
      </c>
      <c r="L1696" s="24">
        <v>142</v>
      </c>
      <c r="M1696" s="12">
        <v>6722.496686347753</v>
      </c>
      <c r="N1696" s="12">
        <v>6722.496686347753</v>
      </c>
      <c r="O1696" s="12">
        <v>1277.2743704060731</v>
      </c>
      <c r="P1696" s="13"/>
      <c r="Q1696" s="14">
        <v>2025</v>
      </c>
      <c r="R1696" s="15">
        <v>45413</v>
      </c>
      <c r="S1696" s="11" t="s">
        <v>355</v>
      </c>
      <c r="T1696" s="16">
        <v>0</v>
      </c>
      <c r="U1696" s="17"/>
      <c r="V1696" s="12">
        <v>1143.496686347753</v>
      </c>
      <c r="W1696" s="12">
        <v>1143.496686347753</v>
      </c>
      <c r="X1696" s="12">
        <v>0</v>
      </c>
      <c r="Y1696" s="18">
        <v>45796</v>
      </c>
      <c r="Z1696" s="13" t="s">
        <v>503</v>
      </c>
      <c r="AA1696" s="19" t="s">
        <v>361</v>
      </c>
      <c r="AB1696" s="13" t="s">
        <v>357</v>
      </c>
      <c r="AC1696" s="13" t="s">
        <v>362</v>
      </c>
      <c r="AD1696" s="20"/>
      <c r="AE1696" s="20"/>
      <c r="AF1696" s="13" t="s">
        <v>40</v>
      </c>
      <c r="AG1696" s="15">
        <v>45413</v>
      </c>
      <c r="AH1696" s="13" t="s">
        <v>41</v>
      </c>
      <c r="AI1696" s="13" t="s">
        <v>43</v>
      </c>
      <c r="AJ1696" s="13" t="str">
        <f>VLOOKUP(E1696,Precios!Z$2:AA$941,2,FALSE)</f>
        <v>Bandeja Huevos EXTRA</v>
      </c>
      <c r="AK1696" s="14">
        <f>VLOOKUP(E1696,Precios!Z$2:BB$941,3,FALSE)*F1696</f>
        <v>-1</v>
      </c>
      <c r="AL1696" s="17"/>
      <c r="AM1696" s="17"/>
      <c r="AN1696" s="17"/>
      <c r="AO1696" s="17"/>
      <c r="AP1696" s="17"/>
      <c r="AQ1696" s="17"/>
      <c r="AR1696" s="17"/>
      <c r="AS1696" s="17"/>
      <c r="AT1696" s="17"/>
      <c r="AU1696" s="17"/>
      <c r="AV1696" s="17"/>
    </row>
    <row r="1697" spans="1:48" ht="15.75" customHeight="1">
      <c r="A1697" s="21" t="s">
        <v>35</v>
      </c>
      <c r="B1697" s="23" t="s">
        <v>1692</v>
      </c>
      <c r="C1697" s="22">
        <v>45800</v>
      </c>
      <c r="D1697" s="23" t="s">
        <v>507</v>
      </c>
      <c r="E1697" s="23" t="s">
        <v>46</v>
      </c>
      <c r="F1697" s="21">
        <v>1</v>
      </c>
      <c r="G1697" s="12">
        <v>6000.1548227279782</v>
      </c>
      <c r="H1697" s="12">
        <v>6000.1548227279782</v>
      </c>
      <c r="I1697" s="23" t="s">
        <v>52</v>
      </c>
      <c r="J1697" s="23" t="s">
        <v>61</v>
      </c>
      <c r="K1697" s="24" t="s">
        <v>177</v>
      </c>
      <c r="L1697" s="24">
        <v>142</v>
      </c>
      <c r="M1697" s="12">
        <v>5042.1469098554444</v>
      </c>
      <c r="N1697" s="12">
        <v>5042.1469098554444</v>
      </c>
      <c r="O1697" s="12">
        <v>958.00791287253378</v>
      </c>
      <c r="P1697" s="13"/>
      <c r="Q1697" s="14">
        <v>2025</v>
      </c>
      <c r="R1697" s="15">
        <v>45413</v>
      </c>
      <c r="S1697" s="11" t="s">
        <v>364</v>
      </c>
      <c r="T1697" s="16">
        <v>500</v>
      </c>
      <c r="U1697" s="17"/>
      <c r="V1697" s="12">
        <v>1785.4242207798129</v>
      </c>
      <c r="W1697" s="12">
        <v>1785.4242207798129</v>
      </c>
      <c r="X1697" s="12">
        <v>0</v>
      </c>
      <c r="Y1697" s="18">
        <v>45796</v>
      </c>
      <c r="Z1697" s="13" t="s">
        <v>503</v>
      </c>
      <c r="AA1697" s="19" t="s">
        <v>373</v>
      </c>
      <c r="AB1697" s="13" t="s">
        <v>357</v>
      </c>
      <c r="AC1697" s="13" t="s">
        <v>383</v>
      </c>
      <c r="AD1697" s="20"/>
      <c r="AE1697" s="20"/>
      <c r="AF1697" s="13" t="s">
        <v>40</v>
      </c>
      <c r="AG1697" s="15">
        <v>45413</v>
      </c>
      <c r="AH1697" s="13" t="s">
        <v>41</v>
      </c>
      <c r="AI1697" s="13" t="s">
        <v>35</v>
      </c>
      <c r="AJ1697" s="13" t="str">
        <f>VLOOKUP(E1697,Precios!Z$2:AA$941,2,FALSE)</f>
        <v>Queso RUNCA Mantecoso</v>
      </c>
      <c r="AK1697" s="14">
        <f>VLOOKUP(E1697,Precios!Z$2:BB$941,3,FALSE)*F1697</f>
        <v>-0.5</v>
      </c>
      <c r="AL1697" s="17"/>
      <c r="AM1697" s="17"/>
      <c r="AN1697" s="17"/>
      <c r="AO1697" s="17"/>
      <c r="AP1697" s="17"/>
      <c r="AQ1697" s="17"/>
      <c r="AR1697" s="17"/>
      <c r="AS1697" s="17"/>
      <c r="AT1697" s="17"/>
      <c r="AU1697" s="17"/>
      <c r="AV1697" s="17"/>
    </row>
    <row r="1698" spans="1:48" ht="15.75" customHeight="1">
      <c r="A1698" s="21" t="s">
        <v>43</v>
      </c>
      <c r="B1698" s="23" t="s">
        <v>1692</v>
      </c>
      <c r="C1698" s="22">
        <v>45800</v>
      </c>
      <c r="D1698" s="23" t="s">
        <v>227</v>
      </c>
      <c r="E1698" s="23" t="s">
        <v>45</v>
      </c>
      <c r="F1698" s="21">
        <v>2</v>
      </c>
      <c r="G1698" s="12">
        <v>7999.7710567538261</v>
      </c>
      <c r="H1698" s="12">
        <v>15999.542113507652</v>
      </c>
      <c r="I1698" s="23" t="s">
        <v>52</v>
      </c>
      <c r="J1698" s="23" t="s">
        <v>61</v>
      </c>
      <c r="K1698" s="24" t="s">
        <v>177</v>
      </c>
      <c r="L1698" s="24">
        <v>142</v>
      </c>
      <c r="M1698" s="12">
        <v>6722.496686347753</v>
      </c>
      <c r="N1698" s="12">
        <v>13444.993372695506</v>
      </c>
      <c r="O1698" s="12">
        <v>2554.5487408121462</v>
      </c>
      <c r="P1698" s="13"/>
      <c r="Q1698" s="14">
        <v>2025</v>
      </c>
      <c r="R1698" s="15">
        <v>45413</v>
      </c>
      <c r="S1698" s="11" t="s">
        <v>355</v>
      </c>
      <c r="T1698" s="16">
        <v>0</v>
      </c>
      <c r="U1698" s="17"/>
      <c r="V1698" s="12">
        <v>2286.993372695506</v>
      </c>
      <c r="W1698" s="12">
        <v>2286.993372695506</v>
      </c>
      <c r="X1698" s="12">
        <v>0</v>
      </c>
      <c r="Y1698" s="18">
        <v>45796</v>
      </c>
      <c r="Z1698" s="13" t="s">
        <v>503</v>
      </c>
      <c r="AA1698" s="19" t="s">
        <v>361</v>
      </c>
      <c r="AB1698" s="13" t="s">
        <v>357</v>
      </c>
      <c r="AC1698" s="13" t="s">
        <v>393</v>
      </c>
      <c r="AD1698" s="20"/>
      <c r="AE1698" s="20"/>
      <c r="AF1698" s="13" t="s">
        <v>40</v>
      </c>
      <c r="AG1698" s="15">
        <v>45413</v>
      </c>
      <c r="AH1698" s="13" t="s">
        <v>41</v>
      </c>
      <c r="AI1698" s="13" t="s">
        <v>43</v>
      </c>
      <c r="AJ1698" s="13" t="str">
        <f>VLOOKUP(E1698,Precios!Z$2:AA$941,2,FALSE)</f>
        <v>Bandeja Huevos EXTRA</v>
      </c>
      <c r="AK1698" s="14">
        <f>VLOOKUP(E1698,Precios!Z$2:BB$941,3,FALSE)*F1698</f>
        <v>-2</v>
      </c>
      <c r="AL1698" s="17"/>
      <c r="AM1698" s="17"/>
      <c r="AN1698" s="17"/>
      <c r="AO1698" s="17"/>
      <c r="AP1698" s="17"/>
      <c r="AQ1698" s="17"/>
      <c r="AR1698" s="17"/>
      <c r="AS1698" s="17"/>
      <c r="AT1698" s="17"/>
      <c r="AU1698" s="17"/>
      <c r="AV1698" s="17"/>
    </row>
    <row r="1699" spans="1:48" ht="15.75" customHeight="1">
      <c r="A1699" s="21" t="s">
        <v>53</v>
      </c>
      <c r="B1699" s="23" t="s">
        <v>1692</v>
      </c>
      <c r="C1699" s="22">
        <v>45800</v>
      </c>
      <c r="D1699" s="23" t="s">
        <v>125</v>
      </c>
      <c r="E1699" s="23" t="s">
        <v>69</v>
      </c>
      <c r="F1699" s="21">
        <v>1</v>
      </c>
      <c r="G1699" s="12">
        <v>2999.9553810458683</v>
      </c>
      <c r="H1699" s="12">
        <v>2999.9553810458683</v>
      </c>
      <c r="I1699" s="23" t="s">
        <v>52</v>
      </c>
      <c r="J1699" s="23" t="s">
        <v>61</v>
      </c>
      <c r="K1699" s="24" t="s">
        <v>177</v>
      </c>
      <c r="L1699" s="24">
        <v>142</v>
      </c>
      <c r="M1699" s="12">
        <v>2520.9709084419064</v>
      </c>
      <c r="N1699" s="12">
        <v>2520.9709084419064</v>
      </c>
      <c r="O1699" s="12">
        <v>478.98447260396188</v>
      </c>
      <c r="P1699" s="13"/>
      <c r="Q1699" s="14">
        <v>2025</v>
      </c>
      <c r="R1699" s="15">
        <v>45413</v>
      </c>
      <c r="S1699" s="11" t="s">
        <v>376</v>
      </c>
      <c r="T1699" s="16">
        <v>0</v>
      </c>
      <c r="U1699" s="17"/>
      <c r="V1699" s="12">
        <v>825.97090844190598</v>
      </c>
      <c r="W1699" s="12">
        <v>825.97090844190598</v>
      </c>
      <c r="X1699" s="12">
        <v>0</v>
      </c>
      <c r="Y1699" s="18">
        <v>45796</v>
      </c>
      <c r="Z1699" s="13" t="s">
        <v>503</v>
      </c>
      <c r="AA1699" s="19" t="s">
        <v>361</v>
      </c>
      <c r="AB1699" s="13" t="s">
        <v>357</v>
      </c>
      <c r="AC1699" s="13" t="s">
        <v>362</v>
      </c>
      <c r="AD1699" s="20"/>
      <c r="AE1699" s="20"/>
      <c r="AF1699" s="13" t="s">
        <v>40</v>
      </c>
      <c r="AG1699" s="15">
        <v>45413</v>
      </c>
      <c r="AH1699" s="13" t="s">
        <v>41</v>
      </c>
      <c r="AI1699" s="13" t="s">
        <v>53</v>
      </c>
      <c r="AJ1699" s="13" t="str">
        <f>VLOOKUP(E1699,Precios!Z$2:AA$941,2,FALSE)</f>
        <v>Toalla Papel NOVA 70 metros</v>
      </c>
      <c r="AK1699" s="14">
        <f>VLOOKUP(E1699,Precios!Z$2:BB$941,3,FALSE)*F1699</f>
        <v>-1</v>
      </c>
      <c r="AL1699" s="17"/>
      <c r="AM1699" s="17"/>
      <c r="AN1699" s="17"/>
      <c r="AO1699" s="17"/>
      <c r="AP1699" s="17"/>
      <c r="AQ1699" s="17"/>
      <c r="AR1699" s="17"/>
      <c r="AS1699" s="17"/>
      <c r="AT1699" s="17"/>
      <c r="AU1699" s="17"/>
      <c r="AV1699" s="17"/>
    </row>
    <row r="1700" spans="1:48" ht="15.75" customHeight="1">
      <c r="A1700" s="21" t="s">
        <v>76</v>
      </c>
      <c r="B1700" s="23" t="s">
        <v>1692</v>
      </c>
      <c r="C1700" s="22">
        <v>45800</v>
      </c>
      <c r="D1700" s="23" t="s">
        <v>125</v>
      </c>
      <c r="E1700" s="23" t="s">
        <v>192</v>
      </c>
      <c r="F1700" s="21">
        <v>1</v>
      </c>
      <c r="G1700" s="12">
        <v>15990.211345939933</v>
      </c>
      <c r="H1700" s="12">
        <v>15990.211345939933</v>
      </c>
      <c r="I1700" s="23" t="s">
        <v>52</v>
      </c>
      <c r="J1700" s="23" t="s">
        <v>61</v>
      </c>
      <c r="K1700" s="24" t="s">
        <v>177</v>
      </c>
      <c r="L1700" s="24">
        <v>142</v>
      </c>
      <c r="M1700" s="12">
        <v>13437.152391546164</v>
      </c>
      <c r="N1700" s="12">
        <v>13437.152391546164</v>
      </c>
      <c r="O1700" s="12">
        <v>2553.0589543937695</v>
      </c>
      <c r="P1700" s="13"/>
      <c r="Q1700" s="14">
        <v>2025</v>
      </c>
      <c r="R1700" s="15">
        <v>45413</v>
      </c>
      <c r="S1700" s="11" t="s">
        <v>435</v>
      </c>
      <c r="T1700" s="16">
        <v>0</v>
      </c>
      <c r="U1700" s="17"/>
      <c r="V1700" s="12">
        <v>3773.1523915461621</v>
      </c>
      <c r="W1700" s="12">
        <v>3773.1523915461621</v>
      </c>
      <c r="X1700" s="12">
        <v>0</v>
      </c>
      <c r="Y1700" s="18">
        <v>45796</v>
      </c>
      <c r="Z1700" s="13" t="s">
        <v>503</v>
      </c>
      <c r="AA1700" s="19" t="s">
        <v>361</v>
      </c>
      <c r="AB1700" s="13" t="s">
        <v>357</v>
      </c>
      <c r="AC1700" s="13" t="s">
        <v>362</v>
      </c>
      <c r="AD1700" s="20"/>
      <c r="AE1700" s="20"/>
      <c r="AF1700" s="13" t="s">
        <v>40</v>
      </c>
      <c r="AG1700" s="15">
        <v>45413</v>
      </c>
      <c r="AH1700" s="13" t="s">
        <v>41</v>
      </c>
      <c r="AI1700" s="13" t="s">
        <v>76</v>
      </c>
      <c r="AJ1700" s="13" t="str">
        <f>VLOOKUP(E1700,Precios!Z$2:AA$941,2,FALSE)</f>
        <v>Papel Higienico SWAN 400 hojas</v>
      </c>
      <c r="AK1700" s="14">
        <f>VLOOKUP(E1700,Precios!Z$2:BB$941,3,FALSE)*F1700</f>
        <v>-8</v>
      </c>
      <c r="AL1700" s="17"/>
      <c r="AM1700" s="17"/>
      <c r="AN1700" s="17"/>
      <c r="AO1700" s="17"/>
      <c r="AP1700" s="17"/>
      <c r="AQ1700" s="17"/>
      <c r="AR1700" s="17"/>
      <c r="AS1700" s="17"/>
      <c r="AT1700" s="17"/>
      <c r="AU1700" s="17"/>
      <c r="AV1700" s="17"/>
    </row>
    <row r="1701" spans="1:48" ht="15.75" customHeight="1">
      <c r="A1701" s="21" t="s">
        <v>35</v>
      </c>
      <c r="B1701" s="23" t="s">
        <v>1692</v>
      </c>
      <c r="C1701" s="22">
        <v>45800</v>
      </c>
      <c r="D1701" s="23" t="s">
        <v>624</v>
      </c>
      <c r="E1701" s="23" t="s">
        <v>37</v>
      </c>
      <c r="F1701" s="21">
        <v>1</v>
      </c>
      <c r="G1701" s="12">
        <v>11000.014358944907</v>
      </c>
      <c r="H1701" s="12">
        <v>11000.014358944907</v>
      </c>
      <c r="I1701" s="23" t="s">
        <v>52</v>
      </c>
      <c r="J1701" s="23" t="s">
        <v>61</v>
      </c>
      <c r="K1701" s="24" t="s">
        <v>177</v>
      </c>
      <c r="L1701" s="24">
        <v>142</v>
      </c>
      <c r="M1701" s="12">
        <v>9243.7095453318543</v>
      </c>
      <c r="N1701" s="12">
        <v>9243.7095453318543</v>
      </c>
      <c r="O1701" s="12">
        <v>1756.3048136130528</v>
      </c>
      <c r="P1701" s="13"/>
      <c r="Q1701" s="14">
        <v>2025</v>
      </c>
      <c r="R1701" s="15">
        <v>45413</v>
      </c>
      <c r="S1701" s="11" t="s">
        <v>364</v>
      </c>
      <c r="T1701" s="16">
        <v>1000</v>
      </c>
      <c r="U1701" s="17"/>
      <c r="V1701" s="12">
        <v>2806.1129066763915</v>
      </c>
      <c r="W1701" s="12">
        <v>2806.1129066763915</v>
      </c>
      <c r="X1701" s="12">
        <v>0</v>
      </c>
      <c r="Y1701" s="18">
        <v>45796</v>
      </c>
      <c r="Z1701" s="13" t="s">
        <v>503</v>
      </c>
      <c r="AA1701" s="19" t="s">
        <v>373</v>
      </c>
      <c r="AB1701" s="13" t="s">
        <v>357</v>
      </c>
      <c r="AC1701" s="13" t="s">
        <v>532</v>
      </c>
      <c r="AD1701" s="20"/>
      <c r="AE1701" s="20"/>
      <c r="AF1701" s="13" t="s">
        <v>40</v>
      </c>
      <c r="AG1701" s="15">
        <v>45413</v>
      </c>
      <c r="AH1701" s="13" t="s">
        <v>41</v>
      </c>
      <c r="AI1701" s="13" t="s">
        <v>35</v>
      </c>
      <c r="AJ1701" s="13" t="str">
        <f>VLOOKUP(E1701,Precios!Z$2:AA$941,2,FALSE)</f>
        <v>Queso RUNCA Mantecoso</v>
      </c>
      <c r="AK1701" s="14">
        <f>VLOOKUP(E1701,Precios!Z$2:BB$941,3,FALSE)*F1701</f>
        <v>-1</v>
      </c>
      <c r="AL1701" s="17"/>
      <c r="AM1701" s="17"/>
      <c r="AN1701" s="17"/>
      <c r="AO1701" s="17"/>
      <c r="AP1701" s="17"/>
      <c r="AQ1701" s="17"/>
      <c r="AR1701" s="17"/>
      <c r="AS1701" s="17"/>
      <c r="AT1701" s="17"/>
      <c r="AU1701" s="17"/>
      <c r="AV1701" s="17"/>
    </row>
    <row r="1702" spans="1:48" ht="15.75" customHeight="1">
      <c r="A1702" s="21" t="s">
        <v>76</v>
      </c>
      <c r="B1702" s="23" t="s">
        <v>1692</v>
      </c>
      <c r="C1702" s="22">
        <v>45800</v>
      </c>
      <c r="D1702" s="23" t="s">
        <v>624</v>
      </c>
      <c r="E1702" s="23" t="s">
        <v>77</v>
      </c>
      <c r="F1702" s="21">
        <v>1</v>
      </c>
      <c r="G1702" s="12">
        <v>1500.0000000000002</v>
      </c>
      <c r="H1702" s="12">
        <v>1500.0000000000002</v>
      </c>
      <c r="I1702" s="23" t="s">
        <v>52</v>
      </c>
      <c r="J1702" s="23" t="s">
        <v>61</v>
      </c>
      <c r="K1702" s="24" t="s">
        <v>177</v>
      </c>
      <c r="L1702" s="24">
        <v>142</v>
      </c>
      <c r="M1702" s="12">
        <v>1260.5042016806726</v>
      </c>
      <c r="N1702" s="12">
        <v>1260.5042016806726</v>
      </c>
      <c r="O1702" s="12">
        <v>239.4957983193276</v>
      </c>
      <c r="P1702" s="13"/>
      <c r="Q1702" s="14">
        <v>2025</v>
      </c>
      <c r="R1702" s="15">
        <v>45413</v>
      </c>
      <c r="S1702" s="11" t="s">
        <v>448</v>
      </c>
      <c r="T1702" s="16">
        <v>0</v>
      </c>
      <c r="U1702" s="17"/>
      <c r="V1702" s="12">
        <v>421.00840336134468</v>
      </c>
      <c r="W1702" s="12">
        <v>421.00840336134468</v>
      </c>
      <c r="X1702" s="12">
        <v>0</v>
      </c>
      <c r="Y1702" s="18">
        <v>45796</v>
      </c>
      <c r="Z1702" s="13" t="s">
        <v>503</v>
      </c>
      <c r="AA1702" s="19" t="s">
        <v>373</v>
      </c>
      <c r="AB1702" s="13" t="s">
        <v>357</v>
      </c>
      <c r="AC1702" s="13" t="s">
        <v>532</v>
      </c>
      <c r="AD1702" s="20"/>
      <c r="AE1702" s="20"/>
      <c r="AF1702" s="13" t="s">
        <v>40</v>
      </c>
      <c r="AG1702" s="15">
        <v>45413</v>
      </c>
      <c r="AH1702" s="13" t="s">
        <v>41</v>
      </c>
      <c r="AI1702" s="13" t="s">
        <v>76</v>
      </c>
      <c r="AJ1702" s="13" t="str">
        <f>VLOOKUP(E1702,Precios!Z$2:AA$941,2,FALSE)</f>
        <v>Cloro GEL IGENIX 900ml</v>
      </c>
      <c r="AK1702" s="14">
        <f>VLOOKUP(E1702,Precios!Z$2:BB$941,3,FALSE)*F1702</f>
        <v>-1</v>
      </c>
      <c r="AL1702" s="17"/>
      <c r="AM1702" s="17"/>
      <c r="AN1702" s="17"/>
      <c r="AO1702" s="17"/>
      <c r="AP1702" s="17"/>
      <c r="AQ1702" s="17"/>
      <c r="AR1702" s="17"/>
      <c r="AS1702" s="17"/>
      <c r="AT1702" s="17"/>
      <c r="AU1702" s="17"/>
      <c r="AV1702" s="17"/>
    </row>
    <row r="1703" spans="1:48" ht="15.75" customHeight="1">
      <c r="A1703" s="21" t="s">
        <v>76</v>
      </c>
      <c r="B1703" s="23" t="s">
        <v>1692</v>
      </c>
      <c r="C1703" s="22">
        <v>45800</v>
      </c>
      <c r="D1703" s="23" t="s">
        <v>624</v>
      </c>
      <c r="E1703" s="23" t="s">
        <v>185</v>
      </c>
      <c r="F1703" s="21">
        <v>1</v>
      </c>
      <c r="G1703" s="12">
        <v>3200.1383843625663</v>
      </c>
      <c r="H1703" s="12">
        <v>3200.1383843625663</v>
      </c>
      <c r="I1703" s="23" t="s">
        <v>52</v>
      </c>
      <c r="J1703" s="23" t="s">
        <v>61</v>
      </c>
      <c r="K1703" s="24" t="s">
        <v>177</v>
      </c>
      <c r="L1703" s="24">
        <v>142</v>
      </c>
      <c r="M1703" s="12">
        <v>2689.1919196324088</v>
      </c>
      <c r="N1703" s="12">
        <v>2689.1919196324088</v>
      </c>
      <c r="O1703" s="12">
        <v>510.94646473015746</v>
      </c>
      <c r="P1703" s="13"/>
      <c r="Q1703" s="14">
        <v>2025</v>
      </c>
      <c r="R1703" s="15">
        <v>45413</v>
      </c>
      <c r="S1703" s="11" t="s">
        <v>444</v>
      </c>
      <c r="T1703" s="16">
        <v>5</v>
      </c>
      <c r="U1703" s="17"/>
      <c r="V1703" s="12">
        <v>1134.570070892913</v>
      </c>
      <c r="W1703" s="12">
        <v>1134.570070892913</v>
      </c>
      <c r="X1703" s="12">
        <v>0</v>
      </c>
      <c r="Y1703" s="18">
        <v>45796</v>
      </c>
      <c r="Z1703" s="13" t="s">
        <v>503</v>
      </c>
      <c r="AA1703" s="19" t="s">
        <v>373</v>
      </c>
      <c r="AB1703" s="13" t="s">
        <v>357</v>
      </c>
      <c r="AC1703" s="13" t="s">
        <v>532</v>
      </c>
      <c r="AD1703" s="20"/>
      <c r="AE1703" s="20"/>
      <c r="AF1703" s="13" t="s">
        <v>40</v>
      </c>
      <c r="AG1703" s="15">
        <v>45413</v>
      </c>
      <c r="AH1703" s="13" t="s">
        <v>41</v>
      </c>
      <c r="AI1703" s="13" t="s">
        <v>76</v>
      </c>
      <c r="AJ1703" s="13" t="str">
        <f>VLOOKUP(E1703,Precios!Z$2:AA$941,2,FALSE)</f>
        <v>Limpia Vidrio SPUM 5 litros</v>
      </c>
      <c r="AK1703" s="14">
        <f>VLOOKUP(E1703,Precios!Z$2:BB$941,3,FALSE)*F1703</f>
        <v>-1</v>
      </c>
      <c r="AL1703" s="17"/>
      <c r="AM1703" s="17"/>
      <c r="AN1703" s="17"/>
      <c r="AO1703" s="17"/>
      <c r="AP1703" s="17"/>
      <c r="AQ1703" s="17"/>
      <c r="AR1703" s="17"/>
      <c r="AS1703" s="17"/>
      <c r="AT1703" s="17"/>
      <c r="AU1703" s="17"/>
      <c r="AV1703" s="17"/>
    </row>
    <row r="1704" spans="1:48" ht="15.75" customHeight="1">
      <c r="A1704" s="21" t="s">
        <v>53</v>
      </c>
      <c r="B1704" s="23" t="s">
        <v>1692</v>
      </c>
      <c r="C1704" s="22">
        <v>45800</v>
      </c>
      <c r="D1704" s="23" t="s">
        <v>331</v>
      </c>
      <c r="E1704" s="23" t="s">
        <v>192</v>
      </c>
      <c r="F1704" s="21">
        <v>1</v>
      </c>
      <c r="G1704" s="12">
        <v>15990.211345939933</v>
      </c>
      <c r="H1704" s="12">
        <v>15990.211345939933</v>
      </c>
      <c r="I1704" s="23" t="s">
        <v>52</v>
      </c>
      <c r="J1704" s="23" t="s">
        <v>61</v>
      </c>
      <c r="K1704" s="24" t="s">
        <v>177</v>
      </c>
      <c r="L1704" s="24">
        <v>142</v>
      </c>
      <c r="M1704" s="12">
        <v>13437.152391546164</v>
      </c>
      <c r="N1704" s="12">
        <v>13437.152391546164</v>
      </c>
      <c r="O1704" s="12">
        <v>2553.0589543937695</v>
      </c>
      <c r="P1704" s="13"/>
      <c r="Q1704" s="14">
        <v>2025</v>
      </c>
      <c r="R1704" s="15">
        <v>45413</v>
      </c>
      <c r="S1704" s="11" t="s">
        <v>435</v>
      </c>
      <c r="T1704" s="16">
        <v>0</v>
      </c>
      <c r="U1704" s="17"/>
      <c r="V1704" s="12">
        <v>3773.1523915461621</v>
      </c>
      <c r="W1704" s="12">
        <v>3773.1523915461621</v>
      </c>
      <c r="X1704" s="12">
        <v>0</v>
      </c>
      <c r="Y1704" s="18">
        <v>45796</v>
      </c>
      <c r="Z1704" s="13" t="s">
        <v>503</v>
      </c>
      <c r="AA1704" s="19" t="s">
        <v>361</v>
      </c>
      <c r="AB1704" s="13" t="s">
        <v>357</v>
      </c>
      <c r="AC1704" s="13" t="s">
        <v>472</v>
      </c>
      <c r="AD1704" s="20"/>
      <c r="AE1704" s="20"/>
      <c r="AF1704" s="13" t="s">
        <v>40</v>
      </c>
      <c r="AG1704" s="15">
        <v>45413</v>
      </c>
      <c r="AH1704" s="13" t="s">
        <v>41</v>
      </c>
      <c r="AI1704" s="13" t="s">
        <v>53</v>
      </c>
      <c r="AJ1704" s="13" t="str">
        <f>VLOOKUP(E1704,Precios!Z$2:AA$941,2,FALSE)</f>
        <v>Papel Higienico SWAN 400 hojas</v>
      </c>
      <c r="AK1704" s="14">
        <f>VLOOKUP(E1704,Precios!Z$2:BB$941,3,FALSE)*F1704</f>
        <v>-8</v>
      </c>
      <c r="AL1704" s="17"/>
      <c r="AM1704" s="17"/>
      <c r="AN1704" s="17"/>
      <c r="AO1704" s="17"/>
      <c r="AP1704" s="17"/>
      <c r="AQ1704" s="17"/>
      <c r="AR1704" s="17"/>
      <c r="AS1704" s="17"/>
      <c r="AT1704" s="17"/>
      <c r="AU1704" s="17"/>
      <c r="AV1704" s="17"/>
    </row>
    <row r="1705" spans="1:48" ht="15.75" customHeight="1">
      <c r="A1705" s="21" t="s">
        <v>53</v>
      </c>
      <c r="B1705" s="23" t="s">
        <v>1692</v>
      </c>
      <c r="C1705" s="22">
        <v>45800</v>
      </c>
      <c r="D1705" s="23" t="s">
        <v>68</v>
      </c>
      <c r="E1705" s="23" t="s">
        <v>109</v>
      </c>
      <c r="F1705" s="21">
        <v>1</v>
      </c>
      <c r="G1705" s="12">
        <v>10000</v>
      </c>
      <c r="H1705" s="12">
        <v>10000</v>
      </c>
      <c r="I1705" s="23" t="s">
        <v>52</v>
      </c>
      <c r="J1705" s="23" t="s">
        <v>61</v>
      </c>
      <c r="K1705" s="24" t="s">
        <v>86</v>
      </c>
      <c r="L1705" s="24">
        <v>84</v>
      </c>
      <c r="M1705" s="12">
        <v>8403.361344537816</v>
      </c>
      <c r="N1705" s="12">
        <v>8403.361344537816</v>
      </c>
      <c r="O1705" s="12">
        <v>1596.638655462184</v>
      </c>
      <c r="P1705" s="13"/>
      <c r="Q1705" s="14">
        <v>2025</v>
      </c>
      <c r="R1705" s="15">
        <v>45413</v>
      </c>
      <c r="S1705" s="11" t="s">
        <v>395</v>
      </c>
      <c r="T1705" s="16">
        <v>400</v>
      </c>
      <c r="U1705" s="17"/>
      <c r="V1705" s="12">
        <v>2100.8403361344544</v>
      </c>
      <c r="W1705" s="12">
        <v>2100.8403361344544</v>
      </c>
      <c r="X1705" s="12">
        <v>0</v>
      </c>
      <c r="Y1705" s="18">
        <v>45796</v>
      </c>
      <c r="Z1705" s="13" t="s">
        <v>503</v>
      </c>
      <c r="AA1705" s="19" t="s">
        <v>361</v>
      </c>
      <c r="AB1705" s="13" t="s">
        <v>394</v>
      </c>
      <c r="AC1705" s="13" t="s">
        <v>383</v>
      </c>
      <c r="AD1705" s="20"/>
      <c r="AE1705" s="20"/>
      <c r="AF1705" s="13" t="s">
        <v>40</v>
      </c>
      <c r="AG1705" s="15">
        <v>45413</v>
      </c>
      <c r="AH1705" s="13" t="s">
        <v>41</v>
      </c>
      <c r="AI1705" s="13" t="s">
        <v>53</v>
      </c>
      <c r="AJ1705" s="13" t="str">
        <f>VLOOKUP(E1705,Precios!Z$2:AA$941,2,FALSE)</f>
        <v>Toalla Papel SPUM D/H 100 metros</v>
      </c>
      <c r="AK1705" s="14">
        <f>VLOOKUP(E1705,Precios!Z$2:BB$941,3,FALSE)*F1705</f>
        <v>-4</v>
      </c>
      <c r="AL1705" s="17"/>
      <c r="AM1705" s="17"/>
      <c r="AN1705" s="17"/>
      <c r="AO1705" s="17"/>
      <c r="AP1705" s="17"/>
      <c r="AQ1705" s="17"/>
      <c r="AR1705" s="17"/>
      <c r="AS1705" s="17"/>
      <c r="AT1705" s="17"/>
      <c r="AU1705" s="17"/>
      <c r="AV1705" s="17"/>
    </row>
    <row r="1706" spans="1:48" ht="15.75" customHeight="1">
      <c r="A1706" s="21" t="s">
        <v>76</v>
      </c>
      <c r="B1706" s="23" t="s">
        <v>1692</v>
      </c>
      <c r="C1706" s="22">
        <v>45800</v>
      </c>
      <c r="D1706" s="23" t="s">
        <v>68</v>
      </c>
      <c r="E1706" s="23" t="s">
        <v>218</v>
      </c>
      <c r="F1706" s="21">
        <v>1</v>
      </c>
      <c r="G1706" s="12">
        <v>1500.0000000000002</v>
      </c>
      <c r="H1706" s="12">
        <v>1500.0000000000002</v>
      </c>
      <c r="I1706" s="23" t="s">
        <v>52</v>
      </c>
      <c r="J1706" s="23" t="s">
        <v>61</v>
      </c>
      <c r="K1706" s="24" t="s">
        <v>86</v>
      </c>
      <c r="L1706" s="24">
        <v>84</v>
      </c>
      <c r="M1706" s="12">
        <v>1260.5042016806726</v>
      </c>
      <c r="N1706" s="12">
        <v>1260.5042016806726</v>
      </c>
      <c r="O1706" s="12">
        <v>239.4957983193276</v>
      </c>
      <c r="P1706" s="13"/>
      <c r="Q1706" s="14">
        <v>2025</v>
      </c>
      <c r="R1706" s="15">
        <v>45413</v>
      </c>
      <c r="S1706" s="11" t="s">
        <v>444</v>
      </c>
      <c r="T1706" s="16">
        <v>500</v>
      </c>
      <c r="U1706" s="17"/>
      <c r="V1706" s="12">
        <v>504.20168067226905</v>
      </c>
      <c r="W1706" s="12">
        <v>504.20168067226905</v>
      </c>
      <c r="X1706" s="12">
        <v>0</v>
      </c>
      <c r="Y1706" s="18">
        <v>45796</v>
      </c>
      <c r="Z1706" s="13" t="s">
        <v>503</v>
      </c>
      <c r="AA1706" s="19" t="s">
        <v>361</v>
      </c>
      <c r="AB1706" s="13" t="s">
        <v>394</v>
      </c>
      <c r="AC1706" s="13" t="s">
        <v>383</v>
      </c>
      <c r="AD1706" s="20"/>
      <c r="AE1706" s="20"/>
      <c r="AF1706" s="13" t="s">
        <v>40</v>
      </c>
      <c r="AG1706" s="15">
        <v>45413</v>
      </c>
      <c r="AH1706" s="13" t="s">
        <v>41</v>
      </c>
      <c r="AI1706" s="13" t="s">
        <v>76</v>
      </c>
      <c r="AJ1706" s="13" t="str">
        <f>VLOOKUP(E1706,Precios!Z$2:AA$941,2,FALSE)</f>
        <v>Limpia Vidrio SPUM 500 ml</v>
      </c>
      <c r="AK1706" s="14">
        <f>VLOOKUP(E1706,Precios!Z$2:BB$941,3,FALSE)*F1706</f>
        <v>-1</v>
      </c>
      <c r="AL1706" s="17"/>
      <c r="AM1706" s="17"/>
      <c r="AN1706" s="17"/>
      <c r="AO1706" s="17"/>
      <c r="AP1706" s="17"/>
      <c r="AQ1706" s="17"/>
      <c r="AR1706" s="17"/>
      <c r="AS1706" s="17"/>
      <c r="AT1706" s="17"/>
      <c r="AU1706" s="17"/>
      <c r="AV1706" s="17"/>
    </row>
    <row r="1707" spans="1:48" ht="15.75" customHeight="1">
      <c r="A1707" s="21" t="s">
        <v>47</v>
      </c>
      <c r="B1707" s="23" t="s">
        <v>1692</v>
      </c>
      <c r="C1707" s="22">
        <v>45800</v>
      </c>
      <c r="D1707" s="23" t="s">
        <v>68</v>
      </c>
      <c r="E1707" s="23" t="s">
        <v>72</v>
      </c>
      <c r="F1707" s="21">
        <v>2</v>
      </c>
      <c r="G1707" s="12">
        <v>2750</v>
      </c>
      <c r="H1707" s="12">
        <v>5500</v>
      </c>
      <c r="I1707" s="23" t="s">
        <v>52</v>
      </c>
      <c r="J1707" s="23" t="s">
        <v>61</v>
      </c>
      <c r="K1707" s="24" t="s">
        <v>86</v>
      </c>
      <c r="L1707" s="24">
        <v>84</v>
      </c>
      <c r="M1707" s="12">
        <v>2310.9243697478992</v>
      </c>
      <c r="N1707" s="12">
        <v>4621.8487394957983</v>
      </c>
      <c r="O1707" s="12">
        <v>878.15126050420167</v>
      </c>
      <c r="P1707" s="13"/>
      <c r="Q1707" s="14">
        <v>2025</v>
      </c>
      <c r="R1707" s="15">
        <v>45413</v>
      </c>
      <c r="S1707" s="11" t="s">
        <v>372</v>
      </c>
      <c r="T1707" s="16">
        <v>0</v>
      </c>
      <c r="U1707" s="17"/>
      <c r="V1707" s="12">
        <v>1327.7310924369744</v>
      </c>
      <c r="W1707" s="12">
        <v>1327.7310924369744</v>
      </c>
      <c r="X1707" s="12">
        <v>0</v>
      </c>
      <c r="Y1707" s="18">
        <v>45796</v>
      </c>
      <c r="Z1707" s="13" t="s">
        <v>503</v>
      </c>
      <c r="AA1707" s="19" t="s">
        <v>361</v>
      </c>
      <c r="AB1707" s="13" t="s">
        <v>394</v>
      </c>
      <c r="AC1707" s="13" t="s">
        <v>383</v>
      </c>
      <c r="AD1707" s="20"/>
      <c r="AE1707" s="20"/>
      <c r="AF1707" s="13" t="s">
        <v>40</v>
      </c>
      <c r="AG1707" s="15">
        <v>45413</v>
      </c>
      <c r="AH1707" s="13" t="s">
        <v>41</v>
      </c>
      <c r="AI1707" s="13" t="s">
        <v>47</v>
      </c>
      <c r="AJ1707" s="13" t="str">
        <f>VLOOKUP(E1707,Precios!Z$2:AA$941,2,FALSE)</f>
        <v>Traperos Humedos VIRGINIA</v>
      </c>
      <c r="AK1707" s="14">
        <f>VLOOKUP(E1707,Precios!Z$2:BB$941,3,FALSE)*F1707</f>
        <v>-2</v>
      </c>
      <c r="AL1707" s="17"/>
      <c r="AM1707" s="17"/>
      <c r="AN1707" s="17"/>
      <c r="AO1707" s="17"/>
      <c r="AP1707" s="17"/>
      <c r="AQ1707" s="17"/>
      <c r="AR1707" s="17"/>
      <c r="AS1707" s="17"/>
      <c r="AT1707" s="17"/>
      <c r="AU1707" s="17"/>
      <c r="AV1707" s="17"/>
    </row>
    <row r="1708" spans="1:48" ht="15.75" customHeight="1">
      <c r="A1708" s="21" t="s">
        <v>76</v>
      </c>
      <c r="B1708" s="23" t="s">
        <v>1692</v>
      </c>
      <c r="C1708" s="22">
        <v>45800</v>
      </c>
      <c r="D1708" s="23" t="s">
        <v>68</v>
      </c>
      <c r="E1708" s="23" t="s">
        <v>81</v>
      </c>
      <c r="F1708" s="21">
        <v>1</v>
      </c>
      <c r="G1708" s="12">
        <v>3500.0000000000005</v>
      </c>
      <c r="H1708" s="12">
        <v>3500.0000000000005</v>
      </c>
      <c r="I1708" s="23" t="s">
        <v>52</v>
      </c>
      <c r="J1708" s="23" t="s">
        <v>61</v>
      </c>
      <c r="K1708" s="24" t="s">
        <v>86</v>
      </c>
      <c r="L1708" s="24">
        <v>84</v>
      </c>
      <c r="M1708" s="12">
        <v>2941.1764705882356</v>
      </c>
      <c r="N1708" s="12">
        <v>2941.1764705882356</v>
      </c>
      <c r="O1708" s="12">
        <v>558.82352941176487</v>
      </c>
      <c r="P1708" s="13"/>
      <c r="Q1708" s="14">
        <v>2025</v>
      </c>
      <c r="R1708" s="15">
        <v>45413</v>
      </c>
      <c r="S1708" s="11" t="s">
        <v>397</v>
      </c>
      <c r="T1708" s="16">
        <v>5</v>
      </c>
      <c r="U1708" s="17"/>
      <c r="V1708" s="12">
        <v>764.70588235294144</v>
      </c>
      <c r="W1708" s="12">
        <v>764.70588235294144</v>
      </c>
      <c r="X1708" s="12">
        <v>0</v>
      </c>
      <c r="Y1708" s="18">
        <v>45796</v>
      </c>
      <c r="Z1708" s="13" t="s">
        <v>503</v>
      </c>
      <c r="AA1708" s="19" t="s">
        <v>361</v>
      </c>
      <c r="AB1708" s="13" t="s">
        <v>394</v>
      </c>
      <c r="AC1708" s="13" t="s">
        <v>383</v>
      </c>
      <c r="AD1708" s="20"/>
      <c r="AE1708" s="20"/>
      <c r="AF1708" s="13" t="s">
        <v>40</v>
      </c>
      <c r="AG1708" s="15">
        <v>45413</v>
      </c>
      <c r="AH1708" s="13" t="s">
        <v>41</v>
      </c>
      <c r="AI1708" s="13" t="s">
        <v>76</v>
      </c>
      <c r="AJ1708" s="13" t="str">
        <f>VLOOKUP(E1708,Precios!Z$2:AA$941,2,FALSE)</f>
        <v>Detergente SPUM 5 Litros (Verde)</v>
      </c>
      <c r="AK1708" s="14">
        <f>VLOOKUP(E1708,Precios!Z$2:BB$941,3,FALSE)*F1708</f>
        <v>-1</v>
      </c>
      <c r="AL1708" s="17"/>
      <c r="AM1708" s="17"/>
      <c r="AN1708" s="17"/>
      <c r="AO1708" s="17"/>
      <c r="AP1708" s="17"/>
      <c r="AQ1708" s="17"/>
      <c r="AR1708" s="17"/>
      <c r="AS1708" s="17"/>
      <c r="AT1708" s="17"/>
      <c r="AU1708" s="17"/>
      <c r="AV1708" s="17"/>
    </row>
    <row r="1709" spans="1:48" ht="15.75" customHeight="1">
      <c r="A1709" s="21" t="s">
        <v>76</v>
      </c>
      <c r="B1709" s="23" t="s">
        <v>1692</v>
      </c>
      <c r="C1709" s="22">
        <v>45800</v>
      </c>
      <c r="D1709" s="23" t="s">
        <v>68</v>
      </c>
      <c r="E1709" s="23" t="s">
        <v>194</v>
      </c>
      <c r="F1709" s="21">
        <v>1</v>
      </c>
      <c r="G1709" s="12">
        <v>2400</v>
      </c>
      <c r="H1709" s="12">
        <v>2400</v>
      </c>
      <c r="I1709" s="23" t="s">
        <v>52</v>
      </c>
      <c r="J1709" s="23" t="s">
        <v>61</v>
      </c>
      <c r="K1709" s="24" t="s">
        <v>86</v>
      </c>
      <c r="L1709" s="24">
        <v>84</v>
      </c>
      <c r="M1709" s="12">
        <v>2016.8067226890757</v>
      </c>
      <c r="N1709" s="12">
        <v>2016.8067226890757</v>
      </c>
      <c r="O1709" s="12">
        <v>383.19327731092426</v>
      </c>
      <c r="P1709" s="13"/>
      <c r="Q1709" s="14">
        <v>2025</v>
      </c>
      <c r="R1709" s="15">
        <v>45413</v>
      </c>
      <c r="S1709" s="11" t="s">
        <v>442</v>
      </c>
      <c r="T1709" s="16">
        <v>0</v>
      </c>
      <c r="U1709" s="17"/>
      <c r="V1709" s="12">
        <v>959.6638655462184</v>
      </c>
      <c r="W1709" s="12">
        <v>959.6638655462184</v>
      </c>
      <c r="X1709" s="12">
        <v>0</v>
      </c>
      <c r="Y1709" s="18">
        <v>45796</v>
      </c>
      <c r="Z1709" s="13" t="s">
        <v>503</v>
      </c>
      <c r="AA1709" s="19" t="s">
        <v>361</v>
      </c>
      <c r="AB1709" s="13" t="s">
        <v>394</v>
      </c>
      <c r="AC1709" s="13" t="s">
        <v>383</v>
      </c>
      <c r="AD1709" s="20"/>
      <c r="AE1709" s="20"/>
      <c r="AF1709" s="13" t="s">
        <v>40</v>
      </c>
      <c r="AG1709" s="15">
        <v>45413</v>
      </c>
      <c r="AH1709" s="13" t="s">
        <v>41</v>
      </c>
      <c r="AI1709" s="13" t="s">
        <v>76</v>
      </c>
      <c r="AJ1709" s="13" t="str">
        <f>VLOOKUP(E1709,Precios!Z$2:AA$941,2,FALSE)</f>
        <v>CIF 750 cc</v>
      </c>
      <c r="AK1709" s="14">
        <f>VLOOKUP(E1709,Precios!Z$2:BB$941,3,FALSE)*F1709</f>
        <v>-1</v>
      </c>
      <c r="AL1709" s="17"/>
      <c r="AM1709" s="17"/>
      <c r="AN1709" s="17"/>
      <c r="AO1709" s="17"/>
      <c r="AP1709" s="17"/>
      <c r="AQ1709" s="17"/>
      <c r="AR1709" s="17"/>
      <c r="AS1709" s="17"/>
      <c r="AT1709" s="17"/>
      <c r="AU1709" s="17"/>
      <c r="AV1709" s="17"/>
    </row>
    <row r="1710" spans="1:48" ht="15.75" customHeight="1">
      <c r="A1710" s="21" t="s">
        <v>76</v>
      </c>
      <c r="B1710" s="23" t="s">
        <v>1692</v>
      </c>
      <c r="C1710" s="22">
        <v>45800</v>
      </c>
      <c r="D1710" s="23" t="s">
        <v>68</v>
      </c>
      <c r="E1710" s="23" t="s">
        <v>77</v>
      </c>
      <c r="F1710" s="21">
        <v>1</v>
      </c>
      <c r="G1710" s="12">
        <v>1500.0000000000002</v>
      </c>
      <c r="H1710" s="12">
        <v>1500.0000000000002</v>
      </c>
      <c r="I1710" s="23" t="s">
        <v>52</v>
      </c>
      <c r="J1710" s="23" t="s">
        <v>61</v>
      </c>
      <c r="K1710" s="24" t="s">
        <v>86</v>
      </c>
      <c r="L1710" s="24">
        <v>84</v>
      </c>
      <c r="M1710" s="12">
        <v>1260.5042016806726</v>
      </c>
      <c r="N1710" s="12">
        <v>1260.5042016806726</v>
      </c>
      <c r="O1710" s="12">
        <v>239.4957983193276</v>
      </c>
      <c r="P1710" s="13"/>
      <c r="Q1710" s="14">
        <v>2025</v>
      </c>
      <c r="R1710" s="15">
        <v>45413</v>
      </c>
      <c r="S1710" s="11" t="s">
        <v>448</v>
      </c>
      <c r="T1710" s="16">
        <v>0</v>
      </c>
      <c r="U1710" s="17"/>
      <c r="V1710" s="12">
        <v>421.00840336134468</v>
      </c>
      <c r="W1710" s="12">
        <v>421.00840336134468</v>
      </c>
      <c r="X1710" s="12">
        <v>0</v>
      </c>
      <c r="Y1710" s="18">
        <v>45796</v>
      </c>
      <c r="Z1710" s="13" t="s">
        <v>503</v>
      </c>
      <c r="AA1710" s="19" t="s">
        <v>361</v>
      </c>
      <c r="AB1710" s="13" t="s">
        <v>394</v>
      </c>
      <c r="AC1710" s="13" t="s">
        <v>383</v>
      </c>
      <c r="AD1710" s="20"/>
      <c r="AE1710" s="20"/>
      <c r="AF1710" s="13" t="s">
        <v>40</v>
      </c>
      <c r="AG1710" s="15">
        <v>45413</v>
      </c>
      <c r="AH1710" s="13" t="s">
        <v>41</v>
      </c>
      <c r="AI1710" s="13" t="s">
        <v>76</v>
      </c>
      <c r="AJ1710" s="13" t="str">
        <f>VLOOKUP(E1710,Precios!Z$2:AA$941,2,FALSE)</f>
        <v>Cloro GEL IGENIX 900ml</v>
      </c>
      <c r="AK1710" s="14">
        <f>VLOOKUP(E1710,Precios!Z$2:BB$941,3,FALSE)*F1710</f>
        <v>-1</v>
      </c>
      <c r="AL1710" s="17"/>
      <c r="AM1710" s="17"/>
      <c r="AN1710" s="17"/>
      <c r="AO1710" s="17"/>
      <c r="AP1710" s="17"/>
      <c r="AQ1710" s="17"/>
      <c r="AR1710" s="17"/>
      <c r="AS1710" s="17"/>
      <c r="AT1710" s="17"/>
      <c r="AU1710" s="17"/>
      <c r="AV1710" s="17"/>
    </row>
    <row r="1711" spans="1:48" ht="15.75" customHeight="1">
      <c r="A1711" s="21" t="s">
        <v>35</v>
      </c>
      <c r="B1711" s="23" t="s">
        <v>1692</v>
      </c>
      <c r="C1711" s="22">
        <v>45800</v>
      </c>
      <c r="D1711" s="23" t="s">
        <v>151</v>
      </c>
      <c r="E1711" s="23" t="s">
        <v>37</v>
      </c>
      <c r="F1711" s="21">
        <v>1</v>
      </c>
      <c r="G1711" s="12">
        <v>11000.014358944907</v>
      </c>
      <c r="H1711" s="12">
        <v>11000.014358944907</v>
      </c>
      <c r="I1711" s="23" t="s">
        <v>52</v>
      </c>
      <c r="J1711" s="23" t="s">
        <v>61</v>
      </c>
      <c r="K1711" s="24" t="s">
        <v>177</v>
      </c>
      <c r="L1711" s="24">
        <v>142</v>
      </c>
      <c r="M1711" s="12">
        <v>9243.7095453318543</v>
      </c>
      <c r="N1711" s="12">
        <v>9243.7095453318543</v>
      </c>
      <c r="O1711" s="12">
        <v>1756.3048136130528</v>
      </c>
      <c r="P1711" s="13"/>
      <c r="Q1711" s="14">
        <v>2025</v>
      </c>
      <c r="R1711" s="15">
        <v>45413</v>
      </c>
      <c r="S1711" s="11" t="s">
        <v>364</v>
      </c>
      <c r="T1711" s="16">
        <v>1000</v>
      </c>
      <c r="U1711" s="17"/>
      <c r="V1711" s="12">
        <v>2806.1129066763915</v>
      </c>
      <c r="W1711" s="12">
        <v>2806.1129066763915</v>
      </c>
      <c r="X1711" s="12">
        <v>0</v>
      </c>
      <c r="Y1711" s="18">
        <v>45796</v>
      </c>
      <c r="Z1711" s="13" t="s">
        <v>503</v>
      </c>
      <c r="AA1711" s="19" t="s">
        <v>373</v>
      </c>
      <c r="AB1711" s="13" t="s">
        <v>357</v>
      </c>
      <c r="AC1711" s="13" t="s">
        <v>462</v>
      </c>
      <c r="AD1711" s="20"/>
      <c r="AE1711" s="20"/>
      <c r="AF1711" s="13" t="s">
        <v>40</v>
      </c>
      <c r="AG1711" s="15">
        <v>45413</v>
      </c>
      <c r="AH1711" s="13" t="s">
        <v>41</v>
      </c>
      <c r="AI1711" s="13" t="s">
        <v>35</v>
      </c>
      <c r="AJ1711" s="13" t="str">
        <f>VLOOKUP(E1711,Precios!Z$2:AA$941,2,FALSE)</f>
        <v>Queso RUNCA Mantecoso</v>
      </c>
      <c r="AK1711" s="14">
        <f>VLOOKUP(E1711,Precios!Z$2:BB$941,3,FALSE)*F1711</f>
        <v>-1</v>
      </c>
      <c r="AL1711" s="17"/>
      <c r="AM1711" s="17"/>
      <c r="AN1711" s="17"/>
      <c r="AO1711" s="17"/>
      <c r="AP1711" s="17"/>
      <c r="AQ1711" s="17"/>
      <c r="AR1711" s="17"/>
      <c r="AS1711" s="17"/>
      <c r="AT1711" s="17"/>
      <c r="AU1711" s="17"/>
      <c r="AV1711" s="17"/>
    </row>
    <row r="1712" spans="1:48" ht="15.75" customHeight="1">
      <c r="A1712" s="21" t="s">
        <v>43</v>
      </c>
      <c r="B1712" s="23" t="s">
        <v>1692</v>
      </c>
      <c r="C1712" s="22">
        <v>45800</v>
      </c>
      <c r="D1712" s="23" t="s">
        <v>268</v>
      </c>
      <c r="E1712" s="23" t="s">
        <v>45</v>
      </c>
      <c r="F1712" s="21">
        <v>1</v>
      </c>
      <c r="G1712" s="12">
        <v>7999.7710567538261</v>
      </c>
      <c r="H1712" s="12">
        <v>7999.7710567538261</v>
      </c>
      <c r="I1712" s="23" t="s">
        <v>52</v>
      </c>
      <c r="J1712" s="23" t="s">
        <v>61</v>
      </c>
      <c r="K1712" s="24" t="s">
        <v>177</v>
      </c>
      <c r="L1712" s="24">
        <v>142</v>
      </c>
      <c r="M1712" s="12">
        <v>6722.496686347753</v>
      </c>
      <c r="N1712" s="12">
        <v>6722.496686347753</v>
      </c>
      <c r="O1712" s="12">
        <v>1277.2743704060731</v>
      </c>
      <c r="P1712" s="13"/>
      <c r="Q1712" s="14">
        <v>2025</v>
      </c>
      <c r="R1712" s="15">
        <v>45413</v>
      </c>
      <c r="S1712" s="11" t="s">
        <v>355</v>
      </c>
      <c r="T1712" s="16">
        <v>0</v>
      </c>
      <c r="U1712" s="17"/>
      <c r="V1712" s="12">
        <v>1143.496686347753</v>
      </c>
      <c r="W1712" s="12">
        <v>1143.496686347753</v>
      </c>
      <c r="X1712" s="12">
        <v>0</v>
      </c>
      <c r="Y1712" s="18">
        <v>45796</v>
      </c>
      <c r="Z1712" s="13" t="s">
        <v>503</v>
      </c>
      <c r="AA1712" s="19" t="s">
        <v>373</v>
      </c>
      <c r="AB1712" s="13" t="s">
        <v>357</v>
      </c>
      <c r="AC1712" s="13" t="s">
        <v>527</v>
      </c>
      <c r="AD1712" s="20"/>
      <c r="AE1712" s="20"/>
      <c r="AF1712" s="13" t="s">
        <v>40</v>
      </c>
      <c r="AG1712" s="15">
        <v>45413</v>
      </c>
      <c r="AH1712" s="13" t="s">
        <v>41</v>
      </c>
      <c r="AI1712" s="13" t="s">
        <v>43</v>
      </c>
      <c r="AJ1712" s="13" t="str">
        <f>VLOOKUP(E1712,Precios!Z$2:AA$941,2,FALSE)</f>
        <v>Bandeja Huevos EXTRA</v>
      </c>
      <c r="AK1712" s="14">
        <f>VLOOKUP(E1712,Precios!Z$2:BB$941,3,FALSE)*F1712</f>
        <v>-1</v>
      </c>
      <c r="AL1712" s="17"/>
      <c r="AM1712" s="17"/>
      <c r="AN1712" s="17"/>
      <c r="AO1712" s="17"/>
      <c r="AP1712" s="17"/>
      <c r="AQ1712" s="17"/>
      <c r="AR1712" s="17"/>
      <c r="AS1712" s="17"/>
      <c r="AT1712" s="17"/>
      <c r="AU1712" s="17"/>
      <c r="AV1712" s="17"/>
    </row>
    <row r="1713" spans="1:48" ht="15.75" customHeight="1">
      <c r="A1713" s="21" t="s">
        <v>43</v>
      </c>
      <c r="B1713" s="23" t="s">
        <v>1692</v>
      </c>
      <c r="C1713" s="22">
        <v>45800</v>
      </c>
      <c r="D1713" s="23" t="s">
        <v>258</v>
      </c>
      <c r="E1713" s="23" t="s">
        <v>45</v>
      </c>
      <c r="F1713" s="21">
        <v>2</v>
      </c>
      <c r="G1713" s="12">
        <v>7999.7710567538261</v>
      </c>
      <c r="H1713" s="12">
        <v>15999.542113507652</v>
      </c>
      <c r="I1713" s="23" t="s">
        <v>52</v>
      </c>
      <c r="J1713" s="23" t="s">
        <v>61</v>
      </c>
      <c r="K1713" s="24" t="s">
        <v>177</v>
      </c>
      <c r="L1713" s="24">
        <v>142</v>
      </c>
      <c r="M1713" s="12">
        <v>6722.496686347753</v>
      </c>
      <c r="N1713" s="12">
        <v>13444.993372695506</v>
      </c>
      <c r="O1713" s="12">
        <v>2554.5487408121462</v>
      </c>
      <c r="P1713" s="13"/>
      <c r="Q1713" s="14">
        <v>2025</v>
      </c>
      <c r="R1713" s="15">
        <v>45413</v>
      </c>
      <c r="S1713" s="11" t="s">
        <v>355</v>
      </c>
      <c r="T1713" s="16">
        <v>0</v>
      </c>
      <c r="U1713" s="17"/>
      <c r="V1713" s="12">
        <v>2286.993372695506</v>
      </c>
      <c r="W1713" s="12">
        <v>2286.993372695506</v>
      </c>
      <c r="X1713" s="12">
        <v>0</v>
      </c>
      <c r="Y1713" s="18">
        <v>45796</v>
      </c>
      <c r="Z1713" s="13" t="s">
        <v>503</v>
      </c>
      <c r="AA1713" s="19" t="s">
        <v>356</v>
      </c>
      <c r="AB1713" s="13" t="s">
        <v>357</v>
      </c>
      <c r="AC1713" s="13" t="s">
        <v>358</v>
      </c>
      <c r="AD1713" s="20"/>
      <c r="AE1713" s="20"/>
      <c r="AF1713" s="13" t="s">
        <v>40</v>
      </c>
      <c r="AG1713" s="15">
        <v>45413</v>
      </c>
      <c r="AH1713" s="13" t="s">
        <v>41</v>
      </c>
      <c r="AI1713" s="13" t="s">
        <v>43</v>
      </c>
      <c r="AJ1713" s="13" t="str">
        <f>VLOOKUP(E1713,Precios!Z$2:AA$941,2,FALSE)</f>
        <v>Bandeja Huevos EXTRA</v>
      </c>
      <c r="AK1713" s="14">
        <f>VLOOKUP(E1713,Precios!Z$2:BB$941,3,FALSE)*F1713</f>
        <v>-2</v>
      </c>
      <c r="AL1713" s="17"/>
      <c r="AM1713" s="17"/>
      <c r="AN1713" s="17"/>
      <c r="AO1713" s="17"/>
      <c r="AP1713" s="17"/>
      <c r="AQ1713" s="17"/>
      <c r="AR1713" s="17"/>
      <c r="AS1713" s="17"/>
      <c r="AT1713" s="17"/>
      <c r="AU1713" s="17"/>
      <c r="AV1713" s="17"/>
    </row>
    <row r="1714" spans="1:48" ht="15.75" customHeight="1">
      <c r="A1714" s="21" t="s">
        <v>43</v>
      </c>
      <c r="B1714" s="23" t="s">
        <v>1692</v>
      </c>
      <c r="C1714" s="25">
        <v>45799</v>
      </c>
      <c r="D1714" s="23" t="s">
        <v>176</v>
      </c>
      <c r="E1714" s="23" t="s">
        <v>45</v>
      </c>
      <c r="F1714" s="21">
        <v>1</v>
      </c>
      <c r="G1714" s="12">
        <v>7999.7710567538261</v>
      </c>
      <c r="H1714" s="12">
        <v>7999.7710567538261</v>
      </c>
      <c r="I1714" s="23" t="s">
        <v>52</v>
      </c>
      <c r="J1714" s="23" t="s">
        <v>61</v>
      </c>
      <c r="K1714" s="24" t="s">
        <v>177</v>
      </c>
      <c r="L1714" s="24">
        <v>142</v>
      </c>
      <c r="M1714" s="12">
        <v>6722.496686347753</v>
      </c>
      <c r="N1714" s="12">
        <v>6722.496686347753</v>
      </c>
      <c r="O1714" s="12">
        <v>1277.2743704060731</v>
      </c>
      <c r="P1714" s="13"/>
      <c r="Q1714" s="14">
        <v>2025</v>
      </c>
      <c r="R1714" s="15">
        <v>45413</v>
      </c>
      <c r="S1714" s="11" t="s">
        <v>355</v>
      </c>
      <c r="T1714" s="16">
        <v>0</v>
      </c>
      <c r="U1714" s="17"/>
      <c r="V1714" s="12">
        <v>1143.496686347753</v>
      </c>
      <c r="W1714" s="12">
        <v>1143.496686347753</v>
      </c>
      <c r="X1714" s="12">
        <v>0</v>
      </c>
      <c r="Y1714" s="18">
        <v>45796</v>
      </c>
      <c r="Z1714" s="13" t="s">
        <v>505</v>
      </c>
      <c r="AA1714" s="19" t="s">
        <v>373</v>
      </c>
      <c r="AB1714" s="13" t="s">
        <v>357</v>
      </c>
      <c r="AC1714" s="13" t="s">
        <v>383</v>
      </c>
      <c r="AD1714" s="20"/>
      <c r="AE1714" s="20"/>
      <c r="AF1714" s="13" t="s">
        <v>40</v>
      </c>
      <c r="AG1714" s="15">
        <v>45413</v>
      </c>
      <c r="AH1714" s="13" t="s">
        <v>41</v>
      </c>
      <c r="AI1714" s="13" t="s">
        <v>43</v>
      </c>
      <c r="AJ1714" s="13" t="str">
        <f>VLOOKUP(E1714,Precios!Z$2:AA$941,2,FALSE)</f>
        <v>Bandeja Huevos EXTRA</v>
      </c>
      <c r="AK1714" s="14">
        <f>VLOOKUP(E1714,Precios!Z$2:BB$941,3,FALSE)*F1714</f>
        <v>-1</v>
      </c>
      <c r="AL1714" s="17"/>
      <c r="AM1714" s="17"/>
      <c r="AN1714" s="17"/>
      <c r="AO1714" s="17"/>
      <c r="AP1714" s="17"/>
      <c r="AQ1714" s="17"/>
      <c r="AR1714" s="17"/>
      <c r="AS1714" s="17"/>
      <c r="AT1714" s="17"/>
      <c r="AU1714" s="17"/>
      <c r="AV1714" s="17"/>
    </row>
    <row r="1715" spans="1:48" ht="15.75" customHeight="1">
      <c r="A1715" s="21" t="s">
        <v>35</v>
      </c>
      <c r="B1715" s="23" t="s">
        <v>1692</v>
      </c>
      <c r="C1715" s="25">
        <v>45799</v>
      </c>
      <c r="D1715" s="23" t="s">
        <v>176</v>
      </c>
      <c r="E1715" s="23" t="s">
        <v>37</v>
      </c>
      <c r="F1715" s="21">
        <v>1</v>
      </c>
      <c r="G1715" s="12">
        <v>11000.014358944907</v>
      </c>
      <c r="H1715" s="12">
        <v>11000.014358944907</v>
      </c>
      <c r="I1715" s="23" t="s">
        <v>52</v>
      </c>
      <c r="J1715" s="23" t="s">
        <v>61</v>
      </c>
      <c r="K1715" s="24" t="s">
        <v>177</v>
      </c>
      <c r="L1715" s="24">
        <v>142</v>
      </c>
      <c r="M1715" s="12">
        <v>9243.7095453318543</v>
      </c>
      <c r="N1715" s="12">
        <v>9243.7095453318543</v>
      </c>
      <c r="O1715" s="12">
        <v>1756.3048136130528</v>
      </c>
      <c r="P1715" s="13"/>
      <c r="Q1715" s="14">
        <v>2025</v>
      </c>
      <c r="R1715" s="15">
        <v>45413</v>
      </c>
      <c r="S1715" s="11" t="s">
        <v>364</v>
      </c>
      <c r="T1715" s="16">
        <v>1000</v>
      </c>
      <c r="U1715" s="17"/>
      <c r="V1715" s="12">
        <v>2806.1129066763915</v>
      </c>
      <c r="W1715" s="12">
        <v>2806.1129066763915</v>
      </c>
      <c r="X1715" s="12">
        <v>0</v>
      </c>
      <c r="Y1715" s="18">
        <v>45796</v>
      </c>
      <c r="Z1715" s="13" t="s">
        <v>505</v>
      </c>
      <c r="AA1715" s="19" t="s">
        <v>373</v>
      </c>
      <c r="AB1715" s="13" t="s">
        <v>357</v>
      </c>
      <c r="AC1715" s="13" t="s">
        <v>383</v>
      </c>
      <c r="AD1715" s="20"/>
      <c r="AE1715" s="20"/>
      <c r="AF1715" s="13" t="s">
        <v>40</v>
      </c>
      <c r="AG1715" s="15">
        <v>45413</v>
      </c>
      <c r="AH1715" s="13" t="s">
        <v>41</v>
      </c>
      <c r="AI1715" s="13" t="s">
        <v>35</v>
      </c>
      <c r="AJ1715" s="13" t="str">
        <f>VLOOKUP(E1715,Precios!Z$2:AA$941,2,FALSE)</f>
        <v>Queso RUNCA Mantecoso</v>
      </c>
      <c r="AK1715" s="14">
        <f>VLOOKUP(E1715,Precios!Z$2:BB$941,3,FALSE)*F1715</f>
        <v>-1</v>
      </c>
      <c r="AL1715" s="17"/>
      <c r="AM1715" s="17"/>
      <c r="AN1715" s="17"/>
      <c r="AO1715" s="17"/>
      <c r="AP1715" s="17"/>
      <c r="AQ1715" s="17"/>
      <c r="AR1715" s="17"/>
      <c r="AS1715" s="17"/>
      <c r="AT1715" s="17"/>
      <c r="AU1715" s="17"/>
      <c r="AV1715" s="17"/>
    </row>
    <row r="1716" spans="1:48" ht="15.75" customHeight="1">
      <c r="A1716" s="21" t="s">
        <v>147</v>
      </c>
      <c r="B1716" s="23" t="s">
        <v>1692</v>
      </c>
      <c r="C1716" s="25">
        <v>45799</v>
      </c>
      <c r="D1716" s="23" t="s">
        <v>625</v>
      </c>
      <c r="E1716" s="23" t="s">
        <v>148</v>
      </c>
      <c r="F1716" s="21">
        <v>2</v>
      </c>
      <c r="G1716" s="12">
        <v>1200.0000000000002</v>
      </c>
      <c r="H1716" s="12">
        <v>2400.0000000000005</v>
      </c>
      <c r="I1716" s="23" t="s">
        <v>52</v>
      </c>
      <c r="J1716" s="23" t="s">
        <v>61</v>
      </c>
      <c r="K1716" s="24" t="s">
        <v>177</v>
      </c>
      <c r="L1716" s="24">
        <v>142</v>
      </c>
      <c r="M1716" s="12">
        <v>1008.4033613445381</v>
      </c>
      <c r="N1716" s="12">
        <v>2016.8067226890762</v>
      </c>
      <c r="O1716" s="12">
        <v>383.19327731092426</v>
      </c>
      <c r="P1716" s="13"/>
      <c r="Q1716" s="14">
        <v>2025</v>
      </c>
      <c r="R1716" s="15">
        <v>45413</v>
      </c>
      <c r="S1716" s="11" t="s">
        <v>360</v>
      </c>
      <c r="T1716" s="16">
        <v>0</v>
      </c>
      <c r="U1716" s="17"/>
      <c r="V1716" s="12">
        <v>715.9663865546222</v>
      </c>
      <c r="W1716" s="12">
        <v>715.9663865546222</v>
      </c>
      <c r="X1716" s="12">
        <v>0</v>
      </c>
      <c r="Y1716" s="18">
        <v>45796</v>
      </c>
      <c r="Z1716" s="13" t="s">
        <v>505</v>
      </c>
      <c r="AA1716" s="19" t="s">
        <v>373</v>
      </c>
      <c r="AB1716" s="13" t="s">
        <v>357</v>
      </c>
      <c r="AC1716" s="13" t="s">
        <v>626</v>
      </c>
      <c r="AD1716" s="20"/>
      <c r="AE1716" s="20"/>
      <c r="AF1716" s="13" t="s">
        <v>40</v>
      </c>
      <c r="AG1716" s="15">
        <v>45413</v>
      </c>
      <c r="AH1716" s="13" t="s">
        <v>41</v>
      </c>
      <c r="AI1716" s="13" t="s">
        <v>147</v>
      </c>
      <c r="AJ1716" s="13" t="str">
        <f>VLOOKUP(E1716,Precios!Z$2:AA$941,2,FALSE)</f>
        <v>Papel Aluminio 7.5 metros</v>
      </c>
      <c r="AK1716" s="14">
        <f>VLOOKUP(E1716,Precios!Z$2:BB$941,3,FALSE)*F1716</f>
        <v>-2</v>
      </c>
      <c r="AL1716" s="17"/>
      <c r="AM1716" s="17"/>
      <c r="AN1716" s="17"/>
      <c r="AO1716" s="17"/>
      <c r="AP1716" s="17"/>
      <c r="AQ1716" s="17"/>
      <c r="AR1716" s="17"/>
      <c r="AS1716" s="17"/>
      <c r="AT1716" s="17"/>
      <c r="AU1716" s="17"/>
      <c r="AV1716" s="17"/>
    </row>
    <row r="1717" spans="1:48" ht="15.75" customHeight="1">
      <c r="A1717" s="21" t="s">
        <v>147</v>
      </c>
      <c r="B1717" s="23" t="s">
        <v>1692</v>
      </c>
      <c r="C1717" s="25">
        <v>45799</v>
      </c>
      <c r="D1717" s="23" t="s">
        <v>625</v>
      </c>
      <c r="E1717" s="23" t="s">
        <v>149</v>
      </c>
      <c r="F1717" s="21">
        <v>1</v>
      </c>
      <c r="G1717" s="12">
        <v>1700</v>
      </c>
      <c r="H1717" s="12">
        <v>1700</v>
      </c>
      <c r="I1717" s="23" t="s">
        <v>52</v>
      </c>
      <c r="J1717" s="23" t="s">
        <v>61</v>
      </c>
      <c r="K1717" s="24" t="s">
        <v>177</v>
      </c>
      <c r="L1717" s="24">
        <v>142</v>
      </c>
      <c r="M1717" s="12">
        <v>1428.5714285714287</v>
      </c>
      <c r="N1717" s="12">
        <v>1428.5714285714287</v>
      </c>
      <c r="O1717" s="12">
        <v>271.42857142857133</v>
      </c>
      <c r="P1717" s="13"/>
      <c r="Q1717" s="14">
        <v>2025</v>
      </c>
      <c r="R1717" s="15">
        <v>45413</v>
      </c>
      <c r="S1717" s="11" t="s">
        <v>412</v>
      </c>
      <c r="T1717" s="16">
        <v>0</v>
      </c>
      <c r="U1717" s="17"/>
      <c r="V1717" s="12">
        <v>774.78991596638662</v>
      </c>
      <c r="W1717" s="12">
        <v>774.78991596638662</v>
      </c>
      <c r="X1717" s="12">
        <v>0</v>
      </c>
      <c r="Y1717" s="18">
        <v>45796</v>
      </c>
      <c r="Z1717" s="13" t="s">
        <v>505</v>
      </c>
      <c r="AA1717" s="19" t="s">
        <v>373</v>
      </c>
      <c r="AB1717" s="13" t="s">
        <v>357</v>
      </c>
      <c r="AC1717" s="13" t="s">
        <v>626</v>
      </c>
      <c r="AD1717" s="20"/>
      <c r="AE1717" s="20"/>
      <c r="AF1717" s="13" t="s">
        <v>40</v>
      </c>
      <c r="AG1717" s="15">
        <v>45413</v>
      </c>
      <c r="AH1717" s="13" t="s">
        <v>41</v>
      </c>
      <c r="AI1717" s="13" t="s">
        <v>147</v>
      </c>
      <c r="AJ1717" s="13" t="str">
        <f>VLOOKUP(E1717,Precios!Z$2:AA$941,2,FALSE)</f>
        <v>Film Plástico 30 metros</v>
      </c>
      <c r="AK1717" s="14">
        <f>VLOOKUP(E1717,Precios!Z$2:BB$941,3,FALSE)*F1717</f>
        <v>-1</v>
      </c>
      <c r="AL1717" s="17"/>
      <c r="AM1717" s="17"/>
      <c r="AN1717" s="17"/>
      <c r="AO1717" s="17"/>
      <c r="AP1717" s="17"/>
      <c r="AQ1717" s="17"/>
      <c r="AR1717" s="17"/>
      <c r="AS1717" s="17"/>
      <c r="AT1717" s="17"/>
      <c r="AU1717" s="17"/>
      <c r="AV1717" s="17"/>
    </row>
    <row r="1718" spans="1:48" ht="15.75" customHeight="1">
      <c r="A1718" s="21" t="s">
        <v>147</v>
      </c>
      <c r="B1718" s="23" t="s">
        <v>1692</v>
      </c>
      <c r="C1718" s="25">
        <v>45799</v>
      </c>
      <c r="D1718" s="23" t="s">
        <v>915</v>
      </c>
      <c r="E1718" s="23" t="s">
        <v>249</v>
      </c>
      <c r="F1718" s="21">
        <v>1</v>
      </c>
      <c r="G1718" s="12">
        <v>8500.0000000000018</v>
      </c>
      <c r="H1718" s="12">
        <v>8500.0000000000018</v>
      </c>
      <c r="I1718" s="23" t="s">
        <v>52</v>
      </c>
      <c r="J1718" s="23" t="s">
        <v>61</v>
      </c>
      <c r="K1718" s="24" t="s">
        <v>177</v>
      </c>
      <c r="L1718" s="24">
        <v>142</v>
      </c>
      <c r="M1718" s="12">
        <v>7142.8571428571449</v>
      </c>
      <c r="N1718" s="12">
        <v>7142.8571428571449</v>
      </c>
      <c r="O1718" s="12">
        <v>1357.1428571428569</v>
      </c>
      <c r="P1718" s="13"/>
      <c r="Q1718" s="14">
        <v>2025</v>
      </c>
      <c r="R1718" s="15">
        <v>45413</v>
      </c>
      <c r="S1718" s="11" t="s">
        <v>360</v>
      </c>
      <c r="T1718" s="16">
        <v>0</v>
      </c>
      <c r="U1718" s="17"/>
      <c r="V1718" s="12">
        <v>2212.857142857144</v>
      </c>
      <c r="W1718" s="12">
        <v>2212.857142857144</v>
      </c>
      <c r="X1718" s="12">
        <v>0</v>
      </c>
      <c r="Y1718" s="18">
        <v>45796</v>
      </c>
      <c r="Z1718" s="13" t="s">
        <v>505</v>
      </c>
      <c r="AA1718" s="19" t="s">
        <v>367</v>
      </c>
      <c r="AB1718" s="13" t="s">
        <v>357</v>
      </c>
      <c r="AC1718" s="13" t="s">
        <v>367</v>
      </c>
      <c r="AD1718" s="20"/>
      <c r="AE1718" s="20"/>
      <c r="AF1718" s="13" t="s">
        <v>40</v>
      </c>
      <c r="AG1718" s="15">
        <v>45413</v>
      </c>
      <c r="AH1718" s="13" t="s">
        <v>41</v>
      </c>
      <c r="AI1718" s="13" t="s">
        <v>147</v>
      </c>
      <c r="AJ1718" s="13" t="str">
        <f>VLOOKUP(E1718,Precios!Z$2:AA$941,2,FALSE)</f>
        <v>Papel Aluminio 100 metros</v>
      </c>
      <c r="AK1718" s="14">
        <f>VLOOKUP(E1718,Precios!Z$2:BB$941,3,FALSE)*F1718</f>
        <v>-1</v>
      </c>
      <c r="AL1718" s="17"/>
      <c r="AM1718" s="17"/>
      <c r="AN1718" s="17"/>
      <c r="AO1718" s="17"/>
      <c r="AP1718" s="17"/>
      <c r="AQ1718" s="17"/>
      <c r="AR1718" s="17"/>
      <c r="AS1718" s="17"/>
      <c r="AT1718" s="17"/>
      <c r="AU1718" s="17"/>
      <c r="AV1718" s="17"/>
    </row>
    <row r="1719" spans="1:48" ht="15.75" customHeight="1">
      <c r="A1719" s="21" t="s">
        <v>76</v>
      </c>
      <c r="B1719" s="23" t="s">
        <v>1692</v>
      </c>
      <c r="C1719" s="25">
        <v>45799</v>
      </c>
      <c r="D1719" s="23" t="s">
        <v>915</v>
      </c>
      <c r="E1719" s="23" t="s">
        <v>325</v>
      </c>
      <c r="F1719" s="21">
        <v>1</v>
      </c>
      <c r="G1719" s="12">
        <v>7000.3784806704516</v>
      </c>
      <c r="H1719" s="12">
        <v>7000.3784806704516</v>
      </c>
      <c r="I1719" s="23" t="s">
        <v>52</v>
      </c>
      <c r="J1719" s="23" t="s">
        <v>61</v>
      </c>
      <c r="K1719" s="24" t="s">
        <v>177</v>
      </c>
      <c r="L1719" s="24">
        <v>142</v>
      </c>
      <c r="M1719" s="12">
        <v>5882.6709921600441</v>
      </c>
      <c r="N1719" s="12">
        <v>5882.6709921600441</v>
      </c>
      <c r="O1719" s="12">
        <v>1117.7074885104075</v>
      </c>
      <c r="P1719" s="13"/>
      <c r="Q1719" s="14">
        <v>2025</v>
      </c>
      <c r="R1719" s="15">
        <v>45413</v>
      </c>
      <c r="S1719" s="11" t="s">
        <v>479</v>
      </c>
      <c r="T1719" s="16">
        <v>0</v>
      </c>
      <c r="U1719" s="17"/>
      <c r="V1719" s="12">
        <v>1530.6709921600432</v>
      </c>
      <c r="W1719" s="12">
        <v>1530.6709921600432</v>
      </c>
      <c r="X1719" s="12">
        <v>0</v>
      </c>
      <c r="Y1719" s="18">
        <v>45796</v>
      </c>
      <c r="Z1719" s="13" t="s">
        <v>505</v>
      </c>
      <c r="AA1719" s="19" t="s">
        <v>367</v>
      </c>
      <c r="AB1719" s="13" t="s">
        <v>357</v>
      </c>
      <c r="AC1719" s="13" t="s">
        <v>367</v>
      </c>
      <c r="AD1719" s="20"/>
      <c r="AE1719" s="20"/>
      <c r="AF1719" s="13" t="s">
        <v>40</v>
      </c>
      <c r="AG1719" s="15">
        <v>45413</v>
      </c>
      <c r="AH1719" s="13" t="s">
        <v>41</v>
      </c>
      <c r="AI1719" s="13" t="s">
        <v>76</v>
      </c>
      <c r="AJ1719" s="13" t="str">
        <f>VLOOKUP(E1719,Precios!Z$2:AA$941,2,FALSE)</f>
        <v>Lavaloza MAGISTRAL 500 ml</v>
      </c>
      <c r="AK1719" s="14">
        <f>VLOOKUP(E1719,Precios!Z$2:BB$941,3,FALSE)*F1719</f>
        <v>-2</v>
      </c>
      <c r="AL1719" s="17"/>
      <c r="AM1719" s="17"/>
      <c r="AN1719" s="17"/>
      <c r="AO1719" s="17"/>
      <c r="AP1719" s="17"/>
      <c r="AQ1719" s="17"/>
      <c r="AR1719" s="17"/>
      <c r="AS1719" s="17"/>
      <c r="AT1719" s="17"/>
      <c r="AU1719" s="17"/>
      <c r="AV1719" s="17"/>
    </row>
    <row r="1720" spans="1:48" ht="15.75" customHeight="1">
      <c r="A1720" s="21" t="s">
        <v>43</v>
      </c>
      <c r="B1720" s="23" t="s">
        <v>1692</v>
      </c>
      <c r="C1720" s="25">
        <v>45799</v>
      </c>
      <c r="D1720" s="23" t="s">
        <v>66</v>
      </c>
      <c r="E1720" s="23" t="s">
        <v>45</v>
      </c>
      <c r="F1720" s="21">
        <v>1</v>
      </c>
      <c r="G1720" s="12">
        <v>7999.7710567538261</v>
      </c>
      <c r="H1720" s="12">
        <v>7999.7710567538261</v>
      </c>
      <c r="I1720" s="23" t="s">
        <v>52</v>
      </c>
      <c r="J1720" s="23" t="s">
        <v>61</v>
      </c>
      <c r="K1720" s="24" t="s">
        <v>177</v>
      </c>
      <c r="L1720" s="24">
        <v>142</v>
      </c>
      <c r="M1720" s="12">
        <v>6722.496686347753</v>
      </c>
      <c r="N1720" s="12">
        <v>6722.496686347753</v>
      </c>
      <c r="O1720" s="12">
        <v>1277.2743704060731</v>
      </c>
      <c r="P1720" s="13"/>
      <c r="Q1720" s="14">
        <v>2025</v>
      </c>
      <c r="R1720" s="15">
        <v>45413</v>
      </c>
      <c r="S1720" s="11" t="s">
        <v>355</v>
      </c>
      <c r="T1720" s="16">
        <v>0</v>
      </c>
      <c r="U1720" s="17"/>
      <c r="V1720" s="12">
        <v>1143.496686347753</v>
      </c>
      <c r="W1720" s="12">
        <v>1143.496686347753</v>
      </c>
      <c r="X1720" s="12">
        <v>0</v>
      </c>
      <c r="Y1720" s="18">
        <v>45796</v>
      </c>
      <c r="Z1720" s="13" t="s">
        <v>505</v>
      </c>
      <c r="AA1720" s="19" t="s">
        <v>373</v>
      </c>
      <c r="AB1720" s="13" t="s">
        <v>357</v>
      </c>
      <c r="AC1720" s="13" t="s">
        <v>534</v>
      </c>
      <c r="AD1720" s="20"/>
      <c r="AE1720" s="20"/>
      <c r="AF1720" s="13" t="s">
        <v>40</v>
      </c>
      <c r="AG1720" s="15">
        <v>45413</v>
      </c>
      <c r="AH1720" s="13" t="s">
        <v>41</v>
      </c>
      <c r="AI1720" s="13" t="s">
        <v>43</v>
      </c>
      <c r="AJ1720" s="13" t="str">
        <f>VLOOKUP(E1720,Precios!Z$2:AA$941,2,FALSE)</f>
        <v>Bandeja Huevos EXTRA</v>
      </c>
      <c r="AK1720" s="14">
        <f>VLOOKUP(E1720,Precios!Z$2:BB$941,3,FALSE)*F1720</f>
        <v>-1</v>
      </c>
      <c r="AL1720" s="17"/>
      <c r="AM1720" s="17"/>
      <c r="AN1720" s="17"/>
      <c r="AO1720" s="17"/>
      <c r="AP1720" s="17"/>
      <c r="AQ1720" s="17"/>
      <c r="AR1720" s="17"/>
      <c r="AS1720" s="17"/>
      <c r="AT1720" s="17"/>
      <c r="AU1720" s="17"/>
      <c r="AV1720" s="17"/>
    </row>
    <row r="1721" spans="1:48" ht="15.75" customHeight="1">
      <c r="A1721" s="21" t="s">
        <v>43</v>
      </c>
      <c r="B1721" s="23" t="s">
        <v>1692</v>
      </c>
      <c r="C1721" s="25">
        <v>45799</v>
      </c>
      <c r="D1721" s="23" t="s">
        <v>241</v>
      </c>
      <c r="E1721" s="23" t="s">
        <v>45</v>
      </c>
      <c r="F1721" s="21">
        <v>1</v>
      </c>
      <c r="G1721" s="12">
        <v>7999.7710567538261</v>
      </c>
      <c r="H1721" s="12">
        <v>7999.7710567538261</v>
      </c>
      <c r="I1721" s="23" t="s">
        <v>52</v>
      </c>
      <c r="J1721" s="23" t="s">
        <v>61</v>
      </c>
      <c r="K1721" s="24" t="s">
        <v>177</v>
      </c>
      <c r="L1721" s="24">
        <v>142</v>
      </c>
      <c r="M1721" s="12">
        <v>6722.496686347753</v>
      </c>
      <c r="N1721" s="12">
        <v>6722.496686347753</v>
      </c>
      <c r="O1721" s="12">
        <v>1277.2743704060731</v>
      </c>
      <c r="P1721" s="13"/>
      <c r="Q1721" s="14">
        <v>2025</v>
      </c>
      <c r="R1721" s="15">
        <v>45413</v>
      </c>
      <c r="S1721" s="11" t="s">
        <v>355</v>
      </c>
      <c r="T1721" s="16">
        <v>0</v>
      </c>
      <c r="U1721" s="17"/>
      <c r="V1721" s="12">
        <v>1143.496686347753</v>
      </c>
      <c r="W1721" s="12">
        <v>1143.496686347753</v>
      </c>
      <c r="X1721" s="12">
        <v>0</v>
      </c>
      <c r="Y1721" s="18">
        <v>45796</v>
      </c>
      <c r="Z1721" s="13" t="s">
        <v>505</v>
      </c>
      <c r="AA1721" s="19" t="s">
        <v>373</v>
      </c>
      <c r="AB1721" s="13" t="s">
        <v>357</v>
      </c>
      <c r="AC1721" s="13" t="s">
        <v>488</v>
      </c>
      <c r="AD1721" s="20"/>
      <c r="AE1721" s="20"/>
      <c r="AF1721" s="13" t="s">
        <v>40</v>
      </c>
      <c r="AG1721" s="15">
        <v>45413</v>
      </c>
      <c r="AH1721" s="13" t="s">
        <v>41</v>
      </c>
      <c r="AI1721" s="13" t="s">
        <v>43</v>
      </c>
      <c r="AJ1721" s="13" t="str">
        <f>VLOOKUP(E1721,Precios!Z$2:AA$941,2,FALSE)</f>
        <v>Bandeja Huevos EXTRA</v>
      </c>
      <c r="AK1721" s="14">
        <f>VLOOKUP(E1721,Precios!Z$2:BB$941,3,FALSE)*F1721</f>
        <v>-1</v>
      </c>
      <c r="AL1721" s="17"/>
      <c r="AM1721" s="17"/>
      <c r="AN1721" s="17"/>
      <c r="AO1721" s="17"/>
      <c r="AP1721" s="17"/>
      <c r="AQ1721" s="17"/>
      <c r="AR1721" s="17"/>
      <c r="AS1721" s="17"/>
      <c r="AT1721" s="17"/>
      <c r="AU1721" s="17"/>
      <c r="AV1721" s="17"/>
    </row>
    <row r="1722" spans="1:48" ht="15.75" customHeight="1">
      <c r="A1722" s="21" t="s">
        <v>35</v>
      </c>
      <c r="B1722" s="23" t="s">
        <v>1692</v>
      </c>
      <c r="C1722" s="25">
        <v>45799</v>
      </c>
      <c r="D1722" s="23" t="s">
        <v>548</v>
      </c>
      <c r="E1722" s="23" t="s">
        <v>37</v>
      </c>
      <c r="F1722" s="21">
        <v>1</v>
      </c>
      <c r="G1722" s="12">
        <v>11000.014358944907</v>
      </c>
      <c r="H1722" s="12">
        <v>11000.014358944907</v>
      </c>
      <c r="I1722" s="23" t="s">
        <v>52</v>
      </c>
      <c r="J1722" s="23" t="s">
        <v>61</v>
      </c>
      <c r="K1722" s="24" t="s">
        <v>177</v>
      </c>
      <c r="L1722" s="24">
        <v>142</v>
      </c>
      <c r="M1722" s="12">
        <v>9243.7095453318543</v>
      </c>
      <c r="N1722" s="12">
        <v>9243.7095453318543</v>
      </c>
      <c r="O1722" s="12">
        <v>1756.3048136130528</v>
      </c>
      <c r="P1722" s="13"/>
      <c r="Q1722" s="14">
        <v>2025</v>
      </c>
      <c r="R1722" s="15">
        <v>45413</v>
      </c>
      <c r="S1722" s="11" t="s">
        <v>364</v>
      </c>
      <c r="T1722" s="16">
        <v>1000</v>
      </c>
      <c r="U1722" s="17"/>
      <c r="V1722" s="12">
        <v>2806.1129066763915</v>
      </c>
      <c r="W1722" s="12">
        <v>2806.1129066763915</v>
      </c>
      <c r="X1722" s="12">
        <v>0</v>
      </c>
      <c r="Y1722" s="18">
        <v>45796</v>
      </c>
      <c r="Z1722" s="13" t="s">
        <v>505</v>
      </c>
      <c r="AA1722" s="19" t="s">
        <v>373</v>
      </c>
      <c r="AB1722" s="13" t="s">
        <v>357</v>
      </c>
      <c r="AC1722" s="13" t="s">
        <v>489</v>
      </c>
      <c r="AD1722" s="20"/>
      <c r="AE1722" s="20"/>
      <c r="AF1722" s="13" t="s">
        <v>40</v>
      </c>
      <c r="AG1722" s="15">
        <v>45413</v>
      </c>
      <c r="AH1722" s="13" t="s">
        <v>41</v>
      </c>
      <c r="AI1722" s="13" t="s">
        <v>35</v>
      </c>
      <c r="AJ1722" s="13" t="str">
        <f>VLOOKUP(E1722,Precios!Z$2:AA$941,2,FALSE)</f>
        <v>Queso RUNCA Mantecoso</v>
      </c>
      <c r="AK1722" s="14">
        <f>VLOOKUP(E1722,Precios!Z$2:BB$941,3,FALSE)*F1722</f>
        <v>-1</v>
      </c>
      <c r="AL1722" s="17"/>
      <c r="AM1722" s="17"/>
      <c r="AN1722" s="17"/>
      <c r="AO1722" s="17"/>
      <c r="AP1722" s="17"/>
      <c r="AQ1722" s="17"/>
      <c r="AR1722" s="17"/>
      <c r="AS1722" s="17"/>
      <c r="AT1722" s="17"/>
      <c r="AU1722" s="17"/>
      <c r="AV1722" s="17"/>
    </row>
    <row r="1723" spans="1:48" ht="15.75" customHeight="1">
      <c r="A1723" s="21" t="s">
        <v>76</v>
      </c>
      <c r="B1723" s="23" t="s">
        <v>1692</v>
      </c>
      <c r="C1723" s="25">
        <v>45799</v>
      </c>
      <c r="D1723" s="23" t="s">
        <v>333</v>
      </c>
      <c r="E1723" s="23" t="s">
        <v>137</v>
      </c>
      <c r="F1723" s="21">
        <v>2</v>
      </c>
      <c r="G1723" s="12">
        <v>3500.0000000000005</v>
      </c>
      <c r="H1723" s="12">
        <v>7000.0000000000009</v>
      </c>
      <c r="I1723" s="23" t="s">
        <v>52</v>
      </c>
      <c r="J1723" s="23" t="s">
        <v>61</v>
      </c>
      <c r="K1723" s="24" t="s">
        <v>177</v>
      </c>
      <c r="L1723" s="24">
        <v>142</v>
      </c>
      <c r="M1723" s="12">
        <v>2941.1764705882356</v>
      </c>
      <c r="N1723" s="12">
        <v>5882.3529411764712</v>
      </c>
      <c r="O1723" s="12">
        <v>1117.6470588235297</v>
      </c>
      <c r="P1723" s="13"/>
      <c r="Q1723" s="14">
        <v>2025</v>
      </c>
      <c r="R1723" s="15">
        <v>45413</v>
      </c>
      <c r="S1723" s="11" t="s">
        <v>406</v>
      </c>
      <c r="T1723" s="16">
        <v>10</v>
      </c>
      <c r="U1723" s="17"/>
      <c r="V1723" s="12">
        <v>1697.4789915966394</v>
      </c>
      <c r="W1723" s="12">
        <v>1697.4789915966394</v>
      </c>
      <c r="X1723" s="12">
        <v>0</v>
      </c>
      <c r="Y1723" s="18">
        <v>45796</v>
      </c>
      <c r="Z1723" s="13" t="s">
        <v>505</v>
      </c>
      <c r="AA1723" s="19" t="s">
        <v>373</v>
      </c>
      <c r="AB1723" s="13" t="s">
        <v>357</v>
      </c>
      <c r="AC1723" s="13" t="s">
        <v>489</v>
      </c>
      <c r="AD1723" s="20"/>
      <c r="AE1723" s="20"/>
      <c r="AF1723" s="13" t="s">
        <v>40</v>
      </c>
      <c r="AG1723" s="15">
        <v>45413</v>
      </c>
      <c r="AH1723" s="13" t="s">
        <v>41</v>
      </c>
      <c r="AI1723" s="13" t="s">
        <v>76</v>
      </c>
      <c r="AJ1723" s="13" t="str">
        <f>VLOOKUP(E1723,Precios!Z$2:AA$941,2,FALSE)</f>
        <v>Detergente SPUM 5 Litros (Blanco)</v>
      </c>
      <c r="AK1723" s="14">
        <f>VLOOKUP(E1723,Precios!Z$2:BB$941,3,FALSE)*F1723</f>
        <v>-2</v>
      </c>
      <c r="AL1723" s="17"/>
      <c r="AM1723" s="17"/>
      <c r="AN1723" s="17"/>
      <c r="AO1723" s="17"/>
      <c r="AP1723" s="17"/>
      <c r="AQ1723" s="17"/>
      <c r="AR1723" s="17"/>
      <c r="AS1723" s="17"/>
      <c r="AT1723" s="17"/>
      <c r="AU1723" s="17"/>
      <c r="AV1723" s="17"/>
    </row>
    <row r="1724" spans="1:48" ht="15.75" customHeight="1">
      <c r="A1724" s="21" t="s">
        <v>35</v>
      </c>
      <c r="B1724" s="23" t="s">
        <v>1692</v>
      </c>
      <c r="C1724" s="22">
        <v>45799</v>
      </c>
      <c r="D1724" s="23" t="s">
        <v>271</v>
      </c>
      <c r="E1724" s="23" t="s">
        <v>46</v>
      </c>
      <c r="F1724" s="14">
        <v>1</v>
      </c>
      <c r="G1724" s="12">
        <v>6000.1548227279782</v>
      </c>
      <c r="H1724" s="12">
        <v>6000.1548227279782</v>
      </c>
      <c r="I1724" s="23" t="s">
        <v>52</v>
      </c>
      <c r="J1724" s="23" t="s">
        <v>61</v>
      </c>
      <c r="K1724" s="24" t="s">
        <v>177</v>
      </c>
      <c r="L1724" s="24">
        <v>142</v>
      </c>
      <c r="M1724" s="12">
        <v>5042.1469098554444</v>
      </c>
      <c r="N1724" s="12">
        <v>5042.1469098554444</v>
      </c>
      <c r="O1724" s="12">
        <v>958.00791287253378</v>
      </c>
      <c r="P1724" s="13"/>
      <c r="Q1724" s="14">
        <v>2025</v>
      </c>
      <c r="R1724" s="15">
        <v>45413</v>
      </c>
      <c r="S1724" s="11" t="s">
        <v>364</v>
      </c>
      <c r="T1724" s="16">
        <v>500</v>
      </c>
      <c r="U1724" s="17"/>
      <c r="V1724" s="12">
        <v>1785.4242207798129</v>
      </c>
      <c r="W1724" s="12">
        <v>1785.4242207798129</v>
      </c>
      <c r="X1724" s="12">
        <v>0</v>
      </c>
      <c r="Y1724" s="18">
        <v>45796</v>
      </c>
      <c r="Z1724" s="13" t="s">
        <v>505</v>
      </c>
      <c r="AA1724" s="19" t="s">
        <v>373</v>
      </c>
      <c r="AB1724" s="13" t="s">
        <v>357</v>
      </c>
      <c r="AC1724" s="13" t="s">
        <v>461</v>
      </c>
      <c r="AD1724" s="20"/>
      <c r="AE1724" s="20"/>
      <c r="AF1724" s="13" t="s">
        <v>40</v>
      </c>
      <c r="AG1724" s="15">
        <v>45413</v>
      </c>
      <c r="AH1724" s="13" t="s">
        <v>41</v>
      </c>
      <c r="AI1724" s="13" t="s">
        <v>35</v>
      </c>
      <c r="AJ1724" s="13" t="str">
        <f>VLOOKUP(E1724,Precios!Z$2:AA$941,2,FALSE)</f>
        <v>Queso RUNCA Mantecoso</v>
      </c>
      <c r="AK1724" s="14">
        <f>VLOOKUP(E1724,Precios!Z$2:BB$941,3,FALSE)*F1724</f>
        <v>-0.5</v>
      </c>
      <c r="AL1724" s="17"/>
      <c r="AM1724" s="17"/>
      <c r="AN1724" s="17"/>
      <c r="AO1724" s="17"/>
      <c r="AP1724" s="17"/>
      <c r="AQ1724" s="17"/>
      <c r="AR1724" s="17"/>
      <c r="AS1724" s="17"/>
      <c r="AT1724" s="17"/>
      <c r="AU1724" s="17"/>
      <c r="AV1724" s="17"/>
    </row>
    <row r="1725" spans="1:48" ht="15.75" customHeight="1">
      <c r="A1725" s="21" t="s">
        <v>35</v>
      </c>
      <c r="B1725" s="23" t="s">
        <v>1692</v>
      </c>
      <c r="C1725" s="22">
        <v>45798</v>
      </c>
      <c r="D1725" s="23" t="s">
        <v>627</v>
      </c>
      <c r="E1725" s="23" t="s">
        <v>37</v>
      </c>
      <c r="F1725" s="21">
        <v>1</v>
      </c>
      <c r="G1725" s="12">
        <v>11000.014358944907</v>
      </c>
      <c r="H1725" s="12">
        <v>11000.014358944907</v>
      </c>
      <c r="I1725" s="23" t="s">
        <v>52</v>
      </c>
      <c r="J1725" s="23" t="s">
        <v>61</v>
      </c>
      <c r="K1725" s="24" t="s">
        <v>177</v>
      </c>
      <c r="L1725" s="24">
        <v>142</v>
      </c>
      <c r="M1725" s="12">
        <v>9243.7095453318543</v>
      </c>
      <c r="N1725" s="12">
        <v>9243.7095453318543</v>
      </c>
      <c r="O1725" s="12">
        <v>1756.3048136130528</v>
      </c>
      <c r="P1725" s="13"/>
      <c r="Q1725" s="14">
        <v>2025</v>
      </c>
      <c r="R1725" s="15">
        <v>45413</v>
      </c>
      <c r="S1725" s="11" t="s">
        <v>364</v>
      </c>
      <c r="T1725" s="16">
        <v>1000</v>
      </c>
      <c r="U1725" s="17"/>
      <c r="V1725" s="12">
        <v>2806.1129066763915</v>
      </c>
      <c r="W1725" s="12">
        <v>2806.1129066763915</v>
      </c>
      <c r="X1725" s="12">
        <v>0</v>
      </c>
      <c r="Y1725" s="18">
        <v>45796</v>
      </c>
      <c r="Z1725" s="13" t="s">
        <v>515</v>
      </c>
      <c r="AA1725" s="19" t="s">
        <v>373</v>
      </c>
      <c r="AB1725" s="13" t="s">
        <v>357</v>
      </c>
      <c r="AC1725" s="13" t="s">
        <v>628</v>
      </c>
      <c r="AD1725" s="20"/>
      <c r="AE1725" s="20"/>
      <c r="AF1725" s="13" t="s">
        <v>40</v>
      </c>
      <c r="AG1725" s="15">
        <v>45413</v>
      </c>
      <c r="AH1725" s="13" t="s">
        <v>41</v>
      </c>
      <c r="AI1725" s="13" t="s">
        <v>35</v>
      </c>
      <c r="AJ1725" s="13" t="str">
        <f>VLOOKUP(E1725,Precios!Z$2:AA$941,2,FALSE)</f>
        <v>Queso RUNCA Mantecoso</v>
      </c>
      <c r="AK1725" s="14">
        <f>VLOOKUP(E1725,Precios!Z$2:BB$941,3,FALSE)*F1725</f>
        <v>-1</v>
      </c>
      <c r="AL1725" s="17"/>
      <c r="AM1725" s="17"/>
      <c r="AN1725" s="17"/>
      <c r="AO1725" s="17"/>
      <c r="AP1725" s="17"/>
      <c r="AQ1725" s="17"/>
      <c r="AR1725" s="17"/>
      <c r="AS1725" s="17"/>
      <c r="AT1725" s="17"/>
      <c r="AU1725" s="17"/>
      <c r="AV1725" s="17"/>
    </row>
    <row r="1726" spans="1:48" ht="15.75" customHeight="1">
      <c r="A1726" s="21" t="s">
        <v>35</v>
      </c>
      <c r="B1726" s="23" t="s">
        <v>1692</v>
      </c>
      <c r="C1726" s="22">
        <v>45798</v>
      </c>
      <c r="D1726" s="23" t="s">
        <v>115</v>
      </c>
      <c r="E1726" s="23" t="s">
        <v>37</v>
      </c>
      <c r="F1726" s="21">
        <v>1</v>
      </c>
      <c r="G1726" s="12">
        <v>11000.014358944907</v>
      </c>
      <c r="H1726" s="12">
        <v>11000.014358944907</v>
      </c>
      <c r="I1726" s="23" t="s">
        <v>52</v>
      </c>
      <c r="J1726" s="23" t="s">
        <v>61</v>
      </c>
      <c r="K1726" s="24" t="s">
        <v>177</v>
      </c>
      <c r="L1726" s="24">
        <v>142</v>
      </c>
      <c r="M1726" s="12">
        <v>9243.7095453318543</v>
      </c>
      <c r="N1726" s="12">
        <v>9243.7095453318543</v>
      </c>
      <c r="O1726" s="12">
        <v>1756.3048136130528</v>
      </c>
      <c r="P1726" s="13"/>
      <c r="Q1726" s="14">
        <v>2025</v>
      </c>
      <c r="R1726" s="15">
        <v>45413</v>
      </c>
      <c r="S1726" s="11" t="s">
        <v>364</v>
      </c>
      <c r="T1726" s="16">
        <v>1000</v>
      </c>
      <c r="U1726" s="17"/>
      <c r="V1726" s="12">
        <v>2806.1129066763915</v>
      </c>
      <c r="W1726" s="12">
        <v>2806.1129066763915</v>
      </c>
      <c r="X1726" s="12">
        <v>0</v>
      </c>
      <c r="Y1726" s="18">
        <v>45796</v>
      </c>
      <c r="Z1726" s="13" t="s">
        <v>515</v>
      </c>
      <c r="AA1726" s="19" t="s">
        <v>373</v>
      </c>
      <c r="AB1726" s="13" t="s">
        <v>357</v>
      </c>
      <c r="AC1726" s="13" t="s">
        <v>383</v>
      </c>
      <c r="AD1726" s="20"/>
      <c r="AE1726" s="20"/>
      <c r="AF1726" s="13" t="s">
        <v>40</v>
      </c>
      <c r="AG1726" s="15">
        <v>45413</v>
      </c>
      <c r="AH1726" s="13" t="s">
        <v>41</v>
      </c>
      <c r="AI1726" s="13" t="s">
        <v>35</v>
      </c>
      <c r="AJ1726" s="13" t="str">
        <f>VLOOKUP(E1726,Precios!Z$2:AA$941,2,FALSE)</f>
        <v>Queso RUNCA Mantecoso</v>
      </c>
      <c r="AK1726" s="14">
        <f>VLOOKUP(E1726,Precios!Z$2:BB$941,3,FALSE)*F1726</f>
        <v>-1</v>
      </c>
      <c r="AL1726" s="17"/>
      <c r="AM1726" s="17"/>
      <c r="AN1726" s="17"/>
      <c r="AO1726" s="17"/>
      <c r="AP1726" s="17"/>
      <c r="AQ1726" s="17"/>
      <c r="AR1726" s="17"/>
      <c r="AS1726" s="17"/>
      <c r="AT1726" s="17"/>
      <c r="AU1726" s="17"/>
      <c r="AV1726" s="17"/>
    </row>
    <row r="1727" spans="1:48" ht="15.75" customHeight="1">
      <c r="A1727" s="21" t="s">
        <v>43</v>
      </c>
      <c r="B1727" s="23" t="s">
        <v>1692</v>
      </c>
      <c r="C1727" s="22">
        <v>45798</v>
      </c>
      <c r="D1727" s="23" t="s">
        <v>115</v>
      </c>
      <c r="E1727" s="23" t="s">
        <v>45</v>
      </c>
      <c r="F1727" s="21">
        <v>1</v>
      </c>
      <c r="G1727" s="12">
        <v>7999.7710567538261</v>
      </c>
      <c r="H1727" s="12">
        <v>7999.7710567538261</v>
      </c>
      <c r="I1727" s="23" t="s">
        <v>52</v>
      </c>
      <c r="J1727" s="23" t="s">
        <v>61</v>
      </c>
      <c r="K1727" s="24" t="s">
        <v>177</v>
      </c>
      <c r="L1727" s="24">
        <v>142</v>
      </c>
      <c r="M1727" s="12">
        <v>6722.496686347753</v>
      </c>
      <c r="N1727" s="12">
        <v>6722.496686347753</v>
      </c>
      <c r="O1727" s="12">
        <v>1277.2743704060731</v>
      </c>
      <c r="P1727" s="13"/>
      <c r="Q1727" s="14">
        <v>2025</v>
      </c>
      <c r="R1727" s="15">
        <v>45413</v>
      </c>
      <c r="S1727" s="11" t="s">
        <v>355</v>
      </c>
      <c r="T1727" s="16">
        <v>0</v>
      </c>
      <c r="U1727" s="17"/>
      <c r="V1727" s="12">
        <v>1143.496686347753</v>
      </c>
      <c r="W1727" s="12">
        <v>1143.496686347753</v>
      </c>
      <c r="X1727" s="12">
        <v>0</v>
      </c>
      <c r="Y1727" s="18">
        <v>45796</v>
      </c>
      <c r="Z1727" s="13" t="s">
        <v>515</v>
      </c>
      <c r="AA1727" s="19" t="s">
        <v>373</v>
      </c>
      <c r="AB1727" s="13" t="s">
        <v>357</v>
      </c>
      <c r="AC1727" s="13" t="s">
        <v>383</v>
      </c>
      <c r="AD1727" s="20"/>
      <c r="AE1727" s="20"/>
      <c r="AF1727" s="13" t="s">
        <v>40</v>
      </c>
      <c r="AG1727" s="15">
        <v>45413</v>
      </c>
      <c r="AH1727" s="13" t="s">
        <v>41</v>
      </c>
      <c r="AI1727" s="13" t="s">
        <v>43</v>
      </c>
      <c r="AJ1727" s="13" t="str">
        <f>VLOOKUP(E1727,Precios!Z$2:AA$941,2,FALSE)</f>
        <v>Bandeja Huevos EXTRA</v>
      </c>
      <c r="AK1727" s="14">
        <f>VLOOKUP(E1727,Precios!Z$2:BB$941,3,FALSE)*F1727</f>
        <v>-1</v>
      </c>
      <c r="AL1727" s="17"/>
      <c r="AM1727" s="17"/>
      <c r="AN1727" s="17"/>
      <c r="AO1727" s="17"/>
      <c r="AP1727" s="17"/>
      <c r="AQ1727" s="17"/>
      <c r="AR1727" s="17"/>
      <c r="AS1727" s="17"/>
      <c r="AT1727" s="17"/>
      <c r="AU1727" s="17"/>
      <c r="AV1727" s="17"/>
    </row>
    <row r="1728" spans="1:48" ht="15.75" customHeight="1">
      <c r="A1728" s="21" t="s">
        <v>35</v>
      </c>
      <c r="B1728" s="23" t="s">
        <v>1692</v>
      </c>
      <c r="C1728" s="22">
        <v>45798</v>
      </c>
      <c r="D1728" s="23" t="s">
        <v>292</v>
      </c>
      <c r="E1728" s="23" t="s">
        <v>37</v>
      </c>
      <c r="F1728" s="21">
        <v>1</v>
      </c>
      <c r="G1728" s="12">
        <v>11000.014358944907</v>
      </c>
      <c r="H1728" s="12">
        <v>11000.014358944907</v>
      </c>
      <c r="I1728" s="23" t="s">
        <v>52</v>
      </c>
      <c r="J1728" s="23" t="s">
        <v>61</v>
      </c>
      <c r="K1728" s="24" t="s">
        <v>177</v>
      </c>
      <c r="L1728" s="24">
        <v>142</v>
      </c>
      <c r="M1728" s="12">
        <v>9243.7095453318543</v>
      </c>
      <c r="N1728" s="12">
        <v>9243.7095453318543</v>
      </c>
      <c r="O1728" s="12">
        <v>1756.3048136130528</v>
      </c>
      <c r="P1728" s="13"/>
      <c r="Q1728" s="14">
        <v>2025</v>
      </c>
      <c r="R1728" s="15">
        <v>45413</v>
      </c>
      <c r="S1728" s="11" t="s">
        <v>364</v>
      </c>
      <c r="T1728" s="16">
        <v>1000</v>
      </c>
      <c r="U1728" s="17"/>
      <c r="V1728" s="12">
        <v>2806.1129066763915</v>
      </c>
      <c r="W1728" s="12">
        <v>2806.1129066763915</v>
      </c>
      <c r="X1728" s="12">
        <v>0</v>
      </c>
      <c r="Y1728" s="18">
        <v>45796</v>
      </c>
      <c r="Z1728" s="13" t="s">
        <v>515</v>
      </c>
      <c r="AA1728" s="19" t="s">
        <v>356</v>
      </c>
      <c r="AB1728" s="13" t="s">
        <v>357</v>
      </c>
      <c r="AC1728" s="13" t="s">
        <v>383</v>
      </c>
      <c r="AD1728" s="20"/>
      <c r="AE1728" s="20"/>
      <c r="AF1728" s="13" t="s">
        <v>40</v>
      </c>
      <c r="AG1728" s="15">
        <v>45413</v>
      </c>
      <c r="AH1728" s="13" t="s">
        <v>41</v>
      </c>
      <c r="AI1728" s="13" t="s">
        <v>35</v>
      </c>
      <c r="AJ1728" s="13" t="str">
        <f>VLOOKUP(E1728,Precios!Z$2:AA$941,2,FALSE)</f>
        <v>Queso RUNCA Mantecoso</v>
      </c>
      <c r="AK1728" s="14">
        <f>VLOOKUP(E1728,Precios!Z$2:BB$941,3,FALSE)*F1728</f>
        <v>-1</v>
      </c>
      <c r="AL1728" s="17"/>
      <c r="AM1728" s="17"/>
      <c r="AN1728" s="17"/>
      <c r="AO1728" s="17"/>
      <c r="AP1728" s="17"/>
      <c r="AQ1728" s="17"/>
      <c r="AR1728" s="17"/>
      <c r="AS1728" s="17"/>
      <c r="AT1728" s="17"/>
      <c r="AU1728" s="17"/>
      <c r="AV1728" s="17"/>
    </row>
    <row r="1729" spans="1:48" ht="15.75" customHeight="1">
      <c r="A1729" s="21" t="s">
        <v>43</v>
      </c>
      <c r="B1729" s="23" t="s">
        <v>1692</v>
      </c>
      <c r="C1729" s="22">
        <v>45798</v>
      </c>
      <c r="D1729" s="23" t="s">
        <v>292</v>
      </c>
      <c r="E1729" s="23" t="s">
        <v>45</v>
      </c>
      <c r="F1729" s="21">
        <v>1</v>
      </c>
      <c r="G1729" s="12">
        <v>7999.7710567538261</v>
      </c>
      <c r="H1729" s="12">
        <v>7999.7710567538261</v>
      </c>
      <c r="I1729" s="23" t="s">
        <v>52</v>
      </c>
      <c r="J1729" s="23" t="s">
        <v>61</v>
      </c>
      <c r="K1729" s="24" t="s">
        <v>177</v>
      </c>
      <c r="L1729" s="24">
        <v>142</v>
      </c>
      <c r="M1729" s="12">
        <v>6722.496686347753</v>
      </c>
      <c r="N1729" s="12">
        <v>6722.496686347753</v>
      </c>
      <c r="O1729" s="12">
        <v>1277.2743704060731</v>
      </c>
      <c r="P1729" s="13"/>
      <c r="Q1729" s="14">
        <v>2025</v>
      </c>
      <c r="R1729" s="15">
        <v>45413</v>
      </c>
      <c r="S1729" s="11" t="s">
        <v>355</v>
      </c>
      <c r="T1729" s="16">
        <v>0</v>
      </c>
      <c r="U1729" s="17"/>
      <c r="V1729" s="12">
        <v>1143.496686347753</v>
      </c>
      <c r="W1729" s="12">
        <v>1143.496686347753</v>
      </c>
      <c r="X1729" s="12">
        <v>0</v>
      </c>
      <c r="Y1729" s="18">
        <v>45796</v>
      </c>
      <c r="Z1729" s="13" t="s">
        <v>515</v>
      </c>
      <c r="AA1729" s="19" t="s">
        <v>356</v>
      </c>
      <c r="AB1729" s="13" t="s">
        <v>357</v>
      </c>
      <c r="AC1729" s="13" t="s">
        <v>383</v>
      </c>
      <c r="AD1729" s="20"/>
      <c r="AE1729" s="20"/>
      <c r="AF1729" s="13" t="s">
        <v>40</v>
      </c>
      <c r="AG1729" s="15">
        <v>45413</v>
      </c>
      <c r="AH1729" s="13" t="s">
        <v>41</v>
      </c>
      <c r="AI1729" s="13" t="s">
        <v>43</v>
      </c>
      <c r="AJ1729" s="13" t="str">
        <f>VLOOKUP(E1729,Precios!Z$2:AA$941,2,FALSE)</f>
        <v>Bandeja Huevos EXTRA</v>
      </c>
      <c r="AK1729" s="14">
        <f>VLOOKUP(E1729,Precios!Z$2:BB$941,3,FALSE)*F1729</f>
        <v>-1</v>
      </c>
      <c r="AL1729" s="17"/>
      <c r="AM1729" s="17"/>
      <c r="AN1729" s="17"/>
      <c r="AO1729" s="17"/>
      <c r="AP1729" s="17"/>
      <c r="AQ1729" s="17"/>
      <c r="AR1729" s="17"/>
      <c r="AS1729" s="17"/>
      <c r="AT1729" s="17"/>
      <c r="AU1729" s="17"/>
      <c r="AV1729" s="17"/>
    </row>
    <row r="1730" spans="1:48" ht="15.75" customHeight="1">
      <c r="A1730" s="21" t="s">
        <v>35</v>
      </c>
      <c r="B1730" s="23" t="s">
        <v>1692</v>
      </c>
      <c r="C1730" s="22">
        <v>45798</v>
      </c>
      <c r="D1730" s="23" t="s">
        <v>119</v>
      </c>
      <c r="E1730" s="23" t="s">
        <v>37</v>
      </c>
      <c r="F1730" s="21">
        <v>1</v>
      </c>
      <c r="G1730" s="12">
        <v>11000.014358944907</v>
      </c>
      <c r="H1730" s="12">
        <v>11000.014358944907</v>
      </c>
      <c r="I1730" s="23" t="s">
        <v>52</v>
      </c>
      <c r="J1730" s="23" t="s">
        <v>61</v>
      </c>
      <c r="K1730" s="24" t="s">
        <v>177</v>
      </c>
      <c r="L1730" s="24">
        <v>142</v>
      </c>
      <c r="M1730" s="12">
        <v>9243.7095453318543</v>
      </c>
      <c r="N1730" s="12">
        <v>9243.7095453318543</v>
      </c>
      <c r="O1730" s="12">
        <v>1756.3048136130528</v>
      </c>
      <c r="P1730" s="13"/>
      <c r="Q1730" s="14">
        <v>2025</v>
      </c>
      <c r="R1730" s="15">
        <v>45413</v>
      </c>
      <c r="S1730" s="11" t="s">
        <v>364</v>
      </c>
      <c r="T1730" s="16">
        <v>1000</v>
      </c>
      <c r="U1730" s="17"/>
      <c r="V1730" s="12">
        <v>2806.1129066763915</v>
      </c>
      <c r="W1730" s="12">
        <v>2806.1129066763915</v>
      </c>
      <c r="X1730" s="12">
        <v>0</v>
      </c>
      <c r="Y1730" s="18">
        <v>45796</v>
      </c>
      <c r="Z1730" s="13" t="s">
        <v>515</v>
      </c>
      <c r="AA1730" s="19" t="s">
        <v>373</v>
      </c>
      <c r="AB1730" s="13" t="s">
        <v>357</v>
      </c>
      <c r="AC1730" s="13" t="s">
        <v>629</v>
      </c>
      <c r="AD1730" s="20"/>
      <c r="AE1730" s="20"/>
      <c r="AF1730" s="13" t="s">
        <v>40</v>
      </c>
      <c r="AG1730" s="15">
        <v>45413</v>
      </c>
      <c r="AH1730" s="13" t="s">
        <v>41</v>
      </c>
      <c r="AI1730" s="13" t="s">
        <v>35</v>
      </c>
      <c r="AJ1730" s="13" t="str">
        <f>VLOOKUP(E1730,Precios!Z$2:AA$941,2,FALSE)</f>
        <v>Queso RUNCA Mantecoso</v>
      </c>
      <c r="AK1730" s="14">
        <f>VLOOKUP(E1730,Precios!Z$2:BB$941,3,FALSE)*F1730</f>
        <v>-1</v>
      </c>
      <c r="AL1730" s="17"/>
      <c r="AM1730" s="17"/>
      <c r="AN1730" s="17"/>
      <c r="AO1730" s="17"/>
      <c r="AP1730" s="17"/>
      <c r="AQ1730" s="17"/>
      <c r="AR1730" s="17"/>
      <c r="AS1730" s="17"/>
      <c r="AT1730" s="17"/>
      <c r="AU1730" s="17"/>
      <c r="AV1730" s="17"/>
    </row>
    <row r="1731" spans="1:48" ht="15.75" customHeight="1">
      <c r="A1731" s="21" t="s">
        <v>76</v>
      </c>
      <c r="B1731" s="23" t="s">
        <v>1692</v>
      </c>
      <c r="C1731" s="22">
        <v>45798</v>
      </c>
      <c r="D1731" s="23" t="s">
        <v>630</v>
      </c>
      <c r="E1731" s="23" t="s">
        <v>349</v>
      </c>
      <c r="F1731" s="21">
        <v>1</v>
      </c>
      <c r="G1731" s="12">
        <v>3999.8127946357149</v>
      </c>
      <c r="H1731" s="12">
        <v>3999.8127946357149</v>
      </c>
      <c r="I1731" s="23" t="s">
        <v>52</v>
      </c>
      <c r="J1731" s="23" t="s">
        <v>61</v>
      </c>
      <c r="K1731" s="24" t="s">
        <v>177</v>
      </c>
      <c r="L1731" s="24">
        <v>142</v>
      </c>
      <c r="M1731" s="12">
        <v>3361.1872223829537</v>
      </c>
      <c r="N1731" s="12">
        <v>3361.1872223829537</v>
      </c>
      <c r="O1731" s="12">
        <v>638.62557225276123</v>
      </c>
      <c r="P1731" s="13"/>
      <c r="Q1731" s="14">
        <v>2025</v>
      </c>
      <c r="R1731" s="15">
        <v>45413</v>
      </c>
      <c r="S1731" s="11" t="s">
        <v>550</v>
      </c>
      <c r="T1731" s="16">
        <v>5</v>
      </c>
      <c r="U1731" s="17"/>
      <c r="V1731" s="12">
        <v>1386.1872223829537</v>
      </c>
      <c r="W1731" s="12">
        <v>1386.1872223829537</v>
      </c>
      <c r="X1731" s="12">
        <v>0</v>
      </c>
      <c r="Y1731" s="18">
        <v>45796</v>
      </c>
      <c r="Z1731" s="13" t="s">
        <v>515</v>
      </c>
      <c r="AA1731" s="19" t="s">
        <v>361</v>
      </c>
      <c r="AB1731" s="13" t="s">
        <v>357</v>
      </c>
      <c r="AC1731" s="13" t="s">
        <v>631</v>
      </c>
      <c r="AD1731" s="20"/>
      <c r="AE1731" s="20"/>
      <c r="AF1731" s="13" t="s">
        <v>40</v>
      </c>
      <c r="AG1731" s="15">
        <v>45413</v>
      </c>
      <c r="AH1731" s="13" t="s">
        <v>41</v>
      </c>
      <c r="AI1731" s="13" t="s">
        <v>76</v>
      </c>
      <c r="AJ1731" s="13" t="str">
        <f>VLOOKUP(E1731,Precios!Z$2:AA$941,2,FALSE)</f>
        <v>Antigrasa SPUM 5 Litros</v>
      </c>
      <c r="AK1731" s="14">
        <f>VLOOKUP(E1731,Precios!Z$2:BB$941,3,FALSE)*F1731</f>
        <v>-1</v>
      </c>
      <c r="AL1731" s="17"/>
      <c r="AM1731" s="17"/>
      <c r="AN1731" s="17"/>
      <c r="AO1731" s="17"/>
      <c r="AP1731" s="17"/>
      <c r="AQ1731" s="17"/>
      <c r="AR1731" s="17"/>
      <c r="AS1731" s="17"/>
      <c r="AT1731" s="17"/>
      <c r="AU1731" s="17"/>
      <c r="AV1731" s="17"/>
    </row>
    <row r="1732" spans="1:48" ht="15.75" customHeight="1">
      <c r="A1732" s="21" t="s">
        <v>35</v>
      </c>
      <c r="B1732" s="23" t="s">
        <v>1692</v>
      </c>
      <c r="C1732" s="22">
        <v>45798</v>
      </c>
      <c r="D1732" s="23" t="s">
        <v>915</v>
      </c>
      <c r="E1732" s="23" t="s">
        <v>37</v>
      </c>
      <c r="F1732" s="21">
        <v>1</v>
      </c>
      <c r="G1732" s="12">
        <v>11000.014358944907</v>
      </c>
      <c r="H1732" s="12">
        <v>11000.014358944907</v>
      </c>
      <c r="I1732" s="23" t="s">
        <v>52</v>
      </c>
      <c r="J1732" s="23" t="s">
        <v>61</v>
      </c>
      <c r="K1732" s="24" t="s">
        <v>177</v>
      </c>
      <c r="L1732" s="24">
        <v>142</v>
      </c>
      <c r="M1732" s="12">
        <v>9243.7095453318543</v>
      </c>
      <c r="N1732" s="12">
        <v>9243.7095453318543</v>
      </c>
      <c r="O1732" s="12">
        <v>1756.3048136130528</v>
      </c>
      <c r="P1732" s="13"/>
      <c r="Q1732" s="14">
        <v>2025</v>
      </c>
      <c r="R1732" s="15">
        <v>45413</v>
      </c>
      <c r="S1732" s="11" t="s">
        <v>364</v>
      </c>
      <c r="T1732" s="16">
        <v>1000</v>
      </c>
      <c r="U1732" s="17"/>
      <c r="V1732" s="12">
        <v>2806.1129066763915</v>
      </c>
      <c r="W1732" s="12">
        <v>2806.1129066763915</v>
      </c>
      <c r="X1732" s="12">
        <v>0</v>
      </c>
      <c r="Y1732" s="18">
        <v>45796</v>
      </c>
      <c r="Z1732" s="13" t="s">
        <v>515</v>
      </c>
      <c r="AA1732" s="19" t="s">
        <v>367</v>
      </c>
      <c r="AB1732" s="13" t="s">
        <v>357</v>
      </c>
      <c r="AC1732" s="13" t="s">
        <v>367</v>
      </c>
      <c r="AD1732" s="20"/>
      <c r="AE1732" s="20"/>
      <c r="AF1732" s="13" t="s">
        <v>40</v>
      </c>
      <c r="AG1732" s="15">
        <v>45413</v>
      </c>
      <c r="AH1732" s="13" t="s">
        <v>41</v>
      </c>
      <c r="AI1732" s="13" t="s">
        <v>35</v>
      </c>
      <c r="AJ1732" s="13" t="str">
        <f>VLOOKUP(E1732,Precios!Z$2:AA$941,2,FALSE)</f>
        <v>Queso RUNCA Mantecoso</v>
      </c>
      <c r="AK1732" s="14">
        <f>VLOOKUP(E1732,Precios!Z$2:BB$941,3,FALSE)*F1732</f>
        <v>-1</v>
      </c>
      <c r="AL1732" s="17"/>
      <c r="AM1732" s="17"/>
      <c r="AN1732" s="17"/>
      <c r="AO1732" s="17"/>
      <c r="AP1732" s="17"/>
      <c r="AQ1732" s="17"/>
      <c r="AR1732" s="17"/>
      <c r="AS1732" s="17"/>
      <c r="AT1732" s="17"/>
      <c r="AU1732" s="17"/>
      <c r="AV1732" s="17"/>
    </row>
    <row r="1733" spans="1:48" ht="15.75" customHeight="1">
      <c r="A1733" s="21" t="s">
        <v>76</v>
      </c>
      <c r="B1733" s="23" t="s">
        <v>1692</v>
      </c>
      <c r="C1733" s="22">
        <v>45798</v>
      </c>
      <c r="D1733" s="23" t="s">
        <v>632</v>
      </c>
      <c r="E1733" s="23" t="s">
        <v>82</v>
      </c>
      <c r="F1733" s="21">
        <v>1</v>
      </c>
      <c r="G1733" s="12">
        <v>2000.0000000000002</v>
      </c>
      <c r="H1733" s="12">
        <v>2000.0000000000002</v>
      </c>
      <c r="I1733" s="23" t="s">
        <v>52</v>
      </c>
      <c r="J1733" s="23" t="s">
        <v>61</v>
      </c>
      <c r="K1733" s="24" t="s">
        <v>177</v>
      </c>
      <c r="L1733" s="24">
        <v>142</v>
      </c>
      <c r="M1733" s="12">
        <v>1680.6722689075632</v>
      </c>
      <c r="N1733" s="12">
        <v>1680.6722689075632</v>
      </c>
      <c r="O1733" s="12">
        <v>319.32773109243703</v>
      </c>
      <c r="P1733" s="13"/>
      <c r="Q1733" s="14">
        <v>2025</v>
      </c>
      <c r="R1733" s="15">
        <v>45413</v>
      </c>
      <c r="S1733" s="11" t="s">
        <v>463</v>
      </c>
      <c r="T1733" s="16">
        <v>5</v>
      </c>
      <c r="U1733" s="17"/>
      <c r="V1733" s="12">
        <v>680.67226890756319</v>
      </c>
      <c r="W1733" s="12">
        <v>680.67226890756319</v>
      </c>
      <c r="X1733" s="12">
        <v>0</v>
      </c>
      <c r="Y1733" s="18">
        <v>45796</v>
      </c>
      <c r="Z1733" s="13" t="s">
        <v>515</v>
      </c>
      <c r="AA1733" s="19" t="s">
        <v>373</v>
      </c>
      <c r="AB1733" s="13" t="s">
        <v>357</v>
      </c>
      <c r="AC1733" s="13" t="s">
        <v>633</v>
      </c>
      <c r="AD1733" s="20"/>
      <c r="AE1733" s="20"/>
      <c r="AF1733" s="13" t="s">
        <v>40</v>
      </c>
      <c r="AG1733" s="15">
        <v>45413</v>
      </c>
      <c r="AH1733" s="13" t="s">
        <v>41</v>
      </c>
      <c r="AI1733" s="13" t="s">
        <v>76</v>
      </c>
      <c r="AJ1733" s="13" t="str">
        <f>VLOOKUP(E1733,Precios!Z$2:AA$941,2,FALSE)</f>
        <v>Limpiapiso SPUM 5 Litros</v>
      </c>
      <c r="AK1733" s="14">
        <f>VLOOKUP(E1733,Precios!Z$2:BB$941,3,FALSE)*F1733</f>
        <v>-1</v>
      </c>
      <c r="AL1733" s="17"/>
      <c r="AM1733" s="17"/>
      <c r="AN1733" s="17"/>
      <c r="AO1733" s="17"/>
      <c r="AP1733" s="17"/>
      <c r="AQ1733" s="17"/>
      <c r="AR1733" s="17"/>
      <c r="AS1733" s="17"/>
      <c r="AT1733" s="17"/>
      <c r="AU1733" s="17"/>
      <c r="AV1733" s="17"/>
    </row>
    <row r="1734" spans="1:48" ht="15.75" customHeight="1">
      <c r="A1734" s="21" t="s">
        <v>43</v>
      </c>
      <c r="B1734" s="23" t="s">
        <v>1692</v>
      </c>
      <c r="C1734" s="22">
        <v>45798</v>
      </c>
      <c r="D1734" s="23" t="s">
        <v>632</v>
      </c>
      <c r="E1734" s="23" t="s">
        <v>45</v>
      </c>
      <c r="F1734" s="21">
        <v>2</v>
      </c>
      <c r="G1734" s="12">
        <v>7999.7710567538261</v>
      </c>
      <c r="H1734" s="12">
        <v>15999.542113507652</v>
      </c>
      <c r="I1734" s="23" t="s">
        <v>52</v>
      </c>
      <c r="J1734" s="23" t="s">
        <v>61</v>
      </c>
      <c r="K1734" s="24" t="s">
        <v>177</v>
      </c>
      <c r="L1734" s="24">
        <v>142</v>
      </c>
      <c r="M1734" s="12">
        <v>6722.496686347753</v>
      </c>
      <c r="N1734" s="12">
        <v>13444.993372695506</v>
      </c>
      <c r="O1734" s="12">
        <v>2554.5487408121462</v>
      </c>
      <c r="P1734" s="13"/>
      <c r="Q1734" s="14">
        <v>2025</v>
      </c>
      <c r="R1734" s="15">
        <v>45413</v>
      </c>
      <c r="S1734" s="11" t="s">
        <v>355</v>
      </c>
      <c r="T1734" s="16">
        <v>0</v>
      </c>
      <c r="U1734" s="17"/>
      <c r="V1734" s="12">
        <v>2286.993372695506</v>
      </c>
      <c r="W1734" s="12">
        <v>2286.993372695506</v>
      </c>
      <c r="X1734" s="12">
        <v>0</v>
      </c>
      <c r="Y1734" s="18">
        <v>45796</v>
      </c>
      <c r="Z1734" s="13" t="s">
        <v>515</v>
      </c>
      <c r="AA1734" s="19" t="s">
        <v>373</v>
      </c>
      <c r="AB1734" s="13" t="s">
        <v>357</v>
      </c>
      <c r="AC1734" s="13" t="s">
        <v>633</v>
      </c>
      <c r="AD1734" s="20"/>
      <c r="AE1734" s="20"/>
      <c r="AF1734" s="13" t="s">
        <v>40</v>
      </c>
      <c r="AG1734" s="15">
        <v>45413</v>
      </c>
      <c r="AH1734" s="13" t="s">
        <v>41</v>
      </c>
      <c r="AI1734" s="13" t="s">
        <v>43</v>
      </c>
      <c r="AJ1734" s="13" t="str">
        <f>VLOOKUP(E1734,Precios!Z$2:AA$941,2,FALSE)</f>
        <v>Bandeja Huevos EXTRA</v>
      </c>
      <c r="AK1734" s="14">
        <f>VLOOKUP(E1734,Precios!Z$2:BB$941,3,FALSE)*F1734</f>
        <v>-2</v>
      </c>
      <c r="AL1734" s="17"/>
      <c r="AM1734" s="17"/>
      <c r="AN1734" s="17"/>
      <c r="AO1734" s="17"/>
      <c r="AP1734" s="17"/>
      <c r="AQ1734" s="17"/>
      <c r="AR1734" s="17"/>
      <c r="AS1734" s="17"/>
      <c r="AT1734" s="17"/>
      <c r="AU1734" s="17"/>
      <c r="AV1734" s="17"/>
    </row>
    <row r="1735" spans="1:48" ht="15.75" customHeight="1">
      <c r="A1735" s="21" t="s">
        <v>76</v>
      </c>
      <c r="B1735" s="23" t="s">
        <v>1692</v>
      </c>
      <c r="C1735" s="22">
        <v>45798</v>
      </c>
      <c r="D1735" s="23" t="s">
        <v>152</v>
      </c>
      <c r="E1735" s="23" t="s">
        <v>81</v>
      </c>
      <c r="F1735" s="21">
        <v>1</v>
      </c>
      <c r="G1735" s="12">
        <v>3500.0000000000005</v>
      </c>
      <c r="H1735" s="12">
        <v>3500.0000000000005</v>
      </c>
      <c r="I1735" s="23" t="s">
        <v>52</v>
      </c>
      <c r="J1735" s="23" t="s">
        <v>61</v>
      </c>
      <c r="K1735" s="24" t="s">
        <v>177</v>
      </c>
      <c r="L1735" s="24">
        <v>142</v>
      </c>
      <c r="M1735" s="12">
        <v>2941.1764705882356</v>
      </c>
      <c r="N1735" s="12">
        <v>2941.1764705882356</v>
      </c>
      <c r="O1735" s="12">
        <v>558.82352941176487</v>
      </c>
      <c r="P1735" s="13"/>
      <c r="Q1735" s="14">
        <v>2025</v>
      </c>
      <c r="R1735" s="15">
        <v>45413</v>
      </c>
      <c r="S1735" s="11" t="s">
        <v>397</v>
      </c>
      <c r="T1735" s="16">
        <v>5</v>
      </c>
      <c r="U1735" s="17"/>
      <c r="V1735" s="12">
        <v>764.70588235294144</v>
      </c>
      <c r="W1735" s="12">
        <v>764.70588235294144</v>
      </c>
      <c r="X1735" s="12">
        <v>0</v>
      </c>
      <c r="Y1735" s="18">
        <v>45796</v>
      </c>
      <c r="Z1735" s="13" t="s">
        <v>515</v>
      </c>
      <c r="AA1735" s="19" t="s">
        <v>373</v>
      </c>
      <c r="AB1735" s="13" t="s">
        <v>357</v>
      </c>
      <c r="AC1735" s="13" t="s">
        <v>383</v>
      </c>
      <c r="AD1735" s="20"/>
      <c r="AE1735" s="20"/>
      <c r="AF1735" s="13" t="s">
        <v>40</v>
      </c>
      <c r="AG1735" s="15">
        <v>45413</v>
      </c>
      <c r="AH1735" s="13" t="s">
        <v>41</v>
      </c>
      <c r="AI1735" s="13" t="s">
        <v>76</v>
      </c>
      <c r="AJ1735" s="13" t="str">
        <f>VLOOKUP(E1735,Precios!Z$2:AA$941,2,FALSE)</f>
        <v>Detergente SPUM 5 Litros (Verde)</v>
      </c>
      <c r="AK1735" s="14">
        <f>VLOOKUP(E1735,Precios!Z$2:BB$941,3,FALSE)*F1735</f>
        <v>-1</v>
      </c>
      <c r="AL1735" s="17"/>
      <c r="AM1735" s="17"/>
      <c r="AN1735" s="17"/>
      <c r="AO1735" s="17"/>
      <c r="AP1735" s="17"/>
      <c r="AQ1735" s="17"/>
      <c r="AR1735" s="17"/>
      <c r="AS1735" s="17"/>
      <c r="AT1735" s="17"/>
      <c r="AU1735" s="17"/>
      <c r="AV1735" s="17"/>
    </row>
    <row r="1736" spans="1:48" ht="15.75" customHeight="1">
      <c r="A1736" s="21" t="s">
        <v>35</v>
      </c>
      <c r="B1736" s="23" t="s">
        <v>1692</v>
      </c>
      <c r="C1736" s="22">
        <v>45798</v>
      </c>
      <c r="D1736" s="23" t="s">
        <v>152</v>
      </c>
      <c r="E1736" s="23" t="s">
        <v>46</v>
      </c>
      <c r="F1736" s="14">
        <v>1</v>
      </c>
      <c r="G1736" s="12">
        <v>6000.1548227279782</v>
      </c>
      <c r="H1736" s="12">
        <v>6000.1548227279782</v>
      </c>
      <c r="I1736" s="23" t="s">
        <v>52</v>
      </c>
      <c r="J1736" s="23" t="s">
        <v>61</v>
      </c>
      <c r="K1736" s="24" t="s">
        <v>177</v>
      </c>
      <c r="L1736" s="24">
        <v>142</v>
      </c>
      <c r="M1736" s="12">
        <v>5042.1469098554444</v>
      </c>
      <c r="N1736" s="12">
        <v>5042.1469098554444</v>
      </c>
      <c r="O1736" s="12">
        <v>958.00791287253378</v>
      </c>
      <c r="P1736" s="13"/>
      <c r="Q1736" s="14">
        <v>2025</v>
      </c>
      <c r="R1736" s="15">
        <v>45413</v>
      </c>
      <c r="S1736" s="11" t="s">
        <v>364</v>
      </c>
      <c r="T1736" s="16">
        <v>500</v>
      </c>
      <c r="U1736" s="17"/>
      <c r="V1736" s="12">
        <v>1785.4242207798129</v>
      </c>
      <c r="W1736" s="12">
        <v>1785.4242207798129</v>
      </c>
      <c r="X1736" s="12">
        <v>0</v>
      </c>
      <c r="Y1736" s="18">
        <v>45796</v>
      </c>
      <c r="Z1736" s="13" t="s">
        <v>515</v>
      </c>
      <c r="AA1736" s="19" t="s">
        <v>373</v>
      </c>
      <c r="AB1736" s="13" t="s">
        <v>357</v>
      </c>
      <c r="AC1736" s="13" t="s">
        <v>383</v>
      </c>
      <c r="AD1736" s="20"/>
      <c r="AE1736" s="20"/>
      <c r="AF1736" s="13" t="s">
        <v>40</v>
      </c>
      <c r="AG1736" s="15">
        <v>45413</v>
      </c>
      <c r="AH1736" s="13" t="s">
        <v>41</v>
      </c>
      <c r="AI1736" s="13" t="s">
        <v>35</v>
      </c>
      <c r="AJ1736" s="13" t="str">
        <f>VLOOKUP(E1736,Precios!Z$2:AA$941,2,FALSE)</f>
        <v>Queso RUNCA Mantecoso</v>
      </c>
      <c r="AK1736" s="14">
        <f>VLOOKUP(E1736,Precios!Z$2:BB$941,3,FALSE)*F1736</f>
        <v>-0.5</v>
      </c>
      <c r="AL1736" s="17"/>
      <c r="AM1736" s="17"/>
      <c r="AN1736" s="17"/>
      <c r="AO1736" s="17"/>
      <c r="AP1736" s="17"/>
      <c r="AQ1736" s="17"/>
      <c r="AR1736" s="17"/>
      <c r="AS1736" s="17"/>
      <c r="AT1736" s="17"/>
      <c r="AU1736" s="17"/>
      <c r="AV1736" s="17"/>
    </row>
    <row r="1737" spans="1:48" ht="15.75" customHeight="1">
      <c r="A1737" s="21" t="s">
        <v>43</v>
      </c>
      <c r="B1737" s="23" t="s">
        <v>1692</v>
      </c>
      <c r="C1737" s="22">
        <v>45798</v>
      </c>
      <c r="D1737" s="23" t="s">
        <v>634</v>
      </c>
      <c r="E1737" s="23" t="s">
        <v>45</v>
      </c>
      <c r="F1737" s="21">
        <v>1</v>
      </c>
      <c r="G1737" s="12">
        <v>7999.7710567538261</v>
      </c>
      <c r="H1737" s="12">
        <v>7999.7710567538261</v>
      </c>
      <c r="I1737" s="23" t="s">
        <v>52</v>
      </c>
      <c r="J1737" s="23" t="s">
        <v>61</v>
      </c>
      <c r="K1737" s="24" t="s">
        <v>177</v>
      </c>
      <c r="L1737" s="24">
        <v>142</v>
      </c>
      <c r="M1737" s="12">
        <v>6722.496686347753</v>
      </c>
      <c r="N1737" s="12">
        <v>6722.496686347753</v>
      </c>
      <c r="O1737" s="12">
        <v>1277.2743704060731</v>
      </c>
      <c r="P1737" s="13"/>
      <c r="Q1737" s="14">
        <v>2025</v>
      </c>
      <c r="R1737" s="15">
        <v>45413</v>
      </c>
      <c r="S1737" s="11" t="s">
        <v>355</v>
      </c>
      <c r="T1737" s="16">
        <v>0</v>
      </c>
      <c r="U1737" s="17"/>
      <c r="V1737" s="12">
        <v>1143.496686347753</v>
      </c>
      <c r="W1737" s="12">
        <v>1143.496686347753</v>
      </c>
      <c r="X1737" s="12">
        <v>0</v>
      </c>
      <c r="Y1737" s="18">
        <v>45796</v>
      </c>
      <c r="Z1737" s="13" t="s">
        <v>515</v>
      </c>
      <c r="AA1737" s="19" t="s">
        <v>361</v>
      </c>
      <c r="AB1737" s="13" t="s">
        <v>357</v>
      </c>
      <c r="AC1737" s="13" t="s">
        <v>405</v>
      </c>
      <c r="AD1737" s="20"/>
      <c r="AE1737" s="20"/>
      <c r="AF1737" s="13" t="s">
        <v>40</v>
      </c>
      <c r="AG1737" s="15">
        <v>45413</v>
      </c>
      <c r="AH1737" s="13" t="s">
        <v>41</v>
      </c>
      <c r="AI1737" s="13" t="s">
        <v>43</v>
      </c>
      <c r="AJ1737" s="13" t="str">
        <f>VLOOKUP(E1737,Precios!Z$2:AA$941,2,FALSE)</f>
        <v>Bandeja Huevos EXTRA</v>
      </c>
      <c r="AK1737" s="14">
        <f>VLOOKUP(E1737,Precios!Z$2:BB$941,3,FALSE)*F1737</f>
        <v>-1</v>
      </c>
      <c r="AL1737" s="17"/>
      <c r="AM1737" s="17"/>
      <c r="AN1737" s="17"/>
      <c r="AO1737" s="17"/>
      <c r="AP1737" s="17"/>
      <c r="AQ1737" s="17"/>
      <c r="AR1737" s="17"/>
      <c r="AS1737" s="17"/>
      <c r="AT1737" s="17"/>
      <c r="AU1737" s="17"/>
      <c r="AV1737" s="17"/>
    </row>
    <row r="1738" spans="1:48" ht="15.75" customHeight="1">
      <c r="A1738" s="21" t="s">
        <v>53</v>
      </c>
      <c r="B1738" s="23" t="s">
        <v>1692</v>
      </c>
      <c r="C1738" s="22">
        <v>45798</v>
      </c>
      <c r="D1738" s="23" t="s">
        <v>634</v>
      </c>
      <c r="E1738" s="23" t="s">
        <v>203</v>
      </c>
      <c r="F1738" s="21">
        <v>1</v>
      </c>
      <c r="G1738" s="12">
        <v>10000.38816108685</v>
      </c>
      <c r="H1738" s="12">
        <v>10000.38816108685</v>
      </c>
      <c r="I1738" s="23" t="s">
        <v>52</v>
      </c>
      <c r="J1738" s="23" t="s">
        <v>61</v>
      </c>
      <c r="K1738" s="24" t="s">
        <v>177</v>
      </c>
      <c r="L1738" s="24">
        <v>142</v>
      </c>
      <c r="M1738" s="12">
        <v>8403.6875303250854</v>
      </c>
      <c r="N1738" s="12">
        <v>8403.6875303250854</v>
      </c>
      <c r="O1738" s="12">
        <v>1596.7006307617648</v>
      </c>
      <c r="P1738" s="13"/>
      <c r="Q1738" s="14">
        <v>2025</v>
      </c>
      <c r="R1738" s="15">
        <v>45413</v>
      </c>
      <c r="S1738" s="11" t="s">
        <v>366</v>
      </c>
      <c r="T1738" s="16">
        <v>0</v>
      </c>
      <c r="U1738" s="17"/>
      <c r="V1738" s="12">
        <v>2986.6611852311507</v>
      </c>
      <c r="W1738" s="12">
        <v>2986.6611852311507</v>
      </c>
      <c r="X1738" s="12">
        <v>0</v>
      </c>
      <c r="Y1738" s="18">
        <v>45796</v>
      </c>
      <c r="Z1738" s="13" t="s">
        <v>515</v>
      </c>
      <c r="AA1738" s="19" t="s">
        <v>361</v>
      </c>
      <c r="AB1738" s="13" t="s">
        <v>357</v>
      </c>
      <c r="AC1738" s="13" t="s">
        <v>405</v>
      </c>
      <c r="AD1738" s="20"/>
      <c r="AE1738" s="20"/>
      <c r="AF1738" s="13" t="s">
        <v>40</v>
      </c>
      <c r="AG1738" s="15">
        <v>45413</v>
      </c>
      <c r="AH1738" s="13" t="s">
        <v>41</v>
      </c>
      <c r="AI1738" s="13" t="s">
        <v>53</v>
      </c>
      <c r="AJ1738" s="13" t="str">
        <f>VLOOKUP(E1738,Precios!Z$2:AA$941,2,FALSE)</f>
        <v>Papel Higienico ELITE 50 metros</v>
      </c>
      <c r="AK1738" s="14">
        <f>VLOOKUP(E1738,Precios!Z$2:BB$941,3,FALSE)*F1738</f>
        <v>-3</v>
      </c>
      <c r="AL1738" s="17"/>
      <c r="AM1738" s="17"/>
      <c r="AN1738" s="17"/>
      <c r="AO1738" s="17"/>
      <c r="AP1738" s="17"/>
      <c r="AQ1738" s="17"/>
      <c r="AR1738" s="17"/>
      <c r="AS1738" s="17"/>
      <c r="AT1738" s="17"/>
      <c r="AU1738" s="17"/>
      <c r="AV1738" s="17"/>
    </row>
    <row r="1739" spans="1:48" ht="15.75" customHeight="1">
      <c r="A1739" s="21" t="s">
        <v>53</v>
      </c>
      <c r="B1739" s="23" t="s">
        <v>1692</v>
      </c>
      <c r="C1739" s="22">
        <v>45798</v>
      </c>
      <c r="D1739" s="23" t="s">
        <v>634</v>
      </c>
      <c r="E1739" s="23" t="s">
        <v>88</v>
      </c>
      <c r="F1739" s="21">
        <v>1</v>
      </c>
      <c r="G1739" s="12">
        <v>1999.9551032624961</v>
      </c>
      <c r="H1739" s="12">
        <v>1999.9551032624961</v>
      </c>
      <c r="I1739" s="23" t="s">
        <v>52</v>
      </c>
      <c r="J1739" s="23" t="s">
        <v>61</v>
      </c>
      <c r="K1739" s="24" t="s">
        <v>177</v>
      </c>
      <c r="L1739" s="24">
        <v>142</v>
      </c>
      <c r="M1739" s="12">
        <v>1680.6345405567195</v>
      </c>
      <c r="N1739" s="12">
        <v>1680.6345405567195</v>
      </c>
      <c r="O1739" s="12">
        <v>319.32056270577664</v>
      </c>
      <c r="P1739" s="13"/>
      <c r="Q1739" s="14">
        <v>2025</v>
      </c>
      <c r="R1739" s="15">
        <v>45413</v>
      </c>
      <c r="S1739" s="11" t="s">
        <v>410</v>
      </c>
      <c r="T1739" s="16">
        <v>0</v>
      </c>
      <c r="U1739" s="17"/>
      <c r="V1739" s="12">
        <v>557.63454055671946</v>
      </c>
      <c r="W1739" s="12">
        <v>557.63454055671946</v>
      </c>
      <c r="X1739" s="12">
        <v>0</v>
      </c>
      <c r="Y1739" s="18">
        <v>45796</v>
      </c>
      <c r="Z1739" s="13" t="s">
        <v>515</v>
      </c>
      <c r="AA1739" s="19" t="s">
        <v>361</v>
      </c>
      <c r="AB1739" s="13" t="s">
        <v>357</v>
      </c>
      <c r="AC1739" s="13" t="s">
        <v>405</v>
      </c>
      <c r="AD1739" s="20"/>
      <c r="AE1739" s="20"/>
      <c r="AF1739" s="13" t="s">
        <v>40</v>
      </c>
      <c r="AG1739" s="15">
        <v>45413</v>
      </c>
      <c r="AH1739" s="13" t="s">
        <v>41</v>
      </c>
      <c r="AI1739" s="13" t="s">
        <v>53</v>
      </c>
      <c r="AJ1739" s="13" t="str">
        <f>VLOOKUP(E1739,Precios!Z$2:AA$941,2,FALSE)</f>
        <v>Toalla Papel NOVA 26 metros</v>
      </c>
      <c r="AK1739" s="14">
        <f>VLOOKUP(E1739,Precios!Z$2:BB$941,3,FALSE)*F1739</f>
        <v>-1</v>
      </c>
      <c r="AL1739" s="17"/>
      <c r="AM1739" s="17"/>
      <c r="AN1739" s="17"/>
      <c r="AO1739" s="17"/>
      <c r="AP1739" s="17"/>
      <c r="AQ1739" s="17"/>
      <c r="AR1739" s="17"/>
      <c r="AS1739" s="17"/>
      <c r="AT1739" s="17"/>
      <c r="AU1739" s="17"/>
      <c r="AV1739" s="17"/>
    </row>
    <row r="1740" spans="1:48" ht="15.75" customHeight="1">
      <c r="A1740" s="21" t="s">
        <v>76</v>
      </c>
      <c r="B1740" s="23" t="s">
        <v>1692</v>
      </c>
      <c r="C1740" s="22">
        <v>45798</v>
      </c>
      <c r="D1740" s="23" t="s">
        <v>634</v>
      </c>
      <c r="E1740" s="23" t="s">
        <v>77</v>
      </c>
      <c r="F1740" s="21">
        <v>1</v>
      </c>
      <c r="G1740" s="12">
        <v>1500.0000000000002</v>
      </c>
      <c r="H1740" s="12">
        <v>1500.0000000000002</v>
      </c>
      <c r="I1740" s="23" t="s">
        <v>52</v>
      </c>
      <c r="J1740" s="23" t="s">
        <v>61</v>
      </c>
      <c r="K1740" s="24" t="s">
        <v>177</v>
      </c>
      <c r="L1740" s="24">
        <v>142</v>
      </c>
      <c r="M1740" s="12">
        <v>1260.5042016806726</v>
      </c>
      <c r="N1740" s="12">
        <v>1260.5042016806726</v>
      </c>
      <c r="O1740" s="12">
        <v>239.4957983193276</v>
      </c>
      <c r="P1740" s="13"/>
      <c r="Q1740" s="14">
        <v>2025</v>
      </c>
      <c r="R1740" s="15">
        <v>45413</v>
      </c>
      <c r="S1740" s="11" t="s">
        <v>448</v>
      </c>
      <c r="T1740" s="16">
        <v>0</v>
      </c>
      <c r="U1740" s="17"/>
      <c r="V1740" s="12">
        <v>421.00840336134468</v>
      </c>
      <c r="W1740" s="12">
        <v>421.00840336134468</v>
      </c>
      <c r="X1740" s="12">
        <v>0</v>
      </c>
      <c r="Y1740" s="18">
        <v>45796</v>
      </c>
      <c r="Z1740" s="13" t="s">
        <v>515</v>
      </c>
      <c r="AA1740" s="19" t="s">
        <v>361</v>
      </c>
      <c r="AB1740" s="13" t="s">
        <v>357</v>
      </c>
      <c r="AC1740" s="13" t="s">
        <v>405</v>
      </c>
      <c r="AD1740" s="20"/>
      <c r="AE1740" s="20"/>
      <c r="AF1740" s="13" t="s">
        <v>40</v>
      </c>
      <c r="AG1740" s="15">
        <v>45413</v>
      </c>
      <c r="AH1740" s="13" t="s">
        <v>41</v>
      </c>
      <c r="AI1740" s="13" t="s">
        <v>76</v>
      </c>
      <c r="AJ1740" s="13" t="str">
        <f>VLOOKUP(E1740,Precios!Z$2:AA$941,2,FALSE)</f>
        <v>Cloro GEL IGENIX 900ml</v>
      </c>
      <c r="AK1740" s="14">
        <f>VLOOKUP(E1740,Precios!Z$2:BB$941,3,FALSE)*F1740</f>
        <v>-1</v>
      </c>
      <c r="AL1740" s="17"/>
      <c r="AM1740" s="17"/>
      <c r="AN1740" s="17"/>
      <c r="AO1740" s="17"/>
      <c r="AP1740" s="17"/>
      <c r="AQ1740" s="17"/>
      <c r="AR1740" s="17"/>
      <c r="AS1740" s="17"/>
      <c r="AT1740" s="17"/>
      <c r="AU1740" s="17"/>
      <c r="AV1740" s="17"/>
    </row>
    <row r="1741" spans="1:48" ht="15.75" customHeight="1">
      <c r="A1741" s="21" t="s">
        <v>35</v>
      </c>
      <c r="B1741" s="23" t="s">
        <v>1692</v>
      </c>
      <c r="C1741" s="22">
        <v>45798</v>
      </c>
      <c r="D1741" s="23" t="s">
        <v>635</v>
      </c>
      <c r="E1741" s="23" t="s">
        <v>37</v>
      </c>
      <c r="F1741" s="21">
        <v>1</v>
      </c>
      <c r="G1741" s="12">
        <v>11000.014358944907</v>
      </c>
      <c r="H1741" s="12">
        <v>11000.014358944907</v>
      </c>
      <c r="I1741" s="23" t="s">
        <v>52</v>
      </c>
      <c r="J1741" s="23" t="s">
        <v>61</v>
      </c>
      <c r="K1741" s="24" t="s">
        <v>177</v>
      </c>
      <c r="L1741" s="24">
        <v>142</v>
      </c>
      <c r="M1741" s="12">
        <v>9243.7095453318543</v>
      </c>
      <c r="N1741" s="12">
        <v>9243.7095453318543</v>
      </c>
      <c r="O1741" s="12">
        <v>1756.3048136130528</v>
      </c>
      <c r="P1741" s="13"/>
      <c r="Q1741" s="14">
        <v>2025</v>
      </c>
      <c r="R1741" s="15">
        <v>45413</v>
      </c>
      <c r="S1741" s="11" t="s">
        <v>364</v>
      </c>
      <c r="T1741" s="16">
        <v>1000</v>
      </c>
      <c r="U1741" s="17"/>
      <c r="V1741" s="12">
        <v>2806.1129066763915</v>
      </c>
      <c r="W1741" s="12">
        <v>2806.1129066763915</v>
      </c>
      <c r="X1741" s="12">
        <v>0</v>
      </c>
      <c r="Y1741" s="18">
        <v>45796</v>
      </c>
      <c r="Z1741" s="13" t="s">
        <v>515</v>
      </c>
      <c r="AA1741" s="19" t="s">
        <v>373</v>
      </c>
      <c r="AB1741" s="13" t="s">
        <v>357</v>
      </c>
      <c r="AC1741" s="13" t="s">
        <v>636</v>
      </c>
      <c r="AD1741" s="20"/>
      <c r="AE1741" s="20"/>
      <c r="AF1741" s="13" t="s">
        <v>40</v>
      </c>
      <c r="AG1741" s="15">
        <v>45413</v>
      </c>
      <c r="AH1741" s="13" t="s">
        <v>41</v>
      </c>
      <c r="AI1741" s="13" t="s">
        <v>35</v>
      </c>
      <c r="AJ1741" s="13" t="str">
        <f>VLOOKUP(E1741,Precios!Z$2:AA$941,2,FALSE)</f>
        <v>Queso RUNCA Mantecoso</v>
      </c>
      <c r="AK1741" s="14">
        <f>VLOOKUP(E1741,Precios!Z$2:BB$941,3,FALSE)*F1741</f>
        <v>-1</v>
      </c>
      <c r="AL1741" s="17"/>
      <c r="AM1741" s="17"/>
      <c r="AN1741" s="17"/>
      <c r="AO1741" s="17"/>
      <c r="AP1741" s="17"/>
      <c r="AQ1741" s="17"/>
      <c r="AR1741" s="17"/>
      <c r="AS1741" s="17"/>
      <c r="AT1741" s="17"/>
      <c r="AU1741" s="17"/>
      <c r="AV1741" s="17"/>
    </row>
    <row r="1742" spans="1:48" ht="15.75" customHeight="1">
      <c r="A1742" s="21" t="s">
        <v>43</v>
      </c>
      <c r="B1742" s="23" t="s">
        <v>1692</v>
      </c>
      <c r="C1742" s="22">
        <v>45798</v>
      </c>
      <c r="D1742" s="23" t="s">
        <v>286</v>
      </c>
      <c r="E1742" s="23" t="s">
        <v>45</v>
      </c>
      <c r="F1742" s="21">
        <v>2</v>
      </c>
      <c r="G1742" s="12">
        <v>7999.7710567538261</v>
      </c>
      <c r="H1742" s="12">
        <v>15999.542113507652</v>
      </c>
      <c r="I1742" s="23" t="s">
        <v>52</v>
      </c>
      <c r="J1742" s="23" t="s">
        <v>61</v>
      </c>
      <c r="K1742" s="24" t="s">
        <v>177</v>
      </c>
      <c r="L1742" s="24">
        <v>142</v>
      </c>
      <c r="M1742" s="12">
        <v>6722.496686347753</v>
      </c>
      <c r="N1742" s="12">
        <v>13444.993372695506</v>
      </c>
      <c r="O1742" s="12">
        <v>2554.5487408121462</v>
      </c>
      <c r="P1742" s="13"/>
      <c r="Q1742" s="14">
        <v>2025</v>
      </c>
      <c r="R1742" s="15">
        <v>45413</v>
      </c>
      <c r="S1742" s="11" t="s">
        <v>355</v>
      </c>
      <c r="T1742" s="16">
        <v>0</v>
      </c>
      <c r="U1742" s="17"/>
      <c r="V1742" s="12">
        <v>2286.993372695506</v>
      </c>
      <c r="W1742" s="12">
        <v>2286.993372695506</v>
      </c>
      <c r="X1742" s="12">
        <v>0</v>
      </c>
      <c r="Y1742" s="18">
        <v>45796</v>
      </c>
      <c r="Z1742" s="13" t="s">
        <v>515</v>
      </c>
      <c r="AA1742" s="19" t="s">
        <v>373</v>
      </c>
      <c r="AB1742" s="13" t="s">
        <v>357</v>
      </c>
      <c r="AC1742" s="13" t="s">
        <v>616</v>
      </c>
      <c r="AD1742" s="20"/>
      <c r="AE1742" s="20"/>
      <c r="AF1742" s="13" t="s">
        <v>40</v>
      </c>
      <c r="AG1742" s="15">
        <v>45413</v>
      </c>
      <c r="AH1742" s="13" t="s">
        <v>41</v>
      </c>
      <c r="AI1742" s="13" t="s">
        <v>43</v>
      </c>
      <c r="AJ1742" s="13" t="str">
        <f>VLOOKUP(E1742,Precios!Z$2:AA$941,2,FALSE)</f>
        <v>Bandeja Huevos EXTRA</v>
      </c>
      <c r="AK1742" s="14">
        <f>VLOOKUP(E1742,Precios!Z$2:BB$941,3,FALSE)*F1742</f>
        <v>-2</v>
      </c>
      <c r="AL1742" s="17"/>
      <c r="AM1742" s="17"/>
      <c r="AN1742" s="17"/>
      <c r="AO1742" s="17"/>
      <c r="AP1742" s="17"/>
      <c r="AQ1742" s="17"/>
      <c r="AR1742" s="17"/>
      <c r="AS1742" s="17"/>
      <c r="AT1742" s="17"/>
      <c r="AU1742" s="17"/>
      <c r="AV1742" s="17"/>
    </row>
    <row r="1743" spans="1:48" ht="15.75" customHeight="1">
      <c r="A1743" s="21" t="s">
        <v>43</v>
      </c>
      <c r="B1743" s="23" t="s">
        <v>1692</v>
      </c>
      <c r="C1743" s="22">
        <v>45798</v>
      </c>
      <c r="D1743" s="23" t="s">
        <v>637</v>
      </c>
      <c r="E1743" s="23" t="s">
        <v>45</v>
      </c>
      <c r="F1743" s="21">
        <v>2</v>
      </c>
      <c r="G1743" s="12">
        <v>7999.7710567538261</v>
      </c>
      <c r="H1743" s="12">
        <v>15999.542113507652</v>
      </c>
      <c r="I1743" s="23" t="s">
        <v>52</v>
      </c>
      <c r="J1743" s="23" t="s">
        <v>61</v>
      </c>
      <c r="K1743" s="24" t="s">
        <v>177</v>
      </c>
      <c r="L1743" s="24">
        <v>142</v>
      </c>
      <c r="M1743" s="12">
        <v>6722.496686347753</v>
      </c>
      <c r="N1743" s="12">
        <v>13444.993372695506</v>
      </c>
      <c r="O1743" s="12">
        <v>2554.5487408121462</v>
      </c>
      <c r="P1743" s="13"/>
      <c r="Q1743" s="14">
        <v>2025</v>
      </c>
      <c r="R1743" s="15">
        <v>45413</v>
      </c>
      <c r="S1743" s="11" t="s">
        <v>355</v>
      </c>
      <c r="T1743" s="16">
        <v>0</v>
      </c>
      <c r="U1743" s="17"/>
      <c r="V1743" s="12">
        <v>2286.993372695506</v>
      </c>
      <c r="W1743" s="12">
        <v>2286.993372695506</v>
      </c>
      <c r="X1743" s="12">
        <v>0</v>
      </c>
      <c r="Y1743" s="18">
        <v>45796</v>
      </c>
      <c r="Z1743" s="13" t="s">
        <v>515</v>
      </c>
      <c r="AA1743" s="19" t="s">
        <v>373</v>
      </c>
      <c r="AB1743" s="13" t="s">
        <v>357</v>
      </c>
      <c r="AC1743" s="13" t="s">
        <v>462</v>
      </c>
      <c r="AD1743" s="20"/>
      <c r="AE1743" s="20"/>
      <c r="AF1743" s="13" t="s">
        <v>40</v>
      </c>
      <c r="AG1743" s="15">
        <v>45413</v>
      </c>
      <c r="AH1743" s="13" t="s">
        <v>41</v>
      </c>
      <c r="AI1743" s="13" t="s">
        <v>43</v>
      </c>
      <c r="AJ1743" s="13" t="str">
        <f>VLOOKUP(E1743,Precios!Z$2:AA$941,2,FALSE)</f>
        <v>Bandeja Huevos EXTRA</v>
      </c>
      <c r="AK1743" s="14">
        <f>VLOOKUP(E1743,Precios!Z$2:BB$941,3,FALSE)*F1743</f>
        <v>-2</v>
      </c>
      <c r="AL1743" s="17"/>
      <c r="AM1743" s="17"/>
      <c r="AN1743" s="17"/>
      <c r="AO1743" s="17"/>
      <c r="AP1743" s="17"/>
      <c r="AQ1743" s="17"/>
      <c r="AR1743" s="17"/>
      <c r="AS1743" s="17"/>
      <c r="AT1743" s="17"/>
      <c r="AU1743" s="17"/>
      <c r="AV1743" s="17"/>
    </row>
    <row r="1744" spans="1:48" ht="15.75" customHeight="1">
      <c r="A1744" s="21" t="s">
        <v>53</v>
      </c>
      <c r="B1744" s="23" t="s">
        <v>1692</v>
      </c>
      <c r="C1744" s="25">
        <v>45797</v>
      </c>
      <c r="D1744" s="23" t="s">
        <v>87</v>
      </c>
      <c r="E1744" s="23" t="s">
        <v>55</v>
      </c>
      <c r="F1744" s="14">
        <v>1</v>
      </c>
      <c r="G1744" s="12">
        <v>20899.922685965601</v>
      </c>
      <c r="H1744" s="12">
        <v>20899.922685965601</v>
      </c>
      <c r="I1744" s="23" t="s">
        <v>52</v>
      </c>
      <c r="J1744" s="23" t="s">
        <v>61</v>
      </c>
      <c r="K1744" s="24" t="s">
        <v>177</v>
      </c>
      <c r="L1744" s="24">
        <v>141</v>
      </c>
      <c r="M1744" s="12">
        <v>17562.960240307228</v>
      </c>
      <c r="N1744" s="12">
        <v>17562.960240307228</v>
      </c>
      <c r="O1744" s="12">
        <v>3336.9624456583733</v>
      </c>
      <c r="P1744" s="13"/>
      <c r="Q1744" s="14">
        <v>2025</v>
      </c>
      <c r="R1744" s="15">
        <v>45413</v>
      </c>
      <c r="S1744" s="11" t="s">
        <v>366</v>
      </c>
      <c r="T1744" s="16">
        <v>0</v>
      </c>
      <c r="U1744" s="17"/>
      <c r="V1744" s="12">
        <v>3117.7370878319234</v>
      </c>
      <c r="W1744" s="12">
        <v>3117.7370878319234</v>
      </c>
      <c r="X1744" s="12">
        <v>0</v>
      </c>
      <c r="Y1744" s="18">
        <v>45796</v>
      </c>
      <c r="Z1744" s="13" t="s">
        <v>516</v>
      </c>
      <c r="AA1744" s="19" t="s">
        <v>361</v>
      </c>
      <c r="AB1744" s="13" t="s">
        <v>357</v>
      </c>
      <c r="AC1744" s="13" t="s">
        <v>383</v>
      </c>
      <c r="AD1744" s="20"/>
      <c r="AE1744" s="20"/>
      <c r="AF1744" s="13" t="s">
        <v>40</v>
      </c>
      <c r="AG1744" s="15">
        <v>45413</v>
      </c>
      <c r="AH1744" s="13" t="s">
        <v>41</v>
      </c>
      <c r="AI1744" s="13" t="s">
        <v>53</v>
      </c>
      <c r="AJ1744" s="13" t="str">
        <f>VLOOKUP(E1744,Precios!Z$2:AA$941,2,FALSE)</f>
        <v>Papel Higienico ELITE 50 metros</v>
      </c>
      <c r="AK1744" s="14">
        <f>VLOOKUP(E1744,Precios!Z$2:BB$941,3,FALSE)*F1744</f>
        <v>-8</v>
      </c>
      <c r="AL1744" s="17"/>
      <c r="AM1744" s="17"/>
      <c r="AN1744" s="17"/>
      <c r="AO1744" s="17"/>
      <c r="AP1744" s="17"/>
      <c r="AQ1744" s="17"/>
      <c r="AR1744" s="17"/>
      <c r="AS1744" s="17"/>
      <c r="AT1744" s="17"/>
      <c r="AU1744" s="17"/>
      <c r="AV1744" s="17"/>
    </row>
    <row r="1745" spans="1:48" ht="15.75" customHeight="1">
      <c r="A1745" s="21" t="s">
        <v>76</v>
      </c>
      <c r="B1745" s="23" t="s">
        <v>1692</v>
      </c>
      <c r="C1745" s="25">
        <v>45797</v>
      </c>
      <c r="D1745" s="23" t="s">
        <v>87</v>
      </c>
      <c r="E1745" s="23" t="s">
        <v>166</v>
      </c>
      <c r="F1745" s="14">
        <v>1</v>
      </c>
      <c r="G1745" s="12">
        <v>3500.0000000000005</v>
      </c>
      <c r="H1745" s="12">
        <v>3500.0000000000005</v>
      </c>
      <c r="I1745" s="23" t="s">
        <v>52</v>
      </c>
      <c r="J1745" s="23" t="s">
        <v>61</v>
      </c>
      <c r="K1745" s="24" t="s">
        <v>177</v>
      </c>
      <c r="L1745" s="24">
        <v>141</v>
      </c>
      <c r="M1745" s="12">
        <v>2941.1764705882356</v>
      </c>
      <c r="N1745" s="12">
        <v>2941.1764705882356</v>
      </c>
      <c r="O1745" s="12">
        <v>558.82352941176487</v>
      </c>
      <c r="P1745" s="13"/>
      <c r="Q1745" s="14">
        <v>2025</v>
      </c>
      <c r="R1745" s="15">
        <v>45413</v>
      </c>
      <c r="S1745" s="11" t="s">
        <v>448</v>
      </c>
      <c r="T1745" s="16">
        <v>5</v>
      </c>
      <c r="U1745" s="17"/>
      <c r="V1745" s="12">
        <v>1016.8067226890757</v>
      </c>
      <c r="W1745" s="12">
        <v>1016.8067226890757</v>
      </c>
      <c r="X1745" s="12">
        <v>0</v>
      </c>
      <c r="Y1745" s="18">
        <v>45796</v>
      </c>
      <c r="Z1745" s="13" t="s">
        <v>516</v>
      </c>
      <c r="AA1745" s="19" t="s">
        <v>361</v>
      </c>
      <c r="AB1745" s="13" t="s">
        <v>357</v>
      </c>
      <c r="AC1745" s="13" t="s">
        <v>383</v>
      </c>
      <c r="AD1745" s="20"/>
      <c r="AE1745" s="20"/>
      <c r="AF1745" s="13" t="s">
        <v>40</v>
      </c>
      <c r="AG1745" s="15">
        <v>45413</v>
      </c>
      <c r="AH1745" s="13" t="s">
        <v>41</v>
      </c>
      <c r="AI1745" s="13" t="s">
        <v>76</v>
      </c>
      <c r="AJ1745" s="13" t="str">
        <f>VLOOKUP(E1745,Precios!Z$2:AA$941,2,FALSE)</f>
        <v>Cloro GEL SPUM 5 Litros</v>
      </c>
      <c r="AK1745" s="14">
        <f>VLOOKUP(E1745,Precios!Z$2:BB$941,3,FALSE)*F1745</f>
        <v>-1</v>
      </c>
      <c r="AL1745" s="17"/>
      <c r="AM1745" s="17"/>
      <c r="AN1745" s="17"/>
      <c r="AO1745" s="17"/>
      <c r="AP1745" s="17"/>
      <c r="AQ1745" s="17"/>
      <c r="AR1745" s="17"/>
      <c r="AS1745" s="17"/>
      <c r="AT1745" s="17"/>
      <c r="AU1745" s="17"/>
      <c r="AV1745" s="17"/>
    </row>
    <row r="1746" spans="1:48" ht="15.75" customHeight="1">
      <c r="A1746" s="21" t="s">
        <v>56</v>
      </c>
      <c r="B1746" s="23" t="s">
        <v>1692</v>
      </c>
      <c r="C1746" s="25">
        <v>45797</v>
      </c>
      <c r="D1746" s="23" t="s">
        <v>87</v>
      </c>
      <c r="E1746" s="23" t="s">
        <v>190</v>
      </c>
      <c r="F1746" s="14">
        <v>1</v>
      </c>
      <c r="G1746" s="12">
        <v>2499.5279645258192</v>
      </c>
      <c r="H1746" s="12">
        <v>2499.5279645258192</v>
      </c>
      <c r="I1746" s="23" t="s">
        <v>52</v>
      </c>
      <c r="J1746" s="23" t="s">
        <v>61</v>
      </c>
      <c r="K1746" s="24" t="s">
        <v>177</v>
      </c>
      <c r="L1746" s="24">
        <v>141</v>
      </c>
      <c r="M1746" s="12">
        <v>2100.4436676687556</v>
      </c>
      <c r="N1746" s="12">
        <v>2100.4436676687556</v>
      </c>
      <c r="O1746" s="12">
        <v>399.08429685706369</v>
      </c>
      <c r="P1746" s="13"/>
      <c r="Q1746" s="14">
        <v>2025</v>
      </c>
      <c r="R1746" s="15">
        <v>45413</v>
      </c>
      <c r="S1746" s="11" t="s">
        <v>492</v>
      </c>
      <c r="T1746" s="16">
        <v>200</v>
      </c>
      <c r="U1746" s="17"/>
      <c r="V1746" s="12">
        <v>632.02349960152856</v>
      </c>
      <c r="W1746" s="12">
        <v>632.02349960152856</v>
      </c>
      <c r="X1746" s="12">
        <v>0</v>
      </c>
      <c r="Y1746" s="18">
        <v>45796</v>
      </c>
      <c r="Z1746" s="13" t="s">
        <v>516</v>
      </c>
      <c r="AA1746" s="19" t="s">
        <v>361</v>
      </c>
      <c r="AB1746" s="13" t="s">
        <v>357</v>
      </c>
      <c r="AC1746" s="13" t="s">
        <v>383</v>
      </c>
      <c r="AD1746" s="20"/>
      <c r="AE1746" s="20"/>
      <c r="AF1746" s="13" t="s">
        <v>40</v>
      </c>
      <c r="AG1746" s="15">
        <v>45413</v>
      </c>
      <c r="AH1746" s="13" t="s">
        <v>41</v>
      </c>
      <c r="AI1746" s="13" t="s">
        <v>56</v>
      </c>
      <c r="AJ1746" s="13" t="str">
        <f>VLOOKUP(E1746,Precios!Z$2:AA$941,2,FALSE)</f>
        <v>Mantequilla RUMAY</v>
      </c>
      <c r="AK1746" s="14">
        <f>VLOOKUP(E1746,Precios!Z$2:BB$941,3,FALSE)*F1746</f>
        <v>-1</v>
      </c>
      <c r="AL1746" s="17"/>
      <c r="AM1746" s="17"/>
      <c r="AN1746" s="17"/>
      <c r="AO1746" s="17"/>
      <c r="AP1746" s="17"/>
      <c r="AQ1746" s="17"/>
      <c r="AR1746" s="17"/>
      <c r="AS1746" s="17"/>
      <c r="AT1746" s="17"/>
      <c r="AU1746" s="17"/>
      <c r="AV1746" s="17"/>
    </row>
    <row r="1747" spans="1:48" ht="15.75" customHeight="1">
      <c r="A1747" s="21" t="s">
        <v>47</v>
      </c>
      <c r="B1747" s="23" t="s">
        <v>1692</v>
      </c>
      <c r="C1747" s="25">
        <v>45797</v>
      </c>
      <c r="D1747" s="23" t="s">
        <v>87</v>
      </c>
      <c r="E1747" s="23" t="s">
        <v>170</v>
      </c>
      <c r="F1747" s="14">
        <v>1</v>
      </c>
      <c r="G1747" s="12">
        <v>1800.1699716713879</v>
      </c>
      <c r="H1747" s="12">
        <v>1800.1699716713879</v>
      </c>
      <c r="I1747" s="23" t="s">
        <v>52</v>
      </c>
      <c r="J1747" s="23" t="s">
        <v>61</v>
      </c>
      <c r="K1747" s="24" t="s">
        <v>177</v>
      </c>
      <c r="L1747" s="24">
        <v>141</v>
      </c>
      <c r="M1747" s="12">
        <v>1512.7478753541075</v>
      </c>
      <c r="N1747" s="12">
        <v>1512.7478753541075</v>
      </c>
      <c r="O1747" s="12">
        <v>287.42209631728042</v>
      </c>
      <c r="P1747" s="13"/>
      <c r="Q1747" s="14">
        <v>2025</v>
      </c>
      <c r="R1747" s="15">
        <v>45413</v>
      </c>
      <c r="S1747" s="11" t="s">
        <v>453</v>
      </c>
      <c r="T1747" s="16">
        <v>0</v>
      </c>
      <c r="U1747" s="17"/>
      <c r="V1747" s="12">
        <v>711.74787535410746</v>
      </c>
      <c r="W1747" s="12">
        <v>711.74787535410746</v>
      </c>
      <c r="X1747" s="12">
        <v>0</v>
      </c>
      <c r="Y1747" s="18">
        <v>45796</v>
      </c>
      <c r="Z1747" s="13" t="s">
        <v>516</v>
      </c>
      <c r="AA1747" s="19" t="s">
        <v>361</v>
      </c>
      <c r="AB1747" s="13" t="s">
        <v>357</v>
      </c>
      <c r="AC1747" s="13" t="s">
        <v>383</v>
      </c>
      <c r="AD1747" s="20"/>
      <c r="AE1747" s="20"/>
      <c r="AF1747" s="13" t="s">
        <v>40</v>
      </c>
      <c r="AG1747" s="15">
        <v>45413</v>
      </c>
      <c r="AH1747" s="13" t="s">
        <v>41</v>
      </c>
      <c r="AI1747" s="13" t="s">
        <v>47</v>
      </c>
      <c r="AJ1747" s="13" t="str">
        <f>VLOOKUP(E1747,Precios!Z$2:AA$941,2,FALSE)</f>
        <v xml:space="preserve">Bolsas Basura TEDDY 50x70 </v>
      </c>
      <c r="AK1747" s="14">
        <f>VLOOKUP(E1747,Precios!Z$2:BB$941,3,FALSE)*F1747</f>
        <v>-3</v>
      </c>
      <c r="AL1747" s="17"/>
      <c r="AM1747" s="17"/>
      <c r="AN1747" s="17"/>
      <c r="AO1747" s="17"/>
      <c r="AP1747" s="17"/>
      <c r="AQ1747" s="17"/>
      <c r="AR1747" s="17"/>
      <c r="AS1747" s="17"/>
      <c r="AT1747" s="17"/>
      <c r="AU1747" s="17"/>
      <c r="AV1747" s="17"/>
    </row>
    <row r="1748" spans="1:48" ht="15.75" customHeight="1">
      <c r="A1748" s="21" t="s">
        <v>47</v>
      </c>
      <c r="B1748" s="23" t="s">
        <v>1692</v>
      </c>
      <c r="C1748" s="25">
        <v>45797</v>
      </c>
      <c r="D1748" s="23" t="s">
        <v>87</v>
      </c>
      <c r="E1748" s="23" t="s">
        <v>267</v>
      </c>
      <c r="F1748" s="14">
        <v>1</v>
      </c>
      <c r="G1748" s="12">
        <v>7499.8770659745942</v>
      </c>
      <c r="H1748" s="12">
        <v>7499.8770659745942</v>
      </c>
      <c r="I1748" s="23" t="s">
        <v>52</v>
      </c>
      <c r="J1748" s="23" t="s">
        <v>61</v>
      </c>
      <c r="K1748" s="24" t="s">
        <v>177</v>
      </c>
      <c r="L1748" s="24">
        <v>141</v>
      </c>
      <c r="M1748" s="12">
        <v>6302.4177024996588</v>
      </c>
      <c r="N1748" s="12">
        <v>6302.4177024996588</v>
      </c>
      <c r="O1748" s="12">
        <v>1197.4593634749353</v>
      </c>
      <c r="P1748" s="13"/>
      <c r="Q1748" s="14">
        <v>2025</v>
      </c>
      <c r="R1748" s="15">
        <v>45413</v>
      </c>
      <c r="S1748" s="11" t="s">
        <v>372</v>
      </c>
      <c r="T1748" s="16">
        <v>0</v>
      </c>
      <c r="U1748" s="17"/>
      <c r="V1748" s="12">
        <v>1688.4177024996588</v>
      </c>
      <c r="W1748" s="12">
        <v>1688.4177024996588</v>
      </c>
      <c r="X1748" s="12">
        <v>0</v>
      </c>
      <c r="Y1748" s="18">
        <v>45796</v>
      </c>
      <c r="Z1748" s="13" t="s">
        <v>516</v>
      </c>
      <c r="AA1748" s="19" t="s">
        <v>361</v>
      </c>
      <c r="AB1748" s="13" t="s">
        <v>357</v>
      </c>
      <c r="AC1748" s="13" t="s">
        <v>383</v>
      </c>
      <c r="AD1748" s="20"/>
      <c r="AE1748" s="20"/>
      <c r="AF1748" s="13" t="s">
        <v>40</v>
      </c>
      <c r="AG1748" s="15">
        <v>45413</v>
      </c>
      <c r="AH1748" s="13" t="s">
        <v>41</v>
      </c>
      <c r="AI1748" s="13" t="s">
        <v>47</v>
      </c>
      <c r="AJ1748" s="13" t="str">
        <f>VLOOKUP(E1748,Precios!Z$2:AA$941,2,FALSE)</f>
        <v>Traperos Humedos EXCELL</v>
      </c>
      <c r="AK1748" s="14">
        <f>VLOOKUP(E1748,Precios!Z$2:BB$941,3,FALSE)*F1748</f>
        <v>-3</v>
      </c>
      <c r="AL1748" s="17"/>
      <c r="AM1748" s="17"/>
      <c r="AN1748" s="17"/>
      <c r="AO1748" s="17"/>
      <c r="AP1748" s="17"/>
      <c r="AQ1748" s="17"/>
      <c r="AR1748" s="17"/>
      <c r="AS1748" s="17"/>
      <c r="AT1748" s="17"/>
      <c r="AU1748" s="17"/>
      <c r="AV1748" s="17"/>
    </row>
    <row r="1749" spans="1:48" ht="15.75" customHeight="1">
      <c r="A1749" s="21" t="s">
        <v>76</v>
      </c>
      <c r="B1749" s="23" t="s">
        <v>1692</v>
      </c>
      <c r="C1749" s="25">
        <v>45797</v>
      </c>
      <c r="D1749" s="23" t="s">
        <v>87</v>
      </c>
      <c r="E1749" s="23" t="s">
        <v>110</v>
      </c>
      <c r="F1749" s="14">
        <v>1</v>
      </c>
      <c r="G1749" s="12">
        <v>2000.0000000000005</v>
      </c>
      <c r="H1749" s="12">
        <v>2000.0000000000005</v>
      </c>
      <c r="I1749" s="23" t="s">
        <v>52</v>
      </c>
      <c r="J1749" s="23" t="s">
        <v>61</v>
      </c>
      <c r="K1749" s="24" t="s">
        <v>177</v>
      </c>
      <c r="L1749" s="24">
        <v>141</v>
      </c>
      <c r="M1749" s="12">
        <v>1680.6722689075634</v>
      </c>
      <c r="N1749" s="12">
        <v>1680.6722689075634</v>
      </c>
      <c r="O1749" s="12">
        <v>319.32773109243703</v>
      </c>
      <c r="P1749" s="13"/>
      <c r="Q1749" s="14">
        <v>2025</v>
      </c>
      <c r="R1749" s="15">
        <v>45413</v>
      </c>
      <c r="S1749" s="11" t="s">
        <v>378</v>
      </c>
      <c r="T1749" s="16">
        <v>5</v>
      </c>
      <c r="U1749" s="17"/>
      <c r="V1749" s="12">
        <v>756.30252100840369</v>
      </c>
      <c r="W1749" s="12">
        <v>756.30252100840369</v>
      </c>
      <c r="X1749" s="12">
        <v>0</v>
      </c>
      <c r="Y1749" s="18">
        <v>45796</v>
      </c>
      <c r="Z1749" s="13" t="s">
        <v>516</v>
      </c>
      <c r="AA1749" s="19" t="s">
        <v>361</v>
      </c>
      <c r="AB1749" s="13" t="s">
        <v>357</v>
      </c>
      <c r="AC1749" s="13" t="s">
        <v>383</v>
      </c>
      <c r="AD1749" s="20"/>
      <c r="AE1749" s="20"/>
      <c r="AF1749" s="13" t="s">
        <v>40</v>
      </c>
      <c r="AG1749" s="15">
        <v>45413</v>
      </c>
      <c r="AH1749" s="13" t="s">
        <v>41</v>
      </c>
      <c r="AI1749" s="13" t="s">
        <v>76</v>
      </c>
      <c r="AJ1749" s="13" t="str">
        <f>VLOOKUP(E1749,Precios!Z$2:AA$941,2,FALSE)</f>
        <v>Cloro SPUM 5 Litros</v>
      </c>
      <c r="AK1749" s="14">
        <f>VLOOKUP(E1749,Precios!Z$2:BB$941,3,FALSE)*F1749</f>
        <v>-1</v>
      </c>
      <c r="AL1749" s="17"/>
      <c r="AM1749" s="17"/>
      <c r="AN1749" s="17"/>
      <c r="AO1749" s="17"/>
      <c r="AP1749" s="17"/>
      <c r="AQ1749" s="17"/>
      <c r="AR1749" s="17"/>
      <c r="AS1749" s="17"/>
      <c r="AT1749" s="17"/>
      <c r="AU1749" s="17"/>
      <c r="AV1749" s="17"/>
    </row>
    <row r="1750" spans="1:48" ht="15.75" customHeight="1">
      <c r="A1750" s="21" t="s">
        <v>53</v>
      </c>
      <c r="B1750" s="23" t="s">
        <v>1692</v>
      </c>
      <c r="C1750" s="25">
        <v>45797</v>
      </c>
      <c r="D1750" s="23" t="s">
        <v>87</v>
      </c>
      <c r="E1750" s="23" t="s">
        <v>88</v>
      </c>
      <c r="F1750" s="14">
        <v>1</v>
      </c>
      <c r="G1750" s="12">
        <v>1999.9551032624961</v>
      </c>
      <c r="H1750" s="12">
        <v>1999.9551032624961</v>
      </c>
      <c r="I1750" s="23" t="s">
        <v>52</v>
      </c>
      <c r="J1750" s="23" t="s">
        <v>61</v>
      </c>
      <c r="K1750" s="24" t="s">
        <v>177</v>
      </c>
      <c r="L1750" s="24">
        <v>141</v>
      </c>
      <c r="M1750" s="12">
        <v>1680.6345405567195</v>
      </c>
      <c r="N1750" s="12">
        <v>1680.6345405567195</v>
      </c>
      <c r="O1750" s="12">
        <v>319.32056270577664</v>
      </c>
      <c r="P1750" s="13"/>
      <c r="Q1750" s="14">
        <v>2025</v>
      </c>
      <c r="R1750" s="15">
        <v>45413</v>
      </c>
      <c r="S1750" s="11" t="s">
        <v>410</v>
      </c>
      <c r="T1750" s="16">
        <v>0</v>
      </c>
      <c r="U1750" s="17"/>
      <c r="V1750" s="12">
        <v>557.63454055671946</v>
      </c>
      <c r="W1750" s="12">
        <v>557.63454055671946</v>
      </c>
      <c r="X1750" s="12">
        <v>0</v>
      </c>
      <c r="Y1750" s="18">
        <v>45796</v>
      </c>
      <c r="Z1750" s="13" t="s">
        <v>516</v>
      </c>
      <c r="AA1750" s="19" t="s">
        <v>361</v>
      </c>
      <c r="AB1750" s="13" t="s">
        <v>357</v>
      </c>
      <c r="AC1750" s="13" t="s">
        <v>383</v>
      </c>
      <c r="AD1750" s="20"/>
      <c r="AE1750" s="20"/>
      <c r="AF1750" s="13" t="s">
        <v>40</v>
      </c>
      <c r="AG1750" s="15">
        <v>45413</v>
      </c>
      <c r="AH1750" s="13" t="s">
        <v>41</v>
      </c>
      <c r="AI1750" s="13" t="s">
        <v>53</v>
      </c>
      <c r="AJ1750" s="13" t="str">
        <f>VLOOKUP(E1750,Precios!Z$2:AA$941,2,FALSE)</f>
        <v>Toalla Papel NOVA 26 metros</v>
      </c>
      <c r="AK1750" s="14">
        <f>VLOOKUP(E1750,Precios!Z$2:BB$941,3,FALSE)*F1750</f>
        <v>-1</v>
      </c>
      <c r="AL1750" s="17"/>
      <c r="AM1750" s="17"/>
      <c r="AN1750" s="17"/>
      <c r="AO1750" s="17"/>
      <c r="AP1750" s="17"/>
      <c r="AQ1750" s="17"/>
      <c r="AR1750" s="17"/>
      <c r="AS1750" s="17"/>
      <c r="AT1750" s="17"/>
      <c r="AU1750" s="17"/>
      <c r="AV1750" s="17"/>
    </row>
    <row r="1751" spans="1:48" ht="15.75" customHeight="1">
      <c r="A1751" s="21" t="s">
        <v>53</v>
      </c>
      <c r="B1751" s="23" t="s">
        <v>1692</v>
      </c>
      <c r="C1751" s="25">
        <v>45797</v>
      </c>
      <c r="D1751" s="23" t="s">
        <v>638</v>
      </c>
      <c r="E1751" s="23" t="s">
        <v>55</v>
      </c>
      <c r="F1751" s="14">
        <v>1</v>
      </c>
      <c r="G1751" s="12">
        <v>20899.922685965601</v>
      </c>
      <c r="H1751" s="12">
        <v>20899.922685965601</v>
      </c>
      <c r="I1751" s="23" t="s">
        <v>52</v>
      </c>
      <c r="J1751" s="23" t="s">
        <v>61</v>
      </c>
      <c r="K1751" s="24" t="s">
        <v>177</v>
      </c>
      <c r="L1751" s="24">
        <v>141</v>
      </c>
      <c r="M1751" s="12">
        <v>17562.960240307228</v>
      </c>
      <c r="N1751" s="12">
        <v>17562.960240307228</v>
      </c>
      <c r="O1751" s="12">
        <v>3336.9624456583733</v>
      </c>
      <c r="P1751" s="13"/>
      <c r="Q1751" s="14">
        <v>2025</v>
      </c>
      <c r="R1751" s="15">
        <v>45413</v>
      </c>
      <c r="S1751" s="11" t="s">
        <v>366</v>
      </c>
      <c r="T1751" s="16">
        <v>0</v>
      </c>
      <c r="U1751" s="17"/>
      <c r="V1751" s="12">
        <v>3117.7370878319234</v>
      </c>
      <c r="W1751" s="12">
        <v>3117.7370878319234</v>
      </c>
      <c r="X1751" s="12">
        <v>0</v>
      </c>
      <c r="Y1751" s="18">
        <v>45796</v>
      </c>
      <c r="Z1751" s="13" t="s">
        <v>516</v>
      </c>
      <c r="AA1751" s="19" t="s">
        <v>373</v>
      </c>
      <c r="AB1751" s="13" t="s">
        <v>357</v>
      </c>
      <c r="AC1751" s="13" t="s">
        <v>389</v>
      </c>
      <c r="AD1751" s="20"/>
      <c r="AE1751" s="20"/>
      <c r="AF1751" s="13" t="s">
        <v>40</v>
      </c>
      <c r="AG1751" s="15">
        <v>45413</v>
      </c>
      <c r="AH1751" s="13" t="s">
        <v>41</v>
      </c>
      <c r="AI1751" s="13" t="s">
        <v>53</v>
      </c>
      <c r="AJ1751" s="13" t="str">
        <f>VLOOKUP(E1751,Precios!Z$2:AA$941,2,FALSE)</f>
        <v>Papel Higienico ELITE 50 metros</v>
      </c>
      <c r="AK1751" s="14">
        <f>VLOOKUP(E1751,Precios!Z$2:BB$941,3,FALSE)*F1751</f>
        <v>-8</v>
      </c>
      <c r="AL1751" s="17"/>
      <c r="AM1751" s="17"/>
      <c r="AN1751" s="17"/>
      <c r="AO1751" s="17"/>
      <c r="AP1751" s="17"/>
      <c r="AQ1751" s="17"/>
      <c r="AR1751" s="17"/>
      <c r="AS1751" s="17"/>
      <c r="AT1751" s="17"/>
      <c r="AU1751" s="17"/>
      <c r="AV1751" s="17"/>
    </row>
    <row r="1752" spans="1:48" ht="15.75" customHeight="1">
      <c r="A1752" s="21" t="s">
        <v>53</v>
      </c>
      <c r="B1752" s="23" t="s">
        <v>1692</v>
      </c>
      <c r="C1752" s="25">
        <v>45797</v>
      </c>
      <c r="D1752" s="23" t="s">
        <v>638</v>
      </c>
      <c r="E1752" s="23" t="s">
        <v>69</v>
      </c>
      <c r="F1752" s="14">
        <v>1</v>
      </c>
      <c r="G1752" s="12">
        <v>2999.9553810458683</v>
      </c>
      <c r="H1752" s="12">
        <v>2999.9553810458683</v>
      </c>
      <c r="I1752" s="23" t="s">
        <v>52</v>
      </c>
      <c r="J1752" s="23" t="s">
        <v>61</v>
      </c>
      <c r="K1752" s="24" t="s">
        <v>177</v>
      </c>
      <c r="L1752" s="24">
        <v>141</v>
      </c>
      <c r="M1752" s="12">
        <v>2520.9709084419064</v>
      </c>
      <c r="N1752" s="12">
        <v>2520.9709084419064</v>
      </c>
      <c r="O1752" s="12">
        <v>478.98447260396188</v>
      </c>
      <c r="P1752" s="13"/>
      <c r="Q1752" s="14">
        <v>2025</v>
      </c>
      <c r="R1752" s="15">
        <v>45413</v>
      </c>
      <c r="S1752" s="11" t="s">
        <v>376</v>
      </c>
      <c r="T1752" s="16">
        <v>0</v>
      </c>
      <c r="U1752" s="17"/>
      <c r="V1752" s="12">
        <v>825.97090844190598</v>
      </c>
      <c r="W1752" s="12">
        <v>825.97090844190598</v>
      </c>
      <c r="X1752" s="12">
        <v>0</v>
      </c>
      <c r="Y1752" s="18">
        <v>45796</v>
      </c>
      <c r="Z1752" s="13" t="s">
        <v>516</v>
      </c>
      <c r="AA1752" s="19" t="s">
        <v>373</v>
      </c>
      <c r="AB1752" s="13" t="s">
        <v>357</v>
      </c>
      <c r="AC1752" s="13" t="s">
        <v>389</v>
      </c>
      <c r="AD1752" s="20"/>
      <c r="AE1752" s="20"/>
      <c r="AF1752" s="13" t="s">
        <v>40</v>
      </c>
      <c r="AG1752" s="15">
        <v>45413</v>
      </c>
      <c r="AH1752" s="13" t="s">
        <v>41</v>
      </c>
      <c r="AI1752" s="13" t="s">
        <v>53</v>
      </c>
      <c r="AJ1752" s="13" t="str">
        <f>VLOOKUP(E1752,Precios!Z$2:AA$941,2,FALSE)</f>
        <v>Toalla Papel NOVA 70 metros</v>
      </c>
      <c r="AK1752" s="14">
        <f>VLOOKUP(E1752,Precios!Z$2:BB$941,3,FALSE)*F1752</f>
        <v>-1</v>
      </c>
      <c r="AL1752" s="17"/>
      <c r="AM1752" s="17"/>
      <c r="AN1752" s="17"/>
      <c r="AO1752" s="17"/>
      <c r="AP1752" s="17"/>
      <c r="AQ1752" s="17"/>
      <c r="AR1752" s="17"/>
      <c r="AS1752" s="17"/>
      <c r="AT1752" s="17"/>
      <c r="AU1752" s="17"/>
      <c r="AV1752" s="17"/>
    </row>
    <row r="1753" spans="1:48" ht="15.75" customHeight="1">
      <c r="A1753" s="21" t="s">
        <v>47</v>
      </c>
      <c r="B1753" s="23" t="s">
        <v>1692</v>
      </c>
      <c r="C1753" s="25">
        <v>45797</v>
      </c>
      <c r="D1753" s="23" t="s">
        <v>638</v>
      </c>
      <c r="E1753" s="23" t="s">
        <v>328</v>
      </c>
      <c r="F1753" s="14">
        <v>1</v>
      </c>
      <c r="G1753" s="12">
        <v>1400</v>
      </c>
      <c r="H1753" s="12">
        <v>1400</v>
      </c>
      <c r="I1753" s="23" t="s">
        <v>52</v>
      </c>
      <c r="J1753" s="23" t="s">
        <v>61</v>
      </c>
      <c r="K1753" s="24" t="s">
        <v>177</v>
      </c>
      <c r="L1753" s="24">
        <v>141</v>
      </c>
      <c r="M1753" s="12">
        <v>1176.4705882352941</v>
      </c>
      <c r="N1753" s="12">
        <v>1176.4705882352941</v>
      </c>
      <c r="O1753" s="12">
        <v>223.52941176470586</v>
      </c>
      <c r="P1753" s="13"/>
      <c r="Q1753" s="14">
        <v>2025</v>
      </c>
      <c r="R1753" s="15">
        <v>45413</v>
      </c>
      <c r="S1753" s="11" t="s">
        <v>384</v>
      </c>
      <c r="T1753" s="16">
        <v>0</v>
      </c>
      <c r="U1753" s="17"/>
      <c r="V1753" s="12">
        <v>512.47058823529414</v>
      </c>
      <c r="W1753" s="12">
        <v>512.47058823529414</v>
      </c>
      <c r="X1753" s="12">
        <v>0</v>
      </c>
      <c r="Y1753" s="18">
        <v>45796</v>
      </c>
      <c r="Z1753" s="13" t="s">
        <v>516</v>
      </c>
      <c r="AA1753" s="19" t="s">
        <v>373</v>
      </c>
      <c r="AB1753" s="13" t="s">
        <v>357</v>
      </c>
      <c r="AC1753" s="13" t="s">
        <v>389</v>
      </c>
      <c r="AD1753" s="20"/>
      <c r="AE1753" s="20"/>
      <c r="AF1753" s="13" t="s">
        <v>40</v>
      </c>
      <c r="AG1753" s="15">
        <v>45413</v>
      </c>
      <c r="AH1753" s="13" t="s">
        <v>41</v>
      </c>
      <c r="AI1753" s="13" t="s">
        <v>47</v>
      </c>
      <c r="AJ1753" s="13" t="str">
        <f>VLOOKUP(E1753,Precios!Z$2:AA$941,2,FALSE)</f>
        <v>Jabón Líquido TEDDY</v>
      </c>
      <c r="AK1753" s="14">
        <f>VLOOKUP(E1753,Precios!Z$2:BB$941,3,FALSE)*F1753</f>
        <v>-1</v>
      </c>
      <c r="AL1753" s="17"/>
      <c r="AM1753" s="17"/>
      <c r="AN1753" s="17"/>
      <c r="AO1753" s="17"/>
      <c r="AP1753" s="17"/>
      <c r="AQ1753" s="17"/>
      <c r="AR1753" s="17"/>
      <c r="AS1753" s="17"/>
      <c r="AT1753" s="17"/>
      <c r="AU1753" s="17"/>
      <c r="AV1753" s="17"/>
    </row>
    <row r="1754" spans="1:48" ht="15.75" customHeight="1">
      <c r="A1754" s="21" t="s">
        <v>35</v>
      </c>
      <c r="B1754" s="23" t="s">
        <v>1692</v>
      </c>
      <c r="C1754" s="22">
        <v>45799</v>
      </c>
      <c r="D1754" s="23" t="s">
        <v>340</v>
      </c>
      <c r="E1754" s="23" t="s">
        <v>46</v>
      </c>
      <c r="F1754" s="14">
        <v>1</v>
      </c>
      <c r="G1754" s="12">
        <v>6000.1548227279782</v>
      </c>
      <c r="H1754" s="12">
        <v>6000.1548227279782</v>
      </c>
      <c r="I1754" s="23" t="s">
        <v>52</v>
      </c>
      <c r="J1754" s="23" t="s">
        <v>61</v>
      </c>
      <c r="K1754" s="24" t="s">
        <v>177</v>
      </c>
      <c r="L1754" s="24">
        <v>141</v>
      </c>
      <c r="M1754" s="12">
        <v>5042.1469098554444</v>
      </c>
      <c r="N1754" s="12">
        <v>5042.1469098554444</v>
      </c>
      <c r="O1754" s="12">
        <v>958.00791287253378</v>
      </c>
      <c r="P1754" s="13"/>
      <c r="Q1754" s="14">
        <v>2025</v>
      </c>
      <c r="R1754" s="15">
        <v>45413</v>
      </c>
      <c r="S1754" s="11" t="s">
        <v>364</v>
      </c>
      <c r="T1754" s="16">
        <v>500</v>
      </c>
      <c r="U1754" s="17"/>
      <c r="V1754" s="12">
        <v>1785.4242207798129</v>
      </c>
      <c r="W1754" s="12">
        <v>1785.4242207798129</v>
      </c>
      <c r="X1754" s="12">
        <v>0</v>
      </c>
      <c r="Y1754" s="18">
        <v>45796</v>
      </c>
      <c r="Z1754" s="13" t="s">
        <v>505</v>
      </c>
      <c r="AA1754" s="19" t="s">
        <v>373</v>
      </c>
      <c r="AB1754" s="13" t="s">
        <v>357</v>
      </c>
      <c r="AC1754" s="13" t="s">
        <v>380</v>
      </c>
      <c r="AD1754" s="20"/>
      <c r="AE1754" s="20"/>
      <c r="AF1754" s="13" t="s">
        <v>40</v>
      </c>
      <c r="AG1754" s="15">
        <v>45413</v>
      </c>
      <c r="AH1754" s="13" t="s">
        <v>41</v>
      </c>
      <c r="AI1754" s="13" t="s">
        <v>35</v>
      </c>
      <c r="AJ1754" s="13" t="str">
        <f>VLOOKUP(E1754,Precios!Z$2:AA$941,2,FALSE)</f>
        <v>Queso RUNCA Mantecoso</v>
      </c>
      <c r="AK1754" s="14">
        <f>VLOOKUP(E1754,Precios!Z$2:BB$941,3,FALSE)*F1754</f>
        <v>-0.5</v>
      </c>
      <c r="AL1754" s="17"/>
      <c r="AM1754" s="17"/>
      <c r="AN1754" s="17"/>
      <c r="AO1754" s="17"/>
      <c r="AP1754" s="17"/>
      <c r="AQ1754" s="17"/>
      <c r="AR1754" s="17"/>
      <c r="AS1754" s="17"/>
      <c r="AT1754" s="17"/>
      <c r="AU1754" s="17"/>
      <c r="AV1754" s="17"/>
    </row>
    <row r="1755" spans="1:48" ht="15.75" customHeight="1">
      <c r="A1755" s="14" t="s">
        <v>43</v>
      </c>
      <c r="B1755" s="23" t="s">
        <v>1692</v>
      </c>
      <c r="C1755" s="25">
        <v>45797</v>
      </c>
      <c r="D1755" s="23" t="s">
        <v>604</v>
      </c>
      <c r="E1755" s="13" t="s">
        <v>45</v>
      </c>
      <c r="F1755" s="14">
        <v>1</v>
      </c>
      <c r="G1755" s="12">
        <v>7999.7710567538261</v>
      </c>
      <c r="H1755" s="12">
        <v>7999.7710567538261</v>
      </c>
      <c r="I1755" s="23" t="s">
        <v>52</v>
      </c>
      <c r="J1755" s="23" t="s">
        <v>61</v>
      </c>
      <c r="K1755" s="24" t="s">
        <v>177</v>
      </c>
      <c r="L1755" s="24">
        <v>141</v>
      </c>
      <c r="M1755" s="12">
        <v>6722.496686347753</v>
      </c>
      <c r="N1755" s="12">
        <v>6722.496686347753</v>
      </c>
      <c r="O1755" s="12">
        <v>1277.2743704060731</v>
      </c>
      <c r="P1755" s="13"/>
      <c r="Q1755" s="14">
        <v>2025</v>
      </c>
      <c r="R1755" s="15">
        <v>45413</v>
      </c>
      <c r="S1755" s="11" t="s">
        <v>355</v>
      </c>
      <c r="T1755" s="16">
        <v>0</v>
      </c>
      <c r="U1755" s="17"/>
      <c r="V1755" s="12">
        <v>1143.496686347753</v>
      </c>
      <c r="W1755" s="12">
        <v>1143.496686347753</v>
      </c>
      <c r="X1755" s="12">
        <v>0</v>
      </c>
      <c r="Y1755" s="18">
        <v>45796</v>
      </c>
      <c r="Z1755" s="13" t="s">
        <v>516</v>
      </c>
      <c r="AA1755" s="23" t="s">
        <v>373</v>
      </c>
      <c r="AB1755" s="23" t="s">
        <v>357</v>
      </c>
      <c r="AC1755" s="23" t="s">
        <v>465</v>
      </c>
      <c r="AD1755" s="20"/>
      <c r="AE1755" s="20"/>
      <c r="AF1755" s="13" t="s">
        <v>40</v>
      </c>
      <c r="AG1755" s="15">
        <v>45413</v>
      </c>
      <c r="AH1755" s="13" t="s">
        <v>41</v>
      </c>
      <c r="AI1755" s="13" t="s">
        <v>43</v>
      </c>
      <c r="AJ1755" s="13" t="str">
        <f>VLOOKUP(E1755,Precios!Z$2:AA$941,2,FALSE)</f>
        <v>Bandeja Huevos EXTRA</v>
      </c>
      <c r="AK1755" s="14">
        <f>VLOOKUP(E1755,Precios!Z$2:BB$941,3,FALSE)*F1755</f>
        <v>-1</v>
      </c>
      <c r="AL1755" s="17"/>
      <c r="AM1755" s="17"/>
      <c r="AN1755" s="17"/>
      <c r="AO1755" s="17"/>
      <c r="AP1755" s="17"/>
      <c r="AQ1755" s="17"/>
      <c r="AR1755" s="17"/>
      <c r="AS1755" s="17"/>
      <c r="AT1755" s="17"/>
      <c r="AU1755" s="17"/>
      <c r="AV1755" s="17"/>
    </row>
    <row r="1756" spans="1:48" ht="15.75" customHeight="1">
      <c r="A1756" s="21" t="s">
        <v>43</v>
      </c>
      <c r="B1756" s="23" t="s">
        <v>1692</v>
      </c>
      <c r="C1756" s="22">
        <v>45797</v>
      </c>
      <c r="D1756" s="23" t="s">
        <v>639</v>
      </c>
      <c r="E1756" s="23" t="s">
        <v>45</v>
      </c>
      <c r="F1756" s="21">
        <v>1</v>
      </c>
      <c r="G1756" s="12">
        <v>7999.7710567538261</v>
      </c>
      <c r="H1756" s="12">
        <v>7999.7710567538261</v>
      </c>
      <c r="I1756" s="23" t="s">
        <v>52</v>
      </c>
      <c r="J1756" s="23" t="s">
        <v>61</v>
      </c>
      <c r="K1756" s="24" t="s">
        <v>177</v>
      </c>
      <c r="L1756" s="24">
        <v>141</v>
      </c>
      <c r="M1756" s="12">
        <v>6722.496686347753</v>
      </c>
      <c r="N1756" s="12">
        <v>6722.496686347753</v>
      </c>
      <c r="O1756" s="12">
        <v>1277.2743704060731</v>
      </c>
      <c r="P1756" s="13"/>
      <c r="Q1756" s="14">
        <v>2025</v>
      </c>
      <c r="R1756" s="15">
        <v>45413</v>
      </c>
      <c r="S1756" s="11" t="s">
        <v>355</v>
      </c>
      <c r="T1756" s="16">
        <v>0</v>
      </c>
      <c r="U1756" s="17"/>
      <c r="V1756" s="12">
        <v>1143.496686347753</v>
      </c>
      <c r="W1756" s="12">
        <v>1143.496686347753</v>
      </c>
      <c r="X1756" s="12">
        <v>0</v>
      </c>
      <c r="Y1756" s="18">
        <v>45796</v>
      </c>
      <c r="Z1756" s="13" t="s">
        <v>516</v>
      </c>
      <c r="AA1756" s="19" t="s">
        <v>373</v>
      </c>
      <c r="AB1756" s="13" t="s">
        <v>357</v>
      </c>
      <c r="AC1756" s="13" t="s">
        <v>640</v>
      </c>
      <c r="AD1756" s="20"/>
      <c r="AE1756" s="20"/>
      <c r="AF1756" s="13" t="s">
        <v>40</v>
      </c>
      <c r="AG1756" s="15">
        <v>45413</v>
      </c>
      <c r="AH1756" s="13" t="s">
        <v>41</v>
      </c>
      <c r="AI1756" s="13" t="s">
        <v>43</v>
      </c>
      <c r="AJ1756" s="13" t="str">
        <f>VLOOKUP(E1756,Precios!Z$2:AA$941,2,FALSE)</f>
        <v>Bandeja Huevos EXTRA</v>
      </c>
      <c r="AK1756" s="14">
        <f>VLOOKUP(E1756,Precios!Z$2:BB$941,3,FALSE)*F1756</f>
        <v>-1</v>
      </c>
      <c r="AL1756" s="17"/>
      <c r="AM1756" s="17"/>
      <c r="AN1756" s="17"/>
      <c r="AO1756" s="17"/>
      <c r="AP1756" s="17"/>
      <c r="AQ1756" s="17"/>
      <c r="AR1756" s="17"/>
      <c r="AS1756" s="17"/>
      <c r="AT1756" s="17"/>
      <c r="AU1756" s="17"/>
      <c r="AV1756" s="17"/>
    </row>
    <row r="1757" spans="1:48" ht="15.75" customHeight="1">
      <c r="A1757" s="21" t="s">
        <v>53</v>
      </c>
      <c r="B1757" s="23" t="s">
        <v>1692</v>
      </c>
      <c r="C1757" s="22">
        <v>45797</v>
      </c>
      <c r="D1757" s="23" t="s">
        <v>352</v>
      </c>
      <c r="E1757" s="23" t="s">
        <v>97</v>
      </c>
      <c r="F1757" s="21">
        <v>1</v>
      </c>
      <c r="G1757" s="12">
        <v>16500.126742712295</v>
      </c>
      <c r="H1757" s="12">
        <v>16500.126742712295</v>
      </c>
      <c r="I1757" s="23" t="s">
        <v>52</v>
      </c>
      <c r="J1757" s="23" t="s">
        <v>61</v>
      </c>
      <c r="K1757" s="24" t="s">
        <v>177</v>
      </c>
      <c r="L1757" s="24">
        <v>141</v>
      </c>
      <c r="M1757" s="12">
        <v>13865.652724968315</v>
      </c>
      <c r="N1757" s="12">
        <v>13865.652724968315</v>
      </c>
      <c r="O1757" s="12">
        <v>2634.4740177439799</v>
      </c>
      <c r="P1757" s="13"/>
      <c r="Q1757" s="14">
        <v>2025</v>
      </c>
      <c r="R1757" s="15">
        <v>45413</v>
      </c>
      <c r="S1757" s="11" t="s">
        <v>366</v>
      </c>
      <c r="T1757" s="16">
        <v>0</v>
      </c>
      <c r="U1757" s="17"/>
      <c r="V1757" s="12">
        <v>3031.7451846163694</v>
      </c>
      <c r="W1757" s="12">
        <v>3031.7451846163694</v>
      </c>
      <c r="X1757" s="12">
        <v>0</v>
      </c>
      <c r="Y1757" s="18">
        <v>45796</v>
      </c>
      <c r="Z1757" s="13" t="s">
        <v>516</v>
      </c>
      <c r="AA1757" s="19" t="s">
        <v>361</v>
      </c>
      <c r="AB1757" s="13" t="s">
        <v>357</v>
      </c>
      <c r="AC1757" s="13" t="s">
        <v>489</v>
      </c>
      <c r="AD1757" s="20"/>
      <c r="AE1757" s="20"/>
      <c r="AF1757" s="13" t="s">
        <v>40</v>
      </c>
      <c r="AG1757" s="15">
        <v>45413</v>
      </c>
      <c r="AH1757" s="13" t="s">
        <v>41</v>
      </c>
      <c r="AI1757" s="13" t="s">
        <v>53</v>
      </c>
      <c r="AJ1757" s="13" t="str">
        <f>VLOOKUP(E1757,Precios!Z$2:AA$941,2,FALSE)</f>
        <v>Papel Higienico ELITE 50 metros</v>
      </c>
      <c r="AK1757" s="14">
        <f>VLOOKUP(E1757,Precios!Z$2:BB$941,3,FALSE)*F1757</f>
        <v>-6</v>
      </c>
      <c r="AL1757" s="17"/>
      <c r="AM1757" s="17"/>
      <c r="AN1757" s="17"/>
      <c r="AO1757" s="17"/>
      <c r="AP1757" s="17"/>
      <c r="AQ1757" s="17"/>
      <c r="AR1757" s="17"/>
      <c r="AS1757" s="17"/>
      <c r="AT1757" s="17"/>
      <c r="AU1757" s="17"/>
      <c r="AV1757" s="17"/>
    </row>
    <row r="1758" spans="1:48" ht="15.75" customHeight="1">
      <c r="A1758" s="21" t="s">
        <v>56</v>
      </c>
      <c r="B1758" s="23" t="s">
        <v>1692</v>
      </c>
      <c r="C1758" s="22">
        <v>45797</v>
      </c>
      <c r="D1758" s="23" t="s">
        <v>352</v>
      </c>
      <c r="E1758" s="23" t="s">
        <v>67</v>
      </c>
      <c r="F1758" s="21">
        <v>1</v>
      </c>
      <c r="G1758" s="12">
        <v>7000.0000000000009</v>
      </c>
      <c r="H1758" s="12">
        <v>7000.0000000000009</v>
      </c>
      <c r="I1758" s="23" t="s">
        <v>52</v>
      </c>
      <c r="J1758" s="23" t="s">
        <v>61</v>
      </c>
      <c r="K1758" s="24" t="s">
        <v>177</v>
      </c>
      <c r="L1758" s="24">
        <v>141</v>
      </c>
      <c r="M1758" s="12">
        <v>5882.3529411764712</v>
      </c>
      <c r="N1758" s="12">
        <v>5882.3529411764712</v>
      </c>
      <c r="O1758" s="12">
        <v>1117.6470588235297</v>
      </c>
      <c r="P1758" s="13"/>
      <c r="Q1758" s="14">
        <v>2025</v>
      </c>
      <c r="R1758" s="15">
        <v>45413</v>
      </c>
      <c r="S1758" s="11" t="s">
        <v>492</v>
      </c>
      <c r="T1758" s="16">
        <v>200</v>
      </c>
      <c r="U1758" s="17"/>
      <c r="V1758" s="12">
        <v>1512.6050420168067</v>
      </c>
      <c r="W1758" s="12">
        <v>1512.6050420168067</v>
      </c>
      <c r="X1758" s="12">
        <v>0</v>
      </c>
      <c r="Y1758" s="18">
        <v>45796</v>
      </c>
      <c r="Z1758" s="13" t="s">
        <v>516</v>
      </c>
      <c r="AA1758" s="19" t="s">
        <v>361</v>
      </c>
      <c r="AB1758" s="13" t="s">
        <v>357</v>
      </c>
      <c r="AC1758" s="13" t="s">
        <v>489</v>
      </c>
      <c r="AD1758" s="20"/>
      <c r="AE1758" s="20"/>
      <c r="AF1758" s="13" t="s">
        <v>40</v>
      </c>
      <c r="AG1758" s="15">
        <v>45413</v>
      </c>
      <c r="AH1758" s="13" t="s">
        <v>41</v>
      </c>
      <c r="AI1758" s="13" t="s">
        <v>56</v>
      </c>
      <c r="AJ1758" s="13" t="str">
        <f>VLOOKUP(E1758,Precios!Z$2:AA$941,2,FALSE)</f>
        <v>Mantequilla RUMAY</v>
      </c>
      <c r="AK1758" s="14">
        <f>VLOOKUP(E1758,Precios!Z$2:BB$941,3,FALSE)*F1758</f>
        <v>-3</v>
      </c>
      <c r="AL1758" s="17"/>
      <c r="AM1758" s="17"/>
      <c r="AN1758" s="17"/>
      <c r="AO1758" s="17"/>
      <c r="AP1758" s="17"/>
      <c r="AQ1758" s="17"/>
      <c r="AR1758" s="17"/>
      <c r="AS1758" s="17"/>
      <c r="AT1758" s="17"/>
      <c r="AU1758" s="17"/>
      <c r="AV1758" s="17"/>
    </row>
    <row r="1759" spans="1:48" ht="15.75" customHeight="1">
      <c r="A1759" s="21" t="s">
        <v>47</v>
      </c>
      <c r="B1759" s="23" t="s">
        <v>1692</v>
      </c>
      <c r="C1759" s="22">
        <v>45797</v>
      </c>
      <c r="D1759" s="23" t="s">
        <v>352</v>
      </c>
      <c r="E1759" s="23" t="s">
        <v>71</v>
      </c>
      <c r="F1759" s="21">
        <v>1</v>
      </c>
      <c r="G1759" s="12">
        <v>2500</v>
      </c>
      <c r="H1759" s="12">
        <v>2500</v>
      </c>
      <c r="I1759" s="23" t="s">
        <v>52</v>
      </c>
      <c r="J1759" s="23" t="s">
        <v>61</v>
      </c>
      <c r="K1759" s="24" t="s">
        <v>177</v>
      </c>
      <c r="L1759" s="24">
        <v>141</v>
      </c>
      <c r="M1759" s="12">
        <v>2100.840336134454</v>
      </c>
      <c r="N1759" s="12">
        <v>2100.840336134454</v>
      </c>
      <c r="O1759" s="12">
        <v>399.15966386554601</v>
      </c>
      <c r="P1759" s="13"/>
      <c r="Q1759" s="14">
        <v>2025</v>
      </c>
      <c r="R1759" s="15">
        <v>45413</v>
      </c>
      <c r="S1759" s="11" t="s">
        <v>414</v>
      </c>
      <c r="T1759" s="16">
        <v>0</v>
      </c>
      <c r="U1759" s="17"/>
      <c r="V1759" s="12">
        <v>621.84873949579855</v>
      </c>
      <c r="W1759" s="12">
        <v>621.84873949579855</v>
      </c>
      <c r="X1759" s="12">
        <v>0</v>
      </c>
      <c r="Y1759" s="18">
        <v>45796</v>
      </c>
      <c r="Z1759" s="13" t="s">
        <v>516</v>
      </c>
      <c r="AA1759" s="19" t="s">
        <v>361</v>
      </c>
      <c r="AB1759" s="13" t="s">
        <v>357</v>
      </c>
      <c r="AC1759" s="13" t="s">
        <v>489</v>
      </c>
      <c r="AD1759" s="20"/>
      <c r="AE1759" s="20"/>
      <c r="AF1759" s="13" t="s">
        <v>40</v>
      </c>
      <c r="AG1759" s="15">
        <v>45413</v>
      </c>
      <c r="AH1759" s="13" t="s">
        <v>41</v>
      </c>
      <c r="AI1759" s="13" t="s">
        <v>47</v>
      </c>
      <c r="AJ1759" s="13" t="str">
        <f>VLOOKUP(E1759,Precios!Z$2:AA$941,2,FALSE)</f>
        <v>Toalla desinfectante IGENIX 50 unidades</v>
      </c>
      <c r="AK1759" s="14">
        <f>VLOOKUP(E1759,Precios!Z$2:BB$941,3,FALSE)*F1759</f>
        <v>-1</v>
      </c>
      <c r="AL1759" s="17"/>
      <c r="AM1759" s="17"/>
      <c r="AN1759" s="17"/>
      <c r="AO1759" s="17"/>
      <c r="AP1759" s="17"/>
      <c r="AQ1759" s="17"/>
      <c r="AR1759" s="17"/>
      <c r="AS1759" s="17"/>
      <c r="AT1759" s="17"/>
      <c r="AU1759" s="17"/>
      <c r="AV1759" s="17"/>
    </row>
    <row r="1760" spans="1:48" ht="15.75" customHeight="1">
      <c r="A1760" s="21" t="s">
        <v>147</v>
      </c>
      <c r="B1760" s="23" t="s">
        <v>1692</v>
      </c>
      <c r="C1760" s="22">
        <v>45797</v>
      </c>
      <c r="D1760" s="23" t="s">
        <v>158</v>
      </c>
      <c r="E1760" s="23" t="s">
        <v>159</v>
      </c>
      <c r="F1760" s="21">
        <v>1</v>
      </c>
      <c r="G1760" s="12">
        <v>24000.000000000004</v>
      </c>
      <c r="H1760" s="12">
        <v>24000.000000000004</v>
      </c>
      <c r="I1760" s="23" t="s">
        <v>52</v>
      </c>
      <c r="J1760" s="23" t="s">
        <v>61</v>
      </c>
      <c r="K1760" s="24" t="s">
        <v>86</v>
      </c>
      <c r="L1760" s="24">
        <v>83</v>
      </c>
      <c r="M1760" s="12">
        <v>20168.067226890762</v>
      </c>
      <c r="N1760" s="12">
        <v>20168.067226890762</v>
      </c>
      <c r="O1760" s="12">
        <v>3831.9327731092417</v>
      </c>
      <c r="P1760" s="13"/>
      <c r="Q1760" s="14">
        <v>2025</v>
      </c>
      <c r="R1760" s="15">
        <v>45413</v>
      </c>
      <c r="S1760" s="11" t="s">
        <v>412</v>
      </c>
      <c r="T1760" s="16">
        <v>0</v>
      </c>
      <c r="U1760" s="17"/>
      <c r="V1760" s="12">
        <v>6861.3445378151282</v>
      </c>
      <c r="W1760" s="12">
        <v>6861.3445378151282</v>
      </c>
      <c r="X1760" s="12">
        <v>0</v>
      </c>
      <c r="Y1760" s="18">
        <v>45796</v>
      </c>
      <c r="Z1760" s="13" t="s">
        <v>516</v>
      </c>
      <c r="AA1760" s="19" t="s">
        <v>361</v>
      </c>
      <c r="AB1760" s="13" t="s">
        <v>394</v>
      </c>
      <c r="AC1760" s="13" t="s">
        <v>509</v>
      </c>
      <c r="AD1760" s="20"/>
      <c r="AE1760" s="20"/>
      <c r="AF1760" s="13" t="s">
        <v>40</v>
      </c>
      <c r="AG1760" s="15">
        <v>45413</v>
      </c>
      <c r="AH1760" s="13" t="s">
        <v>41</v>
      </c>
      <c r="AI1760" s="13" t="s">
        <v>147</v>
      </c>
      <c r="AJ1760" s="13" t="str">
        <f>VLOOKUP(E1760,Precios!Z$2:AA$941,2,FALSE)</f>
        <v>Film Plástico 1400 metros</v>
      </c>
      <c r="AK1760" s="14">
        <f>VLOOKUP(E1760,Precios!Z$2:BB$941,3,FALSE)*F1760</f>
        <v>-1</v>
      </c>
      <c r="AL1760" s="17"/>
      <c r="AM1760" s="17"/>
      <c r="AN1760" s="17"/>
      <c r="AO1760" s="17"/>
      <c r="AP1760" s="17"/>
      <c r="AQ1760" s="17"/>
      <c r="AR1760" s="17"/>
      <c r="AS1760" s="17"/>
      <c r="AT1760" s="17"/>
      <c r="AU1760" s="17"/>
      <c r="AV1760" s="17"/>
    </row>
    <row r="1761" spans="1:48" ht="15.75" customHeight="1">
      <c r="A1761" s="21" t="s">
        <v>147</v>
      </c>
      <c r="B1761" s="23" t="s">
        <v>1692</v>
      </c>
      <c r="C1761" s="22">
        <v>45797</v>
      </c>
      <c r="D1761" s="23" t="s">
        <v>158</v>
      </c>
      <c r="E1761" s="23" t="s">
        <v>160</v>
      </c>
      <c r="F1761" s="21">
        <v>1</v>
      </c>
      <c r="G1761" s="26">
        <v>-500</v>
      </c>
      <c r="H1761" s="12">
        <v>-500</v>
      </c>
      <c r="I1761" s="23" t="s">
        <v>52</v>
      </c>
      <c r="J1761" s="23" t="s">
        <v>61</v>
      </c>
      <c r="K1761" s="24" t="s">
        <v>86</v>
      </c>
      <c r="L1761" s="24">
        <v>83</v>
      </c>
      <c r="M1761" s="12">
        <v>-420.1680672268908</v>
      </c>
      <c r="N1761" s="12">
        <v>-420.1680672268908</v>
      </c>
      <c r="O1761" s="12">
        <v>-79.831932773109202</v>
      </c>
      <c r="P1761" s="13"/>
      <c r="Q1761" s="14">
        <v>2025</v>
      </c>
      <c r="R1761" s="15">
        <v>45413</v>
      </c>
      <c r="S1761" s="11" t="s">
        <v>160</v>
      </c>
      <c r="T1761" s="16">
        <v>1000</v>
      </c>
      <c r="U1761" s="17"/>
      <c r="V1761" s="26">
        <v>-500</v>
      </c>
      <c r="W1761" s="12">
        <v>-500</v>
      </c>
      <c r="X1761" s="12">
        <v>0</v>
      </c>
      <c r="Y1761" s="18">
        <v>45796</v>
      </c>
      <c r="Z1761" s="13" t="s">
        <v>516</v>
      </c>
      <c r="AA1761" s="19" t="s">
        <v>361</v>
      </c>
      <c r="AB1761" s="13" t="s">
        <v>394</v>
      </c>
      <c r="AC1761" s="13" t="s">
        <v>509</v>
      </c>
      <c r="AD1761" s="20"/>
      <c r="AE1761" s="20"/>
      <c r="AF1761" s="13" t="s">
        <v>40</v>
      </c>
      <c r="AG1761" s="15">
        <v>45413</v>
      </c>
      <c r="AH1761" s="13" t="s">
        <v>41</v>
      </c>
      <c r="AI1761" s="13" t="s">
        <v>147</v>
      </c>
      <c r="AJ1761" s="13" t="str">
        <f>VLOOKUP(E1761,Precios!Z$2:AA$941,2,FALSE)</f>
        <v>Descuentos</v>
      </c>
      <c r="AK1761" s="14">
        <f>VLOOKUP(E1761,Precios!Z$2:BB$941,3,FALSE)*F1761</f>
        <v>-1</v>
      </c>
      <c r="AL1761" s="17"/>
      <c r="AM1761" s="17"/>
      <c r="AN1761" s="17"/>
      <c r="AO1761" s="17"/>
      <c r="AP1761" s="17"/>
      <c r="AQ1761" s="17"/>
      <c r="AR1761" s="17"/>
      <c r="AS1761" s="17"/>
      <c r="AT1761" s="17"/>
      <c r="AU1761" s="17"/>
      <c r="AV1761" s="17"/>
    </row>
    <row r="1762" spans="1:48" ht="15.75" customHeight="1">
      <c r="A1762" s="21" t="s">
        <v>53</v>
      </c>
      <c r="B1762" s="23" t="s">
        <v>1692</v>
      </c>
      <c r="C1762" s="22">
        <v>45797</v>
      </c>
      <c r="D1762" s="23" t="s">
        <v>158</v>
      </c>
      <c r="E1762" s="23" t="s">
        <v>162</v>
      </c>
      <c r="F1762" s="21">
        <v>1</v>
      </c>
      <c r="G1762" s="12">
        <v>9500.0304006809747</v>
      </c>
      <c r="H1762" s="12">
        <v>9500.0304006809747</v>
      </c>
      <c r="I1762" s="23" t="s">
        <v>52</v>
      </c>
      <c r="J1762" s="23" t="s">
        <v>61</v>
      </c>
      <c r="K1762" s="24" t="s">
        <v>86</v>
      </c>
      <c r="L1762" s="24">
        <v>83</v>
      </c>
      <c r="M1762" s="12">
        <v>7983.2188241016602</v>
      </c>
      <c r="N1762" s="12">
        <v>7983.2188241016602</v>
      </c>
      <c r="O1762" s="12">
        <v>1516.8115765793145</v>
      </c>
      <c r="P1762" s="13"/>
      <c r="Q1762" s="14">
        <v>2025</v>
      </c>
      <c r="R1762" s="15">
        <v>45413</v>
      </c>
      <c r="S1762" s="11" t="s">
        <v>437</v>
      </c>
      <c r="T1762" s="16">
        <v>0</v>
      </c>
      <c r="U1762" s="17"/>
      <c r="V1762" s="12">
        <v>2731.2188241016593</v>
      </c>
      <c r="W1762" s="12">
        <v>2731.2188241016593</v>
      </c>
      <c r="X1762" s="12">
        <v>0</v>
      </c>
      <c r="Y1762" s="18">
        <v>45796</v>
      </c>
      <c r="Z1762" s="13" t="s">
        <v>516</v>
      </c>
      <c r="AA1762" s="19" t="s">
        <v>361</v>
      </c>
      <c r="AB1762" s="13" t="s">
        <v>394</v>
      </c>
      <c r="AC1762" s="13" t="s">
        <v>509</v>
      </c>
      <c r="AD1762" s="20"/>
      <c r="AE1762" s="20"/>
      <c r="AF1762" s="13" t="s">
        <v>40</v>
      </c>
      <c r="AG1762" s="15">
        <v>45413</v>
      </c>
      <c r="AH1762" s="13" t="s">
        <v>41</v>
      </c>
      <c r="AI1762" s="13" t="s">
        <v>53</v>
      </c>
      <c r="AJ1762" s="13" t="str">
        <f>VLOOKUP(E1762,Precios!Z$2:AA$941,2,FALSE)</f>
        <v>Toalla Papel 250 metros dipensador</v>
      </c>
      <c r="AK1762" s="14">
        <f>VLOOKUP(E1762,Precios!Z$2:BB$941,3,FALSE)*F1762</f>
        <v>-1</v>
      </c>
      <c r="AL1762" s="17"/>
      <c r="AM1762" s="17"/>
      <c r="AN1762" s="17"/>
      <c r="AO1762" s="17"/>
      <c r="AP1762" s="17"/>
      <c r="AQ1762" s="17"/>
      <c r="AR1762" s="17"/>
      <c r="AS1762" s="17"/>
      <c r="AT1762" s="17"/>
      <c r="AU1762" s="17"/>
      <c r="AV1762" s="17"/>
    </row>
    <row r="1763" spans="1:48" ht="15.75" customHeight="1">
      <c r="A1763" s="21" t="s">
        <v>53</v>
      </c>
      <c r="B1763" s="23" t="s">
        <v>1692</v>
      </c>
      <c r="C1763" s="22">
        <v>45797</v>
      </c>
      <c r="D1763" s="23" t="s">
        <v>158</v>
      </c>
      <c r="E1763" s="23" t="s">
        <v>580</v>
      </c>
      <c r="F1763" s="21">
        <v>1</v>
      </c>
      <c r="G1763" s="12">
        <v>11499.993390876765</v>
      </c>
      <c r="H1763" s="12">
        <v>11499.993390876765</v>
      </c>
      <c r="I1763" s="23" t="s">
        <v>52</v>
      </c>
      <c r="J1763" s="23" t="s">
        <v>61</v>
      </c>
      <c r="K1763" s="24" t="s">
        <v>86</v>
      </c>
      <c r="L1763" s="24">
        <v>83</v>
      </c>
      <c r="M1763" s="12">
        <v>9663.8599923334168</v>
      </c>
      <c r="N1763" s="12">
        <v>9663.8599923334168</v>
      </c>
      <c r="O1763" s="12">
        <v>1836.1333985433484</v>
      </c>
      <c r="P1763" s="13"/>
      <c r="Q1763" s="14">
        <v>2025</v>
      </c>
      <c r="R1763" s="15">
        <v>45413</v>
      </c>
      <c r="S1763" s="11" t="s">
        <v>381</v>
      </c>
      <c r="T1763" s="16">
        <v>300</v>
      </c>
      <c r="U1763" s="17"/>
      <c r="V1763" s="12">
        <v>2352.8599923334168</v>
      </c>
      <c r="W1763" s="12">
        <v>2352.8599923334168</v>
      </c>
      <c r="X1763" s="12">
        <v>0</v>
      </c>
      <c r="Y1763" s="18">
        <v>45796</v>
      </c>
      <c r="Z1763" s="13" t="s">
        <v>516</v>
      </c>
      <c r="AA1763" s="19" t="s">
        <v>361</v>
      </c>
      <c r="AB1763" s="13" t="s">
        <v>394</v>
      </c>
      <c r="AC1763" s="13" t="s">
        <v>509</v>
      </c>
      <c r="AD1763" s="20"/>
      <c r="AE1763" s="20"/>
      <c r="AF1763" s="13" t="s">
        <v>40</v>
      </c>
      <c r="AG1763" s="15">
        <v>45413</v>
      </c>
      <c r="AH1763" s="13" t="s">
        <v>41</v>
      </c>
      <c r="AI1763" s="13" t="s">
        <v>53</v>
      </c>
      <c r="AJ1763" s="13" t="str">
        <f>VLOOKUP(E1763,Precios!Z$2:AA$941,2,FALSE)</f>
        <v>Servilletas SOFTQUALITY 300 unidades</v>
      </c>
      <c r="AK1763" s="14">
        <f>VLOOKUP(E1763,Precios!Z$2:BB$941,3,FALSE)*F1763</f>
        <v>-10</v>
      </c>
      <c r="AL1763" s="17"/>
      <c r="AM1763" s="17"/>
      <c r="AN1763" s="17"/>
      <c r="AO1763" s="17"/>
      <c r="AP1763" s="17"/>
      <c r="AQ1763" s="17"/>
      <c r="AR1763" s="17"/>
      <c r="AS1763" s="17"/>
      <c r="AT1763" s="17"/>
      <c r="AU1763" s="17"/>
      <c r="AV1763" s="17"/>
    </row>
    <row r="1764" spans="1:48" ht="15.75" customHeight="1">
      <c r="A1764" s="21" t="s">
        <v>53</v>
      </c>
      <c r="B1764" s="23" t="s">
        <v>1692</v>
      </c>
      <c r="C1764" s="22">
        <v>45797</v>
      </c>
      <c r="D1764" s="23" t="s">
        <v>158</v>
      </c>
      <c r="E1764" s="23" t="s">
        <v>55</v>
      </c>
      <c r="F1764" s="21">
        <v>1</v>
      </c>
      <c r="G1764" s="12">
        <v>20899.922685965601</v>
      </c>
      <c r="H1764" s="12">
        <v>20899.922685965601</v>
      </c>
      <c r="I1764" s="23" t="s">
        <v>52</v>
      </c>
      <c r="J1764" s="23" t="s">
        <v>61</v>
      </c>
      <c r="K1764" s="24" t="s">
        <v>86</v>
      </c>
      <c r="L1764" s="24">
        <v>83</v>
      </c>
      <c r="M1764" s="12">
        <v>17562.960240307228</v>
      </c>
      <c r="N1764" s="12">
        <v>17562.960240307228</v>
      </c>
      <c r="O1764" s="12">
        <v>3336.9624456583733</v>
      </c>
      <c r="P1764" s="13"/>
      <c r="Q1764" s="14">
        <v>2025</v>
      </c>
      <c r="R1764" s="15">
        <v>45413</v>
      </c>
      <c r="S1764" s="11" t="s">
        <v>366</v>
      </c>
      <c r="T1764" s="16">
        <v>0</v>
      </c>
      <c r="U1764" s="17"/>
      <c r="V1764" s="12">
        <v>3117.7370878319234</v>
      </c>
      <c r="W1764" s="12">
        <v>3117.7370878319234</v>
      </c>
      <c r="X1764" s="12">
        <v>0</v>
      </c>
      <c r="Y1764" s="18">
        <v>45796</v>
      </c>
      <c r="Z1764" s="13" t="s">
        <v>516</v>
      </c>
      <c r="AA1764" s="19" t="s">
        <v>361</v>
      </c>
      <c r="AB1764" s="13" t="s">
        <v>394</v>
      </c>
      <c r="AC1764" s="13" t="s">
        <v>509</v>
      </c>
      <c r="AD1764" s="20"/>
      <c r="AE1764" s="20"/>
      <c r="AF1764" s="13" t="s">
        <v>40</v>
      </c>
      <c r="AG1764" s="15">
        <v>45413</v>
      </c>
      <c r="AH1764" s="13" t="s">
        <v>41</v>
      </c>
      <c r="AI1764" s="13" t="s">
        <v>53</v>
      </c>
      <c r="AJ1764" s="13" t="str">
        <f>VLOOKUP(E1764,Precios!Z$2:AA$941,2,FALSE)</f>
        <v>Papel Higienico ELITE 50 metros</v>
      </c>
      <c r="AK1764" s="14">
        <f>VLOOKUP(E1764,Precios!Z$2:BB$941,3,FALSE)*F1764</f>
        <v>-8</v>
      </c>
      <c r="AL1764" s="17"/>
      <c r="AM1764" s="17"/>
      <c r="AN1764" s="17"/>
      <c r="AO1764" s="17"/>
      <c r="AP1764" s="17"/>
      <c r="AQ1764" s="17"/>
      <c r="AR1764" s="17"/>
      <c r="AS1764" s="17"/>
      <c r="AT1764" s="17"/>
      <c r="AU1764" s="17"/>
      <c r="AV1764" s="17"/>
    </row>
    <row r="1765" spans="1:48" ht="15.75" customHeight="1">
      <c r="A1765" s="21" t="s">
        <v>43</v>
      </c>
      <c r="B1765" s="23" t="s">
        <v>1692</v>
      </c>
      <c r="C1765" s="22">
        <v>45796</v>
      </c>
      <c r="D1765" s="23" t="s">
        <v>141</v>
      </c>
      <c r="E1765" s="23" t="s">
        <v>45</v>
      </c>
      <c r="F1765" s="21">
        <v>1</v>
      </c>
      <c r="G1765" s="12">
        <v>7999.7710567538261</v>
      </c>
      <c r="H1765" s="12">
        <v>7999.7710567538261</v>
      </c>
      <c r="I1765" s="23" t="s">
        <v>52</v>
      </c>
      <c r="J1765" s="23" t="s">
        <v>61</v>
      </c>
      <c r="K1765" s="24" t="s">
        <v>177</v>
      </c>
      <c r="L1765" s="24">
        <v>141</v>
      </c>
      <c r="M1765" s="12">
        <v>6722.496686347753</v>
      </c>
      <c r="N1765" s="12">
        <v>6722.496686347753</v>
      </c>
      <c r="O1765" s="12">
        <v>1277.2743704060731</v>
      </c>
      <c r="P1765" s="13"/>
      <c r="Q1765" s="14">
        <v>2025</v>
      </c>
      <c r="R1765" s="15">
        <v>45413</v>
      </c>
      <c r="S1765" s="11" t="s">
        <v>355</v>
      </c>
      <c r="T1765" s="16">
        <v>0</v>
      </c>
      <c r="U1765" s="17"/>
      <c r="V1765" s="12">
        <v>1143.496686347753</v>
      </c>
      <c r="W1765" s="12">
        <v>1143.496686347753</v>
      </c>
      <c r="X1765" s="12">
        <v>0</v>
      </c>
      <c r="Y1765" s="18">
        <v>45796</v>
      </c>
      <c r="Z1765" s="13" t="s">
        <v>523</v>
      </c>
      <c r="AA1765" s="19" t="s">
        <v>367</v>
      </c>
      <c r="AB1765" s="13" t="s">
        <v>357</v>
      </c>
      <c r="AC1765" s="13" t="s">
        <v>367</v>
      </c>
      <c r="AD1765" s="20"/>
      <c r="AE1765" s="20"/>
      <c r="AF1765" s="13" t="s">
        <v>40</v>
      </c>
      <c r="AG1765" s="15">
        <v>45413</v>
      </c>
      <c r="AH1765" s="13" t="s">
        <v>41</v>
      </c>
      <c r="AI1765" s="13" t="s">
        <v>43</v>
      </c>
      <c r="AJ1765" s="13" t="str">
        <f>VLOOKUP(E1765,Precios!Z$2:AA$941,2,FALSE)</f>
        <v>Bandeja Huevos EXTRA</v>
      </c>
      <c r="AK1765" s="14">
        <f>VLOOKUP(E1765,Precios!Z$2:BB$941,3,FALSE)*F1765</f>
        <v>-1</v>
      </c>
      <c r="AL1765" s="17"/>
      <c r="AM1765" s="17"/>
      <c r="AN1765" s="17"/>
      <c r="AO1765" s="17"/>
      <c r="AP1765" s="17"/>
      <c r="AQ1765" s="17"/>
      <c r="AR1765" s="17"/>
      <c r="AS1765" s="17"/>
      <c r="AT1765" s="17"/>
      <c r="AU1765" s="17"/>
      <c r="AV1765" s="17"/>
    </row>
    <row r="1766" spans="1:48" ht="15.75" customHeight="1">
      <c r="A1766" s="21" t="s">
        <v>35</v>
      </c>
      <c r="B1766" s="23" t="s">
        <v>1692</v>
      </c>
      <c r="C1766" s="22">
        <v>45796</v>
      </c>
      <c r="D1766" s="23" t="s">
        <v>198</v>
      </c>
      <c r="E1766" s="23" t="s">
        <v>37</v>
      </c>
      <c r="F1766" s="21">
        <v>4</v>
      </c>
      <c r="G1766" s="12">
        <v>11000.014358944907</v>
      </c>
      <c r="H1766" s="12">
        <v>44000.057435779629</v>
      </c>
      <c r="I1766" s="23" t="s">
        <v>52</v>
      </c>
      <c r="J1766" s="23" t="s">
        <v>61</v>
      </c>
      <c r="K1766" s="24" t="s">
        <v>177</v>
      </c>
      <c r="L1766" s="24">
        <v>141</v>
      </c>
      <c r="M1766" s="12">
        <v>9243.7095453318543</v>
      </c>
      <c r="N1766" s="12">
        <v>36974.838181327417</v>
      </c>
      <c r="O1766" s="12">
        <v>7025.2192544522113</v>
      </c>
      <c r="P1766" s="13"/>
      <c r="Q1766" s="14">
        <v>2025</v>
      </c>
      <c r="R1766" s="15">
        <v>45413</v>
      </c>
      <c r="S1766" s="11" t="s">
        <v>364</v>
      </c>
      <c r="T1766" s="16">
        <v>4000</v>
      </c>
      <c r="U1766" s="17"/>
      <c r="V1766" s="12">
        <v>11224.451626705566</v>
      </c>
      <c r="W1766" s="12">
        <v>11224.451626705566</v>
      </c>
      <c r="X1766" s="12">
        <v>0</v>
      </c>
      <c r="Y1766" s="18">
        <v>45796</v>
      </c>
      <c r="Z1766" s="13" t="s">
        <v>523</v>
      </c>
      <c r="AA1766" s="19" t="s">
        <v>361</v>
      </c>
      <c r="AB1766" s="13" t="s">
        <v>357</v>
      </c>
      <c r="AC1766" s="13" t="s">
        <v>489</v>
      </c>
      <c r="AD1766" s="20"/>
      <c r="AE1766" s="20"/>
      <c r="AF1766" s="13" t="s">
        <v>40</v>
      </c>
      <c r="AG1766" s="15">
        <v>45413</v>
      </c>
      <c r="AH1766" s="13" t="s">
        <v>41</v>
      </c>
      <c r="AI1766" s="13" t="s">
        <v>35</v>
      </c>
      <c r="AJ1766" s="13" t="str">
        <f>VLOOKUP(E1766,Precios!Z$2:AA$941,2,FALSE)</f>
        <v>Queso RUNCA Mantecoso</v>
      </c>
      <c r="AK1766" s="14">
        <f>VLOOKUP(E1766,Precios!Z$2:BB$941,3,FALSE)*F1766</f>
        <v>-4</v>
      </c>
      <c r="AL1766" s="17"/>
      <c r="AM1766" s="17"/>
      <c r="AN1766" s="17"/>
      <c r="AO1766" s="17"/>
      <c r="AP1766" s="17"/>
      <c r="AQ1766" s="17"/>
      <c r="AR1766" s="17"/>
      <c r="AS1766" s="17"/>
      <c r="AT1766" s="17"/>
      <c r="AU1766" s="17"/>
      <c r="AV1766" s="17"/>
    </row>
    <row r="1767" spans="1:48" ht="15.75" customHeight="1">
      <c r="A1767" s="21" t="s">
        <v>35</v>
      </c>
      <c r="B1767" s="23" t="s">
        <v>1692</v>
      </c>
      <c r="C1767" s="22">
        <v>45796</v>
      </c>
      <c r="D1767" s="23" t="s">
        <v>198</v>
      </c>
      <c r="E1767" s="23" t="s">
        <v>46</v>
      </c>
      <c r="F1767" s="21">
        <v>1</v>
      </c>
      <c r="G1767" s="12">
        <v>6000.1548227279782</v>
      </c>
      <c r="H1767" s="12">
        <v>6000.1548227279782</v>
      </c>
      <c r="I1767" s="23" t="s">
        <v>52</v>
      </c>
      <c r="J1767" s="23" t="s">
        <v>61</v>
      </c>
      <c r="K1767" s="24" t="s">
        <v>177</v>
      </c>
      <c r="L1767" s="24">
        <v>141</v>
      </c>
      <c r="M1767" s="12">
        <v>5042.1469098554444</v>
      </c>
      <c r="N1767" s="12">
        <v>5042.1469098554444</v>
      </c>
      <c r="O1767" s="12">
        <v>958.00791287253378</v>
      </c>
      <c r="P1767" s="13"/>
      <c r="Q1767" s="14">
        <v>2025</v>
      </c>
      <c r="R1767" s="15">
        <v>45413</v>
      </c>
      <c r="S1767" s="11" t="s">
        <v>364</v>
      </c>
      <c r="T1767" s="16">
        <v>500</v>
      </c>
      <c r="U1767" s="17"/>
      <c r="V1767" s="12">
        <v>1785.4242207798129</v>
      </c>
      <c r="W1767" s="12">
        <v>1785.4242207798129</v>
      </c>
      <c r="X1767" s="12">
        <v>0</v>
      </c>
      <c r="Y1767" s="18">
        <v>45796</v>
      </c>
      <c r="Z1767" s="13" t="s">
        <v>523</v>
      </c>
      <c r="AA1767" s="19" t="s">
        <v>361</v>
      </c>
      <c r="AB1767" s="13" t="s">
        <v>357</v>
      </c>
      <c r="AC1767" s="13" t="s">
        <v>489</v>
      </c>
      <c r="AD1767" s="20"/>
      <c r="AE1767" s="20"/>
      <c r="AF1767" s="13" t="s">
        <v>40</v>
      </c>
      <c r="AG1767" s="15">
        <v>45413</v>
      </c>
      <c r="AH1767" s="13" t="s">
        <v>41</v>
      </c>
      <c r="AI1767" s="13" t="s">
        <v>35</v>
      </c>
      <c r="AJ1767" s="13" t="str">
        <f>VLOOKUP(E1767,Precios!Z$2:AA$941,2,FALSE)</f>
        <v>Queso RUNCA Mantecoso</v>
      </c>
      <c r="AK1767" s="14">
        <f>VLOOKUP(E1767,Precios!Z$2:BB$941,3,FALSE)*F1767</f>
        <v>-0.5</v>
      </c>
      <c r="AL1767" s="17"/>
      <c r="AM1767" s="17"/>
      <c r="AN1767" s="17"/>
      <c r="AO1767" s="17"/>
      <c r="AP1767" s="17"/>
      <c r="AQ1767" s="17"/>
      <c r="AR1767" s="17"/>
      <c r="AS1767" s="17"/>
      <c r="AT1767" s="17"/>
      <c r="AU1767" s="17"/>
      <c r="AV1767" s="17"/>
    </row>
    <row r="1768" spans="1:48" ht="15.75" customHeight="1">
      <c r="A1768" s="21" t="s">
        <v>56</v>
      </c>
      <c r="B1768" s="23" t="s">
        <v>1692</v>
      </c>
      <c r="C1768" s="22">
        <v>45796</v>
      </c>
      <c r="D1768" s="23" t="s">
        <v>198</v>
      </c>
      <c r="E1768" s="23" t="s">
        <v>112</v>
      </c>
      <c r="F1768" s="21">
        <v>1</v>
      </c>
      <c r="G1768" s="12">
        <v>7999.6031746031749</v>
      </c>
      <c r="H1768" s="12">
        <v>7999.6031746031749</v>
      </c>
      <c r="I1768" s="23" t="s">
        <v>52</v>
      </c>
      <c r="J1768" s="23" t="s">
        <v>61</v>
      </c>
      <c r="K1768" s="24" t="s">
        <v>177</v>
      </c>
      <c r="L1768" s="24">
        <v>141</v>
      </c>
      <c r="M1768" s="12">
        <v>6722.3556089102312</v>
      </c>
      <c r="N1768" s="12">
        <v>6722.3556089102312</v>
      </c>
      <c r="O1768" s="12">
        <v>1277.2475656929437</v>
      </c>
      <c r="P1768" s="13"/>
      <c r="Q1768" s="14">
        <v>2025</v>
      </c>
      <c r="R1768" s="15">
        <v>45413</v>
      </c>
      <c r="S1768" s="11" t="s">
        <v>427</v>
      </c>
      <c r="T1768" s="16">
        <v>135</v>
      </c>
      <c r="U1768" s="17"/>
      <c r="V1768" s="12">
        <v>2317.868213952248</v>
      </c>
      <c r="W1768" s="12">
        <v>2317.868213952248</v>
      </c>
      <c r="X1768" s="12">
        <v>0</v>
      </c>
      <c r="Y1768" s="18">
        <v>45796</v>
      </c>
      <c r="Z1768" s="13" t="s">
        <v>523</v>
      </c>
      <c r="AA1768" s="19" t="s">
        <v>361</v>
      </c>
      <c r="AB1768" s="13" t="s">
        <v>357</v>
      </c>
      <c r="AC1768" s="13" t="s">
        <v>489</v>
      </c>
      <c r="AD1768" s="20"/>
      <c r="AE1768" s="20"/>
      <c r="AF1768" s="13" t="s">
        <v>40</v>
      </c>
      <c r="AG1768" s="15">
        <v>45413</v>
      </c>
      <c r="AH1768" s="13" t="s">
        <v>41</v>
      </c>
      <c r="AI1768" s="13" t="s">
        <v>56</v>
      </c>
      <c r="AJ1768" s="13" t="str">
        <f>VLOOKUP(E1768,Precios!Z$2:AA$941,2,FALSE)</f>
        <v>Provoleta Parrillera</v>
      </c>
      <c r="AK1768" s="14">
        <f>VLOOKUP(E1768,Precios!Z$2:BB$941,3,FALSE)*F1768</f>
        <v>-3</v>
      </c>
      <c r="AL1768" s="17"/>
      <c r="AM1768" s="17"/>
      <c r="AN1768" s="17"/>
      <c r="AO1768" s="17"/>
      <c r="AP1768" s="17"/>
      <c r="AQ1768" s="17"/>
      <c r="AR1768" s="17"/>
      <c r="AS1768" s="17"/>
      <c r="AT1768" s="17"/>
      <c r="AU1768" s="17"/>
      <c r="AV1768" s="17"/>
    </row>
    <row r="1769" spans="1:48" ht="15.75" customHeight="1">
      <c r="A1769" s="21" t="s">
        <v>56</v>
      </c>
      <c r="B1769" s="23" t="s">
        <v>1692</v>
      </c>
      <c r="C1769" s="22">
        <v>45796</v>
      </c>
      <c r="D1769" s="23" t="s">
        <v>198</v>
      </c>
      <c r="E1769" s="23" t="s">
        <v>60</v>
      </c>
      <c r="F1769" s="21">
        <v>1</v>
      </c>
      <c r="G1769" s="12">
        <v>7000.0000000000018</v>
      </c>
      <c r="H1769" s="12">
        <v>7000.0000000000018</v>
      </c>
      <c r="I1769" s="23" t="s">
        <v>52</v>
      </c>
      <c r="J1769" s="23" t="s">
        <v>61</v>
      </c>
      <c r="K1769" s="24" t="s">
        <v>177</v>
      </c>
      <c r="L1769" s="24">
        <v>141</v>
      </c>
      <c r="M1769" s="12">
        <v>5882.3529411764721</v>
      </c>
      <c r="N1769" s="12">
        <v>5882.3529411764721</v>
      </c>
      <c r="O1769" s="12">
        <v>1117.6470588235297</v>
      </c>
      <c r="P1769" s="13"/>
      <c r="Q1769" s="14">
        <v>2025</v>
      </c>
      <c r="R1769" s="15">
        <v>45413</v>
      </c>
      <c r="S1769" s="11" t="s">
        <v>429</v>
      </c>
      <c r="T1769" s="16">
        <v>200</v>
      </c>
      <c r="U1769" s="17"/>
      <c r="V1769" s="12">
        <v>2080.6722689075641</v>
      </c>
      <c r="W1769" s="12">
        <v>2080.6722689075641</v>
      </c>
      <c r="X1769" s="12">
        <v>0</v>
      </c>
      <c r="Y1769" s="18">
        <v>45796</v>
      </c>
      <c r="Z1769" s="13" t="s">
        <v>523</v>
      </c>
      <c r="AA1769" s="19" t="s">
        <v>361</v>
      </c>
      <c r="AB1769" s="13" t="s">
        <v>357</v>
      </c>
      <c r="AC1769" s="13" t="s">
        <v>489</v>
      </c>
      <c r="AD1769" s="20"/>
      <c r="AE1769" s="20"/>
      <c r="AF1769" s="13" t="s">
        <v>40</v>
      </c>
      <c r="AG1769" s="15">
        <v>45413</v>
      </c>
      <c r="AH1769" s="13" t="s">
        <v>41</v>
      </c>
      <c r="AI1769" s="13" t="s">
        <v>56</v>
      </c>
      <c r="AJ1769" s="13" t="str">
        <f>VLOOKUP(E1769,Precios!Z$2:AA$941,2,FALSE)</f>
        <v>Queso Sabores</v>
      </c>
      <c r="AK1769" s="14">
        <f>VLOOKUP(E1769,Precios!Z$2:BB$941,3,FALSE)*F1769</f>
        <v>-2</v>
      </c>
      <c r="AL1769" s="17"/>
      <c r="AM1769" s="17"/>
      <c r="AN1769" s="17"/>
      <c r="AO1769" s="17"/>
      <c r="AP1769" s="17"/>
      <c r="AQ1769" s="17"/>
      <c r="AR1769" s="17"/>
      <c r="AS1769" s="17"/>
      <c r="AT1769" s="17"/>
      <c r="AU1769" s="17"/>
      <c r="AV1769" s="17"/>
    </row>
    <row r="1770" spans="1:48" ht="15.75" customHeight="1">
      <c r="A1770" s="21" t="s">
        <v>56</v>
      </c>
      <c r="B1770" s="23" t="s">
        <v>1692</v>
      </c>
      <c r="C1770" s="22">
        <v>45796</v>
      </c>
      <c r="D1770" s="23" t="s">
        <v>198</v>
      </c>
      <c r="E1770" s="23" t="s">
        <v>524</v>
      </c>
      <c r="F1770" s="21">
        <v>1</v>
      </c>
      <c r="G1770" s="12">
        <v>4799.9749310604157</v>
      </c>
      <c r="H1770" s="12">
        <v>4799.9749310604157</v>
      </c>
      <c r="I1770" s="23" t="s">
        <v>52</v>
      </c>
      <c r="J1770" s="23" t="s">
        <v>61</v>
      </c>
      <c r="K1770" s="24" t="s">
        <v>177</v>
      </c>
      <c r="L1770" s="24">
        <v>141</v>
      </c>
      <c r="M1770" s="12">
        <v>4033.5923790423662</v>
      </c>
      <c r="N1770" s="12">
        <v>4033.5923790423662</v>
      </c>
      <c r="O1770" s="12">
        <v>766.38255201804941</v>
      </c>
      <c r="P1770" s="13"/>
      <c r="Q1770" s="14">
        <v>2025</v>
      </c>
      <c r="R1770" s="15">
        <v>45413</v>
      </c>
      <c r="S1770" s="11" t="s">
        <v>429</v>
      </c>
      <c r="T1770" s="16">
        <v>200</v>
      </c>
      <c r="U1770" s="17"/>
      <c r="V1770" s="12">
        <v>815.59237904236625</v>
      </c>
      <c r="W1770" s="12">
        <v>815.59237904236625</v>
      </c>
      <c r="X1770" s="12">
        <v>0</v>
      </c>
      <c r="Y1770" s="18">
        <v>45796</v>
      </c>
      <c r="Z1770" s="13" t="s">
        <v>523</v>
      </c>
      <c r="AA1770" s="19" t="s">
        <v>361</v>
      </c>
      <c r="AB1770" s="13" t="s">
        <v>357</v>
      </c>
      <c r="AC1770" s="13" t="s">
        <v>489</v>
      </c>
      <c r="AD1770" s="20"/>
      <c r="AE1770" s="20"/>
      <c r="AF1770" s="13" t="s">
        <v>40</v>
      </c>
      <c r="AG1770" s="15">
        <v>45413</v>
      </c>
      <c r="AH1770" s="13" t="s">
        <v>41</v>
      </c>
      <c r="AI1770" s="13" t="s">
        <v>56</v>
      </c>
      <c r="AJ1770" s="13" t="str">
        <f>VLOOKUP(E1770,Precios!Z$2:AA$941,2,FALSE)</f>
        <v>Queso Cabra</v>
      </c>
      <c r="AK1770" s="14">
        <f>VLOOKUP(E1770,Precios!Z$2:BB$941,3,FALSE)*F1770</f>
        <v>-1</v>
      </c>
      <c r="AL1770" s="17"/>
      <c r="AM1770" s="17"/>
      <c r="AN1770" s="17"/>
      <c r="AO1770" s="17"/>
      <c r="AP1770" s="17"/>
      <c r="AQ1770" s="17"/>
      <c r="AR1770" s="17"/>
      <c r="AS1770" s="17"/>
      <c r="AT1770" s="17"/>
      <c r="AU1770" s="17"/>
      <c r="AV1770" s="17"/>
    </row>
    <row r="1771" spans="1:48" ht="15.75" customHeight="1">
      <c r="A1771" s="21" t="s">
        <v>56</v>
      </c>
      <c r="B1771" s="23" t="s">
        <v>1692</v>
      </c>
      <c r="C1771" s="22">
        <v>45796</v>
      </c>
      <c r="D1771" s="23" t="s">
        <v>198</v>
      </c>
      <c r="E1771" s="23" t="s">
        <v>190</v>
      </c>
      <c r="F1771" s="21">
        <v>1</v>
      </c>
      <c r="G1771" s="12">
        <v>2499.5279645258192</v>
      </c>
      <c r="H1771" s="12">
        <v>2499.5279645258192</v>
      </c>
      <c r="I1771" s="23" t="s">
        <v>52</v>
      </c>
      <c r="J1771" s="23" t="s">
        <v>61</v>
      </c>
      <c r="K1771" s="24" t="s">
        <v>177</v>
      </c>
      <c r="L1771" s="24">
        <v>141</v>
      </c>
      <c r="M1771" s="12">
        <v>2100.4436676687556</v>
      </c>
      <c r="N1771" s="12">
        <v>2100.4436676687556</v>
      </c>
      <c r="O1771" s="12">
        <v>399.08429685706369</v>
      </c>
      <c r="P1771" s="13"/>
      <c r="Q1771" s="14">
        <v>2025</v>
      </c>
      <c r="R1771" s="15">
        <v>45413</v>
      </c>
      <c r="S1771" s="11" t="s">
        <v>492</v>
      </c>
      <c r="T1771" s="16">
        <v>200</v>
      </c>
      <c r="U1771" s="17"/>
      <c r="V1771" s="12">
        <v>632.02349960152856</v>
      </c>
      <c r="W1771" s="12">
        <v>632.02349960152856</v>
      </c>
      <c r="X1771" s="12">
        <v>0</v>
      </c>
      <c r="Y1771" s="18">
        <v>45796</v>
      </c>
      <c r="Z1771" s="13" t="s">
        <v>523</v>
      </c>
      <c r="AA1771" s="19" t="s">
        <v>361</v>
      </c>
      <c r="AB1771" s="13" t="s">
        <v>357</v>
      </c>
      <c r="AC1771" s="13" t="s">
        <v>489</v>
      </c>
      <c r="AD1771" s="20"/>
      <c r="AE1771" s="20"/>
      <c r="AF1771" s="13" t="s">
        <v>40</v>
      </c>
      <c r="AG1771" s="15">
        <v>45413</v>
      </c>
      <c r="AH1771" s="13" t="s">
        <v>41</v>
      </c>
      <c r="AI1771" s="13" t="s">
        <v>56</v>
      </c>
      <c r="AJ1771" s="13" t="str">
        <f>VLOOKUP(E1771,Precios!Z$2:AA$941,2,FALSE)</f>
        <v>Mantequilla RUMAY</v>
      </c>
      <c r="AK1771" s="14">
        <f>VLOOKUP(E1771,Precios!Z$2:BB$941,3,FALSE)*F1771</f>
        <v>-1</v>
      </c>
      <c r="AL1771" s="17"/>
      <c r="AM1771" s="17"/>
      <c r="AN1771" s="17"/>
      <c r="AO1771" s="17"/>
      <c r="AP1771" s="17"/>
      <c r="AQ1771" s="17"/>
      <c r="AR1771" s="17"/>
      <c r="AS1771" s="17"/>
      <c r="AT1771" s="17"/>
      <c r="AU1771" s="17"/>
      <c r="AV1771" s="17"/>
    </row>
    <row r="1772" spans="1:48" ht="15.75" customHeight="1">
      <c r="A1772" s="21" t="s">
        <v>53</v>
      </c>
      <c r="B1772" s="23" t="s">
        <v>1692</v>
      </c>
      <c r="C1772" s="22">
        <v>45796</v>
      </c>
      <c r="D1772" s="23" t="s">
        <v>330</v>
      </c>
      <c r="E1772" s="23" t="s">
        <v>55</v>
      </c>
      <c r="F1772" s="21">
        <v>1</v>
      </c>
      <c r="G1772" s="12">
        <v>20899.922685965601</v>
      </c>
      <c r="H1772" s="12">
        <v>20899.922685965601</v>
      </c>
      <c r="I1772" s="23" t="s">
        <v>52</v>
      </c>
      <c r="J1772" s="23" t="s">
        <v>61</v>
      </c>
      <c r="K1772" s="24" t="s">
        <v>177</v>
      </c>
      <c r="L1772" s="24">
        <v>141</v>
      </c>
      <c r="M1772" s="12">
        <v>17562.960240307228</v>
      </c>
      <c r="N1772" s="12">
        <v>17562.960240307228</v>
      </c>
      <c r="O1772" s="12">
        <v>3336.9624456583733</v>
      </c>
      <c r="P1772" s="13"/>
      <c r="Q1772" s="14">
        <v>2025</v>
      </c>
      <c r="R1772" s="15">
        <v>45413</v>
      </c>
      <c r="S1772" s="11" t="s">
        <v>366</v>
      </c>
      <c r="T1772" s="16">
        <v>0</v>
      </c>
      <c r="U1772" s="17"/>
      <c r="V1772" s="12">
        <v>3117.7370878319234</v>
      </c>
      <c r="W1772" s="12">
        <v>3117.7370878319234</v>
      </c>
      <c r="X1772" s="12">
        <v>0</v>
      </c>
      <c r="Y1772" s="18">
        <v>45796</v>
      </c>
      <c r="Z1772" s="13" t="s">
        <v>523</v>
      </c>
      <c r="AA1772" s="19" t="s">
        <v>373</v>
      </c>
      <c r="AB1772" s="13" t="s">
        <v>357</v>
      </c>
      <c r="AC1772" s="13" t="s">
        <v>534</v>
      </c>
      <c r="AD1772" s="20"/>
      <c r="AE1772" s="20"/>
      <c r="AF1772" s="13" t="s">
        <v>40</v>
      </c>
      <c r="AG1772" s="15">
        <v>45413</v>
      </c>
      <c r="AH1772" s="13" t="s">
        <v>41</v>
      </c>
      <c r="AI1772" s="13" t="s">
        <v>53</v>
      </c>
      <c r="AJ1772" s="13" t="str">
        <f>VLOOKUP(E1772,Precios!Z$2:AA$941,2,FALSE)</f>
        <v>Papel Higienico ELITE 50 metros</v>
      </c>
      <c r="AK1772" s="14">
        <f>VLOOKUP(E1772,Precios!Z$2:BB$941,3,FALSE)*F1772</f>
        <v>-8</v>
      </c>
      <c r="AL1772" s="17"/>
      <c r="AM1772" s="17"/>
      <c r="AN1772" s="17"/>
      <c r="AO1772" s="17"/>
      <c r="AP1772" s="17"/>
      <c r="AQ1772" s="17"/>
      <c r="AR1772" s="17"/>
      <c r="AS1772" s="17"/>
      <c r="AT1772" s="17"/>
      <c r="AU1772" s="17"/>
      <c r="AV1772" s="17"/>
    </row>
    <row r="1773" spans="1:48" ht="15.75" customHeight="1">
      <c r="A1773" s="21" t="s">
        <v>53</v>
      </c>
      <c r="B1773" s="23" t="s">
        <v>1692</v>
      </c>
      <c r="C1773" s="22">
        <v>45796</v>
      </c>
      <c r="D1773" s="23" t="s">
        <v>330</v>
      </c>
      <c r="E1773" s="23" t="s">
        <v>114</v>
      </c>
      <c r="F1773" s="21">
        <v>1</v>
      </c>
      <c r="G1773" s="12">
        <v>10500</v>
      </c>
      <c r="H1773" s="12">
        <v>10500</v>
      </c>
      <c r="I1773" s="23" t="s">
        <v>52</v>
      </c>
      <c r="J1773" s="23" t="s">
        <v>61</v>
      </c>
      <c r="K1773" s="24" t="s">
        <v>177</v>
      </c>
      <c r="L1773" s="24">
        <v>141</v>
      </c>
      <c r="M1773" s="12">
        <v>8823.5294117647063</v>
      </c>
      <c r="N1773" s="12">
        <v>8823.5294117647063</v>
      </c>
      <c r="O1773" s="12">
        <v>1676.4705882352937</v>
      </c>
      <c r="P1773" s="13"/>
      <c r="Q1773" s="14">
        <v>2025</v>
      </c>
      <c r="R1773" s="15">
        <v>45413</v>
      </c>
      <c r="S1773" s="11" t="s">
        <v>369</v>
      </c>
      <c r="T1773" s="16">
        <v>0</v>
      </c>
      <c r="U1773" s="17"/>
      <c r="V1773" s="12">
        <v>2403.3613445378151</v>
      </c>
      <c r="W1773" s="12">
        <v>2403.3613445378151</v>
      </c>
      <c r="X1773" s="12">
        <v>0</v>
      </c>
      <c r="Y1773" s="18">
        <v>45796</v>
      </c>
      <c r="Z1773" s="13" t="s">
        <v>523</v>
      </c>
      <c r="AA1773" s="19" t="s">
        <v>373</v>
      </c>
      <c r="AB1773" s="13" t="s">
        <v>357</v>
      </c>
      <c r="AC1773" s="13" t="s">
        <v>534</v>
      </c>
      <c r="AD1773" s="20"/>
      <c r="AE1773" s="20"/>
      <c r="AF1773" s="13" t="s">
        <v>40</v>
      </c>
      <c r="AG1773" s="15">
        <v>45413</v>
      </c>
      <c r="AH1773" s="13" t="s">
        <v>41</v>
      </c>
      <c r="AI1773" s="13" t="s">
        <v>53</v>
      </c>
      <c r="AJ1773" s="13" t="str">
        <f>VLOOKUP(E1773,Precios!Z$2:AA$941,2,FALSE)</f>
        <v>Toalla Papel NOVA 12 metros</v>
      </c>
      <c r="AK1773" s="14">
        <f>VLOOKUP(E1773,Precios!Z$2:BB$941,3,FALSE)*F1773</f>
        <v>-8</v>
      </c>
      <c r="AL1773" s="17"/>
      <c r="AM1773" s="17"/>
      <c r="AN1773" s="17"/>
      <c r="AO1773" s="17"/>
      <c r="AP1773" s="17"/>
      <c r="AQ1773" s="17"/>
      <c r="AR1773" s="17"/>
      <c r="AS1773" s="17"/>
      <c r="AT1773" s="17"/>
      <c r="AU1773" s="17"/>
      <c r="AV1773" s="17"/>
    </row>
    <row r="1774" spans="1:48" ht="15.75" customHeight="1">
      <c r="A1774" s="21" t="s">
        <v>53</v>
      </c>
      <c r="B1774" s="23" t="s">
        <v>1692</v>
      </c>
      <c r="C1774" s="22">
        <v>45796</v>
      </c>
      <c r="D1774" s="23" t="s">
        <v>330</v>
      </c>
      <c r="E1774" s="23" t="s">
        <v>70</v>
      </c>
      <c r="F1774" s="21">
        <v>1</v>
      </c>
      <c r="G1774" s="12">
        <v>5000.3257328990221</v>
      </c>
      <c r="H1774" s="12">
        <v>5000.3257328990221</v>
      </c>
      <c r="I1774" s="23" t="s">
        <v>52</v>
      </c>
      <c r="J1774" s="23" t="s">
        <v>61</v>
      </c>
      <c r="K1774" s="24" t="s">
        <v>177</v>
      </c>
      <c r="L1774" s="24">
        <v>141</v>
      </c>
      <c r="M1774" s="12">
        <v>4201.9543973941363</v>
      </c>
      <c r="N1774" s="12">
        <v>4201.9543973941363</v>
      </c>
      <c r="O1774" s="12">
        <v>798.37133550488579</v>
      </c>
      <c r="P1774" s="13"/>
      <c r="Q1774" s="14">
        <v>2025</v>
      </c>
      <c r="R1774" s="15">
        <v>45413</v>
      </c>
      <c r="S1774" s="11" t="s">
        <v>381</v>
      </c>
      <c r="T1774" s="16">
        <v>300</v>
      </c>
      <c r="U1774" s="17"/>
      <c r="V1774" s="12">
        <v>2008.9543973941363</v>
      </c>
      <c r="W1774" s="12">
        <v>2008.9543973941363</v>
      </c>
      <c r="X1774" s="12">
        <v>0</v>
      </c>
      <c r="Y1774" s="18">
        <v>45796</v>
      </c>
      <c r="Z1774" s="13" t="s">
        <v>523</v>
      </c>
      <c r="AA1774" s="19" t="s">
        <v>373</v>
      </c>
      <c r="AB1774" s="13" t="s">
        <v>357</v>
      </c>
      <c r="AC1774" s="13" t="s">
        <v>534</v>
      </c>
      <c r="AD1774" s="20"/>
      <c r="AE1774" s="20"/>
      <c r="AF1774" s="13" t="s">
        <v>40</v>
      </c>
      <c r="AG1774" s="15">
        <v>45413</v>
      </c>
      <c r="AH1774" s="13" t="s">
        <v>41</v>
      </c>
      <c r="AI1774" s="13" t="s">
        <v>53</v>
      </c>
      <c r="AJ1774" s="13" t="str">
        <f>VLOOKUP(E1774,Precios!Z$2:AA$941,2,FALSE)</f>
        <v>Servilletas SOFTQUALITY 300 unidades</v>
      </c>
      <c r="AK1774" s="14">
        <f>VLOOKUP(E1774,Precios!Z$2:BB$941,3,FALSE)*F1774</f>
        <v>-3</v>
      </c>
      <c r="AL1774" s="17"/>
      <c r="AM1774" s="17"/>
      <c r="AN1774" s="17"/>
      <c r="AO1774" s="17"/>
      <c r="AP1774" s="17"/>
      <c r="AQ1774" s="17"/>
      <c r="AR1774" s="17"/>
      <c r="AS1774" s="17"/>
      <c r="AT1774" s="17"/>
      <c r="AU1774" s="17"/>
      <c r="AV1774" s="17"/>
    </row>
    <row r="1775" spans="1:48" ht="15.75" customHeight="1">
      <c r="A1775" s="21" t="s">
        <v>47</v>
      </c>
      <c r="B1775" s="23" t="s">
        <v>1692</v>
      </c>
      <c r="C1775" s="22">
        <v>45796</v>
      </c>
      <c r="D1775" s="23" t="s">
        <v>330</v>
      </c>
      <c r="E1775" s="23" t="s">
        <v>85</v>
      </c>
      <c r="F1775" s="21">
        <v>1</v>
      </c>
      <c r="G1775" s="12">
        <v>3000.268216361198</v>
      </c>
      <c r="H1775" s="12">
        <v>3000.268216361198</v>
      </c>
      <c r="I1775" s="23" t="s">
        <v>52</v>
      </c>
      <c r="J1775" s="23" t="s">
        <v>61</v>
      </c>
      <c r="K1775" s="24" t="s">
        <v>177</v>
      </c>
      <c r="L1775" s="24">
        <v>141</v>
      </c>
      <c r="M1775" s="12">
        <v>2521.2337952615112</v>
      </c>
      <c r="N1775" s="12">
        <v>2521.2337952615112</v>
      </c>
      <c r="O1775" s="12">
        <v>479.03442109968682</v>
      </c>
      <c r="P1775" s="13"/>
      <c r="Q1775" s="14">
        <v>2025</v>
      </c>
      <c r="R1775" s="15">
        <v>45413</v>
      </c>
      <c r="S1775" s="11" t="s">
        <v>453</v>
      </c>
      <c r="T1775" s="16">
        <v>0</v>
      </c>
      <c r="U1775" s="17"/>
      <c r="V1775" s="12">
        <v>829.23379526151075</v>
      </c>
      <c r="W1775" s="12">
        <v>829.23379526151075</v>
      </c>
      <c r="X1775" s="12">
        <v>0</v>
      </c>
      <c r="Y1775" s="18">
        <v>45796</v>
      </c>
      <c r="Z1775" s="13" t="s">
        <v>523</v>
      </c>
      <c r="AA1775" s="19" t="s">
        <v>373</v>
      </c>
      <c r="AB1775" s="13" t="s">
        <v>357</v>
      </c>
      <c r="AC1775" s="13" t="s">
        <v>534</v>
      </c>
      <c r="AD1775" s="20"/>
      <c r="AE1775" s="20"/>
      <c r="AF1775" s="13" t="s">
        <v>40</v>
      </c>
      <c r="AG1775" s="15">
        <v>45413</v>
      </c>
      <c r="AH1775" s="13" t="s">
        <v>41</v>
      </c>
      <c r="AI1775" s="13" t="s">
        <v>47</v>
      </c>
      <c r="AJ1775" s="13" t="str">
        <f>VLOOKUP(E1775,Precios!Z$2:AA$941,2,FALSE)</f>
        <v xml:space="preserve">Bolsas Basura TEDDY 45x55 con Asas </v>
      </c>
      <c r="AK1775" s="14">
        <f>VLOOKUP(E1775,Precios!Z$2:BB$941,3,FALSE)*F1775</f>
        <v>-6</v>
      </c>
      <c r="AL1775" s="17"/>
      <c r="AM1775" s="17"/>
      <c r="AN1775" s="17"/>
      <c r="AO1775" s="17"/>
      <c r="AP1775" s="17"/>
      <c r="AQ1775" s="17"/>
      <c r="AR1775" s="17"/>
      <c r="AS1775" s="17"/>
      <c r="AT1775" s="17"/>
      <c r="AU1775" s="17"/>
      <c r="AV1775" s="17"/>
    </row>
    <row r="1776" spans="1:48" ht="15.75" customHeight="1">
      <c r="A1776" s="21" t="s">
        <v>47</v>
      </c>
      <c r="B1776" s="23" t="s">
        <v>1692</v>
      </c>
      <c r="C1776" s="22">
        <v>45796</v>
      </c>
      <c r="D1776" s="23" t="s">
        <v>330</v>
      </c>
      <c r="E1776" s="23" t="s">
        <v>328</v>
      </c>
      <c r="F1776" s="21">
        <v>1</v>
      </c>
      <c r="G1776" s="12">
        <v>1400</v>
      </c>
      <c r="H1776" s="12">
        <v>1400</v>
      </c>
      <c r="I1776" s="23" t="s">
        <v>52</v>
      </c>
      <c r="J1776" s="23" t="s">
        <v>61</v>
      </c>
      <c r="K1776" s="24" t="s">
        <v>177</v>
      </c>
      <c r="L1776" s="24">
        <v>141</v>
      </c>
      <c r="M1776" s="12">
        <v>1176.4705882352941</v>
      </c>
      <c r="N1776" s="12">
        <v>1176.4705882352941</v>
      </c>
      <c r="O1776" s="12">
        <v>223.52941176470586</v>
      </c>
      <c r="P1776" s="13"/>
      <c r="Q1776" s="14">
        <v>2025</v>
      </c>
      <c r="R1776" s="15">
        <v>45413</v>
      </c>
      <c r="S1776" s="11" t="s">
        <v>384</v>
      </c>
      <c r="T1776" s="16">
        <v>0</v>
      </c>
      <c r="U1776" s="17"/>
      <c r="V1776" s="12">
        <v>512.47058823529414</v>
      </c>
      <c r="W1776" s="12">
        <v>512.47058823529414</v>
      </c>
      <c r="X1776" s="12">
        <v>0</v>
      </c>
      <c r="Y1776" s="18">
        <v>45796</v>
      </c>
      <c r="Z1776" s="13" t="s">
        <v>523</v>
      </c>
      <c r="AA1776" s="19" t="s">
        <v>373</v>
      </c>
      <c r="AB1776" s="13" t="s">
        <v>357</v>
      </c>
      <c r="AC1776" s="13" t="s">
        <v>534</v>
      </c>
      <c r="AD1776" s="20"/>
      <c r="AE1776" s="20"/>
      <c r="AF1776" s="13" t="s">
        <v>40</v>
      </c>
      <c r="AG1776" s="15">
        <v>45413</v>
      </c>
      <c r="AH1776" s="13" t="s">
        <v>41</v>
      </c>
      <c r="AI1776" s="13" t="s">
        <v>47</v>
      </c>
      <c r="AJ1776" s="13" t="str">
        <f>VLOOKUP(E1776,Precios!Z$2:AA$941,2,FALSE)</f>
        <v>Jabón Líquido TEDDY</v>
      </c>
      <c r="AK1776" s="14">
        <f>VLOOKUP(E1776,Precios!Z$2:BB$941,3,FALSE)*F1776</f>
        <v>-1</v>
      </c>
      <c r="AL1776" s="17"/>
      <c r="AM1776" s="17"/>
      <c r="AN1776" s="17"/>
      <c r="AO1776" s="17"/>
      <c r="AP1776" s="17"/>
      <c r="AQ1776" s="17"/>
      <c r="AR1776" s="17"/>
      <c r="AS1776" s="17"/>
      <c r="AT1776" s="17"/>
      <c r="AU1776" s="17"/>
      <c r="AV1776" s="17"/>
    </row>
    <row r="1777" spans="1:48" ht="15.75" customHeight="1">
      <c r="A1777" s="21" t="s">
        <v>47</v>
      </c>
      <c r="B1777" s="23" t="s">
        <v>1692</v>
      </c>
      <c r="C1777" s="22">
        <v>45796</v>
      </c>
      <c r="D1777" s="23" t="s">
        <v>330</v>
      </c>
      <c r="E1777" s="23" t="s">
        <v>641</v>
      </c>
      <c r="F1777" s="21">
        <v>1</v>
      </c>
      <c r="G1777" s="12">
        <v>6800</v>
      </c>
      <c r="H1777" s="12">
        <v>6800</v>
      </c>
      <c r="I1777" s="23" t="s">
        <v>52</v>
      </c>
      <c r="J1777" s="23" t="s">
        <v>61</v>
      </c>
      <c r="K1777" s="24" t="s">
        <v>177</v>
      </c>
      <c r="L1777" s="24">
        <v>141</v>
      </c>
      <c r="M1777" s="12">
        <v>5714.2857142857147</v>
      </c>
      <c r="N1777" s="12">
        <v>5714.2857142857147</v>
      </c>
      <c r="O1777" s="12">
        <v>1085.7142857142853</v>
      </c>
      <c r="P1777" s="13"/>
      <c r="Q1777" s="14">
        <v>2025</v>
      </c>
      <c r="R1777" s="15">
        <v>45413</v>
      </c>
      <c r="S1777" s="11" t="s">
        <v>512</v>
      </c>
      <c r="T1777" s="16">
        <v>0</v>
      </c>
      <c r="U1777" s="17"/>
      <c r="V1777" s="12">
        <v>1460.5042016806728</v>
      </c>
      <c r="W1777" s="12">
        <v>1460.5042016806728</v>
      </c>
      <c r="X1777" s="12">
        <v>0</v>
      </c>
      <c r="Y1777" s="18">
        <v>45796</v>
      </c>
      <c r="Z1777" s="13" t="s">
        <v>523</v>
      </c>
      <c r="AA1777" s="19" t="s">
        <v>373</v>
      </c>
      <c r="AB1777" s="13" t="s">
        <v>357</v>
      </c>
      <c r="AC1777" s="13" t="s">
        <v>534</v>
      </c>
      <c r="AD1777" s="20"/>
      <c r="AE1777" s="20"/>
      <c r="AF1777" s="13" t="s">
        <v>40</v>
      </c>
      <c r="AG1777" s="15">
        <v>45413</v>
      </c>
      <c r="AH1777" s="13" t="s">
        <v>41</v>
      </c>
      <c r="AI1777" s="13" t="s">
        <v>47</v>
      </c>
      <c r="AJ1777" s="13" t="str">
        <f>VLOOKUP(E1777,Precios!Z$2:AA$941,2,FALSE)</f>
        <v>Lysoform 420 cc</v>
      </c>
      <c r="AK1777" s="14">
        <f>VLOOKUP(E1777,Precios!Z$2:BB$941,3,FALSE)*F1777</f>
        <v>-2</v>
      </c>
      <c r="AL1777" s="17"/>
      <c r="AM1777" s="17"/>
      <c r="AN1777" s="17"/>
      <c r="AO1777" s="17"/>
      <c r="AP1777" s="17"/>
      <c r="AQ1777" s="17"/>
      <c r="AR1777" s="17"/>
      <c r="AS1777" s="17"/>
      <c r="AT1777" s="17"/>
      <c r="AU1777" s="17"/>
      <c r="AV1777" s="17"/>
    </row>
    <row r="1778" spans="1:48" ht="15.75" customHeight="1">
      <c r="A1778" s="21" t="s">
        <v>47</v>
      </c>
      <c r="B1778" s="23" t="s">
        <v>1692</v>
      </c>
      <c r="C1778" s="22">
        <v>45796</v>
      </c>
      <c r="D1778" s="23" t="s">
        <v>915</v>
      </c>
      <c r="E1778" s="23" t="s">
        <v>94</v>
      </c>
      <c r="F1778" s="21">
        <v>1</v>
      </c>
      <c r="G1778" s="12">
        <v>1650.3649635036495</v>
      </c>
      <c r="H1778" s="12">
        <v>1650.3649635036495</v>
      </c>
      <c r="I1778" s="23" t="s">
        <v>52</v>
      </c>
      <c r="J1778" s="23" t="s">
        <v>61</v>
      </c>
      <c r="K1778" s="24" t="s">
        <v>177</v>
      </c>
      <c r="L1778" s="24">
        <v>141</v>
      </c>
      <c r="M1778" s="12">
        <v>1386.861313868613</v>
      </c>
      <c r="N1778" s="12">
        <v>1386.861313868613</v>
      </c>
      <c r="O1778" s="12">
        <v>263.50364963503648</v>
      </c>
      <c r="P1778" s="13"/>
      <c r="Q1778" s="14">
        <v>2025</v>
      </c>
      <c r="R1778" s="15">
        <v>45413</v>
      </c>
      <c r="S1778" s="11" t="s">
        <v>384</v>
      </c>
      <c r="T1778" s="16">
        <v>0</v>
      </c>
      <c r="U1778" s="17"/>
      <c r="V1778" s="12">
        <v>436.86131386861302</v>
      </c>
      <c r="W1778" s="12">
        <v>436.86131386861302</v>
      </c>
      <c r="X1778" s="12">
        <v>0</v>
      </c>
      <c r="Y1778" s="18">
        <v>45796</v>
      </c>
      <c r="Z1778" s="13" t="s">
        <v>523</v>
      </c>
      <c r="AA1778" s="19" t="s">
        <v>367</v>
      </c>
      <c r="AB1778" s="13" t="s">
        <v>357</v>
      </c>
      <c r="AC1778" s="13" t="s">
        <v>367</v>
      </c>
      <c r="AD1778" s="20"/>
      <c r="AE1778" s="20"/>
      <c r="AF1778" s="13" t="s">
        <v>40</v>
      </c>
      <c r="AG1778" s="15">
        <v>45413</v>
      </c>
      <c r="AH1778" s="13" t="s">
        <v>41</v>
      </c>
      <c r="AI1778" s="13" t="s">
        <v>47</v>
      </c>
      <c r="AJ1778" s="13" t="str">
        <f>VLOOKUP(E1778,Precios!Z$2:AA$941,2,FALSE)</f>
        <v>Jabón Lìquido BALLERINA</v>
      </c>
      <c r="AK1778" s="14">
        <f>VLOOKUP(E1778,Precios!Z$2:BB$941,3,FALSE)*F1778</f>
        <v>-3</v>
      </c>
      <c r="AL1778" s="17"/>
      <c r="AM1778" s="17"/>
      <c r="AN1778" s="17"/>
      <c r="AO1778" s="17"/>
      <c r="AP1778" s="17"/>
      <c r="AQ1778" s="17"/>
      <c r="AR1778" s="17"/>
      <c r="AS1778" s="17"/>
      <c r="AT1778" s="17"/>
      <c r="AU1778" s="17"/>
      <c r="AV1778" s="17"/>
    </row>
    <row r="1779" spans="1:48" ht="15.75" customHeight="1">
      <c r="A1779" s="21" t="s">
        <v>35</v>
      </c>
      <c r="B1779" s="23" t="s">
        <v>1692</v>
      </c>
      <c r="C1779" s="22">
        <v>45796</v>
      </c>
      <c r="D1779" s="23" t="s">
        <v>44</v>
      </c>
      <c r="E1779" s="23" t="s">
        <v>46</v>
      </c>
      <c r="F1779" s="21">
        <v>1</v>
      </c>
      <c r="G1779" s="12">
        <v>6000.1548227279782</v>
      </c>
      <c r="H1779" s="12">
        <v>6000.1548227279782</v>
      </c>
      <c r="I1779" s="23" t="s">
        <v>52</v>
      </c>
      <c r="J1779" s="23" t="s">
        <v>61</v>
      </c>
      <c r="K1779" s="24" t="s">
        <v>177</v>
      </c>
      <c r="L1779" s="24">
        <v>141</v>
      </c>
      <c r="M1779" s="12">
        <v>5042.1469098554444</v>
      </c>
      <c r="N1779" s="12">
        <v>5042.1469098554444</v>
      </c>
      <c r="O1779" s="12">
        <v>958.00791287253378</v>
      </c>
      <c r="P1779" s="13"/>
      <c r="Q1779" s="14">
        <v>2025</v>
      </c>
      <c r="R1779" s="15">
        <v>45413</v>
      </c>
      <c r="S1779" s="11" t="s">
        <v>364</v>
      </c>
      <c r="T1779" s="16">
        <v>500</v>
      </c>
      <c r="U1779" s="17"/>
      <c r="V1779" s="12">
        <v>1785.4242207798129</v>
      </c>
      <c r="W1779" s="12">
        <v>1785.4242207798129</v>
      </c>
      <c r="X1779" s="12">
        <v>0</v>
      </c>
      <c r="Y1779" s="18">
        <v>45796</v>
      </c>
      <c r="Z1779" s="13" t="s">
        <v>523</v>
      </c>
      <c r="AA1779" s="19" t="s">
        <v>361</v>
      </c>
      <c r="AB1779" s="13" t="s">
        <v>357</v>
      </c>
      <c r="AC1779" s="13" t="s">
        <v>554</v>
      </c>
      <c r="AD1779" s="20"/>
      <c r="AE1779" s="20"/>
      <c r="AF1779" s="13" t="s">
        <v>40</v>
      </c>
      <c r="AG1779" s="15">
        <v>45413</v>
      </c>
      <c r="AH1779" s="13" t="s">
        <v>41</v>
      </c>
      <c r="AI1779" s="13" t="s">
        <v>35</v>
      </c>
      <c r="AJ1779" s="13" t="str">
        <f>VLOOKUP(E1779,Precios!Z$2:AA$941,2,FALSE)</f>
        <v>Queso RUNCA Mantecoso</v>
      </c>
      <c r="AK1779" s="14">
        <f>VLOOKUP(E1779,Precios!Z$2:BB$941,3,FALSE)*F1779</f>
        <v>-0.5</v>
      </c>
      <c r="AL1779" s="17"/>
      <c r="AM1779" s="17"/>
      <c r="AN1779" s="17"/>
      <c r="AO1779" s="17"/>
      <c r="AP1779" s="17"/>
      <c r="AQ1779" s="17"/>
      <c r="AR1779" s="17"/>
      <c r="AS1779" s="17"/>
      <c r="AT1779" s="17"/>
      <c r="AU1779" s="17"/>
      <c r="AV1779" s="17"/>
    </row>
    <row r="1780" spans="1:48" ht="15.75" customHeight="1">
      <c r="A1780" s="21" t="s">
        <v>43</v>
      </c>
      <c r="B1780" s="23" t="s">
        <v>1692</v>
      </c>
      <c r="C1780" s="22">
        <v>45796</v>
      </c>
      <c r="D1780" s="23" t="s">
        <v>44</v>
      </c>
      <c r="E1780" s="23" t="s">
        <v>45</v>
      </c>
      <c r="F1780" s="21">
        <v>1</v>
      </c>
      <c r="G1780" s="12">
        <v>7999.7710567538261</v>
      </c>
      <c r="H1780" s="12">
        <v>7999.7710567538261</v>
      </c>
      <c r="I1780" s="23" t="s">
        <v>52</v>
      </c>
      <c r="J1780" s="23" t="s">
        <v>61</v>
      </c>
      <c r="K1780" s="24" t="s">
        <v>177</v>
      </c>
      <c r="L1780" s="24">
        <v>141</v>
      </c>
      <c r="M1780" s="12">
        <v>6722.496686347753</v>
      </c>
      <c r="N1780" s="12">
        <v>6722.496686347753</v>
      </c>
      <c r="O1780" s="12">
        <v>1277.2743704060731</v>
      </c>
      <c r="P1780" s="13"/>
      <c r="Q1780" s="14">
        <v>2025</v>
      </c>
      <c r="R1780" s="15">
        <v>45413</v>
      </c>
      <c r="S1780" s="11" t="s">
        <v>355</v>
      </c>
      <c r="T1780" s="16">
        <v>0</v>
      </c>
      <c r="U1780" s="17"/>
      <c r="V1780" s="12">
        <v>1143.496686347753</v>
      </c>
      <c r="W1780" s="12">
        <v>1143.496686347753</v>
      </c>
      <c r="X1780" s="12">
        <v>0</v>
      </c>
      <c r="Y1780" s="18">
        <v>45796</v>
      </c>
      <c r="Z1780" s="13" t="s">
        <v>523</v>
      </c>
      <c r="AA1780" s="19" t="s">
        <v>361</v>
      </c>
      <c r="AB1780" s="13" t="s">
        <v>357</v>
      </c>
      <c r="AC1780" s="13" t="s">
        <v>554</v>
      </c>
      <c r="AD1780" s="20"/>
      <c r="AE1780" s="20"/>
      <c r="AF1780" s="13" t="s">
        <v>40</v>
      </c>
      <c r="AG1780" s="15">
        <v>45413</v>
      </c>
      <c r="AH1780" s="13" t="s">
        <v>41</v>
      </c>
      <c r="AI1780" s="13" t="s">
        <v>43</v>
      </c>
      <c r="AJ1780" s="13" t="str">
        <f>VLOOKUP(E1780,Precios!Z$2:AA$941,2,FALSE)</f>
        <v>Bandeja Huevos EXTRA</v>
      </c>
      <c r="AK1780" s="14">
        <f>VLOOKUP(E1780,Precios!Z$2:BB$941,3,FALSE)*F1780</f>
        <v>-1</v>
      </c>
      <c r="AL1780" s="17"/>
      <c r="AM1780" s="17"/>
      <c r="AN1780" s="17"/>
      <c r="AO1780" s="17"/>
      <c r="AP1780" s="17"/>
      <c r="AQ1780" s="17"/>
      <c r="AR1780" s="17"/>
      <c r="AS1780" s="17"/>
      <c r="AT1780" s="17"/>
      <c r="AU1780" s="17"/>
      <c r="AV1780" s="17"/>
    </row>
    <row r="1781" spans="1:48" ht="15.75" customHeight="1">
      <c r="A1781" s="21" t="s">
        <v>56</v>
      </c>
      <c r="B1781" s="23" t="s">
        <v>1692</v>
      </c>
      <c r="C1781" s="22">
        <v>45796</v>
      </c>
      <c r="D1781" s="23" t="s">
        <v>44</v>
      </c>
      <c r="E1781" s="23" t="s">
        <v>190</v>
      </c>
      <c r="F1781" s="21">
        <v>1</v>
      </c>
      <c r="G1781" s="12">
        <v>2499.5279645258192</v>
      </c>
      <c r="H1781" s="12">
        <v>2499.5279645258192</v>
      </c>
      <c r="I1781" s="23" t="s">
        <v>52</v>
      </c>
      <c r="J1781" s="23" t="s">
        <v>61</v>
      </c>
      <c r="K1781" s="24" t="s">
        <v>177</v>
      </c>
      <c r="L1781" s="24">
        <v>141</v>
      </c>
      <c r="M1781" s="12">
        <v>2100.4436676687556</v>
      </c>
      <c r="N1781" s="12">
        <v>2100.4436676687556</v>
      </c>
      <c r="O1781" s="12">
        <v>399.08429685706369</v>
      </c>
      <c r="P1781" s="13"/>
      <c r="Q1781" s="14">
        <v>2025</v>
      </c>
      <c r="R1781" s="15">
        <v>45413</v>
      </c>
      <c r="S1781" s="11" t="s">
        <v>492</v>
      </c>
      <c r="T1781" s="16">
        <v>200</v>
      </c>
      <c r="U1781" s="17"/>
      <c r="V1781" s="12">
        <v>632.02349960152856</v>
      </c>
      <c r="W1781" s="12">
        <v>632.02349960152856</v>
      </c>
      <c r="X1781" s="12">
        <v>0</v>
      </c>
      <c r="Y1781" s="18">
        <v>45796</v>
      </c>
      <c r="Z1781" s="13" t="s">
        <v>523</v>
      </c>
      <c r="AA1781" s="19" t="s">
        <v>361</v>
      </c>
      <c r="AB1781" s="13" t="s">
        <v>357</v>
      </c>
      <c r="AC1781" s="13" t="s">
        <v>554</v>
      </c>
      <c r="AD1781" s="20"/>
      <c r="AE1781" s="20"/>
      <c r="AF1781" s="13" t="s">
        <v>40</v>
      </c>
      <c r="AG1781" s="15">
        <v>45413</v>
      </c>
      <c r="AH1781" s="13" t="s">
        <v>41</v>
      </c>
      <c r="AI1781" s="13" t="s">
        <v>56</v>
      </c>
      <c r="AJ1781" s="13" t="str">
        <f>VLOOKUP(E1781,Precios!Z$2:AA$941,2,FALSE)</f>
        <v>Mantequilla RUMAY</v>
      </c>
      <c r="AK1781" s="14">
        <f>VLOOKUP(E1781,Precios!Z$2:BB$941,3,FALSE)*F1781</f>
        <v>-1</v>
      </c>
      <c r="AL1781" s="17"/>
      <c r="AM1781" s="17"/>
      <c r="AN1781" s="17"/>
      <c r="AO1781" s="17"/>
      <c r="AP1781" s="17"/>
      <c r="AQ1781" s="17"/>
      <c r="AR1781" s="17"/>
      <c r="AS1781" s="17"/>
      <c r="AT1781" s="17"/>
      <c r="AU1781" s="17"/>
      <c r="AV1781" s="17"/>
    </row>
    <row r="1782" spans="1:48" ht="15.75" customHeight="1">
      <c r="A1782" s="21" t="s">
        <v>53</v>
      </c>
      <c r="B1782" s="23" t="s">
        <v>1692</v>
      </c>
      <c r="C1782" s="22">
        <v>45796</v>
      </c>
      <c r="D1782" s="23" t="s">
        <v>245</v>
      </c>
      <c r="E1782" s="23" t="s">
        <v>97</v>
      </c>
      <c r="F1782" s="21">
        <v>1</v>
      </c>
      <c r="G1782" s="12">
        <v>16500.126742712295</v>
      </c>
      <c r="H1782" s="12">
        <v>16500.126742712295</v>
      </c>
      <c r="I1782" s="23" t="s">
        <v>52</v>
      </c>
      <c r="J1782" s="23" t="s">
        <v>61</v>
      </c>
      <c r="K1782" s="24" t="s">
        <v>177</v>
      </c>
      <c r="L1782" s="24">
        <v>141</v>
      </c>
      <c r="M1782" s="12">
        <v>13865.652724968315</v>
      </c>
      <c r="N1782" s="12">
        <v>13865.652724968315</v>
      </c>
      <c r="O1782" s="12">
        <v>2634.4740177439799</v>
      </c>
      <c r="P1782" s="13"/>
      <c r="Q1782" s="14">
        <v>2025</v>
      </c>
      <c r="R1782" s="15">
        <v>45413</v>
      </c>
      <c r="S1782" s="11" t="s">
        <v>366</v>
      </c>
      <c r="T1782" s="16">
        <v>0</v>
      </c>
      <c r="U1782" s="17"/>
      <c r="V1782" s="12">
        <v>3031.7451846163694</v>
      </c>
      <c r="W1782" s="12">
        <v>3031.7451846163694</v>
      </c>
      <c r="X1782" s="12">
        <v>0</v>
      </c>
      <c r="Y1782" s="18">
        <v>45796</v>
      </c>
      <c r="Z1782" s="13" t="s">
        <v>523</v>
      </c>
      <c r="AA1782" s="19" t="s">
        <v>373</v>
      </c>
      <c r="AB1782" s="13" t="s">
        <v>357</v>
      </c>
      <c r="AC1782" s="13" t="s">
        <v>489</v>
      </c>
      <c r="AD1782" s="20"/>
      <c r="AE1782" s="20"/>
      <c r="AF1782" s="13" t="s">
        <v>40</v>
      </c>
      <c r="AG1782" s="15">
        <v>45413</v>
      </c>
      <c r="AH1782" s="13" t="s">
        <v>41</v>
      </c>
      <c r="AI1782" s="13" t="s">
        <v>53</v>
      </c>
      <c r="AJ1782" s="13" t="str">
        <f>VLOOKUP(E1782,Precios!Z$2:AA$941,2,FALSE)</f>
        <v>Papel Higienico ELITE 50 metros</v>
      </c>
      <c r="AK1782" s="14">
        <f>VLOOKUP(E1782,Precios!Z$2:BB$941,3,FALSE)*F1782</f>
        <v>-6</v>
      </c>
      <c r="AL1782" s="23" t="s">
        <v>642</v>
      </c>
      <c r="AM1782" s="17"/>
      <c r="AN1782" s="17"/>
      <c r="AO1782" s="17"/>
      <c r="AP1782" s="17"/>
      <c r="AQ1782" s="17"/>
      <c r="AR1782" s="17"/>
      <c r="AS1782" s="17"/>
      <c r="AT1782" s="17"/>
      <c r="AU1782" s="17"/>
      <c r="AV1782" s="17"/>
    </row>
    <row r="1783" spans="1:48" ht="15.75" customHeight="1">
      <c r="A1783" s="21" t="s">
        <v>76</v>
      </c>
      <c r="B1783" s="23" t="s">
        <v>1692</v>
      </c>
      <c r="C1783" s="22">
        <v>45796</v>
      </c>
      <c r="D1783" s="23" t="s">
        <v>135</v>
      </c>
      <c r="E1783" s="23" t="s">
        <v>82</v>
      </c>
      <c r="F1783" s="21">
        <v>2</v>
      </c>
      <c r="G1783" s="12">
        <v>2000.0000000000002</v>
      </c>
      <c r="H1783" s="12">
        <v>4000.0000000000005</v>
      </c>
      <c r="I1783" s="23" t="s">
        <v>52</v>
      </c>
      <c r="J1783" s="23" t="s">
        <v>61</v>
      </c>
      <c r="K1783" s="24" t="s">
        <v>177</v>
      </c>
      <c r="L1783" s="24">
        <v>141</v>
      </c>
      <c r="M1783" s="12">
        <v>1680.6722689075632</v>
      </c>
      <c r="N1783" s="12">
        <v>3361.3445378151264</v>
      </c>
      <c r="O1783" s="12">
        <v>638.65546218487407</v>
      </c>
      <c r="P1783" s="13"/>
      <c r="Q1783" s="14">
        <v>2025</v>
      </c>
      <c r="R1783" s="15">
        <v>45413</v>
      </c>
      <c r="S1783" s="11" t="s">
        <v>463</v>
      </c>
      <c r="T1783" s="16">
        <v>10</v>
      </c>
      <c r="U1783" s="17"/>
      <c r="V1783" s="12">
        <v>1361.3445378151264</v>
      </c>
      <c r="W1783" s="12">
        <v>1361.3445378151264</v>
      </c>
      <c r="X1783" s="12">
        <v>0</v>
      </c>
      <c r="Y1783" s="18">
        <v>45796</v>
      </c>
      <c r="Z1783" s="13" t="s">
        <v>523</v>
      </c>
      <c r="AA1783" s="19" t="s">
        <v>361</v>
      </c>
      <c r="AB1783" s="13" t="s">
        <v>357</v>
      </c>
      <c r="AC1783" s="13" t="s">
        <v>538</v>
      </c>
      <c r="AD1783" s="20"/>
      <c r="AE1783" s="20"/>
      <c r="AF1783" s="13" t="s">
        <v>40</v>
      </c>
      <c r="AG1783" s="15">
        <v>45413</v>
      </c>
      <c r="AH1783" s="13" t="s">
        <v>41</v>
      </c>
      <c r="AI1783" s="13" t="s">
        <v>76</v>
      </c>
      <c r="AJ1783" s="13" t="str">
        <f>VLOOKUP(E1783,Precios!Z$2:AA$941,2,FALSE)</f>
        <v>Limpiapiso SPUM 5 Litros</v>
      </c>
      <c r="AK1783" s="14">
        <f>VLOOKUP(E1783,Precios!Z$2:BB$941,3,FALSE)*F1783</f>
        <v>-2</v>
      </c>
      <c r="AL1783" s="17"/>
      <c r="AM1783" s="17"/>
      <c r="AN1783" s="17"/>
      <c r="AO1783" s="17"/>
      <c r="AP1783" s="17"/>
      <c r="AQ1783" s="17"/>
      <c r="AR1783" s="17"/>
      <c r="AS1783" s="17"/>
      <c r="AT1783" s="17"/>
      <c r="AU1783" s="17"/>
      <c r="AV1783" s="17"/>
    </row>
    <row r="1784" spans="1:48" ht="15.75" customHeight="1">
      <c r="A1784" s="21" t="s">
        <v>43</v>
      </c>
      <c r="B1784" s="23" t="s">
        <v>1692</v>
      </c>
      <c r="C1784" s="22">
        <v>45795</v>
      </c>
      <c r="D1784" s="23" t="s">
        <v>391</v>
      </c>
      <c r="E1784" s="23" t="s">
        <v>45</v>
      </c>
      <c r="F1784" s="21">
        <v>1</v>
      </c>
      <c r="G1784" s="12">
        <v>7999.7710567538261</v>
      </c>
      <c r="H1784" s="12">
        <v>7999.7710567538261</v>
      </c>
      <c r="I1784" s="23" t="s">
        <v>52</v>
      </c>
      <c r="J1784" s="23" t="s">
        <v>61</v>
      </c>
      <c r="K1784" s="24" t="s">
        <v>177</v>
      </c>
      <c r="L1784" s="24">
        <v>140</v>
      </c>
      <c r="M1784" s="12">
        <v>6722.496686347753</v>
      </c>
      <c r="N1784" s="12">
        <v>6722.496686347753</v>
      </c>
      <c r="O1784" s="12">
        <v>1277.2743704060731</v>
      </c>
      <c r="P1784" s="13"/>
      <c r="Q1784" s="14">
        <v>2025</v>
      </c>
      <c r="R1784" s="15">
        <v>45413</v>
      </c>
      <c r="S1784" s="11" t="s">
        <v>355</v>
      </c>
      <c r="T1784" s="16">
        <v>0</v>
      </c>
      <c r="U1784" s="17"/>
      <c r="V1784" s="12">
        <v>1143.496686347753</v>
      </c>
      <c r="W1784" s="12">
        <v>1143.496686347753</v>
      </c>
      <c r="X1784" s="12">
        <v>0</v>
      </c>
      <c r="Y1784" s="18">
        <v>45789</v>
      </c>
      <c r="Z1784" s="13" t="s">
        <v>497</v>
      </c>
      <c r="AA1784" s="19" t="s">
        <v>373</v>
      </c>
      <c r="AB1784" s="13" t="s">
        <v>357</v>
      </c>
      <c r="AC1784" s="13" t="s">
        <v>392</v>
      </c>
      <c r="AD1784" s="20"/>
      <c r="AE1784" s="20"/>
      <c r="AF1784" s="13" t="s">
        <v>40</v>
      </c>
      <c r="AG1784" s="15">
        <v>45413</v>
      </c>
      <c r="AH1784" s="13" t="s">
        <v>41</v>
      </c>
      <c r="AI1784" s="13" t="s">
        <v>43</v>
      </c>
      <c r="AJ1784" s="13" t="str">
        <f>VLOOKUP(E1784,Precios!Z$2:AA$941,2,FALSE)</f>
        <v>Bandeja Huevos EXTRA</v>
      </c>
      <c r="AK1784" s="14">
        <f>VLOOKUP(E1784,Precios!Z$2:BB$941,3,FALSE)*F1784</f>
        <v>-1</v>
      </c>
      <c r="AL1784" s="17"/>
      <c r="AM1784" s="17"/>
      <c r="AN1784" s="17"/>
      <c r="AO1784" s="17"/>
      <c r="AP1784" s="17"/>
      <c r="AQ1784" s="17"/>
      <c r="AR1784" s="17"/>
      <c r="AS1784" s="17"/>
      <c r="AT1784" s="17"/>
      <c r="AU1784" s="17"/>
      <c r="AV1784" s="17"/>
    </row>
    <row r="1785" spans="1:48" ht="15.75" customHeight="1">
      <c r="A1785" s="21" t="s">
        <v>43</v>
      </c>
      <c r="B1785" s="23" t="s">
        <v>1692</v>
      </c>
      <c r="C1785" s="22">
        <v>45795</v>
      </c>
      <c r="D1785" s="23" t="s">
        <v>241</v>
      </c>
      <c r="E1785" s="23" t="s">
        <v>45</v>
      </c>
      <c r="F1785" s="21">
        <v>1</v>
      </c>
      <c r="G1785" s="12">
        <v>7999.7710567538261</v>
      </c>
      <c r="H1785" s="12">
        <v>7999.7710567538261</v>
      </c>
      <c r="I1785" s="23" t="s">
        <v>52</v>
      </c>
      <c r="J1785" s="23" t="s">
        <v>61</v>
      </c>
      <c r="K1785" s="24" t="s">
        <v>177</v>
      </c>
      <c r="L1785" s="24">
        <v>140</v>
      </c>
      <c r="M1785" s="12">
        <v>6722.496686347753</v>
      </c>
      <c r="N1785" s="12">
        <v>6722.496686347753</v>
      </c>
      <c r="O1785" s="12">
        <v>1277.2743704060731</v>
      </c>
      <c r="P1785" s="13"/>
      <c r="Q1785" s="14">
        <v>2025</v>
      </c>
      <c r="R1785" s="15">
        <v>45413</v>
      </c>
      <c r="S1785" s="11" t="s">
        <v>355</v>
      </c>
      <c r="T1785" s="16">
        <v>0</v>
      </c>
      <c r="U1785" s="17"/>
      <c r="V1785" s="12">
        <v>1143.496686347753</v>
      </c>
      <c r="W1785" s="12">
        <v>1143.496686347753</v>
      </c>
      <c r="X1785" s="12">
        <v>0</v>
      </c>
      <c r="Y1785" s="18">
        <v>45789</v>
      </c>
      <c r="Z1785" s="13" t="s">
        <v>497</v>
      </c>
      <c r="AA1785" s="19" t="s">
        <v>373</v>
      </c>
      <c r="AB1785" s="13" t="s">
        <v>357</v>
      </c>
      <c r="AC1785" s="13" t="s">
        <v>488</v>
      </c>
      <c r="AD1785" s="20"/>
      <c r="AE1785" s="20"/>
      <c r="AF1785" s="13" t="s">
        <v>40</v>
      </c>
      <c r="AG1785" s="15">
        <v>45413</v>
      </c>
      <c r="AH1785" s="13" t="s">
        <v>41</v>
      </c>
      <c r="AI1785" s="13" t="s">
        <v>43</v>
      </c>
      <c r="AJ1785" s="13" t="str">
        <f>VLOOKUP(E1785,Precios!Z$2:AA$941,2,FALSE)</f>
        <v>Bandeja Huevos EXTRA</v>
      </c>
      <c r="AK1785" s="14">
        <f>VLOOKUP(E1785,Precios!Z$2:BB$941,3,FALSE)*F1785</f>
        <v>-1</v>
      </c>
      <c r="AL1785" s="17"/>
      <c r="AM1785" s="17"/>
      <c r="AN1785" s="17"/>
      <c r="AO1785" s="17"/>
      <c r="AP1785" s="17"/>
      <c r="AQ1785" s="17"/>
      <c r="AR1785" s="17"/>
      <c r="AS1785" s="17"/>
      <c r="AT1785" s="17"/>
      <c r="AU1785" s="17"/>
      <c r="AV1785" s="17"/>
    </row>
    <row r="1786" spans="1:48" ht="15.75" customHeight="1">
      <c r="A1786" s="21" t="s">
        <v>43</v>
      </c>
      <c r="B1786" s="23" t="s">
        <v>1692</v>
      </c>
      <c r="C1786" s="22">
        <v>45794</v>
      </c>
      <c r="D1786" s="23" t="s">
        <v>622</v>
      </c>
      <c r="E1786" s="23" t="s">
        <v>45</v>
      </c>
      <c r="F1786" s="21">
        <v>1</v>
      </c>
      <c r="G1786" s="12">
        <v>7999.7710567538261</v>
      </c>
      <c r="H1786" s="12">
        <v>7999.7710567538261</v>
      </c>
      <c r="I1786" s="23" t="s">
        <v>52</v>
      </c>
      <c r="J1786" s="23" t="s">
        <v>61</v>
      </c>
      <c r="K1786" s="24" t="s">
        <v>177</v>
      </c>
      <c r="L1786" s="24">
        <v>140</v>
      </c>
      <c r="M1786" s="12">
        <v>6722.496686347753</v>
      </c>
      <c r="N1786" s="12">
        <v>6722.496686347753</v>
      </c>
      <c r="O1786" s="12">
        <v>1277.2743704060731</v>
      </c>
      <c r="P1786" s="13"/>
      <c r="Q1786" s="14">
        <v>2025</v>
      </c>
      <c r="R1786" s="15">
        <v>45413</v>
      </c>
      <c r="S1786" s="11" t="s">
        <v>355</v>
      </c>
      <c r="T1786" s="16">
        <v>0</v>
      </c>
      <c r="U1786" s="17"/>
      <c r="V1786" s="12">
        <v>1143.496686347753</v>
      </c>
      <c r="W1786" s="12">
        <v>1143.496686347753</v>
      </c>
      <c r="X1786" s="12">
        <v>0</v>
      </c>
      <c r="Y1786" s="18">
        <v>45789</v>
      </c>
      <c r="Z1786" s="13" t="s">
        <v>501</v>
      </c>
      <c r="AA1786" s="19" t="s">
        <v>373</v>
      </c>
      <c r="AB1786" s="13" t="s">
        <v>357</v>
      </c>
      <c r="AC1786" s="13" t="s">
        <v>623</v>
      </c>
      <c r="AD1786" s="20"/>
      <c r="AE1786" s="20"/>
      <c r="AF1786" s="13" t="s">
        <v>40</v>
      </c>
      <c r="AG1786" s="15">
        <v>45413</v>
      </c>
      <c r="AH1786" s="13" t="s">
        <v>41</v>
      </c>
      <c r="AI1786" s="13" t="s">
        <v>43</v>
      </c>
      <c r="AJ1786" s="13" t="str">
        <f>VLOOKUP(E1786,Precios!Z$2:AA$941,2,FALSE)</f>
        <v>Bandeja Huevos EXTRA</v>
      </c>
      <c r="AK1786" s="14">
        <f>VLOOKUP(E1786,Precios!Z$2:BB$941,3,FALSE)*F1786</f>
        <v>-1</v>
      </c>
      <c r="AL1786" s="17"/>
      <c r="AM1786" s="17"/>
      <c r="AN1786" s="17"/>
      <c r="AO1786" s="17"/>
      <c r="AP1786" s="17"/>
      <c r="AQ1786" s="17"/>
      <c r="AR1786" s="17"/>
      <c r="AS1786" s="17"/>
      <c r="AT1786" s="17"/>
      <c r="AU1786" s="17"/>
      <c r="AV1786" s="17"/>
    </row>
    <row r="1787" spans="1:48" ht="15.75" customHeight="1">
      <c r="A1787" s="21" t="s">
        <v>43</v>
      </c>
      <c r="B1787" s="23" t="s">
        <v>1692</v>
      </c>
      <c r="C1787" s="22">
        <v>45794</v>
      </c>
      <c r="D1787" s="23" t="s">
        <v>189</v>
      </c>
      <c r="E1787" s="23" t="s">
        <v>45</v>
      </c>
      <c r="F1787" s="21">
        <v>1</v>
      </c>
      <c r="G1787" s="12">
        <v>7999.7710567538261</v>
      </c>
      <c r="H1787" s="12">
        <v>7999.7710567538261</v>
      </c>
      <c r="I1787" s="23" t="s">
        <v>52</v>
      </c>
      <c r="J1787" s="23" t="s">
        <v>61</v>
      </c>
      <c r="K1787" s="24" t="s">
        <v>177</v>
      </c>
      <c r="L1787" s="24">
        <v>140</v>
      </c>
      <c r="M1787" s="12">
        <v>6722.496686347753</v>
      </c>
      <c r="N1787" s="12">
        <v>6722.496686347753</v>
      </c>
      <c r="O1787" s="12">
        <v>1277.2743704060731</v>
      </c>
      <c r="P1787" s="13"/>
      <c r="Q1787" s="14">
        <v>2025</v>
      </c>
      <c r="R1787" s="15">
        <v>45413</v>
      </c>
      <c r="S1787" s="11" t="s">
        <v>355</v>
      </c>
      <c r="T1787" s="16">
        <v>0</v>
      </c>
      <c r="U1787" s="17"/>
      <c r="V1787" s="12">
        <v>1143.496686347753</v>
      </c>
      <c r="W1787" s="12">
        <v>1143.496686347753</v>
      </c>
      <c r="X1787" s="12">
        <v>0</v>
      </c>
      <c r="Y1787" s="18">
        <v>45789</v>
      </c>
      <c r="Z1787" s="13" t="s">
        <v>501</v>
      </c>
      <c r="AA1787" s="19" t="s">
        <v>361</v>
      </c>
      <c r="AB1787" s="13" t="s">
        <v>357</v>
      </c>
      <c r="AC1787" s="13" t="s">
        <v>362</v>
      </c>
      <c r="AD1787" s="20"/>
      <c r="AE1787" s="20"/>
      <c r="AF1787" s="13" t="s">
        <v>40</v>
      </c>
      <c r="AG1787" s="15">
        <v>45413</v>
      </c>
      <c r="AH1787" s="13" t="s">
        <v>41</v>
      </c>
      <c r="AI1787" s="13" t="s">
        <v>43</v>
      </c>
      <c r="AJ1787" s="13" t="str">
        <f>VLOOKUP(E1787,Precios!Z$2:AA$941,2,FALSE)</f>
        <v>Bandeja Huevos EXTRA</v>
      </c>
      <c r="AK1787" s="14">
        <f>VLOOKUP(E1787,Precios!Z$2:BB$941,3,FALSE)*F1787</f>
        <v>-1</v>
      </c>
      <c r="AL1787" s="17"/>
      <c r="AM1787" s="17"/>
      <c r="AN1787" s="17"/>
      <c r="AO1787" s="17"/>
      <c r="AP1787" s="17"/>
      <c r="AQ1787" s="17"/>
      <c r="AR1787" s="17"/>
      <c r="AS1787" s="17"/>
      <c r="AT1787" s="17"/>
      <c r="AU1787" s="17"/>
      <c r="AV1787" s="17"/>
    </row>
    <row r="1788" spans="1:48" ht="15.75" customHeight="1">
      <c r="A1788" s="21" t="s">
        <v>53</v>
      </c>
      <c r="B1788" s="23" t="s">
        <v>1692</v>
      </c>
      <c r="C1788" s="22">
        <v>45794</v>
      </c>
      <c r="D1788" s="23" t="s">
        <v>189</v>
      </c>
      <c r="E1788" s="23" t="s">
        <v>150</v>
      </c>
      <c r="F1788" s="21">
        <v>1</v>
      </c>
      <c r="G1788" s="12">
        <v>1799.8965445892823</v>
      </c>
      <c r="H1788" s="12">
        <v>1799.8965445892823</v>
      </c>
      <c r="I1788" s="23" t="s">
        <v>52</v>
      </c>
      <c r="J1788" s="23" t="s">
        <v>61</v>
      </c>
      <c r="K1788" s="24" t="s">
        <v>177</v>
      </c>
      <c r="L1788" s="24">
        <v>140</v>
      </c>
      <c r="M1788" s="12">
        <v>1512.518104696876</v>
      </c>
      <c r="N1788" s="12">
        <v>1512.518104696876</v>
      </c>
      <c r="O1788" s="12">
        <v>287.37843989240628</v>
      </c>
      <c r="P1788" s="13"/>
      <c r="Q1788" s="14">
        <v>2025</v>
      </c>
      <c r="R1788" s="15">
        <v>45413</v>
      </c>
      <c r="S1788" s="11" t="s">
        <v>381</v>
      </c>
      <c r="T1788" s="16">
        <v>300</v>
      </c>
      <c r="U1788" s="17"/>
      <c r="V1788" s="12">
        <v>781.51810469687575</v>
      </c>
      <c r="W1788" s="12">
        <v>781.51810469687575</v>
      </c>
      <c r="X1788" s="12">
        <v>0</v>
      </c>
      <c r="Y1788" s="18">
        <v>45789</v>
      </c>
      <c r="Z1788" s="13" t="s">
        <v>501</v>
      </c>
      <c r="AA1788" s="19" t="s">
        <v>361</v>
      </c>
      <c r="AB1788" s="13" t="s">
        <v>357</v>
      </c>
      <c r="AC1788" s="13" t="s">
        <v>362</v>
      </c>
      <c r="AD1788" s="20"/>
      <c r="AE1788" s="20"/>
      <c r="AF1788" s="13" t="s">
        <v>40</v>
      </c>
      <c r="AG1788" s="15">
        <v>45413</v>
      </c>
      <c r="AH1788" s="13" t="s">
        <v>41</v>
      </c>
      <c r="AI1788" s="13" t="s">
        <v>53</v>
      </c>
      <c r="AJ1788" s="13" t="str">
        <f>VLOOKUP(E1788,Precios!Z$2:AA$941,2,FALSE)</f>
        <v>Servilletas SOFTQUALITY 300 unidades</v>
      </c>
      <c r="AK1788" s="14">
        <f>VLOOKUP(E1788,Precios!Z$2:BB$941,3,FALSE)*F1788</f>
        <v>-1</v>
      </c>
      <c r="AL1788" s="17"/>
      <c r="AM1788" s="17"/>
      <c r="AN1788" s="17"/>
      <c r="AO1788" s="17"/>
      <c r="AP1788" s="17"/>
      <c r="AQ1788" s="17"/>
      <c r="AR1788" s="17"/>
      <c r="AS1788" s="17"/>
      <c r="AT1788" s="17"/>
      <c r="AU1788" s="17"/>
      <c r="AV1788" s="17"/>
    </row>
    <row r="1789" spans="1:48" ht="15.75" customHeight="1">
      <c r="A1789" s="21" t="s">
        <v>43</v>
      </c>
      <c r="B1789" s="23" t="s">
        <v>1692</v>
      </c>
      <c r="C1789" s="22">
        <v>45794</v>
      </c>
      <c r="D1789" s="23" t="s">
        <v>184</v>
      </c>
      <c r="E1789" s="23" t="s">
        <v>45</v>
      </c>
      <c r="F1789" s="21">
        <v>1</v>
      </c>
      <c r="G1789" s="12">
        <v>7999.7710567538261</v>
      </c>
      <c r="H1789" s="12">
        <v>7999.7710567538261</v>
      </c>
      <c r="I1789" s="23" t="s">
        <v>52</v>
      </c>
      <c r="J1789" s="23" t="s">
        <v>61</v>
      </c>
      <c r="K1789" s="24" t="s">
        <v>177</v>
      </c>
      <c r="L1789" s="24">
        <v>140</v>
      </c>
      <c r="M1789" s="12">
        <v>6722.496686347753</v>
      </c>
      <c r="N1789" s="12">
        <v>6722.496686347753</v>
      </c>
      <c r="O1789" s="12">
        <v>1277.2743704060731</v>
      </c>
      <c r="P1789" s="13"/>
      <c r="Q1789" s="14">
        <v>2025</v>
      </c>
      <c r="R1789" s="15">
        <v>45413</v>
      </c>
      <c r="S1789" s="11" t="s">
        <v>355</v>
      </c>
      <c r="T1789" s="16">
        <v>0</v>
      </c>
      <c r="U1789" s="17"/>
      <c r="V1789" s="12">
        <v>1143.496686347753</v>
      </c>
      <c r="W1789" s="12">
        <v>1143.496686347753</v>
      </c>
      <c r="X1789" s="12">
        <v>0</v>
      </c>
      <c r="Y1789" s="18">
        <v>45789</v>
      </c>
      <c r="Z1789" s="13" t="s">
        <v>501</v>
      </c>
      <c r="AA1789" s="19" t="s">
        <v>361</v>
      </c>
      <c r="AB1789" s="13" t="s">
        <v>357</v>
      </c>
      <c r="AC1789" s="13" t="s">
        <v>405</v>
      </c>
      <c r="AD1789" s="20"/>
      <c r="AE1789" s="20"/>
      <c r="AF1789" s="13" t="s">
        <v>40</v>
      </c>
      <c r="AG1789" s="15">
        <v>45413</v>
      </c>
      <c r="AH1789" s="13" t="s">
        <v>41</v>
      </c>
      <c r="AI1789" s="13" t="s">
        <v>43</v>
      </c>
      <c r="AJ1789" s="13" t="str">
        <f>VLOOKUP(E1789,Precios!Z$2:AA$941,2,FALSE)</f>
        <v>Bandeja Huevos EXTRA</v>
      </c>
      <c r="AK1789" s="14">
        <f>VLOOKUP(E1789,Precios!Z$2:BB$941,3,FALSE)*F1789</f>
        <v>-1</v>
      </c>
      <c r="AL1789" s="17"/>
      <c r="AM1789" s="17"/>
      <c r="AN1789" s="17"/>
      <c r="AO1789" s="17"/>
      <c r="AP1789" s="17"/>
      <c r="AQ1789" s="17"/>
      <c r="AR1789" s="17"/>
      <c r="AS1789" s="17"/>
      <c r="AT1789" s="17"/>
      <c r="AU1789" s="17"/>
      <c r="AV1789" s="17"/>
    </row>
    <row r="1790" spans="1:48" ht="15.75" customHeight="1">
      <c r="A1790" s="21" t="s">
        <v>53</v>
      </c>
      <c r="B1790" s="23" t="s">
        <v>1692</v>
      </c>
      <c r="C1790" s="22">
        <v>45794</v>
      </c>
      <c r="D1790" s="23" t="s">
        <v>184</v>
      </c>
      <c r="E1790" s="23" t="s">
        <v>150</v>
      </c>
      <c r="F1790" s="21">
        <v>1</v>
      </c>
      <c r="G1790" s="12">
        <v>1799.8965445892823</v>
      </c>
      <c r="H1790" s="12">
        <v>1799.8965445892823</v>
      </c>
      <c r="I1790" s="23" t="s">
        <v>52</v>
      </c>
      <c r="J1790" s="23" t="s">
        <v>61</v>
      </c>
      <c r="K1790" s="24" t="s">
        <v>177</v>
      </c>
      <c r="L1790" s="24">
        <v>140</v>
      </c>
      <c r="M1790" s="12">
        <v>1512.518104696876</v>
      </c>
      <c r="N1790" s="12">
        <v>1512.518104696876</v>
      </c>
      <c r="O1790" s="12">
        <v>287.37843989240628</v>
      </c>
      <c r="P1790" s="13"/>
      <c r="Q1790" s="14">
        <v>2025</v>
      </c>
      <c r="R1790" s="15">
        <v>45413</v>
      </c>
      <c r="S1790" s="11" t="s">
        <v>381</v>
      </c>
      <c r="T1790" s="16">
        <v>300</v>
      </c>
      <c r="U1790" s="17"/>
      <c r="V1790" s="12">
        <v>781.51810469687575</v>
      </c>
      <c r="W1790" s="12">
        <v>781.51810469687575</v>
      </c>
      <c r="X1790" s="12">
        <v>0</v>
      </c>
      <c r="Y1790" s="18">
        <v>45789</v>
      </c>
      <c r="Z1790" s="13" t="s">
        <v>501</v>
      </c>
      <c r="AA1790" s="19" t="s">
        <v>361</v>
      </c>
      <c r="AB1790" s="13" t="s">
        <v>357</v>
      </c>
      <c r="AC1790" s="13" t="s">
        <v>405</v>
      </c>
      <c r="AD1790" s="20"/>
      <c r="AE1790" s="20"/>
      <c r="AF1790" s="13" t="s">
        <v>40</v>
      </c>
      <c r="AG1790" s="15">
        <v>45413</v>
      </c>
      <c r="AH1790" s="13" t="s">
        <v>41</v>
      </c>
      <c r="AI1790" s="13" t="s">
        <v>53</v>
      </c>
      <c r="AJ1790" s="13" t="str">
        <f>VLOOKUP(E1790,Precios!Z$2:AA$941,2,FALSE)</f>
        <v>Servilletas SOFTQUALITY 300 unidades</v>
      </c>
      <c r="AK1790" s="14">
        <f>VLOOKUP(E1790,Precios!Z$2:BB$941,3,FALSE)*F1790</f>
        <v>-1</v>
      </c>
      <c r="AL1790" s="17"/>
      <c r="AM1790" s="17"/>
      <c r="AN1790" s="17"/>
      <c r="AO1790" s="17"/>
      <c r="AP1790" s="17"/>
      <c r="AQ1790" s="17"/>
      <c r="AR1790" s="17"/>
      <c r="AS1790" s="17"/>
      <c r="AT1790" s="17"/>
      <c r="AU1790" s="17"/>
      <c r="AV1790" s="17"/>
    </row>
    <row r="1791" spans="1:48" ht="15.75" customHeight="1">
      <c r="A1791" s="21" t="s">
        <v>53</v>
      </c>
      <c r="B1791" s="23" t="s">
        <v>1692</v>
      </c>
      <c r="C1791" s="22">
        <v>45794</v>
      </c>
      <c r="D1791" s="23" t="s">
        <v>184</v>
      </c>
      <c r="E1791" s="23" t="s">
        <v>69</v>
      </c>
      <c r="F1791" s="21">
        <v>1</v>
      </c>
      <c r="G1791" s="12">
        <v>2999.9553810458683</v>
      </c>
      <c r="H1791" s="12">
        <v>2999.9553810458683</v>
      </c>
      <c r="I1791" s="23" t="s">
        <v>52</v>
      </c>
      <c r="J1791" s="23" t="s">
        <v>61</v>
      </c>
      <c r="K1791" s="24" t="s">
        <v>177</v>
      </c>
      <c r="L1791" s="24">
        <v>140</v>
      </c>
      <c r="M1791" s="12">
        <v>2520.9709084419064</v>
      </c>
      <c r="N1791" s="12">
        <v>2520.9709084419064</v>
      </c>
      <c r="O1791" s="12">
        <v>478.98447260396188</v>
      </c>
      <c r="P1791" s="13"/>
      <c r="Q1791" s="14">
        <v>2025</v>
      </c>
      <c r="R1791" s="15">
        <v>45413</v>
      </c>
      <c r="S1791" s="11" t="s">
        <v>376</v>
      </c>
      <c r="T1791" s="16">
        <v>0</v>
      </c>
      <c r="U1791" s="17"/>
      <c r="V1791" s="12">
        <v>825.97090844190598</v>
      </c>
      <c r="W1791" s="12">
        <v>825.97090844190598</v>
      </c>
      <c r="X1791" s="12">
        <v>0</v>
      </c>
      <c r="Y1791" s="18">
        <v>45789</v>
      </c>
      <c r="Z1791" s="13" t="s">
        <v>501</v>
      </c>
      <c r="AA1791" s="19" t="s">
        <v>361</v>
      </c>
      <c r="AB1791" s="13" t="s">
        <v>357</v>
      </c>
      <c r="AC1791" s="13" t="s">
        <v>405</v>
      </c>
      <c r="AD1791" s="20"/>
      <c r="AE1791" s="20"/>
      <c r="AF1791" s="13" t="s">
        <v>40</v>
      </c>
      <c r="AG1791" s="15">
        <v>45413</v>
      </c>
      <c r="AH1791" s="13" t="s">
        <v>41</v>
      </c>
      <c r="AI1791" s="13" t="s">
        <v>53</v>
      </c>
      <c r="AJ1791" s="13" t="str">
        <f>VLOOKUP(E1791,Precios!Z$2:AA$941,2,FALSE)</f>
        <v>Toalla Papel NOVA 70 metros</v>
      </c>
      <c r="AK1791" s="14">
        <f>VLOOKUP(E1791,Precios!Z$2:BB$941,3,FALSE)*F1791</f>
        <v>-1</v>
      </c>
      <c r="AL1791" s="17"/>
      <c r="AM1791" s="17"/>
      <c r="AN1791" s="17"/>
      <c r="AO1791" s="17"/>
      <c r="AP1791" s="17"/>
      <c r="AQ1791" s="17"/>
      <c r="AR1791" s="17"/>
      <c r="AS1791" s="17"/>
      <c r="AT1791" s="17"/>
      <c r="AU1791" s="17"/>
      <c r="AV1791" s="17"/>
    </row>
    <row r="1792" spans="1:48" ht="15.75" customHeight="1">
      <c r="A1792" s="21" t="s">
        <v>35</v>
      </c>
      <c r="B1792" s="23" t="s">
        <v>1692</v>
      </c>
      <c r="C1792" s="22">
        <v>45794</v>
      </c>
      <c r="D1792" s="23" t="s">
        <v>240</v>
      </c>
      <c r="E1792" s="23" t="s">
        <v>37</v>
      </c>
      <c r="F1792" s="21">
        <v>1</v>
      </c>
      <c r="G1792" s="12">
        <v>10499.643649654092</v>
      </c>
      <c r="H1792" s="12">
        <v>10499.643649654092</v>
      </c>
      <c r="I1792" s="23" t="s">
        <v>52</v>
      </c>
      <c r="J1792" s="23" t="s">
        <v>61</v>
      </c>
      <c r="K1792" s="24" t="s">
        <v>177</v>
      </c>
      <c r="L1792" s="24">
        <v>140</v>
      </c>
      <c r="M1792" s="12">
        <v>8823.2299576925143</v>
      </c>
      <c r="N1792" s="12">
        <v>8823.2299576925143</v>
      </c>
      <c r="O1792" s="12">
        <v>1676.4136919615776</v>
      </c>
      <c r="P1792" s="13"/>
      <c r="Q1792" s="14">
        <v>2025</v>
      </c>
      <c r="R1792" s="15">
        <v>45413</v>
      </c>
      <c r="S1792" s="11" t="s">
        <v>364</v>
      </c>
      <c r="T1792" s="16">
        <v>1000</v>
      </c>
      <c r="U1792" s="17"/>
      <c r="V1792" s="12">
        <v>2385.6333190370515</v>
      </c>
      <c r="W1792" s="12">
        <v>2385.6333190370515</v>
      </c>
      <c r="X1792" s="12">
        <v>0</v>
      </c>
      <c r="Y1792" s="18">
        <v>45789</v>
      </c>
      <c r="Z1792" s="13" t="s">
        <v>501</v>
      </c>
      <c r="AA1792" s="19" t="s">
        <v>373</v>
      </c>
      <c r="AB1792" s="13" t="s">
        <v>357</v>
      </c>
      <c r="AC1792" s="13" t="s">
        <v>383</v>
      </c>
      <c r="AD1792" s="20"/>
      <c r="AE1792" s="20"/>
      <c r="AF1792" s="13" t="s">
        <v>40</v>
      </c>
      <c r="AG1792" s="15">
        <v>45413</v>
      </c>
      <c r="AH1792" s="13" t="s">
        <v>41</v>
      </c>
      <c r="AI1792" s="13" t="s">
        <v>35</v>
      </c>
      <c r="AJ1792" s="13" t="str">
        <f>VLOOKUP(E1792,Precios!Z$2:AA$941,2,FALSE)</f>
        <v>Queso RUNCA Mantecoso</v>
      </c>
      <c r="AK1792" s="14">
        <f>VLOOKUP(E1792,Precios!Z$2:BB$941,3,FALSE)*F1792</f>
        <v>-1</v>
      </c>
      <c r="AL1792" s="17"/>
      <c r="AM1792" s="17"/>
      <c r="AN1792" s="17"/>
      <c r="AO1792" s="17"/>
      <c r="AP1792" s="17"/>
      <c r="AQ1792" s="17"/>
      <c r="AR1792" s="17"/>
      <c r="AS1792" s="17"/>
      <c r="AT1792" s="17"/>
      <c r="AU1792" s="17"/>
      <c r="AV1792" s="17"/>
    </row>
    <row r="1793" spans="1:48" ht="15.75" customHeight="1">
      <c r="A1793" s="21" t="s">
        <v>35</v>
      </c>
      <c r="B1793" s="23" t="s">
        <v>1692</v>
      </c>
      <c r="C1793" s="25">
        <v>45793</v>
      </c>
      <c r="D1793" s="23" t="s">
        <v>915</v>
      </c>
      <c r="E1793" s="23" t="s">
        <v>37</v>
      </c>
      <c r="F1793" s="21">
        <v>1</v>
      </c>
      <c r="G1793" s="12">
        <v>10499.643649654092</v>
      </c>
      <c r="H1793" s="12">
        <v>10499.643649654092</v>
      </c>
      <c r="I1793" s="23" t="s">
        <v>52</v>
      </c>
      <c r="J1793" s="23" t="s">
        <v>61</v>
      </c>
      <c r="K1793" s="24" t="s">
        <v>177</v>
      </c>
      <c r="L1793" s="24">
        <v>140</v>
      </c>
      <c r="M1793" s="12">
        <v>8823.2299576925143</v>
      </c>
      <c r="N1793" s="12">
        <v>8823.2299576925143</v>
      </c>
      <c r="O1793" s="12">
        <v>1676.4136919615776</v>
      </c>
      <c r="P1793" s="13"/>
      <c r="Q1793" s="14">
        <v>2025</v>
      </c>
      <c r="R1793" s="15">
        <v>45413</v>
      </c>
      <c r="S1793" s="11" t="s">
        <v>364</v>
      </c>
      <c r="T1793" s="16">
        <v>1000</v>
      </c>
      <c r="U1793" s="17"/>
      <c r="V1793" s="12">
        <v>2385.6333190370515</v>
      </c>
      <c r="W1793" s="12">
        <v>2385.6333190370515</v>
      </c>
      <c r="X1793" s="12">
        <v>0</v>
      </c>
      <c r="Y1793" s="18">
        <v>45789</v>
      </c>
      <c r="Z1793" s="13" t="s">
        <v>503</v>
      </c>
      <c r="AA1793" s="19" t="s">
        <v>367</v>
      </c>
      <c r="AB1793" s="13" t="s">
        <v>357</v>
      </c>
      <c r="AC1793" s="13" t="s">
        <v>367</v>
      </c>
      <c r="AD1793" s="20"/>
      <c r="AE1793" s="20"/>
      <c r="AF1793" s="13" t="s">
        <v>40</v>
      </c>
      <c r="AG1793" s="15">
        <v>45413</v>
      </c>
      <c r="AH1793" s="13" t="s">
        <v>41</v>
      </c>
      <c r="AI1793" s="13" t="s">
        <v>35</v>
      </c>
      <c r="AJ1793" s="13" t="str">
        <f>VLOOKUP(E1793,Precios!Z$2:AA$941,2,FALSE)</f>
        <v>Queso RUNCA Mantecoso</v>
      </c>
      <c r="AK1793" s="14">
        <f>VLOOKUP(E1793,Precios!Z$2:BB$941,3,FALSE)*F1793</f>
        <v>-1</v>
      </c>
      <c r="AL1793" s="17"/>
      <c r="AM1793" s="17"/>
      <c r="AN1793" s="17"/>
      <c r="AO1793" s="17"/>
      <c r="AP1793" s="17"/>
      <c r="AQ1793" s="17"/>
      <c r="AR1793" s="17"/>
      <c r="AS1793" s="17"/>
      <c r="AT1793" s="17"/>
      <c r="AU1793" s="17"/>
      <c r="AV1793" s="17"/>
    </row>
    <row r="1794" spans="1:48" ht="15.75" customHeight="1">
      <c r="A1794" s="21" t="s">
        <v>76</v>
      </c>
      <c r="B1794" s="23" t="s">
        <v>1692</v>
      </c>
      <c r="C1794" s="25">
        <v>45793</v>
      </c>
      <c r="D1794" s="23" t="s">
        <v>338</v>
      </c>
      <c r="E1794" s="23" t="s">
        <v>137</v>
      </c>
      <c r="F1794" s="21">
        <v>2</v>
      </c>
      <c r="G1794" s="12">
        <v>3500.0000000000005</v>
      </c>
      <c r="H1794" s="12">
        <v>7000.0000000000009</v>
      </c>
      <c r="I1794" s="23" t="s">
        <v>52</v>
      </c>
      <c r="J1794" s="23" t="s">
        <v>61</v>
      </c>
      <c r="K1794" s="24" t="s">
        <v>177</v>
      </c>
      <c r="L1794" s="24">
        <v>140</v>
      </c>
      <c r="M1794" s="12">
        <v>2941.1764705882356</v>
      </c>
      <c r="N1794" s="12">
        <v>5882.3529411764712</v>
      </c>
      <c r="O1794" s="12">
        <v>1117.6470588235297</v>
      </c>
      <c r="P1794" s="13"/>
      <c r="Q1794" s="14">
        <v>2025</v>
      </c>
      <c r="R1794" s="15">
        <v>45413</v>
      </c>
      <c r="S1794" s="11" t="s">
        <v>406</v>
      </c>
      <c r="T1794" s="16">
        <v>10</v>
      </c>
      <c r="U1794" s="17"/>
      <c r="V1794" s="12">
        <v>1697.4789915966394</v>
      </c>
      <c r="W1794" s="12">
        <v>1697.4789915966394</v>
      </c>
      <c r="X1794" s="12">
        <v>0</v>
      </c>
      <c r="Y1794" s="18">
        <v>45789</v>
      </c>
      <c r="Z1794" s="13" t="s">
        <v>503</v>
      </c>
      <c r="AA1794" s="19" t="s">
        <v>361</v>
      </c>
      <c r="AB1794" s="13" t="s">
        <v>357</v>
      </c>
      <c r="AC1794" s="13" t="s">
        <v>554</v>
      </c>
      <c r="AD1794" s="20"/>
      <c r="AE1794" s="20"/>
      <c r="AF1794" s="13" t="s">
        <v>40</v>
      </c>
      <c r="AG1794" s="15">
        <v>45413</v>
      </c>
      <c r="AH1794" s="13" t="s">
        <v>41</v>
      </c>
      <c r="AI1794" s="13" t="s">
        <v>76</v>
      </c>
      <c r="AJ1794" s="13" t="str">
        <f>VLOOKUP(E1794,Precios!Z$2:AA$941,2,FALSE)</f>
        <v>Detergente SPUM 5 Litros (Blanco)</v>
      </c>
      <c r="AK1794" s="14">
        <f>VLOOKUP(E1794,Precios!Z$2:BB$941,3,FALSE)*F1794</f>
        <v>-2</v>
      </c>
      <c r="AL1794" s="17"/>
      <c r="AM1794" s="17"/>
      <c r="AN1794" s="17"/>
      <c r="AO1794" s="17"/>
      <c r="AP1794" s="17"/>
      <c r="AQ1794" s="17"/>
      <c r="AR1794" s="17"/>
      <c r="AS1794" s="17"/>
      <c r="AT1794" s="17"/>
      <c r="AU1794" s="17"/>
      <c r="AV1794" s="17"/>
    </row>
    <row r="1795" spans="1:48" ht="15.75" customHeight="1">
      <c r="A1795" s="21" t="s">
        <v>35</v>
      </c>
      <c r="B1795" s="23" t="s">
        <v>1692</v>
      </c>
      <c r="C1795" s="25">
        <v>45793</v>
      </c>
      <c r="D1795" s="23" t="s">
        <v>128</v>
      </c>
      <c r="E1795" s="23" t="s">
        <v>37</v>
      </c>
      <c r="F1795" s="14">
        <v>1</v>
      </c>
      <c r="G1795" s="12">
        <v>10499.643649654092</v>
      </c>
      <c r="H1795" s="12">
        <v>10499.643649654092</v>
      </c>
      <c r="I1795" s="23" t="s">
        <v>52</v>
      </c>
      <c r="J1795" s="23" t="s">
        <v>61</v>
      </c>
      <c r="K1795" s="24" t="s">
        <v>177</v>
      </c>
      <c r="L1795" s="24">
        <v>140</v>
      </c>
      <c r="M1795" s="12">
        <v>8823.2299576925143</v>
      </c>
      <c r="N1795" s="12">
        <v>8823.2299576925143</v>
      </c>
      <c r="O1795" s="12">
        <v>1676.4136919615776</v>
      </c>
      <c r="P1795" s="13"/>
      <c r="Q1795" s="14">
        <v>2025</v>
      </c>
      <c r="R1795" s="15">
        <v>45413</v>
      </c>
      <c r="S1795" s="11" t="s">
        <v>364</v>
      </c>
      <c r="T1795" s="16">
        <v>1000</v>
      </c>
      <c r="U1795" s="17"/>
      <c r="V1795" s="12">
        <v>2385.6333190370515</v>
      </c>
      <c r="W1795" s="12">
        <v>2385.6333190370515</v>
      </c>
      <c r="X1795" s="12">
        <v>0</v>
      </c>
      <c r="Y1795" s="18">
        <v>45789</v>
      </c>
      <c r="Z1795" s="13" t="s">
        <v>503</v>
      </c>
      <c r="AA1795" s="19" t="s">
        <v>373</v>
      </c>
      <c r="AB1795" s="13" t="s">
        <v>357</v>
      </c>
      <c r="AC1795" s="13" t="s">
        <v>405</v>
      </c>
      <c r="AD1795" s="20"/>
      <c r="AE1795" s="20"/>
      <c r="AF1795" s="13" t="s">
        <v>40</v>
      </c>
      <c r="AG1795" s="15">
        <v>45413</v>
      </c>
      <c r="AH1795" s="13" t="s">
        <v>41</v>
      </c>
      <c r="AI1795" s="13" t="s">
        <v>35</v>
      </c>
      <c r="AJ1795" s="13" t="str">
        <f>VLOOKUP(E1795,Precios!Z$2:AA$941,2,FALSE)</f>
        <v>Queso RUNCA Mantecoso</v>
      </c>
      <c r="AK1795" s="14">
        <f>VLOOKUP(E1795,Precios!Z$2:BB$941,3,FALSE)*F1795</f>
        <v>-1</v>
      </c>
      <c r="AL1795" s="17"/>
      <c r="AM1795" s="17"/>
      <c r="AN1795" s="17"/>
      <c r="AO1795" s="17"/>
      <c r="AP1795" s="17"/>
      <c r="AQ1795" s="17"/>
      <c r="AR1795" s="17"/>
      <c r="AS1795" s="17"/>
      <c r="AT1795" s="17"/>
      <c r="AU1795" s="17"/>
      <c r="AV1795" s="17"/>
    </row>
    <row r="1796" spans="1:48" ht="15.75" customHeight="1">
      <c r="A1796" s="21" t="s">
        <v>35</v>
      </c>
      <c r="B1796" s="23" t="s">
        <v>1692</v>
      </c>
      <c r="C1796" s="25">
        <v>45793</v>
      </c>
      <c r="D1796" s="23" t="s">
        <v>128</v>
      </c>
      <c r="E1796" s="23" t="s">
        <v>46</v>
      </c>
      <c r="F1796" s="14">
        <v>1</v>
      </c>
      <c r="G1796" s="12">
        <v>5500</v>
      </c>
      <c r="H1796" s="12">
        <v>5500</v>
      </c>
      <c r="I1796" s="23" t="s">
        <v>52</v>
      </c>
      <c r="J1796" s="23" t="s">
        <v>61</v>
      </c>
      <c r="K1796" s="24" t="s">
        <v>177</v>
      </c>
      <c r="L1796" s="24">
        <v>140</v>
      </c>
      <c r="M1796" s="12">
        <v>4621.8487394957983</v>
      </c>
      <c r="N1796" s="12">
        <v>4621.8487394957983</v>
      </c>
      <c r="O1796" s="12">
        <v>878.15126050420167</v>
      </c>
      <c r="P1796" s="13"/>
      <c r="Q1796" s="14">
        <v>2025</v>
      </c>
      <c r="R1796" s="15">
        <v>45413</v>
      </c>
      <c r="S1796" s="11" t="s">
        <v>364</v>
      </c>
      <c r="T1796" s="16">
        <v>500</v>
      </c>
      <c r="U1796" s="17"/>
      <c r="V1796" s="12">
        <v>1365.1260504201678</v>
      </c>
      <c r="W1796" s="12">
        <v>1365.1260504201678</v>
      </c>
      <c r="X1796" s="12">
        <v>0</v>
      </c>
      <c r="Y1796" s="18">
        <v>45789</v>
      </c>
      <c r="Z1796" s="13" t="s">
        <v>503</v>
      </c>
      <c r="AA1796" s="19" t="s">
        <v>373</v>
      </c>
      <c r="AB1796" s="13" t="s">
        <v>357</v>
      </c>
      <c r="AC1796" s="13" t="s">
        <v>405</v>
      </c>
      <c r="AD1796" s="20"/>
      <c r="AE1796" s="20"/>
      <c r="AF1796" s="13" t="s">
        <v>40</v>
      </c>
      <c r="AG1796" s="15">
        <v>45413</v>
      </c>
      <c r="AH1796" s="13" t="s">
        <v>41</v>
      </c>
      <c r="AI1796" s="13" t="s">
        <v>35</v>
      </c>
      <c r="AJ1796" s="13" t="str">
        <f>VLOOKUP(E1796,Precios!Z$2:AA$941,2,FALSE)</f>
        <v>Queso RUNCA Mantecoso</v>
      </c>
      <c r="AK1796" s="14">
        <f>VLOOKUP(E1796,Precios!Z$2:BB$941,3,FALSE)*F1796</f>
        <v>-0.5</v>
      </c>
      <c r="AL1796" s="17"/>
      <c r="AM1796" s="17"/>
      <c r="AN1796" s="17"/>
      <c r="AO1796" s="17"/>
      <c r="AP1796" s="17"/>
      <c r="AQ1796" s="17"/>
      <c r="AR1796" s="17"/>
      <c r="AS1796" s="17"/>
      <c r="AT1796" s="17"/>
      <c r="AU1796" s="17"/>
      <c r="AV1796" s="17"/>
    </row>
    <row r="1797" spans="1:48" ht="15.75" customHeight="1">
      <c r="A1797" s="21" t="s">
        <v>35</v>
      </c>
      <c r="B1797" s="23" t="s">
        <v>1692</v>
      </c>
      <c r="C1797" s="25">
        <v>45793</v>
      </c>
      <c r="D1797" s="23" t="s">
        <v>104</v>
      </c>
      <c r="E1797" s="23" t="s">
        <v>46</v>
      </c>
      <c r="F1797" s="14">
        <v>1</v>
      </c>
      <c r="G1797" s="12">
        <v>5500</v>
      </c>
      <c r="H1797" s="12">
        <v>5500</v>
      </c>
      <c r="I1797" s="23" t="s">
        <v>52</v>
      </c>
      <c r="J1797" s="23" t="s">
        <v>61</v>
      </c>
      <c r="K1797" s="24" t="s">
        <v>177</v>
      </c>
      <c r="L1797" s="24">
        <v>140</v>
      </c>
      <c r="M1797" s="12">
        <v>4621.8487394957983</v>
      </c>
      <c r="N1797" s="12">
        <v>4621.8487394957983</v>
      </c>
      <c r="O1797" s="12">
        <v>878.15126050420167</v>
      </c>
      <c r="P1797" s="13"/>
      <c r="Q1797" s="14">
        <v>2025</v>
      </c>
      <c r="R1797" s="15">
        <v>45413</v>
      </c>
      <c r="S1797" s="11" t="s">
        <v>364</v>
      </c>
      <c r="T1797" s="16">
        <v>500</v>
      </c>
      <c r="U1797" s="17"/>
      <c r="V1797" s="12">
        <v>1365.1260504201678</v>
      </c>
      <c r="W1797" s="12">
        <v>1365.1260504201678</v>
      </c>
      <c r="X1797" s="12">
        <v>0</v>
      </c>
      <c r="Y1797" s="18">
        <v>45789</v>
      </c>
      <c r="Z1797" s="13" t="s">
        <v>503</v>
      </c>
      <c r="AA1797" s="19" t="s">
        <v>373</v>
      </c>
      <c r="AB1797" s="13" t="s">
        <v>357</v>
      </c>
      <c r="AC1797" s="13" t="s">
        <v>383</v>
      </c>
      <c r="AD1797" s="20"/>
      <c r="AE1797" s="20"/>
      <c r="AF1797" s="13" t="s">
        <v>40</v>
      </c>
      <c r="AG1797" s="15">
        <v>45413</v>
      </c>
      <c r="AH1797" s="13" t="s">
        <v>41</v>
      </c>
      <c r="AI1797" s="13" t="s">
        <v>35</v>
      </c>
      <c r="AJ1797" s="13" t="str">
        <f>VLOOKUP(E1797,Precios!Z$2:AA$941,2,FALSE)</f>
        <v>Queso RUNCA Mantecoso</v>
      </c>
      <c r="AK1797" s="14">
        <f>VLOOKUP(E1797,Precios!Z$2:BB$941,3,FALSE)*F1797</f>
        <v>-0.5</v>
      </c>
      <c r="AL1797" s="17"/>
      <c r="AM1797" s="17"/>
      <c r="AN1797" s="17"/>
      <c r="AO1797" s="17"/>
      <c r="AP1797" s="17"/>
      <c r="AQ1797" s="17"/>
      <c r="AR1797" s="17"/>
      <c r="AS1797" s="17"/>
      <c r="AT1797" s="17"/>
      <c r="AU1797" s="17"/>
      <c r="AV1797" s="17"/>
    </row>
    <row r="1798" spans="1:48" ht="15.75" customHeight="1">
      <c r="A1798" s="21" t="s">
        <v>56</v>
      </c>
      <c r="B1798" s="23" t="s">
        <v>1692</v>
      </c>
      <c r="C1798" s="25">
        <v>45793</v>
      </c>
      <c r="D1798" s="23" t="s">
        <v>104</v>
      </c>
      <c r="E1798" s="23" t="s">
        <v>62</v>
      </c>
      <c r="F1798" s="14">
        <v>1</v>
      </c>
      <c r="G1798" s="12">
        <v>3700</v>
      </c>
      <c r="H1798" s="12">
        <v>3700</v>
      </c>
      <c r="I1798" s="23" t="s">
        <v>52</v>
      </c>
      <c r="J1798" s="23" t="s">
        <v>61</v>
      </c>
      <c r="K1798" s="24" t="s">
        <v>177</v>
      </c>
      <c r="L1798" s="24">
        <v>140</v>
      </c>
      <c r="M1798" s="12">
        <v>3109.2436974789916</v>
      </c>
      <c r="N1798" s="12">
        <v>3109.2436974789916</v>
      </c>
      <c r="O1798" s="12">
        <v>590.75630252100837</v>
      </c>
      <c r="P1798" s="13"/>
      <c r="Q1798" s="14">
        <v>2025</v>
      </c>
      <c r="R1798" s="15">
        <v>45413</v>
      </c>
      <c r="S1798" s="11" t="s">
        <v>429</v>
      </c>
      <c r="T1798" s="16">
        <v>200</v>
      </c>
      <c r="U1798" s="17"/>
      <c r="V1798" s="12">
        <v>1199.159663865546</v>
      </c>
      <c r="W1798" s="12">
        <v>1199.159663865546</v>
      </c>
      <c r="X1798" s="12">
        <v>0</v>
      </c>
      <c r="Y1798" s="18">
        <v>45789</v>
      </c>
      <c r="Z1798" s="13" t="s">
        <v>503</v>
      </c>
      <c r="AA1798" s="19" t="s">
        <v>373</v>
      </c>
      <c r="AB1798" s="13" t="s">
        <v>357</v>
      </c>
      <c r="AC1798" s="13" t="s">
        <v>383</v>
      </c>
      <c r="AD1798" s="20"/>
      <c r="AE1798" s="20"/>
      <c r="AF1798" s="13" t="s">
        <v>40</v>
      </c>
      <c r="AG1798" s="15">
        <v>45413</v>
      </c>
      <c r="AH1798" s="13" t="s">
        <v>41</v>
      </c>
      <c r="AI1798" s="13" t="s">
        <v>56</v>
      </c>
      <c r="AJ1798" s="13" t="str">
        <f>VLOOKUP(E1798,Precios!Z$2:AA$941,2,FALSE)</f>
        <v>Queso Sabores</v>
      </c>
      <c r="AK1798" s="14">
        <f>VLOOKUP(E1798,Precios!Z$2:BB$941,3,FALSE)*F1798</f>
        <v>-1</v>
      </c>
      <c r="AL1798" s="17"/>
      <c r="AM1798" s="17"/>
      <c r="AN1798" s="17"/>
      <c r="AO1798" s="17"/>
      <c r="AP1798" s="17"/>
      <c r="AQ1798" s="17"/>
      <c r="AR1798" s="17"/>
      <c r="AS1798" s="17"/>
      <c r="AT1798" s="17"/>
      <c r="AU1798" s="17"/>
      <c r="AV1798" s="17"/>
    </row>
    <row r="1799" spans="1:48" ht="15.75" customHeight="1">
      <c r="A1799" s="21" t="s">
        <v>43</v>
      </c>
      <c r="B1799" s="23" t="s">
        <v>1692</v>
      </c>
      <c r="C1799" s="25">
        <v>45793</v>
      </c>
      <c r="D1799" s="23" t="s">
        <v>104</v>
      </c>
      <c r="E1799" s="23" t="s">
        <v>45</v>
      </c>
      <c r="F1799" s="14">
        <v>1</v>
      </c>
      <c r="G1799" s="12">
        <v>7999.7710567538261</v>
      </c>
      <c r="H1799" s="12">
        <v>7999.7710567538261</v>
      </c>
      <c r="I1799" s="23" t="s">
        <v>52</v>
      </c>
      <c r="J1799" s="23" t="s">
        <v>61</v>
      </c>
      <c r="K1799" s="24" t="s">
        <v>177</v>
      </c>
      <c r="L1799" s="24">
        <v>140</v>
      </c>
      <c r="M1799" s="12">
        <v>6722.496686347753</v>
      </c>
      <c r="N1799" s="12">
        <v>6722.496686347753</v>
      </c>
      <c r="O1799" s="12">
        <v>1277.2743704060731</v>
      </c>
      <c r="P1799" s="13"/>
      <c r="Q1799" s="14">
        <v>2025</v>
      </c>
      <c r="R1799" s="15">
        <v>45413</v>
      </c>
      <c r="S1799" s="11" t="s">
        <v>355</v>
      </c>
      <c r="T1799" s="16">
        <v>0</v>
      </c>
      <c r="U1799" s="17"/>
      <c r="V1799" s="12">
        <v>1143.496686347753</v>
      </c>
      <c r="W1799" s="12">
        <v>1143.496686347753</v>
      </c>
      <c r="X1799" s="12">
        <v>0</v>
      </c>
      <c r="Y1799" s="18">
        <v>45789</v>
      </c>
      <c r="Z1799" s="13" t="s">
        <v>503</v>
      </c>
      <c r="AA1799" s="19" t="s">
        <v>373</v>
      </c>
      <c r="AB1799" s="13" t="s">
        <v>357</v>
      </c>
      <c r="AC1799" s="13" t="s">
        <v>383</v>
      </c>
      <c r="AD1799" s="20"/>
      <c r="AE1799" s="20"/>
      <c r="AF1799" s="13" t="s">
        <v>40</v>
      </c>
      <c r="AG1799" s="15">
        <v>45413</v>
      </c>
      <c r="AH1799" s="13" t="s">
        <v>41</v>
      </c>
      <c r="AI1799" s="13" t="s">
        <v>43</v>
      </c>
      <c r="AJ1799" s="13" t="str">
        <f>VLOOKUP(E1799,Precios!Z$2:AA$941,2,FALSE)</f>
        <v>Bandeja Huevos EXTRA</v>
      </c>
      <c r="AK1799" s="14">
        <f>VLOOKUP(E1799,Precios!Z$2:BB$941,3,FALSE)*F1799</f>
        <v>-1</v>
      </c>
      <c r="AL1799" s="17"/>
      <c r="AM1799" s="17"/>
      <c r="AN1799" s="17"/>
      <c r="AO1799" s="17"/>
      <c r="AP1799" s="17"/>
      <c r="AQ1799" s="17"/>
      <c r="AR1799" s="17"/>
      <c r="AS1799" s="17"/>
      <c r="AT1799" s="17"/>
      <c r="AU1799" s="17"/>
      <c r="AV1799" s="17"/>
    </row>
    <row r="1800" spans="1:48" ht="15.75" customHeight="1">
      <c r="A1800" s="21" t="s">
        <v>53</v>
      </c>
      <c r="B1800" s="23" t="s">
        <v>1692</v>
      </c>
      <c r="C1800" s="25">
        <v>45793</v>
      </c>
      <c r="D1800" s="23" t="s">
        <v>104</v>
      </c>
      <c r="E1800" s="23" t="s">
        <v>55</v>
      </c>
      <c r="F1800" s="14">
        <v>1</v>
      </c>
      <c r="G1800" s="12">
        <v>20899.657794676805</v>
      </c>
      <c r="H1800" s="12">
        <v>20899.657794676805</v>
      </c>
      <c r="I1800" s="23" t="s">
        <v>52</v>
      </c>
      <c r="J1800" s="23" t="s">
        <v>61</v>
      </c>
      <c r="K1800" s="24" t="s">
        <v>177</v>
      </c>
      <c r="L1800" s="24">
        <v>140</v>
      </c>
      <c r="M1800" s="12">
        <v>17562.737642585551</v>
      </c>
      <c r="N1800" s="12">
        <v>17562.737642585551</v>
      </c>
      <c r="O1800" s="12">
        <v>3336.9201520912538</v>
      </c>
      <c r="P1800" s="13"/>
      <c r="Q1800" s="14">
        <v>2025</v>
      </c>
      <c r="R1800" s="15">
        <v>45413</v>
      </c>
      <c r="S1800" s="11" t="s">
        <v>366</v>
      </c>
      <c r="T1800" s="16">
        <v>0</v>
      </c>
      <c r="U1800" s="17"/>
      <c r="V1800" s="12">
        <v>3705.7376425855509</v>
      </c>
      <c r="W1800" s="12">
        <v>3705.7376425855509</v>
      </c>
      <c r="X1800" s="12">
        <v>0</v>
      </c>
      <c r="Y1800" s="18">
        <v>45789</v>
      </c>
      <c r="Z1800" s="13" t="s">
        <v>503</v>
      </c>
      <c r="AA1800" s="19" t="s">
        <v>373</v>
      </c>
      <c r="AB1800" s="13" t="s">
        <v>357</v>
      </c>
      <c r="AC1800" s="13" t="s">
        <v>383</v>
      </c>
      <c r="AD1800" s="20"/>
      <c r="AE1800" s="20"/>
      <c r="AF1800" s="13" t="s">
        <v>40</v>
      </c>
      <c r="AG1800" s="15">
        <v>45413</v>
      </c>
      <c r="AH1800" s="13" t="s">
        <v>41</v>
      </c>
      <c r="AI1800" s="13" t="s">
        <v>53</v>
      </c>
      <c r="AJ1800" s="13" t="str">
        <f>VLOOKUP(E1800,Precios!Z$2:AA$941,2,FALSE)</f>
        <v>Papel Higienico ELITE 50 metros</v>
      </c>
      <c r="AK1800" s="14">
        <f>VLOOKUP(E1800,Precios!Z$2:BB$941,3,FALSE)*F1800</f>
        <v>-8</v>
      </c>
      <c r="AL1800" s="17"/>
      <c r="AM1800" s="17"/>
      <c r="AN1800" s="17"/>
      <c r="AO1800" s="17"/>
      <c r="AP1800" s="17"/>
      <c r="AQ1800" s="17"/>
      <c r="AR1800" s="17"/>
      <c r="AS1800" s="17"/>
      <c r="AT1800" s="17"/>
      <c r="AU1800" s="17"/>
      <c r="AV1800" s="17"/>
    </row>
    <row r="1801" spans="1:48" ht="15.75" customHeight="1">
      <c r="A1801" s="21" t="s">
        <v>35</v>
      </c>
      <c r="B1801" s="23" t="s">
        <v>1692</v>
      </c>
      <c r="C1801" s="25">
        <v>45793</v>
      </c>
      <c r="D1801" s="23" t="s">
        <v>122</v>
      </c>
      <c r="E1801" s="23" t="s">
        <v>37</v>
      </c>
      <c r="F1801" s="14">
        <v>1</v>
      </c>
      <c r="G1801" s="12">
        <v>10499.643649654092</v>
      </c>
      <c r="H1801" s="12">
        <v>10499.643649654092</v>
      </c>
      <c r="I1801" s="13" t="s">
        <v>52</v>
      </c>
      <c r="J1801" s="23" t="s">
        <v>61</v>
      </c>
      <c r="K1801" s="24" t="s">
        <v>177</v>
      </c>
      <c r="L1801" s="24">
        <v>140</v>
      </c>
      <c r="M1801" s="12">
        <v>8823.2299576925143</v>
      </c>
      <c r="N1801" s="12">
        <v>8823.2299576925143</v>
      </c>
      <c r="O1801" s="12">
        <v>1676.4136919615776</v>
      </c>
      <c r="P1801" s="13"/>
      <c r="Q1801" s="14">
        <v>2025</v>
      </c>
      <c r="R1801" s="15">
        <v>45413</v>
      </c>
      <c r="S1801" s="11" t="s">
        <v>364</v>
      </c>
      <c r="T1801" s="16">
        <v>1000</v>
      </c>
      <c r="U1801" s="17"/>
      <c r="V1801" s="12">
        <v>2385.6333190370515</v>
      </c>
      <c r="W1801" s="12">
        <v>2385.6333190370515</v>
      </c>
      <c r="X1801" s="12">
        <v>0</v>
      </c>
      <c r="Y1801" s="18">
        <v>45789</v>
      </c>
      <c r="Z1801" s="13" t="s">
        <v>503</v>
      </c>
      <c r="AA1801" s="19" t="s">
        <v>361</v>
      </c>
      <c r="AB1801" s="13" t="s">
        <v>357</v>
      </c>
      <c r="AC1801" s="13" t="s">
        <v>362</v>
      </c>
      <c r="AD1801" s="20"/>
      <c r="AE1801" s="20"/>
      <c r="AF1801" s="13" t="s">
        <v>40</v>
      </c>
      <c r="AG1801" s="15">
        <v>45413</v>
      </c>
      <c r="AH1801" s="13" t="s">
        <v>41</v>
      </c>
      <c r="AI1801" s="13" t="s">
        <v>35</v>
      </c>
      <c r="AJ1801" s="13" t="str">
        <f>VLOOKUP(E1801,Precios!Z$2:AA$941,2,FALSE)</f>
        <v>Queso RUNCA Mantecoso</v>
      </c>
      <c r="AK1801" s="14">
        <f>VLOOKUP(E1801,Precios!Z$2:BB$941,3,FALSE)*F1801</f>
        <v>-1</v>
      </c>
      <c r="AL1801" s="17"/>
      <c r="AM1801" s="17"/>
      <c r="AN1801" s="17"/>
      <c r="AO1801" s="17"/>
      <c r="AP1801" s="17"/>
      <c r="AQ1801" s="17"/>
      <c r="AR1801" s="17"/>
      <c r="AS1801" s="17"/>
      <c r="AT1801" s="17"/>
      <c r="AU1801" s="17"/>
      <c r="AV1801" s="17"/>
    </row>
    <row r="1802" spans="1:48" ht="15.75" customHeight="1">
      <c r="A1802" s="21" t="s">
        <v>56</v>
      </c>
      <c r="B1802" s="23" t="s">
        <v>1692</v>
      </c>
      <c r="C1802" s="22">
        <v>45793</v>
      </c>
      <c r="D1802" s="23" t="s">
        <v>915</v>
      </c>
      <c r="E1802" s="23" t="s">
        <v>62</v>
      </c>
      <c r="F1802" s="21">
        <v>1</v>
      </c>
      <c r="G1802" s="12">
        <v>3700</v>
      </c>
      <c r="H1802" s="12">
        <v>3700</v>
      </c>
      <c r="I1802" s="23" t="s">
        <v>52</v>
      </c>
      <c r="J1802" s="23" t="s">
        <v>61</v>
      </c>
      <c r="K1802" s="24" t="s">
        <v>177</v>
      </c>
      <c r="L1802" s="24">
        <v>140</v>
      </c>
      <c r="M1802" s="12">
        <v>3109.2436974789916</v>
      </c>
      <c r="N1802" s="12">
        <v>3109.2436974789916</v>
      </c>
      <c r="O1802" s="12">
        <v>590.75630252100837</v>
      </c>
      <c r="P1802" s="13"/>
      <c r="Q1802" s="14">
        <v>2025</v>
      </c>
      <c r="R1802" s="15">
        <v>45413</v>
      </c>
      <c r="S1802" s="11" t="s">
        <v>429</v>
      </c>
      <c r="T1802" s="16">
        <v>200</v>
      </c>
      <c r="U1802" s="17"/>
      <c r="V1802" s="12">
        <v>1199.159663865546</v>
      </c>
      <c r="W1802" s="12">
        <v>1199.159663865546</v>
      </c>
      <c r="X1802" s="12">
        <v>0</v>
      </c>
      <c r="Y1802" s="18">
        <v>45789</v>
      </c>
      <c r="Z1802" s="13" t="s">
        <v>503</v>
      </c>
      <c r="AA1802" s="19" t="s">
        <v>367</v>
      </c>
      <c r="AB1802" s="13" t="s">
        <v>357</v>
      </c>
      <c r="AC1802" s="13" t="s">
        <v>367</v>
      </c>
      <c r="AD1802" s="20"/>
      <c r="AE1802" s="20"/>
      <c r="AF1802" s="13" t="s">
        <v>40</v>
      </c>
      <c r="AG1802" s="15">
        <v>45413</v>
      </c>
      <c r="AH1802" s="13" t="s">
        <v>41</v>
      </c>
      <c r="AI1802" s="13" t="s">
        <v>56</v>
      </c>
      <c r="AJ1802" s="13" t="str">
        <f>VLOOKUP(E1802,Precios!Z$2:AA$941,2,FALSE)</f>
        <v>Queso Sabores</v>
      </c>
      <c r="AK1802" s="14">
        <f>VLOOKUP(E1802,Precios!Z$2:BB$941,3,FALSE)*F1802</f>
        <v>-1</v>
      </c>
      <c r="AL1802" s="17"/>
      <c r="AM1802" s="17"/>
      <c r="AN1802" s="17"/>
      <c r="AO1802" s="17"/>
      <c r="AP1802" s="17"/>
      <c r="AQ1802" s="17"/>
      <c r="AR1802" s="17"/>
      <c r="AS1802" s="17"/>
      <c r="AT1802" s="17"/>
      <c r="AU1802" s="17"/>
      <c r="AV1802" s="17"/>
    </row>
    <row r="1803" spans="1:48" ht="15.75" customHeight="1">
      <c r="A1803" s="21" t="s">
        <v>53</v>
      </c>
      <c r="B1803" s="23" t="s">
        <v>1692</v>
      </c>
      <c r="C1803" s="22">
        <v>45793</v>
      </c>
      <c r="D1803" s="23" t="s">
        <v>915</v>
      </c>
      <c r="E1803" s="23" t="s">
        <v>88</v>
      </c>
      <c r="F1803" s="21">
        <v>1</v>
      </c>
      <c r="G1803" s="12">
        <v>1999.9551032624961</v>
      </c>
      <c r="H1803" s="12">
        <v>1999.9551032624961</v>
      </c>
      <c r="I1803" s="23" t="s">
        <v>52</v>
      </c>
      <c r="J1803" s="23" t="s">
        <v>61</v>
      </c>
      <c r="K1803" s="24" t="s">
        <v>177</v>
      </c>
      <c r="L1803" s="24">
        <v>140</v>
      </c>
      <c r="M1803" s="12">
        <v>1680.6345405567195</v>
      </c>
      <c r="N1803" s="12">
        <v>1680.6345405567195</v>
      </c>
      <c r="O1803" s="12">
        <v>319.32056270577664</v>
      </c>
      <c r="P1803" s="13"/>
      <c r="Q1803" s="14">
        <v>2025</v>
      </c>
      <c r="R1803" s="15">
        <v>45413</v>
      </c>
      <c r="S1803" s="11" t="s">
        <v>410</v>
      </c>
      <c r="T1803" s="16">
        <v>0</v>
      </c>
      <c r="U1803" s="17"/>
      <c r="V1803" s="12">
        <v>557.63454055671946</v>
      </c>
      <c r="W1803" s="12">
        <v>557.63454055671946</v>
      </c>
      <c r="X1803" s="12">
        <v>0</v>
      </c>
      <c r="Y1803" s="18">
        <v>45789</v>
      </c>
      <c r="Z1803" s="13" t="s">
        <v>503</v>
      </c>
      <c r="AA1803" s="19" t="s">
        <v>367</v>
      </c>
      <c r="AB1803" s="13" t="s">
        <v>357</v>
      </c>
      <c r="AC1803" s="13" t="s">
        <v>367</v>
      </c>
      <c r="AD1803" s="20"/>
      <c r="AE1803" s="20"/>
      <c r="AF1803" s="13" t="s">
        <v>40</v>
      </c>
      <c r="AG1803" s="15">
        <v>45413</v>
      </c>
      <c r="AH1803" s="13" t="s">
        <v>41</v>
      </c>
      <c r="AI1803" s="13" t="s">
        <v>53</v>
      </c>
      <c r="AJ1803" s="13" t="str">
        <f>VLOOKUP(E1803,Precios!Z$2:AA$941,2,FALSE)</f>
        <v>Toalla Papel NOVA 26 metros</v>
      </c>
      <c r="AK1803" s="14">
        <f>VLOOKUP(E1803,Precios!Z$2:BB$941,3,FALSE)*F1803</f>
        <v>-1</v>
      </c>
      <c r="AL1803" s="17"/>
      <c r="AM1803" s="17"/>
      <c r="AN1803" s="17"/>
      <c r="AO1803" s="17"/>
      <c r="AP1803" s="17"/>
      <c r="AQ1803" s="17"/>
      <c r="AR1803" s="17"/>
      <c r="AS1803" s="17"/>
      <c r="AT1803" s="17"/>
      <c r="AU1803" s="17"/>
      <c r="AV1803" s="17"/>
    </row>
    <row r="1804" spans="1:48" ht="15.75" customHeight="1">
      <c r="A1804" s="21" t="s">
        <v>43</v>
      </c>
      <c r="B1804" s="23" t="s">
        <v>1692</v>
      </c>
      <c r="C1804" s="22">
        <v>45793</v>
      </c>
      <c r="D1804" s="23" t="s">
        <v>232</v>
      </c>
      <c r="E1804" s="23" t="s">
        <v>45</v>
      </c>
      <c r="F1804" s="21">
        <v>1</v>
      </c>
      <c r="G1804" s="12">
        <v>7999.7710567538261</v>
      </c>
      <c r="H1804" s="12">
        <v>7999.7710567538261</v>
      </c>
      <c r="I1804" s="23" t="s">
        <v>52</v>
      </c>
      <c r="J1804" s="23" t="s">
        <v>61</v>
      </c>
      <c r="K1804" s="24" t="s">
        <v>177</v>
      </c>
      <c r="L1804" s="24">
        <v>140</v>
      </c>
      <c r="M1804" s="12">
        <v>6722.496686347753</v>
      </c>
      <c r="N1804" s="12">
        <v>6722.496686347753</v>
      </c>
      <c r="O1804" s="12">
        <v>1277.2743704060731</v>
      </c>
      <c r="P1804" s="13"/>
      <c r="Q1804" s="14">
        <v>2025</v>
      </c>
      <c r="R1804" s="15">
        <v>45413</v>
      </c>
      <c r="S1804" s="11" t="s">
        <v>355</v>
      </c>
      <c r="T1804" s="16">
        <v>0</v>
      </c>
      <c r="U1804" s="17"/>
      <c r="V1804" s="12">
        <v>1143.496686347753</v>
      </c>
      <c r="W1804" s="12">
        <v>1143.496686347753</v>
      </c>
      <c r="X1804" s="12">
        <v>0</v>
      </c>
      <c r="Y1804" s="18">
        <v>45789</v>
      </c>
      <c r="Z1804" s="13" t="s">
        <v>503</v>
      </c>
      <c r="AA1804" s="19" t="s">
        <v>356</v>
      </c>
      <c r="AB1804" s="13" t="s">
        <v>357</v>
      </c>
      <c r="AC1804" s="13" t="s">
        <v>358</v>
      </c>
      <c r="AD1804" s="20"/>
      <c r="AE1804" s="20"/>
      <c r="AF1804" s="13" t="s">
        <v>40</v>
      </c>
      <c r="AG1804" s="15">
        <v>45413</v>
      </c>
      <c r="AH1804" s="13" t="s">
        <v>41</v>
      </c>
      <c r="AI1804" s="13" t="s">
        <v>43</v>
      </c>
      <c r="AJ1804" s="13" t="str">
        <f>VLOOKUP(E1804,Precios!Z$2:AA$941,2,FALSE)</f>
        <v>Bandeja Huevos EXTRA</v>
      </c>
      <c r="AK1804" s="14">
        <f>VLOOKUP(E1804,Precios!Z$2:BB$941,3,FALSE)*F1804</f>
        <v>-1</v>
      </c>
      <c r="AL1804" s="17"/>
      <c r="AM1804" s="17"/>
      <c r="AN1804" s="17"/>
      <c r="AO1804" s="17"/>
      <c r="AP1804" s="17"/>
      <c r="AQ1804" s="17"/>
      <c r="AR1804" s="17"/>
      <c r="AS1804" s="17"/>
      <c r="AT1804" s="17"/>
      <c r="AU1804" s="17"/>
      <c r="AV1804" s="17"/>
    </row>
    <row r="1805" spans="1:48" ht="15.75" customHeight="1">
      <c r="A1805" s="21" t="s">
        <v>43</v>
      </c>
      <c r="B1805" s="23" t="s">
        <v>1692</v>
      </c>
      <c r="C1805" s="22">
        <v>45793</v>
      </c>
      <c r="D1805" s="23" t="s">
        <v>120</v>
      </c>
      <c r="E1805" s="23" t="s">
        <v>45</v>
      </c>
      <c r="F1805" s="21">
        <v>1</v>
      </c>
      <c r="G1805" s="12">
        <v>7999.7710567538261</v>
      </c>
      <c r="H1805" s="12">
        <v>7999.7710567538261</v>
      </c>
      <c r="I1805" s="23" t="s">
        <v>52</v>
      </c>
      <c r="J1805" s="23" t="s">
        <v>61</v>
      </c>
      <c r="K1805" s="24" t="s">
        <v>177</v>
      </c>
      <c r="L1805" s="24">
        <v>140</v>
      </c>
      <c r="M1805" s="12">
        <v>6722.496686347753</v>
      </c>
      <c r="N1805" s="12">
        <v>6722.496686347753</v>
      </c>
      <c r="O1805" s="12">
        <v>1277.2743704060731</v>
      </c>
      <c r="P1805" s="13"/>
      <c r="Q1805" s="14">
        <v>2025</v>
      </c>
      <c r="R1805" s="15">
        <v>45413</v>
      </c>
      <c r="S1805" s="11" t="s">
        <v>355</v>
      </c>
      <c r="T1805" s="16">
        <v>0</v>
      </c>
      <c r="U1805" s="17"/>
      <c r="V1805" s="12">
        <v>1143.496686347753</v>
      </c>
      <c r="W1805" s="12">
        <v>1143.496686347753</v>
      </c>
      <c r="X1805" s="12">
        <v>0</v>
      </c>
      <c r="Y1805" s="18">
        <v>45789</v>
      </c>
      <c r="Z1805" s="13" t="s">
        <v>503</v>
      </c>
      <c r="AA1805" s="19" t="s">
        <v>373</v>
      </c>
      <c r="AB1805" s="13" t="s">
        <v>357</v>
      </c>
      <c r="AC1805" s="13" t="s">
        <v>383</v>
      </c>
      <c r="AD1805" s="20"/>
      <c r="AE1805" s="20"/>
      <c r="AF1805" s="13" t="s">
        <v>40</v>
      </c>
      <c r="AG1805" s="15">
        <v>45413</v>
      </c>
      <c r="AH1805" s="13" t="s">
        <v>41</v>
      </c>
      <c r="AI1805" s="13" t="s">
        <v>43</v>
      </c>
      <c r="AJ1805" s="13" t="str">
        <f>VLOOKUP(E1805,Precios!Z$2:AA$941,2,FALSE)</f>
        <v>Bandeja Huevos EXTRA</v>
      </c>
      <c r="AK1805" s="14">
        <f>VLOOKUP(E1805,Precios!Z$2:BB$941,3,FALSE)*F1805</f>
        <v>-1</v>
      </c>
      <c r="AL1805" s="17"/>
      <c r="AM1805" s="17"/>
      <c r="AN1805" s="17"/>
      <c r="AO1805" s="17"/>
      <c r="AP1805" s="17"/>
      <c r="AQ1805" s="17"/>
      <c r="AR1805" s="17"/>
      <c r="AS1805" s="17"/>
      <c r="AT1805" s="17"/>
      <c r="AU1805" s="17"/>
      <c r="AV1805" s="17"/>
    </row>
    <row r="1806" spans="1:48" ht="15.75" customHeight="1">
      <c r="A1806" s="21" t="s">
        <v>35</v>
      </c>
      <c r="B1806" s="23" t="s">
        <v>1692</v>
      </c>
      <c r="C1806" s="22">
        <v>45793</v>
      </c>
      <c r="D1806" s="23" t="s">
        <v>120</v>
      </c>
      <c r="E1806" s="23" t="s">
        <v>37</v>
      </c>
      <c r="F1806" s="21">
        <v>1</v>
      </c>
      <c r="G1806" s="12">
        <v>10499.643649654092</v>
      </c>
      <c r="H1806" s="12">
        <v>10499.643649654092</v>
      </c>
      <c r="I1806" s="23" t="s">
        <v>52</v>
      </c>
      <c r="J1806" s="23" t="s">
        <v>61</v>
      </c>
      <c r="K1806" s="24" t="s">
        <v>177</v>
      </c>
      <c r="L1806" s="24">
        <v>140</v>
      </c>
      <c r="M1806" s="12">
        <v>8823.2299576925143</v>
      </c>
      <c r="N1806" s="12">
        <v>8823.2299576925143</v>
      </c>
      <c r="O1806" s="12">
        <v>1676.4136919615776</v>
      </c>
      <c r="P1806" s="13"/>
      <c r="Q1806" s="14">
        <v>2025</v>
      </c>
      <c r="R1806" s="15">
        <v>45413</v>
      </c>
      <c r="S1806" s="11" t="s">
        <v>364</v>
      </c>
      <c r="T1806" s="16">
        <v>1000</v>
      </c>
      <c r="U1806" s="17"/>
      <c r="V1806" s="12">
        <v>2385.6333190370515</v>
      </c>
      <c r="W1806" s="12">
        <v>2385.6333190370515</v>
      </c>
      <c r="X1806" s="12">
        <v>0</v>
      </c>
      <c r="Y1806" s="18">
        <v>45789</v>
      </c>
      <c r="Z1806" s="13" t="s">
        <v>503</v>
      </c>
      <c r="AA1806" s="19" t="s">
        <v>373</v>
      </c>
      <c r="AB1806" s="13" t="s">
        <v>357</v>
      </c>
      <c r="AC1806" s="13" t="s">
        <v>383</v>
      </c>
      <c r="AD1806" s="20"/>
      <c r="AE1806" s="20"/>
      <c r="AF1806" s="13" t="s">
        <v>40</v>
      </c>
      <c r="AG1806" s="15">
        <v>45413</v>
      </c>
      <c r="AH1806" s="13" t="s">
        <v>41</v>
      </c>
      <c r="AI1806" s="13" t="s">
        <v>35</v>
      </c>
      <c r="AJ1806" s="13" t="str">
        <f>VLOOKUP(E1806,Precios!Z$2:AA$941,2,FALSE)</f>
        <v>Queso RUNCA Mantecoso</v>
      </c>
      <c r="AK1806" s="14">
        <f>VLOOKUP(E1806,Precios!Z$2:BB$941,3,FALSE)*F1806</f>
        <v>-1</v>
      </c>
      <c r="AL1806" s="17"/>
      <c r="AM1806" s="17"/>
      <c r="AN1806" s="17"/>
      <c r="AO1806" s="17"/>
      <c r="AP1806" s="17"/>
      <c r="AQ1806" s="17"/>
      <c r="AR1806" s="17"/>
      <c r="AS1806" s="17"/>
      <c r="AT1806" s="17"/>
      <c r="AU1806" s="17"/>
      <c r="AV1806" s="17"/>
    </row>
    <row r="1807" spans="1:48" ht="15.75" customHeight="1">
      <c r="A1807" s="21" t="s">
        <v>43</v>
      </c>
      <c r="B1807" s="23" t="s">
        <v>1692</v>
      </c>
      <c r="C1807" s="22">
        <v>45793</v>
      </c>
      <c r="D1807" s="23" t="s">
        <v>350</v>
      </c>
      <c r="E1807" s="23" t="s">
        <v>45</v>
      </c>
      <c r="F1807" s="21">
        <v>2</v>
      </c>
      <c r="G1807" s="12">
        <v>7999.7710567538261</v>
      </c>
      <c r="H1807" s="12">
        <v>15999.542113507652</v>
      </c>
      <c r="I1807" s="23" t="s">
        <v>52</v>
      </c>
      <c r="J1807" s="23" t="s">
        <v>61</v>
      </c>
      <c r="K1807" s="24" t="s">
        <v>177</v>
      </c>
      <c r="L1807" s="24">
        <v>140</v>
      </c>
      <c r="M1807" s="12">
        <v>6722.496686347753</v>
      </c>
      <c r="N1807" s="12">
        <v>13444.993372695506</v>
      </c>
      <c r="O1807" s="12">
        <v>2554.5487408121462</v>
      </c>
      <c r="P1807" s="13"/>
      <c r="Q1807" s="14">
        <v>2025</v>
      </c>
      <c r="R1807" s="15">
        <v>45413</v>
      </c>
      <c r="S1807" s="11" t="s">
        <v>355</v>
      </c>
      <c r="T1807" s="16">
        <v>0</v>
      </c>
      <c r="U1807" s="17"/>
      <c r="V1807" s="12">
        <v>2286.993372695506</v>
      </c>
      <c r="W1807" s="12">
        <v>2286.993372695506</v>
      </c>
      <c r="X1807" s="12">
        <v>0</v>
      </c>
      <c r="Y1807" s="18">
        <v>45789</v>
      </c>
      <c r="Z1807" s="13" t="s">
        <v>503</v>
      </c>
      <c r="AA1807" s="19" t="s">
        <v>373</v>
      </c>
      <c r="AB1807" s="13" t="s">
        <v>357</v>
      </c>
      <c r="AC1807" s="13" t="s">
        <v>389</v>
      </c>
      <c r="AD1807" s="20"/>
      <c r="AE1807" s="20"/>
      <c r="AF1807" s="13" t="s">
        <v>40</v>
      </c>
      <c r="AG1807" s="15">
        <v>45413</v>
      </c>
      <c r="AH1807" s="13" t="s">
        <v>41</v>
      </c>
      <c r="AI1807" s="13" t="s">
        <v>43</v>
      </c>
      <c r="AJ1807" s="13" t="str">
        <f>VLOOKUP(E1807,Precios!Z$2:AA$941,2,FALSE)</f>
        <v>Bandeja Huevos EXTRA</v>
      </c>
      <c r="AK1807" s="14">
        <f>VLOOKUP(E1807,Precios!Z$2:BB$941,3,FALSE)*F1807</f>
        <v>-2</v>
      </c>
      <c r="AL1807" s="17"/>
      <c r="AM1807" s="17"/>
      <c r="AN1807" s="17"/>
      <c r="AO1807" s="17"/>
      <c r="AP1807" s="17"/>
      <c r="AQ1807" s="17"/>
      <c r="AR1807" s="17"/>
      <c r="AS1807" s="17"/>
      <c r="AT1807" s="17"/>
      <c r="AU1807" s="17"/>
      <c r="AV1807" s="17"/>
    </row>
    <row r="1808" spans="1:48" ht="15.75" customHeight="1">
      <c r="A1808" s="21" t="s">
        <v>53</v>
      </c>
      <c r="B1808" s="23" t="s">
        <v>1692</v>
      </c>
      <c r="C1808" s="25">
        <v>45792</v>
      </c>
      <c r="D1808" s="23" t="s">
        <v>113</v>
      </c>
      <c r="E1808" s="23" t="s">
        <v>55</v>
      </c>
      <c r="F1808" s="21">
        <v>1</v>
      </c>
      <c r="G1808" s="12">
        <v>20899.657794676805</v>
      </c>
      <c r="H1808" s="12">
        <v>20899.657794676805</v>
      </c>
      <c r="I1808" s="23" t="s">
        <v>52</v>
      </c>
      <c r="J1808" s="23" t="s">
        <v>61</v>
      </c>
      <c r="K1808" s="24" t="s">
        <v>177</v>
      </c>
      <c r="L1808" s="24">
        <v>139</v>
      </c>
      <c r="M1808" s="12">
        <v>17562.737642585551</v>
      </c>
      <c r="N1808" s="12">
        <v>17562.737642585551</v>
      </c>
      <c r="O1808" s="12">
        <v>3336.9201520912538</v>
      </c>
      <c r="P1808" s="13"/>
      <c r="Q1808" s="14">
        <v>2025</v>
      </c>
      <c r="R1808" s="15">
        <v>45413</v>
      </c>
      <c r="S1808" s="11" t="s">
        <v>366</v>
      </c>
      <c r="T1808" s="16">
        <v>0</v>
      </c>
      <c r="U1808" s="17"/>
      <c r="V1808" s="12">
        <v>3705.7376425855509</v>
      </c>
      <c r="W1808" s="12">
        <v>3705.7376425855509</v>
      </c>
      <c r="X1808" s="12">
        <v>0</v>
      </c>
      <c r="Y1808" s="18">
        <v>45789</v>
      </c>
      <c r="Z1808" s="13" t="s">
        <v>505</v>
      </c>
      <c r="AA1808" s="19" t="s">
        <v>373</v>
      </c>
      <c r="AB1808" s="13" t="s">
        <v>357</v>
      </c>
      <c r="AC1808" s="13" t="s">
        <v>383</v>
      </c>
      <c r="AD1808" s="20"/>
      <c r="AE1808" s="20"/>
      <c r="AF1808" s="13" t="s">
        <v>40</v>
      </c>
      <c r="AG1808" s="15">
        <v>45413</v>
      </c>
      <c r="AH1808" s="13" t="s">
        <v>41</v>
      </c>
      <c r="AI1808" s="13" t="s">
        <v>53</v>
      </c>
      <c r="AJ1808" s="13" t="str">
        <f>VLOOKUP(E1808,Precios!Z$2:AA$941,2,FALSE)</f>
        <v>Papel Higienico ELITE 50 metros</v>
      </c>
      <c r="AK1808" s="14">
        <f>VLOOKUP(E1808,Precios!Z$2:BB$941,3,FALSE)*F1808</f>
        <v>-8</v>
      </c>
      <c r="AL1808" s="17"/>
      <c r="AM1808" s="17"/>
      <c r="AN1808" s="17"/>
      <c r="AO1808" s="17"/>
      <c r="AP1808" s="17"/>
      <c r="AQ1808" s="17"/>
      <c r="AR1808" s="17"/>
      <c r="AS1808" s="17"/>
      <c r="AT1808" s="17"/>
      <c r="AU1808" s="17"/>
      <c r="AV1808" s="17"/>
    </row>
    <row r="1809" spans="1:48" ht="15.75" customHeight="1">
      <c r="A1809" s="21" t="s">
        <v>53</v>
      </c>
      <c r="B1809" s="23" t="s">
        <v>1692</v>
      </c>
      <c r="C1809" s="25">
        <v>45792</v>
      </c>
      <c r="D1809" s="23" t="s">
        <v>113</v>
      </c>
      <c r="E1809" s="23" t="s">
        <v>136</v>
      </c>
      <c r="F1809" s="21">
        <v>1</v>
      </c>
      <c r="G1809" s="12">
        <v>14900.292682926829</v>
      </c>
      <c r="H1809" s="12">
        <v>14900.292682926829</v>
      </c>
      <c r="I1809" s="23" t="s">
        <v>52</v>
      </c>
      <c r="J1809" s="23" t="s">
        <v>61</v>
      </c>
      <c r="K1809" s="24" t="s">
        <v>177</v>
      </c>
      <c r="L1809" s="24">
        <v>139</v>
      </c>
      <c r="M1809" s="12">
        <v>12521.254355400697</v>
      </c>
      <c r="N1809" s="12">
        <v>12521.254355400697</v>
      </c>
      <c r="O1809" s="12">
        <v>2379.038327526132</v>
      </c>
      <c r="P1809" s="13"/>
      <c r="Q1809" s="14">
        <v>2025</v>
      </c>
      <c r="R1809" s="15">
        <v>45413</v>
      </c>
      <c r="S1809" s="11" t="s">
        <v>410</v>
      </c>
      <c r="T1809" s="16">
        <v>0</v>
      </c>
      <c r="U1809" s="17"/>
      <c r="V1809" s="12">
        <v>3537.254355400697</v>
      </c>
      <c r="W1809" s="12">
        <v>3537.254355400697</v>
      </c>
      <c r="X1809" s="12">
        <v>0</v>
      </c>
      <c r="Y1809" s="18">
        <v>45789</v>
      </c>
      <c r="Z1809" s="13" t="s">
        <v>505</v>
      </c>
      <c r="AA1809" s="19" t="s">
        <v>373</v>
      </c>
      <c r="AB1809" s="13" t="s">
        <v>357</v>
      </c>
      <c r="AC1809" s="13" t="s">
        <v>383</v>
      </c>
      <c r="AD1809" s="20"/>
      <c r="AE1809" s="20"/>
      <c r="AF1809" s="13" t="s">
        <v>40</v>
      </c>
      <c r="AG1809" s="15">
        <v>45413</v>
      </c>
      <c r="AH1809" s="13" t="s">
        <v>41</v>
      </c>
      <c r="AI1809" s="13" t="s">
        <v>53</v>
      </c>
      <c r="AJ1809" s="13" t="str">
        <f>VLOOKUP(E1809,Precios!Z$2:AA$941,2,FALSE)</f>
        <v>Toalla Papel NOVA 26 metros</v>
      </c>
      <c r="AK1809" s="14">
        <f>VLOOKUP(E1809,Precios!Z$2:BB$941,3,FALSE)*F1809</f>
        <v>-8</v>
      </c>
      <c r="AL1809" s="17"/>
      <c r="AM1809" s="17"/>
      <c r="AN1809" s="17"/>
      <c r="AO1809" s="17"/>
      <c r="AP1809" s="17"/>
      <c r="AQ1809" s="17"/>
      <c r="AR1809" s="17"/>
      <c r="AS1809" s="17"/>
      <c r="AT1809" s="17"/>
      <c r="AU1809" s="17"/>
      <c r="AV1809" s="17"/>
    </row>
    <row r="1810" spans="1:48" ht="15.75" customHeight="1">
      <c r="A1810" s="21" t="s">
        <v>147</v>
      </c>
      <c r="B1810" s="23" t="s">
        <v>1692</v>
      </c>
      <c r="C1810" s="25">
        <v>45792</v>
      </c>
      <c r="D1810" s="23" t="s">
        <v>113</v>
      </c>
      <c r="E1810" s="23" t="s">
        <v>248</v>
      </c>
      <c r="F1810" s="21">
        <v>1</v>
      </c>
      <c r="G1810" s="12">
        <v>9000</v>
      </c>
      <c r="H1810" s="12">
        <v>9000</v>
      </c>
      <c r="I1810" s="23" t="s">
        <v>52</v>
      </c>
      <c r="J1810" s="23" t="s">
        <v>61</v>
      </c>
      <c r="K1810" s="24" t="s">
        <v>177</v>
      </c>
      <c r="L1810" s="24">
        <v>139</v>
      </c>
      <c r="M1810" s="12">
        <v>7563.0252100840344</v>
      </c>
      <c r="N1810" s="12">
        <v>7563.0252100840344</v>
      </c>
      <c r="O1810" s="12">
        <v>1436.9747899159656</v>
      </c>
      <c r="P1810" s="13"/>
      <c r="Q1810" s="14">
        <v>2025</v>
      </c>
      <c r="R1810" s="15">
        <v>45413</v>
      </c>
      <c r="S1810" s="11" t="s">
        <v>412</v>
      </c>
      <c r="T1810" s="16">
        <v>0</v>
      </c>
      <c r="U1810" s="17"/>
      <c r="V1810" s="12">
        <v>2773.1092436974795</v>
      </c>
      <c r="W1810" s="12">
        <v>2773.1092436974795</v>
      </c>
      <c r="X1810" s="12">
        <v>0</v>
      </c>
      <c r="Y1810" s="18">
        <v>45789</v>
      </c>
      <c r="Z1810" s="13" t="s">
        <v>505</v>
      </c>
      <c r="AA1810" s="19" t="s">
        <v>373</v>
      </c>
      <c r="AB1810" s="13" t="s">
        <v>357</v>
      </c>
      <c r="AC1810" s="13" t="s">
        <v>383</v>
      </c>
      <c r="AD1810" s="20"/>
      <c r="AE1810" s="20"/>
      <c r="AF1810" s="13" t="s">
        <v>40</v>
      </c>
      <c r="AG1810" s="15">
        <v>45413</v>
      </c>
      <c r="AH1810" s="13" t="s">
        <v>41</v>
      </c>
      <c r="AI1810" s="13" t="s">
        <v>147</v>
      </c>
      <c r="AJ1810" s="13" t="str">
        <f>VLOOKUP(E1810,Precios!Z$2:AA$941,2,FALSE)</f>
        <v>Film Plástico 300 metros</v>
      </c>
      <c r="AK1810" s="14">
        <f>VLOOKUP(E1810,Precios!Z$2:BB$941,3,FALSE)*F1810</f>
        <v>-1</v>
      </c>
      <c r="AL1810" s="17"/>
      <c r="AM1810" s="17"/>
      <c r="AN1810" s="17"/>
      <c r="AO1810" s="17"/>
      <c r="AP1810" s="17"/>
      <c r="AQ1810" s="17"/>
      <c r="AR1810" s="17"/>
      <c r="AS1810" s="17"/>
      <c r="AT1810" s="17"/>
      <c r="AU1810" s="17"/>
      <c r="AV1810" s="17"/>
    </row>
    <row r="1811" spans="1:48" ht="15.75" customHeight="1">
      <c r="A1811" s="21" t="s">
        <v>43</v>
      </c>
      <c r="B1811" s="23" t="s">
        <v>558</v>
      </c>
      <c r="C1811" s="25">
        <v>45792</v>
      </c>
      <c r="D1811" s="23" t="s">
        <v>176</v>
      </c>
      <c r="E1811" s="23" t="s">
        <v>45</v>
      </c>
      <c r="F1811" s="21">
        <v>1</v>
      </c>
      <c r="G1811" s="12">
        <v>7999.7710567538261</v>
      </c>
      <c r="H1811" s="12">
        <v>7999.7710567538261</v>
      </c>
      <c r="I1811" s="23" t="s">
        <v>52</v>
      </c>
      <c r="J1811" s="23" t="s">
        <v>61</v>
      </c>
      <c r="K1811" s="24" t="s">
        <v>177</v>
      </c>
      <c r="L1811" s="24">
        <v>139</v>
      </c>
      <c r="M1811" s="12">
        <v>6722.496686347753</v>
      </c>
      <c r="N1811" s="12">
        <v>6722.496686347753</v>
      </c>
      <c r="O1811" s="12">
        <v>1277.2743704060731</v>
      </c>
      <c r="P1811" s="13"/>
      <c r="Q1811" s="14">
        <v>2025</v>
      </c>
      <c r="R1811" s="15">
        <v>45413</v>
      </c>
      <c r="S1811" s="11" t="s">
        <v>355</v>
      </c>
      <c r="T1811" s="16">
        <v>0</v>
      </c>
      <c r="U1811" s="17"/>
      <c r="V1811" s="12">
        <v>1143.496686347753</v>
      </c>
      <c r="W1811" s="12">
        <v>571.74834317387649</v>
      </c>
      <c r="X1811" s="12">
        <v>571.74834317387649</v>
      </c>
      <c r="Y1811" s="18">
        <v>45789</v>
      </c>
      <c r="Z1811" s="13" t="s">
        <v>505</v>
      </c>
      <c r="AA1811" s="19" t="s">
        <v>373</v>
      </c>
      <c r="AB1811" s="13" t="s">
        <v>357</v>
      </c>
      <c r="AC1811" s="13" t="s">
        <v>383</v>
      </c>
      <c r="AD1811" s="20"/>
      <c r="AE1811" s="20"/>
      <c r="AF1811" s="13" t="s">
        <v>40</v>
      </c>
      <c r="AG1811" s="15">
        <v>45413</v>
      </c>
      <c r="AH1811" s="13" t="s">
        <v>41</v>
      </c>
      <c r="AI1811" s="13" t="s">
        <v>43</v>
      </c>
      <c r="AJ1811" s="13" t="str">
        <f>VLOOKUP(E1811,Precios!Z$2:AA$941,2,FALSE)</f>
        <v>Bandeja Huevos EXTRA</v>
      </c>
      <c r="AK1811" s="14">
        <f>VLOOKUP(E1811,Precios!Z$2:BB$941,3,FALSE)*F1811</f>
        <v>-1</v>
      </c>
      <c r="AL1811" s="17"/>
      <c r="AM1811" s="17"/>
      <c r="AN1811" s="17"/>
      <c r="AO1811" s="17"/>
      <c r="AP1811" s="17"/>
      <c r="AQ1811" s="17"/>
      <c r="AR1811" s="17"/>
      <c r="AS1811" s="17"/>
      <c r="AT1811" s="17"/>
      <c r="AU1811" s="17"/>
      <c r="AV1811" s="17"/>
    </row>
    <row r="1812" spans="1:48" ht="15.75" customHeight="1">
      <c r="A1812" s="21" t="s">
        <v>53</v>
      </c>
      <c r="B1812" s="23" t="s">
        <v>1692</v>
      </c>
      <c r="C1812" s="25">
        <v>45792</v>
      </c>
      <c r="D1812" s="23" t="s">
        <v>630</v>
      </c>
      <c r="E1812" s="23" t="s">
        <v>55</v>
      </c>
      <c r="F1812" s="21">
        <v>1</v>
      </c>
      <c r="G1812" s="12">
        <v>20899.657794676805</v>
      </c>
      <c r="H1812" s="12">
        <v>20899.657794676805</v>
      </c>
      <c r="I1812" s="23" t="s">
        <v>52</v>
      </c>
      <c r="J1812" s="23" t="s">
        <v>61</v>
      </c>
      <c r="K1812" s="24" t="s">
        <v>177</v>
      </c>
      <c r="L1812" s="24">
        <v>139</v>
      </c>
      <c r="M1812" s="12">
        <v>17562.737642585551</v>
      </c>
      <c r="N1812" s="12">
        <v>17562.737642585551</v>
      </c>
      <c r="O1812" s="12">
        <v>3336.9201520912538</v>
      </c>
      <c r="P1812" s="13"/>
      <c r="Q1812" s="14">
        <v>2025</v>
      </c>
      <c r="R1812" s="15">
        <v>45413</v>
      </c>
      <c r="S1812" s="11" t="s">
        <v>366</v>
      </c>
      <c r="T1812" s="16">
        <v>0</v>
      </c>
      <c r="U1812" s="17"/>
      <c r="V1812" s="12">
        <v>3705.7376425855509</v>
      </c>
      <c r="W1812" s="12">
        <v>3705.7376425855509</v>
      </c>
      <c r="X1812" s="12">
        <v>0</v>
      </c>
      <c r="Y1812" s="18">
        <v>45789</v>
      </c>
      <c r="Z1812" s="13" t="s">
        <v>505</v>
      </c>
      <c r="AA1812" s="19" t="s">
        <v>361</v>
      </c>
      <c r="AB1812" s="13" t="s">
        <v>357</v>
      </c>
      <c r="AC1812" s="13" t="s">
        <v>631</v>
      </c>
      <c r="AD1812" s="20"/>
      <c r="AE1812" s="20"/>
      <c r="AF1812" s="13" t="s">
        <v>40</v>
      </c>
      <c r="AG1812" s="15">
        <v>45413</v>
      </c>
      <c r="AH1812" s="13" t="s">
        <v>41</v>
      </c>
      <c r="AI1812" s="13" t="s">
        <v>53</v>
      </c>
      <c r="AJ1812" s="13" t="str">
        <f>VLOOKUP(E1812,Precios!Z$2:AA$941,2,FALSE)</f>
        <v>Papel Higienico ELITE 50 metros</v>
      </c>
      <c r="AK1812" s="14">
        <f>VLOOKUP(E1812,Precios!Z$2:BB$941,3,FALSE)*F1812</f>
        <v>-8</v>
      </c>
      <c r="AL1812" s="17"/>
      <c r="AM1812" s="17"/>
      <c r="AN1812" s="17"/>
      <c r="AO1812" s="17"/>
      <c r="AP1812" s="17"/>
      <c r="AQ1812" s="17"/>
      <c r="AR1812" s="17"/>
      <c r="AS1812" s="17"/>
      <c r="AT1812" s="17"/>
      <c r="AU1812" s="17"/>
      <c r="AV1812" s="17"/>
    </row>
    <row r="1813" spans="1:48" ht="15.75" customHeight="1">
      <c r="A1813" s="21" t="s">
        <v>35</v>
      </c>
      <c r="B1813" s="23" t="s">
        <v>1692</v>
      </c>
      <c r="C1813" s="25">
        <v>45792</v>
      </c>
      <c r="D1813" s="23" t="s">
        <v>630</v>
      </c>
      <c r="E1813" s="23" t="s">
        <v>37</v>
      </c>
      <c r="F1813" s="21">
        <v>1</v>
      </c>
      <c r="G1813" s="12">
        <v>10499.643649654092</v>
      </c>
      <c r="H1813" s="12">
        <v>10499.643649654092</v>
      </c>
      <c r="I1813" s="23" t="s">
        <v>52</v>
      </c>
      <c r="J1813" s="23" t="s">
        <v>61</v>
      </c>
      <c r="K1813" s="24" t="s">
        <v>177</v>
      </c>
      <c r="L1813" s="24">
        <v>139</v>
      </c>
      <c r="M1813" s="12">
        <v>8823.2299576925143</v>
      </c>
      <c r="N1813" s="12">
        <v>8823.2299576925143</v>
      </c>
      <c r="O1813" s="12">
        <v>1676.4136919615776</v>
      </c>
      <c r="P1813" s="13"/>
      <c r="Q1813" s="14">
        <v>2025</v>
      </c>
      <c r="R1813" s="15">
        <v>45413</v>
      </c>
      <c r="S1813" s="11" t="s">
        <v>364</v>
      </c>
      <c r="T1813" s="16">
        <v>1000</v>
      </c>
      <c r="U1813" s="17"/>
      <c r="V1813" s="12">
        <v>2385.6333190370515</v>
      </c>
      <c r="W1813" s="12">
        <v>2385.6333190370515</v>
      </c>
      <c r="X1813" s="12">
        <v>0</v>
      </c>
      <c r="Y1813" s="18">
        <v>45789</v>
      </c>
      <c r="Z1813" s="13" t="s">
        <v>505</v>
      </c>
      <c r="AA1813" s="19" t="s">
        <v>361</v>
      </c>
      <c r="AB1813" s="13" t="s">
        <v>357</v>
      </c>
      <c r="AC1813" s="13" t="s">
        <v>631</v>
      </c>
      <c r="AD1813" s="20"/>
      <c r="AE1813" s="20"/>
      <c r="AF1813" s="13" t="s">
        <v>40</v>
      </c>
      <c r="AG1813" s="15">
        <v>45413</v>
      </c>
      <c r="AH1813" s="13" t="s">
        <v>41</v>
      </c>
      <c r="AI1813" s="13" t="s">
        <v>35</v>
      </c>
      <c r="AJ1813" s="13" t="str">
        <f>VLOOKUP(E1813,Precios!Z$2:AA$941,2,FALSE)</f>
        <v>Queso RUNCA Mantecoso</v>
      </c>
      <c r="AK1813" s="14">
        <f>VLOOKUP(E1813,Precios!Z$2:BB$941,3,FALSE)*F1813</f>
        <v>-1</v>
      </c>
      <c r="AL1813" s="17"/>
      <c r="AM1813" s="17"/>
      <c r="AN1813" s="17"/>
      <c r="AO1813" s="17"/>
      <c r="AP1813" s="17"/>
      <c r="AQ1813" s="17"/>
      <c r="AR1813" s="17"/>
      <c r="AS1813" s="17"/>
      <c r="AT1813" s="17"/>
      <c r="AU1813" s="17"/>
      <c r="AV1813" s="17"/>
    </row>
    <row r="1814" spans="1:48" ht="15.75" customHeight="1">
      <c r="A1814" s="21" t="s">
        <v>35</v>
      </c>
      <c r="B1814" s="23" t="s">
        <v>1692</v>
      </c>
      <c r="C1814" s="25">
        <v>45792</v>
      </c>
      <c r="D1814" s="23" t="s">
        <v>232</v>
      </c>
      <c r="E1814" s="23" t="s">
        <v>37</v>
      </c>
      <c r="F1814" s="21">
        <v>1</v>
      </c>
      <c r="G1814" s="12">
        <v>10499.643649654092</v>
      </c>
      <c r="H1814" s="12">
        <v>10499.643649654092</v>
      </c>
      <c r="I1814" s="23" t="s">
        <v>52</v>
      </c>
      <c r="J1814" s="23" t="s">
        <v>61</v>
      </c>
      <c r="K1814" s="24" t="s">
        <v>177</v>
      </c>
      <c r="L1814" s="24">
        <v>139</v>
      </c>
      <c r="M1814" s="12">
        <v>8823.2299576925143</v>
      </c>
      <c r="N1814" s="12">
        <v>8823.2299576925143</v>
      </c>
      <c r="O1814" s="12">
        <v>1676.4136919615776</v>
      </c>
      <c r="P1814" s="13"/>
      <c r="Q1814" s="14">
        <v>2025</v>
      </c>
      <c r="R1814" s="15">
        <v>45413</v>
      </c>
      <c r="S1814" s="11" t="s">
        <v>364</v>
      </c>
      <c r="T1814" s="16">
        <v>1000</v>
      </c>
      <c r="U1814" s="17"/>
      <c r="V1814" s="12">
        <v>2385.6333190370515</v>
      </c>
      <c r="W1814" s="12">
        <v>2385.6333190370515</v>
      </c>
      <c r="X1814" s="12">
        <v>0</v>
      </c>
      <c r="Y1814" s="18">
        <v>45789</v>
      </c>
      <c r="Z1814" s="13" t="s">
        <v>505</v>
      </c>
      <c r="AA1814" s="19" t="s">
        <v>356</v>
      </c>
      <c r="AB1814" s="13" t="s">
        <v>357</v>
      </c>
      <c r="AC1814" s="13" t="s">
        <v>358</v>
      </c>
      <c r="AD1814" s="20"/>
      <c r="AE1814" s="20"/>
      <c r="AF1814" s="13" t="s">
        <v>40</v>
      </c>
      <c r="AG1814" s="15">
        <v>45413</v>
      </c>
      <c r="AH1814" s="13" t="s">
        <v>41</v>
      </c>
      <c r="AI1814" s="13" t="s">
        <v>35</v>
      </c>
      <c r="AJ1814" s="13" t="str">
        <f>VLOOKUP(E1814,Precios!Z$2:AA$941,2,FALSE)</f>
        <v>Queso RUNCA Mantecoso</v>
      </c>
      <c r="AK1814" s="14">
        <f>VLOOKUP(E1814,Precios!Z$2:BB$941,3,FALSE)*F1814</f>
        <v>-1</v>
      </c>
      <c r="AL1814" s="17"/>
      <c r="AM1814" s="17"/>
      <c r="AN1814" s="17"/>
      <c r="AO1814" s="17"/>
      <c r="AP1814" s="17"/>
      <c r="AQ1814" s="17"/>
      <c r="AR1814" s="17"/>
      <c r="AS1814" s="17"/>
      <c r="AT1814" s="17"/>
      <c r="AU1814" s="17"/>
      <c r="AV1814" s="17"/>
    </row>
    <row r="1815" spans="1:48" ht="15.75" customHeight="1">
      <c r="A1815" s="21" t="s">
        <v>73</v>
      </c>
      <c r="B1815" s="23" t="s">
        <v>1692</v>
      </c>
      <c r="C1815" s="25">
        <v>45792</v>
      </c>
      <c r="D1815" s="23" t="s">
        <v>643</v>
      </c>
      <c r="E1815" s="23" t="s">
        <v>90</v>
      </c>
      <c r="F1815" s="14">
        <v>2</v>
      </c>
      <c r="G1815" s="12">
        <v>4199.9020019599611</v>
      </c>
      <c r="H1815" s="12">
        <v>8399.8040039199223</v>
      </c>
      <c r="I1815" s="23" t="s">
        <v>52</v>
      </c>
      <c r="J1815" s="23" t="s">
        <v>61</v>
      </c>
      <c r="K1815" s="24" t="s">
        <v>177</v>
      </c>
      <c r="L1815" s="24">
        <v>139</v>
      </c>
      <c r="M1815" s="12">
        <v>3529.3294134117323</v>
      </c>
      <c r="N1815" s="12">
        <v>7058.6588268234646</v>
      </c>
      <c r="O1815" s="12">
        <v>1341.1451770964577</v>
      </c>
      <c r="P1815" s="13"/>
      <c r="Q1815" s="14">
        <v>2025</v>
      </c>
      <c r="R1815" s="15">
        <v>45413</v>
      </c>
      <c r="S1815" s="11" t="s">
        <v>424</v>
      </c>
      <c r="T1815" s="16">
        <v>0</v>
      </c>
      <c r="U1815" s="17"/>
      <c r="V1815" s="12">
        <v>2016.6588268234646</v>
      </c>
      <c r="W1815" s="12">
        <v>2016.6588268234646</v>
      </c>
      <c r="X1815" s="12">
        <v>0</v>
      </c>
      <c r="Y1815" s="18">
        <v>45789</v>
      </c>
      <c r="Z1815" s="13" t="s">
        <v>505</v>
      </c>
      <c r="AA1815" s="19" t="s">
        <v>373</v>
      </c>
      <c r="AB1815" s="13" t="s">
        <v>357</v>
      </c>
      <c r="AC1815" s="13" t="s">
        <v>644</v>
      </c>
      <c r="AD1815" s="20"/>
      <c r="AE1815" s="20"/>
      <c r="AF1815" s="13" t="s">
        <v>40</v>
      </c>
      <c r="AG1815" s="15">
        <v>45413</v>
      </c>
      <c r="AH1815" s="13" t="s">
        <v>41</v>
      </c>
      <c r="AI1815" s="13" t="s">
        <v>73</v>
      </c>
      <c r="AJ1815" s="13" t="str">
        <f>VLOOKUP(E1815,Precios!Z$2:AA$941,2,FALSE)</f>
        <v>Guante NITRILO Talla M</v>
      </c>
      <c r="AK1815" s="14">
        <f>VLOOKUP(E1815,Precios!Z$2:BB$941,3,FALSE)*F1815</f>
        <v>-2</v>
      </c>
      <c r="AL1815" s="17"/>
      <c r="AM1815" s="17"/>
      <c r="AN1815" s="17"/>
      <c r="AO1815" s="17"/>
      <c r="AP1815" s="17"/>
      <c r="AQ1815" s="17"/>
      <c r="AR1815" s="17"/>
      <c r="AS1815" s="17"/>
      <c r="AT1815" s="17"/>
      <c r="AU1815" s="17"/>
      <c r="AV1815" s="17"/>
    </row>
    <row r="1816" spans="1:48" ht="15.75" customHeight="1">
      <c r="A1816" s="21" t="s">
        <v>53</v>
      </c>
      <c r="B1816" s="23" t="s">
        <v>1692</v>
      </c>
      <c r="C1816" s="22">
        <v>45792</v>
      </c>
      <c r="D1816" s="23" t="s">
        <v>215</v>
      </c>
      <c r="E1816" s="23" t="s">
        <v>55</v>
      </c>
      <c r="F1816" s="21">
        <v>1</v>
      </c>
      <c r="G1816" s="12">
        <v>20899.657794676805</v>
      </c>
      <c r="H1816" s="12">
        <v>20899.657794676805</v>
      </c>
      <c r="I1816" s="23" t="s">
        <v>52</v>
      </c>
      <c r="J1816" s="23" t="s">
        <v>61</v>
      </c>
      <c r="K1816" s="24" t="s">
        <v>177</v>
      </c>
      <c r="L1816" s="24">
        <v>139</v>
      </c>
      <c r="M1816" s="12">
        <v>17562.737642585551</v>
      </c>
      <c r="N1816" s="12">
        <v>17562.737642585551</v>
      </c>
      <c r="O1816" s="12">
        <v>3336.9201520912538</v>
      </c>
      <c r="P1816" s="13"/>
      <c r="Q1816" s="14">
        <v>2025</v>
      </c>
      <c r="R1816" s="15">
        <v>45413</v>
      </c>
      <c r="S1816" s="11" t="s">
        <v>366</v>
      </c>
      <c r="T1816" s="16">
        <v>0</v>
      </c>
      <c r="U1816" s="17"/>
      <c r="V1816" s="12">
        <v>3705.7376425855509</v>
      </c>
      <c r="W1816" s="12">
        <v>3705.7376425855509</v>
      </c>
      <c r="X1816" s="12">
        <v>0</v>
      </c>
      <c r="Y1816" s="18">
        <v>45789</v>
      </c>
      <c r="Z1816" s="13" t="s">
        <v>505</v>
      </c>
      <c r="AA1816" s="19" t="s">
        <v>373</v>
      </c>
      <c r="AB1816" s="13" t="s">
        <v>357</v>
      </c>
      <c r="AC1816" s="13" t="s">
        <v>465</v>
      </c>
      <c r="AD1816" s="20"/>
      <c r="AE1816" s="20"/>
      <c r="AF1816" s="13" t="s">
        <v>40</v>
      </c>
      <c r="AG1816" s="15">
        <v>45413</v>
      </c>
      <c r="AH1816" s="13" t="s">
        <v>41</v>
      </c>
      <c r="AI1816" s="13" t="s">
        <v>53</v>
      </c>
      <c r="AJ1816" s="13" t="str">
        <f>VLOOKUP(E1816,Precios!Z$2:AA$941,2,FALSE)</f>
        <v>Papel Higienico ELITE 50 metros</v>
      </c>
      <c r="AK1816" s="14">
        <f>VLOOKUP(E1816,Precios!Z$2:BB$941,3,FALSE)*F1816</f>
        <v>-8</v>
      </c>
      <c r="AL1816" s="17"/>
      <c r="AM1816" s="17"/>
      <c r="AN1816" s="17"/>
      <c r="AO1816" s="17"/>
      <c r="AP1816" s="17"/>
      <c r="AQ1816" s="17"/>
      <c r="AR1816" s="17"/>
      <c r="AS1816" s="17"/>
      <c r="AT1816" s="17"/>
      <c r="AU1816" s="17"/>
      <c r="AV1816" s="17"/>
    </row>
    <row r="1817" spans="1:48" ht="15.75" customHeight="1">
      <c r="A1817" s="21" t="s">
        <v>76</v>
      </c>
      <c r="B1817" s="23" t="s">
        <v>1692</v>
      </c>
      <c r="C1817" s="22">
        <v>45792</v>
      </c>
      <c r="D1817" s="23" t="s">
        <v>215</v>
      </c>
      <c r="E1817" s="23" t="s">
        <v>216</v>
      </c>
      <c r="F1817" s="21">
        <v>1</v>
      </c>
      <c r="G1817" s="12">
        <v>4300</v>
      </c>
      <c r="H1817" s="12">
        <v>4300</v>
      </c>
      <c r="I1817" s="23" t="s">
        <v>52</v>
      </c>
      <c r="J1817" s="23" t="s">
        <v>61</v>
      </c>
      <c r="K1817" s="24" t="s">
        <v>177</v>
      </c>
      <c r="L1817" s="24">
        <v>139</v>
      </c>
      <c r="M1817" s="12">
        <v>3613.4453781512607</v>
      </c>
      <c r="N1817" s="12">
        <v>3613.4453781512607</v>
      </c>
      <c r="O1817" s="12">
        <v>686.55462184873932</v>
      </c>
      <c r="P1817" s="13"/>
      <c r="Q1817" s="14">
        <v>2025</v>
      </c>
      <c r="R1817" s="15">
        <v>45413</v>
      </c>
      <c r="S1817" s="11" t="s">
        <v>479</v>
      </c>
      <c r="T1817" s="16">
        <v>5</v>
      </c>
      <c r="U1817" s="17"/>
      <c r="V1817" s="12">
        <v>1134.453781512605</v>
      </c>
      <c r="W1817" s="12">
        <v>1134.453781512605</v>
      </c>
      <c r="X1817" s="12">
        <v>0</v>
      </c>
      <c r="Y1817" s="18">
        <v>45789</v>
      </c>
      <c r="Z1817" s="13" t="s">
        <v>505</v>
      </c>
      <c r="AA1817" s="19" t="s">
        <v>373</v>
      </c>
      <c r="AB1817" s="13" t="s">
        <v>357</v>
      </c>
      <c r="AC1817" s="13" t="s">
        <v>465</v>
      </c>
      <c r="AD1817" s="20"/>
      <c r="AE1817" s="20"/>
      <c r="AF1817" s="13" t="s">
        <v>40</v>
      </c>
      <c r="AG1817" s="15">
        <v>45413</v>
      </c>
      <c r="AH1817" s="13" t="s">
        <v>41</v>
      </c>
      <c r="AI1817" s="13" t="s">
        <v>53</v>
      </c>
      <c r="AJ1817" s="13" t="str">
        <f>VLOOKUP(E1817,Precios!Z$2:AA$941,2,FALSE)</f>
        <v>Lavaloza SPUM 5 Litros</v>
      </c>
      <c r="AK1817" s="14">
        <f>VLOOKUP(E1817,Precios!Z$2:BB$941,3,FALSE)*F1817</f>
        <v>-1</v>
      </c>
      <c r="AL1817" s="17"/>
      <c r="AM1817" s="17"/>
      <c r="AN1817" s="17"/>
      <c r="AO1817" s="17"/>
      <c r="AP1817" s="17"/>
      <c r="AQ1817" s="17"/>
      <c r="AR1817" s="17"/>
      <c r="AS1817" s="17"/>
      <c r="AT1817" s="17"/>
      <c r="AU1817" s="17"/>
      <c r="AV1817" s="17"/>
    </row>
    <row r="1818" spans="1:48" ht="15.75" customHeight="1">
      <c r="A1818" s="21" t="s">
        <v>43</v>
      </c>
      <c r="B1818" s="23" t="s">
        <v>1692</v>
      </c>
      <c r="C1818" s="22">
        <v>45791</v>
      </c>
      <c r="D1818" s="23" t="s">
        <v>146</v>
      </c>
      <c r="E1818" s="23" t="s">
        <v>45</v>
      </c>
      <c r="F1818" s="21">
        <v>1</v>
      </c>
      <c r="G1818" s="12">
        <v>8000.0859845227851</v>
      </c>
      <c r="H1818" s="12">
        <v>8000.0859845227851</v>
      </c>
      <c r="I1818" s="23" t="s">
        <v>52</v>
      </c>
      <c r="J1818" s="23" t="s">
        <v>61</v>
      </c>
      <c r="K1818" s="24" t="s">
        <v>177</v>
      </c>
      <c r="L1818" s="24">
        <v>139</v>
      </c>
      <c r="M1818" s="12">
        <v>6722.7613315317521</v>
      </c>
      <c r="N1818" s="12">
        <v>6722.7613315317521</v>
      </c>
      <c r="O1818" s="12">
        <v>1277.324652991033</v>
      </c>
      <c r="P1818" s="13"/>
      <c r="Q1818" s="14">
        <v>2025</v>
      </c>
      <c r="R1818" s="15">
        <v>45413</v>
      </c>
      <c r="S1818" s="11" t="s">
        <v>355</v>
      </c>
      <c r="T1818" s="16">
        <v>0</v>
      </c>
      <c r="U1818" s="17"/>
      <c r="V1818" s="12">
        <v>1249.7613315317521</v>
      </c>
      <c r="W1818" s="12">
        <v>1249.7613315317521</v>
      </c>
      <c r="X1818" s="12">
        <v>0</v>
      </c>
      <c r="Y1818" s="18">
        <v>45789</v>
      </c>
      <c r="Z1818" s="13" t="s">
        <v>505</v>
      </c>
      <c r="AA1818" s="19" t="s">
        <v>373</v>
      </c>
      <c r="AB1818" s="13" t="s">
        <v>357</v>
      </c>
      <c r="AC1818" s="13" t="s">
        <v>374</v>
      </c>
      <c r="AD1818" s="20"/>
      <c r="AE1818" s="20"/>
      <c r="AF1818" s="13" t="s">
        <v>40</v>
      </c>
      <c r="AG1818" s="15">
        <v>45413</v>
      </c>
      <c r="AH1818" s="13" t="s">
        <v>41</v>
      </c>
      <c r="AI1818" s="13" t="s">
        <v>43</v>
      </c>
      <c r="AJ1818" s="13" t="str">
        <f>VLOOKUP(E1818,Precios!Z$2:AA$941,2,FALSE)</f>
        <v>Bandeja Huevos EXTRA</v>
      </c>
      <c r="AK1818" s="14">
        <f>VLOOKUP(E1818,Precios!Z$2:BB$941,3,FALSE)*F1818</f>
        <v>-1</v>
      </c>
      <c r="AL1818" s="17"/>
      <c r="AM1818" s="17"/>
      <c r="AN1818" s="17"/>
      <c r="AO1818" s="17"/>
      <c r="AP1818" s="17"/>
      <c r="AQ1818" s="17"/>
      <c r="AR1818" s="17"/>
      <c r="AS1818" s="17"/>
      <c r="AT1818" s="17"/>
      <c r="AU1818" s="17"/>
      <c r="AV1818" s="17"/>
    </row>
    <row r="1819" spans="1:48" ht="15.75" customHeight="1">
      <c r="A1819" s="21" t="s">
        <v>64</v>
      </c>
      <c r="B1819" s="23" t="s">
        <v>1692</v>
      </c>
      <c r="C1819" s="22">
        <v>45791</v>
      </c>
      <c r="D1819" s="23" t="s">
        <v>262</v>
      </c>
      <c r="E1819" s="23" t="s">
        <v>65</v>
      </c>
      <c r="F1819" s="21">
        <v>1</v>
      </c>
      <c r="G1819" s="12">
        <v>8199.8794599807134</v>
      </c>
      <c r="H1819" s="12">
        <v>8199.8794599807134</v>
      </c>
      <c r="I1819" s="23" t="s">
        <v>52</v>
      </c>
      <c r="J1819" s="23" t="s">
        <v>61</v>
      </c>
      <c r="K1819" s="24" t="s">
        <v>177</v>
      </c>
      <c r="L1819" s="24">
        <v>139</v>
      </c>
      <c r="M1819" s="12">
        <v>6890.6550083871543</v>
      </c>
      <c r="N1819" s="12">
        <v>6890.6550083871543</v>
      </c>
      <c r="O1819" s="12">
        <v>1309.224451593559</v>
      </c>
      <c r="P1819" s="13"/>
      <c r="Q1819" s="14">
        <v>2025</v>
      </c>
      <c r="R1819" s="15">
        <v>45413</v>
      </c>
      <c r="S1819" s="11" t="s">
        <v>64</v>
      </c>
      <c r="T1819" s="16">
        <v>1</v>
      </c>
      <c r="U1819" s="17"/>
      <c r="V1819" s="12">
        <v>1174.1676134291711</v>
      </c>
      <c r="W1819" s="12">
        <v>1174.1676134291711</v>
      </c>
      <c r="X1819" s="12">
        <v>0</v>
      </c>
      <c r="Y1819" s="18">
        <v>45789</v>
      </c>
      <c r="Z1819" s="13" t="s">
        <v>515</v>
      </c>
      <c r="AA1819" s="19" t="s">
        <v>361</v>
      </c>
      <c r="AB1819" s="13" t="s">
        <v>357</v>
      </c>
      <c r="AC1819" s="13" t="s">
        <v>362</v>
      </c>
      <c r="AD1819" s="20"/>
      <c r="AE1819" s="20"/>
      <c r="AF1819" s="13" t="s">
        <v>40</v>
      </c>
      <c r="AG1819" s="15">
        <v>45413</v>
      </c>
      <c r="AH1819" s="13" t="s">
        <v>41</v>
      </c>
      <c r="AI1819" s="13" t="s">
        <v>64</v>
      </c>
      <c r="AJ1819" s="13" t="str">
        <f>VLOOKUP(E1819,Precios!Z$2:AA$941,2,FALSE)</f>
        <v>Longanizas VILLABLANCA</v>
      </c>
      <c r="AK1819" s="14">
        <f>VLOOKUP(E1819,Precios!Z$2:BB$941,3,FALSE)*F1819</f>
        <v>-1</v>
      </c>
      <c r="AL1819" s="17"/>
      <c r="AM1819" s="17"/>
      <c r="AN1819" s="17"/>
      <c r="AO1819" s="17"/>
      <c r="AP1819" s="17"/>
      <c r="AQ1819" s="17"/>
      <c r="AR1819" s="17"/>
      <c r="AS1819" s="17"/>
      <c r="AT1819" s="17"/>
      <c r="AU1819" s="17"/>
      <c r="AV1819" s="17"/>
    </row>
    <row r="1820" spans="1:48" ht="15.75" customHeight="1">
      <c r="A1820" s="21" t="s">
        <v>43</v>
      </c>
      <c r="B1820" s="23" t="s">
        <v>1692</v>
      </c>
      <c r="C1820" s="22">
        <v>45791</v>
      </c>
      <c r="D1820" s="23" t="s">
        <v>146</v>
      </c>
      <c r="E1820" s="23" t="s">
        <v>45</v>
      </c>
      <c r="F1820" s="21">
        <v>1</v>
      </c>
      <c r="G1820" s="12">
        <v>8000.0859845227851</v>
      </c>
      <c r="H1820" s="12">
        <v>8000.0859845227851</v>
      </c>
      <c r="I1820" s="23" t="s">
        <v>52</v>
      </c>
      <c r="J1820" s="23" t="s">
        <v>61</v>
      </c>
      <c r="K1820" s="24" t="s">
        <v>177</v>
      </c>
      <c r="L1820" s="24">
        <v>139</v>
      </c>
      <c r="M1820" s="12">
        <v>6722.7613315317521</v>
      </c>
      <c r="N1820" s="12">
        <v>6722.7613315317521</v>
      </c>
      <c r="O1820" s="12">
        <v>1277.324652991033</v>
      </c>
      <c r="P1820" s="13"/>
      <c r="Q1820" s="14">
        <v>2025</v>
      </c>
      <c r="R1820" s="15">
        <v>45413</v>
      </c>
      <c r="S1820" s="11" t="s">
        <v>355</v>
      </c>
      <c r="T1820" s="16">
        <v>0</v>
      </c>
      <c r="U1820" s="17"/>
      <c r="V1820" s="12">
        <v>1249.7613315317521</v>
      </c>
      <c r="W1820" s="12">
        <v>1249.7613315317521</v>
      </c>
      <c r="X1820" s="12">
        <v>0</v>
      </c>
      <c r="Y1820" s="18">
        <v>45789</v>
      </c>
      <c r="Z1820" s="13" t="s">
        <v>515</v>
      </c>
      <c r="AA1820" s="19" t="s">
        <v>373</v>
      </c>
      <c r="AB1820" s="13" t="s">
        <v>357</v>
      </c>
      <c r="AC1820" s="13" t="s">
        <v>374</v>
      </c>
      <c r="AD1820" s="20"/>
      <c r="AE1820" s="20"/>
      <c r="AF1820" s="13" t="s">
        <v>40</v>
      </c>
      <c r="AG1820" s="15">
        <v>45413</v>
      </c>
      <c r="AH1820" s="13" t="s">
        <v>41</v>
      </c>
      <c r="AI1820" s="13" t="s">
        <v>43</v>
      </c>
      <c r="AJ1820" s="13" t="str">
        <f>VLOOKUP(E1820,Precios!Z$2:AA$941,2,FALSE)</f>
        <v>Bandeja Huevos EXTRA</v>
      </c>
      <c r="AK1820" s="14">
        <f>VLOOKUP(E1820,Precios!Z$2:BB$941,3,FALSE)*F1820</f>
        <v>-1</v>
      </c>
      <c r="AL1820" s="17"/>
      <c r="AM1820" s="17"/>
      <c r="AN1820" s="17"/>
      <c r="AO1820" s="17"/>
      <c r="AP1820" s="17"/>
      <c r="AQ1820" s="17"/>
      <c r="AR1820" s="17"/>
      <c r="AS1820" s="17"/>
      <c r="AT1820" s="17"/>
      <c r="AU1820" s="17"/>
      <c r="AV1820" s="17"/>
    </row>
    <row r="1821" spans="1:48" ht="15.75" customHeight="1">
      <c r="A1821" s="21" t="s">
        <v>47</v>
      </c>
      <c r="B1821" s="23" t="s">
        <v>1692</v>
      </c>
      <c r="C1821" s="22">
        <v>45791</v>
      </c>
      <c r="D1821" s="23" t="s">
        <v>645</v>
      </c>
      <c r="E1821" s="23" t="s">
        <v>153</v>
      </c>
      <c r="F1821" s="21">
        <v>1</v>
      </c>
      <c r="G1821" s="12">
        <v>1700</v>
      </c>
      <c r="H1821" s="12">
        <v>1700</v>
      </c>
      <c r="I1821" s="23" t="s">
        <v>52</v>
      </c>
      <c r="J1821" s="23" t="s">
        <v>61</v>
      </c>
      <c r="K1821" s="24" t="s">
        <v>86</v>
      </c>
      <c r="L1821" s="24">
        <v>82</v>
      </c>
      <c r="M1821" s="12">
        <v>1428.5714285714287</v>
      </c>
      <c r="N1821" s="12">
        <v>1428.5714285714287</v>
      </c>
      <c r="O1821" s="12">
        <v>271.42857142857133</v>
      </c>
      <c r="P1821" s="13"/>
      <c r="Q1821" s="14">
        <v>2025</v>
      </c>
      <c r="R1821" s="15">
        <v>45413</v>
      </c>
      <c r="S1821" s="11" t="s">
        <v>153</v>
      </c>
      <c r="T1821" s="16">
        <v>0</v>
      </c>
      <c r="U1821" s="17"/>
      <c r="V1821" s="12">
        <v>589.57142857142867</v>
      </c>
      <c r="W1821" s="12">
        <v>589.57142857142867</v>
      </c>
      <c r="X1821" s="12">
        <v>0</v>
      </c>
      <c r="Y1821" s="18">
        <v>45789</v>
      </c>
      <c r="Z1821" s="13" t="s">
        <v>515</v>
      </c>
      <c r="AA1821" s="19" t="s">
        <v>373</v>
      </c>
      <c r="AB1821" s="13" t="s">
        <v>394</v>
      </c>
      <c r="AC1821" s="13" t="s">
        <v>374</v>
      </c>
      <c r="AD1821" s="20"/>
      <c r="AE1821" s="20"/>
      <c r="AF1821" s="13" t="s">
        <v>40</v>
      </c>
      <c r="AG1821" s="15">
        <v>45413</v>
      </c>
      <c r="AH1821" s="13" t="s">
        <v>41</v>
      </c>
      <c r="AI1821" s="13" t="s">
        <v>47</v>
      </c>
      <c r="AJ1821" s="13" t="str">
        <f>VLOOKUP(E1821,Precios!Z$2:AA$941,2,FALSE)</f>
        <v>Escobillon TEDDY</v>
      </c>
      <c r="AK1821" s="14">
        <f>VLOOKUP(E1821,Precios!Z$2:BB$941,3,FALSE)*F1821</f>
        <v>-1</v>
      </c>
      <c r="AL1821" s="17"/>
      <c r="AM1821" s="17"/>
      <c r="AN1821" s="17"/>
      <c r="AO1821" s="17"/>
      <c r="AP1821" s="17"/>
      <c r="AQ1821" s="17"/>
      <c r="AR1821" s="17"/>
      <c r="AS1821" s="17"/>
      <c r="AT1821" s="17"/>
      <c r="AU1821" s="17"/>
      <c r="AV1821" s="17"/>
    </row>
    <row r="1822" spans="1:48" ht="15.75" customHeight="1">
      <c r="A1822" s="21" t="s">
        <v>73</v>
      </c>
      <c r="B1822" s="23" t="s">
        <v>1692</v>
      </c>
      <c r="C1822" s="22">
        <v>45791</v>
      </c>
      <c r="D1822" s="23" t="s">
        <v>645</v>
      </c>
      <c r="E1822" s="23" t="s">
        <v>74</v>
      </c>
      <c r="F1822" s="21">
        <v>1</v>
      </c>
      <c r="G1822" s="12">
        <v>4199.9020019599611</v>
      </c>
      <c r="H1822" s="12">
        <v>4199.9020019599611</v>
      </c>
      <c r="I1822" s="23" t="s">
        <v>52</v>
      </c>
      <c r="J1822" s="23" t="s">
        <v>61</v>
      </c>
      <c r="K1822" s="24" t="s">
        <v>86</v>
      </c>
      <c r="L1822" s="24">
        <v>82</v>
      </c>
      <c r="M1822" s="12">
        <v>3529.3294134117323</v>
      </c>
      <c r="N1822" s="12">
        <v>3529.3294134117323</v>
      </c>
      <c r="O1822" s="12">
        <v>670.57258854822885</v>
      </c>
      <c r="P1822" s="13"/>
      <c r="Q1822" s="14">
        <v>2025</v>
      </c>
      <c r="R1822" s="15">
        <v>45413</v>
      </c>
      <c r="S1822" s="11" t="s">
        <v>424</v>
      </c>
      <c r="T1822" s="16">
        <v>0</v>
      </c>
      <c r="U1822" s="17"/>
      <c r="V1822" s="12">
        <v>1008.3294134117323</v>
      </c>
      <c r="W1822" s="12">
        <v>1008.3294134117323</v>
      </c>
      <c r="X1822" s="12">
        <v>0</v>
      </c>
      <c r="Y1822" s="18">
        <v>45789</v>
      </c>
      <c r="Z1822" s="13" t="s">
        <v>515</v>
      </c>
      <c r="AA1822" s="19" t="s">
        <v>373</v>
      </c>
      <c r="AB1822" s="13" t="s">
        <v>394</v>
      </c>
      <c r="AC1822" s="13" t="s">
        <v>374</v>
      </c>
      <c r="AD1822" s="20"/>
      <c r="AE1822" s="20"/>
      <c r="AF1822" s="13" t="s">
        <v>40</v>
      </c>
      <c r="AG1822" s="15">
        <v>45413</v>
      </c>
      <c r="AH1822" s="13" t="s">
        <v>41</v>
      </c>
      <c r="AI1822" s="13" t="s">
        <v>73</v>
      </c>
      <c r="AJ1822" s="13" t="str">
        <f>VLOOKUP(E1822,Precios!Z$2:AA$941,2,FALSE)</f>
        <v>Guante NITRILO Talla S</v>
      </c>
      <c r="AK1822" s="14">
        <f>VLOOKUP(E1822,Precios!Z$2:BB$941,3,FALSE)*F1822</f>
        <v>-1</v>
      </c>
      <c r="AL1822" s="17"/>
      <c r="AM1822" s="17"/>
      <c r="AN1822" s="17"/>
      <c r="AO1822" s="17"/>
      <c r="AP1822" s="17"/>
      <c r="AQ1822" s="17"/>
      <c r="AR1822" s="17"/>
      <c r="AS1822" s="17"/>
      <c r="AT1822" s="17"/>
      <c r="AU1822" s="17"/>
      <c r="AV1822" s="17"/>
    </row>
    <row r="1823" spans="1:48" ht="15.75" customHeight="1">
      <c r="A1823" s="21" t="s">
        <v>73</v>
      </c>
      <c r="B1823" s="23" t="s">
        <v>1692</v>
      </c>
      <c r="C1823" s="22">
        <v>45791</v>
      </c>
      <c r="D1823" s="23" t="s">
        <v>645</v>
      </c>
      <c r="E1823" s="23" t="s">
        <v>300</v>
      </c>
      <c r="F1823" s="21">
        <v>1</v>
      </c>
      <c r="G1823" s="12">
        <v>1600</v>
      </c>
      <c r="H1823" s="12">
        <v>1600</v>
      </c>
      <c r="I1823" s="23" t="s">
        <v>52</v>
      </c>
      <c r="J1823" s="23" t="s">
        <v>61</v>
      </c>
      <c r="K1823" s="24" t="s">
        <v>86</v>
      </c>
      <c r="L1823" s="24">
        <v>82</v>
      </c>
      <c r="M1823" s="12">
        <v>1344.5378151260504</v>
      </c>
      <c r="N1823" s="12">
        <v>1344.5378151260504</v>
      </c>
      <c r="O1823" s="12">
        <v>255.46218487394958</v>
      </c>
      <c r="P1823" s="13"/>
      <c r="Q1823" s="14">
        <v>2025</v>
      </c>
      <c r="R1823" s="15">
        <v>45413</v>
      </c>
      <c r="S1823" s="11" t="s">
        <v>559</v>
      </c>
      <c r="T1823" s="16">
        <v>0</v>
      </c>
      <c r="U1823" s="17"/>
      <c r="V1823" s="12">
        <v>638.65546218487395</v>
      </c>
      <c r="W1823" s="12">
        <v>638.65546218487395</v>
      </c>
      <c r="X1823" s="12">
        <v>0</v>
      </c>
      <c r="Y1823" s="18">
        <v>45789</v>
      </c>
      <c r="Z1823" s="13" t="s">
        <v>515</v>
      </c>
      <c r="AA1823" s="19" t="s">
        <v>373</v>
      </c>
      <c r="AB1823" s="13" t="s">
        <v>394</v>
      </c>
      <c r="AC1823" s="13" t="s">
        <v>374</v>
      </c>
      <c r="AD1823" s="20"/>
      <c r="AE1823" s="20"/>
      <c r="AF1823" s="13" t="s">
        <v>40</v>
      </c>
      <c r="AG1823" s="15">
        <v>45413</v>
      </c>
      <c r="AH1823" s="13" t="s">
        <v>41</v>
      </c>
      <c r="AI1823" s="13" t="s">
        <v>73</v>
      </c>
      <c r="AJ1823" s="13" t="str">
        <f>VLOOKUP(E1823,Precios!Z$2:AA$941,2,FALSE)</f>
        <v>Mascarillas Triple Pliegue</v>
      </c>
      <c r="AK1823" s="14">
        <f>VLOOKUP(E1823,Precios!Z$2:BB$941,3,FALSE)*F1823</f>
        <v>-1</v>
      </c>
      <c r="AL1823" s="17"/>
      <c r="AM1823" s="17"/>
      <c r="AN1823" s="17"/>
      <c r="AO1823" s="17"/>
      <c r="AP1823" s="17"/>
      <c r="AQ1823" s="17"/>
      <c r="AR1823" s="17"/>
      <c r="AS1823" s="17"/>
      <c r="AT1823" s="17"/>
      <c r="AU1823" s="17"/>
      <c r="AV1823" s="17"/>
    </row>
    <row r="1824" spans="1:48" ht="15.75" customHeight="1">
      <c r="A1824" s="21" t="s">
        <v>47</v>
      </c>
      <c r="B1824" s="23" t="s">
        <v>1692</v>
      </c>
      <c r="C1824" s="22">
        <v>45791</v>
      </c>
      <c r="D1824" s="23" t="s">
        <v>645</v>
      </c>
      <c r="E1824" s="23" t="s">
        <v>204</v>
      </c>
      <c r="F1824" s="21">
        <v>2</v>
      </c>
      <c r="G1824" s="12">
        <v>1200.1927194860814</v>
      </c>
      <c r="H1824" s="12">
        <v>2400.3854389721628</v>
      </c>
      <c r="I1824" s="23" t="s">
        <v>52</v>
      </c>
      <c r="J1824" s="23" t="s">
        <v>61</v>
      </c>
      <c r="K1824" s="24" t="s">
        <v>86</v>
      </c>
      <c r="L1824" s="24">
        <v>82</v>
      </c>
      <c r="M1824" s="12">
        <v>1008.5653104925054</v>
      </c>
      <c r="N1824" s="12">
        <v>2017.1306209850109</v>
      </c>
      <c r="O1824" s="12">
        <v>383.25481798715191</v>
      </c>
      <c r="P1824" s="13"/>
      <c r="Q1824" s="14">
        <v>2025</v>
      </c>
      <c r="R1824" s="15">
        <v>45413</v>
      </c>
      <c r="S1824" s="11" t="s">
        <v>400</v>
      </c>
      <c r="T1824" s="16">
        <v>0</v>
      </c>
      <c r="U1824" s="17"/>
      <c r="V1824" s="12">
        <v>1075.1306209850109</v>
      </c>
      <c r="W1824" s="12">
        <v>1075.1306209850109</v>
      </c>
      <c r="X1824" s="12">
        <v>0</v>
      </c>
      <c r="Y1824" s="18">
        <v>45789</v>
      </c>
      <c r="Z1824" s="13" t="s">
        <v>515</v>
      </c>
      <c r="AA1824" s="19" t="s">
        <v>373</v>
      </c>
      <c r="AB1824" s="13" t="s">
        <v>394</v>
      </c>
      <c r="AC1824" s="13" t="s">
        <v>374</v>
      </c>
      <c r="AD1824" s="20"/>
      <c r="AE1824" s="20"/>
      <c r="AF1824" s="13" t="s">
        <v>40</v>
      </c>
      <c r="AG1824" s="15">
        <v>45413</v>
      </c>
      <c r="AH1824" s="13" t="s">
        <v>41</v>
      </c>
      <c r="AI1824" s="13" t="s">
        <v>47</v>
      </c>
      <c r="AJ1824" s="13" t="str">
        <f>VLOOKUP(E1824,Precios!Z$2:AA$941,2,FALSE)</f>
        <v>Trapero Algodón TEDDY</v>
      </c>
      <c r="AK1824" s="14">
        <f>VLOOKUP(E1824,Precios!Z$2:BB$941,3,FALSE)*F1824</f>
        <v>-2</v>
      </c>
      <c r="AL1824" s="17"/>
      <c r="AM1824" s="17"/>
      <c r="AN1824" s="17"/>
      <c r="AO1824" s="17"/>
      <c r="AP1824" s="17"/>
      <c r="AQ1824" s="17"/>
      <c r="AR1824" s="17"/>
      <c r="AS1824" s="17"/>
      <c r="AT1824" s="17"/>
      <c r="AU1824" s="17"/>
      <c r="AV1824" s="17"/>
    </row>
    <row r="1825" spans="1:48" ht="15.75" customHeight="1">
      <c r="A1825" s="21" t="s">
        <v>76</v>
      </c>
      <c r="B1825" s="23" t="s">
        <v>1692</v>
      </c>
      <c r="C1825" s="22">
        <v>45791</v>
      </c>
      <c r="D1825" s="23" t="s">
        <v>645</v>
      </c>
      <c r="E1825" s="23" t="s">
        <v>77</v>
      </c>
      <c r="F1825" s="21">
        <v>1</v>
      </c>
      <c r="G1825" s="12">
        <v>1500.0000000000002</v>
      </c>
      <c r="H1825" s="12">
        <v>1500.0000000000002</v>
      </c>
      <c r="I1825" s="23" t="s">
        <v>52</v>
      </c>
      <c r="J1825" s="23" t="s">
        <v>61</v>
      </c>
      <c r="K1825" s="24" t="s">
        <v>86</v>
      </c>
      <c r="L1825" s="24">
        <v>82</v>
      </c>
      <c r="M1825" s="12">
        <v>1260.5042016806726</v>
      </c>
      <c r="N1825" s="12">
        <v>1260.5042016806726</v>
      </c>
      <c r="O1825" s="12">
        <v>239.4957983193276</v>
      </c>
      <c r="P1825" s="13"/>
      <c r="Q1825" s="14">
        <v>2025</v>
      </c>
      <c r="R1825" s="15">
        <v>45413</v>
      </c>
      <c r="S1825" s="11" t="s">
        <v>448</v>
      </c>
      <c r="T1825" s="16">
        <v>0</v>
      </c>
      <c r="U1825" s="17"/>
      <c r="V1825" s="12">
        <v>421.00840336134468</v>
      </c>
      <c r="W1825" s="12">
        <v>421.00840336134468</v>
      </c>
      <c r="X1825" s="12">
        <v>0</v>
      </c>
      <c r="Y1825" s="18">
        <v>45789</v>
      </c>
      <c r="Z1825" s="13" t="s">
        <v>515</v>
      </c>
      <c r="AA1825" s="19" t="s">
        <v>373</v>
      </c>
      <c r="AB1825" s="13" t="s">
        <v>394</v>
      </c>
      <c r="AC1825" s="13" t="s">
        <v>374</v>
      </c>
      <c r="AD1825" s="20"/>
      <c r="AE1825" s="20"/>
      <c r="AF1825" s="13" t="s">
        <v>40</v>
      </c>
      <c r="AG1825" s="15">
        <v>45413</v>
      </c>
      <c r="AH1825" s="13" t="s">
        <v>41</v>
      </c>
      <c r="AI1825" s="13" t="s">
        <v>47</v>
      </c>
      <c r="AJ1825" s="13" t="str">
        <f>VLOOKUP(E1825,Precios!Z$2:AA$941,2,FALSE)</f>
        <v>Cloro GEL IGENIX 900ml</v>
      </c>
      <c r="AK1825" s="14">
        <f>VLOOKUP(E1825,Precios!Z$2:BB$941,3,FALSE)*F1825</f>
        <v>-1</v>
      </c>
      <c r="AL1825" s="17"/>
      <c r="AM1825" s="17"/>
      <c r="AN1825" s="17"/>
      <c r="AO1825" s="17"/>
      <c r="AP1825" s="17"/>
      <c r="AQ1825" s="17"/>
      <c r="AR1825" s="17"/>
      <c r="AS1825" s="17"/>
      <c r="AT1825" s="17"/>
      <c r="AU1825" s="17"/>
      <c r="AV1825" s="17"/>
    </row>
    <row r="1826" spans="1:48" ht="15.75" customHeight="1">
      <c r="A1826" s="21" t="s">
        <v>53</v>
      </c>
      <c r="B1826" s="23" t="s">
        <v>1692</v>
      </c>
      <c r="C1826" s="22">
        <v>45791</v>
      </c>
      <c r="D1826" s="23" t="s">
        <v>645</v>
      </c>
      <c r="E1826" s="23" t="s">
        <v>88</v>
      </c>
      <c r="F1826" s="21">
        <v>1</v>
      </c>
      <c r="G1826" s="12">
        <v>1999.9551032624961</v>
      </c>
      <c r="H1826" s="12">
        <v>1999.9551032624961</v>
      </c>
      <c r="I1826" s="23" t="s">
        <v>52</v>
      </c>
      <c r="J1826" s="23" t="s">
        <v>61</v>
      </c>
      <c r="K1826" s="24" t="s">
        <v>86</v>
      </c>
      <c r="L1826" s="24">
        <v>82</v>
      </c>
      <c r="M1826" s="12">
        <v>1680.6345405567195</v>
      </c>
      <c r="N1826" s="12">
        <v>1680.6345405567195</v>
      </c>
      <c r="O1826" s="12">
        <v>319.32056270577664</v>
      </c>
      <c r="P1826" s="13"/>
      <c r="Q1826" s="14">
        <v>2025</v>
      </c>
      <c r="R1826" s="15">
        <v>45413</v>
      </c>
      <c r="S1826" s="11" t="s">
        <v>410</v>
      </c>
      <c r="T1826" s="16">
        <v>0</v>
      </c>
      <c r="U1826" s="17"/>
      <c r="V1826" s="12">
        <v>557.63454055671946</v>
      </c>
      <c r="W1826" s="12">
        <v>557.63454055671946</v>
      </c>
      <c r="X1826" s="12">
        <v>0</v>
      </c>
      <c r="Y1826" s="18">
        <v>45789</v>
      </c>
      <c r="Z1826" s="13" t="s">
        <v>515</v>
      </c>
      <c r="AA1826" s="19" t="s">
        <v>373</v>
      </c>
      <c r="AB1826" s="13" t="s">
        <v>394</v>
      </c>
      <c r="AC1826" s="13" t="s">
        <v>374</v>
      </c>
      <c r="AD1826" s="20"/>
      <c r="AE1826" s="20"/>
      <c r="AF1826" s="13" t="s">
        <v>40</v>
      </c>
      <c r="AG1826" s="15">
        <v>45413</v>
      </c>
      <c r="AH1826" s="13" t="s">
        <v>41</v>
      </c>
      <c r="AI1826" s="13" t="s">
        <v>53</v>
      </c>
      <c r="AJ1826" s="13" t="str">
        <f>VLOOKUP(E1826,Precios!Z$2:AA$941,2,FALSE)</f>
        <v>Toalla Papel NOVA 26 metros</v>
      </c>
      <c r="AK1826" s="14">
        <f>VLOOKUP(E1826,Precios!Z$2:BB$941,3,FALSE)*F1826</f>
        <v>-1</v>
      </c>
      <c r="AL1826" s="17"/>
      <c r="AM1826" s="17"/>
      <c r="AN1826" s="17"/>
      <c r="AO1826" s="17"/>
      <c r="AP1826" s="17"/>
      <c r="AQ1826" s="17"/>
      <c r="AR1826" s="17"/>
      <c r="AS1826" s="17"/>
      <c r="AT1826" s="17"/>
      <c r="AU1826" s="17"/>
      <c r="AV1826" s="17"/>
    </row>
    <row r="1827" spans="1:48" ht="15.75" customHeight="1">
      <c r="A1827" s="21" t="s">
        <v>47</v>
      </c>
      <c r="B1827" s="23" t="s">
        <v>1692</v>
      </c>
      <c r="C1827" s="22">
        <v>45791</v>
      </c>
      <c r="D1827" s="23" t="s">
        <v>645</v>
      </c>
      <c r="E1827" s="23" t="s">
        <v>48</v>
      </c>
      <c r="F1827" s="21">
        <v>1</v>
      </c>
      <c r="G1827" s="12">
        <v>1000</v>
      </c>
      <c r="H1827" s="12">
        <v>1000</v>
      </c>
      <c r="I1827" s="23" t="s">
        <v>52</v>
      </c>
      <c r="J1827" s="23" t="s">
        <v>61</v>
      </c>
      <c r="K1827" s="24" t="s">
        <v>86</v>
      </c>
      <c r="L1827" s="24">
        <v>82</v>
      </c>
      <c r="M1827" s="12">
        <v>840.3361344537816</v>
      </c>
      <c r="N1827" s="12">
        <v>840.3361344537816</v>
      </c>
      <c r="O1827" s="12">
        <v>159.6638655462184</v>
      </c>
      <c r="P1827" s="13"/>
      <c r="Q1827" s="14">
        <v>2025</v>
      </c>
      <c r="R1827" s="15">
        <v>45413</v>
      </c>
      <c r="S1827" s="11" t="s">
        <v>416</v>
      </c>
      <c r="T1827" s="16">
        <v>0</v>
      </c>
      <c r="U1827" s="17"/>
      <c r="V1827" s="12">
        <v>330.33613445378148</v>
      </c>
      <c r="W1827" s="12">
        <v>330.33613445378148</v>
      </c>
      <c r="X1827" s="12">
        <v>0</v>
      </c>
      <c r="Y1827" s="18">
        <v>45789</v>
      </c>
      <c r="Z1827" s="13" t="s">
        <v>515</v>
      </c>
      <c r="AA1827" s="19" t="s">
        <v>373</v>
      </c>
      <c r="AB1827" s="13" t="s">
        <v>394</v>
      </c>
      <c r="AC1827" s="13" t="s">
        <v>374</v>
      </c>
      <c r="AD1827" s="20"/>
      <c r="AE1827" s="20"/>
      <c r="AF1827" s="13" t="s">
        <v>40</v>
      </c>
      <c r="AG1827" s="15">
        <v>45413</v>
      </c>
      <c r="AH1827" s="13" t="s">
        <v>41</v>
      </c>
      <c r="AI1827" s="13" t="s">
        <v>47</v>
      </c>
      <c r="AJ1827" s="13" t="str">
        <f>VLOOKUP(E1827,Precios!Z$2:AA$941,2,FALSE)</f>
        <v>Esponja Acanalada TEDDY</v>
      </c>
      <c r="AK1827" s="14">
        <f>VLOOKUP(E1827,Precios!Z$2:BB$941,3,FALSE)*F1827</f>
        <v>-5</v>
      </c>
      <c r="AL1827" s="17"/>
      <c r="AM1827" s="17"/>
      <c r="AN1827" s="17"/>
      <c r="AO1827" s="17"/>
      <c r="AP1827" s="17"/>
      <c r="AQ1827" s="17"/>
      <c r="AR1827" s="17"/>
      <c r="AS1827" s="17"/>
      <c r="AT1827" s="17"/>
      <c r="AU1827" s="17"/>
      <c r="AV1827" s="17"/>
    </row>
    <row r="1828" spans="1:48" ht="15.75" customHeight="1">
      <c r="A1828" s="21" t="s">
        <v>147</v>
      </c>
      <c r="B1828" s="23" t="s">
        <v>1692</v>
      </c>
      <c r="C1828" s="22">
        <v>45791</v>
      </c>
      <c r="D1828" s="23" t="s">
        <v>498</v>
      </c>
      <c r="E1828" s="23" t="s">
        <v>257</v>
      </c>
      <c r="F1828" s="21">
        <v>1</v>
      </c>
      <c r="G1828" s="12">
        <v>4000.0000000000005</v>
      </c>
      <c r="H1828" s="12">
        <v>4000.0000000000005</v>
      </c>
      <c r="I1828" s="23" t="s">
        <v>52</v>
      </c>
      <c r="J1828" s="23" t="s">
        <v>61</v>
      </c>
      <c r="K1828" s="24" t="s">
        <v>177</v>
      </c>
      <c r="L1828" s="24">
        <v>139</v>
      </c>
      <c r="M1828" s="12">
        <v>3361.3445378151264</v>
      </c>
      <c r="N1828" s="12">
        <v>3361.3445378151264</v>
      </c>
      <c r="O1828" s="12">
        <v>638.65546218487407</v>
      </c>
      <c r="P1828" s="13"/>
      <c r="Q1828" s="14">
        <v>2025</v>
      </c>
      <c r="R1828" s="15">
        <v>45413</v>
      </c>
      <c r="S1828" s="11" t="s">
        <v>412</v>
      </c>
      <c r="T1828" s="16">
        <v>0</v>
      </c>
      <c r="U1828" s="17"/>
      <c r="V1828" s="12">
        <v>1680.6722689075632</v>
      </c>
      <c r="W1828" s="12">
        <v>1680.6722689075632</v>
      </c>
      <c r="X1828" s="12">
        <v>0</v>
      </c>
      <c r="Y1828" s="18">
        <v>45789</v>
      </c>
      <c r="Z1828" s="13" t="s">
        <v>515</v>
      </c>
      <c r="AA1828" s="19" t="s">
        <v>373</v>
      </c>
      <c r="AB1828" s="13" t="s">
        <v>357</v>
      </c>
      <c r="AC1828" s="13" t="s">
        <v>500</v>
      </c>
      <c r="AD1828" s="20"/>
      <c r="AE1828" s="20"/>
      <c r="AF1828" s="13" t="s">
        <v>40</v>
      </c>
      <c r="AG1828" s="15">
        <v>45413</v>
      </c>
      <c r="AH1828" s="13" t="s">
        <v>41</v>
      </c>
      <c r="AI1828" s="13" t="s">
        <v>147</v>
      </c>
      <c r="AJ1828" s="13" t="str">
        <f>VLOOKUP(E1828,Precios!Z$2:AA$941,2,FALSE)</f>
        <v>Film Plástico 100 metros</v>
      </c>
      <c r="AK1828" s="14">
        <f>VLOOKUP(E1828,Precios!Z$2:BB$941,3,FALSE)*F1828</f>
        <v>-1</v>
      </c>
      <c r="AL1828" s="17"/>
      <c r="AM1828" s="17"/>
      <c r="AN1828" s="17"/>
      <c r="AO1828" s="17"/>
      <c r="AP1828" s="17"/>
      <c r="AQ1828" s="17"/>
      <c r="AR1828" s="17"/>
      <c r="AS1828" s="17"/>
      <c r="AT1828" s="17"/>
      <c r="AU1828" s="17"/>
      <c r="AV1828" s="17"/>
    </row>
    <row r="1829" spans="1:48" ht="15.75" customHeight="1">
      <c r="A1829" s="21" t="s">
        <v>147</v>
      </c>
      <c r="B1829" s="23" t="s">
        <v>1692</v>
      </c>
      <c r="C1829" s="22">
        <v>45791</v>
      </c>
      <c r="D1829" s="23" t="s">
        <v>498</v>
      </c>
      <c r="E1829" s="23" t="s">
        <v>249</v>
      </c>
      <c r="F1829" s="21">
        <v>1</v>
      </c>
      <c r="G1829" s="12">
        <v>8500.0000000000018</v>
      </c>
      <c r="H1829" s="12">
        <v>8500.0000000000018</v>
      </c>
      <c r="I1829" s="23" t="s">
        <v>52</v>
      </c>
      <c r="J1829" s="23" t="s">
        <v>61</v>
      </c>
      <c r="K1829" s="24" t="s">
        <v>177</v>
      </c>
      <c r="L1829" s="24">
        <v>139</v>
      </c>
      <c r="M1829" s="12">
        <v>7142.8571428571449</v>
      </c>
      <c r="N1829" s="12">
        <v>7142.8571428571449</v>
      </c>
      <c r="O1829" s="12">
        <v>1357.1428571428569</v>
      </c>
      <c r="P1829" s="13"/>
      <c r="Q1829" s="14">
        <v>2025</v>
      </c>
      <c r="R1829" s="15">
        <v>45413</v>
      </c>
      <c r="S1829" s="11" t="s">
        <v>360</v>
      </c>
      <c r="T1829" s="16">
        <v>0</v>
      </c>
      <c r="U1829" s="17"/>
      <c r="V1829" s="12">
        <v>2212.857142857144</v>
      </c>
      <c r="W1829" s="12">
        <v>2212.857142857144</v>
      </c>
      <c r="X1829" s="12">
        <v>0</v>
      </c>
      <c r="Y1829" s="18">
        <v>45789</v>
      </c>
      <c r="Z1829" s="13" t="s">
        <v>515</v>
      </c>
      <c r="AA1829" s="19" t="s">
        <v>373</v>
      </c>
      <c r="AB1829" s="13" t="s">
        <v>357</v>
      </c>
      <c r="AC1829" s="13" t="s">
        <v>500</v>
      </c>
      <c r="AD1829" s="20"/>
      <c r="AE1829" s="20"/>
      <c r="AF1829" s="13" t="s">
        <v>40</v>
      </c>
      <c r="AG1829" s="15">
        <v>45413</v>
      </c>
      <c r="AH1829" s="13" t="s">
        <v>41</v>
      </c>
      <c r="AI1829" s="13" t="s">
        <v>147</v>
      </c>
      <c r="AJ1829" s="13" t="str">
        <f>VLOOKUP(E1829,Precios!Z$2:AA$941,2,FALSE)</f>
        <v>Papel Aluminio 100 metros</v>
      </c>
      <c r="AK1829" s="14">
        <f>VLOOKUP(E1829,Precios!Z$2:BB$941,3,FALSE)*F1829</f>
        <v>-1</v>
      </c>
      <c r="AL1829" s="17"/>
      <c r="AM1829" s="17"/>
      <c r="AN1829" s="17"/>
      <c r="AO1829" s="17"/>
      <c r="AP1829" s="17"/>
      <c r="AQ1829" s="17"/>
      <c r="AR1829" s="17"/>
      <c r="AS1829" s="17"/>
      <c r="AT1829" s="17"/>
      <c r="AU1829" s="17"/>
      <c r="AV1829" s="17"/>
    </row>
    <row r="1830" spans="1:48" ht="15.75" customHeight="1">
      <c r="A1830" s="21" t="s">
        <v>53</v>
      </c>
      <c r="B1830" s="23" t="s">
        <v>1692</v>
      </c>
      <c r="C1830" s="22">
        <v>45791</v>
      </c>
      <c r="D1830" s="23" t="s">
        <v>915</v>
      </c>
      <c r="E1830" s="23" t="s">
        <v>192</v>
      </c>
      <c r="F1830" s="21">
        <v>1</v>
      </c>
      <c r="G1830" s="12">
        <v>15990.211345939933</v>
      </c>
      <c r="H1830" s="12">
        <v>15990.211345939933</v>
      </c>
      <c r="I1830" s="23" t="s">
        <v>52</v>
      </c>
      <c r="J1830" s="23" t="s">
        <v>61</v>
      </c>
      <c r="K1830" s="24" t="s">
        <v>177</v>
      </c>
      <c r="L1830" s="24">
        <v>139</v>
      </c>
      <c r="M1830" s="12">
        <v>13437.152391546164</v>
      </c>
      <c r="N1830" s="12">
        <v>13437.152391546164</v>
      </c>
      <c r="O1830" s="12">
        <v>2553.0589543937695</v>
      </c>
      <c r="P1830" s="13"/>
      <c r="Q1830" s="14">
        <v>2025</v>
      </c>
      <c r="R1830" s="15">
        <v>45413</v>
      </c>
      <c r="S1830" s="11" t="s">
        <v>435</v>
      </c>
      <c r="T1830" s="16">
        <v>0</v>
      </c>
      <c r="U1830" s="17"/>
      <c r="V1830" s="12">
        <v>3773.1523915461621</v>
      </c>
      <c r="W1830" s="12">
        <v>3773.1523915461621</v>
      </c>
      <c r="X1830" s="12">
        <v>0</v>
      </c>
      <c r="Y1830" s="18">
        <v>45789</v>
      </c>
      <c r="Z1830" s="13" t="s">
        <v>515</v>
      </c>
      <c r="AA1830" s="19" t="s">
        <v>367</v>
      </c>
      <c r="AB1830" s="13" t="s">
        <v>357</v>
      </c>
      <c r="AC1830" s="13" t="s">
        <v>367</v>
      </c>
      <c r="AD1830" s="20"/>
      <c r="AE1830" s="20"/>
      <c r="AF1830" s="13" t="s">
        <v>40</v>
      </c>
      <c r="AG1830" s="15">
        <v>45413</v>
      </c>
      <c r="AH1830" s="13" t="s">
        <v>41</v>
      </c>
      <c r="AI1830" s="13" t="s">
        <v>53</v>
      </c>
      <c r="AJ1830" s="13" t="str">
        <f>VLOOKUP(E1830,Precios!Z$2:AA$941,2,FALSE)</f>
        <v>Papel Higienico SWAN 400 hojas</v>
      </c>
      <c r="AK1830" s="14">
        <f>VLOOKUP(E1830,Precios!Z$2:BB$941,3,FALSE)*F1830</f>
        <v>-8</v>
      </c>
      <c r="AL1830" s="17"/>
      <c r="AM1830" s="17"/>
      <c r="AN1830" s="17"/>
      <c r="AO1830" s="17"/>
      <c r="AP1830" s="17"/>
      <c r="AQ1830" s="17"/>
      <c r="AR1830" s="17"/>
      <c r="AS1830" s="17"/>
      <c r="AT1830" s="17"/>
      <c r="AU1830" s="17"/>
      <c r="AV1830" s="17"/>
    </row>
    <row r="1831" spans="1:48" ht="15.75" customHeight="1">
      <c r="A1831" s="21" t="s">
        <v>47</v>
      </c>
      <c r="B1831" s="23" t="s">
        <v>1692</v>
      </c>
      <c r="C1831" s="22">
        <v>45791</v>
      </c>
      <c r="D1831" s="23" t="s">
        <v>915</v>
      </c>
      <c r="E1831" s="23" t="s">
        <v>48</v>
      </c>
      <c r="F1831" s="21">
        <v>1</v>
      </c>
      <c r="G1831" s="12">
        <v>1000</v>
      </c>
      <c r="H1831" s="12">
        <v>1000</v>
      </c>
      <c r="I1831" s="23" t="s">
        <v>52</v>
      </c>
      <c r="J1831" s="23" t="s">
        <v>61</v>
      </c>
      <c r="K1831" s="24" t="s">
        <v>177</v>
      </c>
      <c r="L1831" s="24">
        <v>139</v>
      </c>
      <c r="M1831" s="12">
        <v>840.3361344537816</v>
      </c>
      <c r="N1831" s="12">
        <v>840.3361344537816</v>
      </c>
      <c r="O1831" s="12">
        <v>159.6638655462184</v>
      </c>
      <c r="P1831" s="13"/>
      <c r="Q1831" s="14">
        <v>2025</v>
      </c>
      <c r="R1831" s="15">
        <v>45413</v>
      </c>
      <c r="S1831" s="11" t="s">
        <v>416</v>
      </c>
      <c r="T1831" s="16">
        <v>0</v>
      </c>
      <c r="U1831" s="17"/>
      <c r="V1831" s="12">
        <v>330.33613445378148</v>
      </c>
      <c r="W1831" s="12">
        <v>330.33613445378148</v>
      </c>
      <c r="X1831" s="12">
        <v>0</v>
      </c>
      <c r="Y1831" s="18">
        <v>45789</v>
      </c>
      <c r="Z1831" s="13" t="s">
        <v>515</v>
      </c>
      <c r="AA1831" s="19" t="s">
        <v>367</v>
      </c>
      <c r="AB1831" s="13" t="s">
        <v>357</v>
      </c>
      <c r="AC1831" s="13" t="s">
        <v>367</v>
      </c>
      <c r="AD1831" s="20"/>
      <c r="AE1831" s="20"/>
      <c r="AF1831" s="13" t="s">
        <v>40</v>
      </c>
      <c r="AG1831" s="15">
        <v>45413</v>
      </c>
      <c r="AH1831" s="13" t="s">
        <v>41</v>
      </c>
      <c r="AI1831" s="13" t="s">
        <v>47</v>
      </c>
      <c r="AJ1831" s="13" t="str">
        <f>VLOOKUP(E1831,Precios!Z$2:AA$941,2,FALSE)</f>
        <v>Esponja Acanalada TEDDY</v>
      </c>
      <c r="AK1831" s="14">
        <f>VLOOKUP(E1831,Precios!Z$2:BB$941,3,FALSE)*F1831</f>
        <v>-5</v>
      </c>
      <c r="AL1831" s="17"/>
      <c r="AM1831" s="17"/>
      <c r="AN1831" s="17"/>
      <c r="AO1831" s="17"/>
      <c r="AP1831" s="17"/>
      <c r="AQ1831" s="17"/>
      <c r="AR1831" s="17"/>
      <c r="AS1831" s="17"/>
      <c r="AT1831" s="17"/>
      <c r="AU1831" s="17"/>
      <c r="AV1831" s="17"/>
    </row>
    <row r="1832" spans="1:48" ht="15.75" customHeight="1">
      <c r="A1832" s="21" t="s">
        <v>47</v>
      </c>
      <c r="B1832" s="23" t="s">
        <v>1692</v>
      </c>
      <c r="C1832" s="22">
        <v>45791</v>
      </c>
      <c r="D1832" s="23" t="s">
        <v>915</v>
      </c>
      <c r="E1832" s="23" t="s">
        <v>562</v>
      </c>
      <c r="F1832" s="21">
        <v>1</v>
      </c>
      <c r="G1832" s="12">
        <v>6499.5824285952895</v>
      </c>
      <c r="H1832" s="12">
        <v>6499.5824285952895</v>
      </c>
      <c r="I1832" s="23" t="s">
        <v>52</v>
      </c>
      <c r="J1832" s="23" t="s">
        <v>61</v>
      </c>
      <c r="K1832" s="24" t="s">
        <v>177</v>
      </c>
      <c r="L1832" s="24">
        <v>139</v>
      </c>
      <c r="M1832" s="12">
        <v>5461.8339736094867</v>
      </c>
      <c r="N1832" s="12">
        <v>5461.8339736094867</v>
      </c>
      <c r="O1832" s="12">
        <v>1037.7484549858027</v>
      </c>
      <c r="P1832" s="13"/>
      <c r="Q1832" s="14">
        <v>2025</v>
      </c>
      <c r="R1832" s="15">
        <v>45413</v>
      </c>
      <c r="S1832" s="11" t="s">
        <v>453</v>
      </c>
      <c r="T1832" s="16">
        <v>0</v>
      </c>
      <c r="U1832" s="17"/>
      <c r="V1832" s="12">
        <v>2191.8339736094867</v>
      </c>
      <c r="W1832" s="12">
        <v>2191.8339736094867</v>
      </c>
      <c r="X1832" s="12">
        <v>0</v>
      </c>
      <c r="Y1832" s="18">
        <v>45789</v>
      </c>
      <c r="Z1832" s="13" t="s">
        <v>515</v>
      </c>
      <c r="AA1832" s="19" t="s">
        <v>367</v>
      </c>
      <c r="AB1832" s="13" t="s">
        <v>357</v>
      </c>
      <c r="AC1832" s="13" t="s">
        <v>367</v>
      </c>
      <c r="AD1832" s="20"/>
      <c r="AE1832" s="20"/>
      <c r="AF1832" s="13" t="s">
        <v>40</v>
      </c>
      <c r="AG1832" s="15">
        <v>45413</v>
      </c>
      <c r="AH1832" s="13" t="s">
        <v>41</v>
      </c>
      <c r="AI1832" s="13" t="s">
        <v>47</v>
      </c>
      <c r="AJ1832" s="13" t="str">
        <f>VLOOKUP(E1832,Precios!Z$2:AA$941,2,FALSE)</f>
        <v xml:space="preserve">Bolsas Basura TEDDY 70x90 </v>
      </c>
      <c r="AK1832" s="14">
        <f>VLOOKUP(E1832,Precios!Z$2:BB$941,3,FALSE)*F1832</f>
        <v>-6</v>
      </c>
      <c r="AL1832" s="17"/>
      <c r="AM1832" s="17"/>
      <c r="AN1832" s="17"/>
      <c r="AO1832" s="17"/>
      <c r="AP1832" s="17"/>
      <c r="AQ1832" s="17"/>
      <c r="AR1832" s="17"/>
      <c r="AS1832" s="17"/>
      <c r="AT1832" s="17"/>
      <c r="AU1832" s="17"/>
      <c r="AV1832" s="17"/>
    </row>
    <row r="1833" spans="1:48" ht="15.75" customHeight="1">
      <c r="A1833" s="21" t="s">
        <v>53</v>
      </c>
      <c r="B1833" s="23" t="s">
        <v>1692</v>
      </c>
      <c r="C1833" s="22">
        <v>45791</v>
      </c>
      <c r="D1833" s="23" t="s">
        <v>646</v>
      </c>
      <c r="E1833" s="23" t="s">
        <v>97</v>
      </c>
      <c r="F1833" s="21">
        <v>1</v>
      </c>
      <c r="G1833" s="12">
        <v>16500.126742712295</v>
      </c>
      <c r="H1833" s="12">
        <v>16500.126742712295</v>
      </c>
      <c r="I1833" s="23" t="s">
        <v>52</v>
      </c>
      <c r="J1833" s="23" t="s">
        <v>61</v>
      </c>
      <c r="K1833" s="24" t="s">
        <v>177</v>
      </c>
      <c r="L1833" s="24">
        <v>139</v>
      </c>
      <c r="M1833" s="12">
        <v>13865.652724968315</v>
      </c>
      <c r="N1833" s="12">
        <v>13865.652724968315</v>
      </c>
      <c r="O1833" s="12">
        <v>2634.4740177439799</v>
      </c>
      <c r="P1833" s="13"/>
      <c r="Q1833" s="14">
        <v>2025</v>
      </c>
      <c r="R1833" s="15">
        <v>45413</v>
      </c>
      <c r="S1833" s="11" t="s">
        <v>366</v>
      </c>
      <c r="T1833" s="16">
        <v>0</v>
      </c>
      <c r="U1833" s="17"/>
      <c r="V1833" s="12">
        <v>3472.6527249683149</v>
      </c>
      <c r="W1833" s="12">
        <v>3472.6527249683149</v>
      </c>
      <c r="X1833" s="12">
        <v>0</v>
      </c>
      <c r="Y1833" s="18">
        <v>45789</v>
      </c>
      <c r="Z1833" s="13" t="s">
        <v>515</v>
      </c>
      <c r="AA1833" s="19" t="s">
        <v>373</v>
      </c>
      <c r="AB1833" s="13" t="s">
        <v>357</v>
      </c>
      <c r="AC1833" s="13" t="s">
        <v>389</v>
      </c>
      <c r="AD1833" s="20"/>
      <c r="AE1833" s="20"/>
      <c r="AF1833" s="13" t="s">
        <v>40</v>
      </c>
      <c r="AG1833" s="15">
        <v>45413</v>
      </c>
      <c r="AH1833" s="13" t="s">
        <v>41</v>
      </c>
      <c r="AI1833" s="13" t="s">
        <v>53</v>
      </c>
      <c r="AJ1833" s="13" t="str">
        <f>VLOOKUP(E1833,Precios!Z$2:AA$941,2,FALSE)</f>
        <v>Papel Higienico ELITE 50 metros</v>
      </c>
      <c r="AK1833" s="14">
        <f>VLOOKUP(E1833,Precios!Z$2:BB$941,3,FALSE)*F1833</f>
        <v>-6</v>
      </c>
      <c r="AL1833" s="17"/>
      <c r="AM1833" s="17"/>
      <c r="AN1833" s="17"/>
      <c r="AO1833" s="17"/>
      <c r="AP1833" s="17"/>
      <c r="AQ1833" s="17"/>
      <c r="AR1833" s="17"/>
      <c r="AS1833" s="17"/>
      <c r="AT1833" s="17"/>
      <c r="AU1833" s="17"/>
      <c r="AV1833" s="17"/>
    </row>
    <row r="1834" spans="1:48" ht="15.75" customHeight="1">
      <c r="A1834" s="21" t="s">
        <v>147</v>
      </c>
      <c r="B1834" s="23" t="s">
        <v>1692</v>
      </c>
      <c r="C1834" s="22">
        <v>45791</v>
      </c>
      <c r="D1834" s="23" t="s">
        <v>646</v>
      </c>
      <c r="E1834" s="23" t="s">
        <v>248</v>
      </c>
      <c r="F1834" s="21">
        <v>1</v>
      </c>
      <c r="G1834" s="12">
        <v>9000</v>
      </c>
      <c r="H1834" s="12">
        <v>9000</v>
      </c>
      <c r="I1834" s="23" t="s">
        <v>52</v>
      </c>
      <c r="J1834" s="23" t="s">
        <v>61</v>
      </c>
      <c r="K1834" s="24" t="s">
        <v>177</v>
      </c>
      <c r="L1834" s="24">
        <v>139</v>
      </c>
      <c r="M1834" s="12">
        <v>7563.0252100840344</v>
      </c>
      <c r="N1834" s="12">
        <v>7563.0252100840344</v>
      </c>
      <c r="O1834" s="12">
        <v>1436.9747899159656</v>
      </c>
      <c r="P1834" s="13"/>
      <c r="Q1834" s="14">
        <v>2025</v>
      </c>
      <c r="R1834" s="15">
        <v>45413</v>
      </c>
      <c r="S1834" s="11" t="s">
        <v>412</v>
      </c>
      <c r="T1834" s="16">
        <v>0</v>
      </c>
      <c r="U1834" s="17"/>
      <c r="V1834" s="12">
        <v>2773.1092436974795</v>
      </c>
      <c r="W1834" s="12">
        <v>2773.1092436974795</v>
      </c>
      <c r="X1834" s="12">
        <v>0</v>
      </c>
      <c r="Y1834" s="18">
        <v>45789</v>
      </c>
      <c r="Z1834" s="13" t="s">
        <v>515</v>
      </c>
      <c r="AA1834" s="19" t="s">
        <v>373</v>
      </c>
      <c r="AB1834" s="13" t="s">
        <v>357</v>
      </c>
      <c r="AC1834" s="13" t="s">
        <v>389</v>
      </c>
      <c r="AD1834" s="20"/>
      <c r="AE1834" s="20"/>
      <c r="AF1834" s="13" t="s">
        <v>40</v>
      </c>
      <c r="AG1834" s="15">
        <v>45413</v>
      </c>
      <c r="AH1834" s="13" t="s">
        <v>41</v>
      </c>
      <c r="AI1834" s="13" t="s">
        <v>147</v>
      </c>
      <c r="AJ1834" s="13" t="str">
        <f>VLOOKUP(E1834,Precios!Z$2:AA$941,2,FALSE)</f>
        <v>Film Plástico 300 metros</v>
      </c>
      <c r="AK1834" s="14">
        <f>VLOOKUP(E1834,Precios!Z$2:BB$941,3,FALSE)*F1834</f>
        <v>-1</v>
      </c>
      <c r="AL1834" s="17"/>
      <c r="AM1834" s="17"/>
      <c r="AN1834" s="17"/>
      <c r="AO1834" s="17"/>
      <c r="AP1834" s="17"/>
      <c r="AQ1834" s="17"/>
      <c r="AR1834" s="17"/>
      <c r="AS1834" s="17"/>
      <c r="AT1834" s="17"/>
      <c r="AU1834" s="17"/>
      <c r="AV1834" s="17"/>
    </row>
    <row r="1835" spans="1:48" ht="15.75" customHeight="1">
      <c r="A1835" s="21" t="s">
        <v>43</v>
      </c>
      <c r="B1835" s="23" t="s">
        <v>1692</v>
      </c>
      <c r="C1835" s="22">
        <v>45791</v>
      </c>
      <c r="D1835" s="23" t="s">
        <v>120</v>
      </c>
      <c r="E1835" s="23" t="s">
        <v>45</v>
      </c>
      <c r="F1835" s="21">
        <v>1</v>
      </c>
      <c r="G1835" s="12">
        <v>8000.0859845227851</v>
      </c>
      <c r="H1835" s="12">
        <v>8000.0859845227851</v>
      </c>
      <c r="I1835" s="23" t="s">
        <v>52</v>
      </c>
      <c r="J1835" s="23" t="s">
        <v>61</v>
      </c>
      <c r="K1835" s="24" t="s">
        <v>177</v>
      </c>
      <c r="L1835" s="24">
        <v>139</v>
      </c>
      <c r="M1835" s="12">
        <v>6722.7613315317521</v>
      </c>
      <c r="N1835" s="12">
        <v>6722.7613315317521</v>
      </c>
      <c r="O1835" s="12">
        <v>1277.324652991033</v>
      </c>
      <c r="P1835" s="13"/>
      <c r="Q1835" s="14">
        <v>2025</v>
      </c>
      <c r="R1835" s="15">
        <v>45413</v>
      </c>
      <c r="S1835" s="11" t="s">
        <v>355</v>
      </c>
      <c r="T1835" s="16">
        <v>0</v>
      </c>
      <c r="U1835" s="17"/>
      <c r="V1835" s="12">
        <v>1249.7613315317521</v>
      </c>
      <c r="W1835" s="12">
        <v>1249.7613315317521</v>
      </c>
      <c r="X1835" s="12">
        <v>0</v>
      </c>
      <c r="Y1835" s="18">
        <v>45789</v>
      </c>
      <c r="Z1835" s="13" t="s">
        <v>515</v>
      </c>
      <c r="AA1835" s="19" t="s">
        <v>373</v>
      </c>
      <c r="AB1835" s="13" t="s">
        <v>357</v>
      </c>
      <c r="AC1835" s="13" t="s">
        <v>383</v>
      </c>
      <c r="AD1835" s="20"/>
      <c r="AE1835" s="20"/>
      <c r="AF1835" s="13" t="s">
        <v>40</v>
      </c>
      <c r="AG1835" s="15">
        <v>45413</v>
      </c>
      <c r="AH1835" s="13" t="s">
        <v>41</v>
      </c>
      <c r="AI1835" s="13" t="s">
        <v>43</v>
      </c>
      <c r="AJ1835" s="13" t="str">
        <f>VLOOKUP(E1835,Precios!Z$2:AA$941,2,FALSE)</f>
        <v>Bandeja Huevos EXTRA</v>
      </c>
      <c r="AK1835" s="14">
        <f>VLOOKUP(E1835,Precios!Z$2:BB$941,3,FALSE)*F1835</f>
        <v>-1</v>
      </c>
      <c r="AL1835" s="17"/>
      <c r="AM1835" s="17"/>
      <c r="AN1835" s="17"/>
      <c r="AO1835" s="17"/>
      <c r="AP1835" s="17"/>
      <c r="AQ1835" s="17"/>
      <c r="AR1835" s="17"/>
      <c r="AS1835" s="17"/>
      <c r="AT1835" s="17"/>
      <c r="AU1835" s="17"/>
      <c r="AV1835" s="17"/>
    </row>
    <row r="1836" spans="1:48" ht="15.75" customHeight="1">
      <c r="A1836" s="21" t="s">
        <v>43</v>
      </c>
      <c r="B1836" s="23" t="s">
        <v>1692</v>
      </c>
      <c r="C1836" s="22">
        <v>45791</v>
      </c>
      <c r="D1836" s="23" t="s">
        <v>277</v>
      </c>
      <c r="E1836" s="23" t="s">
        <v>45</v>
      </c>
      <c r="F1836" s="21">
        <v>1</v>
      </c>
      <c r="G1836" s="12">
        <v>8000.0859845227851</v>
      </c>
      <c r="H1836" s="12">
        <v>8000.0859845227851</v>
      </c>
      <c r="I1836" s="23" t="s">
        <v>52</v>
      </c>
      <c r="J1836" s="23" t="s">
        <v>61</v>
      </c>
      <c r="K1836" s="24" t="s">
        <v>177</v>
      </c>
      <c r="L1836" s="24">
        <v>139</v>
      </c>
      <c r="M1836" s="12">
        <v>6722.7613315317521</v>
      </c>
      <c r="N1836" s="12">
        <v>6722.7613315317521</v>
      </c>
      <c r="O1836" s="12">
        <v>1277.324652991033</v>
      </c>
      <c r="P1836" s="13"/>
      <c r="Q1836" s="14">
        <v>2025</v>
      </c>
      <c r="R1836" s="15">
        <v>45413</v>
      </c>
      <c r="S1836" s="11" t="s">
        <v>355</v>
      </c>
      <c r="T1836" s="16">
        <v>0</v>
      </c>
      <c r="U1836" s="17"/>
      <c r="V1836" s="12">
        <v>1249.7613315317521</v>
      </c>
      <c r="W1836" s="12">
        <v>1249.7613315317521</v>
      </c>
      <c r="X1836" s="12">
        <v>0</v>
      </c>
      <c r="Y1836" s="18">
        <v>45789</v>
      </c>
      <c r="Z1836" s="13" t="s">
        <v>515</v>
      </c>
      <c r="AA1836" s="19" t="s">
        <v>373</v>
      </c>
      <c r="AB1836" s="13" t="s">
        <v>357</v>
      </c>
      <c r="AC1836" s="13" t="s">
        <v>399</v>
      </c>
      <c r="AD1836" s="20"/>
      <c r="AE1836" s="20"/>
      <c r="AF1836" s="13" t="s">
        <v>40</v>
      </c>
      <c r="AG1836" s="15">
        <v>45413</v>
      </c>
      <c r="AH1836" s="13" t="s">
        <v>41</v>
      </c>
      <c r="AI1836" s="13" t="s">
        <v>43</v>
      </c>
      <c r="AJ1836" s="13" t="str">
        <f>VLOOKUP(E1836,Precios!Z$2:AA$941,2,FALSE)</f>
        <v>Bandeja Huevos EXTRA</v>
      </c>
      <c r="AK1836" s="14">
        <f>VLOOKUP(E1836,Precios!Z$2:BB$941,3,FALSE)*F1836</f>
        <v>-1</v>
      </c>
      <c r="AL1836" s="17"/>
      <c r="AM1836" s="17"/>
      <c r="AN1836" s="17"/>
      <c r="AO1836" s="17"/>
      <c r="AP1836" s="17"/>
      <c r="AQ1836" s="17"/>
      <c r="AR1836" s="17"/>
      <c r="AS1836" s="17"/>
      <c r="AT1836" s="17"/>
      <c r="AU1836" s="17"/>
      <c r="AV1836" s="17"/>
    </row>
    <row r="1837" spans="1:48" ht="15.75" customHeight="1">
      <c r="A1837" s="21" t="s">
        <v>53</v>
      </c>
      <c r="B1837" s="23" t="s">
        <v>1692</v>
      </c>
      <c r="C1837" s="22">
        <v>45791</v>
      </c>
      <c r="D1837" s="23" t="s">
        <v>225</v>
      </c>
      <c r="E1837" s="23" t="s">
        <v>192</v>
      </c>
      <c r="F1837" s="21">
        <v>1</v>
      </c>
      <c r="G1837" s="12">
        <v>15990.211345939933</v>
      </c>
      <c r="H1837" s="12">
        <v>15990.211345939933</v>
      </c>
      <c r="I1837" s="23" t="s">
        <v>52</v>
      </c>
      <c r="J1837" s="23" t="s">
        <v>61</v>
      </c>
      <c r="K1837" s="24" t="s">
        <v>177</v>
      </c>
      <c r="L1837" s="24">
        <v>139</v>
      </c>
      <c r="M1837" s="12">
        <v>13437.152391546164</v>
      </c>
      <c r="N1837" s="12">
        <v>13437.152391546164</v>
      </c>
      <c r="O1837" s="12">
        <v>2553.0589543937695</v>
      </c>
      <c r="P1837" s="13"/>
      <c r="Q1837" s="14">
        <v>2025</v>
      </c>
      <c r="R1837" s="15">
        <v>45413</v>
      </c>
      <c r="S1837" s="11" t="s">
        <v>435</v>
      </c>
      <c r="T1837" s="16">
        <v>0</v>
      </c>
      <c r="U1837" s="17"/>
      <c r="V1837" s="12">
        <v>3773.1523915461621</v>
      </c>
      <c r="W1837" s="12">
        <v>3773.1523915461621</v>
      </c>
      <c r="X1837" s="12">
        <v>0</v>
      </c>
      <c r="Y1837" s="18">
        <v>45789</v>
      </c>
      <c r="Z1837" s="13" t="s">
        <v>515</v>
      </c>
      <c r="AA1837" s="19" t="s">
        <v>373</v>
      </c>
      <c r="AB1837" s="13" t="s">
        <v>357</v>
      </c>
      <c r="AC1837" s="13" t="s">
        <v>549</v>
      </c>
      <c r="AD1837" s="20"/>
      <c r="AE1837" s="20"/>
      <c r="AF1837" s="13" t="s">
        <v>40</v>
      </c>
      <c r="AG1837" s="15">
        <v>45413</v>
      </c>
      <c r="AH1837" s="13" t="s">
        <v>41</v>
      </c>
      <c r="AI1837" s="13" t="s">
        <v>53</v>
      </c>
      <c r="AJ1837" s="13" t="str">
        <f>VLOOKUP(E1837,Precios!Z$2:AA$941,2,FALSE)</f>
        <v>Papel Higienico SWAN 400 hojas</v>
      </c>
      <c r="AK1837" s="14">
        <f>VLOOKUP(E1837,Precios!Z$2:BB$941,3,FALSE)*F1837</f>
        <v>-8</v>
      </c>
      <c r="AL1837" s="17"/>
      <c r="AM1837" s="17"/>
      <c r="AN1837" s="17"/>
      <c r="AO1837" s="17"/>
      <c r="AP1837" s="17"/>
      <c r="AQ1837" s="17"/>
      <c r="AR1837" s="17"/>
      <c r="AS1837" s="17"/>
      <c r="AT1837" s="17"/>
      <c r="AU1837" s="17"/>
      <c r="AV1837" s="17"/>
    </row>
    <row r="1838" spans="1:48" ht="15.75" customHeight="1">
      <c r="A1838" s="21" t="s">
        <v>43</v>
      </c>
      <c r="B1838" s="23" t="s">
        <v>310</v>
      </c>
      <c r="C1838" s="22">
        <v>45790</v>
      </c>
      <c r="D1838" s="23" t="s">
        <v>80</v>
      </c>
      <c r="E1838" s="23" t="s">
        <v>45</v>
      </c>
      <c r="F1838" s="21">
        <v>1</v>
      </c>
      <c r="G1838" s="12">
        <v>8000.0859845227851</v>
      </c>
      <c r="H1838" s="12">
        <v>8000.0859845227851</v>
      </c>
      <c r="I1838" s="23" t="s">
        <v>52</v>
      </c>
      <c r="J1838" s="23" t="s">
        <v>61</v>
      </c>
      <c r="K1838" s="24" t="s">
        <v>177</v>
      </c>
      <c r="L1838" s="24">
        <v>138</v>
      </c>
      <c r="M1838" s="12">
        <v>6722.7613315317521</v>
      </c>
      <c r="N1838" s="12">
        <v>6722.7613315317521</v>
      </c>
      <c r="O1838" s="12">
        <v>1277.324652991033</v>
      </c>
      <c r="P1838" s="13"/>
      <c r="Q1838" s="14">
        <v>2025</v>
      </c>
      <c r="R1838" s="15">
        <v>45413</v>
      </c>
      <c r="S1838" s="11" t="s">
        <v>355</v>
      </c>
      <c r="T1838" s="16">
        <v>0</v>
      </c>
      <c r="U1838" s="17"/>
      <c r="V1838" s="12">
        <v>1249.7613315317521</v>
      </c>
      <c r="W1838" s="12">
        <v>624.88066576587607</v>
      </c>
      <c r="X1838" s="12">
        <v>624.88066576587607</v>
      </c>
      <c r="Y1838" s="18">
        <v>45789</v>
      </c>
      <c r="Z1838" s="13" t="s">
        <v>516</v>
      </c>
      <c r="AA1838" s="19" t="s">
        <v>361</v>
      </c>
      <c r="AB1838" s="13" t="s">
        <v>357</v>
      </c>
      <c r="AC1838" s="13" t="s">
        <v>362</v>
      </c>
      <c r="AD1838" s="20"/>
      <c r="AE1838" s="20"/>
      <c r="AF1838" s="13" t="s">
        <v>40</v>
      </c>
      <c r="AG1838" s="15">
        <v>45413</v>
      </c>
      <c r="AH1838" s="13" t="s">
        <v>41</v>
      </c>
      <c r="AI1838" s="13" t="s">
        <v>43</v>
      </c>
      <c r="AJ1838" s="13" t="str">
        <f>VLOOKUP(E1838,Precios!Z$2:AA$941,2,FALSE)</f>
        <v>Bandeja Huevos EXTRA</v>
      </c>
      <c r="AK1838" s="14">
        <f>VLOOKUP(E1838,Precios!Z$2:BB$941,3,FALSE)*F1838</f>
        <v>-1</v>
      </c>
      <c r="AL1838" s="17"/>
      <c r="AM1838" s="17"/>
      <c r="AN1838" s="17"/>
      <c r="AO1838" s="17"/>
      <c r="AP1838" s="17"/>
      <c r="AQ1838" s="17"/>
      <c r="AR1838" s="17"/>
      <c r="AS1838" s="17"/>
      <c r="AT1838" s="17"/>
      <c r="AU1838" s="17"/>
      <c r="AV1838" s="17"/>
    </row>
    <row r="1839" spans="1:48" ht="15.75" customHeight="1">
      <c r="A1839" s="21" t="s">
        <v>35</v>
      </c>
      <c r="B1839" s="23" t="s">
        <v>310</v>
      </c>
      <c r="C1839" s="22">
        <v>45790</v>
      </c>
      <c r="D1839" s="23" t="s">
        <v>80</v>
      </c>
      <c r="E1839" s="23" t="s">
        <v>46</v>
      </c>
      <c r="F1839" s="21">
        <v>1</v>
      </c>
      <c r="G1839" s="12">
        <v>5500</v>
      </c>
      <c r="H1839" s="12">
        <v>5500</v>
      </c>
      <c r="I1839" s="23" t="s">
        <v>52</v>
      </c>
      <c r="J1839" s="23" t="s">
        <v>61</v>
      </c>
      <c r="K1839" s="24" t="s">
        <v>177</v>
      </c>
      <c r="L1839" s="24">
        <v>138</v>
      </c>
      <c r="M1839" s="12">
        <v>4621.8487394957983</v>
      </c>
      <c r="N1839" s="12">
        <v>4621.8487394957983</v>
      </c>
      <c r="O1839" s="12">
        <v>878.15126050420167</v>
      </c>
      <c r="P1839" s="13"/>
      <c r="Q1839" s="14">
        <v>2025</v>
      </c>
      <c r="R1839" s="15">
        <v>45413</v>
      </c>
      <c r="S1839" s="11" t="s">
        <v>364</v>
      </c>
      <c r="T1839" s="16">
        <v>500</v>
      </c>
      <c r="U1839" s="17"/>
      <c r="V1839" s="12">
        <v>1365.1260504201678</v>
      </c>
      <c r="W1839" s="12">
        <v>682.56302521008388</v>
      </c>
      <c r="X1839" s="12">
        <v>682.56302521008388</v>
      </c>
      <c r="Y1839" s="18">
        <v>45789</v>
      </c>
      <c r="Z1839" s="13" t="s">
        <v>516</v>
      </c>
      <c r="AA1839" s="19" t="s">
        <v>361</v>
      </c>
      <c r="AB1839" s="13" t="s">
        <v>357</v>
      </c>
      <c r="AC1839" s="13" t="s">
        <v>362</v>
      </c>
      <c r="AD1839" s="20"/>
      <c r="AE1839" s="20"/>
      <c r="AF1839" s="13" t="s">
        <v>40</v>
      </c>
      <c r="AG1839" s="15">
        <v>45413</v>
      </c>
      <c r="AH1839" s="13" t="s">
        <v>41</v>
      </c>
      <c r="AI1839" s="13" t="s">
        <v>35</v>
      </c>
      <c r="AJ1839" s="13" t="str">
        <f>VLOOKUP(E1839,Precios!Z$2:AA$941,2,FALSE)</f>
        <v>Queso RUNCA Mantecoso</v>
      </c>
      <c r="AK1839" s="14">
        <f>VLOOKUP(E1839,Precios!Z$2:BB$941,3,FALSE)*F1839</f>
        <v>-0.5</v>
      </c>
      <c r="AL1839" s="17"/>
      <c r="AM1839" s="17"/>
      <c r="AN1839" s="17"/>
      <c r="AO1839" s="17"/>
      <c r="AP1839" s="17"/>
      <c r="AQ1839" s="17"/>
      <c r="AR1839" s="17"/>
      <c r="AS1839" s="17"/>
      <c r="AT1839" s="17"/>
      <c r="AU1839" s="17"/>
      <c r="AV1839" s="17"/>
    </row>
    <row r="1840" spans="1:48" ht="15.75" customHeight="1">
      <c r="A1840" s="21" t="s">
        <v>43</v>
      </c>
      <c r="B1840" s="23" t="s">
        <v>310</v>
      </c>
      <c r="C1840" s="22">
        <v>45790</v>
      </c>
      <c r="D1840" s="23" t="s">
        <v>292</v>
      </c>
      <c r="E1840" s="23" t="s">
        <v>45</v>
      </c>
      <c r="F1840" s="21">
        <v>1</v>
      </c>
      <c r="G1840" s="12">
        <v>8000.0859845227851</v>
      </c>
      <c r="H1840" s="12">
        <v>8000.0859845227851</v>
      </c>
      <c r="I1840" s="23" t="s">
        <v>52</v>
      </c>
      <c r="J1840" s="23" t="s">
        <v>61</v>
      </c>
      <c r="K1840" s="24" t="s">
        <v>177</v>
      </c>
      <c r="L1840" s="24">
        <v>138</v>
      </c>
      <c r="M1840" s="12">
        <v>6722.7613315317521</v>
      </c>
      <c r="N1840" s="12">
        <v>6722.7613315317521</v>
      </c>
      <c r="O1840" s="12">
        <v>1277.324652991033</v>
      </c>
      <c r="P1840" s="13"/>
      <c r="Q1840" s="14">
        <v>2025</v>
      </c>
      <c r="R1840" s="15">
        <v>45413</v>
      </c>
      <c r="S1840" s="11" t="s">
        <v>355</v>
      </c>
      <c r="T1840" s="16">
        <v>0</v>
      </c>
      <c r="U1840" s="17"/>
      <c r="V1840" s="12">
        <v>1249.7613315317521</v>
      </c>
      <c r="W1840" s="12">
        <v>624.88066576587607</v>
      </c>
      <c r="X1840" s="12">
        <v>624.88066576587607</v>
      </c>
      <c r="Y1840" s="18">
        <v>45789</v>
      </c>
      <c r="Z1840" s="13" t="s">
        <v>516</v>
      </c>
      <c r="AA1840" s="19" t="s">
        <v>356</v>
      </c>
      <c r="AB1840" s="13" t="s">
        <v>357</v>
      </c>
      <c r="AC1840" s="13" t="s">
        <v>383</v>
      </c>
      <c r="AD1840" s="20"/>
      <c r="AE1840" s="20"/>
      <c r="AF1840" s="13" t="s">
        <v>40</v>
      </c>
      <c r="AG1840" s="15">
        <v>45413</v>
      </c>
      <c r="AH1840" s="13" t="s">
        <v>41</v>
      </c>
      <c r="AI1840" s="13" t="s">
        <v>43</v>
      </c>
      <c r="AJ1840" s="13" t="str">
        <f>VLOOKUP(E1840,Precios!Z$2:AA$941,2,FALSE)</f>
        <v>Bandeja Huevos EXTRA</v>
      </c>
      <c r="AK1840" s="14">
        <f>VLOOKUP(E1840,Precios!Z$2:BB$941,3,FALSE)*F1840</f>
        <v>-1</v>
      </c>
      <c r="AL1840" s="17"/>
      <c r="AM1840" s="17"/>
      <c r="AN1840" s="17"/>
      <c r="AO1840" s="17"/>
      <c r="AP1840" s="17"/>
      <c r="AQ1840" s="17"/>
      <c r="AR1840" s="17"/>
      <c r="AS1840" s="17"/>
      <c r="AT1840" s="17"/>
      <c r="AU1840" s="17"/>
      <c r="AV1840" s="17"/>
    </row>
    <row r="1841" spans="1:48" ht="15.75" customHeight="1">
      <c r="A1841" s="21" t="s">
        <v>35</v>
      </c>
      <c r="B1841" s="23" t="s">
        <v>310</v>
      </c>
      <c r="C1841" s="22">
        <v>45790</v>
      </c>
      <c r="D1841" s="23" t="s">
        <v>292</v>
      </c>
      <c r="E1841" s="23" t="s">
        <v>37</v>
      </c>
      <c r="F1841" s="21">
        <v>1</v>
      </c>
      <c r="G1841" s="12">
        <v>10499.643649654092</v>
      </c>
      <c r="H1841" s="12">
        <v>10499.643649654092</v>
      </c>
      <c r="I1841" s="23" t="s">
        <v>52</v>
      </c>
      <c r="J1841" s="23" t="s">
        <v>61</v>
      </c>
      <c r="K1841" s="24" t="s">
        <v>177</v>
      </c>
      <c r="L1841" s="24">
        <v>138</v>
      </c>
      <c r="M1841" s="12">
        <v>8823.2299576925143</v>
      </c>
      <c r="N1841" s="12">
        <v>8823.2299576925143</v>
      </c>
      <c r="O1841" s="12">
        <v>1676.4136919615776</v>
      </c>
      <c r="P1841" s="13"/>
      <c r="Q1841" s="14">
        <v>2025</v>
      </c>
      <c r="R1841" s="15">
        <v>45413</v>
      </c>
      <c r="S1841" s="11" t="s">
        <v>364</v>
      </c>
      <c r="T1841" s="16">
        <v>1000</v>
      </c>
      <c r="U1841" s="17"/>
      <c r="V1841" s="12">
        <v>2385.6333190370515</v>
      </c>
      <c r="W1841" s="12">
        <v>1192.8166595185257</v>
      </c>
      <c r="X1841" s="12">
        <v>1192.8166595185257</v>
      </c>
      <c r="Y1841" s="18">
        <v>45789</v>
      </c>
      <c r="Z1841" s="13" t="s">
        <v>516</v>
      </c>
      <c r="AA1841" s="19" t="s">
        <v>356</v>
      </c>
      <c r="AB1841" s="13" t="s">
        <v>357</v>
      </c>
      <c r="AC1841" s="13" t="s">
        <v>383</v>
      </c>
      <c r="AD1841" s="20"/>
      <c r="AE1841" s="20"/>
      <c r="AF1841" s="13" t="s">
        <v>40</v>
      </c>
      <c r="AG1841" s="15">
        <v>45413</v>
      </c>
      <c r="AH1841" s="13" t="s">
        <v>41</v>
      </c>
      <c r="AI1841" s="13" t="s">
        <v>35</v>
      </c>
      <c r="AJ1841" s="13" t="str">
        <f>VLOOKUP(E1841,Precios!Z$2:AA$941,2,FALSE)</f>
        <v>Queso RUNCA Mantecoso</v>
      </c>
      <c r="AK1841" s="14">
        <f>VLOOKUP(E1841,Precios!Z$2:BB$941,3,FALSE)*F1841</f>
        <v>-1</v>
      </c>
      <c r="AL1841" s="17"/>
      <c r="AM1841" s="17"/>
      <c r="AN1841" s="17"/>
      <c r="AO1841" s="17"/>
      <c r="AP1841" s="17"/>
      <c r="AQ1841" s="17"/>
      <c r="AR1841" s="17"/>
      <c r="AS1841" s="17"/>
      <c r="AT1841" s="17"/>
      <c r="AU1841" s="17"/>
      <c r="AV1841" s="17"/>
    </row>
    <row r="1842" spans="1:48" ht="15.75" customHeight="1">
      <c r="A1842" s="21" t="s">
        <v>53</v>
      </c>
      <c r="B1842" s="23" t="s">
        <v>1692</v>
      </c>
      <c r="C1842" s="22">
        <v>45790</v>
      </c>
      <c r="D1842" s="23" t="s">
        <v>142</v>
      </c>
      <c r="E1842" s="23" t="s">
        <v>55</v>
      </c>
      <c r="F1842" s="21">
        <v>1</v>
      </c>
      <c r="G1842" s="12">
        <v>20899.657794676805</v>
      </c>
      <c r="H1842" s="12">
        <v>20899.657794676805</v>
      </c>
      <c r="I1842" s="23" t="s">
        <v>52</v>
      </c>
      <c r="J1842" s="23" t="s">
        <v>61</v>
      </c>
      <c r="K1842" s="24" t="s">
        <v>177</v>
      </c>
      <c r="L1842" s="24">
        <v>138</v>
      </c>
      <c r="M1842" s="12">
        <v>17562.737642585551</v>
      </c>
      <c r="N1842" s="12">
        <v>17562.737642585551</v>
      </c>
      <c r="O1842" s="12">
        <v>3336.9201520912538</v>
      </c>
      <c r="P1842" s="13"/>
      <c r="Q1842" s="14">
        <v>2025</v>
      </c>
      <c r="R1842" s="15">
        <v>45413</v>
      </c>
      <c r="S1842" s="11" t="s">
        <v>366</v>
      </c>
      <c r="T1842" s="16">
        <v>0</v>
      </c>
      <c r="U1842" s="17"/>
      <c r="V1842" s="12">
        <v>3705.7376425855509</v>
      </c>
      <c r="W1842" s="12">
        <v>3705.7376425855509</v>
      </c>
      <c r="X1842" s="12">
        <v>0</v>
      </c>
      <c r="Y1842" s="18">
        <v>45789</v>
      </c>
      <c r="Z1842" s="13" t="s">
        <v>516</v>
      </c>
      <c r="AA1842" s="19" t="s">
        <v>361</v>
      </c>
      <c r="AB1842" s="13" t="s">
        <v>357</v>
      </c>
      <c r="AC1842" s="13" t="s">
        <v>489</v>
      </c>
      <c r="AD1842" s="30"/>
      <c r="AE1842" s="20"/>
      <c r="AF1842" s="13" t="s">
        <v>40</v>
      </c>
      <c r="AG1842" s="15">
        <v>45413</v>
      </c>
      <c r="AH1842" s="13" t="s">
        <v>41</v>
      </c>
      <c r="AI1842" s="13" t="s">
        <v>53</v>
      </c>
      <c r="AJ1842" s="13" t="str">
        <f>VLOOKUP(E1842,Precios!Z$2:AA$941,2,FALSE)</f>
        <v>Papel Higienico ELITE 50 metros</v>
      </c>
      <c r="AK1842" s="14">
        <f>VLOOKUP(E1842,Precios!Z$2:BB$941,3,FALSE)*F1842</f>
        <v>-8</v>
      </c>
      <c r="AL1842" s="17"/>
      <c r="AM1842" s="17"/>
      <c r="AN1842" s="17"/>
      <c r="AO1842" s="17"/>
      <c r="AP1842" s="17"/>
      <c r="AQ1842" s="17"/>
      <c r="AR1842" s="17"/>
      <c r="AS1842" s="17"/>
      <c r="AT1842" s="17"/>
      <c r="AU1842" s="17"/>
      <c r="AV1842" s="17"/>
    </row>
    <row r="1843" spans="1:48" ht="15.75" customHeight="1">
      <c r="A1843" s="21" t="s">
        <v>53</v>
      </c>
      <c r="B1843" s="23" t="s">
        <v>1692</v>
      </c>
      <c r="C1843" s="22">
        <v>45790</v>
      </c>
      <c r="D1843" s="23" t="s">
        <v>142</v>
      </c>
      <c r="E1843" s="23" t="s">
        <v>274</v>
      </c>
      <c r="F1843" s="21">
        <v>1</v>
      </c>
      <c r="G1843" s="12">
        <v>22500.104577715188</v>
      </c>
      <c r="H1843" s="12">
        <v>22500.104577715188</v>
      </c>
      <c r="I1843" s="23" t="s">
        <v>52</v>
      </c>
      <c r="J1843" s="23" t="s">
        <v>61</v>
      </c>
      <c r="K1843" s="24" t="s">
        <v>177</v>
      </c>
      <c r="L1843" s="24">
        <v>138</v>
      </c>
      <c r="M1843" s="12">
        <v>18907.650905643015</v>
      </c>
      <c r="N1843" s="12">
        <v>18907.650905643015</v>
      </c>
      <c r="O1843" s="12">
        <v>3592.4536720721735</v>
      </c>
      <c r="P1843" s="13"/>
      <c r="Q1843" s="14">
        <v>2025</v>
      </c>
      <c r="R1843" s="15">
        <v>45413</v>
      </c>
      <c r="S1843" s="11" t="s">
        <v>376</v>
      </c>
      <c r="T1843" s="16">
        <v>0</v>
      </c>
      <c r="U1843" s="17"/>
      <c r="V1843" s="12">
        <v>5347.650905643015</v>
      </c>
      <c r="W1843" s="12">
        <v>5347.650905643015</v>
      </c>
      <c r="X1843" s="12">
        <v>0</v>
      </c>
      <c r="Y1843" s="18">
        <v>45789</v>
      </c>
      <c r="Z1843" s="13" t="s">
        <v>516</v>
      </c>
      <c r="AA1843" s="19" t="s">
        <v>361</v>
      </c>
      <c r="AB1843" s="13" t="s">
        <v>357</v>
      </c>
      <c r="AC1843" s="13" t="s">
        <v>489</v>
      </c>
      <c r="AD1843" s="20"/>
      <c r="AE1843" s="20"/>
      <c r="AF1843" s="13" t="s">
        <v>40</v>
      </c>
      <c r="AG1843" s="15">
        <v>45413</v>
      </c>
      <c r="AH1843" s="13" t="s">
        <v>41</v>
      </c>
      <c r="AI1843" s="13" t="s">
        <v>53</v>
      </c>
      <c r="AJ1843" s="13" t="str">
        <f>VLOOKUP(E1843,Precios!Z$2:AA$941,2,FALSE)</f>
        <v>Toalla Papel NOVA 70 metros</v>
      </c>
      <c r="AK1843" s="14">
        <f>VLOOKUP(E1843,Precios!Z$2:BB$941,3,FALSE)*F1843</f>
        <v>-8</v>
      </c>
      <c r="AL1843" s="17"/>
      <c r="AM1843" s="17"/>
      <c r="AN1843" s="17"/>
      <c r="AO1843" s="17"/>
      <c r="AP1843" s="17"/>
      <c r="AQ1843" s="17"/>
      <c r="AR1843" s="17"/>
      <c r="AS1843" s="17"/>
      <c r="AT1843" s="17"/>
      <c r="AU1843" s="17"/>
      <c r="AV1843" s="17"/>
    </row>
    <row r="1844" spans="1:48" ht="15.75" customHeight="1">
      <c r="A1844" s="21" t="s">
        <v>53</v>
      </c>
      <c r="B1844" s="23" t="s">
        <v>1692</v>
      </c>
      <c r="C1844" s="22">
        <v>45790</v>
      </c>
      <c r="D1844" s="23" t="s">
        <v>142</v>
      </c>
      <c r="E1844" s="23" t="s">
        <v>70</v>
      </c>
      <c r="F1844" s="21">
        <v>1</v>
      </c>
      <c r="G1844" s="12">
        <v>5000.3257328990221</v>
      </c>
      <c r="H1844" s="12">
        <v>5000.3257328990221</v>
      </c>
      <c r="I1844" s="23" t="s">
        <v>52</v>
      </c>
      <c r="J1844" s="23" t="s">
        <v>61</v>
      </c>
      <c r="K1844" s="24" t="s">
        <v>177</v>
      </c>
      <c r="L1844" s="24">
        <v>138</v>
      </c>
      <c r="M1844" s="12">
        <v>4201.9543973941363</v>
      </c>
      <c r="N1844" s="12">
        <v>4201.9543973941363</v>
      </c>
      <c r="O1844" s="12">
        <v>798.37133550488579</v>
      </c>
      <c r="P1844" s="13"/>
      <c r="Q1844" s="14">
        <v>2025</v>
      </c>
      <c r="R1844" s="15">
        <v>45413</v>
      </c>
      <c r="S1844" s="11" t="s">
        <v>381</v>
      </c>
      <c r="T1844" s="16">
        <v>300</v>
      </c>
      <c r="U1844" s="17"/>
      <c r="V1844" s="12">
        <v>2008.9543973941363</v>
      </c>
      <c r="W1844" s="12">
        <v>2008.9543973941363</v>
      </c>
      <c r="X1844" s="12">
        <v>0</v>
      </c>
      <c r="Y1844" s="18">
        <v>45789</v>
      </c>
      <c r="Z1844" s="13" t="s">
        <v>516</v>
      </c>
      <c r="AA1844" s="19" t="s">
        <v>361</v>
      </c>
      <c r="AB1844" s="13" t="s">
        <v>357</v>
      </c>
      <c r="AC1844" s="13" t="s">
        <v>489</v>
      </c>
      <c r="AD1844" s="20"/>
      <c r="AE1844" s="20"/>
      <c r="AF1844" s="13" t="s">
        <v>40</v>
      </c>
      <c r="AG1844" s="15">
        <v>45413</v>
      </c>
      <c r="AH1844" s="13" t="s">
        <v>41</v>
      </c>
      <c r="AI1844" s="13" t="s">
        <v>53</v>
      </c>
      <c r="AJ1844" s="13" t="str">
        <f>VLOOKUP(E1844,Precios!Z$2:AA$941,2,FALSE)</f>
        <v>Servilletas SOFTQUALITY 300 unidades</v>
      </c>
      <c r="AK1844" s="14">
        <f>VLOOKUP(E1844,Precios!Z$2:BB$941,3,FALSE)*F1844</f>
        <v>-3</v>
      </c>
      <c r="AL1844" s="17"/>
      <c r="AM1844" s="17"/>
      <c r="AN1844" s="17"/>
      <c r="AO1844" s="17"/>
      <c r="AP1844" s="17"/>
      <c r="AQ1844" s="17"/>
      <c r="AR1844" s="17"/>
      <c r="AS1844" s="17"/>
      <c r="AT1844" s="17"/>
      <c r="AU1844" s="17"/>
      <c r="AV1844" s="17"/>
    </row>
    <row r="1845" spans="1:48" ht="15.75" customHeight="1">
      <c r="A1845" s="21" t="s">
        <v>47</v>
      </c>
      <c r="B1845" s="23" t="s">
        <v>1692</v>
      </c>
      <c r="C1845" s="22">
        <v>45790</v>
      </c>
      <c r="D1845" s="23" t="s">
        <v>142</v>
      </c>
      <c r="E1845" s="23" t="s">
        <v>155</v>
      </c>
      <c r="F1845" s="21">
        <v>1</v>
      </c>
      <c r="G1845" s="12">
        <v>3400</v>
      </c>
      <c r="H1845" s="12">
        <v>3400</v>
      </c>
      <c r="I1845" s="23" t="s">
        <v>52</v>
      </c>
      <c r="J1845" s="23" t="s">
        <v>61</v>
      </c>
      <c r="K1845" s="24" t="s">
        <v>177</v>
      </c>
      <c r="L1845" s="24">
        <v>138</v>
      </c>
      <c r="M1845" s="12">
        <v>2857.1428571428573</v>
      </c>
      <c r="N1845" s="12">
        <v>2857.1428571428573</v>
      </c>
      <c r="O1845" s="12">
        <v>542.85714285714266</v>
      </c>
      <c r="P1845" s="13"/>
      <c r="Q1845" s="14">
        <v>2025</v>
      </c>
      <c r="R1845" s="15">
        <v>45413</v>
      </c>
      <c r="S1845" s="11" t="s">
        <v>453</v>
      </c>
      <c r="T1845" s="16">
        <v>0</v>
      </c>
      <c r="U1845" s="17"/>
      <c r="V1845" s="12">
        <v>1255.1428571428573</v>
      </c>
      <c r="W1845" s="12">
        <v>1255.1428571428573</v>
      </c>
      <c r="X1845" s="12">
        <v>0</v>
      </c>
      <c r="Y1845" s="18">
        <v>45789</v>
      </c>
      <c r="Z1845" s="13" t="s">
        <v>516</v>
      </c>
      <c r="AA1845" s="19" t="s">
        <v>361</v>
      </c>
      <c r="AB1845" s="13" t="s">
        <v>357</v>
      </c>
      <c r="AC1845" s="13" t="s">
        <v>489</v>
      </c>
      <c r="AD1845" s="20"/>
      <c r="AE1845" s="20"/>
      <c r="AF1845" s="13" t="s">
        <v>40</v>
      </c>
      <c r="AG1845" s="15">
        <v>45413</v>
      </c>
      <c r="AH1845" s="13" t="s">
        <v>41</v>
      </c>
      <c r="AI1845" s="13" t="s">
        <v>47</v>
      </c>
      <c r="AJ1845" s="13" t="str">
        <f>VLOOKUP(E1845,Precios!Z$2:AA$941,2,FALSE)</f>
        <v xml:space="preserve">Bolsas Basura TEDDY 50x70 </v>
      </c>
      <c r="AK1845" s="14">
        <f>VLOOKUP(E1845,Precios!Z$2:BB$941,3,FALSE)*F1845</f>
        <v>-6</v>
      </c>
      <c r="AL1845" s="17"/>
      <c r="AM1845" s="17"/>
      <c r="AN1845" s="17"/>
      <c r="AO1845" s="17"/>
      <c r="AP1845" s="17"/>
      <c r="AQ1845" s="17"/>
      <c r="AR1845" s="17"/>
      <c r="AS1845" s="17"/>
      <c r="AT1845" s="17"/>
      <c r="AU1845" s="17"/>
      <c r="AV1845" s="17"/>
    </row>
    <row r="1846" spans="1:48" ht="15.75" customHeight="1">
      <c r="A1846" s="21" t="s">
        <v>47</v>
      </c>
      <c r="B1846" s="23" t="s">
        <v>1692</v>
      </c>
      <c r="C1846" s="22">
        <v>45790</v>
      </c>
      <c r="D1846" s="23" t="s">
        <v>142</v>
      </c>
      <c r="E1846" s="23" t="s">
        <v>49</v>
      </c>
      <c r="F1846" s="21">
        <v>1</v>
      </c>
      <c r="G1846" s="12">
        <v>4500.0000000000009</v>
      </c>
      <c r="H1846" s="12">
        <v>4500.0000000000009</v>
      </c>
      <c r="I1846" s="23" t="s">
        <v>52</v>
      </c>
      <c r="J1846" s="23" t="s">
        <v>61</v>
      </c>
      <c r="K1846" s="24" t="s">
        <v>177</v>
      </c>
      <c r="L1846" s="24">
        <v>138</v>
      </c>
      <c r="M1846" s="12">
        <v>3781.5126050420176</v>
      </c>
      <c r="N1846" s="12">
        <v>3781.5126050420176</v>
      </c>
      <c r="O1846" s="12">
        <v>718.48739495798327</v>
      </c>
      <c r="P1846" s="13"/>
      <c r="Q1846" s="14">
        <v>2025</v>
      </c>
      <c r="R1846" s="15">
        <v>45413</v>
      </c>
      <c r="S1846" s="11" t="s">
        <v>384</v>
      </c>
      <c r="T1846" s="16">
        <v>0</v>
      </c>
      <c r="U1846" s="17"/>
      <c r="V1846" s="12">
        <v>988.23529411764775</v>
      </c>
      <c r="W1846" s="12">
        <v>988.23529411764775</v>
      </c>
      <c r="X1846" s="12">
        <v>0</v>
      </c>
      <c r="Y1846" s="18">
        <v>45789</v>
      </c>
      <c r="Z1846" s="13" t="s">
        <v>516</v>
      </c>
      <c r="AA1846" s="19" t="s">
        <v>361</v>
      </c>
      <c r="AB1846" s="13" t="s">
        <v>357</v>
      </c>
      <c r="AC1846" s="13" t="s">
        <v>489</v>
      </c>
      <c r="AD1846" s="20"/>
      <c r="AE1846" s="20"/>
      <c r="AF1846" s="13" t="s">
        <v>40</v>
      </c>
      <c r="AG1846" s="15">
        <v>45413</v>
      </c>
      <c r="AH1846" s="13" t="s">
        <v>41</v>
      </c>
      <c r="AI1846" s="13" t="s">
        <v>47</v>
      </c>
      <c r="AJ1846" s="13" t="str">
        <f>VLOOKUP(E1846,Precios!Z$2:AA$941,2,FALSE)</f>
        <v>Jabón Lìquido BALLERINA</v>
      </c>
      <c r="AK1846" s="14">
        <f>VLOOKUP(E1846,Precios!Z$2:BB$941,3,FALSE)*F1846</f>
        <v>-3</v>
      </c>
      <c r="AL1846" s="17"/>
      <c r="AM1846" s="17"/>
      <c r="AN1846" s="17"/>
      <c r="AO1846" s="17"/>
      <c r="AP1846" s="17"/>
      <c r="AQ1846" s="17"/>
      <c r="AR1846" s="17"/>
      <c r="AS1846" s="17"/>
      <c r="AT1846" s="17"/>
      <c r="AU1846" s="17"/>
      <c r="AV1846" s="17"/>
    </row>
    <row r="1847" spans="1:48" ht="15.75" customHeight="1">
      <c r="A1847" s="21" t="s">
        <v>76</v>
      </c>
      <c r="B1847" s="23" t="s">
        <v>1692</v>
      </c>
      <c r="C1847" s="22">
        <v>45790</v>
      </c>
      <c r="D1847" s="23" t="s">
        <v>142</v>
      </c>
      <c r="E1847" s="23" t="s">
        <v>98</v>
      </c>
      <c r="F1847" s="21">
        <v>1</v>
      </c>
      <c r="G1847" s="12">
        <v>2600.0000000000005</v>
      </c>
      <c r="H1847" s="12">
        <v>2600.0000000000005</v>
      </c>
      <c r="I1847" s="23" t="s">
        <v>52</v>
      </c>
      <c r="J1847" s="23" t="s">
        <v>61</v>
      </c>
      <c r="K1847" s="24" t="s">
        <v>177</v>
      </c>
      <c r="L1847" s="24">
        <v>138</v>
      </c>
      <c r="M1847" s="12">
        <v>2184.8739495798322</v>
      </c>
      <c r="N1847" s="12">
        <v>2184.8739495798322</v>
      </c>
      <c r="O1847" s="12">
        <v>415.12605042016821</v>
      </c>
      <c r="P1847" s="13"/>
      <c r="Q1847" s="14">
        <v>2025</v>
      </c>
      <c r="R1847" s="15">
        <v>45413</v>
      </c>
      <c r="S1847" s="11" t="s">
        <v>479</v>
      </c>
      <c r="T1847" s="16">
        <v>0</v>
      </c>
      <c r="U1847" s="17"/>
      <c r="V1847" s="12">
        <v>1052.1008403361348</v>
      </c>
      <c r="W1847" s="12">
        <v>1052.1008403361348</v>
      </c>
      <c r="X1847" s="12">
        <v>0</v>
      </c>
      <c r="Y1847" s="18">
        <v>45789</v>
      </c>
      <c r="Z1847" s="13" t="s">
        <v>516</v>
      </c>
      <c r="AA1847" s="19" t="s">
        <v>361</v>
      </c>
      <c r="AB1847" s="13" t="s">
        <v>357</v>
      </c>
      <c r="AC1847" s="13" t="s">
        <v>489</v>
      </c>
      <c r="AD1847" s="20"/>
      <c r="AE1847" s="20"/>
      <c r="AF1847" s="13" t="s">
        <v>40</v>
      </c>
      <c r="AG1847" s="15">
        <v>45413</v>
      </c>
      <c r="AH1847" s="13" t="s">
        <v>41</v>
      </c>
      <c r="AI1847" s="13" t="s">
        <v>76</v>
      </c>
      <c r="AJ1847" s="13" t="str">
        <f>VLOOKUP(E1847,Precios!Z$2:AA$941,2,FALSE)</f>
        <v>Lavaloza QUIX 750 cc</v>
      </c>
      <c r="AK1847" s="14">
        <f>VLOOKUP(E1847,Precios!Z$2:BB$941,3,FALSE)*F1847</f>
        <v>-1</v>
      </c>
      <c r="AL1847" s="17"/>
      <c r="AM1847" s="17"/>
      <c r="AN1847" s="17"/>
      <c r="AO1847" s="17"/>
      <c r="AP1847" s="17"/>
      <c r="AQ1847" s="17"/>
      <c r="AR1847" s="17"/>
      <c r="AS1847" s="17"/>
      <c r="AT1847" s="17"/>
      <c r="AU1847" s="17"/>
      <c r="AV1847" s="17"/>
    </row>
    <row r="1848" spans="1:48" ht="15.75" customHeight="1">
      <c r="A1848" s="21" t="s">
        <v>76</v>
      </c>
      <c r="B1848" s="23" t="s">
        <v>1692</v>
      </c>
      <c r="C1848" s="22">
        <v>45790</v>
      </c>
      <c r="D1848" s="23" t="s">
        <v>142</v>
      </c>
      <c r="E1848" s="23" t="s">
        <v>77</v>
      </c>
      <c r="F1848" s="21">
        <v>1</v>
      </c>
      <c r="G1848" s="12">
        <v>1500.0000000000002</v>
      </c>
      <c r="H1848" s="12">
        <v>1500.0000000000002</v>
      </c>
      <c r="I1848" s="23" t="s">
        <v>52</v>
      </c>
      <c r="J1848" s="23" t="s">
        <v>61</v>
      </c>
      <c r="K1848" s="24" t="s">
        <v>177</v>
      </c>
      <c r="L1848" s="24">
        <v>138</v>
      </c>
      <c r="M1848" s="12">
        <v>1260.5042016806726</v>
      </c>
      <c r="N1848" s="12">
        <v>1260.5042016806726</v>
      </c>
      <c r="O1848" s="12">
        <v>239.4957983193276</v>
      </c>
      <c r="P1848" s="13"/>
      <c r="Q1848" s="14">
        <v>2025</v>
      </c>
      <c r="R1848" s="15">
        <v>45413</v>
      </c>
      <c r="S1848" s="11" t="s">
        <v>448</v>
      </c>
      <c r="T1848" s="16">
        <v>0</v>
      </c>
      <c r="U1848" s="17"/>
      <c r="V1848" s="12">
        <v>421.00840336134468</v>
      </c>
      <c r="W1848" s="12">
        <v>421.00840336134468</v>
      </c>
      <c r="X1848" s="12">
        <v>0</v>
      </c>
      <c r="Y1848" s="18">
        <v>45789</v>
      </c>
      <c r="Z1848" s="13" t="s">
        <v>516</v>
      </c>
      <c r="AA1848" s="19" t="s">
        <v>361</v>
      </c>
      <c r="AB1848" s="13" t="s">
        <v>357</v>
      </c>
      <c r="AC1848" s="13" t="s">
        <v>489</v>
      </c>
      <c r="AD1848" s="20"/>
      <c r="AE1848" s="20"/>
      <c r="AF1848" s="13" t="s">
        <v>40</v>
      </c>
      <c r="AG1848" s="15">
        <v>45413</v>
      </c>
      <c r="AH1848" s="13" t="s">
        <v>41</v>
      </c>
      <c r="AI1848" s="13" t="s">
        <v>76</v>
      </c>
      <c r="AJ1848" s="13" t="str">
        <f>VLOOKUP(E1848,Precios!Z$2:AA$941,2,FALSE)</f>
        <v>Cloro GEL IGENIX 900ml</v>
      </c>
      <c r="AK1848" s="14">
        <f>VLOOKUP(E1848,Precios!Z$2:BB$941,3,FALSE)*F1848</f>
        <v>-1</v>
      </c>
      <c r="AL1848" s="17"/>
      <c r="AM1848" s="17"/>
      <c r="AN1848" s="17"/>
      <c r="AO1848" s="17"/>
      <c r="AP1848" s="17"/>
      <c r="AQ1848" s="17"/>
      <c r="AR1848" s="17"/>
      <c r="AS1848" s="17"/>
      <c r="AT1848" s="17"/>
      <c r="AU1848" s="17"/>
      <c r="AV1848" s="17"/>
    </row>
    <row r="1849" spans="1:48" ht="15.75" customHeight="1">
      <c r="A1849" s="21" t="s">
        <v>76</v>
      </c>
      <c r="B1849" s="23" t="s">
        <v>1692</v>
      </c>
      <c r="C1849" s="22">
        <v>45790</v>
      </c>
      <c r="D1849" s="23" t="s">
        <v>142</v>
      </c>
      <c r="E1849" s="23" t="s">
        <v>82</v>
      </c>
      <c r="F1849" s="21">
        <v>1</v>
      </c>
      <c r="G1849" s="12">
        <v>2000.0000000000002</v>
      </c>
      <c r="H1849" s="12">
        <v>2000.0000000000002</v>
      </c>
      <c r="I1849" s="23" t="s">
        <v>52</v>
      </c>
      <c r="J1849" s="23" t="s">
        <v>61</v>
      </c>
      <c r="K1849" s="24" t="s">
        <v>177</v>
      </c>
      <c r="L1849" s="24">
        <v>138</v>
      </c>
      <c r="M1849" s="12">
        <v>1680.6722689075632</v>
      </c>
      <c r="N1849" s="12">
        <v>1680.6722689075632</v>
      </c>
      <c r="O1849" s="12">
        <v>319.32773109243703</v>
      </c>
      <c r="P1849" s="13"/>
      <c r="Q1849" s="14">
        <v>2025</v>
      </c>
      <c r="R1849" s="15">
        <v>45413</v>
      </c>
      <c r="S1849" s="11" t="s">
        <v>463</v>
      </c>
      <c r="T1849" s="16">
        <v>5</v>
      </c>
      <c r="U1849" s="17"/>
      <c r="V1849" s="12">
        <v>680.67226890756319</v>
      </c>
      <c r="W1849" s="12">
        <v>680.67226890756319</v>
      </c>
      <c r="X1849" s="12">
        <v>0</v>
      </c>
      <c r="Y1849" s="18">
        <v>45789</v>
      </c>
      <c r="Z1849" s="13" t="s">
        <v>516</v>
      </c>
      <c r="AA1849" s="19" t="s">
        <v>361</v>
      </c>
      <c r="AB1849" s="13" t="s">
        <v>357</v>
      </c>
      <c r="AC1849" s="13" t="s">
        <v>489</v>
      </c>
      <c r="AD1849" s="20"/>
      <c r="AE1849" s="20"/>
      <c r="AF1849" s="13" t="s">
        <v>40</v>
      </c>
      <c r="AG1849" s="15">
        <v>45413</v>
      </c>
      <c r="AH1849" s="13" t="s">
        <v>41</v>
      </c>
      <c r="AI1849" s="13" t="s">
        <v>76</v>
      </c>
      <c r="AJ1849" s="13" t="str">
        <f>VLOOKUP(E1849,Precios!Z$2:AA$941,2,FALSE)</f>
        <v>Limpiapiso SPUM 5 Litros</v>
      </c>
      <c r="AK1849" s="14">
        <f>VLOOKUP(E1849,Precios!Z$2:BB$941,3,FALSE)*F1849</f>
        <v>-1</v>
      </c>
      <c r="AL1849" s="17"/>
      <c r="AM1849" s="17"/>
      <c r="AN1849" s="17"/>
      <c r="AO1849" s="17"/>
      <c r="AP1849" s="17"/>
      <c r="AQ1849" s="17"/>
      <c r="AR1849" s="17"/>
      <c r="AS1849" s="17"/>
      <c r="AT1849" s="17"/>
      <c r="AU1849" s="17"/>
      <c r="AV1849" s="17"/>
    </row>
    <row r="1850" spans="1:48" ht="15.75" customHeight="1">
      <c r="A1850" s="21" t="s">
        <v>43</v>
      </c>
      <c r="B1850" s="23" t="s">
        <v>1692</v>
      </c>
      <c r="C1850" s="22">
        <v>45790</v>
      </c>
      <c r="D1850" s="23" t="s">
        <v>142</v>
      </c>
      <c r="E1850" s="23" t="s">
        <v>45</v>
      </c>
      <c r="F1850" s="21">
        <v>1</v>
      </c>
      <c r="G1850" s="12">
        <v>8000.0859845227851</v>
      </c>
      <c r="H1850" s="12">
        <v>8000.0859845227851</v>
      </c>
      <c r="I1850" s="23" t="s">
        <v>52</v>
      </c>
      <c r="J1850" s="23" t="s">
        <v>61</v>
      </c>
      <c r="K1850" s="24" t="s">
        <v>177</v>
      </c>
      <c r="L1850" s="24">
        <v>138</v>
      </c>
      <c r="M1850" s="12">
        <v>6722.7613315317521</v>
      </c>
      <c r="N1850" s="12">
        <v>6722.7613315317521</v>
      </c>
      <c r="O1850" s="12">
        <v>1277.324652991033</v>
      </c>
      <c r="P1850" s="13"/>
      <c r="Q1850" s="14">
        <v>2025</v>
      </c>
      <c r="R1850" s="15">
        <v>45413</v>
      </c>
      <c r="S1850" s="11" t="s">
        <v>355</v>
      </c>
      <c r="T1850" s="16">
        <v>0</v>
      </c>
      <c r="U1850" s="17"/>
      <c r="V1850" s="12">
        <v>1249.7613315317521</v>
      </c>
      <c r="W1850" s="12">
        <v>1249.7613315317521</v>
      </c>
      <c r="X1850" s="12">
        <v>0</v>
      </c>
      <c r="Y1850" s="18">
        <v>45789</v>
      </c>
      <c r="Z1850" s="13" t="s">
        <v>516</v>
      </c>
      <c r="AA1850" s="19" t="s">
        <v>361</v>
      </c>
      <c r="AB1850" s="13" t="s">
        <v>357</v>
      </c>
      <c r="AC1850" s="13" t="s">
        <v>489</v>
      </c>
      <c r="AD1850" s="20"/>
      <c r="AE1850" s="20"/>
      <c r="AF1850" s="13" t="s">
        <v>40</v>
      </c>
      <c r="AG1850" s="15">
        <v>45413</v>
      </c>
      <c r="AH1850" s="13" t="s">
        <v>41</v>
      </c>
      <c r="AI1850" s="13" t="s">
        <v>43</v>
      </c>
      <c r="AJ1850" s="13" t="str">
        <f>VLOOKUP(E1850,Precios!Z$2:AA$941,2,FALSE)</f>
        <v>Bandeja Huevos EXTRA</v>
      </c>
      <c r="AK1850" s="14">
        <f>VLOOKUP(E1850,Precios!Z$2:BB$941,3,FALSE)*F1850</f>
        <v>-1</v>
      </c>
      <c r="AL1850" s="17"/>
      <c r="AM1850" s="17"/>
      <c r="AN1850" s="17"/>
      <c r="AO1850" s="17"/>
      <c r="AP1850" s="17"/>
      <c r="AQ1850" s="17"/>
      <c r="AR1850" s="17"/>
      <c r="AS1850" s="17"/>
      <c r="AT1850" s="17"/>
      <c r="AU1850" s="17"/>
      <c r="AV1850" s="17"/>
    </row>
    <row r="1851" spans="1:48" ht="15.75" customHeight="1">
      <c r="A1851" s="21" t="s">
        <v>43</v>
      </c>
      <c r="B1851" s="23" t="s">
        <v>1692</v>
      </c>
      <c r="C1851" s="22">
        <v>45790</v>
      </c>
      <c r="D1851" s="23" t="s">
        <v>647</v>
      </c>
      <c r="E1851" s="23" t="s">
        <v>45</v>
      </c>
      <c r="F1851" s="21">
        <v>1</v>
      </c>
      <c r="G1851" s="12">
        <v>8000.0859845227851</v>
      </c>
      <c r="H1851" s="12">
        <v>8000.0859845227851</v>
      </c>
      <c r="I1851" s="23" t="s">
        <v>52</v>
      </c>
      <c r="J1851" s="23" t="s">
        <v>61</v>
      </c>
      <c r="K1851" s="24" t="s">
        <v>177</v>
      </c>
      <c r="L1851" s="24">
        <v>138</v>
      </c>
      <c r="M1851" s="12">
        <v>6722.7613315317521</v>
      </c>
      <c r="N1851" s="12">
        <v>6722.7613315317521</v>
      </c>
      <c r="O1851" s="12">
        <v>1277.324652991033</v>
      </c>
      <c r="P1851" s="13"/>
      <c r="Q1851" s="14">
        <v>2025</v>
      </c>
      <c r="R1851" s="15">
        <v>45413</v>
      </c>
      <c r="S1851" s="11" t="s">
        <v>355</v>
      </c>
      <c r="T1851" s="16">
        <v>0</v>
      </c>
      <c r="U1851" s="17"/>
      <c r="V1851" s="12">
        <v>1249.7613315317521</v>
      </c>
      <c r="W1851" s="12">
        <v>1249.7613315317521</v>
      </c>
      <c r="X1851" s="12">
        <v>0</v>
      </c>
      <c r="Y1851" s="18">
        <v>45789</v>
      </c>
      <c r="Z1851" s="13" t="s">
        <v>516</v>
      </c>
      <c r="AA1851" s="19" t="s">
        <v>373</v>
      </c>
      <c r="AB1851" s="13" t="s">
        <v>357</v>
      </c>
      <c r="AC1851" s="13" t="s">
        <v>465</v>
      </c>
      <c r="AD1851" s="20"/>
      <c r="AE1851" s="20"/>
      <c r="AF1851" s="13" t="s">
        <v>40</v>
      </c>
      <c r="AG1851" s="15">
        <v>45413</v>
      </c>
      <c r="AH1851" s="13" t="s">
        <v>41</v>
      </c>
      <c r="AI1851" s="13" t="s">
        <v>43</v>
      </c>
      <c r="AJ1851" s="13" t="str">
        <f>VLOOKUP(E1851,Precios!Z$2:AA$941,2,FALSE)</f>
        <v>Bandeja Huevos EXTRA</v>
      </c>
      <c r="AK1851" s="14">
        <f>VLOOKUP(E1851,Precios!Z$2:BB$941,3,FALSE)*F1851</f>
        <v>-1</v>
      </c>
      <c r="AL1851" s="17"/>
      <c r="AM1851" s="17"/>
      <c r="AN1851" s="17"/>
      <c r="AO1851" s="17"/>
      <c r="AP1851" s="17"/>
      <c r="AQ1851" s="17"/>
      <c r="AR1851" s="17"/>
      <c r="AS1851" s="17"/>
      <c r="AT1851" s="17"/>
      <c r="AU1851" s="17"/>
      <c r="AV1851" s="17"/>
    </row>
    <row r="1852" spans="1:48" ht="15.75" customHeight="1">
      <c r="A1852" s="21" t="s">
        <v>76</v>
      </c>
      <c r="B1852" s="23" t="s">
        <v>1692</v>
      </c>
      <c r="C1852" s="22">
        <v>45790</v>
      </c>
      <c r="D1852" s="23" t="s">
        <v>141</v>
      </c>
      <c r="E1852" s="23" t="s">
        <v>81</v>
      </c>
      <c r="F1852" s="21">
        <v>1</v>
      </c>
      <c r="G1852" s="12">
        <v>3500.0000000000005</v>
      </c>
      <c r="H1852" s="12">
        <v>3500.0000000000005</v>
      </c>
      <c r="I1852" s="23" t="s">
        <v>52</v>
      </c>
      <c r="J1852" s="23" t="s">
        <v>61</v>
      </c>
      <c r="K1852" s="24" t="s">
        <v>177</v>
      </c>
      <c r="L1852" s="24">
        <v>138</v>
      </c>
      <c r="M1852" s="12">
        <v>2941.1764705882356</v>
      </c>
      <c r="N1852" s="12">
        <v>2941.1764705882356</v>
      </c>
      <c r="O1852" s="12">
        <v>558.82352941176487</v>
      </c>
      <c r="P1852" s="13"/>
      <c r="Q1852" s="14">
        <v>2025</v>
      </c>
      <c r="R1852" s="15">
        <v>45413</v>
      </c>
      <c r="S1852" s="11" t="s">
        <v>397</v>
      </c>
      <c r="T1852" s="16">
        <v>5</v>
      </c>
      <c r="U1852" s="17"/>
      <c r="V1852" s="12">
        <v>764.70588235294144</v>
      </c>
      <c r="W1852" s="12">
        <v>764.70588235294144</v>
      </c>
      <c r="X1852" s="12">
        <v>0</v>
      </c>
      <c r="Y1852" s="18">
        <v>45789</v>
      </c>
      <c r="Z1852" s="13" t="s">
        <v>516</v>
      </c>
      <c r="AA1852" s="19" t="s">
        <v>367</v>
      </c>
      <c r="AB1852" s="13" t="s">
        <v>357</v>
      </c>
      <c r="AC1852" s="13" t="s">
        <v>367</v>
      </c>
      <c r="AD1852" s="20"/>
      <c r="AE1852" s="20"/>
      <c r="AF1852" s="13" t="s">
        <v>40</v>
      </c>
      <c r="AG1852" s="15">
        <v>45413</v>
      </c>
      <c r="AH1852" s="13" t="s">
        <v>41</v>
      </c>
      <c r="AI1852" s="13" t="s">
        <v>76</v>
      </c>
      <c r="AJ1852" s="13" t="str">
        <f>VLOOKUP(E1852,Precios!Z$2:AA$941,2,FALSE)</f>
        <v>Detergente SPUM 5 Litros (Verde)</v>
      </c>
      <c r="AK1852" s="14">
        <f>VLOOKUP(E1852,Precios!Z$2:BB$941,3,FALSE)*F1852</f>
        <v>-1</v>
      </c>
      <c r="AL1852" s="17"/>
      <c r="AM1852" s="17"/>
      <c r="AN1852" s="17"/>
      <c r="AO1852" s="17"/>
      <c r="AP1852" s="17"/>
      <c r="AQ1852" s="17"/>
      <c r="AR1852" s="17"/>
      <c r="AS1852" s="17"/>
      <c r="AT1852" s="17"/>
      <c r="AU1852" s="17"/>
      <c r="AV1852" s="17"/>
    </row>
    <row r="1853" spans="1:48" ht="15.75" customHeight="1">
      <c r="A1853" s="21" t="s">
        <v>53</v>
      </c>
      <c r="B1853" s="23" t="s">
        <v>1692</v>
      </c>
      <c r="C1853" s="22">
        <v>45790</v>
      </c>
      <c r="D1853" s="23" t="s">
        <v>915</v>
      </c>
      <c r="E1853" s="23" t="s">
        <v>648</v>
      </c>
      <c r="F1853" s="21">
        <v>1</v>
      </c>
      <c r="G1853" s="12">
        <v>3200</v>
      </c>
      <c r="H1853" s="12">
        <v>3200</v>
      </c>
      <c r="I1853" s="23" t="s">
        <v>52</v>
      </c>
      <c r="J1853" s="23" t="s">
        <v>61</v>
      </c>
      <c r="K1853" s="24" t="s">
        <v>177</v>
      </c>
      <c r="L1853" s="24">
        <v>138</v>
      </c>
      <c r="M1853" s="12">
        <v>2689.0756302521008</v>
      </c>
      <c r="N1853" s="12">
        <v>2689.0756302521008</v>
      </c>
      <c r="O1853" s="12">
        <v>510.92436974789916</v>
      </c>
      <c r="P1853" s="13"/>
      <c r="Q1853" s="14">
        <v>2025</v>
      </c>
      <c r="R1853" s="15">
        <v>45413</v>
      </c>
      <c r="S1853" s="11" t="s">
        <v>435</v>
      </c>
      <c r="T1853" s="16">
        <v>0</v>
      </c>
      <c r="U1853" s="17"/>
      <c r="V1853" s="12">
        <v>1208.4033613445376</v>
      </c>
      <c r="W1853" s="12">
        <v>1208.4033613445376</v>
      </c>
      <c r="X1853" s="12">
        <v>0</v>
      </c>
      <c r="Y1853" s="18">
        <v>45789</v>
      </c>
      <c r="Z1853" s="13" t="s">
        <v>516</v>
      </c>
      <c r="AA1853" s="19" t="s">
        <v>367</v>
      </c>
      <c r="AB1853" s="13" t="s">
        <v>357</v>
      </c>
      <c r="AC1853" s="13" t="s">
        <v>367</v>
      </c>
      <c r="AD1853" s="20"/>
      <c r="AE1853" s="20"/>
      <c r="AF1853" s="13" t="s">
        <v>40</v>
      </c>
      <c r="AG1853" s="15">
        <v>45413</v>
      </c>
      <c r="AH1853" s="13" t="s">
        <v>41</v>
      </c>
      <c r="AI1853" s="13" t="s">
        <v>53</v>
      </c>
      <c r="AJ1853" s="13" t="str">
        <f>VLOOKUP(E1853,Precios!Z$2:AA$941,2,FALSE)</f>
        <v>Papel Higienico SWAN 50 metros</v>
      </c>
      <c r="AK1853" s="14">
        <f>VLOOKUP(E1853,Precios!Z$2:BB$941,3,FALSE)*F1853</f>
        <v>-1</v>
      </c>
      <c r="AL1853" s="17"/>
      <c r="AM1853" s="17"/>
      <c r="AN1853" s="17"/>
      <c r="AO1853" s="17"/>
      <c r="AP1853" s="17"/>
      <c r="AQ1853" s="17"/>
      <c r="AR1853" s="17"/>
      <c r="AS1853" s="17"/>
      <c r="AT1853" s="17"/>
      <c r="AU1853" s="17"/>
      <c r="AV1853" s="17"/>
    </row>
    <row r="1854" spans="1:48" ht="15.75" customHeight="1">
      <c r="A1854" s="21" t="s">
        <v>53</v>
      </c>
      <c r="B1854" s="23" t="s">
        <v>1692</v>
      </c>
      <c r="C1854" s="22">
        <v>45790</v>
      </c>
      <c r="D1854" s="23" t="s">
        <v>246</v>
      </c>
      <c r="E1854" s="23" t="s">
        <v>55</v>
      </c>
      <c r="F1854" s="21">
        <v>1</v>
      </c>
      <c r="G1854" s="12">
        <v>20899.657794676805</v>
      </c>
      <c r="H1854" s="12">
        <v>20899.657794676805</v>
      </c>
      <c r="I1854" s="23" t="s">
        <v>52</v>
      </c>
      <c r="J1854" s="23" t="s">
        <v>61</v>
      </c>
      <c r="K1854" s="24" t="s">
        <v>177</v>
      </c>
      <c r="L1854" s="24">
        <v>138</v>
      </c>
      <c r="M1854" s="12">
        <v>17562.737642585551</v>
      </c>
      <c r="N1854" s="12">
        <v>17562.737642585551</v>
      </c>
      <c r="O1854" s="12">
        <v>3336.9201520912538</v>
      </c>
      <c r="P1854" s="13"/>
      <c r="Q1854" s="14">
        <v>2025</v>
      </c>
      <c r="R1854" s="15">
        <v>45413</v>
      </c>
      <c r="S1854" s="11" t="s">
        <v>366</v>
      </c>
      <c r="T1854" s="16">
        <v>0</v>
      </c>
      <c r="U1854" s="17"/>
      <c r="V1854" s="12">
        <v>3705.7376425855509</v>
      </c>
      <c r="W1854" s="12">
        <v>3705.7376425855509</v>
      </c>
      <c r="X1854" s="12">
        <v>0</v>
      </c>
      <c r="Y1854" s="18">
        <v>45789</v>
      </c>
      <c r="Z1854" s="13" t="s">
        <v>516</v>
      </c>
      <c r="AA1854" s="19" t="s">
        <v>373</v>
      </c>
      <c r="AB1854" s="13" t="s">
        <v>357</v>
      </c>
      <c r="AC1854" s="13" t="s">
        <v>389</v>
      </c>
      <c r="AD1854" s="20"/>
      <c r="AE1854" s="20"/>
      <c r="AF1854" s="13" t="s">
        <v>40</v>
      </c>
      <c r="AG1854" s="15">
        <v>45413</v>
      </c>
      <c r="AH1854" s="13" t="s">
        <v>41</v>
      </c>
      <c r="AI1854" s="13" t="s">
        <v>53</v>
      </c>
      <c r="AJ1854" s="13" t="str">
        <f>VLOOKUP(E1854,Precios!Z$2:AA$941,2,FALSE)</f>
        <v>Papel Higienico ELITE 50 metros</v>
      </c>
      <c r="AK1854" s="14">
        <f>VLOOKUP(E1854,Precios!Z$2:BB$941,3,FALSE)*F1854</f>
        <v>-8</v>
      </c>
      <c r="AL1854" s="17"/>
      <c r="AM1854" s="17"/>
      <c r="AN1854" s="17"/>
      <c r="AO1854" s="17"/>
      <c r="AP1854" s="17"/>
      <c r="AQ1854" s="17"/>
      <c r="AR1854" s="17"/>
      <c r="AS1854" s="17"/>
      <c r="AT1854" s="17"/>
      <c r="AU1854" s="17"/>
      <c r="AV1854" s="17"/>
    </row>
    <row r="1855" spans="1:48" ht="15.75" customHeight="1">
      <c r="A1855" s="21" t="s">
        <v>53</v>
      </c>
      <c r="B1855" s="23" t="s">
        <v>1692</v>
      </c>
      <c r="C1855" s="22">
        <v>45790</v>
      </c>
      <c r="D1855" s="23" t="s">
        <v>324</v>
      </c>
      <c r="E1855" s="23" t="s">
        <v>157</v>
      </c>
      <c r="F1855" s="21">
        <v>1</v>
      </c>
      <c r="G1855" s="12">
        <v>11499.714937286204</v>
      </c>
      <c r="H1855" s="12">
        <v>11499.714937286204</v>
      </c>
      <c r="I1855" s="23" t="s">
        <v>52</v>
      </c>
      <c r="J1855" s="23" t="s">
        <v>61</v>
      </c>
      <c r="K1855" s="24" t="s">
        <v>86</v>
      </c>
      <c r="L1855" s="24">
        <v>80</v>
      </c>
      <c r="M1855" s="12">
        <v>9663.6259977195004</v>
      </c>
      <c r="N1855" s="12">
        <v>9663.6259977195004</v>
      </c>
      <c r="O1855" s="12">
        <v>1836.0889395667036</v>
      </c>
      <c r="P1855" s="13"/>
      <c r="Q1855" s="14">
        <v>2025</v>
      </c>
      <c r="R1855" s="15">
        <v>45413</v>
      </c>
      <c r="S1855" s="11" t="s">
        <v>376</v>
      </c>
      <c r="T1855" s="16">
        <v>0</v>
      </c>
      <c r="U1855" s="17"/>
      <c r="V1855" s="12">
        <v>2883.6259977194986</v>
      </c>
      <c r="W1855" s="12">
        <v>2883.6259977194986</v>
      </c>
      <c r="X1855" s="12">
        <v>0</v>
      </c>
      <c r="Y1855" s="18">
        <v>45789</v>
      </c>
      <c r="Z1855" s="13" t="s">
        <v>516</v>
      </c>
      <c r="AA1855" s="19" t="s">
        <v>361</v>
      </c>
      <c r="AB1855" s="13" t="s">
        <v>394</v>
      </c>
      <c r="AC1855" s="13" t="s">
        <v>535</v>
      </c>
      <c r="AD1855" s="20"/>
      <c r="AE1855" s="20"/>
      <c r="AF1855" s="13" t="s">
        <v>40</v>
      </c>
      <c r="AG1855" s="15">
        <v>45413</v>
      </c>
      <c r="AH1855" s="13" t="s">
        <v>41</v>
      </c>
      <c r="AI1855" s="13" t="s">
        <v>53</v>
      </c>
      <c r="AJ1855" s="13" t="str">
        <f>VLOOKUP(E1855,Precios!Z$2:AA$941,2,FALSE)</f>
        <v>Toalla Papel NOVA 70 metros</v>
      </c>
      <c r="AK1855" s="14">
        <f>VLOOKUP(E1855,Precios!Z$2:BB$941,3,FALSE)*F1855</f>
        <v>-4</v>
      </c>
      <c r="AL1855" s="17"/>
      <c r="AM1855" s="17"/>
      <c r="AN1855" s="17"/>
      <c r="AO1855" s="17"/>
      <c r="AP1855" s="17"/>
      <c r="AQ1855" s="17"/>
      <c r="AR1855" s="17"/>
      <c r="AS1855" s="17"/>
      <c r="AT1855" s="17"/>
      <c r="AU1855" s="17"/>
      <c r="AV1855" s="17"/>
    </row>
    <row r="1856" spans="1:48" ht="15.75" customHeight="1">
      <c r="A1856" s="21" t="s">
        <v>53</v>
      </c>
      <c r="B1856" s="23" t="s">
        <v>1692</v>
      </c>
      <c r="C1856" s="22">
        <v>45790</v>
      </c>
      <c r="D1856" s="23" t="s">
        <v>324</v>
      </c>
      <c r="E1856" s="23" t="s">
        <v>136</v>
      </c>
      <c r="F1856" s="21">
        <v>1</v>
      </c>
      <c r="G1856" s="12">
        <v>14900.292682926829</v>
      </c>
      <c r="H1856" s="12">
        <v>14900.292682926829</v>
      </c>
      <c r="I1856" s="23" t="s">
        <v>52</v>
      </c>
      <c r="J1856" s="23" t="s">
        <v>61</v>
      </c>
      <c r="K1856" s="24" t="s">
        <v>86</v>
      </c>
      <c r="L1856" s="24">
        <v>80</v>
      </c>
      <c r="M1856" s="12">
        <v>12521.254355400697</v>
      </c>
      <c r="N1856" s="12">
        <v>12521.254355400697</v>
      </c>
      <c r="O1856" s="12">
        <v>2379.038327526132</v>
      </c>
      <c r="P1856" s="13"/>
      <c r="Q1856" s="14">
        <v>2025</v>
      </c>
      <c r="R1856" s="15">
        <v>45413</v>
      </c>
      <c r="S1856" s="11" t="s">
        <v>410</v>
      </c>
      <c r="T1856" s="16">
        <v>0</v>
      </c>
      <c r="U1856" s="17"/>
      <c r="V1856" s="12">
        <v>3537.254355400697</v>
      </c>
      <c r="W1856" s="12">
        <v>3537.254355400697</v>
      </c>
      <c r="X1856" s="12">
        <v>0</v>
      </c>
      <c r="Y1856" s="18">
        <v>45789</v>
      </c>
      <c r="Z1856" s="13" t="s">
        <v>516</v>
      </c>
      <c r="AA1856" s="19" t="s">
        <v>361</v>
      </c>
      <c r="AB1856" s="13" t="s">
        <v>394</v>
      </c>
      <c r="AC1856" s="13" t="s">
        <v>535</v>
      </c>
      <c r="AD1856" s="20"/>
      <c r="AE1856" s="20"/>
      <c r="AF1856" s="13" t="s">
        <v>40</v>
      </c>
      <c r="AG1856" s="15">
        <v>45413</v>
      </c>
      <c r="AH1856" s="13" t="s">
        <v>41</v>
      </c>
      <c r="AI1856" s="13" t="s">
        <v>53</v>
      </c>
      <c r="AJ1856" s="13" t="str">
        <f>VLOOKUP(E1856,Precios!Z$2:AA$941,2,FALSE)</f>
        <v>Toalla Papel NOVA 26 metros</v>
      </c>
      <c r="AK1856" s="14">
        <f>VLOOKUP(E1856,Precios!Z$2:BB$941,3,FALSE)*F1856</f>
        <v>-8</v>
      </c>
      <c r="AL1856" s="17"/>
      <c r="AM1856" s="17"/>
      <c r="AN1856" s="17"/>
      <c r="AO1856" s="17"/>
      <c r="AP1856" s="17"/>
      <c r="AQ1856" s="17"/>
      <c r="AR1856" s="17"/>
      <c r="AS1856" s="17"/>
      <c r="AT1856" s="17"/>
      <c r="AU1856" s="17"/>
      <c r="AV1856" s="17"/>
    </row>
    <row r="1857" spans="1:48" ht="15.75" customHeight="1">
      <c r="A1857" s="21" t="s">
        <v>47</v>
      </c>
      <c r="B1857" s="23" t="s">
        <v>1692</v>
      </c>
      <c r="C1857" s="22">
        <v>45790</v>
      </c>
      <c r="D1857" s="23" t="s">
        <v>324</v>
      </c>
      <c r="E1857" s="23" t="s">
        <v>303</v>
      </c>
      <c r="F1857" s="21">
        <v>3</v>
      </c>
      <c r="G1857" s="12">
        <v>2000.1655971848479</v>
      </c>
      <c r="H1857" s="12">
        <v>6000.496791554544</v>
      </c>
      <c r="I1857" s="23" t="s">
        <v>52</v>
      </c>
      <c r="J1857" s="23" t="s">
        <v>61</v>
      </c>
      <c r="K1857" s="24" t="s">
        <v>86</v>
      </c>
      <c r="L1857" s="24">
        <v>80</v>
      </c>
      <c r="M1857" s="12">
        <v>1680.8114262057545</v>
      </c>
      <c r="N1857" s="12">
        <v>5042.4342786172638</v>
      </c>
      <c r="O1857" s="12">
        <v>958.06251293728019</v>
      </c>
      <c r="P1857" s="13"/>
      <c r="Q1857" s="14">
        <v>2025</v>
      </c>
      <c r="R1857" s="15">
        <v>45413</v>
      </c>
      <c r="S1857" s="11" t="s">
        <v>433</v>
      </c>
      <c r="T1857" s="16">
        <v>0</v>
      </c>
      <c r="U1857" s="17"/>
      <c r="V1857" s="12">
        <v>1388.4342786172635</v>
      </c>
      <c r="W1857" s="12">
        <v>1388.4342786172635</v>
      </c>
      <c r="X1857" s="12">
        <v>0</v>
      </c>
      <c r="Y1857" s="18">
        <v>45789</v>
      </c>
      <c r="Z1857" s="13" t="s">
        <v>516</v>
      </c>
      <c r="AA1857" s="19" t="s">
        <v>361</v>
      </c>
      <c r="AB1857" s="13" t="s">
        <v>394</v>
      </c>
      <c r="AC1857" s="13" t="s">
        <v>535</v>
      </c>
      <c r="AD1857" s="20"/>
      <c r="AE1857" s="20"/>
      <c r="AF1857" s="13" t="s">
        <v>40</v>
      </c>
      <c r="AG1857" s="15">
        <v>45413</v>
      </c>
      <c r="AH1857" s="13" t="s">
        <v>41</v>
      </c>
      <c r="AI1857" s="13" t="s">
        <v>47</v>
      </c>
      <c r="AJ1857" s="13" t="str">
        <f>VLOOKUP(E1857,Precios!Z$2:AA$941,2,FALSE)</f>
        <v>Trapero Microfibra EXCELL</v>
      </c>
      <c r="AK1857" s="14">
        <f>VLOOKUP(E1857,Precios!Z$2:BB$941,3,FALSE)*F1857</f>
        <v>-3</v>
      </c>
      <c r="AL1857" s="17"/>
      <c r="AM1857" s="17"/>
      <c r="AN1857" s="17"/>
      <c r="AO1857" s="17"/>
      <c r="AP1857" s="17"/>
      <c r="AQ1857" s="17"/>
      <c r="AR1857" s="17"/>
      <c r="AS1857" s="17"/>
      <c r="AT1857" s="17"/>
      <c r="AU1857" s="17"/>
      <c r="AV1857" s="17"/>
    </row>
    <row r="1858" spans="1:48" ht="15.75" customHeight="1">
      <c r="A1858" s="21" t="s">
        <v>47</v>
      </c>
      <c r="B1858" s="23" t="s">
        <v>1692</v>
      </c>
      <c r="C1858" s="22">
        <v>45790</v>
      </c>
      <c r="D1858" s="23" t="s">
        <v>324</v>
      </c>
      <c r="E1858" s="23" t="s">
        <v>306</v>
      </c>
      <c r="F1858" s="21">
        <v>3</v>
      </c>
      <c r="G1858" s="12">
        <v>8000.0000000000009</v>
      </c>
      <c r="H1858" s="12">
        <v>24000.000000000004</v>
      </c>
      <c r="I1858" s="23" t="s">
        <v>52</v>
      </c>
      <c r="J1858" s="23" t="s">
        <v>61</v>
      </c>
      <c r="K1858" s="24" t="s">
        <v>86</v>
      </c>
      <c r="L1858" s="24">
        <v>80</v>
      </c>
      <c r="M1858" s="12">
        <v>6722.6890756302528</v>
      </c>
      <c r="N1858" s="12">
        <v>20168.067226890762</v>
      </c>
      <c r="O1858" s="12">
        <v>3831.9327731092417</v>
      </c>
      <c r="P1858" s="13"/>
      <c r="Q1858" s="14">
        <v>2025</v>
      </c>
      <c r="R1858" s="15">
        <v>45413</v>
      </c>
      <c r="S1858" s="11" t="s">
        <v>372</v>
      </c>
      <c r="T1858" s="16">
        <v>0</v>
      </c>
      <c r="U1858" s="17"/>
      <c r="V1858" s="12">
        <v>5344.5378151260529</v>
      </c>
      <c r="W1858" s="12">
        <v>5344.5378151260529</v>
      </c>
      <c r="X1858" s="12">
        <v>0</v>
      </c>
      <c r="Y1858" s="18">
        <v>45789</v>
      </c>
      <c r="Z1858" s="13" t="s">
        <v>516</v>
      </c>
      <c r="AA1858" s="19" t="s">
        <v>361</v>
      </c>
      <c r="AB1858" s="13" t="s">
        <v>394</v>
      </c>
      <c r="AC1858" s="13" t="s">
        <v>535</v>
      </c>
      <c r="AD1858" s="20"/>
      <c r="AE1858" s="20"/>
      <c r="AF1858" s="13" t="s">
        <v>40</v>
      </c>
      <c r="AG1858" s="15">
        <v>45413</v>
      </c>
      <c r="AH1858" s="13" t="s">
        <v>41</v>
      </c>
      <c r="AI1858" s="13" t="s">
        <v>47</v>
      </c>
      <c r="AJ1858" s="13" t="str">
        <f>VLOOKUP(E1858,Precios!Z$2:AA$941,2,FALSE)</f>
        <v>Traperos Humedos VIRGINIA</v>
      </c>
      <c r="AK1858" s="14">
        <f>VLOOKUP(E1858,Precios!Z$2:BB$941,3,FALSE)*F1858</f>
        <v>-9</v>
      </c>
      <c r="AL1858" s="17"/>
      <c r="AM1858" s="17"/>
      <c r="AN1858" s="17"/>
      <c r="AO1858" s="17"/>
      <c r="AP1858" s="17"/>
      <c r="AQ1858" s="17"/>
      <c r="AR1858" s="17"/>
      <c r="AS1858" s="17"/>
      <c r="AT1858" s="17"/>
      <c r="AU1858" s="17"/>
      <c r="AV1858" s="17"/>
    </row>
    <row r="1859" spans="1:48" ht="15.75" customHeight="1">
      <c r="A1859" s="21" t="s">
        <v>47</v>
      </c>
      <c r="B1859" s="23" t="s">
        <v>1692</v>
      </c>
      <c r="C1859" s="22">
        <v>45790</v>
      </c>
      <c r="D1859" s="23" t="s">
        <v>324</v>
      </c>
      <c r="E1859" s="23" t="s">
        <v>143</v>
      </c>
      <c r="F1859" s="21">
        <v>1</v>
      </c>
      <c r="G1859" s="12">
        <v>2999.9379074821477</v>
      </c>
      <c r="H1859" s="12">
        <v>2999.9379074821477</v>
      </c>
      <c r="I1859" s="23" t="s">
        <v>52</v>
      </c>
      <c r="J1859" s="23" t="s">
        <v>61</v>
      </c>
      <c r="K1859" s="24" t="s">
        <v>86</v>
      </c>
      <c r="L1859" s="24">
        <v>80</v>
      </c>
      <c r="M1859" s="12">
        <v>2520.9562247749141</v>
      </c>
      <c r="N1859" s="12">
        <v>2520.9562247749141</v>
      </c>
      <c r="O1859" s="12">
        <v>478.98168270723363</v>
      </c>
      <c r="P1859" s="13"/>
      <c r="Q1859" s="14">
        <v>2025</v>
      </c>
      <c r="R1859" s="15">
        <v>45413</v>
      </c>
      <c r="S1859" s="11" t="s">
        <v>414</v>
      </c>
      <c r="T1859" s="16">
        <v>0</v>
      </c>
      <c r="U1859" s="17"/>
      <c r="V1859" s="12">
        <v>1708.9562247749141</v>
      </c>
      <c r="W1859" s="12">
        <v>1708.9562247749141</v>
      </c>
      <c r="X1859" s="12">
        <v>0</v>
      </c>
      <c r="Y1859" s="18">
        <v>45789</v>
      </c>
      <c r="Z1859" s="13" t="s">
        <v>516</v>
      </c>
      <c r="AA1859" s="19" t="s">
        <v>361</v>
      </c>
      <c r="AB1859" s="13" t="s">
        <v>394</v>
      </c>
      <c r="AC1859" s="13" t="s">
        <v>535</v>
      </c>
      <c r="AD1859" s="20"/>
      <c r="AE1859" s="20"/>
      <c r="AF1859" s="13" t="s">
        <v>40</v>
      </c>
      <c r="AG1859" s="15">
        <v>45413</v>
      </c>
      <c r="AH1859" s="13" t="s">
        <v>41</v>
      </c>
      <c r="AI1859" s="13" t="s">
        <v>47</v>
      </c>
      <c r="AJ1859" s="13" t="str">
        <f>VLOOKUP(E1859,Precios!Z$2:AA$941,2,FALSE)</f>
        <v>Toalla desinfectante TEDDY 80 unidades</v>
      </c>
      <c r="AK1859" s="14">
        <f>VLOOKUP(E1859,Precios!Z$2:BB$941,3,FALSE)*F1859</f>
        <v>-1</v>
      </c>
      <c r="AL1859" s="17"/>
      <c r="AM1859" s="17"/>
      <c r="AN1859" s="17"/>
      <c r="AO1859" s="17"/>
      <c r="AP1859" s="17"/>
      <c r="AQ1859" s="17"/>
      <c r="AR1859" s="17"/>
      <c r="AS1859" s="17"/>
      <c r="AT1859" s="17"/>
      <c r="AU1859" s="17"/>
      <c r="AV1859" s="17"/>
    </row>
    <row r="1860" spans="1:48" ht="15.75" customHeight="1">
      <c r="A1860" s="21" t="s">
        <v>53</v>
      </c>
      <c r="B1860" s="23" t="s">
        <v>1692</v>
      </c>
      <c r="C1860" s="22">
        <v>45790</v>
      </c>
      <c r="D1860" s="23" t="s">
        <v>324</v>
      </c>
      <c r="E1860" s="23" t="s">
        <v>203</v>
      </c>
      <c r="F1860" s="21">
        <v>1</v>
      </c>
      <c r="G1860" s="12">
        <v>10000.38816108685</v>
      </c>
      <c r="H1860" s="12">
        <v>10000.38816108685</v>
      </c>
      <c r="I1860" s="23" t="s">
        <v>52</v>
      </c>
      <c r="J1860" s="23" t="s">
        <v>61</v>
      </c>
      <c r="K1860" s="24" t="s">
        <v>86</v>
      </c>
      <c r="L1860" s="24">
        <v>80</v>
      </c>
      <c r="M1860" s="12">
        <v>8403.6875303250854</v>
      </c>
      <c r="N1860" s="12">
        <v>8403.6875303250854</v>
      </c>
      <c r="O1860" s="12">
        <v>1596.7006307617648</v>
      </c>
      <c r="P1860" s="13"/>
      <c r="Q1860" s="14">
        <v>2025</v>
      </c>
      <c r="R1860" s="15">
        <v>45413</v>
      </c>
      <c r="S1860" s="11" t="s">
        <v>366</v>
      </c>
      <c r="T1860" s="16">
        <v>0</v>
      </c>
      <c r="U1860" s="17"/>
      <c r="V1860" s="12">
        <v>3207.6875303250836</v>
      </c>
      <c r="W1860" s="12">
        <v>3207.6875303250836</v>
      </c>
      <c r="X1860" s="12">
        <v>0</v>
      </c>
      <c r="Y1860" s="18">
        <v>45789</v>
      </c>
      <c r="Z1860" s="13" t="s">
        <v>516</v>
      </c>
      <c r="AA1860" s="19" t="s">
        <v>361</v>
      </c>
      <c r="AB1860" s="13" t="s">
        <v>394</v>
      </c>
      <c r="AC1860" s="13" t="s">
        <v>535</v>
      </c>
      <c r="AD1860" s="20"/>
      <c r="AE1860" s="20"/>
      <c r="AF1860" s="13" t="s">
        <v>40</v>
      </c>
      <c r="AG1860" s="15">
        <v>45413</v>
      </c>
      <c r="AH1860" s="13" t="s">
        <v>41</v>
      </c>
      <c r="AI1860" s="13" t="s">
        <v>53</v>
      </c>
      <c r="AJ1860" s="13" t="str">
        <f>VLOOKUP(E1860,Precios!Z$2:AA$941,2,FALSE)</f>
        <v>Papel Higienico ELITE 50 metros</v>
      </c>
      <c r="AK1860" s="14">
        <f>VLOOKUP(E1860,Precios!Z$2:BB$941,3,FALSE)*F1860</f>
        <v>-3</v>
      </c>
      <c r="AL1860" s="17"/>
      <c r="AM1860" s="17"/>
      <c r="AN1860" s="17"/>
      <c r="AO1860" s="17"/>
      <c r="AP1860" s="17"/>
      <c r="AQ1860" s="17"/>
      <c r="AR1860" s="17"/>
      <c r="AS1860" s="17"/>
      <c r="AT1860" s="17"/>
      <c r="AU1860" s="17"/>
      <c r="AV1860" s="17"/>
    </row>
    <row r="1861" spans="1:48" ht="15.75" customHeight="1">
      <c r="A1861" s="21" t="s">
        <v>47</v>
      </c>
      <c r="B1861" s="23" t="s">
        <v>1692</v>
      </c>
      <c r="C1861" s="22">
        <v>45790</v>
      </c>
      <c r="D1861" s="23" t="s">
        <v>324</v>
      </c>
      <c r="E1861" s="23" t="s">
        <v>155</v>
      </c>
      <c r="F1861" s="21">
        <v>1</v>
      </c>
      <c r="G1861" s="12">
        <v>3400</v>
      </c>
      <c r="H1861" s="12">
        <v>3400</v>
      </c>
      <c r="I1861" s="23" t="s">
        <v>52</v>
      </c>
      <c r="J1861" s="23" t="s">
        <v>61</v>
      </c>
      <c r="K1861" s="24" t="s">
        <v>86</v>
      </c>
      <c r="L1861" s="24">
        <v>80</v>
      </c>
      <c r="M1861" s="12">
        <v>2857.1428571428573</v>
      </c>
      <c r="N1861" s="12">
        <v>2857.1428571428573</v>
      </c>
      <c r="O1861" s="12">
        <v>542.85714285714266</v>
      </c>
      <c r="P1861" s="13"/>
      <c r="Q1861" s="14">
        <v>2025</v>
      </c>
      <c r="R1861" s="15">
        <v>45413</v>
      </c>
      <c r="S1861" s="11" t="s">
        <v>453</v>
      </c>
      <c r="T1861" s="16">
        <v>0</v>
      </c>
      <c r="U1861" s="17"/>
      <c r="V1861" s="12">
        <v>1255.1428571428573</v>
      </c>
      <c r="W1861" s="12">
        <v>1255.1428571428573</v>
      </c>
      <c r="X1861" s="12">
        <v>0</v>
      </c>
      <c r="Y1861" s="18">
        <v>45789</v>
      </c>
      <c r="Z1861" s="13" t="s">
        <v>516</v>
      </c>
      <c r="AA1861" s="19" t="s">
        <v>361</v>
      </c>
      <c r="AB1861" s="13" t="s">
        <v>394</v>
      </c>
      <c r="AC1861" s="13" t="s">
        <v>535</v>
      </c>
      <c r="AD1861" s="20"/>
      <c r="AE1861" s="20"/>
      <c r="AF1861" s="13" t="s">
        <v>40</v>
      </c>
      <c r="AG1861" s="15">
        <v>45413</v>
      </c>
      <c r="AH1861" s="13" t="s">
        <v>41</v>
      </c>
      <c r="AI1861" s="13" t="s">
        <v>47</v>
      </c>
      <c r="AJ1861" s="13" t="str">
        <f>VLOOKUP(E1861,Precios!Z$2:AA$941,2,FALSE)</f>
        <v xml:space="preserve">Bolsas Basura TEDDY 50x70 </v>
      </c>
      <c r="AK1861" s="14">
        <f>VLOOKUP(E1861,Precios!Z$2:BB$941,3,FALSE)*F1861</f>
        <v>-6</v>
      </c>
      <c r="AL1861" s="17"/>
      <c r="AM1861" s="17"/>
      <c r="AN1861" s="17"/>
      <c r="AO1861" s="17"/>
      <c r="AP1861" s="17"/>
      <c r="AQ1861" s="17"/>
      <c r="AR1861" s="17"/>
      <c r="AS1861" s="17"/>
      <c r="AT1861" s="17"/>
      <c r="AU1861" s="17"/>
      <c r="AV1861" s="17"/>
    </row>
    <row r="1862" spans="1:48" ht="15.75" customHeight="1">
      <c r="A1862" s="21" t="s">
        <v>53</v>
      </c>
      <c r="B1862" s="23" t="s">
        <v>1692</v>
      </c>
      <c r="C1862" s="22">
        <v>45790</v>
      </c>
      <c r="D1862" s="23" t="s">
        <v>135</v>
      </c>
      <c r="E1862" s="23" t="s">
        <v>97</v>
      </c>
      <c r="F1862" s="21">
        <v>3</v>
      </c>
      <c r="G1862" s="12">
        <v>16500.126742712295</v>
      </c>
      <c r="H1862" s="12">
        <v>49500.380228136884</v>
      </c>
      <c r="I1862" s="23" t="s">
        <v>52</v>
      </c>
      <c r="J1862" s="23" t="s">
        <v>61</v>
      </c>
      <c r="K1862" s="24" t="s">
        <v>177</v>
      </c>
      <c r="L1862" s="24">
        <v>138</v>
      </c>
      <c r="M1862" s="12">
        <v>13865.652724968315</v>
      </c>
      <c r="N1862" s="12">
        <v>41596.958174904947</v>
      </c>
      <c r="O1862" s="12">
        <v>7903.4220532319378</v>
      </c>
      <c r="P1862" s="13"/>
      <c r="Q1862" s="14">
        <v>2025</v>
      </c>
      <c r="R1862" s="15">
        <v>45413</v>
      </c>
      <c r="S1862" s="11" t="s">
        <v>366</v>
      </c>
      <c r="T1862" s="16">
        <v>0</v>
      </c>
      <c r="U1862" s="17"/>
      <c r="V1862" s="12">
        <v>10417.958174904945</v>
      </c>
      <c r="W1862" s="12">
        <v>10417.958174904945</v>
      </c>
      <c r="X1862" s="12">
        <v>0</v>
      </c>
      <c r="Y1862" s="18">
        <v>45789</v>
      </c>
      <c r="Z1862" s="13" t="s">
        <v>516</v>
      </c>
      <c r="AA1862" s="19" t="s">
        <v>361</v>
      </c>
      <c r="AB1862" s="13" t="s">
        <v>357</v>
      </c>
      <c r="AC1862" s="13" t="s">
        <v>538</v>
      </c>
      <c r="AD1862" s="20"/>
      <c r="AE1862" s="20"/>
      <c r="AF1862" s="13" t="s">
        <v>40</v>
      </c>
      <c r="AG1862" s="15">
        <v>45413</v>
      </c>
      <c r="AH1862" s="13" t="s">
        <v>41</v>
      </c>
      <c r="AI1862" s="13" t="s">
        <v>53</v>
      </c>
      <c r="AJ1862" s="13" t="str">
        <f>VLOOKUP(E1862,Precios!Z$2:AA$941,2,FALSE)</f>
        <v>Papel Higienico ELITE 50 metros</v>
      </c>
      <c r="AK1862" s="14">
        <f>VLOOKUP(E1862,Precios!Z$2:BB$941,3,FALSE)*F1862</f>
        <v>-18</v>
      </c>
      <c r="AL1862" s="17"/>
      <c r="AM1862" s="17"/>
      <c r="AN1862" s="17"/>
      <c r="AO1862" s="17"/>
      <c r="AP1862" s="17"/>
      <c r="AQ1862" s="17"/>
      <c r="AR1862" s="17"/>
      <c r="AS1862" s="17"/>
      <c r="AT1862" s="17"/>
      <c r="AU1862" s="17"/>
      <c r="AV1862" s="17"/>
    </row>
    <row r="1863" spans="1:48" ht="15.75" customHeight="1">
      <c r="A1863" s="21" t="s">
        <v>53</v>
      </c>
      <c r="B1863" s="23" t="s">
        <v>1692</v>
      </c>
      <c r="C1863" s="22">
        <v>45789</v>
      </c>
      <c r="D1863" s="23" t="s">
        <v>54</v>
      </c>
      <c r="E1863" s="23" t="s">
        <v>55</v>
      </c>
      <c r="F1863" s="21">
        <v>1</v>
      </c>
      <c r="G1863" s="12">
        <v>20899.657794676805</v>
      </c>
      <c r="H1863" s="12">
        <v>20899.657794676805</v>
      </c>
      <c r="I1863" s="23" t="s">
        <v>52</v>
      </c>
      <c r="J1863" s="23" t="s">
        <v>61</v>
      </c>
      <c r="K1863" s="24" t="s">
        <v>177</v>
      </c>
      <c r="L1863" s="24">
        <v>138</v>
      </c>
      <c r="M1863" s="12">
        <v>17562.737642585551</v>
      </c>
      <c r="N1863" s="12">
        <v>17562.737642585551</v>
      </c>
      <c r="O1863" s="12">
        <v>3336.9201520912538</v>
      </c>
      <c r="P1863" s="13"/>
      <c r="Q1863" s="14">
        <v>2025</v>
      </c>
      <c r="R1863" s="15">
        <v>45413</v>
      </c>
      <c r="S1863" s="11" t="s">
        <v>366</v>
      </c>
      <c r="T1863" s="16">
        <v>0</v>
      </c>
      <c r="U1863" s="17"/>
      <c r="V1863" s="12">
        <v>3705.7376425855509</v>
      </c>
      <c r="W1863" s="12">
        <v>3705.7376425855509</v>
      </c>
      <c r="X1863" s="12">
        <v>0</v>
      </c>
      <c r="Y1863" s="18">
        <v>45789</v>
      </c>
      <c r="Z1863" s="13" t="s">
        <v>523</v>
      </c>
      <c r="AA1863" s="19" t="s">
        <v>373</v>
      </c>
      <c r="AB1863" s="13" t="s">
        <v>357</v>
      </c>
      <c r="AC1863" s="13" t="s">
        <v>380</v>
      </c>
      <c r="AD1863" s="20"/>
      <c r="AE1863" s="20"/>
      <c r="AF1863" s="13" t="s">
        <v>40</v>
      </c>
      <c r="AG1863" s="15">
        <v>45413</v>
      </c>
      <c r="AH1863" s="13" t="s">
        <v>41</v>
      </c>
      <c r="AI1863" s="13" t="s">
        <v>53</v>
      </c>
      <c r="AJ1863" s="13" t="str">
        <f>VLOOKUP(E1863,Precios!Z$2:AA$941,2,FALSE)</f>
        <v>Papel Higienico ELITE 50 metros</v>
      </c>
      <c r="AK1863" s="14">
        <f>VLOOKUP(E1863,Precios!Z$2:BB$941,3,FALSE)*F1863</f>
        <v>-8</v>
      </c>
      <c r="AL1863" s="17"/>
      <c r="AM1863" s="17"/>
      <c r="AN1863" s="17"/>
      <c r="AO1863" s="17"/>
      <c r="AP1863" s="17"/>
      <c r="AQ1863" s="17"/>
      <c r="AR1863" s="17"/>
      <c r="AS1863" s="17"/>
      <c r="AT1863" s="17"/>
      <c r="AU1863" s="17"/>
      <c r="AV1863" s="17"/>
    </row>
    <row r="1864" spans="1:48" ht="15.75" customHeight="1">
      <c r="A1864" s="21" t="s">
        <v>47</v>
      </c>
      <c r="B1864" s="23" t="s">
        <v>1692</v>
      </c>
      <c r="C1864" s="22">
        <v>45789</v>
      </c>
      <c r="D1864" s="23" t="s">
        <v>84</v>
      </c>
      <c r="E1864" s="23" t="s">
        <v>85</v>
      </c>
      <c r="F1864" s="21">
        <v>2</v>
      </c>
      <c r="G1864" s="12">
        <v>3000.268216361198</v>
      </c>
      <c r="H1864" s="12">
        <v>6000.5364327223961</v>
      </c>
      <c r="I1864" s="23" t="s">
        <v>52</v>
      </c>
      <c r="J1864" s="23" t="s">
        <v>61</v>
      </c>
      <c r="K1864" s="24" t="s">
        <v>86</v>
      </c>
      <c r="L1864" s="24">
        <v>79</v>
      </c>
      <c r="M1864" s="12">
        <v>2521.2337952615112</v>
      </c>
      <c r="N1864" s="12">
        <v>5042.4675905230224</v>
      </c>
      <c r="O1864" s="12">
        <v>958.06884219937365</v>
      </c>
      <c r="P1864" s="13"/>
      <c r="Q1864" s="14">
        <v>2025</v>
      </c>
      <c r="R1864" s="15">
        <v>45413</v>
      </c>
      <c r="S1864" s="11" t="s">
        <v>453</v>
      </c>
      <c r="T1864" s="16">
        <v>0</v>
      </c>
      <c r="U1864" s="17"/>
      <c r="V1864" s="12">
        <v>1658.4675905230215</v>
      </c>
      <c r="W1864" s="12">
        <v>1658.4675905230215</v>
      </c>
      <c r="X1864" s="12">
        <v>0</v>
      </c>
      <c r="Y1864" s="18">
        <v>45789</v>
      </c>
      <c r="Z1864" s="13" t="s">
        <v>523</v>
      </c>
      <c r="AA1864" s="19" t="s">
        <v>373</v>
      </c>
      <c r="AB1864" s="13" t="s">
        <v>394</v>
      </c>
      <c r="AC1864" s="13" t="s">
        <v>569</v>
      </c>
      <c r="AD1864" s="20"/>
      <c r="AE1864" s="20"/>
      <c r="AF1864" s="13" t="s">
        <v>40</v>
      </c>
      <c r="AG1864" s="15">
        <v>45413</v>
      </c>
      <c r="AH1864" s="13" t="s">
        <v>41</v>
      </c>
      <c r="AI1864" s="13" t="s">
        <v>47</v>
      </c>
      <c r="AJ1864" s="13" t="str">
        <f>VLOOKUP(E1864,Precios!Z$2:AA$941,2,FALSE)</f>
        <v xml:space="preserve">Bolsas Basura TEDDY 45x55 con Asas </v>
      </c>
      <c r="AK1864" s="14">
        <f>VLOOKUP(E1864,Precios!Z$2:BB$941,3,FALSE)*F1864</f>
        <v>-12</v>
      </c>
      <c r="AL1864" s="17"/>
      <c r="AM1864" s="17"/>
      <c r="AN1864" s="17"/>
      <c r="AO1864" s="17"/>
      <c r="AP1864" s="17"/>
      <c r="AQ1864" s="17"/>
      <c r="AR1864" s="17"/>
      <c r="AS1864" s="17"/>
      <c r="AT1864" s="17"/>
      <c r="AU1864" s="17"/>
      <c r="AV1864" s="17"/>
    </row>
    <row r="1865" spans="1:48" ht="15.75" customHeight="1">
      <c r="A1865" s="21" t="s">
        <v>53</v>
      </c>
      <c r="B1865" s="23" t="s">
        <v>1692</v>
      </c>
      <c r="C1865" s="22">
        <v>45789</v>
      </c>
      <c r="D1865" s="23" t="s">
        <v>84</v>
      </c>
      <c r="E1865" s="23" t="s">
        <v>317</v>
      </c>
      <c r="F1865" s="21">
        <v>1</v>
      </c>
      <c r="G1865" s="12">
        <v>12500.17391304348</v>
      </c>
      <c r="H1865" s="12">
        <v>12500.17391304348</v>
      </c>
      <c r="I1865" s="23" t="s">
        <v>52</v>
      </c>
      <c r="J1865" s="23" t="s">
        <v>61</v>
      </c>
      <c r="K1865" s="24" t="s">
        <v>86</v>
      </c>
      <c r="L1865" s="24">
        <v>79</v>
      </c>
      <c r="M1865" s="12">
        <v>10504.347826086958</v>
      </c>
      <c r="N1865" s="12">
        <v>10504.347826086958</v>
      </c>
      <c r="O1865" s="12">
        <v>1995.826086956522</v>
      </c>
      <c r="P1865" s="13"/>
      <c r="Q1865" s="14">
        <v>2025</v>
      </c>
      <c r="R1865" s="15">
        <v>45413</v>
      </c>
      <c r="S1865" s="11" t="s">
        <v>435</v>
      </c>
      <c r="T1865" s="16">
        <v>0</v>
      </c>
      <c r="U1865" s="17"/>
      <c r="V1865" s="12">
        <v>3256.3478260869579</v>
      </c>
      <c r="W1865" s="12">
        <v>3256.3478260869579</v>
      </c>
      <c r="X1865" s="12">
        <v>0</v>
      </c>
      <c r="Y1865" s="18">
        <v>45789</v>
      </c>
      <c r="Z1865" s="13" t="s">
        <v>523</v>
      </c>
      <c r="AA1865" s="19" t="s">
        <v>373</v>
      </c>
      <c r="AB1865" s="13" t="s">
        <v>394</v>
      </c>
      <c r="AC1865" s="13" t="s">
        <v>569</v>
      </c>
      <c r="AD1865" s="20"/>
      <c r="AE1865" s="20"/>
      <c r="AF1865" s="13" t="s">
        <v>40</v>
      </c>
      <c r="AG1865" s="15">
        <v>45413</v>
      </c>
      <c r="AH1865" s="13" t="s">
        <v>41</v>
      </c>
      <c r="AI1865" s="13" t="s">
        <v>53</v>
      </c>
      <c r="AJ1865" s="13" t="str">
        <f>VLOOKUP(E1865,Precios!Z$2:AA$941,2,FALSE)</f>
        <v>Papel Higienico SWAN 400 hojas</v>
      </c>
      <c r="AK1865" s="14">
        <f>VLOOKUP(E1865,Precios!Z$2:BB$941,3,FALSE)*F1865</f>
        <v>-6</v>
      </c>
      <c r="AL1865" s="17"/>
      <c r="AM1865" s="17"/>
      <c r="AN1865" s="17"/>
      <c r="AO1865" s="17"/>
      <c r="AP1865" s="17"/>
      <c r="AQ1865" s="17"/>
      <c r="AR1865" s="17"/>
      <c r="AS1865" s="17"/>
      <c r="AT1865" s="17"/>
      <c r="AU1865" s="17"/>
      <c r="AV1865" s="17"/>
    </row>
    <row r="1866" spans="1:48" ht="15.75" customHeight="1">
      <c r="A1866" s="21" t="s">
        <v>47</v>
      </c>
      <c r="B1866" s="23" t="s">
        <v>1692</v>
      </c>
      <c r="C1866" s="22">
        <v>45789</v>
      </c>
      <c r="D1866" s="23" t="s">
        <v>84</v>
      </c>
      <c r="E1866" s="23" t="s">
        <v>531</v>
      </c>
      <c r="F1866" s="21">
        <v>1</v>
      </c>
      <c r="G1866" s="12">
        <v>8699.5893440033688</v>
      </c>
      <c r="H1866" s="12">
        <v>8699.5893440033688</v>
      </c>
      <c r="I1866" s="23" t="s">
        <v>52</v>
      </c>
      <c r="J1866" s="23" t="s">
        <v>61</v>
      </c>
      <c r="K1866" s="24" t="s">
        <v>86</v>
      </c>
      <c r="L1866" s="24">
        <v>79</v>
      </c>
      <c r="M1866" s="12">
        <v>7310.5792806751006</v>
      </c>
      <c r="N1866" s="12">
        <v>7310.5792806751006</v>
      </c>
      <c r="O1866" s="12">
        <v>1389.0100633282682</v>
      </c>
      <c r="P1866" s="13"/>
      <c r="Q1866" s="14">
        <v>2025</v>
      </c>
      <c r="R1866" s="15">
        <v>45413</v>
      </c>
      <c r="S1866" s="11" t="s">
        <v>453</v>
      </c>
      <c r="T1866" s="16">
        <v>0</v>
      </c>
      <c r="U1866" s="17"/>
      <c r="V1866" s="12">
        <v>2450.5792806751006</v>
      </c>
      <c r="W1866" s="12">
        <v>2450.5792806751006</v>
      </c>
      <c r="X1866" s="12">
        <v>0</v>
      </c>
      <c r="Y1866" s="18">
        <v>45789</v>
      </c>
      <c r="Z1866" s="13" t="s">
        <v>523</v>
      </c>
      <c r="AA1866" s="19" t="s">
        <v>373</v>
      </c>
      <c r="AB1866" s="13" t="s">
        <v>394</v>
      </c>
      <c r="AC1866" s="13" t="s">
        <v>569</v>
      </c>
      <c r="AD1866" s="20"/>
      <c r="AE1866" s="20"/>
      <c r="AF1866" s="13" t="s">
        <v>40</v>
      </c>
      <c r="AG1866" s="15">
        <v>45413</v>
      </c>
      <c r="AH1866" s="13" t="s">
        <v>41</v>
      </c>
      <c r="AI1866" s="13" t="s">
        <v>47</v>
      </c>
      <c r="AJ1866" s="13" t="str">
        <f>VLOOKUP(E1866,Precios!Z$2:AA$941,2,FALSE)</f>
        <v xml:space="preserve">Bolsas Basura TEDDY 90x120 </v>
      </c>
      <c r="AK1866" s="14">
        <f>VLOOKUP(E1866,Precios!Z$2:BB$941,3,FALSE)*F1866</f>
        <v>-3</v>
      </c>
      <c r="AL1866" s="17"/>
      <c r="AM1866" s="17"/>
      <c r="AN1866" s="17"/>
      <c r="AO1866" s="17"/>
      <c r="AP1866" s="17"/>
      <c r="AQ1866" s="17"/>
      <c r="AR1866" s="17"/>
      <c r="AS1866" s="17"/>
      <c r="AT1866" s="17"/>
      <c r="AU1866" s="17"/>
      <c r="AV1866" s="17"/>
    </row>
    <row r="1867" spans="1:48" ht="15.75" customHeight="1">
      <c r="A1867" s="21" t="s">
        <v>43</v>
      </c>
      <c r="B1867" s="23" t="s">
        <v>1692</v>
      </c>
      <c r="C1867" s="22">
        <v>45789</v>
      </c>
      <c r="D1867" s="23" t="s">
        <v>291</v>
      </c>
      <c r="E1867" s="23" t="s">
        <v>45</v>
      </c>
      <c r="F1867" s="21">
        <v>1</v>
      </c>
      <c r="G1867" s="12">
        <v>8000.0859845227851</v>
      </c>
      <c r="H1867" s="12">
        <v>8000.0859845227851</v>
      </c>
      <c r="I1867" s="23" t="s">
        <v>52</v>
      </c>
      <c r="J1867" s="23" t="s">
        <v>61</v>
      </c>
      <c r="K1867" s="24" t="s">
        <v>177</v>
      </c>
      <c r="L1867" s="24">
        <v>138</v>
      </c>
      <c r="M1867" s="12">
        <v>6722.7613315317521</v>
      </c>
      <c r="N1867" s="12">
        <v>6722.7613315317521</v>
      </c>
      <c r="O1867" s="12">
        <v>1277.324652991033</v>
      </c>
      <c r="P1867" s="13"/>
      <c r="Q1867" s="14">
        <v>2025</v>
      </c>
      <c r="R1867" s="15">
        <v>45413</v>
      </c>
      <c r="S1867" s="11" t="s">
        <v>355</v>
      </c>
      <c r="T1867" s="16">
        <v>0</v>
      </c>
      <c r="U1867" s="17"/>
      <c r="V1867" s="12">
        <v>1249.7613315317521</v>
      </c>
      <c r="W1867" s="12">
        <v>1249.7613315317521</v>
      </c>
      <c r="X1867" s="12">
        <v>0</v>
      </c>
      <c r="Y1867" s="18">
        <v>45789</v>
      </c>
      <c r="Z1867" s="13" t="s">
        <v>523</v>
      </c>
      <c r="AA1867" s="19" t="s">
        <v>373</v>
      </c>
      <c r="AB1867" s="13" t="s">
        <v>357</v>
      </c>
      <c r="AC1867" s="13" t="s">
        <v>374</v>
      </c>
      <c r="AD1867" s="20"/>
      <c r="AE1867" s="20"/>
      <c r="AF1867" s="13" t="s">
        <v>40</v>
      </c>
      <c r="AG1867" s="15">
        <v>45413</v>
      </c>
      <c r="AH1867" s="13" t="s">
        <v>41</v>
      </c>
      <c r="AI1867" s="13" t="s">
        <v>43</v>
      </c>
      <c r="AJ1867" s="13" t="str">
        <f>VLOOKUP(E1867,Precios!Z$2:AA$941,2,FALSE)</f>
        <v>Bandeja Huevos EXTRA</v>
      </c>
      <c r="AK1867" s="14">
        <f>VLOOKUP(E1867,Precios!Z$2:BB$941,3,FALSE)*F1867</f>
        <v>-1</v>
      </c>
      <c r="AL1867" s="17"/>
      <c r="AM1867" s="17"/>
      <c r="AN1867" s="17"/>
      <c r="AO1867" s="17"/>
      <c r="AP1867" s="17"/>
      <c r="AQ1867" s="17"/>
      <c r="AR1867" s="17"/>
      <c r="AS1867" s="17"/>
      <c r="AT1867" s="17"/>
      <c r="AU1867" s="17"/>
      <c r="AV1867" s="17"/>
    </row>
    <row r="1868" spans="1:48" ht="15.75" customHeight="1">
      <c r="A1868" s="21" t="s">
        <v>43</v>
      </c>
      <c r="B1868" s="23" t="s">
        <v>1692</v>
      </c>
      <c r="C1868" s="22">
        <v>45789</v>
      </c>
      <c r="D1868" s="23" t="s">
        <v>649</v>
      </c>
      <c r="E1868" s="23" t="s">
        <v>45</v>
      </c>
      <c r="F1868" s="21">
        <v>1</v>
      </c>
      <c r="G1868" s="12">
        <v>8000.0859845227851</v>
      </c>
      <c r="H1868" s="12">
        <v>8000.0859845227851</v>
      </c>
      <c r="I1868" s="23" t="s">
        <v>52</v>
      </c>
      <c r="J1868" s="23" t="s">
        <v>61</v>
      </c>
      <c r="K1868" s="24" t="s">
        <v>177</v>
      </c>
      <c r="L1868" s="24">
        <v>138</v>
      </c>
      <c r="M1868" s="12">
        <v>6722.7613315317521</v>
      </c>
      <c r="N1868" s="12">
        <v>6722.7613315317521</v>
      </c>
      <c r="O1868" s="12">
        <v>1277.324652991033</v>
      </c>
      <c r="P1868" s="13"/>
      <c r="Q1868" s="14">
        <v>2025</v>
      </c>
      <c r="R1868" s="15">
        <v>45413</v>
      </c>
      <c r="S1868" s="11" t="s">
        <v>355</v>
      </c>
      <c r="T1868" s="16">
        <v>0</v>
      </c>
      <c r="U1868" s="17"/>
      <c r="V1868" s="12">
        <v>1249.7613315317521</v>
      </c>
      <c r="W1868" s="12">
        <v>1249.7613315317521</v>
      </c>
      <c r="X1868" s="12">
        <v>0</v>
      </c>
      <c r="Y1868" s="18">
        <v>45789</v>
      </c>
      <c r="Z1868" s="13" t="s">
        <v>523</v>
      </c>
      <c r="AA1868" s="19" t="s">
        <v>373</v>
      </c>
      <c r="AB1868" s="13" t="s">
        <v>357</v>
      </c>
      <c r="AC1868" s="13" t="s">
        <v>488</v>
      </c>
      <c r="AD1868" s="20"/>
      <c r="AE1868" s="20"/>
      <c r="AF1868" s="13" t="s">
        <v>40</v>
      </c>
      <c r="AG1868" s="15">
        <v>45413</v>
      </c>
      <c r="AH1868" s="13" t="s">
        <v>41</v>
      </c>
      <c r="AI1868" s="13" t="s">
        <v>43</v>
      </c>
      <c r="AJ1868" s="13" t="str">
        <f>VLOOKUP(E1868,Precios!Z$2:AA$941,2,FALSE)</f>
        <v>Bandeja Huevos EXTRA</v>
      </c>
      <c r="AK1868" s="14">
        <f>VLOOKUP(E1868,Precios!Z$2:BB$941,3,FALSE)*F1868</f>
        <v>-1</v>
      </c>
      <c r="AL1868" s="17"/>
      <c r="AM1868" s="17"/>
      <c r="AN1868" s="17"/>
      <c r="AO1868" s="17"/>
      <c r="AP1868" s="17"/>
      <c r="AQ1868" s="17"/>
      <c r="AR1868" s="17"/>
      <c r="AS1868" s="17"/>
      <c r="AT1868" s="17"/>
      <c r="AU1868" s="17"/>
      <c r="AV1868" s="17"/>
    </row>
    <row r="1869" spans="1:48" ht="15.75" customHeight="1">
      <c r="A1869" s="21" t="s">
        <v>35</v>
      </c>
      <c r="B1869" s="23" t="s">
        <v>1692</v>
      </c>
      <c r="C1869" s="22">
        <v>45789</v>
      </c>
      <c r="D1869" s="23" t="s">
        <v>915</v>
      </c>
      <c r="E1869" s="23" t="s">
        <v>650</v>
      </c>
      <c r="F1869" s="21">
        <v>1</v>
      </c>
      <c r="G1869" s="12">
        <v>9999.944524213548</v>
      </c>
      <c r="H1869" s="12">
        <v>9999.944524213548</v>
      </c>
      <c r="I1869" s="23" t="s">
        <v>52</v>
      </c>
      <c r="J1869" s="23" t="s">
        <v>61</v>
      </c>
      <c r="K1869" s="24" t="s">
        <v>177</v>
      </c>
      <c r="L1869" s="24">
        <v>138</v>
      </c>
      <c r="M1869" s="12">
        <v>8403.3147262298735</v>
      </c>
      <c r="N1869" s="12">
        <v>8403.3147262298735</v>
      </c>
      <c r="O1869" s="12">
        <v>1596.6297979836745</v>
      </c>
      <c r="P1869" s="13"/>
      <c r="Q1869" s="14">
        <v>2025</v>
      </c>
      <c r="R1869" s="15">
        <v>45413</v>
      </c>
      <c r="S1869" s="11" t="s">
        <v>364</v>
      </c>
      <c r="T1869" s="16">
        <v>950</v>
      </c>
      <c r="U1869" s="17"/>
      <c r="V1869" s="12">
        <v>2272.0962388349135</v>
      </c>
      <c r="W1869" s="12">
        <v>2272.0962388349135</v>
      </c>
      <c r="X1869" s="12">
        <v>0</v>
      </c>
      <c r="Y1869" s="18">
        <v>45789</v>
      </c>
      <c r="Z1869" s="13" t="s">
        <v>523</v>
      </c>
      <c r="AA1869" s="19" t="s">
        <v>367</v>
      </c>
      <c r="AB1869" s="13" t="s">
        <v>357</v>
      </c>
      <c r="AC1869" s="13" t="s">
        <v>367</v>
      </c>
      <c r="AD1869" s="20"/>
      <c r="AE1869" s="20"/>
      <c r="AF1869" s="13" t="s">
        <v>40</v>
      </c>
      <c r="AG1869" s="15">
        <v>45413</v>
      </c>
      <c r="AH1869" s="13" t="s">
        <v>41</v>
      </c>
      <c r="AI1869" s="13" t="s">
        <v>35</v>
      </c>
      <c r="AJ1869" s="13" t="str">
        <f>VLOOKUP(E1869,Precios!Z$2:AA$941,2,FALSE)</f>
        <v>Queso RUNCA Mantecoso</v>
      </c>
      <c r="AK1869" s="14">
        <f>VLOOKUP(E1869,Precios!Z$2:BB$941,3,FALSE)*F1869</f>
        <v>-0.95</v>
      </c>
      <c r="AL1869" s="17"/>
      <c r="AM1869" s="17"/>
      <c r="AN1869" s="17"/>
      <c r="AO1869" s="17"/>
      <c r="AP1869" s="17"/>
      <c r="AQ1869" s="17"/>
      <c r="AR1869" s="17"/>
      <c r="AS1869" s="17"/>
      <c r="AT1869" s="17"/>
      <c r="AU1869" s="17"/>
      <c r="AV1869" s="17"/>
    </row>
    <row r="1870" spans="1:48" ht="15.75" customHeight="1">
      <c r="A1870" s="21" t="s">
        <v>43</v>
      </c>
      <c r="B1870" s="23" t="s">
        <v>1692</v>
      </c>
      <c r="C1870" s="22">
        <v>45789</v>
      </c>
      <c r="D1870" s="23" t="s">
        <v>227</v>
      </c>
      <c r="E1870" s="23" t="s">
        <v>45</v>
      </c>
      <c r="F1870" s="21">
        <v>2</v>
      </c>
      <c r="G1870" s="12">
        <v>8000.0859845227851</v>
      </c>
      <c r="H1870" s="12">
        <v>16000.17196904557</v>
      </c>
      <c r="I1870" s="23" t="s">
        <v>52</v>
      </c>
      <c r="J1870" s="23" t="s">
        <v>61</v>
      </c>
      <c r="K1870" s="24" t="s">
        <v>177</v>
      </c>
      <c r="L1870" s="24">
        <v>138</v>
      </c>
      <c r="M1870" s="12">
        <v>6722.7613315317521</v>
      </c>
      <c r="N1870" s="12">
        <v>13445.522663063504</v>
      </c>
      <c r="O1870" s="12">
        <v>2554.6493059820659</v>
      </c>
      <c r="P1870" s="13"/>
      <c r="Q1870" s="14">
        <v>2025</v>
      </c>
      <c r="R1870" s="15">
        <v>45413</v>
      </c>
      <c r="S1870" s="11" t="s">
        <v>355</v>
      </c>
      <c r="T1870" s="16">
        <v>0</v>
      </c>
      <c r="U1870" s="17"/>
      <c r="V1870" s="12">
        <v>2499.5226630635043</v>
      </c>
      <c r="W1870" s="12">
        <v>2499.5226630635043</v>
      </c>
      <c r="X1870" s="12">
        <v>0</v>
      </c>
      <c r="Y1870" s="18">
        <v>45789</v>
      </c>
      <c r="Z1870" s="13" t="s">
        <v>523</v>
      </c>
      <c r="AA1870" s="19" t="s">
        <v>361</v>
      </c>
      <c r="AB1870" s="13" t="s">
        <v>357</v>
      </c>
      <c r="AC1870" s="13" t="s">
        <v>393</v>
      </c>
      <c r="AD1870" s="20"/>
      <c r="AE1870" s="20"/>
      <c r="AF1870" s="13" t="s">
        <v>40</v>
      </c>
      <c r="AG1870" s="15">
        <v>45413</v>
      </c>
      <c r="AH1870" s="13" t="s">
        <v>41</v>
      </c>
      <c r="AI1870" s="13" t="s">
        <v>43</v>
      </c>
      <c r="AJ1870" s="13" t="str">
        <f>VLOOKUP(E1870,Precios!Z$2:AA$941,2,FALSE)</f>
        <v>Bandeja Huevos EXTRA</v>
      </c>
      <c r="AK1870" s="14">
        <f>VLOOKUP(E1870,Precios!Z$2:BB$941,3,FALSE)*F1870</f>
        <v>-2</v>
      </c>
      <c r="AL1870" s="17"/>
      <c r="AM1870" s="17"/>
      <c r="AN1870" s="17"/>
      <c r="AO1870" s="17"/>
      <c r="AP1870" s="17"/>
      <c r="AQ1870" s="17"/>
      <c r="AR1870" s="17"/>
      <c r="AS1870" s="17"/>
      <c r="AT1870" s="17"/>
      <c r="AU1870" s="17"/>
      <c r="AV1870" s="17"/>
    </row>
    <row r="1871" spans="1:48" ht="15.75" customHeight="1">
      <c r="A1871" s="21" t="s">
        <v>53</v>
      </c>
      <c r="B1871" s="23" t="s">
        <v>1692</v>
      </c>
      <c r="C1871" s="22">
        <v>45789</v>
      </c>
      <c r="D1871" s="23" t="s">
        <v>188</v>
      </c>
      <c r="E1871" s="23" t="s">
        <v>274</v>
      </c>
      <c r="F1871" s="21">
        <v>1</v>
      </c>
      <c r="G1871" s="12">
        <v>22500.104577715188</v>
      </c>
      <c r="H1871" s="12">
        <v>22500.104577715188</v>
      </c>
      <c r="I1871" s="23" t="s">
        <v>52</v>
      </c>
      <c r="J1871" s="23" t="s">
        <v>61</v>
      </c>
      <c r="K1871" s="24" t="s">
        <v>177</v>
      </c>
      <c r="L1871" s="24">
        <v>138</v>
      </c>
      <c r="M1871" s="12">
        <v>18907.650905643015</v>
      </c>
      <c r="N1871" s="12">
        <v>18907.650905643015</v>
      </c>
      <c r="O1871" s="12">
        <v>3592.4536720721735</v>
      </c>
      <c r="P1871" s="13"/>
      <c r="Q1871" s="14">
        <v>2025</v>
      </c>
      <c r="R1871" s="15">
        <v>45413</v>
      </c>
      <c r="S1871" s="11" t="s">
        <v>376</v>
      </c>
      <c r="T1871" s="16">
        <v>0</v>
      </c>
      <c r="U1871" s="17"/>
      <c r="V1871" s="12">
        <v>5347.650905643015</v>
      </c>
      <c r="W1871" s="12">
        <v>5347.650905643015</v>
      </c>
      <c r="X1871" s="12">
        <v>0</v>
      </c>
      <c r="Y1871" s="18">
        <v>45789</v>
      </c>
      <c r="Z1871" s="13" t="s">
        <v>523</v>
      </c>
      <c r="AA1871" s="19" t="s">
        <v>373</v>
      </c>
      <c r="AB1871" s="13" t="s">
        <v>357</v>
      </c>
      <c r="AC1871" s="13" t="s">
        <v>380</v>
      </c>
      <c r="AD1871" s="20"/>
      <c r="AE1871" s="20"/>
      <c r="AF1871" s="13" t="s">
        <v>40</v>
      </c>
      <c r="AG1871" s="15">
        <v>45413</v>
      </c>
      <c r="AH1871" s="13" t="s">
        <v>41</v>
      </c>
      <c r="AI1871" s="13" t="s">
        <v>53</v>
      </c>
      <c r="AJ1871" s="13" t="str">
        <f>VLOOKUP(E1871,Precios!Z$2:AA$941,2,FALSE)</f>
        <v>Toalla Papel NOVA 70 metros</v>
      </c>
      <c r="AK1871" s="14">
        <f>VLOOKUP(E1871,Precios!Z$2:BB$941,3,FALSE)*F1871</f>
        <v>-8</v>
      </c>
      <c r="AL1871" s="17"/>
      <c r="AM1871" s="17"/>
      <c r="AN1871" s="17"/>
      <c r="AO1871" s="17"/>
      <c r="AP1871" s="17"/>
      <c r="AQ1871" s="17"/>
      <c r="AR1871" s="17"/>
      <c r="AS1871" s="17"/>
      <c r="AT1871" s="17"/>
      <c r="AU1871" s="17"/>
      <c r="AV1871" s="17"/>
    </row>
    <row r="1872" spans="1:48" ht="15.75" customHeight="1">
      <c r="A1872" s="21" t="s">
        <v>53</v>
      </c>
      <c r="B1872" s="23" t="s">
        <v>1692</v>
      </c>
      <c r="C1872" s="22">
        <v>45789</v>
      </c>
      <c r="D1872" s="23" t="s">
        <v>188</v>
      </c>
      <c r="E1872" s="23" t="s">
        <v>55</v>
      </c>
      <c r="F1872" s="21">
        <v>2</v>
      </c>
      <c r="G1872" s="12">
        <v>20899.657794676805</v>
      </c>
      <c r="H1872" s="12">
        <v>41799.31558935361</v>
      </c>
      <c r="I1872" s="23" t="s">
        <v>52</v>
      </c>
      <c r="J1872" s="23" t="s">
        <v>61</v>
      </c>
      <c r="K1872" s="24" t="s">
        <v>177</v>
      </c>
      <c r="L1872" s="24">
        <v>138</v>
      </c>
      <c r="M1872" s="12">
        <v>17562.737642585551</v>
      </c>
      <c r="N1872" s="12">
        <v>35125.475285171102</v>
      </c>
      <c r="O1872" s="12">
        <v>6673.8403041825077</v>
      </c>
      <c r="P1872" s="13"/>
      <c r="Q1872" s="14">
        <v>2025</v>
      </c>
      <c r="R1872" s="15">
        <v>45413</v>
      </c>
      <c r="S1872" s="11" t="s">
        <v>366</v>
      </c>
      <c r="T1872" s="16">
        <v>0</v>
      </c>
      <c r="U1872" s="17"/>
      <c r="V1872" s="12">
        <v>7411.4752851711019</v>
      </c>
      <c r="W1872" s="12">
        <v>7411.4752851711019</v>
      </c>
      <c r="X1872" s="12">
        <v>0</v>
      </c>
      <c r="Y1872" s="18">
        <v>45789</v>
      </c>
      <c r="Z1872" s="13" t="s">
        <v>523</v>
      </c>
      <c r="AA1872" s="19" t="s">
        <v>373</v>
      </c>
      <c r="AB1872" s="13" t="s">
        <v>357</v>
      </c>
      <c r="AC1872" s="13" t="s">
        <v>380</v>
      </c>
      <c r="AD1872" s="20"/>
      <c r="AE1872" s="20"/>
      <c r="AF1872" s="13" t="s">
        <v>40</v>
      </c>
      <c r="AG1872" s="15">
        <v>45413</v>
      </c>
      <c r="AH1872" s="13" t="s">
        <v>41</v>
      </c>
      <c r="AI1872" s="13" t="s">
        <v>53</v>
      </c>
      <c r="AJ1872" s="13" t="str">
        <f>VLOOKUP(E1872,Precios!Z$2:AA$941,2,FALSE)</f>
        <v>Papel Higienico ELITE 50 metros</v>
      </c>
      <c r="AK1872" s="14">
        <f>VLOOKUP(E1872,Precios!Z$2:BB$941,3,FALSE)*F1872</f>
        <v>-16</v>
      </c>
      <c r="AL1872" s="17"/>
      <c r="AM1872" s="17"/>
      <c r="AN1872" s="17"/>
      <c r="AO1872" s="17"/>
      <c r="AP1872" s="17"/>
      <c r="AQ1872" s="17"/>
      <c r="AR1872" s="17"/>
      <c r="AS1872" s="17"/>
      <c r="AT1872" s="17"/>
      <c r="AU1872" s="17"/>
      <c r="AV1872" s="17"/>
    </row>
    <row r="1873" spans="1:48" ht="15.75" customHeight="1">
      <c r="A1873" s="21" t="s">
        <v>50</v>
      </c>
      <c r="B1873" s="23" t="s">
        <v>1692</v>
      </c>
      <c r="C1873" s="22">
        <v>45788</v>
      </c>
      <c r="D1873" s="23" t="s">
        <v>651</v>
      </c>
      <c r="E1873" s="23" t="s">
        <v>51</v>
      </c>
      <c r="F1873" s="21">
        <v>3</v>
      </c>
      <c r="G1873" s="12">
        <v>1000.0000000000001</v>
      </c>
      <c r="H1873" s="12">
        <v>3000.0000000000005</v>
      </c>
      <c r="I1873" s="23" t="s">
        <v>52</v>
      </c>
      <c r="J1873" s="23" t="s">
        <v>61</v>
      </c>
      <c r="K1873" s="24" t="s">
        <v>177</v>
      </c>
      <c r="L1873" s="24">
        <v>137</v>
      </c>
      <c r="M1873" s="12">
        <v>840.3361344537816</v>
      </c>
      <c r="N1873" s="12">
        <v>2521.0084033613452</v>
      </c>
      <c r="O1873" s="12">
        <v>478.99159663865521</v>
      </c>
      <c r="P1873" s="13"/>
      <c r="Q1873" s="14">
        <v>2025</v>
      </c>
      <c r="R1873" s="15">
        <v>45413</v>
      </c>
      <c r="S1873" s="11" t="s">
        <v>51</v>
      </c>
      <c r="T1873" s="16">
        <v>0</v>
      </c>
      <c r="U1873" s="17"/>
      <c r="V1873" s="12">
        <v>1321.0084033613448</v>
      </c>
      <c r="W1873" s="12">
        <v>1321.0084033613448</v>
      </c>
      <c r="X1873" s="12">
        <v>0</v>
      </c>
      <c r="Y1873" s="18">
        <v>45782</v>
      </c>
      <c r="Z1873" s="13" t="s">
        <v>497</v>
      </c>
      <c r="AA1873" s="19" t="s">
        <v>361</v>
      </c>
      <c r="AB1873" s="13" t="s">
        <v>357</v>
      </c>
      <c r="AC1873" s="13" t="s">
        <v>383</v>
      </c>
      <c r="AD1873" s="20"/>
      <c r="AE1873" s="20"/>
      <c r="AF1873" s="13" t="s">
        <v>40</v>
      </c>
      <c r="AG1873" s="15">
        <v>45413</v>
      </c>
      <c r="AH1873" s="13" t="s">
        <v>41</v>
      </c>
      <c r="AI1873" s="13" t="s">
        <v>50</v>
      </c>
      <c r="AJ1873" s="13" t="str">
        <f>VLOOKUP(E1873,Precios!Z$2:AA$941,2,FALSE)</f>
        <v>Hielo 1 Kilo</v>
      </c>
      <c r="AK1873" s="14">
        <f>VLOOKUP(E1873,Precios!Z$2:BB$941,3,FALSE)*F1873</f>
        <v>-3</v>
      </c>
      <c r="AL1873" s="17"/>
      <c r="AM1873" s="17"/>
      <c r="AN1873" s="17"/>
      <c r="AO1873" s="17"/>
      <c r="AP1873" s="17"/>
      <c r="AQ1873" s="17"/>
      <c r="AR1873" s="17"/>
      <c r="AS1873" s="17"/>
      <c r="AT1873" s="17"/>
      <c r="AU1873" s="17"/>
      <c r="AV1873" s="17"/>
    </row>
    <row r="1874" spans="1:48" ht="15.75" customHeight="1">
      <c r="A1874" s="21" t="s">
        <v>53</v>
      </c>
      <c r="B1874" s="23" t="s">
        <v>1692</v>
      </c>
      <c r="C1874" s="22">
        <v>45788</v>
      </c>
      <c r="D1874" s="23" t="s">
        <v>189</v>
      </c>
      <c r="E1874" s="23" t="s">
        <v>97</v>
      </c>
      <c r="F1874" s="21">
        <v>1</v>
      </c>
      <c r="G1874" s="12">
        <v>16500.126742712295</v>
      </c>
      <c r="H1874" s="12">
        <v>16500.126742712295</v>
      </c>
      <c r="I1874" s="23" t="s">
        <v>52</v>
      </c>
      <c r="J1874" s="23" t="s">
        <v>61</v>
      </c>
      <c r="K1874" s="24" t="s">
        <v>177</v>
      </c>
      <c r="L1874" s="24">
        <v>137</v>
      </c>
      <c r="M1874" s="12">
        <v>13865.652724968315</v>
      </c>
      <c r="N1874" s="12">
        <v>13865.652724968315</v>
      </c>
      <c r="O1874" s="12">
        <v>2634.4740177439799</v>
      </c>
      <c r="P1874" s="13"/>
      <c r="Q1874" s="14">
        <v>2025</v>
      </c>
      <c r="R1874" s="15">
        <v>45413</v>
      </c>
      <c r="S1874" s="11" t="s">
        <v>366</v>
      </c>
      <c r="T1874" s="16">
        <v>0</v>
      </c>
      <c r="U1874" s="17"/>
      <c r="V1874" s="12">
        <v>3472.6527249683149</v>
      </c>
      <c r="W1874" s="12">
        <v>3472.6527249683149</v>
      </c>
      <c r="X1874" s="12">
        <v>0</v>
      </c>
      <c r="Y1874" s="18">
        <v>45782</v>
      </c>
      <c r="Z1874" s="13" t="s">
        <v>497</v>
      </c>
      <c r="AA1874" s="19" t="s">
        <v>361</v>
      </c>
      <c r="AB1874" s="13" t="s">
        <v>357</v>
      </c>
      <c r="AC1874" s="13" t="s">
        <v>362</v>
      </c>
      <c r="AD1874" s="20"/>
      <c r="AE1874" s="20"/>
      <c r="AF1874" s="13" t="s">
        <v>40</v>
      </c>
      <c r="AG1874" s="15">
        <v>45413</v>
      </c>
      <c r="AH1874" s="13" t="s">
        <v>41</v>
      </c>
      <c r="AI1874" s="13" t="s">
        <v>53</v>
      </c>
      <c r="AJ1874" s="13" t="str">
        <f>VLOOKUP(E1874,Precios!Z$2:AA$941,2,FALSE)</f>
        <v>Papel Higienico ELITE 50 metros</v>
      </c>
      <c r="AK1874" s="14">
        <f>VLOOKUP(E1874,Precios!Z$2:BB$941,3,FALSE)*F1874</f>
        <v>-6</v>
      </c>
      <c r="AL1874" s="17"/>
      <c r="AM1874" s="17"/>
      <c r="AN1874" s="17"/>
      <c r="AO1874" s="17"/>
      <c r="AP1874" s="17"/>
      <c r="AQ1874" s="17"/>
      <c r="AR1874" s="17"/>
      <c r="AS1874" s="17"/>
      <c r="AT1874" s="17"/>
      <c r="AU1874" s="17"/>
      <c r="AV1874" s="17"/>
    </row>
    <row r="1875" spans="1:48" ht="15.75" customHeight="1">
      <c r="A1875" s="21" t="s">
        <v>53</v>
      </c>
      <c r="B1875" s="23" t="s">
        <v>1692</v>
      </c>
      <c r="C1875" s="22">
        <v>45788</v>
      </c>
      <c r="D1875" s="23" t="s">
        <v>189</v>
      </c>
      <c r="E1875" s="23" t="s">
        <v>69</v>
      </c>
      <c r="F1875" s="21">
        <v>1</v>
      </c>
      <c r="G1875" s="12">
        <v>2999.9553810458683</v>
      </c>
      <c r="H1875" s="12">
        <v>2999.9553810458683</v>
      </c>
      <c r="I1875" s="23" t="s">
        <v>52</v>
      </c>
      <c r="J1875" s="23" t="s">
        <v>61</v>
      </c>
      <c r="K1875" s="24" t="s">
        <v>177</v>
      </c>
      <c r="L1875" s="24">
        <v>137</v>
      </c>
      <c r="M1875" s="12">
        <v>2520.9709084419064</v>
      </c>
      <c r="N1875" s="12">
        <v>2520.9709084419064</v>
      </c>
      <c r="O1875" s="12">
        <v>478.98447260396188</v>
      </c>
      <c r="P1875" s="13"/>
      <c r="Q1875" s="14">
        <v>2025</v>
      </c>
      <c r="R1875" s="15">
        <v>45413</v>
      </c>
      <c r="S1875" s="11" t="s">
        <v>376</v>
      </c>
      <c r="T1875" s="16">
        <v>0</v>
      </c>
      <c r="U1875" s="17"/>
      <c r="V1875" s="12">
        <v>825.97090844190598</v>
      </c>
      <c r="W1875" s="12">
        <v>825.97090844190598</v>
      </c>
      <c r="X1875" s="12">
        <v>0</v>
      </c>
      <c r="Y1875" s="18">
        <v>45782</v>
      </c>
      <c r="Z1875" s="13" t="s">
        <v>497</v>
      </c>
      <c r="AA1875" s="19" t="s">
        <v>361</v>
      </c>
      <c r="AB1875" s="13" t="s">
        <v>357</v>
      </c>
      <c r="AC1875" s="13" t="s">
        <v>362</v>
      </c>
      <c r="AD1875" s="20"/>
      <c r="AE1875" s="20"/>
      <c r="AF1875" s="13" t="s">
        <v>40</v>
      </c>
      <c r="AG1875" s="15">
        <v>45413</v>
      </c>
      <c r="AH1875" s="13" t="s">
        <v>41</v>
      </c>
      <c r="AI1875" s="13" t="s">
        <v>53</v>
      </c>
      <c r="AJ1875" s="13" t="str">
        <f>VLOOKUP(E1875,Precios!Z$2:AA$941,2,FALSE)</f>
        <v>Toalla Papel NOVA 70 metros</v>
      </c>
      <c r="AK1875" s="14">
        <f>VLOOKUP(E1875,Precios!Z$2:BB$941,3,FALSE)*F1875</f>
        <v>-1</v>
      </c>
      <c r="AL1875" s="17"/>
      <c r="AM1875" s="17"/>
      <c r="AN1875" s="17"/>
      <c r="AO1875" s="17"/>
      <c r="AP1875" s="17"/>
      <c r="AQ1875" s="17"/>
      <c r="AR1875" s="17"/>
      <c r="AS1875" s="17"/>
      <c r="AT1875" s="17"/>
      <c r="AU1875" s="17"/>
      <c r="AV1875" s="17"/>
    </row>
    <row r="1876" spans="1:48" ht="15.75" customHeight="1">
      <c r="A1876" s="21" t="s">
        <v>35</v>
      </c>
      <c r="B1876" s="23" t="s">
        <v>1692</v>
      </c>
      <c r="C1876" s="22">
        <v>45788</v>
      </c>
      <c r="D1876" s="23" t="s">
        <v>189</v>
      </c>
      <c r="E1876" s="23" t="s">
        <v>46</v>
      </c>
      <c r="F1876" s="21">
        <v>1</v>
      </c>
      <c r="G1876" s="12">
        <v>5500</v>
      </c>
      <c r="H1876" s="12">
        <v>5500</v>
      </c>
      <c r="I1876" s="23" t="s">
        <v>52</v>
      </c>
      <c r="J1876" s="23" t="s">
        <v>61</v>
      </c>
      <c r="K1876" s="24" t="s">
        <v>177</v>
      </c>
      <c r="L1876" s="24">
        <v>137</v>
      </c>
      <c r="M1876" s="12">
        <v>4621.8487394957983</v>
      </c>
      <c r="N1876" s="12">
        <v>4621.8487394957983</v>
      </c>
      <c r="O1876" s="12">
        <v>878.15126050420167</v>
      </c>
      <c r="P1876" s="13"/>
      <c r="Q1876" s="14">
        <v>2025</v>
      </c>
      <c r="R1876" s="15">
        <v>45413</v>
      </c>
      <c r="S1876" s="11" t="s">
        <v>364</v>
      </c>
      <c r="T1876" s="16">
        <v>500</v>
      </c>
      <c r="U1876" s="17"/>
      <c r="V1876" s="12">
        <v>1365.1260504201678</v>
      </c>
      <c r="W1876" s="12">
        <v>1365.1260504201678</v>
      </c>
      <c r="X1876" s="12">
        <v>0</v>
      </c>
      <c r="Y1876" s="18">
        <v>45782</v>
      </c>
      <c r="Z1876" s="13" t="s">
        <v>497</v>
      </c>
      <c r="AA1876" s="19" t="s">
        <v>361</v>
      </c>
      <c r="AB1876" s="13" t="s">
        <v>357</v>
      </c>
      <c r="AC1876" s="13" t="s">
        <v>362</v>
      </c>
      <c r="AD1876" s="20"/>
      <c r="AE1876" s="20"/>
      <c r="AF1876" s="13" t="s">
        <v>40</v>
      </c>
      <c r="AG1876" s="15">
        <v>45413</v>
      </c>
      <c r="AH1876" s="13" t="s">
        <v>41</v>
      </c>
      <c r="AI1876" s="13" t="s">
        <v>35</v>
      </c>
      <c r="AJ1876" s="13" t="str">
        <f>VLOOKUP(E1876,Precios!Z$2:AA$941,2,FALSE)</f>
        <v>Queso RUNCA Mantecoso</v>
      </c>
      <c r="AK1876" s="14">
        <f>VLOOKUP(E1876,Precios!Z$2:BB$941,3,FALSE)*F1876</f>
        <v>-0.5</v>
      </c>
      <c r="AL1876" s="17"/>
      <c r="AM1876" s="17"/>
      <c r="AN1876" s="17"/>
      <c r="AO1876" s="17"/>
      <c r="AP1876" s="17"/>
      <c r="AQ1876" s="17"/>
      <c r="AR1876" s="17"/>
      <c r="AS1876" s="17"/>
      <c r="AT1876" s="17"/>
      <c r="AU1876" s="17"/>
      <c r="AV1876" s="17"/>
    </row>
    <row r="1877" spans="1:48" ht="15.75" customHeight="1">
      <c r="A1877" s="21" t="s">
        <v>43</v>
      </c>
      <c r="B1877" s="23" t="s">
        <v>1692</v>
      </c>
      <c r="C1877" s="22">
        <v>45788</v>
      </c>
      <c r="D1877" s="23" t="s">
        <v>68</v>
      </c>
      <c r="E1877" s="23" t="s">
        <v>45</v>
      </c>
      <c r="F1877" s="21">
        <v>1</v>
      </c>
      <c r="G1877" s="12">
        <v>8000.0859845227851</v>
      </c>
      <c r="H1877" s="12">
        <v>8000.0859845227851</v>
      </c>
      <c r="I1877" s="23" t="s">
        <v>52</v>
      </c>
      <c r="J1877" s="23" t="s">
        <v>61</v>
      </c>
      <c r="K1877" s="24" t="s">
        <v>86</v>
      </c>
      <c r="L1877" s="24">
        <v>84</v>
      </c>
      <c r="M1877" s="12">
        <v>6722.7613315317521</v>
      </c>
      <c r="N1877" s="12">
        <v>6722.7613315317521</v>
      </c>
      <c r="O1877" s="12">
        <v>1277.324652991033</v>
      </c>
      <c r="P1877" s="13"/>
      <c r="Q1877" s="14">
        <v>2025</v>
      </c>
      <c r="R1877" s="15">
        <v>45413</v>
      </c>
      <c r="S1877" s="11" t="s">
        <v>355</v>
      </c>
      <c r="T1877" s="16">
        <v>0</v>
      </c>
      <c r="U1877" s="17"/>
      <c r="V1877" s="12">
        <v>1249.7613315317521</v>
      </c>
      <c r="W1877" s="12">
        <v>1249.7613315317521</v>
      </c>
      <c r="X1877" s="12">
        <v>0</v>
      </c>
      <c r="Y1877" s="18">
        <v>45782</v>
      </c>
      <c r="Z1877" s="13" t="s">
        <v>497</v>
      </c>
      <c r="AA1877" s="19" t="s">
        <v>361</v>
      </c>
      <c r="AB1877" s="13" t="s">
        <v>394</v>
      </c>
      <c r="AC1877" s="13" t="s">
        <v>383</v>
      </c>
      <c r="AD1877" s="20"/>
      <c r="AE1877" s="20"/>
      <c r="AF1877" s="13" t="s">
        <v>40</v>
      </c>
      <c r="AG1877" s="15">
        <v>45413</v>
      </c>
      <c r="AH1877" s="13" t="s">
        <v>41</v>
      </c>
      <c r="AI1877" s="13" t="s">
        <v>43</v>
      </c>
      <c r="AJ1877" s="13" t="str">
        <f>VLOOKUP(E1877,Precios!Z$2:AA$941,2,FALSE)</f>
        <v>Bandeja Huevos EXTRA</v>
      </c>
      <c r="AK1877" s="14">
        <f>VLOOKUP(E1877,Precios!Z$2:BB$941,3,FALSE)*F1877</f>
        <v>-1</v>
      </c>
      <c r="AL1877" s="17"/>
      <c r="AM1877" s="17"/>
      <c r="AN1877" s="17"/>
      <c r="AO1877" s="17"/>
      <c r="AP1877" s="17"/>
      <c r="AQ1877" s="17"/>
      <c r="AR1877" s="17"/>
      <c r="AS1877" s="17"/>
      <c r="AT1877" s="17"/>
      <c r="AU1877" s="17"/>
      <c r="AV1877" s="17"/>
    </row>
    <row r="1878" spans="1:48" ht="15.75" customHeight="1">
      <c r="A1878" s="21" t="s">
        <v>47</v>
      </c>
      <c r="B1878" s="23" t="s">
        <v>1692</v>
      </c>
      <c r="C1878" s="22">
        <v>45788</v>
      </c>
      <c r="D1878" s="23" t="s">
        <v>68</v>
      </c>
      <c r="E1878" s="23" t="s">
        <v>48</v>
      </c>
      <c r="F1878" s="21">
        <v>1</v>
      </c>
      <c r="G1878" s="12">
        <v>1000</v>
      </c>
      <c r="H1878" s="12">
        <v>1000</v>
      </c>
      <c r="I1878" s="23" t="s">
        <v>52</v>
      </c>
      <c r="J1878" s="23" t="s">
        <v>61</v>
      </c>
      <c r="K1878" s="24" t="s">
        <v>86</v>
      </c>
      <c r="L1878" s="24">
        <v>84</v>
      </c>
      <c r="M1878" s="12">
        <v>840.3361344537816</v>
      </c>
      <c r="N1878" s="12">
        <v>840.3361344537816</v>
      </c>
      <c r="O1878" s="12">
        <v>159.6638655462184</v>
      </c>
      <c r="P1878" s="13"/>
      <c r="Q1878" s="14">
        <v>2025</v>
      </c>
      <c r="R1878" s="15">
        <v>45413</v>
      </c>
      <c r="S1878" s="11" t="s">
        <v>416</v>
      </c>
      <c r="T1878" s="16">
        <v>0</v>
      </c>
      <c r="U1878" s="17"/>
      <c r="V1878" s="12">
        <v>330.33613445378148</v>
      </c>
      <c r="W1878" s="12">
        <v>330.33613445378148</v>
      </c>
      <c r="X1878" s="12">
        <v>0</v>
      </c>
      <c r="Y1878" s="18">
        <v>45782</v>
      </c>
      <c r="Z1878" s="13" t="s">
        <v>497</v>
      </c>
      <c r="AA1878" s="19" t="s">
        <v>361</v>
      </c>
      <c r="AB1878" s="13" t="s">
        <v>394</v>
      </c>
      <c r="AC1878" s="13" t="s">
        <v>383</v>
      </c>
      <c r="AD1878" s="20"/>
      <c r="AE1878" s="20"/>
      <c r="AF1878" s="13" t="s">
        <v>40</v>
      </c>
      <c r="AG1878" s="15">
        <v>45413</v>
      </c>
      <c r="AH1878" s="13" t="s">
        <v>41</v>
      </c>
      <c r="AI1878" s="13" t="s">
        <v>47</v>
      </c>
      <c r="AJ1878" s="13" t="str">
        <f>VLOOKUP(E1878,Precios!Z$2:AA$941,2,FALSE)</f>
        <v>Esponja Acanalada TEDDY</v>
      </c>
      <c r="AK1878" s="14">
        <f>VLOOKUP(E1878,Precios!Z$2:BB$941,3,FALSE)*F1878</f>
        <v>-5</v>
      </c>
      <c r="AL1878" s="17"/>
      <c r="AM1878" s="17"/>
      <c r="AN1878" s="17"/>
      <c r="AO1878" s="17"/>
      <c r="AP1878" s="17"/>
      <c r="AQ1878" s="17"/>
      <c r="AR1878" s="17"/>
      <c r="AS1878" s="17"/>
      <c r="AT1878" s="17"/>
      <c r="AU1878" s="17"/>
      <c r="AV1878" s="17"/>
    </row>
    <row r="1879" spans="1:48" ht="15.75" customHeight="1">
      <c r="A1879" s="21" t="s">
        <v>76</v>
      </c>
      <c r="B1879" s="23" t="s">
        <v>1692</v>
      </c>
      <c r="C1879" s="22">
        <v>45788</v>
      </c>
      <c r="D1879" s="23" t="s">
        <v>266</v>
      </c>
      <c r="E1879" s="23" t="s">
        <v>216</v>
      </c>
      <c r="F1879" s="14">
        <v>1</v>
      </c>
      <c r="G1879" s="12">
        <v>4300</v>
      </c>
      <c r="H1879" s="12">
        <v>4300</v>
      </c>
      <c r="I1879" s="23" t="s">
        <v>52</v>
      </c>
      <c r="J1879" s="23" t="s">
        <v>61</v>
      </c>
      <c r="K1879" s="24" t="s">
        <v>177</v>
      </c>
      <c r="L1879" s="24">
        <v>137</v>
      </c>
      <c r="M1879" s="12">
        <v>3613.4453781512607</v>
      </c>
      <c r="N1879" s="12">
        <v>3613.4453781512607</v>
      </c>
      <c r="O1879" s="12">
        <v>686.55462184873932</v>
      </c>
      <c r="P1879" s="13"/>
      <c r="Q1879" s="14">
        <v>2025</v>
      </c>
      <c r="R1879" s="15">
        <v>45413</v>
      </c>
      <c r="S1879" s="11" t="s">
        <v>479</v>
      </c>
      <c r="T1879" s="16">
        <v>5</v>
      </c>
      <c r="U1879" s="17"/>
      <c r="V1879" s="12">
        <v>1134.453781512605</v>
      </c>
      <c r="W1879" s="12">
        <v>1134.453781512605</v>
      </c>
      <c r="X1879" s="12">
        <v>0</v>
      </c>
      <c r="Y1879" s="18">
        <v>45782</v>
      </c>
      <c r="Z1879" s="13" t="s">
        <v>497</v>
      </c>
      <c r="AA1879" s="19" t="s">
        <v>356</v>
      </c>
      <c r="AB1879" s="13" t="s">
        <v>357</v>
      </c>
      <c r="AC1879" s="13" t="s">
        <v>380</v>
      </c>
      <c r="AD1879" s="20"/>
      <c r="AE1879" s="20"/>
      <c r="AF1879" s="13" t="s">
        <v>40</v>
      </c>
      <c r="AG1879" s="15">
        <v>45413</v>
      </c>
      <c r="AH1879" s="13" t="s">
        <v>41</v>
      </c>
      <c r="AI1879" s="13" t="s">
        <v>76</v>
      </c>
      <c r="AJ1879" s="13" t="str">
        <f>VLOOKUP(E1879,Precios!Z$2:AA$941,2,FALSE)</f>
        <v>Lavaloza SPUM 5 Litros</v>
      </c>
      <c r="AK1879" s="14">
        <f>VLOOKUP(E1879,Precios!Z$2:BB$941,3,FALSE)*F1879</f>
        <v>-1</v>
      </c>
      <c r="AL1879" s="17"/>
      <c r="AM1879" s="17"/>
      <c r="AN1879" s="17"/>
      <c r="AO1879" s="17"/>
      <c r="AP1879" s="17"/>
      <c r="AQ1879" s="17"/>
      <c r="AR1879" s="17"/>
      <c r="AS1879" s="17"/>
      <c r="AT1879" s="17"/>
      <c r="AU1879" s="17"/>
      <c r="AV1879" s="17"/>
    </row>
    <row r="1880" spans="1:48" ht="15.75" customHeight="1">
      <c r="A1880" s="21" t="s">
        <v>76</v>
      </c>
      <c r="B1880" s="23" t="s">
        <v>1692</v>
      </c>
      <c r="C1880" s="22">
        <v>45788</v>
      </c>
      <c r="D1880" s="23" t="s">
        <v>266</v>
      </c>
      <c r="E1880" s="23" t="s">
        <v>166</v>
      </c>
      <c r="F1880" s="14">
        <v>1</v>
      </c>
      <c r="G1880" s="12">
        <v>3500.0000000000005</v>
      </c>
      <c r="H1880" s="12">
        <v>3500.0000000000005</v>
      </c>
      <c r="I1880" s="23" t="s">
        <v>52</v>
      </c>
      <c r="J1880" s="23" t="s">
        <v>61</v>
      </c>
      <c r="K1880" s="24" t="s">
        <v>177</v>
      </c>
      <c r="L1880" s="24">
        <v>137</v>
      </c>
      <c r="M1880" s="12">
        <v>2941.1764705882356</v>
      </c>
      <c r="N1880" s="12">
        <v>2941.1764705882356</v>
      </c>
      <c r="O1880" s="12">
        <v>558.82352941176487</v>
      </c>
      <c r="P1880" s="13"/>
      <c r="Q1880" s="14">
        <v>2025</v>
      </c>
      <c r="R1880" s="15">
        <v>45413</v>
      </c>
      <c r="S1880" s="11" t="s">
        <v>448</v>
      </c>
      <c r="T1880" s="16">
        <v>5</v>
      </c>
      <c r="U1880" s="17"/>
      <c r="V1880" s="12">
        <v>1016.8067226890757</v>
      </c>
      <c r="W1880" s="12">
        <v>1016.8067226890757</v>
      </c>
      <c r="X1880" s="12">
        <v>0</v>
      </c>
      <c r="Y1880" s="18">
        <v>45782</v>
      </c>
      <c r="Z1880" s="13" t="s">
        <v>497</v>
      </c>
      <c r="AA1880" s="19" t="s">
        <v>356</v>
      </c>
      <c r="AB1880" s="13" t="s">
        <v>357</v>
      </c>
      <c r="AC1880" s="13" t="s">
        <v>380</v>
      </c>
      <c r="AD1880" s="20"/>
      <c r="AE1880" s="20"/>
      <c r="AF1880" s="13" t="s">
        <v>40</v>
      </c>
      <c r="AG1880" s="15">
        <v>45413</v>
      </c>
      <c r="AH1880" s="13" t="s">
        <v>41</v>
      </c>
      <c r="AI1880" s="13" t="s">
        <v>76</v>
      </c>
      <c r="AJ1880" s="13" t="str">
        <f>VLOOKUP(E1880,Precios!Z$2:AA$941,2,FALSE)</f>
        <v>Cloro GEL SPUM 5 Litros</v>
      </c>
      <c r="AK1880" s="14">
        <f>VLOOKUP(E1880,Precios!Z$2:BB$941,3,FALSE)*F1880</f>
        <v>-1</v>
      </c>
      <c r="AL1880" s="17"/>
      <c r="AM1880" s="17"/>
      <c r="AN1880" s="17"/>
      <c r="AO1880" s="17"/>
      <c r="AP1880" s="17"/>
      <c r="AQ1880" s="17"/>
      <c r="AR1880" s="17"/>
      <c r="AS1880" s="17"/>
      <c r="AT1880" s="17"/>
      <c r="AU1880" s="17"/>
      <c r="AV1880" s="17"/>
    </row>
    <row r="1881" spans="1:48" ht="15.75" customHeight="1">
      <c r="A1881" s="21" t="s">
        <v>76</v>
      </c>
      <c r="B1881" s="23" t="s">
        <v>1692</v>
      </c>
      <c r="C1881" s="22">
        <v>45788</v>
      </c>
      <c r="D1881" s="23" t="s">
        <v>266</v>
      </c>
      <c r="E1881" s="23" t="s">
        <v>82</v>
      </c>
      <c r="F1881" s="14">
        <v>1</v>
      </c>
      <c r="G1881" s="12">
        <v>2000.0000000000002</v>
      </c>
      <c r="H1881" s="12">
        <v>2000.0000000000002</v>
      </c>
      <c r="I1881" s="23" t="s">
        <v>52</v>
      </c>
      <c r="J1881" s="23" t="s">
        <v>61</v>
      </c>
      <c r="K1881" s="24" t="s">
        <v>177</v>
      </c>
      <c r="L1881" s="24">
        <v>137</v>
      </c>
      <c r="M1881" s="12">
        <v>1680.6722689075632</v>
      </c>
      <c r="N1881" s="12">
        <v>1680.6722689075632</v>
      </c>
      <c r="O1881" s="12">
        <v>319.32773109243703</v>
      </c>
      <c r="P1881" s="13"/>
      <c r="Q1881" s="14">
        <v>2025</v>
      </c>
      <c r="R1881" s="15">
        <v>45413</v>
      </c>
      <c r="S1881" s="11" t="s">
        <v>463</v>
      </c>
      <c r="T1881" s="16">
        <v>5</v>
      </c>
      <c r="U1881" s="17"/>
      <c r="V1881" s="12">
        <v>680.67226890756319</v>
      </c>
      <c r="W1881" s="12">
        <v>680.67226890756319</v>
      </c>
      <c r="X1881" s="12">
        <v>0</v>
      </c>
      <c r="Y1881" s="18">
        <v>45782</v>
      </c>
      <c r="Z1881" s="13" t="s">
        <v>497</v>
      </c>
      <c r="AA1881" s="19" t="s">
        <v>356</v>
      </c>
      <c r="AB1881" s="13" t="s">
        <v>357</v>
      </c>
      <c r="AC1881" s="13" t="s">
        <v>380</v>
      </c>
      <c r="AD1881" s="20"/>
      <c r="AE1881" s="20"/>
      <c r="AF1881" s="13" t="s">
        <v>40</v>
      </c>
      <c r="AG1881" s="15">
        <v>45413</v>
      </c>
      <c r="AH1881" s="13" t="s">
        <v>41</v>
      </c>
      <c r="AI1881" s="13" t="s">
        <v>76</v>
      </c>
      <c r="AJ1881" s="13" t="str">
        <f>VLOOKUP(E1881,Precios!Z$2:AA$941,2,FALSE)</f>
        <v>Limpiapiso SPUM 5 Litros</v>
      </c>
      <c r="AK1881" s="14">
        <f>VLOOKUP(E1881,Precios!Z$2:BB$941,3,FALSE)*F1881</f>
        <v>-1</v>
      </c>
      <c r="AL1881" s="17"/>
      <c r="AM1881" s="17"/>
      <c r="AN1881" s="17"/>
      <c r="AO1881" s="17"/>
      <c r="AP1881" s="17"/>
      <c r="AQ1881" s="17"/>
      <c r="AR1881" s="17"/>
      <c r="AS1881" s="17"/>
      <c r="AT1881" s="17"/>
      <c r="AU1881" s="17"/>
      <c r="AV1881" s="17"/>
    </row>
    <row r="1882" spans="1:48" ht="15.75" customHeight="1">
      <c r="A1882" s="21" t="s">
        <v>76</v>
      </c>
      <c r="B1882" s="23" t="s">
        <v>1692</v>
      </c>
      <c r="C1882" s="22">
        <v>45788</v>
      </c>
      <c r="D1882" s="23" t="s">
        <v>266</v>
      </c>
      <c r="E1882" s="23" t="s">
        <v>137</v>
      </c>
      <c r="F1882" s="14">
        <v>1</v>
      </c>
      <c r="G1882" s="12">
        <v>3500.0000000000005</v>
      </c>
      <c r="H1882" s="12">
        <v>3500.0000000000005</v>
      </c>
      <c r="I1882" s="23" t="s">
        <v>52</v>
      </c>
      <c r="J1882" s="23" t="s">
        <v>61</v>
      </c>
      <c r="K1882" s="24" t="s">
        <v>177</v>
      </c>
      <c r="L1882" s="24">
        <v>137</v>
      </c>
      <c r="M1882" s="12">
        <v>2941.1764705882356</v>
      </c>
      <c r="N1882" s="12">
        <v>2941.1764705882356</v>
      </c>
      <c r="O1882" s="12">
        <v>558.82352941176487</v>
      </c>
      <c r="P1882" s="13"/>
      <c r="Q1882" s="14">
        <v>2025</v>
      </c>
      <c r="R1882" s="15">
        <v>45413</v>
      </c>
      <c r="S1882" s="11" t="s">
        <v>406</v>
      </c>
      <c r="T1882" s="16">
        <v>5</v>
      </c>
      <c r="U1882" s="17"/>
      <c r="V1882" s="12">
        <v>848.73949579831969</v>
      </c>
      <c r="W1882" s="12">
        <v>848.73949579831969</v>
      </c>
      <c r="X1882" s="12">
        <v>0</v>
      </c>
      <c r="Y1882" s="18">
        <v>45782</v>
      </c>
      <c r="Z1882" s="13" t="s">
        <v>497</v>
      </c>
      <c r="AA1882" s="19" t="s">
        <v>356</v>
      </c>
      <c r="AB1882" s="13" t="s">
        <v>357</v>
      </c>
      <c r="AC1882" s="13" t="s">
        <v>380</v>
      </c>
      <c r="AD1882" s="20"/>
      <c r="AE1882" s="20"/>
      <c r="AF1882" s="13" t="s">
        <v>40</v>
      </c>
      <c r="AG1882" s="15">
        <v>45413</v>
      </c>
      <c r="AH1882" s="13" t="s">
        <v>41</v>
      </c>
      <c r="AI1882" s="13" t="s">
        <v>76</v>
      </c>
      <c r="AJ1882" s="13" t="str">
        <f>VLOOKUP(E1882,Precios!Z$2:AA$941,2,FALSE)</f>
        <v>Detergente SPUM 5 Litros (Blanco)</v>
      </c>
      <c r="AK1882" s="14">
        <f>VLOOKUP(E1882,Precios!Z$2:BB$941,3,FALSE)*F1882</f>
        <v>-1</v>
      </c>
      <c r="AL1882" s="17"/>
      <c r="AM1882" s="17"/>
      <c r="AN1882" s="17"/>
      <c r="AO1882" s="17"/>
      <c r="AP1882" s="17"/>
      <c r="AQ1882" s="17"/>
      <c r="AR1882" s="17"/>
      <c r="AS1882" s="17"/>
      <c r="AT1882" s="17"/>
      <c r="AU1882" s="17"/>
      <c r="AV1882" s="17"/>
    </row>
    <row r="1883" spans="1:48" ht="15.75" customHeight="1">
      <c r="A1883" s="21" t="s">
        <v>53</v>
      </c>
      <c r="B1883" s="23" t="s">
        <v>1692</v>
      </c>
      <c r="C1883" s="22">
        <v>45788</v>
      </c>
      <c r="D1883" s="23" t="s">
        <v>262</v>
      </c>
      <c r="E1883" s="23" t="s">
        <v>167</v>
      </c>
      <c r="F1883" s="14">
        <v>1</v>
      </c>
      <c r="G1883" s="12">
        <v>9499.8792270531412</v>
      </c>
      <c r="H1883" s="12">
        <v>9499.8792270531412</v>
      </c>
      <c r="I1883" s="23" t="s">
        <v>52</v>
      </c>
      <c r="J1883" s="23" t="s">
        <v>61</v>
      </c>
      <c r="K1883" s="24" t="s">
        <v>177</v>
      </c>
      <c r="L1883" s="24">
        <v>137</v>
      </c>
      <c r="M1883" s="12">
        <v>7983.0917874396146</v>
      </c>
      <c r="N1883" s="12">
        <v>7983.0917874396146</v>
      </c>
      <c r="O1883" s="12">
        <v>1516.7874396135267</v>
      </c>
      <c r="P1883" s="13"/>
      <c r="Q1883" s="14">
        <v>2025</v>
      </c>
      <c r="R1883" s="15">
        <v>45413</v>
      </c>
      <c r="S1883" s="11" t="s">
        <v>408</v>
      </c>
      <c r="T1883" s="16">
        <v>100</v>
      </c>
      <c r="U1883" s="17"/>
      <c r="V1883" s="12">
        <v>2695.0917874396137</v>
      </c>
      <c r="W1883" s="12">
        <v>2695.0917874396137</v>
      </c>
      <c r="X1883" s="12">
        <v>0</v>
      </c>
      <c r="Y1883" s="18">
        <v>45782</v>
      </c>
      <c r="Z1883" s="13" t="s">
        <v>497</v>
      </c>
      <c r="AA1883" s="19" t="s">
        <v>361</v>
      </c>
      <c r="AB1883" s="13" t="s">
        <v>357</v>
      </c>
      <c r="AC1883" s="13" t="s">
        <v>362</v>
      </c>
      <c r="AD1883" s="20"/>
      <c r="AE1883" s="20"/>
      <c r="AF1883" s="13" t="s">
        <v>40</v>
      </c>
      <c r="AG1883" s="15">
        <v>45413</v>
      </c>
      <c r="AH1883" s="13" t="s">
        <v>41</v>
      </c>
      <c r="AI1883" s="13" t="s">
        <v>53</v>
      </c>
      <c r="AJ1883" s="13" t="str">
        <f>VLOOKUP(E1883,Precios!Z$2:AA$941,2,FALSE)</f>
        <v>Toalla Papel SWAN D/H NARANJA 100 metros</v>
      </c>
      <c r="AK1883" s="14">
        <f>VLOOKUP(E1883,Precios!Z$2:BB$941,3,FALSE)*F1883</f>
        <v>-3</v>
      </c>
      <c r="AL1883" s="17"/>
      <c r="AM1883" s="17"/>
      <c r="AN1883" s="17"/>
      <c r="AO1883" s="17"/>
      <c r="AP1883" s="17"/>
      <c r="AQ1883" s="17"/>
      <c r="AR1883" s="17"/>
      <c r="AS1883" s="17"/>
      <c r="AT1883" s="17"/>
      <c r="AU1883" s="17"/>
      <c r="AV1883" s="17"/>
    </row>
    <row r="1884" spans="1:48" ht="15.75" customHeight="1">
      <c r="A1884" s="21" t="s">
        <v>73</v>
      </c>
      <c r="B1884" s="23" t="s">
        <v>1692</v>
      </c>
      <c r="C1884" s="22">
        <v>45788</v>
      </c>
      <c r="D1884" s="23" t="s">
        <v>262</v>
      </c>
      <c r="E1884" s="23" t="s">
        <v>300</v>
      </c>
      <c r="F1884" s="14">
        <v>1</v>
      </c>
      <c r="G1884" s="12">
        <v>1600</v>
      </c>
      <c r="H1884" s="12">
        <v>1600</v>
      </c>
      <c r="I1884" s="23" t="s">
        <v>52</v>
      </c>
      <c r="J1884" s="23" t="s">
        <v>61</v>
      </c>
      <c r="K1884" s="24" t="s">
        <v>177</v>
      </c>
      <c r="L1884" s="24">
        <v>137</v>
      </c>
      <c r="M1884" s="12">
        <v>1344.5378151260504</v>
      </c>
      <c r="N1884" s="12">
        <v>1344.5378151260504</v>
      </c>
      <c r="O1884" s="12">
        <v>255.46218487394958</v>
      </c>
      <c r="P1884" s="13"/>
      <c r="Q1884" s="14">
        <v>2025</v>
      </c>
      <c r="R1884" s="15">
        <v>45413</v>
      </c>
      <c r="S1884" s="11" t="s">
        <v>559</v>
      </c>
      <c r="T1884" s="16">
        <v>0</v>
      </c>
      <c r="U1884" s="17"/>
      <c r="V1884" s="12">
        <v>638.65546218487395</v>
      </c>
      <c r="W1884" s="12">
        <v>638.65546218487395</v>
      </c>
      <c r="X1884" s="12">
        <v>0</v>
      </c>
      <c r="Y1884" s="18">
        <v>45782</v>
      </c>
      <c r="Z1884" s="13" t="s">
        <v>497</v>
      </c>
      <c r="AA1884" s="19" t="s">
        <v>361</v>
      </c>
      <c r="AB1884" s="13" t="s">
        <v>357</v>
      </c>
      <c r="AC1884" s="13" t="s">
        <v>362</v>
      </c>
      <c r="AD1884" s="20"/>
      <c r="AE1884" s="20"/>
      <c r="AF1884" s="13" t="s">
        <v>40</v>
      </c>
      <c r="AG1884" s="15">
        <v>45413</v>
      </c>
      <c r="AH1884" s="13" t="s">
        <v>41</v>
      </c>
      <c r="AI1884" s="13" t="s">
        <v>73</v>
      </c>
      <c r="AJ1884" s="13" t="str">
        <f>VLOOKUP(E1884,Precios!Z$2:AA$941,2,FALSE)</f>
        <v>Mascarillas Triple Pliegue</v>
      </c>
      <c r="AK1884" s="14">
        <f>VLOOKUP(E1884,Precios!Z$2:BB$941,3,FALSE)*F1884</f>
        <v>-1</v>
      </c>
      <c r="AL1884" s="17"/>
      <c r="AM1884" s="17"/>
      <c r="AN1884" s="17"/>
      <c r="AO1884" s="17"/>
      <c r="AP1884" s="17"/>
      <c r="AQ1884" s="17"/>
      <c r="AR1884" s="17"/>
      <c r="AS1884" s="17"/>
      <c r="AT1884" s="17"/>
      <c r="AU1884" s="17"/>
      <c r="AV1884" s="17"/>
    </row>
    <row r="1885" spans="1:48" ht="15.75" customHeight="1">
      <c r="A1885" s="14" t="s">
        <v>35</v>
      </c>
      <c r="B1885" s="23" t="s">
        <v>1692</v>
      </c>
      <c r="C1885" s="22">
        <v>45788</v>
      </c>
      <c r="D1885" s="23" t="s">
        <v>180</v>
      </c>
      <c r="E1885" s="13" t="s">
        <v>37</v>
      </c>
      <c r="F1885" s="14">
        <v>1</v>
      </c>
      <c r="G1885" s="12">
        <v>10499.643649654092</v>
      </c>
      <c r="H1885" s="12">
        <v>10499.643649654092</v>
      </c>
      <c r="I1885" s="23" t="s">
        <v>52</v>
      </c>
      <c r="J1885" s="23" t="s">
        <v>61</v>
      </c>
      <c r="K1885" s="24" t="s">
        <v>177</v>
      </c>
      <c r="L1885" s="24">
        <v>137</v>
      </c>
      <c r="M1885" s="12">
        <v>8823.2299576925143</v>
      </c>
      <c r="N1885" s="12">
        <v>8823.2299576925143</v>
      </c>
      <c r="O1885" s="12">
        <v>1676.4136919615776</v>
      </c>
      <c r="P1885" s="13"/>
      <c r="Q1885" s="14">
        <v>2025</v>
      </c>
      <c r="R1885" s="15">
        <v>45413</v>
      </c>
      <c r="S1885" s="11" t="s">
        <v>364</v>
      </c>
      <c r="T1885" s="16">
        <v>1000</v>
      </c>
      <c r="U1885" s="17"/>
      <c r="V1885" s="12">
        <v>2385.6333190370515</v>
      </c>
      <c r="W1885" s="12">
        <v>2385.6333190370515</v>
      </c>
      <c r="X1885" s="12">
        <v>0</v>
      </c>
      <c r="Y1885" s="18">
        <v>45782</v>
      </c>
      <c r="Z1885" s="13" t="s">
        <v>497</v>
      </c>
      <c r="AA1885" s="19" t="s">
        <v>367</v>
      </c>
      <c r="AB1885" s="13" t="s">
        <v>357</v>
      </c>
      <c r="AC1885" s="13" t="s">
        <v>367</v>
      </c>
      <c r="AD1885" s="20"/>
      <c r="AE1885" s="20"/>
      <c r="AF1885" s="13" t="s">
        <v>40</v>
      </c>
      <c r="AG1885" s="15">
        <v>45413</v>
      </c>
      <c r="AH1885" s="13" t="s">
        <v>41</v>
      </c>
      <c r="AI1885" s="13" t="s">
        <v>35</v>
      </c>
      <c r="AJ1885" s="13" t="str">
        <f>VLOOKUP(E1885,Precios!Z$2:AA$941,2,FALSE)</f>
        <v>Queso RUNCA Mantecoso</v>
      </c>
      <c r="AK1885" s="14">
        <f>VLOOKUP(E1885,Precios!Z$2:BB$941,3,FALSE)*F1885</f>
        <v>-1</v>
      </c>
      <c r="AL1885" s="17"/>
      <c r="AM1885" s="17"/>
      <c r="AN1885" s="17"/>
      <c r="AO1885" s="17"/>
      <c r="AP1885" s="17"/>
      <c r="AQ1885" s="17"/>
      <c r="AR1885" s="17"/>
      <c r="AS1885" s="17"/>
      <c r="AT1885" s="17"/>
      <c r="AU1885" s="17"/>
      <c r="AV1885" s="17"/>
    </row>
    <row r="1886" spans="1:48" ht="15.75" customHeight="1">
      <c r="A1886" s="14" t="s">
        <v>35</v>
      </c>
      <c r="B1886" s="23" t="s">
        <v>1692</v>
      </c>
      <c r="C1886" s="22">
        <v>45788</v>
      </c>
      <c r="D1886" s="23" t="s">
        <v>96</v>
      </c>
      <c r="E1886" s="13" t="s">
        <v>37</v>
      </c>
      <c r="F1886" s="14">
        <v>1</v>
      </c>
      <c r="G1886" s="12">
        <v>10499.643649654092</v>
      </c>
      <c r="H1886" s="12">
        <v>10499.643649654092</v>
      </c>
      <c r="I1886" s="23" t="s">
        <v>52</v>
      </c>
      <c r="J1886" s="23" t="s">
        <v>61</v>
      </c>
      <c r="K1886" s="24" t="s">
        <v>177</v>
      </c>
      <c r="L1886" s="24">
        <v>137</v>
      </c>
      <c r="M1886" s="12">
        <v>8823.2299576925143</v>
      </c>
      <c r="N1886" s="12">
        <v>8823.2299576925143</v>
      </c>
      <c r="O1886" s="12">
        <v>1676.4136919615776</v>
      </c>
      <c r="P1886" s="13"/>
      <c r="Q1886" s="14">
        <v>2025</v>
      </c>
      <c r="R1886" s="15">
        <v>45413</v>
      </c>
      <c r="S1886" s="11" t="s">
        <v>364</v>
      </c>
      <c r="T1886" s="16">
        <v>1000</v>
      </c>
      <c r="U1886" s="17"/>
      <c r="V1886" s="12">
        <v>2385.6333190370515</v>
      </c>
      <c r="W1886" s="12">
        <v>2385.6333190370515</v>
      </c>
      <c r="X1886" s="12">
        <v>0</v>
      </c>
      <c r="Y1886" s="18">
        <v>45782</v>
      </c>
      <c r="Z1886" s="13" t="s">
        <v>497</v>
      </c>
      <c r="AA1886" s="19" t="s">
        <v>373</v>
      </c>
      <c r="AB1886" s="13" t="s">
        <v>357</v>
      </c>
      <c r="AC1886" s="13" t="s">
        <v>374</v>
      </c>
      <c r="AD1886" s="20"/>
      <c r="AE1886" s="20"/>
      <c r="AF1886" s="13" t="s">
        <v>40</v>
      </c>
      <c r="AG1886" s="15">
        <v>45413</v>
      </c>
      <c r="AH1886" s="13" t="s">
        <v>41</v>
      </c>
      <c r="AI1886" s="13" t="s">
        <v>35</v>
      </c>
      <c r="AJ1886" s="13" t="str">
        <f>VLOOKUP(E1886,Precios!Z$2:AA$941,2,FALSE)</f>
        <v>Queso RUNCA Mantecoso</v>
      </c>
      <c r="AK1886" s="14">
        <f>VLOOKUP(E1886,Precios!Z$2:BB$941,3,FALSE)*F1886</f>
        <v>-1</v>
      </c>
      <c r="AL1886" s="17"/>
      <c r="AM1886" s="17"/>
      <c r="AN1886" s="17"/>
      <c r="AO1886" s="17"/>
      <c r="AP1886" s="17"/>
      <c r="AQ1886" s="17"/>
      <c r="AR1886" s="17"/>
      <c r="AS1886" s="17"/>
      <c r="AT1886" s="17"/>
      <c r="AU1886" s="17"/>
      <c r="AV1886" s="17"/>
    </row>
    <row r="1887" spans="1:48" ht="15.75" customHeight="1">
      <c r="A1887" s="14" t="s">
        <v>35</v>
      </c>
      <c r="B1887" s="23" t="s">
        <v>1692</v>
      </c>
      <c r="C1887" s="22">
        <v>45787</v>
      </c>
      <c r="D1887" s="23" t="s">
        <v>151</v>
      </c>
      <c r="E1887" s="13" t="s">
        <v>37</v>
      </c>
      <c r="F1887" s="14">
        <v>1</v>
      </c>
      <c r="G1887" s="12">
        <v>10499.643649654092</v>
      </c>
      <c r="H1887" s="12">
        <v>10499.643649654092</v>
      </c>
      <c r="I1887" s="23" t="s">
        <v>52</v>
      </c>
      <c r="J1887" s="23" t="s">
        <v>61</v>
      </c>
      <c r="K1887" s="24" t="s">
        <v>177</v>
      </c>
      <c r="L1887" s="24">
        <v>137</v>
      </c>
      <c r="M1887" s="12">
        <v>8823.2299576925143</v>
      </c>
      <c r="N1887" s="12">
        <v>8823.2299576925143</v>
      </c>
      <c r="O1887" s="12">
        <v>1676.4136919615776</v>
      </c>
      <c r="P1887" s="13"/>
      <c r="Q1887" s="14">
        <v>2025</v>
      </c>
      <c r="R1887" s="15">
        <v>45413</v>
      </c>
      <c r="S1887" s="11" t="s">
        <v>364</v>
      </c>
      <c r="T1887" s="16">
        <v>1000</v>
      </c>
      <c r="U1887" s="17"/>
      <c r="V1887" s="12">
        <v>2385.6333190370515</v>
      </c>
      <c r="W1887" s="12">
        <v>2385.6333190370515</v>
      </c>
      <c r="X1887" s="12">
        <v>0</v>
      </c>
      <c r="Y1887" s="18">
        <v>45782</v>
      </c>
      <c r="Z1887" s="13" t="s">
        <v>501</v>
      </c>
      <c r="AA1887" s="19" t="s">
        <v>373</v>
      </c>
      <c r="AB1887" s="13" t="s">
        <v>357</v>
      </c>
      <c r="AC1887" s="13" t="s">
        <v>462</v>
      </c>
      <c r="AD1887" s="20"/>
      <c r="AE1887" s="20"/>
      <c r="AF1887" s="13" t="s">
        <v>40</v>
      </c>
      <c r="AG1887" s="15">
        <v>45413</v>
      </c>
      <c r="AH1887" s="13" t="s">
        <v>41</v>
      </c>
      <c r="AI1887" s="13" t="s">
        <v>35</v>
      </c>
      <c r="AJ1887" s="13" t="str">
        <f>VLOOKUP(E1887,Precios!Z$2:AA$941,2,FALSE)</f>
        <v>Queso RUNCA Mantecoso</v>
      </c>
      <c r="AK1887" s="14">
        <f>VLOOKUP(E1887,Precios!Z$2:BB$941,3,FALSE)*F1887</f>
        <v>-1</v>
      </c>
      <c r="AL1887" s="17"/>
      <c r="AM1887" s="17"/>
      <c r="AN1887" s="17"/>
      <c r="AO1887" s="17"/>
      <c r="AP1887" s="17"/>
      <c r="AQ1887" s="17"/>
      <c r="AR1887" s="17"/>
      <c r="AS1887" s="17"/>
      <c r="AT1887" s="17"/>
      <c r="AU1887" s="17"/>
      <c r="AV1887" s="17"/>
    </row>
    <row r="1888" spans="1:48" ht="15.75" customHeight="1">
      <c r="A1888" s="21" t="s">
        <v>35</v>
      </c>
      <c r="B1888" s="23" t="s">
        <v>1692</v>
      </c>
      <c r="C1888" s="22">
        <v>45786</v>
      </c>
      <c r="D1888" s="23" t="s">
        <v>213</v>
      </c>
      <c r="E1888" s="23" t="s">
        <v>37</v>
      </c>
      <c r="F1888" s="14">
        <v>1</v>
      </c>
      <c r="G1888" s="12">
        <v>10499.643649654092</v>
      </c>
      <c r="H1888" s="12">
        <v>10499.643649654092</v>
      </c>
      <c r="I1888" s="23" t="s">
        <v>52</v>
      </c>
      <c r="J1888" s="23" t="s">
        <v>61</v>
      </c>
      <c r="K1888" s="24" t="s">
        <v>177</v>
      </c>
      <c r="L1888" s="24">
        <v>137</v>
      </c>
      <c r="M1888" s="12">
        <v>8823.2299576925143</v>
      </c>
      <c r="N1888" s="12">
        <v>8823.2299576925143</v>
      </c>
      <c r="O1888" s="12">
        <v>1676.4136919615776</v>
      </c>
      <c r="P1888" s="13"/>
      <c r="Q1888" s="14">
        <v>2025</v>
      </c>
      <c r="R1888" s="15">
        <v>45413</v>
      </c>
      <c r="S1888" s="11" t="s">
        <v>364</v>
      </c>
      <c r="T1888" s="16">
        <v>1000</v>
      </c>
      <c r="U1888" s="17"/>
      <c r="V1888" s="12">
        <v>2385.6333190370515</v>
      </c>
      <c r="W1888" s="12">
        <v>2385.6333190370515</v>
      </c>
      <c r="X1888" s="12">
        <v>0</v>
      </c>
      <c r="Y1888" s="18">
        <v>45782</v>
      </c>
      <c r="Z1888" s="13" t="s">
        <v>503</v>
      </c>
      <c r="AA1888" s="19" t="s">
        <v>373</v>
      </c>
      <c r="AB1888" s="13" t="s">
        <v>357</v>
      </c>
      <c r="AC1888" s="13" t="s">
        <v>374</v>
      </c>
      <c r="AD1888" s="20"/>
      <c r="AE1888" s="20"/>
      <c r="AF1888" s="13" t="s">
        <v>40</v>
      </c>
      <c r="AG1888" s="15">
        <v>45413</v>
      </c>
      <c r="AH1888" s="13" t="s">
        <v>41</v>
      </c>
      <c r="AI1888" s="13" t="s">
        <v>35</v>
      </c>
      <c r="AJ1888" s="13" t="str">
        <f>VLOOKUP(E1888,Precios!Z$2:AA$941,2,FALSE)</f>
        <v>Queso RUNCA Mantecoso</v>
      </c>
      <c r="AK1888" s="14">
        <f>VLOOKUP(E1888,Precios!Z$2:BB$941,3,FALSE)*F1888</f>
        <v>-1</v>
      </c>
      <c r="AL1888" s="17"/>
      <c r="AM1888" s="17"/>
      <c r="AN1888" s="17"/>
      <c r="AO1888" s="17"/>
      <c r="AP1888" s="17"/>
      <c r="AQ1888" s="17"/>
      <c r="AR1888" s="17"/>
      <c r="AS1888" s="17"/>
      <c r="AT1888" s="17"/>
      <c r="AU1888" s="17"/>
      <c r="AV1888" s="17"/>
    </row>
    <row r="1889" spans="1:48" ht="15.75" customHeight="1">
      <c r="A1889" s="21" t="s">
        <v>43</v>
      </c>
      <c r="B1889" s="23" t="s">
        <v>1692</v>
      </c>
      <c r="C1889" s="22">
        <v>45786</v>
      </c>
      <c r="D1889" s="23" t="s">
        <v>123</v>
      </c>
      <c r="E1889" s="23" t="s">
        <v>45</v>
      </c>
      <c r="F1889" s="14">
        <v>1</v>
      </c>
      <c r="G1889" s="12">
        <v>8000.0859845227851</v>
      </c>
      <c r="H1889" s="12">
        <v>8000.0859845227851</v>
      </c>
      <c r="I1889" s="23" t="s">
        <v>52</v>
      </c>
      <c r="J1889" s="23" t="s">
        <v>61</v>
      </c>
      <c r="K1889" s="24" t="s">
        <v>177</v>
      </c>
      <c r="L1889" s="24">
        <v>137</v>
      </c>
      <c r="M1889" s="12">
        <v>6722.7613315317521</v>
      </c>
      <c r="N1889" s="12">
        <v>6722.7613315317521</v>
      </c>
      <c r="O1889" s="12">
        <v>1277.324652991033</v>
      </c>
      <c r="P1889" s="13"/>
      <c r="Q1889" s="14">
        <v>2025</v>
      </c>
      <c r="R1889" s="15">
        <v>45413</v>
      </c>
      <c r="S1889" s="11" t="s">
        <v>355</v>
      </c>
      <c r="T1889" s="16">
        <v>0</v>
      </c>
      <c r="U1889" s="17"/>
      <c r="V1889" s="12">
        <v>1249.7613315317521</v>
      </c>
      <c r="W1889" s="12">
        <v>1249.7613315317521</v>
      </c>
      <c r="X1889" s="12">
        <v>0</v>
      </c>
      <c r="Y1889" s="18">
        <v>45782</v>
      </c>
      <c r="Z1889" s="13" t="s">
        <v>503</v>
      </c>
      <c r="AA1889" s="19" t="s">
        <v>373</v>
      </c>
      <c r="AB1889" s="13" t="s">
        <v>357</v>
      </c>
      <c r="AC1889" s="13" t="s">
        <v>383</v>
      </c>
      <c r="AD1889" s="20"/>
      <c r="AE1889" s="20"/>
      <c r="AF1889" s="13" t="s">
        <v>40</v>
      </c>
      <c r="AG1889" s="15">
        <v>45413</v>
      </c>
      <c r="AH1889" s="13" t="s">
        <v>41</v>
      </c>
      <c r="AI1889" s="13" t="s">
        <v>43</v>
      </c>
      <c r="AJ1889" s="13" t="str">
        <f>VLOOKUP(E1889,Precios!Z$2:AA$941,2,FALSE)</f>
        <v>Bandeja Huevos EXTRA</v>
      </c>
      <c r="AK1889" s="14">
        <f>VLOOKUP(E1889,Precios!Z$2:BB$941,3,FALSE)*F1889</f>
        <v>-1</v>
      </c>
      <c r="AL1889" s="17"/>
      <c r="AM1889" s="17"/>
      <c r="AN1889" s="17"/>
      <c r="AO1889" s="17"/>
      <c r="AP1889" s="17"/>
      <c r="AQ1889" s="17"/>
      <c r="AR1889" s="17"/>
      <c r="AS1889" s="17"/>
      <c r="AT1889" s="17"/>
      <c r="AU1889" s="17"/>
      <c r="AV1889" s="17"/>
    </row>
    <row r="1890" spans="1:48" ht="15.75" customHeight="1">
      <c r="A1890" s="21" t="s">
        <v>35</v>
      </c>
      <c r="B1890" s="23" t="s">
        <v>1692</v>
      </c>
      <c r="C1890" s="22">
        <v>45786</v>
      </c>
      <c r="D1890" s="23" t="s">
        <v>238</v>
      </c>
      <c r="E1890" s="23" t="s">
        <v>46</v>
      </c>
      <c r="F1890" s="14">
        <v>1</v>
      </c>
      <c r="G1890" s="12">
        <v>5500</v>
      </c>
      <c r="H1890" s="12">
        <v>5500</v>
      </c>
      <c r="I1890" s="23" t="s">
        <v>52</v>
      </c>
      <c r="J1890" s="23" t="s">
        <v>61</v>
      </c>
      <c r="K1890" s="24" t="s">
        <v>177</v>
      </c>
      <c r="L1890" s="24">
        <v>137</v>
      </c>
      <c r="M1890" s="12">
        <v>4621.8487394957983</v>
      </c>
      <c r="N1890" s="12">
        <v>4621.8487394957983</v>
      </c>
      <c r="O1890" s="12">
        <v>878.15126050420167</v>
      </c>
      <c r="P1890" s="13"/>
      <c r="Q1890" s="14">
        <v>2025</v>
      </c>
      <c r="R1890" s="15">
        <v>45413</v>
      </c>
      <c r="S1890" s="11" t="s">
        <v>364</v>
      </c>
      <c r="T1890" s="16">
        <v>500</v>
      </c>
      <c r="U1890" s="17"/>
      <c r="V1890" s="12">
        <v>1365.1260504201678</v>
      </c>
      <c r="W1890" s="12">
        <v>1365.1260504201678</v>
      </c>
      <c r="X1890" s="12">
        <v>0</v>
      </c>
      <c r="Y1890" s="18">
        <v>45782</v>
      </c>
      <c r="Z1890" s="13" t="s">
        <v>503</v>
      </c>
      <c r="AA1890" s="19" t="s">
        <v>373</v>
      </c>
      <c r="AB1890" s="13" t="s">
        <v>357</v>
      </c>
      <c r="AC1890" s="13" t="s">
        <v>533</v>
      </c>
      <c r="AD1890" s="20"/>
      <c r="AE1890" s="20"/>
      <c r="AF1890" s="13" t="s">
        <v>40</v>
      </c>
      <c r="AG1890" s="15">
        <v>45413</v>
      </c>
      <c r="AH1890" s="13" t="s">
        <v>41</v>
      </c>
      <c r="AI1890" s="13" t="s">
        <v>35</v>
      </c>
      <c r="AJ1890" s="13" t="str">
        <f>VLOOKUP(E1890,Precios!Z$2:AA$941,2,FALSE)</f>
        <v>Queso RUNCA Mantecoso</v>
      </c>
      <c r="AK1890" s="14">
        <f>VLOOKUP(E1890,Precios!Z$2:BB$941,3,FALSE)*F1890</f>
        <v>-0.5</v>
      </c>
      <c r="AL1890" s="17"/>
      <c r="AM1890" s="17"/>
      <c r="AN1890" s="17"/>
      <c r="AO1890" s="17"/>
      <c r="AP1890" s="17"/>
      <c r="AQ1890" s="17"/>
      <c r="AR1890" s="17"/>
      <c r="AS1890" s="17"/>
      <c r="AT1890" s="17"/>
      <c r="AU1890" s="17"/>
      <c r="AV1890" s="17"/>
    </row>
    <row r="1891" spans="1:48" ht="15.75" customHeight="1">
      <c r="A1891" s="21" t="s">
        <v>76</v>
      </c>
      <c r="B1891" s="23" t="s">
        <v>1692</v>
      </c>
      <c r="C1891" s="22">
        <v>45786</v>
      </c>
      <c r="D1891" s="23" t="s">
        <v>104</v>
      </c>
      <c r="E1891" s="23" t="s">
        <v>137</v>
      </c>
      <c r="F1891" s="14">
        <v>1</v>
      </c>
      <c r="G1891" s="12">
        <v>3500.0000000000005</v>
      </c>
      <c r="H1891" s="12">
        <v>3500.0000000000005</v>
      </c>
      <c r="I1891" s="23" t="s">
        <v>52</v>
      </c>
      <c r="J1891" s="23" t="s">
        <v>61</v>
      </c>
      <c r="K1891" s="24" t="s">
        <v>177</v>
      </c>
      <c r="L1891" s="24">
        <v>137</v>
      </c>
      <c r="M1891" s="12">
        <v>2941.1764705882356</v>
      </c>
      <c r="N1891" s="12">
        <v>2941.1764705882356</v>
      </c>
      <c r="O1891" s="12">
        <v>558.82352941176487</v>
      </c>
      <c r="P1891" s="13"/>
      <c r="Q1891" s="14">
        <v>2025</v>
      </c>
      <c r="R1891" s="15">
        <v>45413</v>
      </c>
      <c r="S1891" s="11" t="s">
        <v>406</v>
      </c>
      <c r="T1891" s="16">
        <v>5</v>
      </c>
      <c r="U1891" s="17"/>
      <c r="V1891" s="12">
        <v>848.73949579831969</v>
      </c>
      <c r="W1891" s="12">
        <v>848.73949579831969</v>
      </c>
      <c r="X1891" s="12">
        <v>0</v>
      </c>
      <c r="Y1891" s="18">
        <v>45782</v>
      </c>
      <c r="Z1891" s="13" t="s">
        <v>503</v>
      </c>
      <c r="AA1891" s="19" t="s">
        <v>373</v>
      </c>
      <c r="AB1891" s="13" t="s">
        <v>357</v>
      </c>
      <c r="AC1891" s="13" t="s">
        <v>383</v>
      </c>
      <c r="AD1891" s="20"/>
      <c r="AE1891" s="20"/>
      <c r="AF1891" s="13" t="s">
        <v>40</v>
      </c>
      <c r="AG1891" s="15">
        <v>45413</v>
      </c>
      <c r="AH1891" s="13" t="s">
        <v>41</v>
      </c>
      <c r="AI1891" s="13" t="s">
        <v>76</v>
      </c>
      <c r="AJ1891" s="13" t="str">
        <f>VLOOKUP(E1891,Precios!Z$2:AA$941,2,FALSE)</f>
        <v>Detergente SPUM 5 Litros (Blanco)</v>
      </c>
      <c r="AK1891" s="14">
        <f>VLOOKUP(E1891,Precios!Z$2:BB$941,3,FALSE)*F1891</f>
        <v>-1</v>
      </c>
      <c r="AL1891" s="17"/>
      <c r="AM1891" s="17"/>
      <c r="AN1891" s="17"/>
      <c r="AO1891" s="17"/>
      <c r="AP1891" s="17"/>
      <c r="AQ1891" s="17"/>
      <c r="AR1891" s="17"/>
      <c r="AS1891" s="17"/>
      <c r="AT1891" s="17"/>
      <c r="AU1891" s="17"/>
      <c r="AV1891" s="17"/>
    </row>
    <row r="1892" spans="1:48" ht="15.75" customHeight="1">
      <c r="A1892" s="21" t="s">
        <v>53</v>
      </c>
      <c r="B1892" s="23" t="s">
        <v>1692</v>
      </c>
      <c r="C1892" s="22">
        <v>45786</v>
      </c>
      <c r="D1892" s="23" t="s">
        <v>186</v>
      </c>
      <c r="E1892" s="23" t="s">
        <v>55</v>
      </c>
      <c r="F1892" s="14">
        <v>1</v>
      </c>
      <c r="G1892" s="12">
        <v>20899.657794676805</v>
      </c>
      <c r="H1892" s="12">
        <v>20899.657794676805</v>
      </c>
      <c r="I1892" s="23" t="s">
        <v>52</v>
      </c>
      <c r="J1892" s="23" t="s">
        <v>61</v>
      </c>
      <c r="K1892" s="24" t="s">
        <v>177</v>
      </c>
      <c r="L1892" s="24">
        <v>137</v>
      </c>
      <c r="M1892" s="12">
        <v>17562.737642585551</v>
      </c>
      <c r="N1892" s="12">
        <v>17562.737642585551</v>
      </c>
      <c r="O1892" s="12">
        <v>3336.9201520912538</v>
      </c>
      <c r="P1892" s="13"/>
      <c r="Q1892" s="14">
        <v>2025</v>
      </c>
      <c r="R1892" s="15">
        <v>45413</v>
      </c>
      <c r="S1892" s="11" t="s">
        <v>366</v>
      </c>
      <c r="T1892" s="16">
        <v>0</v>
      </c>
      <c r="U1892" s="17"/>
      <c r="V1892" s="12">
        <v>3705.7376425855509</v>
      </c>
      <c r="W1892" s="12">
        <v>3705.7376425855509</v>
      </c>
      <c r="X1892" s="12">
        <v>0</v>
      </c>
      <c r="Y1892" s="18">
        <v>45782</v>
      </c>
      <c r="Z1892" s="13" t="s">
        <v>503</v>
      </c>
      <c r="AA1892" s="19" t="s">
        <v>373</v>
      </c>
      <c r="AB1892" s="13" t="s">
        <v>357</v>
      </c>
      <c r="AC1892" s="13" t="s">
        <v>465</v>
      </c>
      <c r="AD1892" s="20"/>
      <c r="AE1892" s="20"/>
      <c r="AF1892" s="13" t="s">
        <v>40</v>
      </c>
      <c r="AG1892" s="15">
        <v>45413</v>
      </c>
      <c r="AH1892" s="13" t="s">
        <v>41</v>
      </c>
      <c r="AI1892" s="13" t="s">
        <v>53</v>
      </c>
      <c r="AJ1892" s="13" t="str">
        <f>VLOOKUP(E1892,Precios!Z$2:AA$941,2,FALSE)</f>
        <v>Papel Higienico ELITE 50 metros</v>
      </c>
      <c r="AK1892" s="14">
        <f>VLOOKUP(E1892,Precios!Z$2:BB$941,3,FALSE)*F1892</f>
        <v>-8</v>
      </c>
      <c r="AL1892" s="17"/>
      <c r="AM1892" s="17"/>
      <c r="AN1892" s="17"/>
      <c r="AO1892" s="17"/>
      <c r="AP1892" s="17"/>
      <c r="AQ1892" s="17"/>
      <c r="AR1892" s="17"/>
      <c r="AS1892" s="17"/>
      <c r="AT1892" s="17"/>
      <c r="AU1892" s="17"/>
      <c r="AV1892" s="17"/>
    </row>
    <row r="1893" spans="1:48" ht="15.75" customHeight="1">
      <c r="A1893" s="21" t="s">
        <v>76</v>
      </c>
      <c r="B1893" s="23" t="s">
        <v>1692</v>
      </c>
      <c r="C1893" s="22">
        <v>45786</v>
      </c>
      <c r="D1893" s="23" t="s">
        <v>186</v>
      </c>
      <c r="E1893" s="23" t="s">
        <v>187</v>
      </c>
      <c r="F1893" s="14">
        <v>1</v>
      </c>
      <c r="G1893" s="12">
        <v>2699.9280057595392</v>
      </c>
      <c r="H1893" s="12">
        <v>2699.9280057595392</v>
      </c>
      <c r="I1893" s="23" t="s">
        <v>52</v>
      </c>
      <c r="J1893" s="23" t="s">
        <v>61</v>
      </c>
      <c r="K1893" s="24" t="s">
        <v>177</v>
      </c>
      <c r="L1893" s="24">
        <v>137</v>
      </c>
      <c r="M1893" s="12">
        <v>2268.8470636634784</v>
      </c>
      <c r="N1893" s="12">
        <v>2268.8470636634784</v>
      </c>
      <c r="O1893" s="12">
        <v>431.08094209606088</v>
      </c>
      <c r="P1893" s="13"/>
      <c r="Q1893" s="14">
        <v>2025</v>
      </c>
      <c r="R1893" s="15">
        <v>45413</v>
      </c>
      <c r="S1893" s="11" t="s">
        <v>479</v>
      </c>
      <c r="T1893" s="16">
        <v>0</v>
      </c>
      <c r="U1893" s="17"/>
      <c r="V1893" s="12">
        <v>798.18039699681162</v>
      </c>
      <c r="W1893" s="12">
        <v>798.18039699681162</v>
      </c>
      <c r="X1893" s="12">
        <v>0</v>
      </c>
      <c r="Y1893" s="18">
        <v>45782</v>
      </c>
      <c r="Z1893" s="13" t="s">
        <v>503</v>
      </c>
      <c r="AA1893" s="19" t="s">
        <v>373</v>
      </c>
      <c r="AB1893" s="13" t="s">
        <v>357</v>
      </c>
      <c r="AC1893" s="13" t="s">
        <v>465</v>
      </c>
      <c r="AD1893" s="20"/>
      <c r="AE1893" s="20"/>
      <c r="AF1893" s="13" t="s">
        <v>40</v>
      </c>
      <c r="AG1893" s="15">
        <v>45413</v>
      </c>
      <c r="AH1893" s="13" t="s">
        <v>41</v>
      </c>
      <c r="AI1893" s="13" t="s">
        <v>76</v>
      </c>
      <c r="AJ1893" s="13" t="str">
        <f>VLOOKUP(E1893,Precios!Z$2:AA$941,2,FALSE)</f>
        <v>Lavaloza WYN 1.5 Litros (recarga)</v>
      </c>
      <c r="AK1893" s="14">
        <f>VLOOKUP(E1893,Precios!Z$2:BB$941,3,FALSE)*F1893</f>
        <v>-1</v>
      </c>
      <c r="AL1893" s="17"/>
      <c r="AM1893" s="17"/>
      <c r="AN1893" s="17"/>
      <c r="AO1893" s="17"/>
      <c r="AP1893" s="17"/>
      <c r="AQ1893" s="17"/>
      <c r="AR1893" s="17"/>
      <c r="AS1893" s="17"/>
      <c r="AT1893" s="17"/>
      <c r="AU1893" s="17"/>
      <c r="AV1893" s="17"/>
    </row>
    <row r="1894" spans="1:48" ht="15.75" customHeight="1">
      <c r="A1894" s="21" t="s">
        <v>76</v>
      </c>
      <c r="B1894" s="23" t="s">
        <v>1692</v>
      </c>
      <c r="C1894" s="22">
        <v>45786</v>
      </c>
      <c r="D1894" s="23" t="s">
        <v>186</v>
      </c>
      <c r="E1894" s="23" t="s">
        <v>110</v>
      </c>
      <c r="F1894" s="14">
        <v>1</v>
      </c>
      <c r="G1894" s="12">
        <v>2000.0000000000005</v>
      </c>
      <c r="H1894" s="12">
        <v>2000.0000000000005</v>
      </c>
      <c r="I1894" s="23" t="s">
        <v>52</v>
      </c>
      <c r="J1894" s="23" t="s">
        <v>61</v>
      </c>
      <c r="K1894" s="24" t="s">
        <v>177</v>
      </c>
      <c r="L1894" s="24">
        <v>137</v>
      </c>
      <c r="M1894" s="12">
        <v>1680.6722689075634</v>
      </c>
      <c r="N1894" s="12">
        <v>1680.6722689075634</v>
      </c>
      <c r="O1894" s="12">
        <v>319.32773109243703</v>
      </c>
      <c r="P1894" s="13"/>
      <c r="Q1894" s="14">
        <v>2025</v>
      </c>
      <c r="R1894" s="15">
        <v>45413</v>
      </c>
      <c r="S1894" s="11" t="s">
        <v>378</v>
      </c>
      <c r="T1894" s="16">
        <v>5</v>
      </c>
      <c r="U1894" s="17"/>
      <c r="V1894" s="12">
        <v>756.30252100840369</v>
      </c>
      <c r="W1894" s="12">
        <v>756.30252100840369</v>
      </c>
      <c r="X1894" s="12">
        <v>0</v>
      </c>
      <c r="Y1894" s="18">
        <v>45782</v>
      </c>
      <c r="Z1894" s="13" t="s">
        <v>503</v>
      </c>
      <c r="AA1894" s="19" t="s">
        <v>373</v>
      </c>
      <c r="AB1894" s="13" t="s">
        <v>357</v>
      </c>
      <c r="AC1894" s="13" t="s">
        <v>465</v>
      </c>
      <c r="AD1894" s="20"/>
      <c r="AE1894" s="20"/>
      <c r="AF1894" s="13" t="s">
        <v>40</v>
      </c>
      <c r="AG1894" s="15">
        <v>45413</v>
      </c>
      <c r="AH1894" s="13" t="s">
        <v>41</v>
      </c>
      <c r="AI1894" s="13" t="s">
        <v>76</v>
      </c>
      <c r="AJ1894" s="13" t="str">
        <f>VLOOKUP(E1894,Precios!Z$2:AA$941,2,FALSE)</f>
        <v>Cloro SPUM 5 Litros</v>
      </c>
      <c r="AK1894" s="14">
        <f>VLOOKUP(E1894,Precios!Z$2:BB$941,3,FALSE)*F1894</f>
        <v>-1</v>
      </c>
      <c r="AL1894" s="17"/>
      <c r="AM1894" s="17"/>
      <c r="AN1894" s="17"/>
      <c r="AO1894" s="17"/>
      <c r="AP1894" s="17"/>
      <c r="AQ1894" s="17"/>
      <c r="AR1894" s="17"/>
      <c r="AS1894" s="17"/>
      <c r="AT1894" s="17"/>
      <c r="AU1894" s="17"/>
      <c r="AV1894" s="17"/>
    </row>
    <row r="1895" spans="1:48" ht="15.75" customHeight="1">
      <c r="A1895" s="21" t="s">
        <v>43</v>
      </c>
      <c r="B1895" s="23" t="s">
        <v>1692</v>
      </c>
      <c r="C1895" s="22">
        <v>45786</v>
      </c>
      <c r="D1895" s="23" t="s">
        <v>241</v>
      </c>
      <c r="E1895" s="23" t="s">
        <v>45</v>
      </c>
      <c r="F1895" s="14">
        <v>1</v>
      </c>
      <c r="G1895" s="12">
        <v>8000.0859845227851</v>
      </c>
      <c r="H1895" s="12">
        <v>8000.0859845227851</v>
      </c>
      <c r="I1895" s="23" t="s">
        <v>52</v>
      </c>
      <c r="J1895" s="23" t="s">
        <v>61</v>
      </c>
      <c r="K1895" s="24" t="s">
        <v>177</v>
      </c>
      <c r="L1895" s="24">
        <v>137</v>
      </c>
      <c r="M1895" s="12">
        <v>6722.7613315317521</v>
      </c>
      <c r="N1895" s="12">
        <v>6722.7613315317521</v>
      </c>
      <c r="O1895" s="12">
        <v>1277.324652991033</v>
      </c>
      <c r="P1895" s="13"/>
      <c r="Q1895" s="14">
        <v>2025</v>
      </c>
      <c r="R1895" s="15">
        <v>45413</v>
      </c>
      <c r="S1895" s="11" t="s">
        <v>355</v>
      </c>
      <c r="T1895" s="16">
        <v>0</v>
      </c>
      <c r="U1895" s="17"/>
      <c r="V1895" s="12">
        <v>1249.7613315317521</v>
      </c>
      <c r="W1895" s="12">
        <v>1249.7613315317521</v>
      </c>
      <c r="X1895" s="12">
        <v>0</v>
      </c>
      <c r="Y1895" s="18">
        <v>45782</v>
      </c>
      <c r="Z1895" s="13" t="s">
        <v>503</v>
      </c>
      <c r="AA1895" s="19" t="s">
        <v>373</v>
      </c>
      <c r="AB1895" s="13" t="s">
        <v>357</v>
      </c>
      <c r="AC1895" s="13" t="s">
        <v>488</v>
      </c>
      <c r="AD1895" s="20"/>
      <c r="AE1895" s="20"/>
      <c r="AF1895" s="13" t="s">
        <v>40</v>
      </c>
      <c r="AG1895" s="15">
        <v>45413</v>
      </c>
      <c r="AH1895" s="13" t="s">
        <v>41</v>
      </c>
      <c r="AI1895" s="13" t="s">
        <v>43</v>
      </c>
      <c r="AJ1895" s="13" t="str">
        <f>VLOOKUP(E1895,Precios!Z$2:AA$941,2,FALSE)</f>
        <v>Bandeja Huevos EXTRA</v>
      </c>
      <c r="AK1895" s="14">
        <f>VLOOKUP(E1895,Precios!Z$2:BB$941,3,FALSE)*F1895</f>
        <v>-1</v>
      </c>
      <c r="AL1895" s="17"/>
      <c r="AM1895" s="17"/>
      <c r="AN1895" s="17"/>
      <c r="AO1895" s="17"/>
      <c r="AP1895" s="17"/>
      <c r="AQ1895" s="17"/>
      <c r="AR1895" s="17"/>
      <c r="AS1895" s="17"/>
      <c r="AT1895" s="17"/>
      <c r="AU1895" s="17"/>
      <c r="AV1895" s="17"/>
    </row>
    <row r="1896" spans="1:48" ht="15.75" customHeight="1">
      <c r="A1896" s="21" t="s">
        <v>43</v>
      </c>
      <c r="B1896" s="23" t="s">
        <v>1692</v>
      </c>
      <c r="C1896" s="22">
        <v>45786</v>
      </c>
      <c r="D1896" s="23" t="s">
        <v>268</v>
      </c>
      <c r="E1896" s="23" t="s">
        <v>45</v>
      </c>
      <c r="F1896" s="14">
        <v>1</v>
      </c>
      <c r="G1896" s="12">
        <v>8000.0859845227851</v>
      </c>
      <c r="H1896" s="12">
        <v>8000.0859845227851</v>
      </c>
      <c r="I1896" s="23" t="s">
        <v>52</v>
      </c>
      <c r="J1896" s="23" t="s">
        <v>61</v>
      </c>
      <c r="K1896" s="24" t="s">
        <v>177</v>
      </c>
      <c r="L1896" s="24">
        <v>137</v>
      </c>
      <c r="M1896" s="12">
        <v>6722.7613315317521</v>
      </c>
      <c r="N1896" s="12">
        <v>6722.7613315317521</v>
      </c>
      <c r="O1896" s="12">
        <v>1277.324652991033</v>
      </c>
      <c r="P1896" s="13"/>
      <c r="Q1896" s="14">
        <v>2025</v>
      </c>
      <c r="R1896" s="15">
        <v>45413</v>
      </c>
      <c r="S1896" s="11" t="s">
        <v>355</v>
      </c>
      <c r="T1896" s="16">
        <v>0</v>
      </c>
      <c r="U1896" s="17"/>
      <c r="V1896" s="12">
        <v>1249.7613315317521</v>
      </c>
      <c r="W1896" s="12">
        <v>1249.7613315317521</v>
      </c>
      <c r="X1896" s="12">
        <v>0</v>
      </c>
      <c r="Y1896" s="18">
        <v>45782</v>
      </c>
      <c r="Z1896" s="13" t="s">
        <v>503</v>
      </c>
      <c r="AA1896" s="19" t="s">
        <v>373</v>
      </c>
      <c r="AB1896" s="13" t="s">
        <v>357</v>
      </c>
      <c r="AC1896" s="13" t="s">
        <v>527</v>
      </c>
      <c r="AD1896" s="20"/>
      <c r="AE1896" s="20"/>
      <c r="AF1896" s="13" t="s">
        <v>40</v>
      </c>
      <c r="AG1896" s="15">
        <v>45413</v>
      </c>
      <c r="AH1896" s="13" t="s">
        <v>41</v>
      </c>
      <c r="AI1896" s="13" t="s">
        <v>43</v>
      </c>
      <c r="AJ1896" s="13" t="str">
        <f>VLOOKUP(E1896,Precios!Z$2:AA$941,2,FALSE)</f>
        <v>Bandeja Huevos EXTRA</v>
      </c>
      <c r="AK1896" s="14">
        <f>VLOOKUP(E1896,Precios!Z$2:BB$941,3,FALSE)*F1896</f>
        <v>-1</v>
      </c>
      <c r="AL1896" s="17"/>
      <c r="AM1896" s="17"/>
      <c r="AN1896" s="17"/>
      <c r="AO1896" s="17"/>
      <c r="AP1896" s="17"/>
      <c r="AQ1896" s="17"/>
      <c r="AR1896" s="17"/>
      <c r="AS1896" s="17"/>
      <c r="AT1896" s="17"/>
      <c r="AU1896" s="17"/>
      <c r="AV1896" s="17"/>
    </row>
    <row r="1897" spans="1:48" ht="15.75" customHeight="1">
      <c r="A1897" s="14" t="s">
        <v>35</v>
      </c>
      <c r="B1897" s="23" t="s">
        <v>1692</v>
      </c>
      <c r="C1897" s="22">
        <v>45786</v>
      </c>
      <c r="D1897" s="23" t="s">
        <v>124</v>
      </c>
      <c r="E1897" s="13" t="s">
        <v>37</v>
      </c>
      <c r="F1897" s="14">
        <v>1</v>
      </c>
      <c r="G1897" s="12">
        <v>10499.643649654092</v>
      </c>
      <c r="H1897" s="12">
        <v>10499.643649654092</v>
      </c>
      <c r="I1897" s="23" t="s">
        <v>52</v>
      </c>
      <c r="J1897" s="23" t="s">
        <v>61</v>
      </c>
      <c r="K1897" s="24" t="s">
        <v>177</v>
      </c>
      <c r="L1897" s="24">
        <v>137</v>
      </c>
      <c r="M1897" s="12">
        <v>8823.2299576925143</v>
      </c>
      <c r="N1897" s="12">
        <v>8823.2299576925143</v>
      </c>
      <c r="O1897" s="12">
        <v>1676.4136919615776</v>
      </c>
      <c r="P1897" s="13"/>
      <c r="Q1897" s="14">
        <v>2025</v>
      </c>
      <c r="R1897" s="15">
        <v>45413</v>
      </c>
      <c r="S1897" s="11" t="s">
        <v>364</v>
      </c>
      <c r="T1897" s="16">
        <v>1000</v>
      </c>
      <c r="U1897" s="17"/>
      <c r="V1897" s="12">
        <v>2385.6333190370515</v>
      </c>
      <c r="W1897" s="12">
        <v>2385.6333190370515</v>
      </c>
      <c r="X1897" s="12">
        <v>0</v>
      </c>
      <c r="Y1897" s="18">
        <v>45782</v>
      </c>
      <c r="Z1897" s="13" t="s">
        <v>503</v>
      </c>
      <c r="AA1897" s="19" t="s">
        <v>356</v>
      </c>
      <c r="AB1897" s="13" t="s">
        <v>357</v>
      </c>
      <c r="AC1897" s="13" t="s">
        <v>383</v>
      </c>
      <c r="AD1897" s="20"/>
      <c r="AE1897" s="20"/>
      <c r="AF1897" s="13" t="s">
        <v>40</v>
      </c>
      <c r="AG1897" s="15">
        <v>45413</v>
      </c>
      <c r="AH1897" s="13" t="s">
        <v>41</v>
      </c>
      <c r="AI1897" s="13" t="s">
        <v>35</v>
      </c>
      <c r="AJ1897" s="13" t="str">
        <f>VLOOKUP(E1897,Precios!Z$2:AA$941,2,FALSE)</f>
        <v>Queso RUNCA Mantecoso</v>
      </c>
      <c r="AK1897" s="14">
        <f>VLOOKUP(E1897,Precios!Z$2:BB$941,3,FALSE)*F1897</f>
        <v>-1</v>
      </c>
      <c r="AL1897" s="17"/>
      <c r="AM1897" s="17"/>
      <c r="AN1897" s="17"/>
      <c r="AO1897" s="17"/>
      <c r="AP1897" s="17"/>
      <c r="AQ1897" s="17"/>
      <c r="AR1897" s="17"/>
      <c r="AS1897" s="17"/>
      <c r="AT1897" s="17"/>
      <c r="AU1897" s="17"/>
      <c r="AV1897" s="17"/>
    </row>
    <row r="1898" spans="1:48" ht="15.75" customHeight="1">
      <c r="A1898" s="21" t="s">
        <v>53</v>
      </c>
      <c r="B1898" s="23" t="s">
        <v>1692</v>
      </c>
      <c r="C1898" s="22">
        <v>45786</v>
      </c>
      <c r="D1898" s="23" t="s">
        <v>124</v>
      </c>
      <c r="E1898" s="23" t="s">
        <v>55</v>
      </c>
      <c r="F1898" s="14">
        <v>1</v>
      </c>
      <c r="G1898" s="12">
        <v>20899.657794676805</v>
      </c>
      <c r="H1898" s="12">
        <v>20899.657794676805</v>
      </c>
      <c r="I1898" s="23" t="s">
        <v>52</v>
      </c>
      <c r="J1898" s="23" t="s">
        <v>61</v>
      </c>
      <c r="K1898" s="24" t="s">
        <v>177</v>
      </c>
      <c r="L1898" s="24">
        <v>137</v>
      </c>
      <c r="M1898" s="12">
        <v>17562.737642585551</v>
      </c>
      <c r="N1898" s="12">
        <v>17562.737642585551</v>
      </c>
      <c r="O1898" s="12">
        <v>3336.9201520912538</v>
      </c>
      <c r="P1898" s="13"/>
      <c r="Q1898" s="14">
        <v>2025</v>
      </c>
      <c r="R1898" s="15">
        <v>45413</v>
      </c>
      <c r="S1898" s="11" t="s">
        <v>366</v>
      </c>
      <c r="T1898" s="16">
        <v>0</v>
      </c>
      <c r="U1898" s="17"/>
      <c r="V1898" s="12">
        <v>3705.7376425855509</v>
      </c>
      <c r="W1898" s="12">
        <v>3705.7376425855509</v>
      </c>
      <c r="X1898" s="12">
        <v>0</v>
      </c>
      <c r="Y1898" s="18">
        <v>45782</v>
      </c>
      <c r="Z1898" s="13" t="s">
        <v>503</v>
      </c>
      <c r="AA1898" s="19" t="s">
        <v>356</v>
      </c>
      <c r="AB1898" s="13" t="s">
        <v>357</v>
      </c>
      <c r="AC1898" s="13" t="s">
        <v>383</v>
      </c>
      <c r="AD1898" s="20"/>
      <c r="AE1898" s="20"/>
      <c r="AF1898" s="13" t="s">
        <v>40</v>
      </c>
      <c r="AG1898" s="15">
        <v>45413</v>
      </c>
      <c r="AH1898" s="13" t="s">
        <v>41</v>
      </c>
      <c r="AI1898" s="13" t="s">
        <v>53</v>
      </c>
      <c r="AJ1898" s="13" t="str">
        <f>VLOOKUP(E1898,Precios!Z$2:AA$941,2,FALSE)</f>
        <v>Papel Higienico ELITE 50 metros</v>
      </c>
      <c r="AK1898" s="14">
        <f>VLOOKUP(E1898,Precios!Z$2:BB$941,3,FALSE)*F1898</f>
        <v>-8</v>
      </c>
      <c r="AL1898" s="17"/>
      <c r="AM1898" s="17"/>
      <c r="AN1898" s="17"/>
      <c r="AO1898" s="17"/>
      <c r="AP1898" s="17"/>
      <c r="AQ1898" s="17"/>
      <c r="AR1898" s="17"/>
      <c r="AS1898" s="17"/>
      <c r="AT1898" s="17"/>
      <c r="AU1898" s="17"/>
      <c r="AV1898" s="17"/>
    </row>
    <row r="1899" spans="1:48" ht="15.75" customHeight="1">
      <c r="A1899" s="21" t="s">
        <v>53</v>
      </c>
      <c r="B1899" s="23" t="s">
        <v>1692</v>
      </c>
      <c r="C1899" s="22">
        <v>45786</v>
      </c>
      <c r="D1899" s="23" t="s">
        <v>229</v>
      </c>
      <c r="E1899" s="23" t="s">
        <v>69</v>
      </c>
      <c r="F1899" s="14">
        <v>1</v>
      </c>
      <c r="G1899" s="12">
        <v>2999.9553810458683</v>
      </c>
      <c r="H1899" s="12">
        <v>2999.9553810458683</v>
      </c>
      <c r="I1899" s="23" t="s">
        <v>52</v>
      </c>
      <c r="J1899" s="23" t="s">
        <v>61</v>
      </c>
      <c r="K1899" s="24" t="s">
        <v>177</v>
      </c>
      <c r="L1899" s="24">
        <v>137</v>
      </c>
      <c r="M1899" s="12">
        <v>2520.9709084419064</v>
      </c>
      <c r="N1899" s="12">
        <v>2520.9709084419064</v>
      </c>
      <c r="O1899" s="12">
        <v>478.98447260396188</v>
      </c>
      <c r="P1899" s="13"/>
      <c r="Q1899" s="14">
        <v>2025</v>
      </c>
      <c r="R1899" s="15">
        <v>45413</v>
      </c>
      <c r="S1899" s="11" t="s">
        <v>376</v>
      </c>
      <c r="T1899" s="16">
        <v>0</v>
      </c>
      <c r="U1899" s="17"/>
      <c r="V1899" s="12">
        <v>825.97090844190598</v>
      </c>
      <c r="W1899" s="12">
        <v>825.97090844190598</v>
      </c>
      <c r="X1899" s="12">
        <v>0</v>
      </c>
      <c r="Y1899" s="18">
        <v>45782</v>
      </c>
      <c r="Z1899" s="13" t="s">
        <v>503</v>
      </c>
      <c r="AA1899" s="19" t="s">
        <v>361</v>
      </c>
      <c r="AB1899" s="13" t="s">
        <v>357</v>
      </c>
      <c r="AC1899" s="13" t="s">
        <v>380</v>
      </c>
      <c r="AD1899" s="20"/>
      <c r="AE1899" s="20"/>
      <c r="AF1899" s="13" t="s">
        <v>40</v>
      </c>
      <c r="AG1899" s="15">
        <v>45413</v>
      </c>
      <c r="AH1899" s="13" t="s">
        <v>41</v>
      </c>
      <c r="AI1899" s="13" t="s">
        <v>53</v>
      </c>
      <c r="AJ1899" s="13" t="str">
        <f>VLOOKUP(E1899,Precios!Z$2:AA$941,2,FALSE)</f>
        <v>Toalla Papel NOVA 70 metros</v>
      </c>
      <c r="AK1899" s="14">
        <f>VLOOKUP(E1899,Precios!Z$2:BB$941,3,FALSE)*F1899</f>
        <v>-1</v>
      </c>
      <c r="AL1899" s="17"/>
      <c r="AM1899" s="17"/>
      <c r="AN1899" s="17"/>
      <c r="AO1899" s="17"/>
      <c r="AP1899" s="17"/>
      <c r="AQ1899" s="17"/>
      <c r="AR1899" s="17"/>
      <c r="AS1899" s="17"/>
      <c r="AT1899" s="17"/>
      <c r="AU1899" s="17"/>
      <c r="AV1899" s="17"/>
    </row>
    <row r="1900" spans="1:48" ht="15.75" customHeight="1">
      <c r="A1900" s="21" t="s">
        <v>76</v>
      </c>
      <c r="B1900" s="23" t="s">
        <v>1692</v>
      </c>
      <c r="C1900" s="22">
        <v>45786</v>
      </c>
      <c r="D1900" s="23" t="s">
        <v>229</v>
      </c>
      <c r="E1900" s="23" t="s">
        <v>110</v>
      </c>
      <c r="F1900" s="14">
        <v>1</v>
      </c>
      <c r="G1900" s="12">
        <v>2000.0000000000005</v>
      </c>
      <c r="H1900" s="12">
        <v>2000.0000000000005</v>
      </c>
      <c r="I1900" s="23" t="s">
        <v>52</v>
      </c>
      <c r="J1900" s="23" t="s">
        <v>61</v>
      </c>
      <c r="K1900" s="24" t="s">
        <v>177</v>
      </c>
      <c r="L1900" s="24">
        <v>137</v>
      </c>
      <c r="M1900" s="12">
        <v>1680.6722689075634</v>
      </c>
      <c r="N1900" s="12">
        <v>1680.6722689075634</v>
      </c>
      <c r="O1900" s="12">
        <v>319.32773109243703</v>
      </c>
      <c r="P1900" s="13"/>
      <c r="Q1900" s="14">
        <v>2025</v>
      </c>
      <c r="R1900" s="15">
        <v>45413</v>
      </c>
      <c r="S1900" s="11" t="s">
        <v>378</v>
      </c>
      <c r="T1900" s="16">
        <v>5</v>
      </c>
      <c r="U1900" s="17"/>
      <c r="V1900" s="12">
        <v>756.30252100840369</v>
      </c>
      <c r="W1900" s="12">
        <v>756.30252100840369</v>
      </c>
      <c r="X1900" s="12">
        <v>0</v>
      </c>
      <c r="Y1900" s="18">
        <v>45782</v>
      </c>
      <c r="Z1900" s="13" t="s">
        <v>503</v>
      </c>
      <c r="AA1900" s="19" t="s">
        <v>361</v>
      </c>
      <c r="AB1900" s="13" t="s">
        <v>357</v>
      </c>
      <c r="AC1900" s="13" t="s">
        <v>380</v>
      </c>
      <c r="AD1900" s="20"/>
      <c r="AE1900" s="20"/>
      <c r="AF1900" s="13" t="s">
        <v>40</v>
      </c>
      <c r="AG1900" s="15">
        <v>45413</v>
      </c>
      <c r="AH1900" s="13" t="s">
        <v>41</v>
      </c>
      <c r="AI1900" s="13" t="s">
        <v>76</v>
      </c>
      <c r="AJ1900" s="13" t="str">
        <f>VLOOKUP(E1900,Precios!Z$2:AA$941,2,FALSE)</f>
        <v>Cloro SPUM 5 Litros</v>
      </c>
      <c r="AK1900" s="14">
        <f>VLOOKUP(E1900,Precios!Z$2:BB$941,3,FALSE)*F1900</f>
        <v>-1</v>
      </c>
      <c r="AL1900" s="17"/>
      <c r="AM1900" s="17"/>
      <c r="AN1900" s="17"/>
      <c r="AO1900" s="17"/>
      <c r="AP1900" s="17"/>
      <c r="AQ1900" s="17"/>
      <c r="AR1900" s="17"/>
      <c r="AS1900" s="17"/>
      <c r="AT1900" s="17"/>
      <c r="AU1900" s="17"/>
      <c r="AV1900" s="17"/>
    </row>
    <row r="1901" spans="1:48" ht="15.75" customHeight="1">
      <c r="A1901" s="21" t="s">
        <v>76</v>
      </c>
      <c r="B1901" s="23" t="s">
        <v>1692</v>
      </c>
      <c r="C1901" s="22">
        <v>45786</v>
      </c>
      <c r="D1901" s="23" t="s">
        <v>229</v>
      </c>
      <c r="E1901" s="23" t="s">
        <v>81</v>
      </c>
      <c r="F1901" s="14">
        <v>1</v>
      </c>
      <c r="G1901" s="12">
        <v>3500.0000000000005</v>
      </c>
      <c r="H1901" s="12">
        <v>3500.0000000000005</v>
      </c>
      <c r="I1901" s="23" t="s">
        <v>52</v>
      </c>
      <c r="J1901" s="23" t="s">
        <v>61</v>
      </c>
      <c r="K1901" s="24" t="s">
        <v>177</v>
      </c>
      <c r="L1901" s="24">
        <v>137</v>
      </c>
      <c r="M1901" s="12">
        <v>2941.1764705882356</v>
      </c>
      <c r="N1901" s="12">
        <v>2941.1764705882356</v>
      </c>
      <c r="O1901" s="12">
        <v>558.82352941176487</v>
      </c>
      <c r="P1901" s="13"/>
      <c r="Q1901" s="14">
        <v>2025</v>
      </c>
      <c r="R1901" s="15">
        <v>45413</v>
      </c>
      <c r="S1901" s="11" t="s">
        <v>397</v>
      </c>
      <c r="T1901" s="16">
        <v>5</v>
      </c>
      <c r="U1901" s="17"/>
      <c r="V1901" s="12">
        <v>764.70588235294144</v>
      </c>
      <c r="W1901" s="12">
        <v>764.70588235294144</v>
      </c>
      <c r="X1901" s="12">
        <v>0</v>
      </c>
      <c r="Y1901" s="18">
        <v>45782</v>
      </c>
      <c r="Z1901" s="13" t="s">
        <v>503</v>
      </c>
      <c r="AA1901" s="19" t="s">
        <v>361</v>
      </c>
      <c r="AB1901" s="13" t="s">
        <v>357</v>
      </c>
      <c r="AC1901" s="13" t="s">
        <v>380</v>
      </c>
      <c r="AD1901" s="20"/>
      <c r="AE1901" s="20"/>
      <c r="AF1901" s="13" t="s">
        <v>40</v>
      </c>
      <c r="AG1901" s="15">
        <v>45413</v>
      </c>
      <c r="AH1901" s="13" t="s">
        <v>41</v>
      </c>
      <c r="AI1901" s="13" t="s">
        <v>76</v>
      </c>
      <c r="AJ1901" s="13" t="str">
        <f>VLOOKUP(E1901,Precios!Z$2:AA$941,2,FALSE)</f>
        <v>Detergente SPUM 5 Litros (Verde)</v>
      </c>
      <c r="AK1901" s="14">
        <f>VLOOKUP(E1901,Precios!Z$2:BB$941,3,FALSE)*F1901</f>
        <v>-1</v>
      </c>
      <c r="AL1901" s="17"/>
      <c r="AM1901" s="17"/>
      <c r="AN1901" s="17"/>
      <c r="AO1901" s="17"/>
      <c r="AP1901" s="17"/>
      <c r="AQ1901" s="17"/>
      <c r="AR1901" s="17"/>
      <c r="AS1901" s="17"/>
      <c r="AT1901" s="17"/>
      <c r="AU1901" s="17"/>
      <c r="AV1901" s="17"/>
    </row>
    <row r="1902" spans="1:48" ht="15.75" customHeight="1">
      <c r="A1902" s="21" t="s">
        <v>43</v>
      </c>
      <c r="B1902" s="23" t="s">
        <v>1692</v>
      </c>
      <c r="C1902" s="22">
        <v>45786</v>
      </c>
      <c r="D1902" s="23" t="s">
        <v>229</v>
      </c>
      <c r="E1902" s="23" t="s">
        <v>45</v>
      </c>
      <c r="F1902" s="14">
        <v>1</v>
      </c>
      <c r="G1902" s="12">
        <v>8000.0859845227851</v>
      </c>
      <c r="H1902" s="12">
        <v>8000.0859845227851</v>
      </c>
      <c r="I1902" s="23" t="s">
        <v>52</v>
      </c>
      <c r="J1902" s="23" t="s">
        <v>61</v>
      </c>
      <c r="K1902" s="24" t="s">
        <v>177</v>
      </c>
      <c r="L1902" s="24">
        <v>137</v>
      </c>
      <c r="M1902" s="12">
        <v>6722.7613315317521</v>
      </c>
      <c r="N1902" s="12">
        <v>6722.7613315317521</v>
      </c>
      <c r="O1902" s="12">
        <v>1277.324652991033</v>
      </c>
      <c r="P1902" s="13"/>
      <c r="Q1902" s="14">
        <v>2025</v>
      </c>
      <c r="R1902" s="15">
        <v>45413</v>
      </c>
      <c r="S1902" s="11" t="s">
        <v>355</v>
      </c>
      <c r="T1902" s="16">
        <v>0</v>
      </c>
      <c r="U1902" s="17"/>
      <c r="V1902" s="12">
        <v>1249.7613315317521</v>
      </c>
      <c r="W1902" s="12">
        <v>1249.7613315317521</v>
      </c>
      <c r="X1902" s="12">
        <v>0</v>
      </c>
      <c r="Y1902" s="18">
        <v>45782</v>
      </c>
      <c r="Z1902" s="13" t="s">
        <v>503</v>
      </c>
      <c r="AA1902" s="19" t="s">
        <v>361</v>
      </c>
      <c r="AB1902" s="13" t="s">
        <v>357</v>
      </c>
      <c r="AC1902" s="13" t="s">
        <v>380</v>
      </c>
      <c r="AD1902" s="20"/>
      <c r="AE1902" s="20"/>
      <c r="AF1902" s="13" t="s">
        <v>40</v>
      </c>
      <c r="AG1902" s="15">
        <v>45413</v>
      </c>
      <c r="AH1902" s="13" t="s">
        <v>41</v>
      </c>
      <c r="AI1902" s="13" t="s">
        <v>43</v>
      </c>
      <c r="AJ1902" s="13" t="str">
        <f>VLOOKUP(E1902,Precios!Z$2:AA$941,2,FALSE)</f>
        <v>Bandeja Huevos EXTRA</v>
      </c>
      <c r="AK1902" s="14">
        <f>VLOOKUP(E1902,Precios!Z$2:BB$941,3,FALSE)*F1902</f>
        <v>-1</v>
      </c>
      <c r="AL1902" s="17"/>
      <c r="AM1902" s="17"/>
      <c r="AN1902" s="17"/>
      <c r="AO1902" s="17"/>
      <c r="AP1902" s="17"/>
      <c r="AQ1902" s="17"/>
      <c r="AR1902" s="17"/>
      <c r="AS1902" s="17"/>
      <c r="AT1902" s="17"/>
      <c r="AU1902" s="17"/>
      <c r="AV1902" s="17"/>
    </row>
    <row r="1903" spans="1:48" ht="15.75" customHeight="1">
      <c r="A1903" s="14" t="s">
        <v>35</v>
      </c>
      <c r="B1903" s="23" t="s">
        <v>1692</v>
      </c>
      <c r="C1903" s="22">
        <v>45786</v>
      </c>
      <c r="D1903" s="23" t="s">
        <v>119</v>
      </c>
      <c r="E1903" s="13" t="s">
        <v>37</v>
      </c>
      <c r="F1903" s="14">
        <v>1</v>
      </c>
      <c r="G1903" s="12">
        <v>10499.643649654092</v>
      </c>
      <c r="H1903" s="12">
        <v>10499.643649654092</v>
      </c>
      <c r="I1903" s="23" t="s">
        <v>52</v>
      </c>
      <c r="J1903" s="23" t="s">
        <v>61</v>
      </c>
      <c r="K1903" s="24" t="s">
        <v>177</v>
      </c>
      <c r="L1903" s="24">
        <v>137</v>
      </c>
      <c r="M1903" s="12">
        <v>8823.2299576925143</v>
      </c>
      <c r="N1903" s="12">
        <v>8823.2299576925143</v>
      </c>
      <c r="O1903" s="12">
        <v>1676.4136919615776</v>
      </c>
      <c r="P1903" s="13"/>
      <c r="Q1903" s="14">
        <v>2025</v>
      </c>
      <c r="R1903" s="15">
        <v>45413</v>
      </c>
      <c r="S1903" s="11" t="s">
        <v>364</v>
      </c>
      <c r="T1903" s="16">
        <v>1000</v>
      </c>
      <c r="U1903" s="17"/>
      <c r="V1903" s="12">
        <v>2385.6333190370515</v>
      </c>
      <c r="W1903" s="12">
        <v>2385.6333190370515</v>
      </c>
      <c r="X1903" s="12">
        <v>0</v>
      </c>
      <c r="Y1903" s="18">
        <v>45782</v>
      </c>
      <c r="Z1903" s="13" t="s">
        <v>503</v>
      </c>
      <c r="AA1903" s="19" t="s">
        <v>373</v>
      </c>
      <c r="AB1903" s="13" t="s">
        <v>357</v>
      </c>
      <c r="AC1903" s="13" t="s">
        <v>629</v>
      </c>
      <c r="AD1903" s="20"/>
      <c r="AE1903" s="20"/>
      <c r="AF1903" s="13" t="s">
        <v>40</v>
      </c>
      <c r="AG1903" s="15">
        <v>45413</v>
      </c>
      <c r="AH1903" s="13" t="s">
        <v>41</v>
      </c>
      <c r="AI1903" s="13" t="s">
        <v>35</v>
      </c>
      <c r="AJ1903" s="13" t="str">
        <f>VLOOKUP(E1903,Precios!Z$2:AA$941,2,FALSE)</f>
        <v>Queso RUNCA Mantecoso</v>
      </c>
      <c r="AK1903" s="14">
        <f>VLOOKUP(E1903,Precios!Z$2:BB$941,3,FALSE)*F1903</f>
        <v>-1</v>
      </c>
      <c r="AL1903" s="17"/>
      <c r="AM1903" s="17"/>
      <c r="AN1903" s="17"/>
      <c r="AO1903" s="17"/>
      <c r="AP1903" s="17"/>
      <c r="AQ1903" s="17"/>
      <c r="AR1903" s="17"/>
      <c r="AS1903" s="17"/>
      <c r="AT1903" s="17"/>
      <c r="AU1903" s="17"/>
      <c r="AV1903" s="17"/>
    </row>
    <row r="1904" spans="1:48" ht="15.75" customHeight="1">
      <c r="A1904" s="14" t="s">
        <v>35</v>
      </c>
      <c r="B1904" s="23" t="s">
        <v>1692</v>
      </c>
      <c r="C1904" s="22">
        <v>45785</v>
      </c>
      <c r="D1904" s="23" t="s">
        <v>176</v>
      </c>
      <c r="E1904" s="13" t="s">
        <v>37</v>
      </c>
      <c r="F1904" s="14">
        <v>1</v>
      </c>
      <c r="G1904" s="12">
        <v>10499.643649654092</v>
      </c>
      <c r="H1904" s="12">
        <v>10499.643649654092</v>
      </c>
      <c r="I1904" s="23" t="s">
        <v>52</v>
      </c>
      <c r="J1904" s="23" t="s">
        <v>61</v>
      </c>
      <c r="K1904" s="24" t="s">
        <v>177</v>
      </c>
      <c r="L1904" s="24">
        <v>137</v>
      </c>
      <c r="M1904" s="12">
        <v>8823.2299576925143</v>
      </c>
      <c r="N1904" s="12">
        <v>8823.2299576925143</v>
      </c>
      <c r="O1904" s="12">
        <v>1676.4136919615776</v>
      </c>
      <c r="P1904" s="13"/>
      <c r="Q1904" s="14">
        <v>2025</v>
      </c>
      <c r="R1904" s="15">
        <v>45413</v>
      </c>
      <c r="S1904" s="11" t="s">
        <v>364</v>
      </c>
      <c r="T1904" s="16">
        <v>1000</v>
      </c>
      <c r="U1904" s="17"/>
      <c r="V1904" s="12">
        <v>2385.6333190370515</v>
      </c>
      <c r="W1904" s="12">
        <v>2385.6333190370515</v>
      </c>
      <c r="X1904" s="12">
        <v>0</v>
      </c>
      <c r="Y1904" s="18">
        <v>45782</v>
      </c>
      <c r="Z1904" s="13" t="s">
        <v>505</v>
      </c>
      <c r="AA1904" s="19" t="s">
        <v>373</v>
      </c>
      <c r="AB1904" s="13" t="s">
        <v>357</v>
      </c>
      <c r="AC1904" s="13" t="s">
        <v>383</v>
      </c>
      <c r="AD1904" s="20"/>
      <c r="AE1904" s="20"/>
      <c r="AF1904" s="13" t="s">
        <v>40</v>
      </c>
      <c r="AG1904" s="15">
        <v>45413</v>
      </c>
      <c r="AH1904" s="13" t="s">
        <v>41</v>
      </c>
      <c r="AI1904" s="13" t="s">
        <v>35</v>
      </c>
      <c r="AJ1904" s="13" t="str">
        <f>VLOOKUP(E1904,Precios!Z$2:AA$941,2,FALSE)</f>
        <v>Queso RUNCA Mantecoso</v>
      </c>
      <c r="AK1904" s="14">
        <f>VLOOKUP(E1904,Precios!Z$2:BB$941,3,FALSE)*F1904</f>
        <v>-1</v>
      </c>
      <c r="AL1904" s="17"/>
      <c r="AM1904" s="17"/>
      <c r="AN1904" s="17"/>
      <c r="AO1904" s="17"/>
      <c r="AP1904" s="17"/>
      <c r="AQ1904" s="17"/>
      <c r="AR1904" s="17"/>
      <c r="AS1904" s="17"/>
      <c r="AT1904" s="17"/>
      <c r="AU1904" s="17"/>
      <c r="AV1904" s="17"/>
    </row>
    <row r="1905" spans="1:48" ht="15.75" customHeight="1">
      <c r="A1905" s="21" t="s">
        <v>43</v>
      </c>
      <c r="B1905" s="23" t="s">
        <v>1692</v>
      </c>
      <c r="C1905" s="22">
        <v>45785</v>
      </c>
      <c r="D1905" s="23" t="s">
        <v>176</v>
      </c>
      <c r="E1905" s="23" t="s">
        <v>45</v>
      </c>
      <c r="F1905" s="14">
        <v>1</v>
      </c>
      <c r="G1905" s="12">
        <v>8000.0859845227851</v>
      </c>
      <c r="H1905" s="12">
        <v>8000.0859845227851</v>
      </c>
      <c r="I1905" s="23" t="s">
        <v>52</v>
      </c>
      <c r="J1905" s="23" t="s">
        <v>61</v>
      </c>
      <c r="K1905" s="24" t="s">
        <v>177</v>
      </c>
      <c r="L1905" s="24">
        <v>137</v>
      </c>
      <c r="M1905" s="12">
        <v>6722.7613315317521</v>
      </c>
      <c r="N1905" s="12">
        <v>6722.7613315317521</v>
      </c>
      <c r="O1905" s="12">
        <v>1277.324652991033</v>
      </c>
      <c r="P1905" s="13"/>
      <c r="Q1905" s="14">
        <v>2025</v>
      </c>
      <c r="R1905" s="15">
        <v>45413</v>
      </c>
      <c r="S1905" s="11" t="s">
        <v>355</v>
      </c>
      <c r="T1905" s="16">
        <v>0</v>
      </c>
      <c r="U1905" s="17"/>
      <c r="V1905" s="12">
        <v>1249.7613315317521</v>
      </c>
      <c r="W1905" s="12">
        <v>1249.7613315317521</v>
      </c>
      <c r="X1905" s="12">
        <v>0</v>
      </c>
      <c r="Y1905" s="18">
        <v>45782</v>
      </c>
      <c r="Z1905" s="13" t="s">
        <v>505</v>
      </c>
      <c r="AA1905" s="19" t="s">
        <v>373</v>
      </c>
      <c r="AB1905" s="13" t="s">
        <v>357</v>
      </c>
      <c r="AC1905" s="13" t="s">
        <v>383</v>
      </c>
      <c r="AD1905" s="20"/>
      <c r="AE1905" s="20"/>
      <c r="AF1905" s="13" t="s">
        <v>40</v>
      </c>
      <c r="AG1905" s="15">
        <v>45413</v>
      </c>
      <c r="AH1905" s="13" t="s">
        <v>41</v>
      </c>
      <c r="AI1905" s="13" t="s">
        <v>43</v>
      </c>
      <c r="AJ1905" s="13" t="str">
        <f>VLOOKUP(E1905,Precios!Z$2:AA$941,2,FALSE)</f>
        <v>Bandeja Huevos EXTRA</v>
      </c>
      <c r="AK1905" s="14">
        <f>VLOOKUP(E1905,Precios!Z$2:BB$941,3,FALSE)*F1905</f>
        <v>-1</v>
      </c>
      <c r="AL1905" s="17"/>
      <c r="AM1905" s="17"/>
      <c r="AN1905" s="17"/>
      <c r="AO1905" s="17"/>
      <c r="AP1905" s="17"/>
      <c r="AQ1905" s="17"/>
      <c r="AR1905" s="17"/>
      <c r="AS1905" s="17"/>
      <c r="AT1905" s="17"/>
      <c r="AU1905" s="17"/>
      <c r="AV1905" s="17"/>
    </row>
    <row r="1906" spans="1:48" ht="15.75" customHeight="1">
      <c r="A1906" s="21" t="s">
        <v>53</v>
      </c>
      <c r="B1906" s="23" t="s">
        <v>1692</v>
      </c>
      <c r="C1906" s="22">
        <v>45785</v>
      </c>
      <c r="D1906" s="23" t="s">
        <v>652</v>
      </c>
      <c r="E1906" s="23" t="s">
        <v>55</v>
      </c>
      <c r="F1906" s="14">
        <v>1</v>
      </c>
      <c r="G1906" s="12">
        <v>20899.657794676805</v>
      </c>
      <c r="H1906" s="12">
        <v>20899.657794676805</v>
      </c>
      <c r="I1906" s="23" t="s">
        <v>52</v>
      </c>
      <c r="J1906" s="23" t="s">
        <v>61</v>
      </c>
      <c r="K1906" s="24" t="s">
        <v>177</v>
      </c>
      <c r="L1906" s="24">
        <v>137</v>
      </c>
      <c r="M1906" s="12">
        <v>17562.737642585551</v>
      </c>
      <c r="N1906" s="12">
        <v>17562.737642585551</v>
      </c>
      <c r="O1906" s="12">
        <v>3336.9201520912538</v>
      </c>
      <c r="P1906" s="13"/>
      <c r="Q1906" s="14">
        <v>2025</v>
      </c>
      <c r="R1906" s="15">
        <v>45413</v>
      </c>
      <c r="S1906" s="11" t="s">
        <v>366</v>
      </c>
      <c r="T1906" s="16">
        <v>0</v>
      </c>
      <c r="U1906" s="17"/>
      <c r="V1906" s="12">
        <v>3705.7376425855509</v>
      </c>
      <c r="W1906" s="12">
        <v>3705.7376425855509</v>
      </c>
      <c r="X1906" s="12">
        <v>0</v>
      </c>
      <c r="Y1906" s="18">
        <v>45782</v>
      </c>
      <c r="Z1906" s="13" t="s">
        <v>505</v>
      </c>
      <c r="AA1906" s="19" t="s">
        <v>373</v>
      </c>
      <c r="AB1906" s="13" t="s">
        <v>357</v>
      </c>
      <c r="AC1906" s="13" t="s">
        <v>470</v>
      </c>
      <c r="AD1906" s="20"/>
      <c r="AE1906" s="20"/>
      <c r="AF1906" s="13" t="s">
        <v>40</v>
      </c>
      <c r="AG1906" s="15">
        <v>45413</v>
      </c>
      <c r="AH1906" s="13" t="s">
        <v>41</v>
      </c>
      <c r="AI1906" s="13" t="s">
        <v>53</v>
      </c>
      <c r="AJ1906" s="13" t="str">
        <f>VLOOKUP(E1906,Precios!Z$2:AA$941,2,FALSE)</f>
        <v>Papel Higienico ELITE 50 metros</v>
      </c>
      <c r="AK1906" s="14">
        <f>VLOOKUP(E1906,Precios!Z$2:BB$941,3,FALSE)*F1906</f>
        <v>-8</v>
      </c>
      <c r="AL1906" s="17"/>
      <c r="AM1906" s="17"/>
      <c r="AN1906" s="17"/>
      <c r="AO1906" s="17"/>
      <c r="AP1906" s="17"/>
      <c r="AQ1906" s="17"/>
      <c r="AR1906" s="17"/>
      <c r="AS1906" s="17"/>
      <c r="AT1906" s="17"/>
      <c r="AU1906" s="17"/>
      <c r="AV1906" s="17"/>
    </row>
    <row r="1907" spans="1:48" ht="15.75" customHeight="1">
      <c r="A1907" s="14" t="s">
        <v>35</v>
      </c>
      <c r="B1907" s="23" t="s">
        <v>1692</v>
      </c>
      <c r="C1907" s="22">
        <v>45785</v>
      </c>
      <c r="D1907" s="23" t="s">
        <v>121</v>
      </c>
      <c r="E1907" s="13" t="s">
        <v>37</v>
      </c>
      <c r="F1907" s="14">
        <v>1</v>
      </c>
      <c r="G1907" s="12">
        <v>10499.643649654092</v>
      </c>
      <c r="H1907" s="12">
        <v>10499.643649654092</v>
      </c>
      <c r="I1907" s="23" t="s">
        <v>52</v>
      </c>
      <c r="J1907" s="23" t="s">
        <v>61</v>
      </c>
      <c r="K1907" s="24" t="s">
        <v>177</v>
      </c>
      <c r="L1907" s="24">
        <v>137</v>
      </c>
      <c r="M1907" s="12">
        <v>8823.2299576925143</v>
      </c>
      <c r="N1907" s="12">
        <v>8823.2299576925143</v>
      </c>
      <c r="O1907" s="12">
        <v>1676.4136919615776</v>
      </c>
      <c r="P1907" s="13"/>
      <c r="Q1907" s="14">
        <v>2025</v>
      </c>
      <c r="R1907" s="15">
        <v>45413</v>
      </c>
      <c r="S1907" s="11" t="s">
        <v>364</v>
      </c>
      <c r="T1907" s="16">
        <v>1000</v>
      </c>
      <c r="U1907" s="17"/>
      <c r="V1907" s="12">
        <v>2385.6333190370515</v>
      </c>
      <c r="W1907" s="12">
        <v>2385.6333190370515</v>
      </c>
      <c r="X1907" s="12">
        <v>0</v>
      </c>
      <c r="Y1907" s="18">
        <v>45782</v>
      </c>
      <c r="Z1907" s="13" t="s">
        <v>505</v>
      </c>
      <c r="AA1907" s="19" t="s">
        <v>373</v>
      </c>
      <c r="AB1907" s="13" t="s">
        <v>357</v>
      </c>
      <c r="AC1907" s="13" t="s">
        <v>471</v>
      </c>
      <c r="AD1907" s="20"/>
      <c r="AE1907" s="20"/>
      <c r="AF1907" s="13" t="s">
        <v>40</v>
      </c>
      <c r="AG1907" s="15">
        <v>45413</v>
      </c>
      <c r="AH1907" s="13" t="s">
        <v>41</v>
      </c>
      <c r="AI1907" s="13" t="s">
        <v>35</v>
      </c>
      <c r="AJ1907" s="13" t="str">
        <f>VLOOKUP(E1907,Precios!Z$2:AA$941,2,FALSE)</f>
        <v>Queso RUNCA Mantecoso</v>
      </c>
      <c r="AK1907" s="14">
        <f>VLOOKUP(E1907,Precios!Z$2:BB$941,3,FALSE)*F1907</f>
        <v>-1</v>
      </c>
      <c r="AL1907" s="17"/>
      <c r="AM1907" s="17"/>
      <c r="AN1907" s="17"/>
      <c r="AO1907" s="17"/>
      <c r="AP1907" s="17"/>
      <c r="AQ1907" s="17"/>
      <c r="AR1907" s="17"/>
      <c r="AS1907" s="17"/>
      <c r="AT1907" s="17"/>
      <c r="AU1907" s="17"/>
      <c r="AV1907" s="17"/>
    </row>
    <row r="1908" spans="1:48" ht="15.75" customHeight="1">
      <c r="A1908" s="14" t="s">
        <v>35</v>
      </c>
      <c r="B1908" s="23" t="s">
        <v>1692</v>
      </c>
      <c r="C1908" s="22">
        <v>45784</v>
      </c>
      <c r="D1908" s="23" t="s">
        <v>469</v>
      </c>
      <c r="E1908" s="23" t="s">
        <v>37</v>
      </c>
      <c r="F1908" s="14">
        <v>1</v>
      </c>
      <c r="G1908" s="12">
        <v>10499.643649654092</v>
      </c>
      <c r="H1908" s="12">
        <v>10499.643649654092</v>
      </c>
      <c r="I1908" s="23" t="s">
        <v>52</v>
      </c>
      <c r="J1908" s="23" t="s">
        <v>61</v>
      </c>
      <c r="K1908" s="24" t="s">
        <v>177</v>
      </c>
      <c r="L1908" s="24">
        <v>137</v>
      </c>
      <c r="M1908" s="12">
        <v>8823.2299576925143</v>
      </c>
      <c r="N1908" s="12">
        <v>8823.2299576925143</v>
      </c>
      <c r="O1908" s="12">
        <v>1676.4136919615776</v>
      </c>
      <c r="P1908" s="13"/>
      <c r="Q1908" s="14">
        <v>2025</v>
      </c>
      <c r="R1908" s="15">
        <v>45413</v>
      </c>
      <c r="S1908" s="11" t="s">
        <v>364</v>
      </c>
      <c r="T1908" s="16">
        <v>1000</v>
      </c>
      <c r="U1908" s="17"/>
      <c r="V1908" s="12">
        <v>2385.6333190370515</v>
      </c>
      <c r="W1908" s="12">
        <v>2385.6333190370515</v>
      </c>
      <c r="X1908" s="12">
        <v>0</v>
      </c>
      <c r="Y1908" s="18">
        <v>45782</v>
      </c>
      <c r="Z1908" s="13" t="s">
        <v>515</v>
      </c>
      <c r="AA1908" s="19" t="s">
        <v>356</v>
      </c>
      <c r="AB1908" s="13" t="s">
        <v>357</v>
      </c>
      <c r="AC1908" s="13" t="s">
        <v>383</v>
      </c>
      <c r="AD1908" s="20"/>
      <c r="AE1908" s="20"/>
      <c r="AF1908" s="13" t="s">
        <v>40</v>
      </c>
      <c r="AG1908" s="15">
        <v>45413</v>
      </c>
      <c r="AH1908" s="13" t="s">
        <v>41</v>
      </c>
      <c r="AI1908" s="13" t="s">
        <v>35</v>
      </c>
      <c r="AJ1908" s="13" t="str">
        <f>VLOOKUP(E1908,Precios!Z$2:AA$941,2,FALSE)</f>
        <v>Queso RUNCA Mantecoso</v>
      </c>
      <c r="AK1908" s="14">
        <f>VLOOKUP(E1908,Precios!Z$2:BB$941,3,FALSE)*F1908</f>
        <v>-1</v>
      </c>
      <c r="AL1908" s="17"/>
      <c r="AM1908" s="17"/>
      <c r="AN1908" s="17"/>
      <c r="AO1908" s="17"/>
      <c r="AP1908" s="17"/>
      <c r="AQ1908" s="17"/>
      <c r="AR1908" s="17"/>
      <c r="AS1908" s="17"/>
      <c r="AT1908" s="17"/>
      <c r="AU1908" s="17"/>
      <c r="AV1908" s="17"/>
    </row>
    <row r="1909" spans="1:48" ht="15.75" customHeight="1">
      <c r="A1909" s="21" t="s">
        <v>43</v>
      </c>
      <c r="B1909" s="23" t="s">
        <v>1692</v>
      </c>
      <c r="C1909" s="22">
        <v>45784</v>
      </c>
      <c r="D1909" s="23" t="s">
        <v>469</v>
      </c>
      <c r="E1909" s="23" t="s">
        <v>45</v>
      </c>
      <c r="F1909" s="14">
        <v>1</v>
      </c>
      <c r="G1909" s="12">
        <v>8000.0859845227851</v>
      </c>
      <c r="H1909" s="12">
        <v>8000.0859845227851</v>
      </c>
      <c r="I1909" s="23" t="s">
        <v>52</v>
      </c>
      <c r="J1909" s="23" t="s">
        <v>61</v>
      </c>
      <c r="K1909" s="24" t="s">
        <v>177</v>
      </c>
      <c r="L1909" s="24">
        <v>137</v>
      </c>
      <c r="M1909" s="12">
        <v>6722.7613315317521</v>
      </c>
      <c r="N1909" s="12">
        <v>6722.7613315317521</v>
      </c>
      <c r="O1909" s="12">
        <v>1277.324652991033</v>
      </c>
      <c r="P1909" s="13"/>
      <c r="Q1909" s="14">
        <v>2025</v>
      </c>
      <c r="R1909" s="15">
        <v>45413</v>
      </c>
      <c r="S1909" s="11" t="s">
        <v>355</v>
      </c>
      <c r="T1909" s="16">
        <v>0</v>
      </c>
      <c r="U1909" s="17"/>
      <c r="V1909" s="12">
        <v>1249.7613315317521</v>
      </c>
      <c r="W1909" s="12">
        <v>1249.7613315317521</v>
      </c>
      <c r="X1909" s="12">
        <v>0</v>
      </c>
      <c r="Y1909" s="18">
        <v>45782</v>
      </c>
      <c r="Z1909" s="13" t="s">
        <v>515</v>
      </c>
      <c r="AA1909" s="19" t="s">
        <v>356</v>
      </c>
      <c r="AB1909" s="13" t="s">
        <v>357</v>
      </c>
      <c r="AC1909" s="13" t="s">
        <v>383</v>
      </c>
      <c r="AD1909" s="20"/>
      <c r="AE1909" s="20"/>
      <c r="AF1909" s="13" t="s">
        <v>40</v>
      </c>
      <c r="AG1909" s="15">
        <v>45413</v>
      </c>
      <c r="AH1909" s="13" t="s">
        <v>41</v>
      </c>
      <c r="AI1909" s="13" t="s">
        <v>43</v>
      </c>
      <c r="AJ1909" s="13" t="str">
        <f>VLOOKUP(E1909,Precios!Z$2:AA$941,2,FALSE)</f>
        <v>Bandeja Huevos EXTRA</v>
      </c>
      <c r="AK1909" s="14">
        <f>VLOOKUP(E1909,Precios!Z$2:BB$941,3,FALSE)*F1909</f>
        <v>-1</v>
      </c>
      <c r="AL1909" s="17"/>
      <c r="AM1909" s="17"/>
      <c r="AN1909" s="17"/>
      <c r="AO1909" s="17"/>
      <c r="AP1909" s="17"/>
      <c r="AQ1909" s="17"/>
      <c r="AR1909" s="17"/>
      <c r="AS1909" s="17"/>
      <c r="AT1909" s="17"/>
      <c r="AU1909" s="17"/>
      <c r="AV1909" s="17"/>
    </row>
    <row r="1910" spans="1:48" ht="15.75" customHeight="1">
      <c r="A1910" s="21" t="s">
        <v>43</v>
      </c>
      <c r="B1910" s="23" t="s">
        <v>1692</v>
      </c>
      <c r="C1910" s="22">
        <v>45784</v>
      </c>
      <c r="D1910" s="23" t="s">
        <v>292</v>
      </c>
      <c r="E1910" s="23" t="s">
        <v>45</v>
      </c>
      <c r="F1910" s="14">
        <v>1</v>
      </c>
      <c r="G1910" s="12">
        <v>8000.0859845227851</v>
      </c>
      <c r="H1910" s="12">
        <v>8000.0859845227851</v>
      </c>
      <c r="I1910" s="23" t="s">
        <v>52</v>
      </c>
      <c r="J1910" s="23" t="s">
        <v>61</v>
      </c>
      <c r="K1910" s="24" t="s">
        <v>177</v>
      </c>
      <c r="L1910" s="24">
        <v>137</v>
      </c>
      <c r="M1910" s="12">
        <v>6722.7613315317521</v>
      </c>
      <c r="N1910" s="12">
        <v>6722.7613315317521</v>
      </c>
      <c r="O1910" s="12">
        <v>1277.324652991033</v>
      </c>
      <c r="P1910" s="13"/>
      <c r="Q1910" s="14">
        <v>2025</v>
      </c>
      <c r="R1910" s="15">
        <v>45413</v>
      </c>
      <c r="S1910" s="11" t="s">
        <v>355</v>
      </c>
      <c r="T1910" s="16">
        <v>0</v>
      </c>
      <c r="U1910" s="17"/>
      <c r="V1910" s="12">
        <v>1249.7613315317521</v>
      </c>
      <c r="W1910" s="12">
        <v>1249.7613315317521</v>
      </c>
      <c r="X1910" s="12">
        <v>0</v>
      </c>
      <c r="Y1910" s="18">
        <v>45782</v>
      </c>
      <c r="Z1910" s="13" t="s">
        <v>515</v>
      </c>
      <c r="AA1910" s="19" t="s">
        <v>356</v>
      </c>
      <c r="AB1910" s="13" t="s">
        <v>357</v>
      </c>
      <c r="AC1910" s="13" t="s">
        <v>383</v>
      </c>
      <c r="AD1910" s="20"/>
      <c r="AE1910" s="20"/>
      <c r="AF1910" s="13" t="s">
        <v>40</v>
      </c>
      <c r="AG1910" s="15">
        <v>45413</v>
      </c>
      <c r="AH1910" s="13" t="s">
        <v>41</v>
      </c>
      <c r="AI1910" s="13" t="s">
        <v>43</v>
      </c>
      <c r="AJ1910" s="13" t="str">
        <f>VLOOKUP(E1910,Precios!Z$2:AA$941,2,FALSE)</f>
        <v>Bandeja Huevos EXTRA</v>
      </c>
      <c r="AK1910" s="14">
        <f>VLOOKUP(E1910,Precios!Z$2:BB$941,3,FALSE)*F1910</f>
        <v>-1</v>
      </c>
      <c r="AL1910" s="17"/>
      <c r="AM1910" s="17"/>
      <c r="AN1910" s="17"/>
      <c r="AO1910" s="17"/>
      <c r="AP1910" s="17"/>
      <c r="AQ1910" s="17"/>
      <c r="AR1910" s="17"/>
      <c r="AS1910" s="17"/>
      <c r="AT1910" s="17"/>
      <c r="AU1910" s="17"/>
      <c r="AV1910" s="17"/>
    </row>
    <row r="1911" spans="1:48" ht="15.75" customHeight="1">
      <c r="A1911" s="21" t="s">
        <v>147</v>
      </c>
      <c r="B1911" s="23" t="s">
        <v>1692</v>
      </c>
      <c r="C1911" s="22">
        <v>45784</v>
      </c>
      <c r="D1911" s="23" t="s">
        <v>292</v>
      </c>
      <c r="E1911" s="23" t="s">
        <v>248</v>
      </c>
      <c r="F1911" s="14">
        <v>1</v>
      </c>
      <c r="G1911" s="12">
        <v>9000</v>
      </c>
      <c r="H1911" s="12">
        <v>9000</v>
      </c>
      <c r="I1911" s="23" t="s">
        <v>52</v>
      </c>
      <c r="J1911" s="23" t="s">
        <v>61</v>
      </c>
      <c r="K1911" s="24" t="s">
        <v>177</v>
      </c>
      <c r="L1911" s="24">
        <v>137</v>
      </c>
      <c r="M1911" s="12">
        <v>7563.0252100840344</v>
      </c>
      <c r="N1911" s="12">
        <v>7563.0252100840344</v>
      </c>
      <c r="O1911" s="12">
        <v>1436.9747899159656</v>
      </c>
      <c r="P1911" s="13"/>
      <c r="Q1911" s="14">
        <v>2025</v>
      </c>
      <c r="R1911" s="15">
        <v>45413</v>
      </c>
      <c r="S1911" s="11" t="s">
        <v>412</v>
      </c>
      <c r="T1911" s="16">
        <v>0</v>
      </c>
      <c r="U1911" s="17"/>
      <c r="V1911" s="12">
        <v>2773.1092436974795</v>
      </c>
      <c r="W1911" s="12">
        <v>2773.1092436974795</v>
      </c>
      <c r="X1911" s="12">
        <v>0</v>
      </c>
      <c r="Y1911" s="18">
        <v>45782</v>
      </c>
      <c r="Z1911" s="13" t="s">
        <v>515</v>
      </c>
      <c r="AA1911" s="19" t="s">
        <v>356</v>
      </c>
      <c r="AB1911" s="13" t="s">
        <v>357</v>
      </c>
      <c r="AC1911" s="13" t="s">
        <v>383</v>
      </c>
      <c r="AD1911" s="20"/>
      <c r="AE1911" s="20"/>
      <c r="AF1911" s="13" t="s">
        <v>40</v>
      </c>
      <c r="AG1911" s="15">
        <v>45413</v>
      </c>
      <c r="AH1911" s="13" t="s">
        <v>41</v>
      </c>
      <c r="AI1911" s="13" t="s">
        <v>147</v>
      </c>
      <c r="AJ1911" s="13" t="str">
        <f>VLOOKUP(E1911,Precios!Z$2:AA$941,2,FALSE)</f>
        <v>Film Plástico 300 metros</v>
      </c>
      <c r="AK1911" s="14">
        <f>VLOOKUP(E1911,Precios!Z$2:BB$941,3,FALSE)*F1911</f>
        <v>-1</v>
      </c>
      <c r="AL1911" s="17"/>
      <c r="AM1911" s="17"/>
      <c r="AN1911" s="17"/>
      <c r="AO1911" s="17"/>
      <c r="AP1911" s="17"/>
      <c r="AQ1911" s="17"/>
      <c r="AR1911" s="17"/>
      <c r="AS1911" s="17"/>
      <c r="AT1911" s="17"/>
      <c r="AU1911" s="17"/>
      <c r="AV1911" s="17"/>
    </row>
    <row r="1912" spans="1:48" ht="15.75" customHeight="1">
      <c r="A1912" s="21" t="s">
        <v>35</v>
      </c>
      <c r="B1912" s="23" t="s">
        <v>1692</v>
      </c>
      <c r="C1912" s="22">
        <v>45783</v>
      </c>
      <c r="D1912" s="23" t="s">
        <v>915</v>
      </c>
      <c r="E1912" s="23" t="s">
        <v>650</v>
      </c>
      <c r="F1912" s="21">
        <v>1</v>
      </c>
      <c r="G1912" s="12">
        <v>9999.944524213548</v>
      </c>
      <c r="H1912" s="12">
        <v>9999.944524213548</v>
      </c>
      <c r="I1912" s="23" t="s">
        <v>52</v>
      </c>
      <c r="J1912" s="23" t="s">
        <v>61</v>
      </c>
      <c r="K1912" s="24" t="s">
        <v>177</v>
      </c>
      <c r="L1912" s="26">
        <v>136</v>
      </c>
      <c r="M1912" s="12">
        <v>8403.3147262298735</v>
      </c>
      <c r="N1912" s="12">
        <v>8403.3147262298735</v>
      </c>
      <c r="O1912" s="12">
        <v>1596.6297979836745</v>
      </c>
      <c r="P1912" s="13"/>
      <c r="Q1912" s="14">
        <v>2025</v>
      </c>
      <c r="R1912" s="15">
        <v>45413</v>
      </c>
      <c r="S1912" s="11" t="s">
        <v>364</v>
      </c>
      <c r="T1912" s="16">
        <v>950</v>
      </c>
      <c r="U1912" s="17"/>
      <c r="V1912" s="12">
        <v>2272.0962388349135</v>
      </c>
      <c r="W1912" s="12">
        <v>2272.0962388349135</v>
      </c>
      <c r="X1912" s="12">
        <v>0</v>
      </c>
      <c r="Y1912" s="18">
        <v>45782</v>
      </c>
      <c r="Z1912" s="13" t="s">
        <v>516</v>
      </c>
      <c r="AA1912" s="19" t="s">
        <v>367</v>
      </c>
      <c r="AB1912" s="13" t="s">
        <v>357</v>
      </c>
      <c r="AC1912" s="13" t="s">
        <v>367</v>
      </c>
      <c r="AD1912" s="20"/>
      <c r="AE1912" s="20"/>
      <c r="AF1912" s="13" t="s">
        <v>40</v>
      </c>
      <c r="AG1912" s="15">
        <v>45413</v>
      </c>
      <c r="AH1912" s="13" t="s">
        <v>41</v>
      </c>
      <c r="AI1912" s="13" t="s">
        <v>35</v>
      </c>
      <c r="AJ1912" s="13" t="str">
        <f>VLOOKUP(E1912,Precios!Z$2:AA$941,2,FALSE)</f>
        <v>Queso RUNCA Mantecoso</v>
      </c>
      <c r="AK1912" s="14">
        <f>VLOOKUP(E1912,Precios!Z$2:BB$941,3,FALSE)*F1912</f>
        <v>-0.95</v>
      </c>
      <c r="AL1912" s="17"/>
      <c r="AM1912" s="17"/>
      <c r="AN1912" s="17"/>
      <c r="AO1912" s="17"/>
      <c r="AP1912" s="17"/>
      <c r="AQ1912" s="17"/>
      <c r="AR1912" s="17"/>
      <c r="AS1912" s="17"/>
      <c r="AT1912" s="17"/>
      <c r="AU1912" s="17"/>
      <c r="AV1912" s="17"/>
    </row>
    <row r="1913" spans="1:48" ht="15.75" customHeight="1">
      <c r="A1913" s="21" t="s">
        <v>43</v>
      </c>
      <c r="B1913" s="23" t="s">
        <v>1692</v>
      </c>
      <c r="C1913" s="22">
        <v>45783</v>
      </c>
      <c r="D1913" s="23" t="s">
        <v>653</v>
      </c>
      <c r="E1913" s="23" t="s">
        <v>45</v>
      </c>
      <c r="F1913" s="21">
        <v>1</v>
      </c>
      <c r="G1913" s="12">
        <v>8000.0859845227851</v>
      </c>
      <c r="H1913" s="12">
        <v>8000.0859845227851</v>
      </c>
      <c r="I1913" s="23" t="s">
        <v>52</v>
      </c>
      <c r="J1913" s="23" t="s">
        <v>61</v>
      </c>
      <c r="K1913" s="24" t="s">
        <v>177</v>
      </c>
      <c r="L1913" s="26">
        <v>136</v>
      </c>
      <c r="M1913" s="12">
        <v>6722.7613315317521</v>
      </c>
      <c r="N1913" s="12">
        <v>6722.7613315317521</v>
      </c>
      <c r="O1913" s="12">
        <v>1277.324652991033</v>
      </c>
      <c r="P1913" s="13"/>
      <c r="Q1913" s="14">
        <v>2025</v>
      </c>
      <c r="R1913" s="15">
        <v>45413</v>
      </c>
      <c r="S1913" s="11" t="s">
        <v>355</v>
      </c>
      <c r="T1913" s="16">
        <v>0</v>
      </c>
      <c r="U1913" s="17"/>
      <c r="V1913" s="12">
        <v>1249.7613315317521</v>
      </c>
      <c r="W1913" s="12">
        <v>1249.7613315317521</v>
      </c>
      <c r="X1913" s="12">
        <v>0</v>
      </c>
      <c r="Y1913" s="18">
        <v>45782</v>
      </c>
      <c r="Z1913" s="13" t="s">
        <v>516</v>
      </c>
      <c r="AA1913" s="19" t="s">
        <v>373</v>
      </c>
      <c r="AB1913" s="13" t="s">
        <v>357</v>
      </c>
      <c r="AC1913" s="13" t="s">
        <v>654</v>
      </c>
      <c r="AD1913" s="20"/>
      <c r="AE1913" s="20"/>
      <c r="AF1913" s="13" t="s">
        <v>40</v>
      </c>
      <c r="AG1913" s="15">
        <v>45413</v>
      </c>
      <c r="AH1913" s="13" t="s">
        <v>41</v>
      </c>
      <c r="AI1913" s="13" t="s">
        <v>43</v>
      </c>
      <c r="AJ1913" s="13" t="str">
        <f>VLOOKUP(E1913,Precios!Z$2:AA$941,2,FALSE)</f>
        <v>Bandeja Huevos EXTRA</v>
      </c>
      <c r="AK1913" s="14">
        <f>VLOOKUP(E1913,Precios!Z$2:BB$941,3,FALSE)*F1913</f>
        <v>-1</v>
      </c>
      <c r="AL1913" s="17"/>
      <c r="AM1913" s="17"/>
      <c r="AN1913" s="17"/>
      <c r="AO1913" s="17"/>
      <c r="AP1913" s="17"/>
      <c r="AQ1913" s="17"/>
      <c r="AR1913" s="17"/>
      <c r="AS1913" s="17"/>
      <c r="AT1913" s="17"/>
      <c r="AU1913" s="17"/>
      <c r="AV1913" s="17"/>
    </row>
    <row r="1914" spans="1:48" ht="15.75" customHeight="1">
      <c r="A1914" s="21" t="s">
        <v>43</v>
      </c>
      <c r="B1914" s="23" t="s">
        <v>1692</v>
      </c>
      <c r="C1914" s="22">
        <v>45783</v>
      </c>
      <c r="D1914" s="23" t="s">
        <v>348</v>
      </c>
      <c r="E1914" s="23" t="s">
        <v>45</v>
      </c>
      <c r="F1914" s="21">
        <v>1</v>
      </c>
      <c r="G1914" s="12">
        <v>8000.0859845227851</v>
      </c>
      <c r="H1914" s="12">
        <v>8000.0859845227851</v>
      </c>
      <c r="I1914" s="23" t="s">
        <v>52</v>
      </c>
      <c r="J1914" s="23" t="s">
        <v>61</v>
      </c>
      <c r="K1914" s="24" t="s">
        <v>177</v>
      </c>
      <c r="L1914" s="26">
        <v>136</v>
      </c>
      <c r="M1914" s="12">
        <v>6722.7613315317521</v>
      </c>
      <c r="N1914" s="12">
        <v>6722.7613315317521</v>
      </c>
      <c r="O1914" s="12">
        <v>1277.324652991033</v>
      </c>
      <c r="P1914" s="13"/>
      <c r="Q1914" s="14">
        <v>2025</v>
      </c>
      <c r="R1914" s="15">
        <v>45413</v>
      </c>
      <c r="S1914" s="11" t="s">
        <v>355</v>
      </c>
      <c r="T1914" s="16">
        <v>0</v>
      </c>
      <c r="U1914" s="17"/>
      <c r="V1914" s="12">
        <v>1249.7613315317521</v>
      </c>
      <c r="W1914" s="12">
        <v>1249.7613315317521</v>
      </c>
      <c r="X1914" s="12">
        <v>0</v>
      </c>
      <c r="Y1914" s="18">
        <v>45782</v>
      </c>
      <c r="Z1914" s="13" t="s">
        <v>516</v>
      </c>
      <c r="AA1914" s="19" t="s">
        <v>356</v>
      </c>
      <c r="AB1914" s="13" t="s">
        <v>357</v>
      </c>
      <c r="AC1914" s="13" t="s">
        <v>362</v>
      </c>
      <c r="AD1914" s="20"/>
      <c r="AE1914" s="20"/>
      <c r="AF1914" s="13" t="s">
        <v>40</v>
      </c>
      <c r="AG1914" s="15">
        <v>45413</v>
      </c>
      <c r="AH1914" s="13" t="s">
        <v>41</v>
      </c>
      <c r="AI1914" s="13" t="s">
        <v>43</v>
      </c>
      <c r="AJ1914" s="13" t="str">
        <f>VLOOKUP(E1914,Precios!Z$2:AA$941,2,FALSE)</f>
        <v>Bandeja Huevos EXTRA</v>
      </c>
      <c r="AK1914" s="14">
        <f>VLOOKUP(E1914,Precios!Z$2:BB$941,3,FALSE)*F1914</f>
        <v>-1</v>
      </c>
      <c r="AL1914" s="17"/>
      <c r="AM1914" s="17"/>
      <c r="AN1914" s="17"/>
      <c r="AO1914" s="17"/>
      <c r="AP1914" s="17"/>
      <c r="AQ1914" s="17"/>
      <c r="AR1914" s="17"/>
      <c r="AS1914" s="17"/>
      <c r="AT1914" s="17"/>
      <c r="AU1914" s="17"/>
      <c r="AV1914" s="17"/>
    </row>
    <row r="1915" spans="1:48" ht="15.75" customHeight="1">
      <c r="A1915" s="21" t="s">
        <v>56</v>
      </c>
      <c r="B1915" s="23" t="s">
        <v>1692</v>
      </c>
      <c r="C1915" s="22">
        <v>45783</v>
      </c>
      <c r="D1915" s="23" t="s">
        <v>348</v>
      </c>
      <c r="E1915" s="23" t="s">
        <v>190</v>
      </c>
      <c r="F1915" s="21">
        <v>1</v>
      </c>
      <c r="G1915" s="26">
        <v>2500</v>
      </c>
      <c r="H1915" s="26">
        <v>2500</v>
      </c>
      <c r="I1915" s="23" t="s">
        <v>52</v>
      </c>
      <c r="J1915" s="23" t="s">
        <v>61</v>
      </c>
      <c r="K1915" s="24" t="s">
        <v>177</v>
      </c>
      <c r="L1915" s="26">
        <v>136</v>
      </c>
      <c r="M1915" s="12">
        <v>2100.1432609657136</v>
      </c>
      <c r="N1915" s="12">
        <v>2100.1432609657136</v>
      </c>
      <c r="O1915" s="12">
        <v>399.02721958348548</v>
      </c>
      <c r="P1915" s="13"/>
      <c r="Q1915" s="14">
        <v>2025</v>
      </c>
      <c r="R1915" s="15">
        <v>45413</v>
      </c>
      <c r="S1915" s="11" t="s">
        <v>492</v>
      </c>
      <c r="T1915" s="16">
        <v>200</v>
      </c>
      <c r="U1915" s="17"/>
      <c r="V1915" s="12">
        <v>631.72309289848658</v>
      </c>
      <c r="W1915" s="12">
        <v>631.72309289848658</v>
      </c>
      <c r="X1915" s="12">
        <v>0</v>
      </c>
      <c r="Y1915" s="18">
        <v>45782</v>
      </c>
      <c r="Z1915" s="13" t="s">
        <v>516</v>
      </c>
      <c r="AA1915" s="19" t="s">
        <v>356</v>
      </c>
      <c r="AB1915" s="13" t="s">
        <v>357</v>
      </c>
      <c r="AC1915" s="13" t="s">
        <v>362</v>
      </c>
      <c r="AD1915" s="20"/>
      <c r="AE1915" s="20"/>
      <c r="AF1915" s="13" t="s">
        <v>40</v>
      </c>
      <c r="AG1915" s="15">
        <v>45413</v>
      </c>
      <c r="AH1915" s="13" t="s">
        <v>41</v>
      </c>
      <c r="AI1915" s="13" t="s">
        <v>56</v>
      </c>
      <c r="AJ1915" s="13" t="str">
        <f>VLOOKUP(E1915,Precios!Z$2:AA$941,2,FALSE)</f>
        <v>Mantequilla RUMAY</v>
      </c>
      <c r="AK1915" s="14">
        <f>VLOOKUP(E1915,Precios!Z$2:BB$941,3,FALSE)*F1915</f>
        <v>-1</v>
      </c>
      <c r="AL1915" s="17"/>
      <c r="AM1915" s="17"/>
      <c r="AN1915" s="17"/>
      <c r="AO1915" s="17"/>
      <c r="AP1915" s="17"/>
      <c r="AQ1915" s="17"/>
      <c r="AR1915" s="17"/>
      <c r="AS1915" s="17"/>
      <c r="AT1915" s="17"/>
      <c r="AU1915" s="17"/>
      <c r="AV1915" s="17"/>
    </row>
    <row r="1916" spans="1:48" ht="15.75" customHeight="1">
      <c r="A1916" s="21" t="s">
        <v>35</v>
      </c>
      <c r="B1916" s="23" t="s">
        <v>1692</v>
      </c>
      <c r="C1916" s="22">
        <v>45783</v>
      </c>
      <c r="D1916" s="23" t="s">
        <v>348</v>
      </c>
      <c r="E1916" s="23" t="s">
        <v>37</v>
      </c>
      <c r="F1916" s="21">
        <v>1</v>
      </c>
      <c r="G1916" s="12">
        <v>10499.643649654092</v>
      </c>
      <c r="H1916" s="12">
        <v>10499.643649654092</v>
      </c>
      <c r="I1916" s="23" t="s">
        <v>52</v>
      </c>
      <c r="J1916" s="23" t="s">
        <v>61</v>
      </c>
      <c r="K1916" s="24" t="s">
        <v>177</v>
      </c>
      <c r="L1916" s="26">
        <v>136</v>
      </c>
      <c r="M1916" s="12">
        <v>8823.2299576925143</v>
      </c>
      <c r="N1916" s="12">
        <v>8823.2299576925143</v>
      </c>
      <c r="O1916" s="12">
        <v>1676.4136919615776</v>
      </c>
      <c r="P1916" s="13"/>
      <c r="Q1916" s="14">
        <v>2025</v>
      </c>
      <c r="R1916" s="15">
        <v>45413</v>
      </c>
      <c r="S1916" s="11" t="s">
        <v>364</v>
      </c>
      <c r="T1916" s="16">
        <v>1000</v>
      </c>
      <c r="U1916" s="17"/>
      <c r="V1916" s="12">
        <v>2385.6333190370515</v>
      </c>
      <c r="W1916" s="12">
        <v>2385.6333190370515</v>
      </c>
      <c r="X1916" s="12">
        <v>0</v>
      </c>
      <c r="Y1916" s="18">
        <v>45782</v>
      </c>
      <c r="Z1916" s="13" t="s">
        <v>516</v>
      </c>
      <c r="AA1916" s="19" t="s">
        <v>356</v>
      </c>
      <c r="AB1916" s="13" t="s">
        <v>357</v>
      </c>
      <c r="AC1916" s="13" t="s">
        <v>362</v>
      </c>
      <c r="AD1916" s="20"/>
      <c r="AE1916" s="20"/>
      <c r="AF1916" s="13" t="s">
        <v>40</v>
      </c>
      <c r="AG1916" s="15">
        <v>45413</v>
      </c>
      <c r="AH1916" s="13" t="s">
        <v>41</v>
      </c>
      <c r="AI1916" s="13" t="s">
        <v>35</v>
      </c>
      <c r="AJ1916" s="13" t="str">
        <f>VLOOKUP(E1916,Precios!Z$2:AA$941,2,FALSE)</f>
        <v>Queso RUNCA Mantecoso</v>
      </c>
      <c r="AK1916" s="14">
        <f>VLOOKUP(E1916,Precios!Z$2:BB$941,3,FALSE)*F1916</f>
        <v>-1</v>
      </c>
      <c r="AL1916" s="17"/>
      <c r="AM1916" s="17"/>
      <c r="AN1916" s="17"/>
      <c r="AO1916" s="17"/>
      <c r="AP1916" s="17"/>
      <c r="AQ1916" s="17"/>
      <c r="AR1916" s="17"/>
      <c r="AS1916" s="17"/>
      <c r="AT1916" s="17"/>
      <c r="AU1916" s="17"/>
      <c r="AV1916" s="17"/>
    </row>
    <row r="1917" spans="1:48" ht="15.75" customHeight="1">
      <c r="A1917" s="21" t="s">
        <v>53</v>
      </c>
      <c r="B1917" s="23" t="s">
        <v>1692</v>
      </c>
      <c r="C1917" s="22">
        <v>45783</v>
      </c>
      <c r="D1917" s="23" t="s">
        <v>125</v>
      </c>
      <c r="E1917" s="23" t="s">
        <v>203</v>
      </c>
      <c r="F1917" s="21">
        <v>1</v>
      </c>
      <c r="G1917" s="12">
        <v>10000.38816108685</v>
      </c>
      <c r="H1917" s="12">
        <v>10000.38816108685</v>
      </c>
      <c r="I1917" s="23" t="s">
        <v>52</v>
      </c>
      <c r="J1917" s="23" t="s">
        <v>61</v>
      </c>
      <c r="K1917" s="24" t="s">
        <v>177</v>
      </c>
      <c r="L1917" s="26">
        <v>136</v>
      </c>
      <c r="M1917" s="12">
        <v>8403.6875303250854</v>
      </c>
      <c r="N1917" s="12">
        <v>8403.6875303250854</v>
      </c>
      <c r="O1917" s="12">
        <v>1596.7006307617648</v>
      </c>
      <c r="P1917" s="13"/>
      <c r="Q1917" s="14">
        <v>2025</v>
      </c>
      <c r="R1917" s="15">
        <v>45413</v>
      </c>
      <c r="S1917" s="11" t="s">
        <v>366</v>
      </c>
      <c r="T1917" s="16">
        <v>0</v>
      </c>
      <c r="U1917" s="17"/>
      <c r="V1917" s="12">
        <v>3207.6875303250836</v>
      </c>
      <c r="W1917" s="12">
        <v>3207.6875303250836</v>
      </c>
      <c r="X1917" s="12">
        <v>0</v>
      </c>
      <c r="Y1917" s="18">
        <v>45782</v>
      </c>
      <c r="Z1917" s="13" t="s">
        <v>516</v>
      </c>
      <c r="AA1917" s="19" t="s">
        <v>361</v>
      </c>
      <c r="AB1917" s="13" t="s">
        <v>357</v>
      </c>
      <c r="AC1917" s="13" t="s">
        <v>362</v>
      </c>
      <c r="AD1917" s="20"/>
      <c r="AE1917" s="20"/>
      <c r="AF1917" s="13" t="s">
        <v>40</v>
      </c>
      <c r="AG1917" s="15">
        <v>45413</v>
      </c>
      <c r="AH1917" s="13" t="s">
        <v>41</v>
      </c>
      <c r="AI1917" s="13" t="s">
        <v>53</v>
      </c>
      <c r="AJ1917" s="13" t="str">
        <f>VLOOKUP(E1917,Precios!Z$2:AA$941,2,FALSE)</f>
        <v>Papel Higienico ELITE 50 metros</v>
      </c>
      <c r="AK1917" s="14">
        <f>VLOOKUP(E1917,Precios!Z$2:BB$941,3,FALSE)*F1917</f>
        <v>-3</v>
      </c>
      <c r="AL1917" s="17"/>
      <c r="AM1917" s="17"/>
      <c r="AN1917" s="17"/>
      <c r="AO1917" s="17"/>
      <c r="AP1917" s="17"/>
      <c r="AQ1917" s="17"/>
      <c r="AR1917" s="17"/>
      <c r="AS1917" s="17"/>
      <c r="AT1917" s="17"/>
      <c r="AU1917" s="17"/>
      <c r="AV1917" s="17"/>
    </row>
    <row r="1918" spans="1:48" ht="15.75" customHeight="1">
      <c r="A1918" s="21" t="s">
        <v>76</v>
      </c>
      <c r="B1918" s="23" t="s">
        <v>1692</v>
      </c>
      <c r="C1918" s="22">
        <v>45783</v>
      </c>
      <c r="D1918" s="23" t="s">
        <v>172</v>
      </c>
      <c r="E1918" s="23" t="s">
        <v>212</v>
      </c>
      <c r="F1918" s="21">
        <v>1</v>
      </c>
      <c r="G1918" s="12">
        <v>3000.0000000000005</v>
      </c>
      <c r="H1918" s="12">
        <v>3000.0000000000005</v>
      </c>
      <c r="I1918" s="23" t="s">
        <v>52</v>
      </c>
      <c r="J1918" s="23" t="s">
        <v>61</v>
      </c>
      <c r="K1918" s="24" t="s">
        <v>177</v>
      </c>
      <c r="L1918" s="26">
        <v>136</v>
      </c>
      <c r="M1918" s="12">
        <v>2521.0084033613452</v>
      </c>
      <c r="N1918" s="12">
        <v>2521.0084033613452</v>
      </c>
      <c r="O1918" s="12">
        <v>478.99159663865521</v>
      </c>
      <c r="P1918" s="13"/>
      <c r="Q1918" s="14">
        <v>2025</v>
      </c>
      <c r="R1918" s="15">
        <v>45413</v>
      </c>
      <c r="S1918" s="11" t="s">
        <v>446</v>
      </c>
      <c r="T1918" s="16">
        <v>5</v>
      </c>
      <c r="U1918" s="17"/>
      <c r="V1918" s="12">
        <v>764.70588235294144</v>
      </c>
      <c r="W1918" s="12">
        <v>764.70588235294144</v>
      </c>
      <c r="X1918" s="12">
        <v>0</v>
      </c>
      <c r="Y1918" s="18">
        <v>45782</v>
      </c>
      <c r="Z1918" s="13" t="s">
        <v>516</v>
      </c>
      <c r="AA1918" s="19" t="s">
        <v>361</v>
      </c>
      <c r="AB1918" s="13" t="s">
        <v>357</v>
      </c>
      <c r="AC1918" s="13" t="s">
        <v>405</v>
      </c>
      <c r="AD1918" s="20"/>
      <c r="AE1918" s="20"/>
      <c r="AF1918" s="13" t="s">
        <v>40</v>
      </c>
      <c r="AG1918" s="15">
        <v>45413</v>
      </c>
      <c r="AH1918" s="13" t="s">
        <v>41</v>
      </c>
      <c r="AI1918" s="13" t="s">
        <v>76</v>
      </c>
      <c r="AJ1918" s="13" t="str">
        <f>VLOOKUP(E1918,Precios!Z$2:AA$941,2,FALSE)</f>
        <v>Suavizante SPUM 5 Litros</v>
      </c>
      <c r="AK1918" s="14">
        <f>VLOOKUP(E1918,Precios!Z$2:BB$941,3,FALSE)*F1918</f>
        <v>-1</v>
      </c>
      <c r="AL1918" s="17"/>
      <c r="AM1918" s="17"/>
      <c r="AN1918" s="17"/>
      <c r="AO1918" s="17"/>
      <c r="AP1918" s="17"/>
      <c r="AQ1918" s="17"/>
      <c r="AR1918" s="17"/>
      <c r="AS1918" s="17"/>
      <c r="AT1918" s="17"/>
      <c r="AU1918" s="17"/>
      <c r="AV1918" s="17"/>
    </row>
    <row r="1919" spans="1:48" ht="15.75" customHeight="1">
      <c r="A1919" s="21" t="s">
        <v>76</v>
      </c>
      <c r="B1919" s="23" t="s">
        <v>1692</v>
      </c>
      <c r="C1919" s="22">
        <v>45783</v>
      </c>
      <c r="D1919" s="23" t="s">
        <v>222</v>
      </c>
      <c r="E1919" s="23" t="s">
        <v>110</v>
      </c>
      <c r="F1919" s="21">
        <v>1</v>
      </c>
      <c r="G1919" s="12">
        <v>2000.0000000000005</v>
      </c>
      <c r="H1919" s="12">
        <v>2000.0000000000005</v>
      </c>
      <c r="I1919" s="23" t="s">
        <v>52</v>
      </c>
      <c r="J1919" s="23" t="s">
        <v>61</v>
      </c>
      <c r="K1919" s="24" t="s">
        <v>177</v>
      </c>
      <c r="L1919" s="26">
        <v>136</v>
      </c>
      <c r="M1919" s="12">
        <v>1680.6722689075634</v>
      </c>
      <c r="N1919" s="12">
        <v>1680.6722689075634</v>
      </c>
      <c r="O1919" s="12">
        <v>319.32773109243703</v>
      </c>
      <c r="P1919" s="13"/>
      <c r="Q1919" s="14">
        <v>2025</v>
      </c>
      <c r="R1919" s="15">
        <v>45413</v>
      </c>
      <c r="S1919" s="11" t="s">
        <v>378</v>
      </c>
      <c r="T1919" s="16">
        <v>5</v>
      </c>
      <c r="U1919" s="17"/>
      <c r="V1919" s="12">
        <v>756.30252100840369</v>
      </c>
      <c r="W1919" s="12">
        <v>756.30252100840369</v>
      </c>
      <c r="X1919" s="12">
        <v>0</v>
      </c>
      <c r="Y1919" s="18">
        <v>45782</v>
      </c>
      <c r="Z1919" s="13" t="s">
        <v>516</v>
      </c>
      <c r="AA1919" s="19" t="s">
        <v>373</v>
      </c>
      <c r="AB1919" s="13" t="s">
        <v>357</v>
      </c>
      <c r="AC1919" s="13" t="s">
        <v>405</v>
      </c>
      <c r="AD1919" s="20"/>
      <c r="AE1919" s="20"/>
      <c r="AF1919" s="13" t="s">
        <v>40</v>
      </c>
      <c r="AG1919" s="15">
        <v>45413</v>
      </c>
      <c r="AH1919" s="13" t="s">
        <v>41</v>
      </c>
      <c r="AI1919" s="13" t="s">
        <v>76</v>
      </c>
      <c r="AJ1919" s="13" t="str">
        <f>VLOOKUP(E1919,Precios!Z$2:AA$941,2,FALSE)</f>
        <v>Cloro SPUM 5 Litros</v>
      </c>
      <c r="AK1919" s="14">
        <f>VLOOKUP(E1919,Precios!Z$2:BB$941,3,FALSE)*F1919</f>
        <v>-1</v>
      </c>
      <c r="AL1919" s="17"/>
      <c r="AM1919" s="17"/>
      <c r="AN1919" s="17"/>
      <c r="AO1919" s="17"/>
      <c r="AP1919" s="17"/>
      <c r="AQ1919" s="17"/>
      <c r="AR1919" s="17"/>
      <c r="AS1919" s="17"/>
      <c r="AT1919" s="17"/>
      <c r="AU1919" s="17"/>
      <c r="AV1919" s="17"/>
    </row>
    <row r="1920" spans="1:48" ht="15.75" customHeight="1">
      <c r="A1920" s="21" t="s">
        <v>43</v>
      </c>
      <c r="B1920" s="23" t="s">
        <v>1692</v>
      </c>
      <c r="C1920" s="22">
        <v>45783</v>
      </c>
      <c r="D1920" s="23" t="s">
        <v>915</v>
      </c>
      <c r="E1920" s="23" t="s">
        <v>45</v>
      </c>
      <c r="F1920" s="21">
        <v>1</v>
      </c>
      <c r="G1920" s="12">
        <v>8000.0859845227851</v>
      </c>
      <c r="H1920" s="12">
        <v>8000.0859845227851</v>
      </c>
      <c r="I1920" s="23" t="s">
        <v>52</v>
      </c>
      <c r="J1920" s="23" t="s">
        <v>61</v>
      </c>
      <c r="K1920" s="24" t="s">
        <v>177</v>
      </c>
      <c r="L1920" s="26">
        <v>136</v>
      </c>
      <c r="M1920" s="12">
        <v>6722.7613315317521</v>
      </c>
      <c r="N1920" s="12">
        <v>6722.7613315317521</v>
      </c>
      <c r="O1920" s="12">
        <v>1277.324652991033</v>
      </c>
      <c r="P1920" s="13"/>
      <c r="Q1920" s="14">
        <v>2025</v>
      </c>
      <c r="R1920" s="15">
        <v>45413</v>
      </c>
      <c r="S1920" s="11" t="s">
        <v>355</v>
      </c>
      <c r="T1920" s="16">
        <v>0</v>
      </c>
      <c r="U1920" s="17"/>
      <c r="V1920" s="12">
        <v>1249.7613315317521</v>
      </c>
      <c r="W1920" s="12">
        <v>1249.7613315317521</v>
      </c>
      <c r="X1920" s="12">
        <v>0</v>
      </c>
      <c r="Y1920" s="18">
        <v>45782</v>
      </c>
      <c r="Z1920" s="13" t="s">
        <v>516</v>
      </c>
      <c r="AA1920" s="19" t="s">
        <v>367</v>
      </c>
      <c r="AB1920" s="13" t="s">
        <v>357</v>
      </c>
      <c r="AC1920" s="13" t="s">
        <v>367</v>
      </c>
      <c r="AD1920" s="20"/>
      <c r="AE1920" s="20"/>
      <c r="AF1920" s="13" t="s">
        <v>40</v>
      </c>
      <c r="AG1920" s="15">
        <v>45413</v>
      </c>
      <c r="AH1920" s="13" t="s">
        <v>41</v>
      </c>
      <c r="AI1920" s="13" t="s">
        <v>43</v>
      </c>
      <c r="AJ1920" s="13" t="str">
        <f>VLOOKUP(E1920,Precios!Z$2:AA$941,2,FALSE)</f>
        <v>Bandeja Huevos EXTRA</v>
      </c>
      <c r="AK1920" s="14">
        <f>VLOOKUP(E1920,Precios!Z$2:BB$941,3,FALSE)*F1920</f>
        <v>-1</v>
      </c>
      <c r="AL1920" s="17"/>
      <c r="AM1920" s="17"/>
      <c r="AN1920" s="17"/>
      <c r="AO1920" s="17"/>
      <c r="AP1920" s="17"/>
      <c r="AQ1920" s="17"/>
      <c r="AR1920" s="17"/>
      <c r="AS1920" s="17"/>
      <c r="AT1920" s="17"/>
      <c r="AU1920" s="17"/>
      <c r="AV1920" s="17"/>
    </row>
    <row r="1921" spans="1:48" ht="15.75" customHeight="1">
      <c r="A1921" s="21" t="s">
        <v>43</v>
      </c>
      <c r="B1921" s="23" t="s">
        <v>1692</v>
      </c>
      <c r="C1921" s="22">
        <v>45783</v>
      </c>
      <c r="D1921" s="23" t="s">
        <v>227</v>
      </c>
      <c r="E1921" s="23" t="s">
        <v>45</v>
      </c>
      <c r="F1921" s="21">
        <v>1</v>
      </c>
      <c r="G1921" s="12">
        <v>8000.0859845227851</v>
      </c>
      <c r="H1921" s="12">
        <v>8000.0859845227851</v>
      </c>
      <c r="I1921" s="23" t="s">
        <v>52</v>
      </c>
      <c r="J1921" s="23" t="s">
        <v>61</v>
      </c>
      <c r="K1921" s="24" t="s">
        <v>177</v>
      </c>
      <c r="L1921" s="26">
        <v>136</v>
      </c>
      <c r="M1921" s="12">
        <v>6722.7613315317521</v>
      </c>
      <c r="N1921" s="12">
        <v>6722.7613315317521</v>
      </c>
      <c r="O1921" s="12">
        <v>1277.324652991033</v>
      </c>
      <c r="P1921" s="13"/>
      <c r="Q1921" s="14">
        <v>2025</v>
      </c>
      <c r="R1921" s="15">
        <v>45413</v>
      </c>
      <c r="S1921" s="11" t="s">
        <v>355</v>
      </c>
      <c r="T1921" s="16">
        <v>0</v>
      </c>
      <c r="U1921" s="17"/>
      <c r="V1921" s="12">
        <v>1249.7613315317521</v>
      </c>
      <c r="W1921" s="12">
        <v>1249.7613315317521</v>
      </c>
      <c r="X1921" s="12">
        <v>0</v>
      </c>
      <c r="Y1921" s="18">
        <v>45782</v>
      </c>
      <c r="Z1921" s="13" t="s">
        <v>516</v>
      </c>
      <c r="AA1921" s="19" t="s">
        <v>361</v>
      </c>
      <c r="AB1921" s="13" t="s">
        <v>357</v>
      </c>
      <c r="AC1921" s="13" t="s">
        <v>393</v>
      </c>
      <c r="AD1921" s="20"/>
      <c r="AE1921" s="20"/>
      <c r="AF1921" s="13" t="s">
        <v>40</v>
      </c>
      <c r="AG1921" s="15">
        <v>45413</v>
      </c>
      <c r="AH1921" s="13" t="s">
        <v>41</v>
      </c>
      <c r="AI1921" s="13" t="s">
        <v>43</v>
      </c>
      <c r="AJ1921" s="13" t="str">
        <f>VLOOKUP(E1921,Precios!Z$2:AA$941,2,FALSE)</f>
        <v>Bandeja Huevos EXTRA</v>
      </c>
      <c r="AK1921" s="14">
        <f>VLOOKUP(E1921,Precios!Z$2:BB$941,3,FALSE)*F1921</f>
        <v>-1</v>
      </c>
      <c r="AL1921" s="17"/>
      <c r="AM1921" s="17"/>
      <c r="AN1921" s="17"/>
      <c r="AO1921" s="17"/>
      <c r="AP1921" s="17"/>
      <c r="AQ1921" s="17"/>
      <c r="AR1921" s="17"/>
      <c r="AS1921" s="17"/>
      <c r="AT1921" s="17"/>
      <c r="AU1921" s="17"/>
      <c r="AV1921" s="17"/>
    </row>
    <row r="1922" spans="1:48" ht="15.75" customHeight="1">
      <c r="A1922" s="21" t="s">
        <v>35</v>
      </c>
      <c r="B1922" s="23" t="s">
        <v>1692</v>
      </c>
      <c r="C1922" s="22">
        <v>45783</v>
      </c>
      <c r="D1922" s="23" t="s">
        <v>227</v>
      </c>
      <c r="E1922" s="23" t="s">
        <v>46</v>
      </c>
      <c r="F1922" s="21">
        <v>1</v>
      </c>
      <c r="G1922" s="12">
        <v>5500</v>
      </c>
      <c r="H1922" s="12">
        <v>5500</v>
      </c>
      <c r="I1922" s="23" t="s">
        <v>52</v>
      </c>
      <c r="J1922" s="23" t="s">
        <v>61</v>
      </c>
      <c r="K1922" s="24" t="s">
        <v>177</v>
      </c>
      <c r="L1922" s="26">
        <v>136</v>
      </c>
      <c r="M1922" s="12">
        <v>4621.8487394957983</v>
      </c>
      <c r="N1922" s="12">
        <v>4621.8487394957983</v>
      </c>
      <c r="O1922" s="12">
        <v>878.15126050420167</v>
      </c>
      <c r="P1922" s="13"/>
      <c r="Q1922" s="14">
        <v>2025</v>
      </c>
      <c r="R1922" s="15">
        <v>45413</v>
      </c>
      <c r="S1922" s="11" t="s">
        <v>364</v>
      </c>
      <c r="T1922" s="16">
        <v>500</v>
      </c>
      <c r="U1922" s="17"/>
      <c r="V1922" s="12">
        <v>1365.1260504201678</v>
      </c>
      <c r="W1922" s="12">
        <v>1365.1260504201678</v>
      </c>
      <c r="X1922" s="12">
        <v>0</v>
      </c>
      <c r="Y1922" s="18">
        <v>45782</v>
      </c>
      <c r="Z1922" s="13" t="s">
        <v>516</v>
      </c>
      <c r="AA1922" s="19" t="s">
        <v>361</v>
      </c>
      <c r="AB1922" s="13" t="s">
        <v>357</v>
      </c>
      <c r="AC1922" s="13" t="s">
        <v>393</v>
      </c>
      <c r="AD1922" s="20"/>
      <c r="AE1922" s="20"/>
      <c r="AF1922" s="13" t="s">
        <v>40</v>
      </c>
      <c r="AG1922" s="15">
        <v>45413</v>
      </c>
      <c r="AH1922" s="13" t="s">
        <v>41</v>
      </c>
      <c r="AI1922" s="13" t="s">
        <v>35</v>
      </c>
      <c r="AJ1922" s="13" t="str">
        <f>VLOOKUP(E1922,Precios!Z$2:AA$941,2,FALSE)</f>
        <v>Queso RUNCA Mantecoso</v>
      </c>
      <c r="AK1922" s="14">
        <f>VLOOKUP(E1922,Precios!Z$2:BB$941,3,FALSE)*F1922</f>
        <v>-0.5</v>
      </c>
      <c r="AL1922" s="17"/>
      <c r="AM1922" s="17"/>
      <c r="AN1922" s="17"/>
      <c r="AO1922" s="17"/>
      <c r="AP1922" s="17"/>
      <c r="AQ1922" s="17"/>
      <c r="AR1922" s="17"/>
      <c r="AS1922" s="17"/>
      <c r="AT1922" s="17"/>
      <c r="AU1922" s="17"/>
      <c r="AV1922" s="17"/>
    </row>
    <row r="1923" spans="1:48" ht="15.75" customHeight="1">
      <c r="A1923" s="21" t="s">
        <v>76</v>
      </c>
      <c r="B1923" s="23" t="s">
        <v>1692</v>
      </c>
      <c r="C1923" s="22">
        <v>45783</v>
      </c>
      <c r="D1923" s="23" t="s">
        <v>172</v>
      </c>
      <c r="E1923" s="23" t="s">
        <v>137</v>
      </c>
      <c r="F1923" s="21">
        <v>4</v>
      </c>
      <c r="G1923" s="12">
        <v>3500.0000000000005</v>
      </c>
      <c r="H1923" s="12">
        <v>14000.000000000002</v>
      </c>
      <c r="I1923" s="23" t="s">
        <v>52</v>
      </c>
      <c r="J1923" s="23" t="s">
        <v>61</v>
      </c>
      <c r="K1923" s="24" t="s">
        <v>177</v>
      </c>
      <c r="L1923" s="26">
        <v>136</v>
      </c>
      <c r="M1923" s="12">
        <v>2941.1764705882356</v>
      </c>
      <c r="N1923" s="12">
        <v>11764.705882352942</v>
      </c>
      <c r="O1923" s="12">
        <v>2235.2941176470595</v>
      </c>
      <c r="P1923" s="13"/>
      <c r="Q1923" s="14">
        <v>2025</v>
      </c>
      <c r="R1923" s="15">
        <v>45413</v>
      </c>
      <c r="S1923" s="11" t="s">
        <v>406</v>
      </c>
      <c r="T1923" s="16">
        <v>20</v>
      </c>
      <c r="U1923" s="17"/>
      <c r="V1923" s="12">
        <v>3394.9579831932788</v>
      </c>
      <c r="W1923" s="12">
        <v>3394.9579831932788</v>
      </c>
      <c r="X1923" s="12">
        <v>0</v>
      </c>
      <c r="Y1923" s="18">
        <v>45782</v>
      </c>
      <c r="Z1923" s="13" t="s">
        <v>516</v>
      </c>
      <c r="AA1923" s="19" t="s">
        <v>361</v>
      </c>
      <c r="AB1923" s="13" t="s">
        <v>357</v>
      </c>
      <c r="AC1923" s="13" t="s">
        <v>405</v>
      </c>
      <c r="AD1923" s="20"/>
      <c r="AE1923" s="20"/>
      <c r="AF1923" s="13" t="s">
        <v>40</v>
      </c>
      <c r="AG1923" s="15">
        <v>45413</v>
      </c>
      <c r="AH1923" s="13" t="s">
        <v>41</v>
      </c>
      <c r="AI1923" s="13" t="s">
        <v>76</v>
      </c>
      <c r="AJ1923" s="13" t="str">
        <f>VLOOKUP(E1923,Precios!Z$2:AA$941,2,FALSE)</f>
        <v>Detergente SPUM 5 Litros (Blanco)</v>
      </c>
      <c r="AK1923" s="14">
        <f>VLOOKUP(E1923,Precios!Z$2:BB$941,3,FALSE)*F1923</f>
        <v>-4</v>
      </c>
      <c r="AL1923" s="17"/>
      <c r="AM1923" s="17"/>
      <c r="AN1923" s="17"/>
      <c r="AO1923" s="17"/>
      <c r="AP1923" s="17"/>
      <c r="AQ1923" s="17"/>
      <c r="AR1923" s="17"/>
      <c r="AS1923" s="17"/>
      <c r="AT1923" s="17"/>
      <c r="AU1923" s="17"/>
      <c r="AV1923" s="17"/>
    </row>
    <row r="1924" spans="1:48" ht="15.75" customHeight="1">
      <c r="A1924" s="21" t="s">
        <v>47</v>
      </c>
      <c r="B1924" s="23" t="s">
        <v>1692</v>
      </c>
      <c r="C1924" s="22">
        <v>45783</v>
      </c>
      <c r="D1924" s="23" t="s">
        <v>172</v>
      </c>
      <c r="E1924" s="23" t="s">
        <v>171</v>
      </c>
      <c r="F1924" s="21">
        <v>2</v>
      </c>
      <c r="G1924" s="12">
        <v>1599.7931747673217</v>
      </c>
      <c r="H1924" s="12">
        <v>3199.5863495346434</v>
      </c>
      <c r="I1924" s="23" t="s">
        <v>52</v>
      </c>
      <c r="J1924" s="23" t="s">
        <v>61</v>
      </c>
      <c r="K1924" s="24" t="s">
        <v>177</v>
      </c>
      <c r="L1924" s="26">
        <v>136</v>
      </c>
      <c r="M1924" s="12">
        <v>1344.3640124095141</v>
      </c>
      <c r="N1924" s="12">
        <v>2688.7280248190282</v>
      </c>
      <c r="O1924" s="12">
        <v>510.85832471561525</v>
      </c>
      <c r="P1924" s="13"/>
      <c r="Q1924" s="14">
        <v>2025</v>
      </c>
      <c r="R1924" s="15">
        <v>45413</v>
      </c>
      <c r="S1924" s="11" t="s">
        <v>495</v>
      </c>
      <c r="T1924" s="16">
        <v>0</v>
      </c>
      <c r="U1924" s="17"/>
      <c r="V1924" s="12">
        <v>738.72802481902818</v>
      </c>
      <c r="W1924" s="12">
        <v>738.72802481902818</v>
      </c>
      <c r="X1924" s="12">
        <v>0</v>
      </c>
      <c r="Y1924" s="18">
        <v>45782</v>
      </c>
      <c r="Z1924" s="13" t="s">
        <v>516</v>
      </c>
      <c r="AA1924" s="19" t="s">
        <v>361</v>
      </c>
      <c r="AB1924" s="13" t="s">
        <v>357</v>
      </c>
      <c r="AC1924" s="13" t="s">
        <v>405</v>
      </c>
      <c r="AD1924" s="20"/>
      <c r="AE1924" s="20"/>
      <c r="AF1924" s="13" t="s">
        <v>40</v>
      </c>
      <c r="AG1924" s="15">
        <v>45413</v>
      </c>
      <c r="AH1924" s="13" t="s">
        <v>41</v>
      </c>
      <c r="AI1924" s="13" t="s">
        <v>47</v>
      </c>
      <c r="AJ1924" s="13" t="str">
        <f>VLOOKUP(E1924,Precios!Z$2:AA$941,2,FALSE)</f>
        <v>Cera Tierra Color Brillina</v>
      </c>
      <c r="AK1924" s="14">
        <f>VLOOKUP(E1924,Precios!Z$2:BB$941,3,FALSE)*F1924</f>
        <v>-2</v>
      </c>
      <c r="AL1924" s="17"/>
      <c r="AM1924" s="17"/>
      <c r="AN1924" s="17"/>
      <c r="AO1924" s="17"/>
      <c r="AP1924" s="17"/>
      <c r="AQ1924" s="17"/>
      <c r="AR1924" s="17"/>
      <c r="AS1924" s="17"/>
      <c r="AT1924" s="17"/>
      <c r="AU1924" s="17"/>
      <c r="AV1924" s="17"/>
    </row>
    <row r="1925" spans="1:48" ht="15.75" customHeight="1">
      <c r="A1925" s="21" t="s">
        <v>47</v>
      </c>
      <c r="B1925" s="23" t="s">
        <v>1692</v>
      </c>
      <c r="C1925" s="22">
        <v>45783</v>
      </c>
      <c r="D1925" s="23" t="s">
        <v>172</v>
      </c>
      <c r="E1925" s="23" t="s">
        <v>107</v>
      </c>
      <c r="F1925" s="21">
        <v>1</v>
      </c>
      <c r="G1925" s="12">
        <v>3000.0000000000005</v>
      </c>
      <c r="H1925" s="12">
        <v>3000.0000000000005</v>
      </c>
      <c r="I1925" s="23" t="s">
        <v>52</v>
      </c>
      <c r="J1925" s="23" t="s">
        <v>61</v>
      </c>
      <c r="K1925" s="24" t="s">
        <v>177</v>
      </c>
      <c r="L1925" s="26">
        <v>136</v>
      </c>
      <c r="M1925" s="12">
        <v>2521.0084033613452</v>
      </c>
      <c r="N1925" s="12">
        <v>2521.0084033613452</v>
      </c>
      <c r="O1925" s="12">
        <v>478.99159663865521</v>
      </c>
      <c r="P1925" s="13"/>
      <c r="Q1925" s="14">
        <v>2025</v>
      </c>
      <c r="R1925" s="15">
        <v>45413</v>
      </c>
      <c r="S1925" s="11" t="s">
        <v>453</v>
      </c>
      <c r="T1925" s="16">
        <v>0</v>
      </c>
      <c r="U1925" s="17"/>
      <c r="V1925" s="12">
        <v>758.82352941176487</v>
      </c>
      <c r="W1925" s="12">
        <v>758.82352941176487</v>
      </c>
      <c r="X1925" s="12">
        <v>0</v>
      </c>
      <c r="Y1925" s="18">
        <v>45782</v>
      </c>
      <c r="Z1925" s="13" t="s">
        <v>516</v>
      </c>
      <c r="AA1925" s="19" t="s">
        <v>361</v>
      </c>
      <c r="AB1925" s="13" t="s">
        <v>357</v>
      </c>
      <c r="AC1925" s="13" t="s">
        <v>405</v>
      </c>
      <c r="AD1925" s="20"/>
      <c r="AE1925" s="20"/>
      <c r="AF1925" s="13" t="s">
        <v>40</v>
      </c>
      <c r="AG1925" s="15">
        <v>45413</v>
      </c>
      <c r="AH1925" s="13" t="s">
        <v>41</v>
      </c>
      <c r="AI1925" s="13" t="s">
        <v>47</v>
      </c>
      <c r="AJ1925" s="13" t="str">
        <f>VLOOKUP(E1925,Precios!Z$2:AA$941,2,FALSE)</f>
        <v xml:space="preserve">Bolsas Basura TEDDY 90x120 </v>
      </c>
      <c r="AK1925" s="14">
        <f>VLOOKUP(E1925,Precios!Z$2:BB$941,3,FALSE)*F1925</f>
        <v>-1</v>
      </c>
      <c r="AL1925" s="17"/>
      <c r="AM1925" s="17"/>
      <c r="AN1925" s="17"/>
      <c r="AO1925" s="17"/>
      <c r="AP1925" s="17"/>
      <c r="AQ1925" s="17"/>
      <c r="AR1925" s="17"/>
      <c r="AS1925" s="17"/>
      <c r="AT1925" s="17"/>
      <c r="AU1925" s="17"/>
      <c r="AV1925" s="17"/>
    </row>
    <row r="1926" spans="1:48" ht="15.75" customHeight="1">
      <c r="A1926" s="21" t="s">
        <v>35</v>
      </c>
      <c r="B1926" s="23" t="s">
        <v>1692</v>
      </c>
      <c r="C1926" s="22">
        <v>45783</v>
      </c>
      <c r="D1926" s="23" t="s">
        <v>172</v>
      </c>
      <c r="E1926" s="23" t="s">
        <v>37</v>
      </c>
      <c r="F1926" s="21">
        <v>1</v>
      </c>
      <c r="G1926" s="12">
        <v>10499.643649654092</v>
      </c>
      <c r="H1926" s="12">
        <v>10499.643649654092</v>
      </c>
      <c r="I1926" s="23" t="s">
        <v>52</v>
      </c>
      <c r="J1926" s="23" t="s">
        <v>61</v>
      </c>
      <c r="K1926" s="24" t="s">
        <v>177</v>
      </c>
      <c r="L1926" s="26">
        <v>136</v>
      </c>
      <c r="M1926" s="12">
        <v>8823.2299576925143</v>
      </c>
      <c r="N1926" s="12">
        <v>8823.2299576925143</v>
      </c>
      <c r="O1926" s="12">
        <v>1676.4136919615776</v>
      </c>
      <c r="P1926" s="13"/>
      <c r="Q1926" s="14">
        <v>2025</v>
      </c>
      <c r="R1926" s="15">
        <v>45413</v>
      </c>
      <c r="S1926" s="11" t="s">
        <v>364</v>
      </c>
      <c r="T1926" s="16">
        <v>1000</v>
      </c>
      <c r="U1926" s="17"/>
      <c r="V1926" s="12">
        <v>2385.6333190370515</v>
      </c>
      <c r="W1926" s="12">
        <v>2385.6333190370515</v>
      </c>
      <c r="X1926" s="12">
        <v>0</v>
      </c>
      <c r="Y1926" s="18">
        <v>45782</v>
      </c>
      <c r="Z1926" s="13" t="s">
        <v>516</v>
      </c>
      <c r="AA1926" s="19" t="s">
        <v>361</v>
      </c>
      <c r="AB1926" s="13" t="s">
        <v>357</v>
      </c>
      <c r="AC1926" s="13" t="s">
        <v>405</v>
      </c>
      <c r="AD1926" s="20"/>
      <c r="AE1926" s="20"/>
      <c r="AF1926" s="13" t="s">
        <v>40</v>
      </c>
      <c r="AG1926" s="15">
        <v>45413</v>
      </c>
      <c r="AH1926" s="13" t="s">
        <v>41</v>
      </c>
      <c r="AI1926" s="13" t="s">
        <v>35</v>
      </c>
      <c r="AJ1926" s="13" t="str">
        <f>VLOOKUP(E1926,Precios!Z$2:AA$941,2,FALSE)</f>
        <v>Queso RUNCA Mantecoso</v>
      </c>
      <c r="AK1926" s="14">
        <f>VLOOKUP(E1926,Precios!Z$2:BB$941,3,FALSE)*F1926</f>
        <v>-1</v>
      </c>
      <c r="AL1926" s="17"/>
      <c r="AM1926" s="17"/>
      <c r="AN1926" s="17"/>
      <c r="AO1926" s="17"/>
      <c r="AP1926" s="17"/>
      <c r="AQ1926" s="17"/>
      <c r="AR1926" s="17"/>
      <c r="AS1926" s="17"/>
      <c r="AT1926" s="17"/>
      <c r="AU1926" s="17"/>
      <c r="AV1926" s="17"/>
    </row>
    <row r="1927" spans="1:48" ht="15.75" customHeight="1">
      <c r="A1927" s="21" t="s">
        <v>53</v>
      </c>
      <c r="B1927" s="23" t="s">
        <v>1692</v>
      </c>
      <c r="C1927" s="22">
        <v>45783</v>
      </c>
      <c r="D1927" s="23" t="s">
        <v>135</v>
      </c>
      <c r="E1927" s="23" t="s">
        <v>69</v>
      </c>
      <c r="F1927" s="21">
        <v>2</v>
      </c>
      <c r="G1927" s="12">
        <v>2999.9553810458683</v>
      </c>
      <c r="H1927" s="12">
        <v>5999.9107620917366</v>
      </c>
      <c r="I1927" s="23" t="s">
        <v>52</v>
      </c>
      <c r="J1927" s="23" t="s">
        <v>61</v>
      </c>
      <c r="K1927" s="24" t="s">
        <v>177</v>
      </c>
      <c r="L1927" s="26">
        <v>136</v>
      </c>
      <c r="M1927" s="12">
        <v>2520.9709084419064</v>
      </c>
      <c r="N1927" s="12">
        <v>5041.9418168838129</v>
      </c>
      <c r="O1927" s="12">
        <v>957.96894520792375</v>
      </c>
      <c r="P1927" s="13"/>
      <c r="Q1927" s="14">
        <v>2025</v>
      </c>
      <c r="R1927" s="15">
        <v>45413</v>
      </c>
      <c r="S1927" s="11" t="s">
        <v>376</v>
      </c>
      <c r="T1927" s="16">
        <v>0</v>
      </c>
      <c r="U1927" s="17"/>
      <c r="V1927" s="12">
        <v>1651.941816883812</v>
      </c>
      <c r="W1927" s="12">
        <v>1651.941816883812</v>
      </c>
      <c r="X1927" s="12">
        <v>0</v>
      </c>
      <c r="Y1927" s="18">
        <v>45782</v>
      </c>
      <c r="Z1927" s="13" t="s">
        <v>516</v>
      </c>
      <c r="AA1927" s="19" t="s">
        <v>361</v>
      </c>
      <c r="AB1927" s="13" t="s">
        <v>357</v>
      </c>
      <c r="AC1927" s="13" t="s">
        <v>538</v>
      </c>
      <c r="AD1927" s="20"/>
      <c r="AE1927" s="20"/>
      <c r="AF1927" s="13" t="s">
        <v>40</v>
      </c>
      <c r="AG1927" s="15">
        <v>45413</v>
      </c>
      <c r="AH1927" s="13" t="s">
        <v>41</v>
      </c>
      <c r="AI1927" s="13" t="s">
        <v>53</v>
      </c>
      <c r="AJ1927" s="13" t="str">
        <f>VLOOKUP(E1927,Precios!Z$2:AA$941,2,FALSE)</f>
        <v>Toalla Papel NOVA 70 metros</v>
      </c>
      <c r="AK1927" s="14">
        <f>VLOOKUP(E1927,Precios!Z$2:BB$941,3,FALSE)*F1927</f>
        <v>-2</v>
      </c>
      <c r="AL1927" s="17"/>
      <c r="AM1927" s="17"/>
      <c r="AN1927" s="17"/>
      <c r="AO1927" s="17"/>
      <c r="AP1927" s="17"/>
      <c r="AQ1927" s="17"/>
      <c r="AR1927" s="17"/>
      <c r="AS1927" s="17"/>
      <c r="AT1927" s="17"/>
      <c r="AU1927" s="17"/>
      <c r="AV1927" s="17"/>
    </row>
    <row r="1928" spans="1:48" ht="15.75" customHeight="1">
      <c r="A1928" s="21" t="s">
        <v>53</v>
      </c>
      <c r="B1928" s="23" t="s">
        <v>1692</v>
      </c>
      <c r="C1928" s="22">
        <v>45783</v>
      </c>
      <c r="D1928" s="23" t="s">
        <v>135</v>
      </c>
      <c r="E1928" s="23" t="s">
        <v>97</v>
      </c>
      <c r="F1928" s="21">
        <v>1</v>
      </c>
      <c r="G1928" s="12">
        <v>16500.126742712295</v>
      </c>
      <c r="H1928" s="12">
        <v>16500.126742712295</v>
      </c>
      <c r="I1928" s="23" t="s">
        <v>52</v>
      </c>
      <c r="J1928" s="23" t="s">
        <v>61</v>
      </c>
      <c r="K1928" s="24" t="s">
        <v>177</v>
      </c>
      <c r="L1928" s="26">
        <v>136</v>
      </c>
      <c r="M1928" s="12">
        <v>13865.652724968315</v>
      </c>
      <c r="N1928" s="12">
        <v>13865.652724968315</v>
      </c>
      <c r="O1928" s="12">
        <v>2634.4740177439799</v>
      </c>
      <c r="P1928" s="13"/>
      <c r="Q1928" s="14">
        <v>2025</v>
      </c>
      <c r="R1928" s="15">
        <v>45413</v>
      </c>
      <c r="S1928" s="11" t="s">
        <v>366</v>
      </c>
      <c r="T1928" s="16">
        <v>0</v>
      </c>
      <c r="U1928" s="17"/>
      <c r="V1928" s="12">
        <v>3472.6527249683149</v>
      </c>
      <c r="W1928" s="12">
        <v>3472.6527249683149</v>
      </c>
      <c r="X1928" s="12">
        <v>0</v>
      </c>
      <c r="Y1928" s="18">
        <v>45782</v>
      </c>
      <c r="Z1928" s="13" t="s">
        <v>516</v>
      </c>
      <c r="AA1928" s="19" t="s">
        <v>361</v>
      </c>
      <c r="AB1928" s="13" t="s">
        <v>357</v>
      </c>
      <c r="AC1928" s="13" t="s">
        <v>538</v>
      </c>
      <c r="AD1928" s="20"/>
      <c r="AE1928" s="20"/>
      <c r="AF1928" s="13" t="s">
        <v>40</v>
      </c>
      <c r="AG1928" s="15">
        <v>45413</v>
      </c>
      <c r="AH1928" s="13" t="s">
        <v>41</v>
      </c>
      <c r="AI1928" s="13" t="s">
        <v>53</v>
      </c>
      <c r="AJ1928" s="13" t="str">
        <f>VLOOKUP(E1928,Precios!Z$2:AA$941,2,FALSE)</f>
        <v>Papel Higienico ELITE 50 metros</v>
      </c>
      <c r="AK1928" s="14">
        <f>VLOOKUP(E1928,Precios!Z$2:BB$941,3,FALSE)*F1928</f>
        <v>-6</v>
      </c>
      <c r="AL1928" s="17"/>
      <c r="AM1928" s="17"/>
      <c r="AN1928" s="17"/>
      <c r="AO1928" s="17"/>
      <c r="AP1928" s="17"/>
      <c r="AQ1928" s="17"/>
      <c r="AR1928" s="17"/>
      <c r="AS1928" s="17"/>
      <c r="AT1928" s="17"/>
      <c r="AU1928" s="17"/>
      <c r="AV1928" s="17"/>
    </row>
    <row r="1929" spans="1:48" ht="15.75" customHeight="1">
      <c r="A1929" s="21" t="s">
        <v>53</v>
      </c>
      <c r="B1929" s="23" t="s">
        <v>1692</v>
      </c>
      <c r="C1929" s="22">
        <v>45783</v>
      </c>
      <c r="D1929" s="23" t="s">
        <v>135</v>
      </c>
      <c r="E1929" s="23" t="s">
        <v>150</v>
      </c>
      <c r="F1929" s="21">
        <v>1</v>
      </c>
      <c r="G1929" s="12">
        <v>1799.8965445892823</v>
      </c>
      <c r="H1929" s="12">
        <v>1799.8965445892823</v>
      </c>
      <c r="I1929" s="23" t="s">
        <v>52</v>
      </c>
      <c r="J1929" s="23" t="s">
        <v>61</v>
      </c>
      <c r="K1929" s="24" t="s">
        <v>177</v>
      </c>
      <c r="L1929" s="26">
        <v>136</v>
      </c>
      <c r="M1929" s="12">
        <v>1512.518104696876</v>
      </c>
      <c r="N1929" s="12">
        <v>1512.518104696876</v>
      </c>
      <c r="O1929" s="12">
        <v>287.37843989240628</v>
      </c>
      <c r="P1929" s="13"/>
      <c r="Q1929" s="14">
        <v>2025</v>
      </c>
      <c r="R1929" s="15">
        <v>45413</v>
      </c>
      <c r="S1929" s="11" t="s">
        <v>381</v>
      </c>
      <c r="T1929" s="16">
        <v>300</v>
      </c>
      <c r="U1929" s="17"/>
      <c r="V1929" s="12">
        <v>781.51810469687575</v>
      </c>
      <c r="W1929" s="12">
        <v>781.51810469687575</v>
      </c>
      <c r="X1929" s="12">
        <v>0</v>
      </c>
      <c r="Y1929" s="18">
        <v>45782</v>
      </c>
      <c r="Z1929" s="13" t="s">
        <v>516</v>
      </c>
      <c r="AA1929" s="19" t="s">
        <v>361</v>
      </c>
      <c r="AB1929" s="13" t="s">
        <v>357</v>
      </c>
      <c r="AC1929" s="13" t="s">
        <v>538</v>
      </c>
      <c r="AD1929" s="20"/>
      <c r="AE1929" s="20"/>
      <c r="AF1929" s="13" t="s">
        <v>40</v>
      </c>
      <c r="AG1929" s="15">
        <v>45413</v>
      </c>
      <c r="AH1929" s="13" t="s">
        <v>41</v>
      </c>
      <c r="AI1929" s="13" t="s">
        <v>53</v>
      </c>
      <c r="AJ1929" s="13" t="str">
        <f>VLOOKUP(E1929,Precios!Z$2:AA$941,2,FALSE)</f>
        <v>Servilletas SOFTQUALITY 300 unidades</v>
      </c>
      <c r="AK1929" s="14">
        <f>VLOOKUP(E1929,Precios!Z$2:BB$941,3,FALSE)*F1929</f>
        <v>-1</v>
      </c>
      <c r="AL1929" s="17"/>
      <c r="AM1929" s="17"/>
      <c r="AN1929" s="17"/>
      <c r="AO1929" s="17"/>
      <c r="AP1929" s="17"/>
      <c r="AQ1929" s="17"/>
      <c r="AR1929" s="17"/>
      <c r="AS1929" s="17"/>
      <c r="AT1929" s="17"/>
      <c r="AU1929" s="17"/>
      <c r="AV1929" s="17"/>
    </row>
    <row r="1930" spans="1:48" ht="15.75" customHeight="1">
      <c r="A1930" s="21" t="s">
        <v>76</v>
      </c>
      <c r="B1930" s="23" t="s">
        <v>1692</v>
      </c>
      <c r="C1930" s="22">
        <v>45783</v>
      </c>
      <c r="D1930" s="23" t="s">
        <v>135</v>
      </c>
      <c r="E1930" s="23" t="s">
        <v>110</v>
      </c>
      <c r="F1930" s="21">
        <v>1</v>
      </c>
      <c r="G1930" s="12">
        <v>2000.0000000000005</v>
      </c>
      <c r="H1930" s="12">
        <v>2000.0000000000005</v>
      </c>
      <c r="I1930" s="23" t="s">
        <v>52</v>
      </c>
      <c r="J1930" s="23" t="s">
        <v>61</v>
      </c>
      <c r="K1930" s="24" t="s">
        <v>177</v>
      </c>
      <c r="L1930" s="26">
        <v>136</v>
      </c>
      <c r="M1930" s="12">
        <v>1680.6722689075634</v>
      </c>
      <c r="N1930" s="12">
        <v>1680.6722689075634</v>
      </c>
      <c r="O1930" s="12">
        <v>319.32773109243703</v>
      </c>
      <c r="P1930" s="13"/>
      <c r="Q1930" s="14">
        <v>2025</v>
      </c>
      <c r="R1930" s="15">
        <v>45413</v>
      </c>
      <c r="S1930" s="11" t="s">
        <v>378</v>
      </c>
      <c r="T1930" s="16">
        <v>5</v>
      </c>
      <c r="U1930" s="17"/>
      <c r="V1930" s="12">
        <v>756.30252100840369</v>
      </c>
      <c r="W1930" s="12">
        <v>756.30252100840369</v>
      </c>
      <c r="X1930" s="12">
        <v>0</v>
      </c>
      <c r="Y1930" s="18">
        <v>45782</v>
      </c>
      <c r="Z1930" s="13" t="s">
        <v>516</v>
      </c>
      <c r="AA1930" s="19" t="s">
        <v>361</v>
      </c>
      <c r="AB1930" s="13" t="s">
        <v>357</v>
      </c>
      <c r="AC1930" s="13" t="s">
        <v>538</v>
      </c>
      <c r="AD1930" s="20"/>
      <c r="AE1930" s="20"/>
      <c r="AF1930" s="13" t="s">
        <v>40</v>
      </c>
      <c r="AG1930" s="15">
        <v>45413</v>
      </c>
      <c r="AH1930" s="13" t="s">
        <v>41</v>
      </c>
      <c r="AI1930" s="13" t="s">
        <v>76</v>
      </c>
      <c r="AJ1930" s="13" t="str">
        <f>VLOOKUP(E1930,Precios!Z$2:AA$941,2,FALSE)</f>
        <v>Cloro SPUM 5 Litros</v>
      </c>
      <c r="AK1930" s="14">
        <f>VLOOKUP(E1930,Precios!Z$2:BB$941,3,FALSE)*F1930</f>
        <v>-1</v>
      </c>
      <c r="AL1930" s="17"/>
      <c r="AM1930" s="17"/>
      <c r="AN1930" s="17"/>
      <c r="AO1930" s="17"/>
      <c r="AP1930" s="17"/>
      <c r="AQ1930" s="17"/>
      <c r="AR1930" s="17"/>
      <c r="AS1930" s="17"/>
      <c r="AT1930" s="17"/>
      <c r="AU1930" s="17"/>
      <c r="AV1930" s="17"/>
    </row>
    <row r="1931" spans="1:48" ht="15.75" customHeight="1">
      <c r="A1931" s="21" t="s">
        <v>76</v>
      </c>
      <c r="B1931" s="23" t="s">
        <v>1692</v>
      </c>
      <c r="C1931" s="22">
        <v>45783</v>
      </c>
      <c r="D1931" s="23" t="s">
        <v>135</v>
      </c>
      <c r="E1931" s="23" t="s">
        <v>137</v>
      </c>
      <c r="F1931" s="21">
        <v>1</v>
      </c>
      <c r="G1931" s="12">
        <v>3500.0000000000005</v>
      </c>
      <c r="H1931" s="12">
        <v>3500.0000000000005</v>
      </c>
      <c r="I1931" s="23" t="s">
        <v>52</v>
      </c>
      <c r="J1931" s="23" t="s">
        <v>61</v>
      </c>
      <c r="K1931" s="24" t="s">
        <v>177</v>
      </c>
      <c r="L1931" s="26">
        <v>136</v>
      </c>
      <c r="M1931" s="12">
        <v>2941.1764705882356</v>
      </c>
      <c r="N1931" s="12">
        <v>2941.1764705882356</v>
      </c>
      <c r="O1931" s="12">
        <v>558.82352941176487</v>
      </c>
      <c r="P1931" s="13"/>
      <c r="Q1931" s="14">
        <v>2025</v>
      </c>
      <c r="R1931" s="15">
        <v>45413</v>
      </c>
      <c r="S1931" s="11" t="s">
        <v>406</v>
      </c>
      <c r="T1931" s="16">
        <v>5</v>
      </c>
      <c r="U1931" s="17"/>
      <c r="V1931" s="12">
        <v>848.73949579831969</v>
      </c>
      <c r="W1931" s="12">
        <v>848.73949579831969</v>
      </c>
      <c r="X1931" s="12">
        <v>0</v>
      </c>
      <c r="Y1931" s="18">
        <v>45782</v>
      </c>
      <c r="Z1931" s="13" t="s">
        <v>516</v>
      </c>
      <c r="AA1931" s="19" t="s">
        <v>361</v>
      </c>
      <c r="AB1931" s="13" t="s">
        <v>357</v>
      </c>
      <c r="AC1931" s="13" t="s">
        <v>538</v>
      </c>
      <c r="AD1931" s="20"/>
      <c r="AE1931" s="20"/>
      <c r="AF1931" s="13" t="s">
        <v>40</v>
      </c>
      <c r="AG1931" s="15">
        <v>45413</v>
      </c>
      <c r="AH1931" s="13" t="s">
        <v>41</v>
      </c>
      <c r="AI1931" s="13" t="s">
        <v>76</v>
      </c>
      <c r="AJ1931" s="13" t="str">
        <f>VLOOKUP(E1931,Precios!Z$2:AA$941,2,FALSE)</f>
        <v>Detergente SPUM 5 Litros (Blanco)</v>
      </c>
      <c r="AK1931" s="14">
        <f>VLOOKUP(E1931,Precios!Z$2:BB$941,3,FALSE)*F1931</f>
        <v>-1</v>
      </c>
      <c r="AL1931" s="17"/>
      <c r="AM1931" s="17"/>
      <c r="AN1931" s="17"/>
      <c r="AO1931" s="17"/>
      <c r="AP1931" s="17"/>
      <c r="AQ1931" s="17"/>
      <c r="AR1931" s="17"/>
      <c r="AS1931" s="17"/>
      <c r="AT1931" s="17"/>
      <c r="AU1931" s="17"/>
      <c r="AV1931" s="17"/>
    </row>
    <row r="1932" spans="1:48" ht="15.75" customHeight="1">
      <c r="A1932" s="21" t="s">
        <v>76</v>
      </c>
      <c r="B1932" s="23" t="s">
        <v>1692</v>
      </c>
      <c r="C1932" s="22">
        <v>45783</v>
      </c>
      <c r="D1932" s="23" t="s">
        <v>135</v>
      </c>
      <c r="E1932" s="23" t="s">
        <v>349</v>
      </c>
      <c r="F1932" s="21">
        <v>1</v>
      </c>
      <c r="G1932" s="12">
        <v>3999.8127946357149</v>
      </c>
      <c r="H1932" s="12">
        <v>3999.8127946357149</v>
      </c>
      <c r="I1932" s="23" t="s">
        <v>52</v>
      </c>
      <c r="J1932" s="23" t="s">
        <v>61</v>
      </c>
      <c r="K1932" s="24" t="s">
        <v>177</v>
      </c>
      <c r="L1932" s="26">
        <v>136</v>
      </c>
      <c r="M1932" s="12">
        <v>3361.1872223829537</v>
      </c>
      <c r="N1932" s="12">
        <v>3361.1872223829537</v>
      </c>
      <c r="O1932" s="12">
        <v>638.62557225276123</v>
      </c>
      <c r="P1932" s="13"/>
      <c r="Q1932" s="14">
        <v>2025</v>
      </c>
      <c r="R1932" s="15">
        <v>45413</v>
      </c>
      <c r="S1932" s="11" t="s">
        <v>550</v>
      </c>
      <c r="T1932" s="16">
        <v>5</v>
      </c>
      <c r="U1932" s="17"/>
      <c r="V1932" s="12">
        <v>1386.1872223829537</v>
      </c>
      <c r="W1932" s="12">
        <v>1386.1872223829537</v>
      </c>
      <c r="X1932" s="12">
        <v>0</v>
      </c>
      <c r="Y1932" s="18">
        <v>45782</v>
      </c>
      <c r="Z1932" s="13" t="s">
        <v>516</v>
      </c>
      <c r="AA1932" s="19" t="s">
        <v>361</v>
      </c>
      <c r="AB1932" s="13" t="s">
        <v>357</v>
      </c>
      <c r="AC1932" s="13" t="s">
        <v>538</v>
      </c>
      <c r="AD1932" s="20"/>
      <c r="AE1932" s="20"/>
      <c r="AF1932" s="13" t="s">
        <v>40</v>
      </c>
      <c r="AG1932" s="15">
        <v>45413</v>
      </c>
      <c r="AH1932" s="13" t="s">
        <v>41</v>
      </c>
      <c r="AI1932" s="13" t="s">
        <v>76</v>
      </c>
      <c r="AJ1932" s="13" t="str">
        <f>VLOOKUP(E1932,Precios!Z$2:AA$941,2,FALSE)</f>
        <v>Antigrasa SPUM 5 Litros</v>
      </c>
      <c r="AK1932" s="14">
        <f>VLOOKUP(E1932,Precios!Z$2:BB$941,3,FALSE)*F1932</f>
        <v>-1</v>
      </c>
      <c r="AL1932" s="17"/>
      <c r="AM1932" s="17"/>
      <c r="AN1932" s="17"/>
      <c r="AO1932" s="17"/>
      <c r="AP1932" s="17"/>
      <c r="AQ1932" s="17"/>
      <c r="AR1932" s="17"/>
      <c r="AS1932" s="17"/>
      <c r="AT1932" s="17"/>
      <c r="AU1932" s="17"/>
      <c r="AV1932" s="17"/>
    </row>
    <row r="1933" spans="1:48" ht="15.75" customHeight="1">
      <c r="A1933" s="21" t="s">
        <v>76</v>
      </c>
      <c r="B1933" s="23" t="s">
        <v>1692</v>
      </c>
      <c r="C1933" s="22">
        <v>45783</v>
      </c>
      <c r="D1933" s="23" t="s">
        <v>135</v>
      </c>
      <c r="E1933" s="23" t="s">
        <v>212</v>
      </c>
      <c r="F1933" s="21">
        <v>1</v>
      </c>
      <c r="G1933" s="12">
        <v>3000.0000000000005</v>
      </c>
      <c r="H1933" s="12">
        <v>3000.0000000000005</v>
      </c>
      <c r="I1933" s="23" t="s">
        <v>52</v>
      </c>
      <c r="J1933" s="23" t="s">
        <v>61</v>
      </c>
      <c r="K1933" s="24" t="s">
        <v>177</v>
      </c>
      <c r="L1933" s="26">
        <v>136</v>
      </c>
      <c r="M1933" s="12">
        <v>2521.0084033613452</v>
      </c>
      <c r="N1933" s="12">
        <v>2521.0084033613452</v>
      </c>
      <c r="O1933" s="12">
        <v>478.99159663865521</v>
      </c>
      <c r="P1933" s="13"/>
      <c r="Q1933" s="14">
        <v>2025</v>
      </c>
      <c r="R1933" s="15">
        <v>45413</v>
      </c>
      <c r="S1933" s="11" t="s">
        <v>446</v>
      </c>
      <c r="T1933" s="16">
        <v>5</v>
      </c>
      <c r="U1933" s="17"/>
      <c r="V1933" s="12">
        <v>764.70588235294144</v>
      </c>
      <c r="W1933" s="12">
        <v>764.70588235294144</v>
      </c>
      <c r="X1933" s="12">
        <v>0</v>
      </c>
      <c r="Y1933" s="18">
        <v>45782</v>
      </c>
      <c r="Z1933" s="13" t="s">
        <v>516</v>
      </c>
      <c r="AA1933" s="19" t="s">
        <v>361</v>
      </c>
      <c r="AB1933" s="13" t="s">
        <v>357</v>
      </c>
      <c r="AC1933" s="13" t="s">
        <v>538</v>
      </c>
      <c r="AD1933" s="20"/>
      <c r="AE1933" s="20"/>
      <c r="AF1933" s="13" t="s">
        <v>40</v>
      </c>
      <c r="AG1933" s="15">
        <v>45413</v>
      </c>
      <c r="AH1933" s="13" t="s">
        <v>41</v>
      </c>
      <c r="AI1933" s="13" t="s">
        <v>76</v>
      </c>
      <c r="AJ1933" s="13" t="str">
        <f>VLOOKUP(E1933,Precios!Z$2:AA$941,2,FALSE)</f>
        <v>Suavizante SPUM 5 Litros</v>
      </c>
      <c r="AK1933" s="14">
        <f>VLOOKUP(E1933,Precios!Z$2:BB$941,3,FALSE)*F1933</f>
        <v>-1</v>
      </c>
      <c r="AL1933" s="17"/>
      <c r="AM1933" s="17"/>
      <c r="AN1933" s="17"/>
      <c r="AO1933" s="17"/>
      <c r="AP1933" s="17"/>
      <c r="AQ1933" s="17"/>
      <c r="AR1933" s="17"/>
      <c r="AS1933" s="17"/>
      <c r="AT1933" s="17"/>
      <c r="AU1933" s="17"/>
      <c r="AV1933" s="17"/>
    </row>
    <row r="1934" spans="1:48" ht="15.75" customHeight="1">
      <c r="A1934" s="21" t="s">
        <v>47</v>
      </c>
      <c r="B1934" s="23" t="s">
        <v>1692</v>
      </c>
      <c r="C1934" s="22">
        <v>45783</v>
      </c>
      <c r="D1934" s="23" t="s">
        <v>135</v>
      </c>
      <c r="E1934" s="23" t="s">
        <v>105</v>
      </c>
      <c r="F1934" s="21">
        <v>1</v>
      </c>
      <c r="G1934" s="12">
        <v>1100.0000000000002</v>
      </c>
      <c r="H1934" s="12">
        <v>1100.0000000000002</v>
      </c>
      <c r="I1934" s="23" t="s">
        <v>52</v>
      </c>
      <c r="J1934" s="23" t="s">
        <v>61</v>
      </c>
      <c r="K1934" s="24" t="s">
        <v>177</v>
      </c>
      <c r="L1934" s="26">
        <v>136</v>
      </c>
      <c r="M1934" s="12">
        <v>924.36974789915985</v>
      </c>
      <c r="N1934" s="12">
        <v>924.36974789915985</v>
      </c>
      <c r="O1934" s="12">
        <v>175.63025210084038</v>
      </c>
      <c r="P1934" s="13"/>
      <c r="Q1934" s="14">
        <v>2025</v>
      </c>
      <c r="R1934" s="15">
        <v>45413</v>
      </c>
      <c r="S1934" s="11" t="s">
        <v>105</v>
      </c>
      <c r="T1934" s="16">
        <v>0</v>
      </c>
      <c r="U1934" s="17"/>
      <c r="V1934" s="12">
        <v>342.857142857143</v>
      </c>
      <c r="W1934" s="12">
        <v>342.857142857143</v>
      </c>
      <c r="X1934" s="12">
        <v>0</v>
      </c>
      <c r="Y1934" s="18">
        <v>45782</v>
      </c>
      <c r="Z1934" s="13" t="s">
        <v>516</v>
      </c>
      <c r="AA1934" s="19" t="s">
        <v>361</v>
      </c>
      <c r="AB1934" s="13" t="s">
        <v>357</v>
      </c>
      <c r="AC1934" s="13" t="s">
        <v>538</v>
      </c>
      <c r="AD1934" s="20"/>
      <c r="AE1934" s="20"/>
      <c r="AF1934" s="13" t="s">
        <v>40</v>
      </c>
      <c r="AG1934" s="15">
        <v>45413</v>
      </c>
      <c r="AH1934" s="13" t="s">
        <v>41</v>
      </c>
      <c r="AI1934" s="13" t="s">
        <v>47</v>
      </c>
      <c r="AJ1934" s="13" t="str">
        <f>VLOOKUP(E1934,Precios!Z$2:AA$941,2,FALSE)</f>
        <v>Paños Esponja TEDDY</v>
      </c>
      <c r="AK1934" s="14">
        <f>VLOOKUP(E1934,Precios!Z$2:BB$941,3,FALSE)*F1934</f>
        <v>-1</v>
      </c>
      <c r="AL1934" s="17"/>
      <c r="AM1934" s="17"/>
      <c r="AN1934" s="17"/>
      <c r="AO1934" s="17"/>
      <c r="AP1934" s="17"/>
      <c r="AQ1934" s="17"/>
      <c r="AR1934" s="17"/>
      <c r="AS1934" s="17"/>
      <c r="AT1934" s="17"/>
      <c r="AU1934" s="17"/>
      <c r="AV1934" s="17"/>
    </row>
    <row r="1935" spans="1:48" ht="15.75" customHeight="1">
      <c r="A1935" s="21" t="s">
        <v>47</v>
      </c>
      <c r="B1935" s="23" t="s">
        <v>1692</v>
      </c>
      <c r="C1935" s="22">
        <v>45783</v>
      </c>
      <c r="D1935" s="23" t="s">
        <v>135</v>
      </c>
      <c r="E1935" s="23" t="s">
        <v>48</v>
      </c>
      <c r="F1935" s="21">
        <v>1</v>
      </c>
      <c r="G1935" s="12">
        <v>1000</v>
      </c>
      <c r="H1935" s="12">
        <v>1000</v>
      </c>
      <c r="I1935" s="23" t="s">
        <v>52</v>
      </c>
      <c r="J1935" s="23" t="s">
        <v>61</v>
      </c>
      <c r="K1935" s="24" t="s">
        <v>177</v>
      </c>
      <c r="L1935" s="26">
        <v>136</v>
      </c>
      <c r="M1935" s="12">
        <v>840.3361344537816</v>
      </c>
      <c r="N1935" s="12">
        <v>840.3361344537816</v>
      </c>
      <c r="O1935" s="12">
        <v>159.6638655462184</v>
      </c>
      <c r="P1935" s="13"/>
      <c r="Q1935" s="14">
        <v>2025</v>
      </c>
      <c r="R1935" s="15">
        <v>45413</v>
      </c>
      <c r="S1935" s="11" t="s">
        <v>416</v>
      </c>
      <c r="T1935" s="16">
        <v>0</v>
      </c>
      <c r="U1935" s="17"/>
      <c r="V1935" s="12">
        <v>330.33613445378148</v>
      </c>
      <c r="W1935" s="12">
        <v>330.33613445378148</v>
      </c>
      <c r="X1935" s="12">
        <v>0</v>
      </c>
      <c r="Y1935" s="18">
        <v>45782</v>
      </c>
      <c r="Z1935" s="13" t="s">
        <v>516</v>
      </c>
      <c r="AA1935" s="19" t="s">
        <v>361</v>
      </c>
      <c r="AB1935" s="13" t="s">
        <v>357</v>
      </c>
      <c r="AC1935" s="13" t="s">
        <v>538</v>
      </c>
      <c r="AD1935" s="20"/>
      <c r="AE1935" s="20"/>
      <c r="AF1935" s="13" t="s">
        <v>40</v>
      </c>
      <c r="AG1935" s="15">
        <v>45413</v>
      </c>
      <c r="AH1935" s="13" t="s">
        <v>41</v>
      </c>
      <c r="AI1935" s="13" t="s">
        <v>47</v>
      </c>
      <c r="AJ1935" s="13" t="str">
        <f>VLOOKUP(E1935,Precios!Z$2:AA$941,2,FALSE)</f>
        <v>Esponja Acanalada TEDDY</v>
      </c>
      <c r="AK1935" s="14">
        <f>VLOOKUP(E1935,Precios!Z$2:BB$941,3,FALSE)*F1935</f>
        <v>-5</v>
      </c>
      <c r="AL1935" s="17"/>
      <c r="AM1935" s="17"/>
      <c r="AN1935" s="17"/>
      <c r="AO1935" s="17"/>
      <c r="AP1935" s="17"/>
      <c r="AQ1935" s="17"/>
      <c r="AR1935" s="17"/>
      <c r="AS1935" s="17"/>
      <c r="AT1935" s="17"/>
      <c r="AU1935" s="17"/>
      <c r="AV1935" s="17"/>
    </row>
    <row r="1936" spans="1:48" ht="15.75" customHeight="1">
      <c r="A1936" s="21" t="s">
        <v>43</v>
      </c>
      <c r="B1936" s="23" t="s">
        <v>1692</v>
      </c>
      <c r="C1936" s="22">
        <v>45783</v>
      </c>
      <c r="D1936" s="23" t="s">
        <v>276</v>
      </c>
      <c r="E1936" s="23" t="s">
        <v>45</v>
      </c>
      <c r="F1936" s="21">
        <v>2</v>
      </c>
      <c r="G1936" s="12">
        <v>8000.0859845227851</v>
      </c>
      <c r="H1936" s="12">
        <v>16000.17196904557</v>
      </c>
      <c r="I1936" s="23" t="s">
        <v>52</v>
      </c>
      <c r="J1936" s="23" t="s">
        <v>61</v>
      </c>
      <c r="K1936" s="24" t="s">
        <v>177</v>
      </c>
      <c r="L1936" s="26">
        <v>136</v>
      </c>
      <c r="M1936" s="12">
        <v>6722.7613315317521</v>
      </c>
      <c r="N1936" s="12">
        <v>13445.522663063504</v>
      </c>
      <c r="O1936" s="12">
        <v>2554.6493059820659</v>
      </c>
      <c r="P1936" s="13"/>
      <c r="Q1936" s="14">
        <v>2025</v>
      </c>
      <c r="R1936" s="15">
        <v>45413</v>
      </c>
      <c r="S1936" s="11" t="s">
        <v>355</v>
      </c>
      <c r="T1936" s="16">
        <v>0</v>
      </c>
      <c r="U1936" s="17"/>
      <c r="V1936" s="12">
        <v>2499.5226630635043</v>
      </c>
      <c r="W1936" s="12">
        <v>2499.5226630635043</v>
      </c>
      <c r="X1936" s="12">
        <v>0</v>
      </c>
      <c r="Y1936" s="18">
        <v>45782</v>
      </c>
      <c r="Z1936" s="13" t="s">
        <v>516</v>
      </c>
      <c r="AA1936" s="19" t="s">
        <v>373</v>
      </c>
      <c r="AB1936" s="13" t="s">
        <v>357</v>
      </c>
      <c r="AC1936" s="13" t="s">
        <v>374</v>
      </c>
      <c r="AD1936" s="20"/>
      <c r="AE1936" s="20"/>
      <c r="AF1936" s="13" t="s">
        <v>40</v>
      </c>
      <c r="AG1936" s="15">
        <v>45413</v>
      </c>
      <c r="AH1936" s="13" t="s">
        <v>41</v>
      </c>
      <c r="AI1936" s="13" t="s">
        <v>43</v>
      </c>
      <c r="AJ1936" s="13" t="str">
        <f>VLOOKUP(E1936,Precios!Z$2:AA$941,2,FALSE)</f>
        <v>Bandeja Huevos EXTRA</v>
      </c>
      <c r="AK1936" s="14">
        <f>VLOOKUP(E1936,Precios!Z$2:BB$941,3,FALSE)*F1936</f>
        <v>-2</v>
      </c>
      <c r="AL1936" s="17"/>
      <c r="AM1936" s="17"/>
      <c r="AN1936" s="17"/>
      <c r="AO1936" s="17"/>
      <c r="AP1936" s="17"/>
      <c r="AQ1936" s="17"/>
      <c r="AR1936" s="17"/>
      <c r="AS1936" s="17"/>
      <c r="AT1936" s="17"/>
      <c r="AU1936" s="17"/>
      <c r="AV1936" s="17"/>
    </row>
    <row r="1937" spans="1:48" ht="15.75" customHeight="1">
      <c r="A1937" s="21" t="s">
        <v>64</v>
      </c>
      <c r="B1937" s="23" t="s">
        <v>1692</v>
      </c>
      <c r="C1937" s="22">
        <v>45783</v>
      </c>
      <c r="D1937" s="23" t="s">
        <v>276</v>
      </c>
      <c r="E1937" s="23" t="s">
        <v>65</v>
      </c>
      <c r="F1937" s="21">
        <v>1</v>
      </c>
      <c r="G1937" s="12">
        <v>8199.8794599807134</v>
      </c>
      <c r="H1937" s="12">
        <v>8199.8794599807134</v>
      </c>
      <c r="I1937" s="23" t="s">
        <v>52</v>
      </c>
      <c r="J1937" s="23" t="s">
        <v>61</v>
      </c>
      <c r="K1937" s="24" t="s">
        <v>177</v>
      </c>
      <c r="L1937" s="26">
        <v>136</v>
      </c>
      <c r="M1937" s="12">
        <v>6890.6550083871543</v>
      </c>
      <c r="N1937" s="12">
        <v>6890.6550083871543</v>
      </c>
      <c r="O1937" s="12">
        <v>1309.224451593559</v>
      </c>
      <c r="P1937" s="13"/>
      <c r="Q1937" s="14">
        <v>2025</v>
      </c>
      <c r="R1937" s="15">
        <v>45413</v>
      </c>
      <c r="S1937" s="11" t="s">
        <v>64</v>
      </c>
      <c r="T1937" s="16">
        <v>1</v>
      </c>
      <c r="U1937" s="17"/>
      <c r="V1937" s="12">
        <v>1174.1676134291711</v>
      </c>
      <c r="W1937" s="12">
        <v>1174.1676134291711</v>
      </c>
      <c r="X1937" s="12">
        <v>0</v>
      </c>
      <c r="Y1937" s="18">
        <v>45782</v>
      </c>
      <c r="Z1937" s="13" t="s">
        <v>516</v>
      </c>
      <c r="AA1937" s="19" t="s">
        <v>373</v>
      </c>
      <c r="AB1937" s="13" t="s">
        <v>357</v>
      </c>
      <c r="AC1937" s="13" t="s">
        <v>374</v>
      </c>
      <c r="AD1937" s="20"/>
      <c r="AE1937" s="20"/>
      <c r="AF1937" s="13" t="s">
        <v>40</v>
      </c>
      <c r="AG1937" s="15">
        <v>45413</v>
      </c>
      <c r="AH1937" s="13" t="s">
        <v>41</v>
      </c>
      <c r="AI1937" s="13" t="s">
        <v>64</v>
      </c>
      <c r="AJ1937" s="13" t="str">
        <f>VLOOKUP(E1937,Precios!Z$2:AA$941,2,FALSE)</f>
        <v>Longanizas VILLABLANCA</v>
      </c>
      <c r="AK1937" s="14">
        <f>VLOOKUP(E1937,Precios!Z$2:BB$941,3,FALSE)*F1937</f>
        <v>-1</v>
      </c>
      <c r="AL1937" s="17"/>
      <c r="AM1937" s="17"/>
      <c r="AN1937" s="17"/>
      <c r="AO1937" s="17"/>
      <c r="AP1937" s="17"/>
      <c r="AQ1937" s="17"/>
      <c r="AR1937" s="17"/>
      <c r="AS1937" s="17"/>
      <c r="AT1937" s="17"/>
      <c r="AU1937" s="17"/>
      <c r="AV1937" s="17"/>
    </row>
    <row r="1938" spans="1:48" ht="15.75" customHeight="1">
      <c r="A1938" s="21" t="s">
        <v>43</v>
      </c>
      <c r="B1938" s="23" t="s">
        <v>1692</v>
      </c>
      <c r="C1938" s="22">
        <v>45783</v>
      </c>
      <c r="D1938" s="23" t="s">
        <v>96</v>
      </c>
      <c r="E1938" s="23" t="s">
        <v>45</v>
      </c>
      <c r="F1938" s="21">
        <v>1</v>
      </c>
      <c r="G1938" s="12">
        <v>8000.0859845227851</v>
      </c>
      <c r="H1938" s="12">
        <v>8000.0859845227851</v>
      </c>
      <c r="I1938" s="23" t="s">
        <v>52</v>
      </c>
      <c r="J1938" s="23" t="s">
        <v>61</v>
      </c>
      <c r="K1938" s="24" t="s">
        <v>177</v>
      </c>
      <c r="L1938" s="26">
        <v>136</v>
      </c>
      <c r="M1938" s="12">
        <v>6722.7613315317521</v>
      </c>
      <c r="N1938" s="12">
        <v>6722.7613315317521</v>
      </c>
      <c r="O1938" s="12">
        <v>1277.324652991033</v>
      </c>
      <c r="P1938" s="13"/>
      <c r="Q1938" s="14">
        <v>2025</v>
      </c>
      <c r="R1938" s="15">
        <v>45413</v>
      </c>
      <c r="S1938" s="11" t="s">
        <v>355</v>
      </c>
      <c r="T1938" s="16">
        <v>0</v>
      </c>
      <c r="U1938" s="17"/>
      <c r="V1938" s="12">
        <v>1249.7613315317521</v>
      </c>
      <c r="W1938" s="12">
        <v>1249.7613315317521</v>
      </c>
      <c r="X1938" s="12">
        <v>0</v>
      </c>
      <c r="Y1938" s="18">
        <v>45782</v>
      </c>
      <c r="Z1938" s="13" t="s">
        <v>516</v>
      </c>
      <c r="AA1938" s="19" t="s">
        <v>373</v>
      </c>
      <c r="AB1938" s="13" t="s">
        <v>357</v>
      </c>
      <c r="AC1938" s="13" t="s">
        <v>374</v>
      </c>
      <c r="AD1938" s="20"/>
      <c r="AE1938" s="20"/>
      <c r="AF1938" s="13" t="s">
        <v>40</v>
      </c>
      <c r="AG1938" s="15">
        <v>45413</v>
      </c>
      <c r="AH1938" s="13" t="s">
        <v>41</v>
      </c>
      <c r="AI1938" s="13" t="s">
        <v>43</v>
      </c>
      <c r="AJ1938" s="13" t="str">
        <f>VLOOKUP(E1938,Precios!Z$2:AA$941,2,FALSE)</f>
        <v>Bandeja Huevos EXTRA</v>
      </c>
      <c r="AK1938" s="14">
        <f>VLOOKUP(E1938,Precios!Z$2:BB$941,3,FALSE)*F1938</f>
        <v>-1</v>
      </c>
      <c r="AL1938" s="17"/>
      <c r="AM1938" s="17"/>
      <c r="AN1938" s="17"/>
      <c r="AO1938" s="17"/>
      <c r="AP1938" s="17"/>
      <c r="AQ1938" s="17"/>
      <c r="AR1938" s="17"/>
      <c r="AS1938" s="17"/>
      <c r="AT1938" s="17"/>
      <c r="AU1938" s="17"/>
      <c r="AV1938" s="17"/>
    </row>
    <row r="1939" spans="1:48" ht="15.75" customHeight="1">
      <c r="A1939" s="21" t="s">
        <v>56</v>
      </c>
      <c r="B1939" s="23" t="s">
        <v>1692</v>
      </c>
      <c r="C1939" s="22">
        <v>45782</v>
      </c>
      <c r="D1939" s="23" t="s">
        <v>116</v>
      </c>
      <c r="E1939" s="23" t="s">
        <v>67</v>
      </c>
      <c r="F1939" s="21">
        <v>1</v>
      </c>
      <c r="G1939" s="12">
        <v>7000.0000000000009</v>
      </c>
      <c r="H1939" s="12">
        <v>7000.0000000000009</v>
      </c>
      <c r="I1939" s="23" t="s">
        <v>52</v>
      </c>
      <c r="J1939" s="23" t="s">
        <v>61</v>
      </c>
      <c r="K1939" s="24" t="s">
        <v>177</v>
      </c>
      <c r="L1939" s="26">
        <v>136</v>
      </c>
      <c r="M1939" s="12">
        <v>5882.3529411764712</v>
      </c>
      <c r="N1939" s="12">
        <v>5882.3529411764712</v>
      </c>
      <c r="O1939" s="12">
        <v>1117.6470588235297</v>
      </c>
      <c r="P1939" s="13"/>
      <c r="Q1939" s="14">
        <v>2025</v>
      </c>
      <c r="R1939" s="15">
        <v>45413</v>
      </c>
      <c r="S1939" s="11" t="s">
        <v>492</v>
      </c>
      <c r="T1939" s="16">
        <v>200</v>
      </c>
      <c r="U1939" s="17"/>
      <c r="V1939" s="12">
        <v>1512.6050420168067</v>
      </c>
      <c r="W1939" s="12">
        <v>1512.6050420168067</v>
      </c>
      <c r="X1939" s="12">
        <v>0</v>
      </c>
      <c r="Y1939" s="18">
        <v>45782</v>
      </c>
      <c r="Z1939" s="13" t="s">
        <v>523</v>
      </c>
      <c r="AA1939" s="19" t="s">
        <v>373</v>
      </c>
      <c r="AB1939" s="13" t="s">
        <v>357</v>
      </c>
      <c r="AC1939" s="13"/>
      <c r="AD1939" s="20"/>
      <c r="AE1939" s="20"/>
      <c r="AF1939" s="13" t="s">
        <v>40</v>
      </c>
      <c r="AG1939" s="15">
        <v>45413</v>
      </c>
      <c r="AH1939" s="13" t="s">
        <v>41</v>
      </c>
      <c r="AI1939" s="13" t="s">
        <v>56</v>
      </c>
      <c r="AJ1939" s="13" t="str">
        <f>VLOOKUP(E1939,Precios!Z$2:AA$941,2,FALSE)</f>
        <v>Mantequilla RUMAY</v>
      </c>
      <c r="AK1939" s="14">
        <f>VLOOKUP(E1939,Precios!Z$2:BB$941,3,FALSE)*F1939</f>
        <v>-3</v>
      </c>
      <c r="AL1939" s="17"/>
      <c r="AM1939" s="17"/>
      <c r="AN1939" s="17"/>
      <c r="AO1939" s="17"/>
      <c r="AP1939" s="17"/>
      <c r="AQ1939" s="17"/>
      <c r="AR1939" s="17"/>
      <c r="AS1939" s="17"/>
      <c r="AT1939" s="17"/>
      <c r="AU1939" s="17"/>
      <c r="AV1939" s="17"/>
    </row>
    <row r="1940" spans="1:48" ht="15.75" customHeight="1">
      <c r="A1940" s="21" t="s">
        <v>53</v>
      </c>
      <c r="B1940" s="23" t="s">
        <v>1692</v>
      </c>
      <c r="C1940" s="22">
        <v>45782</v>
      </c>
      <c r="D1940" s="23" t="s">
        <v>125</v>
      </c>
      <c r="E1940" s="23" t="s">
        <v>69</v>
      </c>
      <c r="F1940" s="21">
        <v>1</v>
      </c>
      <c r="G1940" s="12">
        <v>2999.9553810458683</v>
      </c>
      <c r="H1940" s="12">
        <v>2999.9553810458683</v>
      </c>
      <c r="I1940" s="23" t="s">
        <v>52</v>
      </c>
      <c r="J1940" s="23" t="s">
        <v>61</v>
      </c>
      <c r="K1940" s="24" t="s">
        <v>177</v>
      </c>
      <c r="L1940" s="26">
        <v>136</v>
      </c>
      <c r="M1940" s="12">
        <v>2520.9709084419064</v>
      </c>
      <c r="N1940" s="12">
        <v>2520.9709084419064</v>
      </c>
      <c r="O1940" s="12">
        <v>478.98447260396188</v>
      </c>
      <c r="P1940" s="13"/>
      <c r="Q1940" s="14">
        <v>2025</v>
      </c>
      <c r="R1940" s="15">
        <v>45413</v>
      </c>
      <c r="S1940" s="11" t="s">
        <v>376</v>
      </c>
      <c r="T1940" s="16">
        <v>0</v>
      </c>
      <c r="U1940" s="17"/>
      <c r="V1940" s="12">
        <v>825.97090844190598</v>
      </c>
      <c r="W1940" s="12">
        <v>825.97090844190598</v>
      </c>
      <c r="X1940" s="12">
        <v>0</v>
      </c>
      <c r="Y1940" s="18">
        <v>45782</v>
      </c>
      <c r="Z1940" s="13" t="s">
        <v>523</v>
      </c>
      <c r="AA1940" s="19" t="s">
        <v>361</v>
      </c>
      <c r="AB1940" s="13" t="s">
        <v>357</v>
      </c>
      <c r="AC1940" s="13" t="s">
        <v>362</v>
      </c>
      <c r="AD1940" s="20"/>
      <c r="AE1940" s="20"/>
      <c r="AF1940" s="13" t="s">
        <v>40</v>
      </c>
      <c r="AG1940" s="15">
        <v>45413</v>
      </c>
      <c r="AH1940" s="13" t="s">
        <v>41</v>
      </c>
      <c r="AI1940" s="13" t="s">
        <v>53</v>
      </c>
      <c r="AJ1940" s="13" t="str">
        <f>VLOOKUP(E1940,Precios!Z$2:AA$941,2,FALSE)</f>
        <v>Toalla Papel NOVA 70 metros</v>
      </c>
      <c r="AK1940" s="14">
        <f>VLOOKUP(E1940,Precios!Z$2:BB$941,3,FALSE)*F1940</f>
        <v>-1</v>
      </c>
      <c r="AL1940" s="17"/>
      <c r="AM1940" s="17"/>
      <c r="AN1940" s="17"/>
      <c r="AO1940" s="17"/>
      <c r="AP1940" s="17"/>
      <c r="AQ1940" s="17"/>
      <c r="AR1940" s="17"/>
      <c r="AS1940" s="17"/>
      <c r="AT1940" s="17"/>
      <c r="AU1940" s="17"/>
      <c r="AV1940" s="17"/>
    </row>
    <row r="1941" spans="1:48" ht="15.75" customHeight="1">
      <c r="A1941" s="21" t="s">
        <v>76</v>
      </c>
      <c r="B1941" s="23" t="s">
        <v>1692</v>
      </c>
      <c r="C1941" s="22">
        <v>45782</v>
      </c>
      <c r="D1941" s="23" t="s">
        <v>125</v>
      </c>
      <c r="E1941" s="23" t="s">
        <v>110</v>
      </c>
      <c r="F1941" s="21">
        <v>1</v>
      </c>
      <c r="G1941" s="12">
        <v>2000.0000000000005</v>
      </c>
      <c r="H1941" s="12">
        <v>2000.0000000000005</v>
      </c>
      <c r="I1941" s="23" t="s">
        <v>52</v>
      </c>
      <c r="J1941" s="23" t="s">
        <v>61</v>
      </c>
      <c r="K1941" s="24" t="s">
        <v>177</v>
      </c>
      <c r="L1941" s="26">
        <v>136</v>
      </c>
      <c r="M1941" s="12">
        <v>1680.6722689075634</v>
      </c>
      <c r="N1941" s="12">
        <v>1680.6722689075634</v>
      </c>
      <c r="O1941" s="12">
        <v>319.32773109243703</v>
      </c>
      <c r="P1941" s="13"/>
      <c r="Q1941" s="14">
        <v>2025</v>
      </c>
      <c r="R1941" s="15">
        <v>45413</v>
      </c>
      <c r="S1941" s="11" t="s">
        <v>378</v>
      </c>
      <c r="T1941" s="16">
        <v>5</v>
      </c>
      <c r="U1941" s="17"/>
      <c r="V1941" s="12">
        <v>756.30252100840369</v>
      </c>
      <c r="W1941" s="12">
        <v>756.30252100840369</v>
      </c>
      <c r="X1941" s="12">
        <v>0</v>
      </c>
      <c r="Y1941" s="18">
        <v>45782</v>
      </c>
      <c r="Z1941" s="13" t="s">
        <v>523</v>
      </c>
      <c r="AA1941" s="19" t="s">
        <v>361</v>
      </c>
      <c r="AB1941" s="13" t="s">
        <v>357</v>
      </c>
      <c r="AC1941" s="13" t="s">
        <v>362</v>
      </c>
      <c r="AD1941" s="20"/>
      <c r="AE1941" s="20"/>
      <c r="AF1941" s="13" t="s">
        <v>40</v>
      </c>
      <c r="AG1941" s="15">
        <v>45413</v>
      </c>
      <c r="AH1941" s="13" t="s">
        <v>41</v>
      </c>
      <c r="AI1941" s="13" t="s">
        <v>76</v>
      </c>
      <c r="AJ1941" s="13" t="str">
        <f>VLOOKUP(E1941,Precios!Z$2:AA$941,2,FALSE)</f>
        <v>Cloro SPUM 5 Litros</v>
      </c>
      <c r="AK1941" s="14">
        <f>VLOOKUP(E1941,Precios!Z$2:BB$941,3,FALSE)*F1941</f>
        <v>-1</v>
      </c>
      <c r="AL1941" s="17"/>
      <c r="AM1941" s="17"/>
      <c r="AN1941" s="17"/>
      <c r="AO1941" s="17"/>
      <c r="AP1941" s="17"/>
      <c r="AQ1941" s="17"/>
      <c r="AR1941" s="17"/>
      <c r="AS1941" s="17"/>
      <c r="AT1941" s="17"/>
      <c r="AU1941" s="17"/>
      <c r="AV1941" s="17"/>
    </row>
    <row r="1942" spans="1:48" ht="15.75" customHeight="1">
      <c r="A1942" s="21" t="s">
        <v>47</v>
      </c>
      <c r="B1942" s="23" t="s">
        <v>1692</v>
      </c>
      <c r="C1942" s="22">
        <v>45782</v>
      </c>
      <c r="D1942" s="23" t="s">
        <v>125</v>
      </c>
      <c r="E1942" s="23" t="s">
        <v>107</v>
      </c>
      <c r="F1942" s="21">
        <v>1</v>
      </c>
      <c r="G1942" s="12">
        <v>3000.0000000000005</v>
      </c>
      <c r="H1942" s="12">
        <v>3000.0000000000005</v>
      </c>
      <c r="I1942" s="23" t="s">
        <v>52</v>
      </c>
      <c r="J1942" s="23" t="s">
        <v>61</v>
      </c>
      <c r="K1942" s="24" t="s">
        <v>177</v>
      </c>
      <c r="L1942" s="26">
        <v>136</v>
      </c>
      <c r="M1942" s="12">
        <v>2521.0084033613452</v>
      </c>
      <c r="N1942" s="12">
        <v>2521.0084033613452</v>
      </c>
      <c r="O1942" s="12">
        <v>478.99159663865521</v>
      </c>
      <c r="P1942" s="13"/>
      <c r="Q1942" s="14">
        <v>2025</v>
      </c>
      <c r="R1942" s="15">
        <v>45413</v>
      </c>
      <c r="S1942" s="11" t="s">
        <v>453</v>
      </c>
      <c r="T1942" s="16">
        <v>0</v>
      </c>
      <c r="U1942" s="17"/>
      <c r="V1942" s="12">
        <v>758.82352941176487</v>
      </c>
      <c r="W1942" s="12">
        <v>758.82352941176487</v>
      </c>
      <c r="X1942" s="12">
        <v>0</v>
      </c>
      <c r="Y1942" s="18">
        <v>45782</v>
      </c>
      <c r="Z1942" s="13" t="s">
        <v>523</v>
      </c>
      <c r="AA1942" s="19" t="s">
        <v>361</v>
      </c>
      <c r="AB1942" s="13" t="s">
        <v>357</v>
      </c>
      <c r="AC1942" s="13" t="s">
        <v>362</v>
      </c>
      <c r="AD1942" s="20"/>
      <c r="AE1942" s="20"/>
      <c r="AF1942" s="13" t="s">
        <v>40</v>
      </c>
      <c r="AG1942" s="15">
        <v>45413</v>
      </c>
      <c r="AH1942" s="13" t="s">
        <v>41</v>
      </c>
      <c r="AI1942" s="13" t="s">
        <v>47</v>
      </c>
      <c r="AJ1942" s="13" t="str">
        <f>VLOOKUP(E1942,Precios!Z$2:AA$941,2,FALSE)</f>
        <v xml:space="preserve">Bolsas Basura TEDDY 90x120 </v>
      </c>
      <c r="AK1942" s="14">
        <f>VLOOKUP(E1942,Precios!Z$2:BB$941,3,FALSE)*F1942</f>
        <v>-1</v>
      </c>
      <c r="AL1942" s="17"/>
      <c r="AM1942" s="17"/>
      <c r="AN1942" s="17"/>
      <c r="AO1942" s="17"/>
      <c r="AP1942" s="17"/>
      <c r="AQ1942" s="17"/>
      <c r="AR1942" s="17"/>
      <c r="AS1942" s="17"/>
      <c r="AT1942" s="17"/>
      <c r="AU1942" s="17"/>
      <c r="AV1942" s="17"/>
    </row>
    <row r="1943" spans="1:48" ht="15.75" customHeight="1">
      <c r="A1943" s="21" t="s">
        <v>43</v>
      </c>
      <c r="B1943" s="23" t="s">
        <v>1692</v>
      </c>
      <c r="C1943" s="22">
        <v>45782</v>
      </c>
      <c r="D1943" s="23" t="s">
        <v>219</v>
      </c>
      <c r="E1943" s="23" t="s">
        <v>45</v>
      </c>
      <c r="F1943" s="21">
        <v>2</v>
      </c>
      <c r="G1943" s="12">
        <v>8000.0859845227851</v>
      </c>
      <c r="H1943" s="12">
        <v>16000.17196904557</v>
      </c>
      <c r="I1943" s="23" t="s">
        <v>52</v>
      </c>
      <c r="J1943" s="23" t="s">
        <v>61</v>
      </c>
      <c r="K1943" s="24" t="s">
        <v>177</v>
      </c>
      <c r="L1943" s="26">
        <v>136</v>
      </c>
      <c r="M1943" s="12">
        <v>6722.7613315317521</v>
      </c>
      <c r="N1943" s="12">
        <v>13445.522663063504</v>
      </c>
      <c r="O1943" s="12">
        <v>2554.6493059820659</v>
      </c>
      <c r="P1943" s="13"/>
      <c r="Q1943" s="14">
        <v>2025</v>
      </c>
      <c r="R1943" s="15">
        <v>45413</v>
      </c>
      <c r="S1943" s="11" t="s">
        <v>355</v>
      </c>
      <c r="T1943" s="16">
        <v>0</v>
      </c>
      <c r="U1943" s="17"/>
      <c r="V1943" s="12">
        <v>2499.5226630635043</v>
      </c>
      <c r="W1943" s="12">
        <v>2499.5226630635043</v>
      </c>
      <c r="X1943" s="12">
        <v>0</v>
      </c>
      <c r="Y1943" s="18">
        <v>45782</v>
      </c>
      <c r="Z1943" s="13" t="s">
        <v>523</v>
      </c>
      <c r="AA1943" s="19" t="s">
        <v>373</v>
      </c>
      <c r="AB1943" s="13" t="s">
        <v>357</v>
      </c>
      <c r="AC1943" s="13" t="s">
        <v>362</v>
      </c>
      <c r="AD1943" s="20"/>
      <c r="AE1943" s="20"/>
      <c r="AF1943" s="13" t="s">
        <v>40</v>
      </c>
      <c r="AG1943" s="15">
        <v>45413</v>
      </c>
      <c r="AH1943" s="13" t="s">
        <v>41</v>
      </c>
      <c r="AI1943" s="13" t="s">
        <v>43</v>
      </c>
      <c r="AJ1943" s="13" t="str">
        <f>VLOOKUP(E1943,Precios!Z$2:AA$941,2,FALSE)</f>
        <v>Bandeja Huevos EXTRA</v>
      </c>
      <c r="AK1943" s="14">
        <f>VLOOKUP(E1943,Precios!Z$2:BB$941,3,FALSE)*F1943</f>
        <v>-2</v>
      </c>
      <c r="AL1943" s="17"/>
      <c r="AM1943" s="17"/>
      <c r="AN1943" s="17"/>
      <c r="AO1943" s="17"/>
      <c r="AP1943" s="17"/>
      <c r="AQ1943" s="17"/>
      <c r="AR1943" s="17"/>
      <c r="AS1943" s="17"/>
      <c r="AT1943" s="17"/>
      <c r="AU1943" s="17"/>
      <c r="AV1943" s="17"/>
    </row>
    <row r="1944" spans="1:48" ht="15.75" customHeight="1">
      <c r="A1944" s="21" t="s">
        <v>73</v>
      </c>
      <c r="B1944" s="23" t="s">
        <v>1692</v>
      </c>
      <c r="C1944" s="22">
        <v>45782</v>
      </c>
      <c r="D1944" s="23" t="s">
        <v>318</v>
      </c>
      <c r="E1944" s="23" t="s">
        <v>300</v>
      </c>
      <c r="F1944" s="21">
        <v>10</v>
      </c>
      <c r="G1944" s="12">
        <v>1600</v>
      </c>
      <c r="H1944" s="12">
        <v>16000</v>
      </c>
      <c r="I1944" s="23" t="s">
        <v>52</v>
      </c>
      <c r="J1944" s="23" t="s">
        <v>61</v>
      </c>
      <c r="K1944" s="24" t="s">
        <v>177</v>
      </c>
      <c r="L1944" s="26">
        <v>136</v>
      </c>
      <c r="M1944" s="12">
        <v>1344.5378151260504</v>
      </c>
      <c r="N1944" s="12">
        <v>13445.378151260506</v>
      </c>
      <c r="O1944" s="12">
        <v>2554.6218487394945</v>
      </c>
      <c r="P1944" s="13"/>
      <c r="Q1944" s="14">
        <v>2025</v>
      </c>
      <c r="R1944" s="15">
        <v>45413</v>
      </c>
      <c r="S1944" s="11" t="s">
        <v>559</v>
      </c>
      <c r="T1944" s="16">
        <v>0</v>
      </c>
      <c r="U1944" s="17"/>
      <c r="V1944" s="12">
        <v>6386.5546218487398</v>
      </c>
      <c r="W1944" s="12">
        <v>6386.5546218487398</v>
      </c>
      <c r="X1944" s="12">
        <v>0</v>
      </c>
      <c r="Y1944" s="18">
        <v>45782</v>
      </c>
      <c r="Z1944" s="13" t="s">
        <v>523</v>
      </c>
      <c r="AA1944" s="19" t="s">
        <v>373</v>
      </c>
      <c r="AB1944" s="13" t="s">
        <v>357</v>
      </c>
      <c r="AC1944" s="13" t="s">
        <v>374</v>
      </c>
      <c r="AD1944" s="20"/>
      <c r="AE1944" s="20"/>
      <c r="AF1944" s="13" t="s">
        <v>40</v>
      </c>
      <c r="AG1944" s="15">
        <v>45413</v>
      </c>
      <c r="AH1944" s="13" t="s">
        <v>41</v>
      </c>
      <c r="AI1944" s="13" t="s">
        <v>73</v>
      </c>
      <c r="AJ1944" s="13" t="str">
        <f>VLOOKUP(E1944,Precios!Z$2:AA$941,2,FALSE)</f>
        <v>Mascarillas Triple Pliegue</v>
      </c>
      <c r="AK1944" s="14">
        <f>VLOOKUP(E1944,Precios!Z$2:BB$941,3,FALSE)*F1944</f>
        <v>-10</v>
      </c>
      <c r="AL1944" s="17"/>
      <c r="AM1944" s="17"/>
      <c r="AN1944" s="17"/>
      <c r="AO1944" s="17"/>
      <c r="AP1944" s="17"/>
      <c r="AQ1944" s="17"/>
      <c r="AR1944" s="17"/>
      <c r="AS1944" s="17"/>
      <c r="AT1944" s="17"/>
      <c r="AU1944" s="17"/>
      <c r="AV1944" s="17"/>
    </row>
    <row r="1945" spans="1:48" ht="15.75" customHeight="1">
      <c r="A1945" s="21" t="s">
        <v>43</v>
      </c>
      <c r="B1945" s="23" t="s">
        <v>1692</v>
      </c>
      <c r="C1945" s="22">
        <v>45782</v>
      </c>
      <c r="D1945" s="23" t="s">
        <v>622</v>
      </c>
      <c r="E1945" s="23" t="s">
        <v>45</v>
      </c>
      <c r="F1945" s="14">
        <v>1</v>
      </c>
      <c r="G1945" s="12">
        <v>8000.0859845227851</v>
      </c>
      <c r="H1945" s="12">
        <v>8000.0859845227851</v>
      </c>
      <c r="I1945" s="23" t="s">
        <v>52</v>
      </c>
      <c r="J1945" s="23" t="s">
        <v>61</v>
      </c>
      <c r="K1945" s="24" t="s">
        <v>177</v>
      </c>
      <c r="L1945" s="26">
        <v>136</v>
      </c>
      <c r="M1945" s="12">
        <v>6722.7613315317521</v>
      </c>
      <c r="N1945" s="12">
        <v>6722.7613315317521</v>
      </c>
      <c r="O1945" s="12">
        <v>1277.324652991033</v>
      </c>
      <c r="P1945" s="13"/>
      <c r="Q1945" s="14">
        <v>2025</v>
      </c>
      <c r="R1945" s="15">
        <v>45413</v>
      </c>
      <c r="S1945" s="11" t="s">
        <v>355</v>
      </c>
      <c r="T1945" s="16">
        <v>0</v>
      </c>
      <c r="U1945" s="17"/>
      <c r="V1945" s="12">
        <v>1249.7613315317521</v>
      </c>
      <c r="W1945" s="12">
        <v>1249.7613315317521</v>
      </c>
      <c r="X1945" s="12">
        <v>0</v>
      </c>
      <c r="Y1945" s="18">
        <v>45782</v>
      </c>
      <c r="Z1945" s="13" t="s">
        <v>523</v>
      </c>
      <c r="AA1945" s="19" t="s">
        <v>373</v>
      </c>
      <c r="AB1945" s="13" t="s">
        <v>357</v>
      </c>
      <c r="AC1945" s="13" t="s">
        <v>623</v>
      </c>
      <c r="AD1945" s="20"/>
      <c r="AE1945" s="20"/>
      <c r="AF1945" s="13" t="s">
        <v>40</v>
      </c>
      <c r="AG1945" s="15">
        <v>45413</v>
      </c>
      <c r="AH1945" s="13" t="s">
        <v>41</v>
      </c>
      <c r="AI1945" s="13" t="s">
        <v>43</v>
      </c>
      <c r="AJ1945" s="13" t="str">
        <f>VLOOKUP(E1945,Precios!Z$2:AA$941,2,FALSE)</f>
        <v>Bandeja Huevos EXTRA</v>
      </c>
      <c r="AK1945" s="14">
        <f>VLOOKUP(E1945,Precios!Z$2:BB$941,3,FALSE)*F1945</f>
        <v>-1</v>
      </c>
      <c r="AL1945" s="17"/>
      <c r="AM1945" s="17"/>
      <c r="AN1945" s="17"/>
      <c r="AO1945" s="17"/>
      <c r="AP1945" s="17"/>
      <c r="AQ1945" s="17"/>
      <c r="AR1945" s="17"/>
      <c r="AS1945" s="17"/>
      <c r="AT1945" s="17"/>
      <c r="AU1945" s="17"/>
      <c r="AV1945" s="17"/>
    </row>
    <row r="1946" spans="1:48" ht="15.75" customHeight="1">
      <c r="A1946" s="21" t="s">
        <v>76</v>
      </c>
      <c r="B1946" s="23" t="s">
        <v>1692</v>
      </c>
      <c r="C1946" s="22">
        <v>45782</v>
      </c>
      <c r="D1946" s="23" t="s">
        <v>240</v>
      </c>
      <c r="E1946" s="23" t="s">
        <v>137</v>
      </c>
      <c r="F1946" s="14">
        <v>1</v>
      </c>
      <c r="G1946" s="12">
        <v>3500.0000000000005</v>
      </c>
      <c r="H1946" s="12">
        <v>3500.0000000000005</v>
      </c>
      <c r="I1946" s="23" t="s">
        <v>52</v>
      </c>
      <c r="J1946" s="23" t="s">
        <v>61</v>
      </c>
      <c r="K1946" s="24" t="s">
        <v>177</v>
      </c>
      <c r="L1946" s="26">
        <v>136</v>
      </c>
      <c r="M1946" s="12">
        <v>2941.1764705882356</v>
      </c>
      <c r="N1946" s="12">
        <v>2941.1764705882356</v>
      </c>
      <c r="O1946" s="12">
        <v>558.82352941176487</v>
      </c>
      <c r="P1946" s="13"/>
      <c r="Q1946" s="14">
        <v>2025</v>
      </c>
      <c r="R1946" s="15">
        <v>45413</v>
      </c>
      <c r="S1946" s="11" t="s">
        <v>406</v>
      </c>
      <c r="T1946" s="16">
        <v>5</v>
      </c>
      <c r="U1946" s="17"/>
      <c r="V1946" s="12">
        <v>848.73949579831969</v>
      </c>
      <c r="W1946" s="12">
        <v>848.73949579831969</v>
      </c>
      <c r="X1946" s="12">
        <v>0</v>
      </c>
      <c r="Y1946" s="18">
        <v>45782</v>
      </c>
      <c r="Z1946" s="13" t="s">
        <v>523</v>
      </c>
      <c r="AA1946" s="19" t="s">
        <v>373</v>
      </c>
      <c r="AB1946" s="13" t="s">
        <v>357</v>
      </c>
      <c r="AC1946" s="13" t="s">
        <v>383</v>
      </c>
      <c r="AD1946" s="20"/>
      <c r="AE1946" s="20"/>
      <c r="AF1946" s="13" t="s">
        <v>40</v>
      </c>
      <c r="AG1946" s="15">
        <v>45413</v>
      </c>
      <c r="AH1946" s="13" t="s">
        <v>41</v>
      </c>
      <c r="AI1946" s="13" t="s">
        <v>76</v>
      </c>
      <c r="AJ1946" s="13" t="str">
        <f>VLOOKUP(E1946,Precios!Z$2:AA$941,2,FALSE)</f>
        <v>Detergente SPUM 5 Litros (Blanco)</v>
      </c>
      <c r="AK1946" s="14">
        <f>VLOOKUP(E1946,Precios!Z$2:BB$941,3,FALSE)*F1946</f>
        <v>-1</v>
      </c>
      <c r="AL1946" s="17"/>
      <c r="AM1946" s="17"/>
      <c r="AN1946" s="17"/>
      <c r="AO1946" s="17"/>
      <c r="AP1946" s="17"/>
      <c r="AQ1946" s="17"/>
      <c r="AR1946" s="17"/>
      <c r="AS1946" s="17"/>
      <c r="AT1946" s="17"/>
      <c r="AU1946" s="17"/>
      <c r="AV1946" s="17"/>
    </row>
    <row r="1947" spans="1:48" ht="15.75" customHeight="1">
      <c r="A1947" s="21" t="s">
        <v>76</v>
      </c>
      <c r="B1947" s="23" t="s">
        <v>1692</v>
      </c>
      <c r="C1947" s="22">
        <v>45782</v>
      </c>
      <c r="D1947" s="23" t="s">
        <v>240</v>
      </c>
      <c r="E1947" s="23" t="s">
        <v>77</v>
      </c>
      <c r="F1947" s="14">
        <v>1</v>
      </c>
      <c r="G1947" s="12">
        <v>1500.0000000000002</v>
      </c>
      <c r="H1947" s="12">
        <v>1500.0000000000002</v>
      </c>
      <c r="I1947" s="23" t="s">
        <v>52</v>
      </c>
      <c r="J1947" s="23" t="s">
        <v>61</v>
      </c>
      <c r="K1947" s="24" t="s">
        <v>177</v>
      </c>
      <c r="L1947" s="26">
        <v>136</v>
      </c>
      <c r="M1947" s="12">
        <v>1260.5042016806726</v>
      </c>
      <c r="N1947" s="12">
        <v>1260.5042016806726</v>
      </c>
      <c r="O1947" s="12">
        <v>239.4957983193276</v>
      </c>
      <c r="P1947" s="13"/>
      <c r="Q1947" s="14">
        <v>2025</v>
      </c>
      <c r="R1947" s="15">
        <v>45413</v>
      </c>
      <c r="S1947" s="11" t="s">
        <v>448</v>
      </c>
      <c r="T1947" s="16">
        <v>0</v>
      </c>
      <c r="U1947" s="17"/>
      <c r="V1947" s="12">
        <v>421.00840336134468</v>
      </c>
      <c r="W1947" s="12">
        <v>421.00840336134468</v>
      </c>
      <c r="X1947" s="12">
        <v>0</v>
      </c>
      <c r="Y1947" s="18">
        <v>45782</v>
      </c>
      <c r="Z1947" s="13" t="s">
        <v>523</v>
      </c>
      <c r="AA1947" s="19" t="s">
        <v>373</v>
      </c>
      <c r="AB1947" s="13" t="s">
        <v>357</v>
      </c>
      <c r="AC1947" s="13" t="s">
        <v>383</v>
      </c>
      <c r="AD1947" s="20"/>
      <c r="AE1947" s="20"/>
      <c r="AF1947" s="13" t="s">
        <v>40</v>
      </c>
      <c r="AG1947" s="15">
        <v>45413</v>
      </c>
      <c r="AH1947" s="13" t="s">
        <v>41</v>
      </c>
      <c r="AI1947" s="13" t="s">
        <v>76</v>
      </c>
      <c r="AJ1947" s="13" t="str">
        <f>VLOOKUP(E1947,Precios!Z$2:AA$941,2,FALSE)</f>
        <v>Cloro GEL IGENIX 900ml</v>
      </c>
      <c r="AK1947" s="14">
        <f>VLOOKUP(E1947,Precios!Z$2:BB$941,3,FALSE)*F1947</f>
        <v>-1</v>
      </c>
      <c r="AL1947" s="17"/>
      <c r="AM1947" s="17"/>
      <c r="AN1947" s="17"/>
      <c r="AO1947" s="17"/>
      <c r="AP1947" s="17"/>
      <c r="AQ1947" s="17"/>
      <c r="AR1947" s="17"/>
      <c r="AS1947" s="17"/>
      <c r="AT1947" s="17"/>
      <c r="AU1947" s="17"/>
      <c r="AV1947" s="17"/>
    </row>
    <row r="1948" spans="1:48" ht="15.75" customHeight="1">
      <c r="A1948" s="21" t="s">
        <v>47</v>
      </c>
      <c r="B1948" s="23" t="s">
        <v>1692</v>
      </c>
      <c r="C1948" s="22">
        <v>45782</v>
      </c>
      <c r="D1948" s="23" t="s">
        <v>240</v>
      </c>
      <c r="E1948" s="23" t="s">
        <v>105</v>
      </c>
      <c r="F1948" s="14">
        <v>1</v>
      </c>
      <c r="G1948" s="12">
        <v>1100.0000000000002</v>
      </c>
      <c r="H1948" s="12">
        <v>1100.0000000000002</v>
      </c>
      <c r="I1948" s="23" t="s">
        <v>52</v>
      </c>
      <c r="J1948" s="23" t="s">
        <v>61</v>
      </c>
      <c r="K1948" s="24" t="s">
        <v>177</v>
      </c>
      <c r="L1948" s="26">
        <v>136</v>
      </c>
      <c r="M1948" s="12">
        <v>924.36974789915985</v>
      </c>
      <c r="N1948" s="12">
        <v>924.36974789915985</v>
      </c>
      <c r="O1948" s="12">
        <v>175.63025210084038</v>
      </c>
      <c r="P1948" s="13"/>
      <c r="Q1948" s="14">
        <v>2025</v>
      </c>
      <c r="R1948" s="15">
        <v>45413</v>
      </c>
      <c r="S1948" s="11" t="s">
        <v>105</v>
      </c>
      <c r="T1948" s="16">
        <v>0</v>
      </c>
      <c r="U1948" s="17"/>
      <c r="V1948" s="12">
        <v>342.857142857143</v>
      </c>
      <c r="W1948" s="12">
        <v>342.857142857143</v>
      </c>
      <c r="X1948" s="12">
        <v>0</v>
      </c>
      <c r="Y1948" s="18">
        <v>45782</v>
      </c>
      <c r="Z1948" s="13" t="s">
        <v>523</v>
      </c>
      <c r="AA1948" s="19" t="s">
        <v>373</v>
      </c>
      <c r="AB1948" s="13" t="s">
        <v>357</v>
      </c>
      <c r="AC1948" s="13" t="s">
        <v>383</v>
      </c>
      <c r="AD1948" s="20"/>
      <c r="AE1948" s="20"/>
      <c r="AF1948" s="13" t="s">
        <v>40</v>
      </c>
      <c r="AG1948" s="15">
        <v>45413</v>
      </c>
      <c r="AH1948" s="13" t="s">
        <v>41</v>
      </c>
      <c r="AI1948" s="13" t="s">
        <v>47</v>
      </c>
      <c r="AJ1948" s="13" t="str">
        <f>VLOOKUP(E1948,Precios!Z$2:AA$941,2,FALSE)</f>
        <v>Paños Esponja TEDDY</v>
      </c>
      <c r="AK1948" s="14">
        <f>VLOOKUP(E1948,Precios!Z$2:BB$941,3,FALSE)*F1948</f>
        <v>-1</v>
      </c>
      <c r="AL1948" s="17"/>
      <c r="AM1948" s="17"/>
      <c r="AN1948" s="17"/>
      <c r="AO1948" s="17"/>
      <c r="AP1948" s="17"/>
      <c r="AQ1948" s="17"/>
      <c r="AR1948" s="17"/>
      <c r="AS1948" s="17"/>
      <c r="AT1948" s="17"/>
      <c r="AU1948" s="17"/>
      <c r="AV1948" s="17"/>
    </row>
    <row r="1949" spans="1:48" ht="15.75" customHeight="1">
      <c r="A1949" s="21" t="s">
        <v>43</v>
      </c>
      <c r="B1949" s="23" t="s">
        <v>1692</v>
      </c>
      <c r="C1949" s="22">
        <v>45782</v>
      </c>
      <c r="D1949" s="23" t="s">
        <v>184</v>
      </c>
      <c r="E1949" s="23" t="s">
        <v>45</v>
      </c>
      <c r="F1949" s="14">
        <v>1</v>
      </c>
      <c r="G1949" s="12">
        <v>8000.0859845227851</v>
      </c>
      <c r="H1949" s="12">
        <v>8000.0859845227851</v>
      </c>
      <c r="I1949" s="23" t="s">
        <v>52</v>
      </c>
      <c r="J1949" s="23" t="s">
        <v>61</v>
      </c>
      <c r="K1949" s="24" t="s">
        <v>177</v>
      </c>
      <c r="L1949" s="26">
        <v>136</v>
      </c>
      <c r="M1949" s="12">
        <v>6722.7613315317521</v>
      </c>
      <c r="N1949" s="12">
        <v>6722.7613315317521</v>
      </c>
      <c r="O1949" s="12">
        <v>1277.324652991033</v>
      </c>
      <c r="P1949" s="13"/>
      <c r="Q1949" s="14">
        <v>2025</v>
      </c>
      <c r="R1949" s="15">
        <v>45413</v>
      </c>
      <c r="S1949" s="11" t="s">
        <v>355</v>
      </c>
      <c r="T1949" s="16">
        <v>0</v>
      </c>
      <c r="U1949" s="17"/>
      <c r="V1949" s="12">
        <v>1249.7613315317521</v>
      </c>
      <c r="W1949" s="12">
        <v>1249.7613315317521</v>
      </c>
      <c r="X1949" s="12">
        <v>0</v>
      </c>
      <c r="Y1949" s="18">
        <v>45782</v>
      </c>
      <c r="Z1949" s="13" t="s">
        <v>523</v>
      </c>
      <c r="AA1949" s="19" t="s">
        <v>361</v>
      </c>
      <c r="AB1949" s="13" t="s">
        <v>357</v>
      </c>
      <c r="AC1949" s="13" t="s">
        <v>405</v>
      </c>
      <c r="AD1949" s="20"/>
      <c r="AE1949" s="20"/>
      <c r="AF1949" s="13" t="s">
        <v>40</v>
      </c>
      <c r="AG1949" s="15">
        <v>45413</v>
      </c>
      <c r="AH1949" s="13" t="s">
        <v>41</v>
      </c>
      <c r="AI1949" s="13" t="s">
        <v>43</v>
      </c>
      <c r="AJ1949" s="13" t="str">
        <f>VLOOKUP(E1949,Precios!Z$2:AA$941,2,FALSE)</f>
        <v>Bandeja Huevos EXTRA</v>
      </c>
      <c r="AK1949" s="14">
        <f>VLOOKUP(E1949,Precios!Z$2:BB$941,3,FALSE)*F1949</f>
        <v>-1</v>
      </c>
      <c r="AL1949" s="17"/>
      <c r="AM1949" s="17"/>
      <c r="AN1949" s="17"/>
      <c r="AO1949" s="17"/>
      <c r="AP1949" s="17"/>
      <c r="AQ1949" s="17"/>
      <c r="AR1949" s="17"/>
      <c r="AS1949" s="17"/>
      <c r="AT1949" s="17"/>
      <c r="AU1949" s="17"/>
      <c r="AV1949" s="17"/>
    </row>
    <row r="1950" spans="1:48" ht="15.75" customHeight="1">
      <c r="A1950" s="21" t="s">
        <v>53</v>
      </c>
      <c r="B1950" s="23" t="s">
        <v>1692</v>
      </c>
      <c r="C1950" s="22">
        <v>45782</v>
      </c>
      <c r="D1950" s="23" t="s">
        <v>184</v>
      </c>
      <c r="E1950" s="23" t="s">
        <v>150</v>
      </c>
      <c r="F1950" s="14">
        <v>1</v>
      </c>
      <c r="G1950" s="12">
        <v>1799.8965445892823</v>
      </c>
      <c r="H1950" s="12">
        <v>1799.8965445892823</v>
      </c>
      <c r="I1950" s="23" t="s">
        <v>52</v>
      </c>
      <c r="J1950" s="23" t="s">
        <v>61</v>
      </c>
      <c r="K1950" s="24" t="s">
        <v>177</v>
      </c>
      <c r="L1950" s="26">
        <v>136</v>
      </c>
      <c r="M1950" s="12">
        <v>1512.518104696876</v>
      </c>
      <c r="N1950" s="12">
        <v>1512.518104696876</v>
      </c>
      <c r="O1950" s="12">
        <v>287.37843989240628</v>
      </c>
      <c r="P1950" s="13"/>
      <c r="Q1950" s="14">
        <v>2025</v>
      </c>
      <c r="R1950" s="15">
        <v>45413</v>
      </c>
      <c r="S1950" s="11" t="s">
        <v>381</v>
      </c>
      <c r="T1950" s="16">
        <v>300</v>
      </c>
      <c r="U1950" s="17"/>
      <c r="V1950" s="12">
        <v>781.51810469687575</v>
      </c>
      <c r="W1950" s="12">
        <v>781.51810469687575</v>
      </c>
      <c r="X1950" s="12">
        <v>0</v>
      </c>
      <c r="Y1950" s="18">
        <v>45782</v>
      </c>
      <c r="Z1950" s="13" t="s">
        <v>523</v>
      </c>
      <c r="AA1950" s="19" t="s">
        <v>361</v>
      </c>
      <c r="AB1950" s="13" t="s">
        <v>357</v>
      </c>
      <c r="AC1950" s="13" t="s">
        <v>405</v>
      </c>
      <c r="AD1950" s="20"/>
      <c r="AE1950" s="20"/>
      <c r="AF1950" s="13" t="s">
        <v>40</v>
      </c>
      <c r="AG1950" s="15">
        <v>45413</v>
      </c>
      <c r="AH1950" s="13" t="s">
        <v>41</v>
      </c>
      <c r="AI1950" s="13" t="s">
        <v>53</v>
      </c>
      <c r="AJ1950" s="13" t="str">
        <f>VLOOKUP(E1950,Precios!Z$2:AA$941,2,FALSE)</f>
        <v>Servilletas SOFTQUALITY 300 unidades</v>
      </c>
      <c r="AK1950" s="14">
        <f>VLOOKUP(E1950,Precios!Z$2:BB$941,3,FALSE)*F1950</f>
        <v>-1</v>
      </c>
      <c r="AL1950" s="17"/>
      <c r="AM1950" s="17"/>
      <c r="AN1950" s="17"/>
      <c r="AO1950" s="17"/>
      <c r="AP1950" s="17"/>
      <c r="AQ1950" s="17"/>
      <c r="AR1950" s="17"/>
      <c r="AS1950" s="17"/>
      <c r="AT1950" s="17"/>
      <c r="AU1950" s="17"/>
      <c r="AV1950" s="17"/>
    </row>
    <row r="1951" spans="1:48" ht="15.75" customHeight="1">
      <c r="A1951" s="21" t="s">
        <v>56</v>
      </c>
      <c r="B1951" s="23" t="s">
        <v>1692</v>
      </c>
      <c r="C1951" s="22">
        <v>45781</v>
      </c>
      <c r="D1951" s="23" t="s">
        <v>285</v>
      </c>
      <c r="E1951" s="23" t="s">
        <v>67</v>
      </c>
      <c r="F1951" s="21">
        <v>1</v>
      </c>
      <c r="G1951" s="12">
        <v>7000.0000000000009</v>
      </c>
      <c r="H1951" s="12">
        <v>7000.0000000000009</v>
      </c>
      <c r="I1951" s="23" t="s">
        <v>52</v>
      </c>
      <c r="J1951" s="23" t="s">
        <v>61</v>
      </c>
      <c r="K1951" s="24" t="s">
        <v>177</v>
      </c>
      <c r="L1951" s="24">
        <v>135</v>
      </c>
      <c r="M1951" s="12">
        <v>5882.3529411764712</v>
      </c>
      <c r="N1951" s="12">
        <v>5882.3529411764712</v>
      </c>
      <c r="O1951" s="12">
        <v>1117.6470588235297</v>
      </c>
      <c r="P1951" s="13"/>
      <c r="Q1951" s="14">
        <v>2025</v>
      </c>
      <c r="R1951" s="15">
        <v>45413</v>
      </c>
      <c r="S1951" s="11" t="s">
        <v>492</v>
      </c>
      <c r="T1951" s="16">
        <v>200</v>
      </c>
      <c r="U1951" s="17"/>
      <c r="V1951" s="12">
        <v>1512.6050420168067</v>
      </c>
      <c r="W1951" s="12">
        <v>1512.6050420168067</v>
      </c>
      <c r="X1951" s="12">
        <v>0</v>
      </c>
      <c r="Y1951" s="18">
        <v>45775</v>
      </c>
      <c r="Z1951" s="13" t="s">
        <v>497</v>
      </c>
      <c r="AA1951" s="19" t="s">
        <v>367</v>
      </c>
      <c r="AB1951" s="13" t="s">
        <v>357</v>
      </c>
      <c r="AC1951" s="13" t="s">
        <v>367</v>
      </c>
      <c r="AD1951" s="20"/>
      <c r="AE1951" s="20"/>
      <c r="AF1951" s="13" t="s">
        <v>40</v>
      </c>
      <c r="AG1951" s="15">
        <v>45413</v>
      </c>
      <c r="AH1951" s="13" t="s">
        <v>41</v>
      </c>
      <c r="AI1951" s="13" t="s">
        <v>56</v>
      </c>
      <c r="AJ1951" s="13" t="str">
        <f>VLOOKUP(E1951,Precios!Z$2:AA$941,2,FALSE)</f>
        <v>Mantequilla RUMAY</v>
      </c>
      <c r="AK1951" s="14">
        <f>VLOOKUP(E1951,Precios!Z$2:BB$941,3,FALSE)*F1951</f>
        <v>-3</v>
      </c>
      <c r="AL1951" s="17"/>
      <c r="AM1951" s="17"/>
      <c r="AN1951" s="17"/>
      <c r="AO1951" s="17"/>
      <c r="AP1951" s="17"/>
      <c r="AQ1951" s="17"/>
      <c r="AR1951" s="17"/>
      <c r="AS1951" s="17"/>
      <c r="AT1951" s="17"/>
      <c r="AU1951" s="17"/>
      <c r="AV1951" s="17"/>
    </row>
    <row r="1952" spans="1:48" ht="15.75" customHeight="1">
      <c r="A1952" s="21" t="s">
        <v>35</v>
      </c>
      <c r="B1952" s="23" t="s">
        <v>1692</v>
      </c>
      <c r="C1952" s="22">
        <v>45781</v>
      </c>
      <c r="D1952" s="23" t="s">
        <v>180</v>
      </c>
      <c r="E1952" s="23" t="s">
        <v>37</v>
      </c>
      <c r="F1952" s="21">
        <v>1</v>
      </c>
      <c r="G1952" s="12">
        <v>10500</v>
      </c>
      <c r="H1952" s="12">
        <v>10500</v>
      </c>
      <c r="I1952" s="23" t="s">
        <v>52</v>
      </c>
      <c r="J1952" s="23" t="s">
        <v>61</v>
      </c>
      <c r="K1952" s="24" t="s">
        <v>177</v>
      </c>
      <c r="L1952" s="24">
        <v>135</v>
      </c>
      <c r="M1952" s="12">
        <v>8823.5294117647063</v>
      </c>
      <c r="N1952" s="12">
        <v>8823.5294117647063</v>
      </c>
      <c r="O1952" s="12">
        <v>1676.4705882352937</v>
      </c>
      <c r="P1952" s="13"/>
      <c r="Q1952" s="14">
        <v>2025</v>
      </c>
      <c r="R1952" s="15">
        <v>45413</v>
      </c>
      <c r="S1952" s="11" t="s">
        <v>364</v>
      </c>
      <c r="T1952" s="16">
        <v>1000</v>
      </c>
      <c r="U1952" s="17"/>
      <c r="V1952" s="12">
        <v>2385.7142857142853</v>
      </c>
      <c r="W1952" s="12">
        <v>2385.7142857142853</v>
      </c>
      <c r="X1952" s="12">
        <v>0</v>
      </c>
      <c r="Y1952" s="18">
        <v>45775</v>
      </c>
      <c r="Z1952" s="13" t="s">
        <v>497</v>
      </c>
      <c r="AA1952" s="19" t="s">
        <v>367</v>
      </c>
      <c r="AB1952" s="13" t="s">
        <v>357</v>
      </c>
      <c r="AC1952" s="13" t="s">
        <v>367</v>
      </c>
      <c r="AD1952" s="20"/>
      <c r="AE1952" s="20"/>
      <c r="AF1952" s="13" t="s">
        <v>40</v>
      </c>
      <c r="AG1952" s="15">
        <v>45413</v>
      </c>
      <c r="AH1952" s="13" t="s">
        <v>41</v>
      </c>
      <c r="AI1952" s="13" t="s">
        <v>35</v>
      </c>
      <c r="AJ1952" s="13" t="str">
        <f>VLOOKUP(E1952,Precios!Z$2:AA$941,2,FALSE)</f>
        <v>Queso RUNCA Mantecoso</v>
      </c>
      <c r="AK1952" s="14">
        <f>VLOOKUP(E1952,Precios!Z$2:BB$941,3,FALSE)*F1952</f>
        <v>-1</v>
      </c>
      <c r="AL1952" s="17"/>
      <c r="AM1952" s="17"/>
      <c r="AN1952" s="17"/>
      <c r="AO1952" s="17"/>
      <c r="AP1952" s="17"/>
      <c r="AQ1952" s="17"/>
      <c r="AR1952" s="17"/>
      <c r="AS1952" s="17"/>
      <c r="AT1952" s="17"/>
      <c r="AU1952" s="17"/>
      <c r="AV1952" s="17"/>
    </row>
    <row r="1953" spans="1:48" ht="15.75" customHeight="1">
      <c r="A1953" s="21" t="s">
        <v>43</v>
      </c>
      <c r="B1953" s="23" t="s">
        <v>1692</v>
      </c>
      <c r="C1953" s="22">
        <v>45781</v>
      </c>
      <c r="D1953" s="23" t="s">
        <v>180</v>
      </c>
      <c r="E1953" s="23" t="s">
        <v>45</v>
      </c>
      <c r="F1953" s="21">
        <v>1</v>
      </c>
      <c r="G1953" s="12">
        <v>8299.9877571008819</v>
      </c>
      <c r="H1953" s="12">
        <v>8299.9877571008819</v>
      </c>
      <c r="I1953" s="23" t="s">
        <v>52</v>
      </c>
      <c r="J1953" s="23" t="s">
        <v>61</v>
      </c>
      <c r="K1953" s="24" t="s">
        <v>177</v>
      </c>
      <c r="L1953" s="24">
        <v>135</v>
      </c>
      <c r="M1953" s="12">
        <v>6974.7796278158676</v>
      </c>
      <c r="N1953" s="12">
        <v>6974.7796278158676</v>
      </c>
      <c r="O1953" s="12">
        <v>1325.2081292850144</v>
      </c>
      <c r="P1953" s="13"/>
      <c r="Q1953" s="14">
        <v>2025</v>
      </c>
      <c r="R1953" s="15">
        <v>45413</v>
      </c>
      <c r="S1953" s="11" t="s">
        <v>355</v>
      </c>
      <c r="T1953" s="16">
        <v>0</v>
      </c>
      <c r="U1953" s="17"/>
      <c r="V1953" s="12">
        <v>1277.7796278158667</v>
      </c>
      <c r="W1953" s="12">
        <v>1277.7796278158667</v>
      </c>
      <c r="X1953" s="12">
        <v>0</v>
      </c>
      <c r="Y1953" s="18">
        <v>45775</v>
      </c>
      <c r="Z1953" s="13" t="s">
        <v>497</v>
      </c>
      <c r="AA1953" s="19" t="s">
        <v>367</v>
      </c>
      <c r="AB1953" s="13" t="s">
        <v>357</v>
      </c>
      <c r="AC1953" s="13" t="s">
        <v>367</v>
      </c>
      <c r="AD1953" s="20"/>
      <c r="AE1953" s="20"/>
      <c r="AF1953" s="13" t="s">
        <v>40</v>
      </c>
      <c r="AG1953" s="15">
        <v>45413</v>
      </c>
      <c r="AH1953" s="13" t="s">
        <v>41</v>
      </c>
      <c r="AI1953" s="13" t="s">
        <v>43</v>
      </c>
      <c r="AJ1953" s="13" t="str">
        <f>VLOOKUP(E1953,Precios!Z$2:AA$941,2,FALSE)</f>
        <v>Bandeja Huevos EXTRA</v>
      </c>
      <c r="AK1953" s="14">
        <f>VLOOKUP(E1953,Precios!Z$2:BB$941,3,FALSE)*F1953</f>
        <v>-1</v>
      </c>
      <c r="AL1953" s="17"/>
      <c r="AM1953" s="17"/>
      <c r="AN1953" s="17"/>
      <c r="AO1953" s="17"/>
      <c r="AP1953" s="17"/>
      <c r="AQ1953" s="17"/>
      <c r="AR1953" s="17"/>
      <c r="AS1953" s="17"/>
      <c r="AT1953" s="17"/>
      <c r="AU1953" s="17"/>
      <c r="AV1953" s="17"/>
    </row>
    <row r="1954" spans="1:48" ht="15.75" customHeight="1">
      <c r="A1954" s="21" t="s">
        <v>53</v>
      </c>
      <c r="B1954" s="23" t="s">
        <v>1692</v>
      </c>
      <c r="C1954" s="22">
        <v>45781</v>
      </c>
      <c r="D1954" s="23" t="s">
        <v>180</v>
      </c>
      <c r="E1954" s="23" t="s">
        <v>97</v>
      </c>
      <c r="F1954" s="21">
        <v>1</v>
      </c>
      <c r="G1954" s="12">
        <v>16500.126742712295</v>
      </c>
      <c r="H1954" s="12">
        <v>16500.126742712295</v>
      </c>
      <c r="I1954" s="23" t="s">
        <v>52</v>
      </c>
      <c r="J1954" s="23" t="s">
        <v>61</v>
      </c>
      <c r="K1954" s="24" t="s">
        <v>177</v>
      </c>
      <c r="L1954" s="24">
        <v>135</v>
      </c>
      <c r="M1954" s="12">
        <v>13865.652724968315</v>
      </c>
      <c r="N1954" s="12">
        <v>13865.652724968315</v>
      </c>
      <c r="O1954" s="12">
        <v>2634.4740177439799</v>
      </c>
      <c r="P1954" s="13"/>
      <c r="Q1954" s="14">
        <v>2025</v>
      </c>
      <c r="R1954" s="15">
        <v>45413</v>
      </c>
      <c r="S1954" s="11" t="s">
        <v>366</v>
      </c>
      <c r="T1954" s="16">
        <v>0</v>
      </c>
      <c r="U1954" s="17"/>
      <c r="V1954" s="12">
        <v>3472.6527249683149</v>
      </c>
      <c r="W1954" s="12">
        <v>3472.6527249683149</v>
      </c>
      <c r="X1954" s="12">
        <v>0</v>
      </c>
      <c r="Y1954" s="18">
        <v>45775</v>
      </c>
      <c r="Z1954" s="13" t="s">
        <v>497</v>
      </c>
      <c r="AA1954" s="19" t="s">
        <v>367</v>
      </c>
      <c r="AB1954" s="13" t="s">
        <v>357</v>
      </c>
      <c r="AC1954" s="13" t="s">
        <v>367</v>
      </c>
      <c r="AD1954" s="20"/>
      <c r="AE1954" s="20"/>
      <c r="AF1954" s="13" t="s">
        <v>40</v>
      </c>
      <c r="AG1954" s="15">
        <v>45413</v>
      </c>
      <c r="AH1954" s="13" t="s">
        <v>41</v>
      </c>
      <c r="AI1954" s="13" t="s">
        <v>53</v>
      </c>
      <c r="AJ1954" s="13" t="str">
        <f>VLOOKUP(E1954,Precios!Z$2:AA$941,2,FALSE)</f>
        <v>Papel Higienico ELITE 50 metros</v>
      </c>
      <c r="AK1954" s="14">
        <f>VLOOKUP(E1954,Precios!Z$2:BB$941,3,FALSE)*F1954</f>
        <v>-6</v>
      </c>
      <c r="AL1954" s="17"/>
      <c r="AM1954" s="17"/>
      <c r="AN1954" s="17"/>
      <c r="AO1954" s="17"/>
      <c r="AP1954" s="17"/>
      <c r="AQ1954" s="17"/>
      <c r="AR1954" s="17"/>
      <c r="AS1954" s="17"/>
      <c r="AT1954" s="17"/>
      <c r="AU1954" s="17"/>
      <c r="AV1954" s="17"/>
    </row>
    <row r="1955" spans="1:48" ht="15.75" customHeight="1">
      <c r="A1955" s="21" t="s">
        <v>53</v>
      </c>
      <c r="B1955" s="23" t="s">
        <v>1692</v>
      </c>
      <c r="C1955" s="22">
        <v>45781</v>
      </c>
      <c r="D1955" s="23" t="s">
        <v>144</v>
      </c>
      <c r="E1955" s="23" t="s">
        <v>97</v>
      </c>
      <c r="F1955" s="21">
        <v>1</v>
      </c>
      <c r="G1955" s="12">
        <v>16500.126742712295</v>
      </c>
      <c r="H1955" s="12">
        <v>16500.126742712295</v>
      </c>
      <c r="I1955" s="23" t="s">
        <v>52</v>
      </c>
      <c r="J1955" s="23" t="s">
        <v>61</v>
      </c>
      <c r="K1955" s="24" t="s">
        <v>177</v>
      </c>
      <c r="L1955" s="24">
        <v>135</v>
      </c>
      <c r="M1955" s="12">
        <v>13865.652724968315</v>
      </c>
      <c r="N1955" s="12">
        <v>13865.652724968315</v>
      </c>
      <c r="O1955" s="12">
        <v>2634.4740177439799</v>
      </c>
      <c r="P1955" s="13"/>
      <c r="Q1955" s="14">
        <v>2025</v>
      </c>
      <c r="R1955" s="15">
        <v>45413</v>
      </c>
      <c r="S1955" s="11" t="s">
        <v>366</v>
      </c>
      <c r="T1955" s="16">
        <v>0</v>
      </c>
      <c r="U1955" s="17"/>
      <c r="V1955" s="12">
        <v>3472.6527249683149</v>
      </c>
      <c r="W1955" s="12">
        <v>3472.6527249683149</v>
      </c>
      <c r="X1955" s="12">
        <v>0</v>
      </c>
      <c r="Y1955" s="18">
        <v>45775</v>
      </c>
      <c r="Z1955" s="13" t="s">
        <v>497</v>
      </c>
      <c r="AA1955" s="19" t="s">
        <v>373</v>
      </c>
      <c r="AB1955" s="13" t="s">
        <v>357</v>
      </c>
      <c r="AC1955" s="13" t="s">
        <v>655</v>
      </c>
      <c r="AD1955" s="20"/>
      <c r="AE1955" s="20"/>
      <c r="AF1955" s="13" t="s">
        <v>40</v>
      </c>
      <c r="AG1955" s="15">
        <v>45413</v>
      </c>
      <c r="AH1955" s="13" t="s">
        <v>41</v>
      </c>
      <c r="AI1955" s="13" t="s">
        <v>53</v>
      </c>
      <c r="AJ1955" s="13" t="str">
        <f>VLOOKUP(E1955,Precios!Z$2:AA$941,2,FALSE)</f>
        <v>Papel Higienico ELITE 50 metros</v>
      </c>
      <c r="AK1955" s="14">
        <f>VLOOKUP(E1955,Precios!Z$2:BB$941,3,FALSE)*F1955</f>
        <v>-6</v>
      </c>
      <c r="AL1955" s="17"/>
      <c r="AM1955" s="17"/>
      <c r="AN1955" s="17"/>
      <c r="AO1955" s="17"/>
      <c r="AP1955" s="17"/>
      <c r="AQ1955" s="17"/>
      <c r="AR1955" s="17"/>
      <c r="AS1955" s="17"/>
      <c r="AT1955" s="17"/>
      <c r="AU1955" s="17"/>
      <c r="AV1955" s="17"/>
    </row>
    <row r="1956" spans="1:48" ht="15.75" customHeight="1">
      <c r="A1956" s="21" t="s">
        <v>35</v>
      </c>
      <c r="B1956" s="23" t="s">
        <v>1692</v>
      </c>
      <c r="C1956" s="22">
        <v>45781</v>
      </c>
      <c r="D1956" s="23" t="s">
        <v>189</v>
      </c>
      <c r="E1956" s="23" t="s">
        <v>46</v>
      </c>
      <c r="F1956" s="21">
        <v>1</v>
      </c>
      <c r="G1956" s="12">
        <v>5500</v>
      </c>
      <c r="H1956" s="12">
        <v>5500</v>
      </c>
      <c r="I1956" s="23" t="s">
        <v>52</v>
      </c>
      <c r="J1956" s="23" t="s">
        <v>61</v>
      </c>
      <c r="K1956" s="24" t="s">
        <v>177</v>
      </c>
      <c r="L1956" s="24">
        <v>135</v>
      </c>
      <c r="M1956" s="12">
        <v>4621.8487394957983</v>
      </c>
      <c r="N1956" s="12">
        <v>4621.8487394957983</v>
      </c>
      <c r="O1956" s="12">
        <v>878.15126050420167</v>
      </c>
      <c r="P1956" s="13"/>
      <c r="Q1956" s="14">
        <v>2025</v>
      </c>
      <c r="R1956" s="15">
        <v>45413</v>
      </c>
      <c r="S1956" s="11" t="s">
        <v>364</v>
      </c>
      <c r="T1956" s="16">
        <v>500</v>
      </c>
      <c r="U1956" s="17"/>
      <c r="V1956" s="12">
        <v>1365.1260504201678</v>
      </c>
      <c r="W1956" s="12">
        <v>1365.1260504201678</v>
      </c>
      <c r="X1956" s="12">
        <v>0</v>
      </c>
      <c r="Y1956" s="18">
        <v>45775</v>
      </c>
      <c r="Z1956" s="13" t="s">
        <v>497</v>
      </c>
      <c r="AA1956" s="19" t="s">
        <v>361</v>
      </c>
      <c r="AB1956" s="13" t="s">
        <v>357</v>
      </c>
      <c r="AC1956" s="13" t="s">
        <v>362</v>
      </c>
      <c r="AD1956" s="20"/>
      <c r="AE1956" s="20"/>
      <c r="AF1956" s="13" t="s">
        <v>40</v>
      </c>
      <c r="AG1956" s="15">
        <v>45413</v>
      </c>
      <c r="AH1956" s="13" t="s">
        <v>41</v>
      </c>
      <c r="AI1956" s="13" t="s">
        <v>35</v>
      </c>
      <c r="AJ1956" s="13" t="str">
        <f>VLOOKUP(E1956,Precios!Z$2:AA$941,2,FALSE)</f>
        <v>Queso RUNCA Mantecoso</v>
      </c>
      <c r="AK1956" s="14">
        <f>VLOOKUP(E1956,Precios!Z$2:BB$941,3,FALSE)*F1956</f>
        <v>-0.5</v>
      </c>
      <c r="AL1956" s="17"/>
      <c r="AM1956" s="17"/>
      <c r="AN1956" s="17"/>
      <c r="AO1956" s="17"/>
      <c r="AP1956" s="17"/>
      <c r="AQ1956" s="17"/>
      <c r="AR1956" s="17"/>
      <c r="AS1956" s="17"/>
      <c r="AT1956" s="17"/>
      <c r="AU1956" s="17"/>
      <c r="AV1956" s="17"/>
    </row>
    <row r="1957" spans="1:48" ht="15.75" customHeight="1">
      <c r="A1957" s="21" t="s">
        <v>43</v>
      </c>
      <c r="B1957" s="23" t="s">
        <v>1692</v>
      </c>
      <c r="C1957" s="22">
        <v>45781</v>
      </c>
      <c r="D1957" s="23" t="s">
        <v>656</v>
      </c>
      <c r="E1957" s="23" t="s">
        <v>45</v>
      </c>
      <c r="F1957" s="21">
        <v>1</v>
      </c>
      <c r="G1957" s="12">
        <v>8299.9877571008819</v>
      </c>
      <c r="H1957" s="12">
        <v>8299.9877571008819</v>
      </c>
      <c r="I1957" s="23" t="s">
        <v>52</v>
      </c>
      <c r="J1957" s="23" t="s">
        <v>61</v>
      </c>
      <c r="K1957" s="24" t="s">
        <v>177</v>
      </c>
      <c r="L1957" s="24">
        <v>135</v>
      </c>
      <c r="M1957" s="12">
        <v>6974.7796278158676</v>
      </c>
      <c r="N1957" s="12">
        <v>6974.7796278158676</v>
      </c>
      <c r="O1957" s="12">
        <v>1325.2081292850144</v>
      </c>
      <c r="P1957" s="13"/>
      <c r="Q1957" s="14">
        <v>2025</v>
      </c>
      <c r="R1957" s="15">
        <v>45413</v>
      </c>
      <c r="S1957" s="11" t="s">
        <v>355</v>
      </c>
      <c r="T1957" s="16">
        <v>0</v>
      </c>
      <c r="U1957" s="17"/>
      <c r="V1957" s="12">
        <v>1277.7796278158667</v>
      </c>
      <c r="W1957" s="12">
        <v>1277.7796278158667</v>
      </c>
      <c r="X1957" s="12">
        <v>0</v>
      </c>
      <c r="Y1957" s="18">
        <v>45775</v>
      </c>
      <c r="Z1957" s="13" t="s">
        <v>497</v>
      </c>
      <c r="AA1957" s="19" t="s">
        <v>373</v>
      </c>
      <c r="AB1957" s="13" t="s">
        <v>357</v>
      </c>
      <c r="AC1957" s="13" t="s">
        <v>595</v>
      </c>
      <c r="AD1957" s="20"/>
      <c r="AE1957" s="20"/>
      <c r="AF1957" s="13" t="s">
        <v>40</v>
      </c>
      <c r="AG1957" s="15">
        <v>45413</v>
      </c>
      <c r="AH1957" s="13" t="s">
        <v>41</v>
      </c>
      <c r="AI1957" s="13" t="s">
        <v>43</v>
      </c>
      <c r="AJ1957" s="13" t="str">
        <f>VLOOKUP(E1957,Precios!Z$2:AA$941,2,FALSE)</f>
        <v>Bandeja Huevos EXTRA</v>
      </c>
      <c r="AK1957" s="14">
        <f>VLOOKUP(E1957,Precios!Z$2:BB$941,3,FALSE)*F1957</f>
        <v>-1</v>
      </c>
      <c r="AL1957" s="17"/>
      <c r="AM1957" s="17"/>
      <c r="AN1957" s="17"/>
      <c r="AO1957" s="17"/>
      <c r="AP1957" s="17"/>
      <c r="AQ1957" s="17"/>
      <c r="AR1957" s="17"/>
      <c r="AS1957" s="17"/>
      <c r="AT1957" s="17"/>
      <c r="AU1957" s="17"/>
      <c r="AV1957" s="17"/>
    </row>
    <row r="1958" spans="1:48" ht="15.75" customHeight="1">
      <c r="A1958" s="21" t="s">
        <v>64</v>
      </c>
      <c r="B1958" s="23" t="s">
        <v>1692</v>
      </c>
      <c r="C1958" s="22">
        <v>45781</v>
      </c>
      <c r="D1958" s="23" t="s">
        <v>656</v>
      </c>
      <c r="E1958" s="23" t="s">
        <v>65</v>
      </c>
      <c r="F1958" s="21">
        <v>2</v>
      </c>
      <c r="G1958" s="12">
        <v>8199.8794599807134</v>
      </c>
      <c r="H1958" s="12">
        <v>16399.758919961427</v>
      </c>
      <c r="I1958" s="23" t="s">
        <v>52</v>
      </c>
      <c r="J1958" s="23" t="s">
        <v>61</v>
      </c>
      <c r="K1958" s="24" t="s">
        <v>177</v>
      </c>
      <c r="L1958" s="24">
        <v>135</v>
      </c>
      <c r="M1958" s="12">
        <v>6890.6550083871543</v>
      </c>
      <c r="N1958" s="12">
        <v>13781.310016774309</v>
      </c>
      <c r="O1958" s="12">
        <v>2618.448903187118</v>
      </c>
      <c r="P1958" s="13"/>
      <c r="Q1958" s="14">
        <v>2025</v>
      </c>
      <c r="R1958" s="15">
        <v>45413</v>
      </c>
      <c r="S1958" s="11" t="s">
        <v>64</v>
      </c>
      <c r="T1958" s="16">
        <v>2</v>
      </c>
      <c r="U1958" s="17"/>
      <c r="V1958" s="12">
        <v>2348.3352268583421</v>
      </c>
      <c r="W1958" s="12">
        <v>2348.3352268583421</v>
      </c>
      <c r="X1958" s="12">
        <v>0</v>
      </c>
      <c r="Y1958" s="18">
        <v>45775</v>
      </c>
      <c r="Z1958" s="13" t="s">
        <v>497</v>
      </c>
      <c r="AA1958" s="19" t="s">
        <v>373</v>
      </c>
      <c r="AB1958" s="13" t="s">
        <v>357</v>
      </c>
      <c r="AC1958" s="13" t="s">
        <v>595</v>
      </c>
      <c r="AD1958" s="20"/>
      <c r="AE1958" s="20"/>
      <c r="AF1958" s="13" t="s">
        <v>40</v>
      </c>
      <c r="AG1958" s="15">
        <v>45413</v>
      </c>
      <c r="AH1958" s="13" t="s">
        <v>41</v>
      </c>
      <c r="AI1958" s="13" t="s">
        <v>64</v>
      </c>
      <c r="AJ1958" s="13" t="str">
        <f>VLOOKUP(E1958,Precios!Z$2:AA$941,2,FALSE)</f>
        <v>Longanizas VILLABLANCA</v>
      </c>
      <c r="AK1958" s="14">
        <f>VLOOKUP(E1958,Precios!Z$2:BB$941,3,FALSE)*F1958</f>
        <v>-2</v>
      </c>
      <c r="AL1958" s="17"/>
      <c r="AM1958" s="17"/>
      <c r="AN1958" s="17"/>
      <c r="AO1958" s="17"/>
      <c r="AP1958" s="17"/>
      <c r="AQ1958" s="17"/>
      <c r="AR1958" s="17"/>
      <c r="AS1958" s="17"/>
      <c r="AT1958" s="17"/>
      <c r="AU1958" s="17"/>
      <c r="AV1958" s="17"/>
    </row>
    <row r="1959" spans="1:48" ht="15.75" customHeight="1">
      <c r="A1959" s="21" t="s">
        <v>35</v>
      </c>
      <c r="B1959" s="23" t="s">
        <v>1692</v>
      </c>
      <c r="C1959" s="22">
        <v>45781</v>
      </c>
      <c r="D1959" s="23" t="s">
        <v>120</v>
      </c>
      <c r="E1959" s="23" t="s">
        <v>37</v>
      </c>
      <c r="F1959" s="21">
        <v>1</v>
      </c>
      <c r="G1959" s="12">
        <v>10500</v>
      </c>
      <c r="H1959" s="12">
        <v>10500</v>
      </c>
      <c r="I1959" s="23" t="s">
        <v>52</v>
      </c>
      <c r="J1959" s="23" t="s">
        <v>61</v>
      </c>
      <c r="K1959" s="24" t="s">
        <v>177</v>
      </c>
      <c r="L1959" s="24">
        <v>135</v>
      </c>
      <c r="M1959" s="12">
        <v>8823.5294117647063</v>
      </c>
      <c r="N1959" s="12">
        <v>8823.5294117647063</v>
      </c>
      <c r="O1959" s="12">
        <v>1676.4705882352937</v>
      </c>
      <c r="P1959" s="13"/>
      <c r="Q1959" s="14">
        <v>2025</v>
      </c>
      <c r="R1959" s="15">
        <v>45413</v>
      </c>
      <c r="S1959" s="11" t="s">
        <v>364</v>
      </c>
      <c r="T1959" s="16">
        <v>1000</v>
      </c>
      <c r="U1959" s="17"/>
      <c r="V1959" s="12">
        <v>2385.7142857142853</v>
      </c>
      <c r="W1959" s="12">
        <v>2385.7142857142853</v>
      </c>
      <c r="X1959" s="12">
        <v>0</v>
      </c>
      <c r="Y1959" s="18">
        <v>45775</v>
      </c>
      <c r="Z1959" s="13" t="s">
        <v>497</v>
      </c>
      <c r="AA1959" s="19" t="s">
        <v>373</v>
      </c>
      <c r="AB1959" s="13" t="s">
        <v>357</v>
      </c>
      <c r="AC1959" s="13" t="s">
        <v>383</v>
      </c>
      <c r="AD1959" s="20"/>
      <c r="AE1959" s="20"/>
      <c r="AF1959" s="13" t="s">
        <v>40</v>
      </c>
      <c r="AG1959" s="15">
        <v>45413</v>
      </c>
      <c r="AH1959" s="13" t="s">
        <v>41</v>
      </c>
      <c r="AI1959" s="13" t="s">
        <v>35</v>
      </c>
      <c r="AJ1959" s="13" t="str">
        <f>VLOOKUP(E1959,Precios!Z$2:AA$941,2,FALSE)</f>
        <v>Queso RUNCA Mantecoso</v>
      </c>
      <c r="AK1959" s="14">
        <f>VLOOKUP(E1959,Precios!Z$2:BB$941,3,FALSE)*F1959</f>
        <v>-1</v>
      </c>
      <c r="AL1959" s="17"/>
      <c r="AM1959" s="17"/>
      <c r="AN1959" s="17"/>
      <c r="AO1959" s="17"/>
      <c r="AP1959" s="17"/>
      <c r="AQ1959" s="17"/>
      <c r="AR1959" s="17"/>
      <c r="AS1959" s="17"/>
      <c r="AT1959" s="17"/>
      <c r="AU1959" s="17"/>
      <c r="AV1959" s="17"/>
    </row>
    <row r="1960" spans="1:48" ht="15.75" customHeight="1">
      <c r="A1960" s="21" t="s">
        <v>43</v>
      </c>
      <c r="B1960" s="23" t="s">
        <v>1692</v>
      </c>
      <c r="C1960" s="22">
        <v>45781</v>
      </c>
      <c r="D1960" s="23" t="s">
        <v>120</v>
      </c>
      <c r="E1960" s="23" t="s">
        <v>45</v>
      </c>
      <c r="F1960" s="21">
        <v>1</v>
      </c>
      <c r="G1960" s="12">
        <v>8299.9877571008819</v>
      </c>
      <c r="H1960" s="12">
        <v>8299.9877571008819</v>
      </c>
      <c r="I1960" s="23" t="s">
        <v>52</v>
      </c>
      <c r="J1960" s="23" t="s">
        <v>61</v>
      </c>
      <c r="K1960" s="24" t="s">
        <v>177</v>
      </c>
      <c r="L1960" s="24">
        <v>135</v>
      </c>
      <c r="M1960" s="12">
        <v>6974.7796278158676</v>
      </c>
      <c r="N1960" s="12">
        <v>6974.7796278158676</v>
      </c>
      <c r="O1960" s="12">
        <v>1325.2081292850144</v>
      </c>
      <c r="P1960" s="13"/>
      <c r="Q1960" s="14">
        <v>2025</v>
      </c>
      <c r="R1960" s="15">
        <v>45413</v>
      </c>
      <c r="S1960" s="11" t="s">
        <v>355</v>
      </c>
      <c r="T1960" s="16">
        <v>0</v>
      </c>
      <c r="U1960" s="17"/>
      <c r="V1960" s="12">
        <v>1277.7796278158667</v>
      </c>
      <c r="W1960" s="12">
        <v>1277.7796278158667</v>
      </c>
      <c r="X1960" s="12">
        <v>0</v>
      </c>
      <c r="Y1960" s="18">
        <v>45775</v>
      </c>
      <c r="Z1960" s="13" t="s">
        <v>497</v>
      </c>
      <c r="AA1960" s="19" t="s">
        <v>373</v>
      </c>
      <c r="AB1960" s="13" t="s">
        <v>357</v>
      </c>
      <c r="AC1960" s="13" t="s">
        <v>383</v>
      </c>
      <c r="AD1960" s="20"/>
      <c r="AE1960" s="20"/>
      <c r="AF1960" s="13" t="s">
        <v>40</v>
      </c>
      <c r="AG1960" s="15">
        <v>45413</v>
      </c>
      <c r="AH1960" s="13" t="s">
        <v>41</v>
      </c>
      <c r="AI1960" s="13" t="s">
        <v>43</v>
      </c>
      <c r="AJ1960" s="13" t="str">
        <f>VLOOKUP(E1960,Precios!Z$2:AA$941,2,FALSE)</f>
        <v>Bandeja Huevos EXTRA</v>
      </c>
      <c r="AK1960" s="14">
        <f>VLOOKUP(E1960,Precios!Z$2:BB$941,3,FALSE)*F1960</f>
        <v>-1</v>
      </c>
      <c r="AL1960" s="17"/>
      <c r="AM1960" s="17"/>
      <c r="AN1960" s="17"/>
      <c r="AO1960" s="17"/>
      <c r="AP1960" s="17"/>
      <c r="AQ1960" s="17"/>
      <c r="AR1960" s="17"/>
      <c r="AS1960" s="17"/>
      <c r="AT1960" s="17"/>
      <c r="AU1960" s="17"/>
      <c r="AV1960" s="17"/>
    </row>
    <row r="1961" spans="1:48" ht="15.75" customHeight="1">
      <c r="A1961" s="21" t="s">
        <v>43</v>
      </c>
      <c r="B1961" s="23" t="s">
        <v>1692</v>
      </c>
      <c r="C1961" s="22">
        <v>45781</v>
      </c>
      <c r="D1961" s="23" t="s">
        <v>141</v>
      </c>
      <c r="E1961" s="23" t="s">
        <v>45</v>
      </c>
      <c r="F1961" s="21">
        <v>1</v>
      </c>
      <c r="G1961" s="12">
        <v>8299.9877571008819</v>
      </c>
      <c r="H1961" s="12">
        <v>8299.9877571008819</v>
      </c>
      <c r="I1961" s="23" t="s">
        <v>52</v>
      </c>
      <c r="J1961" s="23" t="s">
        <v>61</v>
      </c>
      <c r="K1961" s="24" t="s">
        <v>177</v>
      </c>
      <c r="L1961" s="24">
        <v>135</v>
      </c>
      <c r="M1961" s="12">
        <v>6974.7796278158676</v>
      </c>
      <c r="N1961" s="12">
        <v>6974.7796278158676</v>
      </c>
      <c r="O1961" s="12">
        <v>1325.2081292850144</v>
      </c>
      <c r="P1961" s="13"/>
      <c r="Q1961" s="14">
        <v>2025</v>
      </c>
      <c r="R1961" s="15">
        <v>45413</v>
      </c>
      <c r="S1961" s="11" t="s">
        <v>355</v>
      </c>
      <c r="T1961" s="16">
        <v>0</v>
      </c>
      <c r="U1961" s="17"/>
      <c r="V1961" s="12">
        <v>1277.7796278158667</v>
      </c>
      <c r="W1961" s="12">
        <v>1277.7796278158667</v>
      </c>
      <c r="X1961" s="12">
        <v>0</v>
      </c>
      <c r="Y1961" s="18">
        <v>45775</v>
      </c>
      <c r="Z1961" s="13" t="s">
        <v>497</v>
      </c>
      <c r="AA1961" s="19" t="s">
        <v>367</v>
      </c>
      <c r="AB1961" s="13" t="s">
        <v>357</v>
      </c>
      <c r="AC1961" s="13" t="s">
        <v>367</v>
      </c>
      <c r="AD1961" s="20"/>
      <c r="AE1961" s="20"/>
      <c r="AF1961" s="13" t="s">
        <v>40</v>
      </c>
      <c r="AG1961" s="15">
        <v>45413</v>
      </c>
      <c r="AH1961" s="13" t="s">
        <v>41</v>
      </c>
      <c r="AI1961" s="13" t="s">
        <v>43</v>
      </c>
      <c r="AJ1961" s="13" t="str">
        <f>VLOOKUP(E1961,Precios!Z$2:AA$941,2,FALSE)</f>
        <v>Bandeja Huevos EXTRA</v>
      </c>
      <c r="AK1961" s="14">
        <f>VLOOKUP(E1961,Precios!Z$2:BB$941,3,FALSE)*F1961</f>
        <v>-1</v>
      </c>
      <c r="AL1961" s="17"/>
      <c r="AM1961" s="17"/>
      <c r="AN1961" s="17"/>
      <c r="AO1961" s="17"/>
      <c r="AP1961" s="17"/>
      <c r="AQ1961" s="17"/>
      <c r="AR1961" s="17"/>
      <c r="AS1961" s="17"/>
      <c r="AT1961" s="17"/>
      <c r="AU1961" s="17"/>
      <c r="AV1961" s="17"/>
    </row>
    <row r="1962" spans="1:48" ht="15.75" customHeight="1">
      <c r="A1962" s="21" t="s">
        <v>53</v>
      </c>
      <c r="B1962" s="23" t="s">
        <v>1692</v>
      </c>
      <c r="C1962" s="22">
        <v>45781</v>
      </c>
      <c r="D1962" s="23" t="s">
        <v>141</v>
      </c>
      <c r="E1962" s="23" t="s">
        <v>203</v>
      </c>
      <c r="F1962" s="21">
        <v>1</v>
      </c>
      <c r="G1962" s="12">
        <v>10000.38816108685</v>
      </c>
      <c r="H1962" s="12">
        <v>10000.38816108685</v>
      </c>
      <c r="I1962" s="23" t="s">
        <v>52</v>
      </c>
      <c r="J1962" s="23" t="s">
        <v>61</v>
      </c>
      <c r="K1962" s="24" t="s">
        <v>177</v>
      </c>
      <c r="L1962" s="24">
        <v>135</v>
      </c>
      <c r="M1962" s="12">
        <v>8403.6875303250854</v>
      </c>
      <c r="N1962" s="12">
        <v>8403.6875303250854</v>
      </c>
      <c r="O1962" s="12">
        <v>1596.7006307617648</v>
      </c>
      <c r="P1962" s="13"/>
      <c r="Q1962" s="14">
        <v>2025</v>
      </c>
      <c r="R1962" s="15">
        <v>45413</v>
      </c>
      <c r="S1962" s="11" t="s">
        <v>366</v>
      </c>
      <c r="T1962" s="16">
        <v>0</v>
      </c>
      <c r="U1962" s="17"/>
      <c r="V1962" s="12">
        <v>3207.6875303250836</v>
      </c>
      <c r="W1962" s="12">
        <v>3207.6875303250836</v>
      </c>
      <c r="X1962" s="12">
        <v>0</v>
      </c>
      <c r="Y1962" s="18">
        <v>45775</v>
      </c>
      <c r="Z1962" s="13" t="s">
        <v>497</v>
      </c>
      <c r="AA1962" s="19" t="s">
        <v>367</v>
      </c>
      <c r="AB1962" s="13" t="s">
        <v>357</v>
      </c>
      <c r="AC1962" s="13" t="s">
        <v>367</v>
      </c>
      <c r="AD1962" s="20"/>
      <c r="AE1962" s="20"/>
      <c r="AF1962" s="13" t="s">
        <v>40</v>
      </c>
      <c r="AG1962" s="15">
        <v>45413</v>
      </c>
      <c r="AH1962" s="13" t="s">
        <v>41</v>
      </c>
      <c r="AI1962" s="13" t="s">
        <v>53</v>
      </c>
      <c r="AJ1962" s="13" t="str">
        <f>VLOOKUP(E1962,Precios!Z$2:AA$941,2,FALSE)</f>
        <v>Papel Higienico ELITE 50 metros</v>
      </c>
      <c r="AK1962" s="14">
        <f>VLOOKUP(E1962,Precios!Z$2:BB$941,3,FALSE)*F1962</f>
        <v>-3</v>
      </c>
      <c r="AL1962" s="17"/>
      <c r="AM1962" s="17"/>
      <c r="AN1962" s="17"/>
      <c r="AO1962" s="17"/>
      <c r="AP1962" s="17"/>
      <c r="AQ1962" s="17"/>
      <c r="AR1962" s="17"/>
      <c r="AS1962" s="17"/>
      <c r="AT1962" s="17"/>
      <c r="AU1962" s="17"/>
      <c r="AV1962" s="17"/>
    </row>
    <row r="1963" spans="1:48" ht="15.75" customHeight="1">
      <c r="A1963" s="21" t="s">
        <v>53</v>
      </c>
      <c r="B1963" s="23" t="s">
        <v>1692</v>
      </c>
      <c r="C1963" s="22">
        <v>45781</v>
      </c>
      <c r="D1963" s="23" t="s">
        <v>141</v>
      </c>
      <c r="E1963" s="23" t="s">
        <v>339</v>
      </c>
      <c r="F1963" s="21">
        <v>1</v>
      </c>
      <c r="G1963" s="12">
        <v>4000.0000000000005</v>
      </c>
      <c r="H1963" s="12">
        <v>4000.0000000000005</v>
      </c>
      <c r="I1963" s="23" t="s">
        <v>52</v>
      </c>
      <c r="J1963" s="23" t="s">
        <v>61</v>
      </c>
      <c r="K1963" s="24" t="s">
        <v>177</v>
      </c>
      <c r="L1963" s="24">
        <v>135</v>
      </c>
      <c r="M1963" s="12">
        <v>3361.3445378151264</v>
      </c>
      <c r="N1963" s="12">
        <v>3361.3445378151264</v>
      </c>
      <c r="O1963" s="12">
        <v>638.65546218487407</v>
      </c>
      <c r="P1963" s="13"/>
      <c r="Q1963" s="14">
        <v>2025</v>
      </c>
      <c r="R1963" s="15">
        <v>45413</v>
      </c>
      <c r="S1963" s="11" t="s">
        <v>369</v>
      </c>
      <c r="T1963" s="16">
        <v>0</v>
      </c>
      <c r="U1963" s="17"/>
      <c r="V1963" s="12">
        <v>953.78151260504228</v>
      </c>
      <c r="W1963" s="12">
        <v>953.78151260504228</v>
      </c>
      <c r="X1963" s="12">
        <v>0</v>
      </c>
      <c r="Y1963" s="18">
        <v>45775</v>
      </c>
      <c r="Z1963" s="13" t="s">
        <v>497</v>
      </c>
      <c r="AA1963" s="19" t="s">
        <v>367</v>
      </c>
      <c r="AB1963" s="13" t="s">
        <v>357</v>
      </c>
      <c r="AC1963" s="13" t="s">
        <v>367</v>
      </c>
      <c r="AD1963" s="20"/>
      <c r="AE1963" s="20"/>
      <c r="AF1963" s="13" t="s">
        <v>40</v>
      </c>
      <c r="AG1963" s="15">
        <v>45413</v>
      </c>
      <c r="AH1963" s="13" t="s">
        <v>41</v>
      </c>
      <c r="AI1963" s="13" t="s">
        <v>53</v>
      </c>
      <c r="AJ1963" s="13" t="str">
        <f>VLOOKUP(E1963,Precios!Z$2:AA$941,2,FALSE)</f>
        <v>Toalla Papel NOVA 12 metros</v>
      </c>
      <c r="AK1963" s="14">
        <f>VLOOKUP(E1963,Precios!Z$2:BB$941,3,FALSE)*F1963</f>
        <v>-3</v>
      </c>
      <c r="AL1963" s="17"/>
      <c r="AM1963" s="17"/>
      <c r="AN1963" s="17"/>
      <c r="AO1963" s="17"/>
      <c r="AP1963" s="17"/>
      <c r="AQ1963" s="17"/>
      <c r="AR1963" s="17"/>
      <c r="AS1963" s="17"/>
      <c r="AT1963" s="17"/>
      <c r="AU1963" s="17"/>
      <c r="AV1963" s="17"/>
    </row>
    <row r="1964" spans="1:48" ht="15.75" customHeight="1">
      <c r="A1964" s="21" t="s">
        <v>76</v>
      </c>
      <c r="B1964" s="23" t="s">
        <v>1692</v>
      </c>
      <c r="C1964" s="22">
        <v>45781</v>
      </c>
      <c r="D1964" s="23" t="s">
        <v>141</v>
      </c>
      <c r="E1964" s="23" t="s">
        <v>82</v>
      </c>
      <c r="F1964" s="21">
        <v>1</v>
      </c>
      <c r="G1964" s="12">
        <v>2000.0000000000002</v>
      </c>
      <c r="H1964" s="12">
        <v>2000.0000000000002</v>
      </c>
      <c r="I1964" s="23" t="s">
        <v>52</v>
      </c>
      <c r="J1964" s="23" t="s">
        <v>61</v>
      </c>
      <c r="K1964" s="24" t="s">
        <v>177</v>
      </c>
      <c r="L1964" s="24">
        <v>135</v>
      </c>
      <c r="M1964" s="12">
        <v>1680.6722689075632</v>
      </c>
      <c r="N1964" s="12">
        <v>1680.6722689075632</v>
      </c>
      <c r="O1964" s="12">
        <v>319.32773109243703</v>
      </c>
      <c r="P1964" s="13"/>
      <c r="Q1964" s="14">
        <v>2025</v>
      </c>
      <c r="R1964" s="15">
        <v>45413</v>
      </c>
      <c r="S1964" s="11" t="s">
        <v>463</v>
      </c>
      <c r="T1964" s="16">
        <v>5</v>
      </c>
      <c r="U1964" s="17"/>
      <c r="V1964" s="12">
        <v>680.67226890756319</v>
      </c>
      <c r="W1964" s="12">
        <v>680.67226890756319</v>
      </c>
      <c r="X1964" s="12">
        <v>0</v>
      </c>
      <c r="Y1964" s="18">
        <v>45775</v>
      </c>
      <c r="Z1964" s="13" t="s">
        <v>497</v>
      </c>
      <c r="AA1964" s="19" t="s">
        <v>367</v>
      </c>
      <c r="AB1964" s="13" t="s">
        <v>357</v>
      </c>
      <c r="AC1964" s="13" t="s">
        <v>367</v>
      </c>
      <c r="AD1964" s="20"/>
      <c r="AE1964" s="20"/>
      <c r="AF1964" s="13" t="s">
        <v>40</v>
      </c>
      <c r="AG1964" s="15">
        <v>45413</v>
      </c>
      <c r="AH1964" s="13" t="s">
        <v>41</v>
      </c>
      <c r="AI1964" s="13" t="s">
        <v>76</v>
      </c>
      <c r="AJ1964" s="13" t="str">
        <f>VLOOKUP(E1964,Precios!Z$2:AA$941,2,FALSE)</f>
        <v>Limpiapiso SPUM 5 Litros</v>
      </c>
      <c r="AK1964" s="14">
        <f>VLOOKUP(E1964,Precios!Z$2:BB$941,3,FALSE)*F1964</f>
        <v>-1</v>
      </c>
      <c r="AL1964" s="17"/>
      <c r="AM1964" s="17"/>
      <c r="AN1964" s="17"/>
      <c r="AO1964" s="17"/>
      <c r="AP1964" s="17"/>
      <c r="AQ1964" s="17"/>
      <c r="AR1964" s="17"/>
      <c r="AS1964" s="17"/>
      <c r="AT1964" s="17"/>
      <c r="AU1964" s="17"/>
      <c r="AV1964" s="17"/>
    </row>
    <row r="1965" spans="1:48" ht="15.75" customHeight="1">
      <c r="A1965" s="21" t="s">
        <v>35</v>
      </c>
      <c r="B1965" s="23" t="s">
        <v>1692</v>
      </c>
      <c r="C1965" s="22">
        <v>45781</v>
      </c>
      <c r="D1965" s="23" t="s">
        <v>141</v>
      </c>
      <c r="E1965" s="23" t="s">
        <v>37</v>
      </c>
      <c r="F1965" s="21">
        <v>1</v>
      </c>
      <c r="G1965" s="12">
        <v>10500</v>
      </c>
      <c r="H1965" s="12">
        <v>10500</v>
      </c>
      <c r="I1965" s="23" t="s">
        <v>52</v>
      </c>
      <c r="J1965" s="23" t="s">
        <v>61</v>
      </c>
      <c r="K1965" s="24" t="s">
        <v>177</v>
      </c>
      <c r="L1965" s="24">
        <v>135</v>
      </c>
      <c r="M1965" s="12">
        <v>8823.5294117647063</v>
      </c>
      <c r="N1965" s="12">
        <v>8823.5294117647063</v>
      </c>
      <c r="O1965" s="12">
        <v>1676.4705882352937</v>
      </c>
      <c r="P1965" s="13"/>
      <c r="Q1965" s="14">
        <v>2025</v>
      </c>
      <c r="R1965" s="15">
        <v>45413</v>
      </c>
      <c r="S1965" s="11" t="s">
        <v>364</v>
      </c>
      <c r="T1965" s="16">
        <v>1000</v>
      </c>
      <c r="U1965" s="17"/>
      <c r="V1965" s="12">
        <v>2385.7142857142853</v>
      </c>
      <c r="W1965" s="12">
        <v>2385.7142857142853</v>
      </c>
      <c r="X1965" s="12">
        <v>0</v>
      </c>
      <c r="Y1965" s="18">
        <v>45775</v>
      </c>
      <c r="Z1965" s="13" t="s">
        <v>497</v>
      </c>
      <c r="AA1965" s="19" t="s">
        <v>367</v>
      </c>
      <c r="AB1965" s="13" t="s">
        <v>357</v>
      </c>
      <c r="AC1965" s="13" t="s">
        <v>367</v>
      </c>
      <c r="AD1965" s="20"/>
      <c r="AE1965" s="20"/>
      <c r="AF1965" s="13" t="s">
        <v>40</v>
      </c>
      <c r="AG1965" s="15">
        <v>45413</v>
      </c>
      <c r="AH1965" s="13" t="s">
        <v>41</v>
      </c>
      <c r="AI1965" s="13" t="s">
        <v>35</v>
      </c>
      <c r="AJ1965" s="13" t="str">
        <f>VLOOKUP(E1965,Precios!Z$2:AA$941,2,FALSE)</f>
        <v>Queso RUNCA Mantecoso</v>
      </c>
      <c r="AK1965" s="14">
        <f>VLOOKUP(E1965,Precios!Z$2:BB$941,3,FALSE)*F1965</f>
        <v>-1</v>
      </c>
      <c r="AL1965" s="17"/>
      <c r="AM1965" s="17"/>
      <c r="AN1965" s="17"/>
      <c r="AO1965" s="17"/>
      <c r="AP1965" s="17"/>
      <c r="AQ1965" s="17"/>
      <c r="AR1965" s="17"/>
      <c r="AS1965" s="17"/>
      <c r="AT1965" s="17"/>
      <c r="AU1965" s="17"/>
      <c r="AV1965" s="17"/>
    </row>
    <row r="1966" spans="1:48" ht="15.75" customHeight="1">
      <c r="A1966" s="21" t="s">
        <v>53</v>
      </c>
      <c r="B1966" s="23" t="s">
        <v>1692</v>
      </c>
      <c r="C1966" s="25">
        <v>45780</v>
      </c>
      <c r="D1966" s="23" t="s">
        <v>637</v>
      </c>
      <c r="E1966" s="23" t="s">
        <v>163</v>
      </c>
      <c r="F1966" s="21">
        <v>3</v>
      </c>
      <c r="G1966" s="12">
        <v>18990</v>
      </c>
      <c r="H1966" s="12">
        <v>56970</v>
      </c>
      <c r="I1966" s="23" t="s">
        <v>52</v>
      </c>
      <c r="J1966" s="23" t="s">
        <v>61</v>
      </c>
      <c r="K1966" s="24" t="s">
        <v>177</v>
      </c>
      <c r="L1966" s="24">
        <v>135</v>
      </c>
      <c r="M1966" s="12">
        <v>15957.983193277312</v>
      </c>
      <c r="N1966" s="12">
        <v>47873.949579831933</v>
      </c>
      <c r="O1966" s="12">
        <v>9096.0504201680669</v>
      </c>
      <c r="P1966" s="13"/>
      <c r="Q1966" s="14">
        <v>2025</v>
      </c>
      <c r="R1966" s="15">
        <v>45413</v>
      </c>
      <c r="S1966" s="11" t="s">
        <v>435</v>
      </c>
      <c r="T1966" s="16">
        <v>0</v>
      </c>
      <c r="U1966" s="17"/>
      <c r="V1966" s="12">
        <v>12337.81512605042</v>
      </c>
      <c r="W1966" s="12">
        <v>12337.81512605042</v>
      </c>
      <c r="X1966" s="12">
        <v>0</v>
      </c>
      <c r="Y1966" s="18">
        <v>45775</v>
      </c>
      <c r="Z1966" s="13" t="s">
        <v>501</v>
      </c>
      <c r="AA1966" s="19" t="s">
        <v>373</v>
      </c>
      <c r="AB1966" s="13" t="s">
        <v>357</v>
      </c>
      <c r="AC1966" s="13" t="s">
        <v>462</v>
      </c>
      <c r="AD1966" s="20"/>
      <c r="AE1966" s="20"/>
      <c r="AF1966" s="13" t="s">
        <v>40</v>
      </c>
      <c r="AG1966" s="15">
        <v>45413</v>
      </c>
      <c r="AH1966" s="13" t="s">
        <v>41</v>
      </c>
      <c r="AI1966" s="13" t="s">
        <v>53</v>
      </c>
      <c r="AJ1966" s="13" t="str">
        <f>VLOOKUP(E1966,Precios!Z$2:AA$941,2,FALSE)</f>
        <v>Papel Higienico SWAN 50 metros</v>
      </c>
      <c r="AK1966" s="14">
        <f>VLOOKUP(E1966,Precios!Z$2:BB$941,3,FALSE)*F1966</f>
        <v>-24</v>
      </c>
      <c r="AL1966" s="17"/>
      <c r="AM1966" s="17"/>
      <c r="AN1966" s="17"/>
      <c r="AO1966" s="17"/>
      <c r="AP1966" s="17"/>
      <c r="AQ1966" s="17"/>
      <c r="AR1966" s="17"/>
      <c r="AS1966" s="17"/>
      <c r="AT1966" s="17"/>
      <c r="AU1966" s="17"/>
      <c r="AV1966" s="17"/>
    </row>
    <row r="1967" spans="1:48" ht="15.75" customHeight="1">
      <c r="A1967" s="21" t="s">
        <v>53</v>
      </c>
      <c r="B1967" s="23" t="s">
        <v>1692</v>
      </c>
      <c r="C1967" s="25">
        <v>45780</v>
      </c>
      <c r="D1967" s="23" t="s">
        <v>637</v>
      </c>
      <c r="E1967" s="23" t="s">
        <v>109</v>
      </c>
      <c r="F1967" s="21">
        <v>2</v>
      </c>
      <c r="G1967" s="12">
        <v>10000</v>
      </c>
      <c r="H1967" s="12">
        <v>20000</v>
      </c>
      <c r="I1967" s="23" t="s">
        <v>52</v>
      </c>
      <c r="J1967" s="23" t="s">
        <v>61</v>
      </c>
      <c r="K1967" s="24" t="s">
        <v>177</v>
      </c>
      <c r="L1967" s="24">
        <v>135</v>
      </c>
      <c r="M1967" s="12">
        <v>8403.361344537816</v>
      </c>
      <c r="N1967" s="12">
        <v>16806.722689075632</v>
      </c>
      <c r="O1967" s="12">
        <v>3193.2773109243681</v>
      </c>
      <c r="P1967" s="13"/>
      <c r="Q1967" s="14">
        <v>2025</v>
      </c>
      <c r="R1967" s="15">
        <v>45413</v>
      </c>
      <c r="S1967" s="11" t="s">
        <v>395</v>
      </c>
      <c r="T1967" s="16">
        <v>800</v>
      </c>
      <c r="U1967" s="17"/>
      <c r="V1967" s="12">
        <v>4201.6806722689089</v>
      </c>
      <c r="W1967" s="12">
        <v>4201.6806722689089</v>
      </c>
      <c r="X1967" s="12">
        <v>0</v>
      </c>
      <c r="Y1967" s="18">
        <v>45775</v>
      </c>
      <c r="Z1967" s="13" t="s">
        <v>501</v>
      </c>
      <c r="AA1967" s="19" t="s">
        <v>373</v>
      </c>
      <c r="AB1967" s="13" t="s">
        <v>357</v>
      </c>
      <c r="AC1967" s="13" t="s">
        <v>462</v>
      </c>
      <c r="AD1967" s="20"/>
      <c r="AE1967" s="20"/>
      <c r="AF1967" s="13" t="s">
        <v>40</v>
      </c>
      <c r="AG1967" s="15">
        <v>45413</v>
      </c>
      <c r="AH1967" s="13" t="s">
        <v>41</v>
      </c>
      <c r="AI1967" s="13" t="s">
        <v>53</v>
      </c>
      <c r="AJ1967" s="13" t="str">
        <f>VLOOKUP(E1967,Precios!Z$2:AA$941,2,FALSE)</f>
        <v>Toalla Papel SPUM D/H 100 metros</v>
      </c>
      <c r="AK1967" s="14">
        <f>VLOOKUP(E1967,Precios!Z$2:BB$941,3,FALSE)*F1967</f>
        <v>-8</v>
      </c>
      <c r="AL1967" s="17"/>
      <c r="AM1967" s="17"/>
      <c r="AN1967" s="17"/>
      <c r="AO1967" s="17"/>
      <c r="AP1967" s="17"/>
      <c r="AQ1967" s="17"/>
      <c r="AR1967" s="17"/>
      <c r="AS1967" s="17"/>
      <c r="AT1967" s="17"/>
      <c r="AU1967" s="17"/>
      <c r="AV1967" s="17"/>
    </row>
    <row r="1968" spans="1:48" ht="15.75" customHeight="1">
      <c r="A1968" s="21" t="s">
        <v>35</v>
      </c>
      <c r="B1968" s="23" t="s">
        <v>1692</v>
      </c>
      <c r="C1968" s="25">
        <v>45780</v>
      </c>
      <c r="D1968" s="23" t="s">
        <v>80</v>
      </c>
      <c r="E1968" s="23" t="s">
        <v>46</v>
      </c>
      <c r="F1968" s="14">
        <v>1</v>
      </c>
      <c r="G1968" s="12">
        <v>5500</v>
      </c>
      <c r="H1968" s="12">
        <v>5500</v>
      </c>
      <c r="I1968" s="23" t="s">
        <v>52</v>
      </c>
      <c r="J1968" s="23" t="s">
        <v>61</v>
      </c>
      <c r="K1968" s="24" t="s">
        <v>177</v>
      </c>
      <c r="L1968" s="24">
        <v>135</v>
      </c>
      <c r="M1968" s="12">
        <v>4621.8487394957983</v>
      </c>
      <c r="N1968" s="12">
        <v>4621.8487394957983</v>
      </c>
      <c r="O1968" s="12">
        <v>878.15126050420167</v>
      </c>
      <c r="P1968" s="13"/>
      <c r="Q1968" s="14">
        <v>2025</v>
      </c>
      <c r="R1968" s="15">
        <v>45413</v>
      </c>
      <c r="S1968" s="11" t="s">
        <v>364</v>
      </c>
      <c r="T1968" s="16">
        <v>500</v>
      </c>
      <c r="U1968" s="17"/>
      <c r="V1968" s="12">
        <v>1365.1260504201678</v>
      </c>
      <c r="W1968" s="12">
        <v>1365.1260504201678</v>
      </c>
      <c r="X1968" s="12">
        <v>0</v>
      </c>
      <c r="Y1968" s="18">
        <v>45775</v>
      </c>
      <c r="Z1968" s="13" t="s">
        <v>501</v>
      </c>
      <c r="AA1968" s="19" t="s">
        <v>361</v>
      </c>
      <c r="AB1968" s="13" t="s">
        <v>357</v>
      </c>
      <c r="AC1968" s="13" t="s">
        <v>362</v>
      </c>
      <c r="AD1968" s="20"/>
      <c r="AE1968" s="20"/>
      <c r="AF1968" s="13" t="s">
        <v>40</v>
      </c>
      <c r="AG1968" s="15">
        <v>45413</v>
      </c>
      <c r="AH1968" s="13" t="s">
        <v>41</v>
      </c>
      <c r="AI1968" s="13" t="s">
        <v>35</v>
      </c>
      <c r="AJ1968" s="13" t="str">
        <f>VLOOKUP(E1968,Precios!Z$2:AA$941,2,FALSE)</f>
        <v>Queso RUNCA Mantecoso</v>
      </c>
      <c r="AK1968" s="14">
        <f>VLOOKUP(E1968,Precios!Z$2:BB$941,3,FALSE)*F1968</f>
        <v>-0.5</v>
      </c>
      <c r="AL1968" s="17"/>
      <c r="AM1968" s="17"/>
      <c r="AN1968" s="17"/>
      <c r="AO1968" s="17"/>
      <c r="AP1968" s="17"/>
      <c r="AQ1968" s="17"/>
      <c r="AR1968" s="17"/>
      <c r="AS1968" s="17"/>
      <c r="AT1968" s="17"/>
      <c r="AU1968" s="17"/>
      <c r="AV1968" s="17"/>
    </row>
    <row r="1969" spans="1:48" ht="15.75" customHeight="1">
      <c r="A1969" s="21" t="s">
        <v>56</v>
      </c>
      <c r="B1969" s="23" t="s">
        <v>1692</v>
      </c>
      <c r="C1969" s="25">
        <v>45780</v>
      </c>
      <c r="D1969" s="23" t="s">
        <v>611</v>
      </c>
      <c r="E1969" s="23" t="s">
        <v>57</v>
      </c>
      <c r="F1969" s="14">
        <v>1</v>
      </c>
      <c r="G1969" s="12">
        <v>3000.2043527127817</v>
      </c>
      <c r="H1969" s="12">
        <v>3000.2043527127817</v>
      </c>
      <c r="I1969" s="23" t="s">
        <v>52</v>
      </c>
      <c r="J1969" s="23" t="s">
        <v>61</v>
      </c>
      <c r="K1969" s="24" t="s">
        <v>177</v>
      </c>
      <c r="L1969" s="24">
        <v>135</v>
      </c>
      <c r="M1969" s="12">
        <v>2521.1801283300688</v>
      </c>
      <c r="N1969" s="12">
        <v>2521.1801283300688</v>
      </c>
      <c r="O1969" s="12">
        <v>479.02422438271287</v>
      </c>
      <c r="P1969" s="13"/>
      <c r="Q1969" s="14">
        <v>2025</v>
      </c>
      <c r="R1969" s="15">
        <v>45413</v>
      </c>
      <c r="S1969" s="11" t="s">
        <v>427</v>
      </c>
      <c r="T1969" s="16">
        <v>135</v>
      </c>
      <c r="U1969" s="17"/>
      <c r="V1969" s="12">
        <v>1040.6927333720855</v>
      </c>
      <c r="W1969" s="12">
        <v>1040.6927333720855</v>
      </c>
      <c r="X1969" s="12">
        <v>0</v>
      </c>
      <c r="Y1969" s="18">
        <v>45775</v>
      </c>
      <c r="Z1969" s="13" t="s">
        <v>501</v>
      </c>
      <c r="AA1969" s="19" t="s">
        <v>373</v>
      </c>
      <c r="AB1969" s="13" t="s">
        <v>357</v>
      </c>
      <c r="AC1969" s="13"/>
      <c r="AD1969" s="20"/>
      <c r="AE1969" s="20"/>
      <c r="AF1969" s="13" t="s">
        <v>40</v>
      </c>
      <c r="AG1969" s="15">
        <v>45413</v>
      </c>
      <c r="AH1969" s="13" t="s">
        <v>41</v>
      </c>
      <c r="AI1969" s="13" t="s">
        <v>56</v>
      </c>
      <c r="AJ1969" s="13" t="str">
        <f>VLOOKUP(E1969,Precios!Z$2:AA$941,2,FALSE)</f>
        <v>Provoleta Parrillera</v>
      </c>
      <c r="AK1969" s="14">
        <f>VLOOKUP(E1969,Precios!Z$2:BB$941,3,FALSE)*F1969</f>
        <v>-1</v>
      </c>
      <c r="AL1969" s="17"/>
      <c r="AM1969" s="17"/>
      <c r="AN1969" s="17"/>
      <c r="AO1969" s="17"/>
      <c r="AP1969" s="17"/>
      <c r="AQ1969" s="17"/>
      <c r="AR1969" s="17"/>
      <c r="AS1969" s="17"/>
      <c r="AT1969" s="17"/>
      <c r="AU1969" s="17"/>
      <c r="AV1969" s="17"/>
    </row>
    <row r="1970" spans="1:48" ht="15.75" customHeight="1">
      <c r="A1970" s="21" t="s">
        <v>56</v>
      </c>
      <c r="B1970" s="23" t="s">
        <v>1692</v>
      </c>
      <c r="C1970" s="25">
        <v>45780</v>
      </c>
      <c r="D1970" s="23" t="s">
        <v>611</v>
      </c>
      <c r="E1970" s="23" t="s">
        <v>524</v>
      </c>
      <c r="F1970" s="14">
        <v>1</v>
      </c>
      <c r="G1970" s="12">
        <v>4800.1002631908759</v>
      </c>
      <c r="H1970" s="12">
        <v>4800.1002631908759</v>
      </c>
      <c r="I1970" s="23" t="s">
        <v>52</v>
      </c>
      <c r="J1970" s="23" t="s">
        <v>61</v>
      </c>
      <c r="K1970" s="24" t="s">
        <v>177</v>
      </c>
      <c r="L1970" s="24">
        <v>135</v>
      </c>
      <c r="M1970" s="12">
        <v>4033.6977001604</v>
      </c>
      <c r="N1970" s="12">
        <v>4033.6977001604</v>
      </c>
      <c r="O1970" s="12">
        <v>766.4025630304759</v>
      </c>
      <c r="P1970" s="13"/>
      <c r="Q1970" s="14">
        <v>2025</v>
      </c>
      <c r="R1970" s="15">
        <v>45413</v>
      </c>
      <c r="S1970" s="11" t="s">
        <v>429</v>
      </c>
      <c r="T1970" s="16">
        <v>200</v>
      </c>
      <c r="U1970" s="17"/>
      <c r="V1970" s="12">
        <v>815.21030520241675</v>
      </c>
      <c r="W1970" s="12">
        <v>815.21030520241675</v>
      </c>
      <c r="X1970" s="12">
        <v>0</v>
      </c>
      <c r="Y1970" s="18">
        <v>45775</v>
      </c>
      <c r="Z1970" s="13" t="s">
        <v>501</v>
      </c>
      <c r="AA1970" s="19" t="s">
        <v>373</v>
      </c>
      <c r="AB1970" s="13" t="s">
        <v>357</v>
      </c>
      <c r="AC1970" s="13"/>
      <c r="AD1970" s="20"/>
      <c r="AE1970" s="20"/>
      <c r="AF1970" s="13" t="s">
        <v>40</v>
      </c>
      <c r="AG1970" s="15">
        <v>45413</v>
      </c>
      <c r="AH1970" s="13" t="s">
        <v>41</v>
      </c>
      <c r="AI1970" s="13" t="s">
        <v>56</v>
      </c>
      <c r="AJ1970" s="13" t="str">
        <f>VLOOKUP(E1970,Precios!Z$2:AA$941,2,FALSE)</f>
        <v>Queso Cabra</v>
      </c>
      <c r="AK1970" s="14">
        <f>VLOOKUP(E1970,Precios!Z$2:BB$941,3,FALSE)*F1970</f>
        <v>-1</v>
      </c>
      <c r="AL1970" s="17"/>
      <c r="AM1970" s="17"/>
      <c r="AN1970" s="17"/>
      <c r="AO1970" s="17"/>
      <c r="AP1970" s="17"/>
      <c r="AQ1970" s="17"/>
      <c r="AR1970" s="17"/>
      <c r="AS1970" s="17"/>
      <c r="AT1970" s="17"/>
      <c r="AU1970" s="17"/>
      <c r="AV1970" s="17"/>
    </row>
    <row r="1971" spans="1:48" ht="15.75" customHeight="1">
      <c r="A1971" s="21" t="s">
        <v>35</v>
      </c>
      <c r="B1971" s="23" t="s">
        <v>1692</v>
      </c>
      <c r="C1971" s="22">
        <v>45780</v>
      </c>
      <c r="D1971" s="23" t="s">
        <v>119</v>
      </c>
      <c r="E1971" s="23" t="s">
        <v>37</v>
      </c>
      <c r="F1971" s="21">
        <v>1</v>
      </c>
      <c r="G1971" s="12">
        <v>10500</v>
      </c>
      <c r="H1971" s="12">
        <v>10500</v>
      </c>
      <c r="I1971" s="23" t="s">
        <v>52</v>
      </c>
      <c r="J1971" s="23" t="s">
        <v>61</v>
      </c>
      <c r="K1971" s="24" t="s">
        <v>177</v>
      </c>
      <c r="L1971" s="24">
        <v>135</v>
      </c>
      <c r="M1971" s="12">
        <v>8823.5294117647063</v>
      </c>
      <c r="N1971" s="12">
        <v>8823.5294117647063</v>
      </c>
      <c r="O1971" s="12">
        <v>1676.4705882352937</v>
      </c>
      <c r="P1971" s="13"/>
      <c r="Q1971" s="14">
        <v>2025</v>
      </c>
      <c r="R1971" s="15">
        <v>45413</v>
      </c>
      <c r="S1971" s="11" t="s">
        <v>364</v>
      </c>
      <c r="T1971" s="16">
        <v>1000</v>
      </c>
      <c r="U1971" s="17"/>
      <c r="V1971" s="12">
        <v>2385.7142857142853</v>
      </c>
      <c r="W1971" s="12">
        <v>2385.7142857142853</v>
      </c>
      <c r="X1971" s="12">
        <v>0</v>
      </c>
      <c r="Y1971" s="18">
        <v>45775</v>
      </c>
      <c r="Z1971" s="13" t="s">
        <v>501</v>
      </c>
      <c r="AA1971" s="19" t="s">
        <v>373</v>
      </c>
      <c r="AB1971" s="13" t="s">
        <v>357</v>
      </c>
      <c r="AC1971" s="13" t="s">
        <v>629</v>
      </c>
      <c r="AD1971" s="20"/>
      <c r="AE1971" s="20"/>
      <c r="AF1971" s="13" t="s">
        <v>40</v>
      </c>
      <c r="AG1971" s="15">
        <v>45413</v>
      </c>
      <c r="AH1971" s="13" t="s">
        <v>41</v>
      </c>
      <c r="AI1971" s="13" t="s">
        <v>35</v>
      </c>
      <c r="AJ1971" s="13" t="str">
        <f>VLOOKUP(E1971,Precios!Z$2:AA$941,2,FALSE)</f>
        <v>Queso RUNCA Mantecoso</v>
      </c>
      <c r="AK1971" s="14">
        <f>VLOOKUP(E1971,Precios!Z$2:BB$941,3,FALSE)*F1971</f>
        <v>-1</v>
      </c>
      <c r="AL1971" s="17"/>
      <c r="AM1971" s="17"/>
      <c r="AN1971" s="17"/>
      <c r="AO1971" s="17"/>
      <c r="AP1971" s="17"/>
      <c r="AQ1971" s="17"/>
      <c r="AR1971" s="17"/>
      <c r="AS1971" s="17"/>
      <c r="AT1971" s="17"/>
      <c r="AU1971" s="17"/>
      <c r="AV1971" s="17"/>
    </row>
    <row r="1972" spans="1:48" ht="15.75" customHeight="1">
      <c r="A1972" s="21" t="s">
        <v>35</v>
      </c>
      <c r="B1972" s="23" t="s">
        <v>1692</v>
      </c>
      <c r="C1972" s="22">
        <v>45780</v>
      </c>
      <c r="D1972" s="23" t="s">
        <v>340</v>
      </c>
      <c r="E1972" s="23" t="s">
        <v>46</v>
      </c>
      <c r="F1972" s="21">
        <v>1</v>
      </c>
      <c r="G1972" s="12">
        <v>5500</v>
      </c>
      <c r="H1972" s="12">
        <v>5500</v>
      </c>
      <c r="I1972" s="23" t="s">
        <v>52</v>
      </c>
      <c r="J1972" s="23" t="s">
        <v>61</v>
      </c>
      <c r="K1972" s="24" t="s">
        <v>177</v>
      </c>
      <c r="L1972" s="24">
        <v>135</v>
      </c>
      <c r="M1972" s="12">
        <v>4621.8487394957983</v>
      </c>
      <c r="N1972" s="12">
        <v>4621.8487394957983</v>
      </c>
      <c r="O1972" s="12">
        <v>878.15126050420167</v>
      </c>
      <c r="P1972" s="13"/>
      <c r="Q1972" s="14">
        <v>2025</v>
      </c>
      <c r="R1972" s="15">
        <v>45413</v>
      </c>
      <c r="S1972" s="11" t="s">
        <v>364</v>
      </c>
      <c r="T1972" s="16">
        <v>500</v>
      </c>
      <c r="U1972" s="17"/>
      <c r="V1972" s="12">
        <v>1365.1260504201678</v>
      </c>
      <c r="W1972" s="12">
        <v>1365.1260504201678</v>
      </c>
      <c r="X1972" s="12">
        <v>0</v>
      </c>
      <c r="Y1972" s="18">
        <v>45775</v>
      </c>
      <c r="Z1972" s="13" t="s">
        <v>501</v>
      </c>
      <c r="AA1972" s="19" t="s">
        <v>373</v>
      </c>
      <c r="AB1972" s="13" t="s">
        <v>357</v>
      </c>
      <c r="AC1972" s="13" t="s">
        <v>380</v>
      </c>
      <c r="AD1972" s="20"/>
      <c r="AE1972" s="20"/>
      <c r="AF1972" s="13" t="s">
        <v>40</v>
      </c>
      <c r="AG1972" s="15">
        <v>45413</v>
      </c>
      <c r="AH1972" s="13" t="s">
        <v>41</v>
      </c>
      <c r="AI1972" s="13" t="s">
        <v>35</v>
      </c>
      <c r="AJ1972" s="13" t="str">
        <f>VLOOKUP(E1972,Precios!Z$2:AA$941,2,FALSE)</f>
        <v>Queso RUNCA Mantecoso</v>
      </c>
      <c r="AK1972" s="14">
        <f>VLOOKUP(E1972,Precios!Z$2:BB$941,3,FALSE)*F1972</f>
        <v>-0.5</v>
      </c>
      <c r="AL1972" s="17"/>
      <c r="AM1972" s="17"/>
      <c r="AN1972" s="17"/>
      <c r="AO1972" s="17"/>
      <c r="AP1972" s="17"/>
      <c r="AQ1972" s="17"/>
      <c r="AR1972" s="17"/>
      <c r="AS1972" s="17"/>
      <c r="AT1972" s="17"/>
      <c r="AU1972" s="17"/>
      <c r="AV1972" s="17"/>
    </row>
    <row r="1973" spans="1:48" ht="15.75" customHeight="1">
      <c r="A1973" s="21" t="s">
        <v>35</v>
      </c>
      <c r="B1973" s="23" t="s">
        <v>1692</v>
      </c>
      <c r="C1973" s="22">
        <v>45780</v>
      </c>
      <c r="D1973" s="23" t="s">
        <v>915</v>
      </c>
      <c r="E1973" s="23" t="s">
        <v>37</v>
      </c>
      <c r="F1973" s="21">
        <v>1</v>
      </c>
      <c r="G1973" s="12">
        <v>10500</v>
      </c>
      <c r="H1973" s="12">
        <v>10500</v>
      </c>
      <c r="I1973" s="23" t="s">
        <v>52</v>
      </c>
      <c r="J1973" s="23" t="s">
        <v>61</v>
      </c>
      <c r="K1973" s="24" t="s">
        <v>177</v>
      </c>
      <c r="L1973" s="24">
        <v>135</v>
      </c>
      <c r="M1973" s="12">
        <v>8823.5294117647063</v>
      </c>
      <c r="N1973" s="12">
        <v>8823.5294117647063</v>
      </c>
      <c r="O1973" s="12">
        <v>1676.4705882352937</v>
      </c>
      <c r="P1973" s="13"/>
      <c r="Q1973" s="14">
        <v>2025</v>
      </c>
      <c r="R1973" s="15">
        <v>45413</v>
      </c>
      <c r="S1973" s="11" t="s">
        <v>364</v>
      </c>
      <c r="T1973" s="16">
        <v>1000</v>
      </c>
      <c r="U1973" s="17"/>
      <c r="V1973" s="12">
        <v>2385.7142857142853</v>
      </c>
      <c r="W1973" s="12">
        <v>2385.7142857142853</v>
      </c>
      <c r="X1973" s="12">
        <v>0</v>
      </c>
      <c r="Y1973" s="18">
        <v>45775</v>
      </c>
      <c r="Z1973" s="13" t="s">
        <v>501</v>
      </c>
      <c r="AA1973" s="19" t="s">
        <v>367</v>
      </c>
      <c r="AB1973" s="13" t="s">
        <v>357</v>
      </c>
      <c r="AC1973" s="13" t="s">
        <v>367</v>
      </c>
      <c r="AD1973" s="20"/>
      <c r="AE1973" s="20"/>
      <c r="AF1973" s="13" t="s">
        <v>40</v>
      </c>
      <c r="AG1973" s="15">
        <v>45413</v>
      </c>
      <c r="AH1973" s="13" t="s">
        <v>41</v>
      </c>
      <c r="AI1973" s="13" t="s">
        <v>35</v>
      </c>
      <c r="AJ1973" s="13" t="str">
        <f>VLOOKUP(E1973,Precios!Z$2:AA$941,2,FALSE)</f>
        <v>Queso RUNCA Mantecoso</v>
      </c>
      <c r="AK1973" s="14">
        <f>VLOOKUP(E1973,Precios!Z$2:BB$941,3,FALSE)*F1973</f>
        <v>-1</v>
      </c>
      <c r="AL1973" s="17"/>
      <c r="AM1973" s="17"/>
      <c r="AN1973" s="17"/>
      <c r="AO1973" s="17"/>
      <c r="AP1973" s="17"/>
      <c r="AQ1973" s="17"/>
      <c r="AR1973" s="17"/>
      <c r="AS1973" s="17"/>
      <c r="AT1973" s="17"/>
      <c r="AU1973" s="17"/>
      <c r="AV1973" s="17"/>
    </row>
    <row r="1974" spans="1:48" ht="15.75" customHeight="1">
      <c r="A1974" s="21" t="s">
        <v>64</v>
      </c>
      <c r="B1974" s="23" t="s">
        <v>1692</v>
      </c>
      <c r="C1974" s="22">
        <v>45780</v>
      </c>
      <c r="D1974" s="23" t="s">
        <v>915</v>
      </c>
      <c r="E1974" s="23" t="s">
        <v>65</v>
      </c>
      <c r="F1974" s="21">
        <v>1</v>
      </c>
      <c r="G1974" s="12">
        <v>8199.8794599807134</v>
      </c>
      <c r="H1974" s="12">
        <v>8199.8794599807134</v>
      </c>
      <c r="I1974" s="23" t="s">
        <v>52</v>
      </c>
      <c r="J1974" s="23" t="s">
        <v>61</v>
      </c>
      <c r="K1974" s="24" t="s">
        <v>177</v>
      </c>
      <c r="L1974" s="24">
        <v>135</v>
      </c>
      <c r="M1974" s="12">
        <v>6890.6550083871543</v>
      </c>
      <c r="N1974" s="12">
        <v>6890.6550083871543</v>
      </c>
      <c r="O1974" s="12">
        <v>1309.224451593559</v>
      </c>
      <c r="P1974" s="13"/>
      <c r="Q1974" s="14">
        <v>2025</v>
      </c>
      <c r="R1974" s="15">
        <v>45413</v>
      </c>
      <c r="S1974" s="11" t="s">
        <v>64</v>
      </c>
      <c r="T1974" s="16">
        <v>1</v>
      </c>
      <c r="U1974" s="17"/>
      <c r="V1974" s="12">
        <v>1174.1676134291711</v>
      </c>
      <c r="W1974" s="12">
        <v>1174.1676134291711</v>
      </c>
      <c r="X1974" s="12">
        <v>0</v>
      </c>
      <c r="Y1974" s="18">
        <v>45775</v>
      </c>
      <c r="Z1974" s="13" t="s">
        <v>501</v>
      </c>
      <c r="AA1974" s="19" t="s">
        <v>367</v>
      </c>
      <c r="AB1974" s="13" t="s">
        <v>357</v>
      </c>
      <c r="AC1974" s="13" t="s">
        <v>367</v>
      </c>
      <c r="AD1974" s="20"/>
      <c r="AE1974" s="20"/>
      <c r="AF1974" s="13" t="s">
        <v>40</v>
      </c>
      <c r="AG1974" s="15">
        <v>45413</v>
      </c>
      <c r="AH1974" s="13" t="s">
        <v>41</v>
      </c>
      <c r="AI1974" s="13" t="s">
        <v>64</v>
      </c>
      <c r="AJ1974" s="13" t="str">
        <f>VLOOKUP(E1974,Precios!Z$2:AA$941,2,FALSE)</f>
        <v>Longanizas VILLABLANCA</v>
      </c>
      <c r="AK1974" s="14">
        <f>VLOOKUP(E1974,Precios!Z$2:BB$941,3,FALSE)*F1974</f>
        <v>-1</v>
      </c>
      <c r="AL1974" s="17"/>
      <c r="AM1974" s="17"/>
      <c r="AN1974" s="17"/>
      <c r="AO1974" s="17"/>
      <c r="AP1974" s="17"/>
      <c r="AQ1974" s="17"/>
      <c r="AR1974" s="17"/>
      <c r="AS1974" s="17"/>
      <c r="AT1974" s="17"/>
      <c r="AU1974" s="17"/>
      <c r="AV1974" s="17"/>
    </row>
    <row r="1975" spans="1:48" ht="15.75" customHeight="1">
      <c r="A1975" s="21" t="s">
        <v>56</v>
      </c>
      <c r="B1975" s="23" t="s">
        <v>1692</v>
      </c>
      <c r="C1975" s="22">
        <v>45779</v>
      </c>
      <c r="D1975" s="23" t="s">
        <v>915</v>
      </c>
      <c r="E1975" s="23" t="s">
        <v>190</v>
      </c>
      <c r="F1975" s="21">
        <v>1</v>
      </c>
      <c r="G1975" s="12">
        <v>2500</v>
      </c>
      <c r="H1975" s="12">
        <v>2500</v>
      </c>
      <c r="I1975" s="23" t="s">
        <v>52</v>
      </c>
      <c r="J1975" s="23" t="s">
        <v>61</v>
      </c>
      <c r="K1975" s="24" t="s">
        <v>177</v>
      </c>
      <c r="L1975" s="24">
        <v>134</v>
      </c>
      <c r="M1975" s="12">
        <v>2100.840336134454</v>
      </c>
      <c r="N1975" s="12">
        <v>2100.840336134454</v>
      </c>
      <c r="O1975" s="12">
        <v>399.15966386554601</v>
      </c>
      <c r="P1975" s="13"/>
      <c r="Q1975" s="14">
        <v>2025</v>
      </c>
      <c r="R1975" s="15">
        <v>45413</v>
      </c>
      <c r="S1975" s="11" t="s">
        <v>492</v>
      </c>
      <c r="T1975" s="16">
        <v>200</v>
      </c>
      <c r="U1975" s="17"/>
      <c r="V1975" s="12">
        <v>631.93277310924373</v>
      </c>
      <c r="W1975" s="12">
        <v>631.93277310924373</v>
      </c>
      <c r="X1975" s="12">
        <v>0</v>
      </c>
      <c r="Y1975" s="18">
        <v>45775</v>
      </c>
      <c r="Z1975" s="13" t="s">
        <v>503</v>
      </c>
      <c r="AA1975" s="19" t="s">
        <v>367</v>
      </c>
      <c r="AB1975" s="13" t="s">
        <v>357</v>
      </c>
      <c r="AC1975" s="13" t="s">
        <v>367</v>
      </c>
      <c r="AD1975" s="20"/>
      <c r="AE1975" s="20"/>
      <c r="AF1975" s="13" t="s">
        <v>40</v>
      </c>
      <c r="AG1975" s="15">
        <v>45413</v>
      </c>
      <c r="AH1975" s="13" t="s">
        <v>41</v>
      </c>
      <c r="AI1975" s="13" t="s">
        <v>56</v>
      </c>
      <c r="AJ1975" s="13" t="str">
        <f>VLOOKUP(E1975,Precios!Z$2:AA$941,2,FALSE)</f>
        <v>Mantequilla RUMAY</v>
      </c>
      <c r="AK1975" s="14">
        <f>VLOOKUP(E1975,Precios!Z$2:BB$941,3,FALSE)*F1975</f>
        <v>-1</v>
      </c>
      <c r="AL1975" s="17"/>
      <c r="AM1975" s="17"/>
      <c r="AN1975" s="17"/>
      <c r="AO1975" s="17"/>
      <c r="AP1975" s="17"/>
      <c r="AQ1975" s="17"/>
      <c r="AR1975" s="17"/>
      <c r="AS1975" s="17"/>
      <c r="AT1975" s="17"/>
      <c r="AU1975" s="17"/>
      <c r="AV1975" s="17"/>
    </row>
    <row r="1976" spans="1:48" ht="15.75" customHeight="1">
      <c r="A1976" s="21" t="s">
        <v>76</v>
      </c>
      <c r="B1976" s="23" t="s">
        <v>1692</v>
      </c>
      <c r="C1976" s="22">
        <v>45779</v>
      </c>
      <c r="D1976" s="23" t="s">
        <v>152</v>
      </c>
      <c r="E1976" s="23" t="s">
        <v>81</v>
      </c>
      <c r="F1976" s="21">
        <v>1</v>
      </c>
      <c r="G1976" s="12">
        <v>3500.0000000000005</v>
      </c>
      <c r="H1976" s="12">
        <v>3500.0000000000005</v>
      </c>
      <c r="I1976" s="23" t="s">
        <v>52</v>
      </c>
      <c r="J1976" s="23" t="s">
        <v>61</v>
      </c>
      <c r="K1976" s="24" t="s">
        <v>177</v>
      </c>
      <c r="L1976" s="24">
        <v>134</v>
      </c>
      <c r="M1976" s="12">
        <v>2941.1764705882356</v>
      </c>
      <c r="N1976" s="12">
        <v>2941.1764705882356</v>
      </c>
      <c r="O1976" s="12">
        <v>558.82352941176487</v>
      </c>
      <c r="P1976" s="13"/>
      <c r="Q1976" s="14">
        <v>2025</v>
      </c>
      <c r="R1976" s="15">
        <v>45413</v>
      </c>
      <c r="S1976" s="11" t="s">
        <v>397</v>
      </c>
      <c r="T1976" s="16">
        <v>5</v>
      </c>
      <c r="U1976" s="17"/>
      <c r="V1976" s="12">
        <v>764.70588235294144</v>
      </c>
      <c r="W1976" s="12">
        <v>764.70588235294144</v>
      </c>
      <c r="X1976" s="12">
        <v>0</v>
      </c>
      <c r="Y1976" s="18">
        <v>45775</v>
      </c>
      <c r="Z1976" s="13" t="s">
        <v>503</v>
      </c>
      <c r="AA1976" s="19" t="s">
        <v>373</v>
      </c>
      <c r="AB1976" s="13" t="s">
        <v>357</v>
      </c>
      <c r="AC1976" s="13" t="s">
        <v>383</v>
      </c>
      <c r="AD1976" s="20"/>
      <c r="AE1976" s="20"/>
      <c r="AF1976" s="13" t="s">
        <v>40</v>
      </c>
      <c r="AG1976" s="15">
        <v>45413</v>
      </c>
      <c r="AH1976" s="13" t="s">
        <v>41</v>
      </c>
      <c r="AI1976" s="13" t="s">
        <v>76</v>
      </c>
      <c r="AJ1976" s="13" t="str">
        <f>VLOOKUP(E1976,Precios!Z$2:AA$941,2,FALSE)</f>
        <v>Detergente SPUM 5 Litros (Verde)</v>
      </c>
      <c r="AK1976" s="14">
        <f>VLOOKUP(E1976,Precios!Z$2:BB$941,3,FALSE)*F1976</f>
        <v>-1</v>
      </c>
      <c r="AL1976" s="17"/>
      <c r="AM1976" s="17"/>
      <c r="AN1976" s="17"/>
      <c r="AO1976" s="17"/>
      <c r="AP1976" s="17"/>
      <c r="AQ1976" s="17"/>
      <c r="AR1976" s="17"/>
      <c r="AS1976" s="17"/>
      <c r="AT1976" s="17"/>
      <c r="AU1976" s="17"/>
      <c r="AV1976" s="17"/>
    </row>
    <row r="1977" spans="1:48" ht="15.75" customHeight="1">
      <c r="A1977" s="21" t="s">
        <v>35</v>
      </c>
      <c r="B1977" s="23" t="s">
        <v>1692</v>
      </c>
      <c r="C1977" s="22">
        <v>45779</v>
      </c>
      <c r="D1977" s="23" t="s">
        <v>124</v>
      </c>
      <c r="E1977" s="23" t="s">
        <v>37</v>
      </c>
      <c r="F1977" s="21">
        <v>1</v>
      </c>
      <c r="G1977" s="12">
        <v>10500</v>
      </c>
      <c r="H1977" s="12">
        <v>10500</v>
      </c>
      <c r="I1977" s="23" t="s">
        <v>52</v>
      </c>
      <c r="J1977" s="23" t="s">
        <v>61</v>
      </c>
      <c r="K1977" s="24" t="s">
        <v>177</v>
      </c>
      <c r="L1977" s="24">
        <v>134</v>
      </c>
      <c r="M1977" s="12">
        <v>8823.5294117647063</v>
      </c>
      <c r="N1977" s="12">
        <v>8823.5294117647063</v>
      </c>
      <c r="O1977" s="12">
        <v>1676.4705882352937</v>
      </c>
      <c r="P1977" s="13"/>
      <c r="Q1977" s="14">
        <v>2025</v>
      </c>
      <c r="R1977" s="15">
        <v>45413</v>
      </c>
      <c r="S1977" s="11" t="s">
        <v>364</v>
      </c>
      <c r="T1977" s="16">
        <v>1000</v>
      </c>
      <c r="U1977" s="17"/>
      <c r="V1977" s="12">
        <v>2385.7142857142853</v>
      </c>
      <c r="W1977" s="12">
        <v>2385.7142857142853</v>
      </c>
      <c r="X1977" s="12">
        <v>0</v>
      </c>
      <c r="Y1977" s="18">
        <v>45775</v>
      </c>
      <c r="Z1977" s="13" t="s">
        <v>503</v>
      </c>
      <c r="AA1977" s="19" t="s">
        <v>356</v>
      </c>
      <c r="AB1977" s="13" t="s">
        <v>357</v>
      </c>
      <c r="AC1977" s="13" t="s">
        <v>383</v>
      </c>
      <c r="AD1977" s="20"/>
      <c r="AE1977" s="20"/>
      <c r="AF1977" s="13" t="s">
        <v>40</v>
      </c>
      <c r="AG1977" s="15">
        <v>45413</v>
      </c>
      <c r="AH1977" s="13" t="s">
        <v>41</v>
      </c>
      <c r="AI1977" s="13" t="s">
        <v>35</v>
      </c>
      <c r="AJ1977" s="13" t="str">
        <f>VLOOKUP(E1977,Precios!Z$2:AA$941,2,FALSE)</f>
        <v>Queso RUNCA Mantecoso</v>
      </c>
      <c r="AK1977" s="14">
        <f>VLOOKUP(E1977,Precios!Z$2:BB$941,3,FALSE)*F1977</f>
        <v>-1</v>
      </c>
      <c r="AL1977" s="17"/>
      <c r="AM1977" s="17"/>
      <c r="AN1977" s="17"/>
      <c r="AO1977" s="17"/>
      <c r="AP1977" s="17"/>
      <c r="AQ1977" s="17"/>
      <c r="AR1977" s="17"/>
      <c r="AS1977" s="17"/>
      <c r="AT1977" s="17"/>
      <c r="AU1977" s="17"/>
      <c r="AV1977" s="17"/>
    </row>
    <row r="1978" spans="1:48" ht="15.75" customHeight="1">
      <c r="A1978" s="21" t="s">
        <v>50</v>
      </c>
      <c r="B1978" s="23" t="s">
        <v>1692</v>
      </c>
      <c r="C1978" s="22">
        <v>45779</v>
      </c>
      <c r="D1978" s="23" t="s">
        <v>124</v>
      </c>
      <c r="E1978" s="23" t="s">
        <v>51</v>
      </c>
      <c r="F1978" s="21">
        <v>2</v>
      </c>
      <c r="G1978" s="12">
        <v>1000.0000000000001</v>
      </c>
      <c r="H1978" s="12">
        <v>2000.0000000000002</v>
      </c>
      <c r="I1978" s="23" t="s">
        <v>52</v>
      </c>
      <c r="J1978" s="23" t="s">
        <v>61</v>
      </c>
      <c r="K1978" s="24" t="s">
        <v>177</v>
      </c>
      <c r="L1978" s="24">
        <v>134</v>
      </c>
      <c r="M1978" s="12">
        <v>840.3361344537816</v>
      </c>
      <c r="N1978" s="12">
        <v>1680.6722689075632</v>
      </c>
      <c r="O1978" s="12">
        <v>319.32773109243703</v>
      </c>
      <c r="P1978" s="13"/>
      <c r="Q1978" s="14">
        <v>2025</v>
      </c>
      <c r="R1978" s="15">
        <v>45413</v>
      </c>
      <c r="S1978" s="11" t="s">
        <v>51</v>
      </c>
      <c r="T1978" s="16">
        <v>0</v>
      </c>
      <c r="U1978" s="17"/>
      <c r="V1978" s="12">
        <v>880.67226890756319</v>
      </c>
      <c r="W1978" s="12">
        <v>880.67226890756319</v>
      </c>
      <c r="X1978" s="12">
        <v>0</v>
      </c>
      <c r="Y1978" s="18">
        <v>45775</v>
      </c>
      <c r="Z1978" s="13" t="s">
        <v>503</v>
      </c>
      <c r="AA1978" s="19" t="s">
        <v>356</v>
      </c>
      <c r="AB1978" s="13" t="s">
        <v>357</v>
      </c>
      <c r="AC1978" s="13" t="s">
        <v>383</v>
      </c>
      <c r="AD1978" s="20"/>
      <c r="AE1978" s="20"/>
      <c r="AF1978" s="13" t="s">
        <v>40</v>
      </c>
      <c r="AG1978" s="15">
        <v>45413</v>
      </c>
      <c r="AH1978" s="13" t="s">
        <v>41</v>
      </c>
      <c r="AI1978" s="13" t="s">
        <v>50</v>
      </c>
      <c r="AJ1978" s="13" t="str">
        <f>VLOOKUP(E1978,Precios!Z$2:AA$941,2,FALSE)</f>
        <v>Hielo 1 Kilo</v>
      </c>
      <c r="AK1978" s="14">
        <f>VLOOKUP(E1978,Precios!Z$2:BB$941,3,FALSE)*F1978</f>
        <v>-2</v>
      </c>
      <c r="AL1978" s="17"/>
      <c r="AM1978" s="17"/>
      <c r="AN1978" s="17"/>
      <c r="AO1978" s="17"/>
      <c r="AP1978" s="17"/>
      <c r="AQ1978" s="17"/>
      <c r="AR1978" s="17"/>
      <c r="AS1978" s="17"/>
      <c r="AT1978" s="17"/>
      <c r="AU1978" s="17"/>
      <c r="AV1978" s="17"/>
    </row>
    <row r="1979" spans="1:48" ht="15.75" customHeight="1">
      <c r="A1979" s="21" t="s">
        <v>53</v>
      </c>
      <c r="B1979" s="23" t="s">
        <v>1692</v>
      </c>
      <c r="C1979" s="22">
        <v>45779</v>
      </c>
      <c r="D1979" s="23" t="s">
        <v>346</v>
      </c>
      <c r="E1979" s="23" t="s">
        <v>55</v>
      </c>
      <c r="F1979" s="21">
        <v>1</v>
      </c>
      <c r="G1979" s="12">
        <v>20899.657794676805</v>
      </c>
      <c r="H1979" s="12">
        <v>20899.657794676805</v>
      </c>
      <c r="I1979" s="23" t="s">
        <v>52</v>
      </c>
      <c r="J1979" s="23" t="s">
        <v>61</v>
      </c>
      <c r="K1979" s="24" t="s">
        <v>177</v>
      </c>
      <c r="L1979" s="24">
        <v>134</v>
      </c>
      <c r="M1979" s="12">
        <v>17562.737642585551</v>
      </c>
      <c r="N1979" s="12">
        <v>17562.737642585551</v>
      </c>
      <c r="O1979" s="12">
        <v>3336.9201520912538</v>
      </c>
      <c r="P1979" s="13"/>
      <c r="Q1979" s="14">
        <v>2025</v>
      </c>
      <c r="R1979" s="15">
        <v>45413</v>
      </c>
      <c r="S1979" s="11" t="s">
        <v>366</v>
      </c>
      <c r="T1979" s="16">
        <v>0</v>
      </c>
      <c r="U1979" s="17"/>
      <c r="V1979" s="12">
        <v>3705.7376425855509</v>
      </c>
      <c r="W1979" s="12">
        <v>3705.7376425855509</v>
      </c>
      <c r="X1979" s="12">
        <v>0</v>
      </c>
      <c r="Y1979" s="18">
        <v>45775</v>
      </c>
      <c r="Z1979" s="13" t="s">
        <v>503</v>
      </c>
      <c r="AA1979" s="19" t="s">
        <v>373</v>
      </c>
      <c r="AB1979" s="13" t="s">
        <v>357</v>
      </c>
      <c r="AC1979" s="13" t="s">
        <v>522</v>
      </c>
      <c r="AD1979" s="20"/>
      <c r="AE1979" s="20"/>
      <c r="AF1979" s="13" t="s">
        <v>40</v>
      </c>
      <c r="AG1979" s="15">
        <v>45413</v>
      </c>
      <c r="AH1979" s="13" t="s">
        <v>41</v>
      </c>
      <c r="AI1979" s="13" t="s">
        <v>53</v>
      </c>
      <c r="AJ1979" s="13" t="str">
        <f>VLOOKUP(E1979,Precios!Z$2:AA$941,2,FALSE)</f>
        <v>Papel Higienico ELITE 50 metros</v>
      </c>
      <c r="AK1979" s="14">
        <f>VLOOKUP(E1979,Precios!Z$2:BB$941,3,FALSE)*F1979</f>
        <v>-8</v>
      </c>
      <c r="AL1979" s="17"/>
      <c r="AM1979" s="17"/>
      <c r="AN1979" s="17"/>
      <c r="AO1979" s="17"/>
      <c r="AP1979" s="17"/>
      <c r="AQ1979" s="17"/>
      <c r="AR1979" s="17"/>
      <c r="AS1979" s="17"/>
      <c r="AT1979" s="17"/>
      <c r="AU1979" s="17"/>
      <c r="AV1979" s="17"/>
    </row>
    <row r="1980" spans="1:48" ht="15.75" customHeight="1">
      <c r="A1980" s="21" t="s">
        <v>53</v>
      </c>
      <c r="B1980" s="23" t="s">
        <v>1692</v>
      </c>
      <c r="C1980" s="22">
        <v>45779</v>
      </c>
      <c r="D1980" s="23" t="s">
        <v>346</v>
      </c>
      <c r="E1980" s="23" t="s">
        <v>136</v>
      </c>
      <c r="F1980" s="21">
        <v>1</v>
      </c>
      <c r="G1980" s="12">
        <v>14900.292682926829</v>
      </c>
      <c r="H1980" s="12">
        <v>14900.292682926829</v>
      </c>
      <c r="I1980" s="23" t="s">
        <v>52</v>
      </c>
      <c r="J1980" s="23" t="s">
        <v>61</v>
      </c>
      <c r="K1980" s="24" t="s">
        <v>177</v>
      </c>
      <c r="L1980" s="24">
        <v>134</v>
      </c>
      <c r="M1980" s="12">
        <v>12521.254355400697</v>
      </c>
      <c r="N1980" s="12">
        <v>12521.254355400697</v>
      </c>
      <c r="O1980" s="12">
        <v>2379.038327526132</v>
      </c>
      <c r="P1980" s="13"/>
      <c r="Q1980" s="14">
        <v>2025</v>
      </c>
      <c r="R1980" s="15">
        <v>45413</v>
      </c>
      <c r="S1980" s="11" t="s">
        <v>410</v>
      </c>
      <c r="T1980" s="16">
        <v>0</v>
      </c>
      <c r="U1980" s="17"/>
      <c r="V1980" s="12">
        <v>3537.254355400697</v>
      </c>
      <c r="W1980" s="12">
        <v>3537.254355400697</v>
      </c>
      <c r="X1980" s="12">
        <v>0</v>
      </c>
      <c r="Y1980" s="18">
        <v>45775</v>
      </c>
      <c r="Z1980" s="13" t="s">
        <v>503</v>
      </c>
      <c r="AA1980" s="19" t="s">
        <v>373</v>
      </c>
      <c r="AB1980" s="13" t="s">
        <v>357</v>
      </c>
      <c r="AC1980" s="13" t="s">
        <v>522</v>
      </c>
      <c r="AD1980" s="20"/>
      <c r="AE1980" s="20"/>
      <c r="AF1980" s="13" t="s">
        <v>40</v>
      </c>
      <c r="AG1980" s="15">
        <v>45413</v>
      </c>
      <c r="AH1980" s="13" t="s">
        <v>41</v>
      </c>
      <c r="AI1980" s="13" t="s">
        <v>53</v>
      </c>
      <c r="AJ1980" s="13" t="str">
        <f>VLOOKUP(E1980,Precios!Z$2:AA$941,2,FALSE)</f>
        <v>Toalla Papel NOVA 26 metros</v>
      </c>
      <c r="AK1980" s="14">
        <f>VLOOKUP(E1980,Precios!Z$2:BB$941,3,FALSE)*F1980</f>
        <v>-8</v>
      </c>
      <c r="AL1980" s="17"/>
      <c r="AM1980" s="17"/>
      <c r="AN1980" s="17"/>
      <c r="AO1980" s="17"/>
      <c r="AP1980" s="17"/>
      <c r="AQ1980" s="17"/>
      <c r="AR1980" s="17"/>
      <c r="AS1980" s="17"/>
      <c r="AT1980" s="17"/>
      <c r="AU1980" s="17"/>
      <c r="AV1980" s="17"/>
    </row>
    <row r="1981" spans="1:48" ht="15.75" customHeight="1">
      <c r="A1981" s="21" t="s">
        <v>53</v>
      </c>
      <c r="B1981" s="23" t="s">
        <v>1692</v>
      </c>
      <c r="C1981" s="22">
        <v>45779</v>
      </c>
      <c r="D1981" s="23" t="s">
        <v>80</v>
      </c>
      <c r="E1981" s="23" t="s">
        <v>55</v>
      </c>
      <c r="F1981" s="21">
        <v>1</v>
      </c>
      <c r="G1981" s="12">
        <v>20899.657794676805</v>
      </c>
      <c r="H1981" s="12">
        <v>20899.657794676805</v>
      </c>
      <c r="I1981" s="23" t="s">
        <v>52</v>
      </c>
      <c r="J1981" s="23" t="s">
        <v>61</v>
      </c>
      <c r="K1981" s="24" t="s">
        <v>177</v>
      </c>
      <c r="L1981" s="24">
        <v>134</v>
      </c>
      <c r="M1981" s="12">
        <v>17562.737642585551</v>
      </c>
      <c r="N1981" s="12">
        <v>17562.737642585551</v>
      </c>
      <c r="O1981" s="12">
        <v>3336.9201520912538</v>
      </c>
      <c r="P1981" s="13"/>
      <c r="Q1981" s="14">
        <v>2025</v>
      </c>
      <c r="R1981" s="15">
        <v>45413</v>
      </c>
      <c r="S1981" s="11" t="s">
        <v>366</v>
      </c>
      <c r="T1981" s="16">
        <v>0</v>
      </c>
      <c r="U1981" s="17"/>
      <c r="V1981" s="12">
        <v>3705.7376425855509</v>
      </c>
      <c r="W1981" s="12">
        <v>3705.7376425855509</v>
      </c>
      <c r="X1981" s="12">
        <v>0</v>
      </c>
      <c r="Y1981" s="18">
        <v>45775</v>
      </c>
      <c r="Z1981" s="13" t="s">
        <v>503</v>
      </c>
      <c r="AA1981" s="19" t="s">
        <v>361</v>
      </c>
      <c r="AB1981" s="13" t="s">
        <v>357</v>
      </c>
      <c r="AC1981" s="13" t="s">
        <v>362</v>
      </c>
      <c r="AD1981" s="20"/>
      <c r="AE1981" s="20"/>
      <c r="AF1981" s="13" t="s">
        <v>40</v>
      </c>
      <c r="AG1981" s="15">
        <v>45413</v>
      </c>
      <c r="AH1981" s="13" t="s">
        <v>41</v>
      </c>
      <c r="AI1981" s="13" t="s">
        <v>53</v>
      </c>
      <c r="AJ1981" s="13" t="str">
        <f>VLOOKUP(E1981,Precios!Z$2:AA$941,2,FALSE)</f>
        <v>Papel Higienico ELITE 50 metros</v>
      </c>
      <c r="AK1981" s="14">
        <f>VLOOKUP(E1981,Precios!Z$2:BB$941,3,FALSE)*F1981</f>
        <v>-8</v>
      </c>
      <c r="AL1981" s="17"/>
      <c r="AM1981" s="17"/>
      <c r="AN1981" s="17"/>
      <c r="AO1981" s="17"/>
      <c r="AP1981" s="17"/>
      <c r="AQ1981" s="17"/>
      <c r="AR1981" s="17"/>
      <c r="AS1981" s="17"/>
      <c r="AT1981" s="17"/>
      <c r="AU1981" s="17"/>
      <c r="AV1981" s="17"/>
    </row>
    <row r="1982" spans="1:48" ht="15.75" customHeight="1">
      <c r="A1982" s="21" t="s">
        <v>53</v>
      </c>
      <c r="B1982" s="23" t="s">
        <v>1692</v>
      </c>
      <c r="C1982" s="22">
        <v>45779</v>
      </c>
      <c r="D1982" s="23" t="s">
        <v>238</v>
      </c>
      <c r="E1982" s="23" t="s">
        <v>55</v>
      </c>
      <c r="F1982" s="21">
        <v>1</v>
      </c>
      <c r="G1982" s="12">
        <v>20899.657794676805</v>
      </c>
      <c r="H1982" s="12">
        <v>20899.657794676805</v>
      </c>
      <c r="I1982" s="23" t="s">
        <v>52</v>
      </c>
      <c r="J1982" s="23" t="s">
        <v>61</v>
      </c>
      <c r="K1982" s="24" t="s">
        <v>177</v>
      </c>
      <c r="L1982" s="24">
        <v>134</v>
      </c>
      <c r="M1982" s="12">
        <v>17562.737642585551</v>
      </c>
      <c r="N1982" s="12">
        <v>17562.737642585551</v>
      </c>
      <c r="O1982" s="12">
        <v>3336.9201520912538</v>
      </c>
      <c r="P1982" s="13"/>
      <c r="Q1982" s="14">
        <v>2025</v>
      </c>
      <c r="R1982" s="15">
        <v>45413</v>
      </c>
      <c r="S1982" s="11" t="s">
        <v>366</v>
      </c>
      <c r="T1982" s="16">
        <v>0</v>
      </c>
      <c r="U1982" s="17"/>
      <c r="V1982" s="12">
        <v>3705.7376425855509</v>
      </c>
      <c r="W1982" s="12">
        <v>3705.7376425855509</v>
      </c>
      <c r="X1982" s="12">
        <v>0</v>
      </c>
      <c r="Y1982" s="18">
        <v>45775</v>
      </c>
      <c r="Z1982" s="13" t="s">
        <v>503</v>
      </c>
      <c r="AA1982" s="19" t="s">
        <v>373</v>
      </c>
      <c r="AB1982" s="13" t="s">
        <v>357</v>
      </c>
      <c r="AC1982" s="13" t="s">
        <v>533</v>
      </c>
      <c r="AD1982" s="20"/>
      <c r="AE1982" s="20"/>
      <c r="AF1982" s="13" t="s">
        <v>40</v>
      </c>
      <c r="AG1982" s="15">
        <v>45413</v>
      </c>
      <c r="AH1982" s="13" t="s">
        <v>41</v>
      </c>
      <c r="AI1982" s="13" t="s">
        <v>53</v>
      </c>
      <c r="AJ1982" s="13" t="str">
        <f>VLOOKUP(E1982,Precios!Z$2:AA$941,2,FALSE)</f>
        <v>Papel Higienico ELITE 50 metros</v>
      </c>
      <c r="AK1982" s="14">
        <f>VLOOKUP(E1982,Precios!Z$2:BB$941,3,FALSE)*F1982</f>
        <v>-8</v>
      </c>
      <c r="AL1982" s="17"/>
      <c r="AM1982" s="17"/>
      <c r="AN1982" s="17"/>
      <c r="AO1982" s="17"/>
      <c r="AP1982" s="17"/>
      <c r="AQ1982" s="17"/>
      <c r="AR1982" s="17"/>
      <c r="AS1982" s="17"/>
      <c r="AT1982" s="17"/>
      <c r="AU1982" s="17"/>
      <c r="AV1982" s="17"/>
    </row>
    <row r="1983" spans="1:48" ht="15.75" customHeight="1">
      <c r="A1983" s="21" t="s">
        <v>35</v>
      </c>
      <c r="B1983" s="23" t="s">
        <v>1692</v>
      </c>
      <c r="C1983" s="22">
        <v>45779</v>
      </c>
      <c r="D1983" s="23" t="s">
        <v>238</v>
      </c>
      <c r="E1983" s="23" t="s">
        <v>46</v>
      </c>
      <c r="F1983" s="21">
        <v>1</v>
      </c>
      <c r="G1983" s="12">
        <v>5500</v>
      </c>
      <c r="H1983" s="12">
        <v>5500</v>
      </c>
      <c r="I1983" s="23" t="s">
        <v>52</v>
      </c>
      <c r="J1983" s="23" t="s">
        <v>61</v>
      </c>
      <c r="K1983" s="24" t="s">
        <v>177</v>
      </c>
      <c r="L1983" s="24">
        <v>134</v>
      </c>
      <c r="M1983" s="12">
        <v>4621.8487394957983</v>
      </c>
      <c r="N1983" s="12">
        <v>4621.8487394957983</v>
      </c>
      <c r="O1983" s="12">
        <v>878.15126050420167</v>
      </c>
      <c r="P1983" s="13"/>
      <c r="Q1983" s="14">
        <v>2025</v>
      </c>
      <c r="R1983" s="15">
        <v>45413</v>
      </c>
      <c r="S1983" s="11" t="s">
        <v>364</v>
      </c>
      <c r="T1983" s="16">
        <v>500</v>
      </c>
      <c r="U1983" s="17"/>
      <c r="V1983" s="12">
        <v>1365.1260504201678</v>
      </c>
      <c r="W1983" s="12">
        <v>1365.1260504201678</v>
      </c>
      <c r="X1983" s="12">
        <v>0</v>
      </c>
      <c r="Y1983" s="18">
        <v>45775</v>
      </c>
      <c r="Z1983" s="13" t="s">
        <v>503</v>
      </c>
      <c r="AA1983" s="19" t="s">
        <v>373</v>
      </c>
      <c r="AB1983" s="13" t="s">
        <v>357</v>
      </c>
      <c r="AC1983" s="13" t="s">
        <v>533</v>
      </c>
      <c r="AD1983" s="20"/>
      <c r="AE1983" s="20"/>
      <c r="AF1983" s="13" t="s">
        <v>40</v>
      </c>
      <c r="AG1983" s="15">
        <v>45413</v>
      </c>
      <c r="AH1983" s="13" t="s">
        <v>41</v>
      </c>
      <c r="AI1983" s="13" t="s">
        <v>53</v>
      </c>
      <c r="AJ1983" s="13" t="str">
        <f>VLOOKUP(E1983,Precios!Z$2:AA$941,2,FALSE)</f>
        <v>Queso RUNCA Mantecoso</v>
      </c>
      <c r="AK1983" s="14">
        <f>VLOOKUP(E1983,Precios!Z$2:BB$941,3,FALSE)*F1983</f>
        <v>-0.5</v>
      </c>
      <c r="AL1983" s="17"/>
      <c r="AM1983" s="17"/>
      <c r="AN1983" s="17"/>
      <c r="AO1983" s="17"/>
      <c r="AP1983" s="17"/>
      <c r="AQ1983" s="17"/>
      <c r="AR1983" s="17"/>
      <c r="AS1983" s="17"/>
      <c r="AT1983" s="17"/>
      <c r="AU1983" s="17"/>
      <c r="AV1983" s="17"/>
    </row>
    <row r="1984" spans="1:48" ht="15.75" customHeight="1">
      <c r="A1984" s="21" t="s">
        <v>64</v>
      </c>
      <c r="B1984" s="23" t="s">
        <v>1692</v>
      </c>
      <c r="C1984" s="22">
        <v>45779</v>
      </c>
      <c r="D1984" s="23" t="s">
        <v>231</v>
      </c>
      <c r="E1984" s="23" t="s">
        <v>65</v>
      </c>
      <c r="F1984" s="21">
        <v>1</v>
      </c>
      <c r="G1984" s="12">
        <v>8199.8794599807134</v>
      </c>
      <c r="H1984" s="12">
        <v>8199.8794599807134</v>
      </c>
      <c r="I1984" s="23" t="s">
        <v>52</v>
      </c>
      <c r="J1984" s="23" t="s">
        <v>61</v>
      </c>
      <c r="K1984" s="24" t="s">
        <v>177</v>
      </c>
      <c r="L1984" s="24">
        <v>134</v>
      </c>
      <c r="M1984" s="12">
        <v>6890.6550083871543</v>
      </c>
      <c r="N1984" s="12">
        <v>6890.6550083871543</v>
      </c>
      <c r="O1984" s="12">
        <v>1309.224451593559</v>
      </c>
      <c r="P1984" s="13"/>
      <c r="Q1984" s="14">
        <v>2025</v>
      </c>
      <c r="R1984" s="15">
        <v>45413</v>
      </c>
      <c r="S1984" s="11" t="s">
        <v>64</v>
      </c>
      <c r="T1984" s="16">
        <v>1</v>
      </c>
      <c r="U1984" s="17"/>
      <c r="V1984" s="12">
        <v>1174.1676134291711</v>
      </c>
      <c r="W1984" s="12">
        <v>1174.1676134291711</v>
      </c>
      <c r="X1984" s="12">
        <v>0</v>
      </c>
      <c r="Y1984" s="18">
        <v>45775</v>
      </c>
      <c r="Z1984" s="13" t="s">
        <v>503</v>
      </c>
      <c r="AA1984" s="19" t="s">
        <v>373</v>
      </c>
      <c r="AB1984" s="13" t="s">
        <v>357</v>
      </c>
      <c r="AC1984" s="13" t="s">
        <v>380</v>
      </c>
      <c r="AD1984" s="20"/>
      <c r="AE1984" s="20"/>
      <c r="AF1984" s="13" t="s">
        <v>40</v>
      </c>
      <c r="AG1984" s="15">
        <v>45413</v>
      </c>
      <c r="AH1984" s="13" t="s">
        <v>41</v>
      </c>
      <c r="AI1984" s="13" t="s">
        <v>64</v>
      </c>
      <c r="AJ1984" s="13" t="str">
        <f>VLOOKUP(E1984,Precios!Z$2:AA$941,2,FALSE)</f>
        <v>Longanizas VILLABLANCA</v>
      </c>
      <c r="AK1984" s="14">
        <f>VLOOKUP(E1984,Precios!Z$2:BB$941,3,FALSE)*F1984</f>
        <v>-1</v>
      </c>
      <c r="AL1984" s="17"/>
      <c r="AM1984" s="17"/>
      <c r="AN1984" s="17"/>
      <c r="AO1984" s="17"/>
      <c r="AP1984" s="17"/>
      <c r="AQ1984" s="17"/>
      <c r="AR1984" s="17"/>
      <c r="AS1984" s="17"/>
      <c r="AT1984" s="17"/>
      <c r="AU1984" s="17"/>
      <c r="AV1984" s="17"/>
    </row>
    <row r="1985" spans="1:48" ht="15.75" customHeight="1">
      <c r="A1985" s="21" t="s">
        <v>35</v>
      </c>
      <c r="B1985" s="23" t="s">
        <v>1692</v>
      </c>
      <c r="C1985" s="22">
        <v>45779</v>
      </c>
      <c r="D1985" s="23" t="s">
        <v>231</v>
      </c>
      <c r="E1985" s="23" t="s">
        <v>46</v>
      </c>
      <c r="F1985" s="21">
        <v>1</v>
      </c>
      <c r="G1985" s="12">
        <v>5500</v>
      </c>
      <c r="H1985" s="12">
        <v>5500</v>
      </c>
      <c r="I1985" s="23" t="s">
        <v>52</v>
      </c>
      <c r="J1985" s="23" t="s">
        <v>61</v>
      </c>
      <c r="K1985" s="24" t="s">
        <v>177</v>
      </c>
      <c r="L1985" s="24">
        <v>134</v>
      </c>
      <c r="M1985" s="12">
        <v>4621.8487394957983</v>
      </c>
      <c r="N1985" s="12">
        <v>4621.8487394957983</v>
      </c>
      <c r="O1985" s="12">
        <v>878.15126050420167</v>
      </c>
      <c r="P1985" s="13"/>
      <c r="Q1985" s="14">
        <v>2025</v>
      </c>
      <c r="R1985" s="15">
        <v>45413</v>
      </c>
      <c r="S1985" s="11" t="s">
        <v>364</v>
      </c>
      <c r="T1985" s="16">
        <v>500</v>
      </c>
      <c r="U1985" s="17"/>
      <c r="V1985" s="12">
        <v>1365.1260504201678</v>
      </c>
      <c r="W1985" s="12">
        <v>1365.1260504201678</v>
      </c>
      <c r="X1985" s="12">
        <v>0</v>
      </c>
      <c r="Y1985" s="18">
        <v>45775</v>
      </c>
      <c r="Z1985" s="13" t="s">
        <v>503</v>
      </c>
      <c r="AA1985" s="19" t="s">
        <v>373</v>
      </c>
      <c r="AB1985" s="13" t="s">
        <v>357</v>
      </c>
      <c r="AC1985" s="13" t="s">
        <v>380</v>
      </c>
      <c r="AD1985" s="20"/>
      <c r="AE1985" s="20"/>
      <c r="AF1985" s="13" t="s">
        <v>40</v>
      </c>
      <c r="AG1985" s="15">
        <v>45413</v>
      </c>
      <c r="AH1985" s="13" t="s">
        <v>41</v>
      </c>
      <c r="AI1985" s="13" t="s">
        <v>35</v>
      </c>
      <c r="AJ1985" s="13" t="str">
        <f>VLOOKUP(E1985,Precios!Z$2:AA$941,2,FALSE)</f>
        <v>Queso RUNCA Mantecoso</v>
      </c>
      <c r="AK1985" s="14">
        <f>VLOOKUP(E1985,Precios!Z$2:BB$941,3,FALSE)*F1985</f>
        <v>-0.5</v>
      </c>
      <c r="AL1985" s="17"/>
      <c r="AM1985" s="17"/>
      <c r="AN1985" s="17"/>
      <c r="AO1985" s="17"/>
      <c r="AP1985" s="17"/>
      <c r="AQ1985" s="17"/>
      <c r="AR1985" s="17"/>
      <c r="AS1985" s="17"/>
      <c r="AT1985" s="17"/>
      <c r="AU1985" s="17"/>
      <c r="AV1985" s="17"/>
    </row>
    <row r="1986" spans="1:48" ht="15.75" customHeight="1">
      <c r="A1986" s="21" t="s">
        <v>73</v>
      </c>
      <c r="B1986" s="23" t="s">
        <v>1692</v>
      </c>
      <c r="C1986" s="22">
        <v>45779</v>
      </c>
      <c r="D1986" s="23" t="s">
        <v>657</v>
      </c>
      <c r="E1986" s="23" t="s">
        <v>300</v>
      </c>
      <c r="F1986" s="21">
        <v>3</v>
      </c>
      <c r="G1986" s="12">
        <v>1600</v>
      </c>
      <c r="H1986" s="12">
        <v>4800</v>
      </c>
      <c r="I1986" s="23" t="s">
        <v>52</v>
      </c>
      <c r="J1986" s="23" t="s">
        <v>61</v>
      </c>
      <c r="K1986" s="24" t="s">
        <v>177</v>
      </c>
      <c r="L1986" s="24">
        <v>134</v>
      </c>
      <c r="M1986" s="12">
        <v>1344.5378151260504</v>
      </c>
      <c r="N1986" s="12">
        <v>4033.6134453781515</v>
      </c>
      <c r="O1986" s="12">
        <v>766.38655462184852</v>
      </c>
      <c r="P1986" s="13"/>
      <c r="Q1986" s="14">
        <v>2025</v>
      </c>
      <c r="R1986" s="15">
        <v>45413</v>
      </c>
      <c r="S1986" s="11" t="s">
        <v>559</v>
      </c>
      <c r="T1986" s="16">
        <v>0</v>
      </c>
      <c r="U1986" s="17"/>
      <c r="V1986" s="12">
        <v>1915.9663865546217</v>
      </c>
      <c r="W1986" s="12">
        <v>1915.9663865546217</v>
      </c>
      <c r="X1986" s="12">
        <v>0</v>
      </c>
      <c r="Y1986" s="18">
        <v>45775</v>
      </c>
      <c r="Z1986" s="13" t="s">
        <v>503</v>
      </c>
      <c r="AA1986" s="19" t="s">
        <v>373</v>
      </c>
      <c r="AB1986" s="13" t="s">
        <v>357</v>
      </c>
      <c r="AC1986" s="13" t="s">
        <v>658</v>
      </c>
      <c r="AD1986" s="20"/>
      <c r="AE1986" s="20"/>
      <c r="AF1986" s="13" t="s">
        <v>40</v>
      </c>
      <c r="AG1986" s="15">
        <v>45413</v>
      </c>
      <c r="AH1986" s="13" t="s">
        <v>41</v>
      </c>
      <c r="AI1986" s="13" t="s">
        <v>73</v>
      </c>
      <c r="AJ1986" s="13" t="str">
        <f>VLOOKUP(E1986,Precios!Z$2:AA$941,2,FALSE)</f>
        <v>Mascarillas Triple Pliegue</v>
      </c>
      <c r="AK1986" s="14">
        <f>VLOOKUP(E1986,Precios!Z$2:BB$941,3,FALSE)*F1986</f>
        <v>-3</v>
      </c>
      <c r="AL1986" s="17"/>
      <c r="AM1986" s="17"/>
      <c r="AN1986" s="17"/>
      <c r="AO1986" s="17"/>
      <c r="AP1986" s="17"/>
      <c r="AQ1986" s="17"/>
      <c r="AR1986" s="17"/>
      <c r="AS1986" s="17"/>
      <c r="AT1986" s="17"/>
      <c r="AU1986" s="17"/>
      <c r="AV1986" s="17"/>
    </row>
    <row r="1987" spans="1:48" ht="15.75" customHeight="1">
      <c r="A1987" s="21" t="s">
        <v>47</v>
      </c>
      <c r="B1987" s="23" t="s">
        <v>1692</v>
      </c>
      <c r="C1987" s="22">
        <v>45779</v>
      </c>
      <c r="D1987" s="23" t="s">
        <v>108</v>
      </c>
      <c r="E1987" s="23" t="s">
        <v>267</v>
      </c>
      <c r="F1987" s="21">
        <v>1</v>
      </c>
      <c r="G1987" s="12">
        <v>7499.8770659745942</v>
      </c>
      <c r="H1987" s="12">
        <v>7499.8770659745942</v>
      </c>
      <c r="I1987" s="23" t="s">
        <v>52</v>
      </c>
      <c r="J1987" s="23" t="s">
        <v>61</v>
      </c>
      <c r="K1987" s="24" t="s">
        <v>177</v>
      </c>
      <c r="L1987" s="24">
        <v>134</v>
      </c>
      <c r="M1987" s="12">
        <v>6302.4177024996588</v>
      </c>
      <c r="N1987" s="12">
        <v>6302.4177024996588</v>
      </c>
      <c r="O1987" s="12">
        <v>1197.4593634749353</v>
      </c>
      <c r="P1987" s="13"/>
      <c r="Q1987" s="14">
        <v>2025</v>
      </c>
      <c r="R1987" s="15">
        <v>45413</v>
      </c>
      <c r="S1987" s="11" t="s">
        <v>372</v>
      </c>
      <c r="T1987" s="16">
        <v>0</v>
      </c>
      <c r="U1987" s="17"/>
      <c r="V1987" s="12">
        <v>1688.4177024996588</v>
      </c>
      <c r="W1987" s="12">
        <v>1688.4177024996588</v>
      </c>
      <c r="X1987" s="12">
        <v>0</v>
      </c>
      <c r="Y1987" s="18">
        <v>45775</v>
      </c>
      <c r="Z1987" s="13" t="s">
        <v>503</v>
      </c>
      <c r="AA1987" s="19" t="s">
        <v>361</v>
      </c>
      <c r="AB1987" s="13" t="s">
        <v>357</v>
      </c>
      <c r="AC1987" s="13" t="s">
        <v>362</v>
      </c>
      <c r="AD1987" s="20"/>
      <c r="AE1987" s="20"/>
      <c r="AF1987" s="13" t="s">
        <v>40</v>
      </c>
      <c r="AG1987" s="15">
        <v>45413</v>
      </c>
      <c r="AH1987" s="13" t="s">
        <v>41</v>
      </c>
      <c r="AI1987" s="13" t="s">
        <v>47</v>
      </c>
      <c r="AJ1987" s="13" t="str">
        <f>VLOOKUP(E1987,Precios!Z$2:AA$941,2,FALSE)</f>
        <v>Traperos Humedos EXCELL</v>
      </c>
      <c r="AK1987" s="14">
        <f>VLOOKUP(E1987,Precios!Z$2:BB$941,3,FALSE)*F1987</f>
        <v>-3</v>
      </c>
      <c r="AL1987" s="17"/>
      <c r="AM1987" s="17"/>
      <c r="AN1987" s="17"/>
      <c r="AO1987" s="17"/>
      <c r="AP1987" s="17"/>
      <c r="AQ1987" s="17"/>
      <c r="AR1987" s="17"/>
      <c r="AS1987" s="17"/>
      <c r="AT1987" s="17"/>
      <c r="AU1987" s="17"/>
      <c r="AV1987" s="17"/>
    </row>
    <row r="1988" spans="1:48" ht="15.75" customHeight="1">
      <c r="A1988" s="21" t="s">
        <v>76</v>
      </c>
      <c r="B1988" s="23" t="s">
        <v>1692</v>
      </c>
      <c r="C1988" s="22">
        <v>45779</v>
      </c>
      <c r="D1988" s="23" t="s">
        <v>108</v>
      </c>
      <c r="E1988" s="23" t="s">
        <v>82</v>
      </c>
      <c r="F1988" s="21">
        <v>1</v>
      </c>
      <c r="G1988" s="12">
        <v>2000.0000000000002</v>
      </c>
      <c r="H1988" s="12">
        <v>2000.0000000000002</v>
      </c>
      <c r="I1988" s="23" t="s">
        <v>52</v>
      </c>
      <c r="J1988" s="23" t="s">
        <v>61</v>
      </c>
      <c r="K1988" s="24" t="s">
        <v>177</v>
      </c>
      <c r="L1988" s="24">
        <v>134</v>
      </c>
      <c r="M1988" s="12">
        <v>1680.6722689075632</v>
      </c>
      <c r="N1988" s="12">
        <v>1680.6722689075632</v>
      </c>
      <c r="O1988" s="12">
        <v>319.32773109243703</v>
      </c>
      <c r="P1988" s="13"/>
      <c r="Q1988" s="14">
        <v>2025</v>
      </c>
      <c r="R1988" s="15">
        <v>45413</v>
      </c>
      <c r="S1988" s="11" t="s">
        <v>463</v>
      </c>
      <c r="T1988" s="16">
        <v>5</v>
      </c>
      <c r="U1988" s="17"/>
      <c r="V1988" s="12">
        <v>680.67226890756319</v>
      </c>
      <c r="W1988" s="12">
        <v>680.67226890756319</v>
      </c>
      <c r="X1988" s="12">
        <v>0</v>
      </c>
      <c r="Y1988" s="18">
        <v>45775</v>
      </c>
      <c r="Z1988" s="13" t="s">
        <v>503</v>
      </c>
      <c r="AA1988" s="19" t="s">
        <v>361</v>
      </c>
      <c r="AB1988" s="13" t="s">
        <v>357</v>
      </c>
      <c r="AC1988" s="13" t="s">
        <v>362</v>
      </c>
      <c r="AD1988" s="20"/>
      <c r="AE1988" s="20"/>
      <c r="AF1988" s="13" t="s">
        <v>40</v>
      </c>
      <c r="AG1988" s="15">
        <v>45413</v>
      </c>
      <c r="AH1988" s="13" t="s">
        <v>41</v>
      </c>
      <c r="AI1988" s="13" t="s">
        <v>76</v>
      </c>
      <c r="AJ1988" s="13" t="str">
        <f>VLOOKUP(E1988,Precios!Z$2:AA$941,2,FALSE)</f>
        <v>Limpiapiso SPUM 5 Litros</v>
      </c>
      <c r="AK1988" s="14">
        <f>VLOOKUP(E1988,Precios!Z$2:BB$941,3,FALSE)*F1988</f>
        <v>-1</v>
      </c>
      <c r="AL1988" s="17"/>
      <c r="AM1988" s="17"/>
      <c r="AN1988" s="17"/>
      <c r="AO1988" s="17"/>
      <c r="AP1988" s="17"/>
      <c r="AQ1988" s="17"/>
      <c r="AR1988" s="17"/>
      <c r="AS1988" s="17"/>
      <c r="AT1988" s="17"/>
      <c r="AU1988" s="17"/>
      <c r="AV1988" s="17"/>
    </row>
    <row r="1989" spans="1:48" ht="15.75" customHeight="1">
      <c r="A1989" s="21" t="s">
        <v>76</v>
      </c>
      <c r="B1989" s="23" t="s">
        <v>1692</v>
      </c>
      <c r="C1989" s="22">
        <v>45779</v>
      </c>
      <c r="D1989" s="23" t="s">
        <v>108</v>
      </c>
      <c r="E1989" s="23" t="s">
        <v>81</v>
      </c>
      <c r="F1989" s="21">
        <v>1</v>
      </c>
      <c r="G1989" s="12">
        <v>3500.0000000000005</v>
      </c>
      <c r="H1989" s="12">
        <v>3500.0000000000005</v>
      </c>
      <c r="I1989" s="23" t="s">
        <v>52</v>
      </c>
      <c r="J1989" s="23" t="s">
        <v>61</v>
      </c>
      <c r="K1989" s="24" t="s">
        <v>177</v>
      </c>
      <c r="L1989" s="24">
        <v>134</v>
      </c>
      <c r="M1989" s="12">
        <v>2941.1764705882356</v>
      </c>
      <c r="N1989" s="12">
        <v>2941.1764705882356</v>
      </c>
      <c r="O1989" s="12">
        <v>558.82352941176487</v>
      </c>
      <c r="P1989" s="13"/>
      <c r="Q1989" s="14">
        <v>2025</v>
      </c>
      <c r="R1989" s="15">
        <v>45413</v>
      </c>
      <c r="S1989" s="11" t="s">
        <v>397</v>
      </c>
      <c r="T1989" s="16">
        <v>5</v>
      </c>
      <c r="U1989" s="17"/>
      <c r="V1989" s="12">
        <v>764.70588235294144</v>
      </c>
      <c r="W1989" s="12">
        <v>764.70588235294144</v>
      </c>
      <c r="X1989" s="12">
        <v>0</v>
      </c>
      <c r="Y1989" s="18">
        <v>45775</v>
      </c>
      <c r="Z1989" s="13" t="s">
        <v>503</v>
      </c>
      <c r="AA1989" s="19" t="s">
        <v>361</v>
      </c>
      <c r="AB1989" s="13" t="s">
        <v>357</v>
      </c>
      <c r="AC1989" s="13" t="s">
        <v>362</v>
      </c>
      <c r="AD1989" s="20"/>
      <c r="AE1989" s="20"/>
      <c r="AF1989" s="13" t="s">
        <v>40</v>
      </c>
      <c r="AG1989" s="15">
        <v>45413</v>
      </c>
      <c r="AH1989" s="13" t="s">
        <v>41</v>
      </c>
      <c r="AI1989" s="13" t="s">
        <v>76</v>
      </c>
      <c r="AJ1989" s="13" t="str">
        <f>VLOOKUP(E1989,Precios!Z$2:AA$941,2,FALSE)</f>
        <v>Detergente SPUM 5 Litros (Verde)</v>
      </c>
      <c r="AK1989" s="14">
        <f>VLOOKUP(E1989,Precios!Z$2:BB$941,3,FALSE)*F1989</f>
        <v>-1</v>
      </c>
      <c r="AL1989" s="17"/>
      <c r="AM1989" s="17"/>
      <c r="AN1989" s="17"/>
      <c r="AO1989" s="17"/>
      <c r="AP1989" s="17"/>
      <c r="AQ1989" s="17"/>
      <c r="AR1989" s="17"/>
      <c r="AS1989" s="17"/>
      <c r="AT1989" s="17"/>
      <c r="AU1989" s="17"/>
      <c r="AV1989" s="17"/>
    </row>
    <row r="1990" spans="1:48" ht="15.75" customHeight="1">
      <c r="A1990" s="21" t="s">
        <v>35</v>
      </c>
      <c r="B1990" s="23" t="s">
        <v>1692</v>
      </c>
      <c r="C1990" s="22">
        <v>45779</v>
      </c>
      <c r="D1990" s="23" t="s">
        <v>108</v>
      </c>
      <c r="E1990" s="23" t="s">
        <v>46</v>
      </c>
      <c r="F1990" s="21">
        <v>1</v>
      </c>
      <c r="G1990" s="12">
        <v>5500</v>
      </c>
      <c r="H1990" s="12">
        <v>5500</v>
      </c>
      <c r="I1990" s="23" t="s">
        <v>52</v>
      </c>
      <c r="J1990" s="23" t="s">
        <v>61</v>
      </c>
      <c r="K1990" s="24" t="s">
        <v>177</v>
      </c>
      <c r="L1990" s="24">
        <v>134</v>
      </c>
      <c r="M1990" s="12">
        <v>4621.8487394957983</v>
      </c>
      <c r="N1990" s="12">
        <v>4621.8487394957983</v>
      </c>
      <c r="O1990" s="12">
        <v>878.15126050420167</v>
      </c>
      <c r="P1990" s="13"/>
      <c r="Q1990" s="14">
        <v>2025</v>
      </c>
      <c r="R1990" s="15">
        <v>45413</v>
      </c>
      <c r="S1990" s="11" t="s">
        <v>364</v>
      </c>
      <c r="T1990" s="16">
        <v>500</v>
      </c>
      <c r="U1990" s="17"/>
      <c r="V1990" s="12">
        <v>1365.1260504201678</v>
      </c>
      <c r="W1990" s="12">
        <v>1365.1260504201678</v>
      </c>
      <c r="X1990" s="12">
        <v>0</v>
      </c>
      <c r="Y1990" s="18">
        <v>45775</v>
      </c>
      <c r="Z1990" s="13" t="s">
        <v>503</v>
      </c>
      <c r="AA1990" s="19" t="s">
        <v>361</v>
      </c>
      <c r="AB1990" s="13" t="s">
        <v>357</v>
      </c>
      <c r="AC1990" s="13" t="s">
        <v>362</v>
      </c>
      <c r="AD1990" s="20"/>
      <c r="AE1990" s="20"/>
      <c r="AF1990" s="13" t="s">
        <v>40</v>
      </c>
      <c r="AG1990" s="15">
        <v>45413</v>
      </c>
      <c r="AH1990" s="13" t="s">
        <v>41</v>
      </c>
      <c r="AI1990" s="13" t="s">
        <v>35</v>
      </c>
      <c r="AJ1990" s="13" t="str">
        <f>VLOOKUP(E1990,Precios!Z$2:AA$941,2,FALSE)</f>
        <v>Queso RUNCA Mantecoso</v>
      </c>
      <c r="AK1990" s="14">
        <f>VLOOKUP(E1990,Precios!Z$2:BB$941,3,FALSE)*F1990</f>
        <v>-0.5</v>
      </c>
      <c r="AL1990" s="17"/>
      <c r="AM1990" s="17"/>
      <c r="AN1990" s="17"/>
      <c r="AO1990" s="17"/>
      <c r="AP1990" s="17"/>
      <c r="AQ1990" s="17"/>
      <c r="AR1990" s="17"/>
      <c r="AS1990" s="17"/>
      <c r="AT1990" s="17"/>
      <c r="AU1990" s="17"/>
      <c r="AV1990" s="17"/>
    </row>
    <row r="1991" spans="1:48" ht="15.75" customHeight="1">
      <c r="A1991" s="21" t="s">
        <v>47</v>
      </c>
      <c r="B1991" s="23" t="s">
        <v>1692</v>
      </c>
      <c r="C1991" s="22">
        <v>45779</v>
      </c>
      <c r="D1991" s="23" t="s">
        <v>108</v>
      </c>
      <c r="E1991" s="23" t="s">
        <v>48</v>
      </c>
      <c r="F1991" s="21">
        <v>1</v>
      </c>
      <c r="G1991" s="12">
        <v>1000</v>
      </c>
      <c r="H1991" s="12">
        <v>1000</v>
      </c>
      <c r="I1991" s="23" t="s">
        <v>52</v>
      </c>
      <c r="J1991" s="23" t="s">
        <v>61</v>
      </c>
      <c r="K1991" s="24" t="s">
        <v>177</v>
      </c>
      <c r="L1991" s="24">
        <v>134</v>
      </c>
      <c r="M1991" s="12">
        <v>840.3361344537816</v>
      </c>
      <c r="N1991" s="12">
        <v>840.3361344537816</v>
      </c>
      <c r="O1991" s="12">
        <v>159.6638655462184</v>
      </c>
      <c r="P1991" s="13"/>
      <c r="Q1991" s="14">
        <v>2025</v>
      </c>
      <c r="R1991" s="15">
        <v>45413</v>
      </c>
      <c r="S1991" s="11" t="s">
        <v>416</v>
      </c>
      <c r="T1991" s="16">
        <v>0</v>
      </c>
      <c r="U1991" s="17"/>
      <c r="V1991" s="12">
        <v>330.33613445378148</v>
      </c>
      <c r="W1991" s="12">
        <v>330.33613445378148</v>
      </c>
      <c r="X1991" s="12">
        <v>0</v>
      </c>
      <c r="Y1991" s="18">
        <v>45775</v>
      </c>
      <c r="Z1991" s="13" t="s">
        <v>503</v>
      </c>
      <c r="AA1991" s="19" t="s">
        <v>361</v>
      </c>
      <c r="AB1991" s="13" t="s">
        <v>357</v>
      </c>
      <c r="AC1991" s="13" t="s">
        <v>362</v>
      </c>
      <c r="AD1991" s="20"/>
      <c r="AE1991" s="20"/>
      <c r="AF1991" s="13" t="s">
        <v>40</v>
      </c>
      <c r="AG1991" s="15">
        <v>45413</v>
      </c>
      <c r="AH1991" s="13" t="s">
        <v>41</v>
      </c>
      <c r="AI1991" s="13" t="s">
        <v>47</v>
      </c>
      <c r="AJ1991" s="13" t="str">
        <f>VLOOKUP(E1991,Precios!Z$2:AA$941,2,FALSE)</f>
        <v>Esponja Acanalada TEDDY</v>
      </c>
      <c r="AK1991" s="14">
        <f>VLOOKUP(E1991,Precios!Z$2:BB$941,3,FALSE)*F1991</f>
        <v>-5</v>
      </c>
      <c r="AL1991" s="17"/>
      <c r="AM1991" s="17"/>
      <c r="AN1991" s="17"/>
      <c r="AO1991" s="17"/>
      <c r="AP1991" s="17"/>
      <c r="AQ1991" s="17"/>
      <c r="AR1991" s="17"/>
      <c r="AS1991" s="17"/>
      <c r="AT1991" s="17"/>
      <c r="AU1991" s="17"/>
      <c r="AV1991" s="17"/>
    </row>
    <row r="1992" spans="1:48" ht="15.75" customHeight="1">
      <c r="A1992" s="21" t="s">
        <v>43</v>
      </c>
      <c r="B1992" s="23" t="s">
        <v>1692</v>
      </c>
      <c r="C1992" s="22">
        <v>45779</v>
      </c>
      <c r="D1992" s="23" t="s">
        <v>108</v>
      </c>
      <c r="E1992" s="23" t="s">
        <v>45</v>
      </c>
      <c r="F1992" s="21">
        <v>1</v>
      </c>
      <c r="G1992" s="12">
        <v>8299.9877571008819</v>
      </c>
      <c r="H1992" s="12">
        <v>8299.9877571008819</v>
      </c>
      <c r="I1992" s="23" t="s">
        <v>52</v>
      </c>
      <c r="J1992" s="23" t="s">
        <v>61</v>
      </c>
      <c r="K1992" s="24" t="s">
        <v>177</v>
      </c>
      <c r="L1992" s="24">
        <v>134</v>
      </c>
      <c r="M1992" s="12">
        <v>6974.7796278158676</v>
      </c>
      <c r="N1992" s="12">
        <v>6974.7796278158676</v>
      </c>
      <c r="O1992" s="12">
        <v>1325.2081292850144</v>
      </c>
      <c r="P1992" s="13"/>
      <c r="Q1992" s="14">
        <v>2025</v>
      </c>
      <c r="R1992" s="15">
        <v>45413</v>
      </c>
      <c r="S1992" s="11" t="s">
        <v>355</v>
      </c>
      <c r="T1992" s="16">
        <v>0</v>
      </c>
      <c r="U1992" s="17"/>
      <c r="V1992" s="12">
        <v>1277.7796278158667</v>
      </c>
      <c r="W1992" s="12">
        <v>1277.7796278158667</v>
      </c>
      <c r="X1992" s="12">
        <v>0</v>
      </c>
      <c r="Y1992" s="18">
        <v>45775</v>
      </c>
      <c r="Z1992" s="13" t="s">
        <v>503</v>
      </c>
      <c r="AA1992" s="19" t="s">
        <v>361</v>
      </c>
      <c r="AB1992" s="13" t="s">
        <v>357</v>
      </c>
      <c r="AC1992" s="13" t="s">
        <v>362</v>
      </c>
      <c r="AD1992" s="20"/>
      <c r="AE1992" s="20"/>
      <c r="AF1992" s="13" t="s">
        <v>40</v>
      </c>
      <c r="AG1992" s="15">
        <v>45413</v>
      </c>
      <c r="AH1992" s="13" t="s">
        <v>41</v>
      </c>
      <c r="AI1992" s="13" t="s">
        <v>43</v>
      </c>
      <c r="AJ1992" s="13" t="str">
        <f>VLOOKUP(E1992,Precios!Z$2:AA$941,2,FALSE)</f>
        <v>Bandeja Huevos EXTRA</v>
      </c>
      <c r="AK1992" s="14">
        <f>VLOOKUP(E1992,Precios!Z$2:BB$941,3,FALSE)*F1992</f>
        <v>-1</v>
      </c>
      <c r="AL1992" s="17"/>
      <c r="AM1992" s="17"/>
      <c r="AN1992" s="17"/>
      <c r="AO1992" s="17"/>
      <c r="AP1992" s="17"/>
      <c r="AQ1992" s="17"/>
      <c r="AR1992" s="17"/>
      <c r="AS1992" s="17"/>
      <c r="AT1992" s="17"/>
      <c r="AU1992" s="17"/>
      <c r="AV1992" s="17"/>
    </row>
    <row r="1993" spans="1:48" ht="15.75" customHeight="1">
      <c r="A1993" s="21" t="s">
        <v>43</v>
      </c>
      <c r="B1993" s="23" t="s">
        <v>1692</v>
      </c>
      <c r="C1993" s="22">
        <v>45779</v>
      </c>
      <c r="D1993" s="23" t="s">
        <v>331</v>
      </c>
      <c r="E1993" s="23" t="s">
        <v>45</v>
      </c>
      <c r="F1993" s="21">
        <v>2</v>
      </c>
      <c r="G1993" s="12">
        <v>8299.9877571008819</v>
      </c>
      <c r="H1993" s="12">
        <v>16599.975514201764</v>
      </c>
      <c r="I1993" s="23" t="s">
        <v>52</v>
      </c>
      <c r="J1993" s="23" t="s">
        <v>61</v>
      </c>
      <c r="K1993" s="24" t="s">
        <v>177</v>
      </c>
      <c r="L1993" s="24">
        <v>134</v>
      </c>
      <c r="M1993" s="12">
        <v>6974.7796278158676</v>
      </c>
      <c r="N1993" s="12">
        <v>13949.559255631735</v>
      </c>
      <c r="O1993" s="12">
        <v>2650.4162585700287</v>
      </c>
      <c r="P1993" s="13"/>
      <c r="Q1993" s="14">
        <v>2025</v>
      </c>
      <c r="R1993" s="15">
        <v>45413</v>
      </c>
      <c r="S1993" s="11" t="s">
        <v>355</v>
      </c>
      <c r="T1993" s="16">
        <v>0</v>
      </c>
      <c r="U1993" s="17"/>
      <c r="V1993" s="12">
        <v>2555.5592556317333</v>
      </c>
      <c r="W1993" s="12">
        <v>2555.5592556317333</v>
      </c>
      <c r="X1993" s="12">
        <v>0</v>
      </c>
      <c r="Y1993" s="18">
        <v>45775</v>
      </c>
      <c r="Z1993" s="13" t="s">
        <v>503</v>
      </c>
      <c r="AA1993" s="19" t="s">
        <v>361</v>
      </c>
      <c r="AB1993" s="13" t="s">
        <v>357</v>
      </c>
      <c r="AC1993" s="13" t="s">
        <v>472</v>
      </c>
      <c r="AD1993" s="20"/>
      <c r="AE1993" s="20"/>
      <c r="AF1993" s="13" t="s">
        <v>40</v>
      </c>
      <c r="AG1993" s="15">
        <v>45413</v>
      </c>
      <c r="AH1993" s="13" t="s">
        <v>41</v>
      </c>
      <c r="AI1993" s="13" t="s">
        <v>43</v>
      </c>
      <c r="AJ1993" s="13" t="str">
        <f>VLOOKUP(E1993,Precios!Z$2:AA$941,2,FALSE)</f>
        <v>Bandeja Huevos EXTRA</v>
      </c>
      <c r="AK1993" s="14">
        <f>VLOOKUP(E1993,Precios!Z$2:BB$941,3,FALSE)*F1993</f>
        <v>-2</v>
      </c>
      <c r="AL1993" s="17"/>
      <c r="AM1993" s="17"/>
      <c r="AN1993" s="17"/>
      <c r="AO1993" s="17"/>
      <c r="AP1993" s="17"/>
      <c r="AQ1993" s="17"/>
      <c r="AR1993" s="17"/>
      <c r="AS1993" s="17"/>
      <c r="AT1993" s="17"/>
      <c r="AU1993" s="17"/>
      <c r="AV1993" s="17"/>
    </row>
    <row r="1994" spans="1:48" ht="15.75" customHeight="1">
      <c r="A1994" s="21" t="s">
        <v>35</v>
      </c>
      <c r="B1994" s="23" t="s">
        <v>1692</v>
      </c>
      <c r="C1994" s="22">
        <v>45779</v>
      </c>
      <c r="D1994" s="23" t="s">
        <v>659</v>
      </c>
      <c r="E1994" s="23" t="s">
        <v>46</v>
      </c>
      <c r="F1994" s="14">
        <v>1</v>
      </c>
      <c r="G1994" s="12">
        <v>5500</v>
      </c>
      <c r="H1994" s="12">
        <v>5500</v>
      </c>
      <c r="I1994" s="23" t="s">
        <v>52</v>
      </c>
      <c r="J1994" s="23" t="s">
        <v>61</v>
      </c>
      <c r="K1994" s="24" t="s">
        <v>177</v>
      </c>
      <c r="L1994" s="24">
        <v>134</v>
      </c>
      <c r="M1994" s="12">
        <v>4621.8487394957983</v>
      </c>
      <c r="N1994" s="12">
        <v>4621.8487394957983</v>
      </c>
      <c r="O1994" s="12">
        <v>878.15126050420167</v>
      </c>
      <c r="P1994" s="13"/>
      <c r="Q1994" s="14">
        <v>2025</v>
      </c>
      <c r="R1994" s="15">
        <v>45413</v>
      </c>
      <c r="S1994" s="11" t="s">
        <v>364</v>
      </c>
      <c r="T1994" s="16">
        <v>500</v>
      </c>
      <c r="U1994" s="17"/>
      <c r="V1994" s="12">
        <v>1365.1260504201678</v>
      </c>
      <c r="W1994" s="12">
        <v>1365.1260504201678</v>
      </c>
      <c r="X1994" s="12">
        <v>0</v>
      </c>
      <c r="Y1994" s="18">
        <v>45775</v>
      </c>
      <c r="Z1994" s="13" t="s">
        <v>503</v>
      </c>
      <c r="AA1994" s="19" t="s">
        <v>356</v>
      </c>
      <c r="AB1994" s="13" t="s">
        <v>357</v>
      </c>
      <c r="AC1994" s="13" t="s">
        <v>383</v>
      </c>
      <c r="AD1994" s="20"/>
      <c r="AE1994" s="20"/>
      <c r="AF1994" s="13" t="s">
        <v>40</v>
      </c>
      <c r="AG1994" s="15">
        <v>45413</v>
      </c>
      <c r="AH1994" s="13" t="s">
        <v>41</v>
      </c>
      <c r="AI1994" s="13" t="s">
        <v>35</v>
      </c>
      <c r="AJ1994" s="13" t="str">
        <f>VLOOKUP(E1994,Precios!Z$2:AA$941,2,FALSE)</f>
        <v>Queso RUNCA Mantecoso</v>
      </c>
      <c r="AK1994" s="14">
        <f>VLOOKUP(E1994,Precios!Z$2:BB$941,3,FALSE)*F1994</f>
        <v>-0.5</v>
      </c>
      <c r="AL1994" s="17"/>
      <c r="AM1994" s="17"/>
      <c r="AN1994" s="17"/>
      <c r="AO1994" s="17"/>
      <c r="AP1994" s="17"/>
      <c r="AQ1994" s="17"/>
      <c r="AR1994" s="17"/>
      <c r="AS1994" s="17"/>
      <c r="AT1994" s="17"/>
      <c r="AU1994" s="17"/>
      <c r="AV1994" s="17"/>
    </row>
    <row r="1995" spans="1:48" ht="15.75" customHeight="1">
      <c r="A1995" s="21" t="s">
        <v>76</v>
      </c>
      <c r="B1995" s="23" t="s">
        <v>1692</v>
      </c>
      <c r="C1995" s="22">
        <v>45779</v>
      </c>
      <c r="D1995" s="23" t="s">
        <v>68</v>
      </c>
      <c r="E1995" s="23" t="s">
        <v>98</v>
      </c>
      <c r="F1995" s="14">
        <v>1</v>
      </c>
      <c r="G1995" s="12">
        <v>2600.0000000000005</v>
      </c>
      <c r="H1995" s="12">
        <v>2600.0000000000005</v>
      </c>
      <c r="I1995" s="23" t="s">
        <v>52</v>
      </c>
      <c r="J1995" s="23" t="s">
        <v>61</v>
      </c>
      <c r="K1995" s="24" t="s">
        <v>86</v>
      </c>
      <c r="L1995" s="24">
        <v>84</v>
      </c>
      <c r="M1995" s="12">
        <v>2184.8739495798322</v>
      </c>
      <c r="N1995" s="12">
        <v>2184.8739495798322</v>
      </c>
      <c r="O1995" s="12">
        <v>415.12605042016821</v>
      </c>
      <c r="P1995" s="13"/>
      <c r="Q1995" s="14">
        <v>2025</v>
      </c>
      <c r="R1995" s="15">
        <v>45413</v>
      </c>
      <c r="S1995" s="11" t="s">
        <v>479</v>
      </c>
      <c r="T1995" s="16">
        <v>0</v>
      </c>
      <c r="U1995" s="17"/>
      <c r="V1995" s="12">
        <v>1052.1008403361348</v>
      </c>
      <c r="W1995" s="12">
        <v>1052.1008403361348</v>
      </c>
      <c r="X1995" s="12">
        <v>0</v>
      </c>
      <c r="Y1995" s="18">
        <v>45775</v>
      </c>
      <c r="Z1995" s="13" t="s">
        <v>503</v>
      </c>
      <c r="AA1995" s="19" t="s">
        <v>361</v>
      </c>
      <c r="AB1995" s="13" t="s">
        <v>394</v>
      </c>
      <c r="AC1995" s="13" t="s">
        <v>383</v>
      </c>
      <c r="AD1995" s="20"/>
      <c r="AE1995" s="20"/>
      <c r="AF1995" s="13" t="s">
        <v>40</v>
      </c>
      <c r="AG1995" s="15">
        <v>45413</v>
      </c>
      <c r="AH1995" s="13" t="s">
        <v>41</v>
      </c>
      <c r="AI1995" s="13" t="s">
        <v>76</v>
      </c>
      <c r="AJ1995" s="13" t="str">
        <f>VLOOKUP(E1995,Precios!Z$2:AA$941,2,FALSE)</f>
        <v>Lavaloza QUIX 750 cc</v>
      </c>
      <c r="AK1995" s="14">
        <f>VLOOKUP(E1995,Precios!Z$2:BB$941,3,FALSE)*F1995</f>
        <v>-1</v>
      </c>
      <c r="AL1995" s="17"/>
      <c r="AM1995" s="17"/>
      <c r="AN1995" s="17"/>
      <c r="AO1995" s="17"/>
      <c r="AP1995" s="17"/>
      <c r="AQ1995" s="17"/>
      <c r="AR1995" s="17"/>
      <c r="AS1995" s="17"/>
      <c r="AT1995" s="17"/>
      <c r="AU1995" s="17"/>
      <c r="AV1995" s="17"/>
    </row>
    <row r="1996" spans="1:48" ht="15.75" customHeight="1">
      <c r="A1996" s="21" t="s">
        <v>53</v>
      </c>
      <c r="B1996" s="23" t="s">
        <v>1692</v>
      </c>
      <c r="C1996" s="22">
        <v>45779</v>
      </c>
      <c r="D1996" s="23" t="s">
        <v>321</v>
      </c>
      <c r="E1996" s="23" t="s">
        <v>97</v>
      </c>
      <c r="F1996" s="14">
        <v>1</v>
      </c>
      <c r="G1996" s="12">
        <v>16500.126742712295</v>
      </c>
      <c r="H1996" s="12">
        <v>16500.126742712295</v>
      </c>
      <c r="I1996" s="23" t="s">
        <v>52</v>
      </c>
      <c r="J1996" s="23" t="s">
        <v>61</v>
      </c>
      <c r="K1996" s="24" t="s">
        <v>177</v>
      </c>
      <c r="L1996" s="24">
        <v>134</v>
      </c>
      <c r="M1996" s="12">
        <v>13865.652724968315</v>
      </c>
      <c r="N1996" s="12">
        <v>13865.652724968315</v>
      </c>
      <c r="O1996" s="12">
        <v>2634.4740177439799</v>
      </c>
      <c r="P1996" s="13"/>
      <c r="Q1996" s="14">
        <v>2025</v>
      </c>
      <c r="R1996" s="15">
        <v>45413</v>
      </c>
      <c r="S1996" s="11" t="s">
        <v>366</v>
      </c>
      <c r="T1996" s="16">
        <v>0</v>
      </c>
      <c r="U1996" s="17"/>
      <c r="V1996" s="12">
        <v>3472.6527249683149</v>
      </c>
      <c r="W1996" s="12">
        <v>3472.6527249683149</v>
      </c>
      <c r="X1996" s="12">
        <v>0</v>
      </c>
      <c r="Y1996" s="18">
        <v>45775</v>
      </c>
      <c r="Z1996" s="13" t="s">
        <v>503</v>
      </c>
      <c r="AA1996" s="19" t="s">
        <v>361</v>
      </c>
      <c r="AB1996" s="13" t="s">
        <v>357</v>
      </c>
      <c r="AC1996" s="13" t="s">
        <v>358</v>
      </c>
      <c r="AD1996" s="20"/>
      <c r="AE1996" s="20"/>
      <c r="AF1996" s="13" t="s">
        <v>40</v>
      </c>
      <c r="AG1996" s="15">
        <v>45413</v>
      </c>
      <c r="AH1996" s="13" t="s">
        <v>41</v>
      </c>
      <c r="AI1996" s="13" t="s">
        <v>53</v>
      </c>
      <c r="AJ1996" s="13" t="str">
        <f>VLOOKUP(E1996,Precios!Z$2:AA$941,2,FALSE)</f>
        <v>Papel Higienico ELITE 50 metros</v>
      </c>
      <c r="AK1996" s="14">
        <f>VLOOKUP(E1996,Precios!Z$2:BB$941,3,FALSE)*F1996</f>
        <v>-6</v>
      </c>
      <c r="AL1996" s="17"/>
      <c r="AM1996" s="17"/>
      <c r="AN1996" s="17"/>
      <c r="AO1996" s="17"/>
      <c r="AP1996" s="17"/>
      <c r="AQ1996" s="17"/>
      <c r="AR1996" s="17"/>
      <c r="AS1996" s="17"/>
      <c r="AT1996" s="17"/>
      <c r="AU1996" s="17"/>
      <c r="AV1996" s="17"/>
    </row>
    <row r="1997" spans="1:48" ht="15.75" customHeight="1">
      <c r="A1997" s="21" t="s">
        <v>53</v>
      </c>
      <c r="B1997" s="23" t="s">
        <v>1692</v>
      </c>
      <c r="C1997" s="22">
        <v>45779</v>
      </c>
      <c r="D1997" s="23" t="s">
        <v>321</v>
      </c>
      <c r="E1997" s="23" t="s">
        <v>114</v>
      </c>
      <c r="F1997" s="14">
        <v>1</v>
      </c>
      <c r="G1997" s="12">
        <v>10500</v>
      </c>
      <c r="H1997" s="12">
        <v>10500</v>
      </c>
      <c r="I1997" s="23" t="s">
        <v>52</v>
      </c>
      <c r="J1997" s="23" t="s">
        <v>61</v>
      </c>
      <c r="K1997" s="24" t="s">
        <v>177</v>
      </c>
      <c r="L1997" s="24">
        <v>134</v>
      </c>
      <c r="M1997" s="12">
        <v>8823.5294117647063</v>
      </c>
      <c r="N1997" s="12">
        <v>8823.5294117647063</v>
      </c>
      <c r="O1997" s="12">
        <v>1676.4705882352937</v>
      </c>
      <c r="P1997" s="13"/>
      <c r="Q1997" s="14">
        <v>2025</v>
      </c>
      <c r="R1997" s="15">
        <v>45413</v>
      </c>
      <c r="S1997" s="11" t="s">
        <v>369</v>
      </c>
      <c r="T1997" s="16">
        <v>0</v>
      </c>
      <c r="U1997" s="17"/>
      <c r="V1997" s="12">
        <v>2403.3613445378151</v>
      </c>
      <c r="W1997" s="12">
        <v>2403.3613445378151</v>
      </c>
      <c r="X1997" s="12">
        <v>0</v>
      </c>
      <c r="Y1997" s="18">
        <v>45775</v>
      </c>
      <c r="Z1997" s="13" t="s">
        <v>503</v>
      </c>
      <c r="AA1997" s="19" t="s">
        <v>361</v>
      </c>
      <c r="AB1997" s="13" t="s">
        <v>357</v>
      </c>
      <c r="AC1997" s="13" t="s">
        <v>358</v>
      </c>
      <c r="AD1997" s="20"/>
      <c r="AE1997" s="20"/>
      <c r="AF1997" s="13" t="s">
        <v>40</v>
      </c>
      <c r="AG1997" s="15">
        <v>45413</v>
      </c>
      <c r="AH1997" s="13" t="s">
        <v>41</v>
      </c>
      <c r="AI1997" s="13" t="s">
        <v>53</v>
      </c>
      <c r="AJ1997" s="13" t="str">
        <f>VLOOKUP(E1997,Precios!Z$2:AA$941,2,FALSE)</f>
        <v>Toalla Papel NOVA 12 metros</v>
      </c>
      <c r="AK1997" s="14">
        <f>VLOOKUP(E1997,Precios!Z$2:BB$941,3,FALSE)*F1997</f>
        <v>-8</v>
      </c>
      <c r="AL1997" s="17"/>
      <c r="AM1997" s="17"/>
      <c r="AN1997" s="17"/>
      <c r="AO1997" s="17"/>
      <c r="AP1997" s="17"/>
      <c r="AQ1997" s="17"/>
      <c r="AR1997" s="17"/>
      <c r="AS1997" s="17"/>
      <c r="AT1997" s="17"/>
      <c r="AU1997" s="17"/>
      <c r="AV1997" s="17"/>
    </row>
    <row r="1998" spans="1:48" ht="15.75" customHeight="1">
      <c r="A1998" s="21" t="s">
        <v>76</v>
      </c>
      <c r="B1998" s="23" t="s">
        <v>1692</v>
      </c>
      <c r="C1998" s="22">
        <v>45779</v>
      </c>
      <c r="D1998" s="23" t="s">
        <v>321</v>
      </c>
      <c r="E1998" s="23" t="s">
        <v>81</v>
      </c>
      <c r="F1998" s="14">
        <v>1</v>
      </c>
      <c r="G1998" s="12">
        <v>3500.0000000000005</v>
      </c>
      <c r="H1998" s="12">
        <v>3500.0000000000005</v>
      </c>
      <c r="I1998" s="23" t="s">
        <v>52</v>
      </c>
      <c r="J1998" s="23" t="s">
        <v>61</v>
      </c>
      <c r="K1998" s="24" t="s">
        <v>177</v>
      </c>
      <c r="L1998" s="24">
        <v>134</v>
      </c>
      <c r="M1998" s="12">
        <v>2941.1764705882356</v>
      </c>
      <c r="N1998" s="12">
        <v>2941.1764705882356</v>
      </c>
      <c r="O1998" s="12">
        <v>558.82352941176487</v>
      </c>
      <c r="P1998" s="13"/>
      <c r="Q1998" s="14">
        <v>2025</v>
      </c>
      <c r="R1998" s="15">
        <v>45413</v>
      </c>
      <c r="S1998" s="11" t="s">
        <v>397</v>
      </c>
      <c r="T1998" s="16">
        <v>5</v>
      </c>
      <c r="U1998" s="17"/>
      <c r="V1998" s="12">
        <v>764.70588235294144</v>
      </c>
      <c r="W1998" s="12">
        <v>764.70588235294144</v>
      </c>
      <c r="X1998" s="12">
        <v>0</v>
      </c>
      <c r="Y1998" s="18">
        <v>45775</v>
      </c>
      <c r="Z1998" s="13" t="s">
        <v>503</v>
      </c>
      <c r="AA1998" s="19" t="s">
        <v>361</v>
      </c>
      <c r="AB1998" s="13" t="s">
        <v>357</v>
      </c>
      <c r="AC1998" s="13" t="s">
        <v>358</v>
      </c>
      <c r="AD1998" s="20"/>
      <c r="AE1998" s="20"/>
      <c r="AF1998" s="13" t="s">
        <v>40</v>
      </c>
      <c r="AG1998" s="15">
        <v>45413</v>
      </c>
      <c r="AH1998" s="13" t="s">
        <v>41</v>
      </c>
      <c r="AI1998" s="13" t="s">
        <v>76</v>
      </c>
      <c r="AJ1998" s="13" t="str">
        <f>VLOOKUP(E1998,Precios!Z$2:AA$941,2,FALSE)</f>
        <v>Detergente SPUM 5 Litros (Verde)</v>
      </c>
      <c r="AK1998" s="14">
        <f>VLOOKUP(E1998,Precios!Z$2:BB$941,3,FALSE)*F1998</f>
        <v>-1</v>
      </c>
      <c r="AL1998" s="17"/>
      <c r="AM1998" s="17"/>
      <c r="AN1998" s="17"/>
      <c r="AO1998" s="17"/>
      <c r="AP1998" s="17"/>
      <c r="AQ1998" s="17"/>
      <c r="AR1998" s="17"/>
      <c r="AS1998" s="17"/>
      <c r="AT1998" s="17"/>
      <c r="AU1998" s="17"/>
      <c r="AV1998" s="17"/>
    </row>
    <row r="1999" spans="1:48" ht="15.75" customHeight="1">
      <c r="A1999" s="21" t="s">
        <v>47</v>
      </c>
      <c r="B1999" s="23" t="s">
        <v>1692</v>
      </c>
      <c r="C1999" s="22">
        <v>45779</v>
      </c>
      <c r="D1999" s="23" t="s">
        <v>321</v>
      </c>
      <c r="E1999" s="23" t="s">
        <v>155</v>
      </c>
      <c r="F1999" s="14">
        <v>1</v>
      </c>
      <c r="G1999" s="12">
        <v>3400</v>
      </c>
      <c r="H1999" s="12">
        <v>3400</v>
      </c>
      <c r="I1999" s="23" t="s">
        <v>52</v>
      </c>
      <c r="J1999" s="23" t="s">
        <v>61</v>
      </c>
      <c r="K1999" s="24" t="s">
        <v>177</v>
      </c>
      <c r="L1999" s="24">
        <v>134</v>
      </c>
      <c r="M1999" s="12">
        <v>2857.1428571428573</v>
      </c>
      <c r="N1999" s="12">
        <v>2857.1428571428573</v>
      </c>
      <c r="O1999" s="12">
        <v>542.85714285714266</v>
      </c>
      <c r="P1999" s="13"/>
      <c r="Q1999" s="14">
        <v>2025</v>
      </c>
      <c r="R1999" s="15">
        <v>45413</v>
      </c>
      <c r="S1999" s="11" t="s">
        <v>453</v>
      </c>
      <c r="T1999" s="16">
        <v>0</v>
      </c>
      <c r="U1999" s="17"/>
      <c r="V1999" s="12">
        <v>1255.1428571428573</v>
      </c>
      <c r="W1999" s="12">
        <v>1255.1428571428573</v>
      </c>
      <c r="X1999" s="12">
        <v>0</v>
      </c>
      <c r="Y1999" s="18">
        <v>45775</v>
      </c>
      <c r="Z1999" s="13" t="s">
        <v>503</v>
      </c>
      <c r="AA1999" s="19" t="s">
        <v>361</v>
      </c>
      <c r="AB1999" s="13" t="s">
        <v>357</v>
      </c>
      <c r="AC1999" s="13" t="s">
        <v>358</v>
      </c>
      <c r="AD1999" s="20"/>
      <c r="AE1999" s="20"/>
      <c r="AF1999" s="13" t="s">
        <v>40</v>
      </c>
      <c r="AG1999" s="15">
        <v>45413</v>
      </c>
      <c r="AH1999" s="13" t="s">
        <v>41</v>
      </c>
      <c r="AI1999" s="13" t="s">
        <v>47</v>
      </c>
      <c r="AJ1999" s="13" t="str">
        <f>VLOOKUP(E1999,Precios!Z$2:AA$941,2,FALSE)</f>
        <v xml:space="preserve">Bolsas Basura TEDDY 50x70 </v>
      </c>
      <c r="AK1999" s="14">
        <f>VLOOKUP(E1999,Precios!Z$2:BB$941,3,FALSE)*F1999</f>
        <v>-6</v>
      </c>
      <c r="AL1999" s="17"/>
      <c r="AM1999" s="17"/>
      <c r="AN1999" s="17"/>
      <c r="AO1999" s="17"/>
      <c r="AP1999" s="17"/>
      <c r="AQ1999" s="17"/>
      <c r="AR1999" s="17"/>
      <c r="AS1999" s="17"/>
      <c r="AT1999" s="17"/>
      <c r="AU1999" s="17"/>
      <c r="AV1999" s="17"/>
    </row>
    <row r="2000" spans="1:48" ht="15.75" customHeight="1">
      <c r="A2000" s="21" t="s">
        <v>76</v>
      </c>
      <c r="B2000" s="23" t="s">
        <v>1692</v>
      </c>
      <c r="C2000" s="22">
        <v>45779</v>
      </c>
      <c r="D2000" s="23" t="s">
        <v>321</v>
      </c>
      <c r="E2000" s="23" t="s">
        <v>194</v>
      </c>
      <c r="F2000" s="14">
        <v>1</v>
      </c>
      <c r="G2000" s="12">
        <v>2400</v>
      </c>
      <c r="H2000" s="12">
        <v>2400</v>
      </c>
      <c r="I2000" s="23" t="s">
        <v>52</v>
      </c>
      <c r="J2000" s="23" t="s">
        <v>61</v>
      </c>
      <c r="K2000" s="24" t="s">
        <v>177</v>
      </c>
      <c r="L2000" s="24">
        <v>134</v>
      </c>
      <c r="M2000" s="12">
        <v>2016.8067226890757</v>
      </c>
      <c r="N2000" s="12">
        <v>2016.8067226890757</v>
      </c>
      <c r="O2000" s="12">
        <v>383.19327731092426</v>
      </c>
      <c r="P2000" s="13"/>
      <c r="Q2000" s="14">
        <v>2025</v>
      </c>
      <c r="R2000" s="15">
        <v>45413</v>
      </c>
      <c r="S2000" s="11" t="s">
        <v>442</v>
      </c>
      <c r="T2000" s="16">
        <v>0</v>
      </c>
      <c r="U2000" s="17"/>
      <c r="V2000" s="12">
        <v>959.6638655462184</v>
      </c>
      <c r="W2000" s="12">
        <v>959.6638655462184</v>
      </c>
      <c r="X2000" s="12">
        <v>0</v>
      </c>
      <c r="Y2000" s="18">
        <v>45775</v>
      </c>
      <c r="Z2000" s="13" t="s">
        <v>503</v>
      </c>
      <c r="AA2000" s="19" t="s">
        <v>361</v>
      </c>
      <c r="AB2000" s="13" t="s">
        <v>357</v>
      </c>
      <c r="AC2000" s="13" t="s">
        <v>358</v>
      </c>
      <c r="AD2000" s="20"/>
      <c r="AE2000" s="20"/>
      <c r="AF2000" s="13" t="s">
        <v>40</v>
      </c>
      <c r="AG2000" s="15">
        <v>45413</v>
      </c>
      <c r="AH2000" s="13" t="s">
        <v>41</v>
      </c>
      <c r="AI2000" s="13" t="s">
        <v>76</v>
      </c>
      <c r="AJ2000" s="13" t="str">
        <f>VLOOKUP(E2000,Precios!Z$2:AA$941,2,FALSE)</f>
        <v>CIF 750 cc</v>
      </c>
      <c r="AK2000" s="14">
        <f>VLOOKUP(E2000,Precios!Z$2:BB$941,3,FALSE)*F2000</f>
        <v>-1</v>
      </c>
      <c r="AL2000" s="17"/>
      <c r="AM2000" s="17"/>
      <c r="AN2000" s="17"/>
      <c r="AO2000" s="17"/>
      <c r="AP2000" s="17"/>
      <c r="AQ2000" s="17"/>
      <c r="AR2000" s="17"/>
      <c r="AS2000" s="17"/>
      <c r="AT2000" s="17"/>
      <c r="AU2000" s="17"/>
      <c r="AV2000" s="17"/>
    </row>
    <row r="2001" spans="1:48" ht="15.75" customHeight="1">
      <c r="A2001" s="21" t="s">
        <v>47</v>
      </c>
      <c r="B2001" s="23" t="s">
        <v>1692</v>
      </c>
      <c r="C2001" s="22">
        <v>45779</v>
      </c>
      <c r="D2001" s="23" t="s">
        <v>321</v>
      </c>
      <c r="E2001" s="23" t="s">
        <v>85</v>
      </c>
      <c r="F2001" s="14">
        <v>1</v>
      </c>
      <c r="G2001" s="12">
        <v>3000.268216361198</v>
      </c>
      <c r="H2001" s="12">
        <v>3000.268216361198</v>
      </c>
      <c r="I2001" s="23" t="s">
        <v>52</v>
      </c>
      <c r="J2001" s="23" t="s">
        <v>61</v>
      </c>
      <c r="K2001" s="24" t="s">
        <v>177</v>
      </c>
      <c r="L2001" s="24">
        <v>134</v>
      </c>
      <c r="M2001" s="12">
        <v>2521.2337952615112</v>
      </c>
      <c r="N2001" s="12">
        <v>2521.2337952615112</v>
      </c>
      <c r="O2001" s="12">
        <v>479.03442109968682</v>
      </c>
      <c r="P2001" s="13"/>
      <c r="Q2001" s="14">
        <v>2025</v>
      </c>
      <c r="R2001" s="15">
        <v>45413</v>
      </c>
      <c r="S2001" s="11" t="s">
        <v>453</v>
      </c>
      <c r="T2001" s="16">
        <v>0</v>
      </c>
      <c r="U2001" s="17"/>
      <c r="V2001" s="12">
        <v>829.23379526151075</v>
      </c>
      <c r="W2001" s="12">
        <v>829.23379526151075</v>
      </c>
      <c r="X2001" s="12">
        <v>0</v>
      </c>
      <c r="Y2001" s="18">
        <v>45775</v>
      </c>
      <c r="Z2001" s="13" t="s">
        <v>503</v>
      </c>
      <c r="AA2001" s="19" t="s">
        <v>361</v>
      </c>
      <c r="AB2001" s="13" t="s">
        <v>357</v>
      </c>
      <c r="AC2001" s="13" t="s">
        <v>358</v>
      </c>
      <c r="AD2001" s="20"/>
      <c r="AE2001" s="20"/>
      <c r="AF2001" s="13" t="s">
        <v>40</v>
      </c>
      <c r="AG2001" s="15">
        <v>45413</v>
      </c>
      <c r="AH2001" s="13" t="s">
        <v>41</v>
      </c>
      <c r="AI2001" s="13" t="s">
        <v>47</v>
      </c>
      <c r="AJ2001" s="13" t="str">
        <f>VLOOKUP(E2001,Precios!Z$2:AA$941,2,FALSE)</f>
        <v xml:space="preserve">Bolsas Basura TEDDY 45x55 con Asas </v>
      </c>
      <c r="AK2001" s="14">
        <f>VLOOKUP(E2001,Precios!Z$2:BB$941,3,FALSE)*F2001</f>
        <v>-6</v>
      </c>
      <c r="AL2001" s="17"/>
      <c r="AM2001" s="17"/>
      <c r="AN2001" s="17"/>
      <c r="AO2001" s="17"/>
      <c r="AP2001" s="17"/>
      <c r="AQ2001" s="17"/>
      <c r="AR2001" s="17"/>
      <c r="AS2001" s="17"/>
      <c r="AT2001" s="17"/>
      <c r="AU2001" s="17"/>
      <c r="AV2001" s="17"/>
    </row>
    <row r="2002" spans="1:48" ht="15.75" customHeight="1">
      <c r="A2002" s="21" t="s">
        <v>47</v>
      </c>
      <c r="B2002" s="23" t="s">
        <v>1692</v>
      </c>
      <c r="C2002" s="22">
        <v>45779</v>
      </c>
      <c r="D2002" s="23" t="s">
        <v>321</v>
      </c>
      <c r="E2002" s="23" t="s">
        <v>328</v>
      </c>
      <c r="F2002" s="14">
        <v>1</v>
      </c>
      <c r="G2002" s="12">
        <v>1400</v>
      </c>
      <c r="H2002" s="12">
        <v>1400</v>
      </c>
      <c r="I2002" s="23" t="s">
        <v>52</v>
      </c>
      <c r="J2002" s="23" t="s">
        <v>61</v>
      </c>
      <c r="K2002" s="24" t="s">
        <v>177</v>
      </c>
      <c r="L2002" s="24">
        <v>134</v>
      </c>
      <c r="M2002" s="12">
        <v>1176.4705882352941</v>
      </c>
      <c r="N2002" s="12">
        <v>1176.4705882352941</v>
      </c>
      <c r="O2002" s="12">
        <v>223.52941176470586</v>
      </c>
      <c r="P2002" s="13"/>
      <c r="Q2002" s="14">
        <v>2025</v>
      </c>
      <c r="R2002" s="15">
        <v>45413</v>
      </c>
      <c r="S2002" s="11" t="s">
        <v>384</v>
      </c>
      <c r="T2002" s="16">
        <v>0</v>
      </c>
      <c r="U2002" s="17"/>
      <c r="V2002" s="12">
        <v>512.47058823529414</v>
      </c>
      <c r="W2002" s="12">
        <v>512.47058823529414</v>
      </c>
      <c r="X2002" s="12">
        <v>0</v>
      </c>
      <c r="Y2002" s="18">
        <v>45775</v>
      </c>
      <c r="Z2002" s="13" t="s">
        <v>503</v>
      </c>
      <c r="AA2002" s="19" t="s">
        <v>361</v>
      </c>
      <c r="AB2002" s="13" t="s">
        <v>357</v>
      </c>
      <c r="AC2002" s="13" t="s">
        <v>358</v>
      </c>
      <c r="AD2002" s="20"/>
      <c r="AE2002" s="20"/>
      <c r="AF2002" s="13" t="s">
        <v>40</v>
      </c>
      <c r="AG2002" s="15">
        <v>45413</v>
      </c>
      <c r="AH2002" s="13" t="s">
        <v>41</v>
      </c>
      <c r="AI2002" s="13" t="s">
        <v>47</v>
      </c>
      <c r="AJ2002" s="13" t="str">
        <f>VLOOKUP(E2002,Precios!Z$2:AA$941,2,FALSE)</f>
        <v>Jabón Líquido TEDDY</v>
      </c>
      <c r="AK2002" s="14">
        <f>VLOOKUP(E2002,Precios!Z$2:BB$941,3,FALSE)*F2002</f>
        <v>-1</v>
      </c>
      <c r="AL2002" s="17"/>
      <c r="AM2002" s="17"/>
      <c r="AN2002" s="17"/>
      <c r="AO2002" s="17"/>
      <c r="AP2002" s="17"/>
      <c r="AQ2002" s="17"/>
      <c r="AR2002" s="17"/>
      <c r="AS2002" s="17"/>
      <c r="AT2002" s="17"/>
      <c r="AU2002" s="17"/>
      <c r="AV2002" s="17"/>
    </row>
    <row r="2003" spans="1:48" ht="15.75" customHeight="1">
      <c r="A2003" s="21" t="s">
        <v>47</v>
      </c>
      <c r="B2003" s="23" t="s">
        <v>1692</v>
      </c>
      <c r="C2003" s="22">
        <v>45779</v>
      </c>
      <c r="D2003" s="23" t="s">
        <v>321</v>
      </c>
      <c r="E2003" s="23" t="s">
        <v>267</v>
      </c>
      <c r="F2003" s="14">
        <v>1</v>
      </c>
      <c r="G2003" s="12">
        <v>7499.8770659745942</v>
      </c>
      <c r="H2003" s="12">
        <v>7499.8770659745942</v>
      </c>
      <c r="I2003" s="23" t="s">
        <v>52</v>
      </c>
      <c r="J2003" s="23" t="s">
        <v>61</v>
      </c>
      <c r="K2003" s="24" t="s">
        <v>177</v>
      </c>
      <c r="L2003" s="24">
        <v>134</v>
      </c>
      <c r="M2003" s="12">
        <v>6302.4177024996588</v>
      </c>
      <c r="N2003" s="12">
        <v>6302.4177024996588</v>
      </c>
      <c r="O2003" s="12">
        <v>1197.4593634749353</v>
      </c>
      <c r="P2003" s="13"/>
      <c r="Q2003" s="14">
        <v>2025</v>
      </c>
      <c r="R2003" s="15">
        <v>45413</v>
      </c>
      <c r="S2003" s="11" t="s">
        <v>372</v>
      </c>
      <c r="T2003" s="16">
        <v>0</v>
      </c>
      <c r="U2003" s="17"/>
      <c r="V2003" s="12">
        <v>1688.4177024996588</v>
      </c>
      <c r="W2003" s="12">
        <v>1688.4177024996588</v>
      </c>
      <c r="X2003" s="12">
        <v>0</v>
      </c>
      <c r="Y2003" s="18">
        <v>45775</v>
      </c>
      <c r="Z2003" s="13" t="s">
        <v>503</v>
      </c>
      <c r="AA2003" s="19" t="s">
        <v>361</v>
      </c>
      <c r="AB2003" s="13" t="s">
        <v>357</v>
      </c>
      <c r="AC2003" s="13" t="s">
        <v>358</v>
      </c>
      <c r="AD2003" s="20"/>
      <c r="AE2003" s="20"/>
      <c r="AF2003" s="13" t="s">
        <v>40</v>
      </c>
      <c r="AG2003" s="15">
        <v>45413</v>
      </c>
      <c r="AH2003" s="13" t="s">
        <v>41</v>
      </c>
      <c r="AI2003" s="13" t="s">
        <v>47</v>
      </c>
      <c r="AJ2003" s="13" t="str">
        <f>VLOOKUP(E2003,Precios!Z$2:AA$941,2,FALSE)</f>
        <v>Traperos Humedos EXCELL</v>
      </c>
      <c r="AK2003" s="14">
        <f>VLOOKUP(E2003,Precios!Z$2:BB$941,3,FALSE)*F2003</f>
        <v>-3</v>
      </c>
      <c r="AL2003" s="17"/>
      <c r="AM2003" s="17"/>
      <c r="AN2003" s="17"/>
      <c r="AO2003" s="17"/>
      <c r="AP2003" s="17"/>
      <c r="AQ2003" s="17"/>
      <c r="AR2003" s="17"/>
      <c r="AS2003" s="17"/>
      <c r="AT2003" s="17"/>
      <c r="AU2003" s="17"/>
      <c r="AV2003" s="17"/>
    </row>
    <row r="2004" spans="1:48" ht="15.75" customHeight="1">
      <c r="A2004" s="21" t="s">
        <v>47</v>
      </c>
      <c r="B2004" s="23" t="s">
        <v>1692</v>
      </c>
      <c r="C2004" s="22">
        <v>45779</v>
      </c>
      <c r="D2004" s="23" t="s">
        <v>321</v>
      </c>
      <c r="E2004" s="23" t="s">
        <v>143</v>
      </c>
      <c r="F2004" s="14">
        <v>1</v>
      </c>
      <c r="G2004" s="12">
        <v>2999.9379074821477</v>
      </c>
      <c r="H2004" s="12">
        <v>2999.9379074821477</v>
      </c>
      <c r="I2004" s="23" t="s">
        <v>52</v>
      </c>
      <c r="J2004" s="23" t="s">
        <v>61</v>
      </c>
      <c r="K2004" s="24" t="s">
        <v>177</v>
      </c>
      <c r="L2004" s="24">
        <v>134</v>
      </c>
      <c r="M2004" s="12">
        <v>2520.9562247749141</v>
      </c>
      <c r="N2004" s="12">
        <v>2520.9562247749141</v>
      </c>
      <c r="O2004" s="12">
        <v>478.98168270723363</v>
      </c>
      <c r="P2004" s="13"/>
      <c r="Q2004" s="14">
        <v>2025</v>
      </c>
      <c r="R2004" s="15">
        <v>45413</v>
      </c>
      <c r="S2004" s="11" t="s">
        <v>414</v>
      </c>
      <c r="T2004" s="16">
        <v>0</v>
      </c>
      <c r="U2004" s="17"/>
      <c r="V2004" s="12">
        <v>1708.9562247749141</v>
      </c>
      <c r="W2004" s="12">
        <v>1708.9562247749141</v>
      </c>
      <c r="X2004" s="12">
        <v>0</v>
      </c>
      <c r="Y2004" s="18">
        <v>45775</v>
      </c>
      <c r="Z2004" s="13" t="s">
        <v>503</v>
      </c>
      <c r="AA2004" s="19" t="s">
        <v>361</v>
      </c>
      <c r="AB2004" s="13" t="s">
        <v>357</v>
      </c>
      <c r="AC2004" s="13" t="s">
        <v>358</v>
      </c>
      <c r="AD2004" s="20"/>
      <c r="AE2004" s="20"/>
      <c r="AF2004" s="13" t="s">
        <v>40</v>
      </c>
      <c r="AG2004" s="15">
        <v>45413</v>
      </c>
      <c r="AH2004" s="13" t="s">
        <v>41</v>
      </c>
      <c r="AI2004" s="13" t="s">
        <v>47</v>
      </c>
      <c r="AJ2004" s="13" t="str">
        <f>VLOOKUP(E2004,Precios!Z$2:AA$941,2,FALSE)</f>
        <v>Toalla desinfectante TEDDY 80 unidades</v>
      </c>
      <c r="AK2004" s="14">
        <f>VLOOKUP(E2004,Precios!Z$2:BB$941,3,FALSE)*F2004</f>
        <v>-1</v>
      </c>
      <c r="AL2004" s="17"/>
      <c r="AM2004" s="17"/>
      <c r="AN2004" s="17"/>
      <c r="AO2004" s="17"/>
      <c r="AP2004" s="17"/>
      <c r="AQ2004" s="17"/>
      <c r="AR2004" s="17"/>
      <c r="AS2004" s="17"/>
      <c r="AT2004" s="17"/>
      <c r="AU2004" s="17"/>
      <c r="AV2004" s="17"/>
    </row>
    <row r="2005" spans="1:48" ht="15.75" customHeight="1">
      <c r="A2005" s="21" t="s">
        <v>43</v>
      </c>
      <c r="B2005" s="23" t="s">
        <v>1692</v>
      </c>
      <c r="C2005" s="22">
        <v>45779</v>
      </c>
      <c r="D2005" s="23" t="s">
        <v>241</v>
      </c>
      <c r="E2005" s="23" t="s">
        <v>45</v>
      </c>
      <c r="F2005" s="14">
        <v>1</v>
      </c>
      <c r="G2005" s="12">
        <v>8299.9877571008819</v>
      </c>
      <c r="H2005" s="12">
        <v>8299.9877571008819</v>
      </c>
      <c r="I2005" s="23" t="s">
        <v>52</v>
      </c>
      <c r="J2005" s="23" t="s">
        <v>61</v>
      </c>
      <c r="K2005" s="24" t="s">
        <v>177</v>
      </c>
      <c r="L2005" s="24">
        <v>134</v>
      </c>
      <c r="M2005" s="12">
        <v>6974.7796278158676</v>
      </c>
      <c r="N2005" s="12">
        <v>6974.7796278158676</v>
      </c>
      <c r="O2005" s="12">
        <v>1325.2081292850144</v>
      </c>
      <c r="P2005" s="13"/>
      <c r="Q2005" s="14">
        <v>2025</v>
      </c>
      <c r="R2005" s="15">
        <v>45413</v>
      </c>
      <c r="S2005" s="11" t="s">
        <v>355</v>
      </c>
      <c r="T2005" s="16">
        <v>0</v>
      </c>
      <c r="U2005" s="17"/>
      <c r="V2005" s="12">
        <v>1277.7796278158667</v>
      </c>
      <c r="W2005" s="12">
        <v>1277.7796278158667</v>
      </c>
      <c r="X2005" s="12">
        <v>0</v>
      </c>
      <c r="Y2005" s="18">
        <v>45775</v>
      </c>
      <c r="Z2005" s="13" t="s">
        <v>503</v>
      </c>
      <c r="AA2005" s="19" t="s">
        <v>373</v>
      </c>
      <c r="AB2005" s="13" t="s">
        <v>357</v>
      </c>
      <c r="AC2005" s="13" t="s">
        <v>488</v>
      </c>
      <c r="AD2005" s="20"/>
      <c r="AE2005" s="20"/>
      <c r="AF2005" s="13" t="s">
        <v>40</v>
      </c>
      <c r="AG2005" s="15">
        <v>45413</v>
      </c>
      <c r="AH2005" s="13" t="s">
        <v>41</v>
      </c>
      <c r="AI2005" s="13" t="s">
        <v>43</v>
      </c>
      <c r="AJ2005" s="13" t="str">
        <f>VLOOKUP(E2005,Precios!Z$2:AA$941,2,FALSE)</f>
        <v>Bandeja Huevos EXTRA</v>
      </c>
      <c r="AK2005" s="14">
        <f>VLOOKUP(E2005,Precios!Z$2:BB$941,3,FALSE)*F2005</f>
        <v>-1</v>
      </c>
      <c r="AL2005" s="17"/>
      <c r="AM2005" s="17"/>
      <c r="AN2005" s="17"/>
      <c r="AO2005" s="17"/>
      <c r="AP2005" s="17"/>
      <c r="AQ2005" s="17"/>
      <c r="AR2005" s="17"/>
      <c r="AS2005" s="17"/>
      <c r="AT2005" s="17"/>
      <c r="AU2005" s="17"/>
      <c r="AV2005" s="17"/>
    </row>
    <row r="2006" spans="1:48" ht="15.75" customHeight="1">
      <c r="A2006" s="21" t="s">
        <v>43</v>
      </c>
      <c r="B2006" s="23" t="s">
        <v>1692</v>
      </c>
      <c r="C2006" s="22">
        <v>45779</v>
      </c>
      <c r="D2006" s="23" t="s">
        <v>184</v>
      </c>
      <c r="E2006" s="23" t="s">
        <v>45</v>
      </c>
      <c r="F2006" s="14">
        <v>1</v>
      </c>
      <c r="G2006" s="12">
        <v>8299.9877571008819</v>
      </c>
      <c r="H2006" s="12">
        <v>8299.9877571008819</v>
      </c>
      <c r="I2006" s="23" t="s">
        <v>52</v>
      </c>
      <c r="J2006" s="23" t="s">
        <v>61</v>
      </c>
      <c r="K2006" s="24" t="s">
        <v>177</v>
      </c>
      <c r="L2006" s="24">
        <v>134</v>
      </c>
      <c r="M2006" s="12">
        <v>6974.7796278158676</v>
      </c>
      <c r="N2006" s="12">
        <v>6974.7796278158676</v>
      </c>
      <c r="O2006" s="12">
        <v>1325.2081292850144</v>
      </c>
      <c r="P2006" s="13"/>
      <c r="Q2006" s="14">
        <v>2025</v>
      </c>
      <c r="R2006" s="15">
        <v>45413</v>
      </c>
      <c r="S2006" s="11" t="s">
        <v>355</v>
      </c>
      <c r="T2006" s="16">
        <v>0</v>
      </c>
      <c r="U2006" s="17"/>
      <c r="V2006" s="12">
        <v>1277.7796278158667</v>
      </c>
      <c r="W2006" s="12">
        <v>1277.7796278158667</v>
      </c>
      <c r="X2006" s="12">
        <v>0</v>
      </c>
      <c r="Y2006" s="18">
        <v>45775</v>
      </c>
      <c r="Z2006" s="13" t="s">
        <v>503</v>
      </c>
      <c r="AA2006" s="19" t="s">
        <v>361</v>
      </c>
      <c r="AB2006" s="13" t="s">
        <v>357</v>
      </c>
      <c r="AC2006" s="13" t="s">
        <v>405</v>
      </c>
      <c r="AD2006" s="20"/>
      <c r="AE2006" s="20"/>
      <c r="AF2006" s="13" t="s">
        <v>40</v>
      </c>
      <c r="AG2006" s="15">
        <v>45413</v>
      </c>
      <c r="AH2006" s="13" t="s">
        <v>41</v>
      </c>
      <c r="AI2006" s="13" t="s">
        <v>43</v>
      </c>
      <c r="AJ2006" s="13" t="str">
        <f>VLOOKUP(E2006,Precios!Z$2:AA$941,2,FALSE)</f>
        <v>Bandeja Huevos EXTRA</v>
      </c>
      <c r="AK2006" s="14">
        <f>VLOOKUP(E2006,Precios!Z$2:BB$941,3,FALSE)*F2006</f>
        <v>-1</v>
      </c>
      <c r="AL2006" s="17"/>
      <c r="AM2006" s="17"/>
      <c r="AN2006" s="17"/>
      <c r="AO2006" s="17"/>
      <c r="AP2006" s="17"/>
      <c r="AQ2006" s="17"/>
      <c r="AR2006" s="17"/>
      <c r="AS2006" s="17"/>
      <c r="AT2006" s="17"/>
      <c r="AU2006" s="17"/>
      <c r="AV2006" s="17"/>
    </row>
    <row r="2007" spans="1:48" ht="15.75" customHeight="1">
      <c r="A2007" s="21" t="s">
        <v>35</v>
      </c>
      <c r="B2007" s="23" t="s">
        <v>1692</v>
      </c>
      <c r="C2007" s="22">
        <v>45779</v>
      </c>
      <c r="D2007" s="23" t="s">
        <v>235</v>
      </c>
      <c r="E2007" s="23" t="s">
        <v>37</v>
      </c>
      <c r="F2007" s="14">
        <v>1</v>
      </c>
      <c r="G2007" s="12">
        <v>10500</v>
      </c>
      <c r="H2007" s="12">
        <v>10500</v>
      </c>
      <c r="I2007" s="23" t="s">
        <v>52</v>
      </c>
      <c r="J2007" s="23" t="s">
        <v>61</v>
      </c>
      <c r="K2007" s="24" t="s">
        <v>177</v>
      </c>
      <c r="L2007" s="24">
        <v>134</v>
      </c>
      <c r="M2007" s="12">
        <v>8823.5294117647063</v>
      </c>
      <c r="N2007" s="12">
        <v>8823.5294117647063</v>
      </c>
      <c r="O2007" s="12">
        <v>1676.4705882352937</v>
      </c>
      <c r="P2007" s="13"/>
      <c r="Q2007" s="14">
        <v>2025</v>
      </c>
      <c r="R2007" s="15">
        <v>45413</v>
      </c>
      <c r="S2007" s="11" t="s">
        <v>364</v>
      </c>
      <c r="T2007" s="16">
        <v>1000</v>
      </c>
      <c r="U2007" s="17"/>
      <c r="V2007" s="12">
        <v>2385.7142857142853</v>
      </c>
      <c r="W2007" s="12">
        <v>2385.7142857142853</v>
      </c>
      <c r="X2007" s="12">
        <v>0</v>
      </c>
      <c r="Y2007" s="18">
        <v>45775</v>
      </c>
      <c r="Z2007" s="13" t="s">
        <v>503</v>
      </c>
      <c r="AA2007" s="19" t="s">
        <v>367</v>
      </c>
      <c r="AB2007" s="13" t="s">
        <v>357</v>
      </c>
      <c r="AC2007" s="13" t="s">
        <v>367</v>
      </c>
      <c r="AD2007" s="20"/>
      <c r="AE2007" s="20"/>
      <c r="AF2007" s="13" t="s">
        <v>40</v>
      </c>
      <c r="AG2007" s="15">
        <v>45413</v>
      </c>
      <c r="AH2007" s="13" t="s">
        <v>41</v>
      </c>
      <c r="AI2007" s="13" t="s">
        <v>35</v>
      </c>
      <c r="AJ2007" s="13" t="str">
        <f>VLOOKUP(E2007,Precios!Z$2:AA$941,2,FALSE)</f>
        <v>Queso RUNCA Mantecoso</v>
      </c>
      <c r="AK2007" s="14">
        <f>VLOOKUP(E2007,Precios!Z$2:BB$941,3,FALSE)*F2007</f>
        <v>-1</v>
      </c>
      <c r="AL2007" s="17"/>
      <c r="AM2007" s="17"/>
      <c r="AN2007" s="17"/>
      <c r="AO2007" s="17"/>
      <c r="AP2007" s="17"/>
      <c r="AQ2007" s="17"/>
      <c r="AR2007" s="17"/>
      <c r="AS2007" s="17"/>
      <c r="AT2007" s="17"/>
      <c r="AU2007" s="17"/>
      <c r="AV2007" s="17"/>
    </row>
    <row r="2008" spans="1:48" ht="15.75" customHeight="1">
      <c r="A2008" s="21" t="s">
        <v>43</v>
      </c>
      <c r="B2008" s="23" t="s">
        <v>1692</v>
      </c>
      <c r="C2008" s="22">
        <v>45779</v>
      </c>
      <c r="D2008" s="23" t="s">
        <v>235</v>
      </c>
      <c r="E2008" s="23" t="s">
        <v>45</v>
      </c>
      <c r="F2008" s="21">
        <v>2</v>
      </c>
      <c r="G2008" s="12">
        <v>8299.9877571008819</v>
      </c>
      <c r="H2008" s="12">
        <v>16599.975514201764</v>
      </c>
      <c r="I2008" s="23" t="s">
        <v>52</v>
      </c>
      <c r="J2008" s="23" t="s">
        <v>61</v>
      </c>
      <c r="K2008" s="24" t="s">
        <v>177</v>
      </c>
      <c r="L2008" s="24">
        <v>134</v>
      </c>
      <c r="M2008" s="12">
        <v>6974.7796278158676</v>
      </c>
      <c r="N2008" s="12">
        <v>13949.559255631735</v>
      </c>
      <c r="O2008" s="12">
        <v>2650.4162585700287</v>
      </c>
      <c r="P2008" s="13"/>
      <c r="Q2008" s="14">
        <v>2025</v>
      </c>
      <c r="R2008" s="15">
        <v>45413</v>
      </c>
      <c r="S2008" s="11" t="s">
        <v>355</v>
      </c>
      <c r="T2008" s="16">
        <v>0</v>
      </c>
      <c r="U2008" s="17"/>
      <c r="V2008" s="12">
        <v>2555.5592556317333</v>
      </c>
      <c r="W2008" s="12">
        <v>2555.5592556317333</v>
      </c>
      <c r="X2008" s="12">
        <v>0</v>
      </c>
      <c r="Y2008" s="18">
        <v>45775</v>
      </c>
      <c r="Z2008" s="13" t="s">
        <v>503</v>
      </c>
      <c r="AA2008" s="19" t="s">
        <v>367</v>
      </c>
      <c r="AB2008" s="13" t="s">
        <v>357</v>
      </c>
      <c r="AC2008" s="13" t="s">
        <v>367</v>
      </c>
      <c r="AD2008" s="20"/>
      <c r="AE2008" s="20"/>
      <c r="AF2008" s="13" t="s">
        <v>40</v>
      </c>
      <c r="AG2008" s="15">
        <v>45413</v>
      </c>
      <c r="AH2008" s="13" t="s">
        <v>41</v>
      </c>
      <c r="AI2008" s="13" t="s">
        <v>43</v>
      </c>
      <c r="AJ2008" s="13" t="str">
        <f>VLOOKUP(E2008,Precios!Z$2:AA$941,2,FALSE)</f>
        <v>Bandeja Huevos EXTRA</v>
      </c>
      <c r="AK2008" s="14">
        <f>VLOOKUP(E2008,Precios!Z$2:BB$941,3,FALSE)*F2008</f>
        <v>-2</v>
      </c>
      <c r="AL2008" s="17"/>
      <c r="AM2008" s="17"/>
      <c r="AN2008" s="17"/>
      <c r="AO2008" s="17"/>
      <c r="AP2008" s="17"/>
      <c r="AQ2008" s="17"/>
      <c r="AR2008" s="17"/>
      <c r="AS2008" s="17"/>
      <c r="AT2008" s="17"/>
      <c r="AU2008" s="17"/>
      <c r="AV2008" s="17"/>
    </row>
    <row r="2009" spans="1:48" ht="15.75" customHeight="1">
      <c r="A2009" s="21" t="s">
        <v>35</v>
      </c>
      <c r="B2009" s="23" t="s">
        <v>1692</v>
      </c>
      <c r="C2009" s="22">
        <v>45779</v>
      </c>
      <c r="D2009" s="23" t="s">
        <v>572</v>
      </c>
      <c r="E2009" s="23" t="s">
        <v>37</v>
      </c>
      <c r="F2009" s="14">
        <v>1</v>
      </c>
      <c r="G2009" s="12">
        <v>10500</v>
      </c>
      <c r="H2009" s="12">
        <v>10500</v>
      </c>
      <c r="I2009" s="23" t="s">
        <v>52</v>
      </c>
      <c r="J2009" s="23" t="s">
        <v>61</v>
      </c>
      <c r="K2009" s="24" t="s">
        <v>177</v>
      </c>
      <c r="L2009" s="24">
        <v>134</v>
      </c>
      <c r="M2009" s="12">
        <v>8823.5294117647063</v>
      </c>
      <c r="N2009" s="12">
        <v>8823.5294117647063</v>
      </c>
      <c r="O2009" s="12">
        <v>1676.4705882352937</v>
      </c>
      <c r="P2009" s="13"/>
      <c r="Q2009" s="14">
        <v>2025</v>
      </c>
      <c r="R2009" s="15">
        <v>45413</v>
      </c>
      <c r="S2009" s="11" t="s">
        <v>364</v>
      </c>
      <c r="T2009" s="16">
        <v>1000</v>
      </c>
      <c r="U2009" s="17"/>
      <c r="V2009" s="12">
        <v>2385.7142857142853</v>
      </c>
      <c r="W2009" s="12">
        <v>2385.7142857142853</v>
      </c>
      <c r="X2009" s="12">
        <v>0</v>
      </c>
      <c r="Y2009" s="18">
        <v>45775</v>
      </c>
      <c r="Z2009" s="13" t="s">
        <v>503</v>
      </c>
      <c r="AA2009" s="19" t="s">
        <v>373</v>
      </c>
      <c r="AB2009" s="13" t="s">
        <v>357</v>
      </c>
      <c r="AC2009" s="13" t="s">
        <v>573</v>
      </c>
      <c r="AD2009" s="20"/>
      <c r="AE2009" s="20"/>
      <c r="AF2009" s="13" t="s">
        <v>40</v>
      </c>
      <c r="AG2009" s="15">
        <v>45413</v>
      </c>
      <c r="AH2009" s="13" t="s">
        <v>41</v>
      </c>
      <c r="AI2009" s="13" t="s">
        <v>35</v>
      </c>
      <c r="AJ2009" s="13" t="str">
        <f>VLOOKUP(E2009,Precios!Z$2:AA$941,2,FALSE)</f>
        <v>Queso RUNCA Mantecoso</v>
      </c>
      <c r="AK2009" s="14">
        <f>VLOOKUP(E2009,Precios!Z$2:BB$941,3,FALSE)*F2009</f>
        <v>-1</v>
      </c>
      <c r="AL2009" s="17"/>
      <c r="AM2009" s="17"/>
      <c r="AN2009" s="17"/>
      <c r="AO2009" s="17"/>
      <c r="AP2009" s="17"/>
      <c r="AQ2009" s="17"/>
      <c r="AR2009" s="17"/>
      <c r="AS2009" s="17"/>
      <c r="AT2009" s="17"/>
      <c r="AU2009" s="17"/>
      <c r="AV2009" s="17"/>
    </row>
    <row r="2010" spans="1:48" ht="15.75" customHeight="1">
      <c r="A2010" s="21" t="s">
        <v>43</v>
      </c>
      <c r="B2010" s="23" t="s">
        <v>1692</v>
      </c>
      <c r="C2010" s="22">
        <v>45779</v>
      </c>
      <c r="D2010" s="23" t="s">
        <v>572</v>
      </c>
      <c r="E2010" s="23" t="s">
        <v>45</v>
      </c>
      <c r="F2010" s="14">
        <v>1</v>
      </c>
      <c r="G2010" s="12">
        <v>8299.9877571008819</v>
      </c>
      <c r="H2010" s="12">
        <v>8299.9877571008819</v>
      </c>
      <c r="I2010" s="23" t="s">
        <v>52</v>
      </c>
      <c r="J2010" s="23" t="s">
        <v>61</v>
      </c>
      <c r="K2010" s="24" t="s">
        <v>177</v>
      </c>
      <c r="L2010" s="24">
        <v>134</v>
      </c>
      <c r="M2010" s="12">
        <v>6974.7796278158676</v>
      </c>
      <c r="N2010" s="12">
        <v>6974.7796278158676</v>
      </c>
      <c r="O2010" s="12">
        <v>1325.2081292850144</v>
      </c>
      <c r="P2010" s="13"/>
      <c r="Q2010" s="14">
        <v>2025</v>
      </c>
      <c r="R2010" s="15">
        <v>45413</v>
      </c>
      <c r="S2010" s="11" t="s">
        <v>355</v>
      </c>
      <c r="T2010" s="16">
        <v>0</v>
      </c>
      <c r="U2010" s="17"/>
      <c r="V2010" s="12">
        <v>1277.7796278158667</v>
      </c>
      <c r="W2010" s="12">
        <v>1277.7796278158667</v>
      </c>
      <c r="X2010" s="12">
        <v>0</v>
      </c>
      <c r="Y2010" s="18">
        <v>45775</v>
      </c>
      <c r="Z2010" s="13" t="s">
        <v>503</v>
      </c>
      <c r="AA2010" s="19" t="s">
        <v>373</v>
      </c>
      <c r="AB2010" s="13" t="s">
        <v>357</v>
      </c>
      <c r="AC2010" s="13" t="s">
        <v>573</v>
      </c>
      <c r="AD2010" s="20"/>
      <c r="AE2010" s="20"/>
      <c r="AF2010" s="13" t="s">
        <v>40</v>
      </c>
      <c r="AG2010" s="15">
        <v>45413</v>
      </c>
      <c r="AH2010" s="13" t="s">
        <v>41</v>
      </c>
      <c r="AI2010" s="13" t="s">
        <v>43</v>
      </c>
      <c r="AJ2010" s="13" t="str">
        <f>VLOOKUP(E2010,Precios!Z$2:AA$941,2,FALSE)</f>
        <v>Bandeja Huevos EXTRA</v>
      </c>
      <c r="AK2010" s="14">
        <f>VLOOKUP(E2010,Precios!Z$2:BB$941,3,FALSE)*F2010</f>
        <v>-1</v>
      </c>
      <c r="AL2010" s="17"/>
      <c r="AM2010" s="17"/>
      <c r="AN2010" s="17"/>
      <c r="AO2010" s="17"/>
      <c r="AP2010" s="17"/>
      <c r="AQ2010" s="17"/>
      <c r="AR2010" s="17"/>
      <c r="AS2010" s="17"/>
      <c r="AT2010" s="17"/>
      <c r="AU2010" s="17"/>
      <c r="AV2010" s="17"/>
    </row>
    <row r="2011" spans="1:48" ht="15.75" customHeight="1">
      <c r="A2011" s="21" t="s">
        <v>35</v>
      </c>
      <c r="B2011" s="23" t="s">
        <v>1692</v>
      </c>
      <c r="C2011" s="22">
        <v>45779</v>
      </c>
      <c r="D2011" s="23" t="s">
        <v>96</v>
      </c>
      <c r="E2011" s="23" t="s">
        <v>37</v>
      </c>
      <c r="F2011" s="14">
        <v>1</v>
      </c>
      <c r="G2011" s="12">
        <v>10500</v>
      </c>
      <c r="H2011" s="12">
        <v>10500</v>
      </c>
      <c r="I2011" s="23" t="s">
        <v>52</v>
      </c>
      <c r="J2011" s="23" t="s">
        <v>61</v>
      </c>
      <c r="K2011" s="24" t="s">
        <v>177</v>
      </c>
      <c r="L2011" s="24">
        <v>134</v>
      </c>
      <c r="M2011" s="12">
        <v>8823.5294117647063</v>
      </c>
      <c r="N2011" s="12">
        <v>8823.5294117647063</v>
      </c>
      <c r="O2011" s="12">
        <v>1676.4705882352937</v>
      </c>
      <c r="P2011" s="13"/>
      <c r="Q2011" s="14">
        <v>2025</v>
      </c>
      <c r="R2011" s="15">
        <v>45413</v>
      </c>
      <c r="S2011" s="11" t="s">
        <v>364</v>
      </c>
      <c r="T2011" s="16">
        <v>1000</v>
      </c>
      <c r="U2011" s="17"/>
      <c r="V2011" s="12">
        <v>2385.7142857142853</v>
      </c>
      <c r="W2011" s="12">
        <v>2385.7142857142853</v>
      </c>
      <c r="X2011" s="12">
        <v>0</v>
      </c>
      <c r="Y2011" s="18">
        <v>45775</v>
      </c>
      <c r="Z2011" s="13" t="s">
        <v>503</v>
      </c>
      <c r="AA2011" s="19" t="s">
        <v>373</v>
      </c>
      <c r="AB2011" s="13" t="s">
        <v>357</v>
      </c>
      <c r="AC2011" s="13" t="s">
        <v>374</v>
      </c>
      <c r="AD2011" s="20"/>
      <c r="AE2011" s="20"/>
      <c r="AF2011" s="13" t="s">
        <v>40</v>
      </c>
      <c r="AG2011" s="15">
        <v>45413</v>
      </c>
      <c r="AH2011" s="13" t="s">
        <v>41</v>
      </c>
      <c r="AI2011" s="13" t="s">
        <v>35</v>
      </c>
      <c r="AJ2011" s="13" t="str">
        <f>VLOOKUP(E2011,Precios!Z$2:AA$941,2,FALSE)</f>
        <v>Queso RUNCA Mantecoso</v>
      </c>
      <c r="AK2011" s="14">
        <f>VLOOKUP(E2011,Precios!Z$2:BB$941,3,FALSE)*F2011</f>
        <v>-1</v>
      </c>
      <c r="AL2011" s="17"/>
      <c r="AM2011" s="17"/>
      <c r="AN2011" s="17"/>
      <c r="AO2011" s="17"/>
      <c r="AP2011" s="17"/>
      <c r="AQ2011" s="17"/>
      <c r="AR2011" s="17"/>
      <c r="AS2011" s="17"/>
      <c r="AT2011" s="17"/>
      <c r="AU2011" s="17"/>
      <c r="AV2011" s="17"/>
    </row>
    <row r="2012" spans="1:48" ht="15.75" customHeight="1">
      <c r="A2012" s="21" t="s">
        <v>147</v>
      </c>
      <c r="B2012" s="23" t="s">
        <v>1692</v>
      </c>
      <c r="C2012" s="25">
        <v>45778</v>
      </c>
      <c r="D2012" s="23" t="s">
        <v>660</v>
      </c>
      <c r="E2012" s="23" t="s">
        <v>499</v>
      </c>
      <c r="F2012" s="14">
        <v>1</v>
      </c>
      <c r="G2012" s="12">
        <v>10999.911119011644</v>
      </c>
      <c r="H2012" s="12">
        <v>10999.911119011644</v>
      </c>
      <c r="I2012" s="23" t="s">
        <v>52</v>
      </c>
      <c r="J2012" s="23" t="s">
        <v>61</v>
      </c>
      <c r="K2012" s="24" t="s">
        <v>177</v>
      </c>
      <c r="L2012" s="24">
        <v>134</v>
      </c>
      <c r="M2012" s="12">
        <v>9243.6227890854152</v>
      </c>
      <c r="N2012" s="12">
        <v>9243.6227890854152</v>
      </c>
      <c r="O2012" s="12">
        <v>1756.2883299262285</v>
      </c>
      <c r="P2012" s="13"/>
      <c r="Q2012" s="14">
        <v>2025</v>
      </c>
      <c r="R2012" s="15">
        <v>45413</v>
      </c>
      <c r="S2012" s="11" t="s">
        <v>455</v>
      </c>
      <c r="T2012" s="16">
        <v>0</v>
      </c>
      <c r="U2012" s="17"/>
      <c r="V2012" s="12">
        <v>4043.6227890854152</v>
      </c>
      <c r="W2012" s="12">
        <v>4043.6227890854152</v>
      </c>
      <c r="X2012" s="12">
        <v>0</v>
      </c>
      <c r="Y2012" s="18">
        <v>45775</v>
      </c>
      <c r="Z2012" s="13" t="s">
        <v>505</v>
      </c>
      <c r="AA2012" s="19" t="s">
        <v>373</v>
      </c>
      <c r="AB2012" s="13" t="s">
        <v>357</v>
      </c>
      <c r="AC2012" s="13" t="s">
        <v>380</v>
      </c>
      <c r="AD2012" s="20"/>
      <c r="AE2012" s="20"/>
      <c r="AF2012" s="13" t="s">
        <v>40</v>
      </c>
      <c r="AG2012" s="15">
        <v>45413</v>
      </c>
      <c r="AH2012" s="13" t="s">
        <v>41</v>
      </c>
      <c r="AI2012" s="13" t="s">
        <v>147</v>
      </c>
      <c r="AJ2012" s="13" t="str">
        <f>VLOOKUP(E2012,Precios!Z$2:AA$941,2,FALSE)</f>
        <v>Film Embalaje</v>
      </c>
      <c r="AK2012" s="14">
        <f>VLOOKUP(E2012,Precios!Z$2:BB$941,3,FALSE)*F2012</f>
        <v>-2</v>
      </c>
      <c r="AL2012" s="17"/>
      <c r="AM2012" s="17"/>
      <c r="AN2012" s="17"/>
      <c r="AO2012" s="17"/>
      <c r="AP2012" s="17"/>
      <c r="AQ2012" s="17"/>
      <c r="AR2012" s="17"/>
      <c r="AS2012" s="17"/>
      <c r="AT2012" s="17"/>
      <c r="AU2012" s="17"/>
      <c r="AV2012" s="17"/>
    </row>
    <row r="2013" spans="1:48" ht="15.75" customHeight="1">
      <c r="A2013" s="21" t="s">
        <v>76</v>
      </c>
      <c r="B2013" s="23" t="s">
        <v>1692</v>
      </c>
      <c r="C2013" s="25">
        <v>45778</v>
      </c>
      <c r="D2013" s="23" t="s">
        <v>262</v>
      </c>
      <c r="E2013" s="23" t="s">
        <v>82</v>
      </c>
      <c r="F2013" s="14">
        <v>1</v>
      </c>
      <c r="G2013" s="12">
        <v>2000.0000000000002</v>
      </c>
      <c r="H2013" s="12">
        <v>2000.0000000000002</v>
      </c>
      <c r="I2013" s="23" t="s">
        <v>52</v>
      </c>
      <c r="J2013" s="23" t="s">
        <v>61</v>
      </c>
      <c r="K2013" s="24" t="s">
        <v>177</v>
      </c>
      <c r="L2013" s="24">
        <v>134</v>
      </c>
      <c r="M2013" s="12">
        <v>1680.6722689075632</v>
      </c>
      <c r="N2013" s="12">
        <v>1680.6722689075632</v>
      </c>
      <c r="O2013" s="12">
        <v>319.32773109243703</v>
      </c>
      <c r="P2013" s="13"/>
      <c r="Q2013" s="14">
        <v>2025</v>
      </c>
      <c r="R2013" s="15">
        <v>45413</v>
      </c>
      <c r="S2013" s="11" t="s">
        <v>463</v>
      </c>
      <c r="T2013" s="16">
        <v>5</v>
      </c>
      <c r="U2013" s="17"/>
      <c r="V2013" s="12">
        <v>680.67226890756319</v>
      </c>
      <c r="W2013" s="12">
        <v>680.67226890756319</v>
      </c>
      <c r="X2013" s="12">
        <v>0</v>
      </c>
      <c r="Y2013" s="18">
        <v>45775</v>
      </c>
      <c r="Z2013" s="13" t="s">
        <v>505</v>
      </c>
      <c r="AA2013" s="19" t="s">
        <v>361</v>
      </c>
      <c r="AB2013" s="13" t="s">
        <v>357</v>
      </c>
      <c r="AC2013" s="13" t="s">
        <v>362</v>
      </c>
      <c r="AD2013" s="20"/>
      <c r="AE2013" s="20"/>
      <c r="AF2013" s="13" t="s">
        <v>40</v>
      </c>
      <c r="AG2013" s="15">
        <v>45413</v>
      </c>
      <c r="AH2013" s="13" t="s">
        <v>41</v>
      </c>
      <c r="AI2013" s="13" t="s">
        <v>76</v>
      </c>
      <c r="AJ2013" s="13" t="str">
        <f>VLOOKUP(E2013,Precios!Z$2:AA$941,2,FALSE)</f>
        <v>Limpiapiso SPUM 5 Litros</v>
      </c>
      <c r="AK2013" s="14">
        <f>VLOOKUP(E2013,Precios!Z$2:BB$941,3,FALSE)*F2013</f>
        <v>-1</v>
      </c>
      <c r="AL2013" s="17"/>
      <c r="AM2013" s="17"/>
      <c r="AN2013" s="17"/>
      <c r="AO2013" s="17"/>
      <c r="AP2013" s="17"/>
      <c r="AQ2013" s="17"/>
      <c r="AR2013" s="17"/>
      <c r="AS2013" s="17"/>
      <c r="AT2013" s="17"/>
      <c r="AU2013" s="17"/>
      <c r="AV2013" s="17"/>
    </row>
    <row r="2014" spans="1:48" ht="15.75" customHeight="1">
      <c r="A2014" s="21" t="s">
        <v>64</v>
      </c>
      <c r="B2014" s="23" t="s">
        <v>1692</v>
      </c>
      <c r="C2014" s="22">
        <v>45778</v>
      </c>
      <c r="D2014" s="23" t="s">
        <v>661</v>
      </c>
      <c r="E2014" s="23" t="s">
        <v>65</v>
      </c>
      <c r="F2014" s="21">
        <v>1</v>
      </c>
      <c r="G2014" s="12">
        <v>8199.8794599807134</v>
      </c>
      <c r="H2014" s="12">
        <v>8199.8794599807134</v>
      </c>
      <c r="I2014" s="23" t="s">
        <v>52</v>
      </c>
      <c r="J2014" s="23" t="s">
        <v>61</v>
      </c>
      <c r="K2014" s="24" t="s">
        <v>177</v>
      </c>
      <c r="L2014" s="24">
        <v>134</v>
      </c>
      <c r="M2014" s="12">
        <v>6890.6550083871543</v>
      </c>
      <c r="N2014" s="12">
        <v>6890.6550083871543</v>
      </c>
      <c r="O2014" s="12">
        <v>1309.224451593559</v>
      </c>
      <c r="P2014" s="13"/>
      <c r="Q2014" s="14">
        <v>2025</v>
      </c>
      <c r="R2014" s="15">
        <v>45413</v>
      </c>
      <c r="S2014" s="11" t="s">
        <v>64</v>
      </c>
      <c r="T2014" s="16">
        <v>1</v>
      </c>
      <c r="U2014" s="17"/>
      <c r="V2014" s="12">
        <v>1174.1676134291711</v>
      </c>
      <c r="W2014" s="12">
        <v>1174.1676134291711</v>
      </c>
      <c r="X2014" s="12">
        <v>0</v>
      </c>
      <c r="Y2014" s="18">
        <v>45775</v>
      </c>
      <c r="Z2014" s="13" t="s">
        <v>505</v>
      </c>
      <c r="AA2014" s="19" t="s">
        <v>373</v>
      </c>
      <c r="AB2014" s="13" t="s">
        <v>357</v>
      </c>
      <c r="AC2014" s="13" t="s">
        <v>374</v>
      </c>
      <c r="AD2014" s="20"/>
      <c r="AE2014" s="20"/>
      <c r="AF2014" s="13" t="s">
        <v>40</v>
      </c>
      <c r="AG2014" s="15">
        <v>45413</v>
      </c>
      <c r="AH2014" s="13" t="s">
        <v>41</v>
      </c>
      <c r="AI2014" s="13" t="s">
        <v>64</v>
      </c>
      <c r="AJ2014" s="13" t="str">
        <f>VLOOKUP(E2014,Precios!Z$2:AA$941,2,FALSE)</f>
        <v>Longanizas VILLABLANCA</v>
      </c>
      <c r="AK2014" s="14">
        <f>VLOOKUP(E2014,Precios!Z$2:BB$941,3,FALSE)*F2014</f>
        <v>-1</v>
      </c>
      <c r="AL2014" s="17"/>
      <c r="AM2014" s="17"/>
      <c r="AN2014" s="17"/>
      <c r="AO2014" s="17"/>
      <c r="AP2014" s="17"/>
      <c r="AQ2014" s="17"/>
      <c r="AR2014" s="17"/>
      <c r="AS2014" s="17"/>
      <c r="AT2014" s="17"/>
      <c r="AU2014" s="17"/>
      <c r="AV2014" s="17"/>
    </row>
    <row r="2015" spans="1:48" ht="15.75" customHeight="1">
      <c r="A2015" s="21" t="s">
        <v>35</v>
      </c>
      <c r="B2015" s="23" t="s">
        <v>1692</v>
      </c>
      <c r="C2015" s="22">
        <v>45778</v>
      </c>
      <c r="D2015" s="23" t="s">
        <v>132</v>
      </c>
      <c r="E2015" s="23" t="s">
        <v>46</v>
      </c>
      <c r="F2015" s="21">
        <v>1</v>
      </c>
      <c r="G2015" s="12">
        <v>5500</v>
      </c>
      <c r="H2015" s="12">
        <v>5500</v>
      </c>
      <c r="I2015" s="23" t="s">
        <v>52</v>
      </c>
      <c r="J2015" s="23" t="s">
        <v>61</v>
      </c>
      <c r="K2015" s="24" t="s">
        <v>177</v>
      </c>
      <c r="L2015" s="24">
        <v>134</v>
      </c>
      <c r="M2015" s="12">
        <v>4621.8487394957983</v>
      </c>
      <c r="N2015" s="12">
        <v>4621.8487394957983</v>
      </c>
      <c r="O2015" s="12">
        <v>878.15126050420167</v>
      </c>
      <c r="P2015" s="13"/>
      <c r="Q2015" s="14">
        <v>2025</v>
      </c>
      <c r="R2015" s="15">
        <v>45413</v>
      </c>
      <c r="S2015" s="11" t="s">
        <v>364</v>
      </c>
      <c r="T2015" s="16">
        <v>500</v>
      </c>
      <c r="U2015" s="17"/>
      <c r="V2015" s="12">
        <v>1365.1260504201678</v>
      </c>
      <c r="W2015" s="12">
        <v>1365.1260504201678</v>
      </c>
      <c r="X2015" s="12">
        <v>0</v>
      </c>
      <c r="Y2015" s="18">
        <v>45775</v>
      </c>
      <c r="Z2015" s="13" t="s">
        <v>505</v>
      </c>
      <c r="AA2015" s="19" t="s">
        <v>373</v>
      </c>
      <c r="AB2015" s="13" t="s">
        <v>357</v>
      </c>
      <c r="AC2015" s="13" t="s">
        <v>389</v>
      </c>
      <c r="AD2015" s="20"/>
      <c r="AE2015" s="20"/>
      <c r="AF2015" s="13" t="s">
        <v>40</v>
      </c>
      <c r="AG2015" s="15">
        <v>45413</v>
      </c>
      <c r="AH2015" s="13" t="s">
        <v>41</v>
      </c>
      <c r="AI2015" s="13" t="s">
        <v>35</v>
      </c>
      <c r="AJ2015" s="13" t="str">
        <f>VLOOKUP(E2015,Precios!Z$2:AA$941,2,FALSE)</f>
        <v>Queso RUNCA Mantecoso</v>
      </c>
      <c r="AK2015" s="14">
        <f>VLOOKUP(E2015,Precios!Z$2:BB$941,3,FALSE)*F2015</f>
        <v>-0.5</v>
      </c>
      <c r="AL2015" s="17"/>
      <c r="AM2015" s="17"/>
      <c r="AN2015" s="17"/>
      <c r="AO2015" s="17"/>
      <c r="AP2015" s="17"/>
      <c r="AQ2015" s="17"/>
      <c r="AR2015" s="17"/>
      <c r="AS2015" s="17"/>
      <c r="AT2015" s="17"/>
      <c r="AU2015" s="17"/>
      <c r="AV2015" s="17"/>
    </row>
    <row r="2016" spans="1:48" ht="15.75" customHeight="1">
      <c r="A2016" s="21" t="s">
        <v>35</v>
      </c>
      <c r="B2016" s="23" t="s">
        <v>1692</v>
      </c>
      <c r="C2016" s="22">
        <v>45778</v>
      </c>
      <c r="D2016" s="23" t="s">
        <v>132</v>
      </c>
      <c r="E2016" s="23" t="s">
        <v>46</v>
      </c>
      <c r="F2016" s="21">
        <v>1</v>
      </c>
      <c r="G2016" s="12">
        <v>5500</v>
      </c>
      <c r="H2016" s="12">
        <v>5500</v>
      </c>
      <c r="I2016" s="23" t="s">
        <v>52</v>
      </c>
      <c r="J2016" s="23" t="s">
        <v>61</v>
      </c>
      <c r="K2016" s="24" t="s">
        <v>177</v>
      </c>
      <c r="L2016" s="24">
        <v>134</v>
      </c>
      <c r="M2016" s="12">
        <v>4621.8487394957983</v>
      </c>
      <c r="N2016" s="12">
        <v>4621.8487394957983</v>
      </c>
      <c r="O2016" s="12">
        <v>878.15126050420167</v>
      </c>
      <c r="P2016" s="13"/>
      <c r="Q2016" s="14">
        <v>2025</v>
      </c>
      <c r="R2016" s="15">
        <v>45413</v>
      </c>
      <c r="S2016" s="11" t="s">
        <v>364</v>
      </c>
      <c r="T2016" s="16">
        <v>500</v>
      </c>
      <c r="U2016" s="17"/>
      <c r="V2016" s="12">
        <v>1365.1260504201678</v>
      </c>
      <c r="W2016" s="12">
        <v>1365.1260504201678</v>
      </c>
      <c r="X2016" s="12">
        <v>0</v>
      </c>
      <c r="Y2016" s="18">
        <v>45775</v>
      </c>
      <c r="Z2016" s="13" t="s">
        <v>505</v>
      </c>
      <c r="AA2016" s="19" t="s">
        <v>373</v>
      </c>
      <c r="AB2016" s="13" t="s">
        <v>357</v>
      </c>
      <c r="AC2016" s="13" t="s">
        <v>389</v>
      </c>
      <c r="AD2016" s="20"/>
      <c r="AE2016" s="20"/>
      <c r="AF2016" s="13" t="s">
        <v>40</v>
      </c>
      <c r="AG2016" s="15">
        <v>45413</v>
      </c>
      <c r="AH2016" s="13" t="s">
        <v>41</v>
      </c>
      <c r="AI2016" s="13" t="s">
        <v>35</v>
      </c>
      <c r="AJ2016" s="13" t="str">
        <f>VLOOKUP(E2016,Precios!Z$2:AA$941,2,FALSE)</f>
        <v>Queso RUNCA Mantecoso</v>
      </c>
      <c r="AK2016" s="14">
        <f>VLOOKUP(E2016,Precios!Z$2:BB$941,3,FALSE)*F2016</f>
        <v>-0.5</v>
      </c>
      <c r="AL2016" s="17"/>
      <c r="AM2016" s="17"/>
      <c r="AN2016" s="17"/>
      <c r="AO2016" s="17"/>
      <c r="AP2016" s="17"/>
      <c r="AQ2016" s="17"/>
      <c r="AR2016" s="17"/>
      <c r="AS2016" s="17"/>
      <c r="AT2016" s="17"/>
      <c r="AU2016" s="17"/>
      <c r="AV2016" s="17"/>
    </row>
    <row r="2017" spans="1:48" ht="15.75" customHeight="1">
      <c r="A2017" s="21" t="s">
        <v>43</v>
      </c>
      <c r="B2017" s="23" t="s">
        <v>558</v>
      </c>
      <c r="C2017" s="22">
        <v>45777</v>
      </c>
      <c r="D2017" s="23" t="s">
        <v>142</v>
      </c>
      <c r="E2017" s="23" t="s">
        <v>45</v>
      </c>
      <c r="F2017" s="21">
        <v>1</v>
      </c>
      <c r="G2017" s="12">
        <v>8299.9877571008819</v>
      </c>
      <c r="H2017" s="12">
        <v>8299.9877571008819</v>
      </c>
      <c r="I2017" s="23" t="s">
        <v>52</v>
      </c>
      <c r="J2017" s="23" t="s">
        <v>61</v>
      </c>
      <c r="K2017" s="24" t="s">
        <v>177</v>
      </c>
      <c r="L2017" s="24">
        <v>133</v>
      </c>
      <c r="M2017" s="12">
        <v>6974.7796278158676</v>
      </c>
      <c r="N2017" s="12">
        <v>6974.7796278158676</v>
      </c>
      <c r="O2017" s="12">
        <v>1325.2081292850144</v>
      </c>
      <c r="P2017" s="13"/>
      <c r="Q2017" s="14">
        <v>2025</v>
      </c>
      <c r="R2017" s="15">
        <v>45383</v>
      </c>
      <c r="S2017" s="11" t="s">
        <v>355</v>
      </c>
      <c r="T2017" s="16">
        <v>0</v>
      </c>
      <c r="U2017" s="17"/>
      <c r="V2017" s="12">
        <v>1277.7796278158667</v>
      </c>
      <c r="W2017" s="12">
        <v>958.3347208619</v>
      </c>
      <c r="X2017" s="12">
        <v>319.44490695396667</v>
      </c>
      <c r="Y2017" s="18">
        <v>45775</v>
      </c>
      <c r="Z2017" s="13" t="s">
        <v>515</v>
      </c>
      <c r="AA2017" s="19" t="s">
        <v>361</v>
      </c>
      <c r="AB2017" s="13" t="s">
        <v>357</v>
      </c>
      <c r="AC2017" s="13" t="s">
        <v>489</v>
      </c>
      <c r="AD2017" s="30" t="s">
        <v>40</v>
      </c>
      <c r="AE2017" s="30" t="s">
        <v>662</v>
      </c>
      <c r="AF2017" s="13" t="s">
        <v>40</v>
      </c>
      <c r="AG2017" s="15">
        <v>45383</v>
      </c>
      <c r="AH2017" s="13" t="s">
        <v>41</v>
      </c>
      <c r="AI2017" s="13" t="s">
        <v>43</v>
      </c>
      <c r="AJ2017" s="13" t="str">
        <f>VLOOKUP(E2017,Precios!Z$2:AA$941,2,FALSE)</f>
        <v>Bandeja Huevos EXTRA</v>
      </c>
      <c r="AK2017" s="14">
        <f>VLOOKUP(E2017,Precios!Z$2:BB$941,3,FALSE)*F2017</f>
        <v>-1</v>
      </c>
      <c r="AL2017" s="17"/>
      <c r="AM2017" s="17"/>
      <c r="AN2017" s="17"/>
      <c r="AO2017" s="17"/>
      <c r="AP2017" s="17"/>
      <c r="AQ2017" s="17"/>
      <c r="AR2017" s="17"/>
      <c r="AS2017" s="17"/>
      <c r="AT2017" s="17"/>
      <c r="AU2017" s="17"/>
      <c r="AV2017" s="17"/>
    </row>
    <row r="2018" spans="1:48" ht="15.75" customHeight="1">
      <c r="A2018" s="21" t="s">
        <v>76</v>
      </c>
      <c r="B2018" s="23" t="s">
        <v>558</v>
      </c>
      <c r="C2018" s="22">
        <v>45777</v>
      </c>
      <c r="D2018" s="23" t="s">
        <v>142</v>
      </c>
      <c r="E2018" s="23" t="s">
        <v>82</v>
      </c>
      <c r="F2018" s="21">
        <v>1</v>
      </c>
      <c r="G2018" s="12">
        <v>2000.0000000000002</v>
      </c>
      <c r="H2018" s="12">
        <v>2000.0000000000002</v>
      </c>
      <c r="I2018" s="23" t="s">
        <v>52</v>
      </c>
      <c r="J2018" s="23" t="s">
        <v>61</v>
      </c>
      <c r="K2018" s="24" t="s">
        <v>177</v>
      </c>
      <c r="L2018" s="24">
        <v>133</v>
      </c>
      <c r="M2018" s="12">
        <v>1680.6722689075632</v>
      </c>
      <c r="N2018" s="12">
        <v>1680.6722689075632</v>
      </c>
      <c r="O2018" s="12">
        <v>319.32773109243703</v>
      </c>
      <c r="P2018" s="13"/>
      <c r="Q2018" s="14">
        <v>2025</v>
      </c>
      <c r="R2018" s="15">
        <v>45383</v>
      </c>
      <c r="S2018" s="11" t="s">
        <v>463</v>
      </c>
      <c r="T2018" s="16">
        <v>5</v>
      </c>
      <c r="U2018" s="17"/>
      <c r="V2018" s="12">
        <v>680.67226890756319</v>
      </c>
      <c r="W2018" s="12">
        <v>510.5042016806724</v>
      </c>
      <c r="X2018" s="12">
        <v>170.1680672268908</v>
      </c>
      <c r="Y2018" s="18">
        <v>45775</v>
      </c>
      <c r="Z2018" s="13" t="s">
        <v>515</v>
      </c>
      <c r="AA2018" s="19" t="s">
        <v>361</v>
      </c>
      <c r="AB2018" s="13" t="s">
        <v>357</v>
      </c>
      <c r="AC2018" s="13" t="s">
        <v>489</v>
      </c>
      <c r="AD2018" s="30" t="s">
        <v>40</v>
      </c>
      <c r="AE2018" s="30" t="s">
        <v>662</v>
      </c>
      <c r="AF2018" s="13" t="s">
        <v>40</v>
      </c>
      <c r="AG2018" s="15">
        <v>45383</v>
      </c>
      <c r="AH2018" s="13" t="s">
        <v>41</v>
      </c>
      <c r="AI2018" s="13" t="s">
        <v>76</v>
      </c>
      <c r="AJ2018" s="13" t="str">
        <f>VLOOKUP(E2018,Precios!Z$2:AA$941,2,FALSE)</f>
        <v>Limpiapiso SPUM 5 Litros</v>
      </c>
      <c r="AK2018" s="14">
        <f>VLOOKUP(E2018,Precios!Z$2:BB$941,3,FALSE)*F2018</f>
        <v>-1</v>
      </c>
      <c r="AL2018" s="17"/>
      <c r="AM2018" s="17"/>
      <c r="AN2018" s="17"/>
      <c r="AO2018" s="17"/>
      <c r="AP2018" s="17"/>
      <c r="AQ2018" s="17"/>
      <c r="AR2018" s="17"/>
      <c r="AS2018" s="17"/>
      <c r="AT2018" s="17"/>
      <c r="AU2018" s="17"/>
      <c r="AV2018" s="17"/>
    </row>
    <row r="2019" spans="1:48" ht="15.75" customHeight="1">
      <c r="A2019" s="21" t="s">
        <v>53</v>
      </c>
      <c r="B2019" s="23" t="s">
        <v>558</v>
      </c>
      <c r="C2019" s="22">
        <v>45777</v>
      </c>
      <c r="D2019" s="23" t="s">
        <v>142</v>
      </c>
      <c r="E2019" s="23" t="s">
        <v>150</v>
      </c>
      <c r="F2019" s="21">
        <v>1</v>
      </c>
      <c r="G2019" s="12">
        <v>1799.8965445892823</v>
      </c>
      <c r="H2019" s="12">
        <v>1799.8965445892823</v>
      </c>
      <c r="I2019" s="23" t="s">
        <v>52</v>
      </c>
      <c r="J2019" s="23" t="s">
        <v>61</v>
      </c>
      <c r="K2019" s="24" t="s">
        <v>177</v>
      </c>
      <c r="L2019" s="24">
        <v>133</v>
      </c>
      <c r="M2019" s="12">
        <v>1512.518104696876</v>
      </c>
      <c r="N2019" s="12">
        <v>1512.518104696876</v>
      </c>
      <c r="O2019" s="12">
        <v>287.37843989240628</v>
      </c>
      <c r="P2019" s="13"/>
      <c r="Q2019" s="14">
        <v>2025</v>
      </c>
      <c r="R2019" s="15">
        <v>45383</v>
      </c>
      <c r="S2019" s="11" t="s">
        <v>381</v>
      </c>
      <c r="T2019" s="16">
        <v>300</v>
      </c>
      <c r="U2019" s="17"/>
      <c r="V2019" s="12">
        <v>781.51810469687575</v>
      </c>
      <c r="W2019" s="12">
        <v>586.13857852265687</v>
      </c>
      <c r="X2019" s="12">
        <v>195.37952617421894</v>
      </c>
      <c r="Y2019" s="18">
        <v>45775</v>
      </c>
      <c r="Z2019" s="13" t="s">
        <v>515</v>
      </c>
      <c r="AA2019" s="19" t="s">
        <v>361</v>
      </c>
      <c r="AB2019" s="13" t="s">
        <v>357</v>
      </c>
      <c r="AC2019" s="13" t="s">
        <v>489</v>
      </c>
      <c r="AD2019" s="30" t="s">
        <v>40</v>
      </c>
      <c r="AE2019" s="30" t="s">
        <v>662</v>
      </c>
      <c r="AF2019" s="13" t="s">
        <v>40</v>
      </c>
      <c r="AG2019" s="15">
        <v>45383</v>
      </c>
      <c r="AH2019" s="13" t="s">
        <v>41</v>
      </c>
      <c r="AI2019" s="13" t="s">
        <v>53</v>
      </c>
      <c r="AJ2019" s="13" t="str">
        <f>VLOOKUP(E2019,Precios!Z$2:AA$941,2,FALSE)</f>
        <v>Servilletas SOFTQUALITY 300 unidades</v>
      </c>
      <c r="AK2019" s="14">
        <f>VLOOKUP(E2019,Precios!Z$2:BB$941,3,FALSE)*F2019</f>
        <v>-1</v>
      </c>
      <c r="AL2019" s="17"/>
      <c r="AM2019" s="17"/>
      <c r="AN2019" s="17"/>
      <c r="AO2019" s="17"/>
      <c r="AP2019" s="17"/>
      <c r="AQ2019" s="17"/>
      <c r="AR2019" s="17"/>
      <c r="AS2019" s="17"/>
      <c r="AT2019" s="17"/>
      <c r="AU2019" s="17"/>
      <c r="AV2019" s="17"/>
    </row>
    <row r="2020" spans="1:48" ht="15.75" customHeight="1">
      <c r="A2020" s="21" t="s">
        <v>76</v>
      </c>
      <c r="B2020" s="23" t="s">
        <v>558</v>
      </c>
      <c r="C2020" s="22">
        <v>45777</v>
      </c>
      <c r="D2020" s="23" t="s">
        <v>142</v>
      </c>
      <c r="E2020" s="23" t="s">
        <v>137</v>
      </c>
      <c r="F2020" s="21">
        <v>1</v>
      </c>
      <c r="G2020" s="12">
        <v>3500.0000000000005</v>
      </c>
      <c r="H2020" s="12">
        <v>3500.0000000000005</v>
      </c>
      <c r="I2020" s="23" t="s">
        <v>52</v>
      </c>
      <c r="J2020" s="23" t="s">
        <v>61</v>
      </c>
      <c r="K2020" s="24" t="s">
        <v>177</v>
      </c>
      <c r="L2020" s="24">
        <v>133</v>
      </c>
      <c r="M2020" s="12">
        <v>2941.1764705882356</v>
      </c>
      <c r="N2020" s="12">
        <v>2941.1764705882356</v>
      </c>
      <c r="O2020" s="12">
        <v>558.82352941176487</v>
      </c>
      <c r="P2020" s="13"/>
      <c r="Q2020" s="14">
        <v>2025</v>
      </c>
      <c r="R2020" s="15">
        <v>45383</v>
      </c>
      <c r="S2020" s="11" t="s">
        <v>406</v>
      </c>
      <c r="T2020" s="16">
        <v>5</v>
      </c>
      <c r="U2020" s="17"/>
      <c r="V2020" s="12">
        <v>848.73949579831969</v>
      </c>
      <c r="W2020" s="12">
        <v>636.55462184873977</v>
      </c>
      <c r="X2020" s="12">
        <v>212.18487394957992</v>
      </c>
      <c r="Y2020" s="18">
        <v>45775</v>
      </c>
      <c r="Z2020" s="13" t="s">
        <v>515</v>
      </c>
      <c r="AA2020" s="19" t="s">
        <v>361</v>
      </c>
      <c r="AB2020" s="13" t="s">
        <v>357</v>
      </c>
      <c r="AC2020" s="13" t="s">
        <v>489</v>
      </c>
      <c r="AD2020" s="30" t="s">
        <v>40</v>
      </c>
      <c r="AE2020" s="30" t="s">
        <v>662</v>
      </c>
      <c r="AF2020" s="13" t="s">
        <v>40</v>
      </c>
      <c r="AG2020" s="15">
        <v>45383</v>
      </c>
      <c r="AH2020" s="13" t="s">
        <v>41</v>
      </c>
      <c r="AI2020" s="13" t="s">
        <v>76</v>
      </c>
      <c r="AJ2020" s="13" t="str">
        <f>VLOOKUP(E2020,Precios!Z$2:AA$941,2,FALSE)</f>
        <v>Detergente SPUM 5 Litros (Blanco)</v>
      </c>
      <c r="AK2020" s="14">
        <f>VLOOKUP(E2020,Precios!Z$2:BB$941,3,FALSE)*F2020</f>
        <v>-1</v>
      </c>
      <c r="AL2020" s="17"/>
      <c r="AM2020" s="17"/>
      <c r="AN2020" s="17"/>
      <c r="AO2020" s="17"/>
      <c r="AP2020" s="17"/>
      <c r="AQ2020" s="17"/>
      <c r="AR2020" s="17"/>
      <c r="AS2020" s="17"/>
      <c r="AT2020" s="17"/>
      <c r="AU2020" s="17"/>
      <c r="AV2020" s="17"/>
    </row>
    <row r="2021" spans="1:48" ht="15.75" customHeight="1">
      <c r="A2021" s="21" t="s">
        <v>35</v>
      </c>
      <c r="B2021" s="23" t="s">
        <v>1692</v>
      </c>
      <c r="C2021" s="22">
        <v>45777</v>
      </c>
      <c r="D2021" s="23" t="s">
        <v>122</v>
      </c>
      <c r="E2021" s="23" t="s">
        <v>37</v>
      </c>
      <c r="F2021" s="21">
        <v>1</v>
      </c>
      <c r="G2021" s="12">
        <v>10500</v>
      </c>
      <c r="H2021" s="12">
        <v>10500</v>
      </c>
      <c r="I2021" s="23" t="s">
        <v>52</v>
      </c>
      <c r="J2021" s="23" t="s">
        <v>61</v>
      </c>
      <c r="K2021" s="24" t="s">
        <v>177</v>
      </c>
      <c r="L2021" s="24">
        <v>133</v>
      </c>
      <c r="M2021" s="12">
        <v>8823.5294117647063</v>
      </c>
      <c r="N2021" s="12">
        <v>8823.5294117647063</v>
      </c>
      <c r="O2021" s="12">
        <v>1676.4705882352937</v>
      </c>
      <c r="P2021" s="13"/>
      <c r="Q2021" s="14">
        <v>2025</v>
      </c>
      <c r="R2021" s="15">
        <v>45383</v>
      </c>
      <c r="S2021" s="11" t="s">
        <v>364</v>
      </c>
      <c r="T2021" s="16">
        <v>1000</v>
      </c>
      <c r="U2021" s="17"/>
      <c r="V2021" s="12">
        <v>2385.7142857142853</v>
      </c>
      <c r="W2021" s="12">
        <v>2385.7142857142853</v>
      </c>
      <c r="X2021" s="12">
        <v>0</v>
      </c>
      <c r="Y2021" s="18">
        <v>45775</v>
      </c>
      <c r="Z2021" s="13" t="s">
        <v>515</v>
      </c>
      <c r="AA2021" s="19" t="s">
        <v>361</v>
      </c>
      <c r="AB2021" s="13" t="s">
        <v>357</v>
      </c>
      <c r="AC2021" s="13" t="s">
        <v>362</v>
      </c>
      <c r="AD2021" s="20"/>
      <c r="AE2021" s="20"/>
      <c r="AF2021" s="13" t="s">
        <v>40</v>
      </c>
      <c r="AG2021" s="15">
        <v>45383</v>
      </c>
      <c r="AH2021" s="13" t="s">
        <v>41</v>
      </c>
      <c r="AI2021" s="13" t="s">
        <v>35</v>
      </c>
      <c r="AJ2021" s="13" t="str">
        <f>VLOOKUP(E2021,Precios!Z$2:AA$941,2,FALSE)</f>
        <v>Queso RUNCA Mantecoso</v>
      </c>
      <c r="AK2021" s="14">
        <f>VLOOKUP(E2021,Precios!Z$2:BB$941,3,FALSE)*F2021</f>
        <v>-1</v>
      </c>
      <c r="AL2021" s="17"/>
      <c r="AM2021" s="17"/>
      <c r="AN2021" s="17"/>
      <c r="AO2021" s="17"/>
      <c r="AP2021" s="17"/>
      <c r="AQ2021" s="17"/>
      <c r="AR2021" s="17"/>
      <c r="AS2021" s="17"/>
      <c r="AT2021" s="17"/>
      <c r="AU2021" s="17"/>
      <c r="AV2021" s="17"/>
    </row>
    <row r="2022" spans="1:48" ht="15.75" customHeight="1">
      <c r="A2022" s="21" t="s">
        <v>53</v>
      </c>
      <c r="B2022" s="23" t="s">
        <v>1692</v>
      </c>
      <c r="C2022" s="22">
        <v>45777</v>
      </c>
      <c r="D2022" s="23" t="s">
        <v>288</v>
      </c>
      <c r="E2022" s="23" t="s">
        <v>55</v>
      </c>
      <c r="F2022" s="21">
        <v>1</v>
      </c>
      <c r="G2022" s="12">
        <v>20899.657794676805</v>
      </c>
      <c r="H2022" s="12">
        <v>20899.657794676805</v>
      </c>
      <c r="I2022" s="23" t="s">
        <v>52</v>
      </c>
      <c r="J2022" s="23" t="s">
        <v>61</v>
      </c>
      <c r="K2022" s="24" t="s">
        <v>177</v>
      </c>
      <c r="L2022" s="24">
        <v>133</v>
      </c>
      <c r="M2022" s="12">
        <v>17562.737642585551</v>
      </c>
      <c r="N2022" s="12">
        <v>17562.737642585551</v>
      </c>
      <c r="O2022" s="12">
        <v>3336.9201520912538</v>
      </c>
      <c r="P2022" s="13"/>
      <c r="Q2022" s="14">
        <v>2025</v>
      </c>
      <c r="R2022" s="15">
        <v>45383</v>
      </c>
      <c r="S2022" s="11" t="s">
        <v>366</v>
      </c>
      <c r="T2022" s="16">
        <v>0</v>
      </c>
      <c r="U2022" s="17"/>
      <c r="V2022" s="12">
        <v>3705.7376425855509</v>
      </c>
      <c r="W2022" s="12">
        <v>3705.7376425855509</v>
      </c>
      <c r="X2022" s="12">
        <v>0</v>
      </c>
      <c r="Y2022" s="18">
        <v>45775</v>
      </c>
      <c r="Z2022" s="13" t="s">
        <v>515</v>
      </c>
      <c r="AA2022" s="19" t="s">
        <v>373</v>
      </c>
      <c r="AB2022" s="13" t="s">
        <v>357</v>
      </c>
      <c r="AC2022" s="13" t="s">
        <v>465</v>
      </c>
      <c r="AD2022" s="20"/>
      <c r="AE2022" s="20"/>
      <c r="AF2022" s="13" t="s">
        <v>40</v>
      </c>
      <c r="AG2022" s="15">
        <v>45383</v>
      </c>
      <c r="AH2022" s="13" t="s">
        <v>41</v>
      </c>
      <c r="AI2022" s="13" t="s">
        <v>53</v>
      </c>
      <c r="AJ2022" s="13" t="str">
        <f>VLOOKUP(E2022,Precios!Z$2:AA$941,2,FALSE)</f>
        <v>Papel Higienico ELITE 50 metros</v>
      </c>
      <c r="AK2022" s="14">
        <f>VLOOKUP(E2022,Precios!Z$2:BB$941,3,FALSE)*F2022</f>
        <v>-8</v>
      </c>
      <c r="AL2022" s="17"/>
      <c r="AM2022" s="17"/>
      <c r="AN2022" s="17"/>
      <c r="AO2022" s="17"/>
      <c r="AP2022" s="17"/>
      <c r="AQ2022" s="17"/>
      <c r="AR2022" s="17"/>
      <c r="AS2022" s="17"/>
      <c r="AT2022" s="17"/>
      <c r="AU2022" s="17"/>
      <c r="AV2022" s="17"/>
    </row>
    <row r="2023" spans="1:48" ht="15.75" customHeight="1">
      <c r="A2023" s="21" t="s">
        <v>53</v>
      </c>
      <c r="B2023" s="23" t="s">
        <v>1692</v>
      </c>
      <c r="C2023" s="22">
        <v>45777</v>
      </c>
      <c r="D2023" s="23" t="s">
        <v>288</v>
      </c>
      <c r="E2023" s="23" t="s">
        <v>274</v>
      </c>
      <c r="F2023" s="21">
        <v>1</v>
      </c>
      <c r="G2023" s="12">
        <v>22500.104577715188</v>
      </c>
      <c r="H2023" s="12">
        <v>22500.104577715188</v>
      </c>
      <c r="I2023" s="23" t="s">
        <v>52</v>
      </c>
      <c r="J2023" s="23" t="s">
        <v>61</v>
      </c>
      <c r="K2023" s="24" t="s">
        <v>177</v>
      </c>
      <c r="L2023" s="24">
        <v>133</v>
      </c>
      <c r="M2023" s="12">
        <v>18907.650905643015</v>
      </c>
      <c r="N2023" s="12">
        <v>18907.650905643015</v>
      </c>
      <c r="O2023" s="12">
        <v>3592.4536720721735</v>
      </c>
      <c r="P2023" s="13"/>
      <c r="Q2023" s="14">
        <v>2025</v>
      </c>
      <c r="R2023" s="15">
        <v>45383</v>
      </c>
      <c r="S2023" s="11" t="s">
        <v>376</v>
      </c>
      <c r="T2023" s="16">
        <v>0</v>
      </c>
      <c r="U2023" s="17"/>
      <c r="V2023" s="12">
        <v>5347.650905643015</v>
      </c>
      <c r="W2023" s="12">
        <v>5347.650905643015</v>
      </c>
      <c r="X2023" s="12">
        <v>0</v>
      </c>
      <c r="Y2023" s="18">
        <v>45775</v>
      </c>
      <c r="Z2023" s="13" t="s">
        <v>515</v>
      </c>
      <c r="AA2023" s="19" t="s">
        <v>373</v>
      </c>
      <c r="AB2023" s="13" t="s">
        <v>357</v>
      </c>
      <c r="AC2023" s="13" t="s">
        <v>465</v>
      </c>
      <c r="AD2023" s="20"/>
      <c r="AE2023" s="20"/>
      <c r="AF2023" s="13" t="s">
        <v>40</v>
      </c>
      <c r="AG2023" s="15">
        <v>45383</v>
      </c>
      <c r="AH2023" s="13" t="s">
        <v>41</v>
      </c>
      <c r="AI2023" s="13" t="s">
        <v>53</v>
      </c>
      <c r="AJ2023" s="13" t="str">
        <f>VLOOKUP(E2023,Precios!Z$2:AA$941,2,FALSE)</f>
        <v>Toalla Papel NOVA 70 metros</v>
      </c>
      <c r="AK2023" s="14">
        <f>VLOOKUP(E2023,Precios!Z$2:BB$941,3,FALSE)*F2023</f>
        <v>-8</v>
      </c>
      <c r="AL2023" s="17"/>
      <c r="AM2023" s="17"/>
      <c r="AN2023" s="17"/>
      <c r="AO2023" s="17"/>
      <c r="AP2023" s="17"/>
      <c r="AQ2023" s="17"/>
      <c r="AR2023" s="17"/>
      <c r="AS2023" s="17"/>
      <c r="AT2023" s="17"/>
      <c r="AU2023" s="17"/>
      <c r="AV2023" s="17"/>
    </row>
    <row r="2024" spans="1:48" ht="15.75" customHeight="1">
      <c r="A2024" s="21" t="s">
        <v>76</v>
      </c>
      <c r="B2024" s="23" t="s">
        <v>1692</v>
      </c>
      <c r="C2024" s="22">
        <v>45777</v>
      </c>
      <c r="D2024" s="23" t="s">
        <v>288</v>
      </c>
      <c r="E2024" s="23" t="s">
        <v>185</v>
      </c>
      <c r="F2024" s="21">
        <v>1</v>
      </c>
      <c r="G2024" s="12">
        <v>3200.1383843625663</v>
      </c>
      <c r="H2024" s="12">
        <v>3200.1383843625663</v>
      </c>
      <c r="I2024" s="23" t="s">
        <v>52</v>
      </c>
      <c r="J2024" s="23" t="s">
        <v>61</v>
      </c>
      <c r="K2024" s="24" t="s">
        <v>177</v>
      </c>
      <c r="L2024" s="24">
        <v>133</v>
      </c>
      <c r="M2024" s="12">
        <v>2689.1919196324088</v>
      </c>
      <c r="N2024" s="12">
        <v>2689.1919196324088</v>
      </c>
      <c r="O2024" s="12">
        <v>510.94646473015746</v>
      </c>
      <c r="P2024" s="13"/>
      <c r="Q2024" s="14">
        <v>2025</v>
      </c>
      <c r="R2024" s="15">
        <v>45383</v>
      </c>
      <c r="S2024" s="11" t="s">
        <v>444</v>
      </c>
      <c r="T2024" s="16">
        <v>5</v>
      </c>
      <c r="U2024" s="17"/>
      <c r="V2024" s="12">
        <v>1134.570070892913</v>
      </c>
      <c r="W2024" s="12">
        <v>1134.570070892913</v>
      </c>
      <c r="X2024" s="12">
        <v>0</v>
      </c>
      <c r="Y2024" s="18">
        <v>45775</v>
      </c>
      <c r="Z2024" s="13" t="s">
        <v>515</v>
      </c>
      <c r="AA2024" s="19" t="s">
        <v>373</v>
      </c>
      <c r="AB2024" s="13" t="s">
        <v>357</v>
      </c>
      <c r="AC2024" s="13" t="s">
        <v>465</v>
      </c>
      <c r="AD2024" s="20"/>
      <c r="AE2024" s="20"/>
      <c r="AF2024" s="13" t="s">
        <v>40</v>
      </c>
      <c r="AG2024" s="15">
        <v>45383</v>
      </c>
      <c r="AH2024" s="13" t="s">
        <v>41</v>
      </c>
      <c r="AI2024" s="13" t="s">
        <v>76</v>
      </c>
      <c r="AJ2024" s="13" t="str">
        <f>VLOOKUP(E2024,Precios!Z$2:AA$941,2,FALSE)</f>
        <v>Limpia Vidrio SPUM 5 litros</v>
      </c>
      <c r="AK2024" s="14">
        <f>VLOOKUP(E2024,Precios!Z$2:BB$941,3,FALSE)*F2024</f>
        <v>-1</v>
      </c>
      <c r="AL2024" s="17"/>
      <c r="AM2024" s="17"/>
      <c r="AN2024" s="17"/>
      <c r="AO2024" s="17"/>
      <c r="AP2024" s="17"/>
      <c r="AQ2024" s="17"/>
      <c r="AR2024" s="17"/>
      <c r="AS2024" s="17"/>
      <c r="AT2024" s="17"/>
      <c r="AU2024" s="17"/>
      <c r="AV2024" s="17"/>
    </row>
    <row r="2025" spans="1:48" ht="15.75" customHeight="1">
      <c r="A2025" s="21" t="s">
        <v>76</v>
      </c>
      <c r="B2025" s="23" t="s">
        <v>1692</v>
      </c>
      <c r="C2025" s="22">
        <v>45777</v>
      </c>
      <c r="D2025" s="23" t="s">
        <v>288</v>
      </c>
      <c r="E2025" s="23" t="s">
        <v>166</v>
      </c>
      <c r="F2025" s="21">
        <v>1</v>
      </c>
      <c r="G2025" s="12">
        <v>3500.0000000000005</v>
      </c>
      <c r="H2025" s="12">
        <v>3500.0000000000005</v>
      </c>
      <c r="I2025" s="23" t="s">
        <v>52</v>
      </c>
      <c r="J2025" s="23" t="s">
        <v>61</v>
      </c>
      <c r="K2025" s="24" t="s">
        <v>177</v>
      </c>
      <c r="L2025" s="24">
        <v>133</v>
      </c>
      <c r="M2025" s="12">
        <v>2941.1764705882356</v>
      </c>
      <c r="N2025" s="12">
        <v>2941.1764705882356</v>
      </c>
      <c r="O2025" s="12">
        <v>558.82352941176487</v>
      </c>
      <c r="P2025" s="13"/>
      <c r="Q2025" s="14">
        <v>2025</v>
      </c>
      <c r="R2025" s="15">
        <v>45383</v>
      </c>
      <c r="S2025" s="11" t="s">
        <v>448</v>
      </c>
      <c r="T2025" s="16">
        <v>5</v>
      </c>
      <c r="U2025" s="17"/>
      <c r="V2025" s="12">
        <v>1016.8067226890757</v>
      </c>
      <c r="W2025" s="12">
        <v>1016.8067226890757</v>
      </c>
      <c r="X2025" s="12">
        <v>0</v>
      </c>
      <c r="Y2025" s="18">
        <v>45775</v>
      </c>
      <c r="Z2025" s="13" t="s">
        <v>515</v>
      </c>
      <c r="AA2025" s="19" t="s">
        <v>373</v>
      </c>
      <c r="AB2025" s="13" t="s">
        <v>357</v>
      </c>
      <c r="AC2025" s="13" t="s">
        <v>465</v>
      </c>
      <c r="AD2025" s="20"/>
      <c r="AE2025" s="20"/>
      <c r="AF2025" s="13" t="s">
        <v>40</v>
      </c>
      <c r="AG2025" s="15">
        <v>45383</v>
      </c>
      <c r="AH2025" s="13" t="s">
        <v>41</v>
      </c>
      <c r="AI2025" s="13" t="s">
        <v>76</v>
      </c>
      <c r="AJ2025" s="13" t="str">
        <f>VLOOKUP(E2025,Precios!Z$2:AA$941,2,FALSE)</f>
        <v>Cloro GEL SPUM 5 Litros</v>
      </c>
      <c r="AK2025" s="14">
        <f>VLOOKUP(E2025,Precios!Z$2:BB$941,3,FALSE)*F2025</f>
        <v>-1</v>
      </c>
      <c r="AL2025" s="17"/>
      <c r="AM2025" s="17"/>
      <c r="AN2025" s="17"/>
      <c r="AO2025" s="17"/>
      <c r="AP2025" s="17"/>
      <c r="AQ2025" s="17"/>
      <c r="AR2025" s="17"/>
      <c r="AS2025" s="17"/>
      <c r="AT2025" s="17"/>
      <c r="AU2025" s="17"/>
      <c r="AV2025" s="17"/>
    </row>
    <row r="2026" spans="1:48" ht="15.75" customHeight="1">
      <c r="A2026" s="21" t="s">
        <v>35</v>
      </c>
      <c r="B2026" s="23" t="s">
        <v>1692</v>
      </c>
      <c r="C2026" s="22">
        <v>45777</v>
      </c>
      <c r="D2026" s="23" t="s">
        <v>123</v>
      </c>
      <c r="E2026" s="23" t="s">
        <v>46</v>
      </c>
      <c r="F2026" s="21">
        <v>1</v>
      </c>
      <c r="G2026" s="12">
        <v>5500</v>
      </c>
      <c r="H2026" s="12">
        <v>5500</v>
      </c>
      <c r="I2026" s="23" t="s">
        <v>52</v>
      </c>
      <c r="J2026" s="23" t="s">
        <v>61</v>
      </c>
      <c r="K2026" s="24" t="s">
        <v>177</v>
      </c>
      <c r="L2026" s="24">
        <v>133</v>
      </c>
      <c r="M2026" s="12">
        <v>4621.8487394957983</v>
      </c>
      <c r="N2026" s="12">
        <v>4621.8487394957983</v>
      </c>
      <c r="O2026" s="12">
        <v>878.15126050420167</v>
      </c>
      <c r="P2026" s="13"/>
      <c r="Q2026" s="14">
        <v>2025</v>
      </c>
      <c r="R2026" s="15">
        <v>45383</v>
      </c>
      <c r="S2026" s="11" t="s">
        <v>364</v>
      </c>
      <c r="T2026" s="16">
        <v>500</v>
      </c>
      <c r="U2026" s="17"/>
      <c r="V2026" s="12">
        <v>1365.1260504201678</v>
      </c>
      <c r="W2026" s="12">
        <v>1365.1260504201678</v>
      </c>
      <c r="X2026" s="12">
        <v>0</v>
      </c>
      <c r="Y2026" s="18">
        <v>45775</v>
      </c>
      <c r="Z2026" s="13" t="s">
        <v>515</v>
      </c>
      <c r="AA2026" s="19" t="s">
        <v>373</v>
      </c>
      <c r="AB2026" s="13" t="s">
        <v>357</v>
      </c>
      <c r="AC2026" s="13" t="s">
        <v>383</v>
      </c>
      <c r="AD2026" s="20"/>
      <c r="AE2026" s="20"/>
      <c r="AF2026" s="13" t="s">
        <v>40</v>
      </c>
      <c r="AG2026" s="15">
        <v>45383</v>
      </c>
      <c r="AH2026" s="13" t="s">
        <v>41</v>
      </c>
      <c r="AI2026" s="13" t="s">
        <v>35</v>
      </c>
      <c r="AJ2026" s="13" t="str">
        <f>VLOOKUP(E2026,Precios!Z$2:AA$941,2,FALSE)</f>
        <v>Queso RUNCA Mantecoso</v>
      </c>
      <c r="AK2026" s="14">
        <f>VLOOKUP(E2026,Precios!Z$2:BB$941,3,FALSE)*F2026</f>
        <v>-0.5</v>
      </c>
      <c r="AL2026" s="17"/>
      <c r="AM2026" s="17"/>
      <c r="AN2026" s="17"/>
      <c r="AO2026" s="17"/>
      <c r="AP2026" s="17"/>
      <c r="AQ2026" s="17"/>
      <c r="AR2026" s="17"/>
      <c r="AS2026" s="17"/>
      <c r="AT2026" s="17"/>
      <c r="AU2026" s="17"/>
      <c r="AV2026" s="17"/>
    </row>
    <row r="2027" spans="1:48" ht="15.75" customHeight="1">
      <c r="A2027" s="21" t="s">
        <v>53</v>
      </c>
      <c r="B2027" s="23" t="s">
        <v>1692</v>
      </c>
      <c r="C2027" s="22">
        <v>45777</v>
      </c>
      <c r="D2027" s="23" t="s">
        <v>42</v>
      </c>
      <c r="E2027" s="23" t="s">
        <v>163</v>
      </c>
      <c r="F2027" s="21">
        <v>1</v>
      </c>
      <c r="G2027" s="12">
        <v>18990</v>
      </c>
      <c r="H2027" s="12">
        <v>18990</v>
      </c>
      <c r="I2027" s="23" t="s">
        <v>52</v>
      </c>
      <c r="J2027" s="23" t="s">
        <v>61</v>
      </c>
      <c r="K2027" s="24" t="s">
        <v>177</v>
      </c>
      <c r="L2027" s="24">
        <v>133</v>
      </c>
      <c r="M2027" s="12">
        <v>15957.983193277312</v>
      </c>
      <c r="N2027" s="12">
        <v>15957.983193277312</v>
      </c>
      <c r="O2027" s="12">
        <v>3032.0168067226878</v>
      </c>
      <c r="P2027" s="13"/>
      <c r="Q2027" s="14">
        <v>2025</v>
      </c>
      <c r="R2027" s="15">
        <v>45383</v>
      </c>
      <c r="S2027" s="11" t="s">
        <v>435</v>
      </c>
      <c r="T2027" s="16">
        <v>0</v>
      </c>
      <c r="U2027" s="17"/>
      <c r="V2027" s="12">
        <v>4112.6050420168067</v>
      </c>
      <c r="W2027" s="12">
        <v>4112.6050420168067</v>
      </c>
      <c r="X2027" s="12">
        <v>0</v>
      </c>
      <c r="Y2027" s="18">
        <v>45775</v>
      </c>
      <c r="Z2027" s="13" t="s">
        <v>515</v>
      </c>
      <c r="AA2027" s="19" t="s">
        <v>361</v>
      </c>
      <c r="AB2027" s="13" t="s">
        <v>357</v>
      </c>
      <c r="AC2027" s="13" t="s">
        <v>506</v>
      </c>
      <c r="AD2027" s="20"/>
      <c r="AE2027" s="20"/>
      <c r="AF2027" s="13" t="s">
        <v>40</v>
      </c>
      <c r="AG2027" s="15">
        <v>45383</v>
      </c>
      <c r="AH2027" s="13" t="s">
        <v>41</v>
      </c>
      <c r="AI2027" s="13" t="s">
        <v>53</v>
      </c>
      <c r="AJ2027" s="13" t="str">
        <f>VLOOKUP(E2027,Precios!Z$2:AA$941,2,FALSE)</f>
        <v>Papel Higienico SWAN 50 metros</v>
      </c>
      <c r="AK2027" s="14">
        <f>VLOOKUP(E2027,Precios!Z$2:BB$941,3,FALSE)*F2027</f>
        <v>-8</v>
      </c>
      <c r="AL2027" s="17"/>
      <c r="AM2027" s="17"/>
      <c r="AN2027" s="17"/>
      <c r="AO2027" s="17"/>
      <c r="AP2027" s="17"/>
      <c r="AQ2027" s="17"/>
      <c r="AR2027" s="17"/>
      <c r="AS2027" s="17"/>
      <c r="AT2027" s="17"/>
      <c r="AU2027" s="17"/>
      <c r="AV2027" s="17"/>
    </row>
    <row r="2028" spans="1:48" ht="15.75" customHeight="1">
      <c r="A2028" s="21" t="s">
        <v>35</v>
      </c>
      <c r="B2028" s="23" t="s">
        <v>1692</v>
      </c>
      <c r="C2028" s="22">
        <v>45777</v>
      </c>
      <c r="D2028" s="23" t="s">
        <v>42</v>
      </c>
      <c r="E2028" s="23" t="s">
        <v>37</v>
      </c>
      <c r="F2028" s="21">
        <v>1</v>
      </c>
      <c r="G2028" s="12">
        <v>10500</v>
      </c>
      <c r="H2028" s="12">
        <v>10500</v>
      </c>
      <c r="I2028" s="23" t="s">
        <v>52</v>
      </c>
      <c r="J2028" s="23" t="s">
        <v>61</v>
      </c>
      <c r="K2028" s="24" t="s">
        <v>177</v>
      </c>
      <c r="L2028" s="24">
        <v>133</v>
      </c>
      <c r="M2028" s="12">
        <v>8823.5294117647063</v>
      </c>
      <c r="N2028" s="12">
        <v>8823.5294117647063</v>
      </c>
      <c r="O2028" s="12">
        <v>1676.4705882352937</v>
      </c>
      <c r="P2028" s="13"/>
      <c r="Q2028" s="14">
        <v>2025</v>
      </c>
      <c r="R2028" s="15">
        <v>45383</v>
      </c>
      <c r="S2028" s="11" t="s">
        <v>364</v>
      </c>
      <c r="T2028" s="16">
        <v>1000</v>
      </c>
      <c r="U2028" s="17"/>
      <c r="V2028" s="12">
        <v>2385.7142857142853</v>
      </c>
      <c r="W2028" s="12">
        <v>2385.7142857142853</v>
      </c>
      <c r="X2028" s="12">
        <v>0</v>
      </c>
      <c r="Y2028" s="18">
        <v>45775</v>
      </c>
      <c r="Z2028" s="13" t="s">
        <v>515</v>
      </c>
      <c r="AA2028" s="19" t="s">
        <v>361</v>
      </c>
      <c r="AB2028" s="13" t="s">
        <v>357</v>
      </c>
      <c r="AC2028" s="13" t="s">
        <v>506</v>
      </c>
      <c r="AD2028" s="20"/>
      <c r="AE2028" s="20"/>
      <c r="AF2028" s="13" t="s">
        <v>40</v>
      </c>
      <c r="AG2028" s="15">
        <v>45383</v>
      </c>
      <c r="AH2028" s="13" t="s">
        <v>41</v>
      </c>
      <c r="AI2028" s="13" t="s">
        <v>35</v>
      </c>
      <c r="AJ2028" s="13" t="str">
        <f>VLOOKUP(E2028,Precios!Z$2:AA$941,2,FALSE)</f>
        <v>Queso RUNCA Mantecoso</v>
      </c>
      <c r="AK2028" s="14">
        <f>VLOOKUP(E2028,Precios!Z$2:BB$941,3,FALSE)*F2028</f>
        <v>-1</v>
      </c>
      <c r="AL2028" s="17"/>
      <c r="AM2028" s="17"/>
      <c r="AN2028" s="17"/>
      <c r="AO2028" s="17"/>
      <c r="AP2028" s="17"/>
      <c r="AQ2028" s="17"/>
      <c r="AR2028" s="17"/>
      <c r="AS2028" s="17"/>
      <c r="AT2028" s="17"/>
      <c r="AU2028" s="17"/>
      <c r="AV2028" s="17"/>
    </row>
    <row r="2029" spans="1:48" ht="15.75" customHeight="1">
      <c r="A2029" s="21" t="s">
        <v>76</v>
      </c>
      <c r="B2029" s="23" t="s">
        <v>1692</v>
      </c>
      <c r="C2029" s="22">
        <v>45777</v>
      </c>
      <c r="D2029" s="23" t="s">
        <v>308</v>
      </c>
      <c r="E2029" s="23" t="s">
        <v>137</v>
      </c>
      <c r="F2029" s="21">
        <v>1</v>
      </c>
      <c r="G2029" s="12">
        <v>3500.0000000000005</v>
      </c>
      <c r="H2029" s="12">
        <v>3500.0000000000005</v>
      </c>
      <c r="I2029" s="23" t="s">
        <v>52</v>
      </c>
      <c r="J2029" s="23" t="s">
        <v>61</v>
      </c>
      <c r="K2029" s="24" t="s">
        <v>177</v>
      </c>
      <c r="L2029" s="24">
        <v>133</v>
      </c>
      <c r="M2029" s="12">
        <v>2941.1764705882356</v>
      </c>
      <c r="N2029" s="12">
        <v>2941.1764705882356</v>
      </c>
      <c r="O2029" s="12">
        <v>558.82352941176487</v>
      </c>
      <c r="P2029" s="13"/>
      <c r="Q2029" s="14">
        <v>2025</v>
      </c>
      <c r="R2029" s="15">
        <v>45383</v>
      </c>
      <c r="S2029" s="11" t="s">
        <v>406</v>
      </c>
      <c r="T2029" s="16">
        <v>5</v>
      </c>
      <c r="U2029" s="17"/>
      <c r="V2029" s="12">
        <v>848.73949579831969</v>
      </c>
      <c r="W2029" s="12">
        <v>848.73949579831969</v>
      </c>
      <c r="X2029" s="12">
        <v>0</v>
      </c>
      <c r="Y2029" s="18">
        <v>45775</v>
      </c>
      <c r="Z2029" s="13" t="s">
        <v>515</v>
      </c>
      <c r="AA2029" s="19" t="s">
        <v>373</v>
      </c>
      <c r="AB2029" s="13" t="s">
        <v>357</v>
      </c>
      <c r="AC2029" s="13" t="s">
        <v>612</v>
      </c>
      <c r="AD2029" s="20"/>
      <c r="AE2029" s="20"/>
      <c r="AF2029" s="13" t="s">
        <v>40</v>
      </c>
      <c r="AG2029" s="15">
        <v>45383</v>
      </c>
      <c r="AH2029" s="13" t="s">
        <v>41</v>
      </c>
      <c r="AI2029" s="13" t="s">
        <v>76</v>
      </c>
      <c r="AJ2029" s="13" t="str">
        <f>VLOOKUP(E2029,Precios!Z$2:AA$941,2,FALSE)</f>
        <v>Detergente SPUM 5 Litros (Blanco)</v>
      </c>
      <c r="AK2029" s="14">
        <f>VLOOKUP(E2029,Precios!Z$2:BB$941,3,FALSE)*F2029</f>
        <v>-1</v>
      </c>
      <c r="AL2029" s="17"/>
      <c r="AM2029" s="17"/>
      <c r="AN2029" s="17"/>
      <c r="AO2029" s="17"/>
      <c r="AP2029" s="17"/>
      <c r="AQ2029" s="17"/>
      <c r="AR2029" s="17"/>
      <c r="AS2029" s="17"/>
      <c r="AT2029" s="17"/>
      <c r="AU2029" s="17"/>
      <c r="AV2029" s="17"/>
    </row>
    <row r="2030" spans="1:48" ht="15.75" customHeight="1">
      <c r="A2030" s="21" t="s">
        <v>47</v>
      </c>
      <c r="B2030" s="23" t="s">
        <v>1692</v>
      </c>
      <c r="C2030" s="22">
        <v>45777</v>
      </c>
      <c r="D2030" s="23" t="s">
        <v>308</v>
      </c>
      <c r="E2030" s="23" t="s">
        <v>48</v>
      </c>
      <c r="F2030" s="21">
        <v>1</v>
      </c>
      <c r="G2030" s="12">
        <v>1000</v>
      </c>
      <c r="H2030" s="12">
        <v>1000</v>
      </c>
      <c r="I2030" s="23" t="s">
        <v>52</v>
      </c>
      <c r="J2030" s="23" t="s">
        <v>61</v>
      </c>
      <c r="K2030" s="24" t="s">
        <v>177</v>
      </c>
      <c r="L2030" s="24">
        <v>133</v>
      </c>
      <c r="M2030" s="12">
        <v>840.3361344537816</v>
      </c>
      <c r="N2030" s="12">
        <v>840.3361344537816</v>
      </c>
      <c r="O2030" s="12">
        <v>159.6638655462184</v>
      </c>
      <c r="P2030" s="13"/>
      <c r="Q2030" s="14">
        <v>2025</v>
      </c>
      <c r="R2030" s="15">
        <v>45383</v>
      </c>
      <c r="S2030" s="11" t="s">
        <v>416</v>
      </c>
      <c r="T2030" s="16">
        <v>0</v>
      </c>
      <c r="U2030" s="17"/>
      <c r="V2030" s="12">
        <v>330.33613445378148</v>
      </c>
      <c r="W2030" s="12">
        <v>330.33613445378148</v>
      </c>
      <c r="X2030" s="12">
        <v>0</v>
      </c>
      <c r="Y2030" s="18">
        <v>45775</v>
      </c>
      <c r="Z2030" s="13" t="s">
        <v>515</v>
      </c>
      <c r="AA2030" s="19" t="s">
        <v>373</v>
      </c>
      <c r="AB2030" s="13" t="s">
        <v>357</v>
      </c>
      <c r="AC2030" s="13" t="s">
        <v>612</v>
      </c>
      <c r="AD2030" s="20"/>
      <c r="AE2030" s="20"/>
      <c r="AF2030" s="13" t="s">
        <v>40</v>
      </c>
      <c r="AG2030" s="15">
        <v>45383</v>
      </c>
      <c r="AH2030" s="13" t="s">
        <v>41</v>
      </c>
      <c r="AI2030" s="13" t="s">
        <v>47</v>
      </c>
      <c r="AJ2030" s="13" t="str">
        <f>VLOOKUP(E2030,Precios!Z$2:AA$941,2,FALSE)</f>
        <v>Esponja Acanalada TEDDY</v>
      </c>
      <c r="AK2030" s="14">
        <f>VLOOKUP(E2030,Precios!Z$2:BB$941,3,FALSE)*F2030</f>
        <v>-5</v>
      </c>
      <c r="AL2030" s="17"/>
      <c r="AM2030" s="17"/>
      <c r="AN2030" s="17"/>
      <c r="AO2030" s="17"/>
      <c r="AP2030" s="17"/>
      <c r="AQ2030" s="17"/>
      <c r="AR2030" s="17"/>
      <c r="AS2030" s="17"/>
      <c r="AT2030" s="17"/>
      <c r="AU2030" s="17"/>
      <c r="AV2030" s="17"/>
    </row>
    <row r="2031" spans="1:48" ht="15.75" customHeight="1">
      <c r="A2031" s="21" t="s">
        <v>56</v>
      </c>
      <c r="B2031" s="23" t="s">
        <v>1692</v>
      </c>
      <c r="C2031" s="22">
        <v>45777</v>
      </c>
      <c r="D2031" s="23" t="s">
        <v>308</v>
      </c>
      <c r="E2031" s="23" t="s">
        <v>112</v>
      </c>
      <c r="F2031" s="21">
        <v>1</v>
      </c>
      <c r="G2031" s="12">
        <v>7999.6031746031749</v>
      </c>
      <c r="H2031" s="12">
        <v>7999.6031746031749</v>
      </c>
      <c r="I2031" s="23" t="s">
        <v>52</v>
      </c>
      <c r="J2031" s="23" t="s">
        <v>61</v>
      </c>
      <c r="K2031" s="24" t="s">
        <v>177</v>
      </c>
      <c r="L2031" s="24">
        <v>133</v>
      </c>
      <c r="M2031" s="12">
        <v>6722.3556089102312</v>
      </c>
      <c r="N2031" s="12">
        <v>6722.3556089102312</v>
      </c>
      <c r="O2031" s="12">
        <v>1277.2475656929437</v>
      </c>
      <c r="P2031" s="13"/>
      <c r="Q2031" s="14">
        <v>2025</v>
      </c>
      <c r="R2031" s="15">
        <v>45383</v>
      </c>
      <c r="S2031" s="11" t="s">
        <v>427</v>
      </c>
      <c r="T2031" s="16">
        <v>135</v>
      </c>
      <c r="U2031" s="17"/>
      <c r="V2031" s="12">
        <v>2317.868213952248</v>
      </c>
      <c r="W2031" s="12">
        <v>2317.868213952248</v>
      </c>
      <c r="X2031" s="12">
        <v>0</v>
      </c>
      <c r="Y2031" s="18">
        <v>45775</v>
      </c>
      <c r="Z2031" s="13" t="s">
        <v>515</v>
      </c>
      <c r="AA2031" s="19" t="s">
        <v>373</v>
      </c>
      <c r="AB2031" s="13" t="s">
        <v>357</v>
      </c>
      <c r="AC2031" s="13" t="s">
        <v>612</v>
      </c>
      <c r="AD2031" s="20"/>
      <c r="AE2031" s="20"/>
      <c r="AF2031" s="13" t="s">
        <v>40</v>
      </c>
      <c r="AG2031" s="15">
        <v>45383</v>
      </c>
      <c r="AH2031" s="13" t="s">
        <v>41</v>
      </c>
      <c r="AI2031" s="13" t="s">
        <v>56</v>
      </c>
      <c r="AJ2031" s="13" t="str">
        <f>VLOOKUP(E2031,Precios!Z$2:AA$941,2,FALSE)</f>
        <v>Provoleta Parrillera</v>
      </c>
      <c r="AK2031" s="14">
        <f>VLOOKUP(E2031,Precios!Z$2:BB$941,3,FALSE)*F2031</f>
        <v>-3</v>
      </c>
      <c r="AL2031" s="17"/>
      <c r="AM2031" s="17"/>
      <c r="AN2031" s="17"/>
      <c r="AO2031" s="17"/>
      <c r="AP2031" s="17"/>
      <c r="AQ2031" s="17"/>
      <c r="AR2031" s="17"/>
      <c r="AS2031" s="17"/>
      <c r="AT2031" s="17"/>
      <c r="AU2031" s="17"/>
      <c r="AV2031" s="17"/>
    </row>
    <row r="2032" spans="1:48" ht="15.75" customHeight="1">
      <c r="A2032" s="21" t="s">
        <v>56</v>
      </c>
      <c r="B2032" s="23" t="s">
        <v>1692</v>
      </c>
      <c r="C2032" s="22">
        <v>45777</v>
      </c>
      <c r="D2032" s="23" t="s">
        <v>308</v>
      </c>
      <c r="E2032" s="23" t="s">
        <v>60</v>
      </c>
      <c r="F2032" s="21">
        <v>1</v>
      </c>
      <c r="G2032" s="12">
        <v>7000.0000000000018</v>
      </c>
      <c r="H2032" s="12">
        <v>7000.0000000000018</v>
      </c>
      <c r="I2032" s="23" t="s">
        <v>52</v>
      </c>
      <c r="J2032" s="23" t="s">
        <v>61</v>
      </c>
      <c r="K2032" s="24" t="s">
        <v>177</v>
      </c>
      <c r="L2032" s="24">
        <v>133</v>
      </c>
      <c r="M2032" s="12">
        <v>5882.3529411764721</v>
      </c>
      <c r="N2032" s="12">
        <v>5882.3529411764721</v>
      </c>
      <c r="O2032" s="12">
        <v>1117.6470588235297</v>
      </c>
      <c r="P2032" s="13"/>
      <c r="Q2032" s="14">
        <v>2025</v>
      </c>
      <c r="R2032" s="15">
        <v>45383</v>
      </c>
      <c r="S2032" s="11" t="s">
        <v>429</v>
      </c>
      <c r="T2032" s="16">
        <v>200</v>
      </c>
      <c r="U2032" s="17"/>
      <c r="V2032" s="12">
        <v>2080.6722689075641</v>
      </c>
      <c r="W2032" s="12">
        <v>2080.6722689075641</v>
      </c>
      <c r="X2032" s="12">
        <v>0</v>
      </c>
      <c r="Y2032" s="18">
        <v>45775</v>
      </c>
      <c r="Z2032" s="13" t="s">
        <v>515</v>
      </c>
      <c r="AA2032" s="19" t="s">
        <v>373</v>
      </c>
      <c r="AB2032" s="13" t="s">
        <v>357</v>
      </c>
      <c r="AC2032" s="13" t="s">
        <v>612</v>
      </c>
      <c r="AD2032" s="20"/>
      <c r="AE2032" s="20"/>
      <c r="AF2032" s="13" t="s">
        <v>40</v>
      </c>
      <c r="AG2032" s="15">
        <v>45383</v>
      </c>
      <c r="AH2032" s="13" t="s">
        <v>41</v>
      </c>
      <c r="AI2032" s="13" t="s">
        <v>56</v>
      </c>
      <c r="AJ2032" s="13" t="str">
        <f>VLOOKUP(E2032,Precios!Z$2:AA$941,2,FALSE)</f>
        <v>Queso Sabores</v>
      </c>
      <c r="AK2032" s="14">
        <f>VLOOKUP(E2032,Precios!Z$2:BB$941,3,FALSE)*F2032</f>
        <v>-2</v>
      </c>
      <c r="AL2032" s="17"/>
      <c r="AM2032" s="17"/>
      <c r="AN2032" s="17"/>
      <c r="AO2032" s="17"/>
      <c r="AP2032" s="17"/>
      <c r="AQ2032" s="17"/>
      <c r="AR2032" s="17"/>
      <c r="AS2032" s="17"/>
      <c r="AT2032" s="17"/>
      <c r="AU2032" s="17"/>
      <c r="AV2032" s="17"/>
    </row>
    <row r="2033" spans="1:48" ht="15.75" customHeight="1">
      <c r="A2033" s="21" t="s">
        <v>35</v>
      </c>
      <c r="B2033" s="23" t="s">
        <v>1692</v>
      </c>
      <c r="C2033" s="22">
        <v>45777</v>
      </c>
      <c r="D2033" s="23" t="s">
        <v>104</v>
      </c>
      <c r="E2033" s="23" t="s">
        <v>46</v>
      </c>
      <c r="F2033" s="21">
        <v>1</v>
      </c>
      <c r="G2033" s="12">
        <v>5500</v>
      </c>
      <c r="H2033" s="12">
        <v>5500</v>
      </c>
      <c r="I2033" s="23" t="s">
        <v>52</v>
      </c>
      <c r="J2033" s="23" t="s">
        <v>61</v>
      </c>
      <c r="K2033" s="24" t="s">
        <v>177</v>
      </c>
      <c r="L2033" s="24">
        <v>133</v>
      </c>
      <c r="M2033" s="12">
        <v>4621.8487394957983</v>
      </c>
      <c r="N2033" s="12">
        <v>4621.8487394957983</v>
      </c>
      <c r="O2033" s="12">
        <v>878.15126050420167</v>
      </c>
      <c r="P2033" s="13"/>
      <c r="Q2033" s="14">
        <v>2025</v>
      </c>
      <c r="R2033" s="15">
        <v>45383</v>
      </c>
      <c r="S2033" s="11" t="s">
        <v>364</v>
      </c>
      <c r="T2033" s="16">
        <v>500</v>
      </c>
      <c r="U2033" s="17"/>
      <c r="V2033" s="12">
        <v>1365.1260504201678</v>
      </c>
      <c r="W2033" s="12">
        <v>1365.1260504201678</v>
      </c>
      <c r="X2033" s="12">
        <v>0</v>
      </c>
      <c r="Y2033" s="18">
        <v>45775</v>
      </c>
      <c r="Z2033" s="13" t="s">
        <v>515</v>
      </c>
      <c r="AA2033" s="19" t="s">
        <v>373</v>
      </c>
      <c r="AB2033" s="13" t="s">
        <v>357</v>
      </c>
      <c r="AC2033" s="13" t="s">
        <v>383</v>
      </c>
      <c r="AD2033" s="20"/>
      <c r="AE2033" s="20"/>
      <c r="AF2033" s="13" t="s">
        <v>40</v>
      </c>
      <c r="AG2033" s="15">
        <v>45383</v>
      </c>
      <c r="AH2033" s="13" t="s">
        <v>41</v>
      </c>
      <c r="AI2033" s="13" t="s">
        <v>35</v>
      </c>
      <c r="AJ2033" s="13" t="str">
        <f>VLOOKUP(E2033,Precios!Z$2:AA$941,2,FALSE)</f>
        <v>Queso RUNCA Mantecoso</v>
      </c>
      <c r="AK2033" s="14">
        <f>VLOOKUP(E2033,Precios!Z$2:BB$941,3,FALSE)*F2033</f>
        <v>-0.5</v>
      </c>
      <c r="AL2033" s="17"/>
      <c r="AM2033" s="17"/>
      <c r="AN2033" s="17"/>
      <c r="AO2033" s="17"/>
      <c r="AP2033" s="17"/>
      <c r="AQ2033" s="17"/>
      <c r="AR2033" s="17"/>
      <c r="AS2033" s="17"/>
      <c r="AT2033" s="17"/>
      <c r="AU2033" s="17"/>
      <c r="AV2033" s="17"/>
    </row>
    <row r="2034" spans="1:48" ht="15.75" customHeight="1">
      <c r="A2034" s="21" t="s">
        <v>43</v>
      </c>
      <c r="B2034" s="23" t="s">
        <v>1692</v>
      </c>
      <c r="C2034" s="22">
        <v>45777</v>
      </c>
      <c r="D2034" s="23" t="s">
        <v>104</v>
      </c>
      <c r="E2034" s="23" t="s">
        <v>45</v>
      </c>
      <c r="F2034" s="21">
        <v>1</v>
      </c>
      <c r="G2034" s="12">
        <v>8299.9877571008819</v>
      </c>
      <c r="H2034" s="12">
        <v>8299.9877571008819</v>
      </c>
      <c r="I2034" s="23" t="s">
        <v>52</v>
      </c>
      <c r="J2034" s="23" t="s">
        <v>61</v>
      </c>
      <c r="K2034" s="24" t="s">
        <v>177</v>
      </c>
      <c r="L2034" s="24">
        <v>133</v>
      </c>
      <c r="M2034" s="12">
        <v>6974.7796278158676</v>
      </c>
      <c r="N2034" s="12">
        <v>6974.7796278158676</v>
      </c>
      <c r="O2034" s="12">
        <v>1325.2081292850144</v>
      </c>
      <c r="P2034" s="13"/>
      <c r="Q2034" s="14">
        <v>2025</v>
      </c>
      <c r="R2034" s="15">
        <v>45383</v>
      </c>
      <c r="S2034" s="11" t="s">
        <v>355</v>
      </c>
      <c r="T2034" s="16">
        <v>0</v>
      </c>
      <c r="U2034" s="17"/>
      <c r="V2034" s="12">
        <v>1277.7796278158667</v>
      </c>
      <c r="W2034" s="12">
        <v>1277.7796278158667</v>
      </c>
      <c r="X2034" s="12">
        <v>0</v>
      </c>
      <c r="Y2034" s="18">
        <v>45775</v>
      </c>
      <c r="Z2034" s="13" t="s">
        <v>515</v>
      </c>
      <c r="AA2034" s="19" t="s">
        <v>373</v>
      </c>
      <c r="AB2034" s="13" t="s">
        <v>357</v>
      </c>
      <c r="AC2034" s="13" t="s">
        <v>383</v>
      </c>
      <c r="AD2034" s="20"/>
      <c r="AE2034" s="20"/>
      <c r="AF2034" s="13" t="s">
        <v>40</v>
      </c>
      <c r="AG2034" s="15">
        <v>45383</v>
      </c>
      <c r="AH2034" s="13" t="s">
        <v>41</v>
      </c>
      <c r="AI2034" s="13" t="s">
        <v>43</v>
      </c>
      <c r="AJ2034" s="13" t="str">
        <f>VLOOKUP(E2034,Precios!Z$2:AA$941,2,FALSE)</f>
        <v>Bandeja Huevos EXTRA</v>
      </c>
      <c r="AK2034" s="14">
        <f>VLOOKUP(E2034,Precios!Z$2:BB$941,3,FALSE)*F2034</f>
        <v>-1</v>
      </c>
      <c r="AL2034" s="17"/>
      <c r="AM2034" s="17"/>
      <c r="AN2034" s="17"/>
      <c r="AO2034" s="17"/>
      <c r="AP2034" s="17"/>
      <c r="AQ2034" s="17"/>
      <c r="AR2034" s="17"/>
      <c r="AS2034" s="17"/>
      <c r="AT2034" s="17"/>
      <c r="AU2034" s="17"/>
      <c r="AV2034" s="17"/>
    </row>
    <row r="2035" spans="1:48" ht="15.75" customHeight="1">
      <c r="A2035" s="21" t="s">
        <v>53</v>
      </c>
      <c r="B2035" s="23" t="s">
        <v>1692</v>
      </c>
      <c r="C2035" s="22">
        <v>45777</v>
      </c>
      <c r="D2035" s="23" t="s">
        <v>68</v>
      </c>
      <c r="E2035" s="23" t="s">
        <v>55</v>
      </c>
      <c r="F2035" s="21">
        <v>1</v>
      </c>
      <c r="G2035" s="12">
        <v>20899.657794676805</v>
      </c>
      <c r="H2035" s="12">
        <v>20899.657794676805</v>
      </c>
      <c r="I2035" s="23" t="s">
        <v>52</v>
      </c>
      <c r="J2035" s="23" t="s">
        <v>61</v>
      </c>
      <c r="K2035" s="24" t="s">
        <v>86</v>
      </c>
      <c r="L2035" s="24">
        <v>78</v>
      </c>
      <c r="M2035" s="12">
        <v>17562.737642585551</v>
      </c>
      <c r="N2035" s="12">
        <v>17562.737642585551</v>
      </c>
      <c r="O2035" s="12">
        <v>3336.9201520912538</v>
      </c>
      <c r="P2035" s="13"/>
      <c r="Q2035" s="14">
        <v>2025</v>
      </c>
      <c r="R2035" s="15">
        <v>45383</v>
      </c>
      <c r="S2035" s="11" t="s">
        <v>366</v>
      </c>
      <c r="T2035" s="16">
        <v>0</v>
      </c>
      <c r="U2035" s="17"/>
      <c r="V2035" s="12">
        <v>3705.7376425855509</v>
      </c>
      <c r="W2035" s="12">
        <v>3705.7376425855509</v>
      </c>
      <c r="X2035" s="12">
        <v>0</v>
      </c>
      <c r="Y2035" s="18">
        <v>45775</v>
      </c>
      <c r="Z2035" s="13" t="s">
        <v>515</v>
      </c>
      <c r="AA2035" s="19" t="s">
        <v>361</v>
      </c>
      <c r="AB2035" s="13" t="s">
        <v>394</v>
      </c>
      <c r="AC2035" s="13" t="s">
        <v>383</v>
      </c>
      <c r="AD2035" s="20"/>
      <c r="AE2035" s="20"/>
      <c r="AF2035" s="13" t="s">
        <v>40</v>
      </c>
      <c r="AG2035" s="15">
        <v>45383</v>
      </c>
      <c r="AH2035" s="13" t="s">
        <v>41</v>
      </c>
      <c r="AI2035" s="13" t="s">
        <v>53</v>
      </c>
      <c r="AJ2035" s="13" t="str">
        <f>VLOOKUP(E2035,Precios!Z$2:AA$941,2,FALSE)</f>
        <v>Papel Higienico ELITE 50 metros</v>
      </c>
      <c r="AK2035" s="14">
        <f>VLOOKUP(E2035,Precios!Z$2:BB$941,3,FALSE)*F2035</f>
        <v>-8</v>
      </c>
      <c r="AL2035" s="17"/>
      <c r="AM2035" s="17"/>
      <c r="AN2035" s="17"/>
      <c r="AO2035" s="17"/>
      <c r="AP2035" s="17"/>
      <c r="AQ2035" s="17"/>
      <c r="AR2035" s="17"/>
      <c r="AS2035" s="17"/>
      <c r="AT2035" s="17"/>
      <c r="AU2035" s="17"/>
      <c r="AV2035" s="17"/>
    </row>
    <row r="2036" spans="1:48" ht="15.75" customHeight="1">
      <c r="A2036" s="21" t="s">
        <v>53</v>
      </c>
      <c r="B2036" s="23" t="s">
        <v>1692</v>
      </c>
      <c r="C2036" s="22">
        <v>45777</v>
      </c>
      <c r="D2036" s="23" t="s">
        <v>68</v>
      </c>
      <c r="E2036" s="23" t="s">
        <v>109</v>
      </c>
      <c r="F2036" s="21">
        <v>1</v>
      </c>
      <c r="G2036" s="12">
        <v>10000</v>
      </c>
      <c r="H2036" s="12">
        <v>10000</v>
      </c>
      <c r="I2036" s="23" t="s">
        <v>52</v>
      </c>
      <c r="J2036" s="23" t="s">
        <v>61</v>
      </c>
      <c r="K2036" s="24" t="s">
        <v>86</v>
      </c>
      <c r="L2036" s="24">
        <v>78</v>
      </c>
      <c r="M2036" s="12">
        <v>8403.361344537816</v>
      </c>
      <c r="N2036" s="12">
        <v>8403.361344537816</v>
      </c>
      <c r="O2036" s="12">
        <v>1596.638655462184</v>
      </c>
      <c r="P2036" s="13"/>
      <c r="Q2036" s="14">
        <v>2025</v>
      </c>
      <c r="R2036" s="15">
        <v>45383</v>
      </c>
      <c r="S2036" s="11" t="s">
        <v>395</v>
      </c>
      <c r="T2036" s="16">
        <v>400</v>
      </c>
      <c r="U2036" s="17"/>
      <c r="V2036" s="12">
        <v>2100.8403361344544</v>
      </c>
      <c r="W2036" s="12">
        <v>2100.8403361344544</v>
      </c>
      <c r="X2036" s="12">
        <v>0</v>
      </c>
      <c r="Y2036" s="18">
        <v>45775</v>
      </c>
      <c r="Z2036" s="13" t="s">
        <v>515</v>
      </c>
      <c r="AA2036" s="19" t="s">
        <v>361</v>
      </c>
      <c r="AB2036" s="13" t="s">
        <v>394</v>
      </c>
      <c r="AC2036" s="13" t="s">
        <v>383</v>
      </c>
      <c r="AD2036" s="20"/>
      <c r="AE2036" s="20"/>
      <c r="AF2036" s="13" t="s">
        <v>40</v>
      </c>
      <c r="AG2036" s="15">
        <v>45383</v>
      </c>
      <c r="AH2036" s="13" t="s">
        <v>41</v>
      </c>
      <c r="AI2036" s="13" t="s">
        <v>53</v>
      </c>
      <c r="AJ2036" s="13" t="str">
        <f>VLOOKUP(E2036,Precios!Z$2:AA$941,2,FALSE)</f>
        <v>Toalla Papel SPUM D/H 100 metros</v>
      </c>
      <c r="AK2036" s="14">
        <f>VLOOKUP(E2036,Precios!Z$2:BB$941,3,FALSE)*F2036</f>
        <v>-4</v>
      </c>
      <c r="AL2036" s="17"/>
      <c r="AM2036" s="17"/>
      <c r="AN2036" s="17"/>
      <c r="AO2036" s="17"/>
      <c r="AP2036" s="17"/>
      <c r="AQ2036" s="17"/>
      <c r="AR2036" s="17"/>
      <c r="AS2036" s="17"/>
      <c r="AT2036" s="17"/>
      <c r="AU2036" s="17"/>
      <c r="AV2036" s="17"/>
    </row>
    <row r="2037" spans="1:48" ht="15.75" customHeight="1">
      <c r="A2037" s="14" t="s">
        <v>35</v>
      </c>
      <c r="B2037" s="23" t="s">
        <v>1692</v>
      </c>
      <c r="C2037" s="22">
        <v>45777</v>
      </c>
      <c r="D2037" s="23" t="s">
        <v>548</v>
      </c>
      <c r="E2037" s="13" t="s">
        <v>37</v>
      </c>
      <c r="F2037" s="21">
        <v>3</v>
      </c>
      <c r="G2037" s="12">
        <v>10500</v>
      </c>
      <c r="H2037" s="12">
        <v>31500</v>
      </c>
      <c r="I2037" s="23" t="s">
        <v>52</v>
      </c>
      <c r="J2037" s="23" t="s">
        <v>61</v>
      </c>
      <c r="K2037" s="24" t="s">
        <v>177</v>
      </c>
      <c r="L2037" s="24">
        <v>133</v>
      </c>
      <c r="M2037" s="12">
        <v>8823.5294117647063</v>
      </c>
      <c r="N2037" s="12">
        <v>26470.588235294119</v>
      </c>
      <c r="O2037" s="12">
        <v>5029.4117647058811</v>
      </c>
      <c r="P2037" s="13"/>
      <c r="Q2037" s="14">
        <v>2025</v>
      </c>
      <c r="R2037" s="15">
        <v>45383</v>
      </c>
      <c r="S2037" s="11" t="s">
        <v>364</v>
      </c>
      <c r="T2037" s="16">
        <v>3000</v>
      </c>
      <c r="U2037" s="17"/>
      <c r="V2037" s="12">
        <v>7157.142857142856</v>
      </c>
      <c r="W2037" s="12">
        <v>7157.142857142856</v>
      </c>
      <c r="X2037" s="12">
        <v>0</v>
      </c>
      <c r="Y2037" s="18">
        <v>45775</v>
      </c>
      <c r="Z2037" s="13" t="s">
        <v>515</v>
      </c>
      <c r="AA2037" s="19" t="s">
        <v>373</v>
      </c>
      <c r="AB2037" s="13" t="s">
        <v>357</v>
      </c>
      <c r="AC2037" s="13" t="s">
        <v>489</v>
      </c>
      <c r="AD2037" s="20"/>
      <c r="AE2037" s="20"/>
      <c r="AF2037" s="13" t="s">
        <v>40</v>
      </c>
      <c r="AG2037" s="15">
        <v>45383</v>
      </c>
      <c r="AH2037" s="13" t="s">
        <v>41</v>
      </c>
      <c r="AI2037" s="13" t="s">
        <v>35</v>
      </c>
      <c r="AJ2037" s="13" t="str">
        <f>VLOOKUP(E2037,Precios!Z$2:AA$941,2,FALSE)</f>
        <v>Queso RUNCA Mantecoso</v>
      </c>
      <c r="AK2037" s="14">
        <f>VLOOKUP(E2037,Precios!Z$2:BB$941,3,FALSE)*F2037</f>
        <v>-3</v>
      </c>
      <c r="AL2037" s="17"/>
      <c r="AM2037" s="17"/>
      <c r="AN2037" s="17"/>
      <c r="AO2037" s="17"/>
      <c r="AP2037" s="17"/>
      <c r="AQ2037" s="17"/>
      <c r="AR2037" s="17"/>
      <c r="AS2037" s="17"/>
      <c r="AT2037" s="17"/>
      <c r="AU2037" s="17"/>
      <c r="AV2037" s="17"/>
    </row>
    <row r="2038" spans="1:48" ht="15.75" customHeight="1">
      <c r="A2038" s="21" t="s">
        <v>47</v>
      </c>
      <c r="B2038" s="23" t="s">
        <v>1692</v>
      </c>
      <c r="C2038" s="25">
        <v>45776</v>
      </c>
      <c r="D2038" s="23" t="s">
        <v>567</v>
      </c>
      <c r="E2038" s="23" t="s">
        <v>325</v>
      </c>
      <c r="F2038" s="21">
        <v>1</v>
      </c>
      <c r="G2038" s="12">
        <v>7000.3784806704516</v>
      </c>
      <c r="H2038" s="12">
        <v>7000.3784806704516</v>
      </c>
      <c r="I2038" s="23" t="s">
        <v>52</v>
      </c>
      <c r="J2038" s="23" t="s">
        <v>61</v>
      </c>
      <c r="K2038" s="24" t="s">
        <v>177</v>
      </c>
      <c r="L2038" s="24">
        <v>132</v>
      </c>
      <c r="M2038" s="12">
        <v>5882.6709921600441</v>
      </c>
      <c r="N2038" s="12">
        <v>5882.6709921600441</v>
      </c>
      <c r="O2038" s="12">
        <v>1117.7074885104075</v>
      </c>
      <c r="P2038" s="13"/>
      <c r="Q2038" s="14">
        <v>2025</v>
      </c>
      <c r="R2038" s="15">
        <v>45383</v>
      </c>
      <c r="S2038" s="11" t="s">
        <v>479</v>
      </c>
      <c r="T2038" s="16">
        <v>0</v>
      </c>
      <c r="U2038" s="17"/>
      <c r="V2038" s="12">
        <v>1530.6709921600432</v>
      </c>
      <c r="W2038" s="12">
        <v>1530.6709921600432</v>
      </c>
      <c r="X2038" s="12">
        <v>0</v>
      </c>
      <c r="Y2038" s="18">
        <v>45775</v>
      </c>
      <c r="Z2038" s="13" t="s">
        <v>516</v>
      </c>
      <c r="AA2038" s="19" t="s">
        <v>373</v>
      </c>
      <c r="AB2038" s="13" t="s">
        <v>357</v>
      </c>
      <c r="AC2038" s="13" t="s">
        <v>568</v>
      </c>
      <c r="AD2038" s="20"/>
      <c r="AE2038" s="20"/>
      <c r="AF2038" s="13" t="s">
        <v>40</v>
      </c>
      <c r="AG2038" s="15">
        <v>45383</v>
      </c>
      <c r="AH2038" s="13" t="s">
        <v>41</v>
      </c>
      <c r="AI2038" s="13" t="s">
        <v>47</v>
      </c>
      <c r="AJ2038" s="13" t="str">
        <f>VLOOKUP(E2038,Precios!Z$2:AA$941,2,FALSE)</f>
        <v>Lavaloza MAGISTRAL 500 ml</v>
      </c>
      <c r="AK2038" s="14">
        <f>VLOOKUP(E2038,Precios!Z$2:BB$941,3,FALSE)*F2038</f>
        <v>-2</v>
      </c>
      <c r="AL2038" s="17"/>
      <c r="AM2038" s="17"/>
      <c r="AN2038" s="17"/>
      <c r="AO2038" s="17"/>
      <c r="AP2038" s="17"/>
      <c r="AQ2038" s="17"/>
      <c r="AR2038" s="17"/>
      <c r="AS2038" s="17"/>
      <c r="AT2038" s="17"/>
      <c r="AU2038" s="17"/>
      <c r="AV2038" s="17"/>
    </row>
    <row r="2039" spans="1:48" ht="15.75" customHeight="1">
      <c r="A2039" s="21" t="s">
        <v>76</v>
      </c>
      <c r="B2039" s="23" t="s">
        <v>1692</v>
      </c>
      <c r="C2039" s="25">
        <v>45776</v>
      </c>
      <c r="D2039" s="23" t="s">
        <v>567</v>
      </c>
      <c r="E2039" s="23" t="s">
        <v>212</v>
      </c>
      <c r="F2039" s="21">
        <v>1</v>
      </c>
      <c r="G2039" s="12">
        <v>3000.0000000000005</v>
      </c>
      <c r="H2039" s="12">
        <v>3000.0000000000005</v>
      </c>
      <c r="I2039" s="23" t="s">
        <v>52</v>
      </c>
      <c r="J2039" s="23" t="s">
        <v>61</v>
      </c>
      <c r="K2039" s="24" t="s">
        <v>177</v>
      </c>
      <c r="L2039" s="24">
        <v>132</v>
      </c>
      <c r="M2039" s="12">
        <v>2521.0084033613452</v>
      </c>
      <c r="N2039" s="12">
        <v>2521.0084033613452</v>
      </c>
      <c r="O2039" s="12">
        <v>478.99159663865521</v>
      </c>
      <c r="P2039" s="13"/>
      <c r="Q2039" s="14">
        <v>2025</v>
      </c>
      <c r="R2039" s="15">
        <v>45383</v>
      </c>
      <c r="S2039" s="11" t="s">
        <v>446</v>
      </c>
      <c r="T2039" s="16">
        <v>5</v>
      </c>
      <c r="U2039" s="17"/>
      <c r="V2039" s="12">
        <v>764.70588235294144</v>
      </c>
      <c r="W2039" s="12">
        <v>764.70588235294144</v>
      </c>
      <c r="X2039" s="12">
        <v>0</v>
      </c>
      <c r="Y2039" s="18">
        <v>45775</v>
      </c>
      <c r="Z2039" s="13" t="s">
        <v>516</v>
      </c>
      <c r="AA2039" s="19" t="s">
        <v>373</v>
      </c>
      <c r="AB2039" s="13" t="s">
        <v>357</v>
      </c>
      <c r="AC2039" s="13" t="s">
        <v>568</v>
      </c>
      <c r="AD2039" s="20"/>
      <c r="AE2039" s="20"/>
      <c r="AF2039" s="13" t="s">
        <v>40</v>
      </c>
      <c r="AG2039" s="15">
        <v>45383</v>
      </c>
      <c r="AH2039" s="13" t="s">
        <v>41</v>
      </c>
      <c r="AI2039" s="13" t="s">
        <v>76</v>
      </c>
      <c r="AJ2039" s="13" t="str">
        <f>VLOOKUP(E2039,Precios!Z$2:AA$941,2,FALSE)</f>
        <v>Suavizante SPUM 5 Litros</v>
      </c>
      <c r="AK2039" s="14">
        <f>VLOOKUP(E2039,Precios!Z$2:BB$941,3,FALSE)*F2039</f>
        <v>-1</v>
      </c>
      <c r="AL2039" s="17"/>
      <c r="AM2039" s="17"/>
      <c r="AN2039" s="17"/>
      <c r="AO2039" s="17"/>
      <c r="AP2039" s="17"/>
      <c r="AQ2039" s="17"/>
      <c r="AR2039" s="17"/>
      <c r="AS2039" s="17"/>
      <c r="AT2039" s="17"/>
      <c r="AU2039" s="17"/>
      <c r="AV2039" s="17"/>
    </row>
    <row r="2040" spans="1:48" ht="15.75" customHeight="1">
      <c r="A2040" s="21" t="s">
        <v>147</v>
      </c>
      <c r="B2040" s="23" t="s">
        <v>1692</v>
      </c>
      <c r="C2040" s="25">
        <v>45776</v>
      </c>
      <c r="D2040" s="23" t="s">
        <v>567</v>
      </c>
      <c r="E2040" s="23" t="s">
        <v>149</v>
      </c>
      <c r="F2040" s="21">
        <v>1</v>
      </c>
      <c r="G2040" s="12">
        <v>1700</v>
      </c>
      <c r="H2040" s="12">
        <v>1700</v>
      </c>
      <c r="I2040" s="23" t="s">
        <v>52</v>
      </c>
      <c r="J2040" s="23" t="s">
        <v>61</v>
      </c>
      <c r="K2040" s="24" t="s">
        <v>177</v>
      </c>
      <c r="L2040" s="24">
        <v>132</v>
      </c>
      <c r="M2040" s="12">
        <v>1428.5714285714287</v>
      </c>
      <c r="N2040" s="12">
        <v>1428.5714285714287</v>
      </c>
      <c r="O2040" s="12">
        <v>271.42857142857133</v>
      </c>
      <c r="P2040" s="13"/>
      <c r="Q2040" s="14">
        <v>2025</v>
      </c>
      <c r="R2040" s="15">
        <v>45383</v>
      </c>
      <c r="S2040" s="11" t="s">
        <v>412</v>
      </c>
      <c r="T2040" s="16">
        <v>0</v>
      </c>
      <c r="U2040" s="17"/>
      <c r="V2040" s="12">
        <v>774.78991596638662</v>
      </c>
      <c r="W2040" s="12">
        <v>774.78991596638662</v>
      </c>
      <c r="X2040" s="12">
        <v>0</v>
      </c>
      <c r="Y2040" s="18">
        <v>45775</v>
      </c>
      <c r="Z2040" s="13" t="s">
        <v>516</v>
      </c>
      <c r="AA2040" s="19" t="s">
        <v>373</v>
      </c>
      <c r="AB2040" s="13" t="s">
        <v>357</v>
      </c>
      <c r="AC2040" s="13" t="s">
        <v>568</v>
      </c>
      <c r="AD2040" s="20"/>
      <c r="AE2040" s="20"/>
      <c r="AF2040" s="13" t="s">
        <v>40</v>
      </c>
      <c r="AG2040" s="15">
        <v>45383</v>
      </c>
      <c r="AH2040" s="13" t="s">
        <v>41</v>
      </c>
      <c r="AI2040" s="13" t="s">
        <v>147</v>
      </c>
      <c r="AJ2040" s="13" t="str">
        <f>VLOOKUP(E2040,Precios!Z$2:AA$941,2,FALSE)</f>
        <v>Film Plástico 30 metros</v>
      </c>
      <c r="AK2040" s="14">
        <f>VLOOKUP(E2040,Precios!Z$2:BB$941,3,FALSE)*F2040</f>
        <v>-1</v>
      </c>
      <c r="AL2040" s="17"/>
      <c r="AM2040" s="17"/>
      <c r="AN2040" s="17"/>
      <c r="AO2040" s="17"/>
      <c r="AP2040" s="17"/>
      <c r="AQ2040" s="17"/>
      <c r="AR2040" s="17"/>
      <c r="AS2040" s="17"/>
      <c r="AT2040" s="17"/>
      <c r="AU2040" s="17"/>
      <c r="AV2040" s="17"/>
    </row>
    <row r="2041" spans="1:48" ht="15.75" customHeight="1">
      <c r="A2041" s="21" t="s">
        <v>147</v>
      </c>
      <c r="B2041" s="23" t="s">
        <v>1692</v>
      </c>
      <c r="C2041" s="25">
        <v>45776</v>
      </c>
      <c r="D2041" s="23" t="s">
        <v>567</v>
      </c>
      <c r="E2041" s="23" t="s">
        <v>148</v>
      </c>
      <c r="F2041" s="21">
        <v>1</v>
      </c>
      <c r="G2041" s="12">
        <v>1200.0000000000002</v>
      </c>
      <c r="H2041" s="12">
        <v>1200.0000000000002</v>
      </c>
      <c r="I2041" s="23" t="s">
        <v>52</v>
      </c>
      <c r="J2041" s="23" t="s">
        <v>61</v>
      </c>
      <c r="K2041" s="24" t="s">
        <v>177</v>
      </c>
      <c r="L2041" s="24">
        <v>132</v>
      </c>
      <c r="M2041" s="12">
        <v>1008.4033613445381</v>
      </c>
      <c r="N2041" s="12">
        <v>1008.4033613445381</v>
      </c>
      <c r="O2041" s="12">
        <v>191.59663865546213</v>
      </c>
      <c r="P2041" s="13"/>
      <c r="Q2041" s="14">
        <v>2025</v>
      </c>
      <c r="R2041" s="15">
        <v>45383</v>
      </c>
      <c r="S2041" s="11" t="s">
        <v>360</v>
      </c>
      <c r="T2041" s="16">
        <v>0</v>
      </c>
      <c r="U2041" s="17"/>
      <c r="V2041" s="12">
        <v>357.9831932773111</v>
      </c>
      <c r="W2041" s="12">
        <v>357.9831932773111</v>
      </c>
      <c r="X2041" s="12">
        <v>0</v>
      </c>
      <c r="Y2041" s="18">
        <v>45775</v>
      </c>
      <c r="Z2041" s="13" t="s">
        <v>516</v>
      </c>
      <c r="AA2041" s="19" t="s">
        <v>373</v>
      </c>
      <c r="AB2041" s="13" t="s">
        <v>357</v>
      </c>
      <c r="AC2041" s="13" t="s">
        <v>568</v>
      </c>
      <c r="AD2041" s="20"/>
      <c r="AE2041" s="20"/>
      <c r="AF2041" s="13" t="s">
        <v>40</v>
      </c>
      <c r="AG2041" s="15">
        <v>45383</v>
      </c>
      <c r="AH2041" s="13" t="s">
        <v>41</v>
      </c>
      <c r="AI2041" s="13" t="s">
        <v>147</v>
      </c>
      <c r="AJ2041" s="13" t="str">
        <f>VLOOKUP(E2041,Precios!Z$2:AA$941,2,FALSE)</f>
        <v>Papel Aluminio 7.5 metros</v>
      </c>
      <c r="AK2041" s="14">
        <f>VLOOKUP(E2041,Precios!Z$2:BB$941,3,FALSE)*F2041</f>
        <v>-1</v>
      </c>
      <c r="AL2041" s="17"/>
      <c r="AM2041" s="17"/>
      <c r="AN2041" s="17"/>
      <c r="AO2041" s="17"/>
      <c r="AP2041" s="17"/>
      <c r="AQ2041" s="17"/>
      <c r="AR2041" s="17"/>
      <c r="AS2041" s="17"/>
      <c r="AT2041" s="17"/>
      <c r="AU2041" s="17"/>
      <c r="AV2041" s="17"/>
    </row>
    <row r="2042" spans="1:48" ht="15.75" customHeight="1">
      <c r="A2042" s="14" t="s">
        <v>35</v>
      </c>
      <c r="B2042" s="23" t="s">
        <v>1692</v>
      </c>
      <c r="C2042" s="25">
        <v>45776</v>
      </c>
      <c r="D2042" s="23" t="s">
        <v>292</v>
      </c>
      <c r="E2042" s="23" t="s">
        <v>46</v>
      </c>
      <c r="F2042" s="21">
        <v>1</v>
      </c>
      <c r="G2042" s="12">
        <v>5500</v>
      </c>
      <c r="H2042" s="12">
        <v>5500</v>
      </c>
      <c r="I2042" s="23" t="s">
        <v>52</v>
      </c>
      <c r="J2042" s="23" t="s">
        <v>61</v>
      </c>
      <c r="K2042" s="24" t="s">
        <v>177</v>
      </c>
      <c r="L2042" s="24">
        <v>132</v>
      </c>
      <c r="M2042" s="12">
        <v>4621.8487394957983</v>
      </c>
      <c r="N2042" s="12">
        <v>4621.8487394957983</v>
      </c>
      <c r="O2042" s="12">
        <v>878.15126050420167</v>
      </c>
      <c r="P2042" s="13"/>
      <c r="Q2042" s="14">
        <v>2025</v>
      </c>
      <c r="R2042" s="15">
        <v>45383</v>
      </c>
      <c r="S2042" s="11" t="s">
        <v>364</v>
      </c>
      <c r="T2042" s="16">
        <v>500</v>
      </c>
      <c r="U2042" s="17"/>
      <c r="V2042" s="12">
        <v>1365.1260504201678</v>
      </c>
      <c r="W2042" s="12">
        <v>1365.1260504201678</v>
      </c>
      <c r="X2042" s="12">
        <v>0</v>
      </c>
      <c r="Y2042" s="18">
        <v>45775</v>
      </c>
      <c r="Z2042" s="13" t="s">
        <v>516</v>
      </c>
      <c r="AA2042" s="19" t="s">
        <v>356</v>
      </c>
      <c r="AB2042" s="13" t="s">
        <v>357</v>
      </c>
      <c r="AC2042" s="13" t="s">
        <v>383</v>
      </c>
      <c r="AD2042" s="20"/>
      <c r="AE2042" s="20"/>
      <c r="AF2042" s="13" t="s">
        <v>40</v>
      </c>
      <c r="AG2042" s="15">
        <v>45383</v>
      </c>
      <c r="AH2042" s="13" t="s">
        <v>41</v>
      </c>
      <c r="AI2042" s="13" t="s">
        <v>35</v>
      </c>
      <c r="AJ2042" s="13" t="str">
        <f>VLOOKUP(E2042,Precios!Z$2:AA$941,2,FALSE)</f>
        <v>Queso RUNCA Mantecoso</v>
      </c>
      <c r="AK2042" s="14">
        <f>VLOOKUP(E2042,Precios!Z$2:BB$941,3,FALSE)*F2042</f>
        <v>-0.5</v>
      </c>
      <c r="AL2042" s="17"/>
      <c r="AM2042" s="17"/>
      <c r="AN2042" s="17"/>
      <c r="AO2042" s="17"/>
      <c r="AP2042" s="17"/>
      <c r="AQ2042" s="17"/>
      <c r="AR2042" s="17"/>
      <c r="AS2042" s="17"/>
      <c r="AT2042" s="17"/>
      <c r="AU2042" s="17"/>
      <c r="AV2042" s="17"/>
    </row>
    <row r="2043" spans="1:48" ht="15.75" customHeight="1">
      <c r="A2043" s="21" t="s">
        <v>43</v>
      </c>
      <c r="B2043" s="23" t="s">
        <v>1692</v>
      </c>
      <c r="C2043" s="25">
        <v>45776</v>
      </c>
      <c r="D2043" s="23" t="s">
        <v>292</v>
      </c>
      <c r="E2043" s="23" t="s">
        <v>45</v>
      </c>
      <c r="F2043" s="21">
        <v>1</v>
      </c>
      <c r="G2043" s="12">
        <v>8299.9877571008819</v>
      </c>
      <c r="H2043" s="12">
        <v>8299.9877571008819</v>
      </c>
      <c r="I2043" s="23" t="s">
        <v>52</v>
      </c>
      <c r="J2043" s="23" t="s">
        <v>61</v>
      </c>
      <c r="K2043" s="24" t="s">
        <v>177</v>
      </c>
      <c r="L2043" s="24">
        <v>132</v>
      </c>
      <c r="M2043" s="12">
        <v>6974.7796278158676</v>
      </c>
      <c r="N2043" s="12">
        <v>6974.7796278158676</v>
      </c>
      <c r="O2043" s="12">
        <v>1325.2081292850144</v>
      </c>
      <c r="P2043" s="13"/>
      <c r="Q2043" s="14">
        <v>2025</v>
      </c>
      <c r="R2043" s="15">
        <v>45383</v>
      </c>
      <c r="S2043" s="11" t="s">
        <v>355</v>
      </c>
      <c r="T2043" s="16">
        <v>0</v>
      </c>
      <c r="U2043" s="17"/>
      <c r="V2043" s="12">
        <v>1277.7796278158667</v>
      </c>
      <c r="W2043" s="12">
        <v>1277.7796278158667</v>
      </c>
      <c r="X2043" s="12">
        <v>0</v>
      </c>
      <c r="Y2043" s="18">
        <v>45775</v>
      </c>
      <c r="Z2043" s="13" t="s">
        <v>516</v>
      </c>
      <c r="AA2043" s="19" t="s">
        <v>356</v>
      </c>
      <c r="AB2043" s="13" t="s">
        <v>357</v>
      </c>
      <c r="AC2043" s="13" t="s">
        <v>383</v>
      </c>
      <c r="AD2043" s="20"/>
      <c r="AE2043" s="20"/>
      <c r="AF2043" s="13" t="s">
        <v>40</v>
      </c>
      <c r="AG2043" s="15">
        <v>45383</v>
      </c>
      <c r="AH2043" s="13" t="s">
        <v>41</v>
      </c>
      <c r="AI2043" s="13" t="s">
        <v>43</v>
      </c>
      <c r="AJ2043" s="13" t="str">
        <f>VLOOKUP(E2043,Precios!Z$2:AA$941,2,FALSE)</f>
        <v>Bandeja Huevos EXTRA</v>
      </c>
      <c r="AK2043" s="14">
        <f>VLOOKUP(E2043,Precios!Z$2:BB$941,3,FALSE)*F2043</f>
        <v>-1</v>
      </c>
      <c r="AL2043" s="17"/>
      <c r="AM2043" s="17"/>
      <c r="AN2043" s="17"/>
      <c r="AO2043" s="17"/>
      <c r="AP2043" s="17"/>
      <c r="AQ2043" s="17"/>
      <c r="AR2043" s="17"/>
      <c r="AS2043" s="17"/>
      <c r="AT2043" s="17"/>
      <c r="AU2043" s="17"/>
      <c r="AV2043" s="17"/>
    </row>
    <row r="2044" spans="1:48" ht="15.75" customHeight="1">
      <c r="A2044" s="14" t="s">
        <v>35</v>
      </c>
      <c r="B2044" s="23" t="s">
        <v>1692</v>
      </c>
      <c r="C2044" s="25">
        <v>45776</v>
      </c>
      <c r="D2044" s="23" t="s">
        <v>87</v>
      </c>
      <c r="E2044" s="13" t="s">
        <v>37</v>
      </c>
      <c r="F2044" s="21">
        <v>1</v>
      </c>
      <c r="G2044" s="12">
        <v>10500</v>
      </c>
      <c r="H2044" s="12">
        <v>10500</v>
      </c>
      <c r="I2044" s="23" t="s">
        <v>52</v>
      </c>
      <c r="J2044" s="23" t="s">
        <v>61</v>
      </c>
      <c r="K2044" s="24" t="s">
        <v>177</v>
      </c>
      <c r="L2044" s="24">
        <v>132</v>
      </c>
      <c r="M2044" s="12">
        <v>8823.5294117647063</v>
      </c>
      <c r="N2044" s="12">
        <v>8823.5294117647063</v>
      </c>
      <c r="O2044" s="12">
        <v>1676.4705882352937</v>
      </c>
      <c r="P2044" s="13"/>
      <c r="Q2044" s="14">
        <v>2025</v>
      </c>
      <c r="R2044" s="15">
        <v>45383</v>
      </c>
      <c r="S2044" s="11" t="s">
        <v>364</v>
      </c>
      <c r="T2044" s="16">
        <v>1000</v>
      </c>
      <c r="U2044" s="17"/>
      <c r="V2044" s="12">
        <v>2385.7142857142853</v>
      </c>
      <c r="W2044" s="12">
        <v>2385.7142857142853</v>
      </c>
      <c r="X2044" s="12">
        <v>0</v>
      </c>
      <c r="Y2044" s="18">
        <v>45775</v>
      </c>
      <c r="Z2044" s="13" t="s">
        <v>516</v>
      </c>
      <c r="AA2044" s="19" t="s">
        <v>361</v>
      </c>
      <c r="AB2044" s="13" t="s">
        <v>357</v>
      </c>
      <c r="AC2044" s="13" t="s">
        <v>383</v>
      </c>
      <c r="AD2044" s="20"/>
      <c r="AE2044" s="20"/>
      <c r="AF2044" s="13" t="s">
        <v>40</v>
      </c>
      <c r="AG2044" s="15">
        <v>45383</v>
      </c>
      <c r="AH2044" s="13" t="s">
        <v>41</v>
      </c>
      <c r="AI2044" s="13" t="s">
        <v>35</v>
      </c>
      <c r="AJ2044" s="13" t="str">
        <f>VLOOKUP(E2044,Precios!Z$2:AA$941,2,FALSE)</f>
        <v>Queso RUNCA Mantecoso</v>
      </c>
      <c r="AK2044" s="14">
        <f>VLOOKUP(E2044,Precios!Z$2:BB$941,3,FALSE)*F2044</f>
        <v>-1</v>
      </c>
      <c r="AL2044" s="17"/>
      <c r="AM2044" s="17"/>
      <c r="AN2044" s="17"/>
      <c r="AO2044" s="17"/>
      <c r="AP2044" s="17"/>
      <c r="AQ2044" s="17"/>
      <c r="AR2044" s="17"/>
      <c r="AS2044" s="17"/>
      <c r="AT2044" s="17"/>
      <c r="AU2044" s="17"/>
      <c r="AV2044" s="17"/>
    </row>
    <row r="2045" spans="1:48" ht="15.75" customHeight="1">
      <c r="A2045" s="14" t="s">
        <v>35</v>
      </c>
      <c r="B2045" s="23" t="s">
        <v>1692</v>
      </c>
      <c r="C2045" s="25">
        <v>45776</v>
      </c>
      <c r="D2045" s="23" t="s">
        <v>213</v>
      </c>
      <c r="E2045" s="13" t="s">
        <v>37</v>
      </c>
      <c r="F2045" s="21">
        <v>1</v>
      </c>
      <c r="G2045" s="12">
        <v>10500</v>
      </c>
      <c r="H2045" s="12">
        <v>10500</v>
      </c>
      <c r="I2045" s="23" t="s">
        <v>52</v>
      </c>
      <c r="J2045" s="23" t="s">
        <v>61</v>
      </c>
      <c r="K2045" s="24" t="s">
        <v>177</v>
      </c>
      <c r="L2045" s="24">
        <v>132</v>
      </c>
      <c r="M2045" s="12">
        <v>8823.5294117647063</v>
      </c>
      <c r="N2045" s="12">
        <v>8823.5294117647063</v>
      </c>
      <c r="O2045" s="12">
        <v>1676.4705882352937</v>
      </c>
      <c r="P2045" s="13"/>
      <c r="Q2045" s="14">
        <v>2025</v>
      </c>
      <c r="R2045" s="15">
        <v>45383</v>
      </c>
      <c r="S2045" s="11" t="s">
        <v>364</v>
      </c>
      <c r="T2045" s="16">
        <v>1000</v>
      </c>
      <c r="U2045" s="17"/>
      <c r="V2045" s="12">
        <v>2385.7142857142853</v>
      </c>
      <c r="W2045" s="12">
        <v>2385.7142857142853</v>
      </c>
      <c r="X2045" s="12">
        <v>0</v>
      </c>
      <c r="Y2045" s="18">
        <v>45775</v>
      </c>
      <c r="Z2045" s="13" t="s">
        <v>516</v>
      </c>
      <c r="AA2045" s="19" t="s">
        <v>373</v>
      </c>
      <c r="AB2045" s="13" t="s">
        <v>357</v>
      </c>
      <c r="AC2045" s="13" t="s">
        <v>374</v>
      </c>
      <c r="AD2045" s="20"/>
      <c r="AE2045" s="20"/>
      <c r="AF2045" s="13" t="s">
        <v>40</v>
      </c>
      <c r="AG2045" s="15">
        <v>45383</v>
      </c>
      <c r="AH2045" s="13" t="s">
        <v>41</v>
      </c>
      <c r="AI2045" s="13" t="s">
        <v>35</v>
      </c>
      <c r="AJ2045" s="13" t="str">
        <f>VLOOKUP(E2045,Precios!Z$2:AA$941,2,FALSE)</f>
        <v>Queso RUNCA Mantecoso</v>
      </c>
      <c r="AK2045" s="14">
        <f>VLOOKUP(E2045,Precios!Z$2:BB$941,3,FALSE)*F2045</f>
        <v>-1</v>
      </c>
      <c r="AL2045" s="17"/>
      <c r="AM2045" s="17"/>
      <c r="AN2045" s="17"/>
      <c r="AO2045" s="17"/>
      <c r="AP2045" s="17"/>
      <c r="AQ2045" s="17"/>
      <c r="AR2045" s="17"/>
      <c r="AS2045" s="17"/>
      <c r="AT2045" s="17"/>
      <c r="AU2045" s="17"/>
      <c r="AV2045" s="17"/>
    </row>
    <row r="2046" spans="1:48" ht="15.75" customHeight="1">
      <c r="A2046" s="21" t="s">
        <v>147</v>
      </c>
      <c r="B2046" s="23" t="s">
        <v>1692</v>
      </c>
      <c r="C2046" s="25">
        <v>45776</v>
      </c>
      <c r="D2046" s="23" t="s">
        <v>259</v>
      </c>
      <c r="E2046" s="23" t="s">
        <v>248</v>
      </c>
      <c r="F2046" s="21">
        <v>1</v>
      </c>
      <c r="G2046" s="12">
        <v>9000</v>
      </c>
      <c r="H2046" s="12">
        <v>9000</v>
      </c>
      <c r="I2046" s="23" t="s">
        <v>52</v>
      </c>
      <c r="J2046" s="23" t="s">
        <v>61</v>
      </c>
      <c r="K2046" s="24" t="s">
        <v>177</v>
      </c>
      <c r="L2046" s="24">
        <v>132</v>
      </c>
      <c r="M2046" s="12">
        <v>7563.0252100840344</v>
      </c>
      <c r="N2046" s="12">
        <v>7563.0252100840344</v>
      </c>
      <c r="O2046" s="12">
        <v>1436.9747899159656</v>
      </c>
      <c r="P2046" s="13"/>
      <c r="Q2046" s="14">
        <v>2025</v>
      </c>
      <c r="R2046" s="15">
        <v>45383</v>
      </c>
      <c r="S2046" s="11" t="s">
        <v>412</v>
      </c>
      <c r="T2046" s="16">
        <v>0</v>
      </c>
      <c r="U2046" s="17"/>
      <c r="V2046" s="12">
        <v>2773.1092436974795</v>
      </c>
      <c r="W2046" s="12">
        <v>2773.1092436974795</v>
      </c>
      <c r="X2046" s="12">
        <v>0</v>
      </c>
      <c r="Y2046" s="18">
        <v>45775</v>
      </c>
      <c r="Z2046" s="13" t="s">
        <v>516</v>
      </c>
      <c r="AA2046" s="19" t="s">
        <v>373</v>
      </c>
      <c r="AB2046" s="13" t="s">
        <v>357</v>
      </c>
      <c r="AC2046" s="13" t="s">
        <v>399</v>
      </c>
      <c r="AD2046" s="20"/>
      <c r="AE2046" s="20"/>
      <c r="AF2046" s="13" t="s">
        <v>40</v>
      </c>
      <c r="AG2046" s="15">
        <v>45383</v>
      </c>
      <c r="AH2046" s="13" t="s">
        <v>41</v>
      </c>
      <c r="AI2046" s="13" t="s">
        <v>147</v>
      </c>
      <c r="AJ2046" s="13" t="str">
        <f>VLOOKUP(E2046,Precios!Z$2:AA$941,2,FALSE)</f>
        <v>Film Plástico 300 metros</v>
      </c>
      <c r="AK2046" s="14">
        <f>VLOOKUP(E2046,Precios!Z$2:BB$941,3,FALSE)*F2046</f>
        <v>-1</v>
      </c>
      <c r="AL2046" s="17"/>
      <c r="AM2046" s="17"/>
      <c r="AN2046" s="17"/>
      <c r="AO2046" s="17"/>
      <c r="AP2046" s="17"/>
      <c r="AQ2046" s="17"/>
      <c r="AR2046" s="17"/>
      <c r="AS2046" s="17"/>
      <c r="AT2046" s="17"/>
      <c r="AU2046" s="17"/>
      <c r="AV2046" s="17"/>
    </row>
    <row r="2047" spans="1:48" ht="15.75" customHeight="1">
      <c r="A2047" s="21" t="s">
        <v>53</v>
      </c>
      <c r="B2047" s="23" t="s">
        <v>1692</v>
      </c>
      <c r="C2047" s="25">
        <v>45776</v>
      </c>
      <c r="D2047" s="23" t="s">
        <v>259</v>
      </c>
      <c r="E2047" s="23" t="s">
        <v>263</v>
      </c>
      <c r="F2047" s="21">
        <v>1</v>
      </c>
      <c r="G2047" s="12">
        <v>9999.6135265700505</v>
      </c>
      <c r="H2047" s="12">
        <v>9999.6135265700505</v>
      </c>
      <c r="I2047" s="23" t="s">
        <v>52</v>
      </c>
      <c r="J2047" s="23" t="s">
        <v>61</v>
      </c>
      <c r="K2047" s="24" t="s">
        <v>177</v>
      </c>
      <c r="L2047" s="24">
        <v>132</v>
      </c>
      <c r="M2047" s="12">
        <v>8403.036576949622</v>
      </c>
      <c r="N2047" s="12">
        <v>8403.036576949622</v>
      </c>
      <c r="O2047" s="12">
        <v>1596.5769496204284</v>
      </c>
      <c r="P2047" s="13"/>
      <c r="Q2047" s="14">
        <v>2025</v>
      </c>
      <c r="R2047" s="15">
        <v>45383</v>
      </c>
      <c r="S2047" s="11" t="s">
        <v>408</v>
      </c>
      <c r="T2047" s="16">
        <v>0</v>
      </c>
      <c r="U2047" s="17"/>
      <c r="V2047" s="12">
        <v>2315.036576949622</v>
      </c>
      <c r="W2047" s="12">
        <v>2315.036576949622</v>
      </c>
      <c r="X2047" s="12">
        <v>0</v>
      </c>
      <c r="Y2047" s="18">
        <v>45775</v>
      </c>
      <c r="Z2047" s="13" t="s">
        <v>516</v>
      </c>
      <c r="AA2047" s="19" t="s">
        <v>373</v>
      </c>
      <c r="AB2047" s="13" t="s">
        <v>357</v>
      </c>
      <c r="AC2047" s="13" t="s">
        <v>399</v>
      </c>
      <c r="AD2047" s="20"/>
      <c r="AE2047" s="20"/>
      <c r="AF2047" s="13" t="s">
        <v>40</v>
      </c>
      <c r="AG2047" s="15">
        <v>45383</v>
      </c>
      <c r="AH2047" s="13" t="s">
        <v>41</v>
      </c>
      <c r="AI2047" s="13" t="s">
        <v>53</v>
      </c>
      <c r="AJ2047" s="13" t="str">
        <f>VLOOKUP(E2047,Precios!Z$2:AA$941,2,FALSE)</f>
        <v>Toalla Papel SWAN D/H AZUL 100 metros</v>
      </c>
      <c r="AK2047" s="14">
        <f>VLOOKUP(E2047,Precios!Z$2:BB$941,3,FALSE)*F2047</f>
        <v>-3</v>
      </c>
      <c r="AL2047" s="17"/>
      <c r="AM2047" s="17"/>
      <c r="AN2047" s="17"/>
      <c r="AO2047" s="17"/>
      <c r="AP2047" s="17"/>
      <c r="AQ2047" s="17"/>
      <c r="AR2047" s="17"/>
      <c r="AS2047" s="17"/>
      <c r="AT2047" s="17"/>
      <c r="AU2047" s="17"/>
      <c r="AV2047" s="17"/>
    </row>
    <row r="2048" spans="1:48" ht="15.75" customHeight="1">
      <c r="A2048" s="21" t="s">
        <v>53</v>
      </c>
      <c r="B2048" s="23" t="s">
        <v>1692</v>
      </c>
      <c r="C2048" s="25">
        <v>45776</v>
      </c>
      <c r="D2048" s="23" t="s">
        <v>663</v>
      </c>
      <c r="E2048" s="23" t="s">
        <v>55</v>
      </c>
      <c r="F2048" s="21">
        <v>1</v>
      </c>
      <c r="G2048" s="12">
        <v>20899.657794676805</v>
      </c>
      <c r="H2048" s="12">
        <v>20899.657794676805</v>
      </c>
      <c r="I2048" s="23" t="s">
        <v>52</v>
      </c>
      <c r="J2048" s="23" t="s">
        <v>61</v>
      </c>
      <c r="K2048" s="24" t="s">
        <v>177</v>
      </c>
      <c r="L2048" s="24">
        <v>132</v>
      </c>
      <c r="M2048" s="12">
        <v>17562.737642585551</v>
      </c>
      <c r="N2048" s="12">
        <v>17562.737642585551</v>
      </c>
      <c r="O2048" s="12">
        <v>3336.9201520912538</v>
      </c>
      <c r="P2048" s="13"/>
      <c r="Q2048" s="14">
        <v>2025</v>
      </c>
      <c r="R2048" s="15">
        <v>45383</v>
      </c>
      <c r="S2048" s="11" t="s">
        <v>366</v>
      </c>
      <c r="T2048" s="16">
        <v>0</v>
      </c>
      <c r="U2048" s="17"/>
      <c r="V2048" s="12">
        <v>3705.7376425855509</v>
      </c>
      <c r="W2048" s="12">
        <v>3705.7376425855509</v>
      </c>
      <c r="X2048" s="12">
        <v>0</v>
      </c>
      <c r="Y2048" s="18">
        <v>45775</v>
      </c>
      <c r="Z2048" s="13" t="s">
        <v>516</v>
      </c>
      <c r="AA2048" s="19" t="s">
        <v>373</v>
      </c>
      <c r="AB2048" s="13" t="s">
        <v>357</v>
      </c>
      <c r="AC2048" s="13" t="s">
        <v>374</v>
      </c>
      <c r="AD2048" s="20"/>
      <c r="AE2048" s="20"/>
      <c r="AF2048" s="13" t="s">
        <v>40</v>
      </c>
      <c r="AG2048" s="15">
        <v>45383</v>
      </c>
      <c r="AH2048" s="13" t="s">
        <v>41</v>
      </c>
      <c r="AI2048" s="13" t="s">
        <v>53</v>
      </c>
      <c r="AJ2048" s="13" t="str">
        <f>VLOOKUP(E2048,Precios!Z$2:AA$941,2,FALSE)</f>
        <v>Papel Higienico ELITE 50 metros</v>
      </c>
      <c r="AK2048" s="14">
        <f>VLOOKUP(E2048,Precios!Z$2:BB$941,3,FALSE)*F2048</f>
        <v>-8</v>
      </c>
      <c r="AL2048" s="17"/>
      <c r="AM2048" s="17"/>
      <c r="AN2048" s="17"/>
      <c r="AO2048" s="17"/>
      <c r="AP2048" s="17"/>
      <c r="AQ2048" s="17"/>
      <c r="AR2048" s="17"/>
      <c r="AS2048" s="17"/>
      <c r="AT2048" s="17"/>
      <c r="AU2048" s="17"/>
      <c r="AV2048" s="17"/>
    </row>
    <row r="2049" spans="1:48" ht="15.75" customHeight="1">
      <c r="A2049" s="21" t="s">
        <v>53</v>
      </c>
      <c r="B2049" s="23" t="s">
        <v>1692</v>
      </c>
      <c r="C2049" s="25">
        <v>45776</v>
      </c>
      <c r="D2049" s="23" t="s">
        <v>663</v>
      </c>
      <c r="E2049" s="23" t="s">
        <v>136</v>
      </c>
      <c r="F2049" s="21">
        <v>1</v>
      </c>
      <c r="G2049" s="12">
        <v>14900.292682926829</v>
      </c>
      <c r="H2049" s="12">
        <v>14900.292682926829</v>
      </c>
      <c r="I2049" s="23" t="s">
        <v>52</v>
      </c>
      <c r="J2049" s="23" t="s">
        <v>61</v>
      </c>
      <c r="K2049" s="24" t="s">
        <v>177</v>
      </c>
      <c r="L2049" s="24">
        <v>132</v>
      </c>
      <c r="M2049" s="12">
        <v>12521.254355400697</v>
      </c>
      <c r="N2049" s="12">
        <v>12521.254355400697</v>
      </c>
      <c r="O2049" s="12">
        <v>2379.038327526132</v>
      </c>
      <c r="P2049" s="13"/>
      <c r="Q2049" s="14">
        <v>2025</v>
      </c>
      <c r="R2049" s="15">
        <v>45383</v>
      </c>
      <c r="S2049" s="11" t="s">
        <v>410</v>
      </c>
      <c r="T2049" s="16">
        <v>0</v>
      </c>
      <c r="U2049" s="17"/>
      <c r="V2049" s="12">
        <v>3537.254355400697</v>
      </c>
      <c r="W2049" s="12">
        <v>3537.254355400697</v>
      </c>
      <c r="X2049" s="12">
        <v>0</v>
      </c>
      <c r="Y2049" s="18">
        <v>45775</v>
      </c>
      <c r="Z2049" s="13" t="s">
        <v>516</v>
      </c>
      <c r="AA2049" s="19" t="s">
        <v>373</v>
      </c>
      <c r="AB2049" s="13" t="s">
        <v>357</v>
      </c>
      <c r="AC2049" s="13" t="s">
        <v>374</v>
      </c>
      <c r="AD2049" s="20"/>
      <c r="AE2049" s="20"/>
      <c r="AF2049" s="13" t="s">
        <v>40</v>
      </c>
      <c r="AG2049" s="15">
        <v>45383</v>
      </c>
      <c r="AH2049" s="13" t="s">
        <v>41</v>
      </c>
      <c r="AI2049" s="13" t="s">
        <v>53</v>
      </c>
      <c r="AJ2049" s="13" t="str">
        <f>VLOOKUP(E2049,Precios!Z$2:AA$941,2,FALSE)</f>
        <v>Toalla Papel NOVA 26 metros</v>
      </c>
      <c r="AK2049" s="14">
        <f>VLOOKUP(E2049,Precios!Z$2:BB$941,3,FALSE)*F2049</f>
        <v>-8</v>
      </c>
      <c r="AL2049" s="17"/>
      <c r="AM2049" s="17"/>
      <c r="AN2049" s="17"/>
      <c r="AO2049" s="17"/>
      <c r="AP2049" s="17"/>
      <c r="AQ2049" s="17"/>
      <c r="AR2049" s="17"/>
      <c r="AS2049" s="17"/>
      <c r="AT2049" s="17"/>
      <c r="AU2049" s="17"/>
      <c r="AV2049" s="17"/>
    </row>
    <row r="2050" spans="1:48" ht="15.75" customHeight="1">
      <c r="A2050" s="21" t="s">
        <v>35</v>
      </c>
      <c r="B2050" s="23" t="s">
        <v>1692</v>
      </c>
      <c r="C2050" s="22">
        <v>45776</v>
      </c>
      <c r="D2050" s="23" t="s">
        <v>576</v>
      </c>
      <c r="E2050" s="23" t="s">
        <v>37</v>
      </c>
      <c r="F2050" s="21">
        <v>4</v>
      </c>
      <c r="G2050" s="12">
        <v>10500</v>
      </c>
      <c r="H2050" s="12">
        <v>42000</v>
      </c>
      <c r="I2050" s="23" t="s">
        <v>52</v>
      </c>
      <c r="J2050" s="23" t="s">
        <v>61</v>
      </c>
      <c r="K2050" s="24" t="s">
        <v>177</v>
      </c>
      <c r="L2050" s="24">
        <v>132</v>
      </c>
      <c r="M2050" s="12">
        <v>8823.5294117647063</v>
      </c>
      <c r="N2050" s="12">
        <v>35294.117647058825</v>
      </c>
      <c r="O2050" s="12">
        <v>6705.8823529411748</v>
      </c>
      <c r="P2050" s="13"/>
      <c r="Q2050" s="14">
        <v>2025</v>
      </c>
      <c r="R2050" s="15">
        <v>45383</v>
      </c>
      <c r="S2050" s="11" t="s">
        <v>364</v>
      </c>
      <c r="T2050" s="16">
        <v>4000</v>
      </c>
      <c r="U2050" s="17"/>
      <c r="V2050" s="12">
        <v>9542.8571428571413</v>
      </c>
      <c r="W2050" s="12">
        <v>9542.8571428571413</v>
      </c>
      <c r="X2050" s="12">
        <v>0</v>
      </c>
      <c r="Y2050" s="18">
        <v>45775</v>
      </c>
      <c r="Z2050" s="13" t="s">
        <v>516</v>
      </c>
      <c r="AA2050" s="19" t="s">
        <v>373</v>
      </c>
      <c r="AB2050" s="13" t="s">
        <v>357</v>
      </c>
      <c r="AC2050" s="13" t="s">
        <v>577</v>
      </c>
      <c r="AD2050" s="20"/>
      <c r="AE2050" s="20"/>
      <c r="AF2050" s="13" t="s">
        <v>40</v>
      </c>
      <c r="AG2050" s="15">
        <v>45383</v>
      </c>
      <c r="AH2050" s="13" t="s">
        <v>41</v>
      </c>
      <c r="AI2050" s="13" t="s">
        <v>35</v>
      </c>
      <c r="AJ2050" s="13" t="str">
        <f>VLOOKUP(E2050,Precios!Z$2:AA$941,2,FALSE)</f>
        <v>Queso RUNCA Mantecoso</v>
      </c>
      <c r="AK2050" s="14">
        <f>VLOOKUP(E2050,Precios!Z$2:BB$941,3,FALSE)*F2050</f>
        <v>-4</v>
      </c>
      <c r="AL2050" s="17"/>
      <c r="AM2050" s="17"/>
      <c r="AN2050" s="17"/>
      <c r="AO2050" s="17"/>
      <c r="AP2050" s="17"/>
      <c r="AQ2050" s="17"/>
      <c r="AR2050" s="17"/>
      <c r="AS2050" s="17"/>
      <c r="AT2050" s="17"/>
      <c r="AU2050" s="17"/>
      <c r="AV2050" s="17"/>
    </row>
    <row r="2051" spans="1:48" ht="15.75" customHeight="1">
      <c r="A2051" s="21" t="s">
        <v>56</v>
      </c>
      <c r="B2051" s="23" t="s">
        <v>1692</v>
      </c>
      <c r="C2051" s="22">
        <v>45776</v>
      </c>
      <c r="D2051" s="23" t="s">
        <v>576</v>
      </c>
      <c r="E2051" s="23" t="s">
        <v>60</v>
      </c>
      <c r="F2051" s="21">
        <v>5</v>
      </c>
      <c r="G2051" s="12">
        <v>7000.0000000000018</v>
      </c>
      <c r="H2051" s="12">
        <v>35000.000000000007</v>
      </c>
      <c r="I2051" s="23" t="s">
        <v>52</v>
      </c>
      <c r="J2051" s="23" t="s">
        <v>61</v>
      </c>
      <c r="K2051" s="24" t="s">
        <v>177</v>
      </c>
      <c r="L2051" s="24">
        <v>132</v>
      </c>
      <c r="M2051" s="12">
        <v>5882.3529411764721</v>
      </c>
      <c r="N2051" s="12">
        <v>29411.76470588236</v>
      </c>
      <c r="O2051" s="12">
        <v>5588.2352941176468</v>
      </c>
      <c r="P2051" s="13"/>
      <c r="Q2051" s="14">
        <v>2025</v>
      </c>
      <c r="R2051" s="15">
        <v>45383</v>
      </c>
      <c r="S2051" s="11" t="s">
        <v>429</v>
      </c>
      <c r="T2051" s="16">
        <v>1000</v>
      </c>
      <c r="U2051" s="17"/>
      <c r="V2051" s="12">
        <v>10403.361344537821</v>
      </c>
      <c r="W2051" s="12">
        <v>10403.361344537821</v>
      </c>
      <c r="X2051" s="12">
        <v>0</v>
      </c>
      <c r="Y2051" s="18">
        <v>45775</v>
      </c>
      <c r="Z2051" s="13" t="s">
        <v>516</v>
      </c>
      <c r="AA2051" s="19" t="s">
        <v>373</v>
      </c>
      <c r="AB2051" s="13" t="s">
        <v>357</v>
      </c>
      <c r="AC2051" s="13" t="s">
        <v>577</v>
      </c>
      <c r="AD2051" s="20"/>
      <c r="AE2051" s="20"/>
      <c r="AF2051" s="13" t="s">
        <v>40</v>
      </c>
      <c r="AG2051" s="15">
        <v>45383</v>
      </c>
      <c r="AH2051" s="13" t="s">
        <v>41</v>
      </c>
      <c r="AI2051" s="13" t="s">
        <v>56</v>
      </c>
      <c r="AJ2051" s="13" t="str">
        <f>VLOOKUP(E2051,Precios!Z$2:AA$941,2,FALSE)</f>
        <v>Queso Sabores</v>
      </c>
      <c r="AK2051" s="14">
        <f>VLOOKUP(E2051,Precios!Z$2:BB$941,3,FALSE)*F2051</f>
        <v>-10</v>
      </c>
      <c r="AL2051" s="17"/>
      <c r="AM2051" s="17"/>
      <c r="AN2051" s="17"/>
      <c r="AO2051" s="17"/>
      <c r="AP2051" s="17"/>
      <c r="AQ2051" s="17"/>
      <c r="AR2051" s="17"/>
      <c r="AS2051" s="17"/>
      <c r="AT2051" s="17"/>
      <c r="AU2051" s="17"/>
      <c r="AV2051" s="17"/>
    </row>
    <row r="2052" spans="1:48" ht="15.75" customHeight="1">
      <c r="A2052" s="21" t="s">
        <v>73</v>
      </c>
      <c r="B2052" s="23" t="s">
        <v>1692</v>
      </c>
      <c r="C2052" s="22">
        <v>45776</v>
      </c>
      <c r="D2052" s="23" t="s">
        <v>664</v>
      </c>
      <c r="E2052" s="23" t="s">
        <v>74</v>
      </c>
      <c r="F2052" s="21">
        <v>1</v>
      </c>
      <c r="G2052" s="12">
        <v>4199.9020019599611</v>
      </c>
      <c r="H2052" s="12">
        <v>4199.9020019599611</v>
      </c>
      <c r="I2052" s="23" t="s">
        <v>52</v>
      </c>
      <c r="J2052" s="23" t="s">
        <v>61</v>
      </c>
      <c r="K2052" s="24" t="s">
        <v>86</v>
      </c>
      <c r="L2052" s="24">
        <v>74</v>
      </c>
      <c r="M2052" s="12">
        <v>3529.3294134117323</v>
      </c>
      <c r="N2052" s="12">
        <v>3529.3294134117323</v>
      </c>
      <c r="O2052" s="12">
        <v>670.57258854822885</v>
      </c>
      <c r="P2052" s="13"/>
      <c r="Q2052" s="14">
        <v>2025</v>
      </c>
      <c r="R2052" s="15">
        <v>45383</v>
      </c>
      <c r="S2052" s="11" t="s">
        <v>424</v>
      </c>
      <c r="T2052" s="16">
        <v>0</v>
      </c>
      <c r="U2052" s="17"/>
      <c r="V2052" s="12">
        <v>1008.3294134117323</v>
      </c>
      <c r="W2052" s="12">
        <v>1008.3294134117323</v>
      </c>
      <c r="X2052" s="12">
        <v>0</v>
      </c>
      <c r="Y2052" s="18">
        <v>45775</v>
      </c>
      <c r="Z2052" s="13" t="s">
        <v>516</v>
      </c>
      <c r="AA2052" s="19" t="s">
        <v>373</v>
      </c>
      <c r="AB2052" s="13" t="s">
        <v>394</v>
      </c>
      <c r="AC2052" s="13" t="s">
        <v>665</v>
      </c>
      <c r="AD2052" s="20"/>
      <c r="AE2052" s="20"/>
      <c r="AF2052" s="13" t="s">
        <v>40</v>
      </c>
      <c r="AG2052" s="15">
        <v>45383</v>
      </c>
      <c r="AH2052" s="13" t="s">
        <v>41</v>
      </c>
      <c r="AI2052" s="13" t="s">
        <v>73</v>
      </c>
      <c r="AJ2052" s="13" t="str">
        <f>VLOOKUP(E2052,Precios!Z$2:AA$941,2,FALSE)</f>
        <v>Guante NITRILO Talla S</v>
      </c>
      <c r="AK2052" s="14">
        <f>VLOOKUP(E2052,Precios!Z$2:BB$941,3,FALSE)*F2052</f>
        <v>-1</v>
      </c>
      <c r="AL2052" s="17"/>
      <c r="AM2052" s="17"/>
      <c r="AN2052" s="17"/>
      <c r="AO2052" s="17"/>
      <c r="AP2052" s="17"/>
      <c r="AQ2052" s="17"/>
      <c r="AR2052" s="17"/>
      <c r="AS2052" s="17"/>
      <c r="AT2052" s="17"/>
      <c r="AU2052" s="17"/>
      <c r="AV2052" s="17"/>
    </row>
    <row r="2053" spans="1:48" ht="15.75" customHeight="1">
      <c r="A2053" s="21" t="s">
        <v>53</v>
      </c>
      <c r="B2053" s="23" t="s">
        <v>1692</v>
      </c>
      <c r="C2053" s="22">
        <v>45776</v>
      </c>
      <c r="D2053" s="23" t="s">
        <v>291</v>
      </c>
      <c r="E2053" s="23" t="s">
        <v>55</v>
      </c>
      <c r="F2053" s="21">
        <v>1</v>
      </c>
      <c r="G2053" s="12">
        <v>20899.657794676805</v>
      </c>
      <c r="H2053" s="12">
        <v>20899.657794676805</v>
      </c>
      <c r="I2053" s="23" t="s">
        <v>52</v>
      </c>
      <c r="J2053" s="23" t="s">
        <v>61</v>
      </c>
      <c r="K2053" s="24" t="s">
        <v>177</v>
      </c>
      <c r="L2053" s="24">
        <v>132</v>
      </c>
      <c r="M2053" s="12">
        <v>17562.737642585551</v>
      </c>
      <c r="N2053" s="12">
        <v>17562.737642585551</v>
      </c>
      <c r="O2053" s="12">
        <v>3336.9201520912538</v>
      </c>
      <c r="P2053" s="13"/>
      <c r="Q2053" s="14">
        <v>2025</v>
      </c>
      <c r="R2053" s="15">
        <v>45383</v>
      </c>
      <c r="S2053" s="11" t="s">
        <v>366</v>
      </c>
      <c r="T2053" s="16">
        <v>0</v>
      </c>
      <c r="U2053" s="17"/>
      <c r="V2053" s="12">
        <v>3705.7376425855509</v>
      </c>
      <c r="W2053" s="12">
        <v>3705.7376425855509</v>
      </c>
      <c r="X2053" s="12">
        <v>0</v>
      </c>
      <c r="Y2053" s="18">
        <v>45775</v>
      </c>
      <c r="Z2053" s="13" t="s">
        <v>516</v>
      </c>
      <c r="AA2053" s="19" t="s">
        <v>373</v>
      </c>
      <c r="AB2053" s="13" t="s">
        <v>357</v>
      </c>
      <c r="AC2053" s="13" t="s">
        <v>374</v>
      </c>
      <c r="AD2053" s="20"/>
      <c r="AE2053" s="20"/>
      <c r="AF2053" s="13" t="s">
        <v>40</v>
      </c>
      <c r="AG2053" s="15">
        <v>45383</v>
      </c>
      <c r="AH2053" s="13" t="s">
        <v>41</v>
      </c>
      <c r="AI2053" s="13" t="s">
        <v>53</v>
      </c>
      <c r="AJ2053" s="13" t="str">
        <f>VLOOKUP(E2053,Precios!Z$2:AA$941,2,FALSE)</f>
        <v>Papel Higienico ELITE 50 metros</v>
      </c>
      <c r="AK2053" s="14">
        <f>VLOOKUP(E2053,Precios!Z$2:BB$941,3,FALSE)*F2053</f>
        <v>-8</v>
      </c>
      <c r="AL2053" s="17"/>
      <c r="AM2053" s="17"/>
      <c r="AN2053" s="17"/>
      <c r="AO2053" s="17"/>
      <c r="AP2053" s="17"/>
      <c r="AQ2053" s="17"/>
      <c r="AR2053" s="17"/>
      <c r="AS2053" s="17"/>
      <c r="AT2053" s="17"/>
      <c r="AU2053" s="17"/>
      <c r="AV2053" s="17"/>
    </row>
    <row r="2054" spans="1:48" ht="15.75" customHeight="1">
      <c r="A2054" s="21" t="s">
        <v>43</v>
      </c>
      <c r="B2054" s="23" t="s">
        <v>1692</v>
      </c>
      <c r="C2054" s="22">
        <v>45776</v>
      </c>
      <c r="D2054" s="23" t="s">
        <v>653</v>
      </c>
      <c r="E2054" s="23" t="s">
        <v>45</v>
      </c>
      <c r="F2054" s="21">
        <v>1</v>
      </c>
      <c r="G2054" s="12">
        <v>8299.9877571008819</v>
      </c>
      <c r="H2054" s="12">
        <v>8299.9877571008819</v>
      </c>
      <c r="I2054" s="23" t="s">
        <v>52</v>
      </c>
      <c r="J2054" s="23" t="s">
        <v>61</v>
      </c>
      <c r="K2054" s="24" t="s">
        <v>177</v>
      </c>
      <c r="L2054" s="24">
        <v>132</v>
      </c>
      <c r="M2054" s="12">
        <v>6974.7796278158676</v>
      </c>
      <c r="N2054" s="12">
        <v>6974.7796278158676</v>
      </c>
      <c r="O2054" s="12">
        <v>1325.2081292850144</v>
      </c>
      <c r="P2054" s="13"/>
      <c r="Q2054" s="14">
        <v>2025</v>
      </c>
      <c r="R2054" s="15">
        <v>45383</v>
      </c>
      <c r="S2054" s="11" t="s">
        <v>355</v>
      </c>
      <c r="T2054" s="16">
        <v>0</v>
      </c>
      <c r="U2054" s="17"/>
      <c r="V2054" s="12">
        <v>1277.7796278158667</v>
      </c>
      <c r="W2054" s="12">
        <v>1277.7796278158667</v>
      </c>
      <c r="X2054" s="12">
        <v>0</v>
      </c>
      <c r="Y2054" s="18">
        <v>45775</v>
      </c>
      <c r="Z2054" s="13" t="s">
        <v>516</v>
      </c>
      <c r="AA2054" s="19" t="s">
        <v>373</v>
      </c>
      <c r="AB2054" s="13" t="s">
        <v>357</v>
      </c>
      <c r="AC2054" s="13" t="s">
        <v>654</v>
      </c>
      <c r="AD2054" s="20"/>
      <c r="AE2054" s="20"/>
      <c r="AF2054" s="13" t="s">
        <v>40</v>
      </c>
      <c r="AG2054" s="15">
        <v>45383</v>
      </c>
      <c r="AH2054" s="13" t="s">
        <v>41</v>
      </c>
      <c r="AI2054" s="13" t="s">
        <v>43</v>
      </c>
      <c r="AJ2054" s="13" t="str">
        <f>VLOOKUP(E2054,Precios!Z$2:AA$941,2,FALSE)</f>
        <v>Bandeja Huevos EXTRA</v>
      </c>
      <c r="AK2054" s="14">
        <f>VLOOKUP(E2054,Precios!Z$2:BB$941,3,FALSE)*F2054</f>
        <v>-1</v>
      </c>
      <c r="AL2054" s="17"/>
      <c r="AM2054" s="17"/>
      <c r="AN2054" s="17"/>
      <c r="AO2054" s="17"/>
      <c r="AP2054" s="17"/>
      <c r="AQ2054" s="17"/>
      <c r="AR2054" s="17"/>
      <c r="AS2054" s="17"/>
      <c r="AT2054" s="17"/>
      <c r="AU2054" s="17"/>
      <c r="AV2054" s="17"/>
    </row>
    <row r="2055" spans="1:48" ht="15.75" customHeight="1">
      <c r="A2055" s="21" t="s">
        <v>43</v>
      </c>
      <c r="B2055" s="23" t="s">
        <v>1692</v>
      </c>
      <c r="C2055" s="22">
        <v>45775</v>
      </c>
      <c r="D2055" s="23" t="s">
        <v>115</v>
      </c>
      <c r="E2055" s="23" t="s">
        <v>45</v>
      </c>
      <c r="F2055" s="21">
        <v>1</v>
      </c>
      <c r="G2055" s="12">
        <v>8299.9877571008819</v>
      </c>
      <c r="H2055" s="12">
        <v>8299.9877571008819</v>
      </c>
      <c r="I2055" s="23" t="s">
        <v>52</v>
      </c>
      <c r="J2055" s="23" t="s">
        <v>61</v>
      </c>
      <c r="K2055" s="24" t="s">
        <v>177</v>
      </c>
      <c r="L2055" s="24">
        <v>132</v>
      </c>
      <c r="M2055" s="12">
        <v>6974.7796278158676</v>
      </c>
      <c r="N2055" s="12">
        <v>6974.7796278158676</v>
      </c>
      <c r="O2055" s="12">
        <v>1325.2081292850144</v>
      </c>
      <c r="P2055" s="13"/>
      <c r="Q2055" s="14">
        <v>2025</v>
      </c>
      <c r="R2055" s="15">
        <v>45383</v>
      </c>
      <c r="S2055" s="11" t="s">
        <v>355</v>
      </c>
      <c r="T2055" s="16">
        <v>0</v>
      </c>
      <c r="U2055" s="17"/>
      <c r="V2055" s="12">
        <v>1277.7796278158667</v>
      </c>
      <c r="W2055" s="12">
        <v>1277.7796278158667</v>
      </c>
      <c r="X2055" s="12">
        <v>0</v>
      </c>
      <c r="Y2055" s="18">
        <v>45775</v>
      </c>
      <c r="Z2055" s="13" t="s">
        <v>523</v>
      </c>
      <c r="AA2055" s="19" t="s">
        <v>373</v>
      </c>
      <c r="AB2055" s="13" t="s">
        <v>357</v>
      </c>
      <c r="AC2055" s="13" t="s">
        <v>383</v>
      </c>
      <c r="AD2055" s="20"/>
      <c r="AE2055" s="20"/>
      <c r="AF2055" s="13" t="s">
        <v>40</v>
      </c>
      <c r="AG2055" s="15">
        <v>45383</v>
      </c>
      <c r="AH2055" s="13" t="s">
        <v>41</v>
      </c>
      <c r="AI2055" s="13" t="s">
        <v>43</v>
      </c>
      <c r="AJ2055" s="13" t="str">
        <f>VLOOKUP(E2055,Precios!Z$2:AA$941,2,FALSE)</f>
        <v>Bandeja Huevos EXTRA</v>
      </c>
      <c r="AK2055" s="14">
        <f>VLOOKUP(E2055,Precios!Z$2:BB$941,3,FALSE)*F2055</f>
        <v>-1</v>
      </c>
      <c r="AL2055" s="17"/>
      <c r="AM2055" s="17"/>
      <c r="AN2055" s="17"/>
      <c r="AO2055" s="17"/>
      <c r="AP2055" s="17"/>
      <c r="AQ2055" s="17"/>
      <c r="AR2055" s="17"/>
      <c r="AS2055" s="17"/>
      <c r="AT2055" s="17"/>
      <c r="AU2055" s="17"/>
      <c r="AV2055" s="17"/>
    </row>
    <row r="2056" spans="1:48" ht="15.75" customHeight="1">
      <c r="A2056" s="21" t="s">
        <v>35</v>
      </c>
      <c r="B2056" s="23" t="s">
        <v>1692</v>
      </c>
      <c r="C2056" s="22">
        <v>45775</v>
      </c>
      <c r="D2056" s="23" t="s">
        <v>115</v>
      </c>
      <c r="E2056" s="23" t="s">
        <v>46</v>
      </c>
      <c r="F2056" s="21">
        <v>1</v>
      </c>
      <c r="G2056" s="12">
        <v>5500</v>
      </c>
      <c r="H2056" s="12">
        <v>5500</v>
      </c>
      <c r="I2056" s="23" t="s">
        <v>52</v>
      </c>
      <c r="J2056" s="23" t="s">
        <v>61</v>
      </c>
      <c r="K2056" s="24" t="s">
        <v>177</v>
      </c>
      <c r="L2056" s="24">
        <v>132</v>
      </c>
      <c r="M2056" s="12">
        <v>4621.8487394957983</v>
      </c>
      <c r="N2056" s="12">
        <v>4621.8487394957983</v>
      </c>
      <c r="O2056" s="12">
        <v>878.15126050420167</v>
      </c>
      <c r="P2056" s="13"/>
      <c r="Q2056" s="14">
        <v>2025</v>
      </c>
      <c r="R2056" s="15">
        <v>45383</v>
      </c>
      <c r="S2056" s="11" t="s">
        <v>364</v>
      </c>
      <c r="T2056" s="16">
        <v>500</v>
      </c>
      <c r="U2056" s="17"/>
      <c r="V2056" s="12">
        <v>1365.1260504201678</v>
      </c>
      <c r="W2056" s="12">
        <v>1365.1260504201678</v>
      </c>
      <c r="X2056" s="12">
        <v>0</v>
      </c>
      <c r="Y2056" s="18">
        <v>45775</v>
      </c>
      <c r="Z2056" s="13" t="s">
        <v>523</v>
      </c>
      <c r="AA2056" s="19" t="s">
        <v>373</v>
      </c>
      <c r="AB2056" s="13" t="s">
        <v>357</v>
      </c>
      <c r="AC2056" s="13" t="s">
        <v>383</v>
      </c>
      <c r="AD2056" s="20"/>
      <c r="AE2056" s="20"/>
      <c r="AF2056" s="13" t="s">
        <v>40</v>
      </c>
      <c r="AG2056" s="15">
        <v>45383</v>
      </c>
      <c r="AH2056" s="13" t="s">
        <v>41</v>
      </c>
      <c r="AI2056" s="13" t="s">
        <v>35</v>
      </c>
      <c r="AJ2056" s="13" t="str">
        <f>VLOOKUP(E2056,Precios!Z$2:AA$941,2,FALSE)</f>
        <v>Queso RUNCA Mantecoso</v>
      </c>
      <c r="AK2056" s="14">
        <f>VLOOKUP(E2056,Precios!Z$2:BB$941,3,FALSE)*F2056</f>
        <v>-0.5</v>
      </c>
      <c r="AL2056" s="17"/>
      <c r="AM2056" s="17"/>
      <c r="AN2056" s="17"/>
      <c r="AO2056" s="17"/>
      <c r="AP2056" s="17"/>
      <c r="AQ2056" s="17"/>
      <c r="AR2056" s="17"/>
      <c r="AS2056" s="17"/>
      <c r="AT2056" s="17"/>
      <c r="AU2056" s="17"/>
      <c r="AV2056" s="17"/>
    </row>
    <row r="2057" spans="1:48" ht="15.75" customHeight="1">
      <c r="A2057" s="21" t="s">
        <v>53</v>
      </c>
      <c r="B2057" s="23" t="s">
        <v>1692</v>
      </c>
      <c r="C2057" s="22">
        <v>45775</v>
      </c>
      <c r="D2057" s="23" t="s">
        <v>133</v>
      </c>
      <c r="E2057" s="23" t="s">
        <v>97</v>
      </c>
      <c r="F2057" s="21">
        <v>1</v>
      </c>
      <c r="G2057" s="12">
        <v>16500.126742712295</v>
      </c>
      <c r="H2057" s="12">
        <v>16500.126742712295</v>
      </c>
      <c r="I2057" s="23" t="s">
        <v>52</v>
      </c>
      <c r="J2057" s="23" t="s">
        <v>61</v>
      </c>
      <c r="K2057" s="24" t="s">
        <v>177</v>
      </c>
      <c r="L2057" s="24">
        <v>132</v>
      </c>
      <c r="M2057" s="12">
        <v>13865.652724968315</v>
      </c>
      <c r="N2057" s="12">
        <v>13865.652724968315</v>
      </c>
      <c r="O2057" s="12">
        <v>2634.4740177439799</v>
      </c>
      <c r="P2057" s="13"/>
      <c r="Q2057" s="14">
        <v>2025</v>
      </c>
      <c r="R2057" s="15">
        <v>45383</v>
      </c>
      <c r="S2057" s="11" t="s">
        <v>366</v>
      </c>
      <c r="T2057" s="16">
        <v>0</v>
      </c>
      <c r="U2057" s="17"/>
      <c r="V2057" s="12">
        <v>3472.6527249683149</v>
      </c>
      <c r="W2057" s="12">
        <v>3472.6527249683149</v>
      </c>
      <c r="X2057" s="12">
        <v>0</v>
      </c>
      <c r="Y2057" s="18">
        <v>45775</v>
      </c>
      <c r="Z2057" s="13" t="s">
        <v>523</v>
      </c>
      <c r="AA2057" s="19" t="s">
        <v>361</v>
      </c>
      <c r="AB2057" s="13" t="s">
        <v>357</v>
      </c>
      <c r="AC2057" s="13" t="s">
        <v>362</v>
      </c>
      <c r="AD2057" s="20"/>
      <c r="AE2057" s="20"/>
      <c r="AF2057" s="13" t="s">
        <v>40</v>
      </c>
      <c r="AG2057" s="15">
        <v>45383</v>
      </c>
      <c r="AH2057" s="13" t="s">
        <v>41</v>
      </c>
      <c r="AI2057" s="13" t="s">
        <v>53</v>
      </c>
      <c r="AJ2057" s="13" t="str">
        <f>VLOOKUP(E2057,Precios!Z$2:AA$941,2,FALSE)</f>
        <v>Papel Higienico ELITE 50 metros</v>
      </c>
      <c r="AK2057" s="14">
        <f>VLOOKUP(E2057,Precios!Z$2:BB$941,3,FALSE)*F2057</f>
        <v>-6</v>
      </c>
      <c r="AL2057" s="17"/>
      <c r="AM2057" s="17"/>
      <c r="AN2057" s="17"/>
      <c r="AO2057" s="17"/>
      <c r="AP2057" s="17"/>
      <c r="AQ2057" s="17"/>
      <c r="AR2057" s="17"/>
      <c r="AS2057" s="17"/>
      <c r="AT2057" s="17"/>
      <c r="AU2057" s="17"/>
      <c r="AV2057" s="17"/>
    </row>
    <row r="2058" spans="1:48" ht="15.75" customHeight="1">
      <c r="A2058" s="21" t="s">
        <v>35</v>
      </c>
      <c r="B2058" s="23" t="s">
        <v>1692</v>
      </c>
      <c r="C2058" s="22">
        <v>45775</v>
      </c>
      <c r="D2058" s="23" t="s">
        <v>133</v>
      </c>
      <c r="E2058" s="23" t="s">
        <v>46</v>
      </c>
      <c r="F2058" s="21">
        <v>1</v>
      </c>
      <c r="G2058" s="12">
        <v>5500</v>
      </c>
      <c r="H2058" s="12">
        <v>5500</v>
      </c>
      <c r="I2058" s="23" t="s">
        <v>52</v>
      </c>
      <c r="J2058" s="23" t="s">
        <v>61</v>
      </c>
      <c r="K2058" s="24" t="s">
        <v>177</v>
      </c>
      <c r="L2058" s="24">
        <v>132</v>
      </c>
      <c r="M2058" s="12">
        <v>4621.8487394957983</v>
      </c>
      <c r="N2058" s="12">
        <v>4621.8487394957983</v>
      </c>
      <c r="O2058" s="12">
        <v>878.15126050420167</v>
      </c>
      <c r="P2058" s="13"/>
      <c r="Q2058" s="14">
        <v>2025</v>
      </c>
      <c r="R2058" s="15">
        <v>45383</v>
      </c>
      <c r="S2058" s="11" t="s">
        <v>364</v>
      </c>
      <c r="T2058" s="16">
        <v>500</v>
      </c>
      <c r="U2058" s="17"/>
      <c r="V2058" s="12">
        <v>1365.1260504201678</v>
      </c>
      <c r="W2058" s="12">
        <v>1365.1260504201678</v>
      </c>
      <c r="X2058" s="12">
        <v>0</v>
      </c>
      <c r="Y2058" s="18">
        <v>45775</v>
      </c>
      <c r="Z2058" s="13" t="s">
        <v>523</v>
      </c>
      <c r="AA2058" s="19" t="s">
        <v>361</v>
      </c>
      <c r="AB2058" s="13" t="s">
        <v>357</v>
      </c>
      <c r="AC2058" s="13" t="s">
        <v>362</v>
      </c>
      <c r="AD2058" s="20"/>
      <c r="AE2058" s="20"/>
      <c r="AF2058" s="13" t="s">
        <v>40</v>
      </c>
      <c r="AG2058" s="15">
        <v>45383</v>
      </c>
      <c r="AH2058" s="13" t="s">
        <v>41</v>
      </c>
      <c r="AI2058" s="13" t="s">
        <v>35</v>
      </c>
      <c r="AJ2058" s="13" t="str">
        <f>VLOOKUP(E2058,Precios!Z$2:AA$941,2,FALSE)</f>
        <v>Queso RUNCA Mantecoso</v>
      </c>
      <c r="AK2058" s="14">
        <f>VLOOKUP(E2058,Precios!Z$2:BB$941,3,FALSE)*F2058</f>
        <v>-0.5</v>
      </c>
      <c r="AL2058" s="17"/>
      <c r="AM2058" s="17"/>
      <c r="AN2058" s="17"/>
      <c r="AO2058" s="17"/>
      <c r="AP2058" s="17"/>
      <c r="AQ2058" s="17"/>
      <c r="AR2058" s="17"/>
      <c r="AS2058" s="17"/>
      <c r="AT2058" s="17"/>
      <c r="AU2058" s="17"/>
      <c r="AV2058" s="17"/>
    </row>
    <row r="2059" spans="1:48" ht="15.75" customHeight="1">
      <c r="A2059" s="21" t="s">
        <v>53</v>
      </c>
      <c r="B2059" s="23" t="s">
        <v>1692</v>
      </c>
      <c r="C2059" s="22">
        <v>45775</v>
      </c>
      <c r="D2059" s="23" t="s">
        <v>229</v>
      </c>
      <c r="E2059" s="23" t="s">
        <v>97</v>
      </c>
      <c r="F2059" s="21">
        <v>1</v>
      </c>
      <c r="G2059" s="12">
        <v>16500.126742712295</v>
      </c>
      <c r="H2059" s="12">
        <v>16500.126742712295</v>
      </c>
      <c r="I2059" s="23" t="s">
        <v>52</v>
      </c>
      <c r="J2059" s="23" t="s">
        <v>61</v>
      </c>
      <c r="K2059" s="24" t="s">
        <v>177</v>
      </c>
      <c r="L2059" s="24">
        <v>132</v>
      </c>
      <c r="M2059" s="12">
        <v>13865.652724968315</v>
      </c>
      <c r="N2059" s="12">
        <v>13865.652724968315</v>
      </c>
      <c r="O2059" s="12">
        <v>2634.4740177439799</v>
      </c>
      <c r="P2059" s="13"/>
      <c r="Q2059" s="14">
        <v>2025</v>
      </c>
      <c r="R2059" s="15">
        <v>45383</v>
      </c>
      <c r="S2059" s="11" t="s">
        <v>366</v>
      </c>
      <c r="T2059" s="16">
        <v>0</v>
      </c>
      <c r="U2059" s="17"/>
      <c r="V2059" s="12">
        <v>3472.6527249683149</v>
      </c>
      <c r="W2059" s="12">
        <v>3472.6527249683149</v>
      </c>
      <c r="X2059" s="12">
        <v>0</v>
      </c>
      <c r="Y2059" s="18">
        <v>45775</v>
      </c>
      <c r="Z2059" s="13" t="s">
        <v>523</v>
      </c>
      <c r="AA2059" s="19" t="s">
        <v>361</v>
      </c>
      <c r="AB2059" s="13" t="s">
        <v>357</v>
      </c>
      <c r="AC2059" s="13" t="s">
        <v>380</v>
      </c>
      <c r="AD2059" s="20"/>
      <c r="AE2059" s="20"/>
      <c r="AF2059" s="13" t="s">
        <v>40</v>
      </c>
      <c r="AG2059" s="15">
        <v>45383</v>
      </c>
      <c r="AH2059" s="13" t="s">
        <v>41</v>
      </c>
      <c r="AI2059" s="13" t="s">
        <v>53</v>
      </c>
      <c r="AJ2059" s="13" t="str">
        <f>VLOOKUP(E2059,Precios!Z$2:AA$941,2,FALSE)</f>
        <v>Papel Higienico ELITE 50 metros</v>
      </c>
      <c r="AK2059" s="14">
        <f>VLOOKUP(E2059,Precios!Z$2:BB$941,3,FALSE)*F2059</f>
        <v>-6</v>
      </c>
      <c r="AL2059" s="17"/>
      <c r="AM2059" s="17"/>
      <c r="AN2059" s="17"/>
      <c r="AO2059" s="17"/>
      <c r="AP2059" s="17"/>
      <c r="AQ2059" s="17"/>
      <c r="AR2059" s="17"/>
      <c r="AS2059" s="17"/>
      <c r="AT2059" s="17"/>
      <c r="AU2059" s="17"/>
      <c r="AV2059" s="17"/>
    </row>
    <row r="2060" spans="1:48" ht="15.75" customHeight="1">
      <c r="A2060" s="21" t="s">
        <v>53</v>
      </c>
      <c r="B2060" s="23" t="s">
        <v>1692</v>
      </c>
      <c r="C2060" s="22">
        <v>45775</v>
      </c>
      <c r="D2060" s="23" t="s">
        <v>229</v>
      </c>
      <c r="E2060" s="23" t="s">
        <v>150</v>
      </c>
      <c r="F2060" s="21">
        <v>1</v>
      </c>
      <c r="G2060" s="12">
        <v>1799.8965445892823</v>
      </c>
      <c r="H2060" s="12">
        <v>1799.8965445892823</v>
      </c>
      <c r="I2060" s="23" t="s">
        <v>52</v>
      </c>
      <c r="J2060" s="23" t="s">
        <v>61</v>
      </c>
      <c r="K2060" s="24" t="s">
        <v>177</v>
      </c>
      <c r="L2060" s="24">
        <v>132</v>
      </c>
      <c r="M2060" s="12">
        <v>1512.518104696876</v>
      </c>
      <c r="N2060" s="12">
        <v>1512.518104696876</v>
      </c>
      <c r="O2060" s="12">
        <v>287.37843989240628</v>
      </c>
      <c r="P2060" s="13"/>
      <c r="Q2060" s="14">
        <v>2025</v>
      </c>
      <c r="R2060" s="15">
        <v>45383</v>
      </c>
      <c r="S2060" s="11" t="s">
        <v>381</v>
      </c>
      <c r="T2060" s="16">
        <v>300</v>
      </c>
      <c r="U2060" s="17"/>
      <c r="V2060" s="12">
        <v>781.51810469687575</v>
      </c>
      <c r="W2060" s="12">
        <v>781.51810469687575</v>
      </c>
      <c r="X2060" s="12">
        <v>0</v>
      </c>
      <c r="Y2060" s="18">
        <v>45775</v>
      </c>
      <c r="Z2060" s="13" t="s">
        <v>523</v>
      </c>
      <c r="AA2060" s="19" t="s">
        <v>361</v>
      </c>
      <c r="AB2060" s="13" t="s">
        <v>357</v>
      </c>
      <c r="AC2060" s="13" t="s">
        <v>380</v>
      </c>
      <c r="AD2060" s="20"/>
      <c r="AE2060" s="20"/>
      <c r="AF2060" s="13" t="s">
        <v>40</v>
      </c>
      <c r="AG2060" s="15">
        <v>45383</v>
      </c>
      <c r="AH2060" s="13" t="s">
        <v>41</v>
      </c>
      <c r="AI2060" s="13" t="s">
        <v>53</v>
      </c>
      <c r="AJ2060" s="13" t="str">
        <f>VLOOKUP(E2060,Precios!Z$2:AA$941,2,FALSE)</f>
        <v>Servilletas SOFTQUALITY 300 unidades</v>
      </c>
      <c r="AK2060" s="14">
        <f>VLOOKUP(E2060,Precios!Z$2:BB$941,3,FALSE)*F2060</f>
        <v>-1</v>
      </c>
      <c r="AL2060" s="17"/>
      <c r="AM2060" s="17"/>
      <c r="AN2060" s="17"/>
      <c r="AO2060" s="17"/>
      <c r="AP2060" s="17"/>
      <c r="AQ2060" s="17"/>
      <c r="AR2060" s="17"/>
      <c r="AS2060" s="17"/>
      <c r="AT2060" s="17"/>
      <c r="AU2060" s="17"/>
      <c r="AV2060" s="17"/>
    </row>
    <row r="2061" spans="1:48" ht="15.75" customHeight="1">
      <c r="A2061" s="21" t="s">
        <v>43</v>
      </c>
      <c r="B2061" s="23" t="s">
        <v>1692</v>
      </c>
      <c r="C2061" s="22">
        <v>45775</v>
      </c>
      <c r="D2061" s="23" t="s">
        <v>229</v>
      </c>
      <c r="E2061" s="23" t="s">
        <v>45</v>
      </c>
      <c r="F2061" s="21">
        <v>1</v>
      </c>
      <c r="G2061" s="12">
        <v>8299.9877571008819</v>
      </c>
      <c r="H2061" s="12">
        <v>8299.9877571008819</v>
      </c>
      <c r="I2061" s="23" t="s">
        <v>52</v>
      </c>
      <c r="J2061" s="23" t="s">
        <v>61</v>
      </c>
      <c r="K2061" s="24" t="s">
        <v>177</v>
      </c>
      <c r="L2061" s="24">
        <v>132</v>
      </c>
      <c r="M2061" s="12">
        <v>6974.7796278158676</v>
      </c>
      <c r="N2061" s="12">
        <v>6974.7796278158676</v>
      </c>
      <c r="O2061" s="12">
        <v>1325.2081292850144</v>
      </c>
      <c r="P2061" s="13"/>
      <c r="Q2061" s="14">
        <v>2025</v>
      </c>
      <c r="R2061" s="15">
        <v>45383</v>
      </c>
      <c r="S2061" s="11" t="s">
        <v>355</v>
      </c>
      <c r="T2061" s="16">
        <v>0</v>
      </c>
      <c r="U2061" s="17"/>
      <c r="V2061" s="12">
        <v>1277.7796278158667</v>
      </c>
      <c r="W2061" s="12">
        <v>1277.7796278158667</v>
      </c>
      <c r="X2061" s="12">
        <v>0</v>
      </c>
      <c r="Y2061" s="18">
        <v>45775</v>
      </c>
      <c r="Z2061" s="13" t="s">
        <v>523</v>
      </c>
      <c r="AA2061" s="19" t="s">
        <v>361</v>
      </c>
      <c r="AB2061" s="13" t="s">
        <v>357</v>
      </c>
      <c r="AC2061" s="13" t="s">
        <v>380</v>
      </c>
      <c r="AD2061" s="20"/>
      <c r="AE2061" s="20"/>
      <c r="AF2061" s="13" t="s">
        <v>40</v>
      </c>
      <c r="AG2061" s="15">
        <v>45383</v>
      </c>
      <c r="AH2061" s="13" t="s">
        <v>41</v>
      </c>
      <c r="AI2061" s="13" t="s">
        <v>43</v>
      </c>
      <c r="AJ2061" s="13" t="str">
        <f>VLOOKUP(E2061,Precios!Z$2:AA$941,2,FALSE)</f>
        <v>Bandeja Huevos EXTRA</v>
      </c>
      <c r="AK2061" s="14">
        <f>VLOOKUP(E2061,Precios!Z$2:BB$941,3,FALSE)*F2061</f>
        <v>-1</v>
      </c>
      <c r="AL2061" s="17"/>
      <c r="AM2061" s="17"/>
      <c r="AN2061" s="17"/>
      <c r="AO2061" s="17"/>
      <c r="AP2061" s="17"/>
      <c r="AQ2061" s="17"/>
      <c r="AR2061" s="17"/>
      <c r="AS2061" s="17"/>
      <c r="AT2061" s="17"/>
      <c r="AU2061" s="17"/>
      <c r="AV2061" s="17"/>
    </row>
    <row r="2062" spans="1:48" ht="15.75" customHeight="1">
      <c r="A2062" s="21" t="s">
        <v>35</v>
      </c>
      <c r="B2062" s="23" t="s">
        <v>1692</v>
      </c>
      <c r="C2062" s="22">
        <v>45775</v>
      </c>
      <c r="D2062" s="23" t="s">
        <v>151</v>
      </c>
      <c r="E2062" s="23" t="s">
        <v>37</v>
      </c>
      <c r="F2062" s="21">
        <v>1</v>
      </c>
      <c r="G2062" s="12">
        <v>10500</v>
      </c>
      <c r="H2062" s="12">
        <v>10500</v>
      </c>
      <c r="I2062" s="23" t="s">
        <v>52</v>
      </c>
      <c r="J2062" s="23" t="s">
        <v>61</v>
      </c>
      <c r="K2062" s="24" t="s">
        <v>177</v>
      </c>
      <c r="L2062" s="24">
        <v>132</v>
      </c>
      <c r="M2062" s="12">
        <v>8823.5294117647063</v>
      </c>
      <c r="N2062" s="12">
        <v>8823.5294117647063</v>
      </c>
      <c r="O2062" s="12">
        <v>1676.4705882352937</v>
      </c>
      <c r="P2062" s="13"/>
      <c r="Q2062" s="14">
        <v>2025</v>
      </c>
      <c r="R2062" s="15">
        <v>45383</v>
      </c>
      <c r="S2062" s="11" t="s">
        <v>364</v>
      </c>
      <c r="T2062" s="16">
        <v>1000</v>
      </c>
      <c r="U2062" s="17"/>
      <c r="V2062" s="12">
        <v>2385.7142857142853</v>
      </c>
      <c r="W2062" s="12">
        <v>2385.7142857142853</v>
      </c>
      <c r="X2062" s="12">
        <v>0</v>
      </c>
      <c r="Y2062" s="18">
        <v>45775</v>
      </c>
      <c r="Z2062" s="13" t="s">
        <v>523</v>
      </c>
      <c r="AA2062" s="19" t="s">
        <v>373</v>
      </c>
      <c r="AB2062" s="13" t="s">
        <v>357</v>
      </c>
      <c r="AC2062" s="13" t="s">
        <v>462</v>
      </c>
      <c r="AD2062" s="20"/>
      <c r="AE2062" s="20"/>
      <c r="AF2062" s="13" t="s">
        <v>40</v>
      </c>
      <c r="AG2062" s="15">
        <v>45383</v>
      </c>
      <c r="AH2062" s="13" t="s">
        <v>41</v>
      </c>
      <c r="AI2062" s="13" t="s">
        <v>35</v>
      </c>
      <c r="AJ2062" s="13" t="str">
        <f>VLOOKUP(E2062,Precios!Z$2:AA$941,2,FALSE)</f>
        <v>Queso RUNCA Mantecoso</v>
      </c>
      <c r="AK2062" s="14">
        <f>VLOOKUP(E2062,Precios!Z$2:BB$941,3,FALSE)*F2062</f>
        <v>-1</v>
      </c>
      <c r="AL2062" s="17"/>
      <c r="AM2062" s="17"/>
      <c r="AN2062" s="17"/>
      <c r="AO2062" s="17"/>
      <c r="AP2062" s="17"/>
      <c r="AQ2062" s="17"/>
      <c r="AR2062" s="17"/>
      <c r="AS2062" s="17"/>
      <c r="AT2062" s="17"/>
      <c r="AU2062" s="17"/>
      <c r="AV2062" s="17"/>
    </row>
    <row r="2063" spans="1:48" ht="15.75" customHeight="1">
      <c r="A2063" s="21" t="s">
        <v>35</v>
      </c>
      <c r="B2063" s="23" t="s">
        <v>1692</v>
      </c>
      <c r="C2063" s="22">
        <v>45775</v>
      </c>
      <c r="D2063" s="23" t="s">
        <v>151</v>
      </c>
      <c r="E2063" s="23" t="s">
        <v>46</v>
      </c>
      <c r="F2063" s="21">
        <v>1</v>
      </c>
      <c r="G2063" s="12">
        <v>5500</v>
      </c>
      <c r="H2063" s="12">
        <v>5500</v>
      </c>
      <c r="I2063" s="23" t="s">
        <v>52</v>
      </c>
      <c r="J2063" s="23" t="s">
        <v>61</v>
      </c>
      <c r="K2063" s="24" t="s">
        <v>177</v>
      </c>
      <c r="L2063" s="24">
        <v>132</v>
      </c>
      <c r="M2063" s="12">
        <v>4621.8487394957983</v>
      </c>
      <c r="N2063" s="12">
        <v>4621.8487394957983</v>
      </c>
      <c r="O2063" s="12">
        <v>878.15126050420167</v>
      </c>
      <c r="P2063" s="13"/>
      <c r="Q2063" s="14">
        <v>2025</v>
      </c>
      <c r="R2063" s="15">
        <v>45383</v>
      </c>
      <c r="S2063" s="11" t="s">
        <v>364</v>
      </c>
      <c r="T2063" s="16">
        <v>500</v>
      </c>
      <c r="U2063" s="17"/>
      <c r="V2063" s="12">
        <v>1365.1260504201678</v>
      </c>
      <c r="W2063" s="12">
        <v>1365.1260504201678</v>
      </c>
      <c r="X2063" s="12">
        <v>0</v>
      </c>
      <c r="Y2063" s="18">
        <v>45775</v>
      </c>
      <c r="Z2063" s="13" t="s">
        <v>523</v>
      </c>
      <c r="AA2063" s="19" t="s">
        <v>373</v>
      </c>
      <c r="AB2063" s="13" t="s">
        <v>357</v>
      </c>
      <c r="AC2063" s="13" t="s">
        <v>462</v>
      </c>
      <c r="AD2063" s="20"/>
      <c r="AE2063" s="20"/>
      <c r="AF2063" s="13" t="s">
        <v>40</v>
      </c>
      <c r="AG2063" s="15">
        <v>45383</v>
      </c>
      <c r="AH2063" s="13" t="s">
        <v>41</v>
      </c>
      <c r="AI2063" s="13" t="s">
        <v>35</v>
      </c>
      <c r="AJ2063" s="13" t="str">
        <f>VLOOKUP(E2063,Precios!Z$2:AA$941,2,FALSE)</f>
        <v>Queso RUNCA Mantecoso</v>
      </c>
      <c r="AK2063" s="14">
        <f>VLOOKUP(E2063,Precios!Z$2:BB$941,3,FALSE)*F2063</f>
        <v>-0.5</v>
      </c>
      <c r="AL2063" s="17"/>
      <c r="AM2063" s="17"/>
      <c r="AN2063" s="17"/>
      <c r="AO2063" s="17"/>
      <c r="AP2063" s="17"/>
      <c r="AQ2063" s="17"/>
      <c r="AR2063" s="17"/>
      <c r="AS2063" s="17"/>
      <c r="AT2063" s="17"/>
      <c r="AU2063" s="17"/>
      <c r="AV2063" s="17"/>
    </row>
    <row r="2064" spans="1:48" ht="15.75" customHeight="1">
      <c r="A2064" s="21" t="s">
        <v>53</v>
      </c>
      <c r="B2064" s="23" t="s">
        <v>1692</v>
      </c>
      <c r="C2064" s="22">
        <v>45775</v>
      </c>
      <c r="D2064" s="23" t="s">
        <v>151</v>
      </c>
      <c r="E2064" s="23" t="s">
        <v>55</v>
      </c>
      <c r="F2064" s="21">
        <v>1</v>
      </c>
      <c r="G2064" s="12">
        <v>20899.657794676805</v>
      </c>
      <c r="H2064" s="12">
        <v>20899.657794676805</v>
      </c>
      <c r="I2064" s="23" t="s">
        <v>52</v>
      </c>
      <c r="J2064" s="23" t="s">
        <v>61</v>
      </c>
      <c r="K2064" s="24" t="s">
        <v>177</v>
      </c>
      <c r="L2064" s="24">
        <v>132</v>
      </c>
      <c r="M2064" s="12">
        <v>17562.737642585551</v>
      </c>
      <c r="N2064" s="12">
        <v>17562.737642585551</v>
      </c>
      <c r="O2064" s="12">
        <v>3336.9201520912538</v>
      </c>
      <c r="P2064" s="13"/>
      <c r="Q2064" s="14">
        <v>2025</v>
      </c>
      <c r="R2064" s="15">
        <v>45383</v>
      </c>
      <c r="S2064" s="11" t="s">
        <v>366</v>
      </c>
      <c r="T2064" s="16">
        <v>0</v>
      </c>
      <c r="U2064" s="17"/>
      <c r="V2064" s="12">
        <v>3705.7376425855509</v>
      </c>
      <c r="W2064" s="12">
        <v>3705.7376425855509</v>
      </c>
      <c r="X2064" s="12">
        <v>0</v>
      </c>
      <c r="Y2064" s="18">
        <v>45775</v>
      </c>
      <c r="Z2064" s="13" t="s">
        <v>523</v>
      </c>
      <c r="AA2064" s="19" t="s">
        <v>373</v>
      </c>
      <c r="AB2064" s="13" t="s">
        <v>357</v>
      </c>
      <c r="AC2064" s="13" t="s">
        <v>462</v>
      </c>
      <c r="AD2064" s="20"/>
      <c r="AE2064" s="20"/>
      <c r="AF2064" s="13" t="s">
        <v>40</v>
      </c>
      <c r="AG2064" s="15">
        <v>45383</v>
      </c>
      <c r="AH2064" s="13" t="s">
        <v>41</v>
      </c>
      <c r="AI2064" s="13" t="s">
        <v>53</v>
      </c>
      <c r="AJ2064" s="13" t="str">
        <f>VLOOKUP(E2064,Precios!Z$2:AA$941,2,FALSE)</f>
        <v>Papel Higienico ELITE 50 metros</v>
      </c>
      <c r="AK2064" s="14">
        <f>VLOOKUP(E2064,Precios!Z$2:BB$941,3,FALSE)*F2064</f>
        <v>-8</v>
      </c>
      <c r="AL2064" s="17"/>
      <c r="AM2064" s="17"/>
      <c r="AN2064" s="17"/>
      <c r="AO2064" s="17"/>
      <c r="AP2064" s="17"/>
      <c r="AQ2064" s="17"/>
      <c r="AR2064" s="17"/>
      <c r="AS2064" s="17"/>
      <c r="AT2064" s="17"/>
      <c r="AU2064" s="17"/>
      <c r="AV2064" s="17"/>
    </row>
    <row r="2065" spans="1:48" ht="15.75" customHeight="1">
      <c r="A2065" s="21" t="s">
        <v>53</v>
      </c>
      <c r="B2065" s="23" t="s">
        <v>1692</v>
      </c>
      <c r="C2065" s="22">
        <v>45775</v>
      </c>
      <c r="D2065" s="23" t="s">
        <v>54</v>
      </c>
      <c r="E2065" s="23" t="s">
        <v>136</v>
      </c>
      <c r="F2065" s="21">
        <v>1</v>
      </c>
      <c r="G2065" s="12">
        <v>14900.292682926829</v>
      </c>
      <c r="H2065" s="12">
        <v>14900.292682926829</v>
      </c>
      <c r="I2065" s="23" t="s">
        <v>52</v>
      </c>
      <c r="J2065" s="23" t="s">
        <v>61</v>
      </c>
      <c r="K2065" s="24" t="s">
        <v>177</v>
      </c>
      <c r="L2065" s="24">
        <v>132</v>
      </c>
      <c r="M2065" s="12">
        <v>12521.254355400697</v>
      </c>
      <c r="N2065" s="12">
        <v>12521.254355400697</v>
      </c>
      <c r="O2065" s="12">
        <v>2379.038327526132</v>
      </c>
      <c r="P2065" s="13"/>
      <c r="Q2065" s="14">
        <v>2025</v>
      </c>
      <c r="R2065" s="15">
        <v>45383</v>
      </c>
      <c r="S2065" s="11" t="s">
        <v>410</v>
      </c>
      <c r="T2065" s="16">
        <v>0</v>
      </c>
      <c r="U2065" s="17"/>
      <c r="V2065" s="12">
        <v>3537.254355400697</v>
      </c>
      <c r="W2065" s="12">
        <v>3537.254355400697</v>
      </c>
      <c r="X2065" s="12">
        <v>0</v>
      </c>
      <c r="Y2065" s="18">
        <v>45775</v>
      </c>
      <c r="Z2065" s="13" t="s">
        <v>523</v>
      </c>
      <c r="AA2065" s="19" t="s">
        <v>373</v>
      </c>
      <c r="AB2065" s="13" t="s">
        <v>357</v>
      </c>
      <c r="AC2065" s="13" t="s">
        <v>380</v>
      </c>
      <c r="AD2065" s="20"/>
      <c r="AE2065" s="20"/>
      <c r="AF2065" s="13" t="s">
        <v>40</v>
      </c>
      <c r="AG2065" s="15">
        <v>45383</v>
      </c>
      <c r="AH2065" s="13" t="s">
        <v>41</v>
      </c>
      <c r="AI2065" s="13" t="s">
        <v>53</v>
      </c>
      <c r="AJ2065" s="13" t="str">
        <f>VLOOKUP(E2065,Precios!Z$2:AA$941,2,FALSE)</f>
        <v>Toalla Papel NOVA 26 metros</v>
      </c>
      <c r="AK2065" s="14">
        <f>VLOOKUP(E2065,Precios!Z$2:BB$941,3,FALSE)*F2065</f>
        <v>-8</v>
      </c>
      <c r="AL2065" s="17"/>
      <c r="AM2065" s="17"/>
      <c r="AN2065" s="17"/>
      <c r="AO2065" s="17"/>
      <c r="AP2065" s="17"/>
      <c r="AQ2065" s="17"/>
      <c r="AR2065" s="17"/>
      <c r="AS2065" s="17"/>
      <c r="AT2065" s="17"/>
      <c r="AU2065" s="17"/>
      <c r="AV2065" s="17"/>
    </row>
    <row r="2066" spans="1:48" ht="15.75" customHeight="1">
      <c r="A2066" s="21" t="s">
        <v>35</v>
      </c>
      <c r="B2066" s="23" t="s">
        <v>1692</v>
      </c>
      <c r="C2066" s="22">
        <v>45775</v>
      </c>
      <c r="D2066" s="23" t="s">
        <v>308</v>
      </c>
      <c r="E2066" s="23" t="s">
        <v>37</v>
      </c>
      <c r="F2066" s="21">
        <v>1</v>
      </c>
      <c r="G2066" s="12">
        <v>10500</v>
      </c>
      <c r="H2066" s="12">
        <v>10500</v>
      </c>
      <c r="I2066" s="23" t="s">
        <v>52</v>
      </c>
      <c r="J2066" s="23" t="s">
        <v>61</v>
      </c>
      <c r="K2066" s="24" t="s">
        <v>177</v>
      </c>
      <c r="L2066" s="24">
        <v>132</v>
      </c>
      <c r="M2066" s="12">
        <v>8823.5294117647063</v>
      </c>
      <c r="N2066" s="12">
        <v>8823.5294117647063</v>
      </c>
      <c r="O2066" s="12">
        <v>1676.4705882352937</v>
      </c>
      <c r="P2066" s="13"/>
      <c r="Q2066" s="14">
        <v>2025</v>
      </c>
      <c r="R2066" s="15">
        <v>45383</v>
      </c>
      <c r="S2066" s="11" t="s">
        <v>364</v>
      </c>
      <c r="T2066" s="16">
        <v>1000</v>
      </c>
      <c r="U2066" s="17"/>
      <c r="V2066" s="12">
        <v>2385.7142857142853</v>
      </c>
      <c r="W2066" s="12">
        <v>2385.7142857142853</v>
      </c>
      <c r="X2066" s="12">
        <v>0</v>
      </c>
      <c r="Y2066" s="18">
        <v>45775</v>
      </c>
      <c r="Z2066" s="13" t="s">
        <v>523</v>
      </c>
      <c r="AA2066" s="19" t="s">
        <v>373</v>
      </c>
      <c r="AB2066" s="13" t="s">
        <v>357</v>
      </c>
      <c r="AC2066" s="13" t="s">
        <v>612</v>
      </c>
      <c r="AD2066" s="20"/>
      <c r="AE2066" s="20"/>
      <c r="AF2066" s="13" t="s">
        <v>40</v>
      </c>
      <c r="AG2066" s="15">
        <v>45383</v>
      </c>
      <c r="AH2066" s="13" t="s">
        <v>41</v>
      </c>
      <c r="AI2066" s="13" t="s">
        <v>35</v>
      </c>
      <c r="AJ2066" s="13" t="str">
        <f>VLOOKUP(E2066,Precios!Z$2:AA$941,2,FALSE)</f>
        <v>Queso RUNCA Mantecoso</v>
      </c>
      <c r="AK2066" s="14">
        <f>VLOOKUP(E2066,Precios!Z$2:BB$941,3,FALSE)*F2066</f>
        <v>-1</v>
      </c>
      <c r="AL2066" s="17"/>
      <c r="AM2066" s="17"/>
      <c r="AN2066" s="17"/>
      <c r="AO2066" s="17"/>
      <c r="AP2066" s="17"/>
      <c r="AQ2066" s="17"/>
      <c r="AR2066" s="17"/>
      <c r="AS2066" s="17"/>
      <c r="AT2066" s="17"/>
      <c r="AU2066" s="17"/>
      <c r="AV2066" s="17"/>
    </row>
    <row r="2067" spans="1:48" ht="15.75" customHeight="1">
      <c r="A2067" s="21" t="s">
        <v>35</v>
      </c>
      <c r="B2067" s="23" t="s">
        <v>1692</v>
      </c>
      <c r="C2067" s="22">
        <v>45775</v>
      </c>
      <c r="D2067" s="23" t="s">
        <v>308</v>
      </c>
      <c r="E2067" s="23" t="s">
        <v>46</v>
      </c>
      <c r="F2067" s="21">
        <v>1</v>
      </c>
      <c r="G2067" s="12">
        <v>5500</v>
      </c>
      <c r="H2067" s="12">
        <v>5500</v>
      </c>
      <c r="I2067" s="23" t="s">
        <v>52</v>
      </c>
      <c r="J2067" s="23" t="s">
        <v>61</v>
      </c>
      <c r="K2067" s="24" t="s">
        <v>177</v>
      </c>
      <c r="L2067" s="24">
        <v>132</v>
      </c>
      <c r="M2067" s="12">
        <v>4621.8487394957983</v>
      </c>
      <c r="N2067" s="12">
        <v>4621.8487394957983</v>
      </c>
      <c r="O2067" s="12">
        <v>878.15126050420167</v>
      </c>
      <c r="P2067" s="13"/>
      <c r="Q2067" s="14">
        <v>2025</v>
      </c>
      <c r="R2067" s="15">
        <v>45383</v>
      </c>
      <c r="S2067" s="11" t="s">
        <v>364</v>
      </c>
      <c r="T2067" s="16">
        <v>500</v>
      </c>
      <c r="U2067" s="17"/>
      <c r="V2067" s="12">
        <v>1365.1260504201678</v>
      </c>
      <c r="W2067" s="12">
        <v>1365.1260504201678</v>
      </c>
      <c r="X2067" s="12">
        <v>0</v>
      </c>
      <c r="Y2067" s="18">
        <v>45775</v>
      </c>
      <c r="Z2067" s="13" t="s">
        <v>523</v>
      </c>
      <c r="AA2067" s="19" t="s">
        <v>373</v>
      </c>
      <c r="AB2067" s="13" t="s">
        <v>357</v>
      </c>
      <c r="AC2067" s="13" t="s">
        <v>612</v>
      </c>
      <c r="AD2067" s="20"/>
      <c r="AE2067" s="20"/>
      <c r="AF2067" s="13" t="s">
        <v>40</v>
      </c>
      <c r="AG2067" s="15">
        <v>45383</v>
      </c>
      <c r="AH2067" s="13" t="s">
        <v>41</v>
      </c>
      <c r="AI2067" s="13" t="s">
        <v>35</v>
      </c>
      <c r="AJ2067" s="13" t="str">
        <f>VLOOKUP(E2067,Precios!Z$2:AA$941,2,FALSE)</f>
        <v>Queso RUNCA Mantecoso</v>
      </c>
      <c r="AK2067" s="14">
        <f>VLOOKUP(E2067,Precios!Z$2:BB$941,3,FALSE)*F2067</f>
        <v>-0.5</v>
      </c>
      <c r="AL2067" s="17"/>
      <c r="AM2067" s="17"/>
      <c r="AN2067" s="17"/>
      <c r="AO2067" s="17"/>
      <c r="AP2067" s="17"/>
      <c r="AQ2067" s="17"/>
      <c r="AR2067" s="17"/>
      <c r="AS2067" s="17"/>
      <c r="AT2067" s="17"/>
      <c r="AU2067" s="17"/>
      <c r="AV2067" s="17"/>
    </row>
    <row r="2068" spans="1:48" ht="15.75" customHeight="1">
      <c r="A2068" s="21" t="s">
        <v>35</v>
      </c>
      <c r="B2068" s="23" t="s">
        <v>1692</v>
      </c>
      <c r="C2068" s="22">
        <v>45774</v>
      </c>
      <c r="D2068" s="23" t="s">
        <v>176</v>
      </c>
      <c r="E2068" s="23" t="s">
        <v>37</v>
      </c>
      <c r="F2068" s="21">
        <v>1</v>
      </c>
      <c r="G2068" s="12">
        <v>10500</v>
      </c>
      <c r="H2068" s="12">
        <v>10500</v>
      </c>
      <c r="I2068" s="23" t="s">
        <v>52</v>
      </c>
      <c r="J2068" s="23" t="s">
        <v>61</v>
      </c>
      <c r="K2068" s="24" t="s">
        <v>177</v>
      </c>
      <c r="L2068" s="24">
        <v>131</v>
      </c>
      <c r="M2068" s="12">
        <v>8823.5294117647063</v>
      </c>
      <c r="N2068" s="12">
        <v>8823.5294117647063</v>
      </c>
      <c r="O2068" s="12">
        <v>1676.4705882352937</v>
      </c>
      <c r="P2068" s="13"/>
      <c r="Q2068" s="14">
        <v>2025</v>
      </c>
      <c r="R2068" s="15">
        <v>45383</v>
      </c>
      <c r="S2068" s="11" t="s">
        <v>364</v>
      </c>
      <c r="T2068" s="16">
        <v>1000</v>
      </c>
      <c r="U2068" s="17"/>
      <c r="V2068" s="12">
        <v>2385.7142857142853</v>
      </c>
      <c r="W2068" s="12">
        <v>2385.7142857142853</v>
      </c>
      <c r="X2068" s="12">
        <v>0</v>
      </c>
      <c r="Y2068" s="18">
        <v>45768</v>
      </c>
      <c r="Z2068" s="13" t="s">
        <v>497</v>
      </c>
      <c r="AA2068" s="19" t="s">
        <v>373</v>
      </c>
      <c r="AB2068" s="13" t="s">
        <v>357</v>
      </c>
      <c r="AC2068" s="13" t="s">
        <v>383</v>
      </c>
      <c r="AD2068" s="20"/>
      <c r="AE2068" s="20"/>
      <c r="AF2068" s="13" t="s">
        <v>40</v>
      </c>
      <c r="AG2068" s="15">
        <v>45383</v>
      </c>
      <c r="AH2068" s="13" t="s">
        <v>41</v>
      </c>
      <c r="AI2068" s="13" t="s">
        <v>35</v>
      </c>
      <c r="AJ2068" s="13" t="str">
        <f>VLOOKUP(E2068,Precios!Z$2:AA$941,2,FALSE)</f>
        <v>Queso RUNCA Mantecoso</v>
      </c>
      <c r="AK2068" s="14">
        <f>VLOOKUP(E2068,Precios!Z$2:BB$941,3,FALSE)*F2068</f>
        <v>-1</v>
      </c>
      <c r="AL2068" s="17"/>
      <c r="AM2068" s="17"/>
      <c r="AN2068" s="17"/>
      <c r="AO2068" s="17"/>
      <c r="AP2068" s="17"/>
      <c r="AQ2068" s="17"/>
      <c r="AR2068" s="17"/>
      <c r="AS2068" s="17"/>
      <c r="AT2068" s="17"/>
      <c r="AU2068" s="17"/>
      <c r="AV2068" s="17"/>
    </row>
    <row r="2069" spans="1:48" ht="15.75" customHeight="1">
      <c r="A2069" s="21" t="s">
        <v>43</v>
      </c>
      <c r="B2069" s="23" t="s">
        <v>1692</v>
      </c>
      <c r="C2069" s="22">
        <v>45774</v>
      </c>
      <c r="D2069" s="23" t="s">
        <v>291</v>
      </c>
      <c r="E2069" s="23" t="s">
        <v>45</v>
      </c>
      <c r="F2069" s="21">
        <v>1</v>
      </c>
      <c r="G2069" s="12">
        <v>8299.9877571008819</v>
      </c>
      <c r="H2069" s="12">
        <v>8299.9877571008819</v>
      </c>
      <c r="I2069" s="23" t="s">
        <v>52</v>
      </c>
      <c r="J2069" s="23" t="s">
        <v>61</v>
      </c>
      <c r="K2069" s="24" t="s">
        <v>177</v>
      </c>
      <c r="L2069" s="24">
        <v>131</v>
      </c>
      <c r="M2069" s="12">
        <v>6974.7796278158676</v>
      </c>
      <c r="N2069" s="12">
        <v>6974.7796278158676</v>
      </c>
      <c r="O2069" s="12">
        <v>1325.2081292850144</v>
      </c>
      <c r="P2069" s="13"/>
      <c r="Q2069" s="14">
        <v>2025</v>
      </c>
      <c r="R2069" s="15">
        <v>45383</v>
      </c>
      <c r="S2069" s="11" t="s">
        <v>355</v>
      </c>
      <c r="T2069" s="16">
        <v>0</v>
      </c>
      <c r="U2069" s="17"/>
      <c r="V2069" s="12">
        <v>1277.7796278158667</v>
      </c>
      <c r="W2069" s="12">
        <v>1277.7796278158667</v>
      </c>
      <c r="X2069" s="12">
        <v>0</v>
      </c>
      <c r="Y2069" s="18">
        <v>45768</v>
      </c>
      <c r="Z2069" s="13" t="s">
        <v>497</v>
      </c>
      <c r="AA2069" s="19" t="s">
        <v>373</v>
      </c>
      <c r="AB2069" s="13" t="s">
        <v>357</v>
      </c>
      <c r="AC2069" s="13" t="s">
        <v>374</v>
      </c>
      <c r="AD2069" s="20"/>
      <c r="AE2069" s="20"/>
      <c r="AF2069" s="13" t="s">
        <v>40</v>
      </c>
      <c r="AG2069" s="15">
        <v>45383</v>
      </c>
      <c r="AH2069" s="13" t="s">
        <v>41</v>
      </c>
      <c r="AI2069" s="13" t="s">
        <v>43</v>
      </c>
      <c r="AJ2069" s="13" t="str">
        <f>VLOOKUP(E2069,Precios!Z$2:AA$941,2,FALSE)</f>
        <v>Bandeja Huevos EXTRA</v>
      </c>
      <c r="AK2069" s="14">
        <f>VLOOKUP(E2069,Precios!Z$2:BB$941,3,FALSE)*F2069</f>
        <v>-1</v>
      </c>
      <c r="AL2069" s="17"/>
      <c r="AM2069" s="17"/>
      <c r="AN2069" s="17"/>
      <c r="AO2069" s="17"/>
      <c r="AP2069" s="17"/>
      <c r="AQ2069" s="17"/>
      <c r="AR2069" s="17"/>
      <c r="AS2069" s="17"/>
      <c r="AT2069" s="17"/>
      <c r="AU2069" s="17"/>
      <c r="AV2069" s="17"/>
    </row>
    <row r="2070" spans="1:48" ht="15.75" customHeight="1">
      <c r="A2070" s="21" t="s">
        <v>147</v>
      </c>
      <c r="B2070" s="23" t="s">
        <v>1692</v>
      </c>
      <c r="C2070" s="22">
        <v>45774</v>
      </c>
      <c r="D2070" s="23" t="s">
        <v>666</v>
      </c>
      <c r="E2070" s="23" t="s">
        <v>248</v>
      </c>
      <c r="F2070" s="21">
        <v>1</v>
      </c>
      <c r="G2070" s="12">
        <v>9000</v>
      </c>
      <c r="H2070" s="12">
        <v>9000</v>
      </c>
      <c r="I2070" s="23" t="s">
        <v>52</v>
      </c>
      <c r="J2070" s="23" t="s">
        <v>61</v>
      </c>
      <c r="K2070" s="24" t="s">
        <v>177</v>
      </c>
      <c r="L2070" s="24">
        <v>131</v>
      </c>
      <c r="M2070" s="12">
        <v>7563.0252100840344</v>
      </c>
      <c r="N2070" s="12">
        <v>7563.0252100840344</v>
      </c>
      <c r="O2070" s="12">
        <v>1436.9747899159656</v>
      </c>
      <c r="P2070" s="13"/>
      <c r="Q2070" s="14">
        <v>2025</v>
      </c>
      <c r="R2070" s="15">
        <v>45383</v>
      </c>
      <c r="S2070" s="11" t="s">
        <v>412</v>
      </c>
      <c r="T2070" s="16">
        <v>0</v>
      </c>
      <c r="U2070" s="17"/>
      <c r="V2070" s="12">
        <v>2773.1092436974795</v>
      </c>
      <c r="W2070" s="12">
        <v>2773.1092436974795</v>
      </c>
      <c r="X2070" s="12">
        <v>0</v>
      </c>
      <c r="Y2070" s="18">
        <v>45768</v>
      </c>
      <c r="Z2070" s="13" t="s">
        <v>497</v>
      </c>
      <c r="AA2070" s="19" t="s">
        <v>373</v>
      </c>
      <c r="AB2070" s="13" t="s">
        <v>667</v>
      </c>
      <c r="AC2070" s="13" t="s">
        <v>374</v>
      </c>
      <c r="AD2070" s="20"/>
      <c r="AE2070" s="20"/>
      <c r="AF2070" s="13" t="s">
        <v>40</v>
      </c>
      <c r="AG2070" s="15">
        <v>45383</v>
      </c>
      <c r="AH2070" s="13" t="s">
        <v>41</v>
      </c>
      <c r="AI2070" s="13" t="s">
        <v>147</v>
      </c>
      <c r="AJ2070" s="13" t="str">
        <f>VLOOKUP(E2070,Precios!Z$2:AA$941,2,FALSE)</f>
        <v>Film Plástico 300 metros</v>
      </c>
      <c r="AK2070" s="14">
        <f>VLOOKUP(E2070,Precios!Z$2:BB$941,3,FALSE)*F2070</f>
        <v>-1</v>
      </c>
      <c r="AL2070" s="17"/>
      <c r="AM2070" s="17"/>
      <c r="AN2070" s="17"/>
      <c r="AO2070" s="17"/>
      <c r="AP2070" s="17"/>
      <c r="AQ2070" s="17"/>
      <c r="AR2070" s="17"/>
      <c r="AS2070" s="17"/>
      <c r="AT2070" s="17"/>
      <c r="AU2070" s="17"/>
      <c r="AV2070" s="17"/>
    </row>
    <row r="2071" spans="1:48" ht="15.75" customHeight="1">
      <c r="A2071" s="21" t="s">
        <v>147</v>
      </c>
      <c r="B2071" s="23" t="s">
        <v>1692</v>
      </c>
      <c r="C2071" s="22">
        <v>45774</v>
      </c>
      <c r="D2071" s="23" t="s">
        <v>666</v>
      </c>
      <c r="E2071" s="23" t="s">
        <v>249</v>
      </c>
      <c r="F2071" s="21">
        <v>1</v>
      </c>
      <c r="G2071" s="12">
        <v>8500.0000000000018</v>
      </c>
      <c r="H2071" s="12">
        <v>8500.0000000000018</v>
      </c>
      <c r="I2071" s="23" t="s">
        <v>52</v>
      </c>
      <c r="J2071" s="23" t="s">
        <v>61</v>
      </c>
      <c r="K2071" s="24" t="s">
        <v>177</v>
      </c>
      <c r="L2071" s="24">
        <v>131</v>
      </c>
      <c r="M2071" s="12">
        <v>7142.8571428571449</v>
      </c>
      <c r="N2071" s="12">
        <v>7142.8571428571449</v>
      </c>
      <c r="O2071" s="12">
        <v>1357.1428571428569</v>
      </c>
      <c r="P2071" s="13"/>
      <c r="Q2071" s="14">
        <v>2025</v>
      </c>
      <c r="R2071" s="15">
        <v>45383</v>
      </c>
      <c r="S2071" s="11" t="s">
        <v>360</v>
      </c>
      <c r="T2071" s="16">
        <v>0</v>
      </c>
      <c r="U2071" s="17"/>
      <c r="V2071" s="12">
        <v>2212.857142857144</v>
      </c>
      <c r="W2071" s="12">
        <v>2212.857142857144</v>
      </c>
      <c r="X2071" s="12">
        <v>0</v>
      </c>
      <c r="Y2071" s="18">
        <v>45768</v>
      </c>
      <c r="Z2071" s="13" t="s">
        <v>497</v>
      </c>
      <c r="AA2071" s="19" t="s">
        <v>373</v>
      </c>
      <c r="AB2071" s="13" t="s">
        <v>667</v>
      </c>
      <c r="AC2071" s="13" t="s">
        <v>374</v>
      </c>
      <c r="AD2071" s="20"/>
      <c r="AE2071" s="20"/>
      <c r="AF2071" s="13" t="s">
        <v>40</v>
      </c>
      <c r="AG2071" s="15">
        <v>45383</v>
      </c>
      <c r="AH2071" s="13" t="s">
        <v>41</v>
      </c>
      <c r="AI2071" s="13" t="s">
        <v>147</v>
      </c>
      <c r="AJ2071" s="13" t="str">
        <f>VLOOKUP(E2071,Precios!Z$2:AA$941,2,FALSE)</f>
        <v>Papel Aluminio 100 metros</v>
      </c>
      <c r="AK2071" s="14">
        <f>VLOOKUP(E2071,Precios!Z$2:BB$941,3,FALSE)*F2071</f>
        <v>-1</v>
      </c>
      <c r="AL2071" s="17"/>
      <c r="AM2071" s="17"/>
      <c r="AN2071" s="17"/>
      <c r="AO2071" s="17"/>
      <c r="AP2071" s="17"/>
      <c r="AQ2071" s="17"/>
      <c r="AR2071" s="17"/>
      <c r="AS2071" s="17"/>
      <c r="AT2071" s="17"/>
      <c r="AU2071" s="17"/>
      <c r="AV2071" s="17"/>
    </row>
    <row r="2072" spans="1:48" ht="15.75" customHeight="1">
      <c r="A2072" s="21" t="s">
        <v>76</v>
      </c>
      <c r="B2072" s="23" t="s">
        <v>1692</v>
      </c>
      <c r="C2072" s="22">
        <v>45774</v>
      </c>
      <c r="D2072" s="23" t="s">
        <v>234</v>
      </c>
      <c r="E2072" s="23" t="s">
        <v>166</v>
      </c>
      <c r="F2072" s="21">
        <v>1</v>
      </c>
      <c r="G2072" s="12">
        <v>3500.0000000000005</v>
      </c>
      <c r="H2072" s="12">
        <v>3500.0000000000005</v>
      </c>
      <c r="I2072" s="23" t="s">
        <v>52</v>
      </c>
      <c r="J2072" s="23" t="s">
        <v>61</v>
      </c>
      <c r="K2072" s="24" t="s">
        <v>177</v>
      </c>
      <c r="L2072" s="24">
        <v>131</v>
      </c>
      <c r="M2072" s="12">
        <v>2941.1764705882356</v>
      </c>
      <c r="N2072" s="12">
        <v>2941.1764705882356</v>
      </c>
      <c r="O2072" s="12">
        <v>558.82352941176487</v>
      </c>
      <c r="P2072" s="13"/>
      <c r="Q2072" s="14">
        <v>2025</v>
      </c>
      <c r="R2072" s="15">
        <v>45383</v>
      </c>
      <c r="S2072" s="11" t="s">
        <v>448</v>
      </c>
      <c r="T2072" s="16">
        <v>5</v>
      </c>
      <c r="U2072" s="17"/>
      <c r="V2072" s="12">
        <v>1016.8067226890757</v>
      </c>
      <c r="W2072" s="12">
        <v>1016.8067226890757</v>
      </c>
      <c r="X2072" s="12">
        <v>0</v>
      </c>
      <c r="Y2072" s="18">
        <v>45768</v>
      </c>
      <c r="Z2072" s="13" t="s">
        <v>497</v>
      </c>
      <c r="AA2072" s="19" t="s">
        <v>361</v>
      </c>
      <c r="AB2072" s="13" t="s">
        <v>357</v>
      </c>
      <c r="AC2072" s="13" t="s">
        <v>668</v>
      </c>
      <c r="AD2072" s="20"/>
      <c r="AE2072" s="20"/>
      <c r="AF2072" s="13" t="s">
        <v>40</v>
      </c>
      <c r="AG2072" s="15">
        <v>45383</v>
      </c>
      <c r="AH2072" s="13" t="s">
        <v>41</v>
      </c>
      <c r="AI2072" s="13" t="s">
        <v>76</v>
      </c>
      <c r="AJ2072" s="13" t="str">
        <f>VLOOKUP(E2072,Precios!Z$2:AA$941,2,FALSE)</f>
        <v>Cloro GEL SPUM 5 Litros</v>
      </c>
      <c r="AK2072" s="14">
        <f>VLOOKUP(E2072,Precios!Z$2:BB$941,3,FALSE)*F2072</f>
        <v>-1</v>
      </c>
      <c r="AL2072" s="17"/>
      <c r="AM2072" s="17"/>
      <c r="AN2072" s="17"/>
      <c r="AO2072" s="17"/>
      <c r="AP2072" s="17"/>
      <c r="AQ2072" s="17"/>
      <c r="AR2072" s="17"/>
      <c r="AS2072" s="17"/>
      <c r="AT2072" s="17"/>
      <c r="AU2072" s="17"/>
      <c r="AV2072" s="17"/>
    </row>
    <row r="2073" spans="1:48" ht="15.75" customHeight="1">
      <c r="A2073" s="21" t="s">
        <v>76</v>
      </c>
      <c r="B2073" s="23" t="s">
        <v>1692</v>
      </c>
      <c r="C2073" s="22">
        <v>45774</v>
      </c>
      <c r="D2073" s="23" t="s">
        <v>301</v>
      </c>
      <c r="E2073" s="23" t="s">
        <v>166</v>
      </c>
      <c r="F2073" s="21">
        <v>1</v>
      </c>
      <c r="G2073" s="12">
        <v>3500.0000000000005</v>
      </c>
      <c r="H2073" s="12">
        <v>3500.0000000000005</v>
      </c>
      <c r="I2073" s="23" t="s">
        <v>52</v>
      </c>
      <c r="J2073" s="23" t="s">
        <v>61</v>
      </c>
      <c r="K2073" s="24" t="s">
        <v>177</v>
      </c>
      <c r="L2073" s="24">
        <v>131</v>
      </c>
      <c r="M2073" s="12">
        <v>2941.1764705882356</v>
      </c>
      <c r="N2073" s="12">
        <v>2941.1764705882356</v>
      </c>
      <c r="O2073" s="12">
        <v>558.82352941176487</v>
      </c>
      <c r="P2073" s="13"/>
      <c r="Q2073" s="14">
        <v>2025</v>
      </c>
      <c r="R2073" s="15">
        <v>45383</v>
      </c>
      <c r="S2073" s="11" t="s">
        <v>448</v>
      </c>
      <c r="T2073" s="16">
        <v>5</v>
      </c>
      <c r="U2073" s="17"/>
      <c r="V2073" s="12">
        <v>1016.8067226890757</v>
      </c>
      <c r="W2073" s="12">
        <v>1016.8067226890757</v>
      </c>
      <c r="X2073" s="12">
        <v>0</v>
      </c>
      <c r="Y2073" s="18">
        <v>45768</v>
      </c>
      <c r="Z2073" s="13" t="s">
        <v>497</v>
      </c>
      <c r="AA2073" s="19" t="s">
        <v>356</v>
      </c>
      <c r="AB2073" s="13" t="s">
        <v>357</v>
      </c>
      <c r="AC2073" s="13" t="s">
        <v>669</v>
      </c>
      <c r="AD2073" s="20"/>
      <c r="AE2073" s="20"/>
      <c r="AF2073" s="13" t="s">
        <v>40</v>
      </c>
      <c r="AG2073" s="15">
        <v>45383</v>
      </c>
      <c r="AH2073" s="13" t="s">
        <v>41</v>
      </c>
      <c r="AI2073" s="13" t="s">
        <v>76</v>
      </c>
      <c r="AJ2073" s="13" t="str">
        <f>VLOOKUP(E2073,Precios!Z$2:AA$941,2,FALSE)</f>
        <v>Cloro GEL SPUM 5 Litros</v>
      </c>
      <c r="AK2073" s="14">
        <f>VLOOKUP(E2073,Precios!Z$2:BB$941,3,FALSE)*F2073</f>
        <v>-1</v>
      </c>
      <c r="AL2073" s="17"/>
      <c r="AM2073" s="17"/>
      <c r="AN2073" s="17"/>
      <c r="AO2073" s="17"/>
      <c r="AP2073" s="17"/>
      <c r="AQ2073" s="17"/>
      <c r="AR2073" s="17"/>
      <c r="AS2073" s="17"/>
      <c r="AT2073" s="17"/>
      <c r="AU2073" s="17"/>
      <c r="AV2073" s="17"/>
    </row>
    <row r="2074" spans="1:48" ht="15.75" customHeight="1">
      <c r="A2074" s="21" t="s">
        <v>76</v>
      </c>
      <c r="B2074" s="23" t="s">
        <v>1692</v>
      </c>
      <c r="C2074" s="22">
        <v>45774</v>
      </c>
      <c r="D2074" s="23" t="s">
        <v>301</v>
      </c>
      <c r="E2074" s="23" t="s">
        <v>82</v>
      </c>
      <c r="F2074" s="21">
        <v>1</v>
      </c>
      <c r="G2074" s="12">
        <v>2000.0000000000002</v>
      </c>
      <c r="H2074" s="12">
        <v>2000.0000000000002</v>
      </c>
      <c r="I2074" s="23" t="s">
        <v>52</v>
      </c>
      <c r="J2074" s="23" t="s">
        <v>61</v>
      </c>
      <c r="K2074" s="24" t="s">
        <v>177</v>
      </c>
      <c r="L2074" s="24">
        <v>131</v>
      </c>
      <c r="M2074" s="12">
        <v>1680.6722689075632</v>
      </c>
      <c r="N2074" s="12">
        <v>1680.6722689075632</v>
      </c>
      <c r="O2074" s="12">
        <v>319.32773109243703</v>
      </c>
      <c r="P2074" s="13"/>
      <c r="Q2074" s="14">
        <v>2025</v>
      </c>
      <c r="R2074" s="15">
        <v>45383</v>
      </c>
      <c r="S2074" s="11" t="s">
        <v>463</v>
      </c>
      <c r="T2074" s="16">
        <v>5</v>
      </c>
      <c r="U2074" s="17"/>
      <c r="V2074" s="12">
        <v>680.67226890756319</v>
      </c>
      <c r="W2074" s="12">
        <v>680.67226890756319</v>
      </c>
      <c r="X2074" s="12">
        <v>0</v>
      </c>
      <c r="Y2074" s="18">
        <v>45768</v>
      </c>
      <c r="Z2074" s="13" t="s">
        <v>497</v>
      </c>
      <c r="AA2074" s="19" t="s">
        <v>356</v>
      </c>
      <c r="AB2074" s="13" t="s">
        <v>357</v>
      </c>
      <c r="AC2074" s="13" t="s">
        <v>669</v>
      </c>
      <c r="AD2074" s="20"/>
      <c r="AE2074" s="20"/>
      <c r="AF2074" s="13" t="s">
        <v>40</v>
      </c>
      <c r="AG2074" s="15">
        <v>45383</v>
      </c>
      <c r="AH2074" s="13" t="s">
        <v>41</v>
      </c>
      <c r="AI2074" s="13" t="s">
        <v>76</v>
      </c>
      <c r="AJ2074" s="13" t="str">
        <f>VLOOKUP(E2074,Precios!Z$2:AA$941,2,FALSE)</f>
        <v>Limpiapiso SPUM 5 Litros</v>
      </c>
      <c r="AK2074" s="14">
        <f>VLOOKUP(E2074,Precios!Z$2:BB$941,3,FALSE)*F2074</f>
        <v>-1</v>
      </c>
      <c r="AL2074" s="17"/>
      <c r="AM2074" s="17"/>
      <c r="AN2074" s="17"/>
      <c r="AO2074" s="17"/>
      <c r="AP2074" s="17"/>
      <c r="AQ2074" s="17"/>
      <c r="AR2074" s="17"/>
      <c r="AS2074" s="17"/>
      <c r="AT2074" s="17"/>
      <c r="AU2074" s="17"/>
      <c r="AV2074" s="17"/>
    </row>
    <row r="2075" spans="1:48" ht="15.75" customHeight="1">
      <c r="A2075" s="21" t="s">
        <v>35</v>
      </c>
      <c r="B2075" s="23" t="s">
        <v>1692</v>
      </c>
      <c r="C2075" s="22">
        <v>45774</v>
      </c>
      <c r="D2075" s="23" t="s">
        <v>915</v>
      </c>
      <c r="E2075" s="23" t="s">
        <v>37</v>
      </c>
      <c r="F2075" s="21">
        <v>1</v>
      </c>
      <c r="G2075" s="12">
        <v>10500</v>
      </c>
      <c r="H2075" s="12">
        <v>10500</v>
      </c>
      <c r="I2075" s="23" t="s">
        <v>52</v>
      </c>
      <c r="J2075" s="23" t="s">
        <v>61</v>
      </c>
      <c r="K2075" s="24" t="s">
        <v>177</v>
      </c>
      <c r="L2075" s="24">
        <v>131</v>
      </c>
      <c r="M2075" s="12">
        <v>8823.5294117647063</v>
      </c>
      <c r="N2075" s="12">
        <v>8823.5294117647063</v>
      </c>
      <c r="O2075" s="12">
        <v>1676.4705882352937</v>
      </c>
      <c r="P2075" s="13"/>
      <c r="Q2075" s="14">
        <v>2025</v>
      </c>
      <c r="R2075" s="15">
        <v>45383</v>
      </c>
      <c r="S2075" s="11" t="s">
        <v>364</v>
      </c>
      <c r="T2075" s="16">
        <v>1000</v>
      </c>
      <c r="U2075" s="17"/>
      <c r="V2075" s="12">
        <v>2385.7142857142853</v>
      </c>
      <c r="W2075" s="12">
        <v>2385.7142857142853</v>
      </c>
      <c r="X2075" s="12">
        <v>0</v>
      </c>
      <c r="Y2075" s="18">
        <v>45768</v>
      </c>
      <c r="Z2075" s="13" t="s">
        <v>497</v>
      </c>
      <c r="AA2075" s="19" t="s">
        <v>367</v>
      </c>
      <c r="AB2075" s="13" t="s">
        <v>357</v>
      </c>
      <c r="AC2075" s="13" t="s">
        <v>367</v>
      </c>
      <c r="AD2075" s="20"/>
      <c r="AE2075" s="20"/>
      <c r="AF2075" s="13" t="s">
        <v>40</v>
      </c>
      <c r="AG2075" s="15">
        <v>45383</v>
      </c>
      <c r="AH2075" s="13" t="s">
        <v>41</v>
      </c>
      <c r="AI2075" s="13" t="s">
        <v>35</v>
      </c>
      <c r="AJ2075" s="13" t="str">
        <f>VLOOKUP(E2075,Precios!Z$2:AA$941,2,FALSE)</f>
        <v>Queso RUNCA Mantecoso</v>
      </c>
      <c r="AK2075" s="14">
        <f>VLOOKUP(E2075,Precios!Z$2:BB$941,3,FALSE)*F2075</f>
        <v>-1</v>
      </c>
      <c r="AL2075" s="17"/>
      <c r="AM2075" s="17"/>
      <c r="AN2075" s="17"/>
      <c r="AO2075" s="17"/>
      <c r="AP2075" s="17"/>
      <c r="AQ2075" s="17"/>
      <c r="AR2075" s="17"/>
      <c r="AS2075" s="17"/>
      <c r="AT2075" s="17"/>
      <c r="AU2075" s="17"/>
      <c r="AV2075" s="17"/>
    </row>
    <row r="2076" spans="1:48" ht="15.75" customHeight="1">
      <c r="A2076" s="21" t="s">
        <v>43</v>
      </c>
      <c r="B2076" s="23" t="s">
        <v>1692</v>
      </c>
      <c r="C2076" s="22">
        <v>45774</v>
      </c>
      <c r="D2076" s="23" t="s">
        <v>123</v>
      </c>
      <c r="E2076" s="23" t="s">
        <v>45</v>
      </c>
      <c r="F2076" s="21">
        <v>1</v>
      </c>
      <c r="G2076" s="12">
        <v>8299.9877571008819</v>
      </c>
      <c r="H2076" s="12">
        <v>8299.9877571008819</v>
      </c>
      <c r="I2076" s="23" t="s">
        <v>52</v>
      </c>
      <c r="J2076" s="23" t="s">
        <v>61</v>
      </c>
      <c r="K2076" s="24" t="s">
        <v>177</v>
      </c>
      <c r="L2076" s="24">
        <v>131</v>
      </c>
      <c r="M2076" s="12">
        <v>6974.7796278158676</v>
      </c>
      <c r="N2076" s="12">
        <v>6974.7796278158676</v>
      </c>
      <c r="O2076" s="12">
        <v>1325.2081292850144</v>
      </c>
      <c r="P2076" s="13"/>
      <c r="Q2076" s="14">
        <v>2025</v>
      </c>
      <c r="R2076" s="15">
        <v>45383</v>
      </c>
      <c r="S2076" s="11" t="s">
        <v>355</v>
      </c>
      <c r="T2076" s="16">
        <v>0</v>
      </c>
      <c r="U2076" s="17"/>
      <c r="V2076" s="12">
        <v>1277.7796278158667</v>
      </c>
      <c r="W2076" s="12">
        <v>1277.7796278158667</v>
      </c>
      <c r="X2076" s="12">
        <v>0</v>
      </c>
      <c r="Y2076" s="18">
        <v>45768</v>
      </c>
      <c r="Z2076" s="13" t="s">
        <v>497</v>
      </c>
      <c r="AA2076" s="19" t="s">
        <v>373</v>
      </c>
      <c r="AB2076" s="13" t="s">
        <v>357</v>
      </c>
      <c r="AC2076" s="13" t="s">
        <v>383</v>
      </c>
      <c r="AD2076" s="20"/>
      <c r="AE2076" s="20"/>
      <c r="AF2076" s="13" t="s">
        <v>40</v>
      </c>
      <c r="AG2076" s="15">
        <v>45383</v>
      </c>
      <c r="AH2076" s="13" t="s">
        <v>41</v>
      </c>
      <c r="AI2076" s="13" t="s">
        <v>43</v>
      </c>
      <c r="AJ2076" s="13" t="str">
        <f>VLOOKUP(E2076,Precios!Z$2:AA$941,2,FALSE)</f>
        <v>Bandeja Huevos EXTRA</v>
      </c>
      <c r="AK2076" s="14">
        <f>VLOOKUP(E2076,Precios!Z$2:BB$941,3,FALSE)*F2076</f>
        <v>-1</v>
      </c>
      <c r="AL2076" s="17"/>
      <c r="AM2076" s="17"/>
      <c r="AN2076" s="17"/>
      <c r="AO2076" s="17"/>
      <c r="AP2076" s="17"/>
      <c r="AQ2076" s="17"/>
      <c r="AR2076" s="17"/>
      <c r="AS2076" s="17"/>
      <c r="AT2076" s="17"/>
      <c r="AU2076" s="17"/>
      <c r="AV2076" s="17"/>
    </row>
    <row r="2077" spans="1:48" ht="15.75" customHeight="1">
      <c r="A2077" s="21" t="s">
        <v>35</v>
      </c>
      <c r="B2077" s="23" t="s">
        <v>1692</v>
      </c>
      <c r="C2077" s="22">
        <v>45774</v>
      </c>
      <c r="D2077" s="23" t="s">
        <v>234</v>
      </c>
      <c r="E2077" s="23" t="s">
        <v>37</v>
      </c>
      <c r="F2077" s="21">
        <v>1</v>
      </c>
      <c r="G2077" s="12">
        <v>10500</v>
      </c>
      <c r="H2077" s="12">
        <v>10500</v>
      </c>
      <c r="I2077" s="23" t="s">
        <v>52</v>
      </c>
      <c r="J2077" s="23" t="s">
        <v>61</v>
      </c>
      <c r="K2077" s="24" t="s">
        <v>177</v>
      </c>
      <c r="L2077" s="24">
        <v>131</v>
      </c>
      <c r="M2077" s="12">
        <v>8823.5294117647063</v>
      </c>
      <c r="N2077" s="12">
        <v>8823.5294117647063</v>
      </c>
      <c r="O2077" s="12">
        <v>1676.4705882352937</v>
      </c>
      <c r="P2077" s="13"/>
      <c r="Q2077" s="14">
        <v>2025</v>
      </c>
      <c r="R2077" s="15">
        <v>45383</v>
      </c>
      <c r="S2077" s="11" t="s">
        <v>364</v>
      </c>
      <c r="T2077" s="16">
        <v>1000</v>
      </c>
      <c r="U2077" s="17"/>
      <c r="V2077" s="12">
        <v>2385.7142857142853</v>
      </c>
      <c r="W2077" s="12">
        <v>2385.7142857142853</v>
      </c>
      <c r="X2077" s="12">
        <v>0</v>
      </c>
      <c r="Y2077" s="18">
        <v>45768</v>
      </c>
      <c r="Z2077" s="13" t="s">
        <v>497</v>
      </c>
      <c r="AA2077" s="19" t="s">
        <v>361</v>
      </c>
      <c r="AB2077" s="13" t="s">
        <v>357</v>
      </c>
      <c r="AC2077" s="13" t="s">
        <v>668</v>
      </c>
      <c r="AD2077" s="20"/>
      <c r="AE2077" s="20"/>
      <c r="AF2077" s="13" t="s">
        <v>40</v>
      </c>
      <c r="AG2077" s="15">
        <v>45383</v>
      </c>
      <c r="AH2077" s="13" t="s">
        <v>41</v>
      </c>
      <c r="AI2077" s="13" t="s">
        <v>35</v>
      </c>
      <c r="AJ2077" s="13" t="str">
        <f>VLOOKUP(E2077,Precios!Z$2:AA$941,2,FALSE)</f>
        <v>Queso RUNCA Mantecoso</v>
      </c>
      <c r="AK2077" s="14">
        <f>VLOOKUP(E2077,Precios!Z$2:BB$941,3,FALSE)*F2077</f>
        <v>-1</v>
      </c>
      <c r="AL2077" s="17"/>
      <c r="AM2077" s="17"/>
      <c r="AN2077" s="17"/>
      <c r="AO2077" s="17"/>
      <c r="AP2077" s="17"/>
      <c r="AQ2077" s="17"/>
      <c r="AR2077" s="17"/>
      <c r="AS2077" s="17"/>
      <c r="AT2077" s="17"/>
      <c r="AU2077" s="17"/>
      <c r="AV2077" s="17"/>
    </row>
    <row r="2078" spans="1:48" ht="15.75" customHeight="1">
      <c r="A2078" s="21" t="s">
        <v>56</v>
      </c>
      <c r="B2078" s="23" t="s">
        <v>1692</v>
      </c>
      <c r="C2078" s="22">
        <v>45773</v>
      </c>
      <c r="D2078" s="23" t="s">
        <v>285</v>
      </c>
      <c r="E2078" s="23" t="s">
        <v>67</v>
      </c>
      <c r="F2078" s="21">
        <v>1</v>
      </c>
      <c r="G2078" s="12">
        <v>7000.0000000000009</v>
      </c>
      <c r="H2078" s="12">
        <v>7000.0000000000009</v>
      </c>
      <c r="I2078" s="23" t="s">
        <v>52</v>
      </c>
      <c r="J2078" s="23" t="s">
        <v>61</v>
      </c>
      <c r="K2078" s="24" t="s">
        <v>177</v>
      </c>
      <c r="L2078" s="24">
        <v>131</v>
      </c>
      <c r="M2078" s="12">
        <v>5882.3529411764712</v>
      </c>
      <c r="N2078" s="12">
        <v>5882.3529411764712</v>
      </c>
      <c r="O2078" s="12">
        <v>1117.6470588235297</v>
      </c>
      <c r="P2078" s="13"/>
      <c r="Q2078" s="14">
        <v>2025</v>
      </c>
      <c r="R2078" s="15">
        <v>45383</v>
      </c>
      <c r="S2078" s="11" t="s">
        <v>492</v>
      </c>
      <c r="T2078" s="16">
        <v>200</v>
      </c>
      <c r="U2078" s="17"/>
      <c r="V2078" s="12">
        <v>1512.6050420168067</v>
      </c>
      <c r="W2078" s="12">
        <v>1512.6050420168067</v>
      </c>
      <c r="X2078" s="12">
        <v>0</v>
      </c>
      <c r="Y2078" s="18">
        <v>45768</v>
      </c>
      <c r="Z2078" s="13" t="s">
        <v>501</v>
      </c>
      <c r="AA2078" s="19" t="s">
        <v>367</v>
      </c>
      <c r="AB2078" s="13" t="s">
        <v>357</v>
      </c>
      <c r="AC2078" s="13" t="s">
        <v>367</v>
      </c>
      <c r="AD2078" s="20"/>
      <c r="AE2078" s="20"/>
      <c r="AF2078" s="13" t="s">
        <v>40</v>
      </c>
      <c r="AG2078" s="15">
        <v>45383</v>
      </c>
      <c r="AH2078" s="13" t="s">
        <v>41</v>
      </c>
      <c r="AI2078" s="13" t="s">
        <v>56</v>
      </c>
      <c r="AJ2078" s="13" t="str">
        <f>VLOOKUP(E2078,Precios!Z$2:AA$941,2,FALSE)</f>
        <v>Mantequilla RUMAY</v>
      </c>
      <c r="AK2078" s="14">
        <f>VLOOKUP(E2078,Precios!Z$2:BB$941,3,FALSE)*F2078</f>
        <v>-3</v>
      </c>
      <c r="AL2078" s="17"/>
      <c r="AM2078" s="17"/>
      <c r="AN2078" s="17"/>
      <c r="AO2078" s="17"/>
      <c r="AP2078" s="17"/>
      <c r="AQ2078" s="17"/>
      <c r="AR2078" s="17"/>
      <c r="AS2078" s="17"/>
      <c r="AT2078" s="17"/>
      <c r="AU2078" s="17"/>
      <c r="AV2078" s="17"/>
    </row>
    <row r="2079" spans="1:48" ht="15.75" customHeight="1">
      <c r="A2079" s="21" t="s">
        <v>53</v>
      </c>
      <c r="B2079" s="23" t="s">
        <v>1692</v>
      </c>
      <c r="C2079" s="22">
        <v>45773</v>
      </c>
      <c r="D2079" s="23" t="s">
        <v>591</v>
      </c>
      <c r="E2079" s="23" t="s">
        <v>243</v>
      </c>
      <c r="F2079" s="21">
        <v>1</v>
      </c>
      <c r="G2079" s="12">
        <v>14500.068577698534</v>
      </c>
      <c r="H2079" s="12">
        <v>14500.068577698534</v>
      </c>
      <c r="I2079" s="23" t="s">
        <v>52</v>
      </c>
      <c r="J2079" s="23" t="s">
        <v>61</v>
      </c>
      <c r="K2079" s="24" t="s">
        <v>177</v>
      </c>
      <c r="L2079" s="24">
        <v>131</v>
      </c>
      <c r="M2079" s="12">
        <v>12184.931577897929</v>
      </c>
      <c r="N2079" s="12">
        <v>12184.931577897929</v>
      </c>
      <c r="O2079" s="12">
        <v>2315.1369998006048</v>
      </c>
      <c r="P2079" s="13"/>
      <c r="Q2079" s="14">
        <v>2025</v>
      </c>
      <c r="R2079" s="15">
        <v>45383</v>
      </c>
      <c r="S2079" s="11" t="s">
        <v>435</v>
      </c>
      <c r="T2079" s="16">
        <v>0</v>
      </c>
      <c r="U2079" s="17"/>
      <c r="V2079" s="12">
        <v>3300.897964452548</v>
      </c>
      <c r="W2079" s="12">
        <v>3300.897964452548</v>
      </c>
      <c r="X2079" s="12">
        <v>0</v>
      </c>
      <c r="Y2079" s="18">
        <v>45768</v>
      </c>
      <c r="Z2079" s="13" t="s">
        <v>501</v>
      </c>
      <c r="AA2079" s="19" t="s">
        <v>373</v>
      </c>
      <c r="AB2079" s="13" t="s">
        <v>357</v>
      </c>
      <c r="AC2079" s="13" t="s">
        <v>592</v>
      </c>
      <c r="AD2079" s="20"/>
      <c r="AE2079" s="20"/>
      <c r="AF2079" s="13" t="s">
        <v>40</v>
      </c>
      <c r="AG2079" s="15">
        <v>45383</v>
      </c>
      <c r="AH2079" s="13" t="s">
        <v>41</v>
      </c>
      <c r="AI2079" s="13" t="s">
        <v>53</v>
      </c>
      <c r="AJ2079" s="13" t="str">
        <f>VLOOKUP(E2079,Precios!Z$2:AA$941,2,FALSE)</f>
        <v>Papel Higienico SWAN 50 metros</v>
      </c>
      <c r="AK2079" s="14">
        <f>VLOOKUP(E2079,Precios!Z$2:BB$941,3,FALSE)*F2079</f>
        <v>-6</v>
      </c>
      <c r="AL2079" s="17"/>
      <c r="AM2079" s="17"/>
      <c r="AN2079" s="17"/>
      <c r="AO2079" s="17"/>
      <c r="AP2079" s="17"/>
      <c r="AQ2079" s="17"/>
      <c r="AR2079" s="17"/>
      <c r="AS2079" s="17"/>
      <c r="AT2079" s="17"/>
      <c r="AU2079" s="17"/>
      <c r="AV2079" s="17"/>
    </row>
    <row r="2080" spans="1:48" ht="15.75" customHeight="1">
      <c r="A2080" s="21" t="s">
        <v>35</v>
      </c>
      <c r="B2080" s="23" t="s">
        <v>1692</v>
      </c>
      <c r="C2080" s="22">
        <v>45773</v>
      </c>
      <c r="D2080" s="23" t="s">
        <v>507</v>
      </c>
      <c r="E2080" s="23" t="s">
        <v>46</v>
      </c>
      <c r="F2080" s="21">
        <v>1</v>
      </c>
      <c r="G2080" s="12">
        <v>5500</v>
      </c>
      <c r="H2080" s="12">
        <v>5500</v>
      </c>
      <c r="I2080" s="23" t="s">
        <v>52</v>
      </c>
      <c r="J2080" s="23" t="s">
        <v>61</v>
      </c>
      <c r="K2080" s="24" t="s">
        <v>177</v>
      </c>
      <c r="L2080" s="24">
        <v>131</v>
      </c>
      <c r="M2080" s="12">
        <v>4621.8487394957983</v>
      </c>
      <c r="N2080" s="12">
        <v>4621.8487394957983</v>
      </c>
      <c r="O2080" s="12">
        <v>878.15126050420167</v>
      </c>
      <c r="P2080" s="13"/>
      <c r="Q2080" s="14">
        <v>2025</v>
      </c>
      <c r="R2080" s="15">
        <v>45383</v>
      </c>
      <c r="S2080" s="11" t="s">
        <v>364</v>
      </c>
      <c r="T2080" s="16">
        <v>500</v>
      </c>
      <c r="U2080" s="17"/>
      <c r="V2080" s="12">
        <v>1365.1260504201678</v>
      </c>
      <c r="W2080" s="12">
        <v>1365.1260504201678</v>
      </c>
      <c r="X2080" s="12">
        <v>0</v>
      </c>
      <c r="Y2080" s="18">
        <v>45768</v>
      </c>
      <c r="Z2080" s="13" t="s">
        <v>501</v>
      </c>
      <c r="AA2080" s="19" t="s">
        <v>373</v>
      </c>
      <c r="AB2080" s="13" t="s">
        <v>357</v>
      </c>
      <c r="AC2080" s="13" t="s">
        <v>383</v>
      </c>
      <c r="AD2080" s="20"/>
      <c r="AE2080" s="20"/>
      <c r="AF2080" s="13" t="s">
        <v>40</v>
      </c>
      <c r="AG2080" s="15">
        <v>45383</v>
      </c>
      <c r="AH2080" s="13" t="s">
        <v>41</v>
      </c>
      <c r="AI2080" s="13" t="s">
        <v>35</v>
      </c>
      <c r="AJ2080" s="13" t="str">
        <f>VLOOKUP(E2080,Precios!Z$2:AA$941,2,FALSE)</f>
        <v>Queso RUNCA Mantecoso</v>
      </c>
      <c r="AK2080" s="14">
        <f>VLOOKUP(E2080,Precios!Z$2:BB$941,3,FALSE)*F2080</f>
        <v>-0.5</v>
      </c>
      <c r="AL2080" s="17"/>
      <c r="AM2080" s="17"/>
      <c r="AN2080" s="17"/>
      <c r="AO2080" s="17"/>
      <c r="AP2080" s="17"/>
      <c r="AQ2080" s="17"/>
      <c r="AR2080" s="17"/>
      <c r="AS2080" s="17"/>
      <c r="AT2080" s="17"/>
      <c r="AU2080" s="17"/>
      <c r="AV2080" s="17"/>
    </row>
    <row r="2081" spans="1:48" ht="15.75" customHeight="1">
      <c r="A2081" s="21" t="s">
        <v>43</v>
      </c>
      <c r="B2081" s="23" t="s">
        <v>1692</v>
      </c>
      <c r="C2081" s="22">
        <v>45773</v>
      </c>
      <c r="D2081" s="23" t="s">
        <v>604</v>
      </c>
      <c r="E2081" s="23" t="s">
        <v>45</v>
      </c>
      <c r="F2081" s="21">
        <v>1</v>
      </c>
      <c r="G2081" s="12">
        <v>8299.9877571008819</v>
      </c>
      <c r="H2081" s="12">
        <v>8299.9877571008819</v>
      </c>
      <c r="I2081" s="23" t="s">
        <v>52</v>
      </c>
      <c r="J2081" s="23" t="s">
        <v>61</v>
      </c>
      <c r="K2081" s="24" t="s">
        <v>177</v>
      </c>
      <c r="L2081" s="24">
        <v>131</v>
      </c>
      <c r="M2081" s="12">
        <v>6974.7796278158676</v>
      </c>
      <c r="N2081" s="12">
        <v>6974.7796278158676</v>
      </c>
      <c r="O2081" s="12">
        <v>1325.2081292850144</v>
      </c>
      <c r="P2081" s="13"/>
      <c r="Q2081" s="14">
        <v>2025</v>
      </c>
      <c r="R2081" s="15">
        <v>45383</v>
      </c>
      <c r="S2081" s="11" t="s">
        <v>355</v>
      </c>
      <c r="T2081" s="16">
        <v>0</v>
      </c>
      <c r="U2081" s="17"/>
      <c r="V2081" s="12">
        <v>1277.7796278158667</v>
      </c>
      <c r="W2081" s="12">
        <v>1277.7796278158667</v>
      </c>
      <c r="X2081" s="12">
        <v>0</v>
      </c>
      <c r="Y2081" s="18">
        <v>45768</v>
      </c>
      <c r="Z2081" s="13" t="s">
        <v>501</v>
      </c>
      <c r="AA2081" s="23" t="s">
        <v>373</v>
      </c>
      <c r="AB2081" s="23" t="s">
        <v>357</v>
      </c>
      <c r="AC2081" s="23" t="s">
        <v>465</v>
      </c>
      <c r="AD2081" s="20"/>
      <c r="AE2081" s="20"/>
      <c r="AF2081" s="13" t="s">
        <v>40</v>
      </c>
      <c r="AG2081" s="15">
        <v>45383</v>
      </c>
      <c r="AH2081" s="13" t="s">
        <v>41</v>
      </c>
      <c r="AI2081" s="13" t="s">
        <v>43</v>
      </c>
      <c r="AJ2081" s="13" t="str">
        <f>VLOOKUP(E2081,Precios!Z$2:AA$941,2,FALSE)</f>
        <v>Bandeja Huevos EXTRA</v>
      </c>
      <c r="AK2081" s="14">
        <f>VLOOKUP(E2081,Precios!Z$2:BB$941,3,FALSE)*F2081</f>
        <v>-1</v>
      </c>
      <c r="AL2081" s="17"/>
      <c r="AM2081" s="17"/>
      <c r="AN2081" s="17"/>
      <c r="AO2081" s="17"/>
      <c r="AP2081" s="17"/>
      <c r="AQ2081" s="17"/>
      <c r="AR2081" s="17"/>
      <c r="AS2081" s="17"/>
      <c r="AT2081" s="17"/>
      <c r="AU2081" s="17"/>
      <c r="AV2081" s="17"/>
    </row>
    <row r="2082" spans="1:48" ht="15.75" customHeight="1">
      <c r="A2082" s="21" t="s">
        <v>35</v>
      </c>
      <c r="B2082" s="23" t="s">
        <v>1692</v>
      </c>
      <c r="C2082" s="22">
        <v>45773</v>
      </c>
      <c r="D2082" s="23" t="s">
        <v>598</v>
      </c>
      <c r="E2082" s="23" t="s">
        <v>46</v>
      </c>
      <c r="F2082" s="21">
        <v>1</v>
      </c>
      <c r="G2082" s="12">
        <v>5500</v>
      </c>
      <c r="H2082" s="12">
        <v>5500</v>
      </c>
      <c r="I2082" s="23" t="s">
        <v>52</v>
      </c>
      <c r="J2082" s="23" t="s">
        <v>61</v>
      </c>
      <c r="K2082" s="24" t="s">
        <v>177</v>
      </c>
      <c r="L2082" s="24">
        <v>131</v>
      </c>
      <c r="M2082" s="12">
        <v>4621.8487394957983</v>
      </c>
      <c r="N2082" s="12">
        <v>4621.8487394957983</v>
      </c>
      <c r="O2082" s="12">
        <v>878.15126050420167</v>
      </c>
      <c r="P2082" s="13"/>
      <c r="Q2082" s="14">
        <v>2025</v>
      </c>
      <c r="R2082" s="15">
        <v>45383</v>
      </c>
      <c r="S2082" s="11" t="s">
        <v>364</v>
      </c>
      <c r="T2082" s="16">
        <v>500</v>
      </c>
      <c r="U2082" s="17"/>
      <c r="V2082" s="12">
        <v>1365.1260504201678</v>
      </c>
      <c r="W2082" s="12">
        <v>1365.1260504201678</v>
      </c>
      <c r="X2082" s="12">
        <v>0</v>
      </c>
      <c r="Y2082" s="18">
        <v>45768</v>
      </c>
      <c r="Z2082" s="13" t="s">
        <v>501</v>
      </c>
      <c r="AA2082" s="19" t="s">
        <v>373</v>
      </c>
      <c r="AB2082" s="13" t="s">
        <v>357</v>
      </c>
      <c r="AC2082" s="13" t="s">
        <v>599</v>
      </c>
      <c r="AD2082" s="20"/>
      <c r="AE2082" s="20"/>
      <c r="AF2082" s="13" t="s">
        <v>40</v>
      </c>
      <c r="AG2082" s="15">
        <v>45383</v>
      </c>
      <c r="AH2082" s="13" t="s">
        <v>41</v>
      </c>
      <c r="AI2082" s="13" t="s">
        <v>35</v>
      </c>
      <c r="AJ2082" s="13" t="str">
        <f>VLOOKUP(E2082,Precios!Z$2:AA$941,2,FALSE)</f>
        <v>Queso RUNCA Mantecoso</v>
      </c>
      <c r="AK2082" s="14">
        <f>VLOOKUP(E2082,Precios!Z$2:BB$941,3,FALSE)*F2082</f>
        <v>-0.5</v>
      </c>
      <c r="AL2082" s="17"/>
      <c r="AM2082" s="17"/>
      <c r="AN2082" s="17"/>
      <c r="AO2082" s="17"/>
      <c r="AP2082" s="17"/>
      <c r="AQ2082" s="17"/>
      <c r="AR2082" s="17"/>
      <c r="AS2082" s="17"/>
      <c r="AT2082" s="17"/>
      <c r="AU2082" s="17"/>
      <c r="AV2082" s="17"/>
    </row>
    <row r="2083" spans="1:48" ht="15.75" customHeight="1">
      <c r="A2083" s="21" t="s">
        <v>43</v>
      </c>
      <c r="B2083" s="23" t="s">
        <v>1692</v>
      </c>
      <c r="C2083" s="22">
        <v>45773</v>
      </c>
      <c r="D2083" s="23" t="s">
        <v>598</v>
      </c>
      <c r="E2083" s="23" t="s">
        <v>45</v>
      </c>
      <c r="F2083" s="21">
        <v>1</v>
      </c>
      <c r="G2083" s="12">
        <v>8299.9877571008819</v>
      </c>
      <c r="H2083" s="12">
        <v>8299.9877571008819</v>
      </c>
      <c r="I2083" s="23" t="s">
        <v>52</v>
      </c>
      <c r="J2083" s="23" t="s">
        <v>61</v>
      </c>
      <c r="K2083" s="24" t="s">
        <v>177</v>
      </c>
      <c r="L2083" s="24">
        <v>131</v>
      </c>
      <c r="M2083" s="12">
        <v>6974.7796278158676</v>
      </c>
      <c r="N2083" s="12">
        <v>6974.7796278158676</v>
      </c>
      <c r="O2083" s="12">
        <v>1325.2081292850144</v>
      </c>
      <c r="P2083" s="13"/>
      <c r="Q2083" s="14">
        <v>2025</v>
      </c>
      <c r="R2083" s="15">
        <v>45383</v>
      </c>
      <c r="S2083" s="11" t="s">
        <v>355</v>
      </c>
      <c r="T2083" s="16">
        <v>0</v>
      </c>
      <c r="U2083" s="17"/>
      <c r="V2083" s="12">
        <v>1277.7796278158667</v>
      </c>
      <c r="W2083" s="12">
        <v>1277.7796278158667</v>
      </c>
      <c r="X2083" s="12">
        <v>0</v>
      </c>
      <c r="Y2083" s="18">
        <v>45768</v>
      </c>
      <c r="Z2083" s="13" t="s">
        <v>501</v>
      </c>
      <c r="AA2083" s="19" t="s">
        <v>373</v>
      </c>
      <c r="AB2083" s="13" t="s">
        <v>357</v>
      </c>
      <c r="AC2083" s="13" t="s">
        <v>599</v>
      </c>
      <c r="AD2083" s="20"/>
      <c r="AE2083" s="20"/>
      <c r="AF2083" s="13" t="s">
        <v>40</v>
      </c>
      <c r="AG2083" s="15">
        <v>45383</v>
      </c>
      <c r="AH2083" s="13" t="s">
        <v>41</v>
      </c>
      <c r="AI2083" s="13" t="s">
        <v>43</v>
      </c>
      <c r="AJ2083" s="13" t="str">
        <f>VLOOKUP(E2083,Precios!Z$2:AA$941,2,FALSE)</f>
        <v>Bandeja Huevos EXTRA</v>
      </c>
      <c r="AK2083" s="14">
        <f>VLOOKUP(E2083,Precios!Z$2:BB$941,3,FALSE)*F2083</f>
        <v>-1</v>
      </c>
      <c r="AL2083" s="17"/>
      <c r="AM2083" s="17"/>
      <c r="AN2083" s="17"/>
      <c r="AO2083" s="17"/>
      <c r="AP2083" s="17"/>
      <c r="AQ2083" s="17"/>
      <c r="AR2083" s="17"/>
      <c r="AS2083" s="17"/>
      <c r="AT2083" s="17"/>
      <c r="AU2083" s="17"/>
      <c r="AV2083" s="17"/>
    </row>
    <row r="2084" spans="1:48" ht="15.75" customHeight="1">
      <c r="A2084" s="21" t="s">
        <v>53</v>
      </c>
      <c r="B2084" s="23" t="s">
        <v>1692</v>
      </c>
      <c r="C2084" s="22">
        <v>45773</v>
      </c>
      <c r="D2084" s="23" t="s">
        <v>670</v>
      </c>
      <c r="E2084" s="23" t="s">
        <v>203</v>
      </c>
      <c r="F2084" s="21">
        <v>1</v>
      </c>
      <c r="G2084" s="12">
        <v>10000.38816108685</v>
      </c>
      <c r="H2084" s="12">
        <v>10000.38816108685</v>
      </c>
      <c r="I2084" s="23" t="s">
        <v>52</v>
      </c>
      <c r="J2084" s="23" t="s">
        <v>61</v>
      </c>
      <c r="K2084" s="24" t="s">
        <v>177</v>
      </c>
      <c r="L2084" s="24">
        <v>131</v>
      </c>
      <c r="M2084" s="12">
        <v>8403.6875303250854</v>
      </c>
      <c r="N2084" s="12">
        <v>8403.6875303250854</v>
      </c>
      <c r="O2084" s="12">
        <v>1596.7006307617648</v>
      </c>
      <c r="P2084" s="13"/>
      <c r="Q2084" s="14">
        <v>2025</v>
      </c>
      <c r="R2084" s="15">
        <v>45383</v>
      </c>
      <c r="S2084" s="11" t="s">
        <v>366</v>
      </c>
      <c r="T2084" s="16">
        <v>0</v>
      </c>
      <c r="U2084" s="17"/>
      <c r="V2084" s="12">
        <v>3207.6875303250836</v>
      </c>
      <c r="W2084" s="12">
        <v>3207.6875303250836</v>
      </c>
      <c r="X2084" s="12">
        <v>0</v>
      </c>
      <c r="Y2084" s="18">
        <v>45768</v>
      </c>
      <c r="Z2084" s="13" t="s">
        <v>501</v>
      </c>
      <c r="AA2084" s="19" t="s">
        <v>373</v>
      </c>
      <c r="AB2084" s="13" t="s">
        <v>357</v>
      </c>
      <c r="AC2084" s="13" t="s">
        <v>383</v>
      </c>
      <c r="AD2084" s="20"/>
      <c r="AE2084" s="20"/>
      <c r="AF2084" s="13" t="s">
        <v>40</v>
      </c>
      <c r="AG2084" s="15">
        <v>45383</v>
      </c>
      <c r="AH2084" s="13" t="s">
        <v>41</v>
      </c>
      <c r="AI2084" s="13" t="s">
        <v>53</v>
      </c>
      <c r="AJ2084" s="13" t="str">
        <f>VLOOKUP(E2084,Precios!Z$2:AA$941,2,FALSE)</f>
        <v>Papel Higienico ELITE 50 metros</v>
      </c>
      <c r="AK2084" s="14">
        <f>VLOOKUP(E2084,Precios!Z$2:BB$941,3,FALSE)*F2084</f>
        <v>-3</v>
      </c>
      <c r="AL2084" s="17"/>
      <c r="AM2084" s="17"/>
      <c r="AN2084" s="17"/>
      <c r="AO2084" s="17"/>
      <c r="AP2084" s="17"/>
      <c r="AQ2084" s="17"/>
      <c r="AR2084" s="17"/>
      <c r="AS2084" s="17"/>
      <c r="AT2084" s="17"/>
      <c r="AU2084" s="17"/>
      <c r="AV2084" s="17"/>
    </row>
    <row r="2085" spans="1:48" ht="15.75" customHeight="1">
      <c r="A2085" s="21" t="s">
        <v>53</v>
      </c>
      <c r="B2085" s="23" t="s">
        <v>1692</v>
      </c>
      <c r="C2085" s="22">
        <v>45773</v>
      </c>
      <c r="D2085" s="23" t="s">
        <v>670</v>
      </c>
      <c r="E2085" s="23" t="s">
        <v>339</v>
      </c>
      <c r="F2085" s="21">
        <v>1</v>
      </c>
      <c r="G2085" s="12">
        <v>4000.0000000000005</v>
      </c>
      <c r="H2085" s="12">
        <v>4000.0000000000005</v>
      </c>
      <c r="I2085" s="23" t="s">
        <v>52</v>
      </c>
      <c r="J2085" s="23" t="s">
        <v>61</v>
      </c>
      <c r="K2085" s="24" t="s">
        <v>177</v>
      </c>
      <c r="L2085" s="24">
        <v>131</v>
      </c>
      <c r="M2085" s="12">
        <v>3361.3445378151264</v>
      </c>
      <c r="N2085" s="12">
        <v>3361.3445378151264</v>
      </c>
      <c r="O2085" s="12">
        <v>638.65546218487407</v>
      </c>
      <c r="P2085" s="13"/>
      <c r="Q2085" s="14">
        <v>2025</v>
      </c>
      <c r="R2085" s="15">
        <v>45383</v>
      </c>
      <c r="S2085" s="11" t="s">
        <v>369</v>
      </c>
      <c r="T2085" s="16">
        <v>0</v>
      </c>
      <c r="U2085" s="17"/>
      <c r="V2085" s="12">
        <v>953.78151260504228</v>
      </c>
      <c r="W2085" s="12">
        <v>953.78151260504228</v>
      </c>
      <c r="X2085" s="12">
        <v>0</v>
      </c>
      <c r="Y2085" s="18">
        <v>45768</v>
      </c>
      <c r="Z2085" s="13" t="s">
        <v>501</v>
      </c>
      <c r="AA2085" s="19" t="s">
        <v>373</v>
      </c>
      <c r="AB2085" s="13" t="s">
        <v>357</v>
      </c>
      <c r="AC2085" s="13" t="s">
        <v>383</v>
      </c>
      <c r="AD2085" s="20"/>
      <c r="AE2085" s="20"/>
      <c r="AF2085" s="13" t="s">
        <v>40</v>
      </c>
      <c r="AG2085" s="15">
        <v>45383</v>
      </c>
      <c r="AH2085" s="13" t="s">
        <v>41</v>
      </c>
      <c r="AI2085" s="13" t="s">
        <v>53</v>
      </c>
      <c r="AJ2085" s="13" t="str">
        <f>VLOOKUP(E2085,Precios!Z$2:AA$941,2,FALSE)</f>
        <v>Toalla Papel NOVA 12 metros</v>
      </c>
      <c r="AK2085" s="14">
        <f>VLOOKUP(E2085,Precios!Z$2:BB$941,3,FALSE)*F2085</f>
        <v>-3</v>
      </c>
      <c r="AL2085" s="17"/>
      <c r="AM2085" s="17"/>
      <c r="AN2085" s="17"/>
      <c r="AO2085" s="17"/>
      <c r="AP2085" s="17"/>
      <c r="AQ2085" s="17"/>
      <c r="AR2085" s="17"/>
      <c r="AS2085" s="17"/>
      <c r="AT2085" s="17"/>
      <c r="AU2085" s="17"/>
      <c r="AV2085" s="17"/>
    </row>
    <row r="2086" spans="1:48" ht="15.75" customHeight="1">
      <c r="A2086" s="21" t="s">
        <v>53</v>
      </c>
      <c r="B2086" s="23" t="s">
        <v>1692</v>
      </c>
      <c r="C2086" s="22">
        <v>45773</v>
      </c>
      <c r="D2086" s="23" t="s">
        <v>670</v>
      </c>
      <c r="E2086" s="23" t="s">
        <v>70</v>
      </c>
      <c r="F2086" s="21">
        <v>1</v>
      </c>
      <c r="G2086" s="12">
        <v>5000.3257328990221</v>
      </c>
      <c r="H2086" s="12">
        <v>5000.3257328990221</v>
      </c>
      <c r="I2086" s="23" t="s">
        <v>52</v>
      </c>
      <c r="J2086" s="23" t="s">
        <v>61</v>
      </c>
      <c r="K2086" s="24" t="s">
        <v>177</v>
      </c>
      <c r="L2086" s="24">
        <v>131</v>
      </c>
      <c r="M2086" s="12">
        <v>4201.9543973941363</v>
      </c>
      <c r="N2086" s="12">
        <v>4201.9543973941363</v>
      </c>
      <c r="O2086" s="12">
        <v>798.37133550488579</v>
      </c>
      <c r="P2086" s="13"/>
      <c r="Q2086" s="14">
        <v>2025</v>
      </c>
      <c r="R2086" s="15">
        <v>45383</v>
      </c>
      <c r="S2086" s="11" t="s">
        <v>381</v>
      </c>
      <c r="T2086" s="16">
        <v>300</v>
      </c>
      <c r="U2086" s="17"/>
      <c r="V2086" s="12">
        <v>2008.9543973941363</v>
      </c>
      <c r="W2086" s="12">
        <v>2008.9543973941363</v>
      </c>
      <c r="X2086" s="12">
        <v>0</v>
      </c>
      <c r="Y2086" s="18">
        <v>45768</v>
      </c>
      <c r="Z2086" s="13" t="s">
        <v>501</v>
      </c>
      <c r="AA2086" s="19" t="s">
        <v>373</v>
      </c>
      <c r="AB2086" s="13" t="s">
        <v>357</v>
      </c>
      <c r="AC2086" s="13" t="s">
        <v>383</v>
      </c>
      <c r="AD2086" s="20"/>
      <c r="AE2086" s="20"/>
      <c r="AF2086" s="13" t="s">
        <v>40</v>
      </c>
      <c r="AG2086" s="15">
        <v>45383</v>
      </c>
      <c r="AH2086" s="13" t="s">
        <v>41</v>
      </c>
      <c r="AI2086" s="13" t="s">
        <v>53</v>
      </c>
      <c r="AJ2086" s="13" t="str">
        <f>VLOOKUP(E2086,Precios!Z$2:AA$941,2,FALSE)</f>
        <v>Servilletas SOFTQUALITY 300 unidades</v>
      </c>
      <c r="AK2086" s="14">
        <f>VLOOKUP(E2086,Precios!Z$2:BB$941,3,FALSE)*F2086</f>
        <v>-3</v>
      </c>
      <c r="AL2086" s="17"/>
      <c r="AM2086" s="17"/>
      <c r="AN2086" s="17"/>
      <c r="AO2086" s="17"/>
      <c r="AP2086" s="17"/>
      <c r="AQ2086" s="17"/>
      <c r="AR2086" s="17"/>
      <c r="AS2086" s="17"/>
      <c r="AT2086" s="17"/>
      <c r="AU2086" s="17"/>
      <c r="AV2086" s="17"/>
    </row>
    <row r="2087" spans="1:48" ht="15.75" customHeight="1">
      <c r="A2087" s="21" t="s">
        <v>56</v>
      </c>
      <c r="B2087" s="23" t="s">
        <v>1692</v>
      </c>
      <c r="C2087" s="22">
        <v>45773</v>
      </c>
      <c r="D2087" s="23" t="s">
        <v>116</v>
      </c>
      <c r="E2087" s="23" t="s">
        <v>190</v>
      </c>
      <c r="F2087" s="21">
        <v>1</v>
      </c>
      <c r="G2087" s="12">
        <v>2500</v>
      </c>
      <c r="H2087" s="12">
        <v>2500</v>
      </c>
      <c r="I2087" s="23" t="s">
        <v>52</v>
      </c>
      <c r="J2087" s="23" t="s">
        <v>61</v>
      </c>
      <c r="K2087" s="24" t="s">
        <v>177</v>
      </c>
      <c r="L2087" s="24">
        <v>131</v>
      </c>
      <c r="M2087" s="12">
        <v>2100.840336134454</v>
      </c>
      <c r="N2087" s="12">
        <v>2100.840336134454</v>
      </c>
      <c r="O2087" s="12">
        <v>399.15966386554601</v>
      </c>
      <c r="P2087" s="13"/>
      <c r="Q2087" s="14">
        <v>2025</v>
      </c>
      <c r="R2087" s="15">
        <v>45383</v>
      </c>
      <c r="S2087" s="11" t="s">
        <v>492</v>
      </c>
      <c r="T2087" s="16">
        <v>200</v>
      </c>
      <c r="U2087" s="17"/>
      <c r="V2087" s="12">
        <v>631.93277310924373</v>
      </c>
      <c r="W2087" s="12">
        <v>631.93277310924373</v>
      </c>
      <c r="X2087" s="12">
        <v>0</v>
      </c>
      <c r="Y2087" s="18">
        <v>45768</v>
      </c>
      <c r="Z2087" s="13" t="s">
        <v>501</v>
      </c>
      <c r="AA2087" s="19" t="s">
        <v>373</v>
      </c>
      <c r="AB2087" s="13" t="s">
        <v>357</v>
      </c>
      <c r="AC2087" s="13"/>
      <c r="AD2087" s="20"/>
      <c r="AE2087" s="20"/>
      <c r="AF2087" s="13" t="s">
        <v>40</v>
      </c>
      <c r="AG2087" s="15">
        <v>45383</v>
      </c>
      <c r="AH2087" s="13" t="s">
        <v>41</v>
      </c>
      <c r="AI2087" s="13" t="s">
        <v>56</v>
      </c>
      <c r="AJ2087" s="13" t="str">
        <f>VLOOKUP(E2087,Precios!Z$2:AA$941,2,FALSE)</f>
        <v>Mantequilla RUMAY</v>
      </c>
      <c r="AK2087" s="14">
        <f>VLOOKUP(E2087,Precios!Z$2:BB$941,3,FALSE)*F2087</f>
        <v>-1</v>
      </c>
      <c r="AL2087" s="17"/>
      <c r="AM2087" s="17"/>
      <c r="AN2087" s="17"/>
      <c r="AO2087" s="17"/>
      <c r="AP2087" s="17"/>
      <c r="AQ2087" s="17"/>
      <c r="AR2087" s="17"/>
      <c r="AS2087" s="17"/>
      <c r="AT2087" s="17"/>
      <c r="AU2087" s="17"/>
      <c r="AV2087" s="17"/>
    </row>
    <row r="2088" spans="1:48" ht="15.75" customHeight="1">
      <c r="A2088" s="21" t="s">
        <v>35</v>
      </c>
      <c r="B2088" s="23" t="s">
        <v>1692</v>
      </c>
      <c r="C2088" s="22">
        <v>45773</v>
      </c>
      <c r="D2088" s="23" t="s">
        <v>116</v>
      </c>
      <c r="E2088" s="23" t="s">
        <v>46</v>
      </c>
      <c r="F2088" s="21">
        <v>1</v>
      </c>
      <c r="G2088" s="12">
        <v>5500</v>
      </c>
      <c r="H2088" s="12">
        <v>5500</v>
      </c>
      <c r="I2088" s="23" t="s">
        <v>52</v>
      </c>
      <c r="J2088" s="23" t="s">
        <v>61</v>
      </c>
      <c r="K2088" s="24" t="s">
        <v>177</v>
      </c>
      <c r="L2088" s="24">
        <v>131</v>
      </c>
      <c r="M2088" s="12">
        <v>4621.8487394957983</v>
      </c>
      <c r="N2088" s="12">
        <v>4621.8487394957983</v>
      </c>
      <c r="O2088" s="12">
        <v>878.15126050420167</v>
      </c>
      <c r="P2088" s="13"/>
      <c r="Q2088" s="14">
        <v>2025</v>
      </c>
      <c r="R2088" s="15">
        <v>45383</v>
      </c>
      <c r="S2088" s="11" t="s">
        <v>364</v>
      </c>
      <c r="T2088" s="16">
        <v>500</v>
      </c>
      <c r="U2088" s="17"/>
      <c r="V2088" s="12">
        <v>1365.1260504201678</v>
      </c>
      <c r="W2088" s="12">
        <v>1365.1260504201678</v>
      </c>
      <c r="X2088" s="12">
        <v>0</v>
      </c>
      <c r="Y2088" s="18">
        <v>45768</v>
      </c>
      <c r="Z2088" s="13" t="s">
        <v>501</v>
      </c>
      <c r="AA2088" s="19" t="s">
        <v>373</v>
      </c>
      <c r="AB2088" s="13" t="s">
        <v>357</v>
      </c>
      <c r="AC2088" s="13"/>
      <c r="AD2088" s="20"/>
      <c r="AE2088" s="20"/>
      <c r="AF2088" s="13" t="s">
        <v>40</v>
      </c>
      <c r="AG2088" s="15">
        <v>45383</v>
      </c>
      <c r="AH2088" s="13" t="s">
        <v>41</v>
      </c>
      <c r="AI2088" s="13" t="s">
        <v>35</v>
      </c>
      <c r="AJ2088" s="13" t="str">
        <f>VLOOKUP(E2088,Precios!Z$2:AA$941,2,FALSE)</f>
        <v>Queso RUNCA Mantecoso</v>
      </c>
      <c r="AK2088" s="14">
        <f>VLOOKUP(E2088,Precios!Z$2:BB$941,3,FALSE)*F2088</f>
        <v>-0.5</v>
      </c>
      <c r="AL2088" s="17"/>
      <c r="AM2088" s="17"/>
      <c r="AN2088" s="17"/>
      <c r="AO2088" s="17"/>
      <c r="AP2088" s="17"/>
      <c r="AQ2088" s="17"/>
      <c r="AR2088" s="17"/>
      <c r="AS2088" s="17"/>
      <c r="AT2088" s="17"/>
      <c r="AU2088" s="17"/>
      <c r="AV2088" s="17"/>
    </row>
    <row r="2089" spans="1:48" ht="15.75" customHeight="1">
      <c r="A2089" s="21" t="s">
        <v>53</v>
      </c>
      <c r="B2089" s="23" t="s">
        <v>1692</v>
      </c>
      <c r="C2089" s="22">
        <v>45773</v>
      </c>
      <c r="D2089" s="23" t="s">
        <v>116</v>
      </c>
      <c r="E2089" s="23" t="s">
        <v>69</v>
      </c>
      <c r="F2089" s="21">
        <v>1</v>
      </c>
      <c r="G2089" s="12">
        <v>2999.9553810458683</v>
      </c>
      <c r="H2089" s="12">
        <v>2999.9553810458683</v>
      </c>
      <c r="I2089" s="23" t="s">
        <v>52</v>
      </c>
      <c r="J2089" s="23" t="s">
        <v>61</v>
      </c>
      <c r="K2089" s="24" t="s">
        <v>177</v>
      </c>
      <c r="L2089" s="24">
        <v>131</v>
      </c>
      <c r="M2089" s="12">
        <v>2520.9709084419064</v>
      </c>
      <c r="N2089" s="12">
        <v>2520.9709084419064</v>
      </c>
      <c r="O2089" s="12">
        <v>478.98447260396188</v>
      </c>
      <c r="P2089" s="13"/>
      <c r="Q2089" s="14">
        <v>2025</v>
      </c>
      <c r="R2089" s="15">
        <v>45383</v>
      </c>
      <c r="S2089" s="11" t="s">
        <v>376</v>
      </c>
      <c r="T2089" s="16">
        <v>0</v>
      </c>
      <c r="U2089" s="17"/>
      <c r="V2089" s="12">
        <v>825.97090844190598</v>
      </c>
      <c r="W2089" s="12">
        <v>825.97090844190598</v>
      </c>
      <c r="X2089" s="12">
        <v>0</v>
      </c>
      <c r="Y2089" s="18">
        <v>45768</v>
      </c>
      <c r="Z2089" s="13" t="s">
        <v>501</v>
      </c>
      <c r="AA2089" s="19" t="s">
        <v>373</v>
      </c>
      <c r="AB2089" s="13" t="s">
        <v>357</v>
      </c>
      <c r="AC2089" s="13"/>
      <c r="AD2089" s="20"/>
      <c r="AE2089" s="20"/>
      <c r="AF2089" s="13" t="s">
        <v>40</v>
      </c>
      <c r="AG2089" s="15">
        <v>45383</v>
      </c>
      <c r="AH2089" s="13" t="s">
        <v>41</v>
      </c>
      <c r="AI2089" s="13" t="s">
        <v>53</v>
      </c>
      <c r="AJ2089" s="13" t="str">
        <f>VLOOKUP(E2089,Precios!Z$2:AA$941,2,FALSE)</f>
        <v>Toalla Papel NOVA 70 metros</v>
      </c>
      <c r="AK2089" s="14">
        <f>VLOOKUP(E2089,Precios!Z$2:BB$941,3,FALSE)*F2089</f>
        <v>-1</v>
      </c>
      <c r="AL2089" s="17"/>
      <c r="AM2089" s="17"/>
      <c r="AN2089" s="17"/>
      <c r="AO2089" s="17"/>
      <c r="AP2089" s="17"/>
      <c r="AQ2089" s="17"/>
      <c r="AR2089" s="17"/>
      <c r="AS2089" s="17"/>
      <c r="AT2089" s="17"/>
      <c r="AU2089" s="17"/>
      <c r="AV2089" s="17"/>
    </row>
    <row r="2090" spans="1:48" ht="15.75" customHeight="1">
      <c r="A2090" s="21" t="s">
        <v>53</v>
      </c>
      <c r="B2090" s="23" t="s">
        <v>1692</v>
      </c>
      <c r="C2090" s="22">
        <v>45773</v>
      </c>
      <c r="D2090" s="23" t="s">
        <v>116</v>
      </c>
      <c r="E2090" s="23" t="s">
        <v>287</v>
      </c>
      <c r="F2090" s="21">
        <v>1</v>
      </c>
      <c r="G2090" s="12">
        <v>3499.8811343182206</v>
      </c>
      <c r="H2090" s="12">
        <v>3499.8811343182206</v>
      </c>
      <c r="I2090" s="23" t="s">
        <v>52</v>
      </c>
      <c r="J2090" s="23" t="s">
        <v>61</v>
      </c>
      <c r="K2090" s="24" t="s">
        <v>177</v>
      </c>
      <c r="L2090" s="24">
        <v>131</v>
      </c>
      <c r="M2090" s="12">
        <v>2941.0765834606896</v>
      </c>
      <c r="N2090" s="12">
        <v>2941.0765834606896</v>
      </c>
      <c r="O2090" s="12">
        <v>558.80455085753101</v>
      </c>
      <c r="P2090" s="13"/>
      <c r="Q2090" s="14">
        <v>2025</v>
      </c>
      <c r="R2090" s="15">
        <v>45383</v>
      </c>
      <c r="S2090" s="11" t="s">
        <v>366</v>
      </c>
      <c r="T2090" s="16">
        <v>0</v>
      </c>
      <c r="U2090" s="17"/>
      <c r="V2090" s="12">
        <v>1209.0765834606896</v>
      </c>
      <c r="W2090" s="12">
        <v>1209.0765834606896</v>
      </c>
      <c r="X2090" s="12">
        <v>0</v>
      </c>
      <c r="Y2090" s="18">
        <v>45768</v>
      </c>
      <c r="Z2090" s="13" t="s">
        <v>501</v>
      </c>
      <c r="AA2090" s="19" t="s">
        <v>373</v>
      </c>
      <c r="AB2090" s="13" t="s">
        <v>357</v>
      </c>
      <c r="AC2090" s="13"/>
      <c r="AD2090" s="20"/>
      <c r="AE2090" s="20"/>
      <c r="AF2090" s="13" t="s">
        <v>40</v>
      </c>
      <c r="AG2090" s="15">
        <v>45383</v>
      </c>
      <c r="AH2090" s="13" t="s">
        <v>41</v>
      </c>
      <c r="AI2090" s="13" t="s">
        <v>53</v>
      </c>
      <c r="AJ2090" s="13" t="str">
        <f>VLOOKUP(E2090,Precios!Z$2:AA$941,2,FALSE)</f>
        <v>Papel Higienico ELITE 50 metros</v>
      </c>
      <c r="AK2090" s="14">
        <f>VLOOKUP(E2090,Precios!Z$2:BB$941,3,FALSE)*F2090</f>
        <v>-1</v>
      </c>
      <c r="AL2090" s="17"/>
      <c r="AM2090" s="17"/>
      <c r="AN2090" s="17"/>
      <c r="AO2090" s="17"/>
      <c r="AP2090" s="17"/>
      <c r="AQ2090" s="17"/>
      <c r="AR2090" s="17"/>
      <c r="AS2090" s="17"/>
      <c r="AT2090" s="17"/>
      <c r="AU2090" s="17"/>
      <c r="AV2090" s="17"/>
    </row>
    <row r="2091" spans="1:48" ht="15.75" customHeight="1">
      <c r="A2091" s="21" t="s">
        <v>53</v>
      </c>
      <c r="B2091" s="23" t="s">
        <v>1692</v>
      </c>
      <c r="C2091" s="22">
        <v>45773</v>
      </c>
      <c r="D2091" s="23" t="s">
        <v>189</v>
      </c>
      <c r="E2091" s="23" t="s">
        <v>69</v>
      </c>
      <c r="F2091" s="21">
        <v>1</v>
      </c>
      <c r="G2091" s="12">
        <v>2999.9553810458683</v>
      </c>
      <c r="H2091" s="12">
        <v>2999.9553810458683</v>
      </c>
      <c r="I2091" s="23" t="s">
        <v>52</v>
      </c>
      <c r="J2091" s="23" t="s">
        <v>61</v>
      </c>
      <c r="K2091" s="24" t="s">
        <v>177</v>
      </c>
      <c r="L2091" s="24">
        <v>131</v>
      </c>
      <c r="M2091" s="12">
        <v>2520.9709084419064</v>
      </c>
      <c r="N2091" s="12">
        <v>2520.9709084419064</v>
      </c>
      <c r="O2091" s="12">
        <v>478.98447260396188</v>
      </c>
      <c r="P2091" s="13"/>
      <c r="Q2091" s="14">
        <v>2025</v>
      </c>
      <c r="R2091" s="15">
        <v>45383</v>
      </c>
      <c r="S2091" s="11" t="s">
        <v>376</v>
      </c>
      <c r="T2091" s="16">
        <v>0</v>
      </c>
      <c r="U2091" s="17"/>
      <c r="V2091" s="12">
        <v>825.97090844190598</v>
      </c>
      <c r="W2091" s="12">
        <v>825.97090844190598</v>
      </c>
      <c r="X2091" s="12">
        <v>0</v>
      </c>
      <c r="Y2091" s="18">
        <v>45768</v>
      </c>
      <c r="Z2091" s="13" t="s">
        <v>501</v>
      </c>
      <c r="AA2091" s="19" t="s">
        <v>361</v>
      </c>
      <c r="AB2091" s="13" t="s">
        <v>357</v>
      </c>
      <c r="AC2091" s="13" t="s">
        <v>362</v>
      </c>
      <c r="AD2091" s="20"/>
      <c r="AE2091" s="20"/>
      <c r="AF2091" s="13" t="s">
        <v>40</v>
      </c>
      <c r="AG2091" s="15">
        <v>45383</v>
      </c>
      <c r="AH2091" s="13" t="s">
        <v>41</v>
      </c>
      <c r="AI2091" s="13" t="s">
        <v>53</v>
      </c>
      <c r="AJ2091" s="13" t="str">
        <f>VLOOKUP(E2091,Precios!Z$2:AA$941,2,FALSE)</f>
        <v>Toalla Papel NOVA 70 metros</v>
      </c>
      <c r="AK2091" s="14">
        <f>VLOOKUP(E2091,Precios!Z$2:BB$941,3,FALSE)*F2091</f>
        <v>-1</v>
      </c>
      <c r="AL2091" s="17"/>
      <c r="AM2091" s="17"/>
      <c r="AN2091" s="17"/>
      <c r="AO2091" s="17"/>
      <c r="AP2091" s="17"/>
      <c r="AQ2091" s="17"/>
      <c r="AR2091" s="17"/>
      <c r="AS2091" s="17"/>
      <c r="AT2091" s="17"/>
      <c r="AU2091" s="17"/>
      <c r="AV2091" s="17"/>
    </row>
    <row r="2092" spans="1:48" ht="15.75" customHeight="1">
      <c r="A2092" s="21" t="s">
        <v>53</v>
      </c>
      <c r="B2092" s="23" t="s">
        <v>1692</v>
      </c>
      <c r="C2092" s="22">
        <v>45773</v>
      </c>
      <c r="D2092" s="23" t="s">
        <v>189</v>
      </c>
      <c r="E2092" s="23" t="s">
        <v>150</v>
      </c>
      <c r="F2092" s="21">
        <v>1</v>
      </c>
      <c r="G2092" s="12">
        <v>1799.8965445892823</v>
      </c>
      <c r="H2092" s="12">
        <v>1799.8965445892823</v>
      </c>
      <c r="I2092" s="23" t="s">
        <v>52</v>
      </c>
      <c r="J2092" s="23" t="s">
        <v>61</v>
      </c>
      <c r="K2092" s="24" t="s">
        <v>177</v>
      </c>
      <c r="L2092" s="24">
        <v>131</v>
      </c>
      <c r="M2092" s="12">
        <v>1512.518104696876</v>
      </c>
      <c r="N2092" s="12">
        <v>1512.518104696876</v>
      </c>
      <c r="O2092" s="12">
        <v>287.37843989240628</v>
      </c>
      <c r="P2092" s="13"/>
      <c r="Q2092" s="14">
        <v>2025</v>
      </c>
      <c r="R2092" s="15">
        <v>45383</v>
      </c>
      <c r="S2092" s="11" t="s">
        <v>381</v>
      </c>
      <c r="T2092" s="16">
        <v>300</v>
      </c>
      <c r="U2092" s="17"/>
      <c r="V2092" s="12">
        <v>781.51810469687575</v>
      </c>
      <c r="W2092" s="12">
        <v>781.51810469687575</v>
      </c>
      <c r="X2092" s="12">
        <v>0</v>
      </c>
      <c r="Y2092" s="18">
        <v>45768</v>
      </c>
      <c r="Z2092" s="13" t="s">
        <v>501</v>
      </c>
      <c r="AA2092" s="19" t="s">
        <v>361</v>
      </c>
      <c r="AB2092" s="13" t="s">
        <v>357</v>
      </c>
      <c r="AC2092" s="13" t="s">
        <v>362</v>
      </c>
      <c r="AD2092" s="20"/>
      <c r="AE2092" s="20"/>
      <c r="AF2092" s="13" t="s">
        <v>40</v>
      </c>
      <c r="AG2092" s="15">
        <v>45383</v>
      </c>
      <c r="AH2092" s="13" t="s">
        <v>41</v>
      </c>
      <c r="AI2092" s="13" t="s">
        <v>53</v>
      </c>
      <c r="AJ2092" s="13" t="str">
        <f>VLOOKUP(E2092,Precios!Z$2:AA$941,2,FALSE)</f>
        <v>Servilletas SOFTQUALITY 300 unidades</v>
      </c>
      <c r="AK2092" s="14">
        <f>VLOOKUP(E2092,Precios!Z$2:BB$941,3,FALSE)*F2092</f>
        <v>-1</v>
      </c>
      <c r="AL2092" s="17"/>
      <c r="AM2092" s="17"/>
      <c r="AN2092" s="17"/>
      <c r="AO2092" s="17"/>
      <c r="AP2092" s="17"/>
      <c r="AQ2092" s="17"/>
      <c r="AR2092" s="17"/>
      <c r="AS2092" s="17"/>
      <c r="AT2092" s="17"/>
      <c r="AU2092" s="17"/>
      <c r="AV2092" s="17"/>
    </row>
    <row r="2093" spans="1:48" ht="15.75" customHeight="1">
      <c r="A2093" s="21" t="s">
        <v>47</v>
      </c>
      <c r="B2093" s="23" t="s">
        <v>1692</v>
      </c>
      <c r="C2093" s="22">
        <v>45773</v>
      </c>
      <c r="D2093" s="23" t="s">
        <v>189</v>
      </c>
      <c r="E2093" s="23" t="s">
        <v>72</v>
      </c>
      <c r="F2093" s="21">
        <v>1</v>
      </c>
      <c r="G2093" s="12">
        <v>2750</v>
      </c>
      <c r="H2093" s="12">
        <v>2750</v>
      </c>
      <c r="I2093" s="23" t="s">
        <v>52</v>
      </c>
      <c r="J2093" s="23" t="s">
        <v>61</v>
      </c>
      <c r="K2093" s="24" t="s">
        <v>177</v>
      </c>
      <c r="L2093" s="24">
        <v>131</v>
      </c>
      <c r="M2093" s="12">
        <v>2310.9243697478992</v>
      </c>
      <c r="N2093" s="12">
        <v>2310.9243697478992</v>
      </c>
      <c r="O2093" s="12">
        <v>439.07563025210084</v>
      </c>
      <c r="P2093" s="13"/>
      <c r="Q2093" s="14">
        <v>2025</v>
      </c>
      <c r="R2093" s="15">
        <v>45383</v>
      </c>
      <c r="S2093" s="11" t="s">
        <v>372</v>
      </c>
      <c r="T2093" s="16">
        <v>0</v>
      </c>
      <c r="U2093" s="17"/>
      <c r="V2093" s="12">
        <v>663.86554621848722</v>
      </c>
      <c r="W2093" s="12">
        <v>663.86554621848722</v>
      </c>
      <c r="X2093" s="12">
        <v>0</v>
      </c>
      <c r="Y2093" s="18">
        <v>45768</v>
      </c>
      <c r="Z2093" s="13" t="s">
        <v>501</v>
      </c>
      <c r="AA2093" s="19" t="s">
        <v>361</v>
      </c>
      <c r="AB2093" s="13" t="s">
        <v>357</v>
      </c>
      <c r="AC2093" s="13" t="s">
        <v>362</v>
      </c>
      <c r="AD2093" s="20"/>
      <c r="AE2093" s="20"/>
      <c r="AF2093" s="13" t="s">
        <v>40</v>
      </c>
      <c r="AG2093" s="15">
        <v>45383</v>
      </c>
      <c r="AH2093" s="13" t="s">
        <v>41</v>
      </c>
      <c r="AI2093" s="13" t="s">
        <v>47</v>
      </c>
      <c r="AJ2093" s="13" t="str">
        <f>VLOOKUP(E2093,Precios!Z$2:AA$941,2,FALSE)</f>
        <v>Traperos Humedos VIRGINIA</v>
      </c>
      <c r="AK2093" s="14">
        <f>VLOOKUP(E2093,Precios!Z$2:BB$941,3,FALSE)*F2093</f>
        <v>-1</v>
      </c>
      <c r="AL2093" s="17"/>
      <c r="AM2093" s="17"/>
      <c r="AN2093" s="17"/>
      <c r="AO2093" s="17"/>
      <c r="AP2093" s="17"/>
      <c r="AQ2093" s="17"/>
      <c r="AR2093" s="17"/>
      <c r="AS2093" s="17"/>
      <c r="AT2093" s="17"/>
      <c r="AU2093" s="17"/>
      <c r="AV2093" s="17"/>
    </row>
    <row r="2094" spans="1:48" ht="15.75" customHeight="1">
      <c r="A2094" s="21" t="s">
        <v>35</v>
      </c>
      <c r="B2094" s="23" t="s">
        <v>1692</v>
      </c>
      <c r="C2094" s="22">
        <v>45773</v>
      </c>
      <c r="D2094" s="23" t="s">
        <v>189</v>
      </c>
      <c r="E2094" s="23" t="s">
        <v>46</v>
      </c>
      <c r="F2094" s="21">
        <v>1</v>
      </c>
      <c r="G2094" s="12">
        <v>5500</v>
      </c>
      <c r="H2094" s="12">
        <v>5500</v>
      </c>
      <c r="I2094" s="23" t="s">
        <v>52</v>
      </c>
      <c r="J2094" s="23" t="s">
        <v>61</v>
      </c>
      <c r="K2094" s="24" t="s">
        <v>177</v>
      </c>
      <c r="L2094" s="24">
        <v>131</v>
      </c>
      <c r="M2094" s="12">
        <v>4621.8487394957983</v>
      </c>
      <c r="N2094" s="12">
        <v>4621.8487394957983</v>
      </c>
      <c r="O2094" s="12">
        <v>878.15126050420167</v>
      </c>
      <c r="P2094" s="13"/>
      <c r="Q2094" s="14">
        <v>2025</v>
      </c>
      <c r="R2094" s="15">
        <v>45383</v>
      </c>
      <c r="S2094" s="11" t="s">
        <v>364</v>
      </c>
      <c r="T2094" s="16">
        <v>500</v>
      </c>
      <c r="U2094" s="17"/>
      <c r="V2094" s="12">
        <v>1365.1260504201678</v>
      </c>
      <c r="W2094" s="12">
        <v>1365.1260504201678</v>
      </c>
      <c r="X2094" s="12">
        <v>0</v>
      </c>
      <c r="Y2094" s="18">
        <v>45768</v>
      </c>
      <c r="Z2094" s="13" t="s">
        <v>501</v>
      </c>
      <c r="AA2094" s="19" t="s">
        <v>361</v>
      </c>
      <c r="AB2094" s="13" t="s">
        <v>357</v>
      </c>
      <c r="AC2094" s="13" t="s">
        <v>362</v>
      </c>
      <c r="AD2094" s="20"/>
      <c r="AE2094" s="20"/>
      <c r="AF2094" s="13" t="s">
        <v>40</v>
      </c>
      <c r="AG2094" s="15">
        <v>45383</v>
      </c>
      <c r="AH2094" s="13" t="s">
        <v>41</v>
      </c>
      <c r="AI2094" s="13" t="s">
        <v>35</v>
      </c>
      <c r="AJ2094" s="13" t="str">
        <f>VLOOKUP(E2094,Precios!Z$2:AA$941,2,FALSE)</f>
        <v>Queso RUNCA Mantecoso</v>
      </c>
      <c r="AK2094" s="14">
        <f>VLOOKUP(E2094,Precios!Z$2:BB$941,3,FALSE)*F2094</f>
        <v>-0.5</v>
      </c>
      <c r="AL2094" s="17"/>
      <c r="AM2094" s="17"/>
      <c r="AN2094" s="17"/>
      <c r="AO2094" s="17"/>
      <c r="AP2094" s="17"/>
      <c r="AQ2094" s="17"/>
      <c r="AR2094" s="17"/>
      <c r="AS2094" s="17"/>
      <c r="AT2094" s="17"/>
      <c r="AU2094" s="17"/>
      <c r="AV2094" s="17"/>
    </row>
    <row r="2095" spans="1:48" ht="15.75" customHeight="1">
      <c r="A2095" s="21" t="s">
        <v>43</v>
      </c>
      <c r="B2095" s="23" t="s">
        <v>1692</v>
      </c>
      <c r="C2095" s="22">
        <v>45773</v>
      </c>
      <c r="D2095" s="23" t="s">
        <v>189</v>
      </c>
      <c r="E2095" s="23" t="s">
        <v>45</v>
      </c>
      <c r="F2095" s="21">
        <v>1</v>
      </c>
      <c r="G2095" s="12">
        <v>8299.9877571008819</v>
      </c>
      <c r="H2095" s="12">
        <v>8299.9877571008819</v>
      </c>
      <c r="I2095" s="23" t="s">
        <v>52</v>
      </c>
      <c r="J2095" s="23" t="s">
        <v>61</v>
      </c>
      <c r="K2095" s="24" t="s">
        <v>177</v>
      </c>
      <c r="L2095" s="24">
        <v>131</v>
      </c>
      <c r="M2095" s="12">
        <v>6974.7796278158676</v>
      </c>
      <c r="N2095" s="12">
        <v>6974.7796278158676</v>
      </c>
      <c r="O2095" s="12">
        <v>1325.2081292850144</v>
      </c>
      <c r="P2095" s="13"/>
      <c r="Q2095" s="14">
        <v>2025</v>
      </c>
      <c r="R2095" s="15">
        <v>45383</v>
      </c>
      <c r="S2095" s="11" t="s">
        <v>355</v>
      </c>
      <c r="T2095" s="16">
        <v>0</v>
      </c>
      <c r="U2095" s="17"/>
      <c r="V2095" s="12">
        <v>1277.7796278158667</v>
      </c>
      <c r="W2095" s="12">
        <v>1277.7796278158667</v>
      </c>
      <c r="X2095" s="12">
        <v>0</v>
      </c>
      <c r="Y2095" s="18">
        <v>45768</v>
      </c>
      <c r="Z2095" s="13" t="s">
        <v>501</v>
      </c>
      <c r="AA2095" s="19" t="s">
        <v>361</v>
      </c>
      <c r="AB2095" s="13" t="s">
        <v>357</v>
      </c>
      <c r="AC2095" s="13" t="s">
        <v>362</v>
      </c>
      <c r="AD2095" s="20"/>
      <c r="AE2095" s="20"/>
      <c r="AF2095" s="13" t="s">
        <v>40</v>
      </c>
      <c r="AG2095" s="15">
        <v>45383</v>
      </c>
      <c r="AH2095" s="13" t="s">
        <v>41</v>
      </c>
      <c r="AI2095" s="13" t="s">
        <v>43</v>
      </c>
      <c r="AJ2095" s="13" t="str">
        <f>VLOOKUP(E2095,Precios!Z$2:AA$941,2,FALSE)</f>
        <v>Bandeja Huevos EXTRA</v>
      </c>
      <c r="AK2095" s="14">
        <f>VLOOKUP(E2095,Precios!Z$2:BB$941,3,FALSE)*F2095</f>
        <v>-1</v>
      </c>
      <c r="AL2095" s="17"/>
      <c r="AM2095" s="17"/>
      <c r="AN2095" s="17"/>
      <c r="AO2095" s="17"/>
      <c r="AP2095" s="17"/>
      <c r="AQ2095" s="17"/>
      <c r="AR2095" s="17"/>
      <c r="AS2095" s="17"/>
      <c r="AT2095" s="17"/>
      <c r="AU2095" s="17"/>
      <c r="AV2095" s="17"/>
    </row>
    <row r="2096" spans="1:48" ht="15.75" customHeight="1">
      <c r="A2096" s="21" t="s">
        <v>35</v>
      </c>
      <c r="B2096" s="23" t="s">
        <v>1692</v>
      </c>
      <c r="C2096" s="22">
        <v>45773</v>
      </c>
      <c r="D2096" s="23" t="s">
        <v>240</v>
      </c>
      <c r="E2096" s="23" t="s">
        <v>37</v>
      </c>
      <c r="F2096" s="21">
        <v>1</v>
      </c>
      <c r="G2096" s="12">
        <v>10500</v>
      </c>
      <c r="H2096" s="12">
        <v>10500</v>
      </c>
      <c r="I2096" s="23" t="s">
        <v>52</v>
      </c>
      <c r="J2096" s="23" t="s">
        <v>61</v>
      </c>
      <c r="K2096" s="24" t="s">
        <v>177</v>
      </c>
      <c r="L2096" s="24">
        <v>131</v>
      </c>
      <c r="M2096" s="12">
        <v>8823.5294117647063</v>
      </c>
      <c r="N2096" s="12">
        <v>8823.5294117647063</v>
      </c>
      <c r="O2096" s="12">
        <v>1676.4705882352937</v>
      </c>
      <c r="P2096" s="13"/>
      <c r="Q2096" s="14">
        <v>2025</v>
      </c>
      <c r="R2096" s="15">
        <v>45383</v>
      </c>
      <c r="S2096" s="11" t="s">
        <v>364</v>
      </c>
      <c r="T2096" s="16">
        <v>1000</v>
      </c>
      <c r="U2096" s="17"/>
      <c r="V2096" s="12">
        <v>2385.7142857142853</v>
      </c>
      <c r="W2096" s="12">
        <v>2385.7142857142853</v>
      </c>
      <c r="X2096" s="12">
        <v>0</v>
      </c>
      <c r="Y2096" s="18">
        <v>45768</v>
      </c>
      <c r="Z2096" s="13" t="s">
        <v>501</v>
      </c>
      <c r="AA2096" s="19" t="s">
        <v>373</v>
      </c>
      <c r="AB2096" s="13" t="s">
        <v>357</v>
      </c>
      <c r="AC2096" s="13" t="s">
        <v>383</v>
      </c>
      <c r="AD2096" s="20"/>
      <c r="AE2096" s="20"/>
      <c r="AF2096" s="13" t="s">
        <v>40</v>
      </c>
      <c r="AG2096" s="15">
        <v>45383</v>
      </c>
      <c r="AH2096" s="13" t="s">
        <v>41</v>
      </c>
      <c r="AI2096" s="13" t="s">
        <v>35</v>
      </c>
      <c r="AJ2096" s="13" t="str">
        <f>VLOOKUP(E2096,Precios!Z$2:AA$941,2,FALSE)</f>
        <v>Queso RUNCA Mantecoso</v>
      </c>
      <c r="AK2096" s="14">
        <f>VLOOKUP(E2096,Precios!Z$2:BB$941,3,FALSE)*F2096</f>
        <v>-1</v>
      </c>
      <c r="AL2096" s="17"/>
      <c r="AM2096" s="17"/>
      <c r="AN2096" s="17"/>
      <c r="AO2096" s="17"/>
      <c r="AP2096" s="17"/>
      <c r="AQ2096" s="17"/>
      <c r="AR2096" s="17"/>
      <c r="AS2096" s="17"/>
      <c r="AT2096" s="17"/>
      <c r="AU2096" s="17"/>
      <c r="AV2096" s="17"/>
    </row>
    <row r="2097" spans="1:48" ht="15.75" customHeight="1">
      <c r="A2097" s="21" t="s">
        <v>76</v>
      </c>
      <c r="B2097" s="23" t="s">
        <v>1692</v>
      </c>
      <c r="C2097" s="22">
        <v>45773</v>
      </c>
      <c r="D2097" s="23" t="s">
        <v>333</v>
      </c>
      <c r="E2097" s="23" t="s">
        <v>137</v>
      </c>
      <c r="F2097" s="21">
        <v>2</v>
      </c>
      <c r="G2097" s="12">
        <v>3500.0000000000005</v>
      </c>
      <c r="H2097" s="12">
        <v>7000.0000000000009</v>
      </c>
      <c r="I2097" s="23" t="s">
        <v>52</v>
      </c>
      <c r="J2097" s="23" t="s">
        <v>61</v>
      </c>
      <c r="K2097" s="24" t="s">
        <v>177</v>
      </c>
      <c r="L2097" s="24">
        <v>131</v>
      </c>
      <c r="M2097" s="12">
        <v>2941.1764705882356</v>
      </c>
      <c r="N2097" s="12">
        <v>5882.3529411764712</v>
      </c>
      <c r="O2097" s="12">
        <v>1117.6470588235297</v>
      </c>
      <c r="P2097" s="13"/>
      <c r="Q2097" s="14">
        <v>2025</v>
      </c>
      <c r="R2097" s="15">
        <v>45383</v>
      </c>
      <c r="S2097" s="11" t="s">
        <v>406</v>
      </c>
      <c r="T2097" s="16">
        <v>10</v>
      </c>
      <c r="U2097" s="17"/>
      <c r="V2097" s="12">
        <v>1697.4789915966394</v>
      </c>
      <c r="W2097" s="12">
        <v>1697.4789915966394</v>
      </c>
      <c r="X2097" s="12">
        <v>0</v>
      </c>
      <c r="Y2097" s="18">
        <v>45768</v>
      </c>
      <c r="Z2097" s="13" t="s">
        <v>501</v>
      </c>
      <c r="AA2097" s="19" t="s">
        <v>373</v>
      </c>
      <c r="AB2097" s="13" t="s">
        <v>357</v>
      </c>
      <c r="AC2097" s="13" t="s">
        <v>489</v>
      </c>
      <c r="AD2097" s="20"/>
      <c r="AE2097" s="20"/>
      <c r="AF2097" s="13" t="s">
        <v>40</v>
      </c>
      <c r="AG2097" s="15">
        <v>45383</v>
      </c>
      <c r="AH2097" s="13" t="s">
        <v>41</v>
      </c>
      <c r="AI2097" s="13" t="s">
        <v>76</v>
      </c>
      <c r="AJ2097" s="13" t="str">
        <f>VLOOKUP(E2097,Precios!Z$2:AA$941,2,FALSE)</f>
        <v>Detergente SPUM 5 Litros (Blanco)</v>
      </c>
      <c r="AK2097" s="14">
        <f>VLOOKUP(E2097,Precios!Z$2:BB$941,3,FALSE)*F2097</f>
        <v>-2</v>
      </c>
      <c r="AL2097" s="17"/>
      <c r="AM2097" s="17"/>
      <c r="AN2097" s="17"/>
      <c r="AO2097" s="17"/>
      <c r="AP2097" s="17"/>
      <c r="AQ2097" s="17"/>
      <c r="AR2097" s="17"/>
      <c r="AS2097" s="17"/>
      <c r="AT2097" s="17"/>
      <c r="AU2097" s="17"/>
      <c r="AV2097" s="17"/>
    </row>
    <row r="2098" spans="1:48" ht="15.75" customHeight="1">
      <c r="A2098" s="21" t="s">
        <v>76</v>
      </c>
      <c r="B2098" s="23" t="s">
        <v>1692</v>
      </c>
      <c r="C2098" s="22">
        <v>45773</v>
      </c>
      <c r="D2098" s="23" t="s">
        <v>333</v>
      </c>
      <c r="E2098" s="23" t="s">
        <v>77</v>
      </c>
      <c r="F2098" s="21">
        <v>2</v>
      </c>
      <c r="G2098" s="12">
        <v>1500.0000000000002</v>
      </c>
      <c r="H2098" s="12">
        <v>3000.0000000000005</v>
      </c>
      <c r="I2098" s="23" t="s">
        <v>52</v>
      </c>
      <c r="J2098" s="23" t="s">
        <v>61</v>
      </c>
      <c r="K2098" s="24" t="s">
        <v>177</v>
      </c>
      <c r="L2098" s="24">
        <v>131</v>
      </c>
      <c r="M2098" s="12">
        <v>1260.5042016806726</v>
      </c>
      <c r="N2098" s="12">
        <v>2521.0084033613452</v>
      </c>
      <c r="O2098" s="12">
        <v>478.99159663865521</v>
      </c>
      <c r="P2098" s="13"/>
      <c r="Q2098" s="14">
        <v>2025</v>
      </c>
      <c r="R2098" s="15">
        <v>45383</v>
      </c>
      <c r="S2098" s="11" t="s">
        <v>448</v>
      </c>
      <c r="T2098" s="16">
        <v>0</v>
      </c>
      <c r="U2098" s="17"/>
      <c r="V2098" s="12">
        <v>842.01680672268935</v>
      </c>
      <c r="W2098" s="12">
        <v>842.01680672268935</v>
      </c>
      <c r="X2098" s="12">
        <v>0</v>
      </c>
      <c r="Y2098" s="18">
        <v>45768</v>
      </c>
      <c r="Z2098" s="13" t="s">
        <v>501</v>
      </c>
      <c r="AA2098" s="19" t="s">
        <v>373</v>
      </c>
      <c r="AB2098" s="13" t="s">
        <v>357</v>
      </c>
      <c r="AC2098" s="13" t="s">
        <v>489</v>
      </c>
      <c r="AD2098" s="20"/>
      <c r="AE2098" s="20"/>
      <c r="AF2098" s="13" t="s">
        <v>40</v>
      </c>
      <c r="AG2098" s="15">
        <v>45383</v>
      </c>
      <c r="AH2098" s="13" t="s">
        <v>41</v>
      </c>
      <c r="AI2098" s="13" t="s">
        <v>76</v>
      </c>
      <c r="AJ2098" s="13" t="str">
        <f>VLOOKUP(E2098,Precios!Z$2:AA$941,2,FALSE)</f>
        <v>Cloro GEL IGENIX 900ml</v>
      </c>
      <c r="AK2098" s="14">
        <f>VLOOKUP(E2098,Precios!Z$2:BB$941,3,FALSE)*F2098</f>
        <v>-2</v>
      </c>
      <c r="AL2098" s="17"/>
      <c r="AM2098" s="17"/>
      <c r="AN2098" s="17"/>
      <c r="AO2098" s="17"/>
      <c r="AP2098" s="17"/>
      <c r="AQ2098" s="17"/>
      <c r="AR2098" s="17"/>
      <c r="AS2098" s="17"/>
      <c r="AT2098" s="17"/>
      <c r="AU2098" s="17"/>
      <c r="AV2098" s="17"/>
    </row>
    <row r="2099" spans="1:48" ht="15.75" customHeight="1">
      <c r="A2099" s="21" t="s">
        <v>35</v>
      </c>
      <c r="B2099" s="23" t="s">
        <v>1692</v>
      </c>
      <c r="C2099" s="22">
        <v>45772</v>
      </c>
      <c r="D2099" s="23" t="s">
        <v>179</v>
      </c>
      <c r="E2099" s="23" t="s">
        <v>46</v>
      </c>
      <c r="F2099" s="21">
        <v>1</v>
      </c>
      <c r="G2099" s="12">
        <v>5500</v>
      </c>
      <c r="H2099" s="12">
        <v>5500</v>
      </c>
      <c r="I2099" s="23" t="s">
        <v>52</v>
      </c>
      <c r="J2099" s="23" t="s">
        <v>61</v>
      </c>
      <c r="K2099" s="24" t="s">
        <v>177</v>
      </c>
      <c r="L2099" s="24">
        <v>131</v>
      </c>
      <c r="M2099" s="12">
        <v>4621.8487394957983</v>
      </c>
      <c r="N2099" s="12">
        <v>4621.8487394957983</v>
      </c>
      <c r="O2099" s="12">
        <v>878.15126050420167</v>
      </c>
      <c r="P2099" s="13"/>
      <c r="Q2099" s="14">
        <v>2025</v>
      </c>
      <c r="R2099" s="15">
        <v>45383</v>
      </c>
      <c r="S2099" s="11" t="s">
        <v>364</v>
      </c>
      <c r="T2099" s="16">
        <v>500</v>
      </c>
      <c r="U2099" s="17"/>
      <c r="V2099" s="12">
        <v>1365.1260504201678</v>
      </c>
      <c r="W2099" s="12">
        <v>1365.1260504201678</v>
      </c>
      <c r="X2099" s="12">
        <v>0</v>
      </c>
      <c r="Y2099" s="18">
        <v>45768</v>
      </c>
      <c r="Z2099" s="13" t="s">
        <v>503</v>
      </c>
      <c r="AA2099" s="19" t="s">
        <v>361</v>
      </c>
      <c r="AB2099" s="13" t="s">
        <v>357</v>
      </c>
      <c r="AC2099" s="13" t="s">
        <v>569</v>
      </c>
      <c r="AD2099" s="20"/>
      <c r="AE2099" s="20"/>
      <c r="AF2099" s="13" t="s">
        <v>40</v>
      </c>
      <c r="AG2099" s="15">
        <v>45383</v>
      </c>
      <c r="AH2099" s="13" t="s">
        <v>41</v>
      </c>
      <c r="AI2099" s="13" t="s">
        <v>35</v>
      </c>
      <c r="AJ2099" s="13" t="str">
        <f>VLOOKUP(E2099,Precios!Z$2:AA$941,2,FALSE)</f>
        <v>Queso RUNCA Mantecoso</v>
      </c>
      <c r="AK2099" s="14">
        <f>VLOOKUP(E2099,Precios!Z$2:BB$941,3,FALSE)*F2099</f>
        <v>-0.5</v>
      </c>
      <c r="AL2099" s="17"/>
      <c r="AM2099" s="17"/>
      <c r="AN2099" s="17"/>
      <c r="AO2099" s="17"/>
      <c r="AP2099" s="17"/>
      <c r="AQ2099" s="17"/>
      <c r="AR2099" s="17"/>
      <c r="AS2099" s="17"/>
      <c r="AT2099" s="17"/>
      <c r="AU2099" s="17"/>
      <c r="AV2099" s="17"/>
    </row>
    <row r="2100" spans="1:48" ht="15.75" customHeight="1">
      <c r="A2100" s="21" t="s">
        <v>73</v>
      </c>
      <c r="B2100" s="23" t="s">
        <v>1692</v>
      </c>
      <c r="C2100" s="22">
        <v>45772</v>
      </c>
      <c r="D2100" s="23" t="s">
        <v>671</v>
      </c>
      <c r="E2100" s="23" t="s">
        <v>91</v>
      </c>
      <c r="F2100" s="21">
        <v>1</v>
      </c>
      <c r="G2100" s="12">
        <v>2499.9999999999995</v>
      </c>
      <c r="H2100" s="12">
        <v>2499.9999999999995</v>
      </c>
      <c r="I2100" s="23" t="s">
        <v>52</v>
      </c>
      <c r="J2100" s="23" t="s">
        <v>61</v>
      </c>
      <c r="K2100" s="24" t="s">
        <v>177</v>
      </c>
      <c r="L2100" s="24">
        <v>131</v>
      </c>
      <c r="M2100" s="12">
        <v>2100.8403361344535</v>
      </c>
      <c r="N2100" s="12">
        <v>2100.8403361344535</v>
      </c>
      <c r="O2100" s="12">
        <v>399.15966386554601</v>
      </c>
      <c r="P2100" s="13"/>
      <c r="Q2100" s="14">
        <v>2025</v>
      </c>
      <c r="R2100" s="15">
        <v>45383</v>
      </c>
      <c r="S2100" s="11" t="s">
        <v>91</v>
      </c>
      <c r="T2100" s="16">
        <v>0</v>
      </c>
      <c r="U2100" s="17"/>
      <c r="V2100" s="12">
        <v>999.99999999999977</v>
      </c>
      <c r="W2100" s="12">
        <v>999.99999999999977</v>
      </c>
      <c r="X2100" s="12">
        <v>0</v>
      </c>
      <c r="Y2100" s="18">
        <v>45768</v>
      </c>
      <c r="Z2100" s="13" t="s">
        <v>503</v>
      </c>
      <c r="AA2100" s="19" t="s">
        <v>373</v>
      </c>
      <c r="AB2100" s="13" t="s">
        <v>357</v>
      </c>
      <c r="AC2100" s="13" t="s">
        <v>534</v>
      </c>
      <c r="AD2100" s="20"/>
      <c r="AE2100" s="20"/>
      <c r="AF2100" s="13" t="s">
        <v>40</v>
      </c>
      <c r="AG2100" s="15">
        <v>45383</v>
      </c>
      <c r="AH2100" s="13" t="s">
        <v>41</v>
      </c>
      <c r="AI2100" s="13" t="s">
        <v>73</v>
      </c>
      <c r="AJ2100" s="13" t="str">
        <f>VLOOKUP(E2100,Precios!Z$2:AA$941,2,FALSE)</f>
        <v>Cofias</v>
      </c>
      <c r="AK2100" s="14">
        <f>VLOOKUP(E2100,Precios!Z$2:BB$941,3,FALSE)*F2100</f>
        <v>-1</v>
      </c>
      <c r="AL2100" s="17"/>
      <c r="AM2100" s="17"/>
      <c r="AN2100" s="17"/>
      <c r="AO2100" s="17"/>
      <c r="AP2100" s="17"/>
      <c r="AQ2100" s="17"/>
      <c r="AR2100" s="17"/>
      <c r="AS2100" s="17"/>
      <c r="AT2100" s="17"/>
      <c r="AU2100" s="17"/>
      <c r="AV2100" s="17"/>
    </row>
    <row r="2101" spans="1:48" ht="15.75" customHeight="1">
      <c r="A2101" s="21" t="s">
        <v>73</v>
      </c>
      <c r="B2101" s="23" t="s">
        <v>1692</v>
      </c>
      <c r="C2101" s="22">
        <v>45772</v>
      </c>
      <c r="D2101" s="23" t="s">
        <v>244</v>
      </c>
      <c r="E2101" s="23" t="s">
        <v>90</v>
      </c>
      <c r="F2101" s="21">
        <v>4</v>
      </c>
      <c r="G2101" s="12">
        <v>4199.9020019599611</v>
      </c>
      <c r="H2101" s="12">
        <v>16799.608007839845</v>
      </c>
      <c r="I2101" s="23" t="s">
        <v>52</v>
      </c>
      <c r="J2101" s="23" t="s">
        <v>61</v>
      </c>
      <c r="K2101" s="24" t="s">
        <v>177</v>
      </c>
      <c r="L2101" s="24">
        <v>131</v>
      </c>
      <c r="M2101" s="12">
        <v>3529.3294134117323</v>
      </c>
      <c r="N2101" s="12">
        <v>14117.317653646929</v>
      </c>
      <c r="O2101" s="12">
        <v>2682.2903541929154</v>
      </c>
      <c r="P2101" s="13"/>
      <c r="Q2101" s="14">
        <v>2025</v>
      </c>
      <c r="R2101" s="15">
        <v>45383</v>
      </c>
      <c r="S2101" s="11" t="s">
        <v>424</v>
      </c>
      <c r="T2101" s="16">
        <v>0</v>
      </c>
      <c r="U2101" s="17"/>
      <c r="V2101" s="12">
        <v>4033.3176536469291</v>
      </c>
      <c r="W2101" s="12">
        <v>4033.3176536469291</v>
      </c>
      <c r="X2101" s="12">
        <v>0</v>
      </c>
      <c r="Y2101" s="18">
        <v>45768</v>
      </c>
      <c r="Z2101" s="13" t="s">
        <v>503</v>
      </c>
      <c r="AA2101" s="19" t="s">
        <v>373</v>
      </c>
      <c r="AB2101" s="13" t="s">
        <v>357</v>
      </c>
      <c r="AC2101" s="13" t="s">
        <v>465</v>
      </c>
      <c r="AD2101" s="20"/>
      <c r="AE2101" s="20"/>
      <c r="AF2101" s="13" t="s">
        <v>40</v>
      </c>
      <c r="AG2101" s="15">
        <v>45383</v>
      </c>
      <c r="AH2101" s="13" t="s">
        <v>41</v>
      </c>
      <c r="AI2101" s="13" t="s">
        <v>73</v>
      </c>
      <c r="AJ2101" s="13" t="str">
        <f>VLOOKUP(E2101,Precios!Z$2:AA$941,2,FALSE)</f>
        <v>Guante NITRILO Talla M</v>
      </c>
      <c r="AK2101" s="14">
        <f>VLOOKUP(E2101,Precios!Z$2:BB$941,3,FALSE)*F2101</f>
        <v>-4</v>
      </c>
      <c r="AL2101" s="17"/>
      <c r="AM2101" s="17"/>
      <c r="AN2101" s="17"/>
      <c r="AO2101" s="17"/>
      <c r="AP2101" s="17"/>
      <c r="AQ2101" s="17"/>
      <c r="AR2101" s="17"/>
      <c r="AS2101" s="17"/>
      <c r="AT2101" s="17"/>
      <c r="AU2101" s="17"/>
      <c r="AV2101" s="17"/>
    </row>
    <row r="2102" spans="1:48" ht="15.75" customHeight="1">
      <c r="A2102" s="21" t="s">
        <v>43</v>
      </c>
      <c r="B2102" s="23" t="s">
        <v>1692</v>
      </c>
      <c r="C2102" s="22">
        <v>45772</v>
      </c>
      <c r="D2102" s="23" t="s">
        <v>241</v>
      </c>
      <c r="E2102" s="23" t="s">
        <v>45</v>
      </c>
      <c r="F2102" s="21">
        <v>1</v>
      </c>
      <c r="G2102" s="12">
        <v>8299.9877571008819</v>
      </c>
      <c r="H2102" s="12">
        <v>8299.9877571008819</v>
      </c>
      <c r="I2102" s="23" t="s">
        <v>52</v>
      </c>
      <c r="J2102" s="23" t="s">
        <v>61</v>
      </c>
      <c r="K2102" s="24" t="s">
        <v>177</v>
      </c>
      <c r="L2102" s="24">
        <v>131</v>
      </c>
      <c r="M2102" s="12">
        <v>6974.7796278158676</v>
      </c>
      <c r="N2102" s="12">
        <v>6974.7796278158676</v>
      </c>
      <c r="O2102" s="12">
        <v>1325.2081292850144</v>
      </c>
      <c r="P2102" s="13"/>
      <c r="Q2102" s="14">
        <v>2025</v>
      </c>
      <c r="R2102" s="15">
        <v>45383</v>
      </c>
      <c r="S2102" s="11" t="s">
        <v>355</v>
      </c>
      <c r="T2102" s="16">
        <v>0</v>
      </c>
      <c r="U2102" s="17"/>
      <c r="V2102" s="12">
        <v>1277.7796278158667</v>
      </c>
      <c r="W2102" s="12">
        <v>1277.7796278158667</v>
      </c>
      <c r="X2102" s="12">
        <v>0</v>
      </c>
      <c r="Y2102" s="18">
        <v>45768</v>
      </c>
      <c r="Z2102" s="13" t="s">
        <v>503</v>
      </c>
      <c r="AA2102" s="19" t="s">
        <v>373</v>
      </c>
      <c r="AB2102" s="13" t="s">
        <v>357</v>
      </c>
      <c r="AC2102" s="13" t="s">
        <v>488</v>
      </c>
      <c r="AD2102" s="20"/>
      <c r="AE2102" s="20"/>
      <c r="AF2102" s="13" t="s">
        <v>40</v>
      </c>
      <c r="AG2102" s="15">
        <v>45383</v>
      </c>
      <c r="AH2102" s="13" t="s">
        <v>41</v>
      </c>
      <c r="AI2102" s="13" t="s">
        <v>43</v>
      </c>
      <c r="AJ2102" s="13" t="str">
        <f>VLOOKUP(E2102,Precios!Z$2:AA$941,2,FALSE)</f>
        <v>Bandeja Huevos EXTRA</v>
      </c>
      <c r="AK2102" s="14">
        <f>VLOOKUP(E2102,Precios!Z$2:BB$941,3,FALSE)*F2102</f>
        <v>-1</v>
      </c>
      <c r="AL2102" s="17"/>
      <c r="AM2102" s="17"/>
      <c r="AN2102" s="17"/>
      <c r="AO2102" s="17"/>
      <c r="AP2102" s="17"/>
      <c r="AQ2102" s="17"/>
      <c r="AR2102" s="17"/>
      <c r="AS2102" s="17"/>
      <c r="AT2102" s="17"/>
      <c r="AU2102" s="17"/>
      <c r="AV2102" s="17"/>
    </row>
    <row r="2103" spans="1:48" ht="15.75" customHeight="1">
      <c r="A2103" s="21" t="s">
        <v>35</v>
      </c>
      <c r="B2103" s="23" t="s">
        <v>1692</v>
      </c>
      <c r="C2103" s="22">
        <v>45772</v>
      </c>
      <c r="D2103" s="23" t="s">
        <v>241</v>
      </c>
      <c r="E2103" s="23" t="s">
        <v>37</v>
      </c>
      <c r="F2103" s="21">
        <v>1</v>
      </c>
      <c r="G2103" s="12">
        <v>10500</v>
      </c>
      <c r="H2103" s="12">
        <v>10500</v>
      </c>
      <c r="I2103" s="23" t="s">
        <v>52</v>
      </c>
      <c r="J2103" s="23" t="s">
        <v>61</v>
      </c>
      <c r="K2103" s="24" t="s">
        <v>177</v>
      </c>
      <c r="L2103" s="24">
        <v>131</v>
      </c>
      <c r="M2103" s="12">
        <v>8823.5294117647063</v>
      </c>
      <c r="N2103" s="12">
        <v>8823.5294117647063</v>
      </c>
      <c r="O2103" s="12">
        <v>1676.4705882352937</v>
      </c>
      <c r="P2103" s="13"/>
      <c r="Q2103" s="14">
        <v>2025</v>
      </c>
      <c r="R2103" s="15">
        <v>45383</v>
      </c>
      <c r="S2103" s="11" t="s">
        <v>364</v>
      </c>
      <c r="T2103" s="16">
        <v>1000</v>
      </c>
      <c r="U2103" s="17"/>
      <c r="V2103" s="12">
        <v>2385.7142857142853</v>
      </c>
      <c r="W2103" s="12">
        <v>2385.7142857142853</v>
      </c>
      <c r="X2103" s="12">
        <v>0</v>
      </c>
      <c r="Y2103" s="18">
        <v>45768</v>
      </c>
      <c r="Z2103" s="13" t="s">
        <v>503</v>
      </c>
      <c r="AA2103" s="19" t="s">
        <v>373</v>
      </c>
      <c r="AB2103" s="13" t="s">
        <v>357</v>
      </c>
      <c r="AC2103" s="13" t="s">
        <v>488</v>
      </c>
      <c r="AD2103" s="20"/>
      <c r="AE2103" s="20"/>
      <c r="AF2103" s="13" t="s">
        <v>40</v>
      </c>
      <c r="AG2103" s="15">
        <v>45383</v>
      </c>
      <c r="AH2103" s="13" t="s">
        <v>41</v>
      </c>
      <c r="AI2103" s="13" t="s">
        <v>35</v>
      </c>
      <c r="AJ2103" s="13" t="str">
        <f>VLOOKUP(E2103,Precios!Z$2:AA$941,2,FALSE)</f>
        <v>Queso RUNCA Mantecoso</v>
      </c>
      <c r="AK2103" s="14">
        <f>VLOOKUP(E2103,Precios!Z$2:BB$941,3,FALSE)*F2103</f>
        <v>-1</v>
      </c>
      <c r="AL2103" s="17"/>
      <c r="AM2103" s="17"/>
      <c r="AN2103" s="17"/>
      <c r="AO2103" s="17"/>
      <c r="AP2103" s="17"/>
      <c r="AQ2103" s="17"/>
      <c r="AR2103" s="17"/>
      <c r="AS2103" s="17"/>
      <c r="AT2103" s="17"/>
      <c r="AU2103" s="17"/>
      <c r="AV2103" s="17"/>
    </row>
    <row r="2104" spans="1:48" ht="15.75" customHeight="1">
      <c r="A2104" s="21" t="s">
        <v>53</v>
      </c>
      <c r="B2104" s="23" t="s">
        <v>1692</v>
      </c>
      <c r="C2104" s="22">
        <v>45772</v>
      </c>
      <c r="D2104" s="23" t="s">
        <v>227</v>
      </c>
      <c r="E2104" s="23" t="s">
        <v>55</v>
      </c>
      <c r="F2104" s="21">
        <v>1</v>
      </c>
      <c r="G2104" s="12">
        <v>20899.657794676805</v>
      </c>
      <c r="H2104" s="12">
        <v>20899.657794676805</v>
      </c>
      <c r="I2104" s="23" t="s">
        <v>52</v>
      </c>
      <c r="J2104" s="23" t="s">
        <v>61</v>
      </c>
      <c r="K2104" s="24" t="s">
        <v>177</v>
      </c>
      <c r="L2104" s="24">
        <v>131</v>
      </c>
      <c r="M2104" s="12">
        <v>17562.737642585551</v>
      </c>
      <c r="N2104" s="12">
        <v>17562.737642585551</v>
      </c>
      <c r="O2104" s="12">
        <v>3336.9201520912538</v>
      </c>
      <c r="P2104" s="13"/>
      <c r="Q2104" s="14">
        <v>2025</v>
      </c>
      <c r="R2104" s="15">
        <v>45383</v>
      </c>
      <c r="S2104" s="11" t="s">
        <v>366</v>
      </c>
      <c r="T2104" s="16">
        <v>0</v>
      </c>
      <c r="U2104" s="17"/>
      <c r="V2104" s="12">
        <v>3705.7376425855509</v>
      </c>
      <c r="W2104" s="12">
        <v>3705.7376425855509</v>
      </c>
      <c r="X2104" s="12">
        <v>0</v>
      </c>
      <c r="Y2104" s="18">
        <v>45768</v>
      </c>
      <c r="Z2104" s="13" t="s">
        <v>503</v>
      </c>
      <c r="AA2104" s="19" t="s">
        <v>361</v>
      </c>
      <c r="AB2104" s="13" t="s">
        <v>357</v>
      </c>
      <c r="AC2104" s="13" t="s">
        <v>393</v>
      </c>
      <c r="AD2104" s="20"/>
      <c r="AE2104" s="20"/>
      <c r="AF2104" s="13" t="s">
        <v>40</v>
      </c>
      <c r="AG2104" s="15">
        <v>45383</v>
      </c>
      <c r="AH2104" s="13" t="s">
        <v>41</v>
      </c>
      <c r="AI2104" s="13" t="s">
        <v>53</v>
      </c>
      <c r="AJ2104" s="13" t="str">
        <f>VLOOKUP(E2104,Precios!Z$2:AA$941,2,FALSE)</f>
        <v>Papel Higienico ELITE 50 metros</v>
      </c>
      <c r="AK2104" s="14">
        <f>VLOOKUP(E2104,Precios!Z$2:BB$941,3,FALSE)*F2104</f>
        <v>-8</v>
      </c>
      <c r="AL2104" s="17"/>
      <c r="AM2104" s="17"/>
      <c r="AN2104" s="17"/>
      <c r="AO2104" s="17"/>
      <c r="AP2104" s="17"/>
      <c r="AQ2104" s="17"/>
      <c r="AR2104" s="17"/>
      <c r="AS2104" s="17"/>
      <c r="AT2104" s="17"/>
      <c r="AU2104" s="17"/>
      <c r="AV2104" s="17"/>
    </row>
    <row r="2105" spans="1:48" ht="15.75" customHeight="1">
      <c r="A2105" s="21" t="s">
        <v>76</v>
      </c>
      <c r="B2105" s="23" t="s">
        <v>1692</v>
      </c>
      <c r="C2105" s="22">
        <v>45772</v>
      </c>
      <c r="D2105" s="23" t="s">
        <v>68</v>
      </c>
      <c r="E2105" s="23" t="s">
        <v>81</v>
      </c>
      <c r="F2105" s="21">
        <v>1</v>
      </c>
      <c r="G2105" s="12">
        <v>3500.0000000000005</v>
      </c>
      <c r="H2105" s="27">
        <v>3500.0000000000005</v>
      </c>
      <c r="I2105" s="23" t="s">
        <v>52</v>
      </c>
      <c r="J2105" s="23" t="s">
        <v>61</v>
      </c>
      <c r="K2105" s="24" t="s">
        <v>86</v>
      </c>
      <c r="L2105" s="24">
        <v>77</v>
      </c>
      <c r="M2105" s="12">
        <v>2941.1764705882356</v>
      </c>
      <c r="N2105" s="12">
        <v>2941.1764705882356</v>
      </c>
      <c r="O2105" s="12">
        <v>558.82352941176487</v>
      </c>
      <c r="P2105" s="13"/>
      <c r="Q2105" s="14">
        <v>2025</v>
      </c>
      <c r="R2105" s="15">
        <v>45383</v>
      </c>
      <c r="S2105" s="11" t="s">
        <v>397</v>
      </c>
      <c r="T2105" s="16">
        <v>5</v>
      </c>
      <c r="U2105" s="17"/>
      <c r="V2105" s="12">
        <v>764.70588235294144</v>
      </c>
      <c r="W2105" s="12">
        <v>764.70588235294144</v>
      </c>
      <c r="X2105" s="12">
        <v>0</v>
      </c>
      <c r="Y2105" s="18">
        <v>45768</v>
      </c>
      <c r="Z2105" s="13" t="s">
        <v>503</v>
      </c>
      <c r="AA2105" s="19" t="s">
        <v>361</v>
      </c>
      <c r="AB2105" s="13" t="s">
        <v>394</v>
      </c>
      <c r="AC2105" s="13" t="s">
        <v>383</v>
      </c>
      <c r="AD2105" s="20"/>
      <c r="AE2105" s="20"/>
      <c r="AF2105" s="13" t="s">
        <v>40</v>
      </c>
      <c r="AG2105" s="15">
        <v>45383</v>
      </c>
      <c r="AH2105" s="13" t="s">
        <v>41</v>
      </c>
      <c r="AI2105" s="13" t="s">
        <v>76</v>
      </c>
      <c r="AJ2105" s="13" t="str">
        <f>VLOOKUP(E2105,Precios!Z$2:AA$941,2,FALSE)</f>
        <v>Detergente SPUM 5 Litros (Verde)</v>
      </c>
      <c r="AK2105" s="14">
        <f>VLOOKUP(E2105,Precios!Z$2:BB$941,3,FALSE)*F2105</f>
        <v>-1</v>
      </c>
      <c r="AL2105" s="17"/>
      <c r="AM2105" s="17"/>
      <c r="AN2105" s="17"/>
      <c r="AO2105" s="17"/>
      <c r="AP2105" s="17"/>
      <c r="AQ2105" s="17"/>
      <c r="AR2105" s="17"/>
      <c r="AS2105" s="17"/>
      <c r="AT2105" s="17"/>
      <c r="AU2105" s="17"/>
      <c r="AV2105" s="17"/>
    </row>
    <row r="2106" spans="1:48" ht="15.75" customHeight="1">
      <c r="A2106" s="21" t="s">
        <v>43</v>
      </c>
      <c r="B2106" s="23" t="s">
        <v>1692</v>
      </c>
      <c r="C2106" s="22">
        <v>45772</v>
      </c>
      <c r="D2106" s="23" t="s">
        <v>68</v>
      </c>
      <c r="E2106" s="23" t="s">
        <v>45</v>
      </c>
      <c r="F2106" s="21">
        <v>1</v>
      </c>
      <c r="G2106" s="12">
        <v>8299.9877571008819</v>
      </c>
      <c r="H2106" s="27">
        <v>8299.9877571008819</v>
      </c>
      <c r="I2106" s="23" t="s">
        <v>52</v>
      </c>
      <c r="J2106" s="23" t="s">
        <v>61</v>
      </c>
      <c r="K2106" s="24" t="s">
        <v>86</v>
      </c>
      <c r="L2106" s="24">
        <v>77</v>
      </c>
      <c r="M2106" s="12">
        <v>6974.7796278158676</v>
      </c>
      <c r="N2106" s="12">
        <v>6974.7796278158676</v>
      </c>
      <c r="O2106" s="12">
        <v>1325.2081292850144</v>
      </c>
      <c r="P2106" s="13"/>
      <c r="Q2106" s="14">
        <v>2025</v>
      </c>
      <c r="R2106" s="15">
        <v>45383</v>
      </c>
      <c r="S2106" s="11" t="s">
        <v>355</v>
      </c>
      <c r="T2106" s="16">
        <v>0</v>
      </c>
      <c r="U2106" s="17"/>
      <c r="V2106" s="12">
        <v>1277.7796278158667</v>
      </c>
      <c r="W2106" s="12">
        <v>1277.7796278158667</v>
      </c>
      <c r="X2106" s="12">
        <v>0</v>
      </c>
      <c r="Y2106" s="18">
        <v>45768</v>
      </c>
      <c r="Z2106" s="13" t="s">
        <v>503</v>
      </c>
      <c r="AA2106" s="19" t="s">
        <v>361</v>
      </c>
      <c r="AB2106" s="13" t="s">
        <v>394</v>
      </c>
      <c r="AC2106" s="13" t="s">
        <v>383</v>
      </c>
      <c r="AD2106" s="20"/>
      <c r="AE2106" s="20"/>
      <c r="AF2106" s="13" t="s">
        <v>40</v>
      </c>
      <c r="AG2106" s="15">
        <v>45383</v>
      </c>
      <c r="AH2106" s="13" t="s">
        <v>41</v>
      </c>
      <c r="AI2106" s="13" t="s">
        <v>43</v>
      </c>
      <c r="AJ2106" s="13" t="str">
        <f>VLOOKUP(E2106,Precios!Z$2:AA$941,2,FALSE)</f>
        <v>Bandeja Huevos EXTRA</v>
      </c>
      <c r="AK2106" s="14">
        <f>VLOOKUP(E2106,Precios!Z$2:BB$941,3,FALSE)*F2106</f>
        <v>-1</v>
      </c>
      <c r="AL2106" s="17"/>
      <c r="AM2106" s="17"/>
      <c r="AN2106" s="17"/>
      <c r="AO2106" s="17"/>
      <c r="AP2106" s="17"/>
      <c r="AQ2106" s="17"/>
      <c r="AR2106" s="17"/>
      <c r="AS2106" s="17"/>
      <c r="AT2106" s="17"/>
      <c r="AU2106" s="17"/>
      <c r="AV2106" s="17"/>
    </row>
    <row r="2107" spans="1:48" ht="15.75" customHeight="1">
      <c r="A2107" s="21" t="s">
        <v>64</v>
      </c>
      <c r="B2107" s="23" t="s">
        <v>1692</v>
      </c>
      <c r="C2107" s="22">
        <v>45771</v>
      </c>
      <c r="D2107" s="23" t="s">
        <v>119</v>
      </c>
      <c r="E2107" s="23" t="s">
        <v>65</v>
      </c>
      <c r="F2107" s="21">
        <v>1</v>
      </c>
      <c r="G2107" s="12">
        <v>8199.8794599807134</v>
      </c>
      <c r="H2107" s="12">
        <v>8199.8794599807134</v>
      </c>
      <c r="I2107" s="23" t="s">
        <v>52</v>
      </c>
      <c r="J2107" s="23" t="s">
        <v>61</v>
      </c>
      <c r="K2107" s="24" t="s">
        <v>177</v>
      </c>
      <c r="L2107" s="24">
        <v>131</v>
      </c>
      <c r="M2107" s="12">
        <v>6890.6550083871543</v>
      </c>
      <c r="N2107" s="12">
        <v>6890.6550083871543</v>
      </c>
      <c r="O2107" s="12">
        <v>1309.224451593559</v>
      </c>
      <c r="P2107" s="13"/>
      <c r="Q2107" s="14">
        <v>2025</v>
      </c>
      <c r="R2107" s="15">
        <v>45383</v>
      </c>
      <c r="S2107" s="11" t="s">
        <v>64</v>
      </c>
      <c r="T2107" s="16">
        <v>1</v>
      </c>
      <c r="U2107" s="17"/>
      <c r="V2107" s="12">
        <v>1174.1676134291711</v>
      </c>
      <c r="W2107" s="12">
        <v>1174.1676134291711</v>
      </c>
      <c r="X2107" s="12">
        <v>0</v>
      </c>
      <c r="Y2107" s="18">
        <v>45768</v>
      </c>
      <c r="Z2107" s="13" t="s">
        <v>505</v>
      </c>
      <c r="AA2107" s="19" t="s">
        <v>373</v>
      </c>
      <c r="AB2107" s="13" t="s">
        <v>357</v>
      </c>
      <c r="AC2107" s="13" t="s">
        <v>629</v>
      </c>
      <c r="AD2107" s="20"/>
      <c r="AE2107" s="20"/>
      <c r="AF2107" s="13" t="s">
        <v>40</v>
      </c>
      <c r="AG2107" s="15">
        <v>45383</v>
      </c>
      <c r="AH2107" s="13" t="s">
        <v>41</v>
      </c>
      <c r="AI2107" s="13" t="s">
        <v>64</v>
      </c>
      <c r="AJ2107" s="13" t="str">
        <f>VLOOKUP(E2107,Precios!Z$2:AA$941,2,FALSE)</f>
        <v>Longanizas VILLABLANCA</v>
      </c>
      <c r="AK2107" s="14">
        <f>VLOOKUP(E2107,Precios!Z$2:BB$941,3,FALSE)*F2107</f>
        <v>-1</v>
      </c>
      <c r="AL2107" s="17"/>
      <c r="AM2107" s="17"/>
      <c r="AN2107" s="17"/>
      <c r="AO2107" s="17"/>
      <c r="AP2107" s="17"/>
      <c r="AQ2107" s="17"/>
      <c r="AR2107" s="17"/>
      <c r="AS2107" s="17"/>
      <c r="AT2107" s="17"/>
      <c r="AU2107" s="17"/>
      <c r="AV2107" s="17"/>
    </row>
    <row r="2108" spans="1:48" ht="15.75" customHeight="1">
      <c r="A2108" s="21" t="s">
        <v>53</v>
      </c>
      <c r="B2108" s="23" t="s">
        <v>1692</v>
      </c>
      <c r="C2108" s="22">
        <v>45771</v>
      </c>
      <c r="D2108" s="23" t="s">
        <v>168</v>
      </c>
      <c r="E2108" s="23" t="s">
        <v>163</v>
      </c>
      <c r="F2108" s="21">
        <v>1</v>
      </c>
      <c r="G2108" s="12">
        <v>18990</v>
      </c>
      <c r="H2108" s="12">
        <v>18990</v>
      </c>
      <c r="I2108" s="23" t="s">
        <v>52</v>
      </c>
      <c r="J2108" s="23" t="s">
        <v>61</v>
      </c>
      <c r="K2108" s="24" t="s">
        <v>177</v>
      </c>
      <c r="L2108" s="24">
        <v>131</v>
      </c>
      <c r="M2108" s="12">
        <v>15957.983193277312</v>
      </c>
      <c r="N2108" s="12">
        <v>15957.983193277312</v>
      </c>
      <c r="O2108" s="12">
        <v>3032.0168067226878</v>
      </c>
      <c r="P2108" s="13"/>
      <c r="Q2108" s="14">
        <v>2025</v>
      </c>
      <c r="R2108" s="15">
        <v>45383</v>
      </c>
      <c r="S2108" s="11" t="s">
        <v>435</v>
      </c>
      <c r="T2108" s="16">
        <v>0</v>
      </c>
      <c r="U2108" s="17"/>
      <c r="V2108" s="12">
        <v>4112.6050420168067</v>
      </c>
      <c r="W2108" s="12">
        <v>4112.6050420168067</v>
      </c>
      <c r="X2108" s="12">
        <v>0</v>
      </c>
      <c r="Y2108" s="18">
        <v>45768</v>
      </c>
      <c r="Z2108" s="13" t="s">
        <v>505</v>
      </c>
      <c r="AA2108" s="19" t="s">
        <v>361</v>
      </c>
      <c r="AB2108" s="13" t="s">
        <v>357</v>
      </c>
      <c r="AC2108" s="13" t="s">
        <v>405</v>
      </c>
      <c r="AD2108" s="20"/>
      <c r="AE2108" s="20"/>
      <c r="AF2108" s="13" t="s">
        <v>40</v>
      </c>
      <c r="AG2108" s="15">
        <v>45383</v>
      </c>
      <c r="AH2108" s="13" t="s">
        <v>41</v>
      </c>
      <c r="AI2108" s="13" t="s">
        <v>53</v>
      </c>
      <c r="AJ2108" s="13" t="str">
        <f>VLOOKUP(E2108,Precios!Z$2:AA$941,2,FALSE)</f>
        <v>Papel Higienico SWAN 50 metros</v>
      </c>
      <c r="AK2108" s="14">
        <f>VLOOKUP(E2108,Precios!Z$2:BB$941,3,FALSE)*F2108</f>
        <v>-8</v>
      </c>
      <c r="AL2108" s="17"/>
      <c r="AM2108" s="17"/>
      <c r="AN2108" s="17"/>
      <c r="AO2108" s="17"/>
      <c r="AP2108" s="17"/>
      <c r="AQ2108" s="17"/>
      <c r="AR2108" s="17"/>
      <c r="AS2108" s="17"/>
      <c r="AT2108" s="17"/>
      <c r="AU2108" s="17"/>
      <c r="AV2108" s="17"/>
    </row>
    <row r="2109" spans="1:48" ht="15.75" customHeight="1">
      <c r="A2109" s="21" t="s">
        <v>53</v>
      </c>
      <c r="B2109" s="23" t="s">
        <v>1692</v>
      </c>
      <c r="C2109" s="22">
        <v>45771</v>
      </c>
      <c r="D2109" s="23" t="s">
        <v>168</v>
      </c>
      <c r="E2109" s="23" t="s">
        <v>70</v>
      </c>
      <c r="F2109" s="21">
        <v>1</v>
      </c>
      <c r="G2109" s="12">
        <v>5000.3257328990221</v>
      </c>
      <c r="H2109" s="12">
        <v>5000.3257328990221</v>
      </c>
      <c r="I2109" s="23" t="s">
        <v>52</v>
      </c>
      <c r="J2109" s="23" t="s">
        <v>61</v>
      </c>
      <c r="K2109" s="24" t="s">
        <v>177</v>
      </c>
      <c r="L2109" s="24">
        <v>131</v>
      </c>
      <c r="M2109" s="12">
        <v>4201.9543973941363</v>
      </c>
      <c r="N2109" s="12">
        <v>4201.9543973941363</v>
      </c>
      <c r="O2109" s="12">
        <v>798.37133550488579</v>
      </c>
      <c r="P2109" s="13"/>
      <c r="Q2109" s="14">
        <v>2025</v>
      </c>
      <c r="R2109" s="15">
        <v>45383</v>
      </c>
      <c r="S2109" s="11" t="s">
        <v>381</v>
      </c>
      <c r="T2109" s="16">
        <v>300</v>
      </c>
      <c r="U2109" s="17"/>
      <c r="V2109" s="12">
        <v>2008.9543973941363</v>
      </c>
      <c r="W2109" s="12">
        <v>2008.9543973941363</v>
      </c>
      <c r="X2109" s="12">
        <v>0</v>
      </c>
      <c r="Y2109" s="18">
        <v>45768</v>
      </c>
      <c r="Z2109" s="13" t="s">
        <v>505</v>
      </c>
      <c r="AA2109" s="19" t="s">
        <v>361</v>
      </c>
      <c r="AB2109" s="13" t="s">
        <v>357</v>
      </c>
      <c r="AC2109" s="13" t="s">
        <v>405</v>
      </c>
      <c r="AD2109" s="20"/>
      <c r="AE2109" s="20"/>
      <c r="AF2109" s="13" t="s">
        <v>40</v>
      </c>
      <c r="AG2109" s="15">
        <v>45383</v>
      </c>
      <c r="AH2109" s="13" t="s">
        <v>41</v>
      </c>
      <c r="AI2109" s="13" t="s">
        <v>53</v>
      </c>
      <c r="AJ2109" s="13" t="str">
        <f>VLOOKUP(E2109,Precios!Z$2:AA$941,2,FALSE)</f>
        <v>Servilletas SOFTQUALITY 300 unidades</v>
      </c>
      <c r="AK2109" s="14">
        <f>VLOOKUP(E2109,Precios!Z$2:BB$941,3,FALSE)*F2109</f>
        <v>-3</v>
      </c>
      <c r="AL2109" s="17"/>
      <c r="AM2109" s="17"/>
      <c r="AN2109" s="17"/>
      <c r="AO2109" s="17"/>
      <c r="AP2109" s="17"/>
      <c r="AQ2109" s="17"/>
      <c r="AR2109" s="17"/>
      <c r="AS2109" s="17"/>
      <c r="AT2109" s="17"/>
      <c r="AU2109" s="17"/>
      <c r="AV2109" s="17"/>
    </row>
    <row r="2110" spans="1:48" ht="15.75" customHeight="1">
      <c r="A2110" s="21" t="s">
        <v>53</v>
      </c>
      <c r="B2110" s="23" t="s">
        <v>1692</v>
      </c>
      <c r="C2110" s="22">
        <v>45771</v>
      </c>
      <c r="D2110" s="23" t="s">
        <v>168</v>
      </c>
      <c r="E2110" s="23" t="s">
        <v>69</v>
      </c>
      <c r="F2110" s="21">
        <v>1</v>
      </c>
      <c r="G2110" s="12">
        <v>2999.9553810458683</v>
      </c>
      <c r="H2110" s="12">
        <v>2999.9553810458683</v>
      </c>
      <c r="I2110" s="23" t="s">
        <v>52</v>
      </c>
      <c r="J2110" s="23" t="s">
        <v>61</v>
      </c>
      <c r="K2110" s="24" t="s">
        <v>177</v>
      </c>
      <c r="L2110" s="24">
        <v>131</v>
      </c>
      <c r="M2110" s="12">
        <v>2520.9709084419064</v>
      </c>
      <c r="N2110" s="12">
        <v>2520.9709084419064</v>
      </c>
      <c r="O2110" s="12">
        <v>478.98447260396188</v>
      </c>
      <c r="P2110" s="13"/>
      <c r="Q2110" s="14">
        <v>2025</v>
      </c>
      <c r="R2110" s="15">
        <v>45383</v>
      </c>
      <c r="S2110" s="11" t="s">
        <v>376</v>
      </c>
      <c r="T2110" s="16">
        <v>0</v>
      </c>
      <c r="U2110" s="17"/>
      <c r="V2110" s="12">
        <v>825.97090844190598</v>
      </c>
      <c r="W2110" s="12">
        <v>825.97090844190598</v>
      </c>
      <c r="X2110" s="12">
        <v>0</v>
      </c>
      <c r="Y2110" s="18">
        <v>45768</v>
      </c>
      <c r="Z2110" s="13" t="s">
        <v>505</v>
      </c>
      <c r="AA2110" s="19" t="s">
        <v>361</v>
      </c>
      <c r="AB2110" s="13" t="s">
        <v>357</v>
      </c>
      <c r="AC2110" s="13" t="s">
        <v>405</v>
      </c>
      <c r="AD2110" s="20"/>
      <c r="AE2110" s="20"/>
      <c r="AF2110" s="13" t="s">
        <v>40</v>
      </c>
      <c r="AG2110" s="15">
        <v>45383</v>
      </c>
      <c r="AH2110" s="13" t="s">
        <v>41</v>
      </c>
      <c r="AI2110" s="13" t="s">
        <v>53</v>
      </c>
      <c r="AJ2110" s="13" t="str">
        <f>VLOOKUP(E2110,Precios!Z$2:AA$941,2,FALSE)</f>
        <v>Toalla Papel NOVA 70 metros</v>
      </c>
      <c r="AK2110" s="14">
        <f>VLOOKUP(E2110,Precios!Z$2:BB$941,3,FALSE)*F2110</f>
        <v>-1</v>
      </c>
      <c r="AL2110" s="17"/>
      <c r="AM2110" s="17"/>
      <c r="AN2110" s="17"/>
      <c r="AO2110" s="17"/>
      <c r="AP2110" s="17"/>
      <c r="AQ2110" s="17"/>
      <c r="AR2110" s="17"/>
      <c r="AS2110" s="17"/>
      <c r="AT2110" s="17"/>
      <c r="AU2110" s="17"/>
      <c r="AV2110" s="17"/>
    </row>
    <row r="2111" spans="1:48" ht="15.75" customHeight="1">
      <c r="A2111" s="21" t="s">
        <v>35</v>
      </c>
      <c r="B2111" s="23" t="s">
        <v>1692</v>
      </c>
      <c r="C2111" s="22">
        <v>45771</v>
      </c>
      <c r="D2111" s="23" t="s">
        <v>168</v>
      </c>
      <c r="E2111" s="23" t="s">
        <v>37</v>
      </c>
      <c r="F2111" s="21">
        <v>1</v>
      </c>
      <c r="G2111" s="12">
        <v>10500</v>
      </c>
      <c r="H2111" s="12">
        <v>10500</v>
      </c>
      <c r="I2111" s="23" t="s">
        <v>52</v>
      </c>
      <c r="J2111" s="23" t="s">
        <v>61</v>
      </c>
      <c r="K2111" s="24" t="s">
        <v>177</v>
      </c>
      <c r="L2111" s="24">
        <v>131</v>
      </c>
      <c r="M2111" s="12">
        <v>8823.5294117647063</v>
      </c>
      <c r="N2111" s="12">
        <v>8823.5294117647063</v>
      </c>
      <c r="O2111" s="12">
        <v>1676.4705882352937</v>
      </c>
      <c r="P2111" s="13"/>
      <c r="Q2111" s="14">
        <v>2025</v>
      </c>
      <c r="R2111" s="15">
        <v>45383</v>
      </c>
      <c r="S2111" s="11" t="s">
        <v>364</v>
      </c>
      <c r="T2111" s="16">
        <v>1000</v>
      </c>
      <c r="U2111" s="17"/>
      <c r="V2111" s="12">
        <v>2385.7142857142853</v>
      </c>
      <c r="W2111" s="12">
        <v>2385.7142857142853</v>
      </c>
      <c r="X2111" s="12">
        <v>0</v>
      </c>
      <c r="Y2111" s="18">
        <v>45768</v>
      </c>
      <c r="Z2111" s="13" t="s">
        <v>505</v>
      </c>
      <c r="AA2111" s="19" t="s">
        <v>361</v>
      </c>
      <c r="AB2111" s="13" t="s">
        <v>357</v>
      </c>
      <c r="AC2111" s="13" t="s">
        <v>405</v>
      </c>
      <c r="AD2111" s="20"/>
      <c r="AE2111" s="20"/>
      <c r="AF2111" s="13" t="s">
        <v>40</v>
      </c>
      <c r="AG2111" s="15">
        <v>45383</v>
      </c>
      <c r="AH2111" s="13" t="s">
        <v>41</v>
      </c>
      <c r="AI2111" s="13" t="s">
        <v>35</v>
      </c>
      <c r="AJ2111" s="13" t="str">
        <f>VLOOKUP(E2111,Precios!Z$2:AA$941,2,FALSE)</f>
        <v>Queso RUNCA Mantecoso</v>
      </c>
      <c r="AK2111" s="14">
        <f>VLOOKUP(E2111,Precios!Z$2:BB$941,3,FALSE)*F2111</f>
        <v>-1</v>
      </c>
      <c r="AL2111" s="17"/>
      <c r="AM2111" s="17"/>
      <c r="AN2111" s="17"/>
      <c r="AO2111" s="17"/>
      <c r="AP2111" s="17"/>
      <c r="AQ2111" s="17"/>
      <c r="AR2111" s="17"/>
      <c r="AS2111" s="17"/>
      <c r="AT2111" s="17"/>
      <c r="AU2111" s="17"/>
      <c r="AV2111" s="17"/>
    </row>
    <row r="2112" spans="1:48" ht="15.75" customHeight="1">
      <c r="A2112" s="21" t="s">
        <v>35</v>
      </c>
      <c r="B2112" s="23" t="s">
        <v>1692</v>
      </c>
      <c r="C2112" s="22">
        <v>45771</v>
      </c>
      <c r="D2112" s="23" t="s">
        <v>128</v>
      </c>
      <c r="E2112" s="23" t="s">
        <v>37</v>
      </c>
      <c r="F2112" s="21">
        <v>4</v>
      </c>
      <c r="G2112" s="12">
        <v>10500</v>
      </c>
      <c r="H2112" s="12">
        <v>42000</v>
      </c>
      <c r="I2112" s="23" t="s">
        <v>52</v>
      </c>
      <c r="J2112" s="23" t="s">
        <v>61</v>
      </c>
      <c r="K2112" s="24" t="s">
        <v>177</v>
      </c>
      <c r="L2112" s="24">
        <v>131</v>
      </c>
      <c r="M2112" s="12">
        <v>8823.5294117647063</v>
      </c>
      <c r="N2112" s="12">
        <v>35294.117647058825</v>
      </c>
      <c r="O2112" s="12">
        <v>6705.8823529411748</v>
      </c>
      <c r="P2112" s="13"/>
      <c r="Q2112" s="14">
        <v>2025</v>
      </c>
      <c r="R2112" s="15">
        <v>45383</v>
      </c>
      <c r="S2112" s="11" t="s">
        <v>364</v>
      </c>
      <c r="T2112" s="16">
        <v>4000</v>
      </c>
      <c r="U2112" s="17"/>
      <c r="V2112" s="12">
        <v>9542.8571428571413</v>
      </c>
      <c r="W2112" s="12">
        <v>9542.8571428571413</v>
      </c>
      <c r="X2112" s="12">
        <v>0</v>
      </c>
      <c r="Y2112" s="18">
        <v>45768</v>
      </c>
      <c r="Z2112" s="13" t="s">
        <v>505</v>
      </c>
      <c r="AA2112" s="19" t="s">
        <v>373</v>
      </c>
      <c r="AB2112" s="13" t="s">
        <v>357</v>
      </c>
      <c r="AC2112" s="13" t="s">
        <v>405</v>
      </c>
      <c r="AD2112" s="20"/>
      <c r="AE2112" s="20"/>
      <c r="AF2112" s="13" t="s">
        <v>40</v>
      </c>
      <c r="AG2112" s="15">
        <v>45383</v>
      </c>
      <c r="AH2112" s="13" t="s">
        <v>41</v>
      </c>
      <c r="AI2112" s="13" t="s">
        <v>35</v>
      </c>
      <c r="AJ2112" s="13" t="str">
        <f>VLOOKUP(E2112,Precios!Z$2:AA$941,2,FALSE)</f>
        <v>Queso RUNCA Mantecoso</v>
      </c>
      <c r="AK2112" s="14">
        <f>VLOOKUP(E2112,Precios!Z$2:BB$941,3,FALSE)*F2112</f>
        <v>-4</v>
      </c>
      <c r="AL2112" s="17"/>
      <c r="AM2112" s="17"/>
      <c r="AN2112" s="17"/>
      <c r="AO2112" s="17"/>
      <c r="AP2112" s="17"/>
      <c r="AQ2112" s="17"/>
      <c r="AR2112" s="17"/>
      <c r="AS2112" s="17"/>
      <c r="AT2112" s="17"/>
      <c r="AU2112" s="17"/>
      <c r="AV2112" s="17"/>
    </row>
    <row r="2113" spans="1:48" ht="15.75" customHeight="1">
      <c r="A2113" s="21" t="s">
        <v>35</v>
      </c>
      <c r="B2113" s="23" t="s">
        <v>1692</v>
      </c>
      <c r="C2113" s="22">
        <v>45771</v>
      </c>
      <c r="D2113" s="23" t="s">
        <v>128</v>
      </c>
      <c r="E2113" s="23" t="s">
        <v>46</v>
      </c>
      <c r="F2113" s="21">
        <v>1</v>
      </c>
      <c r="G2113" s="12">
        <v>5500</v>
      </c>
      <c r="H2113" s="12">
        <v>5500</v>
      </c>
      <c r="I2113" s="23" t="s">
        <v>52</v>
      </c>
      <c r="J2113" s="23" t="s">
        <v>61</v>
      </c>
      <c r="K2113" s="24" t="s">
        <v>177</v>
      </c>
      <c r="L2113" s="24">
        <v>131</v>
      </c>
      <c r="M2113" s="12">
        <v>4621.8487394957983</v>
      </c>
      <c r="N2113" s="12">
        <v>4621.8487394957983</v>
      </c>
      <c r="O2113" s="12">
        <v>878.15126050420167</v>
      </c>
      <c r="P2113" s="13"/>
      <c r="Q2113" s="14">
        <v>2025</v>
      </c>
      <c r="R2113" s="15">
        <v>45383</v>
      </c>
      <c r="S2113" s="11" t="s">
        <v>364</v>
      </c>
      <c r="T2113" s="16">
        <v>500</v>
      </c>
      <c r="U2113" s="17"/>
      <c r="V2113" s="12">
        <v>1365.1260504201678</v>
      </c>
      <c r="W2113" s="12">
        <v>1365.1260504201678</v>
      </c>
      <c r="X2113" s="12">
        <v>0</v>
      </c>
      <c r="Y2113" s="18">
        <v>45768</v>
      </c>
      <c r="Z2113" s="13" t="s">
        <v>505</v>
      </c>
      <c r="AA2113" s="19" t="s">
        <v>373</v>
      </c>
      <c r="AB2113" s="13" t="s">
        <v>357</v>
      </c>
      <c r="AC2113" s="13" t="s">
        <v>405</v>
      </c>
      <c r="AD2113" s="20"/>
      <c r="AE2113" s="20"/>
      <c r="AF2113" s="13" t="s">
        <v>40</v>
      </c>
      <c r="AG2113" s="15">
        <v>45383</v>
      </c>
      <c r="AH2113" s="13" t="s">
        <v>41</v>
      </c>
      <c r="AI2113" s="13" t="s">
        <v>35</v>
      </c>
      <c r="AJ2113" s="13" t="str">
        <f>VLOOKUP(E2113,Precios!Z$2:AA$941,2,FALSE)</f>
        <v>Queso RUNCA Mantecoso</v>
      </c>
      <c r="AK2113" s="14">
        <f>VLOOKUP(E2113,Precios!Z$2:BB$941,3,FALSE)*F2113</f>
        <v>-0.5</v>
      </c>
      <c r="AL2113" s="17"/>
      <c r="AM2113" s="17"/>
      <c r="AN2113" s="17"/>
      <c r="AO2113" s="17"/>
      <c r="AP2113" s="17"/>
      <c r="AQ2113" s="17"/>
      <c r="AR2113" s="17"/>
      <c r="AS2113" s="17"/>
      <c r="AT2113" s="17"/>
      <c r="AU2113" s="17"/>
      <c r="AV2113" s="17"/>
    </row>
    <row r="2114" spans="1:48" ht="15.75" customHeight="1">
      <c r="A2114" s="21" t="s">
        <v>43</v>
      </c>
      <c r="B2114" s="23" t="s">
        <v>1692</v>
      </c>
      <c r="C2114" s="22">
        <v>45771</v>
      </c>
      <c r="D2114" s="23" t="s">
        <v>146</v>
      </c>
      <c r="E2114" s="23" t="s">
        <v>45</v>
      </c>
      <c r="F2114" s="21">
        <v>1</v>
      </c>
      <c r="G2114" s="12">
        <v>8299.9877571008819</v>
      </c>
      <c r="H2114" s="12">
        <v>8299.9877571008819</v>
      </c>
      <c r="I2114" s="23" t="s">
        <v>52</v>
      </c>
      <c r="J2114" s="23" t="s">
        <v>61</v>
      </c>
      <c r="K2114" s="24" t="s">
        <v>177</v>
      </c>
      <c r="L2114" s="24">
        <v>131</v>
      </c>
      <c r="M2114" s="12">
        <v>6974.7796278158676</v>
      </c>
      <c r="N2114" s="12">
        <v>6974.7796278158676</v>
      </c>
      <c r="O2114" s="12">
        <v>1325.2081292850144</v>
      </c>
      <c r="P2114" s="13"/>
      <c r="Q2114" s="14">
        <v>2025</v>
      </c>
      <c r="R2114" s="15">
        <v>45383</v>
      </c>
      <c r="S2114" s="11" t="s">
        <v>355</v>
      </c>
      <c r="T2114" s="16">
        <v>0</v>
      </c>
      <c r="U2114" s="17"/>
      <c r="V2114" s="12">
        <v>1277.7796278158667</v>
      </c>
      <c r="W2114" s="12">
        <v>1277.7796278158667</v>
      </c>
      <c r="X2114" s="12">
        <v>0</v>
      </c>
      <c r="Y2114" s="18">
        <v>45768</v>
      </c>
      <c r="Z2114" s="13" t="s">
        <v>505</v>
      </c>
      <c r="AA2114" s="19" t="s">
        <v>373</v>
      </c>
      <c r="AB2114" s="13" t="s">
        <v>357</v>
      </c>
      <c r="AC2114" s="13" t="s">
        <v>374</v>
      </c>
      <c r="AD2114" s="20"/>
      <c r="AE2114" s="20"/>
      <c r="AF2114" s="13" t="s">
        <v>40</v>
      </c>
      <c r="AG2114" s="15">
        <v>45383</v>
      </c>
      <c r="AH2114" s="13" t="s">
        <v>41</v>
      </c>
      <c r="AI2114" s="13" t="s">
        <v>43</v>
      </c>
      <c r="AJ2114" s="13" t="str">
        <f>VLOOKUP(E2114,Precios!Z$2:AA$941,2,FALSE)</f>
        <v>Bandeja Huevos EXTRA</v>
      </c>
      <c r="AK2114" s="14">
        <f>VLOOKUP(E2114,Precios!Z$2:BB$941,3,FALSE)*F2114</f>
        <v>-1</v>
      </c>
      <c r="AL2114" s="17"/>
      <c r="AM2114" s="17"/>
      <c r="AN2114" s="17"/>
      <c r="AO2114" s="17"/>
      <c r="AP2114" s="17"/>
      <c r="AQ2114" s="17"/>
      <c r="AR2114" s="17"/>
      <c r="AS2114" s="17"/>
      <c r="AT2114" s="17"/>
      <c r="AU2114" s="17"/>
      <c r="AV2114" s="17"/>
    </row>
    <row r="2115" spans="1:48" ht="15.75" customHeight="1">
      <c r="A2115" s="21" t="s">
        <v>76</v>
      </c>
      <c r="B2115" s="23" t="s">
        <v>1692</v>
      </c>
      <c r="C2115" s="22">
        <v>45771</v>
      </c>
      <c r="D2115" s="23" t="s">
        <v>80</v>
      </c>
      <c r="E2115" s="23" t="s">
        <v>81</v>
      </c>
      <c r="F2115" s="21">
        <v>1</v>
      </c>
      <c r="G2115" s="12">
        <v>3500.0000000000005</v>
      </c>
      <c r="H2115" s="12">
        <v>3500.0000000000005</v>
      </c>
      <c r="I2115" s="23" t="s">
        <v>52</v>
      </c>
      <c r="J2115" s="23" t="s">
        <v>61</v>
      </c>
      <c r="K2115" s="24" t="s">
        <v>177</v>
      </c>
      <c r="L2115" s="24">
        <v>131</v>
      </c>
      <c r="M2115" s="12">
        <v>2941.1764705882356</v>
      </c>
      <c r="N2115" s="12">
        <v>2941.1764705882356</v>
      </c>
      <c r="O2115" s="12">
        <v>558.82352941176487</v>
      </c>
      <c r="P2115" s="13"/>
      <c r="Q2115" s="14">
        <v>2025</v>
      </c>
      <c r="R2115" s="15">
        <v>45383</v>
      </c>
      <c r="S2115" s="11" t="s">
        <v>397</v>
      </c>
      <c r="T2115" s="16">
        <v>5</v>
      </c>
      <c r="U2115" s="17"/>
      <c r="V2115" s="12">
        <v>764.70588235294144</v>
      </c>
      <c r="W2115" s="12">
        <v>764.70588235294144</v>
      </c>
      <c r="X2115" s="12">
        <v>0</v>
      </c>
      <c r="Y2115" s="18">
        <v>45768</v>
      </c>
      <c r="Z2115" s="13" t="s">
        <v>505</v>
      </c>
      <c r="AA2115" s="19" t="s">
        <v>361</v>
      </c>
      <c r="AB2115" s="13" t="s">
        <v>357</v>
      </c>
      <c r="AC2115" s="13" t="s">
        <v>362</v>
      </c>
      <c r="AD2115" s="20"/>
      <c r="AE2115" s="20"/>
      <c r="AF2115" s="13" t="s">
        <v>40</v>
      </c>
      <c r="AG2115" s="15">
        <v>45383</v>
      </c>
      <c r="AH2115" s="13" t="s">
        <v>41</v>
      </c>
      <c r="AI2115" s="13" t="s">
        <v>76</v>
      </c>
      <c r="AJ2115" s="13" t="str">
        <f>VLOOKUP(E2115,Precios!Z$2:AA$941,2,FALSE)</f>
        <v>Detergente SPUM 5 Litros (Verde)</v>
      </c>
      <c r="AK2115" s="14">
        <f>VLOOKUP(E2115,Precios!Z$2:BB$941,3,FALSE)*F2115</f>
        <v>-1</v>
      </c>
      <c r="AL2115" s="17"/>
      <c r="AM2115" s="17"/>
      <c r="AN2115" s="17"/>
      <c r="AO2115" s="17"/>
      <c r="AP2115" s="17"/>
      <c r="AQ2115" s="17"/>
      <c r="AR2115" s="17"/>
      <c r="AS2115" s="17"/>
      <c r="AT2115" s="17"/>
      <c r="AU2115" s="17"/>
      <c r="AV2115" s="17"/>
    </row>
    <row r="2116" spans="1:48" ht="15.75" customHeight="1">
      <c r="A2116" s="21" t="s">
        <v>53</v>
      </c>
      <c r="B2116" s="23" t="s">
        <v>1692</v>
      </c>
      <c r="C2116" s="22">
        <v>45770</v>
      </c>
      <c r="D2116" s="23" t="s">
        <v>672</v>
      </c>
      <c r="E2116" s="23" t="s">
        <v>55</v>
      </c>
      <c r="F2116" s="21">
        <v>1</v>
      </c>
      <c r="G2116" s="12">
        <v>20899.657794676805</v>
      </c>
      <c r="H2116" s="12">
        <v>20899.657794676805</v>
      </c>
      <c r="I2116" s="23" t="s">
        <v>52</v>
      </c>
      <c r="J2116" s="23" t="s">
        <v>61</v>
      </c>
      <c r="K2116" s="24" t="s">
        <v>177</v>
      </c>
      <c r="L2116" s="24">
        <v>130</v>
      </c>
      <c r="M2116" s="12">
        <v>17562.737642585551</v>
      </c>
      <c r="N2116" s="12">
        <v>17562.737642585551</v>
      </c>
      <c r="O2116" s="12">
        <v>3336.9201520912538</v>
      </c>
      <c r="P2116" s="13"/>
      <c r="Q2116" s="14">
        <v>2025</v>
      </c>
      <c r="R2116" s="15">
        <v>45383</v>
      </c>
      <c r="S2116" s="11" t="s">
        <v>366</v>
      </c>
      <c r="T2116" s="16">
        <v>0</v>
      </c>
      <c r="U2116" s="17"/>
      <c r="V2116" s="12">
        <v>3705.7376425855509</v>
      </c>
      <c r="W2116" s="12">
        <v>3705.7376425855509</v>
      </c>
      <c r="X2116" s="12">
        <v>0</v>
      </c>
      <c r="Y2116" s="18">
        <v>45768</v>
      </c>
      <c r="Z2116" s="13" t="s">
        <v>515</v>
      </c>
      <c r="AA2116" s="19" t="s">
        <v>373</v>
      </c>
      <c r="AB2116" s="13" t="s">
        <v>357</v>
      </c>
      <c r="AC2116" s="13" t="s">
        <v>374</v>
      </c>
      <c r="AD2116" s="20"/>
      <c r="AE2116" s="20"/>
      <c r="AF2116" s="13" t="s">
        <v>40</v>
      </c>
      <c r="AG2116" s="15">
        <v>45383</v>
      </c>
      <c r="AH2116" s="13" t="s">
        <v>41</v>
      </c>
      <c r="AI2116" s="13" t="s">
        <v>53</v>
      </c>
      <c r="AJ2116" s="13" t="str">
        <f>VLOOKUP(E2116,Precios!Z$2:AA$941,2,FALSE)</f>
        <v>Papel Higienico ELITE 50 metros</v>
      </c>
      <c r="AK2116" s="14">
        <f>VLOOKUP(E2116,Precios!Z$2:BB$941,3,FALSE)*F2116</f>
        <v>-8</v>
      </c>
      <c r="AL2116" s="17"/>
      <c r="AM2116" s="17"/>
      <c r="AN2116" s="17"/>
      <c r="AO2116" s="17"/>
      <c r="AP2116" s="17"/>
      <c r="AQ2116" s="17"/>
      <c r="AR2116" s="17"/>
      <c r="AS2116" s="17"/>
      <c r="AT2116" s="17"/>
      <c r="AU2116" s="17"/>
      <c r="AV2116" s="17"/>
    </row>
    <row r="2117" spans="1:48" ht="15.75" customHeight="1">
      <c r="A2117" s="21" t="s">
        <v>76</v>
      </c>
      <c r="B2117" s="23" t="s">
        <v>1692</v>
      </c>
      <c r="C2117" s="22">
        <v>45770</v>
      </c>
      <c r="D2117" s="23" t="s">
        <v>915</v>
      </c>
      <c r="E2117" s="23" t="s">
        <v>81</v>
      </c>
      <c r="F2117" s="21">
        <v>1</v>
      </c>
      <c r="G2117" s="12">
        <v>3500.0000000000005</v>
      </c>
      <c r="H2117" s="12">
        <v>3500.0000000000005</v>
      </c>
      <c r="I2117" s="23" t="s">
        <v>52</v>
      </c>
      <c r="J2117" s="23" t="s">
        <v>61</v>
      </c>
      <c r="K2117" s="24" t="s">
        <v>177</v>
      </c>
      <c r="L2117" s="24">
        <v>130</v>
      </c>
      <c r="M2117" s="12">
        <v>2941.1764705882356</v>
      </c>
      <c r="N2117" s="12">
        <v>2941.1764705882356</v>
      </c>
      <c r="O2117" s="12">
        <v>558.82352941176487</v>
      </c>
      <c r="P2117" s="13"/>
      <c r="Q2117" s="14">
        <v>2025</v>
      </c>
      <c r="R2117" s="15">
        <v>45383</v>
      </c>
      <c r="S2117" s="11" t="s">
        <v>397</v>
      </c>
      <c r="T2117" s="16">
        <v>5</v>
      </c>
      <c r="U2117" s="17"/>
      <c r="V2117" s="12">
        <v>764.70588235294144</v>
      </c>
      <c r="W2117" s="12">
        <v>764.70588235294144</v>
      </c>
      <c r="X2117" s="12">
        <v>0</v>
      </c>
      <c r="Y2117" s="18">
        <v>45768</v>
      </c>
      <c r="Z2117" s="13" t="s">
        <v>515</v>
      </c>
      <c r="AA2117" s="19" t="s">
        <v>367</v>
      </c>
      <c r="AB2117" s="13" t="s">
        <v>357</v>
      </c>
      <c r="AC2117" s="13" t="s">
        <v>367</v>
      </c>
      <c r="AD2117" s="20"/>
      <c r="AE2117" s="20"/>
      <c r="AF2117" s="13" t="s">
        <v>40</v>
      </c>
      <c r="AG2117" s="15">
        <v>45383</v>
      </c>
      <c r="AH2117" s="13" t="s">
        <v>41</v>
      </c>
      <c r="AI2117" s="13" t="s">
        <v>76</v>
      </c>
      <c r="AJ2117" s="13" t="str">
        <f>VLOOKUP(E2117,Precios!Z$2:AA$941,2,FALSE)</f>
        <v>Detergente SPUM 5 Litros (Verde)</v>
      </c>
      <c r="AK2117" s="14">
        <f>VLOOKUP(E2117,Precios!Z$2:BB$941,3,FALSE)*F2117</f>
        <v>-1</v>
      </c>
      <c r="AL2117" s="17"/>
      <c r="AM2117" s="17"/>
      <c r="AN2117" s="17"/>
      <c r="AO2117" s="17"/>
      <c r="AP2117" s="17"/>
      <c r="AQ2117" s="17"/>
      <c r="AR2117" s="17"/>
      <c r="AS2117" s="17"/>
      <c r="AT2117" s="17"/>
      <c r="AU2117" s="17"/>
      <c r="AV2117" s="17"/>
    </row>
    <row r="2118" spans="1:48" ht="15.75" customHeight="1">
      <c r="A2118" s="21" t="s">
        <v>76</v>
      </c>
      <c r="B2118" s="23" t="s">
        <v>1692</v>
      </c>
      <c r="C2118" s="22">
        <v>45770</v>
      </c>
      <c r="D2118" s="23" t="s">
        <v>915</v>
      </c>
      <c r="E2118" s="23" t="s">
        <v>137</v>
      </c>
      <c r="F2118" s="21">
        <v>1</v>
      </c>
      <c r="G2118" s="12">
        <v>3500.0000000000005</v>
      </c>
      <c r="H2118" s="12">
        <v>3500.0000000000005</v>
      </c>
      <c r="I2118" s="23" t="s">
        <v>52</v>
      </c>
      <c r="J2118" s="23" t="s">
        <v>61</v>
      </c>
      <c r="K2118" s="24" t="s">
        <v>177</v>
      </c>
      <c r="L2118" s="24">
        <v>130</v>
      </c>
      <c r="M2118" s="12">
        <v>2941.1764705882356</v>
      </c>
      <c r="N2118" s="12">
        <v>2941.1764705882356</v>
      </c>
      <c r="O2118" s="12">
        <v>558.82352941176487</v>
      </c>
      <c r="P2118" s="13"/>
      <c r="Q2118" s="14">
        <v>2025</v>
      </c>
      <c r="R2118" s="15">
        <v>45383</v>
      </c>
      <c r="S2118" s="11" t="s">
        <v>406</v>
      </c>
      <c r="T2118" s="16">
        <v>5</v>
      </c>
      <c r="U2118" s="17"/>
      <c r="V2118" s="12">
        <v>848.73949579831969</v>
      </c>
      <c r="W2118" s="12">
        <v>848.73949579831969</v>
      </c>
      <c r="X2118" s="12">
        <v>0</v>
      </c>
      <c r="Y2118" s="18">
        <v>45768</v>
      </c>
      <c r="Z2118" s="13" t="s">
        <v>515</v>
      </c>
      <c r="AA2118" s="19" t="s">
        <v>367</v>
      </c>
      <c r="AB2118" s="13" t="s">
        <v>357</v>
      </c>
      <c r="AC2118" s="13" t="s">
        <v>367</v>
      </c>
      <c r="AD2118" s="20"/>
      <c r="AE2118" s="20"/>
      <c r="AF2118" s="13" t="s">
        <v>40</v>
      </c>
      <c r="AG2118" s="15">
        <v>45383</v>
      </c>
      <c r="AH2118" s="13" t="s">
        <v>41</v>
      </c>
      <c r="AI2118" s="13" t="s">
        <v>76</v>
      </c>
      <c r="AJ2118" s="13" t="str">
        <f>VLOOKUP(E2118,Precios!Z$2:AA$941,2,FALSE)</f>
        <v>Detergente SPUM 5 Litros (Blanco)</v>
      </c>
      <c r="AK2118" s="14">
        <f>VLOOKUP(E2118,Precios!Z$2:BB$941,3,FALSE)*F2118</f>
        <v>-1</v>
      </c>
      <c r="AL2118" s="17"/>
      <c r="AM2118" s="17"/>
      <c r="AN2118" s="17"/>
      <c r="AO2118" s="17"/>
      <c r="AP2118" s="17"/>
      <c r="AQ2118" s="17"/>
      <c r="AR2118" s="17"/>
      <c r="AS2118" s="17"/>
      <c r="AT2118" s="17"/>
      <c r="AU2118" s="17"/>
      <c r="AV2118" s="17"/>
    </row>
    <row r="2119" spans="1:48" ht="15.75" customHeight="1">
      <c r="A2119" s="21" t="s">
        <v>43</v>
      </c>
      <c r="B2119" s="23" t="s">
        <v>1692</v>
      </c>
      <c r="C2119" s="22">
        <v>45770</v>
      </c>
      <c r="D2119" s="23" t="s">
        <v>915</v>
      </c>
      <c r="E2119" s="23" t="s">
        <v>45</v>
      </c>
      <c r="F2119" s="21">
        <v>1</v>
      </c>
      <c r="G2119" s="12">
        <v>8299.9877571008819</v>
      </c>
      <c r="H2119" s="12">
        <v>8299.9877571008819</v>
      </c>
      <c r="I2119" s="23" t="s">
        <v>52</v>
      </c>
      <c r="J2119" s="23" t="s">
        <v>61</v>
      </c>
      <c r="K2119" s="24" t="s">
        <v>177</v>
      </c>
      <c r="L2119" s="24">
        <v>130</v>
      </c>
      <c r="M2119" s="12">
        <v>6974.7796278158676</v>
      </c>
      <c r="N2119" s="12">
        <v>6974.7796278158676</v>
      </c>
      <c r="O2119" s="12">
        <v>1325.2081292850144</v>
      </c>
      <c r="P2119" s="13"/>
      <c r="Q2119" s="14">
        <v>2025</v>
      </c>
      <c r="R2119" s="15">
        <v>45383</v>
      </c>
      <c r="S2119" s="11" t="s">
        <v>355</v>
      </c>
      <c r="T2119" s="16">
        <v>0</v>
      </c>
      <c r="U2119" s="17"/>
      <c r="V2119" s="12">
        <v>1277.7796278158667</v>
      </c>
      <c r="W2119" s="12">
        <v>1277.7796278158667</v>
      </c>
      <c r="X2119" s="12">
        <v>0</v>
      </c>
      <c r="Y2119" s="18">
        <v>45768</v>
      </c>
      <c r="Z2119" s="13" t="s">
        <v>515</v>
      </c>
      <c r="AA2119" s="19" t="s">
        <v>367</v>
      </c>
      <c r="AB2119" s="13" t="s">
        <v>357</v>
      </c>
      <c r="AC2119" s="13" t="s">
        <v>367</v>
      </c>
      <c r="AD2119" s="20"/>
      <c r="AE2119" s="20"/>
      <c r="AF2119" s="13" t="s">
        <v>40</v>
      </c>
      <c r="AG2119" s="15">
        <v>45383</v>
      </c>
      <c r="AH2119" s="13" t="s">
        <v>41</v>
      </c>
      <c r="AI2119" s="13" t="s">
        <v>43</v>
      </c>
      <c r="AJ2119" s="13" t="str">
        <f>VLOOKUP(E2119,Precios!Z$2:AA$941,2,FALSE)</f>
        <v>Bandeja Huevos EXTRA</v>
      </c>
      <c r="AK2119" s="14">
        <f>VLOOKUP(E2119,Precios!Z$2:BB$941,3,FALSE)*F2119</f>
        <v>-1</v>
      </c>
      <c r="AL2119" s="17"/>
      <c r="AM2119" s="17"/>
      <c r="AN2119" s="17"/>
      <c r="AO2119" s="17"/>
      <c r="AP2119" s="17"/>
      <c r="AQ2119" s="17"/>
      <c r="AR2119" s="17"/>
      <c r="AS2119" s="17"/>
      <c r="AT2119" s="17"/>
      <c r="AU2119" s="17"/>
      <c r="AV2119" s="17"/>
    </row>
    <row r="2120" spans="1:48" ht="15.75" customHeight="1">
      <c r="A2120" s="21" t="s">
        <v>73</v>
      </c>
      <c r="B2120" s="23" t="s">
        <v>1692</v>
      </c>
      <c r="C2120" s="22">
        <v>45770</v>
      </c>
      <c r="D2120" s="23" t="s">
        <v>657</v>
      </c>
      <c r="E2120" s="23" t="s">
        <v>74</v>
      </c>
      <c r="F2120" s="21">
        <v>2</v>
      </c>
      <c r="G2120" s="12">
        <v>4199.9020019599611</v>
      </c>
      <c r="H2120" s="12">
        <v>8399.8040039199223</v>
      </c>
      <c r="I2120" s="23" t="s">
        <v>52</v>
      </c>
      <c r="J2120" s="23" t="s">
        <v>61</v>
      </c>
      <c r="K2120" s="24" t="s">
        <v>177</v>
      </c>
      <c r="L2120" s="24">
        <v>130</v>
      </c>
      <c r="M2120" s="12">
        <v>3529.3294134117323</v>
      </c>
      <c r="N2120" s="12">
        <v>7058.6588268234646</v>
      </c>
      <c r="O2120" s="12">
        <v>1341.1451770964577</v>
      </c>
      <c r="P2120" s="13"/>
      <c r="Q2120" s="14">
        <v>2025</v>
      </c>
      <c r="R2120" s="15">
        <v>45383</v>
      </c>
      <c r="S2120" s="11" t="s">
        <v>424</v>
      </c>
      <c r="T2120" s="16">
        <v>0</v>
      </c>
      <c r="U2120" s="17"/>
      <c r="V2120" s="12">
        <v>2016.6588268234646</v>
      </c>
      <c r="W2120" s="12">
        <v>2016.6588268234646</v>
      </c>
      <c r="X2120" s="12">
        <v>0</v>
      </c>
      <c r="Y2120" s="18">
        <v>45768</v>
      </c>
      <c r="Z2120" s="13" t="s">
        <v>515</v>
      </c>
      <c r="AA2120" s="19" t="s">
        <v>373</v>
      </c>
      <c r="AB2120" s="13" t="s">
        <v>357</v>
      </c>
      <c r="AC2120" s="13" t="s">
        <v>658</v>
      </c>
      <c r="AD2120" s="20"/>
      <c r="AE2120" s="20"/>
      <c r="AF2120" s="13" t="s">
        <v>40</v>
      </c>
      <c r="AG2120" s="15">
        <v>45383</v>
      </c>
      <c r="AH2120" s="13" t="s">
        <v>41</v>
      </c>
      <c r="AI2120" s="13" t="s">
        <v>73</v>
      </c>
      <c r="AJ2120" s="13" t="str">
        <f>VLOOKUP(E2120,Precios!Z$2:AA$941,2,FALSE)</f>
        <v>Guante NITRILO Talla S</v>
      </c>
      <c r="AK2120" s="14">
        <f>VLOOKUP(E2120,Precios!Z$2:BB$941,3,FALSE)*F2120</f>
        <v>-2</v>
      </c>
      <c r="AL2120" s="17"/>
      <c r="AM2120" s="17"/>
      <c r="AN2120" s="17"/>
      <c r="AO2120" s="17"/>
      <c r="AP2120" s="17"/>
      <c r="AQ2120" s="17"/>
      <c r="AR2120" s="17"/>
      <c r="AS2120" s="17"/>
      <c r="AT2120" s="17"/>
      <c r="AU2120" s="17"/>
      <c r="AV2120" s="17"/>
    </row>
    <row r="2121" spans="1:48" ht="15.75" customHeight="1">
      <c r="A2121" s="21" t="s">
        <v>43</v>
      </c>
      <c r="B2121" s="23" t="s">
        <v>1692</v>
      </c>
      <c r="C2121" s="22">
        <v>45770</v>
      </c>
      <c r="D2121" s="23" t="s">
        <v>653</v>
      </c>
      <c r="E2121" s="23" t="s">
        <v>45</v>
      </c>
      <c r="F2121" s="21">
        <v>1</v>
      </c>
      <c r="G2121" s="12">
        <v>8299.9877571008819</v>
      </c>
      <c r="H2121" s="12">
        <v>8299.9877571008819</v>
      </c>
      <c r="I2121" s="23" t="s">
        <v>52</v>
      </c>
      <c r="J2121" s="23" t="s">
        <v>61</v>
      </c>
      <c r="K2121" s="24" t="s">
        <v>177</v>
      </c>
      <c r="L2121" s="24">
        <v>130</v>
      </c>
      <c r="M2121" s="12">
        <v>6974.7796278158676</v>
      </c>
      <c r="N2121" s="12">
        <v>6974.7796278158676</v>
      </c>
      <c r="O2121" s="12">
        <v>1325.2081292850144</v>
      </c>
      <c r="P2121" s="13"/>
      <c r="Q2121" s="14">
        <v>2025</v>
      </c>
      <c r="R2121" s="15">
        <v>45383</v>
      </c>
      <c r="S2121" s="11" t="s">
        <v>355</v>
      </c>
      <c r="T2121" s="16">
        <v>0</v>
      </c>
      <c r="U2121" s="17"/>
      <c r="V2121" s="12">
        <v>1277.7796278158667</v>
      </c>
      <c r="W2121" s="12">
        <v>1277.7796278158667</v>
      </c>
      <c r="X2121" s="12">
        <v>0</v>
      </c>
      <c r="Y2121" s="18">
        <v>45768</v>
      </c>
      <c r="Z2121" s="13" t="s">
        <v>515</v>
      </c>
      <c r="AA2121" s="19" t="s">
        <v>373</v>
      </c>
      <c r="AB2121" s="13" t="s">
        <v>357</v>
      </c>
      <c r="AC2121" s="13" t="s">
        <v>654</v>
      </c>
      <c r="AD2121" s="20"/>
      <c r="AE2121" s="20"/>
      <c r="AF2121" s="13" t="s">
        <v>40</v>
      </c>
      <c r="AG2121" s="15">
        <v>45383</v>
      </c>
      <c r="AH2121" s="13" t="s">
        <v>41</v>
      </c>
      <c r="AI2121" s="13" t="s">
        <v>43</v>
      </c>
      <c r="AJ2121" s="13" t="str">
        <f>VLOOKUP(E2121,Precios!Z$2:AA$941,2,FALSE)</f>
        <v>Bandeja Huevos EXTRA</v>
      </c>
      <c r="AK2121" s="14">
        <f>VLOOKUP(E2121,Precios!Z$2:BB$941,3,FALSE)*F2121</f>
        <v>-1</v>
      </c>
      <c r="AL2121" s="17"/>
      <c r="AM2121" s="17"/>
      <c r="AN2121" s="17"/>
      <c r="AO2121" s="17"/>
      <c r="AP2121" s="17"/>
      <c r="AQ2121" s="17"/>
      <c r="AR2121" s="17"/>
      <c r="AS2121" s="17"/>
      <c r="AT2121" s="17"/>
      <c r="AU2121" s="17"/>
      <c r="AV2121" s="17"/>
    </row>
    <row r="2122" spans="1:48" ht="15.75" customHeight="1">
      <c r="A2122" s="21" t="s">
        <v>43</v>
      </c>
      <c r="B2122" s="23" t="s">
        <v>1692</v>
      </c>
      <c r="C2122" s="22">
        <v>45769</v>
      </c>
      <c r="D2122" s="23" t="s">
        <v>915</v>
      </c>
      <c r="E2122" s="23" t="s">
        <v>673</v>
      </c>
      <c r="F2122" s="21">
        <v>1</v>
      </c>
      <c r="G2122" s="12">
        <v>3699.5988507616412</v>
      </c>
      <c r="H2122" s="12">
        <v>3699.5988507616412</v>
      </c>
      <c r="I2122" s="23" t="s">
        <v>52</v>
      </c>
      <c r="J2122" s="23" t="s">
        <v>61</v>
      </c>
      <c r="K2122" s="24" t="s">
        <v>177</v>
      </c>
      <c r="L2122" s="24">
        <v>130</v>
      </c>
      <c r="M2122" s="12">
        <v>3108.9065972786902</v>
      </c>
      <c r="N2122" s="12">
        <v>3108.9065972786902</v>
      </c>
      <c r="O2122" s="12">
        <v>590.69225348295095</v>
      </c>
      <c r="P2122" s="13"/>
      <c r="Q2122" s="14">
        <v>2025</v>
      </c>
      <c r="R2122" s="15">
        <v>45383</v>
      </c>
      <c r="S2122" s="11" t="s">
        <v>355</v>
      </c>
      <c r="T2122" s="16">
        <v>0</v>
      </c>
      <c r="U2122" s="17"/>
      <c r="V2122" s="12">
        <v>814.90659727869024</v>
      </c>
      <c r="W2122" s="12">
        <v>814.90659727869024</v>
      </c>
      <c r="X2122" s="12">
        <v>0</v>
      </c>
      <c r="Y2122" s="18">
        <v>45768</v>
      </c>
      <c r="Z2122" s="13" t="s">
        <v>516</v>
      </c>
      <c r="AA2122" s="19" t="s">
        <v>367</v>
      </c>
      <c r="AB2122" s="13" t="s">
        <v>357</v>
      </c>
      <c r="AC2122" s="13" t="s">
        <v>367</v>
      </c>
      <c r="AD2122" s="20"/>
      <c r="AE2122" s="20"/>
      <c r="AF2122" s="13" t="s">
        <v>40</v>
      </c>
      <c r="AG2122" s="15">
        <v>45383</v>
      </c>
      <c r="AH2122" s="13" t="s">
        <v>41</v>
      </c>
      <c r="AI2122" s="13" t="s">
        <v>43</v>
      </c>
      <c r="AJ2122" s="13" t="str">
        <f>VLOOKUP(E2122,Precios!Z$2:AA$941,2,FALSE)</f>
        <v>Bandeja Huevos EXTRA</v>
      </c>
      <c r="AK2122" s="14">
        <f>VLOOKUP(E2122,Precios!Z$2:BB$941,3,FALSE)*F2122</f>
        <v>-0.4</v>
      </c>
      <c r="AL2122" s="17"/>
      <c r="AM2122" s="17"/>
      <c r="AN2122" s="17"/>
      <c r="AO2122" s="17"/>
      <c r="AP2122" s="17"/>
      <c r="AQ2122" s="17"/>
      <c r="AR2122" s="17"/>
      <c r="AS2122" s="17"/>
      <c r="AT2122" s="17"/>
      <c r="AU2122" s="17"/>
      <c r="AV2122" s="17"/>
    </row>
    <row r="2123" spans="1:48" ht="15.75" customHeight="1">
      <c r="A2123" s="21" t="s">
        <v>43</v>
      </c>
      <c r="B2123" s="23" t="s">
        <v>1692</v>
      </c>
      <c r="C2123" s="22">
        <v>45769</v>
      </c>
      <c r="D2123" s="23" t="s">
        <v>184</v>
      </c>
      <c r="E2123" s="23" t="s">
        <v>45</v>
      </c>
      <c r="F2123" s="21">
        <v>1</v>
      </c>
      <c r="G2123" s="12">
        <v>8299.9877571008819</v>
      </c>
      <c r="H2123" s="12">
        <v>8299.9877571008819</v>
      </c>
      <c r="I2123" s="23" t="s">
        <v>52</v>
      </c>
      <c r="J2123" s="23" t="s">
        <v>61</v>
      </c>
      <c r="K2123" s="24" t="s">
        <v>177</v>
      </c>
      <c r="L2123" s="24">
        <v>130</v>
      </c>
      <c r="M2123" s="12">
        <v>6974.7796278158676</v>
      </c>
      <c r="N2123" s="12">
        <v>6974.7796278158676</v>
      </c>
      <c r="O2123" s="12">
        <v>1325.2081292850144</v>
      </c>
      <c r="P2123" s="13"/>
      <c r="Q2123" s="14">
        <v>2025</v>
      </c>
      <c r="R2123" s="15">
        <v>45383</v>
      </c>
      <c r="S2123" s="11" t="s">
        <v>355</v>
      </c>
      <c r="T2123" s="16">
        <v>0</v>
      </c>
      <c r="U2123" s="17"/>
      <c r="V2123" s="12">
        <v>1277.7796278158667</v>
      </c>
      <c r="W2123" s="12">
        <v>1277.7796278158667</v>
      </c>
      <c r="X2123" s="12">
        <v>0</v>
      </c>
      <c r="Y2123" s="18">
        <v>45768</v>
      </c>
      <c r="Z2123" s="13" t="s">
        <v>516</v>
      </c>
      <c r="AA2123" s="19" t="s">
        <v>361</v>
      </c>
      <c r="AB2123" s="13" t="s">
        <v>357</v>
      </c>
      <c r="AC2123" s="13" t="s">
        <v>405</v>
      </c>
      <c r="AD2123" s="20"/>
      <c r="AE2123" s="20"/>
      <c r="AF2123" s="13" t="s">
        <v>40</v>
      </c>
      <c r="AG2123" s="15">
        <v>45383</v>
      </c>
      <c r="AH2123" s="13" t="s">
        <v>41</v>
      </c>
      <c r="AI2123" s="13" t="s">
        <v>43</v>
      </c>
      <c r="AJ2123" s="13" t="str">
        <f>VLOOKUP(E2123,Precios!Z$2:AA$941,2,FALSE)</f>
        <v>Bandeja Huevos EXTRA</v>
      </c>
      <c r="AK2123" s="14">
        <f>VLOOKUP(E2123,Precios!Z$2:BB$941,3,FALSE)*F2123</f>
        <v>-1</v>
      </c>
      <c r="AL2123" s="17"/>
      <c r="AM2123" s="17"/>
      <c r="AN2123" s="17"/>
      <c r="AO2123" s="17"/>
      <c r="AP2123" s="17"/>
      <c r="AQ2123" s="17"/>
      <c r="AR2123" s="17"/>
      <c r="AS2123" s="17"/>
      <c r="AT2123" s="17"/>
      <c r="AU2123" s="17"/>
      <c r="AV2123" s="17"/>
    </row>
    <row r="2124" spans="1:48" ht="15.75" customHeight="1">
      <c r="A2124" s="21" t="s">
        <v>35</v>
      </c>
      <c r="B2124" s="23" t="s">
        <v>1692</v>
      </c>
      <c r="C2124" s="22">
        <v>45769</v>
      </c>
      <c r="D2124" s="23" t="s">
        <v>184</v>
      </c>
      <c r="E2124" s="23" t="s">
        <v>46</v>
      </c>
      <c r="F2124" s="21">
        <v>1</v>
      </c>
      <c r="G2124" s="12">
        <v>5500</v>
      </c>
      <c r="H2124" s="12">
        <v>5500</v>
      </c>
      <c r="I2124" s="23" t="s">
        <v>52</v>
      </c>
      <c r="J2124" s="23" t="s">
        <v>61</v>
      </c>
      <c r="K2124" s="24" t="s">
        <v>177</v>
      </c>
      <c r="L2124" s="24">
        <v>130</v>
      </c>
      <c r="M2124" s="12">
        <v>4621.8487394957983</v>
      </c>
      <c r="N2124" s="12">
        <v>4621.8487394957983</v>
      </c>
      <c r="O2124" s="12">
        <v>878.15126050420167</v>
      </c>
      <c r="P2124" s="13"/>
      <c r="Q2124" s="14">
        <v>2025</v>
      </c>
      <c r="R2124" s="15">
        <v>45383</v>
      </c>
      <c r="S2124" s="11" t="s">
        <v>364</v>
      </c>
      <c r="T2124" s="16">
        <v>500</v>
      </c>
      <c r="U2124" s="17"/>
      <c r="V2124" s="12">
        <v>1365.1260504201678</v>
      </c>
      <c r="W2124" s="12">
        <v>1365.1260504201678</v>
      </c>
      <c r="X2124" s="12">
        <v>0</v>
      </c>
      <c r="Y2124" s="18">
        <v>45768</v>
      </c>
      <c r="Z2124" s="13" t="s">
        <v>516</v>
      </c>
      <c r="AA2124" s="19" t="s">
        <v>361</v>
      </c>
      <c r="AB2124" s="13" t="s">
        <v>357</v>
      </c>
      <c r="AC2124" s="13" t="s">
        <v>405</v>
      </c>
      <c r="AD2124" s="20"/>
      <c r="AE2124" s="20"/>
      <c r="AF2124" s="13" t="s">
        <v>40</v>
      </c>
      <c r="AG2124" s="15">
        <v>45383</v>
      </c>
      <c r="AH2124" s="13" t="s">
        <v>41</v>
      </c>
      <c r="AI2124" s="13" t="s">
        <v>35</v>
      </c>
      <c r="AJ2124" s="13" t="str">
        <f>VLOOKUP(E2124,Precios!Z$2:AA$941,2,FALSE)</f>
        <v>Queso RUNCA Mantecoso</v>
      </c>
      <c r="AK2124" s="14">
        <f>VLOOKUP(E2124,Precios!Z$2:BB$941,3,FALSE)*F2124</f>
        <v>-0.5</v>
      </c>
      <c r="AL2124" s="17"/>
      <c r="AM2124" s="17"/>
      <c r="AN2124" s="17"/>
      <c r="AO2124" s="17"/>
      <c r="AP2124" s="17"/>
      <c r="AQ2124" s="17"/>
      <c r="AR2124" s="17"/>
      <c r="AS2124" s="17"/>
      <c r="AT2124" s="17"/>
      <c r="AU2124" s="17"/>
      <c r="AV2124" s="17"/>
    </row>
    <row r="2125" spans="1:48" ht="15.75" customHeight="1">
      <c r="A2125" s="21" t="s">
        <v>53</v>
      </c>
      <c r="B2125" s="23" t="s">
        <v>1692</v>
      </c>
      <c r="C2125" s="22">
        <v>45769</v>
      </c>
      <c r="D2125" s="23" t="s">
        <v>135</v>
      </c>
      <c r="E2125" s="23" t="s">
        <v>97</v>
      </c>
      <c r="F2125" s="21">
        <v>1</v>
      </c>
      <c r="G2125" s="12">
        <v>16500.126742712295</v>
      </c>
      <c r="H2125" s="12">
        <v>16500.126742712295</v>
      </c>
      <c r="I2125" s="23" t="s">
        <v>52</v>
      </c>
      <c r="J2125" s="23" t="s">
        <v>61</v>
      </c>
      <c r="K2125" s="24" t="s">
        <v>177</v>
      </c>
      <c r="L2125" s="24">
        <v>130</v>
      </c>
      <c r="M2125" s="12">
        <v>13865.652724968315</v>
      </c>
      <c r="N2125" s="12">
        <v>13865.652724968315</v>
      </c>
      <c r="O2125" s="12">
        <v>2634.4740177439799</v>
      </c>
      <c r="P2125" s="13"/>
      <c r="Q2125" s="14">
        <v>2025</v>
      </c>
      <c r="R2125" s="15">
        <v>45383</v>
      </c>
      <c r="S2125" s="11" t="s">
        <v>366</v>
      </c>
      <c r="T2125" s="16">
        <v>0</v>
      </c>
      <c r="U2125" s="17"/>
      <c r="V2125" s="12">
        <v>3472.6527249683149</v>
      </c>
      <c r="W2125" s="12">
        <v>3472.6527249683149</v>
      </c>
      <c r="X2125" s="12">
        <v>0</v>
      </c>
      <c r="Y2125" s="18">
        <v>45768</v>
      </c>
      <c r="Z2125" s="13" t="s">
        <v>516</v>
      </c>
      <c r="AA2125" s="19" t="s">
        <v>361</v>
      </c>
      <c r="AB2125" s="13" t="s">
        <v>357</v>
      </c>
      <c r="AC2125" s="13" t="s">
        <v>538</v>
      </c>
      <c r="AD2125" s="20"/>
      <c r="AE2125" s="20"/>
      <c r="AF2125" s="13" t="s">
        <v>40</v>
      </c>
      <c r="AG2125" s="15">
        <v>45383</v>
      </c>
      <c r="AH2125" s="13" t="s">
        <v>41</v>
      </c>
      <c r="AI2125" s="13" t="s">
        <v>53</v>
      </c>
      <c r="AJ2125" s="13" t="str">
        <f>VLOOKUP(E2125,Precios!Z$2:AA$941,2,FALSE)</f>
        <v>Papel Higienico ELITE 50 metros</v>
      </c>
      <c r="AK2125" s="14">
        <f>VLOOKUP(E2125,Precios!Z$2:BB$941,3,FALSE)*F2125</f>
        <v>-6</v>
      </c>
      <c r="AL2125" s="17"/>
      <c r="AM2125" s="17"/>
      <c r="AN2125" s="17"/>
      <c r="AO2125" s="17"/>
      <c r="AP2125" s="17"/>
      <c r="AQ2125" s="17"/>
      <c r="AR2125" s="17"/>
      <c r="AS2125" s="17"/>
      <c r="AT2125" s="17"/>
      <c r="AU2125" s="17"/>
      <c r="AV2125" s="17"/>
    </row>
    <row r="2126" spans="1:48" ht="15.75" customHeight="1">
      <c r="A2126" s="21" t="s">
        <v>76</v>
      </c>
      <c r="B2126" s="23" t="s">
        <v>1692</v>
      </c>
      <c r="C2126" s="22">
        <v>45769</v>
      </c>
      <c r="D2126" s="23" t="s">
        <v>135</v>
      </c>
      <c r="E2126" s="23" t="s">
        <v>137</v>
      </c>
      <c r="F2126" s="21">
        <v>1</v>
      </c>
      <c r="G2126" s="12">
        <v>3500.0000000000005</v>
      </c>
      <c r="H2126" s="12">
        <v>3500.0000000000005</v>
      </c>
      <c r="I2126" s="23" t="s">
        <v>52</v>
      </c>
      <c r="J2126" s="23" t="s">
        <v>61</v>
      </c>
      <c r="K2126" s="24" t="s">
        <v>177</v>
      </c>
      <c r="L2126" s="24">
        <v>130</v>
      </c>
      <c r="M2126" s="12">
        <v>2941.1764705882356</v>
      </c>
      <c r="N2126" s="12">
        <v>2941.1764705882356</v>
      </c>
      <c r="O2126" s="12">
        <v>558.82352941176487</v>
      </c>
      <c r="P2126" s="13"/>
      <c r="Q2126" s="14">
        <v>2025</v>
      </c>
      <c r="R2126" s="15">
        <v>45383</v>
      </c>
      <c r="S2126" s="11" t="s">
        <v>406</v>
      </c>
      <c r="T2126" s="16">
        <v>5</v>
      </c>
      <c r="U2126" s="17"/>
      <c r="V2126" s="12">
        <v>848.73949579831969</v>
      </c>
      <c r="W2126" s="12">
        <v>848.73949579831969</v>
      </c>
      <c r="X2126" s="12">
        <v>0</v>
      </c>
      <c r="Y2126" s="18">
        <v>45768</v>
      </c>
      <c r="Z2126" s="13" t="s">
        <v>516</v>
      </c>
      <c r="AA2126" s="19" t="s">
        <v>361</v>
      </c>
      <c r="AB2126" s="13" t="s">
        <v>357</v>
      </c>
      <c r="AC2126" s="13" t="s">
        <v>538</v>
      </c>
      <c r="AD2126" s="20"/>
      <c r="AE2126" s="20"/>
      <c r="AF2126" s="13" t="s">
        <v>40</v>
      </c>
      <c r="AG2126" s="15">
        <v>45383</v>
      </c>
      <c r="AH2126" s="13" t="s">
        <v>41</v>
      </c>
      <c r="AI2126" s="13" t="s">
        <v>76</v>
      </c>
      <c r="AJ2126" s="13" t="str">
        <f>VLOOKUP(E2126,Precios!Z$2:AA$941,2,FALSE)</f>
        <v>Detergente SPUM 5 Litros (Blanco)</v>
      </c>
      <c r="AK2126" s="14">
        <f>VLOOKUP(E2126,Precios!Z$2:BB$941,3,FALSE)*F2126</f>
        <v>-1</v>
      </c>
      <c r="AL2126" s="17"/>
      <c r="AM2126" s="17"/>
      <c r="AN2126" s="17"/>
      <c r="AO2126" s="17"/>
      <c r="AP2126" s="17"/>
      <c r="AQ2126" s="17"/>
      <c r="AR2126" s="17"/>
      <c r="AS2126" s="17"/>
      <c r="AT2126" s="17"/>
      <c r="AU2126" s="17"/>
      <c r="AV2126" s="17"/>
    </row>
    <row r="2127" spans="1:48" ht="15.75" customHeight="1">
      <c r="A2127" s="21" t="s">
        <v>76</v>
      </c>
      <c r="B2127" s="23" t="s">
        <v>1692</v>
      </c>
      <c r="C2127" s="22">
        <v>45769</v>
      </c>
      <c r="D2127" s="23" t="s">
        <v>135</v>
      </c>
      <c r="E2127" s="23" t="s">
        <v>82</v>
      </c>
      <c r="F2127" s="21">
        <v>1</v>
      </c>
      <c r="G2127" s="12">
        <v>2000.0000000000002</v>
      </c>
      <c r="H2127" s="12">
        <v>2000.0000000000002</v>
      </c>
      <c r="I2127" s="23" t="s">
        <v>52</v>
      </c>
      <c r="J2127" s="23" t="s">
        <v>61</v>
      </c>
      <c r="K2127" s="24" t="s">
        <v>177</v>
      </c>
      <c r="L2127" s="24">
        <v>130</v>
      </c>
      <c r="M2127" s="12">
        <v>1680.6722689075632</v>
      </c>
      <c r="N2127" s="12">
        <v>1680.6722689075632</v>
      </c>
      <c r="O2127" s="12">
        <v>319.32773109243703</v>
      </c>
      <c r="P2127" s="13"/>
      <c r="Q2127" s="14">
        <v>2025</v>
      </c>
      <c r="R2127" s="15">
        <v>45383</v>
      </c>
      <c r="S2127" s="11" t="s">
        <v>463</v>
      </c>
      <c r="T2127" s="16">
        <v>5</v>
      </c>
      <c r="U2127" s="17"/>
      <c r="V2127" s="12">
        <v>680.67226890756319</v>
      </c>
      <c r="W2127" s="12">
        <v>680.67226890756319</v>
      </c>
      <c r="X2127" s="12">
        <v>0</v>
      </c>
      <c r="Y2127" s="18">
        <v>45768</v>
      </c>
      <c r="Z2127" s="13" t="s">
        <v>516</v>
      </c>
      <c r="AA2127" s="19" t="s">
        <v>361</v>
      </c>
      <c r="AB2127" s="13" t="s">
        <v>357</v>
      </c>
      <c r="AC2127" s="13" t="s">
        <v>538</v>
      </c>
      <c r="AD2127" s="20"/>
      <c r="AE2127" s="20"/>
      <c r="AF2127" s="13" t="s">
        <v>40</v>
      </c>
      <c r="AG2127" s="15">
        <v>45383</v>
      </c>
      <c r="AH2127" s="13" t="s">
        <v>41</v>
      </c>
      <c r="AI2127" s="13" t="s">
        <v>76</v>
      </c>
      <c r="AJ2127" s="13" t="str">
        <f>VLOOKUP(E2127,Precios!Z$2:AA$941,2,FALSE)</f>
        <v>Limpiapiso SPUM 5 Litros</v>
      </c>
      <c r="AK2127" s="14">
        <f>VLOOKUP(E2127,Precios!Z$2:BB$941,3,FALSE)*F2127</f>
        <v>-1</v>
      </c>
      <c r="AL2127" s="17"/>
      <c r="AM2127" s="17"/>
      <c r="AN2127" s="17"/>
      <c r="AO2127" s="17"/>
      <c r="AP2127" s="17"/>
      <c r="AQ2127" s="17"/>
      <c r="AR2127" s="17"/>
      <c r="AS2127" s="17"/>
      <c r="AT2127" s="17"/>
      <c r="AU2127" s="17"/>
      <c r="AV2127" s="17"/>
    </row>
    <row r="2128" spans="1:48" ht="15.75" customHeight="1">
      <c r="A2128" s="21" t="s">
        <v>73</v>
      </c>
      <c r="B2128" s="23" t="s">
        <v>1692</v>
      </c>
      <c r="C2128" s="22">
        <v>45769</v>
      </c>
      <c r="D2128" s="23" t="s">
        <v>674</v>
      </c>
      <c r="E2128" s="23" t="s">
        <v>161</v>
      </c>
      <c r="F2128" s="21">
        <v>2</v>
      </c>
      <c r="G2128" s="12">
        <v>4199.9020019599611</v>
      </c>
      <c r="H2128" s="12">
        <v>8399.8040039199223</v>
      </c>
      <c r="I2128" s="23" t="s">
        <v>52</v>
      </c>
      <c r="J2128" s="23" t="s">
        <v>61</v>
      </c>
      <c r="K2128" s="24" t="s">
        <v>177</v>
      </c>
      <c r="L2128" s="24">
        <v>130</v>
      </c>
      <c r="M2128" s="12">
        <v>3529.3294134117323</v>
      </c>
      <c r="N2128" s="12">
        <v>7058.6588268234646</v>
      </c>
      <c r="O2128" s="12">
        <v>1341.1451770964577</v>
      </c>
      <c r="P2128" s="13"/>
      <c r="Q2128" s="14">
        <v>2025</v>
      </c>
      <c r="R2128" s="15">
        <v>45383</v>
      </c>
      <c r="S2128" s="11" t="s">
        <v>424</v>
      </c>
      <c r="T2128" s="16">
        <v>0</v>
      </c>
      <c r="U2128" s="17"/>
      <c r="V2128" s="12">
        <v>2016.6588268234646</v>
      </c>
      <c r="W2128" s="12">
        <v>2016.6588268234646</v>
      </c>
      <c r="X2128" s="12">
        <v>0</v>
      </c>
      <c r="Y2128" s="18">
        <v>45768</v>
      </c>
      <c r="Z2128" s="13" t="s">
        <v>516</v>
      </c>
      <c r="AA2128" s="19" t="s">
        <v>373</v>
      </c>
      <c r="AB2128" s="13" t="s">
        <v>357</v>
      </c>
      <c r="AC2128" s="13" t="s">
        <v>675</v>
      </c>
      <c r="AD2128" s="20"/>
      <c r="AE2128" s="20"/>
      <c r="AF2128" s="13" t="s">
        <v>40</v>
      </c>
      <c r="AG2128" s="15">
        <v>45383</v>
      </c>
      <c r="AH2128" s="13" t="s">
        <v>41</v>
      </c>
      <c r="AI2128" s="13" t="s">
        <v>73</v>
      </c>
      <c r="AJ2128" s="13" t="str">
        <f>VLOOKUP(E2128,Precios!Z$2:AA$941,2,FALSE)</f>
        <v>Guante NITRILO Talla L</v>
      </c>
      <c r="AK2128" s="14">
        <f>VLOOKUP(E2128,Precios!Z$2:BB$941,3,FALSE)*F2128</f>
        <v>-2</v>
      </c>
      <c r="AL2128" s="17"/>
      <c r="AM2128" s="17"/>
      <c r="AN2128" s="17"/>
      <c r="AO2128" s="17"/>
      <c r="AP2128" s="17"/>
      <c r="AQ2128" s="17"/>
      <c r="AR2128" s="17"/>
      <c r="AS2128" s="17"/>
      <c r="AT2128" s="17"/>
      <c r="AU2128" s="17"/>
      <c r="AV2128" s="17"/>
    </row>
    <row r="2129" spans="1:48" ht="15.75" customHeight="1">
      <c r="A2129" s="21" t="s">
        <v>73</v>
      </c>
      <c r="B2129" s="23" t="s">
        <v>1692</v>
      </c>
      <c r="C2129" s="22">
        <v>45769</v>
      </c>
      <c r="D2129" s="23" t="s">
        <v>674</v>
      </c>
      <c r="E2129" s="23" t="s">
        <v>91</v>
      </c>
      <c r="F2129" s="21">
        <v>1</v>
      </c>
      <c r="G2129" s="12">
        <v>2499.9999999999995</v>
      </c>
      <c r="H2129" s="12">
        <v>2499.9999999999995</v>
      </c>
      <c r="I2129" s="23" t="s">
        <v>52</v>
      </c>
      <c r="J2129" s="23" t="s">
        <v>61</v>
      </c>
      <c r="K2129" s="24" t="s">
        <v>177</v>
      </c>
      <c r="L2129" s="24">
        <v>130</v>
      </c>
      <c r="M2129" s="12">
        <v>2100.8403361344535</v>
      </c>
      <c r="N2129" s="12">
        <v>2100.8403361344535</v>
      </c>
      <c r="O2129" s="12">
        <v>399.15966386554601</v>
      </c>
      <c r="P2129" s="13"/>
      <c r="Q2129" s="14">
        <v>2025</v>
      </c>
      <c r="R2129" s="15">
        <v>45383</v>
      </c>
      <c r="S2129" s="11" t="s">
        <v>91</v>
      </c>
      <c r="T2129" s="16">
        <v>0</v>
      </c>
      <c r="U2129" s="17"/>
      <c r="V2129" s="12">
        <v>999.99999999999977</v>
      </c>
      <c r="W2129" s="12">
        <v>999.99999999999977</v>
      </c>
      <c r="X2129" s="12">
        <v>0</v>
      </c>
      <c r="Y2129" s="18">
        <v>45768</v>
      </c>
      <c r="Z2129" s="13" t="s">
        <v>516</v>
      </c>
      <c r="AA2129" s="19" t="s">
        <v>373</v>
      </c>
      <c r="AB2129" s="13" t="s">
        <v>357</v>
      </c>
      <c r="AC2129" s="13" t="s">
        <v>675</v>
      </c>
      <c r="AD2129" s="20"/>
      <c r="AE2129" s="20"/>
      <c r="AF2129" s="13" t="s">
        <v>40</v>
      </c>
      <c r="AG2129" s="15">
        <v>45383</v>
      </c>
      <c r="AH2129" s="13" t="s">
        <v>41</v>
      </c>
      <c r="AI2129" s="13" t="s">
        <v>73</v>
      </c>
      <c r="AJ2129" s="13" t="str">
        <f>VLOOKUP(E2129,Precios!Z$2:AA$941,2,FALSE)</f>
        <v>Cofias</v>
      </c>
      <c r="AK2129" s="14">
        <f>VLOOKUP(E2129,Precios!Z$2:BB$941,3,FALSE)*F2129</f>
        <v>-1</v>
      </c>
      <c r="AL2129" s="17"/>
      <c r="AM2129" s="17"/>
      <c r="AN2129" s="17"/>
      <c r="AO2129" s="17"/>
      <c r="AP2129" s="17"/>
      <c r="AQ2129" s="17"/>
      <c r="AR2129" s="17"/>
      <c r="AS2129" s="17"/>
      <c r="AT2129" s="17"/>
      <c r="AU2129" s="17"/>
      <c r="AV2129" s="17"/>
    </row>
    <row r="2130" spans="1:48" ht="15.75" customHeight="1">
      <c r="A2130" s="21" t="s">
        <v>53</v>
      </c>
      <c r="B2130" s="23" t="s">
        <v>1692</v>
      </c>
      <c r="C2130" s="22">
        <v>45769</v>
      </c>
      <c r="D2130" s="23" t="s">
        <v>279</v>
      </c>
      <c r="E2130" s="23" t="s">
        <v>317</v>
      </c>
      <c r="F2130" s="21">
        <v>1</v>
      </c>
      <c r="G2130" s="12">
        <v>12500.17391304348</v>
      </c>
      <c r="H2130" s="12">
        <v>12500.17391304348</v>
      </c>
      <c r="I2130" s="23" t="s">
        <v>52</v>
      </c>
      <c r="J2130" s="23" t="s">
        <v>61</v>
      </c>
      <c r="K2130" s="24" t="s">
        <v>177</v>
      </c>
      <c r="L2130" s="24">
        <v>130</v>
      </c>
      <c r="M2130" s="12">
        <v>10504.347826086958</v>
      </c>
      <c r="N2130" s="12">
        <v>10504.347826086958</v>
      </c>
      <c r="O2130" s="12">
        <v>1995.826086956522</v>
      </c>
      <c r="P2130" s="13"/>
      <c r="Q2130" s="14">
        <v>2025</v>
      </c>
      <c r="R2130" s="15">
        <v>45383</v>
      </c>
      <c r="S2130" s="11" t="s">
        <v>435</v>
      </c>
      <c r="T2130" s="16">
        <v>0</v>
      </c>
      <c r="U2130" s="17"/>
      <c r="V2130" s="12">
        <v>3256.3478260869579</v>
      </c>
      <c r="W2130" s="12">
        <v>3256.3478260869579</v>
      </c>
      <c r="X2130" s="12">
        <v>0</v>
      </c>
      <c r="Y2130" s="18">
        <v>45768</v>
      </c>
      <c r="Z2130" s="13" t="s">
        <v>516</v>
      </c>
      <c r="AA2130" s="19" t="s">
        <v>373</v>
      </c>
      <c r="AB2130" s="13" t="s">
        <v>357</v>
      </c>
      <c r="AC2130" s="13" t="s">
        <v>374</v>
      </c>
      <c r="AD2130" s="20"/>
      <c r="AE2130" s="20"/>
      <c r="AF2130" s="13" t="s">
        <v>40</v>
      </c>
      <c r="AG2130" s="15">
        <v>45383</v>
      </c>
      <c r="AH2130" s="13" t="s">
        <v>41</v>
      </c>
      <c r="AI2130" s="13" t="s">
        <v>53</v>
      </c>
      <c r="AJ2130" s="13" t="str">
        <f>VLOOKUP(E2130,Precios!Z$2:AA$941,2,FALSE)</f>
        <v>Papel Higienico SWAN 400 hojas</v>
      </c>
      <c r="AK2130" s="14">
        <f>VLOOKUP(E2130,Precios!Z$2:BB$941,3,FALSE)*F2130</f>
        <v>-6</v>
      </c>
      <c r="AL2130" s="17"/>
      <c r="AM2130" s="17"/>
      <c r="AN2130" s="17"/>
      <c r="AO2130" s="17"/>
      <c r="AP2130" s="17"/>
      <c r="AQ2130" s="17"/>
      <c r="AR2130" s="17"/>
      <c r="AS2130" s="17"/>
      <c r="AT2130" s="17"/>
      <c r="AU2130" s="17"/>
      <c r="AV2130" s="17"/>
    </row>
    <row r="2131" spans="1:48" ht="15.75" customHeight="1">
      <c r="A2131" s="21" t="s">
        <v>53</v>
      </c>
      <c r="B2131" s="23" t="s">
        <v>1692</v>
      </c>
      <c r="C2131" s="22">
        <v>45769</v>
      </c>
      <c r="D2131" s="23" t="s">
        <v>279</v>
      </c>
      <c r="E2131" s="23" t="s">
        <v>280</v>
      </c>
      <c r="F2131" s="21">
        <v>1</v>
      </c>
      <c r="G2131" s="12">
        <v>13500.442251291839</v>
      </c>
      <c r="H2131" s="12">
        <v>13500.442251291839</v>
      </c>
      <c r="I2131" s="23" t="s">
        <v>52</v>
      </c>
      <c r="J2131" s="23" t="s">
        <v>61</v>
      </c>
      <c r="K2131" s="24" t="s">
        <v>177</v>
      </c>
      <c r="L2131" s="24">
        <v>130</v>
      </c>
      <c r="M2131" s="12">
        <v>11344.909454867093</v>
      </c>
      <c r="N2131" s="12">
        <v>11344.909454867093</v>
      </c>
      <c r="O2131" s="12">
        <v>2155.5327964247463</v>
      </c>
      <c r="P2131" s="13"/>
      <c r="Q2131" s="14">
        <v>2025</v>
      </c>
      <c r="R2131" s="15">
        <v>45383</v>
      </c>
      <c r="S2131" s="11" t="s">
        <v>381</v>
      </c>
      <c r="T2131" s="16">
        <v>300</v>
      </c>
      <c r="U2131" s="17"/>
      <c r="V2131" s="12">
        <v>4033.909454867091</v>
      </c>
      <c r="W2131" s="12">
        <v>4033.909454867091</v>
      </c>
      <c r="X2131" s="12">
        <v>0</v>
      </c>
      <c r="Y2131" s="18">
        <v>45768</v>
      </c>
      <c r="Z2131" s="13" t="s">
        <v>516</v>
      </c>
      <c r="AA2131" s="19" t="s">
        <v>373</v>
      </c>
      <c r="AB2131" s="13" t="s">
        <v>357</v>
      </c>
      <c r="AC2131" s="13" t="s">
        <v>374</v>
      </c>
      <c r="AD2131" s="20"/>
      <c r="AE2131" s="20"/>
      <c r="AF2131" s="13" t="s">
        <v>40</v>
      </c>
      <c r="AG2131" s="15">
        <v>45383</v>
      </c>
      <c r="AH2131" s="13" t="s">
        <v>41</v>
      </c>
      <c r="AI2131" s="13" t="s">
        <v>53</v>
      </c>
      <c r="AJ2131" s="13" t="str">
        <f>VLOOKUP(E2131,Precios!Z$2:AA$941,2,FALSE)</f>
        <v>Servilletas SOFTQUALITY 300 unidades</v>
      </c>
      <c r="AK2131" s="14">
        <f>VLOOKUP(E2131,Precios!Z$2:BB$941,3,FALSE)*F2131</f>
        <v>-10</v>
      </c>
      <c r="AL2131" s="17"/>
      <c r="AM2131" s="17"/>
      <c r="AN2131" s="17"/>
      <c r="AO2131" s="17"/>
      <c r="AP2131" s="17"/>
      <c r="AQ2131" s="17"/>
      <c r="AR2131" s="17"/>
      <c r="AS2131" s="17"/>
      <c r="AT2131" s="17"/>
      <c r="AU2131" s="17"/>
      <c r="AV2131" s="17"/>
    </row>
    <row r="2132" spans="1:48" ht="15.75" customHeight="1">
      <c r="A2132" s="21" t="s">
        <v>53</v>
      </c>
      <c r="B2132" s="23" t="s">
        <v>1692</v>
      </c>
      <c r="C2132" s="22">
        <v>45769</v>
      </c>
      <c r="D2132" s="23" t="s">
        <v>508</v>
      </c>
      <c r="E2132" s="23" t="s">
        <v>97</v>
      </c>
      <c r="F2132" s="21">
        <v>1</v>
      </c>
      <c r="G2132" s="12">
        <v>16500.126742712295</v>
      </c>
      <c r="H2132" s="12">
        <v>16500.126742712295</v>
      </c>
      <c r="I2132" s="23" t="s">
        <v>52</v>
      </c>
      <c r="J2132" s="23" t="s">
        <v>61</v>
      </c>
      <c r="K2132" s="24" t="s">
        <v>177</v>
      </c>
      <c r="L2132" s="24">
        <v>130</v>
      </c>
      <c r="M2132" s="12">
        <v>13865.652724968315</v>
      </c>
      <c r="N2132" s="12">
        <v>13865.652724968315</v>
      </c>
      <c r="O2132" s="12">
        <v>2634.4740177439799</v>
      </c>
      <c r="P2132" s="13"/>
      <c r="Q2132" s="14">
        <v>2025</v>
      </c>
      <c r="R2132" s="15">
        <v>45383</v>
      </c>
      <c r="S2132" s="11" t="s">
        <v>366</v>
      </c>
      <c r="T2132" s="16">
        <v>0</v>
      </c>
      <c r="U2132" s="17"/>
      <c r="V2132" s="12">
        <v>3472.6527249683149</v>
      </c>
      <c r="W2132" s="12">
        <v>3472.6527249683149</v>
      </c>
      <c r="X2132" s="12">
        <v>0</v>
      </c>
      <c r="Y2132" s="18">
        <v>45768</v>
      </c>
      <c r="Z2132" s="13" t="s">
        <v>516</v>
      </c>
      <c r="AA2132" s="19" t="s">
        <v>373</v>
      </c>
      <c r="AB2132" s="13" t="s">
        <v>357</v>
      </c>
      <c r="AC2132" s="13" t="s">
        <v>362</v>
      </c>
      <c r="AD2132" s="20"/>
      <c r="AE2132" s="20"/>
      <c r="AF2132" s="13" t="s">
        <v>40</v>
      </c>
      <c r="AG2132" s="15">
        <v>45383</v>
      </c>
      <c r="AH2132" s="13" t="s">
        <v>41</v>
      </c>
      <c r="AI2132" s="13" t="s">
        <v>53</v>
      </c>
      <c r="AJ2132" s="13" t="str">
        <f>VLOOKUP(E2132,Precios!Z$2:AA$941,2,FALSE)</f>
        <v>Papel Higienico ELITE 50 metros</v>
      </c>
      <c r="AK2132" s="14">
        <f>VLOOKUP(E2132,Precios!Z$2:BB$941,3,FALSE)*F2132</f>
        <v>-6</v>
      </c>
      <c r="AL2132" s="17"/>
      <c r="AM2132" s="17"/>
      <c r="AN2132" s="17"/>
      <c r="AO2132" s="17"/>
      <c r="AP2132" s="17"/>
      <c r="AQ2132" s="17"/>
      <c r="AR2132" s="17"/>
      <c r="AS2132" s="17"/>
      <c r="AT2132" s="17"/>
      <c r="AU2132" s="17"/>
      <c r="AV2132" s="17"/>
    </row>
    <row r="2133" spans="1:48" ht="15.75" customHeight="1">
      <c r="A2133" s="21" t="s">
        <v>47</v>
      </c>
      <c r="B2133" s="23" t="s">
        <v>1692</v>
      </c>
      <c r="C2133" s="22">
        <v>45769</v>
      </c>
      <c r="D2133" s="23" t="s">
        <v>508</v>
      </c>
      <c r="E2133" s="23" t="s">
        <v>565</v>
      </c>
      <c r="F2133" s="21">
        <v>1</v>
      </c>
      <c r="G2133" s="12">
        <v>6900.2286325825753</v>
      </c>
      <c r="H2133" s="12">
        <v>6900.2286325825753</v>
      </c>
      <c r="I2133" s="23" t="s">
        <v>52</v>
      </c>
      <c r="J2133" s="23" t="s">
        <v>61</v>
      </c>
      <c r="K2133" s="24" t="s">
        <v>177</v>
      </c>
      <c r="L2133" s="24">
        <v>130</v>
      </c>
      <c r="M2133" s="12">
        <v>5798.5114559517442</v>
      </c>
      <c r="N2133" s="12">
        <v>5798.5114559517442</v>
      </c>
      <c r="O2133" s="12">
        <v>1101.7171766308311</v>
      </c>
      <c r="P2133" s="13"/>
      <c r="Q2133" s="14">
        <v>2025</v>
      </c>
      <c r="R2133" s="15">
        <v>45383</v>
      </c>
      <c r="S2133" s="11" t="s">
        <v>372</v>
      </c>
      <c r="T2133" s="16">
        <v>0</v>
      </c>
      <c r="U2133" s="17"/>
      <c r="V2133" s="12">
        <v>2222.5114559517442</v>
      </c>
      <c r="W2133" s="12">
        <v>2222.5114559517442</v>
      </c>
      <c r="X2133" s="12">
        <v>0</v>
      </c>
      <c r="Y2133" s="18">
        <v>45768</v>
      </c>
      <c r="Z2133" s="13" t="s">
        <v>516</v>
      </c>
      <c r="AA2133" s="19" t="s">
        <v>373</v>
      </c>
      <c r="AB2133" s="13" t="s">
        <v>357</v>
      </c>
      <c r="AC2133" s="13" t="s">
        <v>362</v>
      </c>
      <c r="AD2133" s="20"/>
      <c r="AE2133" s="20"/>
      <c r="AF2133" s="13" t="s">
        <v>40</v>
      </c>
      <c r="AG2133" s="15">
        <v>45383</v>
      </c>
      <c r="AH2133" s="13" t="s">
        <v>41</v>
      </c>
      <c r="AI2133" s="13" t="s">
        <v>47</v>
      </c>
      <c r="AJ2133" s="13" t="str">
        <f>VLOOKUP(E2133,Precios!Z$2:AA$941,2,FALSE)</f>
        <v>Traperos Humedos TEDDY</v>
      </c>
      <c r="AK2133" s="14">
        <f>VLOOKUP(E2133,Precios!Z$2:BB$941,3,FALSE)*F2133</f>
        <v>-3</v>
      </c>
      <c r="AL2133" s="17"/>
      <c r="AM2133" s="17"/>
      <c r="AN2133" s="17"/>
      <c r="AO2133" s="17"/>
      <c r="AP2133" s="17"/>
      <c r="AQ2133" s="17"/>
      <c r="AR2133" s="17"/>
      <c r="AS2133" s="17"/>
      <c r="AT2133" s="17"/>
      <c r="AU2133" s="17"/>
      <c r="AV2133" s="17"/>
    </row>
    <row r="2134" spans="1:48" ht="15.75" customHeight="1">
      <c r="A2134" s="21" t="s">
        <v>47</v>
      </c>
      <c r="B2134" s="23" t="s">
        <v>1692</v>
      </c>
      <c r="C2134" s="22">
        <v>45769</v>
      </c>
      <c r="D2134" s="23" t="s">
        <v>508</v>
      </c>
      <c r="E2134" s="23" t="s">
        <v>676</v>
      </c>
      <c r="F2134" s="21">
        <v>1</v>
      </c>
      <c r="G2134" s="12">
        <v>4000.134998312521</v>
      </c>
      <c r="H2134" s="12">
        <v>4000.134998312521</v>
      </c>
      <c r="I2134" s="23" t="s">
        <v>52</v>
      </c>
      <c r="J2134" s="23" t="s">
        <v>61</v>
      </c>
      <c r="K2134" s="24" t="s">
        <v>177</v>
      </c>
      <c r="L2134" s="24">
        <v>130</v>
      </c>
      <c r="M2134" s="12">
        <v>3361.4579817752278</v>
      </c>
      <c r="N2134" s="12">
        <v>3361.4579817752278</v>
      </c>
      <c r="O2134" s="12">
        <v>638.67701653729318</v>
      </c>
      <c r="P2134" s="13"/>
      <c r="Q2134" s="14">
        <v>2025</v>
      </c>
      <c r="R2134" s="15">
        <v>45383</v>
      </c>
      <c r="S2134" s="11" t="s">
        <v>384</v>
      </c>
      <c r="T2134" s="16">
        <v>0</v>
      </c>
      <c r="U2134" s="17"/>
      <c r="V2134" s="12">
        <v>1369.4579817752278</v>
      </c>
      <c r="W2134" s="12">
        <v>1369.4579817752278</v>
      </c>
      <c r="X2134" s="12">
        <v>0</v>
      </c>
      <c r="Y2134" s="18">
        <v>45768</v>
      </c>
      <c r="Z2134" s="13" t="s">
        <v>516</v>
      </c>
      <c r="AA2134" s="19" t="s">
        <v>373</v>
      </c>
      <c r="AB2134" s="13" t="s">
        <v>357</v>
      </c>
      <c r="AC2134" s="13" t="s">
        <v>362</v>
      </c>
      <c r="AD2134" s="20"/>
      <c r="AE2134" s="20"/>
      <c r="AF2134" s="13" t="s">
        <v>40</v>
      </c>
      <c r="AG2134" s="15">
        <v>45383</v>
      </c>
      <c r="AH2134" s="13" t="s">
        <v>41</v>
      </c>
      <c r="AI2134" s="13" t="s">
        <v>47</v>
      </c>
      <c r="AJ2134" s="13" t="str">
        <f>VLOOKUP(E2134,Precios!Z$2:AA$941,2,FALSE)</f>
        <v>Jabón Líquido TEDDY</v>
      </c>
      <c r="AK2134" s="14">
        <f>VLOOKUP(E2134,Precios!Z$2:BB$941,3,FALSE)*F2134</f>
        <v>-3</v>
      </c>
      <c r="AL2134" s="17"/>
      <c r="AM2134" s="17"/>
      <c r="AN2134" s="17"/>
      <c r="AO2134" s="17"/>
      <c r="AP2134" s="17"/>
      <c r="AQ2134" s="17"/>
      <c r="AR2134" s="17"/>
      <c r="AS2134" s="17"/>
      <c r="AT2134" s="17"/>
      <c r="AU2134" s="17"/>
      <c r="AV2134" s="17"/>
    </row>
    <row r="2135" spans="1:48" ht="15.75" customHeight="1">
      <c r="A2135" s="21" t="s">
        <v>53</v>
      </c>
      <c r="B2135" s="23" t="s">
        <v>1692</v>
      </c>
      <c r="C2135" s="22">
        <v>45769</v>
      </c>
      <c r="D2135" s="23" t="s">
        <v>508</v>
      </c>
      <c r="E2135" s="23" t="s">
        <v>114</v>
      </c>
      <c r="F2135" s="21">
        <v>1</v>
      </c>
      <c r="G2135" s="12">
        <v>10500</v>
      </c>
      <c r="H2135" s="12">
        <v>10500</v>
      </c>
      <c r="I2135" s="23" t="s">
        <v>52</v>
      </c>
      <c r="J2135" s="23" t="s">
        <v>61</v>
      </c>
      <c r="K2135" s="24" t="s">
        <v>177</v>
      </c>
      <c r="L2135" s="24">
        <v>130</v>
      </c>
      <c r="M2135" s="12">
        <v>8823.5294117647063</v>
      </c>
      <c r="N2135" s="12">
        <v>8823.5294117647063</v>
      </c>
      <c r="O2135" s="12">
        <v>1676.4705882352937</v>
      </c>
      <c r="P2135" s="13"/>
      <c r="Q2135" s="14">
        <v>2025</v>
      </c>
      <c r="R2135" s="15">
        <v>45383</v>
      </c>
      <c r="S2135" s="11" t="s">
        <v>369</v>
      </c>
      <c r="T2135" s="16">
        <v>0</v>
      </c>
      <c r="U2135" s="17"/>
      <c r="V2135" s="12">
        <v>2403.3613445378151</v>
      </c>
      <c r="W2135" s="12">
        <v>2403.3613445378151</v>
      </c>
      <c r="X2135" s="12">
        <v>0</v>
      </c>
      <c r="Y2135" s="18">
        <v>45768</v>
      </c>
      <c r="Z2135" s="13" t="s">
        <v>516</v>
      </c>
      <c r="AA2135" s="19" t="s">
        <v>373</v>
      </c>
      <c r="AB2135" s="13" t="s">
        <v>357</v>
      </c>
      <c r="AC2135" s="13" t="s">
        <v>362</v>
      </c>
      <c r="AD2135" s="20"/>
      <c r="AE2135" s="20"/>
      <c r="AF2135" s="13" t="s">
        <v>40</v>
      </c>
      <c r="AG2135" s="15">
        <v>45383</v>
      </c>
      <c r="AH2135" s="13" t="s">
        <v>41</v>
      </c>
      <c r="AI2135" s="13" t="s">
        <v>53</v>
      </c>
      <c r="AJ2135" s="13" t="str">
        <f>VLOOKUP(E2135,Precios!Z$2:AA$941,2,FALSE)</f>
        <v>Toalla Papel NOVA 12 metros</v>
      </c>
      <c r="AK2135" s="14">
        <f>VLOOKUP(E2135,Precios!Z$2:BB$941,3,FALSE)*F2135</f>
        <v>-8</v>
      </c>
      <c r="AL2135" s="17"/>
      <c r="AM2135" s="17"/>
      <c r="AN2135" s="17"/>
      <c r="AO2135" s="17"/>
      <c r="AP2135" s="17"/>
      <c r="AQ2135" s="17"/>
      <c r="AR2135" s="17"/>
      <c r="AS2135" s="17"/>
      <c r="AT2135" s="17"/>
      <c r="AU2135" s="17"/>
      <c r="AV2135" s="17"/>
    </row>
    <row r="2136" spans="1:48" ht="15.75" customHeight="1">
      <c r="A2136" s="21" t="s">
        <v>73</v>
      </c>
      <c r="B2136" s="23" t="s">
        <v>1692</v>
      </c>
      <c r="C2136" s="22">
        <v>45769</v>
      </c>
      <c r="D2136" s="23" t="s">
        <v>508</v>
      </c>
      <c r="E2136" s="23" t="s">
        <v>74</v>
      </c>
      <c r="F2136" s="21">
        <v>1</v>
      </c>
      <c r="G2136" s="12">
        <v>4199.9020019599611</v>
      </c>
      <c r="H2136" s="12">
        <v>4199.9020019599611</v>
      </c>
      <c r="I2136" s="23" t="s">
        <v>52</v>
      </c>
      <c r="J2136" s="23" t="s">
        <v>61</v>
      </c>
      <c r="K2136" s="24" t="s">
        <v>177</v>
      </c>
      <c r="L2136" s="24">
        <v>130</v>
      </c>
      <c r="M2136" s="12">
        <v>3529.3294134117323</v>
      </c>
      <c r="N2136" s="12">
        <v>3529.3294134117323</v>
      </c>
      <c r="O2136" s="12">
        <v>670.57258854822885</v>
      </c>
      <c r="P2136" s="13"/>
      <c r="Q2136" s="14">
        <v>2025</v>
      </c>
      <c r="R2136" s="15">
        <v>45383</v>
      </c>
      <c r="S2136" s="11" t="s">
        <v>424</v>
      </c>
      <c r="T2136" s="16">
        <v>0</v>
      </c>
      <c r="U2136" s="17"/>
      <c r="V2136" s="12">
        <v>1008.3294134117323</v>
      </c>
      <c r="W2136" s="12">
        <v>1008.3294134117323</v>
      </c>
      <c r="X2136" s="12">
        <v>0</v>
      </c>
      <c r="Y2136" s="18">
        <v>45768</v>
      </c>
      <c r="Z2136" s="13" t="s">
        <v>516</v>
      </c>
      <c r="AA2136" s="19" t="s">
        <v>373</v>
      </c>
      <c r="AB2136" s="13" t="s">
        <v>357</v>
      </c>
      <c r="AC2136" s="13" t="s">
        <v>362</v>
      </c>
      <c r="AD2136" s="20"/>
      <c r="AE2136" s="20"/>
      <c r="AF2136" s="13" t="s">
        <v>40</v>
      </c>
      <c r="AG2136" s="15">
        <v>45383</v>
      </c>
      <c r="AH2136" s="13" t="s">
        <v>41</v>
      </c>
      <c r="AI2136" s="13" t="s">
        <v>73</v>
      </c>
      <c r="AJ2136" s="13" t="str">
        <f>VLOOKUP(E2136,Precios!Z$2:AA$941,2,FALSE)</f>
        <v>Guante NITRILO Talla S</v>
      </c>
      <c r="AK2136" s="14">
        <f>VLOOKUP(E2136,Precios!Z$2:BB$941,3,FALSE)*F2136</f>
        <v>-1</v>
      </c>
      <c r="AL2136" s="17"/>
      <c r="AM2136" s="17"/>
      <c r="AN2136" s="17"/>
      <c r="AO2136" s="17"/>
      <c r="AP2136" s="17"/>
      <c r="AQ2136" s="17"/>
      <c r="AR2136" s="17"/>
      <c r="AS2136" s="17"/>
      <c r="AT2136" s="17"/>
      <c r="AU2136" s="17"/>
      <c r="AV2136" s="17"/>
    </row>
    <row r="2137" spans="1:48" ht="15.75" customHeight="1">
      <c r="A2137" s="21" t="s">
        <v>73</v>
      </c>
      <c r="B2137" s="23" t="s">
        <v>1692</v>
      </c>
      <c r="C2137" s="22">
        <v>45769</v>
      </c>
      <c r="D2137" s="23" t="s">
        <v>508</v>
      </c>
      <c r="E2137" s="23" t="s">
        <v>91</v>
      </c>
      <c r="F2137" s="21">
        <v>1</v>
      </c>
      <c r="G2137" s="12">
        <v>2499.9999999999995</v>
      </c>
      <c r="H2137" s="12">
        <v>2499.9999999999995</v>
      </c>
      <c r="I2137" s="23" t="s">
        <v>52</v>
      </c>
      <c r="J2137" s="23" t="s">
        <v>61</v>
      </c>
      <c r="K2137" s="24" t="s">
        <v>177</v>
      </c>
      <c r="L2137" s="24">
        <v>130</v>
      </c>
      <c r="M2137" s="12">
        <v>2100.8403361344535</v>
      </c>
      <c r="N2137" s="12">
        <v>2100.8403361344535</v>
      </c>
      <c r="O2137" s="12">
        <v>399.15966386554601</v>
      </c>
      <c r="P2137" s="13"/>
      <c r="Q2137" s="14">
        <v>2025</v>
      </c>
      <c r="R2137" s="15">
        <v>45383</v>
      </c>
      <c r="S2137" s="11" t="s">
        <v>91</v>
      </c>
      <c r="T2137" s="16">
        <v>0</v>
      </c>
      <c r="U2137" s="17"/>
      <c r="V2137" s="12">
        <v>999.99999999999977</v>
      </c>
      <c r="W2137" s="12">
        <v>999.99999999999977</v>
      </c>
      <c r="X2137" s="12">
        <v>0</v>
      </c>
      <c r="Y2137" s="18">
        <v>45768</v>
      </c>
      <c r="Z2137" s="13" t="s">
        <v>516</v>
      </c>
      <c r="AA2137" s="19" t="s">
        <v>373</v>
      </c>
      <c r="AB2137" s="13" t="s">
        <v>357</v>
      </c>
      <c r="AC2137" s="13" t="s">
        <v>362</v>
      </c>
      <c r="AD2137" s="20"/>
      <c r="AE2137" s="20"/>
      <c r="AF2137" s="13" t="s">
        <v>40</v>
      </c>
      <c r="AG2137" s="15">
        <v>45383</v>
      </c>
      <c r="AH2137" s="13" t="s">
        <v>41</v>
      </c>
      <c r="AI2137" s="13" t="s">
        <v>73</v>
      </c>
      <c r="AJ2137" s="13" t="str">
        <f>VLOOKUP(E2137,Precios!Z$2:AA$941,2,FALSE)</f>
        <v>Cofias</v>
      </c>
      <c r="AK2137" s="14">
        <f>VLOOKUP(E2137,Precios!Z$2:BB$941,3,FALSE)*F2137</f>
        <v>-1</v>
      </c>
      <c r="AL2137" s="17"/>
      <c r="AM2137" s="17"/>
      <c r="AN2137" s="17"/>
      <c r="AO2137" s="17"/>
      <c r="AP2137" s="17"/>
      <c r="AQ2137" s="17"/>
      <c r="AR2137" s="17"/>
      <c r="AS2137" s="17"/>
      <c r="AT2137" s="17"/>
      <c r="AU2137" s="17"/>
      <c r="AV2137" s="17"/>
    </row>
    <row r="2138" spans="1:48" ht="15.75" customHeight="1">
      <c r="A2138" s="21" t="s">
        <v>73</v>
      </c>
      <c r="B2138" s="23" t="s">
        <v>1692</v>
      </c>
      <c r="C2138" s="22">
        <v>45769</v>
      </c>
      <c r="D2138" s="23" t="s">
        <v>677</v>
      </c>
      <c r="E2138" s="23" t="s">
        <v>161</v>
      </c>
      <c r="F2138" s="21">
        <v>3</v>
      </c>
      <c r="G2138" s="12">
        <v>4199.9020019599611</v>
      </c>
      <c r="H2138" s="12">
        <v>12599.706005879883</v>
      </c>
      <c r="I2138" s="23" t="s">
        <v>52</v>
      </c>
      <c r="J2138" s="23" t="s">
        <v>61</v>
      </c>
      <c r="K2138" s="24" t="s">
        <v>177</v>
      </c>
      <c r="L2138" s="24">
        <v>130</v>
      </c>
      <c r="M2138" s="12">
        <v>3529.3294134117323</v>
      </c>
      <c r="N2138" s="12">
        <v>10587.988240235196</v>
      </c>
      <c r="O2138" s="12">
        <v>2011.7177656446875</v>
      </c>
      <c r="P2138" s="13"/>
      <c r="Q2138" s="14">
        <v>2025</v>
      </c>
      <c r="R2138" s="15">
        <v>45383</v>
      </c>
      <c r="S2138" s="11" t="s">
        <v>424</v>
      </c>
      <c r="T2138" s="16">
        <v>0</v>
      </c>
      <c r="U2138" s="17"/>
      <c r="V2138" s="12">
        <v>3024.9882402351968</v>
      </c>
      <c r="W2138" s="12">
        <v>3024.9882402351968</v>
      </c>
      <c r="X2138" s="12">
        <v>0</v>
      </c>
      <c r="Y2138" s="18">
        <v>45768</v>
      </c>
      <c r="Z2138" s="13" t="s">
        <v>516</v>
      </c>
      <c r="AA2138" s="19" t="s">
        <v>373</v>
      </c>
      <c r="AB2138" s="13" t="s">
        <v>357</v>
      </c>
      <c r="AC2138" s="13" t="s">
        <v>678</v>
      </c>
      <c r="AD2138" s="20"/>
      <c r="AE2138" s="20"/>
      <c r="AF2138" s="13" t="s">
        <v>40</v>
      </c>
      <c r="AG2138" s="15">
        <v>45383</v>
      </c>
      <c r="AH2138" s="13" t="s">
        <v>41</v>
      </c>
      <c r="AI2138" s="13" t="s">
        <v>73</v>
      </c>
      <c r="AJ2138" s="13" t="str">
        <f>VLOOKUP(E2138,Precios!Z$2:AA$941,2,FALSE)</f>
        <v>Guante NITRILO Talla L</v>
      </c>
      <c r="AK2138" s="14">
        <f>VLOOKUP(E2138,Precios!Z$2:BB$941,3,FALSE)*F2138</f>
        <v>-3</v>
      </c>
      <c r="AL2138" s="17"/>
      <c r="AM2138" s="17"/>
      <c r="AN2138" s="17"/>
      <c r="AO2138" s="17"/>
      <c r="AP2138" s="17"/>
      <c r="AQ2138" s="17"/>
      <c r="AR2138" s="17"/>
      <c r="AS2138" s="17"/>
      <c r="AT2138" s="17"/>
      <c r="AU2138" s="17"/>
      <c r="AV2138" s="17"/>
    </row>
    <row r="2139" spans="1:48" ht="15.75" customHeight="1">
      <c r="A2139" s="21" t="s">
        <v>43</v>
      </c>
      <c r="B2139" s="23" t="s">
        <v>1692</v>
      </c>
      <c r="C2139" s="22">
        <v>45769</v>
      </c>
      <c r="D2139" s="23" t="s">
        <v>622</v>
      </c>
      <c r="E2139" s="23" t="s">
        <v>45</v>
      </c>
      <c r="F2139" s="14">
        <v>1</v>
      </c>
      <c r="G2139" s="12">
        <v>8299.9877571008819</v>
      </c>
      <c r="H2139" s="12">
        <v>8299.9877571008819</v>
      </c>
      <c r="I2139" s="23" t="s">
        <v>52</v>
      </c>
      <c r="J2139" s="23" t="s">
        <v>61</v>
      </c>
      <c r="K2139" s="24" t="s">
        <v>177</v>
      </c>
      <c r="L2139" s="24">
        <v>130</v>
      </c>
      <c r="M2139" s="12">
        <v>6974.7796278158676</v>
      </c>
      <c r="N2139" s="12">
        <v>6974.7796278158676</v>
      </c>
      <c r="O2139" s="12">
        <v>1325.2081292850144</v>
      </c>
      <c r="P2139" s="13"/>
      <c r="Q2139" s="14">
        <v>2025</v>
      </c>
      <c r="R2139" s="15">
        <v>45383</v>
      </c>
      <c r="S2139" s="11" t="s">
        <v>355</v>
      </c>
      <c r="T2139" s="16">
        <v>0</v>
      </c>
      <c r="U2139" s="17"/>
      <c r="V2139" s="12">
        <v>1277.7796278158667</v>
      </c>
      <c r="W2139" s="12">
        <v>1277.7796278158667</v>
      </c>
      <c r="X2139" s="12">
        <v>0</v>
      </c>
      <c r="Y2139" s="18">
        <v>45768</v>
      </c>
      <c r="Z2139" s="13" t="s">
        <v>516</v>
      </c>
      <c r="AA2139" s="19" t="s">
        <v>373</v>
      </c>
      <c r="AB2139" s="13" t="s">
        <v>357</v>
      </c>
      <c r="AC2139" s="13" t="s">
        <v>623</v>
      </c>
      <c r="AD2139" s="20"/>
      <c r="AE2139" s="20"/>
      <c r="AF2139" s="13" t="s">
        <v>40</v>
      </c>
      <c r="AG2139" s="15">
        <v>45383</v>
      </c>
      <c r="AH2139" s="13" t="s">
        <v>41</v>
      </c>
      <c r="AI2139" s="13" t="s">
        <v>43</v>
      </c>
      <c r="AJ2139" s="13" t="str">
        <f>VLOOKUP(E2139,Precios!Z$2:AA$941,2,FALSE)</f>
        <v>Bandeja Huevos EXTRA</v>
      </c>
      <c r="AK2139" s="14">
        <f>VLOOKUP(E2139,Precios!Z$2:BB$941,3,FALSE)*F2139</f>
        <v>-1</v>
      </c>
      <c r="AL2139" s="17"/>
      <c r="AM2139" s="17"/>
      <c r="AN2139" s="17"/>
      <c r="AO2139" s="17"/>
      <c r="AP2139" s="17"/>
      <c r="AQ2139" s="17"/>
      <c r="AR2139" s="17"/>
      <c r="AS2139" s="17"/>
      <c r="AT2139" s="17"/>
      <c r="AU2139" s="17"/>
      <c r="AV2139" s="17"/>
    </row>
    <row r="2140" spans="1:48" ht="15.75" customHeight="1">
      <c r="A2140" s="21" t="s">
        <v>73</v>
      </c>
      <c r="B2140" s="23" t="s">
        <v>1692</v>
      </c>
      <c r="C2140" s="22">
        <v>45769</v>
      </c>
      <c r="D2140" s="23" t="s">
        <v>584</v>
      </c>
      <c r="E2140" s="23" t="s">
        <v>90</v>
      </c>
      <c r="F2140" s="14">
        <v>1</v>
      </c>
      <c r="G2140" s="12">
        <v>4199.9020019599611</v>
      </c>
      <c r="H2140" s="12">
        <v>4199.9020019599611</v>
      </c>
      <c r="I2140" s="23" t="s">
        <v>52</v>
      </c>
      <c r="J2140" s="23" t="s">
        <v>61</v>
      </c>
      <c r="K2140" s="24" t="s">
        <v>177</v>
      </c>
      <c r="L2140" s="24">
        <v>130</v>
      </c>
      <c r="M2140" s="12">
        <v>3529.3294134117323</v>
      </c>
      <c r="N2140" s="12">
        <v>3529.3294134117323</v>
      </c>
      <c r="O2140" s="12">
        <v>670.57258854822885</v>
      </c>
      <c r="P2140" s="13"/>
      <c r="Q2140" s="14">
        <v>2025</v>
      </c>
      <c r="R2140" s="15">
        <v>45383</v>
      </c>
      <c r="S2140" s="11" t="s">
        <v>424</v>
      </c>
      <c r="T2140" s="16">
        <v>0</v>
      </c>
      <c r="U2140" s="17"/>
      <c r="V2140" s="12">
        <v>1008.3294134117323</v>
      </c>
      <c r="W2140" s="12">
        <v>1008.3294134117323</v>
      </c>
      <c r="X2140" s="12">
        <v>0</v>
      </c>
      <c r="Y2140" s="18">
        <v>45768</v>
      </c>
      <c r="Z2140" s="13" t="s">
        <v>516</v>
      </c>
      <c r="AA2140" s="19" t="s">
        <v>373</v>
      </c>
      <c r="AB2140" s="13" t="s">
        <v>357</v>
      </c>
      <c r="AC2140" s="13" t="s">
        <v>374</v>
      </c>
      <c r="AD2140" s="20"/>
      <c r="AE2140" s="20"/>
      <c r="AF2140" s="13" t="s">
        <v>40</v>
      </c>
      <c r="AG2140" s="15">
        <v>45383</v>
      </c>
      <c r="AH2140" s="13" t="s">
        <v>41</v>
      </c>
      <c r="AI2140" s="13" t="s">
        <v>73</v>
      </c>
      <c r="AJ2140" s="13" t="str">
        <f>VLOOKUP(E2140,Precios!Z$2:AA$941,2,FALSE)</f>
        <v>Guante NITRILO Talla M</v>
      </c>
      <c r="AK2140" s="14">
        <f>VLOOKUP(E2140,Precios!Z$2:BB$941,3,FALSE)*F2140</f>
        <v>-1</v>
      </c>
      <c r="AL2140" s="17"/>
      <c r="AM2140" s="17"/>
      <c r="AN2140" s="17"/>
      <c r="AO2140" s="17"/>
      <c r="AP2140" s="17"/>
      <c r="AQ2140" s="17"/>
      <c r="AR2140" s="17"/>
      <c r="AS2140" s="17"/>
      <c r="AT2140" s="17"/>
      <c r="AU2140" s="17"/>
      <c r="AV2140" s="17"/>
    </row>
    <row r="2141" spans="1:48" ht="15.75" customHeight="1">
      <c r="A2141" s="21" t="s">
        <v>73</v>
      </c>
      <c r="B2141" s="23" t="s">
        <v>1692</v>
      </c>
      <c r="C2141" s="22">
        <v>45769</v>
      </c>
      <c r="D2141" s="23" t="s">
        <v>584</v>
      </c>
      <c r="E2141" s="23" t="s">
        <v>300</v>
      </c>
      <c r="F2141" s="14">
        <v>1</v>
      </c>
      <c r="G2141" s="12">
        <v>1600</v>
      </c>
      <c r="H2141" s="12">
        <v>1600</v>
      </c>
      <c r="I2141" s="23" t="s">
        <v>52</v>
      </c>
      <c r="J2141" s="23" t="s">
        <v>61</v>
      </c>
      <c r="K2141" s="24" t="s">
        <v>177</v>
      </c>
      <c r="L2141" s="24">
        <v>130</v>
      </c>
      <c r="M2141" s="12">
        <v>1344.5378151260504</v>
      </c>
      <c r="N2141" s="12">
        <v>1344.5378151260504</v>
      </c>
      <c r="O2141" s="12">
        <v>255.46218487394958</v>
      </c>
      <c r="P2141" s="13"/>
      <c r="Q2141" s="14">
        <v>2025</v>
      </c>
      <c r="R2141" s="15">
        <v>45383</v>
      </c>
      <c r="S2141" s="11" t="s">
        <v>559</v>
      </c>
      <c r="T2141" s="16">
        <v>0</v>
      </c>
      <c r="U2141" s="17"/>
      <c r="V2141" s="12">
        <v>638.65546218487395</v>
      </c>
      <c r="W2141" s="12">
        <v>638.65546218487395</v>
      </c>
      <c r="X2141" s="12">
        <v>0</v>
      </c>
      <c r="Y2141" s="18">
        <v>45768</v>
      </c>
      <c r="Z2141" s="13" t="s">
        <v>516</v>
      </c>
      <c r="AA2141" s="19" t="s">
        <v>373</v>
      </c>
      <c r="AB2141" s="13" t="s">
        <v>357</v>
      </c>
      <c r="AC2141" s="13" t="s">
        <v>374</v>
      </c>
      <c r="AD2141" s="20"/>
      <c r="AE2141" s="20"/>
      <c r="AF2141" s="13" t="s">
        <v>40</v>
      </c>
      <c r="AG2141" s="15">
        <v>45383</v>
      </c>
      <c r="AH2141" s="13" t="s">
        <v>41</v>
      </c>
      <c r="AI2141" s="13" t="s">
        <v>73</v>
      </c>
      <c r="AJ2141" s="13" t="str">
        <f>VLOOKUP(E2141,Precios!Z$2:AA$941,2,FALSE)</f>
        <v>Mascarillas Triple Pliegue</v>
      </c>
      <c r="AK2141" s="14">
        <f>VLOOKUP(E2141,Precios!Z$2:BB$941,3,FALSE)*F2141</f>
        <v>-1</v>
      </c>
      <c r="AL2141" s="17"/>
      <c r="AM2141" s="17"/>
      <c r="AN2141" s="17"/>
      <c r="AO2141" s="17"/>
      <c r="AP2141" s="17"/>
      <c r="AQ2141" s="17"/>
      <c r="AR2141" s="17"/>
      <c r="AS2141" s="17"/>
      <c r="AT2141" s="17"/>
      <c r="AU2141" s="17"/>
      <c r="AV2141" s="17"/>
    </row>
    <row r="2142" spans="1:48" ht="15.75" customHeight="1">
      <c r="A2142" s="21" t="s">
        <v>53</v>
      </c>
      <c r="B2142" s="23" t="s">
        <v>1692</v>
      </c>
      <c r="C2142" s="22">
        <v>45768</v>
      </c>
      <c r="D2142" s="23" t="s">
        <v>679</v>
      </c>
      <c r="E2142" s="23" t="s">
        <v>163</v>
      </c>
      <c r="F2142" s="14">
        <v>1</v>
      </c>
      <c r="G2142" s="12">
        <v>18990</v>
      </c>
      <c r="H2142" s="12">
        <v>18990</v>
      </c>
      <c r="I2142" s="23" t="s">
        <v>52</v>
      </c>
      <c r="J2142" s="23" t="s">
        <v>61</v>
      </c>
      <c r="K2142" s="24" t="s">
        <v>177</v>
      </c>
      <c r="L2142" s="24">
        <v>130</v>
      </c>
      <c r="M2142" s="12">
        <v>15957.983193277312</v>
      </c>
      <c r="N2142" s="12">
        <v>15957.983193277312</v>
      </c>
      <c r="O2142" s="12">
        <v>3032.0168067226878</v>
      </c>
      <c r="P2142" s="13"/>
      <c r="Q2142" s="14">
        <v>2025</v>
      </c>
      <c r="R2142" s="15">
        <v>45383</v>
      </c>
      <c r="S2142" s="11" t="s">
        <v>435</v>
      </c>
      <c r="T2142" s="16">
        <v>0</v>
      </c>
      <c r="U2142" s="17"/>
      <c r="V2142" s="12">
        <v>4112.6050420168067</v>
      </c>
      <c r="W2142" s="12">
        <v>4112.6050420168067</v>
      </c>
      <c r="X2142" s="12">
        <v>0</v>
      </c>
      <c r="Y2142" s="18">
        <v>45768</v>
      </c>
      <c r="Z2142" s="13" t="s">
        <v>523</v>
      </c>
      <c r="AA2142" s="19" t="s">
        <v>361</v>
      </c>
      <c r="AB2142" s="23" t="s">
        <v>357</v>
      </c>
      <c r="AC2142" s="13" t="s">
        <v>509</v>
      </c>
      <c r="AD2142" s="20"/>
      <c r="AE2142" s="20"/>
      <c r="AF2142" s="13" t="s">
        <v>40</v>
      </c>
      <c r="AG2142" s="15">
        <v>45383</v>
      </c>
      <c r="AH2142" s="13" t="s">
        <v>41</v>
      </c>
      <c r="AI2142" s="13" t="s">
        <v>53</v>
      </c>
      <c r="AJ2142" s="13" t="str">
        <f>VLOOKUP(E2142,Precios!Z$2:AA$941,2,FALSE)</f>
        <v>Papel Higienico SWAN 50 metros</v>
      </c>
      <c r="AK2142" s="14">
        <f>VLOOKUP(E2142,Precios!Z$2:BB$941,3,FALSE)*F2142</f>
        <v>-8</v>
      </c>
      <c r="AL2142" s="17"/>
      <c r="AM2142" s="17"/>
      <c r="AN2142" s="17"/>
      <c r="AO2142" s="17"/>
      <c r="AP2142" s="17"/>
      <c r="AQ2142" s="17"/>
      <c r="AR2142" s="17"/>
      <c r="AS2142" s="17"/>
      <c r="AT2142" s="17"/>
      <c r="AU2142" s="17"/>
      <c r="AV2142" s="17"/>
    </row>
    <row r="2143" spans="1:48" ht="15.75" customHeight="1">
      <c r="A2143" s="21" t="s">
        <v>56</v>
      </c>
      <c r="B2143" s="23" t="s">
        <v>1692</v>
      </c>
      <c r="C2143" s="22">
        <v>45768</v>
      </c>
      <c r="D2143" s="23" t="s">
        <v>680</v>
      </c>
      <c r="E2143" s="23" t="s">
        <v>524</v>
      </c>
      <c r="F2143" s="14">
        <v>1</v>
      </c>
      <c r="G2143" s="12">
        <v>4800.1002631908759</v>
      </c>
      <c r="H2143" s="12">
        <v>4800.1002631908759</v>
      </c>
      <c r="I2143" s="23" t="s">
        <v>52</v>
      </c>
      <c r="J2143" s="23" t="s">
        <v>61</v>
      </c>
      <c r="K2143" s="24" t="s">
        <v>177</v>
      </c>
      <c r="L2143" s="24">
        <v>130</v>
      </c>
      <c r="M2143" s="12">
        <v>4033.6977001604</v>
      </c>
      <c r="N2143" s="12">
        <v>4033.6977001604</v>
      </c>
      <c r="O2143" s="12">
        <v>766.4025630304759</v>
      </c>
      <c r="P2143" s="13"/>
      <c r="Q2143" s="14">
        <v>2025</v>
      </c>
      <c r="R2143" s="15">
        <v>45383</v>
      </c>
      <c r="S2143" s="11" t="s">
        <v>429</v>
      </c>
      <c r="T2143" s="16">
        <v>200</v>
      </c>
      <c r="U2143" s="17"/>
      <c r="V2143" s="12">
        <v>815.21030520241675</v>
      </c>
      <c r="W2143" s="12">
        <v>815.21030520241675</v>
      </c>
      <c r="X2143" s="12">
        <v>0</v>
      </c>
      <c r="Y2143" s="18">
        <v>45768</v>
      </c>
      <c r="Z2143" s="13" t="s">
        <v>523</v>
      </c>
      <c r="AA2143" s="19" t="s">
        <v>373</v>
      </c>
      <c r="AB2143" s="13" t="s">
        <v>357</v>
      </c>
      <c r="AC2143" s="13" t="s">
        <v>681</v>
      </c>
      <c r="AD2143" s="20"/>
      <c r="AE2143" s="20"/>
      <c r="AF2143" s="13" t="s">
        <v>40</v>
      </c>
      <c r="AG2143" s="15">
        <v>45383</v>
      </c>
      <c r="AH2143" s="13" t="s">
        <v>41</v>
      </c>
      <c r="AI2143" s="13" t="s">
        <v>56</v>
      </c>
      <c r="AJ2143" s="13" t="str">
        <f>VLOOKUP(E2143,Precios!Z$2:AA$941,2,FALSE)</f>
        <v>Queso Cabra</v>
      </c>
      <c r="AK2143" s="14">
        <f>VLOOKUP(E2143,Precios!Z$2:BB$941,3,FALSE)*F2143</f>
        <v>-1</v>
      </c>
      <c r="AL2143" s="17"/>
      <c r="AM2143" s="17"/>
      <c r="AN2143" s="17"/>
      <c r="AO2143" s="17"/>
      <c r="AP2143" s="17"/>
      <c r="AQ2143" s="17"/>
      <c r="AR2143" s="17"/>
      <c r="AS2143" s="17"/>
      <c r="AT2143" s="17"/>
      <c r="AU2143" s="17"/>
      <c r="AV2143" s="17"/>
    </row>
    <row r="2144" spans="1:48" ht="15.75" customHeight="1">
      <c r="A2144" s="21" t="s">
        <v>43</v>
      </c>
      <c r="B2144" s="23" t="s">
        <v>1692</v>
      </c>
      <c r="C2144" s="22">
        <v>45768</v>
      </c>
      <c r="D2144" s="23" t="s">
        <v>292</v>
      </c>
      <c r="E2144" s="23" t="s">
        <v>45</v>
      </c>
      <c r="F2144" s="14">
        <v>1</v>
      </c>
      <c r="G2144" s="12">
        <v>8299.9877571008819</v>
      </c>
      <c r="H2144" s="12">
        <v>8299.9877571008819</v>
      </c>
      <c r="I2144" s="23" t="s">
        <v>52</v>
      </c>
      <c r="J2144" s="23" t="s">
        <v>61</v>
      </c>
      <c r="K2144" s="24" t="s">
        <v>177</v>
      </c>
      <c r="L2144" s="24">
        <v>130</v>
      </c>
      <c r="M2144" s="12">
        <v>6974.7796278158676</v>
      </c>
      <c r="N2144" s="12">
        <v>6974.7796278158676</v>
      </c>
      <c r="O2144" s="12">
        <v>1325.2081292850144</v>
      </c>
      <c r="P2144" s="13"/>
      <c r="Q2144" s="14">
        <v>2025</v>
      </c>
      <c r="R2144" s="15">
        <v>45383</v>
      </c>
      <c r="S2144" s="11" t="s">
        <v>355</v>
      </c>
      <c r="T2144" s="16">
        <v>0</v>
      </c>
      <c r="U2144" s="17"/>
      <c r="V2144" s="12">
        <v>1277.7796278158667</v>
      </c>
      <c r="W2144" s="12">
        <v>1277.7796278158667</v>
      </c>
      <c r="X2144" s="12">
        <v>0</v>
      </c>
      <c r="Y2144" s="18">
        <v>45768</v>
      </c>
      <c r="Z2144" s="13" t="s">
        <v>523</v>
      </c>
      <c r="AA2144" s="19" t="s">
        <v>356</v>
      </c>
      <c r="AB2144" s="13" t="s">
        <v>357</v>
      </c>
      <c r="AC2144" s="13" t="s">
        <v>383</v>
      </c>
      <c r="AD2144" s="20"/>
      <c r="AE2144" s="20"/>
      <c r="AF2144" s="13" t="s">
        <v>40</v>
      </c>
      <c r="AG2144" s="15">
        <v>45383</v>
      </c>
      <c r="AH2144" s="13" t="s">
        <v>41</v>
      </c>
      <c r="AI2144" s="13" t="s">
        <v>43</v>
      </c>
      <c r="AJ2144" s="13" t="str">
        <f>VLOOKUP(E2144,Precios!Z$2:AA$941,2,FALSE)</f>
        <v>Bandeja Huevos EXTRA</v>
      </c>
      <c r="AK2144" s="14">
        <f>VLOOKUP(E2144,Precios!Z$2:BB$941,3,FALSE)*F2144</f>
        <v>-1</v>
      </c>
      <c r="AL2144" s="17"/>
      <c r="AM2144" s="17"/>
      <c r="AN2144" s="17"/>
      <c r="AO2144" s="17"/>
      <c r="AP2144" s="17"/>
      <c r="AQ2144" s="17"/>
      <c r="AR2144" s="17"/>
      <c r="AS2144" s="17"/>
      <c r="AT2144" s="17"/>
      <c r="AU2144" s="17"/>
      <c r="AV2144" s="17"/>
    </row>
    <row r="2145" spans="1:48" ht="15.75" customHeight="1">
      <c r="A2145" s="21" t="s">
        <v>47</v>
      </c>
      <c r="B2145" s="23" t="s">
        <v>1692</v>
      </c>
      <c r="C2145" s="22">
        <v>45768</v>
      </c>
      <c r="D2145" s="23" t="s">
        <v>68</v>
      </c>
      <c r="E2145" s="23" t="s">
        <v>306</v>
      </c>
      <c r="F2145" s="14">
        <v>1</v>
      </c>
      <c r="G2145" s="12">
        <v>8000.0000000000009</v>
      </c>
      <c r="H2145" s="12">
        <v>8000.0000000000009</v>
      </c>
      <c r="I2145" s="23" t="s">
        <v>52</v>
      </c>
      <c r="J2145" s="23" t="s">
        <v>61</v>
      </c>
      <c r="K2145" s="24" t="s">
        <v>86</v>
      </c>
      <c r="L2145" s="24">
        <v>77</v>
      </c>
      <c r="M2145" s="12">
        <v>6722.6890756302528</v>
      </c>
      <c r="N2145" s="12">
        <v>6722.6890756302528</v>
      </c>
      <c r="O2145" s="12">
        <v>1277.3109243697481</v>
      </c>
      <c r="P2145" s="13"/>
      <c r="Q2145" s="14">
        <v>2025</v>
      </c>
      <c r="R2145" s="15">
        <v>45383</v>
      </c>
      <c r="S2145" s="11" t="s">
        <v>372</v>
      </c>
      <c r="T2145" s="16">
        <v>0</v>
      </c>
      <c r="U2145" s="17"/>
      <c r="V2145" s="12">
        <v>1781.5126050420176</v>
      </c>
      <c r="W2145" s="12">
        <v>1781.5126050420176</v>
      </c>
      <c r="X2145" s="12">
        <v>0</v>
      </c>
      <c r="Y2145" s="18">
        <v>45768</v>
      </c>
      <c r="Z2145" s="13" t="s">
        <v>523</v>
      </c>
      <c r="AA2145" s="19" t="s">
        <v>361</v>
      </c>
      <c r="AB2145" s="13" t="s">
        <v>394</v>
      </c>
      <c r="AC2145" s="13" t="s">
        <v>383</v>
      </c>
      <c r="AD2145" s="20"/>
      <c r="AE2145" s="20"/>
      <c r="AF2145" s="13" t="s">
        <v>40</v>
      </c>
      <c r="AG2145" s="15">
        <v>45383</v>
      </c>
      <c r="AH2145" s="13" t="s">
        <v>41</v>
      </c>
      <c r="AI2145" s="13" t="s">
        <v>47</v>
      </c>
      <c r="AJ2145" s="13" t="str">
        <f>VLOOKUP(E2145,Precios!Z$2:AA$941,2,FALSE)</f>
        <v>Traperos Humedos VIRGINIA</v>
      </c>
      <c r="AK2145" s="14">
        <f>VLOOKUP(E2145,Precios!Z$2:BB$941,3,FALSE)*F2145</f>
        <v>-3</v>
      </c>
      <c r="AL2145" s="17"/>
      <c r="AM2145" s="17"/>
      <c r="AN2145" s="17"/>
      <c r="AO2145" s="17"/>
      <c r="AP2145" s="17"/>
      <c r="AQ2145" s="17"/>
      <c r="AR2145" s="17"/>
      <c r="AS2145" s="17"/>
      <c r="AT2145" s="17"/>
      <c r="AU2145" s="17"/>
      <c r="AV2145" s="17"/>
    </row>
    <row r="2146" spans="1:48" ht="15.75" customHeight="1">
      <c r="A2146" s="21" t="s">
        <v>76</v>
      </c>
      <c r="B2146" s="23" t="s">
        <v>1692</v>
      </c>
      <c r="C2146" s="22">
        <v>45768</v>
      </c>
      <c r="D2146" s="23" t="s">
        <v>68</v>
      </c>
      <c r="E2146" s="23" t="s">
        <v>77</v>
      </c>
      <c r="F2146" s="14">
        <v>1</v>
      </c>
      <c r="G2146" s="12">
        <v>1500.0000000000002</v>
      </c>
      <c r="H2146" s="12">
        <v>1500.0000000000002</v>
      </c>
      <c r="I2146" s="23" t="s">
        <v>52</v>
      </c>
      <c r="J2146" s="23" t="s">
        <v>61</v>
      </c>
      <c r="K2146" s="24" t="s">
        <v>86</v>
      </c>
      <c r="L2146" s="24">
        <v>77</v>
      </c>
      <c r="M2146" s="12">
        <v>1260.5042016806726</v>
      </c>
      <c r="N2146" s="12">
        <v>1260.5042016806726</v>
      </c>
      <c r="O2146" s="12">
        <v>239.4957983193276</v>
      </c>
      <c r="P2146" s="13"/>
      <c r="Q2146" s="14">
        <v>2025</v>
      </c>
      <c r="R2146" s="15">
        <v>45383</v>
      </c>
      <c r="S2146" s="11" t="s">
        <v>448</v>
      </c>
      <c r="T2146" s="16">
        <v>0</v>
      </c>
      <c r="U2146" s="17"/>
      <c r="V2146" s="12">
        <v>421.00840336134468</v>
      </c>
      <c r="W2146" s="12">
        <v>421.00840336134468</v>
      </c>
      <c r="X2146" s="12">
        <v>0</v>
      </c>
      <c r="Y2146" s="18">
        <v>45768</v>
      </c>
      <c r="Z2146" s="13" t="s">
        <v>523</v>
      </c>
      <c r="AA2146" s="19" t="s">
        <v>361</v>
      </c>
      <c r="AB2146" s="13" t="s">
        <v>394</v>
      </c>
      <c r="AC2146" s="13" t="s">
        <v>383</v>
      </c>
      <c r="AD2146" s="20"/>
      <c r="AE2146" s="20"/>
      <c r="AF2146" s="13" t="s">
        <v>40</v>
      </c>
      <c r="AG2146" s="15">
        <v>45383</v>
      </c>
      <c r="AH2146" s="13" t="s">
        <v>41</v>
      </c>
      <c r="AI2146" s="13" t="s">
        <v>76</v>
      </c>
      <c r="AJ2146" s="13" t="str">
        <f>VLOOKUP(E2146,Precios!Z$2:AA$941,2,FALSE)</f>
        <v>Cloro GEL IGENIX 900ml</v>
      </c>
      <c r="AK2146" s="14">
        <f>VLOOKUP(E2146,Precios!Z$2:BB$941,3,FALSE)*F2146</f>
        <v>-1</v>
      </c>
      <c r="AL2146" s="17"/>
      <c r="AM2146" s="17"/>
      <c r="AN2146" s="17"/>
      <c r="AO2146" s="17"/>
      <c r="AP2146" s="17"/>
      <c r="AQ2146" s="17"/>
      <c r="AR2146" s="17"/>
      <c r="AS2146" s="17"/>
      <c r="AT2146" s="17"/>
      <c r="AU2146" s="17"/>
      <c r="AV2146" s="17"/>
    </row>
    <row r="2147" spans="1:48" ht="15.75" customHeight="1">
      <c r="A2147" s="21" t="s">
        <v>35</v>
      </c>
      <c r="B2147" s="23" t="s">
        <v>1692</v>
      </c>
      <c r="C2147" s="22">
        <v>45767</v>
      </c>
      <c r="D2147" s="23" t="s">
        <v>915</v>
      </c>
      <c r="E2147" s="23" t="s">
        <v>311</v>
      </c>
      <c r="F2147" s="14">
        <v>1</v>
      </c>
      <c r="G2147" s="12">
        <v>3000.0000000000005</v>
      </c>
      <c r="H2147" s="12">
        <v>3000.0000000000005</v>
      </c>
      <c r="I2147" s="23" t="s">
        <v>52</v>
      </c>
      <c r="J2147" s="23" t="s">
        <v>61</v>
      </c>
      <c r="K2147" s="24" t="s">
        <v>177</v>
      </c>
      <c r="L2147" s="24">
        <v>129</v>
      </c>
      <c r="M2147" s="12">
        <v>2521.0084033613452</v>
      </c>
      <c r="N2147" s="12">
        <v>2521.0084033613452</v>
      </c>
      <c r="O2147" s="12">
        <v>478.99159663865521</v>
      </c>
      <c r="P2147" s="13"/>
      <c r="Q2147" s="14">
        <v>2025</v>
      </c>
      <c r="R2147" s="15">
        <v>45383</v>
      </c>
      <c r="S2147" s="11" t="s">
        <v>364</v>
      </c>
      <c r="T2147" s="16">
        <v>250</v>
      </c>
      <c r="U2147" s="17"/>
      <c r="V2147" s="12">
        <v>837.18487394957992</v>
      </c>
      <c r="W2147" s="12">
        <v>837.18487394957992</v>
      </c>
      <c r="X2147" s="12">
        <v>0</v>
      </c>
      <c r="Y2147" s="18">
        <v>45761</v>
      </c>
      <c r="Z2147" s="13" t="s">
        <v>497</v>
      </c>
      <c r="AA2147" s="19" t="s">
        <v>367</v>
      </c>
      <c r="AB2147" s="13" t="s">
        <v>357</v>
      </c>
      <c r="AC2147" s="13" t="s">
        <v>367</v>
      </c>
      <c r="AD2147" s="20"/>
      <c r="AE2147" s="20"/>
      <c r="AF2147" s="13" t="s">
        <v>40</v>
      </c>
      <c r="AG2147" s="15">
        <v>45383</v>
      </c>
      <c r="AH2147" s="13" t="s">
        <v>41</v>
      </c>
      <c r="AI2147" s="13" t="s">
        <v>35</v>
      </c>
      <c r="AJ2147" s="13" t="str">
        <f>VLOOKUP(E2147,Precios!Z$2:AA$941,2,FALSE)</f>
        <v>Queso RUNCA Mantecoso</v>
      </c>
      <c r="AK2147" s="14">
        <f>VLOOKUP(E2147,Precios!Z$2:BB$941,3,FALSE)*F2147</f>
        <v>-0.25</v>
      </c>
      <c r="AL2147" s="17"/>
      <c r="AM2147" s="17"/>
      <c r="AN2147" s="17"/>
      <c r="AO2147" s="17"/>
      <c r="AP2147" s="17"/>
      <c r="AQ2147" s="17"/>
      <c r="AR2147" s="17"/>
      <c r="AS2147" s="17"/>
      <c r="AT2147" s="17"/>
      <c r="AU2147" s="17"/>
      <c r="AV2147" s="17"/>
    </row>
    <row r="2148" spans="1:48" ht="15.75" customHeight="1">
      <c r="A2148" s="21" t="s">
        <v>35</v>
      </c>
      <c r="B2148" s="23" t="s">
        <v>1692</v>
      </c>
      <c r="C2148" s="22">
        <v>45767</v>
      </c>
      <c r="D2148" s="23" t="s">
        <v>120</v>
      </c>
      <c r="E2148" s="23" t="s">
        <v>37</v>
      </c>
      <c r="F2148" s="14">
        <v>1</v>
      </c>
      <c r="G2148" s="12">
        <v>10500</v>
      </c>
      <c r="H2148" s="12">
        <v>10500</v>
      </c>
      <c r="I2148" s="23" t="s">
        <v>52</v>
      </c>
      <c r="J2148" s="23" t="s">
        <v>61</v>
      </c>
      <c r="K2148" s="24" t="s">
        <v>177</v>
      </c>
      <c r="L2148" s="24">
        <v>129</v>
      </c>
      <c r="M2148" s="12">
        <v>8823.5294117647063</v>
      </c>
      <c r="N2148" s="12">
        <v>8823.5294117647063</v>
      </c>
      <c r="O2148" s="12">
        <v>1676.4705882352937</v>
      </c>
      <c r="P2148" s="13"/>
      <c r="Q2148" s="14">
        <v>2025</v>
      </c>
      <c r="R2148" s="15">
        <v>45383</v>
      </c>
      <c r="S2148" s="11" t="s">
        <v>364</v>
      </c>
      <c r="T2148" s="16">
        <v>1000</v>
      </c>
      <c r="U2148" s="17"/>
      <c r="V2148" s="12">
        <v>2385.7142857142853</v>
      </c>
      <c r="W2148" s="12">
        <v>2385.7142857142853</v>
      </c>
      <c r="X2148" s="12">
        <v>0</v>
      </c>
      <c r="Y2148" s="18">
        <v>45761</v>
      </c>
      <c r="Z2148" s="13" t="s">
        <v>497</v>
      </c>
      <c r="AA2148" s="19" t="s">
        <v>373</v>
      </c>
      <c r="AB2148" s="13" t="s">
        <v>357</v>
      </c>
      <c r="AC2148" s="13" t="s">
        <v>383</v>
      </c>
      <c r="AD2148" s="20"/>
      <c r="AE2148" s="20"/>
      <c r="AF2148" s="13" t="s">
        <v>40</v>
      </c>
      <c r="AG2148" s="15">
        <v>45383</v>
      </c>
      <c r="AH2148" s="13" t="s">
        <v>41</v>
      </c>
      <c r="AI2148" s="13" t="s">
        <v>35</v>
      </c>
      <c r="AJ2148" s="13" t="str">
        <f>VLOOKUP(E2148,Precios!Z$2:AA$941,2,FALSE)</f>
        <v>Queso RUNCA Mantecoso</v>
      </c>
      <c r="AK2148" s="14">
        <f>VLOOKUP(E2148,Precios!Z$2:BB$941,3,FALSE)*F2148</f>
        <v>-1</v>
      </c>
      <c r="AL2148" s="17"/>
      <c r="AM2148" s="17"/>
      <c r="AN2148" s="17"/>
      <c r="AO2148" s="17"/>
      <c r="AP2148" s="17"/>
      <c r="AQ2148" s="17"/>
      <c r="AR2148" s="17"/>
      <c r="AS2148" s="17"/>
      <c r="AT2148" s="17"/>
      <c r="AU2148" s="17"/>
      <c r="AV2148" s="17"/>
    </row>
    <row r="2149" spans="1:48" ht="15.75" customHeight="1">
      <c r="A2149" s="21" t="s">
        <v>35</v>
      </c>
      <c r="B2149" s="23" t="s">
        <v>1692</v>
      </c>
      <c r="C2149" s="22">
        <v>45767</v>
      </c>
      <c r="D2149" s="23" t="s">
        <v>233</v>
      </c>
      <c r="E2149" s="23" t="s">
        <v>37</v>
      </c>
      <c r="F2149" s="14">
        <v>1</v>
      </c>
      <c r="G2149" s="12">
        <v>10500</v>
      </c>
      <c r="H2149" s="12">
        <v>10500</v>
      </c>
      <c r="I2149" s="23" t="s">
        <v>52</v>
      </c>
      <c r="J2149" s="23" t="s">
        <v>61</v>
      </c>
      <c r="K2149" s="24" t="s">
        <v>177</v>
      </c>
      <c r="L2149" s="24">
        <v>129</v>
      </c>
      <c r="M2149" s="12">
        <v>8823.5294117647063</v>
      </c>
      <c r="N2149" s="12">
        <v>8823.5294117647063</v>
      </c>
      <c r="O2149" s="12">
        <v>1676.4705882352937</v>
      </c>
      <c r="P2149" s="13"/>
      <c r="Q2149" s="14">
        <v>2025</v>
      </c>
      <c r="R2149" s="15">
        <v>45383</v>
      </c>
      <c r="S2149" s="11" t="s">
        <v>364</v>
      </c>
      <c r="T2149" s="16">
        <v>1000</v>
      </c>
      <c r="U2149" s="17"/>
      <c r="V2149" s="12">
        <v>2385.7142857142853</v>
      </c>
      <c r="W2149" s="12">
        <v>2385.7142857142853</v>
      </c>
      <c r="X2149" s="12">
        <v>0</v>
      </c>
      <c r="Y2149" s="18">
        <v>45761</v>
      </c>
      <c r="Z2149" s="13" t="s">
        <v>497</v>
      </c>
      <c r="AA2149" s="19" t="s">
        <v>373</v>
      </c>
      <c r="AB2149" s="13" t="s">
        <v>357</v>
      </c>
      <c r="AC2149" s="13" t="s">
        <v>383</v>
      </c>
      <c r="AD2149" s="20"/>
      <c r="AE2149" s="20"/>
      <c r="AF2149" s="13" t="s">
        <v>40</v>
      </c>
      <c r="AG2149" s="15">
        <v>45383</v>
      </c>
      <c r="AH2149" s="13" t="s">
        <v>41</v>
      </c>
      <c r="AI2149" s="13" t="s">
        <v>35</v>
      </c>
      <c r="AJ2149" s="13" t="str">
        <f>VLOOKUP(E2149,Precios!Z$2:AA$941,2,FALSE)</f>
        <v>Queso RUNCA Mantecoso</v>
      </c>
      <c r="AK2149" s="14">
        <f>VLOOKUP(E2149,Precios!Z$2:BB$941,3,FALSE)*F2149</f>
        <v>-1</v>
      </c>
      <c r="AL2149" s="17"/>
      <c r="AM2149" s="17"/>
      <c r="AN2149" s="17"/>
      <c r="AO2149" s="17"/>
      <c r="AP2149" s="17"/>
      <c r="AQ2149" s="17"/>
      <c r="AR2149" s="17"/>
      <c r="AS2149" s="17"/>
      <c r="AT2149" s="17"/>
      <c r="AU2149" s="17"/>
      <c r="AV2149" s="17"/>
    </row>
    <row r="2150" spans="1:48" ht="15.75" customHeight="1">
      <c r="A2150" s="21" t="s">
        <v>35</v>
      </c>
      <c r="B2150" s="23" t="s">
        <v>1692</v>
      </c>
      <c r="C2150" s="22">
        <v>45767</v>
      </c>
      <c r="D2150" s="23" t="s">
        <v>151</v>
      </c>
      <c r="E2150" s="23" t="s">
        <v>37</v>
      </c>
      <c r="F2150" s="14">
        <v>1</v>
      </c>
      <c r="G2150" s="12">
        <v>10500</v>
      </c>
      <c r="H2150" s="12">
        <v>10500</v>
      </c>
      <c r="I2150" s="23" t="s">
        <v>52</v>
      </c>
      <c r="J2150" s="23" t="s">
        <v>61</v>
      </c>
      <c r="K2150" s="24" t="s">
        <v>177</v>
      </c>
      <c r="L2150" s="24">
        <v>129</v>
      </c>
      <c r="M2150" s="12">
        <v>8823.5294117647063</v>
      </c>
      <c r="N2150" s="12">
        <v>8823.5294117647063</v>
      </c>
      <c r="O2150" s="12">
        <v>1676.4705882352937</v>
      </c>
      <c r="P2150" s="13"/>
      <c r="Q2150" s="14">
        <v>2025</v>
      </c>
      <c r="R2150" s="15">
        <v>45383</v>
      </c>
      <c r="S2150" s="11" t="s">
        <v>364</v>
      </c>
      <c r="T2150" s="16">
        <v>1000</v>
      </c>
      <c r="U2150" s="17"/>
      <c r="V2150" s="12">
        <v>2385.7142857142853</v>
      </c>
      <c r="W2150" s="12">
        <v>2385.7142857142853</v>
      </c>
      <c r="X2150" s="12">
        <v>0</v>
      </c>
      <c r="Y2150" s="18">
        <v>45761</v>
      </c>
      <c r="Z2150" s="13" t="s">
        <v>497</v>
      </c>
      <c r="AA2150" s="19" t="s">
        <v>373</v>
      </c>
      <c r="AB2150" s="13" t="s">
        <v>357</v>
      </c>
      <c r="AC2150" s="13" t="s">
        <v>462</v>
      </c>
      <c r="AD2150" s="20"/>
      <c r="AE2150" s="20"/>
      <c r="AF2150" s="13" t="s">
        <v>40</v>
      </c>
      <c r="AG2150" s="15">
        <v>45383</v>
      </c>
      <c r="AH2150" s="13" t="s">
        <v>41</v>
      </c>
      <c r="AI2150" s="13" t="s">
        <v>35</v>
      </c>
      <c r="AJ2150" s="13" t="str">
        <f>VLOOKUP(E2150,Precios!Z$2:AA$941,2,FALSE)</f>
        <v>Queso RUNCA Mantecoso</v>
      </c>
      <c r="AK2150" s="14">
        <f>VLOOKUP(E2150,Precios!Z$2:BB$941,3,FALSE)*F2150</f>
        <v>-1</v>
      </c>
      <c r="AL2150" s="17"/>
      <c r="AM2150" s="17"/>
      <c r="AN2150" s="17"/>
      <c r="AO2150" s="17"/>
      <c r="AP2150" s="17"/>
      <c r="AQ2150" s="17"/>
      <c r="AR2150" s="17"/>
      <c r="AS2150" s="17"/>
      <c r="AT2150" s="17"/>
      <c r="AU2150" s="17"/>
      <c r="AV2150" s="17"/>
    </row>
    <row r="2151" spans="1:48" ht="15.75" customHeight="1">
      <c r="A2151" s="21" t="s">
        <v>43</v>
      </c>
      <c r="B2151" s="23" t="s">
        <v>1692</v>
      </c>
      <c r="C2151" s="25">
        <v>45766</v>
      </c>
      <c r="D2151" s="23" t="s">
        <v>682</v>
      </c>
      <c r="E2151" s="23" t="s">
        <v>45</v>
      </c>
      <c r="F2151" s="14">
        <v>1</v>
      </c>
      <c r="G2151" s="12">
        <v>8299.9877571008819</v>
      </c>
      <c r="H2151" s="12">
        <v>8299.9877571008819</v>
      </c>
      <c r="I2151" s="13" t="s">
        <v>52</v>
      </c>
      <c r="J2151" s="23" t="s">
        <v>61</v>
      </c>
      <c r="K2151" s="24" t="s">
        <v>177</v>
      </c>
      <c r="L2151" s="24">
        <v>128</v>
      </c>
      <c r="M2151" s="12">
        <v>6974.7796278158676</v>
      </c>
      <c r="N2151" s="12">
        <v>6974.7796278158676</v>
      </c>
      <c r="O2151" s="12">
        <v>1325.2081292850144</v>
      </c>
      <c r="P2151" s="13"/>
      <c r="Q2151" s="14">
        <v>2025</v>
      </c>
      <c r="R2151" s="15">
        <v>45383</v>
      </c>
      <c r="S2151" s="11" t="s">
        <v>355</v>
      </c>
      <c r="T2151" s="16">
        <v>0</v>
      </c>
      <c r="U2151" s="17"/>
      <c r="V2151" s="12">
        <v>1277.7796278158667</v>
      </c>
      <c r="W2151" s="12">
        <v>1277.7796278158667</v>
      </c>
      <c r="X2151" s="12">
        <v>0</v>
      </c>
      <c r="Y2151" s="18">
        <v>45761</v>
      </c>
      <c r="Z2151" s="13" t="s">
        <v>501</v>
      </c>
      <c r="AA2151" s="19" t="s">
        <v>373</v>
      </c>
      <c r="AB2151" s="13" t="s">
        <v>357</v>
      </c>
      <c r="AC2151" s="13" t="s">
        <v>383</v>
      </c>
      <c r="AD2151" s="20"/>
      <c r="AE2151" s="20"/>
      <c r="AF2151" s="13" t="s">
        <v>40</v>
      </c>
      <c r="AG2151" s="15">
        <v>45383</v>
      </c>
      <c r="AH2151" s="13" t="s">
        <v>41</v>
      </c>
      <c r="AI2151" s="13" t="s">
        <v>43</v>
      </c>
      <c r="AJ2151" s="13" t="str">
        <f>VLOOKUP(E2151,Precios!Z$2:AA$941,2,FALSE)</f>
        <v>Bandeja Huevos EXTRA</v>
      </c>
      <c r="AK2151" s="14">
        <f>VLOOKUP(E2151,Precios!Z$2:BB$941,3,FALSE)*F2151</f>
        <v>-1</v>
      </c>
      <c r="AL2151" s="17"/>
      <c r="AM2151" s="17"/>
      <c r="AN2151" s="17"/>
      <c r="AO2151" s="17"/>
      <c r="AP2151" s="17"/>
      <c r="AQ2151" s="17"/>
      <c r="AR2151" s="17"/>
      <c r="AS2151" s="17"/>
      <c r="AT2151" s="17"/>
      <c r="AU2151" s="17"/>
      <c r="AV2151" s="17"/>
    </row>
    <row r="2152" spans="1:48" ht="15.75" customHeight="1">
      <c r="A2152" s="21" t="s">
        <v>76</v>
      </c>
      <c r="B2152" s="23" t="s">
        <v>1692</v>
      </c>
      <c r="C2152" s="25">
        <v>45766</v>
      </c>
      <c r="D2152" s="23" t="s">
        <v>193</v>
      </c>
      <c r="E2152" s="23" t="s">
        <v>82</v>
      </c>
      <c r="F2152" s="14">
        <v>1</v>
      </c>
      <c r="G2152" s="12">
        <v>2000.0000000000002</v>
      </c>
      <c r="H2152" s="12">
        <v>2000.0000000000002</v>
      </c>
      <c r="I2152" s="13" t="s">
        <v>52</v>
      </c>
      <c r="J2152" s="23" t="s">
        <v>61</v>
      </c>
      <c r="K2152" s="24" t="s">
        <v>177</v>
      </c>
      <c r="L2152" s="24">
        <v>128</v>
      </c>
      <c r="M2152" s="12">
        <v>1680.6722689075632</v>
      </c>
      <c r="N2152" s="12">
        <v>1680.6722689075632</v>
      </c>
      <c r="O2152" s="12">
        <v>319.32773109243703</v>
      </c>
      <c r="P2152" s="13"/>
      <c r="Q2152" s="14">
        <v>2025</v>
      </c>
      <c r="R2152" s="15">
        <v>45383</v>
      </c>
      <c r="S2152" s="11" t="s">
        <v>463</v>
      </c>
      <c r="T2152" s="16">
        <v>5</v>
      </c>
      <c r="U2152" s="17"/>
      <c r="V2152" s="12">
        <v>680.67226890756319</v>
      </c>
      <c r="W2152" s="12">
        <v>680.67226890756319</v>
      </c>
      <c r="X2152" s="12">
        <v>0</v>
      </c>
      <c r="Y2152" s="18">
        <v>45761</v>
      </c>
      <c r="Z2152" s="13" t="s">
        <v>501</v>
      </c>
      <c r="AA2152" s="19" t="s">
        <v>373</v>
      </c>
      <c r="AB2152" s="13" t="s">
        <v>357</v>
      </c>
      <c r="AC2152" s="13" t="s">
        <v>383</v>
      </c>
      <c r="AD2152" s="20"/>
      <c r="AE2152" s="20"/>
      <c r="AF2152" s="13" t="s">
        <v>40</v>
      </c>
      <c r="AG2152" s="15">
        <v>45383</v>
      </c>
      <c r="AH2152" s="13" t="s">
        <v>41</v>
      </c>
      <c r="AI2152" s="13" t="s">
        <v>76</v>
      </c>
      <c r="AJ2152" s="13" t="str">
        <f>VLOOKUP(E2152,Precios!Z$2:AA$941,2,FALSE)</f>
        <v>Limpiapiso SPUM 5 Litros</v>
      </c>
      <c r="AK2152" s="14">
        <f>VLOOKUP(E2152,Precios!Z$2:BB$941,3,FALSE)*F2152</f>
        <v>-1</v>
      </c>
      <c r="AL2152" s="17"/>
      <c r="AM2152" s="17"/>
      <c r="AN2152" s="17"/>
      <c r="AO2152" s="17"/>
      <c r="AP2152" s="17"/>
      <c r="AQ2152" s="17"/>
      <c r="AR2152" s="17"/>
      <c r="AS2152" s="17"/>
      <c r="AT2152" s="17"/>
      <c r="AU2152" s="17"/>
      <c r="AV2152" s="17"/>
    </row>
    <row r="2153" spans="1:48" ht="15.75" customHeight="1">
      <c r="A2153" s="21" t="s">
        <v>53</v>
      </c>
      <c r="B2153" s="23" t="s">
        <v>1692</v>
      </c>
      <c r="C2153" s="22">
        <v>45766</v>
      </c>
      <c r="D2153" s="23" t="s">
        <v>683</v>
      </c>
      <c r="E2153" s="23" t="s">
        <v>55</v>
      </c>
      <c r="F2153" s="14">
        <v>1</v>
      </c>
      <c r="G2153" s="12">
        <v>20899.657794676805</v>
      </c>
      <c r="H2153" s="12">
        <v>20899.657794676805</v>
      </c>
      <c r="I2153" s="23" t="s">
        <v>52</v>
      </c>
      <c r="J2153" s="23" t="s">
        <v>61</v>
      </c>
      <c r="K2153" s="24" t="s">
        <v>177</v>
      </c>
      <c r="L2153" s="24">
        <v>128</v>
      </c>
      <c r="M2153" s="12">
        <v>17562.737642585551</v>
      </c>
      <c r="N2153" s="12">
        <v>17562.737642585551</v>
      </c>
      <c r="O2153" s="12">
        <v>3336.9201520912538</v>
      </c>
      <c r="P2153" s="13"/>
      <c r="Q2153" s="14">
        <v>2025</v>
      </c>
      <c r="R2153" s="15">
        <v>45383</v>
      </c>
      <c r="S2153" s="11" t="s">
        <v>366</v>
      </c>
      <c r="T2153" s="16">
        <v>0</v>
      </c>
      <c r="U2153" s="17"/>
      <c r="V2153" s="12">
        <v>3705.7376425855509</v>
      </c>
      <c r="W2153" s="12">
        <v>3705.7376425855509</v>
      </c>
      <c r="X2153" s="12">
        <v>0</v>
      </c>
      <c r="Y2153" s="18">
        <v>45761</v>
      </c>
      <c r="Z2153" s="13" t="s">
        <v>501</v>
      </c>
      <c r="AA2153" s="19" t="s">
        <v>373</v>
      </c>
      <c r="AB2153" s="13" t="s">
        <v>357</v>
      </c>
      <c r="AC2153" s="13" t="s">
        <v>684</v>
      </c>
      <c r="AD2153" s="20"/>
      <c r="AE2153" s="20"/>
      <c r="AF2153" s="13" t="s">
        <v>40</v>
      </c>
      <c r="AG2153" s="15">
        <v>45383</v>
      </c>
      <c r="AH2153" s="13" t="s">
        <v>41</v>
      </c>
      <c r="AI2153" s="13" t="s">
        <v>53</v>
      </c>
      <c r="AJ2153" s="13" t="str">
        <f>VLOOKUP(E2153,Precios!Z$2:AA$941,2,FALSE)</f>
        <v>Papel Higienico ELITE 50 metros</v>
      </c>
      <c r="AK2153" s="14">
        <f>VLOOKUP(E2153,Precios!Z$2:BB$941,3,FALSE)*F2153</f>
        <v>-8</v>
      </c>
      <c r="AL2153" s="17"/>
      <c r="AM2153" s="17"/>
      <c r="AN2153" s="17"/>
      <c r="AO2153" s="17"/>
      <c r="AP2153" s="17"/>
      <c r="AQ2153" s="17"/>
      <c r="AR2153" s="17"/>
      <c r="AS2153" s="17"/>
      <c r="AT2153" s="17"/>
      <c r="AU2153" s="17"/>
      <c r="AV2153" s="17"/>
    </row>
    <row r="2154" spans="1:48" ht="15.75" customHeight="1">
      <c r="A2154" s="21" t="s">
        <v>147</v>
      </c>
      <c r="B2154" s="23" t="s">
        <v>1692</v>
      </c>
      <c r="C2154" s="22">
        <v>45766</v>
      </c>
      <c r="D2154" s="23" t="s">
        <v>683</v>
      </c>
      <c r="E2154" s="23" t="s">
        <v>257</v>
      </c>
      <c r="F2154" s="14">
        <v>1</v>
      </c>
      <c r="G2154" s="12">
        <v>4000.0000000000005</v>
      </c>
      <c r="H2154" s="12">
        <v>4000.0000000000005</v>
      </c>
      <c r="I2154" s="23" t="s">
        <v>52</v>
      </c>
      <c r="J2154" s="23" t="s">
        <v>61</v>
      </c>
      <c r="K2154" s="24" t="s">
        <v>177</v>
      </c>
      <c r="L2154" s="24">
        <v>128</v>
      </c>
      <c r="M2154" s="12">
        <v>3361.3445378151264</v>
      </c>
      <c r="N2154" s="12">
        <v>3361.3445378151264</v>
      </c>
      <c r="O2154" s="12">
        <v>638.65546218487407</v>
      </c>
      <c r="P2154" s="13"/>
      <c r="Q2154" s="14">
        <v>2025</v>
      </c>
      <c r="R2154" s="15">
        <v>45383</v>
      </c>
      <c r="S2154" s="11" t="s">
        <v>412</v>
      </c>
      <c r="T2154" s="16">
        <v>0</v>
      </c>
      <c r="U2154" s="17"/>
      <c r="V2154" s="12">
        <v>1680.6722689075632</v>
      </c>
      <c r="W2154" s="12">
        <v>1680.6722689075632</v>
      </c>
      <c r="X2154" s="12">
        <v>0</v>
      </c>
      <c r="Y2154" s="18">
        <v>45761</v>
      </c>
      <c r="Z2154" s="13" t="s">
        <v>501</v>
      </c>
      <c r="AA2154" s="19" t="s">
        <v>373</v>
      </c>
      <c r="AB2154" s="13" t="s">
        <v>357</v>
      </c>
      <c r="AC2154" s="13" t="s">
        <v>684</v>
      </c>
      <c r="AD2154" s="20"/>
      <c r="AE2154" s="20"/>
      <c r="AF2154" s="13" t="s">
        <v>40</v>
      </c>
      <c r="AG2154" s="15">
        <v>45383</v>
      </c>
      <c r="AH2154" s="13" t="s">
        <v>41</v>
      </c>
      <c r="AI2154" s="13" t="s">
        <v>147</v>
      </c>
      <c r="AJ2154" s="13" t="str">
        <f>VLOOKUP(E2154,Precios!Z$2:AA$941,2,FALSE)</f>
        <v>Film Plástico 100 metros</v>
      </c>
      <c r="AK2154" s="14">
        <f>VLOOKUP(E2154,Precios!Z$2:BB$941,3,FALSE)*F2154</f>
        <v>-1</v>
      </c>
      <c r="AL2154" s="17"/>
      <c r="AM2154" s="17"/>
      <c r="AN2154" s="17"/>
      <c r="AO2154" s="17"/>
      <c r="AP2154" s="17"/>
      <c r="AQ2154" s="17"/>
      <c r="AR2154" s="17"/>
      <c r="AS2154" s="17"/>
      <c r="AT2154" s="17"/>
      <c r="AU2154" s="17"/>
      <c r="AV2154" s="17"/>
    </row>
    <row r="2155" spans="1:48" ht="15.75" customHeight="1">
      <c r="A2155" s="21" t="s">
        <v>35</v>
      </c>
      <c r="B2155" s="23" t="s">
        <v>1692</v>
      </c>
      <c r="C2155" s="22">
        <v>45766</v>
      </c>
      <c r="D2155" s="23" t="s">
        <v>176</v>
      </c>
      <c r="E2155" s="23" t="s">
        <v>37</v>
      </c>
      <c r="F2155" s="21">
        <v>2</v>
      </c>
      <c r="G2155" s="12">
        <v>10500</v>
      </c>
      <c r="H2155" s="12">
        <v>21000</v>
      </c>
      <c r="I2155" s="23" t="s">
        <v>52</v>
      </c>
      <c r="J2155" s="23" t="s">
        <v>61</v>
      </c>
      <c r="K2155" s="24" t="s">
        <v>177</v>
      </c>
      <c r="L2155" s="24">
        <v>128</v>
      </c>
      <c r="M2155" s="12">
        <v>8823.5294117647063</v>
      </c>
      <c r="N2155" s="12">
        <v>17647.058823529413</v>
      </c>
      <c r="O2155" s="12">
        <v>3352.9411764705874</v>
      </c>
      <c r="P2155" s="13"/>
      <c r="Q2155" s="14">
        <v>2025</v>
      </c>
      <c r="R2155" s="15">
        <v>45383</v>
      </c>
      <c r="S2155" s="11" t="s">
        <v>364</v>
      </c>
      <c r="T2155" s="16">
        <v>2000</v>
      </c>
      <c r="U2155" s="17"/>
      <c r="V2155" s="12">
        <v>4771.4285714285706</v>
      </c>
      <c r="W2155" s="12">
        <v>4771.4285714285706</v>
      </c>
      <c r="X2155" s="12">
        <v>0</v>
      </c>
      <c r="Y2155" s="18">
        <v>45761</v>
      </c>
      <c r="Z2155" s="13" t="s">
        <v>501</v>
      </c>
      <c r="AA2155" s="19" t="s">
        <v>373</v>
      </c>
      <c r="AB2155" s="13" t="s">
        <v>357</v>
      </c>
      <c r="AC2155" s="13" t="s">
        <v>383</v>
      </c>
      <c r="AD2155" s="20"/>
      <c r="AE2155" s="20"/>
      <c r="AF2155" s="13" t="s">
        <v>40</v>
      </c>
      <c r="AG2155" s="15">
        <v>45383</v>
      </c>
      <c r="AH2155" s="13" t="s">
        <v>41</v>
      </c>
      <c r="AI2155" s="13" t="s">
        <v>35</v>
      </c>
      <c r="AJ2155" s="13" t="str">
        <f>VLOOKUP(E2155,Precios!Z$2:AA$941,2,FALSE)</f>
        <v>Queso RUNCA Mantecoso</v>
      </c>
      <c r="AK2155" s="14">
        <f>VLOOKUP(E2155,Precios!Z$2:BB$941,3,FALSE)*F2155</f>
        <v>-2</v>
      </c>
      <c r="AL2155" s="17"/>
      <c r="AM2155" s="17"/>
      <c r="AN2155" s="17"/>
      <c r="AO2155" s="17"/>
      <c r="AP2155" s="17"/>
      <c r="AQ2155" s="17"/>
      <c r="AR2155" s="17"/>
      <c r="AS2155" s="17"/>
      <c r="AT2155" s="17"/>
      <c r="AU2155" s="17"/>
      <c r="AV2155" s="17"/>
    </row>
    <row r="2156" spans="1:48" ht="15.75" customHeight="1">
      <c r="A2156" s="21" t="s">
        <v>43</v>
      </c>
      <c r="B2156" s="23" t="s">
        <v>1692</v>
      </c>
      <c r="C2156" s="22">
        <v>45766</v>
      </c>
      <c r="D2156" s="23" t="s">
        <v>350</v>
      </c>
      <c r="E2156" s="23" t="s">
        <v>45</v>
      </c>
      <c r="F2156" s="21">
        <v>2</v>
      </c>
      <c r="G2156" s="12">
        <v>8299.9877571008819</v>
      </c>
      <c r="H2156" s="12">
        <v>16599.975514201764</v>
      </c>
      <c r="I2156" s="23" t="s">
        <v>52</v>
      </c>
      <c r="J2156" s="23" t="s">
        <v>61</v>
      </c>
      <c r="K2156" s="24" t="s">
        <v>177</v>
      </c>
      <c r="L2156" s="24">
        <v>128</v>
      </c>
      <c r="M2156" s="12">
        <v>6974.7796278158676</v>
      </c>
      <c r="N2156" s="12">
        <v>13949.559255631735</v>
      </c>
      <c r="O2156" s="12">
        <v>2650.4162585700287</v>
      </c>
      <c r="P2156" s="13"/>
      <c r="Q2156" s="14">
        <v>2025</v>
      </c>
      <c r="R2156" s="15">
        <v>45383</v>
      </c>
      <c r="S2156" s="11" t="s">
        <v>355</v>
      </c>
      <c r="T2156" s="16">
        <v>0</v>
      </c>
      <c r="U2156" s="17"/>
      <c r="V2156" s="12">
        <v>2555.5592556317333</v>
      </c>
      <c r="W2156" s="12">
        <v>2555.5592556317333</v>
      </c>
      <c r="X2156" s="12">
        <v>0</v>
      </c>
      <c r="Y2156" s="18">
        <v>45761</v>
      </c>
      <c r="Z2156" s="13" t="s">
        <v>501</v>
      </c>
      <c r="AA2156" s="19" t="s">
        <v>373</v>
      </c>
      <c r="AB2156" s="13" t="s">
        <v>357</v>
      </c>
      <c r="AC2156" s="13" t="s">
        <v>389</v>
      </c>
      <c r="AD2156" s="20"/>
      <c r="AE2156" s="20"/>
      <c r="AF2156" s="13" t="s">
        <v>40</v>
      </c>
      <c r="AG2156" s="15">
        <v>45383</v>
      </c>
      <c r="AH2156" s="13" t="s">
        <v>41</v>
      </c>
      <c r="AI2156" s="13" t="s">
        <v>43</v>
      </c>
      <c r="AJ2156" s="13" t="str">
        <f>VLOOKUP(E2156,Precios!Z$2:AA$941,2,FALSE)</f>
        <v>Bandeja Huevos EXTRA</v>
      </c>
      <c r="AK2156" s="14">
        <f>VLOOKUP(E2156,Precios!Z$2:BB$941,3,FALSE)*F2156</f>
        <v>-2</v>
      </c>
      <c r="AL2156" s="17"/>
      <c r="AM2156" s="17"/>
      <c r="AN2156" s="17"/>
      <c r="AO2156" s="17"/>
      <c r="AP2156" s="17"/>
      <c r="AQ2156" s="17"/>
      <c r="AR2156" s="17"/>
      <c r="AS2156" s="17"/>
      <c r="AT2156" s="17"/>
      <c r="AU2156" s="17"/>
      <c r="AV2156" s="17"/>
    </row>
    <row r="2157" spans="1:48" ht="15.75" customHeight="1">
      <c r="A2157" s="21" t="s">
        <v>35</v>
      </c>
      <c r="B2157" s="23" t="s">
        <v>1692</v>
      </c>
      <c r="C2157" s="22">
        <v>45766</v>
      </c>
      <c r="D2157" s="23" t="s">
        <v>256</v>
      </c>
      <c r="E2157" s="23" t="s">
        <v>37</v>
      </c>
      <c r="F2157" s="21">
        <v>1</v>
      </c>
      <c r="G2157" s="12">
        <v>10500</v>
      </c>
      <c r="H2157" s="12">
        <v>10500</v>
      </c>
      <c r="I2157" s="23" t="s">
        <v>52</v>
      </c>
      <c r="J2157" s="23" t="s">
        <v>61</v>
      </c>
      <c r="K2157" s="24" t="s">
        <v>177</v>
      </c>
      <c r="L2157" s="24">
        <v>128</v>
      </c>
      <c r="M2157" s="12">
        <v>8823.5294117647063</v>
      </c>
      <c r="N2157" s="12">
        <v>8823.5294117647063</v>
      </c>
      <c r="O2157" s="12">
        <v>1676.4705882352937</v>
      </c>
      <c r="P2157" s="13"/>
      <c r="Q2157" s="14">
        <v>2025</v>
      </c>
      <c r="R2157" s="15">
        <v>45383</v>
      </c>
      <c r="S2157" s="11" t="s">
        <v>364</v>
      </c>
      <c r="T2157" s="16">
        <v>1000</v>
      </c>
      <c r="U2157" s="17"/>
      <c r="V2157" s="12">
        <v>2385.7142857142853</v>
      </c>
      <c r="W2157" s="12">
        <v>2385.7142857142853</v>
      </c>
      <c r="X2157" s="12">
        <v>0</v>
      </c>
      <c r="Y2157" s="18">
        <v>45761</v>
      </c>
      <c r="Z2157" s="13" t="s">
        <v>501</v>
      </c>
      <c r="AA2157" s="19" t="s">
        <v>373</v>
      </c>
      <c r="AB2157" s="13" t="s">
        <v>357</v>
      </c>
      <c r="AC2157" s="13" t="s">
        <v>685</v>
      </c>
      <c r="AD2157" s="20"/>
      <c r="AE2157" s="20"/>
      <c r="AF2157" s="13" t="s">
        <v>40</v>
      </c>
      <c r="AG2157" s="15">
        <v>45383</v>
      </c>
      <c r="AH2157" s="13" t="s">
        <v>41</v>
      </c>
      <c r="AI2157" s="13" t="s">
        <v>35</v>
      </c>
      <c r="AJ2157" s="13" t="str">
        <f>VLOOKUP(E2157,Precios!Z$2:AA$941,2,FALSE)</f>
        <v>Queso RUNCA Mantecoso</v>
      </c>
      <c r="AK2157" s="14">
        <f>VLOOKUP(E2157,Precios!Z$2:BB$941,3,FALSE)*F2157</f>
        <v>-1</v>
      </c>
      <c r="AL2157" s="17"/>
      <c r="AM2157" s="17"/>
      <c r="AN2157" s="17"/>
      <c r="AO2157" s="17"/>
      <c r="AP2157" s="17"/>
      <c r="AQ2157" s="17"/>
      <c r="AR2157" s="17"/>
      <c r="AS2157" s="17"/>
      <c r="AT2157" s="17"/>
      <c r="AU2157" s="17"/>
      <c r="AV2157" s="17"/>
    </row>
    <row r="2158" spans="1:48" ht="15.75" customHeight="1">
      <c r="A2158" s="21" t="s">
        <v>43</v>
      </c>
      <c r="B2158" s="23" t="s">
        <v>1692</v>
      </c>
      <c r="C2158" s="22">
        <v>45766</v>
      </c>
      <c r="D2158" s="23" t="s">
        <v>256</v>
      </c>
      <c r="E2158" s="23" t="s">
        <v>45</v>
      </c>
      <c r="F2158" s="14">
        <v>1</v>
      </c>
      <c r="G2158" s="12">
        <v>8299.9877571008819</v>
      </c>
      <c r="H2158" s="12">
        <v>8299.9877571008819</v>
      </c>
      <c r="I2158" s="23" t="s">
        <v>52</v>
      </c>
      <c r="J2158" s="23" t="s">
        <v>61</v>
      </c>
      <c r="K2158" s="24" t="s">
        <v>177</v>
      </c>
      <c r="L2158" s="24">
        <v>128</v>
      </c>
      <c r="M2158" s="12">
        <v>6974.7796278158676</v>
      </c>
      <c r="N2158" s="12">
        <v>6974.7796278158676</v>
      </c>
      <c r="O2158" s="12">
        <v>1325.2081292850144</v>
      </c>
      <c r="P2158" s="13"/>
      <c r="Q2158" s="14">
        <v>2025</v>
      </c>
      <c r="R2158" s="15">
        <v>45383</v>
      </c>
      <c r="S2158" s="11" t="s">
        <v>355</v>
      </c>
      <c r="T2158" s="16">
        <v>0</v>
      </c>
      <c r="U2158" s="17"/>
      <c r="V2158" s="12">
        <v>1277.7796278158667</v>
      </c>
      <c r="W2158" s="12">
        <v>1277.7796278158667</v>
      </c>
      <c r="X2158" s="12">
        <v>0</v>
      </c>
      <c r="Y2158" s="18">
        <v>45761</v>
      </c>
      <c r="Z2158" s="13" t="s">
        <v>501</v>
      </c>
      <c r="AA2158" s="19" t="s">
        <v>373</v>
      </c>
      <c r="AB2158" s="13" t="s">
        <v>357</v>
      </c>
      <c r="AC2158" s="13" t="s">
        <v>685</v>
      </c>
      <c r="AD2158" s="20"/>
      <c r="AE2158" s="20"/>
      <c r="AF2158" s="13" t="s">
        <v>40</v>
      </c>
      <c r="AG2158" s="15">
        <v>45383</v>
      </c>
      <c r="AH2158" s="13" t="s">
        <v>41</v>
      </c>
      <c r="AI2158" s="13" t="s">
        <v>43</v>
      </c>
      <c r="AJ2158" s="13" t="str">
        <f>VLOOKUP(E2158,Precios!Z$2:AA$941,2,FALSE)</f>
        <v>Bandeja Huevos EXTRA</v>
      </c>
      <c r="AK2158" s="14">
        <f>VLOOKUP(E2158,Precios!Z$2:BB$941,3,FALSE)*F2158</f>
        <v>-1</v>
      </c>
      <c r="AL2158" s="17"/>
      <c r="AM2158" s="17"/>
      <c r="AN2158" s="17"/>
      <c r="AO2158" s="17"/>
      <c r="AP2158" s="17"/>
      <c r="AQ2158" s="17"/>
      <c r="AR2158" s="17"/>
      <c r="AS2158" s="17"/>
      <c r="AT2158" s="17"/>
      <c r="AU2158" s="17"/>
      <c r="AV2158" s="17"/>
    </row>
    <row r="2159" spans="1:48" ht="15.75" customHeight="1">
      <c r="A2159" s="21" t="s">
        <v>43</v>
      </c>
      <c r="B2159" s="23" t="s">
        <v>1692</v>
      </c>
      <c r="C2159" s="22">
        <v>45766</v>
      </c>
      <c r="D2159" s="23" t="s">
        <v>189</v>
      </c>
      <c r="E2159" s="23" t="s">
        <v>45</v>
      </c>
      <c r="F2159" s="14">
        <v>1</v>
      </c>
      <c r="G2159" s="12">
        <v>8299.9877571008819</v>
      </c>
      <c r="H2159" s="12">
        <v>8299.9877571008819</v>
      </c>
      <c r="I2159" s="23" t="s">
        <v>52</v>
      </c>
      <c r="J2159" s="23" t="s">
        <v>61</v>
      </c>
      <c r="K2159" s="24" t="s">
        <v>177</v>
      </c>
      <c r="L2159" s="24">
        <v>128</v>
      </c>
      <c r="M2159" s="12">
        <v>6974.7796278158676</v>
      </c>
      <c r="N2159" s="12">
        <v>6974.7796278158676</v>
      </c>
      <c r="O2159" s="12">
        <v>1325.2081292850144</v>
      </c>
      <c r="P2159" s="13"/>
      <c r="Q2159" s="14">
        <v>2025</v>
      </c>
      <c r="R2159" s="15">
        <v>45383</v>
      </c>
      <c r="S2159" s="11" t="s">
        <v>355</v>
      </c>
      <c r="T2159" s="16">
        <v>0</v>
      </c>
      <c r="U2159" s="17"/>
      <c r="V2159" s="12">
        <v>1277.7796278158667</v>
      </c>
      <c r="W2159" s="12">
        <v>1277.7796278158667</v>
      </c>
      <c r="X2159" s="12">
        <v>0</v>
      </c>
      <c r="Y2159" s="18">
        <v>45761</v>
      </c>
      <c r="Z2159" s="13" t="s">
        <v>501</v>
      </c>
      <c r="AA2159" s="19" t="s">
        <v>361</v>
      </c>
      <c r="AB2159" s="13" t="s">
        <v>357</v>
      </c>
      <c r="AC2159" s="13" t="s">
        <v>362</v>
      </c>
      <c r="AD2159" s="20"/>
      <c r="AE2159" s="20"/>
      <c r="AF2159" s="13" t="s">
        <v>40</v>
      </c>
      <c r="AG2159" s="15">
        <v>45383</v>
      </c>
      <c r="AH2159" s="13" t="s">
        <v>41</v>
      </c>
      <c r="AI2159" s="13" t="s">
        <v>43</v>
      </c>
      <c r="AJ2159" s="13" t="str">
        <f>VLOOKUP(E2159,Precios!Z$2:AA$941,2,FALSE)</f>
        <v>Bandeja Huevos EXTRA</v>
      </c>
      <c r="AK2159" s="14">
        <f>VLOOKUP(E2159,Precios!Z$2:BB$941,3,FALSE)*F2159</f>
        <v>-1</v>
      </c>
      <c r="AL2159" s="17"/>
      <c r="AM2159" s="17"/>
      <c r="AN2159" s="17"/>
      <c r="AO2159" s="17"/>
      <c r="AP2159" s="17"/>
      <c r="AQ2159" s="17"/>
      <c r="AR2159" s="17"/>
      <c r="AS2159" s="17"/>
      <c r="AT2159" s="17"/>
      <c r="AU2159" s="17"/>
      <c r="AV2159" s="17"/>
    </row>
    <row r="2160" spans="1:48" ht="15.75" customHeight="1">
      <c r="A2160" s="21" t="s">
        <v>56</v>
      </c>
      <c r="B2160" s="23" t="s">
        <v>1692</v>
      </c>
      <c r="C2160" s="22">
        <v>45765</v>
      </c>
      <c r="D2160" s="23" t="s">
        <v>93</v>
      </c>
      <c r="E2160" s="23" t="s">
        <v>60</v>
      </c>
      <c r="F2160" s="14">
        <v>1</v>
      </c>
      <c r="G2160" s="12">
        <v>7000.0000000000018</v>
      </c>
      <c r="H2160" s="12">
        <v>7000.0000000000018</v>
      </c>
      <c r="I2160" s="23" t="s">
        <v>52</v>
      </c>
      <c r="J2160" s="23" t="s">
        <v>61</v>
      </c>
      <c r="K2160" s="24" t="s">
        <v>177</v>
      </c>
      <c r="L2160" s="24">
        <v>128</v>
      </c>
      <c r="M2160" s="12">
        <v>5882.3529411764721</v>
      </c>
      <c r="N2160" s="12">
        <v>5882.3529411764721</v>
      </c>
      <c r="O2160" s="12">
        <v>1117.6470588235297</v>
      </c>
      <c r="P2160" s="13"/>
      <c r="Q2160" s="14">
        <v>2025</v>
      </c>
      <c r="R2160" s="15">
        <v>45383</v>
      </c>
      <c r="S2160" s="11" t="s">
        <v>429</v>
      </c>
      <c r="T2160" s="16">
        <v>200</v>
      </c>
      <c r="U2160" s="17"/>
      <c r="V2160" s="12">
        <v>2080.6722689075641</v>
      </c>
      <c r="W2160" s="12">
        <v>2080.6722689075641</v>
      </c>
      <c r="X2160" s="12">
        <v>0</v>
      </c>
      <c r="Y2160" s="18">
        <v>45761</v>
      </c>
      <c r="Z2160" s="13" t="s">
        <v>503</v>
      </c>
      <c r="AA2160" s="19" t="s">
        <v>373</v>
      </c>
      <c r="AB2160" s="13" t="s">
        <v>357</v>
      </c>
      <c r="AC2160" s="13" t="s">
        <v>686</v>
      </c>
      <c r="AD2160" s="20"/>
      <c r="AE2160" s="20"/>
      <c r="AF2160" s="13" t="s">
        <v>40</v>
      </c>
      <c r="AG2160" s="15">
        <v>45383</v>
      </c>
      <c r="AH2160" s="13" t="s">
        <v>41</v>
      </c>
      <c r="AI2160" s="13" t="s">
        <v>56</v>
      </c>
      <c r="AJ2160" s="13" t="str">
        <f>VLOOKUP(E2160,Precios!Z$2:AA$941,2,FALSE)</f>
        <v>Queso Sabores</v>
      </c>
      <c r="AK2160" s="14">
        <f>VLOOKUP(E2160,Precios!Z$2:BB$941,3,FALSE)*F2160</f>
        <v>-2</v>
      </c>
      <c r="AL2160" s="17"/>
      <c r="AM2160" s="17"/>
      <c r="AN2160" s="17"/>
      <c r="AO2160" s="17"/>
      <c r="AP2160" s="17"/>
      <c r="AQ2160" s="17"/>
      <c r="AR2160" s="17"/>
      <c r="AS2160" s="17"/>
      <c r="AT2160" s="17"/>
      <c r="AU2160" s="17"/>
      <c r="AV2160" s="17"/>
    </row>
    <row r="2161" spans="1:48" ht="15.75" customHeight="1">
      <c r="A2161" s="21" t="s">
        <v>50</v>
      </c>
      <c r="B2161" s="23" t="s">
        <v>1692</v>
      </c>
      <c r="C2161" s="22">
        <v>45765</v>
      </c>
      <c r="D2161" s="23" t="s">
        <v>310</v>
      </c>
      <c r="E2161" s="23" t="s">
        <v>51</v>
      </c>
      <c r="F2161" s="21">
        <v>3</v>
      </c>
      <c r="G2161" s="12">
        <v>1000.0000000000001</v>
      </c>
      <c r="H2161" s="12">
        <v>3000.0000000000005</v>
      </c>
      <c r="I2161" s="23" t="s">
        <v>52</v>
      </c>
      <c r="J2161" s="23" t="s">
        <v>61</v>
      </c>
      <c r="K2161" s="24" t="s">
        <v>177</v>
      </c>
      <c r="L2161" s="24">
        <v>128</v>
      </c>
      <c r="M2161" s="12">
        <v>840.3361344537816</v>
      </c>
      <c r="N2161" s="12">
        <v>2521.0084033613452</v>
      </c>
      <c r="O2161" s="12">
        <v>478.99159663865521</v>
      </c>
      <c r="P2161" s="13"/>
      <c r="Q2161" s="14">
        <v>2025</v>
      </c>
      <c r="R2161" s="15">
        <v>45383</v>
      </c>
      <c r="S2161" s="11" t="s">
        <v>51</v>
      </c>
      <c r="T2161" s="16">
        <v>0</v>
      </c>
      <c r="U2161" s="17"/>
      <c r="V2161" s="12">
        <v>1321.0084033613448</v>
      </c>
      <c r="W2161" s="12">
        <v>1321.0084033613448</v>
      </c>
      <c r="X2161" s="12">
        <v>0</v>
      </c>
      <c r="Y2161" s="18">
        <v>45761</v>
      </c>
      <c r="Z2161" s="13" t="s">
        <v>503</v>
      </c>
      <c r="AA2161" s="19" t="s">
        <v>367</v>
      </c>
      <c r="AB2161" s="13" t="s">
        <v>357</v>
      </c>
      <c r="AC2161" s="13" t="s">
        <v>367</v>
      </c>
      <c r="AD2161" s="20"/>
      <c r="AE2161" s="20"/>
      <c r="AF2161" s="13" t="s">
        <v>40</v>
      </c>
      <c r="AG2161" s="15">
        <v>45383</v>
      </c>
      <c r="AH2161" s="13" t="s">
        <v>41</v>
      </c>
      <c r="AI2161" s="13" t="s">
        <v>50</v>
      </c>
      <c r="AJ2161" s="13" t="str">
        <f>VLOOKUP(E2161,Precios!Z$2:AA$941,2,FALSE)</f>
        <v>Hielo 1 Kilo</v>
      </c>
      <c r="AK2161" s="14">
        <f>VLOOKUP(E2161,Precios!Z$2:BB$941,3,FALSE)*F2161</f>
        <v>-3</v>
      </c>
      <c r="AL2161" s="17"/>
      <c r="AM2161" s="17"/>
      <c r="AN2161" s="17"/>
      <c r="AO2161" s="17"/>
      <c r="AP2161" s="17"/>
      <c r="AQ2161" s="17"/>
      <c r="AR2161" s="17"/>
      <c r="AS2161" s="17"/>
      <c r="AT2161" s="17"/>
      <c r="AU2161" s="17"/>
      <c r="AV2161" s="17"/>
    </row>
    <row r="2162" spans="1:48" ht="15.75" customHeight="1">
      <c r="A2162" s="21" t="s">
        <v>35</v>
      </c>
      <c r="B2162" s="23" t="s">
        <v>1692</v>
      </c>
      <c r="C2162" s="22">
        <v>45765</v>
      </c>
      <c r="D2162" s="23" t="s">
        <v>310</v>
      </c>
      <c r="E2162" s="23" t="s">
        <v>37</v>
      </c>
      <c r="F2162" s="14">
        <v>1</v>
      </c>
      <c r="G2162" s="12">
        <v>10500</v>
      </c>
      <c r="H2162" s="12">
        <v>10500</v>
      </c>
      <c r="I2162" s="23" t="s">
        <v>52</v>
      </c>
      <c r="J2162" s="23" t="s">
        <v>61</v>
      </c>
      <c r="K2162" s="24" t="s">
        <v>177</v>
      </c>
      <c r="L2162" s="24">
        <v>128</v>
      </c>
      <c r="M2162" s="12">
        <v>8823.5294117647063</v>
      </c>
      <c r="N2162" s="12">
        <v>8823.5294117647063</v>
      </c>
      <c r="O2162" s="12">
        <v>1676.4705882352937</v>
      </c>
      <c r="P2162" s="13"/>
      <c r="Q2162" s="14">
        <v>2025</v>
      </c>
      <c r="R2162" s="15">
        <v>45383</v>
      </c>
      <c r="S2162" s="11" t="s">
        <v>364</v>
      </c>
      <c r="T2162" s="16">
        <v>1000</v>
      </c>
      <c r="U2162" s="17"/>
      <c r="V2162" s="12">
        <v>2385.7142857142853</v>
      </c>
      <c r="W2162" s="12">
        <v>2385.7142857142853</v>
      </c>
      <c r="X2162" s="12">
        <v>0</v>
      </c>
      <c r="Y2162" s="18">
        <v>45761</v>
      </c>
      <c r="Z2162" s="13" t="s">
        <v>503</v>
      </c>
      <c r="AA2162" s="19" t="s">
        <v>367</v>
      </c>
      <c r="AB2162" s="13" t="s">
        <v>357</v>
      </c>
      <c r="AC2162" s="13" t="s">
        <v>367</v>
      </c>
      <c r="AD2162" s="20"/>
      <c r="AE2162" s="20"/>
      <c r="AF2162" s="13" t="s">
        <v>40</v>
      </c>
      <c r="AG2162" s="15">
        <v>45383</v>
      </c>
      <c r="AH2162" s="13" t="s">
        <v>41</v>
      </c>
      <c r="AI2162" s="13" t="s">
        <v>35</v>
      </c>
      <c r="AJ2162" s="13" t="str">
        <f>VLOOKUP(E2162,Precios!Z$2:AA$941,2,FALSE)</f>
        <v>Queso RUNCA Mantecoso</v>
      </c>
      <c r="AK2162" s="14">
        <f>VLOOKUP(E2162,Precios!Z$2:BB$941,3,FALSE)*F2162</f>
        <v>-1</v>
      </c>
      <c r="AL2162" s="17"/>
      <c r="AM2162" s="17"/>
      <c r="AN2162" s="17"/>
      <c r="AO2162" s="17"/>
      <c r="AP2162" s="17"/>
      <c r="AQ2162" s="17"/>
      <c r="AR2162" s="17"/>
      <c r="AS2162" s="17"/>
      <c r="AT2162" s="17"/>
      <c r="AU2162" s="17"/>
      <c r="AV2162" s="17"/>
    </row>
    <row r="2163" spans="1:48" ht="15.75" customHeight="1">
      <c r="A2163" s="21" t="s">
        <v>43</v>
      </c>
      <c r="B2163" s="23" t="s">
        <v>1692</v>
      </c>
      <c r="C2163" s="22">
        <v>45765</v>
      </c>
      <c r="D2163" s="23" t="s">
        <v>310</v>
      </c>
      <c r="E2163" s="23" t="s">
        <v>45</v>
      </c>
      <c r="F2163" s="14">
        <v>1</v>
      </c>
      <c r="G2163" s="12">
        <v>8299.9877571008819</v>
      </c>
      <c r="H2163" s="12">
        <v>8299.9877571008819</v>
      </c>
      <c r="I2163" s="23" t="s">
        <v>52</v>
      </c>
      <c r="J2163" s="23" t="s">
        <v>61</v>
      </c>
      <c r="K2163" s="24" t="s">
        <v>177</v>
      </c>
      <c r="L2163" s="24">
        <v>128</v>
      </c>
      <c r="M2163" s="12">
        <v>6974.7796278158676</v>
      </c>
      <c r="N2163" s="12">
        <v>6974.7796278158676</v>
      </c>
      <c r="O2163" s="12">
        <v>1325.2081292850144</v>
      </c>
      <c r="P2163" s="13"/>
      <c r="Q2163" s="14">
        <v>2025</v>
      </c>
      <c r="R2163" s="15">
        <v>45383</v>
      </c>
      <c r="S2163" s="11" t="s">
        <v>355</v>
      </c>
      <c r="T2163" s="16">
        <v>0</v>
      </c>
      <c r="U2163" s="17"/>
      <c r="V2163" s="12">
        <v>1277.7796278158667</v>
      </c>
      <c r="W2163" s="12">
        <v>1277.7796278158667</v>
      </c>
      <c r="X2163" s="12">
        <v>0</v>
      </c>
      <c r="Y2163" s="18">
        <v>45761</v>
      </c>
      <c r="Z2163" s="13" t="s">
        <v>503</v>
      </c>
      <c r="AA2163" s="19" t="s">
        <v>367</v>
      </c>
      <c r="AB2163" s="13" t="s">
        <v>357</v>
      </c>
      <c r="AC2163" s="13" t="s">
        <v>367</v>
      </c>
      <c r="AD2163" s="20"/>
      <c r="AE2163" s="20"/>
      <c r="AF2163" s="13" t="s">
        <v>40</v>
      </c>
      <c r="AG2163" s="15">
        <v>45383</v>
      </c>
      <c r="AH2163" s="13" t="s">
        <v>41</v>
      </c>
      <c r="AI2163" s="13" t="s">
        <v>43</v>
      </c>
      <c r="AJ2163" s="13" t="str">
        <f>VLOOKUP(E2163,Precios!Z$2:AA$941,2,FALSE)</f>
        <v>Bandeja Huevos EXTRA</v>
      </c>
      <c r="AK2163" s="14">
        <f>VLOOKUP(E2163,Precios!Z$2:BB$941,3,FALSE)*F2163</f>
        <v>-1</v>
      </c>
      <c r="AL2163" s="17"/>
      <c r="AM2163" s="17"/>
      <c r="AN2163" s="17"/>
      <c r="AO2163" s="17"/>
      <c r="AP2163" s="17"/>
      <c r="AQ2163" s="17"/>
      <c r="AR2163" s="17"/>
      <c r="AS2163" s="17"/>
      <c r="AT2163" s="17"/>
      <c r="AU2163" s="17"/>
      <c r="AV2163" s="17"/>
    </row>
    <row r="2164" spans="1:48" ht="15.75" customHeight="1">
      <c r="A2164" s="21" t="s">
        <v>53</v>
      </c>
      <c r="B2164" s="23" t="s">
        <v>1692</v>
      </c>
      <c r="C2164" s="25">
        <v>45764</v>
      </c>
      <c r="D2164" s="23" t="s">
        <v>915</v>
      </c>
      <c r="E2164" s="23" t="s">
        <v>162</v>
      </c>
      <c r="F2164" s="14">
        <v>1</v>
      </c>
      <c r="G2164" s="12">
        <v>9500.0304006809747</v>
      </c>
      <c r="H2164" s="12">
        <v>9500.0304006809747</v>
      </c>
      <c r="I2164" s="23" t="s">
        <v>52</v>
      </c>
      <c r="J2164" s="23" t="s">
        <v>61</v>
      </c>
      <c r="K2164" s="24" t="s">
        <v>177</v>
      </c>
      <c r="L2164" s="24">
        <v>127</v>
      </c>
      <c r="M2164" s="12">
        <v>7983.2188241016602</v>
      </c>
      <c r="N2164" s="12">
        <v>7983.2188241016602</v>
      </c>
      <c r="O2164" s="12">
        <v>1516.8115765793145</v>
      </c>
      <c r="P2164" s="13"/>
      <c r="Q2164" s="14">
        <v>2025</v>
      </c>
      <c r="R2164" s="15">
        <v>45383</v>
      </c>
      <c r="S2164" s="11" t="s">
        <v>437</v>
      </c>
      <c r="T2164" s="16">
        <v>0</v>
      </c>
      <c r="U2164" s="17"/>
      <c r="V2164" s="12">
        <v>2731.2188241016593</v>
      </c>
      <c r="W2164" s="12">
        <v>2731.2188241016593</v>
      </c>
      <c r="X2164" s="12">
        <v>0</v>
      </c>
      <c r="Y2164" s="18">
        <v>45761</v>
      </c>
      <c r="Z2164" s="13" t="s">
        <v>505</v>
      </c>
      <c r="AA2164" s="19" t="s">
        <v>367</v>
      </c>
      <c r="AB2164" s="13" t="s">
        <v>357</v>
      </c>
      <c r="AC2164" s="13" t="s">
        <v>367</v>
      </c>
      <c r="AD2164" s="20"/>
      <c r="AE2164" s="20"/>
      <c r="AF2164" s="13" t="s">
        <v>40</v>
      </c>
      <c r="AG2164" s="15">
        <v>45383</v>
      </c>
      <c r="AH2164" s="13" t="s">
        <v>41</v>
      </c>
      <c r="AI2164" s="13" t="s">
        <v>53</v>
      </c>
      <c r="AJ2164" s="13" t="str">
        <f>VLOOKUP(E2164,Precios!Z$2:AA$941,2,FALSE)</f>
        <v>Toalla Papel 250 metros dipensador</v>
      </c>
      <c r="AK2164" s="14">
        <f>VLOOKUP(E2164,Precios!Z$2:BB$941,3,FALSE)*F2164</f>
        <v>-1</v>
      </c>
      <c r="AL2164" s="17"/>
      <c r="AM2164" s="17"/>
      <c r="AN2164" s="17"/>
      <c r="AO2164" s="17"/>
      <c r="AP2164" s="17"/>
      <c r="AQ2164" s="17"/>
      <c r="AR2164" s="17"/>
      <c r="AS2164" s="17"/>
      <c r="AT2164" s="17"/>
      <c r="AU2164" s="17"/>
      <c r="AV2164" s="17"/>
    </row>
    <row r="2165" spans="1:48" ht="15.75" customHeight="1">
      <c r="A2165" s="21" t="s">
        <v>35</v>
      </c>
      <c r="B2165" s="23" t="s">
        <v>1692</v>
      </c>
      <c r="C2165" s="25">
        <v>45764</v>
      </c>
      <c r="D2165" s="23" t="s">
        <v>687</v>
      </c>
      <c r="E2165" s="23" t="s">
        <v>37</v>
      </c>
      <c r="F2165" s="14">
        <v>1</v>
      </c>
      <c r="G2165" s="12">
        <v>10500</v>
      </c>
      <c r="H2165" s="12">
        <v>10500</v>
      </c>
      <c r="I2165" s="23" t="s">
        <v>52</v>
      </c>
      <c r="J2165" s="23" t="s">
        <v>61</v>
      </c>
      <c r="K2165" s="24" t="s">
        <v>177</v>
      </c>
      <c r="L2165" s="24">
        <v>127</v>
      </c>
      <c r="M2165" s="12">
        <v>8823.5294117647063</v>
      </c>
      <c r="N2165" s="12">
        <v>8823.5294117647063</v>
      </c>
      <c r="O2165" s="12">
        <v>1676.4705882352937</v>
      </c>
      <c r="P2165" s="13"/>
      <c r="Q2165" s="14">
        <v>2025</v>
      </c>
      <c r="R2165" s="15">
        <v>45383</v>
      </c>
      <c r="S2165" s="11" t="s">
        <v>364</v>
      </c>
      <c r="T2165" s="16">
        <v>1000</v>
      </c>
      <c r="U2165" s="17"/>
      <c r="V2165" s="12">
        <v>2385.7142857142853</v>
      </c>
      <c r="W2165" s="12">
        <v>2385.7142857142853</v>
      </c>
      <c r="X2165" s="12">
        <v>0</v>
      </c>
      <c r="Y2165" s="18">
        <v>45761</v>
      </c>
      <c r="Z2165" s="13" t="s">
        <v>505</v>
      </c>
      <c r="AA2165" s="19" t="s">
        <v>373</v>
      </c>
      <c r="AB2165" s="13" t="s">
        <v>357</v>
      </c>
      <c r="AC2165" s="13" t="s">
        <v>465</v>
      </c>
      <c r="AD2165" s="20"/>
      <c r="AE2165" s="20"/>
      <c r="AF2165" s="13" t="s">
        <v>40</v>
      </c>
      <c r="AG2165" s="15">
        <v>45383</v>
      </c>
      <c r="AH2165" s="13" t="s">
        <v>41</v>
      </c>
      <c r="AI2165" s="13" t="s">
        <v>35</v>
      </c>
      <c r="AJ2165" s="13" t="str">
        <f>VLOOKUP(E2165,Precios!Z$2:AA$941,2,FALSE)</f>
        <v>Queso RUNCA Mantecoso</v>
      </c>
      <c r="AK2165" s="14">
        <f>VLOOKUP(E2165,Precios!Z$2:BB$941,3,FALSE)*F2165</f>
        <v>-1</v>
      </c>
      <c r="AL2165" s="17"/>
      <c r="AM2165" s="17"/>
      <c r="AN2165" s="17"/>
      <c r="AO2165" s="17"/>
      <c r="AP2165" s="17"/>
      <c r="AQ2165" s="17"/>
      <c r="AR2165" s="17"/>
      <c r="AS2165" s="17"/>
      <c r="AT2165" s="17"/>
      <c r="AU2165" s="17"/>
      <c r="AV2165" s="17"/>
    </row>
    <row r="2166" spans="1:48" ht="15.75" customHeight="1">
      <c r="A2166" s="21" t="s">
        <v>35</v>
      </c>
      <c r="B2166" s="23" t="s">
        <v>1692</v>
      </c>
      <c r="C2166" s="25">
        <v>45764</v>
      </c>
      <c r="D2166" s="23" t="s">
        <v>116</v>
      </c>
      <c r="E2166" s="23" t="s">
        <v>37</v>
      </c>
      <c r="F2166" s="14">
        <v>1</v>
      </c>
      <c r="G2166" s="12">
        <v>10500</v>
      </c>
      <c r="H2166" s="12">
        <v>10500</v>
      </c>
      <c r="I2166" s="23" t="s">
        <v>52</v>
      </c>
      <c r="J2166" s="23" t="s">
        <v>61</v>
      </c>
      <c r="K2166" s="24" t="s">
        <v>177</v>
      </c>
      <c r="L2166" s="24">
        <v>127</v>
      </c>
      <c r="M2166" s="12">
        <v>8823.5294117647063</v>
      </c>
      <c r="N2166" s="12">
        <v>8823.5294117647063</v>
      </c>
      <c r="O2166" s="12">
        <v>1676.4705882352937</v>
      </c>
      <c r="P2166" s="13"/>
      <c r="Q2166" s="14">
        <v>2025</v>
      </c>
      <c r="R2166" s="15">
        <v>45383</v>
      </c>
      <c r="S2166" s="11" t="s">
        <v>364</v>
      </c>
      <c r="T2166" s="16">
        <v>1000</v>
      </c>
      <c r="U2166" s="17"/>
      <c r="V2166" s="12">
        <v>2385.7142857142853</v>
      </c>
      <c r="W2166" s="12">
        <v>2385.7142857142853</v>
      </c>
      <c r="X2166" s="12">
        <v>0</v>
      </c>
      <c r="Y2166" s="18">
        <v>45761</v>
      </c>
      <c r="Z2166" s="13" t="s">
        <v>505</v>
      </c>
      <c r="AA2166" s="19" t="s">
        <v>373</v>
      </c>
      <c r="AB2166" s="13" t="s">
        <v>357</v>
      </c>
      <c r="AC2166" s="13"/>
      <c r="AD2166" s="20"/>
      <c r="AE2166" s="20"/>
      <c r="AF2166" s="13" t="s">
        <v>40</v>
      </c>
      <c r="AG2166" s="15">
        <v>45383</v>
      </c>
      <c r="AH2166" s="13" t="s">
        <v>41</v>
      </c>
      <c r="AI2166" s="13" t="s">
        <v>35</v>
      </c>
      <c r="AJ2166" s="13" t="str">
        <f>VLOOKUP(E2166,Precios!Z$2:AA$941,2,FALSE)</f>
        <v>Queso RUNCA Mantecoso</v>
      </c>
      <c r="AK2166" s="14">
        <f>VLOOKUP(E2166,Precios!Z$2:BB$941,3,FALSE)*F2166</f>
        <v>-1</v>
      </c>
      <c r="AL2166" s="17"/>
      <c r="AM2166" s="17"/>
      <c r="AN2166" s="17"/>
      <c r="AO2166" s="17"/>
      <c r="AP2166" s="17"/>
      <c r="AQ2166" s="17"/>
      <c r="AR2166" s="17"/>
      <c r="AS2166" s="17"/>
      <c r="AT2166" s="17"/>
      <c r="AU2166" s="17"/>
      <c r="AV2166" s="17"/>
    </row>
    <row r="2167" spans="1:48" ht="15.75" customHeight="1">
      <c r="A2167" s="21" t="s">
        <v>43</v>
      </c>
      <c r="B2167" s="23" t="s">
        <v>1692</v>
      </c>
      <c r="C2167" s="25">
        <v>45764</v>
      </c>
      <c r="D2167" s="23" t="s">
        <v>459</v>
      </c>
      <c r="E2167" s="23" t="s">
        <v>688</v>
      </c>
      <c r="F2167" s="14">
        <v>1</v>
      </c>
      <c r="G2167" s="12">
        <v>6300.097370983447</v>
      </c>
      <c r="H2167" s="12">
        <v>6300.097370983447</v>
      </c>
      <c r="I2167" s="23" t="s">
        <v>52</v>
      </c>
      <c r="J2167" s="23" t="s">
        <v>61</v>
      </c>
      <c r="K2167" s="24" t="s">
        <v>177</v>
      </c>
      <c r="L2167" s="24">
        <v>127</v>
      </c>
      <c r="M2167" s="12">
        <v>5294.1994714146613</v>
      </c>
      <c r="N2167" s="12">
        <v>5294.1994714146613</v>
      </c>
      <c r="O2167" s="12">
        <v>1005.8978995687858</v>
      </c>
      <c r="P2167" s="13"/>
      <c r="Q2167" s="14">
        <v>2025</v>
      </c>
      <c r="R2167" s="15">
        <v>45383</v>
      </c>
      <c r="S2167" s="11" t="s">
        <v>355</v>
      </c>
      <c r="T2167" s="16">
        <v>0</v>
      </c>
      <c r="U2167" s="17"/>
      <c r="V2167" s="12">
        <v>1488.1994714146613</v>
      </c>
      <c r="W2167" s="12">
        <v>1488.1994714146613</v>
      </c>
      <c r="X2167" s="12">
        <v>0</v>
      </c>
      <c r="Y2167" s="18">
        <v>45761</v>
      </c>
      <c r="Z2167" s="13" t="s">
        <v>505</v>
      </c>
      <c r="AA2167" s="19" t="s">
        <v>373</v>
      </c>
      <c r="AB2167" s="13" t="s">
        <v>357</v>
      </c>
      <c r="AC2167" s="13" t="s">
        <v>383</v>
      </c>
      <c r="AD2167" s="20"/>
      <c r="AE2167" s="20"/>
      <c r="AF2167" s="13" t="s">
        <v>40</v>
      </c>
      <c r="AG2167" s="15">
        <v>45383</v>
      </c>
      <c r="AH2167" s="13" t="s">
        <v>41</v>
      </c>
      <c r="AI2167" s="13" t="s">
        <v>43</v>
      </c>
      <c r="AJ2167" s="13" t="str">
        <f>VLOOKUP(E2167,Precios!Z$2:AA$941,2,FALSE)</f>
        <v>Bandeja Huevos EXTRA</v>
      </c>
      <c r="AK2167" s="14">
        <f>VLOOKUP(E2167,Precios!Z$2:BB$941,3,FALSE)*F2167</f>
        <v>-0.67</v>
      </c>
      <c r="AL2167" s="17"/>
      <c r="AM2167" s="17"/>
      <c r="AN2167" s="17"/>
      <c r="AO2167" s="17"/>
      <c r="AP2167" s="17"/>
      <c r="AQ2167" s="17"/>
      <c r="AR2167" s="17"/>
      <c r="AS2167" s="17"/>
      <c r="AT2167" s="17"/>
      <c r="AU2167" s="17"/>
      <c r="AV2167" s="17"/>
    </row>
    <row r="2168" spans="1:48" ht="15.75" customHeight="1">
      <c r="A2168" s="21" t="s">
        <v>53</v>
      </c>
      <c r="B2168" s="23" t="s">
        <v>1692</v>
      </c>
      <c r="C2168" s="25">
        <v>45764</v>
      </c>
      <c r="D2168" s="23" t="s">
        <v>329</v>
      </c>
      <c r="E2168" s="23" t="s">
        <v>55</v>
      </c>
      <c r="F2168" s="14">
        <v>1</v>
      </c>
      <c r="G2168" s="12">
        <v>20899.657794676805</v>
      </c>
      <c r="H2168" s="12">
        <v>20899.657794676805</v>
      </c>
      <c r="I2168" s="23" t="s">
        <v>52</v>
      </c>
      <c r="J2168" s="23" t="s">
        <v>61</v>
      </c>
      <c r="K2168" s="24" t="s">
        <v>177</v>
      </c>
      <c r="L2168" s="24">
        <v>127</v>
      </c>
      <c r="M2168" s="12">
        <v>17562.737642585551</v>
      </c>
      <c r="N2168" s="12">
        <v>17562.737642585551</v>
      </c>
      <c r="O2168" s="12">
        <v>3336.9201520912538</v>
      </c>
      <c r="P2168" s="13"/>
      <c r="Q2168" s="14">
        <v>2025</v>
      </c>
      <c r="R2168" s="15">
        <v>45383</v>
      </c>
      <c r="S2168" s="11" t="s">
        <v>366</v>
      </c>
      <c r="T2168" s="16">
        <v>0</v>
      </c>
      <c r="U2168" s="17"/>
      <c r="V2168" s="12">
        <v>3705.7376425855509</v>
      </c>
      <c r="W2168" s="12">
        <v>3705.7376425855509</v>
      </c>
      <c r="X2168" s="12">
        <v>0</v>
      </c>
      <c r="Y2168" s="18">
        <v>45761</v>
      </c>
      <c r="Z2168" s="13" t="s">
        <v>505</v>
      </c>
      <c r="AA2168" s="19" t="s">
        <v>373</v>
      </c>
      <c r="AB2168" s="13" t="s">
        <v>357</v>
      </c>
      <c r="AC2168" s="13" t="s">
        <v>532</v>
      </c>
      <c r="AD2168" s="20"/>
      <c r="AE2168" s="20"/>
      <c r="AF2168" s="13" t="s">
        <v>40</v>
      </c>
      <c r="AG2168" s="15">
        <v>45383</v>
      </c>
      <c r="AH2168" s="13" t="s">
        <v>41</v>
      </c>
      <c r="AI2168" s="13" t="s">
        <v>53</v>
      </c>
      <c r="AJ2168" s="13" t="str">
        <f>VLOOKUP(E2168,Precios!Z$2:AA$941,2,FALSE)</f>
        <v>Papel Higienico ELITE 50 metros</v>
      </c>
      <c r="AK2168" s="14">
        <f>VLOOKUP(E2168,Precios!Z$2:BB$941,3,FALSE)*F2168</f>
        <v>-8</v>
      </c>
      <c r="AL2168" s="17"/>
      <c r="AM2168" s="17"/>
      <c r="AN2168" s="17"/>
      <c r="AO2168" s="17"/>
      <c r="AP2168" s="17"/>
      <c r="AQ2168" s="17"/>
      <c r="AR2168" s="17"/>
      <c r="AS2168" s="17"/>
      <c r="AT2168" s="17"/>
      <c r="AU2168" s="17"/>
      <c r="AV2168" s="17"/>
    </row>
    <row r="2169" spans="1:48" ht="15.75" customHeight="1">
      <c r="A2169" s="21" t="s">
        <v>53</v>
      </c>
      <c r="B2169" s="23" t="s">
        <v>1692</v>
      </c>
      <c r="C2169" s="25">
        <v>45764</v>
      </c>
      <c r="D2169" s="23" t="s">
        <v>329</v>
      </c>
      <c r="E2169" s="23" t="s">
        <v>70</v>
      </c>
      <c r="F2169" s="14">
        <v>1</v>
      </c>
      <c r="G2169" s="12">
        <v>5000.3257328990221</v>
      </c>
      <c r="H2169" s="12">
        <v>5000.3257328990221</v>
      </c>
      <c r="I2169" s="23" t="s">
        <v>52</v>
      </c>
      <c r="J2169" s="23" t="s">
        <v>61</v>
      </c>
      <c r="K2169" s="24" t="s">
        <v>177</v>
      </c>
      <c r="L2169" s="24">
        <v>127</v>
      </c>
      <c r="M2169" s="12">
        <v>4201.9543973941363</v>
      </c>
      <c r="N2169" s="12">
        <v>4201.9543973941363</v>
      </c>
      <c r="O2169" s="12">
        <v>798.37133550488579</v>
      </c>
      <c r="P2169" s="13"/>
      <c r="Q2169" s="14">
        <v>2025</v>
      </c>
      <c r="R2169" s="15">
        <v>45383</v>
      </c>
      <c r="S2169" s="11" t="s">
        <v>381</v>
      </c>
      <c r="T2169" s="16">
        <v>300</v>
      </c>
      <c r="U2169" s="17"/>
      <c r="V2169" s="12">
        <v>2008.9543973941363</v>
      </c>
      <c r="W2169" s="12">
        <v>2008.9543973941363</v>
      </c>
      <c r="X2169" s="12">
        <v>0</v>
      </c>
      <c r="Y2169" s="18">
        <v>45761</v>
      </c>
      <c r="Z2169" s="13" t="s">
        <v>505</v>
      </c>
      <c r="AA2169" s="19" t="s">
        <v>373</v>
      </c>
      <c r="AB2169" s="13" t="s">
        <v>357</v>
      </c>
      <c r="AC2169" s="13" t="s">
        <v>532</v>
      </c>
      <c r="AD2169" s="20"/>
      <c r="AE2169" s="20"/>
      <c r="AF2169" s="13" t="s">
        <v>40</v>
      </c>
      <c r="AG2169" s="15">
        <v>45383</v>
      </c>
      <c r="AH2169" s="13" t="s">
        <v>41</v>
      </c>
      <c r="AI2169" s="13" t="s">
        <v>53</v>
      </c>
      <c r="AJ2169" s="13" t="str">
        <f>VLOOKUP(E2169,Precios!Z$2:AA$941,2,FALSE)</f>
        <v>Servilletas SOFTQUALITY 300 unidades</v>
      </c>
      <c r="AK2169" s="14">
        <f>VLOOKUP(E2169,Precios!Z$2:BB$941,3,FALSE)*F2169</f>
        <v>-3</v>
      </c>
      <c r="AL2169" s="17"/>
      <c r="AM2169" s="17"/>
      <c r="AN2169" s="17"/>
      <c r="AO2169" s="17"/>
      <c r="AP2169" s="17"/>
      <c r="AQ2169" s="17"/>
      <c r="AR2169" s="17"/>
      <c r="AS2169" s="17"/>
      <c r="AT2169" s="17"/>
      <c r="AU2169" s="17"/>
      <c r="AV2169" s="17"/>
    </row>
    <row r="2170" spans="1:48" ht="15.75" customHeight="1">
      <c r="A2170" s="21" t="s">
        <v>35</v>
      </c>
      <c r="B2170" s="23" t="s">
        <v>1692</v>
      </c>
      <c r="C2170" s="25">
        <v>45764</v>
      </c>
      <c r="D2170" s="23" t="s">
        <v>301</v>
      </c>
      <c r="E2170" s="23" t="s">
        <v>46</v>
      </c>
      <c r="F2170" s="14">
        <v>1</v>
      </c>
      <c r="G2170" s="12">
        <v>5500</v>
      </c>
      <c r="H2170" s="12">
        <v>5500</v>
      </c>
      <c r="I2170" s="23" t="s">
        <v>52</v>
      </c>
      <c r="J2170" s="23" t="s">
        <v>61</v>
      </c>
      <c r="K2170" s="24" t="s">
        <v>177</v>
      </c>
      <c r="L2170" s="24">
        <v>127</v>
      </c>
      <c r="M2170" s="12">
        <v>4621.8487394957983</v>
      </c>
      <c r="N2170" s="12">
        <v>4621.8487394957983</v>
      </c>
      <c r="O2170" s="12">
        <v>878.15126050420167</v>
      </c>
      <c r="P2170" s="13"/>
      <c r="Q2170" s="14">
        <v>2025</v>
      </c>
      <c r="R2170" s="15">
        <v>45383</v>
      </c>
      <c r="S2170" s="11" t="s">
        <v>364</v>
      </c>
      <c r="T2170" s="16">
        <v>500</v>
      </c>
      <c r="U2170" s="17"/>
      <c r="V2170" s="12">
        <v>1365.1260504201678</v>
      </c>
      <c r="W2170" s="12">
        <v>1365.1260504201678</v>
      </c>
      <c r="X2170" s="12">
        <v>0</v>
      </c>
      <c r="Y2170" s="18">
        <v>45761</v>
      </c>
      <c r="Z2170" s="13" t="s">
        <v>505</v>
      </c>
      <c r="AA2170" s="19" t="s">
        <v>356</v>
      </c>
      <c r="AB2170" s="13" t="s">
        <v>357</v>
      </c>
      <c r="AC2170" s="13" t="s">
        <v>669</v>
      </c>
      <c r="AD2170" s="20"/>
      <c r="AE2170" s="20"/>
      <c r="AF2170" s="13" t="s">
        <v>40</v>
      </c>
      <c r="AG2170" s="15">
        <v>45383</v>
      </c>
      <c r="AH2170" s="13" t="s">
        <v>41</v>
      </c>
      <c r="AI2170" s="13" t="s">
        <v>35</v>
      </c>
      <c r="AJ2170" s="13" t="str">
        <f>VLOOKUP(E2170,Precios!Z$2:AA$941,2,FALSE)</f>
        <v>Queso RUNCA Mantecoso</v>
      </c>
      <c r="AK2170" s="14">
        <f>VLOOKUP(E2170,Precios!Z$2:BB$941,3,FALSE)*F2170</f>
        <v>-0.5</v>
      </c>
      <c r="AL2170" s="17"/>
      <c r="AM2170" s="17"/>
      <c r="AN2170" s="17"/>
      <c r="AO2170" s="17"/>
      <c r="AP2170" s="17"/>
      <c r="AQ2170" s="17"/>
      <c r="AR2170" s="17"/>
      <c r="AS2170" s="17"/>
      <c r="AT2170" s="17"/>
      <c r="AU2170" s="17"/>
      <c r="AV2170" s="17"/>
    </row>
    <row r="2171" spans="1:48" ht="15.75" customHeight="1">
      <c r="A2171" s="21" t="s">
        <v>47</v>
      </c>
      <c r="B2171" s="23" t="s">
        <v>1692</v>
      </c>
      <c r="C2171" s="25">
        <v>45764</v>
      </c>
      <c r="D2171" s="23" t="s">
        <v>301</v>
      </c>
      <c r="E2171" s="23" t="s">
        <v>295</v>
      </c>
      <c r="F2171" s="14">
        <v>1</v>
      </c>
      <c r="G2171" s="12">
        <v>2599.7755362977696</v>
      </c>
      <c r="H2171" s="12">
        <v>2599.7755362977696</v>
      </c>
      <c r="I2171" s="23" t="s">
        <v>52</v>
      </c>
      <c r="J2171" s="23" t="s">
        <v>61</v>
      </c>
      <c r="K2171" s="24" t="s">
        <v>177</v>
      </c>
      <c r="L2171" s="24">
        <v>127</v>
      </c>
      <c r="M2171" s="12">
        <v>2184.6853246199744</v>
      </c>
      <c r="N2171" s="12">
        <v>2184.6853246199744</v>
      </c>
      <c r="O2171" s="12">
        <v>415.0902116777952</v>
      </c>
      <c r="P2171" s="13"/>
      <c r="Q2171" s="14">
        <v>2025</v>
      </c>
      <c r="R2171" s="15">
        <v>45383</v>
      </c>
      <c r="S2171" s="11" t="s">
        <v>372</v>
      </c>
      <c r="T2171" s="16">
        <v>0</v>
      </c>
      <c r="U2171" s="17"/>
      <c r="V2171" s="12">
        <v>646.88532461997443</v>
      </c>
      <c r="W2171" s="12">
        <v>646.88532461997443</v>
      </c>
      <c r="X2171" s="12">
        <v>0</v>
      </c>
      <c r="Y2171" s="18">
        <v>45761</v>
      </c>
      <c r="Z2171" s="13" t="s">
        <v>505</v>
      </c>
      <c r="AA2171" s="19" t="s">
        <v>356</v>
      </c>
      <c r="AB2171" s="13" t="s">
        <v>357</v>
      </c>
      <c r="AC2171" s="13" t="s">
        <v>669</v>
      </c>
      <c r="AD2171" s="20"/>
      <c r="AE2171" s="20"/>
      <c r="AF2171" s="13" t="s">
        <v>40</v>
      </c>
      <c r="AG2171" s="15">
        <v>45383</v>
      </c>
      <c r="AH2171" s="13" t="s">
        <v>41</v>
      </c>
      <c r="AI2171" s="13" t="s">
        <v>47</v>
      </c>
      <c r="AJ2171" s="13" t="str">
        <f>VLOOKUP(E2171,Precios!Z$2:AA$941,2,FALSE)</f>
        <v>Traperos Humedos EXCELL</v>
      </c>
      <c r="AK2171" s="14">
        <f>VLOOKUP(E2171,Precios!Z$2:BB$941,3,FALSE)*F2171</f>
        <v>-1</v>
      </c>
      <c r="AL2171" s="17"/>
      <c r="AM2171" s="17"/>
      <c r="AN2171" s="17"/>
      <c r="AO2171" s="17"/>
      <c r="AP2171" s="17"/>
      <c r="AQ2171" s="17"/>
      <c r="AR2171" s="17"/>
      <c r="AS2171" s="17"/>
      <c r="AT2171" s="17"/>
      <c r="AU2171" s="17"/>
      <c r="AV2171" s="17"/>
    </row>
    <row r="2172" spans="1:48" ht="15.75" customHeight="1">
      <c r="A2172" s="21" t="s">
        <v>35</v>
      </c>
      <c r="B2172" s="23" t="s">
        <v>1692</v>
      </c>
      <c r="C2172" s="25">
        <v>45764</v>
      </c>
      <c r="D2172" s="23" t="s">
        <v>87</v>
      </c>
      <c r="E2172" s="23" t="s">
        <v>37</v>
      </c>
      <c r="F2172" s="14">
        <v>1</v>
      </c>
      <c r="G2172" s="12">
        <v>10500</v>
      </c>
      <c r="H2172" s="12">
        <v>10500</v>
      </c>
      <c r="I2172" s="23" t="s">
        <v>52</v>
      </c>
      <c r="J2172" s="23" t="s">
        <v>61</v>
      </c>
      <c r="K2172" s="24" t="s">
        <v>177</v>
      </c>
      <c r="L2172" s="24">
        <v>127</v>
      </c>
      <c r="M2172" s="12">
        <v>8823.5294117647063</v>
      </c>
      <c r="N2172" s="12">
        <v>8823.5294117647063</v>
      </c>
      <c r="O2172" s="12">
        <v>1676.4705882352937</v>
      </c>
      <c r="P2172" s="13"/>
      <c r="Q2172" s="14">
        <v>2025</v>
      </c>
      <c r="R2172" s="15">
        <v>45383</v>
      </c>
      <c r="S2172" s="11" t="s">
        <v>364</v>
      </c>
      <c r="T2172" s="16">
        <v>1000</v>
      </c>
      <c r="U2172" s="17"/>
      <c r="V2172" s="12">
        <v>2385.7142857142853</v>
      </c>
      <c r="W2172" s="12">
        <v>2385.7142857142853</v>
      </c>
      <c r="X2172" s="12">
        <v>0</v>
      </c>
      <c r="Y2172" s="18">
        <v>45761</v>
      </c>
      <c r="Z2172" s="13" t="s">
        <v>505</v>
      </c>
      <c r="AA2172" s="19" t="s">
        <v>361</v>
      </c>
      <c r="AB2172" s="13" t="s">
        <v>357</v>
      </c>
      <c r="AC2172" s="13" t="s">
        <v>383</v>
      </c>
      <c r="AD2172" s="20"/>
      <c r="AE2172" s="20"/>
      <c r="AF2172" s="13" t="s">
        <v>40</v>
      </c>
      <c r="AG2172" s="15">
        <v>45383</v>
      </c>
      <c r="AH2172" s="13" t="s">
        <v>41</v>
      </c>
      <c r="AI2172" s="13" t="s">
        <v>35</v>
      </c>
      <c r="AJ2172" s="13" t="str">
        <f>VLOOKUP(E2172,Precios!Z$2:AA$941,2,FALSE)</f>
        <v>Queso RUNCA Mantecoso</v>
      </c>
      <c r="AK2172" s="14">
        <f>VLOOKUP(E2172,Precios!Z$2:BB$941,3,FALSE)*F2172</f>
        <v>-1</v>
      </c>
      <c r="AL2172" s="17"/>
      <c r="AM2172" s="17"/>
      <c r="AN2172" s="17"/>
      <c r="AO2172" s="17"/>
      <c r="AP2172" s="17"/>
      <c r="AQ2172" s="17"/>
      <c r="AR2172" s="17"/>
      <c r="AS2172" s="17"/>
      <c r="AT2172" s="17"/>
      <c r="AU2172" s="17"/>
      <c r="AV2172" s="17"/>
    </row>
    <row r="2173" spans="1:48" ht="15.75" customHeight="1">
      <c r="A2173" s="21" t="s">
        <v>35</v>
      </c>
      <c r="B2173" s="23" t="s">
        <v>1692</v>
      </c>
      <c r="C2173" s="25">
        <v>45764</v>
      </c>
      <c r="D2173" s="23" t="s">
        <v>59</v>
      </c>
      <c r="E2173" s="23" t="s">
        <v>37</v>
      </c>
      <c r="F2173" s="14">
        <v>1</v>
      </c>
      <c r="G2173" s="12">
        <v>10500</v>
      </c>
      <c r="H2173" s="12">
        <v>10500</v>
      </c>
      <c r="I2173" s="23" t="s">
        <v>52</v>
      </c>
      <c r="J2173" s="23" t="s">
        <v>61</v>
      </c>
      <c r="K2173" s="24" t="s">
        <v>177</v>
      </c>
      <c r="L2173" s="24">
        <v>127</v>
      </c>
      <c r="M2173" s="12">
        <v>8823.5294117647063</v>
      </c>
      <c r="N2173" s="12">
        <v>8823.5294117647063</v>
      </c>
      <c r="O2173" s="12">
        <v>1676.4705882352937</v>
      </c>
      <c r="P2173" s="13"/>
      <c r="Q2173" s="14">
        <v>2025</v>
      </c>
      <c r="R2173" s="15">
        <v>45383</v>
      </c>
      <c r="S2173" s="11" t="s">
        <v>364</v>
      </c>
      <c r="T2173" s="16">
        <v>1000</v>
      </c>
      <c r="U2173" s="17"/>
      <c r="V2173" s="12">
        <v>2385.7142857142853</v>
      </c>
      <c r="W2173" s="12">
        <v>2385.7142857142853</v>
      </c>
      <c r="X2173" s="12">
        <v>0</v>
      </c>
      <c r="Y2173" s="18">
        <v>45761</v>
      </c>
      <c r="Z2173" s="13" t="s">
        <v>505</v>
      </c>
      <c r="AA2173" s="19" t="s">
        <v>373</v>
      </c>
      <c r="AB2173" s="13" t="s">
        <v>357</v>
      </c>
      <c r="AC2173" s="13" t="s">
        <v>380</v>
      </c>
      <c r="AD2173" s="20"/>
      <c r="AE2173" s="20"/>
      <c r="AF2173" s="13" t="s">
        <v>40</v>
      </c>
      <c r="AG2173" s="15">
        <v>45383</v>
      </c>
      <c r="AH2173" s="13" t="s">
        <v>41</v>
      </c>
      <c r="AI2173" s="13" t="s">
        <v>35</v>
      </c>
      <c r="AJ2173" s="13" t="str">
        <f>VLOOKUP(E2173,Precios!Z$2:AA$941,2,FALSE)</f>
        <v>Queso RUNCA Mantecoso</v>
      </c>
      <c r="AK2173" s="14">
        <f>VLOOKUP(E2173,Precios!Z$2:BB$941,3,FALSE)*F2173</f>
        <v>-1</v>
      </c>
      <c r="AL2173" s="17"/>
      <c r="AM2173" s="17"/>
      <c r="AN2173" s="17"/>
      <c r="AO2173" s="17"/>
      <c r="AP2173" s="17"/>
      <c r="AQ2173" s="17"/>
      <c r="AR2173" s="17"/>
      <c r="AS2173" s="17"/>
      <c r="AT2173" s="17"/>
      <c r="AU2173" s="17"/>
      <c r="AV2173" s="17"/>
    </row>
    <row r="2174" spans="1:48" ht="15.75" customHeight="1">
      <c r="A2174" s="21" t="s">
        <v>35</v>
      </c>
      <c r="B2174" s="23" t="s">
        <v>1692</v>
      </c>
      <c r="C2174" s="25">
        <v>45764</v>
      </c>
      <c r="D2174" s="23" t="s">
        <v>126</v>
      </c>
      <c r="E2174" s="23" t="s">
        <v>46</v>
      </c>
      <c r="F2174" s="14">
        <v>1</v>
      </c>
      <c r="G2174" s="12">
        <v>5500</v>
      </c>
      <c r="H2174" s="12">
        <v>5500</v>
      </c>
      <c r="I2174" s="23" t="s">
        <v>52</v>
      </c>
      <c r="J2174" s="23" t="s">
        <v>61</v>
      </c>
      <c r="K2174" s="24" t="s">
        <v>177</v>
      </c>
      <c r="L2174" s="24">
        <v>127</v>
      </c>
      <c r="M2174" s="12">
        <v>4621.8487394957983</v>
      </c>
      <c r="N2174" s="12">
        <v>4621.8487394957983</v>
      </c>
      <c r="O2174" s="12">
        <v>878.15126050420167</v>
      </c>
      <c r="P2174" s="13"/>
      <c r="Q2174" s="14">
        <v>2025</v>
      </c>
      <c r="R2174" s="15">
        <v>45383</v>
      </c>
      <c r="S2174" s="11" t="s">
        <v>364</v>
      </c>
      <c r="T2174" s="16">
        <v>500</v>
      </c>
      <c r="U2174" s="17"/>
      <c r="V2174" s="12">
        <v>1365.1260504201678</v>
      </c>
      <c r="W2174" s="12">
        <v>1365.1260504201678</v>
      </c>
      <c r="X2174" s="12">
        <v>0</v>
      </c>
      <c r="Y2174" s="18">
        <v>45761</v>
      </c>
      <c r="Z2174" s="13" t="s">
        <v>505</v>
      </c>
      <c r="AA2174" s="19" t="s">
        <v>361</v>
      </c>
      <c r="AB2174" s="13" t="s">
        <v>357</v>
      </c>
      <c r="AC2174" s="13" t="s">
        <v>362</v>
      </c>
      <c r="AD2174" s="20"/>
      <c r="AE2174" s="20"/>
      <c r="AF2174" s="13" t="s">
        <v>40</v>
      </c>
      <c r="AG2174" s="15">
        <v>45383</v>
      </c>
      <c r="AH2174" s="13" t="s">
        <v>41</v>
      </c>
      <c r="AI2174" s="13" t="s">
        <v>35</v>
      </c>
      <c r="AJ2174" s="13" t="str">
        <f>VLOOKUP(E2174,Precios!Z$2:AA$941,2,FALSE)</f>
        <v>Queso RUNCA Mantecoso</v>
      </c>
      <c r="AK2174" s="14">
        <f>VLOOKUP(E2174,Precios!Z$2:BB$941,3,FALSE)*F2174</f>
        <v>-0.5</v>
      </c>
      <c r="AL2174" s="17"/>
      <c r="AM2174" s="17"/>
      <c r="AN2174" s="17"/>
      <c r="AO2174" s="17"/>
      <c r="AP2174" s="17"/>
      <c r="AQ2174" s="17"/>
      <c r="AR2174" s="17"/>
      <c r="AS2174" s="17"/>
      <c r="AT2174" s="17"/>
      <c r="AU2174" s="17"/>
      <c r="AV2174" s="17"/>
    </row>
    <row r="2175" spans="1:48" ht="15.75" customHeight="1">
      <c r="A2175" s="21" t="s">
        <v>35</v>
      </c>
      <c r="B2175" s="23" t="s">
        <v>1692</v>
      </c>
      <c r="C2175" s="25">
        <v>45764</v>
      </c>
      <c r="D2175" s="23" t="s">
        <v>526</v>
      </c>
      <c r="E2175" s="23" t="s">
        <v>37</v>
      </c>
      <c r="F2175" s="14">
        <v>1</v>
      </c>
      <c r="G2175" s="12">
        <v>10500</v>
      </c>
      <c r="H2175" s="12">
        <v>10500</v>
      </c>
      <c r="I2175" s="23" t="s">
        <v>52</v>
      </c>
      <c r="J2175" s="23" t="s">
        <v>61</v>
      </c>
      <c r="K2175" s="24" t="s">
        <v>177</v>
      </c>
      <c r="L2175" s="24">
        <v>127</v>
      </c>
      <c r="M2175" s="12">
        <v>8823.5294117647063</v>
      </c>
      <c r="N2175" s="12">
        <v>8823.5294117647063</v>
      </c>
      <c r="O2175" s="12">
        <v>1676.4705882352937</v>
      </c>
      <c r="P2175" s="13"/>
      <c r="Q2175" s="14">
        <v>2025</v>
      </c>
      <c r="R2175" s="15">
        <v>45383</v>
      </c>
      <c r="S2175" s="11" t="s">
        <v>364</v>
      </c>
      <c r="T2175" s="16">
        <v>1000</v>
      </c>
      <c r="U2175" s="17"/>
      <c r="V2175" s="12">
        <v>2385.7142857142853</v>
      </c>
      <c r="W2175" s="12">
        <v>2385.7142857142853</v>
      </c>
      <c r="X2175" s="12">
        <v>0</v>
      </c>
      <c r="Y2175" s="18">
        <v>45761</v>
      </c>
      <c r="Z2175" s="13" t="s">
        <v>505</v>
      </c>
      <c r="AA2175" s="19" t="s">
        <v>373</v>
      </c>
      <c r="AB2175" s="13" t="s">
        <v>357</v>
      </c>
      <c r="AC2175" s="13" t="s">
        <v>527</v>
      </c>
      <c r="AD2175" s="20"/>
      <c r="AE2175" s="20"/>
      <c r="AF2175" s="13" t="s">
        <v>40</v>
      </c>
      <c r="AG2175" s="15">
        <v>45383</v>
      </c>
      <c r="AH2175" s="13" t="s">
        <v>41</v>
      </c>
      <c r="AI2175" s="13" t="s">
        <v>35</v>
      </c>
      <c r="AJ2175" s="13" t="str">
        <f>VLOOKUP(E2175,Precios!Z$2:AA$941,2,FALSE)</f>
        <v>Queso RUNCA Mantecoso</v>
      </c>
      <c r="AK2175" s="14">
        <f>VLOOKUP(E2175,Precios!Z$2:BB$941,3,FALSE)*F2175</f>
        <v>-1</v>
      </c>
      <c r="AL2175" s="17"/>
      <c r="AM2175" s="17"/>
      <c r="AN2175" s="17"/>
      <c r="AO2175" s="17"/>
      <c r="AP2175" s="17"/>
      <c r="AQ2175" s="17"/>
      <c r="AR2175" s="17"/>
      <c r="AS2175" s="17"/>
      <c r="AT2175" s="17"/>
      <c r="AU2175" s="17"/>
      <c r="AV2175" s="17"/>
    </row>
    <row r="2176" spans="1:48" ht="15.75" customHeight="1">
      <c r="A2176" s="21" t="s">
        <v>53</v>
      </c>
      <c r="B2176" s="23" t="s">
        <v>1692</v>
      </c>
      <c r="C2176" s="25">
        <v>45764</v>
      </c>
      <c r="D2176" s="23" t="s">
        <v>526</v>
      </c>
      <c r="E2176" s="23" t="s">
        <v>55</v>
      </c>
      <c r="F2176" s="14">
        <v>1</v>
      </c>
      <c r="G2176" s="12">
        <v>20899.657794676805</v>
      </c>
      <c r="H2176" s="12">
        <v>20899.657794676805</v>
      </c>
      <c r="I2176" s="23" t="s">
        <v>52</v>
      </c>
      <c r="J2176" s="23" t="s">
        <v>61</v>
      </c>
      <c r="K2176" s="24" t="s">
        <v>177</v>
      </c>
      <c r="L2176" s="24">
        <v>127</v>
      </c>
      <c r="M2176" s="12">
        <v>17562.737642585551</v>
      </c>
      <c r="N2176" s="12">
        <v>17562.737642585551</v>
      </c>
      <c r="O2176" s="12">
        <v>3336.9201520912538</v>
      </c>
      <c r="P2176" s="13"/>
      <c r="Q2176" s="14">
        <v>2025</v>
      </c>
      <c r="R2176" s="15">
        <v>45383</v>
      </c>
      <c r="S2176" s="11" t="s">
        <v>366</v>
      </c>
      <c r="T2176" s="16">
        <v>0</v>
      </c>
      <c r="U2176" s="17"/>
      <c r="V2176" s="12">
        <v>3705.7376425855509</v>
      </c>
      <c r="W2176" s="12">
        <v>3705.7376425855509</v>
      </c>
      <c r="X2176" s="12">
        <v>0</v>
      </c>
      <c r="Y2176" s="18">
        <v>45761</v>
      </c>
      <c r="Z2176" s="13" t="s">
        <v>505</v>
      </c>
      <c r="AA2176" s="19" t="s">
        <v>373</v>
      </c>
      <c r="AB2176" s="13" t="s">
        <v>357</v>
      </c>
      <c r="AC2176" s="13" t="s">
        <v>527</v>
      </c>
      <c r="AD2176" s="20"/>
      <c r="AE2176" s="20"/>
      <c r="AF2176" s="13" t="s">
        <v>40</v>
      </c>
      <c r="AG2176" s="15">
        <v>45383</v>
      </c>
      <c r="AH2176" s="13" t="s">
        <v>41</v>
      </c>
      <c r="AI2176" s="13" t="s">
        <v>53</v>
      </c>
      <c r="AJ2176" s="13" t="str">
        <f>VLOOKUP(E2176,Precios!Z$2:AA$941,2,FALSE)</f>
        <v>Papel Higienico ELITE 50 metros</v>
      </c>
      <c r="AK2176" s="14">
        <f>VLOOKUP(E2176,Precios!Z$2:BB$941,3,FALSE)*F2176</f>
        <v>-8</v>
      </c>
      <c r="AL2176" s="17"/>
      <c r="AM2176" s="17"/>
      <c r="AN2176" s="17"/>
      <c r="AO2176" s="17"/>
      <c r="AP2176" s="17"/>
      <c r="AQ2176" s="17"/>
      <c r="AR2176" s="17"/>
      <c r="AS2176" s="17"/>
      <c r="AT2176" s="17"/>
      <c r="AU2176" s="17"/>
      <c r="AV2176" s="17"/>
    </row>
    <row r="2177" spans="1:48" ht="15.75" customHeight="1">
      <c r="A2177" s="21" t="s">
        <v>35</v>
      </c>
      <c r="B2177" s="23" t="s">
        <v>1692</v>
      </c>
      <c r="C2177" s="25">
        <v>45764</v>
      </c>
      <c r="D2177" s="23" t="s">
        <v>689</v>
      </c>
      <c r="E2177" s="23" t="s">
        <v>37</v>
      </c>
      <c r="F2177" s="14">
        <v>1</v>
      </c>
      <c r="G2177" s="12">
        <v>10500</v>
      </c>
      <c r="H2177" s="12">
        <v>10500</v>
      </c>
      <c r="I2177" s="23" t="s">
        <v>52</v>
      </c>
      <c r="J2177" s="23" t="s">
        <v>61</v>
      </c>
      <c r="K2177" s="24" t="s">
        <v>177</v>
      </c>
      <c r="L2177" s="24">
        <v>127</v>
      </c>
      <c r="M2177" s="12">
        <v>8823.5294117647063</v>
      </c>
      <c r="N2177" s="12">
        <v>8823.5294117647063</v>
      </c>
      <c r="O2177" s="12">
        <v>1676.4705882352937</v>
      </c>
      <c r="P2177" s="13"/>
      <c r="Q2177" s="14">
        <v>2025</v>
      </c>
      <c r="R2177" s="15">
        <v>45383</v>
      </c>
      <c r="S2177" s="11" t="s">
        <v>364</v>
      </c>
      <c r="T2177" s="16">
        <v>1000</v>
      </c>
      <c r="U2177" s="17"/>
      <c r="V2177" s="12">
        <v>2385.7142857142853</v>
      </c>
      <c r="W2177" s="12">
        <v>2385.7142857142853</v>
      </c>
      <c r="X2177" s="12">
        <v>0</v>
      </c>
      <c r="Y2177" s="18">
        <v>45761</v>
      </c>
      <c r="Z2177" s="13" t="s">
        <v>505</v>
      </c>
      <c r="AA2177" s="19" t="s">
        <v>373</v>
      </c>
      <c r="AB2177" s="13" t="s">
        <v>357</v>
      </c>
      <c r="AC2177" s="13" t="s">
        <v>374</v>
      </c>
      <c r="AD2177" s="20"/>
      <c r="AE2177" s="20"/>
      <c r="AF2177" s="13" t="s">
        <v>40</v>
      </c>
      <c r="AG2177" s="15">
        <v>45383</v>
      </c>
      <c r="AH2177" s="13" t="s">
        <v>41</v>
      </c>
      <c r="AI2177" s="13" t="s">
        <v>35</v>
      </c>
      <c r="AJ2177" s="13" t="str">
        <f>VLOOKUP(E2177,Precios!Z$2:AA$941,2,FALSE)</f>
        <v>Queso RUNCA Mantecoso</v>
      </c>
      <c r="AK2177" s="14">
        <f>VLOOKUP(E2177,Precios!Z$2:BB$941,3,FALSE)*F2177</f>
        <v>-1</v>
      </c>
      <c r="AL2177" s="17"/>
      <c r="AM2177" s="17"/>
      <c r="AN2177" s="17"/>
      <c r="AO2177" s="17"/>
      <c r="AP2177" s="17"/>
      <c r="AQ2177" s="17"/>
      <c r="AR2177" s="17"/>
      <c r="AS2177" s="17"/>
      <c r="AT2177" s="17"/>
      <c r="AU2177" s="17"/>
      <c r="AV2177" s="17"/>
    </row>
    <row r="2178" spans="1:48" ht="15.75" customHeight="1">
      <c r="A2178" s="21" t="s">
        <v>35</v>
      </c>
      <c r="B2178" s="23" t="s">
        <v>1692</v>
      </c>
      <c r="C2178" s="25">
        <v>45764</v>
      </c>
      <c r="D2178" s="23" t="s">
        <v>690</v>
      </c>
      <c r="E2178" s="23" t="s">
        <v>37</v>
      </c>
      <c r="F2178" s="14">
        <v>1</v>
      </c>
      <c r="G2178" s="12">
        <v>10500</v>
      </c>
      <c r="H2178" s="12">
        <v>10500</v>
      </c>
      <c r="I2178" s="23" t="s">
        <v>52</v>
      </c>
      <c r="J2178" s="23" t="s">
        <v>61</v>
      </c>
      <c r="K2178" s="24" t="s">
        <v>177</v>
      </c>
      <c r="L2178" s="24">
        <v>127</v>
      </c>
      <c r="M2178" s="12">
        <v>8823.5294117647063</v>
      </c>
      <c r="N2178" s="12">
        <v>8823.5294117647063</v>
      </c>
      <c r="O2178" s="12">
        <v>1676.4705882352937</v>
      </c>
      <c r="P2178" s="13"/>
      <c r="Q2178" s="14">
        <v>2025</v>
      </c>
      <c r="R2178" s="15">
        <v>45383</v>
      </c>
      <c r="S2178" s="11" t="s">
        <v>364</v>
      </c>
      <c r="T2178" s="16">
        <v>1000</v>
      </c>
      <c r="U2178" s="17"/>
      <c r="V2178" s="12">
        <v>2385.7142857142853</v>
      </c>
      <c r="W2178" s="12">
        <v>2385.7142857142853</v>
      </c>
      <c r="X2178" s="12">
        <v>0</v>
      </c>
      <c r="Y2178" s="18">
        <v>45761</v>
      </c>
      <c r="Z2178" s="13" t="s">
        <v>505</v>
      </c>
      <c r="AA2178" s="19" t="s">
        <v>373</v>
      </c>
      <c r="AB2178" s="13" t="s">
        <v>357</v>
      </c>
      <c r="AC2178" s="13" t="s">
        <v>465</v>
      </c>
      <c r="AD2178" s="20"/>
      <c r="AE2178" s="20"/>
      <c r="AF2178" s="13" t="s">
        <v>40</v>
      </c>
      <c r="AG2178" s="15">
        <v>45383</v>
      </c>
      <c r="AH2178" s="13" t="s">
        <v>41</v>
      </c>
      <c r="AI2178" s="13" t="s">
        <v>35</v>
      </c>
      <c r="AJ2178" s="13" t="str">
        <f>VLOOKUP(E2178,Precios!Z$2:AA$941,2,FALSE)</f>
        <v>Queso RUNCA Mantecoso</v>
      </c>
      <c r="AK2178" s="14">
        <f>VLOOKUP(E2178,Precios!Z$2:BB$941,3,FALSE)*F2178</f>
        <v>-1</v>
      </c>
      <c r="AL2178" s="17"/>
      <c r="AM2178" s="17"/>
      <c r="AN2178" s="17"/>
      <c r="AO2178" s="17"/>
      <c r="AP2178" s="17"/>
      <c r="AQ2178" s="17"/>
      <c r="AR2178" s="17"/>
      <c r="AS2178" s="17"/>
      <c r="AT2178" s="17"/>
      <c r="AU2178" s="17"/>
      <c r="AV2178" s="17"/>
    </row>
    <row r="2179" spans="1:48" ht="15.75" customHeight="1">
      <c r="A2179" s="21" t="s">
        <v>35</v>
      </c>
      <c r="B2179" s="23" t="s">
        <v>1692</v>
      </c>
      <c r="C2179" s="25">
        <v>45764</v>
      </c>
      <c r="D2179" s="23" t="s">
        <v>176</v>
      </c>
      <c r="E2179" s="23" t="s">
        <v>37</v>
      </c>
      <c r="F2179" s="14">
        <v>1</v>
      </c>
      <c r="G2179" s="12">
        <v>10500</v>
      </c>
      <c r="H2179" s="12">
        <v>10500</v>
      </c>
      <c r="I2179" s="23" t="s">
        <v>52</v>
      </c>
      <c r="J2179" s="23" t="s">
        <v>61</v>
      </c>
      <c r="K2179" s="24" t="s">
        <v>177</v>
      </c>
      <c r="L2179" s="24">
        <v>127</v>
      </c>
      <c r="M2179" s="12">
        <v>8823.5294117647063</v>
      </c>
      <c r="N2179" s="12">
        <v>8823.5294117647063</v>
      </c>
      <c r="O2179" s="12">
        <v>1676.4705882352937</v>
      </c>
      <c r="P2179" s="13"/>
      <c r="Q2179" s="14">
        <v>2025</v>
      </c>
      <c r="R2179" s="15">
        <v>45383</v>
      </c>
      <c r="S2179" s="11" t="s">
        <v>364</v>
      </c>
      <c r="T2179" s="16">
        <v>1000</v>
      </c>
      <c r="U2179" s="17"/>
      <c r="V2179" s="12">
        <v>2385.7142857142853</v>
      </c>
      <c r="W2179" s="12">
        <v>2385.7142857142853</v>
      </c>
      <c r="X2179" s="12">
        <v>0</v>
      </c>
      <c r="Y2179" s="18">
        <v>45761</v>
      </c>
      <c r="Z2179" s="13" t="s">
        <v>505</v>
      </c>
      <c r="AA2179" s="19" t="s">
        <v>373</v>
      </c>
      <c r="AB2179" s="13" t="s">
        <v>357</v>
      </c>
      <c r="AC2179" s="13" t="s">
        <v>383</v>
      </c>
      <c r="AD2179" s="20"/>
      <c r="AE2179" s="20"/>
      <c r="AF2179" s="13" t="s">
        <v>40</v>
      </c>
      <c r="AG2179" s="15">
        <v>45383</v>
      </c>
      <c r="AH2179" s="13" t="s">
        <v>41</v>
      </c>
      <c r="AI2179" s="13" t="s">
        <v>35</v>
      </c>
      <c r="AJ2179" s="13" t="str">
        <f>VLOOKUP(E2179,Precios!Z$2:AA$941,2,FALSE)</f>
        <v>Queso RUNCA Mantecoso</v>
      </c>
      <c r="AK2179" s="14">
        <f>VLOOKUP(E2179,Precios!Z$2:BB$941,3,FALSE)*F2179</f>
        <v>-1</v>
      </c>
      <c r="AL2179" s="17"/>
      <c r="AM2179" s="17"/>
      <c r="AN2179" s="17"/>
      <c r="AO2179" s="17"/>
      <c r="AP2179" s="17"/>
      <c r="AQ2179" s="17"/>
      <c r="AR2179" s="17"/>
      <c r="AS2179" s="17"/>
      <c r="AT2179" s="17"/>
      <c r="AU2179" s="17"/>
      <c r="AV2179" s="17"/>
    </row>
    <row r="2180" spans="1:48" ht="15.75" customHeight="1">
      <c r="A2180" s="21" t="s">
        <v>35</v>
      </c>
      <c r="B2180" s="23" t="s">
        <v>1692</v>
      </c>
      <c r="C2180" s="25">
        <v>45764</v>
      </c>
      <c r="D2180" s="23" t="s">
        <v>634</v>
      </c>
      <c r="E2180" s="23" t="s">
        <v>37</v>
      </c>
      <c r="F2180" s="14">
        <v>1</v>
      </c>
      <c r="G2180" s="12">
        <v>10500</v>
      </c>
      <c r="H2180" s="12">
        <v>10500</v>
      </c>
      <c r="I2180" s="23" t="s">
        <v>52</v>
      </c>
      <c r="J2180" s="23" t="s">
        <v>61</v>
      </c>
      <c r="K2180" s="24" t="s">
        <v>177</v>
      </c>
      <c r="L2180" s="24">
        <v>127</v>
      </c>
      <c r="M2180" s="12">
        <v>8823.5294117647063</v>
      </c>
      <c r="N2180" s="12">
        <v>8823.5294117647063</v>
      </c>
      <c r="O2180" s="12">
        <v>1676.4705882352937</v>
      </c>
      <c r="P2180" s="13"/>
      <c r="Q2180" s="14">
        <v>2025</v>
      </c>
      <c r="R2180" s="15">
        <v>45383</v>
      </c>
      <c r="S2180" s="11" t="s">
        <v>364</v>
      </c>
      <c r="T2180" s="16">
        <v>1000</v>
      </c>
      <c r="U2180" s="17"/>
      <c r="V2180" s="12">
        <v>2385.7142857142853</v>
      </c>
      <c r="W2180" s="12">
        <v>2385.7142857142853</v>
      </c>
      <c r="X2180" s="12">
        <v>0</v>
      </c>
      <c r="Y2180" s="18">
        <v>45761</v>
      </c>
      <c r="Z2180" s="13" t="s">
        <v>505</v>
      </c>
      <c r="AA2180" s="19" t="s">
        <v>361</v>
      </c>
      <c r="AB2180" s="13" t="s">
        <v>357</v>
      </c>
      <c r="AC2180" s="13" t="s">
        <v>405</v>
      </c>
      <c r="AD2180" s="20"/>
      <c r="AE2180" s="20"/>
      <c r="AF2180" s="13" t="s">
        <v>40</v>
      </c>
      <c r="AG2180" s="15">
        <v>45383</v>
      </c>
      <c r="AH2180" s="13" t="s">
        <v>41</v>
      </c>
      <c r="AI2180" s="13" t="s">
        <v>35</v>
      </c>
      <c r="AJ2180" s="13" t="str">
        <f>VLOOKUP(E2180,Precios!Z$2:AA$941,2,FALSE)</f>
        <v>Queso RUNCA Mantecoso</v>
      </c>
      <c r="AK2180" s="14">
        <f>VLOOKUP(E2180,Precios!Z$2:BB$941,3,FALSE)*F2180</f>
        <v>-1</v>
      </c>
      <c r="AL2180" s="17"/>
      <c r="AM2180" s="17"/>
      <c r="AN2180" s="17"/>
      <c r="AO2180" s="17"/>
      <c r="AP2180" s="17"/>
      <c r="AQ2180" s="17"/>
      <c r="AR2180" s="17"/>
      <c r="AS2180" s="17"/>
      <c r="AT2180" s="17"/>
      <c r="AU2180" s="17"/>
      <c r="AV2180" s="17"/>
    </row>
    <row r="2181" spans="1:48" ht="15.75" customHeight="1">
      <c r="A2181" s="21" t="s">
        <v>147</v>
      </c>
      <c r="B2181" s="23" t="s">
        <v>1692</v>
      </c>
      <c r="C2181" s="25">
        <v>45764</v>
      </c>
      <c r="D2181" s="23" t="s">
        <v>634</v>
      </c>
      <c r="E2181" s="23" t="s">
        <v>149</v>
      </c>
      <c r="F2181" s="14">
        <v>1</v>
      </c>
      <c r="G2181" s="12">
        <v>1700</v>
      </c>
      <c r="H2181" s="12">
        <v>1700</v>
      </c>
      <c r="I2181" s="23" t="s">
        <v>52</v>
      </c>
      <c r="J2181" s="23" t="s">
        <v>61</v>
      </c>
      <c r="K2181" s="24" t="s">
        <v>177</v>
      </c>
      <c r="L2181" s="24">
        <v>127</v>
      </c>
      <c r="M2181" s="12">
        <v>1428.5714285714287</v>
      </c>
      <c r="N2181" s="12">
        <v>1428.5714285714287</v>
      </c>
      <c r="O2181" s="12">
        <v>271.42857142857133</v>
      </c>
      <c r="P2181" s="13"/>
      <c r="Q2181" s="14">
        <v>2025</v>
      </c>
      <c r="R2181" s="15">
        <v>45383</v>
      </c>
      <c r="S2181" s="11" t="s">
        <v>412</v>
      </c>
      <c r="T2181" s="16">
        <v>0</v>
      </c>
      <c r="U2181" s="17"/>
      <c r="V2181" s="12">
        <v>774.78991596638662</v>
      </c>
      <c r="W2181" s="12">
        <v>774.78991596638662</v>
      </c>
      <c r="X2181" s="12">
        <v>0</v>
      </c>
      <c r="Y2181" s="18">
        <v>45761</v>
      </c>
      <c r="Z2181" s="13" t="s">
        <v>505</v>
      </c>
      <c r="AA2181" s="19" t="s">
        <v>361</v>
      </c>
      <c r="AB2181" s="13" t="s">
        <v>357</v>
      </c>
      <c r="AC2181" s="13" t="s">
        <v>405</v>
      </c>
      <c r="AD2181" s="20"/>
      <c r="AE2181" s="20"/>
      <c r="AF2181" s="13" t="s">
        <v>40</v>
      </c>
      <c r="AG2181" s="15">
        <v>45383</v>
      </c>
      <c r="AH2181" s="13" t="s">
        <v>41</v>
      </c>
      <c r="AI2181" s="13" t="s">
        <v>147</v>
      </c>
      <c r="AJ2181" s="13" t="str">
        <f>VLOOKUP(E2181,Precios!Z$2:AA$941,2,FALSE)</f>
        <v>Film Plástico 30 metros</v>
      </c>
      <c r="AK2181" s="14">
        <f>VLOOKUP(E2181,Precios!Z$2:BB$941,3,FALSE)*F2181</f>
        <v>-1</v>
      </c>
      <c r="AL2181" s="17"/>
      <c r="AM2181" s="17"/>
      <c r="AN2181" s="17"/>
      <c r="AO2181" s="17"/>
      <c r="AP2181" s="17"/>
      <c r="AQ2181" s="17"/>
      <c r="AR2181" s="17"/>
      <c r="AS2181" s="17"/>
      <c r="AT2181" s="17"/>
      <c r="AU2181" s="17"/>
      <c r="AV2181" s="17"/>
    </row>
    <row r="2182" spans="1:48" ht="15.75" customHeight="1">
      <c r="A2182" s="21" t="s">
        <v>147</v>
      </c>
      <c r="B2182" s="23" t="s">
        <v>1692</v>
      </c>
      <c r="C2182" s="25">
        <v>45764</v>
      </c>
      <c r="D2182" s="23" t="s">
        <v>121</v>
      </c>
      <c r="E2182" s="23" t="s">
        <v>249</v>
      </c>
      <c r="F2182" s="14">
        <v>1</v>
      </c>
      <c r="G2182" s="12">
        <v>8500.0000000000018</v>
      </c>
      <c r="H2182" s="12">
        <v>8500.0000000000018</v>
      </c>
      <c r="I2182" s="23" t="s">
        <v>52</v>
      </c>
      <c r="J2182" s="23" t="s">
        <v>61</v>
      </c>
      <c r="K2182" s="24" t="s">
        <v>177</v>
      </c>
      <c r="L2182" s="24">
        <v>127</v>
      </c>
      <c r="M2182" s="12">
        <v>7142.8571428571449</v>
      </c>
      <c r="N2182" s="12">
        <v>7142.8571428571449</v>
      </c>
      <c r="O2182" s="12">
        <v>1357.1428571428569</v>
      </c>
      <c r="P2182" s="13"/>
      <c r="Q2182" s="14">
        <v>2025</v>
      </c>
      <c r="R2182" s="15">
        <v>45383</v>
      </c>
      <c r="S2182" s="11" t="s">
        <v>360</v>
      </c>
      <c r="T2182" s="16">
        <v>0</v>
      </c>
      <c r="U2182" s="17"/>
      <c r="V2182" s="12">
        <v>2212.857142857144</v>
      </c>
      <c r="W2182" s="12">
        <v>2212.857142857144</v>
      </c>
      <c r="X2182" s="12">
        <v>0</v>
      </c>
      <c r="Y2182" s="18">
        <v>45761</v>
      </c>
      <c r="Z2182" s="13" t="s">
        <v>505</v>
      </c>
      <c r="AA2182" s="19" t="s">
        <v>373</v>
      </c>
      <c r="AB2182" s="13" t="s">
        <v>357</v>
      </c>
      <c r="AC2182" s="13" t="s">
        <v>471</v>
      </c>
      <c r="AD2182" s="20"/>
      <c r="AE2182" s="20"/>
      <c r="AF2182" s="13" t="s">
        <v>40</v>
      </c>
      <c r="AG2182" s="15">
        <v>45383</v>
      </c>
      <c r="AH2182" s="13" t="s">
        <v>41</v>
      </c>
      <c r="AI2182" s="13" t="s">
        <v>147</v>
      </c>
      <c r="AJ2182" s="13" t="str">
        <f>VLOOKUP(E2182,Precios!Z$2:AA$941,2,FALSE)</f>
        <v>Papel Aluminio 100 metros</v>
      </c>
      <c r="AK2182" s="14">
        <f>VLOOKUP(E2182,Precios!Z$2:BB$941,3,FALSE)*F2182</f>
        <v>-1</v>
      </c>
      <c r="AL2182" s="17"/>
      <c r="AM2182" s="17"/>
      <c r="AN2182" s="17"/>
      <c r="AO2182" s="17"/>
      <c r="AP2182" s="17"/>
      <c r="AQ2182" s="17"/>
      <c r="AR2182" s="17"/>
      <c r="AS2182" s="17"/>
      <c r="AT2182" s="17"/>
      <c r="AU2182" s="17"/>
      <c r="AV2182" s="17"/>
    </row>
    <row r="2183" spans="1:48" ht="15.75" customHeight="1">
      <c r="A2183" s="21" t="s">
        <v>73</v>
      </c>
      <c r="B2183" s="23" t="s">
        <v>1692</v>
      </c>
      <c r="C2183" s="25">
        <v>45764</v>
      </c>
      <c r="D2183" s="23" t="s">
        <v>121</v>
      </c>
      <c r="E2183" s="23" t="s">
        <v>161</v>
      </c>
      <c r="F2183" s="14">
        <v>1</v>
      </c>
      <c r="G2183" s="12">
        <v>4199.9020019599611</v>
      </c>
      <c r="H2183" s="12">
        <v>4199.9020019599611</v>
      </c>
      <c r="I2183" s="23" t="s">
        <v>52</v>
      </c>
      <c r="J2183" s="23" t="s">
        <v>61</v>
      </c>
      <c r="K2183" s="24" t="s">
        <v>177</v>
      </c>
      <c r="L2183" s="24">
        <v>127</v>
      </c>
      <c r="M2183" s="12">
        <v>3529.3294134117323</v>
      </c>
      <c r="N2183" s="12">
        <v>3529.3294134117323</v>
      </c>
      <c r="O2183" s="12">
        <v>670.57258854822885</v>
      </c>
      <c r="P2183" s="13"/>
      <c r="Q2183" s="14">
        <v>2025</v>
      </c>
      <c r="R2183" s="15">
        <v>45383</v>
      </c>
      <c r="S2183" s="11" t="s">
        <v>424</v>
      </c>
      <c r="T2183" s="16">
        <v>0</v>
      </c>
      <c r="U2183" s="17"/>
      <c r="V2183" s="12">
        <v>1008.3294134117323</v>
      </c>
      <c r="W2183" s="12">
        <v>1008.3294134117323</v>
      </c>
      <c r="X2183" s="12">
        <v>0</v>
      </c>
      <c r="Y2183" s="18">
        <v>45761</v>
      </c>
      <c r="Z2183" s="13" t="s">
        <v>505</v>
      </c>
      <c r="AA2183" s="19" t="s">
        <v>373</v>
      </c>
      <c r="AB2183" s="13" t="s">
        <v>357</v>
      </c>
      <c r="AC2183" s="13" t="s">
        <v>471</v>
      </c>
      <c r="AD2183" s="20"/>
      <c r="AE2183" s="20"/>
      <c r="AF2183" s="13" t="s">
        <v>40</v>
      </c>
      <c r="AG2183" s="15">
        <v>45383</v>
      </c>
      <c r="AH2183" s="13" t="s">
        <v>41</v>
      </c>
      <c r="AI2183" s="13" t="s">
        <v>73</v>
      </c>
      <c r="AJ2183" s="13" t="str">
        <f>VLOOKUP(E2183,Precios!Z$2:AA$941,2,FALSE)</f>
        <v>Guante NITRILO Talla L</v>
      </c>
      <c r="AK2183" s="14">
        <f>VLOOKUP(E2183,Precios!Z$2:BB$941,3,FALSE)*F2183</f>
        <v>-1</v>
      </c>
      <c r="AL2183" s="17"/>
      <c r="AM2183" s="17"/>
      <c r="AN2183" s="17"/>
      <c r="AO2183" s="17"/>
      <c r="AP2183" s="17"/>
      <c r="AQ2183" s="17"/>
      <c r="AR2183" s="17"/>
      <c r="AS2183" s="17"/>
      <c r="AT2183" s="17"/>
      <c r="AU2183" s="17"/>
      <c r="AV2183" s="17"/>
    </row>
    <row r="2184" spans="1:48" ht="15.75" customHeight="1">
      <c r="A2184" s="21" t="s">
        <v>73</v>
      </c>
      <c r="B2184" s="23" t="s">
        <v>1692</v>
      </c>
      <c r="C2184" s="25">
        <v>45764</v>
      </c>
      <c r="D2184" s="23" t="s">
        <v>121</v>
      </c>
      <c r="E2184" s="23" t="s">
        <v>691</v>
      </c>
      <c r="F2184" s="14">
        <v>1</v>
      </c>
      <c r="G2184" s="12">
        <v>4200.3031615417931</v>
      </c>
      <c r="H2184" s="12">
        <v>4200.3031615417931</v>
      </c>
      <c r="I2184" s="23" t="s">
        <v>52</v>
      </c>
      <c r="J2184" s="23" t="s">
        <v>61</v>
      </c>
      <c r="K2184" s="24" t="s">
        <v>177</v>
      </c>
      <c r="L2184" s="24">
        <v>127</v>
      </c>
      <c r="M2184" s="12">
        <v>3529.6665223040281</v>
      </c>
      <c r="N2184" s="12">
        <v>3529.6665223040281</v>
      </c>
      <c r="O2184" s="12">
        <v>670.63663923776494</v>
      </c>
      <c r="P2184" s="13"/>
      <c r="Q2184" s="14">
        <v>2025</v>
      </c>
      <c r="R2184" s="15">
        <v>45383</v>
      </c>
      <c r="S2184" s="11" t="s">
        <v>424</v>
      </c>
      <c r="T2184" s="16">
        <v>0</v>
      </c>
      <c r="U2184" s="17"/>
      <c r="V2184" s="12">
        <v>1084.6665223040277</v>
      </c>
      <c r="W2184" s="12">
        <v>1084.6665223040277</v>
      </c>
      <c r="X2184" s="12">
        <v>0</v>
      </c>
      <c r="Y2184" s="18">
        <v>45761</v>
      </c>
      <c r="Z2184" s="13" t="s">
        <v>505</v>
      </c>
      <c r="AA2184" s="19" t="s">
        <v>373</v>
      </c>
      <c r="AB2184" s="13" t="s">
        <v>357</v>
      </c>
      <c r="AC2184" s="13" t="s">
        <v>471</v>
      </c>
      <c r="AD2184" s="20"/>
      <c r="AE2184" s="20"/>
      <c r="AF2184" s="13" t="s">
        <v>40</v>
      </c>
      <c r="AG2184" s="15">
        <v>45383</v>
      </c>
      <c r="AH2184" s="13" t="s">
        <v>41</v>
      </c>
      <c r="AI2184" s="13" t="s">
        <v>73</v>
      </c>
      <c r="AJ2184" s="13" t="str">
        <f>VLOOKUP(E2184,Precios!Z$2:AA$941,2,FALSE)</f>
        <v>Guante NITRILO Talla XL</v>
      </c>
      <c r="AK2184" s="14">
        <f>VLOOKUP(E2184,Precios!Z$2:BB$941,3,FALSE)*F2184</f>
        <v>-1</v>
      </c>
      <c r="AL2184" s="17"/>
      <c r="AM2184" s="17"/>
      <c r="AN2184" s="17"/>
      <c r="AO2184" s="17"/>
      <c r="AP2184" s="17"/>
      <c r="AQ2184" s="17"/>
      <c r="AR2184" s="17"/>
      <c r="AS2184" s="17"/>
      <c r="AT2184" s="17"/>
      <c r="AU2184" s="17"/>
      <c r="AV2184" s="17"/>
    </row>
    <row r="2185" spans="1:48" ht="15.75" customHeight="1">
      <c r="A2185" s="21" t="s">
        <v>35</v>
      </c>
      <c r="B2185" s="23" t="s">
        <v>1692</v>
      </c>
      <c r="C2185" s="25">
        <v>45764</v>
      </c>
      <c r="D2185" s="23" t="s">
        <v>121</v>
      </c>
      <c r="E2185" s="23" t="s">
        <v>37</v>
      </c>
      <c r="F2185" s="14">
        <v>1</v>
      </c>
      <c r="G2185" s="12">
        <v>10500</v>
      </c>
      <c r="H2185" s="12">
        <v>10500</v>
      </c>
      <c r="I2185" s="23" t="s">
        <v>52</v>
      </c>
      <c r="J2185" s="23" t="s">
        <v>61</v>
      </c>
      <c r="K2185" s="24" t="s">
        <v>177</v>
      </c>
      <c r="L2185" s="24">
        <v>127</v>
      </c>
      <c r="M2185" s="12">
        <v>8823.5294117647063</v>
      </c>
      <c r="N2185" s="12">
        <v>8823.5294117647063</v>
      </c>
      <c r="O2185" s="12">
        <v>1676.4705882352937</v>
      </c>
      <c r="P2185" s="13"/>
      <c r="Q2185" s="14">
        <v>2025</v>
      </c>
      <c r="R2185" s="15">
        <v>45383</v>
      </c>
      <c r="S2185" s="11" t="s">
        <v>364</v>
      </c>
      <c r="T2185" s="16">
        <v>1000</v>
      </c>
      <c r="U2185" s="17"/>
      <c r="V2185" s="12">
        <v>2385.7142857142853</v>
      </c>
      <c r="W2185" s="12">
        <v>2385.7142857142853</v>
      </c>
      <c r="X2185" s="12">
        <v>0</v>
      </c>
      <c r="Y2185" s="18">
        <v>45761</v>
      </c>
      <c r="Z2185" s="13" t="s">
        <v>505</v>
      </c>
      <c r="AA2185" s="19" t="s">
        <v>373</v>
      </c>
      <c r="AB2185" s="13" t="s">
        <v>357</v>
      </c>
      <c r="AC2185" s="13" t="s">
        <v>471</v>
      </c>
      <c r="AD2185" s="20"/>
      <c r="AE2185" s="20"/>
      <c r="AF2185" s="13" t="s">
        <v>40</v>
      </c>
      <c r="AG2185" s="15">
        <v>45383</v>
      </c>
      <c r="AH2185" s="13" t="s">
        <v>41</v>
      </c>
      <c r="AI2185" s="13" t="s">
        <v>35</v>
      </c>
      <c r="AJ2185" s="13" t="str">
        <f>VLOOKUP(E2185,Precios!Z$2:AA$941,2,FALSE)</f>
        <v>Queso RUNCA Mantecoso</v>
      </c>
      <c r="AK2185" s="14">
        <f>VLOOKUP(E2185,Precios!Z$2:BB$941,3,FALSE)*F2185</f>
        <v>-1</v>
      </c>
      <c r="AL2185" s="17"/>
      <c r="AM2185" s="17"/>
      <c r="AN2185" s="17"/>
      <c r="AO2185" s="17"/>
      <c r="AP2185" s="17"/>
      <c r="AQ2185" s="17"/>
      <c r="AR2185" s="17"/>
      <c r="AS2185" s="17"/>
      <c r="AT2185" s="17"/>
      <c r="AU2185" s="17"/>
      <c r="AV2185" s="17"/>
    </row>
    <row r="2186" spans="1:48" ht="15.75" customHeight="1">
      <c r="A2186" s="21" t="s">
        <v>35</v>
      </c>
      <c r="B2186" s="23" t="s">
        <v>1692</v>
      </c>
      <c r="C2186" s="25">
        <v>45764</v>
      </c>
      <c r="D2186" s="23" t="s">
        <v>340</v>
      </c>
      <c r="E2186" s="23" t="s">
        <v>37</v>
      </c>
      <c r="F2186" s="14">
        <v>1</v>
      </c>
      <c r="G2186" s="12">
        <v>10500</v>
      </c>
      <c r="H2186" s="12">
        <v>10500</v>
      </c>
      <c r="I2186" s="23" t="s">
        <v>52</v>
      </c>
      <c r="J2186" s="23" t="s">
        <v>61</v>
      </c>
      <c r="K2186" s="24" t="s">
        <v>177</v>
      </c>
      <c r="L2186" s="24">
        <v>127</v>
      </c>
      <c r="M2186" s="12">
        <v>8823.5294117647063</v>
      </c>
      <c r="N2186" s="12">
        <v>8823.5294117647063</v>
      </c>
      <c r="O2186" s="12">
        <v>1676.4705882352937</v>
      </c>
      <c r="P2186" s="13"/>
      <c r="Q2186" s="14">
        <v>2025</v>
      </c>
      <c r="R2186" s="15">
        <v>45383</v>
      </c>
      <c r="S2186" s="11" t="s">
        <v>364</v>
      </c>
      <c r="T2186" s="16">
        <v>1000</v>
      </c>
      <c r="U2186" s="17"/>
      <c r="V2186" s="12">
        <v>2385.7142857142853</v>
      </c>
      <c r="W2186" s="12">
        <v>2385.7142857142853</v>
      </c>
      <c r="X2186" s="12">
        <v>0</v>
      </c>
      <c r="Y2186" s="18">
        <v>45761</v>
      </c>
      <c r="Z2186" s="13" t="s">
        <v>505</v>
      </c>
      <c r="AA2186" s="19" t="s">
        <v>373</v>
      </c>
      <c r="AB2186" s="13" t="s">
        <v>357</v>
      </c>
      <c r="AC2186" s="13" t="s">
        <v>380</v>
      </c>
      <c r="AD2186" s="20"/>
      <c r="AE2186" s="20"/>
      <c r="AF2186" s="13" t="s">
        <v>40</v>
      </c>
      <c r="AG2186" s="15">
        <v>45383</v>
      </c>
      <c r="AH2186" s="13" t="s">
        <v>41</v>
      </c>
      <c r="AI2186" s="13" t="s">
        <v>35</v>
      </c>
      <c r="AJ2186" s="13" t="str">
        <f>VLOOKUP(E2186,Precios!Z$2:AA$941,2,FALSE)</f>
        <v>Queso RUNCA Mantecoso</v>
      </c>
      <c r="AK2186" s="14">
        <f>VLOOKUP(E2186,Precios!Z$2:BB$941,3,FALSE)*F2186</f>
        <v>-1</v>
      </c>
      <c r="AL2186" s="17"/>
      <c r="AM2186" s="17"/>
      <c r="AN2186" s="17"/>
      <c r="AO2186" s="17"/>
      <c r="AP2186" s="17"/>
      <c r="AQ2186" s="17"/>
      <c r="AR2186" s="17"/>
      <c r="AS2186" s="17"/>
      <c r="AT2186" s="17"/>
      <c r="AU2186" s="17"/>
      <c r="AV2186" s="17"/>
    </row>
    <row r="2187" spans="1:48" ht="15.75" customHeight="1">
      <c r="A2187" s="21" t="s">
        <v>35</v>
      </c>
      <c r="B2187" s="23" t="s">
        <v>1692</v>
      </c>
      <c r="C2187" s="25">
        <v>45764</v>
      </c>
      <c r="D2187" s="23" t="s">
        <v>340</v>
      </c>
      <c r="E2187" s="23" t="s">
        <v>46</v>
      </c>
      <c r="F2187" s="14">
        <v>1</v>
      </c>
      <c r="G2187" s="12">
        <v>5500</v>
      </c>
      <c r="H2187" s="12">
        <v>5500</v>
      </c>
      <c r="I2187" s="23" t="s">
        <v>52</v>
      </c>
      <c r="J2187" s="23" t="s">
        <v>61</v>
      </c>
      <c r="K2187" s="24" t="s">
        <v>177</v>
      </c>
      <c r="L2187" s="24">
        <v>127</v>
      </c>
      <c r="M2187" s="12">
        <v>4621.8487394957983</v>
      </c>
      <c r="N2187" s="12">
        <v>4621.8487394957983</v>
      </c>
      <c r="O2187" s="12">
        <v>878.15126050420167</v>
      </c>
      <c r="P2187" s="13"/>
      <c r="Q2187" s="14">
        <v>2025</v>
      </c>
      <c r="R2187" s="15">
        <v>45383</v>
      </c>
      <c r="S2187" s="11" t="s">
        <v>364</v>
      </c>
      <c r="T2187" s="16">
        <v>500</v>
      </c>
      <c r="U2187" s="17"/>
      <c r="V2187" s="12">
        <v>1365.1260504201678</v>
      </c>
      <c r="W2187" s="12">
        <v>1365.1260504201678</v>
      </c>
      <c r="X2187" s="12">
        <v>0</v>
      </c>
      <c r="Y2187" s="18">
        <v>45761</v>
      </c>
      <c r="Z2187" s="13" t="s">
        <v>505</v>
      </c>
      <c r="AA2187" s="19" t="s">
        <v>373</v>
      </c>
      <c r="AB2187" s="13" t="s">
        <v>357</v>
      </c>
      <c r="AC2187" s="13" t="s">
        <v>380</v>
      </c>
      <c r="AD2187" s="20"/>
      <c r="AE2187" s="20"/>
      <c r="AF2187" s="13" t="s">
        <v>40</v>
      </c>
      <c r="AG2187" s="15">
        <v>45383</v>
      </c>
      <c r="AH2187" s="13" t="s">
        <v>41</v>
      </c>
      <c r="AI2187" s="13" t="s">
        <v>35</v>
      </c>
      <c r="AJ2187" s="13" t="str">
        <f>VLOOKUP(E2187,Precios!Z$2:AA$941,2,FALSE)</f>
        <v>Queso RUNCA Mantecoso</v>
      </c>
      <c r="AK2187" s="14">
        <f>VLOOKUP(E2187,Precios!Z$2:BB$941,3,FALSE)*F2187</f>
        <v>-0.5</v>
      </c>
      <c r="AL2187" s="17"/>
      <c r="AM2187" s="17"/>
      <c r="AN2187" s="17"/>
      <c r="AO2187" s="17"/>
      <c r="AP2187" s="17"/>
      <c r="AQ2187" s="17"/>
      <c r="AR2187" s="17"/>
      <c r="AS2187" s="17"/>
      <c r="AT2187" s="17"/>
      <c r="AU2187" s="17"/>
      <c r="AV2187" s="17"/>
    </row>
    <row r="2188" spans="1:48" ht="15.75" customHeight="1">
      <c r="A2188" s="21" t="s">
        <v>73</v>
      </c>
      <c r="B2188" s="23" t="s">
        <v>1692</v>
      </c>
      <c r="C2188" s="22">
        <v>45764</v>
      </c>
      <c r="D2188" s="23" t="s">
        <v>692</v>
      </c>
      <c r="E2188" s="23" t="s">
        <v>74</v>
      </c>
      <c r="F2188" s="21">
        <v>1</v>
      </c>
      <c r="G2188" s="12">
        <v>4199.9020019599611</v>
      </c>
      <c r="H2188" s="12">
        <v>4199.9020019599611</v>
      </c>
      <c r="I2188" s="23" t="s">
        <v>52</v>
      </c>
      <c r="J2188" s="23" t="s">
        <v>61</v>
      </c>
      <c r="K2188" s="24" t="s">
        <v>177</v>
      </c>
      <c r="L2188" s="24">
        <v>127</v>
      </c>
      <c r="M2188" s="12">
        <v>3529.3294134117323</v>
      </c>
      <c r="N2188" s="12">
        <v>3529.3294134117323</v>
      </c>
      <c r="O2188" s="12">
        <v>670.57258854822885</v>
      </c>
      <c r="P2188" s="13"/>
      <c r="Q2188" s="14">
        <v>2025</v>
      </c>
      <c r="R2188" s="15">
        <v>45383</v>
      </c>
      <c r="S2188" s="11" t="s">
        <v>424</v>
      </c>
      <c r="T2188" s="16">
        <v>0</v>
      </c>
      <c r="U2188" s="17"/>
      <c r="V2188" s="12">
        <v>1008.3294134117323</v>
      </c>
      <c r="W2188" s="12">
        <v>1008.3294134117323</v>
      </c>
      <c r="X2188" s="12">
        <v>0</v>
      </c>
      <c r="Y2188" s="18">
        <v>45761</v>
      </c>
      <c r="Z2188" s="13" t="s">
        <v>505</v>
      </c>
      <c r="AA2188" s="19" t="s">
        <v>373</v>
      </c>
      <c r="AB2188" s="13" t="s">
        <v>357</v>
      </c>
      <c r="AC2188" s="13" t="s">
        <v>374</v>
      </c>
      <c r="AD2188" s="20"/>
      <c r="AE2188" s="20"/>
      <c r="AF2188" s="13" t="s">
        <v>40</v>
      </c>
      <c r="AG2188" s="15">
        <v>45383</v>
      </c>
      <c r="AH2188" s="13" t="s">
        <v>41</v>
      </c>
      <c r="AI2188" s="13" t="s">
        <v>73</v>
      </c>
      <c r="AJ2188" s="13" t="str">
        <f>VLOOKUP(E2188,Precios!Z$2:AA$941,2,FALSE)</f>
        <v>Guante NITRILO Talla S</v>
      </c>
      <c r="AK2188" s="14">
        <f>VLOOKUP(E2188,Precios!Z$2:BB$941,3,FALSE)*F2188</f>
        <v>-1</v>
      </c>
      <c r="AL2188" s="17"/>
      <c r="AM2188" s="17"/>
      <c r="AN2188" s="17"/>
      <c r="AO2188" s="17"/>
      <c r="AP2188" s="17"/>
      <c r="AQ2188" s="17"/>
      <c r="AR2188" s="17"/>
      <c r="AS2188" s="17"/>
      <c r="AT2188" s="17"/>
      <c r="AU2188" s="17"/>
      <c r="AV2188" s="17"/>
    </row>
    <row r="2189" spans="1:48" ht="15.75" customHeight="1">
      <c r="A2189" s="21" t="s">
        <v>47</v>
      </c>
      <c r="B2189" s="23" t="s">
        <v>1692</v>
      </c>
      <c r="C2189" s="22">
        <v>45764</v>
      </c>
      <c r="D2189" s="23" t="s">
        <v>692</v>
      </c>
      <c r="E2189" s="23" t="s">
        <v>153</v>
      </c>
      <c r="F2189" s="21">
        <v>2</v>
      </c>
      <c r="G2189" s="12">
        <v>1700</v>
      </c>
      <c r="H2189" s="12">
        <v>3400</v>
      </c>
      <c r="I2189" s="23" t="s">
        <v>52</v>
      </c>
      <c r="J2189" s="23" t="s">
        <v>61</v>
      </c>
      <c r="K2189" s="24" t="s">
        <v>177</v>
      </c>
      <c r="L2189" s="24">
        <v>127</v>
      </c>
      <c r="M2189" s="12">
        <v>1428.5714285714287</v>
      </c>
      <c r="N2189" s="12">
        <v>2857.1428571428573</v>
      </c>
      <c r="O2189" s="12">
        <v>542.85714285714266</v>
      </c>
      <c r="P2189" s="13"/>
      <c r="Q2189" s="14">
        <v>2025</v>
      </c>
      <c r="R2189" s="15">
        <v>45383</v>
      </c>
      <c r="S2189" s="11" t="s">
        <v>153</v>
      </c>
      <c r="T2189" s="16">
        <v>0</v>
      </c>
      <c r="U2189" s="17"/>
      <c r="V2189" s="12">
        <v>1179.1428571428573</v>
      </c>
      <c r="W2189" s="12">
        <v>1179.1428571428573</v>
      </c>
      <c r="X2189" s="12">
        <v>0</v>
      </c>
      <c r="Y2189" s="18">
        <v>45761</v>
      </c>
      <c r="Z2189" s="13" t="s">
        <v>505</v>
      </c>
      <c r="AA2189" s="19" t="s">
        <v>373</v>
      </c>
      <c r="AB2189" s="13" t="s">
        <v>357</v>
      </c>
      <c r="AC2189" s="13" t="s">
        <v>374</v>
      </c>
      <c r="AD2189" s="20"/>
      <c r="AE2189" s="20"/>
      <c r="AF2189" s="13" t="s">
        <v>40</v>
      </c>
      <c r="AG2189" s="15">
        <v>45383</v>
      </c>
      <c r="AH2189" s="13" t="s">
        <v>41</v>
      </c>
      <c r="AI2189" s="13" t="s">
        <v>47</v>
      </c>
      <c r="AJ2189" s="13" t="str">
        <f>VLOOKUP(E2189,Precios!Z$2:AA$941,2,FALSE)</f>
        <v>Escobillon TEDDY</v>
      </c>
      <c r="AK2189" s="14">
        <f>VLOOKUP(E2189,Precios!Z$2:BB$941,3,FALSE)*F2189</f>
        <v>-2</v>
      </c>
      <c r="AL2189" s="17"/>
      <c r="AM2189" s="17"/>
      <c r="AN2189" s="17"/>
      <c r="AO2189" s="17"/>
      <c r="AP2189" s="17"/>
      <c r="AQ2189" s="17"/>
      <c r="AR2189" s="17"/>
      <c r="AS2189" s="17"/>
      <c r="AT2189" s="17"/>
      <c r="AU2189" s="17"/>
      <c r="AV2189" s="17"/>
    </row>
    <row r="2190" spans="1:48" ht="15.75" customHeight="1">
      <c r="A2190" s="21" t="s">
        <v>47</v>
      </c>
      <c r="B2190" s="23" t="s">
        <v>1692</v>
      </c>
      <c r="C2190" s="22">
        <v>45764</v>
      </c>
      <c r="D2190" s="23" t="s">
        <v>692</v>
      </c>
      <c r="E2190" s="23" t="s">
        <v>693</v>
      </c>
      <c r="F2190" s="21">
        <v>1</v>
      </c>
      <c r="G2190" s="12">
        <v>3600</v>
      </c>
      <c r="H2190" s="12">
        <v>3600</v>
      </c>
      <c r="I2190" s="23" t="s">
        <v>52</v>
      </c>
      <c r="J2190" s="23" t="s">
        <v>61</v>
      </c>
      <c r="K2190" s="24" t="s">
        <v>177</v>
      </c>
      <c r="L2190" s="24">
        <v>127</v>
      </c>
      <c r="M2190" s="12">
        <v>3025.2100840336134</v>
      </c>
      <c r="N2190" s="12">
        <v>3025.2100840336134</v>
      </c>
      <c r="O2190" s="12">
        <v>574.78991596638662</v>
      </c>
      <c r="P2190" s="13"/>
      <c r="Q2190" s="14">
        <v>2025</v>
      </c>
      <c r="R2190" s="15">
        <v>45383</v>
      </c>
      <c r="S2190" s="11" t="s">
        <v>694</v>
      </c>
      <c r="T2190" s="16">
        <v>0</v>
      </c>
      <c r="U2190" s="17"/>
      <c r="V2190" s="12">
        <v>898.31932773109247</v>
      </c>
      <c r="W2190" s="12">
        <v>898.31932773109247</v>
      </c>
      <c r="X2190" s="12">
        <v>0</v>
      </c>
      <c r="Y2190" s="18">
        <v>45761</v>
      </c>
      <c r="Z2190" s="13" t="s">
        <v>505</v>
      </c>
      <c r="AA2190" s="19" t="s">
        <v>373</v>
      </c>
      <c r="AB2190" s="13" t="s">
        <v>357</v>
      </c>
      <c r="AC2190" s="13" t="s">
        <v>374</v>
      </c>
      <c r="AD2190" s="20"/>
      <c r="AE2190" s="20"/>
      <c r="AF2190" s="13" t="s">
        <v>40</v>
      </c>
      <c r="AG2190" s="15">
        <v>45383</v>
      </c>
      <c r="AH2190" s="13" t="s">
        <v>41</v>
      </c>
      <c r="AI2190" s="13" t="s">
        <v>47</v>
      </c>
      <c r="AJ2190" s="13" t="str">
        <f>VLOOKUP(E2190,Precios!Z$2:AA$941,2,FALSE)</f>
        <v>Lysoform 420 cc</v>
      </c>
      <c r="AK2190" s="14">
        <f>VLOOKUP(E2190,Precios!Z$2:BB$941,3,FALSE)*F2190</f>
        <v>-1</v>
      </c>
      <c r="AL2190" s="17"/>
      <c r="AM2190" s="17"/>
      <c r="AN2190" s="17"/>
      <c r="AO2190" s="17"/>
      <c r="AP2190" s="17"/>
      <c r="AQ2190" s="17"/>
      <c r="AR2190" s="17"/>
      <c r="AS2190" s="17"/>
      <c r="AT2190" s="17"/>
      <c r="AU2190" s="17"/>
      <c r="AV2190" s="17"/>
    </row>
    <row r="2191" spans="1:48" ht="15.75" customHeight="1">
      <c r="A2191" s="21" t="s">
        <v>47</v>
      </c>
      <c r="B2191" s="23" t="s">
        <v>1692</v>
      </c>
      <c r="C2191" s="22">
        <v>45764</v>
      </c>
      <c r="D2191" s="23" t="s">
        <v>692</v>
      </c>
      <c r="E2191" s="23" t="s">
        <v>303</v>
      </c>
      <c r="F2191" s="21">
        <v>1</v>
      </c>
      <c r="G2191" s="12">
        <v>2000.2484060611077</v>
      </c>
      <c r="H2191" s="12">
        <v>2000.2484060611077</v>
      </c>
      <c r="I2191" s="23" t="s">
        <v>52</v>
      </c>
      <c r="J2191" s="23" t="s">
        <v>61</v>
      </c>
      <c r="K2191" s="24" t="s">
        <v>177</v>
      </c>
      <c r="L2191" s="24">
        <v>127</v>
      </c>
      <c r="M2191" s="12">
        <v>1680.8810134967293</v>
      </c>
      <c r="N2191" s="12">
        <v>1680.8810134967293</v>
      </c>
      <c r="O2191" s="12">
        <v>319.36739256437841</v>
      </c>
      <c r="P2191" s="13"/>
      <c r="Q2191" s="14">
        <v>2025</v>
      </c>
      <c r="R2191" s="15">
        <v>45383</v>
      </c>
      <c r="S2191" s="11" t="s">
        <v>433</v>
      </c>
      <c r="T2191" s="16">
        <v>0</v>
      </c>
      <c r="U2191" s="17"/>
      <c r="V2191" s="12">
        <v>462.88101349672911</v>
      </c>
      <c r="W2191" s="12">
        <v>462.88101349672911</v>
      </c>
      <c r="X2191" s="12">
        <v>0</v>
      </c>
      <c r="Y2191" s="18">
        <v>45761</v>
      </c>
      <c r="Z2191" s="13" t="s">
        <v>505</v>
      </c>
      <c r="AA2191" s="19" t="s">
        <v>373</v>
      </c>
      <c r="AB2191" s="13" t="s">
        <v>357</v>
      </c>
      <c r="AC2191" s="13" t="s">
        <v>374</v>
      </c>
      <c r="AD2191" s="20"/>
      <c r="AE2191" s="20"/>
      <c r="AF2191" s="13" t="s">
        <v>40</v>
      </c>
      <c r="AG2191" s="15">
        <v>45383</v>
      </c>
      <c r="AH2191" s="13" t="s">
        <v>41</v>
      </c>
      <c r="AI2191" s="13" t="s">
        <v>47</v>
      </c>
      <c r="AJ2191" s="13" t="str">
        <f>VLOOKUP(E2191,Precios!Z$2:AA$941,2,FALSE)</f>
        <v>Trapero Microfibra EXCELL</v>
      </c>
      <c r="AK2191" s="14">
        <f>VLOOKUP(E2191,Precios!Z$2:BB$941,3,FALSE)*F2191</f>
        <v>-1</v>
      </c>
      <c r="AL2191" s="17"/>
      <c r="AM2191" s="17"/>
      <c r="AN2191" s="17"/>
      <c r="AO2191" s="17"/>
      <c r="AP2191" s="17"/>
      <c r="AQ2191" s="17"/>
      <c r="AR2191" s="17"/>
      <c r="AS2191" s="17"/>
      <c r="AT2191" s="17"/>
      <c r="AU2191" s="17"/>
      <c r="AV2191" s="17"/>
    </row>
    <row r="2192" spans="1:48" ht="15.75" customHeight="1">
      <c r="A2192" s="21" t="s">
        <v>47</v>
      </c>
      <c r="B2192" s="23" t="s">
        <v>1692</v>
      </c>
      <c r="C2192" s="22">
        <v>45764</v>
      </c>
      <c r="D2192" s="23" t="s">
        <v>692</v>
      </c>
      <c r="E2192" s="23" t="s">
        <v>204</v>
      </c>
      <c r="F2192" s="21">
        <v>1</v>
      </c>
      <c r="G2192" s="12">
        <v>1200.1927194860814</v>
      </c>
      <c r="H2192" s="12">
        <v>1200.1927194860814</v>
      </c>
      <c r="I2192" s="23" t="s">
        <v>52</v>
      </c>
      <c r="J2192" s="23" t="s">
        <v>61</v>
      </c>
      <c r="K2192" s="24" t="s">
        <v>177</v>
      </c>
      <c r="L2192" s="24">
        <v>127</v>
      </c>
      <c r="M2192" s="12">
        <v>1008.5653104925054</v>
      </c>
      <c r="N2192" s="12">
        <v>1008.5653104925054</v>
      </c>
      <c r="O2192" s="12">
        <v>191.62740899357595</v>
      </c>
      <c r="P2192" s="13"/>
      <c r="Q2192" s="14">
        <v>2025</v>
      </c>
      <c r="R2192" s="15">
        <v>45383</v>
      </c>
      <c r="S2192" s="11" t="s">
        <v>400</v>
      </c>
      <c r="T2192" s="16">
        <v>0</v>
      </c>
      <c r="U2192" s="17"/>
      <c r="V2192" s="12">
        <v>537.56531049250543</v>
      </c>
      <c r="W2192" s="12">
        <v>537.56531049250543</v>
      </c>
      <c r="X2192" s="12">
        <v>0</v>
      </c>
      <c r="Y2192" s="18">
        <v>45761</v>
      </c>
      <c r="Z2192" s="13" t="s">
        <v>505</v>
      </c>
      <c r="AA2192" s="19" t="s">
        <v>373</v>
      </c>
      <c r="AB2192" s="13" t="s">
        <v>357</v>
      </c>
      <c r="AC2192" s="13" t="s">
        <v>374</v>
      </c>
      <c r="AD2192" s="20"/>
      <c r="AE2192" s="20"/>
      <c r="AF2192" s="13" t="s">
        <v>40</v>
      </c>
      <c r="AG2192" s="15">
        <v>45383</v>
      </c>
      <c r="AH2192" s="13" t="s">
        <v>41</v>
      </c>
      <c r="AI2192" s="13" t="s">
        <v>47</v>
      </c>
      <c r="AJ2192" s="13" t="str">
        <f>VLOOKUP(E2192,Precios!Z$2:AA$941,2,FALSE)</f>
        <v>Trapero Algodón TEDDY</v>
      </c>
      <c r="AK2192" s="14">
        <f>VLOOKUP(E2192,Precios!Z$2:BB$941,3,FALSE)*F2192</f>
        <v>-1</v>
      </c>
      <c r="AL2192" s="17"/>
      <c r="AM2192" s="17"/>
      <c r="AN2192" s="17"/>
      <c r="AO2192" s="17"/>
      <c r="AP2192" s="17"/>
      <c r="AQ2192" s="17"/>
      <c r="AR2192" s="17"/>
      <c r="AS2192" s="17"/>
      <c r="AT2192" s="17"/>
      <c r="AU2192" s="17"/>
      <c r="AV2192" s="17"/>
    </row>
    <row r="2193" spans="1:48" ht="15.75" customHeight="1">
      <c r="A2193" s="21" t="s">
        <v>47</v>
      </c>
      <c r="B2193" s="23" t="s">
        <v>1692</v>
      </c>
      <c r="C2193" s="22">
        <v>45764</v>
      </c>
      <c r="D2193" s="23" t="s">
        <v>692</v>
      </c>
      <c r="E2193" s="23" t="s">
        <v>252</v>
      </c>
      <c r="F2193" s="21">
        <v>1</v>
      </c>
      <c r="G2193" s="12">
        <v>1599.969512195122</v>
      </c>
      <c r="H2193" s="12">
        <v>1599.969512195122</v>
      </c>
      <c r="I2193" s="23" t="s">
        <v>52</v>
      </c>
      <c r="J2193" s="23" t="s">
        <v>61</v>
      </c>
      <c r="K2193" s="24" t="s">
        <v>177</v>
      </c>
      <c r="L2193" s="24">
        <v>127</v>
      </c>
      <c r="M2193" s="12">
        <v>1344.5121951219512</v>
      </c>
      <c r="N2193" s="12">
        <v>1344.5121951219512</v>
      </c>
      <c r="O2193" s="12">
        <v>255.45731707317077</v>
      </c>
      <c r="P2193" s="13"/>
      <c r="Q2193" s="14">
        <v>2025</v>
      </c>
      <c r="R2193" s="15">
        <v>45383</v>
      </c>
      <c r="S2193" s="11" t="s">
        <v>252</v>
      </c>
      <c r="T2193" s="16">
        <v>0</v>
      </c>
      <c r="U2193" s="17"/>
      <c r="V2193" s="12">
        <v>462.51219512195121</v>
      </c>
      <c r="W2193" s="12">
        <v>462.51219512195121</v>
      </c>
      <c r="X2193" s="12">
        <v>0</v>
      </c>
      <c r="Y2193" s="18">
        <v>45761</v>
      </c>
      <c r="Z2193" s="13" t="s">
        <v>505</v>
      </c>
      <c r="AA2193" s="19" t="s">
        <v>373</v>
      </c>
      <c r="AB2193" s="13" t="s">
        <v>357</v>
      </c>
      <c r="AC2193" s="13" t="s">
        <v>374</v>
      </c>
      <c r="AD2193" s="20"/>
      <c r="AE2193" s="20"/>
      <c r="AF2193" s="13" t="s">
        <v>40</v>
      </c>
      <c r="AG2193" s="15">
        <v>45383</v>
      </c>
      <c r="AH2193" s="13" t="s">
        <v>41</v>
      </c>
      <c r="AI2193" s="13" t="s">
        <v>47</v>
      </c>
      <c r="AJ2193" s="13" t="str">
        <f>VLOOKUP(E2193,Precios!Z$2:AA$941,2,FALSE)</f>
        <v>Limpiapiso POETT 900 ml</v>
      </c>
      <c r="AK2193" s="14">
        <f>VLOOKUP(E2193,Precios!Z$2:BB$941,3,FALSE)*F2193</f>
        <v>-1</v>
      </c>
      <c r="AL2193" s="17"/>
      <c r="AM2193" s="17"/>
      <c r="AN2193" s="17"/>
      <c r="AO2193" s="17"/>
      <c r="AP2193" s="17"/>
      <c r="AQ2193" s="17"/>
      <c r="AR2193" s="17"/>
      <c r="AS2193" s="17"/>
      <c r="AT2193" s="17"/>
      <c r="AU2193" s="17"/>
      <c r="AV2193" s="17"/>
    </row>
    <row r="2194" spans="1:48" ht="15.75" customHeight="1">
      <c r="A2194" s="21" t="s">
        <v>73</v>
      </c>
      <c r="B2194" s="23" t="s">
        <v>1692</v>
      </c>
      <c r="C2194" s="22">
        <v>45764</v>
      </c>
      <c r="D2194" s="23" t="s">
        <v>695</v>
      </c>
      <c r="E2194" s="23" t="s">
        <v>161</v>
      </c>
      <c r="F2194" s="21">
        <v>1</v>
      </c>
      <c r="G2194" s="12">
        <v>4199.9020019599611</v>
      </c>
      <c r="H2194" s="12">
        <v>4199.9020019599611</v>
      </c>
      <c r="I2194" s="23" t="s">
        <v>52</v>
      </c>
      <c r="J2194" s="23" t="s">
        <v>61</v>
      </c>
      <c r="K2194" s="24" t="s">
        <v>177</v>
      </c>
      <c r="L2194" s="24">
        <v>127</v>
      </c>
      <c r="M2194" s="12">
        <v>3529.3294134117323</v>
      </c>
      <c r="N2194" s="12">
        <v>3529.3294134117323</v>
      </c>
      <c r="O2194" s="12">
        <v>670.57258854822885</v>
      </c>
      <c r="P2194" s="13"/>
      <c r="Q2194" s="14">
        <v>2025</v>
      </c>
      <c r="R2194" s="15">
        <v>45383</v>
      </c>
      <c r="S2194" s="11" t="s">
        <v>424</v>
      </c>
      <c r="T2194" s="16">
        <v>0</v>
      </c>
      <c r="U2194" s="17"/>
      <c r="V2194" s="12">
        <v>1008.3294134117323</v>
      </c>
      <c r="W2194" s="12">
        <v>1008.3294134117323</v>
      </c>
      <c r="X2194" s="12">
        <v>0</v>
      </c>
      <c r="Y2194" s="18">
        <v>45761</v>
      </c>
      <c r="Z2194" s="13" t="s">
        <v>505</v>
      </c>
      <c r="AA2194" s="19" t="s">
        <v>373</v>
      </c>
      <c r="AB2194" s="13" t="s">
        <v>357</v>
      </c>
      <c r="AC2194" s="13" t="s">
        <v>696</v>
      </c>
      <c r="AD2194" s="20"/>
      <c r="AE2194" s="20"/>
      <c r="AF2194" s="13" t="s">
        <v>40</v>
      </c>
      <c r="AG2194" s="15">
        <v>45383</v>
      </c>
      <c r="AH2194" s="13" t="s">
        <v>41</v>
      </c>
      <c r="AI2194" s="13" t="s">
        <v>73</v>
      </c>
      <c r="AJ2194" s="13" t="str">
        <f>VLOOKUP(E2194,Precios!Z$2:AA$941,2,FALSE)</f>
        <v>Guante NITRILO Talla L</v>
      </c>
      <c r="AK2194" s="14">
        <f>VLOOKUP(E2194,Precios!Z$2:BB$941,3,FALSE)*F2194</f>
        <v>-1</v>
      </c>
      <c r="AL2194" s="17"/>
      <c r="AM2194" s="17"/>
      <c r="AN2194" s="17"/>
      <c r="AO2194" s="17"/>
      <c r="AP2194" s="17"/>
      <c r="AQ2194" s="17"/>
      <c r="AR2194" s="17"/>
      <c r="AS2194" s="17"/>
      <c r="AT2194" s="17"/>
      <c r="AU2194" s="17"/>
      <c r="AV2194" s="17"/>
    </row>
    <row r="2195" spans="1:48" ht="15.75" customHeight="1">
      <c r="A2195" s="21" t="s">
        <v>53</v>
      </c>
      <c r="B2195" s="23" t="s">
        <v>1692</v>
      </c>
      <c r="C2195" s="22">
        <v>45764</v>
      </c>
      <c r="D2195" s="23" t="s">
        <v>158</v>
      </c>
      <c r="E2195" s="23" t="s">
        <v>580</v>
      </c>
      <c r="F2195" s="21">
        <v>1</v>
      </c>
      <c r="G2195" s="12">
        <v>11499.993390876765</v>
      </c>
      <c r="H2195" s="12">
        <v>11499.993390876765</v>
      </c>
      <c r="I2195" s="23" t="s">
        <v>52</v>
      </c>
      <c r="J2195" s="23" t="s">
        <v>61</v>
      </c>
      <c r="K2195" s="24" t="s">
        <v>86</v>
      </c>
      <c r="L2195" s="24">
        <v>72</v>
      </c>
      <c r="M2195" s="12">
        <v>9663.8599923334168</v>
      </c>
      <c r="N2195" s="12">
        <v>9663.8599923334168</v>
      </c>
      <c r="O2195" s="12">
        <v>1836.1333985433484</v>
      </c>
      <c r="P2195" s="13"/>
      <c r="Q2195" s="14">
        <v>2025</v>
      </c>
      <c r="R2195" s="15">
        <v>45383</v>
      </c>
      <c r="S2195" s="11" t="s">
        <v>381</v>
      </c>
      <c r="T2195" s="16">
        <v>300</v>
      </c>
      <c r="U2195" s="17"/>
      <c r="V2195" s="12">
        <v>2352.8599923334168</v>
      </c>
      <c r="W2195" s="12">
        <v>2352.8599923334168</v>
      </c>
      <c r="X2195" s="12">
        <v>0</v>
      </c>
      <c r="Y2195" s="18">
        <v>45761</v>
      </c>
      <c r="Z2195" s="13" t="s">
        <v>505</v>
      </c>
      <c r="AA2195" s="19" t="s">
        <v>361</v>
      </c>
      <c r="AB2195" s="13" t="s">
        <v>394</v>
      </c>
      <c r="AC2195" s="13" t="s">
        <v>509</v>
      </c>
      <c r="AD2195" s="20"/>
      <c r="AE2195" s="20"/>
      <c r="AF2195" s="13" t="s">
        <v>40</v>
      </c>
      <c r="AG2195" s="15">
        <v>45383</v>
      </c>
      <c r="AH2195" s="13" t="s">
        <v>41</v>
      </c>
      <c r="AI2195" s="13" t="s">
        <v>53</v>
      </c>
      <c r="AJ2195" s="13" t="str">
        <f>VLOOKUP(E2195,Precios!Z$2:AA$941,2,FALSE)</f>
        <v>Servilletas SOFTQUALITY 300 unidades</v>
      </c>
      <c r="AK2195" s="14">
        <f>VLOOKUP(E2195,Precios!Z$2:BB$941,3,FALSE)*F2195</f>
        <v>-10</v>
      </c>
      <c r="AL2195" s="17"/>
      <c r="AM2195" s="17"/>
      <c r="AN2195" s="17"/>
      <c r="AO2195" s="17"/>
      <c r="AP2195" s="17"/>
      <c r="AQ2195" s="17"/>
      <c r="AR2195" s="17"/>
      <c r="AS2195" s="17"/>
      <c r="AT2195" s="17"/>
      <c r="AU2195" s="17"/>
      <c r="AV2195" s="17"/>
    </row>
    <row r="2196" spans="1:48" ht="15.75" customHeight="1">
      <c r="A2196" s="21" t="s">
        <v>147</v>
      </c>
      <c r="B2196" s="23" t="s">
        <v>1692</v>
      </c>
      <c r="C2196" s="22">
        <v>45764</v>
      </c>
      <c r="D2196" s="23" t="s">
        <v>158</v>
      </c>
      <c r="E2196" s="23" t="s">
        <v>159</v>
      </c>
      <c r="F2196" s="21">
        <v>2</v>
      </c>
      <c r="G2196" s="12">
        <v>24000.000000000004</v>
      </c>
      <c r="H2196" s="12">
        <v>48000.000000000007</v>
      </c>
      <c r="I2196" s="23" t="s">
        <v>52</v>
      </c>
      <c r="J2196" s="23" t="s">
        <v>61</v>
      </c>
      <c r="K2196" s="24" t="s">
        <v>86</v>
      </c>
      <c r="L2196" s="24">
        <v>72</v>
      </c>
      <c r="M2196" s="12">
        <v>20168.067226890762</v>
      </c>
      <c r="N2196" s="12">
        <v>40336.134453781524</v>
      </c>
      <c r="O2196" s="12">
        <v>7663.8655462184834</v>
      </c>
      <c r="P2196" s="13"/>
      <c r="Q2196" s="14">
        <v>2025</v>
      </c>
      <c r="R2196" s="15">
        <v>45383</v>
      </c>
      <c r="S2196" s="11" t="s">
        <v>412</v>
      </c>
      <c r="T2196" s="16">
        <v>0</v>
      </c>
      <c r="U2196" s="17"/>
      <c r="V2196" s="12">
        <v>13722.689075630256</v>
      </c>
      <c r="W2196" s="12">
        <v>13722.689075630256</v>
      </c>
      <c r="X2196" s="12">
        <v>0</v>
      </c>
      <c r="Y2196" s="18">
        <v>45761</v>
      </c>
      <c r="Z2196" s="13" t="s">
        <v>505</v>
      </c>
      <c r="AA2196" s="19" t="s">
        <v>361</v>
      </c>
      <c r="AB2196" s="13" t="s">
        <v>394</v>
      </c>
      <c r="AC2196" s="13" t="s">
        <v>509</v>
      </c>
      <c r="AD2196" s="20"/>
      <c r="AE2196" s="20"/>
      <c r="AF2196" s="13" t="s">
        <v>40</v>
      </c>
      <c r="AG2196" s="15">
        <v>45383</v>
      </c>
      <c r="AH2196" s="13" t="s">
        <v>41</v>
      </c>
      <c r="AI2196" s="13" t="s">
        <v>147</v>
      </c>
      <c r="AJ2196" s="13" t="str">
        <f>VLOOKUP(E2196,Precios!Z$2:AA$941,2,FALSE)</f>
        <v>Film Plástico 1400 metros</v>
      </c>
      <c r="AK2196" s="14">
        <f>VLOOKUP(E2196,Precios!Z$2:BB$941,3,FALSE)*F2196</f>
        <v>-2</v>
      </c>
      <c r="AL2196" s="17"/>
      <c r="AM2196" s="17"/>
      <c r="AN2196" s="17"/>
      <c r="AO2196" s="17"/>
      <c r="AP2196" s="17"/>
      <c r="AQ2196" s="17"/>
      <c r="AR2196" s="17"/>
      <c r="AS2196" s="17"/>
      <c r="AT2196" s="17"/>
      <c r="AU2196" s="17"/>
      <c r="AV2196" s="17"/>
    </row>
    <row r="2197" spans="1:48" ht="15.75" customHeight="1">
      <c r="A2197" s="21" t="s">
        <v>147</v>
      </c>
      <c r="B2197" s="23" t="s">
        <v>1692</v>
      </c>
      <c r="C2197" s="22">
        <v>45764</v>
      </c>
      <c r="D2197" s="23" t="s">
        <v>158</v>
      </c>
      <c r="E2197" s="23" t="s">
        <v>160</v>
      </c>
      <c r="F2197" s="21">
        <v>1</v>
      </c>
      <c r="G2197" s="26">
        <v>-1000</v>
      </c>
      <c r="H2197" s="12">
        <v>-1000</v>
      </c>
      <c r="I2197" s="23" t="s">
        <v>52</v>
      </c>
      <c r="J2197" s="23" t="s">
        <v>61</v>
      </c>
      <c r="K2197" s="24" t="s">
        <v>86</v>
      </c>
      <c r="L2197" s="24">
        <v>72</v>
      </c>
      <c r="M2197" s="12">
        <v>-840.3361344537816</v>
      </c>
      <c r="N2197" s="12">
        <v>-840.3361344537816</v>
      </c>
      <c r="O2197" s="12">
        <v>-159.6638655462184</v>
      </c>
      <c r="P2197" s="13"/>
      <c r="Q2197" s="14">
        <v>2025</v>
      </c>
      <c r="R2197" s="15">
        <v>45383</v>
      </c>
      <c r="S2197" s="11" t="s">
        <v>160</v>
      </c>
      <c r="T2197" s="16">
        <v>1000</v>
      </c>
      <c r="U2197" s="17"/>
      <c r="V2197" s="26">
        <v>-1000</v>
      </c>
      <c r="W2197" s="12">
        <v>-1000</v>
      </c>
      <c r="X2197" s="12">
        <v>0</v>
      </c>
      <c r="Y2197" s="18">
        <v>45761</v>
      </c>
      <c r="Z2197" s="13" t="s">
        <v>505</v>
      </c>
      <c r="AA2197" s="19" t="s">
        <v>361</v>
      </c>
      <c r="AB2197" s="13" t="s">
        <v>394</v>
      </c>
      <c r="AC2197" s="13" t="s">
        <v>509</v>
      </c>
      <c r="AD2197" s="20"/>
      <c r="AE2197" s="20"/>
      <c r="AF2197" s="13" t="s">
        <v>40</v>
      </c>
      <c r="AG2197" s="15">
        <v>45383</v>
      </c>
      <c r="AH2197" s="13" t="s">
        <v>41</v>
      </c>
      <c r="AI2197" s="13" t="s">
        <v>147</v>
      </c>
      <c r="AJ2197" s="13" t="str">
        <f>VLOOKUP(E2197,Precios!Z$2:AA$941,2,FALSE)</f>
        <v>Descuentos</v>
      </c>
      <c r="AK2197" s="14">
        <f>VLOOKUP(E2197,Precios!Z$2:BB$941,3,FALSE)*F2197</f>
        <v>-1</v>
      </c>
      <c r="AL2197" s="17"/>
      <c r="AM2197" s="17"/>
      <c r="AN2197" s="17"/>
      <c r="AO2197" s="17"/>
      <c r="AP2197" s="17"/>
      <c r="AQ2197" s="17"/>
      <c r="AR2197" s="17"/>
      <c r="AS2197" s="17"/>
      <c r="AT2197" s="17"/>
      <c r="AU2197" s="17"/>
      <c r="AV2197" s="17"/>
    </row>
    <row r="2198" spans="1:48" ht="15.75" customHeight="1">
      <c r="A2198" s="21" t="s">
        <v>53</v>
      </c>
      <c r="B2198" s="23" t="s">
        <v>1692</v>
      </c>
      <c r="C2198" s="22">
        <v>45764</v>
      </c>
      <c r="D2198" s="23" t="s">
        <v>158</v>
      </c>
      <c r="E2198" s="23" t="s">
        <v>163</v>
      </c>
      <c r="F2198" s="21">
        <v>1</v>
      </c>
      <c r="G2198" s="12">
        <v>18990</v>
      </c>
      <c r="H2198" s="12">
        <v>18990</v>
      </c>
      <c r="I2198" s="23" t="s">
        <v>52</v>
      </c>
      <c r="J2198" s="23" t="s">
        <v>61</v>
      </c>
      <c r="K2198" s="24" t="s">
        <v>86</v>
      </c>
      <c r="L2198" s="24">
        <v>72</v>
      </c>
      <c r="M2198" s="12">
        <v>15957.983193277312</v>
      </c>
      <c r="N2198" s="12">
        <v>15957.983193277312</v>
      </c>
      <c r="O2198" s="12">
        <v>3032.0168067226878</v>
      </c>
      <c r="P2198" s="13"/>
      <c r="Q2198" s="14">
        <v>2025</v>
      </c>
      <c r="R2198" s="15">
        <v>45383</v>
      </c>
      <c r="S2198" s="11" t="s">
        <v>435</v>
      </c>
      <c r="T2198" s="16">
        <v>0</v>
      </c>
      <c r="U2198" s="17"/>
      <c r="V2198" s="12">
        <v>4112.6050420168067</v>
      </c>
      <c r="W2198" s="12">
        <v>4112.6050420168067</v>
      </c>
      <c r="X2198" s="12">
        <v>0</v>
      </c>
      <c r="Y2198" s="18">
        <v>45761</v>
      </c>
      <c r="Z2198" s="13" t="s">
        <v>505</v>
      </c>
      <c r="AA2198" s="19" t="s">
        <v>361</v>
      </c>
      <c r="AB2198" s="13" t="s">
        <v>394</v>
      </c>
      <c r="AC2198" s="13" t="s">
        <v>509</v>
      </c>
      <c r="AD2198" s="20"/>
      <c r="AE2198" s="20"/>
      <c r="AF2198" s="13" t="s">
        <v>40</v>
      </c>
      <c r="AG2198" s="15">
        <v>45383</v>
      </c>
      <c r="AH2198" s="13" t="s">
        <v>41</v>
      </c>
      <c r="AI2198" s="13" t="s">
        <v>53</v>
      </c>
      <c r="AJ2198" s="13" t="str">
        <f>VLOOKUP(E2198,Precios!Z$2:AA$941,2,FALSE)</f>
        <v>Papel Higienico SWAN 50 metros</v>
      </c>
      <c r="AK2198" s="14">
        <f>VLOOKUP(E2198,Precios!Z$2:BB$941,3,FALSE)*F2198</f>
        <v>-8</v>
      </c>
      <c r="AL2198" s="17"/>
      <c r="AM2198" s="17"/>
      <c r="AN2198" s="17"/>
      <c r="AO2198" s="17"/>
      <c r="AP2198" s="17"/>
      <c r="AQ2198" s="17"/>
      <c r="AR2198" s="17"/>
      <c r="AS2198" s="17"/>
      <c r="AT2198" s="17"/>
      <c r="AU2198" s="17"/>
      <c r="AV2198" s="17"/>
    </row>
    <row r="2199" spans="1:48" ht="15.75" customHeight="1">
      <c r="A2199" s="21" t="s">
        <v>73</v>
      </c>
      <c r="B2199" s="23" t="s">
        <v>1692</v>
      </c>
      <c r="C2199" s="22">
        <v>45764</v>
      </c>
      <c r="D2199" s="23" t="s">
        <v>158</v>
      </c>
      <c r="E2199" s="23" t="s">
        <v>91</v>
      </c>
      <c r="F2199" s="21">
        <v>2</v>
      </c>
      <c r="G2199" s="12">
        <v>2499.9999999999995</v>
      </c>
      <c r="H2199" s="12">
        <v>4999.9999999999991</v>
      </c>
      <c r="I2199" s="23" t="s">
        <v>52</v>
      </c>
      <c r="J2199" s="23" t="s">
        <v>61</v>
      </c>
      <c r="K2199" s="24" t="s">
        <v>86</v>
      </c>
      <c r="L2199" s="24">
        <v>72</v>
      </c>
      <c r="M2199" s="12">
        <v>2100.8403361344535</v>
      </c>
      <c r="N2199" s="12">
        <v>4201.6806722689071</v>
      </c>
      <c r="O2199" s="12">
        <v>798.31932773109202</v>
      </c>
      <c r="P2199" s="13"/>
      <c r="Q2199" s="14">
        <v>2025</v>
      </c>
      <c r="R2199" s="15">
        <v>45383</v>
      </c>
      <c r="S2199" s="11" t="s">
        <v>91</v>
      </c>
      <c r="T2199" s="16">
        <v>0</v>
      </c>
      <c r="U2199" s="17"/>
      <c r="V2199" s="12">
        <v>1999.9999999999995</v>
      </c>
      <c r="W2199" s="12">
        <v>1999.9999999999995</v>
      </c>
      <c r="X2199" s="12">
        <v>0</v>
      </c>
      <c r="Y2199" s="18">
        <v>45761</v>
      </c>
      <c r="Z2199" s="13" t="s">
        <v>505</v>
      </c>
      <c r="AA2199" s="19" t="s">
        <v>361</v>
      </c>
      <c r="AB2199" s="13" t="s">
        <v>394</v>
      </c>
      <c r="AC2199" s="13" t="s">
        <v>509</v>
      </c>
      <c r="AD2199" s="20"/>
      <c r="AE2199" s="20"/>
      <c r="AF2199" s="13" t="s">
        <v>40</v>
      </c>
      <c r="AG2199" s="15">
        <v>45383</v>
      </c>
      <c r="AH2199" s="13" t="s">
        <v>41</v>
      </c>
      <c r="AI2199" s="13" t="s">
        <v>73</v>
      </c>
      <c r="AJ2199" s="13" t="str">
        <f>VLOOKUP(E2199,Precios!Z$2:AA$941,2,FALSE)</f>
        <v>Cofias</v>
      </c>
      <c r="AK2199" s="14">
        <f>VLOOKUP(E2199,Precios!Z$2:BB$941,3,FALSE)*F2199</f>
        <v>-2</v>
      </c>
      <c r="AL2199" s="17"/>
      <c r="AM2199" s="17"/>
      <c r="AN2199" s="17"/>
      <c r="AO2199" s="17"/>
      <c r="AP2199" s="17"/>
      <c r="AQ2199" s="17"/>
      <c r="AR2199" s="17"/>
      <c r="AS2199" s="17"/>
      <c r="AT2199" s="17"/>
      <c r="AU2199" s="17"/>
      <c r="AV2199" s="17"/>
    </row>
    <row r="2200" spans="1:48" ht="15.75" customHeight="1">
      <c r="A2200" s="14" t="s">
        <v>35</v>
      </c>
      <c r="B2200" s="23" t="s">
        <v>1692</v>
      </c>
      <c r="C2200" s="22">
        <v>45764</v>
      </c>
      <c r="D2200" s="23" t="s">
        <v>697</v>
      </c>
      <c r="E2200" s="23" t="s">
        <v>37</v>
      </c>
      <c r="F2200" s="21">
        <v>1</v>
      </c>
      <c r="G2200" s="12">
        <v>10500</v>
      </c>
      <c r="H2200" s="12">
        <v>10500</v>
      </c>
      <c r="I2200" s="23" t="s">
        <v>52</v>
      </c>
      <c r="J2200" s="23" t="s">
        <v>61</v>
      </c>
      <c r="K2200" s="24" t="s">
        <v>177</v>
      </c>
      <c r="L2200" s="24">
        <v>127</v>
      </c>
      <c r="M2200" s="12">
        <v>8823.5294117647063</v>
      </c>
      <c r="N2200" s="12">
        <v>8823.5294117647063</v>
      </c>
      <c r="O2200" s="12">
        <v>1676.4705882352937</v>
      </c>
      <c r="P2200" s="13"/>
      <c r="Q2200" s="14">
        <v>2025</v>
      </c>
      <c r="R2200" s="15">
        <v>45383</v>
      </c>
      <c r="S2200" s="11" t="s">
        <v>364</v>
      </c>
      <c r="T2200" s="16">
        <v>1000</v>
      </c>
      <c r="U2200" s="17"/>
      <c r="V2200" s="12">
        <v>2385.7142857142853</v>
      </c>
      <c r="W2200" s="12">
        <v>2385.7142857142853</v>
      </c>
      <c r="X2200" s="12">
        <v>0</v>
      </c>
      <c r="Y2200" s="18">
        <v>45761</v>
      </c>
      <c r="Z2200" s="13" t="s">
        <v>505</v>
      </c>
      <c r="AA2200" s="19" t="s">
        <v>373</v>
      </c>
      <c r="AB2200" s="13" t="s">
        <v>357</v>
      </c>
      <c r="AC2200" s="13" t="s">
        <v>698</v>
      </c>
      <c r="AD2200" s="20"/>
      <c r="AE2200" s="20"/>
      <c r="AF2200" s="13" t="s">
        <v>40</v>
      </c>
      <c r="AG2200" s="15">
        <v>45383</v>
      </c>
      <c r="AH2200" s="13" t="s">
        <v>41</v>
      </c>
      <c r="AI2200" s="13" t="s">
        <v>35</v>
      </c>
      <c r="AJ2200" s="13" t="str">
        <f>VLOOKUP(E2200,Precios!Z$2:AA$941,2,FALSE)</f>
        <v>Queso RUNCA Mantecoso</v>
      </c>
      <c r="AK2200" s="14">
        <f>VLOOKUP(E2200,Precios!Z$2:BB$941,3,FALSE)*F2200</f>
        <v>-1</v>
      </c>
      <c r="AL2200" s="17"/>
      <c r="AM2200" s="17"/>
      <c r="AN2200" s="17"/>
      <c r="AO2200" s="17"/>
      <c r="AP2200" s="17"/>
      <c r="AQ2200" s="17"/>
      <c r="AR2200" s="17"/>
      <c r="AS2200" s="17"/>
      <c r="AT2200" s="17"/>
      <c r="AU2200" s="17"/>
      <c r="AV2200" s="17"/>
    </row>
    <row r="2201" spans="1:48" ht="15.75" customHeight="1">
      <c r="A2201" s="14" t="s">
        <v>35</v>
      </c>
      <c r="B2201" s="23" t="s">
        <v>1692</v>
      </c>
      <c r="C2201" s="22">
        <v>45764</v>
      </c>
      <c r="D2201" s="23" t="s">
        <v>238</v>
      </c>
      <c r="E2201" s="23" t="s">
        <v>46</v>
      </c>
      <c r="F2201" s="21">
        <v>1</v>
      </c>
      <c r="G2201" s="12">
        <v>5500</v>
      </c>
      <c r="H2201" s="12">
        <v>5500</v>
      </c>
      <c r="I2201" s="23" t="s">
        <v>52</v>
      </c>
      <c r="J2201" s="23" t="s">
        <v>61</v>
      </c>
      <c r="K2201" s="24" t="s">
        <v>177</v>
      </c>
      <c r="L2201" s="24">
        <v>127</v>
      </c>
      <c r="M2201" s="12">
        <v>4621.8487394957983</v>
      </c>
      <c r="N2201" s="12">
        <v>4621.8487394957983</v>
      </c>
      <c r="O2201" s="12">
        <v>878.15126050420167</v>
      </c>
      <c r="P2201" s="13"/>
      <c r="Q2201" s="14">
        <v>2025</v>
      </c>
      <c r="R2201" s="15">
        <v>45383</v>
      </c>
      <c r="S2201" s="11" t="s">
        <v>364</v>
      </c>
      <c r="T2201" s="16">
        <v>500</v>
      </c>
      <c r="U2201" s="17"/>
      <c r="V2201" s="12">
        <v>1365.1260504201678</v>
      </c>
      <c r="W2201" s="12">
        <v>1365.1260504201678</v>
      </c>
      <c r="X2201" s="12">
        <v>0</v>
      </c>
      <c r="Y2201" s="18">
        <v>45761</v>
      </c>
      <c r="Z2201" s="13" t="s">
        <v>505</v>
      </c>
      <c r="AA2201" s="19" t="s">
        <v>373</v>
      </c>
      <c r="AB2201" s="13" t="s">
        <v>357</v>
      </c>
      <c r="AC2201" s="13" t="s">
        <v>533</v>
      </c>
      <c r="AD2201" s="20"/>
      <c r="AE2201" s="20"/>
      <c r="AF2201" s="13" t="s">
        <v>40</v>
      </c>
      <c r="AG2201" s="15">
        <v>45383</v>
      </c>
      <c r="AH2201" s="13" t="s">
        <v>41</v>
      </c>
      <c r="AI2201" s="13" t="s">
        <v>35</v>
      </c>
      <c r="AJ2201" s="13" t="str">
        <f>VLOOKUP(E2201,Precios!Z$2:AA$941,2,FALSE)</f>
        <v>Queso RUNCA Mantecoso</v>
      </c>
      <c r="AK2201" s="14">
        <f>VLOOKUP(E2201,Precios!Z$2:BB$941,3,FALSE)*F2201</f>
        <v>-0.5</v>
      </c>
      <c r="AL2201" s="17"/>
      <c r="AM2201" s="17"/>
      <c r="AN2201" s="17"/>
      <c r="AO2201" s="17"/>
      <c r="AP2201" s="17"/>
      <c r="AQ2201" s="17"/>
      <c r="AR2201" s="17"/>
      <c r="AS2201" s="17"/>
      <c r="AT2201" s="17"/>
      <c r="AU2201" s="17"/>
      <c r="AV2201" s="17"/>
    </row>
    <row r="2202" spans="1:48" ht="15.75" customHeight="1">
      <c r="A2202" s="14" t="s">
        <v>35</v>
      </c>
      <c r="B2202" s="23" t="s">
        <v>1692</v>
      </c>
      <c r="C2202" s="22">
        <v>45764</v>
      </c>
      <c r="D2202" s="23" t="s">
        <v>227</v>
      </c>
      <c r="E2202" s="23" t="s">
        <v>37</v>
      </c>
      <c r="F2202" s="21">
        <v>1</v>
      </c>
      <c r="G2202" s="12">
        <v>10500</v>
      </c>
      <c r="H2202" s="12">
        <v>10500</v>
      </c>
      <c r="I2202" s="23" t="s">
        <v>52</v>
      </c>
      <c r="J2202" s="23" t="s">
        <v>61</v>
      </c>
      <c r="K2202" s="24" t="s">
        <v>177</v>
      </c>
      <c r="L2202" s="24">
        <v>127</v>
      </c>
      <c r="M2202" s="12">
        <v>8823.5294117647063</v>
      </c>
      <c r="N2202" s="12">
        <v>8823.5294117647063</v>
      </c>
      <c r="O2202" s="12">
        <v>1676.4705882352937</v>
      </c>
      <c r="P2202" s="13"/>
      <c r="Q2202" s="14">
        <v>2025</v>
      </c>
      <c r="R2202" s="15">
        <v>45383</v>
      </c>
      <c r="S2202" s="11" t="s">
        <v>364</v>
      </c>
      <c r="T2202" s="16">
        <v>1000</v>
      </c>
      <c r="U2202" s="17"/>
      <c r="V2202" s="12">
        <v>2385.7142857142853</v>
      </c>
      <c r="W2202" s="12">
        <v>2385.7142857142853</v>
      </c>
      <c r="X2202" s="12">
        <v>0</v>
      </c>
      <c r="Y2202" s="18">
        <v>45761</v>
      </c>
      <c r="Z2202" s="13" t="s">
        <v>505</v>
      </c>
      <c r="AA2202" s="19" t="s">
        <v>361</v>
      </c>
      <c r="AB2202" s="13" t="s">
        <v>357</v>
      </c>
      <c r="AC2202" s="13" t="s">
        <v>393</v>
      </c>
      <c r="AD2202" s="20"/>
      <c r="AE2202" s="20"/>
      <c r="AF2202" s="13" t="s">
        <v>40</v>
      </c>
      <c r="AG2202" s="15">
        <v>45383</v>
      </c>
      <c r="AH2202" s="13" t="s">
        <v>41</v>
      </c>
      <c r="AI2202" s="13" t="s">
        <v>35</v>
      </c>
      <c r="AJ2202" s="13" t="str">
        <f>VLOOKUP(E2202,Precios!Z$2:AA$941,2,FALSE)</f>
        <v>Queso RUNCA Mantecoso</v>
      </c>
      <c r="AK2202" s="14">
        <f>VLOOKUP(E2202,Precios!Z$2:BB$941,3,FALSE)*F2202</f>
        <v>-1</v>
      </c>
      <c r="AL2202" s="17"/>
      <c r="AM2202" s="17"/>
      <c r="AN2202" s="17"/>
      <c r="AO2202" s="17"/>
      <c r="AP2202" s="17"/>
      <c r="AQ2202" s="17"/>
      <c r="AR2202" s="17"/>
      <c r="AS2202" s="17"/>
      <c r="AT2202" s="17"/>
      <c r="AU2202" s="17"/>
      <c r="AV2202" s="17"/>
    </row>
    <row r="2203" spans="1:48" ht="15.75" customHeight="1">
      <c r="A2203" s="14" t="s">
        <v>35</v>
      </c>
      <c r="B2203" s="23" t="s">
        <v>1692</v>
      </c>
      <c r="C2203" s="22">
        <v>45764</v>
      </c>
      <c r="D2203" s="23" t="s">
        <v>331</v>
      </c>
      <c r="E2203" s="23" t="s">
        <v>37</v>
      </c>
      <c r="F2203" s="21">
        <v>1</v>
      </c>
      <c r="G2203" s="12">
        <v>10500</v>
      </c>
      <c r="H2203" s="12">
        <v>10500</v>
      </c>
      <c r="I2203" s="23" t="s">
        <v>52</v>
      </c>
      <c r="J2203" s="23" t="s">
        <v>61</v>
      </c>
      <c r="K2203" s="24" t="s">
        <v>177</v>
      </c>
      <c r="L2203" s="24">
        <v>127</v>
      </c>
      <c r="M2203" s="12">
        <v>8823.5294117647063</v>
      </c>
      <c r="N2203" s="12">
        <v>8823.5294117647063</v>
      </c>
      <c r="O2203" s="12">
        <v>1676.4705882352937</v>
      </c>
      <c r="P2203" s="13"/>
      <c r="Q2203" s="14">
        <v>2025</v>
      </c>
      <c r="R2203" s="15">
        <v>45383</v>
      </c>
      <c r="S2203" s="11" t="s">
        <v>364</v>
      </c>
      <c r="T2203" s="16">
        <v>1000</v>
      </c>
      <c r="U2203" s="17"/>
      <c r="V2203" s="12">
        <v>2385.7142857142853</v>
      </c>
      <c r="W2203" s="12">
        <v>2385.7142857142853</v>
      </c>
      <c r="X2203" s="12">
        <v>0</v>
      </c>
      <c r="Y2203" s="18">
        <v>45761</v>
      </c>
      <c r="Z2203" s="13" t="s">
        <v>505</v>
      </c>
      <c r="AA2203" s="19" t="s">
        <v>361</v>
      </c>
      <c r="AB2203" s="13" t="s">
        <v>357</v>
      </c>
      <c r="AC2203" s="13" t="s">
        <v>472</v>
      </c>
      <c r="AD2203" s="20"/>
      <c r="AE2203" s="20"/>
      <c r="AF2203" s="13" t="s">
        <v>40</v>
      </c>
      <c r="AG2203" s="15">
        <v>45383</v>
      </c>
      <c r="AH2203" s="13" t="s">
        <v>41</v>
      </c>
      <c r="AI2203" s="13" t="s">
        <v>35</v>
      </c>
      <c r="AJ2203" s="13" t="str">
        <f>VLOOKUP(E2203,Precios!Z$2:AA$941,2,FALSE)</f>
        <v>Queso RUNCA Mantecoso</v>
      </c>
      <c r="AK2203" s="14">
        <f>VLOOKUP(E2203,Precios!Z$2:BB$941,3,FALSE)*F2203</f>
        <v>-1</v>
      </c>
      <c r="AL2203" s="17"/>
      <c r="AM2203" s="17"/>
      <c r="AN2203" s="17"/>
      <c r="AO2203" s="17"/>
      <c r="AP2203" s="17"/>
      <c r="AQ2203" s="17"/>
      <c r="AR2203" s="17"/>
      <c r="AS2203" s="17"/>
      <c r="AT2203" s="17"/>
      <c r="AU2203" s="17"/>
      <c r="AV2203" s="17"/>
    </row>
    <row r="2204" spans="1:48" ht="15.75" customHeight="1">
      <c r="A2204" s="14" t="s">
        <v>35</v>
      </c>
      <c r="B2204" s="23" t="s">
        <v>1692</v>
      </c>
      <c r="C2204" s="22">
        <v>45764</v>
      </c>
      <c r="D2204" s="23" t="s">
        <v>120</v>
      </c>
      <c r="E2204" s="23" t="s">
        <v>37</v>
      </c>
      <c r="F2204" s="21">
        <v>1</v>
      </c>
      <c r="G2204" s="12">
        <v>10500</v>
      </c>
      <c r="H2204" s="12">
        <v>10500</v>
      </c>
      <c r="I2204" s="23" t="s">
        <v>52</v>
      </c>
      <c r="J2204" s="23" t="s">
        <v>61</v>
      </c>
      <c r="K2204" s="24" t="s">
        <v>177</v>
      </c>
      <c r="L2204" s="24">
        <v>127</v>
      </c>
      <c r="M2204" s="12">
        <v>8823.5294117647063</v>
      </c>
      <c r="N2204" s="12">
        <v>8823.5294117647063</v>
      </c>
      <c r="O2204" s="12">
        <v>1676.4705882352937</v>
      </c>
      <c r="P2204" s="13"/>
      <c r="Q2204" s="14">
        <v>2025</v>
      </c>
      <c r="R2204" s="15">
        <v>45383</v>
      </c>
      <c r="S2204" s="11" t="s">
        <v>364</v>
      </c>
      <c r="T2204" s="16">
        <v>1000</v>
      </c>
      <c r="U2204" s="17"/>
      <c r="V2204" s="12">
        <v>2385.7142857142853</v>
      </c>
      <c r="W2204" s="12">
        <v>2385.7142857142853</v>
      </c>
      <c r="X2204" s="12">
        <v>0</v>
      </c>
      <c r="Y2204" s="18">
        <v>45761</v>
      </c>
      <c r="Z2204" s="13" t="s">
        <v>505</v>
      </c>
      <c r="AA2204" s="19" t="s">
        <v>373</v>
      </c>
      <c r="AB2204" s="13" t="s">
        <v>357</v>
      </c>
      <c r="AC2204" s="13" t="s">
        <v>383</v>
      </c>
      <c r="AD2204" s="20"/>
      <c r="AE2204" s="20"/>
      <c r="AF2204" s="13" t="s">
        <v>40</v>
      </c>
      <c r="AG2204" s="15">
        <v>45383</v>
      </c>
      <c r="AH2204" s="13" t="s">
        <v>41</v>
      </c>
      <c r="AI2204" s="13" t="s">
        <v>35</v>
      </c>
      <c r="AJ2204" s="13" t="str">
        <f>VLOOKUP(E2204,Precios!Z$2:AA$941,2,FALSE)</f>
        <v>Queso RUNCA Mantecoso</v>
      </c>
      <c r="AK2204" s="14">
        <f>VLOOKUP(E2204,Precios!Z$2:BB$941,3,FALSE)*F2204</f>
        <v>-1</v>
      </c>
      <c r="AL2204" s="17"/>
      <c r="AM2204" s="17"/>
      <c r="AN2204" s="17"/>
      <c r="AO2204" s="17"/>
      <c r="AP2204" s="17"/>
      <c r="AQ2204" s="17"/>
      <c r="AR2204" s="17"/>
      <c r="AS2204" s="17"/>
      <c r="AT2204" s="17"/>
      <c r="AU2204" s="17"/>
      <c r="AV2204" s="17"/>
    </row>
    <row r="2205" spans="1:48" ht="15.75" customHeight="1">
      <c r="A2205" s="14" t="s">
        <v>35</v>
      </c>
      <c r="B2205" s="23" t="s">
        <v>1692</v>
      </c>
      <c r="C2205" s="22">
        <v>45764</v>
      </c>
      <c r="D2205" s="23" t="s">
        <v>44</v>
      </c>
      <c r="E2205" s="23" t="s">
        <v>46</v>
      </c>
      <c r="F2205" s="21">
        <v>1</v>
      </c>
      <c r="G2205" s="12">
        <v>5500</v>
      </c>
      <c r="H2205" s="12">
        <v>5500</v>
      </c>
      <c r="I2205" s="23" t="s">
        <v>52</v>
      </c>
      <c r="J2205" s="23" t="s">
        <v>61</v>
      </c>
      <c r="K2205" s="24" t="s">
        <v>177</v>
      </c>
      <c r="L2205" s="24">
        <v>127</v>
      </c>
      <c r="M2205" s="12">
        <v>4621.8487394957983</v>
      </c>
      <c r="N2205" s="12">
        <v>4621.8487394957983</v>
      </c>
      <c r="O2205" s="12">
        <v>878.15126050420167</v>
      </c>
      <c r="P2205" s="13"/>
      <c r="Q2205" s="14">
        <v>2025</v>
      </c>
      <c r="R2205" s="15">
        <v>45383</v>
      </c>
      <c r="S2205" s="11" t="s">
        <v>364</v>
      </c>
      <c r="T2205" s="16">
        <v>500</v>
      </c>
      <c r="U2205" s="17"/>
      <c r="V2205" s="12">
        <v>1365.1260504201678</v>
      </c>
      <c r="W2205" s="12">
        <v>1365.1260504201678</v>
      </c>
      <c r="X2205" s="12">
        <v>0</v>
      </c>
      <c r="Y2205" s="18">
        <v>45761</v>
      </c>
      <c r="Z2205" s="13" t="s">
        <v>505</v>
      </c>
      <c r="AA2205" s="19" t="s">
        <v>361</v>
      </c>
      <c r="AB2205" s="13" t="s">
        <v>357</v>
      </c>
      <c r="AC2205" s="13" t="s">
        <v>554</v>
      </c>
      <c r="AD2205" s="20"/>
      <c r="AE2205" s="20"/>
      <c r="AF2205" s="13" t="s">
        <v>40</v>
      </c>
      <c r="AG2205" s="15">
        <v>45383</v>
      </c>
      <c r="AH2205" s="13" t="s">
        <v>41</v>
      </c>
      <c r="AI2205" s="13" t="s">
        <v>35</v>
      </c>
      <c r="AJ2205" s="13" t="str">
        <f>VLOOKUP(E2205,Precios!Z$2:AA$941,2,FALSE)</f>
        <v>Queso RUNCA Mantecoso</v>
      </c>
      <c r="AK2205" s="14">
        <f>VLOOKUP(E2205,Precios!Z$2:BB$941,3,FALSE)*F2205</f>
        <v>-0.5</v>
      </c>
      <c r="AL2205" s="17"/>
      <c r="AM2205" s="17"/>
      <c r="AN2205" s="17"/>
      <c r="AO2205" s="17"/>
      <c r="AP2205" s="17"/>
      <c r="AQ2205" s="17"/>
      <c r="AR2205" s="17"/>
      <c r="AS2205" s="17"/>
      <c r="AT2205" s="17"/>
      <c r="AU2205" s="17"/>
      <c r="AV2205" s="17"/>
    </row>
    <row r="2206" spans="1:48" ht="15.75" customHeight="1">
      <c r="A2206" s="21" t="s">
        <v>43</v>
      </c>
      <c r="B2206" s="23" t="s">
        <v>1692</v>
      </c>
      <c r="C2206" s="22">
        <v>45764</v>
      </c>
      <c r="D2206" s="23" t="s">
        <v>44</v>
      </c>
      <c r="E2206" s="23" t="s">
        <v>45</v>
      </c>
      <c r="F2206" s="21">
        <v>1</v>
      </c>
      <c r="G2206" s="12">
        <v>8299.9877571008819</v>
      </c>
      <c r="H2206" s="12">
        <v>8299.9877571008819</v>
      </c>
      <c r="I2206" s="23" t="s">
        <v>52</v>
      </c>
      <c r="J2206" s="23" t="s">
        <v>61</v>
      </c>
      <c r="K2206" s="24" t="s">
        <v>177</v>
      </c>
      <c r="L2206" s="24">
        <v>127</v>
      </c>
      <c r="M2206" s="12">
        <v>6974.7796278158676</v>
      </c>
      <c r="N2206" s="12">
        <v>6974.7796278158676</v>
      </c>
      <c r="O2206" s="12">
        <v>1325.2081292850144</v>
      </c>
      <c r="P2206" s="13"/>
      <c r="Q2206" s="14">
        <v>2025</v>
      </c>
      <c r="R2206" s="15">
        <v>45383</v>
      </c>
      <c r="S2206" s="11" t="s">
        <v>355</v>
      </c>
      <c r="T2206" s="16">
        <v>0</v>
      </c>
      <c r="U2206" s="17"/>
      <c r="V2206" s="12">
        <v>1277.7796278158667</v>
      </c>
      <c r="W2206" s="12">
        <v>1277.7796278158667</v>
      </c>
      <c r="X2206" s="12">
        <v>0</v>
      </c>
      <c r="Y2206" s="18">
        <v>45761</v>
      </c>
      <c r="Z2206" s="13" t="s">
        <v>505</v>
      </c>
      <c r="AA2206" s="19" t="s">
        <v>361</v>
      </c>
      <c r="AB2206" s="13" t="s">
        <v>357</v>
      </c>
      <c r="AC2206" s="13" t="s">
        <v>554</v>
      </c>
      <c r="AD2206" s="20"/>
      <c r="AE2206" s="20"/>
      <c r="AF2206" s="13" t="s">
        <v>40</v>
      </c>
      <c r="AG2206" s="15">
        <v>45383</v>
      </c>
      <c r="AH2206" s="13" t="s">
        <v>41</v>
      </c>
      <c r="AI2206" s="13" t="s">
        <v>43</v>
      </c>
      <c r="AJ2206" s="13" t="str">
        <f>VLOOKUP(E2206,Precios!Z$2:AA$941,2,FALSE)</f>
        <v>Bandeja Huevos EXTRA</v>
      </c>
      <c r="AK2206" s="14">
        <f>VLOOKUP(E2206,Precios!Z$2:BB$941,3,FALSE)*F2206</f>
        <v>-1</v>
      </c>
      <c r="AL2206" s="17"/>
      <c r="AM2206" s="17"/>
      <c r="AN2206" s="17"/>
      <c r="AO2206" s="17"/>
      <c r="AP2206" s="17"/>
      <c r="AQ2206" s="17"/>
      <c r="AR2206" s="17"/>
      <c r="AS2206" s="17"/>
      <c r="AT2206" s="17"/>
      <c r="AU2206" s="17"/>
      <c r="AV2206" s="17"/>
    </row>
    <row r="2207" spans="1:48" ht="15.75" customHeight="1">
      <c r="A2207" s="14" t="s">
        <v>35</v>
      </c>
      <c r="B2207" s="23" t="s">
        <v>1692</v>
      </c>
      <c r="C2207" s="22">
        <v>45764</v>
      </c>
      <c r="D2207" s="23" t="s">
        <v>246</v>
      </c>
      <c r="E2207" s="23" t="s">
        <v>37</v>
      </c>
      <c r="F2207" s="21">
        <v>1</v>
      </c>
      <c r="G2207" s="12">
        <v>10500</v>
      </c>
      <c r="H2207" s="12">
        <v>10500</v>
      </c>
      <c r="I2207" s="23" t="s">
        <v>52</v>
      </c>
      <c r="J2207" s="23" t="s">
        <v>61</v>
      </c>
      <c r="K2207" s="24" t="s">
        <v>177</v>
      </c>
      <c r="L2207" s="24">
        <v>127</v>
      </c>
      <c r="M2207" s="12">
        <v>8823.5294117647063</v>
      </c>
      <c r="N2207" s="12">
        <v>8823.5294117647063</v>
      </c>
      <c r="O2207" s="12">
        <v>1676.4705882352937</v>
      </c>
      <c r="P2207" s="13"/>
      <c r="Q2207" s="14">
        <v>2025</v>
      </c>
      <c r="R2207" s="15">
        <v>45383</v>
      </c>
      <c r="S2207" s="11" t="s">
        <v>364</v>
      </c>
      <c r="T2207" s="16">
        <v>1000</v>
      </c>
      <c r="U2207" s="17"/>
      <c r="V2207" s="12">
        <v>2385.7142857142853</v>
      </c>
      <c r="W2207" s="12">
        <v>2385.7142857142853</v>
      </c>
      <c r="X2207" s="12">
        <v>0</v>
      </c>
      <c r="Y2207" s="18">
        <v>45761</v>
      </c>
      <c r="Z2207" s="13" t="s">
        <v>505</v>
      </c>
      <c r="AA2207" s="19" t="s">
        <v>373</v>
      </c>
      <c r="AB2207" s="13" t="s">
        <v>357</v>
      </c>
      <c r="AC2207" s="13" t="s">
        <v>389</v>
      </c>
      <c r="AD2207" s="20"/>
      <c r="AE2207" s="20"/>
      <c r="AF2207" s="13" t="s">
        <v>40</v>
      </c>
      <c r="AG2207" s="15">
        <v>45383</v>
      </c>
      <c r="AH2207" s="13" t="s">
        <v>41</v>
      </c>
      <c r="AI2207" s="13" t="s">
        <v>35</v>
      </c>
      <c r="AJ2207" s="13" t="str">
        <f>VLOOKUP(E2207,Precios!Z$2:AA$941,2,FALSE)</f>
        <v>Queso RUNCA Mantecoso</v>
      </c>
      <c r="AK2207" s="14">
        <f>VLOOKUP(E2207,Precios!Z$2:BB$941,3,FALSE)*F2207</f>
        <v>-1</v>
      </c>
      <c r="AL2207" s="17"/>
      <c r="AM2207" s="17"/>
      <c r="AN2207" s="17"/>
      <c r="AO2207" s="17"/>
      <c r="AP2207" s="17"/>
      <c r="AQ2207" s="17"/>
      <c r="AR2207" s="17"/>
      <c r="AS2207" s="17"/>
      <c r="AT2207" s="17"/>
      <c r="AU2207" s="17"/>
      <c r="AV2207" s="17"/>
    </row>
    <row r="2208" spans="1:48" ht="15.75" customHeight="1">
      <c r="A2208" s="14" t="s">
        <v>35</v>
      </c>
      <c r="B2208" s="23" t="s">
        <v>1692</v>
      </c>
      <c r="C2208" s="22">
        <v>45764</v>
      </c>
      <c r="D2208" s="23" t="s">
        <v>87</v>
      </c>
      <c r="E2208" s="23" t="s">
        <v>37</v>
      </c>
      <c r="F2208" s="21">
        <v>1</v>
      </c>
      <c r="G2208" s="12">
        <v>10500</v>
      </c>
      <c r="H2208" s="12">
        <v>10500</v>
      </c>
      <c r="I2208" s="23" t="s">
        <v>52</v>
      </c>
      <c r="J2208" s="23" t="s">
        <v>61</v>
      </c>
      <c r="K2208" s="24" t="s">
        <v>177</v>
      </c>
      <c r="L2208" s="24">
        <v>127</v>
      </c>
      <c r="M2208" s="12">
        <v>8823.5294117647063</v>
      </c>
      <c r="N2208" s="12">
        <v>8823.5294117647063</v>
      </c>
      <c r="O2208" s="12">
        <v>1676.4705882352937</v>
      </c>
      <c r="P2208" s="13"/>
      <c r="Q2208" s="14">
        <v>2025</v>
      </c>
      <c r="R2208" s="15">
        <v>45383</v>
      </c>
      <c r="S2208" s="11" t="s">
        <v>364</v>
      </c>
      <c r="T2208" s="16">
        <v>1000</v>
      </c>
      <c r="U2208" s="17"/>
      <c r="V2208" s="12">
        <v>2385.7142857142853</v>
      </c>
      <c r="W2208" s="12">
        <v>2385.7142857142853</v>
      </c>
      <c r="X2208" s="12">
        <v>0</v>
      </c>
      <c r="Y2208" s="18">
        <v>45761</v>
      </c>
      <c r="Z2208" s="13" t="s">
        <v>505</v>
      </c>
      <c r="AA2208" s="19" t="s">
        <v>361</v>
      </c>
      <c r="AB2208" s="13" t="s">
        <v>357</v>
      </c>
      <c r="AC2208" s="13" t="s">
        <v>383</v>
      </c>
      <c r="AD2208" s="20"/>
      <c r="AE2208" s="20"/>
      <c r="AF2208" s="13" t="s">
        <v>40</v>
      </c>
      <c r="AG2208" s="15">
        <v>45383</v>
      </c>
      <c r="AH2208" s="13" t="s">
        <v>41</v>
      </c>
      <c r="AI2208" s="13" t="s">
        <v>35</v>
      </c>
      <c r="AJ2208" s="13" t="str">
        <f>VLOOKUP(E2208,Precios!Z$2:AA$941,2,FALSE)</f>
        <v>Queso RUNCA Mantecoso</v>
      </c>
      <c r="AK2208" s="14">
        <f>VLOOKUP(E2208,Precios!Z$2:BB$941,3,FALSE)*F2208</f>
        <v>-1</v>
      </c>
      <c r="AL2208" s="17"/>
      <c r="AM2208" s="17"/>
      <c r="AN2208" s="17"/>
      <c r="AO2208" s="17"/>
      <c r="AP2208" s="17"/>
      <c r="AQ2208" s="17"/>
      <c r="AR2208" s="17"/>
      <c r="AS2208" s="17"/>
      <c r="AT2208" s="17"/>
      <c r="AU2208" s="17"/>
      <c r="AV2208" s="17"/>
    </row>
    <row r="2209" spans="1:48" ht="15.75" customHeight="1">
      <c r="A2209" s="14" t="s">
        <v>35</v>
      </c>
      <c r="B2209" s="23" t="s">
        <v>1692</v>
      </c>
      <c r="C2209" s="22">
        <v>45764</v>
      </c>
      <c r="D2209" s="23" t="s">
        <v>699</v>
      </c>
      <c r="E2209" s="23" t="s">
        <v>37</v>
      </c>
      <c r="F2209" s="21">
        <v>1</v>
      </c>
      <c r="G2209" s="12">
        <v>10500</v>
      </c>
      <c r="H2209" s="12">
        <v>10500</v>
      </c>
      <c r="I2209" s="23" t="s">
        <v>52</v>
      </c>
      <c r="J2209" s="23" t="s">
        <v>61</v>
      </c>
      <c r="K2209" s="24" t="s">
        <v>177</v>
      </c>
      <c r="L2209" s="24">
        <v>127</v>
      </c>
      <c r="M2209" s="12">
        <v>8823.5294117647063</v>
      </c>
      <c r="N2209" s="12">
        <v>8823.5294117647063</v>
      </c>
      <c r="O2209" s="12">
        <v>1676.4705882352937</v>
      </c>
      <c r="P2209" s="13"/>
      <c r="Q2209" s="14">
        <v>2025</v>
      </c>
      <c r="R2209" s="15">
        <v>45383</v>
      </c>
      <c r="S2209" s="11" t="s">
        <v>364</v>
      </c>
      <c r="T2209" s="16">
        <v>1000</v>
      </c>
      <c r="U2209" s="17"/>
      <c r="V2209" s="12">
        <v>2385.7142857142853</v>
      </c>
      <c r="W2209" s="12">
        <v>2385.7142857142853</v>
      </c>
      <c r="X2209" s="12">
        <v>0</v>
      </c>
      <c r="Y2209" s="18">
        <v>45761</v>
      </c>
      <c r="Z2209" s="13" t="s">
        <v>505</v>
      </c>
      <c r="AA2209" s="19" t="s">
        <v>373</v>
      </c>
      <c r="AB2209" s="13" t="s">
        <v>357</v>
      </c>
      <c r="AC2209" s="13" t="s">
        <v>383</v>
      </c>
      <c r="AD2209" s="20"/>
      <c r="AE2209" s="20"/>
      <c r="AF2209" s="13" t="s">
        <v>40</v>
      </c>
      <c r="AG2209" s="15">
        <v>45383</v>
      </c>
      <c r="AH2209" s="13" t="s">
        <v>41</v>
      </c>
      <c r="AI2209" s="13" t="s">
        <v>35</v>
      </c>
      <c r="AJ2209" s="13" t="str">
        <f>VLOOKUP(E2209,Precios!Z$2:AA$941,2,FALSE)</f>
        <v>Queso RUNCA Mantecoso</v>
      </c>
      <c r="AK2209" s="14">
        <f>VLOOKUP(E2209,Precios!Z$2:BB$941,3,FALSE)*F2209</f>
        <v>-1</v>
      </c>
      <c r="AL2209" s="17"/>
      <c r="AM2209" s="17"/>
      <c r="AN2209" s="17"/>
      <c r="AO2209" s="17"/>
      <c r="AP2209" s="17"/>
      <c r="AQ2209" s="17"/>
      <c r="AR2209" s="17"/>
      <c r="AS2209" s="17"/>
      <c r="AT2209" s="17"/>
      <c r="AU2209" s="17"/>
      <c r="AV2209" s="17"/>
    </row>
    <row r="2210" spans="1:48" ht="15.75" customHeight="1">
      <c r="A2210" s="21" t="s">
        <v>43</v>
      </c>
      <c r="B2210" s="23" t="s">
        <v>1692</v>
      </c>
      <c r="C2210" s="22">
        <v>45764</v>
      </c>
      <c r="D2210" s="23" t="s">
        <v>699</v>
      </c>
      <c r="E2210" s="23" t="s">
        <v>45</v>
      </c>
      <c r="F2210" s="21">
        <v>1</v>
      </c>
      <c r="G2210" s="12">
        <v>8299.9877571008819</v>
      </c>
      <c r="H2210" s="12">
        <v>8299.9877571008819</v>
      </c>
      <c r="I2210" s="23" t="s">
        <v>52</v>
      </c>
      <c r="J2210" s="23" t="s">
        <v>61</v>
      </c>
      <c r="K2210" s="24" t="s">
        <v>177</v>
      </c>
      <c r="L2210" s="24">
        <v>127</v>
      </c>
      <c r="M2210" s="12">
        <v>6974.7796278158676</v>
      </c>
      <c r="N2210" s="12">
        <v>6974.7796278158676</v>
      </c>
      <c r="O2210" s="12">
        <v>1325.2081292850144</v>
      </c>
      <c r="P2210" s="13"/>
      <c r="Q2210" s="14">
        <v>2025</v>
      </c>
      <c r="R2210" s="15">
        <v>45383</v>
      </c>
      <c r="S2210" s="11" t="s">
        <v>355</v>
      </c>
      <c r="T2210" s="16">
        <v>0</v>
      </c>
      <c r="U2210" s="17"/>
      <c r="V2210" s="12">
        <v>1277.7796278158667</v>
      </c>
      <c r="W2210" s="12">
        <v>1277.7796278158667</v>
      </c>
      <c r="X2210" s="12">
        <v>0</v>
      </c>
      <c r="Y2210" s="18">
        <v>45761</v>
      </c>
      <c r="Z2210" s="13" t="s">
        <v>505</v>
      </c>
      <c r="AA2210" s="19" t="s">
        <v>373</v>
      </c>
      <c r="AB2210" s="13" t="s">
        <v>357</v>
      </c>
      <c r="AC2210" s="13" t="s">
        <v>383</v>
      </c>
      <c r="AD2210" s="20"/>
      <c r="AE2210" s="20"/>
      <c r="AF2210" s="13" t="s">
        <v>40</v>
      </c>
      <c r="AG2210" s="15">
        <v>45383</v>
      </c>
      <c r="AH2210" s="13" t="s">
        <v>41</v>
      </c>
      <c r="AI2210" s="13" t="s">
        <v>43</v>
      </c>
      <c r="AJ2210" s="13" t="str">
        <f>VLOOKUP(E2210,Precios!Z$2:AA$941,2,FALSE)</f>
        <v>Bandeja Huevos EXTRA</v>
      </c>
      <c r="AK2210" s="14">
        <f>VLOOKUP(E2210,Precios!Z$2:BB$941,3,FALSE)*F2210</f>
        <v>-1</v>
      </c>
      <c r="AL2210" s="17"/>
      <c r="AM2210" s="17"/>
      <c r="AN2210" s="17"/>
      <c r="AO2210" s="17"/>
      <c r="AP2210" s="17"/>
      <c r="AQ2210" s="17"/>
      <c r="AR2210" s="17"/>
      <c r="AS2210" s="17"/>
      <c r="AT2210" s="17"/>
      <c r="AU2210" s="17"/>
      <c r="AV2210" s="17"/>
    </row>
    <row r="2211" spans="1:48" ht="15.75" customHeight="1">
      <c r="A2211" s="14" t="s">
        <v>35</v>
      </c>
      <c r="B2211" s="23" t="s">
        <v>1692</v>
      </c>
      <c r="C2211" s="22">
        <v>45764</v>
      </c>
      <c r="D2211" s="23" t="s">
        <v>245</v>
      </c>
      <c r="E2211" s="23" t="s">
        <v>46</v>
      </c>
      <c r="F2211" s="21">
        <v>1</v>
      </c>
      <c r="G2211" s="12">
        <v>5500</v>
      </c>
      <c r="H2211" s="12">
        <v>5500</v>
      </c>
      <c r="I2211" s="23" t="s">
        <v>52</v>
      </c>
      <c r="J2211" s="23" t="s">
        <v>61</v>
      </c>
      <c r="K2211" s="24" t="s">
        <v>177</v>
      </c>
      <c r="L2211" s="24">
        <v>127</v>
      </c>
      <c r="M2211" s="12">
        <v>4621.8487394957983</v>
      </c>
      <c r="N2211" s="12">
        <v>4621.8487394957983</v>
      </c>
      <c r="O2211" s="12">
        <v>878.15126050420167</v>
      </c>
      <c r="P2211" s="13"/>
      <c r="Q2211" s="14">
        <v>2025</v>
      </c>
      <c r="R2211" s="15">
        <v>45383</v>
      </c>
      <c r="S2211" s="11" t="s">
        <v>364</v>
      </c>
      <c r="T2211" s="16">
        <v>500</v>
      </c>
      <c r="U2211" s="17"/>
      <c r="V2211" s="12">
        <v>1365.1260504201678</v>
      </c>
      <c r="W2211" s="12">
        <v>1365.1260504201678</v>
      </c>
      <c r="X2211" s="12">
        <v>0</v>
      </c>
      <c r="Y2211" s="18">
        <v>45761</v>
      </c>
      <c r="Z2211" s="13" t="s">
        <v>505</v>
      </c>
      <c r="AA2211" s="19" t="s">
        <v>373</v>
      </c>
      <c r="AB2211" s="13" t="s">
        <v>357</v>
      </c>
      <c r="AC2211" s="13" t="s">
        <v>489</v>
      </c>
      <c r="AD2211" s="20"/>
      <c r="AE2211" s="20"/>
      <c r="AF2211" s="13" t="s">
        <v>40</v>
      </c>
      <c r="AG2211" s="15">
        <v>45383</v>
      </c>
      <c r="AH2211" s="13" t="s">
        <v>41</v>
      </c>
      <c r="AI2211" s="13" t="s">
        <v>35</v>
      </c>
      <c r="AJ2211" s="13" t="str">
        <f>VLOOKUP(E2211,Precios!Z$2:AA$941,2,FALSE)</f>
        <v>Queso RUNCA Mantecoso</v>
      </c>
      <c r="AK2211" s="14">
        <f>VLOOKUP(E2211,Precios!Z$2:BB$941,3,FALSE)*F2211</f>
        <v>-0.5</v>
      </c>
      <c r="AL2211" s="17"/>
      <c r="AM2211" s="17"/>
      <c r="AN2211" s="17"/>
      <c r="AO2211" s="17"/>
      <c r="AP2211" s="17"/>
      <c r="AQ2211" s="17"/>
      <c r="AR2211" s="17"/>
      <c r="AS2211" s="17"/>
      <c r="AT2211" s="17"/>
      <c r="AU2211" s="17"/>
      <c r="AV2211" s="17"/>
    </row>
    <row r="2212" spans="1:48" ht="15.75" customHeight="1">
      <c r="A2212" s="14" t="s">
        <v>35</v>
      </c>
      <c r="B2212" s="23" t="s">
        <v>1692</v>
      </c>
      <c r="C2212" s="22">
        <v>45764</v>
      </c>
      <c r="D2212" s="23" t="s">
        <v>233</v>
      </c>
      <c r="E2212" s="23" t="s">
        <v>37</v>
      </c>
      <c r="F2212" s="21">
        <v>1</v>
      </c>
      <c r="G2212" s="12">
        <v>10500</v>
      </c>
      <c r="H2212" s="12">
        <v>10500</v>
      </c>
      <c r="I2212" s="23" t="s">
        <v>52</v>
      </c>
      <c r="J2212" s="23" t="s">
        <v>61</v>
      </c>
      <c r="K2212" s="24" t="s">
        <v>177</v>
      </c>
      <c r="L2212" s="24">
        <v>127</v>
      </c>
      <c r="M2212" s="12">
        <v>8823.5294117647063</v>
      </c>
      <c r="N2212" s="12">
        <v>8823.5294117647063</v>
      </c>
      <c r="O2212" s="12">
        <v>1676.4705882352937</v>
      </c>
      <c r="P2212" s="13"/>
      <c r="Q2212" s="14">
        <v>2025</v>
      </c>
      <c r="R2212" s="15">
        <v>45383</v>
      </c>
      <c r="S2212" s="11" t="s">
        <v>364</v>
      </c>
      <c r="T2212" s="16">
        <v>1000</v>
      </c>
      <c r="U2212" s="17"/>
      <c r="V2212" s="12">
        <v>2385.7142857142853</v>
      </c>
      <c r="W2212" s="12">
        <v>2385.7142857142853</v>
      </c>
      <c r="X2212" s="12">
        <v>0</v>
      </c>
      <c r="Y2212" s="18">
        <v>45761</v>
      </c>
      <c r="Z2212" s="13" t="s">
        <v>505</v>
      </c>
      <c r="AA2212" s="19" t="s">
        <v>373</v>
      </c>
      <c r="AB2212" s="13" t="s">
        <v>357</v>
      </c>
      <c r="AC2212" s="13" t="s">
        <v>383</v>
      </c>
      <c r="AD2212" s="20"/>
      <c r="AE2212" s="20"/>
      <c r="AF2212" s="13" t="s">
        <v>40</v>
      </c>
      <c r="AG2212" s="15">
        <v>45383</v>
      </c>
      <c r="AH2212" s="13" t="s">
        <v>41</v>
      </c>
      <c r="AI2212" s="13" t="s">
        <v>35</v>
      </c>
      <c r="AJ2212" s="13" t="str">
        <f>VLOOKUP(E2212,Precios!Z$2:AA$941,2,FALSE)</f>
        <v>Queso RUNCA Mantecoso</v>
      </c>
      <c r="AK2212" s="14">
        <f>VLOOKUP(E2212,Precios!Z$2:BB$941,3,FALSE)*F2212</f>
        <v>-1</v>
      </c>
      <c r="AL2212" s="17"/>
      <c r="AM2212" s="17"/>
      <c r="AN2212" s="17"/>
      <c r="AO2212" s="17"/>
      <c r="AP2212" s="17"/>
      <c r="AQ2212" s="17"/>
      <c r="AR2212" s="17"/>
      <c r="AS2212" s="17"/>
      <c r="AT2212" s="17"/>
      <c r="AU2212" s="17"/>
      <c r="AV2212" s="17"/>
    </row>
    <row r="2213" spans="1:48" ht="15.75" customHeight="1">
      <c r="A2213" s="14" t="s">
        <v>35</v>
      </c>
      <c r="B2213" s="23" t="s">
        <v>1692</v>
      </c>
      <c r="C2213" s="22">
        <v>45764</v>
      </c>
      <c r="D2213" s="23" t="s">
        <v>271</v>
      </c>
      <c r="E2213" s="23" t="s">
        <v>46</v>
      </c>
      <c r="F2213" s="21">
        <v>1</v>
      </c>
      <c r="G2213" s="12">
        <v>5500</v>
      </c>
      <c r="H2213" s="12">
        <v>5500</v>
      </c>
      <c r="I2213" s="23" t="s">
        <v>52</v>
      </c>
      <c r="J2213" s="23" t="s">
        <v>61</v>
      </c>
      <c r="K2213" s="24" t="s">
        <v>177</v>
      </c>
      <c r="L2213" s="24">
        <v>127</v>
      </c>
      <c r="M2213" s="12">
        <v>4621.8487394957983</v>
      </c>
      <c r="N2213" s="12">
        <v>4621.8487394957983</v>
      </c>
      <c r="O2213" s="12">
        <v>878.15126050420167</v>
      </c>
      <c r="P2213" s="13"/>
      <c r="Q2213" s="14">
        <v>2025</v>
      </c>
      <c r="R2213" s="15">
        <v>45383</v>
      </c>
      <c r="S2213" s="11" t="s">
        <v>364</v>
      </c>
      <c r="T2213" s="16">
        <v>500</v>
      </c>
      <c r="U2213" s="17"/>
      <c r="V2213" s="12">
        <v>1365.1260504201678</v>
      </c>
      <c r="W2213" s="12">
        <v>1365.1260504201678</v>
      </c>
      <c r="X2213" s="12">
        <v>0</v>
      </c>
      <c r="Y2213" s="18">
        <v>45761</v>
      </c>
      <c r="Z2213" s="13" t="s">
        <v>505</v>
      </c>
      <c r="AA2213" s="19" t="s">
        <v>373</v>
      </c>
      <c r="AB2213" s="13" t="s">
        <v>357</v>
      </c>
      <c r="AC2213" s="13" t="s">
        <v>461</v>
      </c>
      <c r="AD2213" s="20"/>
      <c r="AE2213" s="20"/>
      <c r="AF2213" s="13" t="s">
        <v>40</v>
      </c>
      <c r="AG2213" s="15">
        <v>45383</v>
      </c>
      <c r="AH2213" s="13" t="s">
        <v>41</v>
      </c>
      <c r="AI2213" s="13" t="s">
        <v>35</v>
      </c>
      <c r="AJ2213" s="13" t="str">
        <f>VLOOKUP(E2213,Precios!Z$2:AA$941,2,FALSE)</f>
        <v>Queso RUNCA Mantecoso</v>
      </c>
      <c r="AK2213" s="14">
        <f>VLOOKUP(E2213,Precios!Z$2:BB$941,3,FALSE)*F2213</f>
        <v>-0.5</v>
      </c>
      <c r="AL2213" s="17"/>
      <c r="AM2213" s="17"/>
      <c r="AN2213" s="17"/>
      <c r="AO2213" s="17"/>
      <c r="AP2213" s="17"/>
      <c r="AQ2213" s="17"/>
      <c r="AR2213" s="17"/>
      <c r="AS2213" s="17"/>
      <c r="AT2213" s="17"/>
      <c r="AU2213" s="17"/>
      <c r="AV2213" s="17"/>
    </row>
    <row r="2214" spans="1:48" ht="15.75" customHeight="1">
      <c r="A2214" s="14" t="s">
        <v>35</v>
      </c>
      <c r="B2214" s="23" t="s">
        <v>1692</v>
      </c>
      <c r="C2214" s="22">
        <v>45764</v>
      </c>
      <c r="D2214" s="23" t="s">
        <v>308</v>
      </c>
      <c r="E2214" s="13" t="s">
        <v>37</v>
      </c>
      <c r="F2214" s="21">
        <v>1</v>
      </c>
      <c r="G2214" s="12">
        <v>10500</v>
      </c>
      <c r="H2214" s="12">
        <v>10500</v>
      </c>
      <c r="I2214" s="23" t="s">
        <v>52</v>
      </c>
      <c r="J2214" s="23" t="s">
        <v>61</v>
      </c>
      <c r="K2214" s="24" t="s">
        <v>177</v>
      </c>
      <c r="L2214" s="24">
        <v>127</v>
      </c>
      <c r="M2214" s="12">
        <v>8823.5294117647063</v>
      </c>
      <c r="N2214" s="12">
        <v>8823.5294117647063</v>
      </c>
      <c r="O2214" s="12">
        <v>1676.4705882352937</v>
      </c>
      <c r="P2214" s="13"/>
      <c r="Q2214" s="14">
        <v>2025</v>
      </c>
      <c r="R2214" s="15">
        <v>45383</v>
      </c>
      <c r="S2214" s="11" t="s">
        <v>364</v>
      </c>
      <c r="T2214" s="16">
        <v>1000</v>
      </c>
      <c r="U2214" s="17"/>
      <c r="V2214" s="12">
        <v>2385.7142857142853</v>
      </c>
      <c r="W2214" s="12">
        <v>2385.7142857142853</v>
      </c>
      <c r="X2214" s="12">
        <v>0</v>
      </c>
      <c r="Y2214" s="18">
        <v>45761</v>
      </c>
      <c r="Z2214" s="13" t="s">
        <v>505</v>
      </c>
      <c r="AA2214" s="19" t="s">
        <v>373</v>
      </c>
      <c r="AB2214" s="13" t="s">
        <v>357</v>
      </c>
      <c r="AC2214" s="13" t="s">
        <v>612</v>
      </c>
      <c r="AD2214" s="20"/>
      <c r="AE2214" s="20"/>
      <c r="AF2214" s="13" t="s">
        <v>40</v>
      </c>
      <c r="AG2214" s="15">
        <v>45383</v>
      </c>
      <c r="AH2214" s="13" t="s">
        <v>41</v>
      </c>
      <c r="AI2214" s="13" t="s">
        <v>35</v>
      </c>
      <c r="AJ2214" s="13" t="str">
        <f>VLOOKUP(E2214,Precios!Z$2:AA$941,2,FALSE)</f>
        <v>Queso RUNCA Mantecoso</v>
      </c>
      <c r="AK2214" s="14">
        <f>VLOOKUP(E2214,Precios!Z$2:BB$941,3,FALSE)*F2214</f>
        <v>-1</v>
      </c>
      <c r="AL2214" s="17"/>
      <c r="AM2214" s="17"/>
      <c r="AN2214" s="17"/>
      <c r="AO2214" s="17"/>
      <c r="AP2214" s="17"/>
      <c r="AQ2214" s="17"/>
      <c r="AR2214" s="17"/>
      <c r="AS2214" s="17"/>
      <c r="AT2214" s="17"/>
      <c r="AU2214" s="17"/>
      <c r="AV2214" s="17"/>
    </row>
    <row r="2215" spans="1:48" ht="15.75" customHeight="1">
      <c r="A2215" s="14" t="s">
        <v>35</v>
      </c>
      <c r="B2215" s="23" t="s">
        <v>1692</v>
      </c>
      <c r="C2215" s="22">
        <v>45764</v>
      </c>
      <c r="D2215" s="23" t="s">
        <v>42</v>
      </c>
      <c r="E2215" s="13" t="s">
        <v>37</v>
      </c>
      <c r="F2215" s="21">
        <v>1</v>
      </c>
      <c r="G2215" s="12">
        <v>10500</v>
      </c>
      <c r="H2215" s="12">
        <v>10500</v>
      </c>
      <c r="I2215" s="23" t="s">
        <v>52</v>
      </c>
      <c r="J2215" s="23" t="s">
        <v>61</v>
      </c>
      <c r="K2215" s="24" t="s">
        <v>177</v>
      </c>
      <c r="L2215" s="24">
        <v>127</v>
      </c>
      <c r="M2215" s="12">
        <v>8823.5294117647063</v>
      </c>
      <c r="N2215" s="12">
        <v>8823.5294117647063</v>
      </c>
      <c r="O2215" s="12">
        <v>1676.4705882352937</v>
      </c>
      <c r="P2215" s="13"/>
      <c r="Q2215" s="14">
        <v>2025</v>
      </c>
      <c r="R2215" s="15">
        <v>45383</v>
      </c>
      <c r="S2215" s="11" t="s">
        <v>364</v>
      </c>
      <c r="T2215" s="16">
        <v>1000</v>
      </c>
      <c r="U2215" s="17"/>
      <c r="V2215" s="12">
        <v>2385.7142857142853</v>
      </c>
      <c r="W2215" s="12">
        <v>2385.7142857142853</v>
      </c>
      <c r="X2215" s="12">
        <v>0</v>
      </c>
      <c r="Y2215" s="18">
        <v>45761</v>
      </c>
      <c r="Z2215" s="13" t="s">
        <v>505</v>
      </c>
      <c r="AA2215" s="19" t="s">
        <v>361</v>
      </c>
      <c r="AB2215" s="13" t="s">
        <v>357</v>
      </c>
      <c r="AC2215" s="13" t="s">
        <v>506</v>
      </c>
      <c r="AD2215" s="20"/>
      <c r="AE2215" s="20"/>
      <c r="AF2215" s="13" t="s">
        <v>40</v>
      </c>
      <c r="AG2215" s="15">
        <v>45383</v>
      </c>
      <c r="AH2215" s="13" t="s">
        <v>41</v>
      </c>
      <c r="AI2215" s="13" t="s">
        <v>35</v>
      </c>
      <c r="AJ2215" s="13" t="str">
        <f>VLOOKUP(E2215,Precios!Z$2:AA$941,2,FALSE)</f>
        <v>Queso RUNCA Mantecoso</v>
      </c>
      <c r="AK2215" s="14">
        <f>VLOOKUP(E2215,Precios!Z$2:BB$941,3,FALSE)*F2215</f>
        <v>-1</v>
      </c>
      <c r="AL2215" s="17"/>
      <c r="AM2215" s="17"/>
      <c r="AN2215" s="17"/>
      <c r="AO2215" s="17"/>
      <c r="AP2215" s="17"/>
      <c r="AQ2215" s="17"/>
      <c r="AR2215" s="17"/>
      <c r="AS2215" s="17"/>
      <c r="AT2215" s="17"/>
      <c r="AU2215" s="17"/>
      <c r="AV2215" s="17"/>
    </row>
    <row r="2216" spans="1:48" ht="15.75" customHeight="1">
      <c r="A2216" s="21" t="s">
        <v>76</v>
      </c>
      <c r="B2216" s="23" t="s">
        <v>1692</v>
      </c>
      <c r="C2216" s="22">
        <v>45764</v>
      </c>
      <c r="D2216" s="23" t="s">
        <v>42</v>
      </c>
      <c r="E2216" s="23" t="s">
        <v>212</v>
      </c>
      <c r="F2216" s="21">
        <v>1</v>
      </c>
      <c r="G2216" s="12">
        <v>3000.0000000000005</v>
      </c>
      <c r="H2216" s="12">
        <v>3000.0000000000005</v>
      </c>
      <c r="I2216" s="23" t="s">
        <v>52</v>
      </c>
      <c r="J2216" s="23" t="s">
        <v>61</v>
      </c>
      <c r="K2216" s="24" t="s">
        <v>177</v>
      </c>
      <c r="L2216" s="24">
        <v>127</v>
      </c>
      <c r="M2216" s="12">
        <v>2521.0084033613452</v>
      </c>
      <c r="N2216" s="12">
        <v>2521.0084033613452</v>
      </c>
      <c r="O2216" s="12">
        <v>478.99159663865521</v>
      </c>
      <c r="P2216" s="13"/>
      <c r="Q2216" s="14">
        <v>2025</v>
      </c>
      <c r="R2216" s="15">
        <v>45383</v>
      </c>
      <c r="S2216" s="11" t="s">
        <v>446</v>
      </c>
      <c r="T2216" s="16">
        <v>5</v>
      </c>
      <c r="U2216" s="17"/>
      <c r="V2216" s="12">
        <v>764.70588235294144</v>
      </c>
      <c r="W2216" s="12">
        <v>764.70588235294144</v>
      </c>
      <c r="X2216" s="12">
        <v>0</v>
      </c>
      <c r="Y2216" s="18">
        <v>45761</v>
      </c>
      <c r="Z2216" s="13" t="s">
        <v>505</v>
      </c>
      <c r="AA2216" s="19" t="s">
        <v>361</v>
      </c>
      <c r="AB2216" s="13" t="s">
        <v>357</v>
      </c>
      <c r="AC2216" s="13" t="s">
        <v>506</v>
      </c>
      <c r="AD2216" s="20"/>
      <c r="AE2216" s="20"/>
      <c r="AF2216" s="13" t="s">
        <v>40</v>
      </c>
      <c r="AG2216" s="15">
        <v>45383</v>
      </c>
      <c r="AH2216" s="13" t="s">
        <v>41</v>
      </c>
      <c r="AI2216" s="13" t="s">
        <v>76</v>
      </c>
      <c r="AJ2216" s="13" t="str">
        <f>VLOOKUP(E2216,Precios!Z$2:AA$941,2,FALSE)</f>
        <v>Suavizante SPUM 5 Litros</v>
      </c>
      <c r="AK2216" s="14">
        <f>VLOOKUP(E2216,Precios!Z$2:BB$941,3,FALSE)*F2216</f>
        <v>-1</v>
      </c>
      <c r="AL2216" s="17"/>
      <c r="AM2216" s="17"/>
      <c r="AN2216" s="17"/>
      <c r="AO2216" s="17"/>
      <c r="AP2216" s="17"/>
      <c r="AQ2216" s="17"/>
      <c r="AR2216" s="17"/>
      <c r="AS2216" s="17"/>
      <c r="AT2216" s="17"/>
      <c r="AU2216" s="17"/>
      <c r="AV2216" s="17"/>
    </row>
    <row r="2217" spans="1:48" ht="15.75" customHeight="1">
      <c r="A2217" s="21" t="s">
        <v>35</v>
      </c>
      <c r="B2217" s="23" t="s">
        <v>1692</v>
      </c>
      <c r="C2217" s="22">
        <v>45764</v>
      </c>
      <c r="D2217" s="23" t="s">
        <v>548</v>
      </c>
      <c r="E2217" s="23" t="s">
        <v>37</v>
      </c>
      <c r="F2217" s="21">
        <v>1</v>
      </c>
      <c r="G2217" s="12">
        <v>10500</v>
      </c>
      <c r="H2217" s="12">
        <v>10500</v>
      </c>
      <c r="I2217" s="23" t="s">
        <v>52</v>
      </c>
      <c r="J2217" s="23" t="s">
        <v>61</v>
      </c>
      <c r="K2217" s="24" t="s">
        <v>177</v>
      </c>
      <c r="L2217" s="24">
        <v>127</v>
      </c>
      <c r="M2217" s="12">
        <v>8823.5294117647063</v>
      </c>
      <c r="N2217" s="12">
        <v>8823.5294117647063</v>
      </c>
      <c r="O2217" s="12">
        <v>1676.4705882352937</v>
      </c>
      <c r="P2217" s="13"/>
      <c r="Q2217" s="14">
        <v>2025</v>
      </c>
      <c r="R2217" s="15">
        <v>45383</v>
      </c>
      <c r="S2217" s="11" t="s">
        <v>364</v>
      </c>
      <c r="T2217" s="16">
        <v>1000</v>
      </c>
      <c r="U2217" s="17"/>
      <c r="V2217" s="12">
        <v>2385.7142857142853</v>
      </c>
      <c r="W2217" s="12">
        <v>2385.7142857142853</v>
      </c>
      <c r="X2217" s="12">
        <v>0</v>
      </c>
      <c r="Y2217" s="18">
        <v>45761</v>
      </c>
      <c r="Z2217" s="13" t="s">
        <v>505</v>
      </c>
      <c r="AA2217" s="19" t="s">
        <v>373</v>
      </c>
      <c r="AB2217" s="13" t="s">
        <v>357</v>
      </c>
      <c r="AC2217" s="13" t="s">
        <v>489</v>
      </c>
      <c r="AD2217" s="20"/>
      <c r="AE2217" s="20"/>
      <c r="AF2217" s="13" t="s">
        <v>40</v>
      </c>
      <c r="AG2217" s="15">
        <v>45383</v>
      </c>
      <c r="AH2217" s="13" t="s">
        <v>41</v>
      </c>
      <c r="AI2217" s="13" t="s">
        <v>35</v>
      </c>
      <c r="AJ2217" s="13" t="str">
        <f>VLOOKUP(E2217,Precios!Z$2:AA$941,2,FALSE)</f>
        <v>Queso RUNCA Mantecoso</v>
      </c>
      <c r="AK2217" s="14">
        <f>VLOOKUP(E2217,Precios!Z$2:BB$941,3,FALSE)*F2217</f>
        <v>-1</v>
      </c>
      <c r="AL2217" s="17"/>
      <c r="AM2217" s="17"/>
      <c r="AN2217" s="17"/>
      <c r="AO2217" s="17"/>
      <c r="AP2217" s="17"/>
      <c r="AQ2217" s="17"/>
      <c r="AR2217" s="17"/>
      <c r="AS2217" s="17"/>
      <c r="AT2217" s="17"/>
      <c r="AU2217" s="17"/>
      <c r="AV2217" s="17"/>
    </row>
    <row r="2218" spans="1:48" ht="15.75" customHeight="1">
      <c r="A2218" s="14" t="s">
        <v>35</v>
      </c>
      <c r="B2218" s="23" t="s">
        <v>1692</v>
      </c>
      <c r="C2218" s="22">
        <v>45764</v>
      </c>
      <c r="D2218" s="23" t="s">
        <v>348</v>
      </c>
      <c r="E2218" s="13" t="s">
        <v>37</v>
      </c>
      <c r="F2218" s="21">
        <v>1</v>
      </c>
      <c r="G2218" s="12">
        <v>10500</v>
      </c>
      <c r="H2218" s="12">
        <v>10500</v>
      </c>
      <c r="I2218" s="23" t="s">
        <v>52</v>
      </c>
      <c r="J2218" s="23" t="s">
        <v>61</v>
      </c>
      <c r="K2218" s="24" t="s">
        <v>177</v>
      </c>
      <c r="L2218" s="24">
        <v>127</v>
      </c>
      <c r="M2218" s="12">
        <v>8823.5294117647063</v>
      </c>
      <c r="N2218" s="12">
        <v>8823.5294117647063</v>
      </c>
      <c r="O2218" s="12">
        <v>1676.4705882352937</v>
      </c>
      <c r="P2218" s="13"/>
      <c r="Q2218" s="14">
        <v>2025</v>
      </c>
      <c r="R2218" s="15">
        <v>45383</v>
      </c>
      <c r="S2218" s="11" t="s">
        <v>364</v>
      </c>
      <c r="T2218" s="16">
        <v>1000</v>
      </c>
      <c r="U2218" s="17"/>
      <c r="V2218" s="12">
        <v>2385.7142857142853</v>
      </c>
      <c r="W2218" s="12">
        <v>2385.7142857142853</v>
      </c>
      <c r="X2218" s="12">
        <v>0</v>
      </c>
      <c r="Y2218" s="18">
        <v>45761</v>
      </c>
      <c r="Z2218" s="13" t="s">
        <v>505</v>
      </c>
      <c r="AA2218" s="19" t="s">
        <v>356</v>
      </c>
      <c r="AB2218" s="13" t="s">
        <v>357</v>
      </c>
      <c r="AC2218" s="13" t="s">
        <v>362</v>
      </c>
      <c r="AD2218" s="20"/>
      <c r="AE2218" s="20"/>
      <c r="AF2218" s="13" t="s">
        <v>40</v>
      </c>
      <c r="AG2218" s="15">
        <v>45383</v>
      </c>
      <c r="AH2218" s="13" t="s">
        <v>41</v>
      </c>
      <c r="AI2218" s="13" t="s">
        <v>35</v>
      </c>
      <c r="AJ2218" s="13" t="str">
        <f>VLOOKUP(E2218,Precios!Z$2:AA$941,2,FALSE)</f>
        <v>Queso RUNCA Mantecoso</v>
      </c>
      <c r="AK2218" s="14">
        <f>VLOOKUP(E2218,Precios!Z$2:BB$941,3,FALSE)*F2218</f>
        <v>-1</v>
      </c>
      <c r="AL2218" s="17"/>
      <c r="AM2218" s="17"/>
      <c r="AN2218" s="17"/>
      <c r="AO2218" s="17"/>
      <c r="AP2218" s="17"/>
      <c r="AQ2218" s="17"/>
      <c r="AR2218" s="17"/>
      <c r="AS2218" s="17"/>
      <c r="AT2218" s="17"/>
      <c r="AU2218" s="17"/>
      <c r="AV2218" s="17"/>
    </row>
    <row r="2219" spans="1:48" ht="15.75" customHeight="1">
      <c r="A2219" s="14" t="s">
        <v>35</v>
      </c>
      <c r="B2219" s="23" t="s">
        <v>1692</v>
      </c>
      <c r="C2219" s="22">
        <v>45764</v>
      </c>
      <c r="D2219" s="23" t="s">
        <v>567</v>
      </c>
      <c r="E2219" s="13" t="s">
        <v>37</v>
      </c>
      <c r="F2219" s="21">
        <v>1</v>
      </c>
      <c r="G2219" s="12">
        <v>10500</v>
      </c>
      <c r="H2219" s="12">
        <v>10500</v>
      </c>
      <c r="I2219" s="23" t="s">
        <v>52</v>
      </c>
      <c r="J2219" s="23" t="s">
        <v>61</v>
      </c>
      <c r="K2219" s="24" t="s">
        <v>177</v>
      </c>
      <c r="L2219" s="24">
        <v>127</v>
      </c>
      <c r="M2219" s="12">
        <v>8823.5294117647063</v>
      </c>
      <c r="N2219" s="12">
        <v>8823.5294117647063</v>
      </c>
      <c r="O2219" s="12">
        <v>1676.4705882352937</v>
      </c>
      <c r="P2219" s="13"/>
      <c r="Q2219" s="14">
        <v>2025</v>
      </c>
      <c r="R2219" s="15">
        <v>45383</v>
      </c>
      <c r="S2219" s="11" t="s">
        <v>364</v>
      </c>
      <c r="T2219" s="16">
        <v>1000</v>
      </c>
      <c r="U2219" s="17"/>
      <c r="V2219" s="12">
        <v>2385.7142857142853</v>
      </c>
      <c r="W2219" s="12">
        <v>2385.7142857142853</v>
      </c>
      <c r="X2219" s="12">
        <v>0</v>
      </c>
      <c r="Y2219" s="18">
        <v>45761</v>
      </c>
      <c r="Z2219" s="13" t="s">
        <v>505</v>
      </c>
      <c r="AA2219" s="19" t="s">
        <v>373</v>
      </c>
      <c r="AB2219" s="13" t="s">
        <v>357</v>
      </c>
      <c r="AC2219" s="13" t="s">
        <v>568</v>
      </c>
      <c r="AD2219" s="20"/>
      <c r="AE2219" s="20"/>
      <c r="AF2219" s="13" t="s">
        <v>40</v>
      </c>
      <c r="AG2219" s="15">
        <v>45383</v>
      </c>
      <c r="AH2219" s="13" t="s">
        <v>41</v>
      </c>
      <c r="AI2219" s="13" t="s">
        <v>35</v>
      </c>
      <c r="AJ2219" s="13" t="str">
        <f>VLOOKUP(E2219,Precios!Z$2:AA$941,2,FALSE)</f>
        <v>Queso RUNCA Mantecoso</v>
      </c>
      <c r="AK2219" s="14">
        <f>VLOOKUP(E2219,Precios!Z$2:BB$941,3,FALSE)*F2219</f>
        <v>-1</v>
      </c>
      <c r="AL2219" s="17"/>
      <c r="AM2219" s="17"/>
      <c r="AN2219" s="17"/>
      <c r="AO2219" s="17"/>
      <c r="AP2219" s="17"/>
      <c r="AQ2219" s="17"/>
      <c r="AR2219" s="17"/>
      <c r="AS2219" s="17"/>
      <c r="AT2219" s="17"/>
      <c r="AU2219" s="17"/>
      <c r="AV2219" s="17"/>
    </row>
    <row r="2220" spans="1:48" ht="15.75" customHeight="1">
      <c r="A2220" s="14" t="s">
        <v>35</v>
      </c>
      <c r="B2220" s="23" t="s">
        <v>1692</v>
      </c>
      <c r="C2220" s="22">
        <v>45764</v>
      </c>
      <c r="D2220" s="23" t="s">
        <v>700</v>
      </c>
      <c r="E2220" s="23" t="s">
        <v>37</v>
      </c>
      <c r="F2220" s="21">
        <v>1</v>
      </c>
      <c r="G2220" s="12">
        <v>10500</v>
      </c>
      <c r="H2220" s="12">
        <v>10500</v>
      </c>
      <c r="I2220" s="23" t="s">
        <v>52</v>
      </c>
      <c r="J2220" s="23" t="s">
        <v>61</v>
      </c>
      <c r="K2220" s="24" t="s">
        <v>177</v>
      </c>
      <c r="L2220" s="24">
        <v>127</v>
      </c>
      <c r="M2220" s="12">
        <v>8823.5294117647063</v>
      </c>
      <c r="N2220" s="12">
        <v>8823.5294117647063</v>
      </c>
      <c r="O2220" s="12">
        <v>1676.4705882352937</v>
      </c>
      <c r="P2220" s="13"/>
      <c r="Q2220" s="14">
        <v>2025</v>
      </c>
      <c r="R2220" s="15">
        <v>45383</v>
      </c>
      <c r="S2220" s="11" t="s">
        <v>364</v>
      </c>
      <c r="T2220" s="16">
        <v>1000</v>
      </c>
      <c r="U2220" s="17"/>
      <c r="V2220" s="12">
        <v>2385.7142857142853</v>
      </c>
      <c r="W2220" s="12">
        <v>2385.7142857142853</v>
      </c>
      <c r="X2220" s="12">
        <v>0</v>
      </c>
      <c r="Y2220" s="18">
        <v>45761</v>
      </c>
      <c r="Z2220" s="13" t="s">
        <v>505</v>
      </c>
      <c r="AA2220" s="19" t="s">
        <v>373</v>
      </c>
      <c r="AB2220" s="13" t="s">
        <v>357</v>
      </c>
      <c r="AC2220" s="13" t="s">
        <v>527</v>
      </c>
      <c r="AD2220" s="20"/>
      <c r="AE2220" s="20"/>
      <c r="AF2220" s="13" t="s">
        <v>40</v>
      </c>
      <c r="AG2220" s="15">
        <v>45383</v>
      </c>
      <c r="AH2220" s="13" t="s">
        <v>41</v>
      </c>
      <c r="AI2220" s="13" t="s">
        <v>35</v>
      </c>
      <c r="AJ2220" s="13" t="str">
        <f>VLOOKUP(E2220,Precios!Z$2:AA$941,2,FALSE)</f>
        <v>Queso RUNCA Mantecoso</v>
      </c>
      <c r="AK2220" s="14">
        <f>VLOOKUP(E2220,Precios!Z$2:BB$941,3,FALSE)*F2220</f>
        <v>-1</v>
      </c>
      <c r="AL2220" s="17"/>
      <c r="AM2220" s="17"/>
      <c r="AN2220" s="17"/>
      <c r="AO2220" s="17"/>
      <c r="AP2220" s="17"/>
      <c r="AQ2220" s="17"/>
      <c r="AR2220" s="17"/>
      <c r="AS2220" s="17"/>
      <c r="AT2220" s="17"/>
      <c r="AU2220" s="17"/>
      <c r="AV2220" s="17"/>
    </row>
    <row r="2221" spans="1:48" ht="15.75" customHeight="1">
      <c r="A2221" s="21" t="s">
        <v>35</v>
      </c>
      <c r="B2221" s="23" t="s">
        <v>1692</v>
      </c>
      <c r="C2221" s="22">
        <v>45764</v>
      </c>
      <c r="D2221" s="23" t="s">
        <v>123</v>
      </c>
      <c r="E2221" s="23" t="s">
        <v>46</v>
      </c>
      <c r="F2221" s="21">
        <v>1</v>
      </c>
      <c r="G2221" s="12">
        <v>5500</v>
      </c>
      <c r="H2221" s="12">
        <v>5500</v>
      </c>
      <c r="I2221" s="23" t="s">
        <v>52</v>
      </c>
      <c r="J2221" s="23" t="s">
        <v>61</v>
      </c>
      <c r="K2221" s="24" t="s">
        <v>177</v>
      </c>
      <c r="L2221" s="24">
        <v>127</v>
      </c>
      <c r="M2221" s="12">
        <v>4621.8487394957983</v>
      </c>
      <c r="N2221" s="12">
        <v>4621.8487394957983</v>
      </c>
      <c r="O2221" s="12">
        <v>878.15126050420167</v>
      </c>
      <c r="P2221" s="13"/>
      <c r="Q2221" s="14">
        <v>2025</v>
      </c>
      <c r="R2221" s="15">
        <v>45383</v>
      </c>
      <c r="S2221" s="11" t="s">
        <v>364</v>
      </c>
      <c r="T2221" s="16">
        <v>500</v>
      </c>
      <c r="U2221" s="17"/>
      <c r="V2221" s="12">
        <v>1365.1260504201678</v>
      </c>
      <c r="W2221" s="12">
        <v>1365.1260504201678</v>
      </c>
      <c r="X2221" s="12">
        <v>0</v>
      </c>
      <c r="Y2221" s="18">
        <v>45761</v>
      </c>
      <c r="Z2221" s="13" t="s">
        <v>505</v>
      </c>
      <c r="AA2221" s="19" t="s">
        <v>373</v>
      </c>
      <c r="AB2221" s="13" t="s">
        <v>357</v>
      </c>
      <c r="AC2221" s="13" t="s">
        <v>383</v>
      </c>
      <c r="AD2221" s="20"/>
      <c r="AE2221" s="20"/>
      <c r="AF2221" s="13" t="s">
        <v>40</v>
      </c>
      <c r="AG2221" s="15">
        <v>45383</v>
      </c>
      <c r="AH2221" s="13" t="s">
        <v>41</v>
      </c>
      <c r="AI2221" s="13" t="s">
        <v>35</v>
      </c>
      <c r="AJ2221" s="13" t="str">
        <f>VLOOKUP(E2221,Precios!Z$2:AA$941,2,FALSE)</f>
        <v>Queso RUNCA Mantecoso</v>
      </c>
      <c r="AK2221" s="14">
        <f>VLOOKUP(E2221,Precios!Z$2:BB$941,3,FALSE)*F2221</f>
        <v>-0.5</v>
      </c>
      <c r="AL2221" s="17"/>
      <c r="AM2221" s="17"/>
      <c r="AN2221" s="17"/>
      <c r="AO2221" s="17"/>
      <c r="AP2221" s="17"/>
      <c r="AQ2221" s="17"/>
      <c r="AR2221" s="17"/>
      <c r="AS2221" s="17"/>
      <c r="AT2221" s="17"/>
      <c r="AU2221" s="17"/>
      <c r="AV2221" s="17"/>
    </row>
    <row r="2222" spans="1:48" ht="15.75" customHeight="1">
      <c r="A2222" s="21" t="s">
        <v>35</v>
      </c>
      <c r="B2222" s="23" t="s">
        <v>1692</v>
      </c>
      <c r="C2222" s="22">
        <v>45764</v>
      </c>
      <c r="D2222" s="23" t="s">
        <v>507</v>
      </c>
      <c r="E2222" s="23" t="s">
        <v>37</v>
      </c>
      <c r="F2222" s="21">
        <v>1</v>
      </c>
      <c r="G2222" s="12">
        <v>10500</v>
      </c>
      <c r="H2222" s="12">
        <v>10500</v>
      </c>
      <c r="I2222" s="23" t="s">
        <v>52</v>
      </c>
      <c r="J2222" s="23" t="s">
        <v>61</v>
      </c>
      <c r="K2222" s="24" t="s">
        <v>177</v>
      </c>
      <c r="L2222" s="24">
        <v>127</v>
      </c>
      <c r="M2222" s="12">
        <v>8823.5294117647063</v>
      </c>
      <c r="N2222" s="12">
        <v>8823.5294117647063</v>
      </c>
      <c r="O2222" s="12">
        <v>1676.4705882352937</v>
      </c>
      <c r="P2222" s="13"/>
      <c r="Q2222" s="14">
        <v>2025</v>
      </c>
      <c r="R2222" s="15">
        <v>45383</v>
      </c>
      <c r="S2222" s="11" t="s">
        <v>364</v>
      </c>
      <c r="T2222" s="16">
        <v>1000</v>
      </c>
      <c r="U2222" s="17"/>
      <c r="V2222" s="12">
        <v>2385.7142857142853</v>
      </c>
      <c r="W2222" s="12">
        <v>2385.7142857142853</v>
      </c>
      <c r="X2222" s="12">
        <v>0</v>
      </c>
      <c r="Y2222" s="18">
        <v>45761</v>
      </c>
      <c r="Z2222" s="13" t="s">
        <v>505</v>
      </c>
      <c r="AA2222" s="19" t="s">
        <v>373</v>
      </c>
      <c r="AB2222" s="13" t="s">
        <v>357</v>
      </c>
      <c r="AC2222" s="13" t="s">
        <v>383</v>
      </c>
      <c r="AD2222" s="20"/>
      <c r="AE2222" s="20"/>
      <c r="AF2222" s="13" t="s">
        <v>40</v>
      </c>
      <c r="AG2222" s="15">
        <v>45383</v>
      </c>
      <c r="AH2222" s="13" t="s">
        <v>41</v>
      </c>
      <c r="AI2222" s="13" t="s">
        <v>35</v>
      </c>
      <c r="AJ2222" s="13" t="str">
        <f>VLOOKUP(E2222,Precios!Z$2:AA$941,2,FALSE)</f>
        <v>Queso RUNCA Mantecoso</v>
      </c>
      <c r="AK2222" s="14">
        <f>VLOOKUP(E2222,Precios!Z$2:BB$941,3,FALSE)*F2222</f>
        <v>-1</v>
      </c>
      <c r="AL2222" s="17"/>
      <c r="AM2222" s="17"/>
      <c r="AN2222" s="17"/>
      <c r="AO2222" s="17"/>
      <c r="AP2222" s="17"/>
      <c r="AQ2222" s="17"/>
      <c r="AR2222" s="17"/>
      <c r="AS2222" s="17"/>
      <c r="AT2222" s="17"/>
      <c r="AU2222" s="17"/>
      <c r="AV2222" s="17"/>
    </row>
    <row r="2223" spans="1:48" ht="15.75" customHeight="1">
      <c r="A2223" s="21" t="s">
        <v>76</v>
      </c>
      <c r="B2223" s="23" t="s">
        <v>1692</v>
      </c>
      <c r="C2223" s="22">
        <v>45764</v>
      </c>
      <c r="D2223" s="23" t="s">
        <v>108</v>
      </c>
      <c r="E2223" s="23" t="s">
        <v>81</v>
      </c>
      <c r="F2223" s="21">
        <v>1</v>
      </c>
      <c r="G2223" s="12">
        <v>3500.0000000000005</v>
      </c>
      <c r="H2223" s="12">
        <v>3500.0000000000005</v>
      </c>
      <c r="I2223" s="23" t="s">
        <v>52</v>
      </c>
      <c r="J2223" s="23" t="s">
        <v>61</v>
      </c>
      <c r="K2223" s="24" t="s">
        <v>177</v>
      </c>
      <c r="L2223" s="24">
        <v>127</v>
      </c>
      <c r="M2223" s="12">
        <v>2941.1764705882356</v>
      </c>
      <c r="N2223" s="12">
        <v>2941.1764705882356</v>
      </c>
      <c r="O2223" s="12">
        <v>558.82352941176487</v>
      </c>
      <c r="P2223" s="13"/>
      <c r="Q2223" s="14">
        <v>2025</v>
      </c>
      <c r="R2223" s="15">
        <v>45383</v>
      </c>
      <c r="S2223" s="11" t="s">
        <v>397</v>
      </c>
      <c r="T2223" s="16">
        <v>5</v>
      </c>
      <c r="U2223" s="17"/>
      <c r="V2223" s="12">
        <v>764.70588235294144</v>
      </c>
      <c r="W2223" s="12">
        <v>764.70588235294144</v>
      </c>
      <c r="X2223" s="12">
        <v>0</v>
      </c>
      <c r="Y2223" s="18">
        <v>45761</v>
      </c>
      <c r="Z2223" s="13" t="s">
        <v>505</v>
      </c>
      <c r="AA2223" s="19" t="s">
        <v>361</v>
      </c>
      <c r="AB2223" s="13" t="s">
        <v>357</v>
      </c>
      <c r="AC2223" s="13" t="s">
        <v>362</v>
      </c>
      <c r="AD2223" s="20"/>
      <c r="AE2223" s="20"/>
      <c r="AF2223" s="13" t="s">
        <v>40</v>
      </c>
      <c r="AG2223" s="15">
        <v>45383</v>
      </c>
      <c r="AH2223" s="13" t="s">
        <v>41</v>
      </c>
      <c r="AI2223" s="13" t="s">
        <v>76</v>
      </c>
      <c r="AJ2223" s="13" t="str">
        <f>VLOOKUP(E2223,Precios!Z$2:AA$941,2,FALSE)</f>
        <v>Detergente SPUM 5 Litros (Verde)</v>
      </c>
      <c r="AK2223" s="14">
        <f>VLOOKUP(E2223,Precios!Z$2:BB$941,3,FALSE)*F2223</f>
        <v>-1</v>
      </c>
      <c r="AL2223" s="17"/>
      <c r="AM2223" s="17"/>
      <c r="AN2223" s="17"/>
      <c r="AO2223" s="17"/>
      <c r="AP2223" s="17"/>
      <c r="AQ2223" s="17"/>
      <c r="AR2223" s="17"/>
      <c r="AS2223" s="17"/>
      <c r="AT2223" s="17"/>
      <c r="AU2223" s="17"/>
      <c r="AV2223" s="17"/>
    </row>
    <row r="2224" spans="1:48" ht="15.75" customHeight="1">
      <c r="A2224" s="21" t="s">
        <v>35</v>
      </c>
      <c r="B2224" s="23" t="s">
        <v>1692</v>
      </c>
      <c r="C2224" s="22">
        <v>45764</v>
      </c>
      <c r="D2224" s="23" t="s">
        <v>108</v>
      </c>
      <c r="E2224" s="23" t="s">
        <v>46</v>
      </c>
      <c r="F2224" s="21">
        <v>1</v>
      </c>
      <c r="G2224" s="12">
        <v>5500</v>
      </c>
      <c r="H2224" s="12">
        <v>5500</v>
      </c>
      <c r="I2224" s="23" t="s">
        <v>52</v>
      </c>
      <c r="J2224" s="23" t="s">
        <v>61</v>
      </c>
      <c r="K2224" s="24" t="s">
        <v>177</v>
      </c>
      <c r="L2224" s="24">
        <v>127</v>
      </c>
      <c r="M2224" s="12">
        <v>4621.8487394957983</v>
      </c>
      <c r="N2224" s="12">
        <v>4621.8487394957983</v>
      </c>
      <c r="O2224" s="12">
        <v>878.15126050420167</v>
      </c>
      <c r="P2224" s="13"/>
      <c r="Q2224" s="14">
        <v>2025</v>
      </c>
      <c r="R2224" s="15">
        <v>45383</v>
      </c>
      <c r="S2224" s="11" t="s">
        <v>364</v>
      </c>
      <c r="T2224" s="16">
        <v>500</v>
      </c>
      <c r="U2224" s="17"/>
      <c r="V2224" s="12">
        <v>1365.1260504201678</v>
      </c>
      <c r="W2224" s="12">
        <v>1365.1260504201678</v>
      </c>
      <c r="X2224" s="12">
        <v>0</v>
      </c>
      <c r="Y2224" s="18">
        <v>45761</v>
      </c>
      <c r="Z2224" s="13" t="s">
        <v>505</v>
      </c>
      <c r="AA2224" s="19" t="s">
        <v>361</v>
      </c>
      <c r="AB2224" s="13" t="s">
        <v>357</v>
      </c>
      <c r="AC2224" s="13" t="s">
        <v>362</v>
      </c>
      <c r="AD2224" s="20"/>
      <c r="AE2224" s="20"/>
      <c r="AF2224" s="13" t="s">
        <v>40</v>
      </c>
      <c r="AG2224" s="15">
        <v>45383</v>
      </c>
      <c r="AH2224" s="13" t="s">
        <v>41</v>
      </c>
      <c r="AI2224" s="13" t="s">
        <v>35</v>
      </c>
      <c r="AJ2224" s="13" t="str">
        <f>VLOOKUP(E2224,Precios!Z$2:AA$941,2,FALSE)</f>
        <v>Queso RUNCA Mantecoso</v>
      </c>
      <c r="AK2224" s="14">
        <f>VLOOKUP(E2224,Precios!Z$2:BB$941,3,FALSE)*F2224</f>
        <v>-0.5</v>
      </c>
      <c r="AL2224" s="17"/>
      <c r="AM2224" s="17"/>
      <c r="AN2224" s="17"/>
      <c r="AO2224" s="17"/>
      <c r="AP2224" s="17"/>
      <c r="AQ2224" s="17"/>
      <c r="AR2224" s="17"/>
      <c r="AS2224" s="17"/>
      <c r="AT2224" s="17"/>
      <c r="AU2224" s="17"/>
      <c r="AV2224" s="17"/>
    </row>
    <row r="2225" spans="1:48" ht="15.75" customHeight="1">
      <c r="A2225" s="21" t="s">
        <v>35</v>
      </c>
      <c r="B2225" s="23" t="s">
        <v>1692</v>
      </c>
      <c r="C2225" s="22">
        <v>45764</v>
      </c>
      <c r="D2225" s="23" t="s">
        <v>624</v>
      </c>
      <c r="E2225" s="23" t="s">
        <v>37</v>
      </c>
      <c r="F2225" s="21">
        <v>1</v>
      </c>
      <c r="G2225" s="12">
        <v>10500</v>
      </c>
      <c r="H2225" s="12">
        <v>10500</v>
      </c>
      <c r="I2225" s="23" t="s">
        <v>52</v>
      </c>
      <c r="J2225" s="23" t="s">
        <v>61</v>
      </c>
      <c r="K2225" s="24" t="s">
        <v>177</v>
      </c>
      <c r="L2225" s="24">
        <v>127</v>
      </c>
      <c r="M2225" s="12">
        <v>8823.5294117647063</v>
      </c>
      <c r="N2225" s="12">
        <v>8823.5294117647063</v>
      </c>
      <c r="O2225" s="12">
        <v>1676.4705882352937</v>
      </c>
      <c r="P2225" s="13"/>
      <c r="Q2225" s="14">
        <v>2025</v>
      </c>
      <c r="R2225" s="15">
        <v>45383</v>
      </c>
      <c r="S2225" s="11" t="s">
        <v>364</v>
      </c>
      <c r="T2225" s="16">
        <v>1000</v>
      </c>
      <c r="U2225" s="17"/>
      <c r="V2225" s="12">
        <v>2385.7142857142853</v>
      </c>
      <c r="W2225" s="12">
        <v>2385.7142857142853</v>
      </c>
      <c r="X2225" s="12">
        <v>0</v>
      </c>
      <c r="Y2225" s="18">
        <v>45761</v>
      </c>
      <c r="Z2225" s="13" t="s">
        <v>505</v>
      </c>
      <c r="AA2225" s="19" t="s">
        <v>373</v>
      </c>
      <c r="AB2225" s="13" t="s">
        <v>357</v>
      </c>
      <c r="AC2225" s="13" t="s">
        <v>532</v>
      </c>
      <c r="AD2225" s="20"/>
      <c r="AE2225" s="20"/>
      <c r="AF2225" s="13" t="s">
        <v>40</v>
      </c>
      <c r="AG2225" s="15">
        <v>45383</v>
      </c>
      <c r="AH2225" s="13" t="s">
        <v>41</v>
      </c>
      <c r="AI2225" s="13" t="s">
        <v>35</v>
      </c>
      <c r="AJ2225" s="13" t="str">
        <f>VLOOKUP(E2225,Precios!Z$2:AA$941,2,FALSE)</f>
        <v>Queso RUNCA Mantecoso</v>
      </c>
      <c r="AK2225" s="14">
        <f>VLOOKUP(E2225,Precios!Z$2:BB$941,3,FALSE)*F2225</f>
        <v>-1</v>
      </c>
      <c r="AL2225" s="17"/>
      <c r="AM2225" s="17"/>
      <c r="AN2225" s="17"/>
      <c r="AO2225" s="17"/>
      <c r="AP2225" s="17"/>
      <c r="AQ2225" s="17"/>
      <c r="AR2225" s="17"/>
      <c r="AS2225" s="17"/>
      <c r="AT2225" s="17"/>
      <c r="AU2225" s="17"/>
      <c r="AV2225" s="17"/>
    </row>
    <row r="2226" spans="1:48" ht="15.75" customHeight="1">
      <c r="A2226" s="21" t="s">
        <v>76</v>
      </c>
      <c r="B2226" s="23" t="s">
        <v>1692</v>
      </c>
      <c r="C2226" s="22">
        <v>45764</v>
      </c>
      <c r="D2226" s="23" t="s">
        <v>624</v>
      </c>
      <c r="E2226" s="23" t="s">
        <v>337</v>
      </c>
      <c r="F2226" s="21">
        <v>1</v>
      </c>
      <c r="G2226" s="12">
        <v>1599.9448225124147</v>
      </c>
      <c r="H2226" s="12">
        <v>1599.9448225124147</v>
      </c>
      <c r="I2226" s="23" t="s">
        <v>52</v>
      </c>
      <c r="J2226" s="23" t="s">
        <v>61</v>
      </c>
      <c r="K2226" s="24" t="s">
        <v>177</v>
      </c>
      <c r="L2226" s="24">
        <v>127</v>
      </c>
      <c r="M2226" s="12">
        <v>1344.4914474894242</v>
      </c>
      <c r="N2226" s="12">
        <v>1344.4914474894242</v>
      </c>
      <c r="O2226" s="12">
        <v>255.45337502299049</v>
      </c>
      <c r="P2226" s="13"/>
      <c r="Q2226" s="14">
        <v>2025</v>
      </c>
      <c r="R2226" s="15">
        <v>45383</v>
      </c>
      <c r="S2226" s="11" t="s">
        <v>529</v>
      </c>
      <c r="T2226" s="16">
        <v>0</v>
      </c>
      <c r="U2226" s="17"/>
      <c r="V2226" s="12">
        <v>613.49144748942422</v>
      </c>
      <c r="W2226" s="12">
        <v>613.49144748942422</v>
      </c>
      <c r="X2226" s="12">
        <v>0</v>
      </c>
      <c r="Y2226" s="18">
        <v>45761</v>
      </c>
      <c r="Z2226" s="13" t="s">
        <v>505</v>
      </c>
      <c r="AA2226" s="19" t="s">
        <v>373</v>
      </c>
      <c r="AB2226" s="13" t="s">
        <v>357</v>
      </c>
      <c r="AC2226" s="13" t="s">
        <v>532</v>
      </c>
      <c r="AD2226" s="20"/>
      <c r="AE2226" s="20"/>
      <c r="AF2226" s="13" t="s">
        <v>40</v>
      </c>
      <c r="AG2226" s="15">
        <v>45383</v>
      </c>
      <c r="AH2226" s="13" t="s">
        <v>41</v>
      </c>
      <c r="AI2226" s="13" t="s">
        <v>76</v>
      </c>
      <c r="AJ2226" s="13" t="str">
        <f>VLOOKUP(E2226,Precios!Z$2:AA$941,2,FALSE)</f>
        <v>Limpia Inodoro TEDDY</v>
      </c>
      <c r="AK2226" s="14">
        <f>VLOOKUP(E2226,Precios!Z$2:BB$941,3,FALSE)*F2226</f>
        <v>-1</v>
      </c>
      <c r="AL2226" s="17"/>
      <c r="AM2226" s="17"/>
      <c r="AN2226" s="17"/>
      <c r="AO2226" s="17"/>
      <c r="AP2226" s="17"/>
      <c r="AQ2226" s="17"/>
      <c r="AR2226" s="17"/>
      <c r="AS2226" s="17"/>
      <c r="AT2226" s="17"/>
      <c r="AU2226" s="17"/>
      <c r="AV2226" s="17"/>
    </row>
    <row r="2227" spans="1:48" ht="15.75" customHeight="1">
      <c r="A2227" s="21" t="s">
        <v>76</v>
      </c>
      <c r="B2227" s="23" t="s">
        <v>1692</v>
      </c>
      <c r="C2227" s="22">
        <v>45764</v>
      </c>
      <c r="D2227" s="23" t="s">
        <v>624</v>
      </c>
      <c r="E2227" s="23" t="s">
        <v>77</v>
      </c>
      <c r="F2227" s="21">
        <v>1</v>
      </c>
      <c r="G2227" s="12">
        <v>1500.0000000000002</v>
      </c>
      <c r="H2227" s="12">
        <v>1500.0000000000002</v>
      </c>
      <c r="I2227" s="23" t="s">
        <v>52</v>
      </c>
      <c r="J2227" s="23" t="s">
        <v>61</v>
      </c>
      <c r="K2227" s="24" t="s">
        <v>177</v>
      </c>
      <c r="L2227" s="24">
        <v>127</v>
      </c>
      <c r="M2227" s="12">
        <v>1260.5042016806726</v>
      </c>
      <c r="N2227" s="12">
        <v>1260.5042016806726</v>
      </c>
      <c r="O2227" s="12">
        <v>239.4957983193276</v>
      </c>
      <c r="P2227" s="13"/>
      <c r="Q2227" s="14">
        <v>2025</v>
      </c>
      <c r="R2227" s="15">
        <v>45383</v>
      </c>
      <c r="S2227" s="11" t="s">
        <v>448</v>
      </c>
      <c r="T2227" s="16">
        <v>0</v>
      </c>
      <c r="U2227" s="17"/>
      <c r="V2227" s="12">
        <v>421.00840336134468</v>
      </c>
      <c r="W2227" s="12">
        <v>421.00840336134468</v>
      </c>
      <c r="X2227" s="12">
        <v>0</v>
      </c>
      <c r="Y2227" s="18">
        <v>45761</v>
      </c>
      <c r="Z2227" s="13" t="s">
        <v>505</v>
      </c>
      <c r="AA2227" s="19" t="s">
        <v>373</v>
      </c>
      <c r="AB2227" s="13" t="s">
        <v>357</v>
      </c>
      <c r="AC2227" s="13" t="s">
        <v>532</v>
      </c>
      <c r="AD2227" s="20"/>
      <c r="AE2227" s="20"/>
      <c r="AF2227" s="13" t="s">
        <v>40</v>
      </c>
      <c r="AG2227" s="15">
        <v>45383</v>
      </c>
      <c r="AH2227" s="13" t="s">
        <v>41</v>
      </c>
      <c r="AI2227" s="13" t="s">
        <v>76</v>
      </c>
      <c r="AJ2227" s="13" t="str">
        <f>VLOOKUP(E2227,Precios!Z$2:AA$941,2,FALSE)</f>
        <v>Cloro GEL IGENIX 900ml</v>
      </c>
      <c r="AK2227" s="14">
        <f>VLOOKUP(E2227,Precios!Z$2:BB$941,3,FALSE)*F2227</f>
        <v>-1</v>
      </c>
      <c r="AL2227" s="17"/>
      <c r="AM2227" s="17"/>
      <c r="AN2227" s="17"/>
      <c r="AO2227" s="17"/>
      <c r="AP2227" s="17"/>
      <c r="AQ2227" s="17"/>
      <c r="AR2227" s="17"/>
      <c r="AS2227" s="17"/>
      <c r="AT2227" s="17"/>
      <c r="AU2227" s="17"/>
      <c r="AV2227" s="17"/>
    </row>
    <row r="2228" spans="1:48" ht="15.75" customHeight="1">
      <c r="A2228" s="14" t="s">
        <v>35</v>
      </c>
      <c r="B2228" s="23" t="s">
        <v>1692</v>
      </c>
      <c r="C2228" s="22">
        <v>45764</v>
      </c>
      <c r="D2228" s="23" t="s">
        <v>611</v>
      </c>
      <c r="E2228" s="23" t="s">
        <v>46</v>
      </c>
      <c r="F2228" s="21">
        <v>1</v>
      </c>
      <c r="G2228" s="12">
        <v>5500</v>
      </c>
      <c r="H2228" s="12">
        <v>5500</v>
      </c>
      <c r="I2228" s="23" t="s">
        <v>52</v>
      </c>
      <c r="J2228" s="23" t="s">
        <v>61</v>
      </c>
      <c r="K2228" s="24" t="s">
        <v>177</v>
      </c>
      <c r="L2228" s="24">
        <v>127</v>
      </c>
      <c r="M2228" s="12">
        <v>4621.8487394957983</v>
      </c>
      <c r="N2228" s="12">
        <v>4621.8487394957983</v>
      </c>
      <c r="O2228" s="12">
        <v>878.15126050420167</v>
      </c>
      <c r="P2228" s="13"/>
      <c r="Q2228" s="14">
        <v>2025</v>
      </c>
      <c r="R2228" s="15">
        <v>45383</v>
      </c>
      <c r="S2228" s="11" t="s">
        <v>364</v>
      </c>
      <c r="T2228" s="16">
        <v>500</v>
      </c>
      <c r="U2228" s="17"/>
      <c r="V2228" s="12">
        <v>1365.1260504201678</v>
      </c>
      <c r="W2228" s="12">
        <v>1365.1260504201678</v>
      </c>
      <c r="X2228" s="12">
        <v>0</v>
      </c>
      <c r="Y2228" s="18">
        <v>45761</v>
      </c>
      <c r="Z2228" s="13" t="s">
        <v>505</v>
      </c>
      <c r="AA2228" s="19" t="s">
        <v>373</v>
      </c>
      <c r="AB2228" s="13" t="s">
        <v>357</v>
      </c>
      <c r="AC2228" s="13"/>
      <c r="AD2228" s="20"/>
      <c r="AE2228" s="20"/>
      <c r="AF2228" s="13" t="s">
        <v>40</v>
      </c>
      <c r="AG2228" s="15">
        <v>45383</v>
      </c>
      <c r="AH2228" s="13" t="s">
        <v>41</v>
      </c>
      <c r="AI2228" s="13" t="s">
        <v>35</v>
      </c>
      <c r="AJ2228" s="13" t="str">
        <f>VLOOKUP(E2228,Precios!Z$2:AA$941,2,FALSE)</f>
        <v>Queso RUNCA Mantecoso</v>
      </c>
      <c r="AK2228" s="14">
        <f>VLOOKUP(E2228,Precios!Z$2:BB$941,3,FALSE)*F2228</f>
        <v>-0.5</v>
      </c>
      <c r="AL2228" s="17"/>
      <c r="AM2228" s="17"/>
      <c r="AN2228" s="17"/>
      <c r="AO2228" s="17"/>
      <c r="AP2228" s="17"/>
      <c r="AQ2228" s="17"/>
      <c r="AR2228" s="17"/>
      <c r="AS2228" s="17"/>
      <c r="AT2228" s="17"/>
      <c r="AU2228" s="17"/>
      <c r="AV2228" s="17"/>
    </row>
    <row r="2229" spans="1:48" ht="15.75" customHeight="1">
      <c r="A2229" s="21" t="s">
        <v>35</v>
      </c>
      <c r="B2229" s="23" t="s">
        <v>1692</v>
      </c>
      <c r="C2229" s="22">
        <v>45764</v>
      </c>
      <c r="D2229" s="23" t="s">
        <v>653</v>
      </c>
      <c r="E2229" s="23" t="s">
        <v>37</v>
      </c>
      <c r="F2229" s="21">
        <v>1</v>
      </c>
      <c r="G2229" s="12">
        <v>10500</v>
      </c>
      <c r="H2229" s="12">
        <v>10500</v>
      </c>
      <c r="I2229" s="23" t="s">
        <v>52</v>
      </c>
      <c r="J2229" s="23" t="s">
        <v>61</v>
      </c>
      <c r="K2229" s="24" t="s">
        <v>177</v>
      </c>
      <c r="L2229" s="24">
        <v>127</v>
      </c>
      <c r="M2229" s="12">
        <v>8823.5294117647063</v>
      </c>
      <c r="N2229" s="12">
        <v>8823.5294117647063</v>
      </c>
      <c r="O2229" s="12">
        <v>1676.4705882352937</v>
      </c>
      <c r="P2229" s="13"/>
      <c r="Q2229" s="14">
        <v>2025</v>
      </c>
      <c r="R2229" s="15">
        <v>45383</v>
      </c>
      <c r="S2229" s="11" t="s">
        <v>364</v>
      </c>
      <c r="T2229" s="16">
        <v>1000</v>
      </c>
      <c r="U2229" s="17"/>
      <c r="V2229" s="12">
        <v>2385.7142857142853</v>
      </c>
      <c r="W2229" s="12">
        <v>2385.7142857142853</v>
      </c>
      <c r="X2229" s="12">
        <v>0</v>
      </c>
      <c r="Y2229" s="18">
        <v>45761</v>
      </c>
      <c r="Z2229" s="13" t="s">
        <v>505</v>
      </c>
      <c r="AA2229" s="19" t="s">
        <v>373</v>
      </c>
      <c r="AB2229" s="13" t="s">
        <v>357</v>
      </c>
      <c r="AC2229" s="13" t="s">
        <v>654</v>
      </c>
      <c r="AD2229" s="20"/>
      <c r="AE2229" s="20"/>
      <c r="AF2229" s="13" t="s">
        <v>40</v>
      </c>
      <c r="AG2229" s="15">
        <v>45383</v>
      </c>
      <c r="AH2229" s="13" t="s">
        <v>41</v>
      </c>
      <c r="AI2229" s="13" t="s">
        <v>35</v>
      </c>
      <c r="AJ2229" s="13" t="str">
        <f>VLOOKUP(E2229,Precios!Z$2:AA$941,2,FALSE)</f>
        <v>Queso RUNCA Mantecoso</v>
      </c>
      <c r="AK2229" s="14">
        <f>VLOOKUP(E2229,Precios!Z$2:BB$941,3,FALSE)*F2229</f>
        <v>-1</v>
      </c>
      <c r="AL2229" s="17"/>
      <c r="AM2229" s="17"/>
      <c r="AN2229" s="17"/>
      <c r="AO2229" s="17"/>
      <c r="AP2229" s="17"/>
      <c r="AQ2229" s="17"/>
      <c r="AR2229" s="17"/>
      <c r="AS2229" s="17"/>
      <c r="AT2229" s="17"/>
      <c r="AU2229" s="17"/>
      <c r="AV2229" s="17"/>
    </row>
    <row r="2230" spans="1:48" ht="15.75" customHeight="1">
      <c r="A2230" s="21" t="s">
        <v>43</v>
      </c>
      <c r="B2230" s="23" t="s">
        <v>1692</v>
      </c>
      <c r="C2230" s="22">
        <v>45763</v>
      </c>
      <c r="D2230" s="23" t="s">
        <v>179</v>
      </c>
      <c r="E2230" s="23" t="s">
        <v>45</v>
      </c>
      <c r="F2230" s="21">
        <v>1</v>
      </c>
      <c r="G2230" s="12">
        <v>8299.9877571008819</v>
      </c>
      <c r="H2230" s="12">
        <v>8299.9877571008819</v>
      </c>
      <c r="I2230" s="23" t="s">
        <v>52</v>
      </c>
      <c r="J2230" s="23" t="s">
        <v>61</v>
      </c>
      <c r="K2230" s="24" t="s">
        <v>177</v>
      </c>
      <c r="L2230" s="24">
        <v>126</v>
      </c>
      <c r="M2230" s="12">
        <v>6974.7796278158676</v>
      </c>
      <c r="N2230" s="12">
        <v>6974.7796278158676</v>
      </c>
      <c r="O2230" s="12">
        <v>1325.2081292850144</v>
      </c>
      <c r="P2230" s="13"/>
      <c r="Q2230" s="14">
        <v>2025</v>
      </c>
      <c r="R2230" s="15">
        <v>45383</v>
      </c>
      <c r="S2230" s="11" t="s">
        <v>355</v>
      </c>
      <c r="T2230" s="16">
        <v>0</v>
      </c>
      <c r="U2230" s="17"/>
      <c r="V2230" s="12">
        <v>1277.7796278158667</v>
      </c>
      <c r="W2230" s="12">
        <v>1277.7796278158667</v>
      </c>
      <c r="X2230" s="12">
        <v>0</v>
      </c>
      <c r="Y2230" s="18">
        <v>45761</v>
      </c>
      <c r="Z2230" s="13" t="s">
        <v>515</v>
      </c>
      <c r="AA2230" s="19" t="s">
        <v>361</v>
      </c>
      <c r="AB2230" s="13" t="s">
        <v>357</v>
      </c>
      <c r="AC2230" s="13" t="s">
        <v>569</v>
      </c>
      <c r="AD2230" s="20"/>
      <c r="AE2230" s="20"/>
      <c r="AF2230" s="13" t="s">
        <v>40</v>
      </c>
      <c r="AG2230" s="15">
        <v>45383</v>
      </c>
      <c r="AH2230" s="13" t="s">
        <v>41</v>
      </c>
      <c r="AI2230" s="13" t="s">
        <v>43</v>
      </c>
      <c r="AJ2230" s="13" t="str">
        <f>VLOOKUP(E2230,Precios!Z$2:AA$941,2,FALSE)</f>
        <v>Bandeja Huevos EXTRA</v>
      </c>
      <c r="AK2230" s="14">
        <f>VLOOKUP(E2230,Precios!Z$2:BB$941,3,FALSE)*F2230</f>
        <v>-1</v>
      </c>
      <c r="AL2230" s="17"/>
      <c r="AM2230" s="17"/>
      <c r="AN2230" s="17"/>
      <c r="AO2230" s="17"/>
      <c r="AP2230" s="17"/>
      <c r="AQ2230" s="17"/>
      <c r="AR2230" s="17"/>
      <c r="AS2230" s="17"/>
      <c r="AT2230" s="17"/>
      <c r="AU2230" s="17"/>
      <c r="AV2230" s="17"/>
    </row>
    <row r="2231" spans="1:48" ht="15.75" customHeight="1">
      <c r="A2231" s="21" t="s">
        <v>35</v>
      </c>
      <c r="B2231" s="23" t="s">
        <v>1692</v>
      </c>
      <c r="C2231" s="22">
        <v>45763</v>
      </c>
      <c r="D2231" s="23" t="s">
        <v>701</v>
      </c>
      <c r="E2231" s="23" t="s">
        <v>37</v>
      </c>
      <c r="F2231" s="21">
        <v>1</v>
      </c>
      <c r="G2231" s="12">
        <v>10500</v>
      </c>
      <c r="H2231" s="12">
        <v>10500</v>
      </c>
      <c r="I2231" s="23" t="s">
        <v>52</v>
      </c>
      <c r="J2231" s="23" t="s">
        <v>61</v>
      </c>
      <c r="K2231" s="24" t="s">
        <v>177</v>
      </c>
      <c r="L2231" s="24">
        <v>126</v>
      </c>
      <c r="M2231" s="12">
        <v>8823.5294117647063</v>
      </c>
      <c r="N2231" s="12">
        <v>8823.5294117647063</v>
      </c>
      <c r="O2231" s="12">
        <v>1676.4705882352937</v>
      </c>
      <c r="P2231" s="13"/>
      <c r="Q2231" s="14">
        <v>2025</v>
      </c>
      <c r="R2231" s="15">
        <v>45383</v>
      </c>
      <c r="S2231" s="11" t="s">
        <v>364</v>
      </c>
      <c r="T2231" s="16">
        <v>1000</v>
      </c>
      <c r="U2231" s="17"/>
      <c r="V2231" s="12">
        <v>2385.7142857142853</v>
      </c>
      <c r="W2231" s="12">
        <v>2385.7142857142853</v>
      </c>
      <c r="X2231" s="12">
        <v>0</v>
      </c>
      <c r="Y2231" s="18">
        <v>45761</v>
      </c>
      <c r="Z2231" s="13" t="s">
        <v>515</v>
      </c>
      <c r="AA2231" s="19" t="s">
        <v>373</v>
      </c>
      <c r="AB2231" s="13" t="s">
        <v>357</v>
      </c>
      <c r="AC2231" s="13" t="s">
        <v>702</v>
      </c>
      <c r="AD2231" s="20"/>
      <c r="AE2231" s="20"/>
      <c r="AF2231" s="13" t="s">
        <v>40</v>
      </c>
      <c r="AG2231" s="15">
        <v>45383</v>
      </c>
      <c r="AH2231" s="13" t="s">
        <v>41</v>
      </c>
      <c r="AI2231" s="13" t="s">
        <v>35</v>
      </c>
      <c r="AJ2231" s="13" t="str">
        <f>VLOOKUP(E2231,Precios!Z$2:AA$941,2,FALSE)</f>
        <v>Queso RUNCA Mantecoso</v>
      </c>
      <c r="AK2231" s="14">
        <f>VLOOKUP(E2231,Precios!Z$2:BB$941,3,FALSE)*F2231</f>
        <v>-1</v>
      </c>
      <c r="AL2231" s="17"/>
      <c r="AM2231" s="17"/>
      <c r="AN2231" s="17"/>
      <c r="AO2231" s="17"/>
      <c r="AP2231" s="17"/>
      <c r="AQ2231" s="17"/>
      <c r="AR2231" s="17"/>
      <c r="AS2231" s="17"/>
      <c r="AT2231" s="17"/>
      <c r="AU2231" s="17"/>
      <c r="AV2231" s="17"/>
    </row>
    <row r="2232" spans="1:48" ht="15.75" customHeight="1">
      <c r="A2232" s="21" t="s">
        <v>35</v>
      </c>
      <c r="B2232" s="23" t="s">
        <v>1692</v>
      </c>
      <c r="C2232" s="22">
        <v>45763</v>
      </c>
      <c r="D2232" s="23" t="s">
        <v>234</v>
      </c>
      <c r="E2232" s="23" t="s">
        <v>37</v>
      </c>
      <c r="F2232" s="21">
        <v>1</v>
      </c>
      <c r="G2232" s="12">
        <v>10500</v>
      </c>
      <c r="H2232" s="12">
        <v>10500</v>
      </c>
      <c r="I2232" s="23" t="s">
        <v>52</v>
      </c>
      <c r="J2232" s="23" t="s">
        <v>61</v>
      </c>
      <c r="K2232" s="24" t="s">
        <v>177</v>
      </c>
      <c r="L2232" s="24">
        <v>126</v>
      </c>
      <c r="M2232" s="12">
        <v>8823.5294117647063</v>
      </c>
      <c r="N2232" s="12">
        <v>8823.5294117647063</v>
      </c>
      <c r="O2232" s="12">
        <v>1676.4705882352937</v>
      </c>
      <c r="P2232" s="13"/>
      <c r="Q2232" s="14">
        <v>2025</v>
      </c>
      <c r="R2232" s="15">
        <v>45383</v>
      </c>
      <c r="S2232" s="11" t="s">
        <v>364</v>
      </c>
      <c r="T2232" s="16">
        <v>1000</v>
      </c>
      <c r="U2232" s="17"/>
      <c r="V2232" s="12">
        <v>2385.7142857142853</v>
      </c>
      <c r="W2232" s="12">
        <v>2385.7142857142853</v>
      </c>
      <c r="X2232" s="12">
        <v>0</v>
      </c>
      <c r="Y2232" s="18">
        <v>45761</v>
      </c>
      <c r="Z2232" s="13" t="s">
        <v>515</v>
      </c>
      <c r="AA2232" s="19" t="s">
        <v>361</v>
      </c>
      <c r="AB2232" s="13" t="s">
        <v>357</v>
      </c>
      <c r="AC2232" s="13" t="s">
        <v>668</v>
      </c>
      <c r="AD2232" s="20"/>
      <c r="AE2232" s="20"/>
      <c r="AF2232" s="13" t="s">
        <v>40</v>
      </c>
      <c r="AG2232" s="15">
        <v>45383</v>
      </c>
      <c r="AH2232" s="13" t="s">
        <v>41</v>
      </c>
      <c r="AI2232" s="13" t="s">
        <v>35</v>
      </c>
      <c r="AJ2232" s="13" t="str">
        <f>VLOOKUP(E2232,Precios!Z$2:AA$941,2,FALSE)</f>
        <v>Queso RUNCA Mantecoso</v>
      </c>
      <c r="AK2232" s="14">
        <f>VLOOKUP(E2232,Precios!Z$2:BB$941,3,FALSE)*F2232</f>
        <v>-1</v>
      </c>
      <c r="AL2232" s="17"/>
      <c r="AM2232" s="17"/>
      <c r="AN2232" s="17"/>
      <c r="AO2232" s="17"/>
      <c r="AP2232" s="17"/>
      <c r="AQ2232" s="17"/>
      <c r="AR2232" s="17"/>
      <c r="AS2232" s="17"/>
      <c r="AT2232" s="17"/>
      <c r="AU2232" s="17"/>
      <c r="AV2232" s="17"/>
    </row>
    <row r="2233" spans="1:48" ht="15.75" customHeight="1">
      <c r="A2233" s="14" t="s">
        <v>35</v>
      </c>
      <c r="B2233" s="23" t="s">
        <v>1692</v>
      </c>
      <c r="C2233" s="22">
        <v>45763</v>
      </c>
      <c r="D2233" s="23" t="s">
        <v>315</v>
      </c>
      <c r="E2233" s="23" t="s">
        <v>46</v>
      </c>
      <c r="F2233" s="21">
        <v>1</v>
      </c>
      <c r="G2233" s="12">
        <v>5500</v>
      </c>
      <c r="H2233" s="12">
        <v>5500</v>
      </c>
      <c r="I2233" s="23" t="s">
        <v>52</v>
      </c>
      <c r="J2233" s="23" t="s">
        <v>61</v>
      </c>
      <c r="K2233" s="24" t="s">
        <v>177</v>
      </c>
      <c r="L2233" s="24">
        <v>126</v>
      </c>
      <c r="M2233" s="12">
        <v>4621.8487394957983</v>
      </c>
      <c r="N2233" s="12">
        <v>4621.8487394957983</v>
      </c>
      <c r="O2233" s="12">
        <v>878.15126050420167</v>
      </c>
      <c r="P2233" s="13"/>
      <c r="Q2233" s="14">
        <v>2025</v>
      </c>
      <c r="R2233" s="15">
        <v>45383</v>
      </c>
      <c r="S2233" s="11" t="s">
        <v>364</v>
      </c>
      <c r="T2233" s="16">
        <v>500</v>
      </c>
      <c r="U2233" s="17"/>
      <c r="V2233" s="12">
        <v>1365.1260504201678</v>
      </c>
      <c r="W2233" s="12">
        <v>1365.1260504201678</v>
      </c>
      <c r="X2233" s="12">
        <v>0</v>
      </c>
      <c r="Y2233" s="18">
        <v>45761</v>
      </c>
      <c r="Z2233" s="13" t="s">
        <v>515</v>
      </c>
      <c r="AA2233" s="19" t="s">
        <v>373</v>
      </c>
      <c r="AB2233" s="13" t="s">
        <v>357</v>
      </c>
      <c r="AC2233" s="13" t="s">
        <v>362</v>
      </c>
      <c r="AD2233" s="20"/>
      <c r="AE2233" s="20"/>
      <c r="AF2233" s="13" t="s">
        <v>40</v>
      </c>
      <c r="AG2233" s="15">
        <v>45383</v>
      </c>
      <c r="AH2233" s="13" t="s">
        <v>41</v>
      </c>
      <c r="AI2233" s="13" t="s">
        <v>35</v>
      </c>
      <c r="AJ2233" s="13" t="str">
        <f>VLOOKUP(E2233,Precios!Z$2:AA$941,2,FALSE)</f>
        <v>Queso RUNCA Mantecoso</v>
      </c>
      <c r="AK2233" s="14">
        <f>VLOOKUP(E2233,Precios!Z$2:BB$941,3,FALSE)*F2233</f>
        <v>-0.5</v>
      </c>
      <c r="AL2233" s="17"/>
      <c r="AM2233" s="17"/>
      <c r="AN2233" s="17"/>
      <c r="AO2233" s="17"/>
      <c r="AP2233" s="17"/>
      <c r="AQ2233" s="17"/>
      <c r="AR2233" s="17"/>
      <c r="AS2233" s="17"/>
      <c r="AT2233" s="17"/>
      <c r="AU2233" s="17"/>
      <c r="AV2233" s="17"/>
    </row>
    <row r="2234" spans="1:48" ht="15.75" customHeight="1">
      <c r="A2234" s="21" t="s">
        <v>35</v>
      </c>
      <c r="B2234" s="23" t="s">
        <v>1692</v>
      </c>
      <c r="C2234" s="22">
        <v>45763</v>
      </c>
      <c r="D2234" s="23" t="s">
        <v>132</v>
      </c>
      <c r="E2234" s="23" t="s">
        <v>46</v>
      </c>
      <c r="F2234" s="21">
        <v>1</v>
      </c>
      <c r="G2234" s="12">
        <v>5500</v>
      </c>
      <c r="H2234" s="12">
        <v>5500</v>
      </c>
      <c r="I2234" s="23" t="s">
        <v>52</v>
      </c>
      <c r="J2234" s="23" t="s">
        <v>61</v>
      </c>
      <c r="K2234" s="24" t="s">
        <v>177</v>
      </c>
      <c r="L2234" s="24">
        <v>126</v>
      </c>
      <c r="M2234" s="12">
        <v>4621.8487394957983</v>
      </c>
      <c r="N2234" s="12">
        <v>4621.8487394957983</v>
      </c>
      <c r="O2234" s="12">
        <v>878.15126050420167</v>
      </c>
      <c r="P2234" s="13"/>
      <c r="Q2234" s="14">
        <v>2025</v>
      </c>
      <c r="R2234" s="15">
        <v>45383</v>
      </c>
      <c r="S2234" s="11" t="s">
        <v>364</v>
      </c>
      <c r="T2234" s="16">
        <v>500</v>
      </c>
      <c r="U2234" s="17"/>
      <c r="V2234" s="12">
        <v>1365.1260504201678</v>
      </c>
      <c r="W2234" s="12">
        <v>1365.1260504201678</v>
      </c>
      <c r="X2234" s="12">
        <v>0</v>
      </c>
      <c r="Y2234" s="18">
        <v>45761</v>
      </c>
      <c r="Z2234" s="13" t="s">
        <v>515</v>
      </c>
      <c r="AA2234" s="19" t="s">
        <v>373</v>
      </c>
      <c r="AB2234" s="13" t="s">
        <v>357</v>
      </c>
      <c r="AC2234" s="13" t="s">
        <v>389</v>
      </c>
      <c r="AD2234" s="20"/>
      <c r="AE2234" s="20"/>
      <c r="AF2234" s="13" t="s">
        <v>40</v>
      </c>
      <c r="AG2234" s="15">
        <v>45383</v>
      </c>
      <c r="AH2234" s="13" t="s">
        <v>41</v>
      </c>
      <c r="AI2234" s="13" t="s">
        <v>35</v>
      </c>
      <c r="AJ2234" s="13" t="str">
        <f>VLOOKUP(E2234,Precios!Z$2:AA$941,2,FALSE)</f>
        <v>Queso RUNCA Mantecoso</v>
      </c>
      <c r="AK2234" s="14">
        <f>VLOOKUP(E2234,Precios!Z$2:BB$941,3,FALSE)*F2234</f>
        <v>-0.5</v>
      </c>
      <c r="AL2234" s="17"/>
      <c r="AM2234" s="17"/>
      <c r="AN2234" s="17"/>
      <c r="AO2234" s="17"/>
      <c r="AP2234" s="17"/>
      <c r="AQ2234" s="17"/>
      <c r="AR2234" s="17"/>
      <c r="AS2234" s="17"/>
      <c r="AT2234" s="17"/>
      <c r="AU2234" s="17"/>
      <c r="AV2234" s="17"/>
    </row>
    <row r="2235" spans="1:48" ht="15.75" customHeight="1">
      <c r="A2235" s="21" t="s">
        <v>35</v>
      </c>
      <c r="B2235" s="23" t="s">
        <v>1692</v>
      </c>
      <c r="C2235" s="22">
        <v>45763</v>
      </c>
      <c r="D2235" s="23" t="s">
        <v>122</v>
      </c>
      <c r="E2235" s="23" t="s">
        <v>37</v>
      </c>
      <c r="F2235" s="21">
        <v>1</v>
      </c>
      <c r="G2235" s="12">
        <v>10500</v>
      </c>
      <c r="H2235" s="12">
        <v>10500</v>
      </c>
      <c r="I2235" s="23" t="s">
        <v>52</v>
      </c>
      <c r="J2235" s="23" t="s">
        <v>61</v>
      </c>
      <c r="K2235" s="24" t="s">
        <v>177</v>
      </c>
      <c r="L2235" s="24">
        <v>126</v>
      </c>
      <c r="M2235" s="12">
        <v>8823.5294117647063</v>
      </c>
      <c r="N2235" s="12">
        <v>8823.5294117647063</v>
      </c>
      <c r="O2235" s="12">
        <v>1676.4705882352937</v>
      </c>
      <c r="P2235" s="13"/>
      <c r="Q2235" s="14">
        <v>2025</v>
      </c>
      <c r="R2235" s="15">
        <v>45383</v>
      </c>
      <c r="S2235" s="11" t="s">
        <v>364</v>
      </c>
      <c r="T2235" s="16">
        <v>1000</v>
      </c>
      <c r="U2235" s="17"/>
      <c r="V2235" s="12">
        <v>2385.7142857142853</v>
      </c>
      <c r="W2235" s="12">
        <v>2385.7142857142853</v>
      </c>
      <c r="X2235" s="12">
        <v>0</v>
      </c>
      <c r="Y2235" s="18">
        <v>45761</v>
      </c>
      <c r="Z2235" s="13" t="s">
        <v>515</v>
      </c>
      <c r="AA2235" s="19" t="s">
        <v>361</v>
      </c>
      <c r="AB2235" s="13" t="s">
        <v>357</v>
      </c>
      <c r="AC2235" s="13" t="s">
        <v>362</v>
      </c>
      <c r="AD2235" s="20"/>
      <c r="AE2235" s="20"/>
      <c r="AF2235" s="13" t="s">
        <v>40</v>
      </c>
      <c r="AG2235" s="15">
        <v>45383</v>
      </c>
      <c r="AH2235" s="13" t="s">
        <v>41</v>
      </c>
      <c r="AI2235" s="13" t="s">
        <v>35</v>
      </c>
      <c r="AJ2235" s="13" t="str">
        <f>VLOOKUP(E2235,Precios!Z$2:AA$941,2,FALSE)</f>
        <v>Queso RUNCA Mantecoso</v>
      </c>
      <c r="AK2235" s="14">
        <f>VLOOKUP(E2235,Precios!Z$2:BB$941,3,FALSE)*F2235</f>
        <v>-1</v>
      </c>
      <c r="AL2235" s="17"/>
      <c r="AM2235" s="17"/>
      <c r="AN2235" s="17"/>
      <c r="AO2235" s="17"/>
      <c r="AP2235" s="17"/>
      <c r="AQ2235" s="17"/>
      <c r="AR2235" s="17"/>
      <c r="AS2235" s="17"/>
      <c r="AT2235" s="17"/>
      <c r="AU2235" s="17"/>
      <c r="AV2235" s="17"/>
    </row>
    <row r="2236" spans="1:48" ht="15.75" customHeight="1">
      <c r="A2236" s="21" t="s">
        <v>35</v>
      </c>
      <c r="B2236" s="23" t="s">
        <v>1692</v>
      </c>
      <c r="C2236" s="22">
        <v>45763</v>
      </c>
      <c r="D2236" s="23" t="s">
        <v>232</v>
      </c>
      <c r="E2236" s="23" t="s">
        <v>37</v>
      </c>
      <c r="F2236" s="21">
        <v>1</v>
      </c>
      <c r="G2236" s="12">
        <v>10500</v>
      </c>
      <c r="H2236" s="12">
        <v>10500</v>
      </c>
      <c r="I2236" s="23" t="s">
        <v>52</v>
      </c>
      <c r="J2236" s="23" t="s">
        <v>61</v>
      </c>
      <c r="K2236" s="24" t="s">
        <v>177</v>
      </c>
      <c r="L2236" s="24">
        <v>126</v>
      </c>
      <c r="M2236" s="12">
        <v>8823.5294117647063</v>
      </c>
      <c r="N2236" s="12">
        <v>8823.5294117647063</v>
      </c>
      <c r="O2236" s="12">
        <v>1676.4705882352937</v>
      </c>
      <c r="P2236" s="13"/>
      <c r="Q2236" s="14">
        <v>2025</v>
      </c>
      <c r="R2236" s="15">
        <v>45383</v>
      </c>
      <c r="S2236" s="11" t="s">
        <v>364</v>
      </c>
      <c r="T2236" s="16">
        <v>1000</v>
      </c>
      <c r="U2236" s="17"/>
      <c r="V2236" s="12">
        <v>2385.7142857142853</v>
      </c>
      <c r="W2236" s="12">
        <v>2385.7142857142853</v>
      </c>
      <c r="X2236" s="12">
        <v>0</v>
      </c>
      <c r="Y2236" s="18">
        <v>45761</v>
      </c>
      <c r="Z2236" s="13" t="s">
        <v>515</v>
      </c>
      <c r="AA2236" s="19" t="s">
        <v>356</v>
      </c>
      <c r="AB2236" s="13" t="s">
        <v>357</v>
      </c>
      <c r="AC2236" s="13" t="s">
        <v>358</v>
      </c>
      <c r="AD2236" s="20"/>
      <c r="AE2236" s="20"/>
      <c r="AF2236" s="13" t="s">
        <v>40</v>
      </c>
      <c r="AG2236" s="15">
        <v>45383</v>
      </c>
      <c r="AH2236" s="13" t="s">
        <v>41</v>
      </c>
      <c r="AI2236" s="13" t="s">
        <v>35</v>
      </c>
      <c r="AJ2236" s="13" t="str">
        <f>VLOOKUP(E2236,Precios!Z$2:AA$941,2,FALSE)</f>
        <v>Queso RUNCA Mantecoso</v>
      </c>
      <c r="AK2236" s="14">
        <f>VLOOKUP(E2236,Precios!Z$2:BB$941,3,FALSE)*F2236</f>
        <v>-1</v>
      </c>
      <c r="AL2236" s="17"/>
      <c r="AM2236" s="17"/>
      <c r="AN2236" s="17"/>
      <c r="AO2236" s="17"/>
      <c r="AP2236" s="17"/>
      <c r="AQ2236" s="17"/>
      <c r="AR2236" s="17"/>
      <c r="AS2236" s="17"/>
      <c r="AT2236" s="17"/>
      <c r="AU2236" s="17"/>
      <c r="AV2236" s="17"/>
    </row>
    <row r="2237" spans="1:48" ht="15.75" customHeight="1">
      <c r="A2237" s="21" t="s">
        <v>43</v>
      </c>
      <c r="B2237" s="23" t="s">
        <v>1692</v>
      </c>
      <c r="C2237" s="22">
        <v>45763</v>
      </c>
      <c r="D2237" s="23" t="s">
        <v>142</v>
      </c>
      <c r="E2237" s="23" t="s">
        <v>45</v>
      </c>
      <c r="F2237" s="21">
        <v>1</v>
      </c>
      <c r="G2237" s="12">
        <v>8299.9877571008819</v>
      </c>
      <c r="H2237" s="12">
        <v>8299.9877571008819</v>
      </c>
      <c r="I2237" s="23" t="s">
        <v>52</v>
      </c>
      <c r="J2237" s="23" t="s">
        <v>61</v>
      </c>
      <c r="K2237" s="24" t="s">
        <v>177</v>
      </c>
      <c r="L2237" s="24">
        <v>126</v>
      </c>
      <c r="M2237" s="12">
        <v>6974.7796278158676</v>
      </c>
      <c r="N2237" s="12">
        <v>6974.7796278158676</v>
      </c>
      <c r="O2237" s="12">
        <v>1325.2081292850144</v>
      </c>
      <c r="P2237" s="13"/>
      <c r="Q2237" s="14">
        <v>2025</v>
      </c>
      <c r="R2237" s="15">
        <v>45383</v>
      </c>
      <c r="S2237" s="11" t="s">
        <v>355</v>
      </c>
      <c r="T2237" s="16">
        <v>0</v>
      </c>
      <c r="U2237" s="17"/>
      <c r="V2237" s="12">
        <v>1277.7796278158667</v>
      </c>
      <c r="W2237" s="12">
        <v>1277.7796278158667</v>
      </c>
      <c r="X2237" s="12">
        <v>0</v>
      </c>
      <c r="Y2237" s="18">
        <v>45761</v>
      </c>
      <c r="Z2237" s="13" t="s">
        <v>515</v>
      </c>
      <c r="AA2237" s="19" t="s">
        <v>361</v>
      </c>
      <c r="AB2237" s="13" t="s">
        <v>357</v>
      </c>
      <c r="AC2237" s="13" t="s">
        <v>489</v>
      </c>
      <c r="AD2237" s="20"/>
      <c r="AE2237" s="20"/>
      <c r="AF2237" s="13" t="s">
        <v>40</v>
      </c>
      <c r="AG2237" s="15">
        <v>45383</v>
      </c>
      <c r="AH2237" s="13" t="s">
        <v>41</v>
      </c>
      <c r="AI2237" s="13" t="s">
        <v>43</v>
      </c>
      <c r="AJ2237" s="13" t="str">
        <f>VLOOKUP(E2237,Precios!Z$2:AA$941,2,FALSE)</f>
        <v>Bandeja Huevos EXTRA</v>
      </c>
      <c r="AK2237" s="14">
        <f>VLOOKUP(E2237,Precios!Z$2:BB$941,3,FALSE)*F2237</f>
        <v>-1</v>
      </c>
      <c r="AL2237" s="17"/>
      <c r="AM2237" s="17"/>
      <c r="AN2237" s="17"/>
      <c r="AO2237" s="17"/>
      <c r="AP2237" s="17"/>
      <c r="AQ2237" s="17"/>
      <c r="AR2237" s="17"/>
      <c r="AS2237" s="17"/>
      <c r="AT2237" s="17"/>
      <c r="AU2237" s="17"/>
      <c r="AV2237" s="17"/>
    </row>
    <row r="2238" spans="1:48" ht="15.75" customHeight="1">
      <c r="A2238" s="21" t="s">
        <v>35</v>
      </c>
      <c r="B2238" s="23" t="s">
        <v>1692</v>
      </c>
      <c r="C2238" s="22">
        <v>45763</v>
      </c>
      <c r="D2238" s="23" t="s">
        <v>142</v>
      </c>
      <c r="E2238" s="23" t="s">
        <v>37</v>
      </c>
      <c r="F2238" s="21">
        <v>2</v>
      </c>
      <c r="G2238" s="12">
        <v>10500</v>
      </c>
      <c r="H2238" s="12">
        <v>21000</v>
      </c>
      <c r="I2238" s="23" t="s">
        <v>52</v>
      </c>
      <c r="J2238" s="23" t="s">
        <v>61</v>
      </c>
      <c r="K2238" s="24" t="s">
        <v>177</v>
      </c>
      <c r="L2238" s="24">
        <v>126</v>
      </c>
      <c r="M2238" s="12">
        <v>8823.5294117647063</v>
      </c>
      <c r="N2238" s="12">
        <v>17647.058823529413</v>
      </c>
      <c r="O2238" s="12">
        <v>3352.9411764705874</v>
      </c>
      <c r="P2238" s="13"/>
      <c r="Q2238" s="14">
        <v>2025</v>
      </c>
      <c r="R2238" s="15">
        <v>45383</v>
      </c>
      <c r="S2238" s="11" t="s">
        <v>364</v>
      </c>
      <c r="T2238" s="16">
        <v>2000</v>
      </c>
      <c r="U2238" s="17"/>
      <c r="V2238" s="12">
        <v>4771.4285714285706</v>
      </c>
      <c r="W2238" s="12">
        <v>4771.4285714285706</v>
      </c>
      <c r="X2238" s="12">
        <v>0</v>
      </c>
      <c r="Y2238" s="18">
        <v>45761</v>
      </c>
      <c r="Z2238" s="13" t="s">
        <v>515</v>
      </c>
      <c r="AA2238" s="19" t="s">
        <v>361</v>
      </c>
      <c r="AB2238" s="13" t="s">
        <v>357</v>
      </c>
      <c r="AC2238" s="13" t="s">
        <v>489</v>
      </c>
      <c r="AD2238" s="20"/>
      <c r="AE2238" s="20"/>
      <c r="AF2238" s="13" t="s">
        <v>40</v>
      </c>
      <c r="AG2238" s="15">
        <v>45383</v>
      </c>
      <c r="AH2238" s="13" t="s">
        <v>41</v>
      </c>
      <c r="AI2238" s="13" t="s">
        <v>35</v>
      </c>
      <c r="AJ2238" s="13" t="str">
        <f>VLOOKUP(E2238,Precios!Z$2:AA$941,2,FALSE)</f>
        <v>Queso RUNCA Mantecoso</v>
      </c>
      <c r="AK2238" s="14">
        <f>VLOOKUP(E2238,Precios!Z$2:BB$941,3,FALSE)*F2238</f>
        <v>-2</v>
      </c>
      <c r="AL2238" s="17"/>
      <c r="AM2238" s="17"/>
      <c r="AN2238" s="17"/>
      <c r="AO2238" s="17"/>
      <c r="AP2238" s="17"/>
      <c r="AQ2238" s="17"/>
      <c r="AR2238" s="17"/>
      <c r="AS2238" s="17"/>
      <c r="AT2238" s="17"/>
      <c r="AU2238" s="17"/>
      <c r="AV2238" s="17"/>
    </row>
    <row r="2239" spans="1:48" ht="15.75" customHeight="1">
      <c r="A2239" s="21" t="s">
        <v>35</v>
      </c>
      <c r="B2239" s="23" t="s">
        <v>1692</v>
      </c>
      <c r="C2239" s="22">
        <v>45763</v>
      </c>
      <c r="D2239" s="23" t="s">
        <v>131</v>
      </c>
      <c r="E2239" s="23" t="s">
        <v>37</v>
      </c>
      <c r="F2239" s="21">
        <v>1</v>
      </c>
      <c r="G2239" s="12">
        <v>10500</v>
      </c>
      <c r="H2239" s="12">
        <v>10500</v>
      </c>
      <c r="I2239" s="23" t="s">
        <v>52</v>
      </c>
      <c r="J2239" s="23" t="s">
        <v>61</v>
      </c>
      <c r="K2239" s="24" t="s">
        <v>177</v>
      </c>
      <c r="L2239" s="24">
        <v>126</v>
      </c>
      <c r="M2239" s="12">
        <v>8823.5294117647063</v>
      </c>
      <c r="N2239" s="12">
        <v>8823.5294117647063</v>
      </c>
      <c r="O2239" s="12">
        <v>1676.4705882352937</v>
      </c>
      <c r="P2239" s="13"/>
      <c r="Q2239" s="14">
        <v>2025</v>
      </c>
      <c r="R2239" s="15">
        <v>45383</v>
      </c>
      <c r="S2239" s="11" t="s">
        <v>364</v>
      </c>
      <c r="T2239" s="16">
        <v>1000</v>
      </c>
      <c r="U2239" s="17"/>
      <c r="V2239" s="12">
        <v>2385.7142857142853</v>
      </c>
      <c r="W2239" s="12">
        <v>2385.7142857142853</v>
      </c>
      <c r="X2239" s="12">
        <v>0</v>
      </c>
      <c r="Y2239" s="18">
        <v>45761</v>
      </c>
      <c r="Z2239" s="13" t="s">
        <v>515</v>
      </c>
      <c r="AA2239" s="19" t="s">
        <v>361</v>
      </c>
      <c r="AB2239" s="13" t="s">
        <v>357</v>
      </c>
      <c r="AC2239" s="13" t="s">
        <v>383</v>
      </c>
      <c r="AD2239" s="20"/>
      <c r="AE2239" s="20"/>
      <c r="AF2239" s="13" t="s">
        <v>40</v>
      </c>
      <c r="AG2239" s="15">
        <v>45383</v>
      </c>
      <c r="AH2239" s="13" t="s">
        <v>41</v>
      </c>
      <c r="AI2239" s="13" t="s">
        <v>35</v>
      </c>
      <c r="AJ2239" s="13" t="str">
        <f>VLOOKUP(E2239,Precios!Z$2:AA$941,2,FALSE)</f>
        <v>Queso RUNCA Mantecoso</v>
      </c>
      <c r="AK2239" s="14">
        <f>VLOOKUP(E2239,Precios!Z$2:BB$941,3,FALSE)*F2239</f>
        <v>-1</v>
      </c>
      <c r="AL2239" s="17"/>
      <c r="AM2239" s="17"/>
      <c r="AN2239" s="17"/>
      <c r="AO2239" s="17"/>
      <c r="AP2239" s="17"/>
      <c r="AQ2239" s="17"/>
      <c r="AR2239" s="17"/>
      <c r="AS2239" s="17"/>
      <c r="AT2239" s="17"/>
      <c r="AU2239" s="17"/>
      <c r="AV2239" s="17"/>
    </row>
    <row r="2240" spans="1:48" ht="15.75" customHeight="1">
      <c r="A2240" s="21" t="s">
        <v>43</v>
      </c>
      <c r="B2240" s="23" t="s">
        <v>1692</v>
      </c>
      <c r="C2240" s="22">
        <v>45763</v>
      </c>
      <c r="D2240" s="23" t="s">
        <v>131</v>
      </c>
      <c r="E2240" s="23" t="s">
        <v>45</v>
      </c>
      <c r="F2240" s="21">
        <v>1</v>
      </c>
      <c r="G2240" s="12">
        <v>8299.9877571008819</v>
      </c>
      <c r="H2240" s="12">
        <v>8299.9877571008819</v>
      </c>
      <c r="I2240" s="23" t="s">
        <v>52</v>
      </c>
      <c r="J2240" s="23" t="s">
        <v>61</v>
      </c>
      <c r="K2240" s="24" t="s">
        <v>177</v>
      </c>
      <c r="L2240" s="24">
        <v>126</v>
      </c>
      <c r="M2240" s="12">
        <v>6974.7796278158676</v>
      </c>
      <c r="N2240" s="12">
        <v>6974.7796278158676</v>
      </c>
      <c r="O2240" s="12">
        <v>1325.2081292850144</v>
      </c>
      <c r="P2240" s="13"/>
      <c r="Q2240" s="14">
        <v>2025</v>
      </c>
      <c r="R2240" s="15">
        <v>45383</v>
      </c>
      <c r="S2240" s="11" t="s">
        <v>355</v>
      </c>
      <c r="T2240" s="16">
        <v>0</v>
      </c>
      <c r="U2240" s="17"/>
      <c r="V2240" s="12">
        <v>1277.7796278158667</v>
      </c>
      <c r="W2240" s="12">
        <v>1277.7796278158667</v>
      </c>
      <c r="X2240" s="12">
        <v>0</v>
      </c>
      <c r="Y2240" s="18">
        <v>45761</v>
      </c>
      <c r="Z2240" s="13" t="s">
        <v>515</v>
      </c>
      <c r="AA2240" s="19" t="s">
        <v>361</v>
      </c>
      <c r="AB2240" s="13" t="s">
        <v>357</v>
      </c>
      <c r="AC2240" s="13" t="s">
        <v>383</v>
      </c>
      <c r="AD2240" s="20"/>
      <c r="AE2240" s="20"/>
      <c r="AF2240" s="13" t="s">
        <v>40</v>
      </c>
      <c r="AG2240" s="15">
        <v>45383</v>
      </c>
      <c r="AH2240" s="13" t="s">
        <v>41</v>
      </c>
      <c r="AI2240" s="13" t="s">
        <v>43</v>
      </c>
      <c r="AJ2240" s="13" t="str">
        <f>VLOOKUP(E2240,Precios!Z$2:AA$941,2,FALSE)</f>
        <v>Bandeja Huevos EXTRA</v>
      </c>
      <c r="AK2240" s="14">
        <f>VLOOKUP(E2240,Precios!Z$2:BB$941,3,FALSE)*F2240</f>
        <v>-1</v>
      </c>
      <c r="AL2240" s="17"/>
      <c r="AM2240" s="17"/>
      <c r="AN2240" s="17"/>
      <c r="AO2240" s="17"/>
      <c r="AP2240" s="17"/>
      <c r="AQ2240" s="17"/>
      <c r="AR2240" s="17"/>
      <c r="AS2240" s="17"/>
      <c r="AT2240" s="17"/>
      <c r="AU2240" s="17"/>
      <c r="AV2240" s="17"/>
    </row>
    <row r="2241" spans="1:48" ht="15.75" customHeight="1">
      <c r="A2241" s="21" t="s">
        <v>35</v>
      </c>
      <c r="B2241" s="23" t="s">
        <v>1692</v>
      </c>
      <c r="C2241" s="22">
        <v>45763</v>
      </c>
      <c r="D2241" s="23" t="s">
        <v>682</v>
      </c>
      <c r="E2241" s="23" t="s">
        <v>37</v>
      </c>
      <c r="F2241" s="21">
        <v>1</v>
      </c>
      <c r="G2241" s="12">
        <v>10500</v>
      </c>
      <c r="H2241" s="12">
        <v>10500</v>
      </c>
      <c r="I2241" s="23" t="s">
        <v>52</v>
      </c>
      <c r="J2241" s="23" t="s">
        <v>61</v>
      </c>
      <c r="K2241" s="24" t="s">
        <v>177</v>
      </c>
      <c r="L2241" s="24">
        <v>126</v>
      </c>
      <c r="M2241" s="12">
        <v>8823.5294117647063</v>
      </c>
      <c r="N2241" s="12">
        <v>8823.5294117647063</v>
      </c>
      <c r="O2241" s="12">
        <v>1676.4705882352937</v>
      </c>
      <c r="P2241" s="13"/>
      <c r="Q2241" s="14">
        <v>2025</v>
      </c>
      <c r="R2241" s="15">
        <v>45383</v>
      </c>
      <c r="S2241" s="11" t="s">
        <v>364</v>
      </c>
      <c r="T2241" s="16">
        <v>1000</v>
      </c>
      <c r="U2241" s="17"/>
      <c r="V2241" s="12">
        <v>2385.7142857142853</v>
      </c>
      <c r="W2241" s="12">
        <v>2385.7142857142853</v>
      </c>
      <c r="X2241" s="12">
        <v>0</v>
      </c>
      <c r="Y2241" s="18">
        <v>45761</v>
      </c>
      <c r="Z2241" s="13" t="s">
        <v>515</v>
      </c>
      <c r="AA2241" s="19" t="s">
        <v>373</v>
      </c>
      <c r="AB2241" s="13" t="s">
        <v>357</v>
      </c>
      <c r="AC2241" s="13" t="s">
        <v>383</v>
      </c>
      <c r="AD2241" s="20"/>
      <c r="AE2241" s="20"/>
      <c r="AF2241" s="13" t="s">
        <v>40</v>
      </c>
      <c r="AG2241" s="15">
        <v>45383</v>
      </c>
      <c r="AH2241" s="13" t="s">
        <v>41</v>
      </c>
      <c r="AI2241" s="13" t="s">
        <v>35</v>
      </c>
      <c r="AJ2241" s="13" t="str">
        <f>VLOOKUP(E2241,Precios!Z$2:AA$941,2,FALSE)</f>
        <v>Queso RUNCA Mantecoso</v>
      </c>
      <c r="AK2241" s="14">
        <f>VLOOKUP(E2241,Precios!Z$2:BB$941,3,FALSE)*F2241</f>
        <v>-1</v>
      </c>
      <c r="AL2241" s="17"/>
      <c r="AM2241" s="17"/>
      <c r="AN2241" s="17"/>
      <c r="AO2241" s="17"/>
      <c r="AP2241" s="17"/>
      <c r="AQ2241" s="17"/>
      <c r="AR2241" s="17"/>
      <c r="AS2241" s="17"/>
      <c r="AT2241" s="17"/>
      <c r="AU2241" s="17"/>
      <c r="AV2241" s="17"/>
    </row>
    <row r="2242" spans="1:48" ht="15.75" customHeight="1">
      <c r="A2242" s="21" t="s">
        <v>35</v>
      </c>
      <c r="B2242" s="23" t="s">
        <v>1692</v>
      </c>
      <c r="C2242" s="22">
        <v>45763</v>
      </c>
      <c r="D2242" s="23" t="s">
        <v>119</v>
      </c>
      <c r="E2242" s="23" t="s">
        <v>37</v>
      </c>
      <c r="F2242" s="21">
        <v>1</v>
      </c>
      <c r="G2242" s="12">
        <v>10500</v>
      </c>
      <c r="H2242" s="12">
        <v>10500</v>
      </c>
      <c r="I2242" s="23" t="s">
        <v>52</v>
      </c>
      <c r="J2242" s="23" t="s">
        <v>61</v>
      </c>
      <c r="K2242" s="24" t="s">
        <v>177</v>
      </c>
      <c r="L2242" s="24">
        <v>126</v>
      </c>
      <c r="M2242" s="12">
        <v>8823.5294117647063</v>
      </c>
      <c r="N2242" s="12">
        <v>8823.5294117647063</v>
      </c>
      <c r="O2242" s="12">
        <v>1676.4705882352937</v>
      </c>
      <c r="P2242" s="13"/>
      <c r="Q2242" s="14">
        <v>2025</v>
      </c>
      <c r="R2242" s="15">
        <v>45383</v>
      </c>
      <c r="S2242" s="11" t="s">
        <v>364</v>
      </c>
      <c r="T2242" s="16">
        <v>1000</v>
      </c>
      <c r="U2242" s="17"/>
      <c r="V2242" s="12">
        <v>2385.7142857142853</v>
      </c>
      <c r="W2242" s="12">
        <v>2385.7142857142853</v>
      </c>
      <c r="X2242" s="12">
        <v>0</v>
      </c>
      <c r="Y2242" s="18">
        <v>45761</v>
      </c>
      <c r="Z2242" s="13" t="s">
        <v>515</v>
      </c>
      <c r="AA2242" s="19" t="s">
        <v>373</v>
      </c>
      <c r="AB2242" s="13" t="s">
        <v>357</v>
      </c>
      <c r="AC2242" s="13" t="s">
        <v>629</v>
      </c>
      <c r="AD2242" s="20"/>
      <c r="AE2242" s="20"/>
      <c r="AF2242" s="13" t="s">
        <v>40</v>
      </c>
      <c r="AG2242" s="15">
        <v>45383</v>
      </c>
      <c r="AH2242" s="13" t="s">
        <v>41</v>
      </c>
      <c r="AI2242" s="13" t="s">
        <v>35</v>
      </c>
      <c r="AJ2242" s="13" t="str">
        <f>VLOOKUP(E2242,Precios!Z$2:AA$941,2,FALSE)</f>
        <v>Queso RUNCA Mantecoso</v>
      </c>
      <c r="AK2242" s="14">
        <f>VLOOKUP(E2242,Precios!Z$2:BB$941,3,FALSE)*F2242</f>
        <v>-1</v>
      </c>
      <c r="AL2242" s="17"/>
      <c r="AM2242" s="17"/>
      <c r="AN2242" s="17"/>
      <c r="AO2242" s="17"/>
      <c r="AP2242" s="17"/>
      <c r="AQ2242" s="17"/>
      <c r="AR2242" s="17"/>
      <c r="AS2242" s="17"/>
      <c r="AT2242" s="17"/>
      <c r="AU2242" s="17"/>
      <c r="AV2242" s="17"/>
    </row>
    <row r="2243" spans="1:48" ht="15.75" customHeight="1">
      <c r="A2243" s="21" t="s">
        <v>35</v>
      </c>
      <c r="B2243" s="23" t="s">
        <v>1692</v>
      </c>
      <c r="C2243" s="22">
        <v>45763</v>
      </c>
      <c r="D2243" s="23" t="s">
        <v>135</v>
      </c>
      <c r="E2243" s="23" t="s">
        <v>37</v>
      </c>
      <c r="F2243" s="21">
        <v>1</v>
      </c>
      <c r="G2243" s="12">
        <v>10500</v>
      </c>
      <c r="H2243" s="12">
        <v>10500</v>
      </c>
      <c r="I2243" s="23" t="s">
        <v>52</v>
      </c>
      <c r="J2243" s="23" t="s">
        <v>61</v>
      </c>
      <c r="K2243" s="24" t="s">
        <v>177</v>
      </c>
      <c r="L2243" s="24">
        <v>126</v>
      </c>
      <c r="M2243" s="12">
        <v>8823.5294117647063</v>
      </c>
      <c r="N2243" s="12">
        <v>8823.5294117647063</v>
      </c>
      <c r="O2243" s="12">
        <v>1676.4705882352937</v>
      </c>
      <c r="P2243" s="13"/>
      <c r="Q2243" s="14">
        <v>2025</v>
      </c>
      <c r="R2243" s="15">
        <v>45383</v>
      </c>
      <c r="S2243" s="11" t="s">
        <v>364</v>
      </c>
      <c r="T2243" s="16">
        <v>1000</v>
      </c>
      <c r="U2243" s="17"/>
      <c r="V2243" s="12">
        <v>2385.7142857142853</v>
      </c>
      <c r="W2243" s="12">
        <v>2385.7142857142853</v>
      </c>
      <c r="X2243" s="12">
        <v>0</v>
      </c>
      <c r="Y2243" s="18">
        <v>45761</v>
      </c>
      <c r="Z2243" s="13" t="s">
        <v>515</v>
      </c>
      <c r="AA2243" s="19" t="s">
        <v>361</v>
      </c>
      <c r="AB2243" s="13" t="s">
        <v>357</v>
      </c>
      <c r="AC2243" s="13" t="s">
        <v>538</v>
      </c>
      <c r="AD2243" s="20"/>
      <c r="AE2243" s="20"/>
      <c r="AF2243" s="13" t="s">
        <v>40</v>
      </c>
      <c r="AG2243" s="15">
        <v>45383</v>
      </c>
      <c r="AH2243" s="13" t="s">
        <v>41</v>
      </c>
      <c r="AI2243" s="13" t="s">
        <v>35</v>
      </c>
      <c r="AJ2243" s="13" t="str">
        <f>VLOOKUP(E2243,Precios!Z$2:AA$941,2,FALSE)</f>
        <v>Queso RUNCA Mantecoso</v>
      </c>
      <c r="AK2243" s="14">
        <f>VLOOKUP(E2243,Precios!Z$2:BB$941,3,FALSE)*F2243</f>
        <v>-1</v>
      </c>
      <c r="AL2243" s="17"/>
      <c r="AM2243" s="17"/>
      <c r="AN2243" s="17"/>
      <c r="AO2243" s="17"/>
      <c r="AP2243" s="17"/>
      <c r="AQ2243" s="17"/>
      <c r="AR2243" s="17"/>
      <c r="AS2243" s="17"/>
      <c r="AT2243" s="17"/>
      <c r="AU2243" s="17"/>
      <c r="AV2243" s="17"/>
    </row>
    <row r="2244" spans="1:48" ht="15.75" customHeight="1">
      <c r="A2244" s="21" t="s">
        <v>35</v>
      </c>
      <c r="B2244" s="23" t="s">
        <v>1692</v>
      </c>
      <c r="C2244" s="22">
        <v>45763</v>
      </c>
      <c r="D2244" s="23" t="s">
        <v>225</v>
      </c>
      <c r="E2244" s="23" t="s">
        <v>37</v>
      </c>
      <c r="F2244" s="21">
        <v>1</v>
      </c>
      <c r="G2244" s="12">
        <v>10500</v>
      </c>
      <c r="H2244" s="12">
        <v>10500</v>
      </c>
      <c r="I2244" s="23" t="s">
        <v>52</v>
      </c>
      <c r="J2244" s="23" t="s">
        <v>61</v>
      </c>
      <c r="K2244" s="24" t="s">
        <v>177</v>
      </c>
      <c r="L2244" s="24">
        <v>126</v>
      </c>
      <c r="M2244" s="12">
        <v>8823.5294117647063</v>
      </c>
      <c r="N2244" s="12">
        <v>8823.5294117647063</v>
      </c>
      <c r="O2244" s="12">
        <v>1676.4705882352937</v>
      </c>
      <c r="P2244" s="13"/>
      <c r="Q2244" s="14">
        <v>2025</v>
      </c>
      <c r="R2244" s="15">
        <v>45383</v>
      </c>
      <c r="S2244" s="11" t="s">
        <v>364</v>
      </c>
      <c r="T2244" s="16">
        <v>1000</v>
      </c>
      <c r="U2244" s="17"/>
      <c r="V2244" s="12">
        <v>2385.7142857142853</v>
      </c>
      <c r="W2244" s="12">
        <v>2385.7142857142853</v>
      </c>
      <c r="X2244" s="12">
        <v>0</v>
      </c>
      <c r="Y2244" s="18">
        <v>45761</v>
      </c>
      <c r="Z2244" s="13" t="s">
        <v>515</v>
      </c>
      <c r="AA2244" s="19" t="s">
        <v>373</v>
      </c>
      <c r="AB2244" s="13" t="s">
        <v>357</v>
      </c>
      <c r="AC2244" s="13" t="s">
        <v>549</v>
      </c>
      <c r="AD2244" s="20"/>
      <c r="AE2244" s="20"/>
      <c r="AF2244" s="13" t="s">
        <v>40</v>
      </c>
      <c r="AG2244" s="15">
        <v>45383</v>
      </c>
      <c r="AH2244" s="13" t="s">
        <v>41</v>
      </c>
      <c r="AI2244" s="13" t="s">
        <v>35</v>
      </c>
      <c r="AJ2244" s="13" t="str">
        <f>VLOOKUP(E2244,Precios!Z$2:AA$941,2,FALSE)</f>
        <v>Queso RUNCA Mantecoso</v>
      </c>
      <c r="AK2244" s="14">
        <f>VLOOKUP(E2244,Precios!Z$2:BB$941,3,FALSE)*F2244</f>
        <v>-1</v>
      </c>
      <c r="AL2244" s="17"/>
      <c r="AM2244" s="17"/>
      <c r="AN2244" s="17"/>
      <c r="AO2244" s="17"/>
      <c r="AP2244" s="17"/>
      <c r="AQ2244" s="17"/>
      <c r="AR2244" s="17"/>
      <c r="AS2244" s="17"/>
      <c r="AT2244" s="17"/>
      <c r="AU2244" s="17"/>
      <c r="AV2244" s="17"/>
    </row>
    <row r="2245" spans="1:48" ht="15.75" customHeight="1">
      <c r="A2245" s="21" t="s">
        <v>35</v>
      </c>
      <c r="B2245" s="23" t="s">
        <v>1692</v>
      </c>
      <c r="C2245" s="22">
        <v>45763</v>
      </c>
      <c r="D2245" s="23" t="s">
        <v>213</v>
      </c>
      <c r="E2245" s="23" t="s">
        <v>37</v>
      </c>
      <c r="F2245" s="21">
        <v>2</v>
      </c>
      <c r="G2245" s="12">
        <v>10500</v>
      </c>
      <c r="H2245" s="12">
        <v>21000</v>
      </c>
      <c r="I2245" s="23" t="s">
        <v>52</v>
      </c>
      <c r="J2245" s="23" t="s">
        <v>61</v>
      </c>
      <c r="K2245" s="24" t="s">
        <v>177</v>
      </c>
      <c r="L2245" s="24">
        <v>126</v>
      </c>
      <c r="M2245" s="12">
        <v>8823.5294117647063</v>
      </c>
      <c r="N2245" s="12">
        <v>17647.058823529413</v>
      </c>
      <c r="O2245" s="12">
        <v>3352.9411764705874</v>
      </c>
      <c r="P2245" s="13"/>
      <c r="Q2245" s="14">
        <v>2025</v>
      </c>
      <c r="R2245" s="15">
        <v>45383</v>
      </c>
      <c r="S2245" s="11" t="s">
        <v>364</v>
      </c>
      <c r="T2245" s="16">
        <v>2000</v>
      </c>
      <c r="U2245" s="17"/>
      <c r="V2245" s="12">
        <v>4771.4285714285706</v>
      </c>
      <c r="W2245" s="12">
        <v>4771.4285714285706</v>
      </c>
      <c r="X2245" s="12">
        <v>0</v>
      </c>
      <c r="Y2245" s="18">
        <v>45761</v>
      </c>
      <c r="Z2245" s="13" t="s">
        <v>515</v>
      </c>
      <c r="AA2245" s="19" t="s">
        <v>373</v>
      </c>
      <c r="AB2245" s="13" t="s">
        <v>357</v>
      </c>
      <c r="AC2245" s="13" t="s">
        <v>374</v>
      </c>
      <c r="AD2245" s="20"/>
      <c r="AE2245" s="20"/>
      <c r="AF2245" s="13" t="s">
        <v>40</v>
      </c>
      <c r="AG2245" s="15">
        <v>45383</v>
      </c>
      <c r="AH2245" s="13" t="s">
        <v>41</v>
      </c>
      <c r="AI2245" s="13" t="s">
        <v>35</v>
      </c>
      <c r="AJ2245" s="13" t="str">
        <f>VLOOKUP(E2245,Precios!Z$2:AA$941,2,FALSE)</f>
        <v>Queso RUNCA Mantecoso</v>
      </c>
      <c r="AK2245" s="14">
        <f>VLOOKUP(E2245,Precios!Z$2:BB$941,3,FALSE)*F2245</f>
        <v>-2</v>
      </c>
      <c r="AL2245" s="17"/>
      <c r="AM2245" s="17"/>
      <c r="AN2245" s="17"/>
      <c r="AO2245" s="17"/>
      <c r="AP2245" s="17"/>
      <c r="AQ2245" s="17"/>
      <c r="AR2245" s="17"/>
      <c r="AS2245" s="17"/>
      <c r="AT2245" s="17"/>
      <c r="AU2245" s="17"/>
      <c r="AV2245" s="17"/>
    </row>
    <row r="2246" spans="1:48" ht="15.75" customHeight="1">
      <c r="A2246" s="21" t="s">
        <v>43</v>
      </c>
      <c r="B2246" s="23" t="s">
        <v>1692</v>
      </c>
      <c r="C2246" s="22">
        <v>45762</v>
      </c>
      <c r="D2246" s="23" t="s">
        <v>653</v>
      </c>
      <c r="E2246" s="23" t="s">
        <v>45</v>
      </c>
      <c r="F2246" s="21">
        <v>1</v>
      </c>
      <c r="G2246" s="12">
        <v>8299.9877571008819</v>
      </c>
      <c r="H2246" s="12">
        <v>8299.9877571008819</v>
      </c>
      <c r="I2246" s="23" t="s">
        <v>52</v>
      </c>
      <c r="J2246" s="23" t="s">
        <v>61</v>
      </c>
      <c r="K2246" s="24" t="s">
        <v>177</v>
      </c>
      <c r="L2246" s="24">
        <v>125</v>
      </c>
      <c r="M2246" s="12">
        <v>6974.7796278158676</v>
      </c>
      <c r="N2246" s="12">
        <v>6974.7796278158676</v>
      </c>
      <c r="O2246" s="12">
        <v>1325.2081292850144</v>
      </c>
      <c r="P2246" s="13"/>
      <c r="Q2246" s="14">
        <v>2025</v>
      </c>
      <c r="R2246" s="15">
        <v>45383</v>
      </c>
      <c r="S2246" s="11" t="s">
        <v>355</v>
      </c>
      <c r="T2246" s="16">
        <v>0</v>
      </c>
      <c r="U2246" s="17"/>
      <c r="V2246" s="12">
        <v>1277.7796278158667</v>
      </c>
      <c r="W2246" s="12">
        <v>1277.7796278158667</v>
      </c>
      <c r="X2246" s="12">
        <v>0</v>
      </c>
      <c r="Y2246" s="18">
        <v>45761</v>
      </c>
      <c r="Z2246" s="13" t="s">
        <v>516</v>
      </c>
      <c r="AA2246" s="19" t="s">
        <v>373</v>
      </c>
      <c r="AB2246" s="13" t="s">
        <v>357</v>
      </c>
      <c r="AC2246" s="13" t="s">
        <v>654</v>
      </c>
      <c r="AD2246" s="20"/>
      <c r="AE2246" s="20"/>
      <c r="AF2246" s="13" t="s">
        <v>40</v>
      </c>
      <c r="AG2246" s="15">
        <v>45383</v>
      </c>
      <c r="AH2246" s="13" t="s">
        <v>41</v>
      </c>
      <c r="AI2246" s="13" t="s">
        <v>43</v>
      </c>
      <c r="AJ2246" s="13" t="str">
        <f>VLOOKUP(E2246,Precios!Z$2:AA$941,2,FALSE)</f>
        <v>Bandeja Huevos EXTRA</v>
      </c>
      <c r="AK2246" s="14">
        <f>VLOOKUP(E2246,Precios!Z$2:BB$941,3,FALSE)*F2246</f>
        <v>-1</v>
      </c>
      <c r="AL2246" s="17"/>
      <c r="AM2246" s="17"/>
      <c r="AN2246" s="17"/>
      <c r="AO2246" s="17"/>
      <c r="AP2246" s="17"/>
      <c r="AQ2246" s="17"/>
      <c r="AR2246" s="17"/>
      <c r="AS2246" s="17"/>
      <c r="AT2246" s="17"/>
      <c r="AU2246" s="17"/>
      <c r="AV2246" s="17"/>
    </row>
    <row r="2247" spans="1:48" ht="15.75" customHeight="1">
      <c r="A2247" s="21" t="s">
        <v>43</v>
      </c>
      <c r="B2247" s="23" t="s">
        <v>1692</v>
      </c>
      <c r="C2247" s="22">
        <v>45762</v>
      </c>
      <c r="D2247" s="23" t="s">
        <v>184</v>
      </c>
      <c r="E2247" s="23" t="s">
        <v>45</v>
      </c>
      <c r="F2247" s="21">
        <v>1</v>
      </c>
      <c r="G2247" s="12">
        <v>8299.9877571008819</v>
      </c>
      <c r="H2247" s="12">
        <v>8299.9877571008819</v>
      </c>
      <c r="I2247" s="23" t="s">
        <v>52</v>
      </c>
      <c r="J2247" s="23" t="s">
        <v>61</v>
      </c>
      <c r="K2247" s="24" t="s">
        <v>177</v>
      </c>
      <c r="L2247" s="24">
        <v>125</v>
      </c>
      <c r="M2247" s="12">
        <v>6974.7796278158676</v>
      </c>
      <c r="N2247" s="12">
        <v>6974.7796278158676</v>
      </c>
      <c r="O2247" s="12">
        <v>1325.2081292850144</v>
      </c>
      <c r="P2247" s="13"/>
      <c r="Q2247" s="14">
        <v>2025</v>
      </c>
      <c r="R2247" s="15">
        <v>45383</v>
      </c>
      <c r="S2247" s="11" t="s">
        <v>355</v>
      </c>
      <c r="T2247" s="16">
        <v>0</v>
      </c>
      <c r="U2247" s="17"/>
      <c r="V2247" s="12">
        <v>1277.7796278158667</v>
      </c>
      <c r="W2247" s="12">
        <v>1277.7796278158667</v>
      </c>
      <c r="X2247" s="12">
        <v>0</v>
      </c>
      <c r="Y2247" s="18">
        <v>45761</v>
      </c>
      <c r="Z2247" s="13" t="s">
        <v>516</v>
      </c>
      <c r="AA2247" s="19" t="s">
        <v>361</v>
      </c>
      <c r="AB2247" s="13" t="s">
        <v>357</v>
      </c>
      <c r="AC2247" s="13" t="s">
        <v>405</v>
      </c>
      <c r="AD2247" s="20"/>
      <c r="AE2247" s="20"/>
      <c r="AF2247" s="13" t="s">
        <v>40</v>
      </c>
      <c r="AG2247" s="15">
        <v>45383</v>
      </c>
      <c r="AH2247" s="13" t="s">
        <v>41</v>
      </c>
      <c r="AI2247" s="13" t="s">
        <v>43</v>
      </c>
      <c r="AJ2247" s="13" t="str">
        <f>VLOOKUP(E2247,Precios!Z$2:AA$941,2,FALSE)</f>
        <v>Bandeja Huevos EXTRA</v>
      </c>
      <c r="AK2247" s="14">
        <f>VLOOKUP(E2247,Precios!Z$2:BB$941,3,FALSE)*F2247</f>
        <v>-1</v>
      </c>
      <c r="AL2247" s="17"/>
      <c r="AM2247" s="17"/>
      <c r="AN2247" s="17"/>
      <c r="AO2247" s="17"/>
      <c r="AP2247" s="17"/>
      <c r="AQ2247" s="17"/>
      <c r="AR2247" s="17"/>
      <c r="AS2247" s="17"/>
      <c r="AT2247" s="17"/>
      <c r="AU2247" s="17"/>
      <c r="AV2247" s="17"/>
    </row>
    <row r="2248" spans="1:48" ht="15.75" customHeight="1">
      <c r="A2248" s="21" t="s">
        <v>53</v>
      </c>
      <c r="B2248" s="23" t="s">
        <v>1692</v>
      </c>
      <c r="C2248" s="22">
        <v>45762</v>
      </c>
      <c r="D2248" s="23" t="s">
        <v>184</v>
      </c>
      <c r="E2248" s="23" t="s">
        <v>263</v>
      </c>
      <c r="F2248" s="21">
        <v>1</v>
      </c>
      <c r="G2248" s="12">
        <v>9999.6135265700505</v>
      </c>
      <c r="H2248" s="12">
        <v>9999.6135265700505</v>
      </c>
      <c r="I2248" s="23" t="s">
        <v>52</v>
      </c>
      <c r="J2248" s="23" t="s">
        <v>61</v>
      </c>
      <c r="K2248" s="24" t="s">
        <v>177</v>
      </c>
      <c r="L2248" s="24">
        <v>125</v>
      </c>
      <c r="M2248" s="12">
        <v>8403.036576949622</v>
      </c>
      <c r="N2248" s="12">
        <v>8403.036576949622</v>
      </c>
      <c r="O2248" s="12">
        <v>1596.5769496204284</v>
      </c>
      <c r="P2248" s="13"/>
      <c r="Q2248" s="14">
        <v>2025</v>
      </c>
      <c r="R2248" s="15">
        <v>45383</v>
      </c>
      <c r="S2248" s="11" t="s">
        <v>408</v>
      </c>
      <c r="T2248" s="16">
        <v>0</v>
      </c>
      <c r="U2248" s="17"/>
      <c r="V2248" s="12">
        <v>2315.036576949622</v>
      </c>
      <c r="W2248" s="12">
        <v>2315.036576949622</v>
      </c>
      <c r="X2248" s="12">
        <v>0</v>
      </c>
      <c r="Y2248" s="18">
        <v>45761</v>
      </c>
      <c r="Z2248" s="13" t="s">
        <v>516</v>
      </c>
      <c r="AA2248" s="19" t="s">
        <v>361</v>
      </c>
      <c r="AB2248" s="13" t="s">
        <v>357</v>
      </c>
      <c r="AC2248" s="13" t="s">
        <v>405</v>
      </c>
      <c r="AD2248" s="20"/>
      <c r="AE2248" s="20"/>
      <c r="AF2248" s="13" t="s">
        <v>40</v>
      </c>
      <c r="AG2248" s="15">
        <v>45383</v>
      </c>
      <c r="AH2248" s="13" t="s">
        <v>41</v>
      </c>
      <c r="AI2248" s="13" t="s">
        <v>53</v>
      </c>
      <c r="AJ2248" s="13" t="str">
        <f>VLOOKUP(E2248,Precios!Z$2:AA$941,2,FALSE)</f>
        <v>Toalla Papel SWAN D/H AZUL 100 metros</v>
      </c>
      <c r="AK2248" s="14">
        <f>VLOOKUP(E2248,Precios!Z$2:BB$941,3,FALSE)*F2248</f>
        <v>-3</v>
      </c>
      <c r="AL2248" s="17"/>
      <c r="AM2248" s="17"/>
      <c r="AN2248" s="17"/>
      <c r="AO2248" s="17"/>
      <c r="AP2248" s="17"/>
      <c r="AQ2248" s="17"/>
      <c r="AR2248" s="17"/>
      <c r="AS2248" s="17"/>
      <c r="AT2248" s="17"/>
      <c r="AU2248" s="17"/>
      <c r="AV2248" s="17"/>
    </row>
    <row r="2249" spans="1:48" ht="15.75" customHeight="1">
      <c r="A2249" s="21" t="s">
        <v>53</v>
      </c>
      <c r="B2249" s="23" t="s">
        <v>1692</v>
      </c>
      <c r="C2249" s="22">
        <v>45762</v>
      </c>
      <c r="D2249" s="23" t="s">
        <v>184</v>
      </c>
      <c r="E2249" s="23" t="s">
        <v>203</v>
      </c>
      <c r="F2249" s="21">
        <v>1</v>
      </c>
      <c r="G2249" s="12">
        <v>10000.38816108685</v>
      </c>
      <c r="H2249" s="12">
        <v>10000.38816108685</v>
      </c>
      <c r="I2249" s="23" t="s">
        <v>52</v>
      </c>
      <c r="J2249" s="23" t="s">
        <v>61</v>
      </c>
      <c r="K2249" s="24" t="s">
        <v>177</v>
      </c>
      <c r="L2249" s="24">
        <v>125</v>
      </c>
      <c r="M2249" s="12">
        <v>8403.6875303250854</v>
      </c>
      <c r="N2249" s="12">
        <v>8403.6875303250854</v>
      </c>
      <c r="O2249" s="12">
        <v>1596.7006307617648</v>
      </c>
      <c r="P2249" s="13"/>
      <c r="Q2249" s="14">
        <v>2025</v>
      </c>
      <c r="R2249" s="15">
        <v>45383</v>
      </c>
      <c r="S2249" s="11" t="s">
        <v>366</v>
      </c>
      <c r="T2249" s="16">
        <v>0</v>
      </c>
      <c r="U2249" s="17"/>
      <c r="V2249" s="12">
        <v>3207.6875303250836</v>
      </c>
      <c r="W2249" s="12">
        <v>3207.6875303250836</v>
      </c>
      <c r="X2249" s="12">
        <v>0</v>
      </c>
      <c r="Y2249" s="18">
        <v>45761</v>
      </c>
      <c r="Z2249" s="13" t="s">
        <v>516</v>
      </c>
      <c r="AA2249" s="19" t="s">
        <v>361</v>
      </c>
      <c r="AB2249" s="13" t="s">
        <v>357</v>
      </c>
      <c r="AC2249" s="13" t="s">
        <v>405</v>
      </c>
      <c r="AD2249" s="20"/>
      <c r="AE2249" s="20"/>
      <c r="AF2249" s="13" t="s">
        <v>40</v>
      </c>
      <c r="AG2249" s="15">
        <v>45383</v>
      </c>
      <c r="AH2249" s="13" t="s">
        <v>41</v>
      </c>
      <c r="AI2249" s="13" t="s">
        <v>53</v>
      </c>
      <c r="AJ2249" s="13" t="str">
        <f>VLOOKUP(E2249,Precios!Z$2:AA$941,2,FALSE)</f>
        <v>Papel Higienico ELITE 50 metros</v>
      </c>
      <c r="AK2249" s="14">
        <f>VLOOKUP(E2249,Precios!Z$2:BB$941,3,FALSE)*F2249</f>
        <v>-3</v>
      </c>
      <c r="AL2249" s="17"/>
      <c r="AM2249" s="17"/>
      <c r="AN2249" s="17"/>
      <c r="AO2249" s="17"/>
      <c r="AP2249" s="17"/>
      <c r="AQ2249" s="17"/>
      <c r="AR2249" s="17"/>
      <c r="AS2249" s="17"/>
      <c r="AT2249" s="17"/>
      <c r="AU2249" s="17"/>
      <c r="AV2249" s="17"/>
    </row>
    <row r="2250" spans="1:48" ht="15.75" customHeight="1">
      <c r="A2250" s="21" t="s">
        <v>76</v>
      </c>
      <c r="B2250" s="23" t="s">
        <v>1692</v>
      </c>
      <c r="C2250" s="22">
        <v>45762</v>
      </c>
      <c r="D2250" s="23" t="s">
        <v>184</v>
      </c>
      <c r="E2250" s="23" t="s">
        <v>137</v>
      </c>
      <c r="F2250" s="21">
        <v>2</v>
      </c>
      <c r="G2250" s="12">
        <v>3500.0000000000005</v>
      </c>
      <c r="H2250" s="12">
        <v>7000.0000000000009</v>
      </c>
      <c r="I2250" s="23" t="s">
        <v>52</v>
      </c>
      <c r="J2250" s="23" t="s">
        <v>61</v>
      </c>
      <c r="K2250" s="24" t="s">
        <v>177</v>
      </c>
      <c r="L2250" s="24">
        <v>125</v>
      </c>
      <c r="M2250" s="12">
        <v>2941.1764705882356</v>
      </c>
      <c r="N2250" s="12">
        <v>5882.3529411764712</v>
      </c>
      <c r="O2250" s="12">
        <v>1117.6470588235297</v>
      </c>
      <c r="P2250" s="13"/>
      <c r="Q2250" s="14">
        <v>2025</v>
      </c>
      <c r="R2250" s="15">
        <v>45383</v>
      </c>
      <c r="S2250" s="11" t="s">
        <v>406</v>
      </c>
      <c r="T2250" s="16">
        <v>10</v>
      </c>
      <c r="U2250" s="17"/>
      <c r="V2250" s="12">
        <v>1697.4789915966394</v>
      </c>
      <c r="W2250" s="12">
        <v>1697.4789915966394</v>
      </c>
      <c r="X2250" s="12">
        <v>0</v>
      </c>
      <c r="Y2250" s="18">
        <v>45761</v>
      </c>
      <c r="Z2250" s="13" t="s">
        <v>516</v>
      </c>
      <c r="AA2250" s="19" t="s">
        <v>361</v>
      </c>
      <c r="AB2250" s="13" t="s">
        <v>357</v>
      </c>
      <c r="AC2250" s="13" t="s">
        <v>405</v>
      </c>
      <c r="AD2250" s="20"/>
      <c r="AE2250" s="20"/>
      <c r="AF2250" s="13" t="s">
        <v>40</v>
      </c>
      <c r="AG2250" s="15">
        <v>45383</v>
      </c>
      <c r="AH2250" s="13" t="s">
        <v>41</v>
      </c>
      <c r="AI2250" s="13" t="s">
        <v>76</v>
      </c>
      <c r="AJ2250" s="13" t="str">
        <f>VLOOKUP(E2250,Precios!Z$2:AA$941,2,FALSE)</f>
        <v>Detergente SPUM 5 Litros (Blanco)</v>
      </c>
      <c r="AK2250" s="14">
        <f>VLOOKUP(E2250,Precios!Z$2:BB$941,3,FALSE)*F2250</f>
        <v>-2</v>
      </c>
      <c r="AL2250" s="17"/>
      <c r="AM2250" s="17"/>
      <c r="AN2250" s="17"/>
      <c r="AO2250" s="17"/>
      <c r="AP2250" s="17"/>
      <c r="AQ2250" s="17"/>
      <c r="AR2250" s="17"/>
      <c r="AS2250" s="17"/>
      <c r="AT2250" s="17"/>
      <c r="AU2250" s="17"/>
      <c r="AV2250" s="17"/>
    </row>
    <row r="2251" spans="1:48" ht="15.75" customHeight="1">
      <c r="A2251" s="21" t="s">
        <v>47</v>
      </c>
      <c r="B2251" s="23" t="s">
        <v>1692</v>
      </c>
      <c r="C2251" s="22">
        <v>45762</v>
      </c>
      <c r="D2251" s="23" t="s">
        <v>184</v>
      </c>
      <c r="E2251" s="23" t="s">
        <v>92</v>
      </c>
      <c r="F2251" s="21">
        <v>1</v>
      </c>
      <c r="G2251" s="12">
        <v>3400.2970989164628</v>
      </c>
      <c r="H2251" s="12">
        <v>3400.2970989164628</v>
      </c>
      <c r="I2251" s="23" t="s">
        <v>52</v>
      </c>
      <c r="J2251" s="23" t="s">
        <v>61</v>
      </c>
      <c r="K2251" s="24" t="s">
        <v>177</v>
      </c>
      <c r="L2251" s="24">
        <v>125</v>
      </c>
      <c r="M2251" s="12">
        <v>2857.3925200978679</v>
      </c>
      <c r="N2251" s="12">
        <v>2857.3925200978679</v>
      </c>
      <c r="O2251" s="12">
        <v>542.90457881859493</v>
      </c>
      <c r="P2251" s="13"/>
      <c r="Q2251" s="14">
        <v>2025</v>
      </c>
      <c r="R2251" s="15">
        <v>45383</v>
      </c>
      <c r="S2251" s="11" t="s">
        <v>453</v>
      </c>
      <c r="T2251" s="16">
        <v>0</v>
      </c>
      <c r="U2251" s="17"/>
      <c r="V2251" s="12">
        <v>1222.3925200978679</v>
      </c>
      <c r="W2251" s="12">
        <v>1222.3925200978679</v>
      </c>
      <c r="X2251" s="12">
        <v>0</v>
      </c>
      <c r="Y2251" s="18">
        <v>45761</v>
      </c>
      <c r="Z2251" s="13" t="s">
        <v>516</v>
      </c>
      <c r="AA2251" s="19" t="s">
        <v>361</v>
      </c>
      <c r="AB2251" s="13" t="s">
        <v>357</v>
      </c>
      <c r="AC2251" s="13" t="s">
        <v>405</v>
      </c>
      <c r="AD2251" s="20"/>
      <c r="AE2251" s="20"/>
      <c r="AF2251" s="13" t="s">
        <v>40</v>
      </c>
      <c r="AG2251" s="15">
        <v>45383</v>
      </c>
      <c r="AH2251" s="13" t="s">
        <v>41</v>
      </c>
      <c r="AI2251" s="13" t="s">
        <v>47</v>
      </c>
      <c r="AJ2251" s="13" t="str">
        <f>VLOOKUP(E2251,Precios!Z$2:AA$941,2,FALSE)</f>
        <v xml:space="preserve">Bolsas Basura TEDDY 70x90 </v>
      </c>
      <c r="AK2251" s="14">
        <f>VLOOKUP(E2251,Precios!Z$2:BB$941,3,FALSE)*F2251</f>
        <v>-3</v>
      </c>
      <c r="AL2251" s="17"/>
      <c r="AM2251" s="17"/>
      <c r="AN2251" s="17"/>
      <c r="AO2251" s="17"/>
      <c r="AP2251" s="17"/>
      <c r="AQ2251" s="17"/>
      <c r="AR2251" s="17"/>
      <c r="AS2251" s="17"/>
      <c r="AT2251" s="17"/>
      <c r="AU2251" s="17"/>
      <c r="AV2251" s="17"/>
    </row>
    <row r="2252" spans="1:48" ht="15.75" customHeight="1">
      <c r="A2252" s="21" t="s">
        <v>47</v>
      </c>
      <c r="B2252" s="23" t="s">
        <v>1692</v>
      </c>
      <c r="C2252" s="22">
        <v>45762</v>
      </c>
      <c r="D2252" s="23" t="s">
        <v>184</v>
      </c>
      <c r="E2252" s="23" t="s">
        <v>531</v>
      </c>
      <c r="F2252" s="21">
        <v>1</v>
      </c>
      <c r="G2252" s="12">
        <v>8699.5893440033688</v>
      </c>
      <c r="H2252" s="12">
        <v>8699.5893440033688</v>
      </c>
      <c r="I2252" s="23" t="s">
        <v>52</v>
      </c>
      <c r="J2252" s="23" t="s">
        <v>61</v>
      </c>
      <c r="K2252" s="24" t="s">
        <v>177</v>
      </c>
      <c r="L2252" s="24">
        <v>125</v>
      </c>
      <c r="M2252" s="12">
        <v>7310.5792806751006</v>
      </c>
      <c r="N2252" s="12">
        <v>7310.5792806751006</v>
      </c>
      <c r="O2252" s="12">
        <v>1389.0100633282682</v>
      </c>
      <c r="P2252" s="13"/>
      <c r="Q2252" s="14">
        <v>2025</v>
      </c>
      <c r="R2252" s="15">
        <v>45383</v>
      </c>
      <c r="S2252" s="11" t="s">
        <v>453</v>
      </c>
      <c r="T2252" s="16">
        <v>0</v>
      </c>
      <c r="U2252" s="17"/>
      <c r="V2252" s="12">
        <v>2450.5792806751006</v>
      </c>
      <c r="W2252" s="12">
        <v>2450.5792806751006</v>
      </c>
      <c r="X2252" s="12">
        <v>0</v>
      </c>
      <c r="Y2252" s="18">
        <v>45761</v>
      </c>
      <c r="Z2252" s="13" t="s">
        <v>516</v>
      </c>
      <c r="AA2252" s="19" t="s">
        <v>361</v>
      </c>
      <c r="AB2252" s="13" t="s">
        <v>357</v>
      </c>
      <c r="AC2252" s="13" t="s">
        <v>405</v>
      </c>
      <c r="AD2252" s="20"/>
      <c r="AE2252" s="20"/>
      <c r="AF2252" s="13" t="s">
        <v>40</v>
      </c>
      <c r="AG2252" s="15">
        <v>45383</v>
      </c>
      <c r="AH2252" s="13" t="s">
        <v>41</v>
      </c>
      <c r="AI2252" s="13" t="s">
        <v>47</v>
      </c>
      <c r="AJ2252" s="13" t="str">
        <f>VLOOKUP(E2252,Precios!Z$2:AA$941,2,FALSE)</f>
        <v xml:space="preserve">Bolsas Basura TEDDY 90x120 </v>
      </c>
      <c r="AK2252" s="14">
        <f>VLOOKUP(E2252,Precios!Z$2:BB$941,3,FALSE)*F2252</f>
        <v>-3</v>
      </c>
      <c r="AL2252" s="17"/>
      <c r="AM2252" s="17"/>
      <c r="AN2252" s="17"/>
      <c r="AO2252" s="17"/>
      <c r="AP2252" s="17"/>
      <c r="AQ2252" s="17"/>
      <c r="AR2252" s="17"/>
      <c r="AS2252" s="17"/>
      <c r="AT2252" s="17"/>
      <c r="AU2252" s="17"/>
      <c r="AV2252" s="17"/>
    </row>
    <row r="2253" spans="1:48" ht="15.75" customHeight="1">
      <c r="A2253" s="21" t="s">
        <v>53</v>
      </c>
      <c r="B2253" s="23" t="s">
        <v>1692</v>
      </c>
      <c r="C2253" s="22">
        <v>45762</v>
      </c>
      <c r="D2253" s="23" t="s">
        <v>184</v>
      </c>
      <c r="E2253" s="23" t="s">
        <v>150</v>
      </c>
      <c r="F2253" s="21">
        <v>1</v>
      </c>
      <c r="G2253" s="12">
        <v>1799.8965445892823</v>
      </c>
      <c r="H2253" s="12">
        <v>1799.8965445892823</v>
      </c>
      <c r="I2253" s="23" t="s">
        <v>52</v>
      </c>
      <c r="J2253" s="23" t="s">
        <v>61</v>
      </c>
      <c r="K2253" s="24" t="s">
        <v>177</v>
      </c>
      <c r="L2253" s="24">
        <v>125</v>
      </c>
      <c r="M2253" s="12">
        <v>1512.518104696876</v>
      </c>
      <c r="N2253" s="12">
        <v>1512.518104696876</v>
      </c>
      <c r="O2253" s="12">
        <v>287.37843989240628</v>
      </c>
      <c r="P2253" s="13"/>
      <c r="Q2253" s="14">
        <v>2025</v>
      </c>
      <c r="R2253" s="15">
        <v>45383</v>
      </c>
      <c r="S2253" s="11" t="s">
        <v>381</v>
      </c>
      <c r="T2253" s="16">
        <v>300</v>
      </c>
      <c r="U2253" s="17"/>
      <c r="V2253" s="12">
        <v>781.51810469687575</v>
      </c>
      <c r="W2253" s="12">
        <v>781.51810469687575</v>
      </c>
      <c r="X2253" s="12">
        <v>0</v>
      </c>
      <c r="Y2253" s="18">
        <v>45761</v>
      </c>
      <c r="Z2253" s="13" t="s">
        <v>516</v>
      </c>
      <c r="AA2253" s="19" t="s">
        <v>361</v>
      </c>
      <c r="AB2253" s="13" t="s">
        <v>357</v>
      </c>
      <c r="AC2253" s="13" t="s">
        <v>405</v>
      </c>
      <c r="AD2253" s="20"/>
      <c r="AE2253" s="20"/>
      <c r="AF2253" s="13" t="s">
        <v>40</v>
      </c>
      <c r="AG2253" s="15">
        <v>45383</v>
      </c>
      <c r="AH2253" s="13" t="s">
        <v>41</v>
      </c>
      <c r="AI2253" s="13" t="s">
        <v>53</v>
      </c>
      <c r="AJ2253" s="13" t="str">
        <f>VLOOKUP(E2253,Precios!Z$2:AA$941,2,FALSE)</f>
        <v>Servilletas SOFTQUALITY 300 unidades</v>
      </c>
      <c r="AK2253" s="14">
        <f>VLOOKUP(E2253,Precios!Z$2:BB$941,3,FALSE)*F2253</f>
        <v>-1</v>
      </c>
      <c r="AL2253" s="17"/>
      <c r="AM2253" s="17"/>
      <c r="AN2253" s="17"/>
      <c r="AO2253" s="17"/>
      <c r="AP2253" s="17"/>
      <c r="AQ2253" s="17"/>
      <c r="AR2253" s="17"/>
      <c r="AS2253" s="17"/>
      <c r="AT2253" s="17"/>
      <c r="AU2253" s="17"/>
      <c r="AV2253" s="17"/>
    </row>
    <row r="2254" spans="1:48" ht="15.75" customHeight="1">
      <c r="A2254" s="21" t="s">
        <v>47</v>
      </c>
      <c r="B2254" s="23" t="s">
        <v>1692</v>
      </c>
      <c r="C2254" s="22">
        <v>45762</v>
      </c>
      <c r="D2254" s="23" t="s">
        <v>184</v>
      </c>
      <c r="E2254" s="23" t="s">
        <v>267</v>
      </c>
      <c r="F2254" s="21">
        <v>1</v>
      </c>
      <c r="G2254" s="12">
        <v>7499.8770659745942</v>
      </c>
      <c r="H2254" s="12">
        <v>7499.8770659745942</v>
      </c>
      <c r="I2254" s="23" t="s">
        <v>52</v>
      </c>
      <c r="J2254" s="23" t="s">
        <v>61</v>
      </c>
      <c r="K2254" s="24" t="s">
        <v>177</v>
      </c>
      <c r="L2254" s="24">
        <v>125</v>
      </c>
      <c r="M2254" s="12">
        <v>6302.4177024996588</v>
      </c>
      <c r="N2254" s="12">
        <v>6302.4177024996588</v>
      </c>
      <c r="O2254" s="12">
        <v>1197.4593634749353</v>
      </c>
      <c r="P2254" s="13"/>
      <c r="Q2254" s="14">
        <v>2025</v>
      </c>
      <c r="R2254" s="15">
        <v>45383</v>
      </c>
      <c r="S2254" s="11" t="s">
        <v>372</v>
      </c>
      <c r="T2254" s="16">
        <v>0</v>
      </c>
      <c r="U2254" s="17"/>
      <c r="V2254" s="12">
        <v>1688.4177024996588</v>
      </c>
      <c r="W2254" s="12">
        <v>1688.4177024996588</v>
      </c>
      <c r="X2254" s="12">
        <v>0</v>
      </c>
      <c r="Y2254" s="18">
        <v>45761</v>
      </c>
      <c r="Z2254" s="13" t="s">
        <v>516</v>
      </c>
      <c r="AA2254" s="19" t="s">
        <v>361</v>
      </c>
      <c r="AB2254" s="13" t="s">
        <v>357</v>
      </c>
      <c r="AC2254" s="13" t="s">
        <v>405</v>
      </c>
      <c r="AD2254" s="20"/>
      <c r="AE2254" s="20"/>
      <c r="AF2254" s="13" t="s">
        <v>40</v>
      </c>
      <c r="AG2254" s="15">
        <v>45383</v>
      </c>
      <c r="AH2254" s="13" t="s">
        <v>41</v>
      </c>
      <c r="AI2254" s="13" t="s">
        <v>47</v>
      </c>
      <c r="AJ2254" s="13" t="str">
        <f>VLOOKUP(E2254,Precios!Z$2:AA$941,2,FALSE)</f>
        <v>Traperos Humedos EXCELL</v>
      </c>
      <c r="AK2254" s="14">
        <f>VLOOKUP(E2254,Precios!Z$2:BB$941,3,FALSE)*F2254</f>
        <v>-3</v>
      </c>
      <c r="AL2254" s="17"/>
      <c r="AM2254" s="17"/>
      <c r="AN2254" s="17"/>
      <c r="AO2254" s="17"/>
      <c r="AP2254" s="17"/>
      <c r="AQ2254" s="17"/>
      <c r="AR2254" s="17"/>
      <c r="AS2254" s="17"/>
      <c r="AT2254" s="17"/>
      <c r="AU2254" s="17"/>
      <c r="AV2254" s="17"/>
    </row>
    <row r="2255" spans="1:48" ht="15.75" customHeight="1">
      <c r="A2255" s="14" t="s">
        <v>35</v>
      </c>
      <c r="B2255" s="23" t="s">
        <v>1692</v>
      </c>
      <c r="C2255" s="22">
        <v>45762</v>
      </c>
      <c r="D2255" s="13" t="s">
        <v>128</v>
      </c>
      <c r="E2255" s="13" t="s">
        <v>37</v>
      </c>
      <c r="F2255" s="14">
        <v>4</v>
      </c>
      <c r="G2255" s="12">
        <v>10500</v>
      </c>
      <c r="H2255" s="12">
        <v>42000</v>
      </c>
      <c r="I2255" s="23" t="s">
        <v>52</v>
      </c>
      <c r="J2255" s="23" t="s">
        <v>61</v>
      </c>
      <c r="K2255" s="24" t="s">
        <v>177</v>
      </c>
      <c r="L2255" s="24">
        <v>125</v>
      </c>
      <c r="M2255" s="12">
        <v>8823.5294117647063</v>
      </c>
      <c r="N2255" s="12">
        <v>35294.117647058825</v>
      </c>
      <c r="O2255" s="12">
        <v>6705.8823529411748</v>
      </c>
      <c r="P2255" s="13"/>
      <c r="Q2255" s="14">
        <v>2025</v>
      </c>
      <c r="R2255" s="15">
        <v>45383</v>
      </c>
      <c r="S2255" s="11" t="s">
        <v>364</v>
      </c>
      <c r="T2255" s="16">
        <v>4000</v>
      </c>
      <c r="U2255" s="17"/>
      <c r="V2255" s="12">
        <v>9542.8571428571413</v>
      </c>
      <c r="W2255" s="12">
        <v>9542.8571428571413</v>
      </c>
      <c r="X2255" s="12">
        <v>0</v>
      </c>
      <c r="Y2255" s="18">
        <v>45761</v>
      </c>
      <c r="Z2255" s="13" t="s">
        <v>516</v>
      </c>
      <c r="AA2255" s="19" t="s">
        <v>373</v>
      </c>
      <c r="AB2255" s="13" t="s">
        <v>357</v>
      </c>
      <c r="AC2255" s="13" t="s">
        <v>405</v>
      </c>
      <c r="AD2255" s="20"/>
      <c r="AE2255" s="20"/>
      <c r="AF2255" s="13" t="s">
        <v>40</v>
      </c>
      <c r="AG2255" s="15">
        <v>45383</v>
      </c>
      <c r="AH2255" s="13" t="s">
        <v>41</v>
      </c>
      <c r="AI2255" s="13" t="s">
        <v>35</v>
      </c>
      <c r="AJ2255" s="13" t="str">
        <f>VLOOKUP(E2255,Precios!Z$2:AA$941,2,FALSE)</f>
        <v>Queso RUNCA Mantecoso</v>
      </c>
      <c r="AK2255" s="14">
        <f>VLOOKUP(E2255,Precios!Z$2:BB$941,3,FALSE)*F2255</f>
        <v>-4</v>
      </c>
      <c r="AL2255" s="17"/>
      <c r="AM2255" s="17"/>
      <c r="AN2255" s="17"/>
      <c r="AO2255" s="17"/>
      <c r="AP2255" s="17"/>
      <c r="AQ2255" s="17"/>
      <c r="AR2255" s="17"/>
      <c r="AS2255" s="17"/>
      <c r="AT2255" s="17"/>
      <c r="AU2255" s="17"/>
      <c r="AV2255" s="17"/>
    </row>
    <row r="2256" spans="1:48" ht="15.75" customHeight="1">
      <c r="A2256" s="21" t="s">
        <v>35</v>
      </c>
      <c r="B2256" s="23" t="s">
        <v>1692</v>
      </c>
      <c r="C2256" s="22">
        <v>45762</v>
      </c>
      <c r="D2256" s="23" t="s">
        <v>235</v>
      </c>
      <c r="E2256" s="23" t="s">
        <v>37</v>
      </c>
      <c r="F2256" s="21">
        <v>2</v>
      </c>
      <c r="G2256" s="12">
        <v>10500</v>
      </c>
      <c r="H2256" s="12">
        <v>21000</v>
      </c>
      <c r="I2256" s="23" t="s">
        <v>52</v>
      </c>
      <c r="J2256" s="23" t="s">
        <v>61</v>
      </c>
      <c r="K2256" s="24" t="s">
        <v>177</v>
      </c>
      <c r="L2256" s="24">
        <v>125</v>
      </c>
      <c r="M2256" s="12">
        <v>8823.5294117647063</v>
      </c>
      <c r="N2256" s="12">
        <v>17647.058823529413</v>
      </c>
      <c r="O2256" s="12">
        <v>3352.9411764705874</v>
      </c>
      <c r="P2256" s="13"/>
      <c r="Q2256" s="14">
        <v>2025</v>
      </c>
      <c r="R2256" s="15">
        <v>45383</v>
      </c>
      <c r="S2256" s="11" t="s">
        <v>364</v>
      </c>
      <c r="T2256" s="16">
        <v>2000</v>
      </c>
      <c r="U2256" s="17"/>
      <c r="V2256" s="12">
        <v>4771.4285714285706</v>
      </c>
      <c r="W2256" s="12">
        <v>4771.4285714285706</v>
      </c>
      <c r="X2256" s="12">
        <v>0</v>
      </c>
      <c r="Y2256" s="18">
        <v>45761</v>
      </c>
      <c r="Z2256" s="13" t="s">
        <v>516</v>
      </c>
      <c r="AA2256" s="19" t="s">
        <v>367</v>
      </c>
      <c r="AB2256" s="13" t="s">
        <v>357</v>
      </c>
      <c r="AC2256" s="13" t="s">
        <v>367</v>
      </c>
      <c r="AD2256" s="20"/>
      <c r="AE2256" s="20"/>
      <c r="AF2256" s="13" t="s">
        <v>40</v>
      </c>
      <c r="AG2256" s="15">
        <v>45383</v>
      </c>
      <c r="AH2256" s="13" t="s">
        <v>41</v>
      </c>
      <c r="AI2256" s="13" t="s">
        <v>35</v>
      </c>
      <c r="AJ2256" s="13" t="str">
        <f>VLOOKUP(E2256,Precios!Z$2:AA$941,2,FALSE)</f>
        <v>Queso RUNCA Mantecoso</v>
      </c>
      <c r="AK2256" s="14">
        <f>VLOOKUP(E2256,Precios!Z$2:BB$941,3,FALSE)*F2256</f>
        <v>-2</v>
      </c>
      <c r="AL2256" s="17"/>
      <c r="AM2256" s="17"/>
      <c r="AN2256" s="17"/>
      <c r="AO2256" s="17"/>
      <c r="AP2256" s="17"/>
      <c r="AQ2256" s="17"/>
      <c r="AR2256" s="17"/>
      <c r="AS2256" s="17"/>
      <c r="AT2256" s="17"/>
      <c r="AU2256" s="17"/>
      <c r="AV2256" s="17"/>
    </row>
    <row r="2257" spans="1:48" ht="15.75" customHeight="1">
      <c r="A2257" s="21" t="s">
        <v>43</v>
      </c>
      <c r="B2257" s="23" t="s">
        <v>1692</v>
      </c>
      <c r="C2257" s="22">
        <v>45762</v>
      </c>
      <c r="D2257" s="23" t="s">
        <v>276</v>
      </c>
      <c r="E2257" s="23" t="s">
        <v>45</v>
      </c>
      <c r="F2257" s="21">
        <v>2</v>
      </c>
      <c r="G2257" s="12">
        <v>8299.9877571008819</v>
      </c>
      <c r="H2257" s="12">
        <v>16599.975514201764</v>
      </c>
      <c r="I2257" s="23" t="s">
        <v>52</v>
      </c>
      <c r="J2257" s="23" t="s">
        <v>61</v>
      </c>
      <c r="K2257" s="24" t="s">
        <v>177</v>
      </c>
      <c r="L2257" s="24">
        <v>125</v>
      </c>
      <c r="M2257" s="12">
        <v>6974.7796278158676</v>
      </c>
      <c r="N2257" s="12">
        <v>13949.559255631735</v>
      </c>
      <c r="O2257" s="12">
        <v>2650.4162585700287</v>
      </c>
      <c r="P2257" s="13"/>
      <c r="Q2257" s="14">
        <v>2025</v>
      </c>
      <c r="R2257" s="15">
        <v>45383</v>
      </c>
      <c r="S2257" s="11" t="s">
        <v>355</v>
      </c>
      <c r="T2257" s="16">
        <v>0</v>
      </c>
      <c r="U2257" s="17"/>
      <c r="V2257" s="12">
        <v>2555.5592556317333</v>
      </c>
      <c r="W2257" s="12">
        <v>2555.5592556317333</v>
      </c>
      <c r="X2257" s="12">
        <v>0</v>
      </c>
      <c r="Y2257" s="18">
        <v>45761</v>
      </c>
      <c r="Z2257" s="13" t="s">
        <v>516</v>
      </c>
      <c r="AA2257" s="19" t="s">
        <v>373</v>
      </c>
      <c r="AB2257" s="13" t="s">
        <v>357</v>
      </c>
      <c r="AC2257" s="13" t="s">
        <v>374</v>
      </c>
      <c r="AD2257" s="20"/>
      <c r="AE2257" s="20"/>
      <c r="AF2257" s="13" t="s">
        <v>40</v>
      </c>
      <c r="AG2257" s="15">
        <v>45383</v>
      </c>
      <c r="AH2257" s="13" t="s">
        <v>41</v>
      </c>
      <c r="AI2257" s="13" t="s">
        <v>43</v>
      </c>
      <c r="AJ2257" s="13" t="str">
        <f>VLOOKUP(E2257,Precios!Z$2:AA$941,2,FALSE)</f>
        <v>Bandeja Huevos EXTRA</v>
      </c>
      <c r="AK2257" s="14">
        <f>VLOOKUP(E2257,Precios!Z$2:BB$941,3,FALSE)*F2257</f>
        <v>-2</v>
      </c>
      <c r="AL2257" s="17"/>
      <c r="AM2257" s="17"/>
      <c r="AN2257" s="17"/>
      <c r="AO2257" s="17"/>
      <c r="AP2257" s="17"/>
      <c r="AQ2257" s="17"/>
      <c r="AR2257" s="17"/>
      <c r="AS2257" s="17"/>
      <c r="AT2257" s="17"/>
      <c r="AU2257" s="17"/>
      <c r="AV2257" s="17"/>
    </row>
    <row r="2258" spans="1:48" ht="15.75" customHeight="1">
      <c r="A2258" s="21" t="s">
        <v>35</v>
      </c>
      <c r="B2258" s="23" t="s">
        <v>1692</v>
      </c>
      <c r="C2258" s="22">
        <v>45762</v>
      </c>
      <c r="D2258" s="23" t="s">
        <v>276</v>
      </c>
      <c r="E2258" s="23" t="s">
        <v>46</v>
      </c>
      <c r="F2258" s="21">
        <v>1</v>
      </c>
      <c r="G2258" s="12">
        <v>5500</v>
      </c>
      <c r="H2258" s="12">
        <v>5500</v>
      </c>
      <c r="I2258" s="23" t="s">
        <v>52</v>
      </c>
      <c r="J2258" s="23" t="s">
        <v>61</v>
      </c>
      <c r="K2258" s="24" t="s">
        <v>177</v>
      </c>
      <c r="L2258" s="24">
        <v>125</v>
      </c>
      <c r="M2258" s="12">
        <v>4621.8487394957983</v>
      </c>
      <c r="N2258" s="12">
        <v>4621.8487394957983</v>
      </c>
      <c r="O2258" s="12">
        <v>878.15126050420167</v>
      </c>
      <c r="P2258" s="13"/>
      <c r="Q2258" s="14">
        <v>2025</v>
      </c>
      <c r="R2258" s="15">
        <v>45383</v>
      </c>
      <c r="S2258" s="11" t="s">
        <v>364</v>
      </c>
      <c r="T2258" s="16">
        <v>500</v>
      </c>
      <c r="U2258" s="17"/>
      <c r="V2258" s="12">
        <v>1365.1260504201678</v>
      </c>
      <c r="W2258" s="12">
        <v>1365.1260504201678</v>
      </c>
      <c r="X2258" s="12">
        <v>0</v>
      </c>
      <c r="Y2258" s="18">
        <v>45761</v>
      </c>
      <c r="Z2258" s="13" t="s">
        <v>516</v>
      </c>
      <c r="AA2258" s="19" t="s">
        <v>373</v>
      </c>
      <c r="AB2258" s="13" t="s">
        <v>357</v>
      </c>
      <c r="AC2258" s="13" t="s">
        <v>374</v>
      </c>
      <c r="AD2258" s="20"/>
      <c r="AE2258" s="20"/>
      <c r="AF2258" s="13" t="s">
        <v>40</v>
      </c>
      <c r="AG2258" s="15">
        <v>45383</v>
      </c>
      <c r="AH2258" s="13" t="s">
        <v>41</v>
      </c>
      <c r="AI2258" s="13" t="s">
        <v>35</v>
      </c>
      <c r="AJ2258" s="13" t="str">
        <f>VLOOKUP(E2258,Precios!Z$2:AA$941,2,FALSE)</f>
        <v>Queso RUNCA Mantecoso</v>
      </c>
      <c r="AK2258" s="14">
        <f>VLOOKUP(E2258,Precios!Z$2:BB$941,3,FALSE)*F2258</f>
        <v>-0.5</v>
      </c>
      <c r="AL2258" s="17"/>
      <c r="AM2258" s="17"/>
      <c r="AN2258" s="17"/>
      <c r="AO2258" s="17"/>
      <c r="AP2258" s="17"/>
      <c r="AQ2258" s="17"/>
      <c r="AR2258" s="17"/>
      <c r="AS2258" s="17"/>
      <c r="AT2258" s="17"/>
      <c r="AU2258" s="17"/>
      <c r="AV2258" s="17"/>
    </row>
    <row r="2259" spans="1:48" ht="15.75" customHeight="1">
      <c r="A2259" s="21" t="s">
        <v>35</v>
      </c>
      <c r="B2259" s="23" t="s">
        <v>1692</v>
      </c>
      <c r="C2259" s="22">
        <v>45762</v>
      </c>
      <c r="D2259" s="23" t="s">
        <v>172</v>
      </c>
      <c r="E2259" s="23" t="s">
        <v>37</v>
      </c>
      <c r="F2259" s="21">
        <v>1</v>
      </c>
      <c r="G2259" s="12">
        <v>10500</v>
      </c>
      <c r="H2259" s="12">
        <v>10500</v>
      </c>
      <c r="I2259" s="23" t="s">
        <v>52</v>
      </c>
      <c r="J2259" s="23" t="s">
        <v>61</v>
      </c>
      <c r="K2259" s="24" t="s">
        <v>177</v>
      </c>
      <c r="L2259" s="24">
        <v>125</v>
      </c>
      <c r="M2259" s="12">
        <v>8823.5294117647063</v>
      </c>
      <c r="N2259" s="12">
        <v>8823.5294117647063</v>
      </c>
      <c r="O2259" s="12">
        <v>1676.4705882352937</v>
      </c>
      <c r="P2259" s="13"/>
      <c r="Q2259" s="14">
        <v>2025</v>
      </c>
      <c r="R2259" s="15">
        <v>45383</v>
      </c>
      <c r="S2259" s="11" t="s">
        <v>364</v>
      </c>
      <c r="T2259" s="16">
        <v>1000</v>
      </c>
      <c r="U2259" s="17"/>
      <c r="V2259" s="12">
        <v>2385.7142857142853</v>
      </c>
      <c r="W2259" s="12">
        <v>2385.7142857142853</v>
      </c>
      <c r="X2259" s="12">
        <v>0</v>
      </c>
      <c r="Y2259" s="18">
        <v>45761</v>
      </c>
      <c r="Z2259" s="13" t="s">
        <v>516</v>
      </c>
      <c r="AA2259" s="19" t="s">
        <v>361</v>
      </c>
      <c r="AB2259" s="13" t="s">
        <v>357</v>
      </c>
      <c r="AC2259" s="13" t="s">
        <v>405</v>
      </c>
      <c r="AD2259" s="20"/>
      <c r="AE2259" s="20"/>
      <c r="AF2259" s="13" t="s">
        <v>40</v>
      </c>
      <c r="AG2259" s="15">
        <v>45383</v>
      </c>
      <c r="AH2259" s="13" t="s">
        <v>41</v>
      </c>
      <c r="AI2259" s="13" t="s">
        <v>35</v>
      </c>
      <c r="AJ2259" s="13" t="str">
        <f>VLOOKUP(E2259,Precios!Z$2:AA$941,2,FALSE)</f>
        <v>Queso RUNCA Mantecoso</v>
      </c>
      <c r="AK2259" s="14">
        <f>VLOOKUP(E2259,Precios!Z$2:BB$941,3,FALSE)*F2259</f>
        <v>-1</v>
      </c>
      <c r="AL2259" s="17"/>
      <c r="AM2259" s="17"/>
      <c r="AN2259" s="17"/>
      <c r="AO2259" s="17"/>
      <c r="AP2259" s="17"/>
      <c r="AQ2259" s="17"/>
      <c r="AR2259" s="17"/>
      <c r="AS2259" s="17"/>
      <c r="AT2259" s="17"/>
      <c r="AU2259" s="17"/>
      <c r="AV2259" s="17"/>
    </row>
    <row r="2260" spans="1:48" ht="15.75" customHeight="1">
      <c r="A2260" s="21" t="s">
        <v>35</v>
      </c>
      <c r="B2260" s="23" t="s">
        <v>1692</v>
      </c>
      <c r="C2260" s="22">
        <v>45761</v>
      </c>
      <c r="D2260" s="23" t="s">
        <v>915</v>
      </c>
      <c r="E2260" s="23" t="s">
        <v>37</v>
      </c>
      <c r="F2260" s="21">
        <v>1</v>
      </c>
      <c r="G2260" s="12">
        <v>10500</v>
      </c>
      <c r="H2260" s="12">
        <v>10500</v>
      </c>
      <c r="I2260" s="23" t="s">
        <v>52</v>
      </c>
      <c r="J2260" s="23" t="s">
        <v>61</v>
      </c>
      <c r="K2260" s="24" t="s">
        <v>177</v>
      </c>
      <c r="L2260" s="24">
        <v>124</v>
      </c>
      <c r="M2260" s="12">
        <v>8823.5294117647063</v>
      </c>
      <c r="N2260" s="12">
        <v>8823.5294117647063</v>
      </c>
      <c r="O2260" s="12">
        <v>1676.4705882352937</v>
      </c>
      <c r="P2260" s="13"/>
      <c r="Q2260" s="14">
        <v>2025</v>
      </c>
      <c r="R2260" s="15">
        <v>45383</v>
      </c>
      <c r="S2260" s="11" t="s">
        <v>364</v>
      </c>
      <c r="T2260" s="16">
        <v>1000</v>
      </c>
      <c r="U2260" s="17"/>
      <c r="V2260" s="12">
        <v>2385.7142857142853</v>
      </c>
      <c r="W2260" s="12">
        <v>2385.7142857142853</v>
      </c>
      <c r="X2260" s="12">
        <v>0</v>
      </c>
      <c r="Y2260" s="18">
        <v>45761</v>
      </c>
      <c r="Z2260" s="13" t="s">
        <v>523</v>
      </c>
      <c r="AA2260" s="19" t="s">
        <v>367</v>
      </c>
      <c r="AB2260" s="13" t="s">
        <v>357</v>
      </c>
      <c r="AC2260" s="13" t="s">
        <v>367</v>
      </c>
      <c r="AD2260" s="20"/>
      <c r="AE2260" s="20"/>
      <c r="AF2260" s="13" t="s">
        <v>40</v>
      </c>
      <c r="AG2260" s="15">
        <v>45383</v>
      </c>
      <c r="AH2260" s="13" t="s">
        <v>41</v>
      </c>
      <c r="AI2260" s="13" t="s">
        <v>35</v>
      </c>
      <c r="AJ2260" s="13" t="str">
        <f>VLOOKUP(E2260,Precios!Z$2:AA$941,2,FALSE)</f>
        <v>Queso RUNCA Mantecoso</v>
      </c>
      <c r="AK2260" s="14">
        <f>VLOOKUP(E2260,Precios!Z$2:BB$941,3,FALSE)*F2260</f>
        <v>-1</v>
      </c>
      <c r="AL2260" s="17"/>
      <c r="AM2260" s="17"/>
      <c r="AN2260" s="17"/>
      <c r="AO2260" s="17"/>
      <c r="AP2260" s="17"/>
      <c r="AQ2260" s="17"/>
      <c r="AR2260" s="17"/>
      <c r="AS2260" s="17"/>
      <c r="AT2260" s="17"/>
      <c r="AU2260" s="17"/>
      <c r="AV2260" s="17"/>
    </row>
    <row r="2261" spans="1:48" ht="15.75" customHeight="1">
      <c r="A2261" s="21" t="s">
        <v>35</v>
      </c>
      <c r="B2261" s="23" t="s">
        <v>1692</v>
      </c>
      <c r="C2261" s="22">
        <v>45761</v>
      </c>
      <c r="D2261" s="23" t="s">
        <v>96</v>
      </c>
      <c r="E2261" s="23" t="s">
        <v>37</v>
      </c>
      <c r="F2261" s="21">
        <v>1</v>
      </c>
      <c r="G2261" s="12">
        <v>10500</v>
      </c>
      <c r="H2261" s="12">
        <v>10500</v>
      </c>
      <c r="I2261" s="23" t="s">
        <v>52</v>
      </c>
      <c r="J2261" s="23" t="s">
        <v>61</v>
      </c>
      <c r="K2261" s="24" t="s">
        <v>177</v>
      </c>
      <c r="L2261" s="24">
        <v>124</v>
      </c>
      <c r="M2261" s="12">
        <v>8823.5294117647063</v>
      </c>
      <c r="N2261" s="12">
        <v>8823.5294117647063</v>
      </c>
      <c r="O2261" s="12">
        <v>1676.4705882352937</v>
      </c>
      <c r="P2261" s="13"/>
      <c r="Q2261" s="14">
        <v>2025</v>
      </c>
      <c r="R2261" s="15">
        <v>45383</v>
      </c>
      <c r="S2261" s="11" t="s">
        <v>364</v>
      </c>
      <c r="T2261" s="16">
        <v>1000</v>
      </c>
      <c r="U2261" s="17"/>
      <c r="V2261" s="12">
        <v>2385.7142857142853</v>
      </c>
      <c r="W2261" s="12">
        <v>2385.7142857142853</v>
      </c>
      <c r="X2261" s="12">
        <v>0</v>
      </c>
      <c r="Y2261" s="18">
        <v>45761</v>
      </c>
      <c r="Z2261" s="13" t="s">
        <v>523</v>
      </c>
      <c r="AA2261" s="19" t="s">
        <v>373</v>
      </c>
      <c r="AB2261" s="13" t="s">
        <v>357</v>
      </c>
      <c r="AC2261" s="13" t="s">
        <v>374</v>
      </c>
      <c r="AD2261" s="20"/>
      <c r="AE2261" s="20"/>
      <c r="AF2261" s="13" t="s">
        <v>40</v>
      </c>
      <c r="AG2261" s="15">
        <v>45383</v>
      </c>
      <c r="AH2261" s="13" t="s">
        <v>41</v>
      </c>
      <c r="AI2261" s="13" t="s">
        <v>35</v>
      </c>
      <c r="AJ2261" s="13" t="str">
        <f>VLOOKUP(E2261,Precios!Z$2:AA$941,2,FALSE)</f>
        <v>Queso RUNCA Mantecoso</v>
      </c>
      <c r="AK2261" s="14">
        <f>VLOOKUP(E2261,Precios!Z$2:BB$941,3,FALSE)*F2261</f>
        <v>-1</v>
      </c>
      <c r="AL2261" s="17"/>
      <c r="AM2261" s="17"/>
      <c r="AN2261" s="17"/>
      <c r="AO2261" s="17"/>
      <c r="AP2261" s="17"/>
      <c r="AQ2261" s="17"/>
      <c r="AR2261" s="17"/>
      <c r="AS2261" s="17"/>
      <c r="AT2261" s="17"/>
      <c r="AU2261" s="17"/>
      <c r="AV2261" s="17"/>
    </row>
    <row r="2262" spans="1:48" ht="15.75" customHeight="1">
      <c r="A2262" s="21" t="s">
        <v>47</v>
      </c>
      <c r="B2262" s="23" t="s">
        <v>1692</v>
      </c>
      <c r="C2262" s="22">
        <v>45761</v>
      </c>
      <c r="D2262" s="23" t="s">
        <v>172</v>
      </c>
      <c r="E2262" s="23" t="s">
        <v>217</v>
      </c>
      <c r="F2262" s="21">
        <v>1</v>
      </c>
      <c r="G2262" s="12">
        <v>1500.1443464314357</v>
      </c>
      <c r="H2262" s="12">
        <v>1500.1443464314357</v>
      </c>
      <c r="I2262" s="23" t="s">
        <v>52</v>
      </c>
      <c r="J2262" s="23" t="s">
        <v>61</v>
      </c>
      <c r="K2262" s="24" t="s">
        <v>177</v>
      </c>
      <c r="L2262" s="24">
        <v>124</v>
      </c>
      <c r="M2262" s="12">
        <v>1260.6255012028871</v>
      </c>
      <c r="N2262" s="12">
        <v>1260.6255012028871</v>
      </c>
      <c r="O2262" s="12">
        <v>239.51884522854857</v>
      </c>
      <c r="P2262" s="13"/>
      <c r="Q2262" s="14">
        <v>2025</v>
      </c>
      <c r="R2262" s="15">
        <v>45383</v>
      </c>
      <c r="S2262" s="11" t="s">
        <v>544</v>
      </c>
      <c r="T2262" s="16">
        <v>0</v>
      </c>
      <c r="U2262" s="17"/>
      <c r="V2262" s="12">
        <v>474.62550120288711</v>
      </c>
      <c r="W2262" s="12">
        <v>474.62550120288711</v>
      </c>
      <c r="X2262" s="12">
        <v>0</v>
      </c>
      <c r="Y2262" s="18">
        <v>45761</v>
      </c>
      <c r="Z2262" s="13" t="s">
        <v>523</v>
      </c>
      <c r="AA2262" s="19" t="s">
        <v>361</v>
      </c>
      <c r="AB2262" s="13" t="s">
        <v>357</v>
      </c>
      <c r="AC2262" s="13" t="s">
        <v>405</v>
      </c>
      <c r="AD2262" s="20"/>
      <c r="AE2262" s="20"/>
      <c r="AF2262" s="13" t="s">
        <v>40</v>
      </c>
      <c r="AG2262" s="15">
        <v>45383</v>
      </c>
      <c r="AH2262" s="13" t="s">
        <v>41</v>
      </c>
      <c r="AI2262" s="13" t="s">
        <v>47</v>
      </c>
      <c r="AJ2262" s="13" t="str">
        <f>VLOOKUP(E2262,Precios!Z$2:AA$941,2,FALSE)</f>
        <v>Lustra Mueble TEDDY</v>
      </c>
      <c r="AK2262" s="14">
        <f>VLOOKUP(E2262,Precios!Z$2:BB$941,3,FALSE)*F2262</f>
        <v>-1</v>
      </c>
      <c r="AL2262" s="17"/>
      <c r="AM2262" s="17"/>
      <c r="AN2262" s="17"/>
      <c r="AO2262" s="17"/>
      <c r="AP2262" s="17"/>
      <c r="AQ2262" s="17"/>
      <c r="AR2262" s="17"/>
      <c r="AS2262" s="17"/>
      <c r="AT2262" s="17"/>
      <c r="AU2262" s="17"/>
      <c r="AV2262" s="17"/>
    </row>
    <row r="2263" spans="1:48" ht="15.75" customHeight="1">
      <c r="A2263" s="21" t="s">
        <v>47</v>
      </c>
      <c r="B2263" s="23" t="s">
        <v>1692</v>
      </c>
      <c r="C2263" s="22">
        <v>45761</v>
      </c>
      <c r="D2263" s="23" t="s">
        <v>172</v>
      </c>
      <c r="E2263" s="23" t="s">
        <v>171</v>
      </c>
      <c r="F2263" s="21">
        <v>1</v>
      </c>
      <c r="G2263" s="12">
        <v>1599.7931747673217</v>
      </c>
      <c r="H2263" s="12">
        <v>1599.7931747673217</v>
      </c>
      <c r="I2263" s="23" t="s">
        <v>52</v>
      </c>
      <c r="J2263" s="23" t="s">
        <v>61</v>
      </c>
      <c r="K2263" s="24" t="s">
        <v>177</v>
      </c>
      <c r="L2263" s="24">
        <v>124</v>
      </c>
      <c r="M2263" s="12">
        <v>1344.3640124095141</v>
      </c>
      <c r="N2263" s="12">
        <v>1344.3640124095141</v>
      </c>
      <c r="O2263" s="12">
        <v>255.42916235780763</v>
      </c>
      <c r="P2263" s="13"/>
      <c r="Q2263" s="14">
        <v>2025</v>
      </c>
      <c r="R2263" s="15">
        <v>45383</v>
      </c>
      <c r="S2263" s="11" t="s">
        <v>495</v>
      </c>
      <c r="T2263" s="16">
        <v>0</v>
      </c>
      <c r="U2263" s="17"/>
      <c r="V2263" s="12">
        <v>369.36401240951409</v>
      </c>
      <c r="W2263" s="12">
        <v>369.36401240951409</v>
      </c>
      <c r="X2263" s="12">
        <v>0</v>
      </c>
      <c r="Y2263" s="18">
        <v>45761</v>
      </c>
      <c r="Z2263" s="13" t="s">
        <v>523</v>
      </c>
      <c r="AA2263" s="19" t="s">
        <v>361</v>
      </c>
      <c r="AB2263" s="13" t="s">
        <v>357</v>
      </c>
      <c r="AC2263" s="13" t="s">
        <v>405</v>
      </c>
      <c r="AD2263" s="20"/>
      <c r="AE2263" s="20"/>
      <c r="AF2263" s="13" t="s">
        <v>40</v>
      </c>
      <c r="AG2263" s="15">
        <v>45383</v>
      </c>
      <c r="AH2263" s="13" t="s">
        <v>41</v>
      </c>
      <c r="AI2263" s="13" t="s">
        <v>47</v>
      </c>
      <c r="AJ2263" s="13" t="str">
        <f>VLOOKUP(E2263,Precios!Z$2:AA$941,2,FALSE)</f>
        <v>Cera Tierra Color Brillina</v>
      </c>
      <c r="AK2263" s="14">
        <f>VLOOKUP(E2263,Precios!Z$2:BB$941,3,FALSE)*F2263</f>
        <v>-1</v>
      </c>
      <c r="AL2263" s="17"/>
      <c r="AM2263" s="17"/>
      <c r="AN2263" s="17"/>
      <c r="AO2263" s="17"/>
      <c r="AP2263" s="17"/>
      <c r="AQ2263" s="17"/>
      <c r="AR2263" s="17"/>
      <c r="AS2263" s="17"/>
      <c r="AT2263" s="17"/>
      <c r="AU2263" s="17"/>
      <c r="AV2263" s="17"/>
    </row>
    <row r="2264" spans="1:48" ht="15.75" customHeight="1">
      <c r="A2264" s="21" t="s">
        <v>76</v>
      </c>
      <c r="B2264" s="23" t="s">
        <v>1692</v>
      </c>
      <c r="C2264" s="22">
        <v>45761</v>
      </c>
      <c r="D2264" s="23" t="s">
        <v>172</v>
      </c>
      <c r="E2264" s="23" t="s">
        <v>137</v>
      </c>
      <c r="F2264" s="21">
        <v>4</v>
      </c>
      <c r="G2264" s="12">
        <v>3500.0000000000005</v>
      </c>
      <c r="H2264" s="12">
        <v>14000.000000000002</v>
      </c>
      <c r="I2264" s="23" t="s">
        <v>52</v>
      </c>
      <c r="J2264" s="23" t="s">
        <v>61</v>
      </c>
      <c r="K2264" s="24" t="s">
        <v>177</v>
      </c>
      <c r="L2264" s="24">
        <v>124</v>
      </c>
      <c r="M2264" s="12">
        <v>2941.1764705882356</v>
      </c>
      <c r="N2264" s="12">
        <v>11764.705882352942</v>
      </c>
      <c r="O2264" s="12">
        <v>2235.2941176470595</v>
      </c>
      <c r="P2264" s="13"/>
      <c r="Q2264" s="14">
        <v>2025</v>
      </c>
      <c r="R2264" s="15">
        <v>45383</v>
      </c>
      <c r="S2264" s="11" t="s">
        <v>406</v>
      </c>
      <c r="T2264" s="16">
        <v>20</v>
      </c>
      <c r="U2264" s="17"/>
      <c r="V2264" s="12">
        <v>3394.9579831932788</v>
      </c>
      <c r="W2264" s="12">
        <v>3394.9579831932788</v>
      </c>
      <c r="X2264" s="12">
        <v>0</v>
      </c>
      <c r="Y2264" s="18">
        <v>45761</v>
      </c>
      <c r="Z2264" s="13" t="s">
        <v>523</v>
      </c>
      <c r="AA2264" s="19" t="s">
        <v>361</v>
      </c>
      <c r="AB2264" s="13" t="s">
        <v>357</v>
      </c>
      <c r="AC2264" s="13" t="s">
        <v>405</v>
      </c>
      <c r="AD2264" s="20"/>
      <c r="AE2264" s="20"/>
      <c r="AF2264" s="13" t="s">
        <v>40</v>
      </c>
      <c r="AG2264" s="15">
        <v>45383</v>
      </c>
      <c r="AH2264" s="13" t="s">
        <v>41</v>
      </c>
      <c r="AI2264" s="13" t="s">
        <v>76</v>
      </c>
      <c r="AJ2264" s="13" t="str">
        <f>VLOOKUP(E2264,Precios!Z$2:AA$941,2,FALSE)</f>
        <v>Detergente SPUM 5 Litros (Blanco)</v>
      </c>
      <c r="AK2264" s="14">
        <f>VLOOKUP(E2264,Precios!Z$2:BB$941,3,FALSE)*F2264</f>
        <v>-4</v>
      </c>
      <c r="AL2264" s="17"/>
      <c r="AM2264" s="17"/>
      <c r="AN2264" s="17"/>
      <c r="AO2264" s="17"/>
      <c r="AP2264" s="17"/>
      <c r="AQ2264" s="17"/>
      <c r="AR2264" s="17"/>
      <c r="AS2264" s="17"/>
      <c r="AT2264" s="17"/>
      <c r="AU2264" s="17"/>
      <c r="AV2264" s="17"/>
    </row>
    <row r="2265" spans="1:48" ht="15.75" customHeight="1">
      <c r="A2265" s="21" t="s">
        <v>76</v>
      </c>
      <c r="B2265" s="23" t="s">
        <v>1692</v>
      </c>
      <c r="C2265" s="22">
        <v>45761</v>
      </c>
      <c r="D2265" s="23" t="s">
        <v>172</v>
      </c>
      <c r="E2265" s="23" t="s">
        <v>212</v>
      </c>
      <c r="F2265" s="21">
        <v>1</v>
      </c>
      <c r="G2265" s="12">
        <v>3000.0000000000005</v>
      </c>
      <c r="H2265" s="12">
        <v>3000.0000000000005</v>
      </c>
      <c r="I2265" s="23" t="s">
        <v>52</v>
      </c>
      <c r="J2265" s="23" t="s">
        <v>61</v>
      </c>
      <c r="K2265" s="24" t="s">
        <v>177</v>
      </c>
      <c r="L2265" s="24">
        <v>124</v>
      </c>
      <c r="M2265" s="12">
        <v>2521.0084033613452</v>
      </c>
      <c r="N2265" s="12">
        <v>2521.0084033613452</v>
      </c>
      <c r="O2265" s="12">
        <v>478.99159663865521</v>
      </c>
      <c r="P2265" s="13"/>
      <c r="Q2265" s="14">
        <v>2025</v>
      </c>
      <c r="R2265" s="15">
        <v>45383</v>
      </c>
      <c r="S2265" s="11" t="s">
        <v>446</v>
      </c>
      <c r="T2265" s="16">
        <v>5</v>
      </c>
      <c r="U2265" s="17"/>
      <c r="V2265" s="12">
        <v>764.70588235294144</v>
      </c>
      <c r="W2265" s="12">
        <v>764.70588235294144</v>
      </c>
      <c r="X2265" s="12">
        <v>0</v>
      </c>
      <c r="Y2265" s="18">
        <v>45761</v>
      </c>
      <c r="Z2265" s="13" t="s">
        <v>523</v>
      </c>
      <c r="AA2265" s="19" t="s">
        <v>361</v>
      </c>
      <c r="AB2265" s="13" t="s">
        <v>357</v>
      </c>
      <c r="AC2265" s="13" t="s">
        <v>405</v>
      </c>
      <c r="AD2265" s="20"/>
      <c r="AE2265" s="20"/>
      <c r="AF2265" s="13" t="s">
        <v>40</v>
      </c>
      <c r="AG2265" s="15">
        <v>45383</v>
      </c>
      <c r="AH2265" s="13" t="s">
        <v>41</v>
      </c>
      <c r="AI2265" s="13" t="s">
        <v>76</v>
      </c>
      <c r="AJ2265" s="13" t="str">
        <f>VLOOKUP(E2265,Precios!Z$2:AA$941,2,FALSE)</f>
        <v>Suavizante SPUM 5 Litros</v>
      </c>
      <c r="AK2265" s="14">
        <f>VLOOKUP(E2265,Precios!Z$2:BB$941,3,FALSE)*F2265</f>
        <v>-1</v>
      </c>
      <c r="AL2265" s="17"/>
      <c r="AM2265" s="17"/>
      <c r="AN2265" s="17"/>
      <c r="AO2265" s="17"/>
      <c r="AP2265" s="17"/>
      <c r="AQ2265" s="17"/>
      <c r="AR2265" s="17"/>
      <c r="AS2265" s="17"/>
      <c r="AT2265" s="17"/>
      <c r="AU2265" s="17"/>
      <c r="AV2265" s="17"/>
    </row>
    <row r="2266" spans="1:48" ht="15.75" customHeight="1">
      <c r="A2266" s="21" t="s">
        <v>76</v>
      </c>
      <c r="B2266" s="23" t="s">
        <v>1692</v>
      </c>
      <c r="C2266" s="22">
        <v>45761</v>
      </c>
      <c r="D2266" s="23" t="s">
        <v>172</v>
      </c>
      <c r="E2266" s="23" t="s">
        <v>110</v>
      </c>
      <c r="F2266" s="21">
        <v>1</v>
      </c>
      <c r="G2266" s="12">
        <v>2000.0000000000005</v>
      </c>
      <c r="H2266" s="12">
        <v>2000.0000000000005</v>
      </c>
      <c r="I2266" s="23" t="s">
        <v>52</v>
      </c>
      <c r="J2266" s="23" t="s">
        <v>61</v>
      </c>
      <c r="K2266" s="24" t="s">
        <v>177</v>
      </c>
      <c r="L2266" s="24">
        <v>124</v>
      </c>
      <c r="M2266" s="12">
        <v>1680.6722689075634</v>
      </c>
      <c r="N2266" s="12">
        <v>1680.6722689075634</v>
      </c>
      <c r="O2266" s="12">
        <v>319.32773109243703</v>
      </c>
      <c r="P2266" s="13"/>
      <c r="Q2266" s="14">
        <v>2025</v>
      </c>
      <c r="R2266" s="15">
        <v>45383</v>
      </c>
      <c r="S2266" s="11" t="s">
        <v>378</v>
      </c>
      <c r="T2266" s="16">
        <v>5</v>
      </c>
      <c r="U2266" s="17"/>
      <c r="V2266" s="12">
        <v>756.30252100840369</v>
      </c>
      <c r="W2266" s="12">
        <v>756.30252100840369</v>
      </c>
      <c r="X2266" s="12">
        <v>0</v>
      </c>
      <c r="Y2266" s="18">
        <v>45761</v>
      </c>
      <c r="Z2266" s="13" t="s">
        <v>523</v>
      </c>
      <c r="AA2266" s="19" t="s">
        <v>361</v>
      </c>
      <c r="AB2266" s="13" t="s">
        <v>357</v>
      </c>
      <c r="AC2266" s="13" t="s">
        <v>405</v>
      </c>
      <c r="AD2266" s="20"/>
      <c r="AE2266" s="20"/>
      <c r="AF2266" s="13" t="s">
        <v>40</v>
      </c>
      <c r="AG2266" s="15">
        <v>45383</v>
      </c>
      <c r="AH2266" s="13" t="s">
        <v>41</v>
      </c>
      <c r="AI2266" s="13" t="s">
        <v>76</v>
      </c>
      <c r="AJ2266" s="13" t="str">
        <f>VLOOKUP(E2266,Precios!Z$2:AA$941,2,FALSE)</f>
        <v>Cloro SPUM 5 Litros</v>
      </c>
      <c r="AK2266" s="14">
        <f>VLOOKUP(E2266,Precios!Z$2:BB$941,3,FALSE)*F2266</f>
        <v>-1</v>
      </c>
      <c r="AL2266" s="17"/>
      <c r="AM2266" s="17"/>
      <c r="AN2266" s="17"/>
      <c r="AO2266" s="17"/>
      <c r="AP2266" s="17"/>
      <c r="AQ2266" s="17"/>
      <c r="AR2266" s="17"/>
      <c r="AS2266" s="17"/>
      <c r="AT2266" s="17"/>
      <c r="AU2266" s="17"/>
      <c r="AV2266" s="17"/>
    </row>
    <row r="2267" spans="1:48" ht="15.75" customHeight="1">
      <c r="A2267" s="21" t="s">
        <v>76</v>
      </c>
      <c r="B2267" s="23" t="s">
        <v>1692</v>
      </c>
      <c r="C2267" s="22">
        <v>45761</v>
      </c>
      <c r="D2267" s="23" t="s">
        <v>172</v>
      </c>
      <c r="E2267" s="23" t="s">
        <v>187</v>
      </c>
      <c r="F2267" s="21">
        <v>1</v>
      </c>
      <c r="G2267" s="12">
        <v>2699.9280057595392</v>
      </c>
      <c r="H2267" s="12">
        <v>2699.9280057595392</v>
      </c>
      <c r="I2267" s="23" t="s">
        <v>52</v>
      </c>
      <c r="J2267" s="23" t="s">
        <v>61</v>
      </c>
      <c r="K2267" s="24" t="s">
        <v>177</v>
      </c>
      <c r="L2267" s="24">
        <v>124</v>
      </c>
      <c r="M2267" s="12">
        <v>2268.8470636634784</v>
      </c>
      <c r="N2267" s="12">
        <v>2268.8470636634784</v>
      </c>
      <c r="O2267" s="12">
        <v>431.08094209606088</v>
      </c>
      <c r="P2267" s="13"/>
      <c r="Q2267" s="14">
        <v>2025</v>
      </c>
      <c r="R2267" s="15">
        <v>45383</v>
      </c>
      <c r="S2267" s="11" t="s">
        <v>479</v>
      </c>
      <c r="T2267" s="16">
        <v>0</v>
      </c>
      <c r="U2267" s="17"/>
      <c r="V2267" s="12">
        <v>798.18039699681162</v>
      </c>
      <c r="W2267" s="12">
        <v>798.18039699681162</v>
      </c>
      <c r="X2267" s="12">
        <v>0</v>
      </c>
      <c r="Y2267" s="18">
        <v>45761</v>
      </c>
      <c r="Z2267" s="13" t="s">
        <v>523</v>
      </c>
      <c r="AA2267" s="19" t="s">
        <v>361</v>
      </c>
      <c r="AB2267" s="13" t="s">
        <v>357</v>
      </c>
      <c r="AC2267" s="13" t="s">
        <v>405</v>
      </c>
      <c r="AD2267" s="20"/>
      <c r="AE2267" s="20"/>
      <c r="AF2267" s="13" t="s">
        <v>40</v>
      </c>
      <c r="AG2267" s="15">
        <v>45383</v>
      </c>
      <c r="AH2267" s="13" t="s">
        <v>41</v>
      </c>
      <c r="AI2267" s="13" t="s">
        <v>76</v>
      </c>
      <c r="AJ2267" s="13" t="str">
        <f>VLOOKUP(E2267,Precios!Z$2:AA$941,2,FALSE)</f>
        <v>Lavaloza WYN 1.5 Litros (recarga)</v>
      </c>
      <c r="AK2267" s="14">
        <f>VLOOKUP(E2267,Precios!Z$2:BB$941,3,FALSE)*F2267</f>
        <v>-1</v>
      </c>
      <c r="AL2267" s="17"/>
      <c r="AM2267" s="17"/>
      <c r="AN2267" s="17"/>
      <c r="AO2267" s="17"/>
      <c r="AP2267" s="17"/>
      <c r="AQ2267" s="17"/>
      <c r="AR2267" s="17"/>
      <c r="AS2267" s="17"/>
      <c r="AT2267" s="17"/>
      <c r="AU2267" s="17"/>
      <c r="AV2267" s="17"/>
    </row>
    <row r="2268" spans="1:48" ht="15.75" customHeight="1">
      <c r="A2268" s="21" t="s">
        <v>53</v>
      </c>
      <c r="B2268" s="23" t="s">
        <v>1692</v>
      </c>
      <c r="C2268" s="22">
        <v>45761</v>
      </c>
      <c r="D2268" s="23" t="s">
        <v>172</v>
      </c>
      <c r="E2268" s="23" t="s">
        <v>69</v>
      </c>
      <c r="F2268" s="21">
        <v>2</v>
      </c>
      <c r="G2268" s="12">
        <v>2999.9553810458683</v>
      </c>
      <c r="H2268" s="12">
        <v>5999.9107620917366</v>
      </c>
      <c r="I2268" s="23" t="s">
        <v>52</v>
      </c>
      <c r="J2268" s="23" t="s">
        <v>61</v>
      </c>
      <c r="K2268" s="24" t="s">
        <v>177</v>
      </c>
      <c r="L2268" s="24">
        <v>124</v>
      </c>
      <c r="M2268" s="12">
        <v>2520.9709084419064</v>
      </c>
      <c r="N2268" s="12">
        <v>5041.9418168838129</v>
      </c>
      <c r="O2268" s="12">
        <v>957.96894520792375</v>
      </c>
      <c r="P2268" s="13"/>
      <c r="Q2268" s="14">
        <v>2025</v>
      </c>
      <c r="R2268" s="15">
        <v>45383</v>
      </c>
      <c r="S2268" s="11" t="s">
        <v>376</v>
      </c>
      <c r="T2268" s="16">
        <v>0</v>
      </c>
      <c r="U2268" s="17"/>
      <c r="V2268" s="12">
        <v>1651.941816883812</v>
      </c>
      <c r="W2268" s="12">
        <v>1651.941816883812</v>
      </c>
      <c r="X2268" s="12">
        <v>0</v>
      </c>
      <c r="Y2268" s="18">
        <v>45761</v>
      </c>
      <c r="Z2268" s="13" t="s">
        <v>523</v>
      </c>
      <c r="AA2268" s="19" t="s">
        <v>361</v>
      </c>
      <c r="AB2268" s="13" t="s">
        <v>357</v>
      </c>
      <c r="AC2268" s="13" t="s">
        <v>405</v>
      </c>
      <c r="AD2268" s="20"/>
      <c r="AE2268" s="20"/>
      <c r="AF2268" s="13" t="s">
        <v>40</v>
      </c>
      <c r="AG2268" s="15">
        <v>45383</v>
      </c>
      <c r="AH2268" s="13" t="s">
        <v>41</v>
      </c>
      <c r="AI2268" s="13" t="s">
        <v>53</v>
      </c>
      <c r="AJ2268" s="13" t="str">
        <f>VLOOKUP(E2268,Precios!Z$2:AA$941,2,FALSE)</f>
        <v>Toalla Papel NOVA 70 metros</v>
      </c>
      <c r="AK2268" s="14">
        <f>VLOOKUP(E2268,Precios!Z$2:BB$941,3,FALSE)*F2268</f>
        <v>-2</v>
      </c>
      <c r="AL2268" s="17"/>
      <c r="AM2268" s="17"/>
      <c r="AN2268" s="17"/>
      <c r="AO2268" s="17"/>
      <c r="AP2268" s="17"/>
      <c r="AQ2268" s="17"/>
      <c r="AR2268" s="17"/>
      <c r="AS2268" s="17"/>
      <c r="AT2268" s="17"/>
      <c r="AU2268" s="17"/>
      <c r="AV2268" s="17"/>
    </row>
    <row r="2269" spans="1:48" ht="15.75" customHeight="1">
      <c r="A2269" s="21" t="s">
        <v>47</v>
      </c>
      <c r="B2269" s="23" t="s">
        <v>1692</v>
      </c>
      <c r="C2269" s="22">
        <v>45761</v>
      </c>
      <c r="D2269" s="23" t="s">
        <v>172</v>
      </c>
      <c r="E2269" s="23" t="s">
        <v>100</v>
      </c>
      <c r="F2269" s="21">
        <v>2</v>
      </c>
      <c r="G2269" s="12">
        <v>650.00000000000011</v>
      </c>
      <c r="H2269" s="12">
        <v>1300.0000000000002</v>
      </c>
      <c r="I2269" s="23" t="s">
        <v>52</v>
      </c>
      <c r="J2269" s="23" t="s">
        <v>61</v>
      </c>
      <c r="K2269" s="24" t="s">
        <v>177</v>
      </c>
      <c r="L2269" s="24">
        <v>124</v>
      </c>
      <c r="M2269" s="12">
        <v>546.21848739495806</v>
      </c>
      <c r="N2269" s="12">
        <v>1092.4369747899161</v>
      </c>
      <c r="O2269" s="12">
        <v>207.56302521008411</v>
      </c>
      <c r="P2269" s="13"/>
      <c r="Q2269" s="14">
        <v>2025</v>
      </c>
      <c r="R2269" s="15">
        <v>45383</v>
      </c>
      <c r="S2269" s="11" t="s">
        <v>453</v>
      </c>
      <c r="T2269" s="16">
        <v>0</v>
      </c>
      <c r="U2269" s="17"/>
      <c r="V2269" s="12">
        <v>462.18487394957992</v>
      </c>
      <c r="W2269" s="12">
        <v>462.18487394957992</v>
      </c>
      <c r="X2269" s="12">
        <v>0</v>
      </c>
      <c r="Y2269" s="18">
        <v>45761</v>
      </c>
      <c r="Z2269" s="13" t="s">
        <v>523</v>
      </c>
      <c r="AA2269" s="19" t="s">
        <v>361</v>
      </c>
      <c r="AB2269" s="13" t="s">
        <v>357</v>
      </c>
      <c r="AC2269" s="13" t="s">
        <v>405</v>
      </c>
      <c r="AD2269" s="20"/>
      <c r="AE2269" s="20"/>
      <c r="AF2269" s="13" t="s">
        <v>40</v>
      </c>
      <c r="AG2269" s="15">
        <v>45383</v>
      </c>
      <c r="AH2269" s="13" t="s">
        <v>41</v>
      </c>
      <c r="AI2269" s="13" t="s">
        <v>47</v>
      </c>
      <c r="AJ2269" s="13" t="str">
        <f>VLOOKUP(E2269,Precios!Z$2:AA$941,2,FALSE)</f>
        <v xml:space="preserve">Bolsas Basura TEDDY 50x70 </v>
      </c>
      <c r="AK2269" s="14">
        <f>VLOOKUP(E2269,Precios!Z$2:BB$941,3,FALSE)*F2269</f>
        <v>-2</v>
      </c>
      <c r="AL2269" s="17"/>
      <c r="AM2269" s="17"/>
      <c r="AN2269" s="17"/>
      <c r="AO2269" s="17"/>
      <c r="AP2269" s="17"/>
      <c r="AQ2269" s="17"/>
      <c r="AR2269" s="17"/>
      <c r="AS2269" s="17"/>
      <c r="AT2269" s="17"/>
      <c r="AU2269" s="17"/>
      <c r="AV2269" s="17"/>
    </row>
    <row r="2270" spans="1:48" ht="15.75" customHeight="1">
      <c r="A2270" s="21" t="s">
        <v>147</v>
      </c>
      <c r="B2270" s="23" t="s">
        <v>1692</v>
      </c>
      <c r="C2270" s="22">
        <v>45761</v>
      </c>
      <c r="D2270" s="23" t="s">
        <v>172</v>
      </c>
      <c r="E2270" s="23" t="s">
        <v>257</v>
      </c>
      <c r="F2270" s="21">
        <v>1</v>
      </c>
      <c r="G2270" s="12">
        <v>4000.0000000000005</v>
      </c>
      <c r="H2270" s="12">
        <v>4000.0000000000005</v>
      </c>
      <c r="I2270" s="23" t="s">
        <v>52</v>
      </c>
      <c r="J2270" s="23" t="s">
        <v>61</v>
      </c>
      <c r="K2270" s="24" t="s">
        <v>177</v>
      </c>
      <c r="L2270" s="24">
        <v>124</v>
      </c>
      <c r="M2270" s="12">
        <v>3361.3445378151264</v>
      </c>
      <c r="N2270" s="12">
        <v>3361.3445378151264</v>
      </c>
      <c r="O2270" s="12">
        <v>638.65546218487407</v>
      </c>
      <c r="P2270" s="13"/>
      <c r="Q2270" s="14">
        <v>2025</v>
      </c>
      <c r="R2270" s="15">
        <v>45383</v>
      </c>
      <c r="S2270" s="11" t="s">
        <v>412</v>
      </c>
      <c r="T2270" s="16">
        <v>0</v>
      </c>
      <c r="U2270" s="17"/>
      <c r="V2270" s="12">
        <v>1680.6722689075632</v>
      </c>
      <c r="W2270" s="12">
        <v>1680.6722689075632</v>
      </c>
      <c r="X2270" s="12">
        <v>0</v>
      </c>
      <c r="Y2270" s="18">
        <v>45761</v>
      </c>
      <c r="Z2270" s="13" t="s">
        <v>523</v>
      </c>
      <c r="AA2270" s="19" t="s">
        <v>361</v>
      </c>
      <c r="AB2270" s="13" t="s">
        <v>357</v>
      </c>
      <c r="AC2270" s="13" t="s">
        <v>405</v>
      </c>
      <c r="AD2270" s="20"/>
      <c r="AE2270" s="20"/>
      <c r="AF2270" s="13" t="s">
        <v>40</v>
      </c>
      <c r="AG2270" s="15">
        <v>45383</v>
      </c>
      <c r="AH2270" s="13" t="s">
        <v>41</v>
      </c>
      <c r="AI2270" s="13" t="s">
        <v>147</v>
      </c>
      <c r="AJ2270" s="13" t="str">
        <f>VLOOKUP(E2270,Precios!Z$2:AA$941,2,FALSE)</f>
        <v>Film Plástico 100 metros</v>
      </c>
      <c r="AK2270" s="14">
        <f>VLOOKUP(E2270,Precios!Z$2:BB$941,3,FALSE)*F2270</f>
        <v>-1</v>
      </c>
      <c r="AL2270" s="17"/>
      <c r="AM2270" s="17"/>
      <c r="AN2270" s="17"/>
      <c r="AO2270" s="17"/>
      <c r="AP2270" s="17"/>
      <c r="AQ2270" s="17"/>
      <c r="AR2270" s="17"/>
      <c r="AS2270" s="17"/>
      <c r="AT2270" s="17"/>
      <c r="AU2270" s="17"/>
      <c r="AV2270" s="17"/>
    </row>
    <row r="2271" spans="1:48" ht="15.75" customHeight="1">
      <c r="A2271" s="21" t="s">
        <v>43</v>
      </c>
      <c r="B2271" s="23" t="s">
        <v>1692</v>
      </c>
      <c r="C2271" s="22">
        <v>45761</v>
      </c>
      <c r="D2271" s="23" t="s">
        <v>172</v>
      </c>
      <c r="E2271" s="23" t="s">
        <v>45</v>
      </c>
      <c r="F2271" s="21">
        <v>1</v>
      </c>
      <c r="G2271" s="12">
        <v>8299.9877571008819</v>
      </c>
      <c r="H2271" s="12">
        <v>8299.9877571008819</v>
      </c>
      <c r="I2271" s="23" t="s">
        <v>52</v>
      </c>
      <c r="J2271" s="23" t="s">
        <v>61</v>
      </c>
      <c r="K2271" s="24" t="s">
        <v>177</v>
      </c>
      <c r="L2271" s="24">
        <v>124</v>
      </c>
      <c r="M2271" s="12">
        <v>6974.7796278158676</v>
      </c>
      <c r="N2271" s="12">
        <v>6974.7796278158676</v>
      </c>
      <c r="O2271" s="12">
        <v>1325.2081292850144</v>
      </c>
      <c r="P2271" s="13"/>
      <c r="Q2271" s="14">
        <v>2025</v>
      </c>
      <c r="R2271" s="15">
        <v>45383</v>
      </c>
      <c r="S2271" s="11" t="s">
        <v>355</v>
      </c>
      <c r="T2271" s="16">
        <v>0</v>
      </c>
      <c r="U2271" s="17"/>
      <c r="V2271" s="12">
        <v>1277.7796278158667</v>
      </c>
      <c r="W2271" s="12">
        <v>1277.7796278158667</v>
      </c>
      <c r="X2271" s="12">
        <v>0</v>
      </c>
      <c r="Y2271" s="18">
        <v>45761</v>
      </c>
      <c r="Z2271" s="13" t="s">
        <v>523</v>
      </c>
      <c r="AA2271" s="19" t="s">
        <v>361</v>
      </c>
      <c r="AB2271" s="13" t="s">
        <v>357</v>
      </c>
      <c r="AC2271" s="13" t="s">
        <v>405</v>
      </c>
      <c r="AD2271" s="20"/>
      <c r="AE2271" s="20"/>
      <c r="AF2271" s="13" t="s">
        <v>40</v>
      </c>
      <c r="AG2271" s="15">
        <v>45383</v>
      </c>
      <c r="AH2271" s="13" t="s">
        <v>41</v>
      </c>
      <c r="AI2271" s="13" t="s">
        <v>43</v>
      </c>
      <c r="AJ2271" s="13" t="str">
        <f>VLOOKUP(E2271,Precios!Z$2:AA$941,2,FALSE)</f>
        <v>Bandeja Huevos EXTRA</v>
      </c>
      <c r="AK2271" s="14">
        <f>VLOOKUP(E2271,Precios!Z$2:BB$941,3,FALSE)*F2271</f>
        <v>-1</v>
      </c>
      <c r="AL2271" s="17"/>
      <c r="AM2271" s="17"/>
      <c r="AN2271" s="17"/>
      <c r="AO2271" s="17"/>
      <c r="AP2271" s="17"/>
      <c r="AQ2271" s="17"/>
      <c r="AR2271" s="17"/>
      <c r="AS2271" s="17"/>
      <c r="AT2271" s="17"/>
      <c r="AU2271" s="17"/>
      <c r="AV2271" s="17"/>
    </row>
    <row r="2272" spans="1:48" ht="15.75" customHeight="1">
      <c r="A2272" s="21" t="s">
        <v>53</v>
      </c>
      <c r="B2272" s="23" t="s">
        <v>1692</v>
      </c>
      <c r="C2272" s="22">
        <v>45761</v>
      </c>
      <c r="D2272" s="23" t="s">
        <v>172</v>
      </c>
      <c r="E2272" s="23" t="s">
        <v>203</v>
      </c>
      <c r="F2272" s="21">
        <v>1</v>
      </c>
      <c r="G2272" s="12">
        <v>10000.38816108685</v>
      </c>
      <c r="H2272" s="12">
        <v>10000.38816108685</v>
      </c>
      <c r="I2272" s="23" t="s">
        <v>52</v>
      </c>
      <c r="J2272" s="23" t="s">
        <v>61</v>
      </c>
      <c r="K2272" s="24" t="s">
        <v>177</v>
      </c>
      <c r="L2272" s="24">
        <v>124</v>
      </c>
      <c r="M2272" s="12">
        <v>8403.6875303250854</v>
      </c>
      <c r="N2272" s="12">
        <v>8403.6875303250854</v>
      </c>
      <c r="O2272" s="12">
        <v>1596.7006307617648</v>
      </c>
      <c r="P2272" s="13"/>
      <c r="Q2272" s="14">
        <v>2025</v>
      </c>
      <c r="R2272" s="15">
        <v>45383</v>
      </c>
      <c r="S2272" s="11" t="s">
        <v>366</v>
      </c>
      <c r="T2272" s="16">
        <v>0</v>
      </c>
      <c r="U2272" s="17"/>
      <c r="V2272" s="12">
        <v>3207.6875303250836</v>
      </c>
      <c r="W2272" s="12">
        <v>3207.6875303250836</v>
      </c>
      <c r="X2272" s="12">
        <v>0</v>
      </c>
      <c r="Y2272" s="18">
        <v>45761</v>
      </c>
      <c r="Z2272" s="13" t="s">
        <v>523</v>
      </c>
      <c r="AA2272" s="19" t="s">
        <v>361</v>
      </c>
      <c r="AB2272" s="13" t="s">
        <v>357</v>
      </c>
      <c r="AC2272" s="13" t="s">
        <v>405</v>
      </c>
      <c r="AD2272" s="20"/>
      <c r="AE2272" s="20"/>
      <c r="AF2272" s="13" t="s">
        <v>40</v>
      </c>
      <c r="AG2272" s="15">
        <v>45383</v>
      </c>
      <c r="AH2272" s="13" t="s">
        <v>41</v>
      </c>
      <c r="AI2272" s="13" t="s">
        <v>53</v>
      </c>
      <c r="AJ2272" s="13" t="str">
        <f>VLOOKUP(E2272,Precios!Z$2:AA$941,2,FALSE)</f>
        <v>Papel Higienico ELITE 50 metros</v>
      </c>
      <c r="AK2272" s="14">
        <f>VLOOKUP(E2272,Precios!Z$2:BB$941,3,FALSE)*F2272</f>
        <v>-3</v>
      </c>
      <c r="AL2272" s="17"/>
      <c r="AM2272" s="17"/>
      <c r="AN2272" s="17"/>
      <c r="AO2272" s="17"/>
      <c r="AP2272" s="17"/>
      <c r="AQ2272" s="17"/>
      <c r="AR2272" s="17"/>
      <c r="AS2272" s="17"/>
      <c r="AT2272" s="17"/>
      <c r="AU2272" s="17"/>
      <c r="AV2272" s="17"/>
    </row>
    <row r="2273" spans="1:48" ht="15.75" customHeight="1">
      <c r="A2273" s="21" t="s">
        <v>35</v>
      </c>
      <c r="B2273" s="23" t="s">
        <v>1692</v>
      </c>
      <c r="C2273" s="22">
        <v>45761</v>
      </c>
      <c r="D2273" s="23" t="s">
        <v>198</v>
      </c>
      <c r="E2273" s="23" t="s">
        <v>37</v>
      </c>
      <c r="F2273" s="21">
        <v>5</v>
      </c>
      <c r="G2273" s="12">
        <v>10500</v>
      </c>
      <c r="H2273" s="12">
        <v>52500</v>
      </c>
      <c r="I2273" s="23" t="s">
        <v>52</v>
      </c>
      <c r="J2273" s="23" t="s">
        <v>61</v>
      </c>
      <c r="K2273" s="24" t="s">
        <v>177</v>
      </c>
      <c r="L2273" s="24">
        <v>124</v>
      </c>
      <c r="M2273" s="12">
        <v>8823.5294117647063</v>
      </c>
      <c r="N2273" s="12">
        <v>44117.647058823532</v>
      </c>
      <c r="O2273" s="12">
        <v>8382.3529411764684</v>
      </c>
      <c r="P2273" s="13"/>
      <c r="Q2273" s="14">
        <v>2025</v>
      </c>
      <c r="R2273" s="15">
        <v>45383</v>
      </c>
      <c r="S2273" s="11" t="s">
        <v>364</v>
      </c>
      <c r="T2273" s="16">
        <v>5000</v>
      </c>
      <c r="U2273" s="17"/>
      <c r="V2273" s="12">
        <v>11928.571428571428</v>
      </c>
      <c r="W2273" s="12">
        <v>11928.571428571428</v>
      </c>
      <c r="X2273" s="12">
        <v>0</v>
      </c>
      <c r="Y2273" s="18">
        <v>45761</v>
      </c>
      <c r="Z2273" s="13" t="s">
        <v>523</v>
      </c>
      <c r="AA2273" s="19" t="s">
        <v>361</v>
      </c>
      <c r="AB2273" s="13" t="s">
        <v>357</v>
      </c>
      <c r="AC2273" s="13" t="s">
        <v>489</v>
      </c>
      <c r="AD2273" s="20"/>
      <c r="AE2273" s="20"/>
      <c r="AF2273" s="13" t="s">
        <v>40</v>
      </c>
      <c r="AG2273" s="15">
        <v>45383</v>
      </c>
      <c r="AH2273" s="13" t="s">
        <v>41</v>
      </c>
      <c r="AI2273" s="13" t="s">
        <v>35</v>
      </c>
      <c r="AJ2273" s="13" t="str">
        <f>VLOOKUP(E2273,Precios!Z$2:AA$941,2,FALSE)</f>
        <v>Queso RUNCA Mantecoso</v>
      </c>
      <c r="AK2273" s="14">
        <f>VLOOKUP(E2273,Precios!Z$2:BB$941,3,FALSE)*F2273</f>
        <v>-5</v>
      </c>
      <c r="AL2273" s="17"/>
      <c r="AM2273" s="17"/>
      <c r="AN2273" s="17"/>
      <c r="AO2273" s="17"/>
      <c r="AP2273" s="17"/>
      <c r="AQ2273" s="17"/>
      <c r="AR2273" s="17"/>
      <c r="AS2273" s="17"/>
      <c r="AT2273" s="17"/>
      <c r="AU2273" s="17"/>
      <c r="AV2273" s="17"/>
    </row>
    <row r="2274" spans="1:48" ht="15.75" customHeight="1">
      <c r="A2274" s="21" t="s">
        <v>35</v>
      </c>
      <c r="B2274" s="23" t="s">
        <v>1692</v>
      </c>
      <c r="C2274" s="22">
        <v>45761</v>
      </c>
      <c r="D2274" s="23" t="s">
        <v>630</v>
      </c>
      <c r="E2274" s="23" t="s">
        <v>37</v>
      </c>
      <c r="F2274" s="21">
        <v>1</v>
      </c>
      <c r="G2274" s="12">
        <v>10500</v>
      </c>
      <c r="H2274" s="12">
        <v>10500</v>
      </c>
      <c r="I2274" s="23" t="s">
        <v>52</v>
      </c>
      <c r="J2274" s="23" t="s">
        <v>61</v>
      </c>
      <c r="K2274" s="24" t="s">
        <v>177</v>
      </c>
      <c r="L2274" s="24">
        <v>124</v>
      </c>
      <c r="M2274" s="12">
        <v>8823.5294117647063</v>
      </c>
      <c r="N2274" s="12">
        <v>8823.5294117647063</v>
      </c>
      <c r="O2274" s="12">
        <v>1676.4705882352937</v>
      </c>
      <c r="P2274" s="13"/>
      <c r="Q2274" s="14">
        <v>2025</v>
      </c>
      <c r="R2274" s="15">
        <v>45383</v>
      </c>
      <c r="S2274" s="11" t="s">
        <v>364</v>
      </c>
      <c r="T2274" s="16">
        <v>1000</v>
      </c>
      <c r="U2274" s="17"/>
      <c r="V2274" s="12">
        <v>2385.7142857142853</v>
      </c>
      <c r="W2274" s="12">
        <v>2385.7142857142853</v>
      </c>
      <c r="X2274" s="12">
        <v>0</v>
      </c>
      <c r="Y2274" s="18">
        <v>45761</v>
      </c>
      <c r="Z2274" s="13" t="s">
        <v>523</v>
      </c>
      <c r="AA2274" s="19" t="s">
        <v>361</v>
      </c>
      <c r="AB2274" s="13" t="s">
        <v>357</v>
      </c>
      <c r="AC2274" s="13" t="s">
        <v>631</v>
      </c>
      <c r="AD2274" s="20"/>
      <c r="AE2274" s="20"/>
      <c r="AF2274" s="13" t="s">
        <v>40</v>
      </c>
      <c r="AG2274" s="15">
        <v>45383</v>
      </c>
      <c r="AH2274" s="13" t="s">
        <v>41</v>
      </c>
      <c r="AI2274" s="13" t="s">
        <v>35</v>
      </c>
      <c r="AJ2274" s="13" t="str">
        <f>VLOOKUP(E2274,Precios!Z$2:AA$941,2,FALSE)</f>
        <v>Queso RUNCA Mantecoso</v>
      </c>
      <c r="AK2274" s="14">
        <f>VLOOKUP(E2274,Precios!Z$2:BB$941,3,FALSE)*F2274</f>
        <v>-1</v>
      </c>
      <c r="AL2274" s="17"/>
      <c r="AM2274" s="17"/>
      <c r="AN2274" s="17"/>
      <c r="AO2274" s="17"/>
      <c r="AP2274" s="17"/>
      <c r="AQ2274" s="17"/>
      <c r="AR2274" s="17"/>
      <c r="AS2274" s="17"/>
      <c r="AT2274" s="17"/>
      <c r="AU2274" s="17"/>
      <c r="AV2274" s="17"/>
    </row>
    <row r="2275" spans="1:48" ht="15.75" customHeight="1">
      <c r="A2275" s="21" t="s">
        <v>47</v>
      </c>
      <c r="B2275" s="23" t="s">
        <v>1692</v>
      </c>
      <c r="C2275" s="22">
        <v>45761</v>
      </c>
      <c r="D2275" s="23" t="s">
        <v>630</v>
      </c>
      <c r="E2275" s="23" t="s">
        <v>48</v>
      </c>
      <c r="F2275" s="21">
        <v>1</v>
      </c>
      <c r="G2275" s="12">
        <v>1000</v>
      </c>
      <c r="H2275" s="12">
        <v>1000</v>
      </c>
      <c r="I2275" s="23" t="s">
        <v>52</v>
      </c>
      <c r="J2275" s="23" t="s">
        <v>61</v>
      </c>
      <c r="K2275" s="24" t="s">
        <v>177</v>
      </c>
      <c r="L2275" s="24">
        <v>124</v>
      </c>
      <c r="M2275" s="12">
        <v>840.3361344537816</v>
      </c>
      <c r="N2275" s="12">
        <v>840.3361344537816</v>
      </c>
      <c r="O2275" s="12">
        <v>159.6638655462184</v>
      </c>
      <c r="P2275" s="13"/>
      <c r="Q2275" s="14">
        <v>2025</v>
      </c>
      <c r="R2275" s="15">
        <v>45383</v>
      </c>
      <c r="S2275" s="11" t="s">
        <v>416</v>
      </c>
      <c r="T2275" s="16">
        <v>0</v>
      </c>
      <c r="U2275" s="17"/>
      <c r="V2275" s="12">
        <v>330.33613445378148</v>
      </c>
      <c r="W2275" s="12">
        <v>330.33613445378148</v>
      </c>
      <c r="X2275" s="12">
        <v>0</v>
      </c>
      <c r="Y2275" s="18">
        <v>45761</v>
      </c>
      <c r="Z2275" s="13" t="s">
        <v>523</v>
      </c>
      <c r="AA2275" s="19" t="s">
        <v>361</v>
      </c>
      <c r="AB2275" s="13" t="s">
        <v>357</v>
      </c>
      <c r="AC2275" s="13" t="s">
        <v>631</v>
      </c>
      <c r="AD2275" s="20"/>
      <c r="AE2275" s="20"/>
      <c r="AF2275" s="13" t="s">
        <v>40</v>
      </c>
      <c r="AG2275" s="15">
        <v>45383</v>
      </c>
      <c r="AH2275" s="13" t="s">
        <v>41</v>
      </c>
      <c r="AI2275" s="13" t="s">
        <v>47</v>
      </c>
      <c r="AJ2275" s="13" t="str">
        <f>VLOOKUP(E2275,Precios!Z$2:AA$941,2,FALSE)</f>
        <v>Esponja Acanalada TEDDY</v>
      </c>
      <c r="AK2275" s="14">
        <f>VLOOKUP(E2275,Precios!Z$2:BB$941,3,FALSE)*F2275</f>
        <v>-5</v>
      </c>
      <c r="AL2275" s="17"/>
      <c r="AM2275" s="17"/>
      <c r="AN2275" s="17"/>
      <c r="AO2275" s="17"/>
      <c r="AP2275" s="17"/>
      <c r="AQ2275" s="17"/>
      <c r="AR2275" s="17"/>
      <c r="AS2275" s="17"/>
      <c r="AT2275" s="17"/>
      <c r="AU2275" s="17"/>
      <c r="AV2275" s="17"/>
    </row>
    <row r="2276" spans="1:48" ht="15.75" customHeight="1">
      <c r="A2276" s="21" t="s">
        <v>35</v>
      </c>
      <c r="B2276" s="23" t="s">
        <v>1692</v>
      </c>
      <c r="C2276" s="22">
        <v>45761</v>
      </c>
      <c r="D2276" s="23" t="s">
        <v>258</v>
      </c>
      <c r="E2276" s="23" t="s">
        <v>46</v>
      </c>
      <c r="F2276" s="21">
        <v>1</v>
      </c>
      <c r="G2276" s="12">
        <v>5500</v>
      </c>
      <c r="H2276" s="12">
        <v>5500</v>
      </c>
      <c r="I2276" s="23" t="s">
        <v>52</v>
      </c>
      <c r="J2276" s="23" t="s">
        <v>61</v>
      </c>
      <c r="K2276" s="24" t="s">
        <v>177</v>
      </c>
      <c r="L2276" s="24">
        <v>124</v>
      </c>
      <c r="M2276" s="12">
        <v>4621.8487394957983</v>
      </c>
      <c r="N2276" s="12">
        <v>4621.8487394957983</v>
      </c>
      <c r="O2276" s="12">
        <v>878.15126050420167</v>
      </c>
      <c r="P2276" s="13"/>
      <c r="Q2276" s="14">
        <v>2025</v>
      </c>
      <c r="R2276" s="15">
        <v>45383</v>
      </c>
      <c r="S2276" s="11" t="s">
        <v>364</v>
      </c>
      <c r="T2276" s="16">
        <v>500</v>
      </c>
      <c r="U2276" s="17"/>
      <c r="V2276" s="12">
        <v>1365.1260504201678</v>
      </c>
      <c r="W2276" s="12">
        <v>1365.1260504201678</v>
      </c>
      <c r="X2276" s="12">
        <v>0</v>
      </c>
      <c r="Y2276" s="18">
        <v>45761</v>
      </c>
      <c r="Z2276" s="13" t="s">
        <v>523</v>
      </c>
      <c r="AA2276" s="19" t="s">
        <v>356</v>
      </c>
      <c r="AB2276" s="13" t="s">
        <v>357</v>
      </c>
      <c r="AC2276" s="13" t="s">
        <v>358</v>
      </c>
      <c r="AD2276" s="20"/>
      <c r="AE2276" s="20"/>
      <c r="AF2276" s="13" t="s">
        <v>40</v>
      </c>
      <c r="AG2276" s="15">
        <v>45383</v>
      </c>
      <c r="AH2276" s="13" t="s">
        <v>41</v>
      </c>
      <c r="AI2276" s="13" t="s">
        <v>35</v>
      </c>
      <c r="AJ2276" s="13" t="str">
        <f>VLOOKUP(E2276,Precios!Z$2:AA$941,2,FALSE)</f>
        <v>Queso RUNCA Mantecoso</v>
      </c>
      <c r="AK2276" s="14">
        <f>VLOOKUP(E2276,Precios!Z$2:BB$941,3,FALSE)*F2276</f>
        <v>-0.5</v>
      </c>
      <c r="AL2276" s="17"/>
      <c r="AM2276" s="17"/>
      <c r="AN2276" s="17"/>
      <c r="AO2276" s="17"/>
      <c r="AP2276" s="17"/>
      <c r="AQ2276" s="17"/>
      <c r="AR2276" s="17"/>
      <c r="AS2276" s="17"/>
      <c r="AT2276" s="17"/>
      <c r="AU2276" s="17"/>
      <c r="AV2276" s="17"/>
    </row>
    <row r="2277" spans="1:48" ht="15.75" customHeight="1">
      <c r="A2277" s="21" t="s">
        <v>43</v>
      </c>
      <c r="B2277" s="23" t="s">
        <v>1692</v>
      </c>
      <c r="C2277" s="22">
        <v>45761</v>
      </c>
      <c r="D2277" s="23" t="s">
        <v>258</v>
      </c>
      <c r="E2277" s="23" t="s">
        <v>45</v>
      </c>
      <c r="F2277" s="21">
        <v>2</v>
      </c>
      <c r="G2277" s="12">
        <v>8299.9877571008819</v>
      </c>
      <c r="H2277" s="12">
        <v>16599.975514201764</v>
      </c>
      <c r="I2277" s="23" t="s">
        <v>52</v>
      </c>
      <c r="J2277" s="23" t="s">
        <v>61</v>
      </c>
      <c r="K2277" s="24" t="s">
        <v>177</v>
      </c>
      <c r="L2277" s="24">
        <v>124</v>
      </c>
      <c r="M2277" s="12">
        <v>6974.7796278158676</v>
      </c>
      <c r="N2277" s="12">
        <v>13949.559255631735</v>
      </c>
      <c r="O2277" s="12">
        <v>2650.4162585700287</v>
      </c>
      <c r="P2277" s="13"/>
      <c r="Q2277" s="14">
        <v>2025</v>
      </c>
      <c r="R2277" s="15">
        <v>45383</v>
      </c>
      <c r="S2277" s="11" t="s">
        <v>355</v>
      </c>
      <c r="T2277" s="16">
        <v>0</v>
      </c>
      <c r="U2277" s="17"/>
      <c r="V2277" s="12">
        <v>2555.5592556317333</v>
      </c>
      <c r="W2277" s="12">
        <v>2555.5592556317333</v>
      </c>
      <c r="X2277" s="12">
        <v>0</v>
      </c>
      <c r="Y2277" s="18">
        <v>45761</v>
      </c>
      <c r="Z2277" s="13" t="s">
        <v>523</v>
      </c>
      <c r="AA2277" s="19" t="s">
        <v>356</v>
      </c>
      <c r="AB2277" s="13" t="s">
        <v>357</v>
      </c>
      <c r="AC2277" s="13" t="s">
        <v>358</v>
      </c>
      <c r="AD2277" s="20"/>
      <c r="AE2277" s="20"/>
      <c r="AF2277" s="13" t="s">
        <v>40</v>
      </c>
      <c r="AG2277" s="15">
        <v>45383</v>
      </c>
      <c r="AH2277" s="13" t="s">
        <v>41</v>
      </c>
      <c r="AI2277" s="13" t="s">
        <v>43</v>
      </c>
      <c r="AJ2277" s="13" t="str">
        <f>VLOOKUP(E2277,Precios!Z$2:AA$941,2,FALSE)</f>
        <v>Bandeja Huevos EXTRA</v>
      </c>
      <c r="AK2277" s="14">
        <f>VLOOKUP(E2277,Precios!Z$2:BB$941,3,FALSE)*F2277</f>
        <v>-2</v>
      </c>
      <c r="AL2277" s="17"/>
      <c r="AM2277" s="17"/>
      <c r="AN2277" s="17"/>
      <c r="AO2277" s="17"/>
      <c r="AP2277" s="17"/>
      <c r="AQ2277" s="17"/>
      <c r="AR2277" s="17"/>
      <c r="AS2277" s="17"/>
      <c r="AT2277" s="17"/>
      <c r="AU2277" s="17"/>
      <c r="AV2277" s="17"/>
    </row>
    <row r="2278" spans="1:48" ht="15.75" customHeight="1">
      <c r="A2278" s="21" t="s">
        <v>43</v>
      </c>
      <c r="B2278" s="23" t="s">
        <v>1692</v>
      </c>
      <c r="C2278" s="22">
        <v>45761</v>
      </c>
      <c r="D2278" s="23" t="s">
        <v>291</v>
      </c>
      <c r="E2278" s="23" t="s">
        <v>45</v>
      </c>
      <c r="F2278" s="21">
        <v>1</v>
      </c>
      <c r="G2278" s="12">
        <v>8299.9877571008819</v>
      </c>
      <c r="H2278" s="12">
        <v>8299.9877571008819</v>
      </c>
      <c r="I2278" s="23" t="s">
        <v>52</v>
      </c>
      <c r="J2278" s="23" t="s">
        <v>61</v>
      </c>
      <c r="K2278" s="24" t="s">
        <v>177</v>
      </c>
      <c r="L2278" s="24">
        <v>124</v>
      </c>
      <c r="M2278" s="12">
        <v>6974.7796278158676</v>
      </c>
      <c r="N2278" s="12">
        <v>6974.7796278158676</v>
      </c>
      <c r="O2278" s="12">
        <v>1325.2081292850144</v>
      </c>
      <c r="P2278" s="13"/>
      <c r="Q2278" s="14">
        <v>2025</v>
      </c>
      <c r="R2278" s="15">
        <v>45383</v>
      </c>
      <c r="S2278" s="11" t="s">
        <v>355</v>
      </c>
      <c r="T2278" s="16">
        <v>0</v>
      </c>
      <c r="U2278" s="17"/>
      <c r="V2278" s="12">
        <v>1277.7796278158667</v>
      </c>
      <c r="W2278" s="12">
        <v>1277.7796278158667</v>
      </c>
      <c r="X2278" s="12">
        <v>0</v>
      </c>
      <c r="Y2278" s="18">
        <v>45761</v>
      </c>
      <c r="Z2278" s="13" t="s">
        <v>523</v>
      </c>
      <c r="AA2278" s="19" t="s">
        <v>373</v>
      </c>
      <c r="AB2278" s="13" t="s">
        <v>357</v>
      </c>
      <c r="AC2278" s="13" t="s">
        <v>374</v>
      </c>
      <c r="AD2278" s="20"/>
      <c r="AE2278" s="20"/>
      <c r="AF2278" s="13" t="s">
        <v>40</v>
      </c>
      <c r="AG2278" s="15">
        <v>45383</v>
      </c>
      <c r="AH2278" s="13" t="s">
        <v>41</v>
      </c>
      <c r="AI2278" s="13" t="s">
        <v>43</v>
      </c>
      <c r="AJ2278" s="13" t="str">
        <f>VLOOKUP(E2278,Precios!Z$2:AA$941,2,FALSE)</f>
        <v>Bandeja Huevos EXTRA</v>
      </c>
      <c r="AK2278" s="14">
        <f>VLOOKUP(E2278,Precios!Z$2:BB$941,3,FALSE)*F2278</f>
        <v>-1</v>
      </c>
      <c r="AL2278" s="17"/>
      <c r="AM2278" s="17"/>
      <c r="AN2278" s="17"/>
      <c r="AO2278" s="17"/>
      <c r="AP2278" s="17"/>
      <c r="AQ2278" s="17"/>
      <c r="AR2278" s="17"/>
      <c r="AS2278" s="17"/>
      <c r="AT2278" s="17"/>
      <c r="AU2278" s="17"/>
      <c r="AV2278" s="17"/>
    </row>
    <row r="2279" spans="1:48" ht="15.75" customHeight="1">
      <c r="A2279" s="21" t="s">
        <v>56</v>
      </c>
      <c r="B2279" s="23" t="s">
        <v>1692</v>
      </c>
      <c r="C2279" s="22">
        <v>45761</v>
      </c>
      <c r="D2279" s="23" t="s">
        <v>348</v>
      </c>
      <c r="E2279" s="23" t="s">
        <v>190</v>
      </c>
      <c r="F2279" s="21">
        <v>1</v>
      </c>
      <c r="G2279" s="12">
        <v>2500</v>
      </c>
      <c r="H2279" s="12">
        <v>2500</v>
      </c>
      <c r="I2279" s="23" t="s">
        <v>52</v>
      </c>
      <c r="J2279" s="23" t="s">
        <v>61</v>
      </c>
      <c r="K2279" s="24" t="s">
        <v>177</v>
      </c>
      <c r="L2279" s="24">
        <v>124</v>
      </c>
      <c r="M2279" s="12">
        <v>2100.840336134454</v>
      </c>
      <c r="N2279" s="12">
        <v>2100.840336134454</v>
      </c>
      <c r="O2279" s="12">
        <v>399.15966386554601</v>
      </c>
      <c r="P2279" s="13"/>
      <c r="Q2279" s="14">
        <v>2025</v>
      </c>
      <c r="R2279" s="15">
        <v>45383</v>
      </c>
      <c r="S2279" s="11" t="s">
        <v>492</v>
      </c>
      <c r="T2279" s="16">
        <v>200</v>
      </c>
      <c r="U2279" s="17"/>
      <c r="V2279" s="12">
        <v>631.93277310924373</v>
      </c>
      <c r="W2279" s="12">
        <v>631.93277310924373</v>
      </c>
      <c r="X2279" s="12">
        <v>0</v>
      </c>
      <c r="Y2279" s="18">
        <v>45761</v>
      </c>
      <c r="Z2279" s="13" t="s">
        <v>523</v>
      </c>
      <c r="AA2279" s="19" t="s">
        <v>356</v>
      </c>
      <c r="AB2279" s="13" t="s">
        <v>357</v>
      </c>
      <c r="AC2279" s="13" t="s">
        <v>362</v>
      </c>
      <c r="AD2279" s="20"/>
      <c r="AE2279" s="20"/>
      <c r="AF2279" s="13" t="s">
        <v>40</v>
      </c>
      <c r="AG2279" s="15">
        <v>45383</v>
      </c>
      <c r="AH2279" s="13" t="s">
        <v>41</v>
      </c>
      <c r="AI2279" s="13" t="s">
        <v>56</v>
      </c>
      <c r="AJ2279" s="13" t="str">
        <f>VLOOKUP(E2279,Precios!Z$2:AA$941,2,FALSE)</f>
        <v>Mantequilla RUMAY</v>
      </c>
      <c r="AK2279" s="14">
        <f>VLOOKUP(E2279,Precios!Z$2:BB$941,3,FALSE)*F2279</f>
        <v>-1</v>
      </c>
      <c r="AL2279" s="17"/>
      <c r="AM2279" s="17"/>
      <c r="AN2279" s="17"/>
      <c r="AO2279" s="17"/>
      <c r="AP2279" s="17"/>
      <c r="AQ2279" s="17"/>
      <c r="AR2279" s="17"/>
      <c r="AS2279" s="17"/>
      <c r="AT2279" s="17"/>
      <c r="AU2279" s="17"/>
      <c r="AV2279" s="17"/>
    </row>
    <row r="2280" spans="1:48" ht="15.75" customHeight="1">
      <c r="A2280" s="21" t="s">
        <v>47</v>
      </c>
      <c r="B2280" s="23" t="s">
        <v>1692</v>
      </c>
      <c r="C2280" s="22">
        <v>45761</v>
      </c>
      <c r="D2280" s="23" t="s">
        <v>348</v>
      </c>
      <c r="E2280" s="23" t="s">
        <v>194</v>
      </c>
      <c r="F2280" s="21">
        <v>1</v>
      </c>
      <c r="G2280" s="12">
        <v>2400</v>
      </c>
      <c r="H2280" s="12">
        <v>2400</v>
      </c>
      <c r="I2280" s="23" t="s">
        <v>52</v>
      </c>
      <c r="J2280" s="23" t="s">
        <v>61</v>
      </c>
      <c r="K2280" s="24" t="s">
        <v>177</v>
      </c>
      <c r="L2280" s="24">
        <v>124</v>
      </c>
      <c r="M2280" s="12">
        <v>2016.8067226890757</v>
      </c>
      <c r="N2280" s="12">
        <v>2016.8067226890757</v>
      </c>
      <c r="O2280" s="12">
        <v>383.19327731092426</v>
      </c>
      <c r="P2280" s="13"/>
      <c r="Q2280" s="14">
        <v>2025</v>
      </c>
      <c r="R2280" s="15">
        <v>45383</v>
      </c>
      <c r="S2280" s="11" t="s">
        <v>442</v>
      </c>
      <c r="T2280" s="16">
        <v>0</v>
      </c>
      <c r="U2280" s="17"/>
      <c r="V2280" s="12">
        <v>959.6638655462184</v>
      </c>
      <c r="W2280" s="12">
        <v>959.6638655462184</v>
      </c>
      <c r="X2280" s="12">
        <v>0</v>
      </c>
      <c r="Y2280" s="18">
        <v>45761</v>
      </c>
      <c r="Z2280" s="13" t="s">
        <v>523</v>
      </c>
      <c r="AA2280" s="19" t="s">
        <v>356</v>
      </c>
      <c r="AB2280" s="13" t="s">
        <v>357</v>
      </c>
      <c r="AC2280" s="13" t="s">
        <v>362</v>
      </c>
      <c r="AD2280" s="20"/>
      <c r="AE2280" s="20"/>
      <c r="AF2280" s="13" t="s">
        <v>40</v>
      </c>
      <c r="AG2280" s="15">
        <v>45383</v>
      </c>
      <c r="AH2280" s="13" t="s">
        <v>41</v>
      </c>
      <c r="AI2280" s="13" t="s">
        <v>47</v>
      </c>
      <c r="AJ2280" s="13" t="str">
        <f>VLOOKUP(E2280,Precios!Z$2:AA$941,2,FALSE)</f>
        <v>CIF 750 cc</v>
      </c>
      <c r="AK2280" s="14">
        <f>VLOOKUP(E2280,Precios!Z$2:BB$941,3,FALSE)*F2280</f>
        <v>-1</v>
      </c>
      <c r="AL2280" s="17"/>
      <c r="AM2280" s="17"/>
      <c r="AN2280" s="17"/>
      <c r="AO2280" s="17"/>
      <c r="AP2280" s="17"/>
      <c r="AQ2280" s="17"/>
      <c r="AR2280" s="17"/>
      <c r="AS2280" s="17"/>
      <c r="AT2280" s="17"/>
      <c r="AU2280" s="17"/>
      <c r="AV2280" s="17"/>
    </row>
    <row r="2281" spans="1:48" ht="15.75" customHeight="1">
      <c r="A2281" s="21" t="s">
        <v>73</v>
      </c>
      <c r="B2281" s="23" t="s">
        <v>1692</v>
      </c>
      <c r="C2281" s="22">
        <v>45761</v>
      </c>
      <c r="D2281" s="23" t="s">
        <v>514</v>
      </c>
      <c r="E2281" s="23" t="s">
        <v>90</v>
      </c>
      <c r="F2281" s="21">
        <v>2</v>
      </c>
      <c r="G2281" s="12">
        <v>4199.9020019599611</v>
      </c>
      <c r="H2281" s="12">
        <v>8399.8040039199223</v>
      </c>
      <c r="I2281" s="23" t="s">
        <v>52</v>
      </c>
      <c r="J2281" s="23" t="s">
        <v>61</v>
      </c>
      <c r="K2281" s="24" t="s">
        <v>177</v>
      </c>
      <c r="L2281" s="24">
        <v>124</v>
      </c>
      <c r="M2281" s="12">
        <v>3529.3294134117323</v>
      </c>
      <c r="N2281" s="12">
        <v>7058.6588268234646</v>
      </c>
      <c r="O2281" s="12">
        <v>1341.1451770964577</v>
      </c>
      <c r="P2281" s="13"/>
      <c r="Q2281" s="14">
        <v>2025</v>
      </c>
      <c r="R2281" s="15">
        <v>45383</v>
      </c>
      <c r="S2281" s="11" t="s">
        <v>424</v>
      </c>
      <c r="T2281" s="16">
        <v>0</v>
      </c>
      <c r="U2281" s="17"/>
      <c r="V2281" s="12">
        <v>2016.6588268234646</v>
      </c>
      <c r="W2281" s="12">
        <v>2016.6588268234646</v>
      </c>
      <c r="X2281" s="12">
        <v>0</v>
      </c>
      <c r="Y2281" s="18">
        <v>45761</v>
      </c>
      <c r="Z2281" s="13" t="s">
        <v>523</v>
      </c>
      <c r="AA2281" s="19" t="s">
        <v>373</v>
      </c>
      <c r="AB2281" s="13" t="s">
        <v>357</v>
      </c>
      <c r="AC2281" s="13" t="s">
        <v>358</v>
      </c>
      <c r="AD2281" s="20"/>
      <c r="AE2281" s="20"/>
      <c r="AF2281" s="13" t="s">
        <v>40</v>
      </c>
      <c r="AG2281" s="15">
        <v>45383</v>
      </c>
      <c r="AH2281" s="13" t="s">
        <v>41</v>
      </c>
      <c r="AI2281" s="13" t="s">
        <v>73</v>
      </c>
      <c r="AJ2281" s="13" t="str">
        <f>VLOOKUP(E2281,Precios!Z$2:AA$941,2,FALSE)</f>
        <v>Guante NITRILO Talla M</v>
      </c>
      <c r="AK2281" s="14">
        <f>VLOOKUP(E2281,Precios!Z$2:BB$941,3,FALSE)*F2281</f>
        <v>-2</v>
      </c>
      <c r="AL2281" s="17"/>
      <c r="AM2281" s="17"/>
      <c r="AN2281" s="17"/>
      <c r="AO2281" s="17"/>
      <c r="AP2281" s="17"/>
      <c r="AQ2281" s="17"/>
      <c r="AR2281" s="17"/>
      <c r="AS2281" s="17"/>
      <c r="AT2281" s="17"/>
      <c r="AU2281" s="17"/>
      <c r="AV2281" s="17"/>
    </row>
    <row r="2282" spans="1:48" ht="15.75" customHeight="1">
      <c r="A2282" s="21" t="s">
        <v>56</v>
      </c>
      <c r="B2282" s="23" t="s">
        <v>1692</v>
      </c>
      <c r="C2282" s="22">
        <v>45760</v>
      </c>
      <c r="D2282" s="23" t="s">
        <v>116</v>
      </c>
      <c r="E2282" s="23" t="s">
        <v>67</v>
      </c>
      <c r="F2282" s="21">
        <v>1</v>
      </c>
      <c r="G2282" s="12">
        <v>7000.0000000000009</v>
      </c>
      <c r="H2282" s="12">
        <v>7000.0000000000009</v>
      </c>
      <c r="I2282" s="23" t="s">
        <v>52</v>
      </c>
      <c r="J2282" s="23" t="s">
        <v>61</v>
      </c>
      <c r="K2282" s="24" t="s">
        <v>177</v>
      </c>
      <c r="L2282" s="24">
        <v>123</v>
      </c>
      <c r="M2282" s="12">
        <v>5882.3529411764712</v>
      </c>
      <c r="N2282" s="12">
        <v>5882.3529411764712</v>
      </c>
      <c r="O2282" s="12">
        <v>1117.6470588235297</v>
      </c>
      <c r="P2282" s="13"/>
      <c r="Q2282" s="14">
        <v>2025</v>
      </c>
      <c r="R2282" s="15">
        <v>45383</v>
      </c>
      <c r="S2282" s="11" t="s">
        <v>492</v>
      </c>
      <c r="T2282" s="16">
        <v>200</v>
      </c>
      <c r="U2282" s="17"/>
      <c r="V2282" s="12">
        <v>1512.6050420168067</v>
      </c>
      <c r="W2282" s="12">
        <v>1512.6050420168067</v>
      </c>
      <c r="X2282" s="12">
        <v>0</v>
      </c>
      <c r="Y2282" s="18">
        <v>45754</v>
      </c>
      <c r="Z2282" s="13" t="s">
        <v>497</v>
      </c>
      <c r="AA2282" s="19" t="s">
        <v>373</v>
      </c>
      <c r="AB2282" s="13" t="s">
        <v>357</v>
      </c>
      <c r="AC2282" s="13"/>
      <c r="AD2282" s="20"/>
      <c r="AE2282" s="20"/>
      <c r="AF2282" s="13" t="s">
        <v>40</v>
      </c>
      <c r="AG2282" s="15">
        <v>45383</v>
      </c>
      <c r="AH2282" s="13" t="s">
        <v>41</v>
      </c>
      <c r="AI2282" s="13" t="s">
        <v>56</v>
      </c>
      <c r="AJ2282" s="13" t="str">
        <f>VLOOKUP(E2282,Precios!Z$2:AA$941,2,FALSE)</f>
        <v>Mantequilla RUMAY</v>
      </c>
      <c r="AK2282" s="14">
        <f>VLOOKUP(E2282,Precios!Z$2:BB$941,3,FALSE)*F2282</f>
        <v>-3</v>
      </c>
      <c r="AL2282" s="17"/>
      <c r="AM2282" s="17"/>
      <c r="AN2282" s="17"/>
      <c r="AO2282" s="17"/>
      <c r="AP2282" s="17"/>
      <c r="AQ2282" s="17"/>
      <c r="AR2282" s="17"/>
      <c r="AS2282" s="17"/>
      <c r="AT2282" s="17"/>
      <c r="AU2282" s="17"/>
      <c r="AV2282" s="17"/>
    </row>
    <row r="2283" spans="1:48" ht="15.75" customHeight="1">
      <c r="A2283" s="21" t="s">
        <v>53</v>
      </c>
      <c r="B2283" s="23" t="s">
        <v>1692</v>
      </c>
      <c r="C2283" s="22">
        <v>45760</v>
      </c>
      <c r="D2283" s="23" t="s">
        <v>308</v>
      </c>
      <c r="E2283" s="23" t="s">
        <v>55</v>
      </c>
      <c r="F2283" s="21">
        <v>1</v>
      </c>
      <c r="G2283" s="12">
        <v>20899.657794676805</v>
      </c>
      <c r="H2283" s="12">
        <v>20899.657794676805</v>
      </c>
      <c r="I2283" s="23" t="s">
        <v>52</v>
      </c>
      <c r="J2283" s="23" t="s">
        <v>61</v>
      </c>
      <c r="K2283" s="24" t="s">
        <v>177</v>
      </c>
      <c r="L2283" s="24">
        <v>123</v>
      </c>
      <c r="M2283" s="12">
        <v>17562.737642585551</v>
      </c>
      <c r="N2283" s="12">
        <v>17562.737642585551</v>
      </c>
      <c r="O2283" s="12">
        <v>3336.9201520912538</v>
      </c>
      <c r="P2283" s="13"/>
      <c r="Q2283" s="14">
        <v>2025</v>
      </c>
      <c r="R2283" s="15">
        <v>45383</v>
      </c>
      <c r="S2283" s="11" t="s">
        <v>366</v>
      </c>
      <c r="T2283" s="16">
        <v>0</v>
      </c>
      <c r="U2283" s="17"/>
      <c r="V2283" s="12">
        <v>3705.7376425855509</v>
      </c>
      <c r="W2283" s="12">
        <v>3705.7376425855509</v>
      </c>
      <c r="X2283" s="12">
        <v>0</v>
      </c>
      <c r="Y2283" s="18">
        <v>45754</v>
      </c>
      <c r="Z2283" s="13" t="s">
        <v>497</v>
      </c>
      <c r="AA2283" s="19" t="s">
        <v>373</v>
      </c>
      <c r="AB2283" s="13" t="s">
        <v>357</v>
      </c>
      <c r="AC2283" s="13" t="s">
        <v>612</v>
      </c>
      <c r="AD2283" s="20"/>
      <c r="AE2283" s="20"/>
      <c r="AF2283" s="13" t="s">
        <v>40</v>
      </c>
      <c r="AG2283" s="15">
        <v>45383</v>
      </c>
      <c r="AH2283" s="13" t="s">
        <v>41</v>
      </c>
      <c r="AI2283" s="13" t="s">
        <v>53</v>
      </c>
      <c r="AJ2283" s="13" t="str">
        <f>VLOOKUP(E2283,Precios!Z$2:AA$941,2,FALSE)</f>
        <v>Papel Higienico ELITE 50 metros</v>
      </c>
      <c r="AK2283" s="14">
        <f>VLOOKUP(E2283,Precios!Z$2:BB$941,3,FALSE)*F2283</f>
        <v>-8</v>
      </c>
      <c r="AL2283" s="17"/>
      <c r="AM2283" s="17"/>
      <c r="AN2283" s="17"/>
      <c r="AO2283" s="17"/>
      <c r="AP2283" s="17"/>
      <c r="AQ2283" s="17"/>
      <c r="AR2283" s="17"/>
      <c r="AS2283" s="17"/>
      <c r="AT2283" s="17"/>
      <c r="AU2283" s="17"/>
      <c r="AV2283" s="17"/>
    </row>
    <row r="2284" spans="1:48" ht="15.75" customHeight="1">
      <c r="A2284" s="21" t="s">
        <v>35</v>
      </c>
      <c r="B2284" s="23" t="s">
        <v>1692</v>
      </c>
      <c r="C2284" s="22">
        <v>45760</v>
      </c>
      <c r="D2284" s="23" t="s">
        <v>80</v>
      </c>
      <c r="E2284" s="23" t="s">
        <v>46</v>
      </c>
      <c r="F2284" s="21">
        <v>1</v>
      </c>
      <c r="G2284" s="12">
        <v>5500</v>
      </c>
      <c r="H2284" s="12">
        <v>5500</v>
      </c>
      <c r="I2284" s="23" t="s">
        <v>52</v>
      </c>
      <c r="J2284" s="23" t="s">
        <v>61</v>
      </c>
      <c r="K2284" s="24" t="s">
        <v>177</v>
      </c>
      <c r="L2284" s="24">
        <v>123</v>
      </c>
      <c r="M2284" s="12">
        <v>4621.8487394957983</v>
      </c>
      <c r="N2284" s="12">
        <v>4621.8487394957983</v>
      </c>
      <c r="O2284" s="12">
        <v>878.15126050420167</v>
      </c>
      <c r="P2284" s="13"/>
      <c r="Q2284" s="14">
        <v>2025</v>
      </c>
      <c r="R2284" s="15">
        <v>45383</v>
      </c>
      <c r="S2284" s="11" t="s">
        <v>364</v>
      </c>
      <c r="T2284" s="16">
        <v>500</v>
      </c>
      <c r="U2284" s="17"/>
      <c r="V2284" s="12">
        <v>1365.1260504201678</v>
      </c>
      <c r="W2284" s="12">
        <v>1365.1260504201678</v>
      </c>
      <c r="X2284" s="12">
        <v>0</v>
      </c>
      <c r="Y2284" s="18">
        <v>45754</v>
      </c>
      <c r="Z2284" s="13" t="s">
        <v>497</v>
      </c>
      <c r="AA2284" s="19" t="s">
        <v>361</v>
      </c>
      <c r="AB2284" s="13" t="s">
        <v>357</v>
      </c>
      <c r="AC2284" s="13" t="s">
        <v>362</v>
      </c>
      <c r="AD2284" s="20"/>
      <c r="AE2284" s="20"/>
      <c r="AF2284" s="13" t="s">
        <v>40</v>
      </c>
      <c r="AG2284" s="15">
        <v>45383</v>
      </c>
      <c r="AH2284" s="13" t="s">
        <v>41</v>
      </c>
      <c r="AI2284" s="13" t="s">
        <v>35</v>
      </c>
      <c r="AJ2284" s="13" t="str">
        <f>VLOOKUP(E2284,Precios!Z$2:AA$941,2,FALSE)</f>
        <v>Queso RUNCA Mantecoso</v>
      </c>
      <c r="AK2284" s="14">
        <f>VLOOKUP(E2284,Precios!Z$2:BB$941,3,FALSE)*F2284</f>
        <v>-0.5</v>
      </c>
      <c r="AL2284" s="17"/>
      <c r="AM2284" s="17"/>
      <c r="AN2284" s="17"/>
      <c r="AO2284" s="17"/>
      <c r="AP2284" s="17"/>
      <c r="AQ2284" s="17"/>
      <c r="AR2284" s="17"/>
      <c r="AS2284" s="17"/>
      <c r="AT2284" s="17"/>
      <c r="AU2284" s="17"/>
      <c r="AV2284" s="17"/>
    </row>
    <row r="2285" spans="1:48" ht="15.75" customHeight="1">
      <c r="A2285" s="21" t="s">
        <v>56</v>
      </c>
      <c r="B2285" s="23" t="s">
        <v>1692</v>
      </c>
      <c r="C2285" s="22">
        <v>45760</v>
      </c>
      <c r="D2285" s="23" t="s">
        <v>80</v>
      </c>
      <c r="E2285" s="23" t="s">
        <v>67</v>
      </c>
      <c r="F2285" s="21">
        <v>1</v>
      </c>
      <c r="G2285" s="12">
        <v>7000.0000000000009</v>
      </c>
      <c r="H2285" s="12">
        <v>7000.0000000000009</v>
      </c>
      <c r="I2285" s="23" t="s">
        <v>52</v>
      </c>
      <c r="J2285" s="23" t="s">
        <v>61</v>
      </c>
      <c r="K2285" s="24" t="s">
        <v>177</v>
      </c>
      <c r="L2285" s="24">
        <v>123</v>
      </c>
      <c r="M2285" s="12">
        <v>5882.3529411764712</v>
      </c>
      <c r="N2285" s="12">
        <v>5882.3529411764712</v>
      </c>
      <c r="O2285" s="12">
        <v>1117.6470588235297</v>
      </c>
      <c r="P2285" s="13"/>
      <c r="Q2285" s="14">
        <v>2025</v>
      </c>
      <c r="R2285" s="15">
        <v>45383</v>
      </c>
      <c r="S2285" s="11" t="s">
        <v>492</v>
      </c>
      <c r="T2285" s="16">
        <v>200</v>
      </c>
      <c r="U2285" s="17"/>
      <c r="V2285" s="12">
        <v>1512.6050420168067</v>
      </c>
      <c r="W2285" s="12">
        <v>1512.6050420168067</v>
      </c>
      <c r="X2285" s="12">
        <v>0</v>
      </c>
      <c r="Y2285" s="18">
        <v>45754</v>
      </c>
      <c r="Z2285" s="13" t="s">
        <v>497</v>
      </c>
      <c r="AA2285" s="19" t="s">
        <v>361</v>
      </c>
      <c r="AB2285" s="13" t="s">
        <v>357</v>
      </c>
      <c r="AC2285" s="13" t="s">
        <v>362</v>
      </c>
      <c r="AD2285" s="20"/>
      <c r="AE2285" s="20"/>
      <c r="AF2285" s="13" t="s">
        <v>40</v>
      </c>
      <c r="AG2285" s="15">
        <v>45383</v>
      </c>
      <c r="AH2285" s="13" t="s">
        <v>41</v>
      </c>
      <c r="AI2285" s="13" t="s">
        <v>56</v>
      </c>
      <c r="AJ2285" s="13" t="str">
        <f>VLOOKUP(E2285,Precios!Z$2:AA$941,2,FALSE)</f>
        <v>Mantequilla RUMAY</v>
      </c>
      <c r="AK2285" s="14">
        <f>VLOOKUP(E2285,Precios!Z$2:BB$941,3,FALSE)*F2285</f>
        <v>-3</v>
      </c>
      <c r="AL2285" s="17"/>
      <c r="AM2285" s="17"/>
      <c r="AN2285" s="17"/>
      <c r="AO2285" s="17"/>
      <c r="AP2285" s="17"/>
      <c r="AQ2285" s="17"/>
      <c r="AR2285" s="17"/>
      <c r="AS2285" s="17"/>
      <c r="AT2285" s="17"/>
      <c r="AU2285" s="17"/>
      <c r="AV2285" s="17"/>
    </row>
    <row r="2286" spans="1:48" ht="15.75" customHeight="1">
      <c r="A2286" s="21" t="s">
        <v>76</v>
      </c>
      <c r="B2286" s="23" t="s">
        <v>1692</v>
      </c>
      <c r="C2286" s="22">
        <v>45760</v>
      </c>
      <c r="D2286" s="23" t="s">
        <v>80</v>
      </c>
      <c r="E2286" s="23" t="s">
        <v>81</v>
      </c>
      <c r="F2286" s="21">
        <v>1</v>
      </c>
      <c r="G2286" s="12">
        <v>3500.0000000000005</v>
      </c>
      <c r="H2286" s="12">
        <v>3500.0000000000005</v>
      </c>
      <c r="I2286" s="23" t="s">
        <v>52</v>
      </c>
      <c r="J2286" s="23" t="s">
        <v>61</v>
      </c>
      <c r="K2286" s="24" t="s">
        <v>177</v>
      </c>
      <c r="L2286" s="24">
        <v>123</v>
      </c>
      <c r="M2286" s="12">
        <v>2941.1764705882356</v>
      </c>
      <c r="N2286" s="12">
        <v>2941.1764705882356</v>
      </c>
      <c r="O2286" s="12">
        <v>558.82352941176487</v>
      </c>
      <c r="P2286" s="13"/>
      <c r="Q2286" s="14">
        <v>2025</v>
      </c>
      <c r="R2286" s="15">
        <v>45383</v>
      </c>
      <c r="S2286" s="11" t="s">
        <v>397</v>
      </c>
      <c r="T2286" s="16">
        <v>5</v>
      </c>
      <c r="U2286" s="17"/>
      <c r="V2286" s="12">
        <v>764.70588235294144</v>
      </c>
      <c r="W2286" s="12">
        <v>764.70588235294144</v>
      </c>
      <c r="X2286" s="12">
        <v>0</v>
      </c>
      <c r="Y2286" s="18">
        <v>45754</v>
      </c>
      <c r="Z2286" s="13" t="s">
        <v>497</v>
      </c>
      <c r="AA2286" s="19" t="s">
        <v>361</v>
      </c>
      <c r="AB2286" s="13" t="s">
        <v>357</v>
      </c>
      <c r="AC2286" s="13" t="s">
        <v>362</v>
      </c>
      <c r="AD2286" s="20"/>
      <c r="AE2286" s="20"/>
      <c r="AF2286" s="13" t="s">
        <v>40</v>
      </c>
      <c r="AG2286" s="15">
        <v>45383</v>
      </c>
      <c r="AH2286" s="13" t="s">
        <v>41</v>
      </c>
      <c r="AI2286" s="13" t="s">
        <v>76</v>
      </c>
      <c r="AJ2286" s="13" t="str">
        <f>VLOOKUP(E2286,Precios!Z$2:AA$941,2,FALSE)</f>
        <v>Detergente SPUM 5 Litros (Verde)</v>
      </c>
      <c r="AK2286" s="14">
        <f>VLOOKUP(E2286,Precios!Z$2:BB$941,3,FALSE)*F2286</f>
        <v>-1</v>
      </c>
      <c r="AL2286" s="17"/>
      <c r="AM2286" s="17"/>
      <c r="AN2286" s="17"/>
      <c r="AO2286" s="17"/>
      <c r="AP2286" s="17"/>
      <c r="AQ2286" s="17"/>
      <c r="AR2286" s="17"/>
      <c r="AS2286" s="17"/>
      <c r="AT2286" s="17"/>
      <c r="AU2286" s="17"/>
      <c r="AV2286" s="17"/>
    </row>
    <row r="2287" spans="1:48" ht="15.75" customHeight="1">
      <c r="A2287" s="21" t="s">
        <v>35</v>
      </c>
      <c r="B2287" s="23" t="s">
        <v>1692</v>
      </c>
      <c r="C2287" s="22">
        <v>45760</v>
      </c>
      <c r="D2287" s="23" t="s">
        <v>132</v>
      </c>
      <c r="E2287" s="23" t="s">
        <v>46</v>
      </c>
      <c r="F2287" s="21">
        <v>1</v>
      </c>
      <c r="G2287" s="12">
        <v>5500</v>
      </c>
      <c r="H2287" s="12">
        <v>5500</v>
      </c>
      <c r="I2287" s="23" t="s">
        <v>52</v>
      </c>
      <c r="J2287" s="23" t="s">
        <v>61</v>
      </c>
      <c r="K2287" s="24" t="s">
        <v>177</v>
      </c>
      <c r="L2287" s="24">
        <v>123</v>
      </c>
      <c r="M2287" s="12">
        <v>4621.8487394957983</v>
      </c>
      <c r="N2287" s="12">
        <v>4621.8487394957983</v>
      </c>
      <c r="O2287" s="12">
        <v>878.15126050420167</v>
      </c>
      <c r="P2287" s="13"/>
      <c r="Q2287" s="14">
        <v>2025</v>
      </c>
      <c r="R2287" s="15">
        <v>45383</v>
      </c>
      <c r="S2287" s="11" t="s">
        <v>364</v>
      </c>
      <c r="T2287" s="16">
        <v>500</v>
      </c>
      <c r="U2287" s="17"/>
      <c r="V2287" s="12">
        <v>1365.1260504201678</v>
      </c>
      <c r="W2287" s="12">
        <v>1365.1260504201678</v>
      </c>
      <c r="X2287" s="12">
        <v>0</v>
      </c>
      <c r="Y2287" s="18">
        <v>45754</v>
      </c>
      <c r="Z2287" s="13" t="s">
        <v>497</v>
      </c>
      <c r="AA2287" s="19" t="s">
        <v>373</v>
      </c>
      <c r="AB2287" s="13" t="s">
        <v>357</v>
      </c>
      <c r="AC2287" s="13" t="s">
        <v>389</v>
      </c>
      <c r="AD2287" s="20"/>
      <c r="AE2287" s="20"/>
      <c r="AF2287" s="13" t="s">
        <v>40</v>
      </c>
      <c r="AG2287" s="15">
        <v>45383</v>
      </c>
      <c r="AH2287" s="13" t="s">
        <v>41</v>
      </c>
      <c r="AI2287" s="13" t="s">
        <v>35</v>
      </c>
      <c r="AJ2287" s="13" t="str">
        <f>VLOOKUP(E2287,Precios!Z$2:AA$941,2,FALSE)</f>
        <v>Queso RUNCA Mantecoso</v>
      </c>
      <c r="AK2287" s="14">
        <f>VLOOKUP(E2287,Precios!Z$2:BB$941,3,FALSE)*F2287</f>
        <v>-0.5</v>
      </c>
      <c r="AL2287" s="17"/>
      <c r="AM2287" s="17"/>
      <c r="AN2287" s="17"/>
      <c r="AO2287" s="17"/>
      <c r="AP2287" s="17"/>
      <c r="AQ2287" s="17"/>
      <c r="AR2287" s="17"/>
      <c r="AS2287" s="17"/>
      <c r="AT2287" s="17"/>
      <c r="AU2287" s="17"/>
      <c r="AV2287" s="17"/>
    </row>
    <row r="2288" spans="1:48" ht="15.75" customHeight="1">
      <c r="A2288" s="21" t="s">
        <v>76</v>
      </c>
      <c r="B2288" s="23" t="s">
        <v>1692</v>
      </c>
      <c r="C2288" s="22">
        <v>45760</v>
      </c>
      <c r="D2288" s="23" t="s">
        <v>125</v>
      </c>
      <c r="E2288" s="23" t="s">
        <v>137</v>
      </c>
      <c r="F2288" s="21">
        <v>1</v>
      </c>
      <c r="G2288" s="12">
        <v>3500.0000000000005</v>
      </c>
      <c r="H2288" s="12">
        <v>3500.0000000000005</v>
      </c>
      <c r="I2288" s="23" t="s">
        <v>52</v>
      </c>
      <c r="J2288" s="23" t="s">
        <v>61</v>
      </c>
      <c r="K2288" s="24" t="s">
        <v>177</v>
      </c>
      <c r="L2288" s="24">
        <v>123</v>
      </c>
      <c r="M2288" s="12">
        <v>2941.1764705882356</v>
      </c>
      <c r="N2288" s="12">
        <v>2941.1764705882356</v>
      </c>
      <c r="O2288" s="12">
        <v>558.82352941176487</v>
      </c>
      <c r="P2288" s="13"/>
      <c r="Q2288" s="14">
        <v>2025</v>
      </c>
      <c r="R2288" s="15">
        <v>45383</v>
      </c>
      <c r="S2288" s="11" t="s">
        <v>406</v>
      </c>
      <c r="T2288" s="16">
        <v>5</v>
      </c>
      <c r="U2288" s="17"/>
      <c r="V2288" s="12">
        <v>848.73949579831969</v>
      </c>
      <c r="W2288" s="12">
        <v>848.73949579831969</v>
      </c>
      <c r="X2288" s="12">
        <v>0</v>
      </c>
      <c r="Y2288" s="18">
        <v>45754</v>
      </c>
      <c r="Z2288" s="13" t="s">
        <v>497</v>
      </c>
      <c r="AA2288" s="19" t="s">
        <v>361</v>
      </c>
      <c r="AB2288" s="13" t="s">
        <v>357</v>
      </c>
      <c r="AC2288" s="13" t="s">
        <v>362</v>
      </c>
      <c r="AD2288" s="20"/>
      <c r="AE2288" s="20"/>
      <c r="AF2288" s="13" t="s">
        <v>40</v>
      </c>
      <c r="AG2288" s="15">
        <v>45383</v>
      </c>
      <c r="AH2288" s="13" t="s">
        <v>41</v>
      </c>
      <c r="AI2288" s="13" t="s">
        <v>76</v>
      </c>
      <c r="AJ2288" s="13" t="str">
        <f>VLOOKUP(E2288,Precios!Z$2:AA$941,2,FALSE)</f>
        <v>Detergente SPUM 5 Litros (Blanco)</v>
      </c>
      <c r="AK2288" s="14">
        <f>VLOOKUP(E2288,Precios!Z$2:BB$941,3,FALSE)*F2288</f>
        <v>-1</v>
      </c>
      <c r="AL2288" s="17"/>
      <c r="AM2288" s="17"/>
      <c r="AN2288" s="17"/>
      <c r="AO2288" s="17"/>
      <c r="AP2288" s="17"/>
      <c r="AQ2288" s="17"/>
      <c r="AR2288" s="17"/>
      <c r="AS2288" s="17"/>
      <c r="AT2288" s="17"/>
      <c r="AU2288" s="17"/>
      <c r="AV2288" s="17"/>
    </row>
    <row r="2289" spans="1:48" ht="15.75" customHeight="1">
      <c r="A2289" s="21" t="s">
        <v>35</v>
      </c>
      <c r="B2289" s="23" t="s">
        <v>1692</v>
      </c>
      <c r="C2289" s="22">
        <v>45760</v>
      </c>
      <c r="D2289" s="23" t="s">
        <v>125</v>
      </c>
      <c r="E2289" s="23" t="s">
        <v>46</v>
      </c>
      <c r="F2289" s="21">
        <v>1</v>
      </c>
      <c r="G2289" s="12">
        <v>5500</v>
      </c>
      <c r="H2289" s="12">
        <v>5500</v>
      </c>
      <c r="I2289" s="23" t="s">
        <v>52</v>
      </c>
      <c r="J2289" s="23" t="s">
        <v>61</v>
      </c>
      <c r="K2289" s="24" t="s">
        <v>177</v>
      </c>
      <c r="L2289" s="24">
        <v>123</v>
      </c>
      <c r="M2289" s="12">
        <v>4621.8487394957983</v>
      </c>
      <c r="N2289" s="12">
        <v>4621.8487394957983</v>
      </c>
      <c r="O2289" s="12">
        <v>878.15126050420167</v>
      </c>
      <c r="P2289" s="13"/>
      <c r="Q2289" s="14">
        <v>2025</v>
      </c>
      <c r="R2289" s="15">
        <v>45383</v>
      </c>
      <c r="S2289" s="11" t="s">
        <v>364</v>
      </c>
      <c r="T2289" s="16">
        <v>500</v>
      </c>
      <c r="U2289" s="17"/>
      <c r="V2289" s="12">
        <v>1365.1260504201678</v>
      </c>
      <c r="W2289" s="12">
        <v>1365.1260504201678</v>
      </c>
      <c r="X2289" s="12">
        <v>0</v>
      </c>
      <c r="Y2289" s="18">
        <v>45754</v>
      </c>
      <c r="Z2289" s="13" t="s">
        <v>497</v>
      </c>
      <c r="AA2289" s="19" t="s">
        <v>361</v>
      </c>
      <c r="AB2289" s="13" t="s">
        <v>357</v>
      </c>
      <c r="AC2289" s="13" t="s">
        <v>362</v>
      </c>
      <c r="AD2289" s="20"/>
      <c r="AE2289" s="20"/>
      <c r="AF2289" s="13" t="s">
        <v>40</v>
      </c>
      <c r="AG2289" s="15">
        <v>45383</v>
      </c>
      <c r="AH2289" s="13" t="s">
        <v>41</v>
      </c>
      <c r="AI2289" s="13" t="s">
        <v>35</v>
      </c>
      <c r="AJ2289" s="13" t="str">
        <f>VLOOKUP(E2289,Precios!Z$2:AA$941,2,FALSE)</f>
        <v>Queso RUNCA Mantecoso</v>
      </c>
      <c r="AK2289" s="14">
        <f>VLOOKUP(E2289,Precios!Z$2:BB$941,3,FALSE)*F2289</f>
        <v>-0.5</v>
      </c>
      <c r="AL2289" s="17"/>
      <c r="AM2289" s="17"/>
      <c r="AN2289" s="17"/>
      <c r="AO2289" s="17"/>
      <c r="AP2289" s="17"/>
      <c r="AQ2289" s="17"/>
      <c r="AR2289" s="17"/>
      <c r="AS2289" s="17"/>
      <c r="AT2289" s="17"/>
      <c r="AU2289" s="17"/>
      <c r="AV2289" s="17"/>
    </row>
    <row r="2290" spans="1:48" ht="15.75" customHeight="1">
      <c r="A2290" s="21" t="s">
        <v>53</v>
      </c>
      <c r="B2290" s="23" t="s">
        <v>1692</v>
      </c>
      <c r="C2290" s="22">
        <v>45760</v>
      </c>
      <c r="D2290" s="23" t="s">
        <v>125</v>
      </c>
      <c r="E2290" s="23" t="s">
        <v>69</v>
      </c>
      <c r="F2290" s="21">
        <v>1</v>
      </c>
      <c r="G2290" s="12">
        <v>2999.9553810458683</v>
      </c>
      <c r="H2290" s="12">
        <v>2999.9553810458683</v>
      </c>
      <c r="I2290" s="23" t="s">
        <v>52</v>
      </c>
      <c r="J2290" s="23" t="s">
        <v>61</v>
      </c>
      <c r="K2290" s="24" t="s">
        <v>177</v>
      </c>
      <c r="L2290" s="24">
        <v>123</v>
      </c>
      <c r="M2290" s="12">
        <v>2520.9709084419064</v>
      </c>
      <c r="N2290" s="12">
        <v>2520.9709084419064</v>
      </c>
      <c r="O2290" s="12">
        <v>478.98447260396188</v>
      </c>
      <c r="P2290" s="13"/>
      <c r="Q2290" s="14">
        <v>2025</v>
      </c>
      <c r="R2290" s="15">
        <v>45383</v>
      </c>
      <c r="S2290" s="11" t="s">
        <v>376</v>
      </c>
      <c r="T2290" s="16">
        <v>0</v>
      </c>
      <c r="U2290" s="17"/>
      <c r="V2290" s="12">
        <v>825.97090844190598</v>
      </c>
      <c r="W2290" s="12">
        <v>825.97090844190598</v>
      </c>
      <c r="X2290" s="12">
        <v>0</v>
      </c>
      <c r="Y2290" s="18">
        <v>45754</v>
      </c>
      <c r="Z2290" s="13" t="s">
        <v>497</v>
      </c>
      <c r="AA2290" s="19" t="s">
        <v>361</v>
      </c>
      <c r="AB2290" s="13" t="s">
        <v>357</v>
      </c>
      <c r="AC2290" s="13" t="s">
        <v>362</v>
      </c>
      <c r="AD2290" s="20"/>
      <c r="AE2290" s="20"/>
      <c r="AF2290" s="13" t="s">
        <v>40</v>
      </c>
      <c r="AG2290" s="15">
        <v>45383</v>
      </c>
      <c r="AH2290" s="13" t="s">
        <v>41</v>
      </c>
      <c r="AI2290" s="13" t="s">
        <v>53</v>
      </c>
      <c r="AJ2290" s="13" t="str">
        <f>VLOOKUP(E2290,Precios!Z$2:AA$941,2,FALSE)</f>
        <v>Toalla Papel NOVA 70 metros</v>
      </c>
      <c r="AK2290" s="14">
        <f>VLOOKUP(E2290,Precios!Z$2:BB$941,3,FALSE)*F2290</f>
        <v>-1</v>
      </c>
      <c r="AL2290" s="17"/>
      <c r="AM2290" s="17"/>
      <c r="AN2290" s="17"/>
      <c r="AO2290" s="17"/>
      <c r="AP2290" s="17"/>
      <c r="AQ2290" s="17"/>
      <c r="AR2290" s="17"/>
      <c r="AS2290" s="17"/>
      <c r="AT2290" s="17"/>
      <c r="AU2290" s="17"/>
      <c r="AV2290" s="17"/>
    </row>
    <row r="2291" spans="1:48" ht="15.75" customHeight="1">
      <c r="A2291" s="21" t="s">
        <v>35</v>
      </c>
      <c r="B2291" s="23" t="s">
        <v>1692</v>
      </c>
      <c r="C2291" s="22">
        <v>45760</v>
      </c>
      <c r="D2291" s="23" t="s">
        <v>659</v>
      </c>
      <c r="E2291" s="23" t="s">
        <v>46</v>
      </c>
      <c r="F2291" s="21">
        <v>1</v>
      </c>
      <c r="G2291" s="12">
        <v>5500</v>
      </c>
      <c r="H2291" s="12">
        <v>5500</v>
      </c>
      <c r="I2291" s="23" t="s">
        <v>52</v>
      </c>
      <c r="J2291" s="23" t="s">
        <v>61</v>
      </c>
      <c r="K2291" s="24" t="s">
        <v>177</v>
      </c>
      <c r="L2291" s="24">
        <v>123</v>
      </c>
      <c r="M2291" s="12">
        <v>4621.8487394957983</v>
      </c>
      <c r="N2291" s="12">
        <v>4621.8487394957983</v>
      </c>
      <c r="O2291" s="12">
        <v>878.15126050420167</v>
      </c>
      <c r="P2291" s="13"/>
      <c r="Q2291" s="14">
        <v>2025</v>
      </c>
      <c r="R2291" s="15">
        <v>45383</v>
      </c>
      <c r="S2291" s="11" t="s">
        <v>364</v>
      </c>
      <c r="T2291" s="16">
        <v>500</v>
      </c>
      <c r="U2291" s="17"/>
      <c r="V2291" s="12">
        <v>1365.1260504201678</v>
      </c>
      <c r="W2291" s="12">
        <v>1365.1260504201678</v>
      </c>
      <c r="X2291" s="12">
        <v>0</v>
      </c>
      <c r="Y2291" s="18">
        <v>45754</v>
      </c>
      <c r="Z2291" s="13" t="s">
        <v>497</v>
      </c>
      <c r="AA2291" s="19" t="s">
        <v>356</v>
      </c>
      <c r="AB2291" s="13" t="s">
        <v>357</v>
      </c>
      <c r="AC2291" s="13" t="s">
        <v>383</v>
      </c>
      <c r="AD2291" s="20"/>
      <c r="AE2291" s="20"/>
      <c r="AF2291" s="13" t="s">
        <v>40</v>
      </c>
      <c r="AG2291" s="15">
        <v>45383</v>
      </c>
      <c r="AH2291" s="13" t="s">
        <v>41</v>
      </c>
      <c r="AI2291" s="13" t="s">
        <v>35</v>
      </c>
      <c r="AJ2291" s="13" t="str">
        <f>VLOOKUP(E2291,Precios!Z$2:AA$941,2,FALSE)</f>
        <v>Queso RUNCA Mantecoso</v>
      </c>
      <c r="AK2291" s="14">
        <f>VLOOKUP(E2291,Precios!Z$2:BB$941,3,FALSE)*F2291</f>
        <v>-0.5</v>
      </c>
      <c r="AL2291" s="17"/>
      <c r="AM2291" s="17"/>
      <c r="AN2291" s="17"/>
      <c r="AO2291" s="17"/>
      <c r="AP2291" s="17"/>
      <c r="AQ2291" s="17"/>
      <c r="AR2291" s="17"/>
      <c r="AS2291" s="17"/>
      <c r="AT2291" s="17"/>
      <c r="AU2291" s="17"/>
      <c r="AV2291" s="17"/>
    </row>
    <row r="2292" spans="1:48" ht="15.75" customHeight="1">
      <c r="A2292" s="21" t="s">
        <v>50</v>
      </c>
      <c r="B2292" s="23" t="s">
        <v>1692</v>
      </c>
      <c r="C2292" s="22">
        <v>45759</v>
      </c>
      <c r="D2292" s="23" t="s">
        <v>44</v>
      </c>
      <c r="E2292" s="23" t="s">
        <v>528</v>
      </c>
      <c r="F2292" s="21">
        <v>1</v>
      </c>
      <c r="G2292" s="12">
        <v>4499.9054641709217</v>
      </c>
      <c r="H2292" s="12">
        <v>4499.9054641709217</v>
      </c>
      <c r="I2292" s="23" t="s">
        <v>52</v>
      </c>
      <c r="J2292" s="23" t="s">
        <v>61</v>
      </c>
      <c r="K2292" s="24" t="s">
        <v>177</v>
      </c>
      <c r="L2292" s="24">
        <v>123</v>
      </c>
      <c r="M2292" s="12">
        <v>3781.4331631688419</v>
      </c>
      <c r="N2292" s="12">
        <v>3781.4331631688419</v>
      </c>
      <c r="O2292" s="12">
        <v>718.4723010020798</v>
      </c>
      <c r="P2292" s="13"/>
      <c r="Q2292" s="14">
        <v>2025</v>
      </c>
      <c r="R2292" s="15">
        <v>45383</v>
      </c>
      <c r="S2292" s="11" t="s">
        <v>528</v>
      </c>
      <c r="T2292" s="16">
        <v>0</v>
      </c>
      <c r="U2292" s="17"/>
      <c r="V2292" s="12">
        <v>1781.4331631688415</v>
      </c>
      <c r="W2292" s="12">
        <v>1781.4331631688415</v>
      </c>
      <c r="X2292" s="12">
        <v>0</v>
      </c>
      <c r="Y2292" s="18">
        <v>45754</v>
      </c>
      <c r="Z2292" s="13" t="s">
        <v>501</v>
      </c>
      <c r="AA2292" s="19" t="s">
        <v>361</v>
      </c>
      <c r="AB2292" s="13" t="s">
        <v>357</v>
      </c>
      <c r="AC2292" s="13" t="s">
        <v>554</v>
      </c>
      <c r="AD2292" s="20"/>
      <c r="AE2292" s="20"/>
      <c r="AF2292" s="13" t="s">
        <v>40</v>
      </c>
      <c r="AG2292" s="15">
        <v>45383</v>
      </c>
      <c r="AH2292" s="13" t="s">
        <v>41</v>
      </c>
      <c r="AI2292" s="13" t="s">
        <v>50</v>
      </c>
      <c r="AJ2292" s="13" t="str">
        <f>VLOOKUP(E2292,Precios!Z$2:AA$941,2,FALSE)</f>
        <v>Hielo 1 Kilo</v>
      </c>
      <c r="AK2292" s="14">
        <f>VLOOKUP(E2292,Precios!Z$2:BB$941,3,FALSE)*F2292</f>
        <v>-5</v>
      </c>
      <c r="AL2292" s="17"/>
      <c r="AM2292" s="17"/>
      <c r="AN2292" s="17"/>
      <c r="AO2292" s="17"/>
      <c r="AP2292" s="17"/>
      <c r="AQ2292" s="17"/>
      <c r="AR2292" s="17"/>
      <c r="AS2292" s="17"/>
      <c r="AT2292" s="17"/>
      <c r="AU2292" s="17"/>
      <c r="AV2292" s="17"/>
    </row>
    <row r="2293" spans="1:48" ht="15.75" customHeight="1">
      <c r="A2293" s="21" t="s">
        <v>35</v>
      </c>
      <c r="B2293" s="23" t="s">
        <v>1692</v>
      </c>
      <c r="C2293" s="22">
        <v>45758</v>
      </c>
      <c r="D2293" s="23" t="s">
        <v>122</v>
      </c>
      <c r="E2293" s="23" t="s">
        <v>37</v>
      </c>
      <c r="F2293" s="21">
        <v>1</v>
      </c>
      <c r="G2293" s="12">
        <v>10500</v>
      </c>
      <c r="H2293" s="12">
        <v>10500</v>
      </c>
      <c r="I2293" s="23" t="s">
        <v>52</v>
      </c>
      <c r="J2293" s="23" t="s">
        <v>61</v>
      </c>
      <c r="K2293" s="24" t="s">
        <v>177</v>
      </c>
      <c r="L2293" s="24">
        <v>123</v>
      </c>
      <c r="M2293" s="12">
        <v>8823.5294117647063</v>
      </c>
      <c r="N2293" s="12">
        <v>8823.5294117647063</v>
      </c>
      <c r="O2293" s="12">
        <v>1676.4705882352937</v>
      </c>
      <c r="P2293" s="13"/>
      <c r="Q2293" s="14">
        <v>2025</v>
      </c>
      <c r="R2293" s="15">
        <v>45383</v>
      </c>
      <c r="S2293" s="11" t="s">
        <v>364</v>
      </c>
      <c r="T2293" s="16">
        <v>1000</v>
      </c>
      <c r="U2293" s="17"/>
      <c r="V2293" s="12">
        <v>2385.7142857142853</v>
      </c>
      <c r="W2293" s="12">
        <v>2385.7142857142853</v>
      </c>
      <c r="X2293" s="12">
        <v>0</v>
      </c>
      <c r="Y2293" s="18">
        <v>45754</v>
      </c>
      <c r="Z2293" s="13" t="s">
        <v>503</v>
      </c>
      <c r="AA2293" s="19" t="s">
        <v>361</v>
      </c>
      <c r="AB2293" s="13" t="s">
        <v>357</v>
      </c>
      <c r="AC2293" s="13" t="s">
        <v>362</v>
      </c>
      <c r="AD2293" s="20"/>
      <c r="AE2293" s="20"/>
      <c r="AF2293" s="13" t="s">
        <v>40</v>
      </c>
      <c r="AG2293" s="15">
        <v>45383</v>
      </c>
      <c r="AH2293" s="13" t="s">
        <v>41</v>
      </c>
      <c r="AI2293" s="13" t="s">
        <v>35</v>
      </c>
      <c r="AJ2293" s="13" t="str">
        <f>VLOOKUP(E2293,Precios!Z$2:AA$941,2,FALSE)</f>
        <v>Queso RUNCA Mantecoso</v>
      </c>
      <c r="AK2293" s="14">
        <f>VLOOKUP(E2293,Precios!Z$2:BB$941,3,FALSE)*F2293</f>
        <v>-1</v>
      </c>
      <c r="AL2293" s="17"/>
      <c r="AM2293" s="17"/>
      <c r="AN2293" s="17"/>
      <c r="AO2293" s="17"/>
      <c r="AP2293" s="17"/>
      <c r="AQ2293" s="17"/>
      <c r="AR2293" s="17"/>
      <c r="AS2293" s="17"/>
      <c r="AT2293" s="17"/>
      <c r="AU2293" s="17"/>
      <c r="AV2293" s="17"/>
    </row>
    <row r="2294" spans="1:48" ht="15.75" customHeight="1">
      <c r="A2294" s="21" t="s">
        <v>53</v>
      </c>
      <c r="B2294" s="23" t="s">
        <v>1692</v>
      </c>
      <c r="C2294" s="22">
        <v>45758</v>
      </c>
      <c r="D2294" s="23" t="s">
        <v>122</v>
      </c>
      <c r="E2294" s="23" t="s">
        <v>97</v>
      </c>
      <c r="F2294" s="21">
        <v>1</v>
      </c>
      <c r="G2294" s="12">
        <v>16500.126742712295</v>
      </c>
      <c r="H2294" s="12">
        <v>16500.126742712295</v>
      </c>
      <c r="I2294" s="23" t="s">
        <v>52</v>
      </c>
      <c r="J2294" s="23" t="s">
        <v>61</v>
      </c>
      <c r="K2294" s="24" t="s">
        <v>177</v>
      </c>
      <c r="L2294" s="24">
        <v>123</v>
      </c>
      <c r="M2294" s="12">
        <v>13865.652724968315</v>
      </c>
      <c r="N2294" s="12">
        <v>13865.652724968315</v>
      </c>
      <c r="O2294" s="12">
        <v>2634.4740177439799</v>
      </c>
      <c r="P2294" s="13"/>
      <c r="Q2294" s="14">
        <v>2025</v>
      </c>
      <c r="R2294" s="15">
        <v>45383</v>
      </c>
      <c r="S2294" s="11" t="s">
        <v>366</v>
      </c>
      <c r="T2294" s="16">
        <v>0</v>
      </c>
      <c r="U2294" s="17"/>
      <c r="V2294" s="12">
        <v>3472.6527249683149</v>
      </c>
      <c r="W2294" s="12">
        <v>3472.6527249683149</v>
      </c>
      <c r="X2294" s="12">
        <v>0</v>
      </c>
      <c r="Y2294" s="18">
        <v>45754</v>
      </c>
      <c r="Z2294" s="13" t="s">
        <v>503</v>
      </c>
      <c r="AA2294" s="19" t="s">
        <v>361</v>
      </c>
      <c r="AB2294" s="13" t="s">
        <v>357</v>
      </c>
      <c r="AC2294" s="13" t="s">
        <v>362</v>
      </c>
      <c r="AD2294" s="20"/>
      <c r="AE2294" s="20"/>
      <c r="AF2294" s="13" t="s">
        <v>40</v>
      </c>
      <c r="AG2294" s="15">
        <v>45383</v>
      </c>
      <c r="AH2294" s="13" t="s">
        <v>41</v>
      </c>
      <c r="AI2294" s="13" t="s">
        <v>53</v>
      </c>
      <c r="AJ2294" s="13" t="str">
        <f>VLOOKUP(E2294,Precios!Z$2:AA$941,2,FALSE)</f>
        <v>Papel Higienico ELITE 50 metros</v>
      </c>
      <c r="AK2294" s="14">
        <f>VLOOKUP(E2294,Precios!Z$2:BB$941,3,FALSE)*F2294</f>
        <v>-6</v>
      </c>
      <c r="AL2294" s="17"/>
      <c r="AM2294" s="17"/>
      <c r="AN2294" s="17"/>
      <c r="AO2294" s="17"/>
      <c r="AP2294" s="17"/>
      <c r="AQ2294" s="17"/>
      <c r="AR2294" s="17"/>
      <c r="AS2294" s="17"/>
      <c r="AT2294" s="17"/>
      <c r="AU2294" s="17"/>
      <c r="AV2294" s="17"/>
    </row>
    <row r="2295" spans="1:48" ht="15.75" customHeight="1">
      <c r="A2295" s="21" t="s">
        <v>53</v>
      </c>
      <c r="B2295" s="23" t="s">
        <v>1692</v>
      </c>
      <c r="C2295" s="22">
        <v>45758</v>
      </c>
      <c r="D2295" s="23" t="s">
        <v>122</v>
      </c>
      <c r="E2295" s="23" t="s">
        <v>254</v>
      </c>
      <c r="F2295" s="21">
        <v>1</v>
      </c>
      <c r="G2295" s="12">
        <v>18499.838306629426</v>
      </c>
      <c r="H2295" s="12">
        <v>18499.838306629426</v>
      </c>
      <c r="I2295" s="23" t="s">
        <v>52</v>
      </c>
      <c r="J2295" s="23" t="s">
        <v>61</v>
      </c>
      <c r="K2295" s="24" t="s">
        <v>177</v>
      </c>
      <c r="L2295" s="24">
        <v>123</v>
      </c>
      <c r="M2295" s="12">
        <v>15546.082610612964</v>
      </c>
      <c r="N2295" s="12">
        <v>15546.082610612964</v>
      </c>
      <c r="O2295" s="12">
        <v>2953.755696016462</v>
      </c>
      <c r="P2295" s="13"/>
      <c r="Q2295" s="14">
        <v>2025</v>
      </c>
      <c r="R2295" s="15">
        <v>45383</v>
      </c>
      <c r="S2295" s="11" t="s">
        <v>408</v>
      </c>
      <c r="T2295" s="16">
        <v>100</v>
      </c>
      <c r="U2295" s="17"/>
      <c r="V2295" s="12">
        <v>4970.0826106129643</v>
      </c>
      <c r="W2295" s="12">
        <v>4970.0826106129643</v>
      </c>
      <c r="X2295" s="12">
        <v>0</v>
      </c>
      <c r="Y2295" s="18">
        <v>45754</v>
      </c>
      <c r="Z2295" s="13" t="s">
        <v>503</v>
      </c>
      <c r="AA2295" s="19" t="s">
        <v>361</v>
      </c>
      <c r="AB2295" s="13" t="s">
        <v>357</v>
      </c>
      <c r="AC2295" s="13" t="s">
        <v>362</v>
      </c>
      <c r="AD2295" s="20"/>
      <c r="AE2295" s="20"/>
      <c r="AF2295" s="13" t="s">
        <v>40</v>
      </c>
      <c r="AG2295" s="15">
        <v>45383</v>
      </c>
      <c r="AH2295" s="13" t="s">
        <v>41</v>
      </c>
      <c r="AI2295" s="13" t="s">
        <v>53</v>
      </c>
      <c r="AJ2295" s="13" t="str">
        <f>VLOOKUP(E2295,Precios!Z$2:AA$941,2,FALSE)</f>
        <v>Toalla Papel SWAN D/H NARANJA 100 metros</v>
      </c>
      <c r="AK2295" s="14">
        <f>VLOOKUP(E2295,Precios!Z$2:BB$941,3,FALSE)*F2295</f>
        <v>-6</v>
      </c>
      <c r="AL2295" s="17"/>
      <c r="AM2295" s="17"/>
      <c r="AN2295" s="17"/>
      <c r="AO2295" s="17"/>
      <c r="AP2295" s="17"/>
      <c r="AQ2295" s="17"/>
      <c r="AR2295" s="17"/>
      <c r="AS2295" s="17"/>
      <c r="AT2295" s="17"/>
      <c r="AU2295" s="17"/>
      <c r="AV2295" s="17"/>
    </row>
    <row r="2296" spans="1:48" ht="15.75" customHeight="1">
      <c r="A2296" s="21" t="s">
        <v>56</v>
      </c>
      <c r="B2296" s="23" t="s">
        <v>1692</v>
      </c>
      <c r="C2296" s="22">
        <v>45758</v>
      </c>
      <c r="D2296" s="23" t="s">
        <v>189</v>
      </c>
      <c r="E2296" s="23" t="s">
        <v>190</v>
      </c>
      <c r="F2296" s="21">
        <v>2</v>
      </c>
      <c r="G2296" s="12">
        <v>2500</v>
      </c>
      <c r="H2296" s="12">
        <v>5000</v>
      </c>
      <c r="I2296" s="23" t="s">
        <v>52</v>
      </c>
      <c r="J2296" s="23" t="s">
        <v>61</v>
      </c>
      <c r="K2296" s="24" t="s">
        <v>177</v>
      </c>
      <c r="L2296" s="24">
        <v>123</v>
      </c>
      <c r="M2296" s="12">
        <v>2100.840336134454</v>
      </c>
      <c r="N2296" s="12">
        <v>4201.680672268908</v>
      </c>
      <c r="O2296" s="12">
        <v>798.31932773109202</v>
      </c>
      <c r="P2296" s="13"/>
      <c r="Q2296" s="14">
        <v>2025</v>
      </c>
      <c r="R2296" s="15">
        <v>45383</v>
      </c>
      <c r="S2296" s="11" t="s">
        <v>492</v>
      </c>
      <c r="T2296" s="16">
        <v>400</v>
      </c>
      <c r="U2296" s="17"/>
      <c r="V2296" s="12">
        <v>1263.8655462184875</v>
      </c>
      <c r="W2296" s="12">
        <v>1263.8655462184875</v>
      </c>
      <c r="X2296" s="12">
        <v>0</v>
      </c>
      <c r="Y2296" s="18">
        <v>45754</v>
      </c>
      <c r="Z2296" s="13" t="s">
        <v>503</v>
      </c>
      <c r="AA2296" s="19" t="s">
        <v>361</v>
      </c>
      <c r="AB2296" s="13" t="s">
        <v>357</v>
      </c>
      <c r="AC2296" s="13" t="s">
        <v>362</v>
      </c>
      <c r="AD2296" s="20"/>
      <c r="AE2296" s="20"/>
      <c r="AF2296" s="13" t="s">
        <v>40</v>
      </c>
      <c r="AG2296" s="15">
        <v>45383</v>
      </c>
      <c r="AH2296" s="13" t="s">
        <v>41</v>
      </c>
      <c r="AI2296" s="13" t="s">
        <v>56</v>
      </c>
      <c r="AJ2296" s="13" t="str">
        <f>VLOOKUP(E2296,Precios!Z$2:AA$941,2,FALSE)</f>
        <v>Mantequilla RUMAY</v>
      </c>
      <c r="AK2296" s="14">
        <f>VLOOKUP(E2296,Precios!Z$2:BB$941,3,FALSE)*F2296</f>
        <v>-2</v>
      </c>
      <c r="AL2296" s="17"/>
      <c r="AM2296" s="17"/>
      <c r="AN2296" s="17"/>
      <c r="AO2296" s="17"/>
      <c r="AP2296" s="17"/>
      <c r="AQ2296" s="17"/>
      <c r="AR2296" s="17"/>
      <c r="AS2296" s="17"/>
      <c r="AT2296" s="17"/>
      <c r="AU2296" s="17"/>
      <c r="AV2296" s="17"/>
    </row>
    <row r="2297" spans="1:48" ht="15.75" customHeight="1">
      <c r="A2297" s="21" t="s">
        <v>35</v>
      </c>
      <c r="B2297" s="23" t="s">
        <v>1692</v>
      </c>
      <c r="C2297" s="22">
        <v>45758</v>
      </c>
      <c r="D2297" s="23" t="s">
        <v>123</v>
      </c>
      <c r="E2297" s="23" t="s">
        <v>46</v>
      </c>
      <c r="F2297" s="21">
        <v>1</v>
      </c>
      <c r="G2297" s="12">
        <v>5500</v>
      </c>
      <c r="H2297" s="12">
        <v>5500</v>
      </c>
      <c r="I2297" s="23" t="s">
        <v>52</v>
      </c>
      <c r="J2297" s="23" t="s">
        <v>61</v>
      </c>
      <c r="K2297" s="24" t="s">
        <v>177</v>
      </c>
      <c r="L2297" s="24">
        <v>123</v>
      </c>
      <c r="M2297" s="12">
        <v>4621.8487394957983</v>
      </c>
      <c r="N2297" s="12">
        <v>4621.8487394957983</v>
      </c>
      <c r="O2297" s="12">
        <v>878.15126050420167</v>
      </c>
      <c r="P2297" s="13"/>
      <c r="Q2297" s="14">
        <v>2025</v>
      </c>
      <c r="R2297" s="15">
        <v>45383</v>
      </c>
      <c r="S2297" s="11" t="s">
        <v>364</v>
      </c>
      <c r="T2297" s="16">
        <v>500</v>
      </c>
      <c r="U2297" s="17"/>
      <c r="V2297" s="12">
        <v>1365.1260504201678</v>
      </c>
      <c r="W2297" s="12">
        <v>1365.1260504201678</v>
      </c>
      <c r="X2297" s="12">
        <v>0</v>
      </c>
      <c r="Y2297" s="18">
        <v>45754</v>
      </c>
      <c r="Z2297" s="13" t="s">
        <v>503</v>
      </c>
      <c r="AA2297" s="19" t="s">
        <v>373</v>
      </c>
      <c r="AB2297" s="13" t="s">
        <v>357</v>
      </c>
      <c r="AC2297" s="13" t="s">
        <v>383</v>
      </c>
      <c r="AD2297" s="20"/>
      <c r="AE2297" s="20"/>
      <c r="AF2297" s="13" t="s">
        <v>40</v>
      </c>
      <c r="AG2297" s="15">
        <v>45383</v>
      </c>
      <c r="AH2297" s="13" t="s">
        <v>41</v>
      </c>
      <c r="AI2297" s="13" t="s">
        <v>35</v>
      </c>
      <c r="AJ2297" s="13" t="str">
        <f>VLOOKUP(E2297,Precios!Z$2:AA$941,2,FALSE)</f>
        <v>Queso RUNCA Mantecoso</v>
      </c>
      <c r="AK2297" s="14">
        <f>VLOOKUP(E2297,Precios!Z$2:BB$941,3,FALSE)*F2297</f>
        <v>-0.5</v>
      </c>
      <c r="AL2297" s="17"/>
      <c r="AM2297" s="17"/>
      <c r="AN2297" s="17"/>
      <c r="AO2297" s="17"/>
      <c r="AP2297" s="17"/>
      <c r="AQ2297" s="17"/>
      <c r="AR2297" s="17"/>
      <c r="AS2297" s="17"/>
      <c r="AT2297" s="17"/>
      <c r="AU2297" s="17"/>
      <c r="AV2297" s="17"/>
    </row>
    <row r="2298" spans="1:48" ht="15.75" customHeight="1">
      <c r="A2298" s="21" t="s">
        <v>43</v>
      </c>
      <c r="B2298" s="23" t="s">
        <v>1692</v>
      </c>
      <c r="C2298" s="22">
        <v>45758</v>
      </c>
      <c r="D2298" s="23" t="s">
        <v>123</v>
      </c>
      <c r="E2298" s="23" t="s">
        <v>45</v>
      </c>
      <c r="F2298" s="21">
        <v>1</v>
      </c>
      <c r="G2298" s="12">
        <v>8299.9877571008819</v>
      </c>
      <c r="H2298" s="12">
        <v>8299.9877571008819</v>
      </c>
      <c r="I2298" s="23" t="s">
        <v>52</v>
      </c>
      <c r="J2298" s="23" t="s">
        <v>61</v>
      </c>
      <c r="K2298" s="24" t="s">
        <v>177</v>
      </c>
      <c r="L2298" s="24">
        <v>123</v>
      </c>
      <c r="M2298" s="12">
        <v>6974.7796278158676</v>
      </c>
      <c r="N2298" s="12">
        <v>6974.7796278158676</v>
      </c>
      <c r="O2298" s="12">
        <v>1325.2081292850144</v>
      </c>
      <c r="P2298" s="13"/>
      <c r="Q2298" s="14">
        <v>2025</v>
      </c>
      <c r="R2298" s="15">
        <v>45383</v>
      </c>
      <c r="S2298" s="11" t="s">
        <v>355</v>
      </c>
      <c r="T2298" s="16">
        <v>0</v>
      </c>
      <c r="U2298" s="17"/>
      <c r="V2298" s="12">
        <v>1277.7796278158667</v>
      </c>
      <c r="W2298" s="12">
        <v>1277.7796278158667</v>
      </c>
      <c r="X2298" s="12">
        <v>0</v>
      </c>
      <c r="Y2298" s="18">
        <v>45754</v>
      </c>
      <c r="Z2298" s="13" t="s">
        <v>503</v>
      </c>
      <c r="AA2298" s="19" t="s">
        <v>373</v>
      </c>
      <c r="AB2298" s="13" t="s">
        <v>357</v>
      </c>
      <c r="AC2298" s="13" t="s">
        <v>383</v>
      </c>
      <c r="AD2298" s="20"/>
      <c r="AE2298" s="20"/>
      <c r="AF2298" s="13" t="s">
        <v>40</v>
      </c>
      <c r="AG2298" s="15">
        <v>45383</v>
      </c>
      <c r="AH2298" s="13" t="s">
        <v>41</v>
      </c>
      <c r="AI2298" s="13" t="s">
        <v>43</v>
      </c>
      <c r="AJ2298" s="13" t="str">
        <f>VLOOKUP(E2298,Precios!Z$2:AA$941,2,FALSE)</f>
        <v>Bandeja Huevos EXTRA</v>
      </c>
      <c r="AK2298" s="14">
        <f>VLOOKUP(E2298,Precios!Z$2:BB$941,3,FALSE)*F2298</f>
        <v>-1</v>
      </c>
      <c r="AL2298" s="17"/>
      <c r="AM2298" s="17"/>
      <c r="AN2298" s="17"/>
      <c r="AO2298" s="17"/>
      <c r="AP2298" s="17"/>
      <c r="AQ2298" s="17"/>
      <c r="AR2298" s="17"/>
      <c r="AS2298" s="17"/>
      <c r="AT2298" s="17"/>
      <c r="AU2298" s="17"/>
      <c r="AV2298" s="17"/>
    </row>
    <row r="2299" spans="1:48" ht="15.75" customHeight="1">
      <c r="A2299" s="21" t="s">
        <v>53</v>
      </c>
      <c r="B2299" s="23" t="s">
        <v>1692</v>
      </c>
      <c r="C2299" s="22">
        <v>45758</v>
      </c>
      <c r="D2299" s="23" t="s">
        <v>331</v>
      </c>
      <c r="E2299" s="23" t="s">
        <v>192</v>
      </c>
      <c r="F2299" s="21">
        <v>1</v>
      </c>
      <c r="G2299" s="12">
        <v>15990.211345939933</v>
      </c>
      <c r="H2299" s="12">
        <v>15990.211345939933</v>
      </c>
      <c r="I2299" s="23" t="s">
        <v>52</v>
      </c>
      <c r="J2299" s="23" t="s">
        <v>61</v>
      </c>
      <c r="K2299" s="24" t="s">
        <v>177</v>
      </c>
      <c r="L2299" s="24">
        <v>123</v>
      </c>
      <c r="M2299" s="12">
        <v>13437.152391546164</v>
      </c>
      <c r="N2299" s="12">
        <v>13437.152391546164</v>
      </c>
      <c r="O2299" s="12">
        <v>2553.0589543937695</v>
      </c>
      <c r="P2299" s="13"/>
      <c r="Q2299" s="14">
        <v>2025</v>
      </c>
      <c r="R2299" s="15">
        <v>45383</v>
      </c>
      <c r="S2299" s="11" t="s">
        <v>435</v>
      </c>
      <c r="T2299" s="16">
        <v>0</v>
      </c>
      <c r="U2299" s="17"/>
      <c r="V2299" s="12">
        <v>3773.1523915461621</v>
      </c>
      <c r="W2299" s="12">
        <v>3773.1523915461621</v>
      </c>
      <c r="X2299" s="12">
        <v>0</v>
      </c>
      <c r="Y2299" s="18">
        <v>45754</v>
      </c>
      <c r="Z2299" s="13" t="s">
        <v>503</v>
      </c>
      <c r="AA2299" s="19" t="s">
        <v>361</v>
      </c>
      <c r="AB2299" s="13" t="s">
        <v>357</v>
      </c>
      <c r="AC2299" s="13" t="s">
        <v>472</v>
      </c>
      <c r="AD2299" s="20"/>
      <c r="AE2299" s="20"/>
      <c r="AF2299" s="13" t="s">
        <v>40</v>
      </c>
      <c r="AG2299" s="15">
        <v>45383</v>
      </c>
      <c r="AH2299" s="13" t="s">
        <v>41</v>
      </c>
      <c r="AI2299" s="13" t="s">
        <v>53</v>
      </c>
      <c r="AJ2299" s="13" t="str">
        <f>VLOOKUP(E2299,Precios!Z$2:AA$941,2,FALSE)</f>
        <v>Papel Higienico SWAN 400 hojas</v>
      </c>
      <c r="AK2299" s="14">
        <f>VLOOKUP(E2299,Precios!Z$2:BB$941,3,FALSE)*F2299</f>
        <v>-8</v>
      </c>
      <c r="AL2299" s="17"/>
      <c r="AM2299" s="17"/>
      <c r="AN2299" s="17"/>
      <c r="AO2299" s="17"/>
      <c r="AP2299" s="17"/>
      <c r="AQ2299" s="17"/>
      <c r="AR2299" s="17"/>
      <c r="AS2299" s="17"/>
      <c r="AT2299" s="17"/>
      <c r="AU2299" s="17"/>
      <c r="AV2299" s="17"/>
    </row>
    <row r="2300" spans="1:48" ht="15.75" customHeight="1">
      <c r="A2300" s="21" t="s">
        <v>43</v>
      </c>
      <c r="B2300" s="23" t="s">
        <v>1692</v>
      </c>
      <c r="C2300" s="22">
        <v>45758</v>
      </c>
      <c r="D2300" s="23" t="s">
        <v>219</v>
      </c>
      <c r="E2300" s="23" t="s">
        <v>45</v>
      </c>
      <c r="F2300" s="21">
        <v>1</v>
      </c>
      <c r="G2300" s="12">
        <v>8299.9877571008819</v>
      </c>
      <c r="H2300" s="12">
        <v>8299.9877571008819</v>
      </c>
      <c r="I2300" s="23" t="s">
        <v>52</v>
      </c>
      <c r="J2300" s="23" t="s">
        <v>61</v>
      </c>
      <c r="K2300" s="24" t="s">
        <v>177</v>
      </c>
      <c r="L2300" s="24">
        <v>123</v>
      </c>
      <c r="M2300" s="12">
        <v>6974.7796278158676</v>
      </c>
      <c r="N2300" s="12">
        <v>6974.7796278158676</v>
      </c>
      <c r="O2300" s="12">
        <v>1325.2081292850144</v>
      </c>
      <c r="P2300" s="13"/>
      <c r="Q2300" s="14">
        <v>2025</v>
      </c>
      <c r="R2300" s="15">
        <v>45383</v>
      </c>
      <c r="S2300" s="11" t="s">
        <v>355</v>
      </c>
      <c r="T2300" s="16">
        <v>0</v>
      </c>
      <c r="U2300" s="17"/>
      <c r="V2300" s="12">
        <v>1277.7796278158667</v>
      </c>
      <c r="W2300" s="12">
        <v>1277.7796278158667</v>
      </c>
      <c r="X2300" s="12">
        <v>0</v>
      </c>
      <c r="Y2300" s="18">
        <v>45754</v>
      </c>
      <c r="Z2300" s="13" t="s">
        <v>503</v>
      </c>
      <c r="AA2300" s="19" t="s">
        <v>373</v>
      </c>
      <c r="AB2300" s="13" t="s">
        <v>357</v>
      </c>
      <c r="AC2300" s="13" t="s">
        <v>362</v>
      </c>
      <c r="AD2300" s="20"/>
      <c r="AE2300" s="20"/>
      <c r="AF2300" s="13" t="s">
        <v>40</v>
      </c>
      <c r="AG2300" s="15">
        <v>45383</v>
      </c>
      <c r="AH2300" s="13" t="s">
        <v>41</v>
      </c>
      <c r="AI2300" s="13" t="s">
        <v>43</v>
      </c>
      <c r="AJ2300" s="13" t="str">
        <f>VLOOKUP(E2300,Precios!Z$2:AA$941,2,FALSE)</f>
        <v>Bandeja Huevos EXTRA</v>
      </c>
      <c r="AK2300" s="14">
        <f>VLOOKUP(E2300,Precios!Z$2:BB$941,3,FALSE)*F2300</f>
        <v>-1</v>
      </c>
      <c r="AL2300" s="17"/>
      <c r="AM2300" s="17"/>
      <c r="AN2300" s="17"/>
      <c r="AO2300" s="17"/>
      <c r="AP2300" s="17"/>
      <c r="AQ2300" s="17"/>
      <c r="AR2300" s="17"/>
      <c r="AS2300" s="17"/>
      <c r="AT2300" s="17"/>
      <c r="AU2300" s="17"/>
      <c r="AV2300" s="17"/>
    </row>
    <row r="2301" spans="1:48" ht="15.75" customHeight="1">
      <c r="A2301" s="21" t="s">
        <v>43</v>
      </c>
      <c r="B2301" s="23" t="s">
        <v>1692</v>
      </c>
      <c r="C2301" s="22">
        <v>45758</v>
      </c>
      <c r="D2301" s="23" t="s">
        <v>241</v>
      </c>
      <c r="E2301" s="23" t="s">
        <v>45</v>
      </c>
      <c r="F2301" s="21">
        <v>1</v>
      </c>
      <c r="G2301" s="12">
        <v>8299.9877571008819</v>
      </c>
      <c r="H2301" s="12">
        <v>8299.9877571008819</v>
      </c>
      <c r="I2301" s="23" t="s">
        <v>52</v>
      </c>
      <c r="J2301" s="23" t="s">
        <v>61</v>
      </c>
      <c r="K2301" s="24" t="s">
        <v>177</v>
      </c>
      <c r="L2301" s="24">
        <v>123</v>
      </c>
      <c r="M2301" s="12">
        <v>6974.7796278158676</v>
      </c>
      <c r="N2301" s="12">
        <v>6974.7796278158676</v>
      </c>
      <c r="O2301" s="12">
        <v>1325.2081292850144</v>
      </c>
      <c r="P2301" s="13"/>
      <c r="Q2301" s="14">
        <v>2025</v>
      </c>
      <c r="R2301" s="15">
        <v>45383</v>
      </c>
      <c r="S2301" s="11" t="s">
        <v>355</v>
      </c>
      <c r="T2301" s="16">
        <v>0</v>
      </c>
      <c r="U2301" s="17"/>
      <c r="V2301" s="12">
        <v>1277.7796278158667</v>
      </c>
      <c r="W2301" s="12">
        <v>1277.7796278158667</v>
      </c>
      <c r="X2301" s="12">
        <v>0</v>
      </c>
      <c r="Y2301" s="18">
        <v>45754</v>
      </c>
      <c r="Z2301" s="13" t="s">
        <v>503</v>
      </c>
      <c r="AA2301" s="19" t="s">
        <v>373</v>
      </c>
      <c r="AB2301" s="13" t="s">
        <v>357</v>
      </c>
      <c r="AC2301" s="13" t="s">
        <v>488</v>
      </c>
      <c r="AD2301" s="20"/>
      <c r="AE2301" s="20"/>
      <c r="AF2301" s="13" t="s">
        <v>40</v>
      </c>
      <c r="AG2301" s="15">
        <v>45383</v>
      </c>
      <c r="AH2301" s="13" t="s">
        <v>41</v>
      </c>
      <c r="AI2301" s="13" t="s">
        <v>43</v>
      </c>
      <c r="AJ2301" s="13" t="str">
        <f>VLOOKUP(E2301,Precios!Z$2:AA$941,2,FALSE)</f>
        <v>Bandeja Huevos EXTRA</v>
      </c>
      <c r="AK2301" s="14">
        <f>VLOOKUP(E2301,Precios!Z$2:BB$941,3,FALSE)*F2301</f>
        <v>-1</v>
      </c>
      <c r="AL2301" s="17"/>
      <c r="AM2301" s="17"/>
      <c r="AN2301" s="17"/>
      <c r="AO2301" s="17"/>
      <c r="AP2301" s="17"/>
      <c r="AQ2301" s="17"/>
      <c r="AR2301" s="17"/>
      <c r="AS2301" s="17"/>
      <c r="AT2301" s="17"/>
      <c r="AU2301" s="17"/>
      <c r="AV2301" s="17"/>
    </row>
    <row r="2302" spans="1:48" ht="15.75" customHeight="1">
      <c r="A2302" s="21" t="s">
        <v>147</v>
      </c>
      <c r="B2302" s="23" t="s">
        <v>1692</v>
      </c>
      <c r="C2302" s="22">
        <v>45758</v>
      </c>
      <c r="D2302" s="23" t="s">
        <v>79</v>
      </c>
      <c r="E2302" s="23" t="s">
        <v>296</v>
      </c>
      <c r="F2302" s="21">
        <v>1</v>
      </c>
      <c r="G2302" s="12">
        <v>6000.0775704921853</v>
      </c>
      <c r="H2302" s="12">
        <v>6000.0775704921853</v>
      </c>
      <c r="I2302" s="23" t="s">
        <v>52</v>
      </c>
      <c r="J2302" s="23" t="s">
        <v>61</v>
      </c>
      <c r="K2302" s="24" t="s">
        <v>177</v>
      </c>
      <c r="L2302" s="24">
        <v>123</v>
      </c>
      <c r="M2302" s="12">
        <v>5042.0819920102404</v>
      </c>
      <c r="N2302" s="12">
        <v>5042.0819920102404</v>
      </c>
      <c r="O2302" s="12">
        <v>957.9955784819449</v>
      </c>
      <c r="P2302" s="13"/>
      <c r="Q2302" s="14">
        <v>2025</v>
      </c>
      <c r="R2302" s="15">
        <v>45383</v>
      </c>
      <c r="S2302" s="11" t="s">
        <v>455</v>
      </c>
      <c r="T2302" s="16">
        <v>0</v>
      </c>
      <c r="U2302" s="17"/>
      <c r="V2302" s="12">
        <v>2442.0819920102394</v>
      </c>
      <c r="W2302" s="12">
        <v>2442.0819920102394</v>
      </c>
      <c r="X2302" s="12">
        <v>0</v>
      </c>
      <c r="Y2302" s="18">
        <v>45754</v>
      </c>
      <c r="Z2302" s="13" t="s">
        <v>503</v>
      </c>
      <c r="AA2302" s="19" t="s">
        <v>373</v>
      </c>
      <c r="AB2302" s="13" t="s">
        <v>357</v>
      </c>
      <c r="AC2302" s="13" t="s">
        <v>383</v>
      </c>
      <c r="AD2302" s="20"/>
      <c r="AE2302" s="20"/>
      <c r="AF2302" s="13" t="s">
        <v>40</v>
      </c>
      <c r="AG2302" s="15">
        <v>45383</v>
      </c>
      <c r="AH2302" s="13" t="s">
        <v>41</v>
      </c>
      <c r="AI2302" s="13" t="s">
        <v>147</v>
      </c>
      <c r="AJ2302" s="13" t="str">
        <f>VLOOKUP(E2302,Precios!Z$2:AA$941,2,FALSE)</f>
        <v>Film Embalaje</v>
      </c>
      <c r="AK2302" s="14">
        <f>VLOOKUP(E2302,Precios!Z$2:BB$941,3,FALSE)*F2302</f>
        <v>-1</v>
      </c>
      <c r="AL2302" s="17"/>
      <c r="AM2302" s="17"/>
      <c r="AN2302" s="17"/>
      <c r="AO2302" s="17"/>
      <c r="AP2302" s="17"/>
      <c r="AQ2302" s="17"/>
      <c r="AR2302" s="17"/>
      <c r="AS2302" s="17"/>
      <c r="AT2302" s="17"/>
      <c r="AU2302" s="17"/>
      <c r="AV2302" s="17"/>
    </row>
    <row r="2303" spans="1:48" ht="15.75" customHeight="1">
      <c r="A2303" s="21" t="s">
        <v>35</v>
      </c>
      <c r="B2303" s="23" t="s">
        <v>1692</v>
      </c>
      <c r="C2303" s="22">
        <v>45758</v>
      </c>
      <c r="D2303" s="23" t="s">
        <v>285</v>
      </c>
      <c r="E2303" s="23" t="s">
        <v>37</v>
      </c>
      <c r="F2303" s="21">
        <v>1</v>
      </c>
      <c r="G2303" s="12">
        <v>10500</v>
      </c>
      <c r="H2303" s="12">
        <v>10500</v>
      </c>
      <c r="I2303" s="23" t="s">
        <v>52</v>
      </c>
      <c r="J2303" s="23" t="s">
        <v>61</v>
      </c>
      <c r="K2303" s="24" t="s">
        <v>177</v>
      </c>
      <c r="L2303" s="24">
        <v>123</v>
      </c>
      <c r="M2303" s="12">
        <v>8823.5294117647063</v>
      </c>
      <c r="N2303" s="12">
        <v>8823.5294117647063</v>
      </c>
      <c r="O2303" s="12">
        <v>1676.4705882352937</v>
      </c>
      <c r="P2303" s="13"/>
      <c r="Q2303" s="14">
        <v>2025</v>
      </c>
      <c r="R2303" s="15">
        <v>45383</v>
      </c>
      <c r="S2303" s="11" t="s">
        <v>364</v>
      </c>
      <c r="T2303" s="16">
        <v>1000</v>
      </c>
      <c r="U2303" s="17"/>
      <c r="V2303" s="12">
        <v>2385.7142857142853</v>
      </c>
      <c r="W2303" s="12">
        <v>2385.7142857142853</v>
      </c>
      <c r="X2303" s="12">
        <v>0</v>
      </c>
      <c r="Y2303" s="18">
        <v>45754</v>
      </c>
      <c r="Z2303" s="13" t="s">
        <v>503</v>
      </c>
      <c r="AA2303" s="19" t="s">
        <v>367</v>
      </c>
      <c r="AB2303" s="13" t="s">
        <v>357</v>
      </c>
      <c r="AC2303" s="13" t="s">
        <v>367</v>
      </c>
      <c r="AD2303" s="20"/>
      <c r="AE2303" s="20"/>
      <c r="AF2303" s="13" t="s">
        <v>40</v>
      </c>
      <c r="AG2303" s="15">
        <v>45383</v>
      </c>
      <c r="AH2303" s="13" t="s">
        <v>41</v>
      </c>
      <c r="AI2303" s="13" t="s">
        <v>35</v>
      </c>
      <c r="AJ2303" s="13" t="str">
        <f>VLOOKUP(E2303,Precios!Z$2:AA$941,2,FALSE)</f>
        <v>Queso RUNCA Mantecoso</v>
      </c>
      <c r="AK2303" s="14">
        <f>VLOOKUP(E2303,Precios!Z$2:BB$941,3,FALSE)*F2303</f>
        <v>-1</v>
      </c>
      <c r="AL2303" s="17"/>
      <c r="AM2303" s="17"/>
      <c r="AN2303" s="17"/>
      <c r="AO2303" s="17"/>
      <c r="AP2303" s="17"/>
      <c r="AQ2303" s="17"/>
      <c r="AR2303" s="17"/>
      <c r="AS2303" s="17"/>
      <c r="AT2303" s="17"/>
      <c r="AU2303" s="17"/>
      <c r="AV2303" s="17"/>
    </row>
    <row r="2304" spans="1:48" ht="15.75" customHeight="1">
      <c r="A2304" s="21" t="s">
        <v>47</v>
      </c>
      <c r="B2304" s="23" t="s">
        <v>1692</v>
      </c>
      <c r="C2304" s="22">
        <v>45758</v>
      </c>
      <c r="D2304" s="23" t="s">
        <v>285</v>
      </c>
      <c r="E2304" s="23" t="s">
        <v>48</v>
      </c>
      <c r="F2304" s="21">
        <v>1</v>
      </c>
      <c r="G2304" s="12">
        <v>1000</v>
      </c>
      <c r="H2304" s="12">
        <v>1000</v>
      </c>
      <c r="I2304" s="23" t="s">
        <v>52</v>
      </c>
      <c r="J2304" s="23" t="s">
        <v>61</v>
      </c>
      <c r="K2304" s="24" t="s">
        <v>177</v>
      </c>
      <c r="L2304" s="24">
        <v>123</v>
      </c>
      <c r="M2304" s="12">
        <v>840.3361344537816</v>
      </c>
      <c r="N2304" s="12">
        <v>840.3361344537816</v>
      </c>
      <c r="O2304" s="12">
        <v>159.6638655462184</v>
      </c>
      <c r="P2304" s="13"/>
      <c r="Q2304" s="14">
        <v>2025</v>
      </c>
      <c r="R2304" s="15">
        <v>45383</v>
      </c>
      <c r="S2304" s="11" t="s">
        <v>416</v>
      </c>
      <c r="T2304" s="16">
        <v>0</v>
      </c>
      <c r="U2304" s="17"/>
      <c r="V2304" s="12">
        <v>330.33613445378148</v>
      </c>
      <c r="W2304" s="12">
        <v>330.33613445378148</v>
      </c>
      <c r="X2304" s="12">
        <v>0</v>
      </c>
      <c r="Y2304" s="18">
        <v>45754</v>
      </c>
      <c r="Z2304" s="13" t="s">
        <v>503</v>
      </c>
      <c r="AA2304" s="19" t="s">
        <v>367</v>
      </c>
      <c r="AB2304" s="13" t="s">
        <v>357</v>
      </c>
      <c r="AC2304" s="13" t="s">
        <v>367</v>
      </c>
      <c r="AD2304" s="20"/>
      <c r="AE2304" s="20"/>
      <c r="AF2304" s="13" t="s">
        <v>40</v>
      </c>
      <c r="AG2304" s="15">
        <v>45383</v>
      </c>
      <c r="AH2304" s="13" t="s">
        <v>41</v>
      </c>
      <c r="AI2304" s="13" t="s">
        <v>47</v>
      </c>
      <c r="AJ2304" s="13" t="str">
        <f>VLOOKUP(E2304,Precios!Z$2:AA$941,2,FALSE)</f>
        <v>Esponja Acanalada TEDDY</v>
      </c>
      <c r="AK2304" s="14">
        <f>VLOOKUP(E2304,Precios!Z$2:BB$941,3,FALSE)*F2304</f>
        <v>-5</v>
      </c>
      <c r="AL2304" s="17"/>
      <c r="AM2304" s="17"/>
      <c r="AN2304" s="17"/>
      <c r="AO2304" s="17"/>
      <c r="AP2304" s="17"/>
      <c r="AQ2304" s="17"/>
      <c r="AR2304" s="17"/>
      <c r="AS2304" s="17"/>
      <c r="AT2304" s="17"/>
      <c r="AU2304" s="17"/>
      <c r="AV2304" s="17"/>
    </row>
    <row r="2305" spans="1:48" ht="15.75" customHeight="1">
      <c r="A2305" s="21" t="s">
        <v>47</v>
      </c>
      <c r="B2305" s="23" t="s">
        <v>1692</v>
      </c>
      <c r="C2305" s="22">
        <v>45758</v>
      </c>
      <c r="D2305" s="23" t="s">
        <v>285</v>
      </c>
      <c r="E2305" s="23" t="s">
        <v>82</v>
      </c>
      <c r="F2305" s="21">
        <v>1</v>
      </c>
      <c r="G2305" s="12">
        <v>2000.0000000000002</v>
      </c>
      <c r="H2305" s="12">
        <v>2000.0000000000002</v>
      </c>
      <c r="I2305" s="23" t="s">
        <v>52</v>
      </c>
      <c r="J2305" s="23" t="s">
        <v>61</v>
      </c>
      <c r="K2305" s="24" t="s">
        <v>177</v>
      </c>
      <c r="L2305" s="24">
        <v>123</v>
      </c>
      <c r="M2305" s="12">
        <v>1680.6722689075632</v>
      </c>
      <c r="N2305" s="12">
        <v>1680.6722689075632</v>
      </c>
      <c r="O2305" s="12">
        <v>319.32773109243703</v>
      </c>
      <c r="P2305" s="13"/>
      <c r="Q2305" s="14">
        <v>2025</v>
      </c>
      <c r="R2305" s="15">
        <v>45383</v>
      </c>
      <c r="S2305" s="11" t="s">
        <v>463</v>
      </c>
      <c r="T2305" s="16">
        <v>5</v>
      </c>
      <c r="U2305" s="17"/>
      <c r="V2305" s="12">
        <v>680.67226890756319</v>
      </c>
      <c r="W2305" s="12">
        <v>680.67226890756319</v>
      </c>
      <c r="X2305" s="12">
        <v>0</v>
      </c>
      <c r="Y2305" s="18">
        <v>45754</v>
      </c>
      <c r="Z2305" s="13" t="s">
        <v>503</v>
      </c>
      <c r="AA2305" s="19" t="s">
        <v>367</v>
      </c>
      <c r="AB2305" s="13" t="s">
        <v>357</v>
      </c>
      <c r="AC2305" s="13" t="s">
        <v>367</v>
      </c>
      <c r="AD2305" s="20"/>
      <c r="AE2305" s="20"/>
      <c r="AF2305" s="13" t="s">
        <v>40</v>
      </c>
      <c r="AG2305" s="15">
        <v>45383</v>
      </c>
      <c r="AH2305" s="13" t="s">
        <v>41</v>
      </c>
      <c r="AI2305" s="13" t="s">
        <v>47</v>
      </c>
      <c r="AJ2305" s="13" t="str">
        <f>VLOOKUP(E2305,Precios!Z$2:AA$941,2,FALSE)</f>
        <v>Limpiapiso SPUM 5 Litros</v>
      </c>
      <c r="AK2305" s="14">
        <f>VLOOKUP(E2305,Precios!Z$2:BB$941,3,FALSE)*F2305</f>
        <v>-1</v>
      </c>
      <c r="AL2305" s="17"/>
      <c r="AM2305" s="17"/>
      <c r="AN2305" s="17"/>
      <c r="AO2305" s="17"/>
      <c r="AP2305" s="17"/>
      <c r="AQ2305" s="17"/>
      <c r="AR2305" s="17"/>
      <c r="AS2305" s="17"/>
      <c r="AT2305" s="17"/>
      <c r="AU2305" s="17"/>
      <c r="AV2305" s="17"/>
    </row>
    <row r="2306" spans="1:48" ht="15.75" customHeight="1">
      <c r="A2306" s="21" t="s">
        <v>56</v>
      </c>
      <c r="B2306" s="23" t="s">
        <v>1692</v>
      </c>
      <c r="C2306" s="22">
        <v>45758</v>
      </c>
      <c r="D2306" s="23" t="s">
        <v>285</v>
      </c>
      <c r="E2306" s="23" t="s">
        <v>67</v>
      </c>
      <c r="F2306" s="21">
        <v>1</v>
      </c>
      <c r="G2306" s="12">
        <v>7000.0000000000009</v>
      </c>
      <c r="H2306" s="12">
        <v>7000.0000000000009</v>
      </c>
      <c r="I2306" s="23" t="s">
        <v>52</v>
      </c>
      <c r="J2306" s="23" t="s">
        <v>61</v>
      </c>
      <c r="K2306" s="24" t="s">
        <v>177</v>
      </c>
      <c r="L2306" s="24">
        <v>123</v>
      </c>
      <c r="M2306" s="12">
        <v>5882.3529411764712</v>
      </c>
      <c r="N2306" s="12">
        <v>5882.3529411764712</v>
      </c>
      <c r="O2306" s="12">
        <v>1117.6470588235297</v>
      </c>
      <c r="P2306" s="13"/>
      <c r="Q2306" s="14">
        <v>2025</v>
      </c>
      <c r="R2306" s="15">
        <v>45383</v>
      </c>
      <c r="S2306" s="11" t="s">
        <v>492</v>
      </c>
      <c r="T2306" s="16">
        <v>200</v>
      </c>
      <c r="U2306" s="17"/>
      <c r="V2306" s="12">
        <v>1512.6050420168067</v>
      </c>
      <c r="W2306" s="12">
        <v>1512.6050420168067</v>
      </c>
      <c r="X2306" s="12">
        <v>0</v>
      </c>
      <c r="Y2306" s="18">
        <v>45754</v>
      </c>
      <c r="Z2306" s="13" t="s">
        <v>503</v>
      </c>
      <c r="AA2306" s="19" t="s">
        <v>367</v>
      </c>
      <c r="AB2306" s="13" t="s">
        <v>357</v>
      </c>
      <c r="AC2306" s="13" t="s">
        <v>367</v>
      </c>
      <c r="AD2306" s="20"/>
      <c r="AE2306" s="20"/>
      <c r="AF2306" s="13" t="s">
        <v>40</v>
      </c>
      <c r="AG2306" s="15">
        <v>45383</v>
      </c>
      <c r="AH2306" s="13" t="s">
        <v>41</v>
      </c>
      <c r="AI2306" s="13" t="s">
        <v>56</v>
      </c>
      <c r="AJ2306" s="13" t="str">
        <f>VLOOKUP(E2306,Precios!Z$2:AA$941,2,FALSE)</f>
        <v>Mantequilla RUMAY</v>
      </c>
      <c r="AK2306" s="14">
        <f>VLOOKUP(E2306,Precios!Z$2:BB$941,3,FALSE)*F2306</f>
        <v>-3</v>
      </c>
      <c r="AL2306" s="17"/>
      <c r="AM2306" s="17"/>
      <c r="AN2306" s="17"/>
      <c r="AO2306" s="17"/>
      <c r="AP2306" s="17"/>
      <c r="AQ2306" s="17"/>
      <c r="AR2306" s="17"/>
      <c r="AS2306" s="17"/>
      <c r="AT2306" s="17"/>
      <c r="AU2306" s="17"/>
      <c r="AV2306" s="17"/>
    </row>
    <row r="2307" spans="1:48" ht="15.75" customHeight="1">
      <c r="A2307" s="21" t="s">
        <v>53</v>
      </c>
      <c r="B2307" s="23" t="s">
        <v>1692</v>
      </c>
      <c r="C2307" s="22">
        <v>45757</v>
      </c>
      <c r="D2307" s="23" t="s">
        <v>703</v>
      </c>
      <c r="E2307" s="23" t="s">
        <v>55</v>
      </c>
      <c r="F2307" s="21">
        <v>1</v>
      </c>
      <c r="G2307" s="12">
        <v>20899.657794676805</v>
      </c>
      <c r="H2307" s="12">
        <v>20899.657794676805</v>
      </c>
      <c r="I2307" s="23" t="s">
        <v>52</v>
      </c>
      <c r="J2307" s="23" t="s">
        <v>61</v>
      </c>
      <c r="K2307" s="24" t="s">
        <v>177</v>
      </c>
      <c r="L2307" s="24">
        <v>122</v>
      </c>
      <c r="M2307" s="12">
        <v>17562.737642585551</v>
      </c>
      <c r="N2307" s="12">
        <v>17562.737642585551</v>
      </c>
      <c r="O2307" s="12">
        <v>3336.9201520912538</v>
      </c>
      <c r="P2307" s="13"/>
      <c r="Q2307" s="14">
        <v>2025</v>
      </c>
      <c r="R2307" s="15">
        <v>45383</v>
      </c>
      <c r="S2307" s="11" t="s">
        <v>366</v>
      </c>
      <c r="T2307" s="16">
        <v>0</v>
      </c>
      <c r="U2307" s="17"/>
      <c r="V2307" s="12">
        <v>3705.7376425855509</v>
      </c>
      <c r="W2307" s="12">
        <v>3705.7376425855509</v>
      </c>
      <c r="X2307" s="12">
        <v>0</v>
      </c>
      <c r="Y2307" s="18">
        <v>45754</v>
      </c>
      <c r="Z2307" s="13" t="s">
        <v>505</v>
      </c>
      <c r="AA2307" s="19" t="s">
        <v>373</v>
      </c>
      <c r="AB2307" s="13" t="s">
        <v>357</v>
      </c>
      <c r="AC2307" s="13" t="s">
        <v>380</v>
      </c>
      <c r="AD2307" s="20"/>
      <c r="AE2307" s="20"/>
      <c r="AF2307" s="13" t="s">
        <v>40</v>
      </c>
      <c r="AG2307" s="15">
        <v>45383</v>
      </c>
      <c r="AH2307" s="13" t="s">
        <v>41</v>
      </c>
      <c r="AI2307" s="13" t="s">
        <v>53</v>
      </c>
      <c r="AJ2307" s="13" t="str">
        <f>VLOOKUP(E2307,Precios!Z$2:AA$941,2,FALSE)</f>
        <v>Papel Higienico ELITE 50 metros</v>
      </c>
      <c r="AK2307" s="14">
        <f>VLOOKUP(E2307,Precios!Z$2:BB$941,3,FALSE)*F2307</f>
        <v>-8</v>
      </c>
      <c r="AL2307" s="17"/>
      <c r="AM2307" s="17"/>
      <c r="AN2307" s="17"/>
      <c r="AO2307" s="17"/>
      <c r="AP2307" s="17"/>
      <c r="AQ2307" s="17"/>
      <c r="AR2307" s="17"/>
      <c r="AS2307" s="17"/>
      <c r="AT2307" s="17"/>
      <c r="AU2307" s="17"/>
      <c r="AV2307" s="17"/>
    </row>
    <row r="2308" spans="1:48" ht="15.75" customHeight="1">
      <c r="A2308" s="21" t="s">
        <v>43</v>
      </c>
      <c r="B2308" s="23" t="s">
        <v>1692</v>
      </c>
      <c r="C2308" s="22">
        <v>45757</v>
      </c>
      <c r="D2308" s="23" t="s">
        <v>653</v>
      </c>
      <c r="E2308" s="23" t="s">
        <v>45</v>
      </c>
      <c r="F2308" s="21">
        <v>1</v>
      </c>
      <c r="G2308" s="12">
        <v>8299.9877571008819</v>
      </c>
      <c r="H2308" s="12">
        <v>8299.9877571008819</v>
      </c>
      <c r="I2308" s="23" t="s">
        <v>52</v>
      </c>
      <c r="J2308" s="23" t="s">
        <v>61</v>
      </c>
      <c r="K2308" s="24" t="s">
        <v>177</v>
      </c>
      <c r="L2308" s="24">
        <v>122</v>
      </c>
      <c r="M2308" s="12">
        <v>6974.7796278158676</v>
      </c>
      <c r="N2308" s="12">
        <v>6974.7796278158676</v>
      </c>
      <c r="O2308" s="12">
        <v>1325.2081292850144</v>
      </c>
      <c r="P2308" s="13"/>
      <c r="Q2308" s="14">
        <v>2025</v>
      </c>
      <c r="R2308" s="15">
        <v>45383</v>
      </c>
      <c r="S2308" s="11" t="s">
        <v>355</v>
      </c>
      <c r="T2308" s="16">
        <v>0</v>
      </c>
      <c r="U2308" s="17"/>
      <c r="V2308" s="12">
        <v>1277.7796278158667</v>
      </c>
      <c r="W2308" s="12">
        <v>1277.7796278158667</v>
      </c>
      <c r="X2308" s="12">
        <v>0</v>
      </c>
      <c r="Y2308" s="18">
        <v>45754</v>
      </c>
      <c r="Z2308" s="13" t="s">
        <v>505</v>
      </c>
      <c r="AA2308" s="19" t="s">
        <v>373</v>
      </c>
      <c r="AB2308" s="13" t="s">
        <v>357</v>
      </c>
      <c r="AC2308" s="13" t="s">
        <v>654</v>
      </c>
      <c r="AD2308" s="20"/>
      <c r="AE2308" s="20"/>
      <c r="AF2308" s="13" t="s">
        <v>40</v>
      </c>
      <c r="AG2308" s="15">
        <v>45383</v>
      </c>
      <c r="AH2308" s="13" t="s">
        <v>41</v>
      </c>
      <c r="AI2308" s="13" t="s">
        <v>43</v>
      </c>
      <c r="AJ2308" s="13" t="str">
        <f>VLOOKUP(E2308,Precios!Z$2:AA$941,2,FALSE)</f>
        <v>Bandeja Huevos EXTRA</v>
      </c>
      <c r="AK2308" s="14">
        <f>VLOOKUP(E2308,Precios!Z$2:BB$941,3,FALSE)*F2308</f>
        <v>-1</v>
      </c>
      <c r="AL2308" s="17"/>
      <c r="AM2308" s="17"/>
      <c r="AN2308" s="17"/>
      <c r="AO2308" s="17"/>
      <c r="AP2308" s="17"/>
      <c r="AQ2308" s="17"/>
      <c r="AR2308" s="17"/>
      <c r="AS2308" s="17"/>
      <c r="AT2308" s="17"/>
      <c r="AU2308" s="17"/>
      <c r="AV2308" s="17"/>
    </row>
    <row r="2309" spans="1:48" ht="15.75" customHeight="1">
      <c r="A2309" s="21" t="s">
        <v>53</v>
      </c>
      <c r="B2309" s="23" t="s">
        <v>1692</v>
      </c>
      <c r="C2309" s="22">
        <v>45757</v>
      </c>
      <c r="D2309" s="23" t="s">
        <v>307</v>
      </c>
      <c r="E2309" s="23" t="s">
        <v>704</v>
      </c>
      <c r="F2309" s="21">
        <v>1</v>
      </c>
      <c r="G2309" s="12">
        <v>9000</v>
      </c>
      <c r="H2309" s="12">
        <v>9000</v>
      </c>
      <c r="I2309" s="23" t="s">
        <v>52</v>
      </c>
      <c r="J2309" s="23" t="s">
        <v>61</v>
      </c>
      <c r="K2309" s="24" t="s">
        <v>177</v>
      </c>
      <c r="L2309" s="24">
        <v>122</v>
      </c>
      <c r="M2309" s="12">
        <v>7563.0252100840344</v>
      </c>
      <c r="N2309" s="12">
        <v>7563.0252100840344</v>
      </c>
      <c r="O2309" s="12">
        <v>1436.9747899159656</v>
      </c>
      <c r="P2309" s="13"/>
      <c r="Q2309" s="14">
        <v>2025</v>
      </c>
      <c r="R2309" s="15">
        <v>45383</v>
      </c>
      <c r="S2309" s="11" t="s">
        <v>435</v>
      </c>
      <c r="T2309" s="16">
        <v>0</v>
      </c>
      <c r="U2309" s="17"/>
      <c r="V2309" s="12">
        <v>3121.0084033613448</v>
      </c>
      <c r="W2309" s="12">
        <v>3121.0084033613448</v>
      </c>
      <c r="X2309" s="12">
        <v>0</v>
      </c>
      <c r="Y2309" s="18">
        <v>45754</v>
      </c>
      <c r="Z2309" s="13" t="s">
        <v>505</v>
      </c>
      <c r="AA2309" s="19" t="s">
        <v>361</v>
      </c>
      <c r="AB2309" s="13" t="str">
        <f>VLOOKUP(D2309,Clientes!$A$2:$K$486,11,FALSE)</f>
        <v>Empresa</v>
      </c>
      <c r="AC2309" s="13" t="s">
        <v>383</v>
      </c>
      <c r="AD2309" s="20"/>
      <c r="AE2309" s="20"/>
      <c r="AF2309" s="13" t="s">
        <v>40</v>
      </c>
      <c r="AG2309" s="15">
        <v>45383</v>
      </c>
      <c r="AH2309" s="13" t="s">
        <v>41</v>
      </c>
      <c r="AI2309" s="13" t="s">
        <v>53</v>
      </c>
      <c r="AJ2309" s="13" t="str">
        <f>VLOOKUP(E2309,Precios!Z$2:AA$941,2,FALSE)</f>
        <v>Papel Higienico SWAN 50 metros</v>
      </c>
      <c r="AK2309" s="14">
        <f>VLOOKUP(E2309,Precios!Z$2:BB$941,3,FALSE)*F2309</f>
        <v>-3</v>
      </c>
      <c r="AL2309" s="17"/>
      <c r="AM2309" s="17"/>
      <c r="AN2309" s="17"/>
      <c r="AO2309" s="17"/>
      <c r="AP2309" s="17"/>
      <c r="AQ2309" s="17"/>
      <c r="AR2309" s="17"/>
      <c r="AS2309" s="17"/>
      <c r="AT2309" s="17"/>
      <c r="AU2309" s="17"/>
      <c r="AV2309" s="17"/>
    </row>
    <row r="2310" spans="1:48" ht="15.75" customHeight="1">
      <c r="A2310" s="21" t="s">
        <v>76</v>
      </c>
      <c r="B2310" s="23" t="s">
        <v>1692</v>
      </c>
      <c r="C2310" s="22">
        <v>45757</v>
      </c>
      <c r="D2310" s="23" t="s">
        <v>307</v>
      </c>
      <c r="E2310" s="23" t="s">
        <v>110</v>
      </c>
      <c r="F2310" s="21">
        <v>1</v>
      </c>
      <c r="G2310" s="12">
        <v>2000.0000000000005</v>
      </c>
      <c r="H2310" s="12">
        <v>2000.0000000000005</v>
      </c>
      <c r="I2310" s="23" t="s">
        <v>52</v>
      </c>
      <c r="J2310" s="23" t="s">
        <v>61</v>
      </c>
      <c r="K2310" s="24" t="s">
        <v>177</v>
      </c>
      <c r="L2310" s="24">
        <v>122</v>
      </c>
      <c r="M2310" s="12">
        <v>1680.6722689075634</v>
      </c>
      <c r="N2310" s="12">
        <v>1680.6722689075634</v>
      </c>
      <c r="O2310" s="12">
        <v>319.32773109243703</v>
      </c>
      <c r="P2310" s="13"/>
      <c r="Q2310" s="14">
        <v>2025</v>
      </c>
      <c r="R2310" s="15">
        <v>45383</v>
      </c>
      <c r="S2310" s="11" t="s">
        <v>378</v>
      </c>
      <c r="T2310" s="16">
        <v>5</v>
      </c>
      <c r="U2310" s="17"/>
      <c r="V2310" s="12">
        <v>756.30252100840369</v>
      </c>
      <c r="W2310" s="12">
        <v>756.30252100840369</v>
      </c>
      <c r="X2310" s="12">
        <v>0</v>
      </c>
      <c r="Y2310" s="18">
        <v>45754</v>
      </c>
      <c r="Z2310" s="13" t="s">
        <v>505</v>
      </c>
      <c r="AA2310" s="19" t="s">
        <v>361</v>
      </c>
      <c r="AB2310" s="13" t="str">
        <f>VLOOKUP(D2310,Clientes!$A$2:$K$486,11,FALSE)</f>
        <v>Empresa</v>
      </c>
      <c r="AC2310" s="13" t="s">
        <v>383</v>
      </c>
      <c r="AD2310" s="20"/>
      <c r="AE2310" s="20"/>
      <c r="AF2310" s="13" t="s">
        <v>40</v>
      </c>
      <c r="AG2310" s="15">
        <v>45383</v>
      </c>
      <c r="AH2310" s="13" t="s">
        <v>41</v>
      </c>
      <c r="AI2310" s="13" t="s">
        <v>76</v>
      </c>
      <c r="AJ2310" s="13" t="str">
        <f>VLOOKUP(E2310,Precios!Z$2:AA$941,2,FALSE)</f>
        <v>Cloro SPUM 5 Litros</v>
      </c>
      <c r="AK2310" s="14">
        <f>VLOOKUP(E2310,Precios!Z$2:BB$941,3,FALSE)*F2310</f>
        <v>-1</v>
      </c>
      <c r="AL2310" s="17"/>
      <c r="AM2310" s="17"/>
      <c r="AN2310" s="17"/>
      <c r="AO2310" s="17"/>
      <c r="AP2310" s="17"/>
      <c r="AQ2310" s="17"/>
      <c r="AR2310" s="17"/>
      <c r="AS2310" s="17"/>
      <c r="AT2310" s="17"/>
      <c r="AU2310" s="17"/>
      <c r="AV2310" s="17"/>
    </row>
    <row r="2311" spans="1:48" ht="15.75" customHeight="1">
      <c r="A2311" s="21" t="s">
        <v>53</v>
      </c>
      <c r="B2311" s="23" t="s">
        <v>1692</v>
      </c>
      <c r="C2311" s="22">
        <v>45757</v>
      </c>
      <c r="D2311" s="23" t="s">
        <v>307</v>
      </c>
      <c r="E2311" s="23" t="s">
        <v>69</v>
      </c>
      <c r="F2311" s="21">
        <v>1</v>
      </c>
      <c r="G2311" s="12">
        <v>2999.9553810458683</v>
      </c>
      <c r="H2311" s="12">
        <v>2999.9553810458683</v>
      </c>
      <c r="I2311" s="23" t="s">
        <v>52</v>
      </c>
      <c r="J2311" s="23" t="s">
        <v>61</v>
      </c>
      <c r="K2311" s="24" t="s">
        <v>177</v>
      </c>
      <c r="L2311" s="24">
        <v>122</v>
      </c>
      <c r="M2311" s="12">
        <v>2520.9709084419064</v>
      </c>
      <c r="N2311" s="12">
        <v>2520.9709084419064</v>
      </c>
      <c r="O2311" s="12">
        <v>478.98447260396188</v>
      </c>
      <c r="P2311" s="13"/>
      <c r="Q2311" s="14">
        <v>2025</v>
      </c>
      <c r="R2311" s="15">
        <v>45383</v>
      </c>
      <c r="S2311" s="11" t="s">
        <v>376</v>
      </c>
      <c r="T2311" s="16">
        <v>0</v>
      </c>
      <c r="U2311" s="17"/>
      <c r="V2311" s="12">
        <v>825.97090844190598</v>
      </c>
      <c r="W2311" s="12">
        <v>825.97090844190598</v>
      </c>
      <c r="X2311" s="12">
        <v>0</v>
      </c>
      <c r="Y2311" s="18">
        <v>45754</v>
      </c>
      <c r="Z2311" s="13" t="s">
        <v>505</v>
      </c>
      <c r="AA2311" s="19" t="s">
        <v>361</v>
      </c>
      <c r="AB2311" s="13" t="str">
        <f>VLOOKUP(D2311,Clientes!$A$2:$K$486,11,FALSE)</f>
        <v>Empresa</v>
      </c>
      <c r="AC2311" s="13" t="s">
        <v>383</v>
      </c>
      <c r="AD2311" s="20"/>
      <c r="AE2311" s="20"/>
      <c r="AF2311" s="13" t="s">
        <v>40</v>
      </c>
      <c r="AG2311" s="15">
        <v>45383</v>
      </c>
      <c r="AH2311" s="13" t="s">
        <v>41</v>
      </c>
      <c r="AI2311" s="13" t="s">
        <v>53</v>
      </c>
      <c r="AJ2311" s="13" t="str">
        <f>VLOOKUP(E2311,Precios!Z$2:AA$941,2,FALSE)</f>
        <v>Toalla Papel NOVA 70 metros</v>
      </c>
      <c r="AK2311" s="14">
        <f>VLOOKUP(E2311,Precios!Z$2:BB$941,3,FALSE)*F2311</f>
        <v>-1</v>
      </c>
      <c r="AL2311" s="17"/>
      <c r="AM2311" s="17"/>
      <c r="AN2311" s="17"/>
      <c r="AO2311" s="17"/>
      <c r="AP2311" s="17"/>
      <c r="AQ2311" s="17"/>
      <c r="AR2311" s="17"/>
      <c r="AS2311" s="17"/>
      <c r="AT2311" s="17"/>
      <c r="AU2311" s="17"/>
      <c r="AV2311" s="17"/>
    </row>
    <row r="2312" spans="1:48" ht="15.75" customHeight="1">
      <c r="A2312" s="21" t="s">
        <v>76</v>
      </c>
      <c r="B2312" s="23" t="s">
        <v>1692</v>
      </c>
      <c r="C2312" s="22">
        <v>45757</v>
      </c>
      <c r="D2312" s="23" t="s">
        <v>307</v>
      </c>
      <c r="E2312" s="23" t="s">
        <v>82</v>
      </c>
      <c r="F2312" s="21">
        <v>1</v>
      </c>
      <c r="G2312" s="12">
        <v>2000.0000000000002</v>
      </c>
      <c r="H2312" s="12">
        <v>2000.0000000000002</v>
      </c>
      <c r="I2312" s="23" t="s">
        <v>52</v>
      </c>
      <c r="J2312" s="23" t="s">
        <v>61</v>
      </c>
      <c r="K2312" s="24" t="s">
        <v>177</v>
      </c>
      <c r="L2312" s="24">
        <v>122</v>
      </c>
      <c r="M2312" s="12">
        <v>1680.6722689075632</v>
      </c>
      <c r="N2312" s="12">
        <v>1680.6722689075632</v>
      </c>
      <c r="O2312" s="12">
        <v>319.32773109243703</v>
      </c>
      <c r="P2312" s="13"/>
      <c r="Q2312" s="14">
        <v>2025</v>
      </c>
      <c r="R2312" s="15">
        <v>45383</v>
      </c>
      <c r="S2312" s="11" t="s">
        <v>463</v>
      </c>
      <c r="T2312" s="16">
        <v>5</v>
      </c>
      <c r="U2312" s="17"/>
      <c r="V2312" s="12">
        <v>680.67226890756319</v>
      </c>
      <c r="W2312" s="12">
        <v>680.67226890756319</v>
      </c>
      <c r="X2312" s="12">
        <v>0</v>
      </c>
      <c r="Y2312" s="18">
        <v>45754</v>
      </c>
      <c r="Z2312" s="13" t="s">
        <v>505</v>
      </c>
      <c r="AA2312" s="19" t="s">
        <v>361</v>
      </c>
      <c r="AB2312" s="13" t="str">
        <f>VLOOKUP(D2312,Clientes!$A$2:$K$486,11,FALSE)</f>
        <v>Empresa</v>
      </c>
      <c r="AC2312" s="13" t="s">
        <v>383</v>
      </c>
      <c r="AD2312" s="20"/>
      <c r="AE2312" s="20"/>
      <c r="AF2312" s="13" t="s">
        <v>40</v>
      </c>
      <c r="AG2312" s="15">
        <v>45383</v>
      </c>
      <c r="AH2312" s="13" t="s">
        <v>41</v>
      </c>
      <c r="AI2312" s="13" t="s">
        <v>76</v>
      </c>
      <c r="AJ2312" s="13" t="str">
        <f>VLOOKUP(E2312,Precios!Z$2:AA$941,2,FALSE)</f>
        <v>Limpiapiso SPUM 5 Litros</v>
      </c>
      <c r="AK2312" s="14">
        <f>VLOOKUP(E2312,Precios!Z$2:BB$941,3,FALSE)*F2312</f>
        <v>-1</v>
      </c>
      <c r="AL2312" s="17"/>
      <c r="AM2312" s="17"/>
      <c r="AN2312" s="17"/>
      <c r="AO2312" s="17"/>
      <c r="AP2312" s="17"/>
      <c r="AQ2312" s="17"/>
      <c r="AR2312" s="17"/>
      <c r="AS2312" s="17"/>
      <c r="AT2312" s="17"/>
      <c r="AU2312" s="17"/>
      <c r="AV2312" s="17"/>
    </row>
    <row r="2313" spans="1:48" ht="15.75" customHeight="1">
      <c r="A2313" s="21" t="s">
        <v>47</v>
      </c>
      <c r="B2313" s="23" t="s">
        <v>1692</v>
      </c>
      <c r="C2313" s="22">
        <v>45757</v>
      </c>
      <c r="D2313" s="23" t="s">
        <v>307</v>
      </c>
      <c r="E2313" s="23" t="s">
        <v>170</v>
      </c>
      <c r="F2313" s="21">
        <v>1</v>
      </c>
      <c r="G2313" s="12">
        <v>1800.1699716713879</v>
      </c>
      <c r="H2313" s="12">
        <v>1800.1699716713879</v>
      </c>
      <c r="I2313" s="23" t="s">
        <v>52</v>
      </c>
      <c r="J2313" s="23" t="s">
        <v>61</v>
      </c>
      <c r="K2313" s="24" t="s">
        <v>177</v>
      </c>
      <c r="L2313" s="24">
        <v>122</v>
      </c>
      <c r="M2313" s="12">
        <v>1512.7478753541075</v>
      </c>
      <c r="N2313" s="12">
        <v>1512.7478753541075</v>
      </c>
      <c r="O2313" s="12">
        <v>287.42209631728042</v>
      </c>
      <c r="P2313" s="13"/>
      <c r="Q2313" s="14">
        <v>2025</v>
      </c>
      <c r="R2313" s="15">
        <v>45383</v>
      </c>
      <c r="S2313" s="11" t="s">
        <v>453</v>
      </c>
      <c r="T2313" s="16">
        <v>0</v>
      </c>
      <c r="U2313" s="17"/>
      <c r="V2313" s="12">
        <v>711.74787535410746</v>
      </c>
      <c r="W2313" s="12">
        <v>711.74787535410746</v>
      </c>
      <c r="X2313" s="12">
        <v>0</v>
      </c>
      <c r="Y2313" s="18">
        <v>45754</v>
      </c>
      <c r="Z2313" s="13" t="s">
        <v>505</v>
      </c>
      <c r="AA2313" s="19" t="s">
        <v>361</v>
      </c>
      <c r="AB2313" s="13" t="str">
        <f>VLOOKUP(D2313,Clientes!$A$2:$K$486,11,FALSE)</f>
        <v>Empresa</v>
      </c>
      <c r="AC2313" s="13" t="s">
        <v>383</v>
      </c>
      <c r="AD2313" s="20"/>
      <c r="AE2313" s="20"/>
      <c r="AF2313" s="13" t="s">
        <v>40</v>
      </c>
      <c r="AG2313" s="15">
        <v>45383</v>
      </c>
      <c r="AH2313" s="13" t="s">
        <v>41</v>
      </c>
      <c r="AI2313" s="13" t="s">
        <v>47</v>
      </c>
      <c r="AJ2313" s="13" t="str">
        <f>VLOOKUP(E2313,Precios!Z$2:AA$941,2,FALSE)</f>
        <v xml:space="preserve">Bolsas Basura TEDDY 50x70 </v>
      </c>
      <c r="AK2313" s="14">
        <f>VLOOKUP(E2313,Precios!Z$2:BB$941,3,FALSE)*F2313</f>
        <v>-3</v>
      </c>
      <c r="AL2313" s="17"/>
      <c r="AM2313" s="17"/>
      <c r="AN2313" s="17"/>
      <c r="AO2313" s="17"/>
      <c r="AP2313" s="17"/>
      <c r="AQ2313" s="17"/>
      <c r="AR2313" s="17"/>
      <c r="AS2313" s="17"/>
      <c r="AT2313" s="17"/>
      <c r="AU2313" s="17"/>
      <c r="AV2313" s="17"/>
    </row>
    <row r="2314" spans="1:48" ht="15.75" customHeight="1">
      <c r="A2314" s="21" t="s">
        <v>35</v>
      </c>
      <c r="B2314" s="23" t="s">
        <v>1692</v>
      </c>
      <c r="C2314" s="22">
        <v>45757</v>
      </c>
      <c r="D2314" s="23" t="s">
        <v>915</v>
      </c>
      <c r="E2314" s="23" t="s">
        <v>650</v>
      </c>
      <c r="F2314" s="21">
        <v>1</v>
      </c>
      <c r="G2314" s="12">
        <v>9999.944524213548</v>
      </c>
      <c r="H2314" s="12">
        <v>9999.944524213548</v>
      </c>
      <c r="I2314" s="23" t="s">
        <v>52</v>
      </c>
      <c r="J2314" s="23" t="s">
        <v>61</v>
      </c>
      <c r="K2314" s="24" t="s">
        <v>177</v>
      </c>
      <c r="L2314" s="24">
        <v>122</v>
      </c>
      <c r="M2314" s="12">
        <v>8403.3147262298735</v>
      </c>
      <c r="N2314" s="12">
        <v>8403.3147262298735</v>
      </c>
      <c r="O2314" s="12">
        <v>1596.6297979836745</v>
      </c>
      <c r="P2314" s="13"/>
      <c r="Q2314" s="14">
        <v>2025</v>
      </c>
      <c r="R2314" s="15">
        <v>45383</v>
      </c>
      <c r="S2314" s="11" t="s">
        <v>364</v>
      </c>
      <c r="T2314" s="16">
        <v>950</v>
      </c>
      <c r="U2314" s="17"/>
      <c r="V2314" s="12">
        <v>2272.0962388349135</v>
      </c>
      <c r="W2314" s="12">
        <v>2272.0962388349135</v>
      </c>
      <c r="X2314" s="12">
        <v>0</v>
      </c>
      <c r="Y2314" s="18">
        <v>45754</v>
      </c>
      <c r="Z2314" s="13" t="s">
        <v>505</v>
      </c>
      <c r="AA2314" s="19" t="s">
        <v>367</v>
      </c>
      <c r="AB2314" s="13" t="s">
        <v>357</v>
      </c>
      <c r="AC2314" s="13" t="s">
        <v>367</v>
      </c>
      <c r="AD2314" s="20"/>
      <c r="AE2314" s="20"/>
      <c r="AF2314" s="13" t="s">
        <v>40</v>
      </c>
      <c r="AG2314" s="15">
        <v>45383</v>
      </c>
      <c r="AH2314" s="13" t="s">
        <v>41</v>
      </c>
      <c r="AI2314" s="13" t="s">
        <v>35</v>
      </c>
      <c r="AJ2314" s="13" t="str">
        <f>VLOOKUP(E2314,Precios!Z$2:AA$941,2,FALSE)</f>
        <v>Queso RUNCA Mantecoso</v>
      </c>
      <c r="AK2314" s="14">
        <f>VLOOKUP(E2314,Precios!Z$2:BB$941,3,FALSE)*F2314</f>
        <v>-0.95</v>
      </c>
      <c r="AL2314" s="17"/>
      <c r="AM2314" s="17"/>
      <c r="AN2314" s="17"/>
      <c r="AO2314" s="17"/>
      <c r="AP2314" s="17"/>
      <c r="AQ2314" s="17"/>
      <c r="AR2314" s="17"/>
      <c r="AS2314" s="17"/>
      <c r="AT2314" s="17"/>
      <c r="AU2314" s="17"/>
      <c r="AV2314" s="17"/>
    </row>
    <row r="2315" spans="1:48" ht="15.75" customHeight="1">
      <c r="A2315" s="21" t="s">
        <v>76</v>
      </c>
      <c r="B2315" s="23" t="s">
        <v>1692</v>
      </c>
      <c r="C2315" s="22">
        <v>45757</v>
      </c>
      <c r="D2315" s="23" t="s">
        <v>236</v>
      </c>
      <c r="E2315" s="23" t="s">
        <v>481</v>
      </c>
      <c r="F2315" s="21">
        <v>2</v>
      </c>
      <c r="G2315" s="12">
        <v>1599.969512195122</v>
      </c>
      <c r="H2315" s="12">
        <v>3199.939024390244</v>
      </c>
      <c r="I2315" s="23" t="s">
        <v>52</v>
      </c>
      <c r="J2315" s="23" t="s">
        <v>61</v>
      </c>
      <c r="K2315" s="24" t="s">
        <v>177</v>
      </c>
      <c r="L2315" s="24">
        <v>122</v>
      </c>
      <c r="M2315" s="12">
        <v>1344.5121951219512</v>
      </c>
      <c r="N2315" s="12">
        <v>2689.0243902439024</v>
      </c>
      <c r="O2315" s="12">
        <v>510.91463414634154</v>
      </c>
      <c r="P2315" s="13"/>
      <c r="Q2315" s="14">
        <v>2025</v>
      </c>
      <c r="R2315" s="15">
        <v>45383</v>
      </c>
      <c r="S2315" s="11" t="s">
        <v>482</v>
      </c>
      <c r="T2315" s="16">
        <v>1600</v>
      </c>
      <c r="U2315" s="17"/>
      <c r="V2315" s="12">
        <v>925.02439024390242</v>
      </c>
      <c r="W2315" s="12">
        <v>925.02439024390242</v>
      </c>
      <c r="X2315" s="12">
        <v>0</v>
      </c>
      <c r="Y2315" s="18">
        <v>45754</v>
      </c>
      <c r="Z2315" s="13" t="s">
        <v>505</v>
      </c>
      <c r="AA2315" s="19" t="s">
        <v>367</v>
      </c>
      <c r="AB2315" s="13" t="s">
        <v>357</v>
      </c>
      <c r="AC2315" s="13" t="s">
        <v>367</v>
      </c>
      <c r="AD2315" s="20"/>
      <c r="AE2315" s="20"/>
      <c r="AF2315" s="13" t="s">
        <v>40</v>
      </c>
      <c r="AG2315" s="15">
        <v>45383</v>
      </c>
      <c r="AH2315" s="13" t="s">
        <v>41</v>
      </c>
      <c r="AI2315" s="13" t="s">
        <v>76</v>
      </c>
      <c r="AJ2315" s="13" t="str">
        <f>VLOOKUP(E2315,Precios!Z$2:AA$941,2,FALSE)</f>
        <v>Detergente BIO FRESCURA Bosque Nativo (Verde)</v>
      </c>
      <c r="AK2315" s="14">
        <f>VLOOKUP(E2315,Precios!Z$2:BB$941,3,FALSE)*F2315</f>
        <v>-2</v>
      </c>
      <c r="AL2315" s="17"/>
      <c r="AM2315" s="17"/>
      <c r="AN2315" s="17"/>
      <c r="AO2315" s="17"/>
      <c r="AP2315" s="17"/>
      <c r="AQ2315" s="17"/>
      <c r="AR2315" s="17"/>
      <c r="AS2315" s="17"/>
      <c r="AT2315" s="17"/>
      <c r="AU2315" s="17"/>
      <c r="AV2315" s="17"/>
    </row>
    <row r="2316" spans="1:48" ht="15.75" customHeight="1">
      <c r="A2316" s="21" t="s">
        <v>47</v>
      </c>
      <c r="B2316" s="23" t="s">
        <v>1692</v>
      </c>
      <c r="C2316" s="22">
        <v>45757</v>
      </c>
      <c r="D2316" s="23" t="s">
        <v>236</v>
      </c>
      <c r="E2316" s="23" t="s">
        <v>305</v>
      </c>
      <c r="F2316" s="21">
        <v>1</v>
      </c>
      <c r="G2316" s="12">
        <v>2999.9015263417036</v>
      </c>
      <c r="H2316" s="12">
        <v>2999.9015263417036</v>
      </c>
      <c r="I2316" s="23" t="s">
        <v>52</v>
      </c>
      <c r="J2316" s="23" t="s">
        <v>61</v>
      </c>
      <c r="K2316" s="24" t="s">
        <v>177</v>
      </c>
      <c r="L2316" s="24">
        <v>122</v>
      </c>
      <c r="M2316" s="12">
        <v>2520.9256523879862</v>
      </c>
      <c r="N2316" s="12">
        <v>2520.9256523879862</v>
      </c>
      <c r="O2316" s="12">
        <v>478.97587395371738</v>
      </c>
      <c r="P2316" s="13"/>
      <c r="Q2316" s="14">
        <v>2025</v>
      </c>
      <c r="R2316" s="15">
        <v>45383</v>
      </c>
      <c r="S2316" s="11" t="s">
        <v>600</v>
      </c>
      <c r="T2316" s="16">
        <v>0</v>
      </c>
      <c r="U2316" s="17"/>
      <c r="V2316" s="12">
        <v>984.92565238798625</v>
      </c>
      <c r="W2316" s="12">
        <v>984.92565238798625</v>
      </c>
      <c r="X2316" s="12">
        <v>0</v>
      </c>
      <c r="Y2316" s="18">
        <v>45754</v>
      </c>
      <c r="Z2316" s="13" t="s">
        <v>505</v>
      </c>
      <c r="AA2316" s="19" t="s">
        <v>367</v>
      </c>
      <c r="AB2316" s="13" t="s">
        <v>357</v>
      </c>
      <c r="AC2316" s="13" t="s">
        <v>367</v>
      </c>
      <c r="AD2316" s="20"/>
      <c r="AE2316" s="20"/>
      <c r="AF2316" s="13" t="s">
        <v>40</v>
      </c>
      <c r="AG2316" s="15">
        <v>45383</v>
      </c>
      <c r="AH2316" s="13" t="s">
        <v>41</v>
      </c>
      <c r="AI2316" s="13" t="s">
        <v>47</v>
      </c>
      <c r="AJ2316" s="13" t="str">
        <f>VLOOKUP(E2316,Precios!Z$2:AA$941,2,FALSE)</f>
        <v>Toallas Humedas Bebé TEDDY 80 unidades</v>
      </c>
      <c r="AK2316" s="14">
        <f>VLOOKUP(E2316,Precios!Z$2:BB$941,3,FALSE)*F2316</f>
        <v>-2</v>
      </c>
      <c r="AL2316" s="17"/>
      <c r="AM2316" s="17"/>
      <c r="AN2316" s="17"/>
      <c r="AO2316" s="17"/>
      <c r="AP2316" s="17"/>
      <c r="AQ2316" s="17"/>
      <c r="AR2316" s="17"/>
      <c r="AS2316" s="17"/>
      <c r="AT2316" s="17"/>
      <c r="AU2316" s="17"/>
      <c r="AV2316" s="17"/>
    </row>
    <row r="2317" spans="1:48" ht="15.75" customHeight="1">
      <c r="A2317" s="21" t="s">
        <v>47</v>
      </c>
      <c r="B2317" s="23" t="s">
        <v>1692</v>
      </c>
      <c r="C2317" s="22">
        <v>45757</v>
      </c>
      <c r="D2317" s="23" t="s">
        <v>236</v>
      </c>
      <c r="E2317" s="23" t="s">
        <v>92</v>
      </c>
      <c r="F2317" s="21">
        <v>1</v>
      </c>
      <c r="G2317" s="12">
        <v>3400.2970989164628</v>
      </c>
      <c r="H2317" s="12">
        <v>3400.2970989164628</v>
      </c>
      <c r="I2317" s="23" t="s">
        <v>52</v>
      </c>
      <c r="J2317" s="23" t="s">
        <v>61</v>
      </c>
      <c r="K2317" s="24" t="s">
        <v>177</v>
      </c>
      <c r="L2317" s="24">
        <v>122</v>
      </c>
      <c r="M2317" s="12">
        <v>2857.3925200978679</v>
      </c>
      <c r="N2317" s="12">
        <v>2857.3925200978679</v>
      </c>
      <c r="O2317" s="12">
        <v>542.90457881859493</v>
      </c>
      <c r="P2317" s="13"/>
      <c r="Q2317" s="14">
        <v>2025</v>
      </c>
      <c r="R2317" s="15">
        <v>45383</v>
      </c>
      <c r="S2317" s="11" t="s">
        <v>453</v>
      </c>
      <c r="T2317" s="16">
        <v>0</v>
      </c>
      <c r="U2317" s="17"/>
      <c r="V2317" s="12">
        <v>1222.3925200978679</v>
      </c>
      <c r="W2317" s="12">
        <v>1222.3925200978679</v>
      </c>
      <c r="X2317" s="12">
        <v>0</v>
      </c>
      <c r="Y2317" s="18">
        <v>45754</v>
      </c>
      <c r="Z2317" s="13" t="s">
        <v>505</v>
      </c>
      <c r="AA2317" s="19" t="s">
        <v>367</v>
      </c>
      <c r="AB2317" s="13" t="s">
        <v>357</v>
      </c>
      <c r="AC2317" s="13" t="s">
        <v>367</v>
      </c>
      <c r="AD2317" s="20"/>
      <c r="AE2317" s="20"/>
      <c r="AF2317" s="13" t="s">
        <v>40</v>
      </c>
      <c r="AG2317" s="15">
        <v>45383</v>
      </c>
      <c r="AH2317" s="13" t="s">
        <v>41</v>
      </c>
      <c r="AI2317" s="13" t="s">
        <v>47</v>
      </c>
      <c r="AJ2317" s="13" t="str">
        <f>VLOOKUP(E2317,Precios!Z$2:AA$941,2,FALSE)</f>
        <v xml:space="preserve">Bolsas Basura TEDDY 70x90 </v>
      </c>
      <c r="AK2317" s="14">
        <f>VLOOKUP(E2317,Precios!Z$2:BB$941,3,FALSE)*F2317</f>
        <v>-3</v>
      </c>
      <c r="AL2317" s="17"/>
      <c r="AM2317" s="17"/>
      <c r="AN2317" s="17"/>
      <c r="AO2317" s="17"/>
      <c r="AP2317" s="17"/>
      <c r="AQ2317" s="17"/>
      <c r="AR2317" s="17"/>
      <c r="AS2317" s="17"/>
      <c r="AT2317" s="17"/>
      <c r="AU2317" s="17"/>
      <c r="AV2317" s="17"/>
    </row>
    <row r="2318" spans="1:48" ht="15.75" customHeight="1">
      <c r="A2318" s="21" t="s">
        <v>76</v>
      </c>
      <c r="B2318" s="23" t="s">
        <v>1692</v>
      </c>
      <c r="C2318" s="22">
        <v>45757</v>
      </c>
      <c r="D2318" s="23" t="s">
        <v>236</v>
      </c>
      <c r="E2318" s="23" t="s">
        <v>322</v>
      </c>
      <c r="F2318" s="21">
        <v>1</v>
      </c>
      <c r="G2318" s="12">
        <v>4500.0000000000009</v>
      </c>
      <c r="H2318" s="12">
        <v>4500.0000000000009</v>
      </c>
      <c r="I2318" s="23" t="s">
        <v>52</v>
      </c>
      <c r="J2318" s="23" t="s">
        <v>61</v>
      </c>
      <c r="K2318" s="24" t="s">
        <v>177</v>
      </c>
      <c r="L2318" s="24">
        <v>122</v>
      </c>
      <c r="M2318" s="12">
        <v>3781.5126050420176</v>
      </c>
      <c r="N2318" s="12">
        <v>3781.5126050420176</v>
      </c>
      <c r="O2318" s="12">
        <v>718.48739495798327</v>
      </c>
      <c r="P2318" s="13"/>
      <c r="Q2318" s="14">
        <v>2025</v>
      </c>
      <c r="R2318" s="15">
        <v>45383</v>
      </c>
      <c r="S2318" s="11" t="s">
        <v>442</v>
      </c>
      <c r="T2318" s="16">
        <v>0</v>
      </c>
      <c r="U2318" s="17"/>
      <c r="V2318" s="12">
        <v>1667.2268907563034</v>
      </c>
      <c r="W2318" s="12">
        <v>1667.2268907563034</v>
      </c>
      <c r="X2318" s="12">
        <v>0</v>
      </c>
      <c r="Y2318" s="18">
        <v>45754</v>
      </c>
      <c r="Z2318" s="13" t="s">
        <v>505</v>
      </c>
      <c r="AA2318" s="19" t="s">
        <v>367</v>
      </c>
      <c r="AB2318" s="13" t="s">
        <v>357</v>
      </c>
      <c r="AC2318" s="13" t="s">
        <v>367</v>
      </c>
      <c r="AD2318" s="20"/>
      <c r="AE2318" s="20"/>
      <c r="AF2318" s="13" t="s">
        <v>40</v>
      </c>
      <c r="AG2318" s="15">
        <v>45383</v>
      </c>
      <c r="AH2318" s="13" t="s">
        <v>41</v>
      </c>
      <c r="AI2318" s="13" t="s">
        <v>76</v>
      </c>
      <c r="AJ2318" s="13" t="str">
        <f>VLOOKUP(E2318,Precios!Z$2:AA$941,2,FALSE)</f>
        <v>CIF 750 cc</v>
      </c>
      <c r="AK2318" s="14">
        <f>VLOOKUP(E2318,Precios!Z$2:BB$941,3,FALSE)*F2318</f>
        <v>-2</v>
      </c>
      <c r="AL2318" s="17"/>
      <c r="AM2318" s="17"/>
      <c r="AN2318" s="17"/>
      <c r="AO2318" s="17"/>
      <c r="AP2318" s="17"/>
      <c r="AQ2318" s="17"/>
      <c r="AR2318" s="17"/>
      <c r="AS2318" s="17"/>
      <c r="AT2318" s="17"/>
      <c r="AU2318" s="17"/>
      <c r="AV2318" s="17"/>
    </row>
    <row r="2319" spans="1:48" ht="15.75" customHeight="1">
      <c r="A2319" s="21" t="s">
        <v>43</v>
      </c>
      <c r="B2319" s="23" t="s">
        <v>1692</v>
      </c>
      <c r="C2319" s="22">
        <v>45757</v>
      </c>
      <c r="D2319" s="23" t="s">
        <v>552</v>
      </c>
      <c r="E2319" s="23" t="s">
        <v>45</v>
      </c>
      <c r="F2319" s="21">
        <v>1</v>
      </c>
      <c r="G2319" s="12">
        <v>8299.9877571008819</v>
      </c>
      <c r="H2319" s="12">
        <v>8299.9877571008819</v>
      </c>
      <c r="I2319" s="23" t="s">
        <v>52</v>
      </c>
      <c r="J2319" s="23" t="s">
        <v>61</v>
      </c>
      <c r="K2319" s="24" t="s">
        <v>177</v>
      </c>
      <c r="L2319" s="24">
        <v>122</v>
      </c>
      <c r="M2319" s="12">
        <v>6974.7796278158676</v>
      </c>
      <c r="N2319" s="12">
        <v>6974.7796278158676</v>
      </c>
      <c r="O2319" s="12">
        <v>1325.2081292850144</v>
      </c>
      <c r="P2319" s="13"/>
      <c r="Q2319" s="14">
        <v>2025</v>
      </c>
      <c r="R2319" s="15">
        <v>45383</v>
      </c>
      <c r="S2319" s="11" t="s">
        <v>355</v>
      </c>
      <c r="T2319" s="16">
        <v>0</v>
      </c>
      <c r="U2319" s="17"/>
      <c r="V2319" s="12">
        <v>1277.7796278158667</v>
      </c>
      <c r="W2319" s="12">
        <v>1277.7796278158667</v>
      </c>
      <c r="X2319" s="12">
        <v>0</v>
      </c>
      <c r="Y2319" s="18">
        <v>45754</v>
      </c>
      <c r="Z2319" s="13" t="s">
        <v>505</v>
      </c>
      <c r="AA2319" s="19" t="s">
        <v>373</v>
      </c>
      <c r="AB2319" s="13" t="s">
        <v>357</v>
      </c>
      <c r="AC2319" s="13" t="s">
        <v>506</v>
      </c>
      <c r="AD2319" s="20"/>
      <c r="AE2319" s="20"/>
      <c r="AF2319" s="13" t="s">
        <v>40</v>
      </c>
      <c r="AG2319" s="15">
        <v>45383</v>
      </c>
      <c r="AH2319" s="13" t="s">
        <v>41</v>
      </c>
      <c r="AI2319" s="13" t="s">
        <v>43</v>
      </c>
      <c r="AJ2319" s="13" t="str">
        <f>VLOOKUP(E2319,Precios!Z$2:AA$941,2,FALSE)</f>
        <v>Bandeja Huevos EXTRA</v>
      </c>
      <c r="AK2319" s="14">
        <f>VLOOKUP(E2319,Precios!Z$2:BB$941,3,FALSE)*F2319</f>
        <v>-1</v>
      </c>
      <c r="AL2319" s="17"/>
      <c r="AM2319" s="17"/>
      <c r="AN2319" s="17"/>
      <c r="AO2319" s="17"/>
      <c r="AP2319" s="17"/>
      <c r="AQ2319" s="17"/>
      <c r="AR2319" s="17"/>
      <c r="AS2319" s="17"/>
      <c r="AT2319" s="17"/>
      <c r="AU2319" s="17"/>
      <c r="AV2319" s="17"/>
    </row>
    <row r="2320" spans="1:48" ht="15.75" customHeight="1">
      <c r="A2320" s="21" t="s">
        <v>73</v>
      </c>
      <c r="B2320" s="23" t="s">
        <v>1692</v>
      </c>
      <c r="C2320" s="22">
        <v>45757</v>
      </c>
      <c r="D2320" s="23" t="s">
        <v>705</v>
      </c>
      <c r="E2320" s="23" t="s">
        <v>74</v>
      </c>
      <c r="F2320" s="21">
        <v>1</v>
      </c>
      <c r="G2320" s="12">
        <v>4199.9020019599611</v>
      </c>
      <c r="H2320" s="12">
        <v>4199.9020019599611</v>
      </c>
      <c r="I2320" s="23" t="s">
        <v>52</v>
      </c>
      <c r="J2320" s="23" t="s">
        <v>61</v>
      </c>
      <c r="K2320" s="24" t="s">
        <v>177</v>
      </c>
      <c r="L2320" s="24">
        <v>122</v>
      </c>
      <c r="M2320" s="12">
        <v>3529.3294134117323</v>
      </c>
      <c r="N2320" s="12">
        <v>3529.3294134117323</v>
      </c>
      <c r="O2320" s="12">
        <v>670.57258854822885</v>
      </c>
      <c r="P2320" s="13"/>
      <c r="Q2320" s="14">
        <v>2025</v>
      </c>
      <c r="R2320" s="15">
        <v>45383</v>
      </c>
      <c r="S2320" s="11" t="s">
        <v>424</v>
      </c>
      <c r="T2320" s="16">
        <v>0</v>
      </c>
      <c r="U2320" s="17"/>
      <c r="V2320" s="12">
        <v>1008.3294134117323</v>
      </c>
      <c r="W2320" s="12">
        <v>1008.3294134117323</v>
      </c>
      <c r="X2320" s="12">
        <v>0</v>
      </c>
      <c r="Y2320" s="18">
        <v>45754</v>
      </c>
      <c r="Z2320" s="13" t="s">
        <v>505</v>
      </c>
      <c r="AA2320" s="19" t="s">
        <v>373</v>
      </c>
      <c r="AB2320" s="13" t="s">
        <v>357</v>
      </c>
      <c r="AC2320" s="13" t="s">
        <v>500</v>
      </c>
      <c r="AD2320" s="20"/>
      <c r="AE2320" s="20"/>
      <c r="AF2320" s="13" t="s">
        <v>40</v>
      </c>
      <c r="AG2320" s="15">
        <v>45383</v>
      </c>
      <c r="AH2320" s="13" t="s">
        <v>41</v>
      </c>
      <c r="AI2320" s="13" t="s">
        <v>73</v>
      </c>
      <c r="AJ2320" s="13" t="str">
        <f>VLOOKUP(E2320,Precios!Z$2:AA$941,2,FALSE)</f>
        <v>Guante NITRILO Talla S</v>
      </c>
      <c r="AK2320" s="14">
        <f>VLOOKUP(E2320,Precios!Z$2:BB$941,3,FALSE)*F2320</f>
        <v>-1</v>
      </c>
      <c r="AL2320" s="17"/>
      <c r="AM2320" s="17"/>
      <c r="AN2320" s="17"/>
      <c r="AO2320" s="17"/>
      <c r="AP2320" s="17"/>
      <c r="AQ2320" s="17"/>
      <c r="AR2320" s="17"/>
      <c r="AS2320" s="17"/>
      <c r="AT2320" s="17"/>
      <c r="AU2320" s="17"/>
      <c r="AV2320" s="17"/>
    </row>
    <row r="2321" spans="1:48" ht="15.75" customHeight="1">
      <c r="A2321" s="21" t="s">
        <v>76</v>
      </c>
      <c r="B2321" s="23" t="s">
        <v>1692</v>
      </c>
      <c r="C2321" s="22">
        <v>45756</v>
      </c>
      <c r="D2321" s="23" t="s">
        <v>189</v>
      </c>
      <c r="E2321" s="23" t="s">
        <v>110</v>
      </c>
      <c r="F2321" s="21">
        <v>1</v>
      </c>
      <c r="G2321" s="12">
        <v>2000.0000000000005</v>
      </c>
      <c r="H2321" s="12">
        <v>2000.0000000000005</v>
      </c>
      <c r="I2321" s="23" t="s">
        <v>52</v>
      </c>
      <c r="J2321" s="23" t="s">
        <v>61</v>
      </c>
      <c r="K2321" s="24" t="s">
        <v>177</v>
      </c>
      <c r="L2321" s="24">
        <v>122</v>
      </c>
      <c r="M2321" s="12">
        <v>1680.6722689075634</v>
      </c>
      <c r="N2321" s="12">
        <v>1680.6722689075634</v>
      </c>
      <c r="O2321" s="12">
        <v>319.32773109243703</v>
      </c>
      <c r="P2321" s="13"/>
      <c r="Q2321" s="14">
        <v>2025</v>
      </c>
      <c r="R2321" s="15">
        <v>45383</v>
      </c>
      <c r="S2321" s="11" t="s">
        <v>378</v>
      </c>
      <c r="T2321" s="16">
        <v>5</v>
      </c>
      <c r="U2321" s="17"/>
      <c r="V2321" s="12">
        <v>756.30252100840369</v>
      </c>
      <c r="W2321" s="12">
        <v>756.30252100840369</v>
      </c>
      <c r="X2321" s="12">
        <v>0</v>
      </c>
      <c r="Y2321" s="18">
        <v>45754</v>
      </c>
      <c r="Z2321" s="13" t="s">
        <v>515</v>
      </c>
      <c r="AA2321" s="19" t="s">
        <v>361</v>
      </c>
      <c r="AB2321" s="13" t="s">
        <v>357</v>
      </c>
      <c r="AC2321" s="13" t="s">
        <v>362</v>
      </c>
      <c r="AD2321" s="20"/>
      <c r="AE2321" s="20"/>
      <c r="AF2321" s="13" t="s">
        <v>40</v>
      </c>
      <c r="AG2321" s="15">
        <v>45383</v>
      </c>
      <c r="AH2321" s="13" t="s">
        <v>41</v>
      </c>
      <c r="AI2321" s="13" t="s">
        <v>76</v>
      </c>
      <c r="AJ2321" s="13" t="str">
        <f>VLOOKUP(E2321,Precios!Z$2:AA$941,2,FALSE)</f>
        <v>Cloro SPUM 5 Litros</v>
      </c>
      <c r="AK2321" s="14">
        <f>VLOOKUP(E2321,Precios!Z$2:BB$941,3,FALSE)*F2321</f>
        <v>-1</v>
      </c>
      <c r="AL2321" s="17"/>
      <c r="AM2321" s="17"/>
      <c r="AN2321" s="17"/>
      <c r="AO2321" s="17"/>
      <c r="AP2321" s="17"/>
      <c r="AQ2321" s="17"/>
      <c r="AR2321" s="17"/>
      <c r="AS2321" s="17"/>
      <c r="AT2321" s="17"/>
      <c r="AU2321" s="17"/>
      <c r="AV2321" s="17"/>
    </row>
    <row r="2322" spans="1:48" ht="15.75" customHeight="1">
      <c r="A2322" s="21" t="s">
        <v>76</v>
      </c>
      <c r="B2322" s="23" t="s">
        <v>1692</v>
      </c>
      <c r="C2322" s="22">
        <v>45756</v>
      </c>
      <c r="D2322" s="23" t="s">
        <v>189</v>
      </c>
      <c r="E2322" s="23" t="s">
        <v>82</v>
      </c>
      <c r="F2322" s="21">
        <v>1</v>
      </c>
      <c r="G2322" s="12">
        <v>2000.0000000000002</v>
      </c>
      <c r="H2322" s="12">
        <v>2000.0000000000002</v>
      </c>
      <c r="I2322" s="23" t="s">
        <v>52</v>
      </c>
      <c r="J2322" s="23" t="s">
        <v>61</v>
      </c>
      <c r="K2322" s="24" t="s">
        <v>177</v>
      </c>
      <c r="L2322" s="24">
        <v>122</v>
      </c>
      <c r="M2322" s="12">
        <v>1680.6722689075632</v>
      </c>
      <c r="N2322" s="12">
        <v>1680.6722689075632</v>
      </c>
      <c r="O2322" s="12">
        <v>319.32773109243703</v>
      </c>
      <c r="P2322" s="13"/>
      <c r="Q2322" s="14">
        <v>2025</v>
      </c>
      <c r="R2322" s="15">
        <v>45383</v>
      </c>
      <c r="S2322" s="11" t="s">
        <v>463</v>
      </c>
      <c r="T2322" s="16">
        <v>5</v>
      </c>
      <c r="U2322" s="17"/>
      <c r="V2322" s="12">
        <v>680.67226890756319</v>
      </c>
      <c r="W2322" s="12">
        <v>680.67226890756319</v>
      </c>
      <c r="X2322" s="12">
        <v>0</v>
      </c>
      <c r="Y2322" s="18">
        <v>45754</v>
      </c>
      <c r="Z2322" s="13" t="s">
        <v>515</v>
      </c>
      <c r="AA2322" s="19" t="s">
        <v>361</v>
      </c>
      <c r="AB2322" s="13" t="s">
        <v>357</v>
      </c>
      <c r="AC2322" s="13" t="s">
        <v>362</v>
      </c>
      <c r="AD2322" s="20"/>
      <c r="AE2322" s="20"/>
      <c r="AF2322" s="13" t="s">
        <v>40</v>
      </c>
      <c r="AG2322" s="15">
        <v>45383</v>
      </c>
      <c r="AH2322" s="13" t="s">
        <v>41</v>
      </c>
      <c r="AI2322" s="13" t="s">
        <v>76</v>
      </c>
      <c r="AJ2322" s="13" t="str">
        <f>VLOOKUP(E2322,Precios!Z$2:AA$941,2,FALSE)</f>
        <v>Limpiapiso SPUM 5 Litros</v>
      </c>
      <c r="AK2322" s="14">
        <f>VLOOKUP(E2322,Precios!Z$2:BB$941,3,FALSE)*F2322</f>
        <v>-1</v>
      </c>
      <c r="AL2322" s="17"/>
      <c r="AM2322" s="17"/>
      <c r="AN2322" s="17"/>
      <c r="AO2322" s="17"/>
      <c r="AP2322" s="17"/>
      <c r="AQ2322" s="17"/>
      <c r="AR2322" s="17"/>
      <c r="AS2322" s="17"/>
      <c r="AT2322" s="17"/>
      <c r="AU2322" s="17"/>
      <c r="AV2322" s="17"/>
    </row>
    <row r="2323" spans="1:48" ht="15.75" customHeight="1">
      <c r="A2323" s="21" t="s">
        <v>76</v>
      </c>
      <c r="B2323" s="23" t="s">
        <v>1692</v>
      </c>
      <c r="C2323" s="22">
        <v>45756</v>
      </c>
      <c r="D2323" s="23" t="s">
        <v>189</v>
      </c>
      <c r="E2323" s="23" t="s">
        <v>185</v>
      </c>
      <c r="F2323" s="21">
        <v>1</v>
      </c>
      <c r="G2323" s="12">
        <v>3200.1383843625663</v>
      </c>
      <c r="H2323" s="12">
        <v>3200.1383843625663</v>
      </c>
      <c r="I2323" s="23" t="s">
        <v>52</v>
      </c>
      <c r="J2323" s="23" t="s">
        <v>61</v>
      </c>
      <c r="K2323" s="24" t="s">
        <v>177</v>
      </c>
      <c r="L2323" s="24">
        <v>122</v>
      </c>
      <c r="M2323" s="12">
        <v>2689.1919196324088</v>
      </c>
      <c r="N2323" s="12">
        <v>2689.1919196324088</v>
      </c>
      <c r="O2323" s="12">
        <v>510.94646473015746</v>
      </c>
      <c r="P2323" s="13"/>
      <c r="Q2323" s="14">
        <v>2025</v>
      </c>
      <c r="R2323" s="15">
        <v>45383</v>
      </c>
      <c r="S2323" s="11" t="s">
        <v>444</v>
      </c>
      <c r="T2323" s="16">
        <v>5</v>
      </c>
      <c r="U2323" s="17"/>
      <c r="V2323" s="12">
        <v>1134.570070892913</v>
      </c>
      <c r="W2323" s="12">
        <v>1134.570070892913</v>
      </c>
      <c r="X2323" s="12">
        <v>0</v>
      </c>
      <c r="Y2323" s="18">
        <v>45754</v>
      </c>
      <c r="Z2323" s="13" t="s">
        <v>515</v>
      </c>
      <c r="AA2323" s="19" t="s">
        <v>361</v>
      </c>
      <c r="AB2323" s="13" t="s">
        <v>357</v>
      </c>
      <c r="AC2323" s="13" t="s">
        <v>362</v>
      </c>
      <c r="AD2323" s="20"/>
      <c r="AE2323" s="20"/>
      <c r="AF2323" s="13" t="s">
        <v>40</v>
      </c>
      <c r="AG2323" s="15">
        <v>45383</v>
      </c>
      <c r="AH2323" s="13" t="s">
        <v>41</v>
      </c>
      <c r="AI2323" s="13" t="s">
        <v>76</v>
      </c>
      <c r="AJ2323" s="13" t="str">
        <f>VLOOKUP(E2323,Precios!Z$2:AA$941,2,FALSE)</f>
        <v>Limpia Vidrio SPUM 5 litros</v>
      </c>
      <c r="AK2323" s="14">
        <f>VLOOKUP(E2323,Precios!Z$2:BB$941,3,FALSE)*F2323</f>
        <v>-1</v>
      </c>
      <c r="AL2323" s="17"/>
      <c r="AM2323" s="17"/>
      <c r="AN2323" s="17"/>
      <c r="AO2323" s="17"/>
      <c r="AP2323" s="17"/>
      <c r="AQ2323" s="17"/>
      <c r="AR2323" s="17"/>
      <c r="AS2323" s="17"/>
      <c r="AT2323" s="17"/>
      <c r="AU2323" s="17"/>
      <c r="AV2323" s="17"/>
    </row>
    <row r="2324" spans="1:48" ht="15.75" customHeight="1">
      <c r="A2324" s="21" t="s">
        <v>53</v>
      </c>
      <c r="B2324" s="23" t="s">
        <v>1692</v>
      </c>
      <c r="C2324" s="22">
        <v>45756</v>
      </c>
      <c r="D2324" s="23" t="s">
        <v>189</v>
      </c>
      <c r="E2324" s="23" t="s">
        <v>69</v>
      </c>
      <c r="F2324" s="21">
        <v>1</v>
      </c>
      <c r="G2324" s="12">
        <v>2999.9553810458683</v>
      </c>
      <c r="H2324" s="12">
        <v>2999.9553810458683</v>
      </c>
      <c r="I2324" s="23" t="s">
        <v>52</v>
      </c>
      <c r="J2324" s="23" t="s">
        <v>61</v>
      </c>
      <c r="K2324" s="24" t="s">
        <v>177</v>
      </c>
      <c r="L2324" s="24">
        <v>122</v>
      </c>
      <c r="M2324" s="12">
        <v>2520.9709084419064</v>
      </c>
      <c r="N2324" s="12">
        <v>2520.9709084419064</v>
      </c>
      <c r="O2324" s="12">
        <v>478.98447260396188</v>
      </c>
      <c r="P2324" s="13"/>
      <c r="Q2324" s="14">
        <v>2025</v>
      </c>
      <c r="R2324" s="15">
        <v>45383</v>
      </c>
      <c r="S2324" s="11" t="s">
        <v>376</v>
      </c>
      <c r="T2324" s="16">
        <v>0</v>
      </c>
      <c r="U2324" s="17"/>
      <c r="V2324" s="12">
        <v>825.97090844190598</v>
      </c>
      <c r="W2324" s="12">
        <v>825.97090844190598</v>
      </c>
      <c r="X2324" s="12">
        <v>0</v>
      </c>
      <c r="Y2324" s="18">
        <v>45754</v>
      </c>
      <c r="Z2324" s="13" t="s">
        <v>515</v>
      </c>
      <c r="AA2324" s="19" t="s">
        <v>361</v>
      </c>
      <c r="AB2324" s="13" t="s">
        <v>357</v>
      </c>
      <c r="AC2324" s="13" t="s">
        <v>362</v>
      </c>
      <c r="AD2324" s="20"/>
      <c r="AE2324" s="20"/>
      <c r="AF2324" s="13" t="s">
        <v>40</v>
      </c>
      <c r="AG2324" s="15">
        <v>45383</v>
      </c>
      <c r="AH2324" s="13" t="s">
        <v>41</v>
      </c>
      <c r="AI2324" s="13" t="s">
        <v>53</v>
      </c>
      <c r="AJ2324" s="13" t="str">
        <f>VLOOKUP(E2324,Precios!Z$2:AA$941,2,FALSE)</f>
        <v>Toalla Papel NOVA 70 metros</v>
      </c>
      <c r="AK2324" s="14">
        <f>VLOOKUP(E2324,Precios!Z$2:BB$941,3,FALSE)*F2324</f>
        <v>-1</v>
      </c>
      <c r="AL2324" s="17"/>
      <c r="AM2324" s="17"/>
      <c r="AN2324" s="17"/>
      <c r="AO2324" s="17"/>
      <c r="AP2324" s="17"/>
      <c r="AQ2324" s="17"/>
      <c r="AR2324" s="17"/>
      <c r="AS2324" s="17"/>
      <c r="AT2324" s="17"/>
      <c r="AU2324" s="17"/>
      <c r="AV2324" s="17"/>
    </row>
    <row r="2325" spans="1:48" ht="15.75" customHeight="1">
      <c r="A2325" s="21" t="s">
        <v>53</v>
      </c>
      <c r="B2325" s="23" t="s">
        <v>1692</v>
      </c>
      <c r="C2325" s="22">
        <v>45756</v>
      </c>
      <c r="D2325" s="23" t="s">
        <v>189</v>
      </c>
      <c r="E2325" s="23" t="s">
        <v>150</v>
      </c>
      <c r="F2325" s="21">
        <v>1</v>
      </c>
      <c r="G2325" s="12">
        <v>1799.8965445892823</v>
      </c>
      <c r="H2325" s="12">
        <v>1799.8965445892823</v>
      </c>
      <c r="I2325" s="23" t="s">
        <v>52</v>
      </c>
      <c r="J2325" s="23" t="s">
        <v>61</v>
      </c>
      <c r="K2325" s="24" t="s">
        <v>177</v>
      </c>
      <c r="L2325" s="24">
        <v>122</v>
      </c>
      <c r="M2325" s="12">
        <v>1512.518104696876</v>
      </c>
      <c r="N2325" s="12">
        <v>1512.518104696876</v>
      </c>
      <c r="O2325" s="12">
        <v>287.37843989240628</v>
      </c>
      <c r="P2325" s="13"/>
      <c r="Q2325" s="14">
        <v>2025</v>
      </c>
      <c r="R2325" s="15">
        <v>45383</v>
      </c>
      <c r="S2325" s="11" t="s">
        <v>381</v>
      </c>
      <c r="T2325" s="16">
        <v>300</v>
      </c>
      <c r="U2325" s="17"/>
      <c r="V2325" s="12">
        <v>781.51810469687575</v>
      </c>
      <c r="W2325" s="12">
        <v>781.51810469687575</v>
      </c>
      <c r="X2325" s="12">
        <v>0</v>
      </c>
      <c r="Y2325" s="18">
        <v>45754</v>
      </c>
      <c r="Z2325" s="13" t="s">
        <v>515</v>
      </c>
      <c r="AA2325" s="19" t="s">
        <v>361</v>
      </c>
      <c r="AB2325" s="13" t="s">
        <v>357</v>
      </c>
      <c r="AC2325" s="13" t="s">
        <v>362</v>
      </c>
      <c r="AD2325" s="20"/>
      <c r="AE2325" s="20"/>
      <c r="AF2325" s="13" t="s">
        <v>40</v>
      </c>
      <c r="AG2325" s="15">
        <v>45383</v>
      </c>
      <c r="AH2325" s="13" t="s">
        <v>41</v>
      </c>
      <c r="AI2325" s="13" t="s">
        <v>53</v>
      </c>
      <c r="AJ2325" s="13" t="str">
        <f>VLOOKUP(E2325,Precios!Z$2:AA$941,2,FALSE)</f>
        <v>Servilletas SOFTQUALITY 300 unidades</v>
      </c>
      <c r="AK2325" s="14">
        <f>VLOOKUP(E2325,Precios!Z$2:BB$941,3,FALSE)*F2325</f>
        <v>-1</v>
      </c>
      <c r="AL2325" s="17"/>
      <c r="AM2325" s="17"/>
      <c r="AN2325" s="17"/>
      <c r="AO2325" s="17"/>
      <c r="AP2325" s="17"/>
      <c r="AQ2325" s="17"/>
      <c r="AR2325" s="17"/>
      <c r="AS2325" s="17"/>
      <c r="AT2325" s="17"/>
      <c r="AU2325" s="17"/>
      <c r="AV2325" s="17"/>
    </row>
    <row r="2326" spans="1:48" ht="15.75" customHeight="1">
      <c r="A2326" s="21" t="s">
        <v>47</v>
      </c>
      <c r="B2326" s="23" t="s">
        <v>1692</v>
      </c>
      <c r="C2326" s="22">
        <v>45756</v>
      </c>
      <c r="D2326" s="23" t="s">
        <v>915</v>
      </c>
      <c r="E2326" s="23" t="s">
        <v>305</v>
      </c>
      <c r="F2326" s="21">
        <v>1</v>
      </c>
      <c r="G2326" s="12">
        <v>2999.9015263417036</v>
      </c>
      <c r="H2326" s="12">
        <v>2999.9015263417036</v>
      </c>
      <c r="I2326" s="23" t="s">
        <v>52</v>
      </c>
      <c r="J2326" s="23" t="s">
        <v>61</v>
      </c>
      <c r="K2326" s="24" t="s">
        <v>177</v>
      </c>
      <c r="L2326" s="24">
        <v>122</v>
      </c>
      <c r="M2326" s="12">
        <v>2520.9256523879862</v>
      </c>
      <c r="N2326" s="12">
        <v>2520.9256523879862</v>
      </c>
      <c r="O2326" s="12">
        <v>478.97587395371738</v>
      </c>
      <c r="P2326" s="13"/>
      <c r="Q2326" s="14">
        <v>2025</v>
      </c>
      <c r="R2326" s="15">
        <v>45383</v>
      </c>
      <c r="S2326" s="11" t="s">
        <v>600</v>
      </c>
      <c r="T2326" s="16">
        <v>0</v>
      </c>
      <c r="U2326" s="17"/>
      <c r="V2326" s="12">
        <v>984.92565238798625</v>
      </c>
      <c r="W2326" s="12">
        <v>984.92565238798625</v>
      </c>
      <c r="X2326" s="12">
        <v>0</v>
      </c>
      <c r="Y2326" s="18">
        <v>45754</v>
      </c>
      <c r="Z2326" s="13" t="s">
        <v>515</v>
      </c>
      <c r="AA2326" s="19" t="s">
        <v>367</v>
      </c>
      <c r="AB2326" s="13" t="s">
        <v>357</v>
      </c>
      <c r="AC2326" s="13" t="s">
        <v>367</v>
      </c>
      <c r="AD2326" s="20"/>
      <c r="AE2326" s="20"/>
      <c r="AF2326" s="13" t="s">
        <v>40</v>
      </c>
      <c r="AG2326" s="15">
        <v>45383</v>
      </c>
      <c r="AH2326" s="13" t="s">
        <v>41</v>
      </c>
      <c r="AI2326" s="13" t="s">
        <v>47</v>
      </c>
      <c r="AJ2326" s="13" t="str">
        <f>VLOOKUP(E2326,Precios!Z$2:AA$941,2,FALSE)</f>
        <v>Toallas Humedas Bebé TEDDY 80 unidades</v>
      </c>
      <c r="AK2326" s="14">
        <f>VLOOKUP(E2326,Precios!Z$2:BB$941,3,FALSE)*F2326</f>
        <v>-2</v>
      </c>
      <c r="AL2326" s="17"/>
      <c r="AM2326" s="17"/>
      <c r="AN2326" s="17"/>
      <c r="AO2326" s="17"/>
      <c r="AP2326" s="17"/>
      <c r="AQ2326" s="17"/>
      <c r="AR2326" s="17"/>
      <c r="AS2326" s="17"/>
      <c r="AT2326" s="17"/>
      <c r="AU2326" s="17"/>
      <c r="AV2326" s="17"/>
    </row>
    <row r="2327" spans="1:48" ht="15.75" customHeight="1">
      <c r="A2327" s="21" t="s">
        <v>47</v>
      </c>
      <c r="B2327" s="23" t="s">
        <v>1692</v>
      </c>
      <c r="C2327" s="22">
        <v>45756</v>
      </c>
      <c r="D2327" s="23" t="s">
        <v>915</v>
      </c>
      <c r="E2327" s="23" t="s">
        <v>143</v>
      </c>
      <c r="F2327" s="21">
        <v>1</v>
      </c>
      <c r="G2327" s="12">
        <v>2999.9379074821477</v>
      </c>
      <c r="H2327" s="12">
        <v>2999.9379074821477</v>
      </c>
      <c r="I2327" s="23" t="s">
        <v>52</v>
      </c>
      <c r="J2327" s="23" t="s">
        <v>61</v>
      </c>
      <c r="K2327" s="24" t="s">
        <v>177</v>
      </c>
      <c r="L2327" s="24">
        <v>122</v>
      </c>
      <c r="M2327" s="12">
        <v>2520.9562247749141</v>
      </c>
      <c r="N2327" s="12">
        <v>2520.9562247749141</v>
      </c>
      <c r="O2327" s="12">
        <v>478.98168270723363</v>
      </c>
      <c r="P2327" s="13"/>
      <c r="Q2327" s="14">
        <v>2025</v>
      </c>
      <c r="R2327" s="15">
        <v>45383</v>
      </c>
      <c r="S2327" s="11" t="s">
        <v>414</v>
      </c>
      <c r="T2327" s="16">
        <v>0</v>
      </c>
      <c r="U2327" s="17"/>
      <c r="V2327" s="12">
        <v>1708.9562247749141</v>
      </c>
      <c r="W2327" s="12">
        <v>1708.9562247749141</v>
      </c>
      <c r="X2327" s="12">
        <v>0</v>
      </c>
      <c r="Y2327" s="18">
        <v>45754</v>
      </c>
      <c r="Z2327" s="13" t="s">
        <v>515</v>
      </c>
      <c r="AA2327" s="19" t="s">
        <v>367</v>
      </c>
      <c r="AB2327" s="13" t="s">
        <v>357</v>
      </c>
      <c r="AC2327" s="13" t="s">
        <v>367</v>
      </c>
      <c r="AD2327" s="20"/>
      <c r="AE2327" s="20"/>
      <c r="AF2327" s="13" t="s">
        <v>40</v>
      </c>
      <c r="AG2327" s="15">
        <v>45383</v>
      </c>
      <c r="AH2327" s="13" t="s">
        <v>41</v>
      </c>
      <c r="AI2327" s="13" t="s">
        <v>47</v>
      </c>
      <c r="AJ2327" s="13" t="str">
        <f>VLOOKUP(E2327,Precios!Z$2:AA$941,2,FALSE)</f>
        <v>Toalla desinfectante TEDDY 80 unidades</v>
      </c>
      <c r="AK2327" s="14">
        <f>VLOOKUP(E2327,Precios!Z$2:BB$941,3,FALSE)*F2327</f>
        <v>-1</v>
      </c>
      <c r="AL2327" s="17"/>
      <c r="AM2327" s="17"/>
      <c r="AN2327" s="17"/>
      <c r="AO2327" s="17"/>
      <c r="AP2327" s="17"/>
      <c r="AQ2327" s="17"/>
      <c r="AR2327" s="17"/>
      <c r="AS2327" s="17"/>
      <c r="AT2327" s="17"/>
      <c r="AU2327" s="17"/>
      <c r="AV2327" s="17"/>
    </row>
    <row r="2328" spans="1:48" ht="15.75" customHeight="1">
      <c r="A2328" s="21" t="s">
        <v>76</v>
      </c>
      <c r="B2328" s="23" t="s">
        <v>1692</v>
      </c>
      <c r="C2328" s="22">
        <v>45756</v>
      </c>
      <c r="D2328" s="23" t="s">
        <v>915</v>
      </c>
      <c r="E2328" s="23" t="s">
        <v>137</v>
      </c>
      <c r="F2328" s="21">
        <v>1</v>
      </c>
      <c r="G2328" s="12">
        <v>3500.0000000000005</v>
      </c>
      <c r="H2328" s="12">
        <v>3500.0000000000005</v>
      </c>
      <c r="I2328" s="23" t="s">
        <v>52</v>
      </c>
      <c r="J2328" s="23" t="s">
        <v>61</v>
      </c>
      <c r="K2328" s="24" t="s">
        <v>177</v>
      </c>
      <c r="L2328" s="24">
        <v>122</v>
      </c>
      <c r="M2328" s="12">
        <v>2941.1764705882356</v>
      </c>
      <c r="N2328" s="12">
        <v>2941.1764705882356</v>
      </c>
      <c r="O2328" s="12">
        <v>558.82352941176487</v>
      </c>
      <c r="P2328" s="13"/>
      <c r="Q2328" s="14">
        <v>2025</v>
      </c>
      <c r="R2328" s="15">
        <v>45383</v>
      </c>
      <c r="S2328" s="11" t="s">
        <v>406</v>
      </c>
      <c r="T2328" s="16">
        <v>5</v>
      </c>
      <c r="U2328" s="17"/>
      <c r="V2328" s="12">
        <v>848.73949579831969</v>
      </c>
      <c r="W2328" s="12">
        <v>848.73949579831969</v>
      </c>
      <c r="X2328" s="12">
        <v>0</v>
      </c>
      <c r="Y2328" s="18">
        <v>45754</v>
      </c>
      <c r="Z2328" s="13" t="s">
        <v>515</v>
      </c>
      <c r="AA2328" s="19" t="s">
        <v>367</v>
      </c>
      <c r="AB2328" s="13" t="s">
        <v>357</v>
      </c>
      <c r="AC2328" s="13" t="s">
        <v>367</v>
      </c>
      <c r="AD2328" s="20"/>
      <c r="AE2328" s="20"/>
      <c r="AF2328" s="13" t="s">
        <v>40</v>
      </c>
      <c r="AG2328" s="15">
        <v>45383</v>
      </c>
      <c r="AH2328" s="13" t="s">
        <v>41</v>
      </c>
      <c r="AI2328" s="13" t="s">
        <v>76</v>
      </c>
      <c r="AJ2328" s="13" t="str">
        <f>VLOOKUP(E2328,Precios!Z$2:AA$941,2,FALSE)</f>
        <v>Detergente SPUM 5 Litros (Blanco)</v>
      </c>
      <c r="AK2328" s="14">
        <f>VLOOKUP(E2328,Precios!Z$2:BB$941,3,FALSE)*F2328</f>
        <v>-1</v>
      </c>
      <c r="AL2328" s="17"/>
      <c r="AM2328" s="17"/>
      <c r="AN2328" s="17"/>
      <c r="AO2328" s="17"/>
      <c r="AP2328" s="17"/>
      <c r="AQ2328" s="17"/>
      <c r="AR2328" s="17"/>
      <c r="AS2328" s="17"/>
      <c r="AT2328" s="17"/>
      <c r="AU2328" s="17"/>
      <c r="AV2328" s="17"/>
    </row>
    <row r="2329" spans="1:48" ht="15.75" customHeight="1">
      <c r="A2329" s="21" t="s">
        <v>43</v>
      </c>
      <c r="B2329" s="23" t="s">
        <v>1692</v>
      </c>
      <c r="C2329" s="22">
        <v>45756</v>
      </c>
      <c r="D2329" s="23" t="s">
        <v>697</v>
      </c>
      <c r="E2329" s="23" t="s">
        <v>45</v>
      </c>
      <c r="F2329" s="21">
        <v>2</v>
      </c>
      <c r="G2329" s="12">
        <v>8299.9877571008819</v>
      </c>
      <c r="H2329" s="12">
        <v>16599.975514201764</v>
      </c>
      <c r="I2329" s="23" t="s">
        <v>52</v>
      </c>
      <c r="J2329" s="23" t="s">
        <v>61</v>
      </c>
      <c r="K2329" s="24" t="s">
        <v>177</v>
      </c>
      <c r="L2329" s="24">
        <v>122</v>
      </c>
      <c r="M2329" s="12">
        <v>6974.7796278158676</v>
      </c>
      <c r="N2329" s="12">
        <v>13949.559255631735</v>
      </c>
      <c r="O2329" s="12">
        <v>2650.4162585700287</v>
      </c>
      <c r="P2329" s="13"/>
      <c r="Q2329" s="14">
        <v>2025</v>
      </c>
      <c r="R2329" s="15">
        <v>45383</v>
      </c>
      <c r="S2329" s="11" t="s">
        <v>355</v>
      </c>
      <c r="T2329" s="16">
        <v>0</v>
      </c>
      <c r="U2329" s="17"/>
      <c r="V2329" s="12">
        <v>2555.5592556317333</v>
      </c>
      <c r="W2329" s="12">
        <v>2555.5592556317333</v>
      </c>
      <c r="X2329" s="12">
        <v>0</v>
      </c>
      <c r="Y2329" s="18">
        <v>45754</v>
      </c>
      <c r="Z2329" s="13" t="s">
        <v>515</v>
      </c>
      <c r="AA2329" s="19" t="s">
        <v>373</v>
      </c>
      <c r="AB2329" s="13" t="s">
        <v>357</v>
      </c>
      <c r="AC2329" s="13" t="s">
        <v>698</v>
      </c>
      <c r="AD2329" s="20"/>
      <c r="AE2329" s="20"/>
      <c r="AF2329" s="13" t="s">
        <v>40</v>
      </c>
      <c r="AG2329" s="15">
        <v>45383</v>
      </c>
      <c r="AH2329" s="13" t="s">
        <v>41</v>
      </c>
      <c r="AI2329" s="13" t="s">
        <v>43</v>
      </c>
      <c r="AJ2329" s="13" t="str">
        <f>VLOOKUP(E2329,Precios!Z$2:AA$941,2,FALSE)</f>
        <v>Bandeja Huevos EXTRA</v>
      </c>
      <c r="AK2329" s="14">
        <f>VLOOKUP(E2329,Precios!Z$2:BB$941,3,FALSE)*F2329</f>
        <v>-2</v>
      </c>
      <c r="AL2329" s="17"/>
      <c r="AM2329" s="17"/>
      <c r="AN2329" s="17"/>
      <c r="AO2329" s="17"/>
      <c r="AP2329" s="17"/>
      <c r="AQ2329" s="17"/>
      <c r="AR2329" s="17"/>
      <c r="AS2329" s="17"/>
      <c r="AT2329" s="17"/>
      <c r="AU2329" s="17"/>
      <c r="AV2329" s="17"/>
    </row>
    <row r="2330" spans="1:48" ht="15.75" customHeight="1">
      <c r="A2330" s="21" t="s">
        <v>43</v>
      </c>
      <c r="B2330" s="23" t="s">
        <v>1692</v>
      </c>
      <c r="C2330" s="22">
        <v>45756</v>
      </c>
      <c r="D2330" s="23" t="s">
        <v>622</v>
      </c>
      <c r="E2330" s="23" t="s">
        <v>45</v>
      </c>
      <c r="F2330" s="21">
        <v>1</v>
      </c>
      <c r="G2330" s="12">
        <v>8299.9877571008819</v>
      </c>
      <c r="H2330" s="34">
        <v>8299.9877571008819</v>
      </c>
      <c r="I2330" s="23" t="s">
        <v>52</v>
      </c>
      <c r="J2330" s="23" t="s">
        <v>61</v>
      </c>
      <c r="K2330" s="24" t="s">
        <v>177</v>
      </c>
      <c r="L2330" s="24">
        <v>121</v>
      </c>
      <c r="M2330" s="12">
        <v>6974.7796278158676</v>
      </c>
      <c r="N2330" s="12">
        <v>6974.7796278158676</v>
      </c>
      <c r="O2330" s="12">
        <v>1325.2081292850144</v>
      </c>
      <c r="P2330" s="13"/>
      <c r="Q2330" s="14">
        <v>2025</v>
      </c>
      <c r="R2330" s="15">
        <v>45383</v>
      </c>
      <c r="S2330" s="11" t="s">
        <v>355</v>
      </c>
      <c r="T2330" s="16">
        <v>0</v>
      </c>
      <c r="U2330" s="17"/>
      <c r="V2330" s="12">
        <v>1277.7796278158667</v>
      </c>
      <c r="W2330" s="12">
        <v>1277.7796278158667</v>
      </c>
      <c r="X2330" s="12">
        <v>0</v>
      </c>
      <c r="Y2330" s="18">
        <v>45754</v>
      </c>
      <c r="Z2330" s="13" t="s">
        <v>515</v>
      </c>
      <c r="AA2330" s="19" t="s">
        <v>373</v>
      </c>
      <c r="AB2330" s="13" t="s">
        <v>357</v>
      </c>
      <c r="AC2330" s="13" t="s">
        <v>623</v>
      </c>
      <c r="AD2330" s="20"/>
      <c r="AE2330" s="20"/>
      <c r="AF2330" s="13" t="s">
        <v>40</v>
      </c>
      <c r="AG2330" s="15">
        <v>45383</v>
      </c>
      <c r="AH2330" s="13" t="s">
        <v>41</v>
      </c>
      <c r="AI2330" s="13" t="s">
        <v>43</v>
      </c>
      <c r="AJ2330" s="13" t="str">
        <f>VLOOKUP(E2330,Precios!Z$2:AA$941,2,FALSE)</f>
        <v>Bandeja Huevos EXTRA</v>
      </c>
      <c r="AK2330" s="14">
        <f>VLOOKUP(E2330,Precios!Z$2:BB$941,3,FALSE)*F2330</f>
        <v>-1</v>
      </c>
      <c r="AL2330" s="17"/>
      <c r="AM2330" s="17"/>
      <c r="AN2330" s="17"/>
      <c r="AO2330" s="17"/>
      <c r="AP2330" s="17"/>
      <c r="AQ2330" s="17"/>
      <c r="AR2330" s="17"/>
      <c r="AS2330" s="17"/>
      <c r="AT2330" s="17"/>
      <c r="AU2330" s="17"/>
      <c r="AV2330" s="17"/>
    </row>
    <row r="2331" spans="1:48" ht="15.75" customHeight="1">
      <c r="A2331" s="21" t="s">
        <v>53</v>
      </c>
      <c r="B2331" s="23" t="s">
        <v>1692</v>
      </c>
      <c r="C2331" s="22">
        <v>45756</v>
      </c>
      <c r="D2331" s="23" t="s">
        <v>271</v>
      </c>
      <c r="E2331" s="23" t="s">
        <v>109</v>
      </c>
      <c r="F2331" s="21">
        <v>1</v>
      </c>
      <c r="G2331" s="12">
        <v>10000</v>
      </c>
      <c r="H2331" s="34">
        <v>10000</v>
      </c>
      <c r="I2331" s="23" t="s">
        <v>52</v>
      </c>
      <c r="J2331" s="23" t="s">
        <v>61</v>
      </c>
      <c r="K2331" s="24" t="s">
        <v>177</v>
      </c>
      <c r="L2331" s="24">
        <v>121</v>
      </c>
      <c r="M2331" s="12">
        <v>8403.361344537816</v>
      </c>
      <c r="N2331" s="12">
        <v>8403.361344537816</v>
      </c>
      <c r="O2331" s="12">
        <v>1596.638655462184</v>
      </c>
      <c r="P2331" s="13"/>
      <c r="Q2331" s="14">
        <v>2025</v>
      </c>
      <c r="R2331" s="15">
        <v>45383</v>
      </c>
      <c r="S2331" s="11" t="s">
        <v>395</v>
      </c>
      <c r="T2331" s="16">
        <v>400</v>
      </c>
      <c r="U2331" s="17"/>
      <c r="V2331" s="12">
        <v>2100.8403361344544</v>
      </c>
      <c r="W2331" s="12">
        <v>2100.8403361344544</v>
      </c>
      <c r="X2331" s="12">
        <v>0</v>
      </c>
      <c r="Y2331" s="18">
        <v>45754</v>
      </c>
      <c r="Z2331" s="13" t="s">
        <v>515</v>
      </c>
      <c r="AA2331" s="19" t="s">
        <v>373</v>
      </c>
      <c r="AB2331" s="13" t="s">
        <v>357</v>
      </c>
      <c r="AC2331" s="13" t="s">
        <v>461</v>
      </c>
      <c r="AD2331" s="20"/>
      <c r="AE2331" s="20"/>
      <c r="AF2331" s="13" t="s">
        <v>40</v>
      </c>
      <c r="AG2331" s="15">
        <v>45383</v>
      </c>
      <c r="AH2331" s="13" t="s">
        <v>41</v>
      </c>
      <c r="AI2331" s="13" t="s">
        <v>53</v>
      </c>
      <c r="AJ2331" s="13" t="str">
        <f>VLOOKUP(E2331,Precios!Z$2:AA$941,2,FALSE)</f>
        <v>Toalla Papel SPUM D/H 100 metros</v>
      </c>
      <c r="AK2331" s="14">
        <f>VLOOKUP(E2331,Precios!Z$2:BB$941,3,FALSE)*F2331</f>
        <v>-4</v>
      </c>
      <c r="AL2331" s="17"/>
      <c r="AM2331" s="17"/>
      <c r="AN2331" s="17"/>
      <c r="AO2331" s="17"/>
      <c r="AP2331" s="17"/>
      <c r="AQ2331" s="17"/>
      <c r="AR2331" s="17"/>
      <c r="AS2331" s="17"/>
      <c r="AT2331" s="17"/>
      <c r="AU2331" s="17"/>
      <c r="AV2331" s="17"/>
    </row>
    <row r="2332" spans="1:48" ht="15.75" customHeight="1">
      <c r="A2332" s="21" t="s">
        <v>43</v>
      </c>
      <c r="B2332" s="23" t="s">
        <v>1692</v>
      </c>
      <c r="C2332" s="25">
        <v>45755</v>
      </c>
      <c r="D2332" s="23" t="s">
        <v>682</v>
      </c>
      <c r="E2332" s="23" t="s">
        <v>45</v>
      </c>
      <c r="F2332" s="21">
        <v>1</v>
      </c>
      <c r="G2332" s="12">
        <v>8299.7854333055202</v>
      </c>
      <c r="H2332" s="34">
        <v>8299.7854333055202</v>
      </c>
      <c r="I2332" s="23" t="s">
        <v>52</v>
      </c>
      <c r="J2332" s="23" t="s">
        <v>61</v>
      </c>
      <c r="K2332" s="24" t="s">
        <v>177</v>
      </c>
      <c r="L2332" s="24">
        <v>121</v>
      </c>
      <c r="M2332" s="12">
        <v>6974.6096078197652</v>
      </c>
      <c r="N2332" s="12">
        <v>6974.6096078197652</v>
      </c>
      <c r="O2332" s="12">
        <v>1325.175825485755</v>
      </c>
      <c r="P2332" s="13"/>
      <c r="Q2332" s="14">
        <v>2025</v>
      </c>
      <c r="R2332" s="15">
        <v>45383</v>
      </c>
      <c r="S2332" s="11" t="s">
        <v>355</v>
      </c>
      <c r="T2332" s="16">
        <v>0</v>
      </c>
      <c r="U2332" s="17"/>
      <c r="V2332" s="12">
        <v>1123.6096078197643</v>
      </c>
      <c r="W2332" s="12">
        <v>1123.6096078197643</v>
      </c>
      <c r="X2332" s="12">
        <v>0</v>
      </c>
      <c r="Y2332" s="18">
        <v>45754</v>
      </c>
      <c r="Z2332" s="13" t="s">
        <v>516</v>
      </c>
      <c r="AA2332" s="19" t="s">
        <v>373</v>
      </c>
      <c r="AB2332" s="13" t="s">
        <v>357</v>
      </c>
      <c r="AC2332" s="13" t="s">
        <v>383</v>
      </c>
      <c r="AD2332" s="20"/>
      <c r="AE2332" s="20"/>
      <c r="AF2332" s="13" t="s">
        <v>40</v>
      </c>
      <c r="AG2332" s="15">
        <v>45383</v>
      </c>
      <c r="AH2332" s="13" t="s">
        <v>41</v>
      </c>
      <c r="AI2332" s="13" t="s">
        <v>43</v>
      </c>
      <c r="AJ2332" s="13" t="str">
        <f>VLOOKUP(E2332,Precios!Z$2:AA$941,2,FALSE)</f>
        <v>Bandeja Huevos EXTRA</v>
      </c>
      <c r="AK2332" s="14">
        <f>VLOOKUP(E2332,Precios!Z$2:BB$941,3,FALSE)*F2332</f>
        <v>-1</v>
      </c>
      <c r="AL2332" s="17"/>
      <c r="AM2332" s="17"/>
      <c r="AN2332" s="17"/>
      <c r="AO2332" s="17"/>
      <c r="AP2332" s="17"/>
      <c r="AQ2332" s="17"/>
      <c r="AR2332" s="17"/>
      <c r="AS2332" s="17"/>
      <c r="AT2332" s="17"/>
      <c r="AU2332" s="17"/>
      <c r="AV2332" s="17"/>
    </row>
    <row r="2333" spans="1:48" ht="15.75" customHeight="1">
      <c r="A2333" s="21" t="s">
        <v>43</v>
      </c>
      <c r="B2333" s="23" t="s">
        <v>1692</v>
      </c>
      <c r="C2333" s="25">
        <v>45755</v>
      </c>
      <c r="D2333" s="23" t="s">
        <v>282</v>
      </c>
      <c r="E2333" s="23" t="s">
        <v>45</v>
      </c>
      <c r="F2333" s="21">
        <v>1</v>
      </c>
      <c r="G2333" s="12">
        <v>8299.7854333055202</v>
      </c>
      <c r="H2333" s="34">
        <v>8299.7854333055202</v>
      </c>
      <c r="I2333" s="23" t="s">
        <v>52</v>
      </c>
      <c r="J2333" s="23" t="s">
        <v>61</v>
      </c>
      <c r="K2333" s="24" t="s">
        <v>177</v>
      </c>
      <c r="L2333" s="24">
        <v>121</v>
      </c>
      <c r="M2333" s="12">
        <v>6974.6096078197652</v>
      </c>
      <c r="N2333" s="12">
        <v>6974.6096078197652</v>
      </c>
      <c r="O2333" s="12">
        <v>1325.175825485755</v>
      </c>
      <c r="P2333" s="13"/>
      <c r="Q2333" s="14">
        <v>2025</v>
      </c>
      <c r="R2333" s="15">
        <v>45383</v>
      </c>
      <c r="S2333" s="11" t="s">
        <v>355</v>
      </c>
      <c r="T2333" s="16">
        <v>0</v>
      </c>
      <c r="U2333" s="17"/>
      <c r="V2333" s="12">
        <v>1123.6096078197643</v>
      </c>
      <c r="W2333" s="12">
        <v>1123.6096078197643</v>
      </c>
      <c r="X2333" s="12">
        <v>0</v>
      </c>
      <c r="Y2333" s="18">
        <v>45754</v>
      </c>
      <c r="Z2333" s="13" t="s">
        <v>516</v>
      </c>
      <c r="AA2333" s="19" t="s">
        <v>373</v>
      </c>
      <c r="AB2333" s="13" t="s">
        <v>357</v>
      </c>
      <c r="AC2333" s="13" t="s">
        <v>383</v>
      </c>
      <c r="AD2333" s="20"/>
      <c r="AE2333" s="20"/>
      <c r="AF2333" s="13" t="s">
        <v>40</v>
      </c>
      <c r="AG2333" s="15">
        <v>45383</v>
      </c>
      <c r="AH2333" s="13" t="s">
        <v>41</v>
      </c>
      <c r="AI2333" s="13" t="s">
        <v>43</v>
      </c>
      <c r="AJ2333" s="13" t="str">
        <f>VLOOKUP(E2333,Precios!Z$2:AA$941,2,FALSE)</f>
        <v>Bandeja Huevos EXTRA</v>
      </c>
      <c r="AK2333" s="14">
        <f>VLOOKUP(E2333,Precios!Z$2:BB$941,3,FALSE)*F2333</f>
        <v>-1</v>
      </c>
      <c r="AL2333" s="17"/>
      <c r="AM2333" s="17"/>
      <c r="AN2333" s="17"/>
      <c r="AO2333" s="17"/>
      <c r="AP2333" s="17"/>
      <c r="AQ2333" s="17"/>
      <c r="AR2333" s="17"/>
      <c r="AS2333" s="17"/>
      <c r="AT2333" s="17"/>
      <c r="AU2333" s="17"/>
      <c r="AV2333" s="17"/>
    </row>
    <row r="2334" spans="1:48" ht="15.75" customHeight="1">
      <c r="A2334" s="21" t="s">
        <v>53</v>
      </c>
      <c r="B2334" s="23" t="s">
        <v>1692</v>
      </c>
      <c r="C2334" s="25">
        <v>45755</v>
      </c>
      <c r="D2334" s="23" t="s">
        <v>271</v>
      </c>
      <c r="E2334" s="23" t="s">
        <v>243</v>
      </c>
      <c r="F2334" s="21">
        <v>1</v>
      </c>
      <c r="G2334" s="12">
        <v>14500.068577698534</v>
      </c>
      <c r="H2334" s="34">
        <v>14500.068577698534</v>
      </c>
      <c r="I2334" s="23" t="s">
        <v>52</v>
      </c>
      <c r="J2334" s="23" t="s">
        <v>61</v>
      </c>
      <c r="K2334" s="24" t="s">
        <v>177</v>
      </c>
      <c r="L2334" s="24">
        <v>121</v>
      </c>
      <c r="M2334" s="12">
        <v>12184.931577897929</v>
      </c>
      <c r="N2334" s="12">
        <v>12184.931577897929</v>
      </c>
      <c r="O2334" s="12">
        <v>2315.1369998006048</v>
      </c>
      <c r="P2334" s="13"/>
      <c r="Q2334" s="14">
        <v>2025</v>
      </c>
      <c r="R2334" s="15">
        <v>45383</v>
      </c>
      <c r="S2334" s="11" t="s">
        <v>435</v>
      </c>
      <c r="T2334" s="16">
        <v>0</v>
      </c>
      <c r="U2334" s="17"/>
      <c r="V2334" s="12">
        <v>3300.897964452548</v>
      </c>
      <c r="W2334" s="12">
        <v>3300.897964452548</v>
      </c>
      <c r="X2334" s="12">
        <v>0</v>
      </c>
      <c r="Y2334" s="18">
        <v>45754</v>
      </c>
      <c r="Z2334" s="13" t="s">
        <v>516</v>
      </c>
      <c r="AA2334" s="19" t="s">
        <v>373</v>
      </c>
      <c r="AB2334" s="13" t="s">
        <v>357</v>
      </c>
      <c r="AC2334" s="13" t="s">
        <v>461</v>
      </c>
      <c r="AD2334" s="20"/>
      <c r="AE2334" s="20"/>
      <c r="AF2334" s="13" t="s">
        <v>40</v>
      </c>
      <c r="AG2334" s="15">
        <v>45383</v>
      </c>
      <c r="AH2334" s="13" t="s">
        <v>41</v>
      </c>
      <c r="AI2334" s="13" t="s">
        <v>53</v>
      </c>
      <c r="AJ2334" s="13" t="str">
        <f>VLOOKUP(E2334,Precios!Z$2:AA$941,2,FALSE)</f>
        <v>Papel Higienico SWAN 50 metros</v>
      </c>
      <c r="AK2334" s="14">
        <f>VLOOKUP(E2334,Precios!Z$2:BB$941,3,FALSE)*F2334</f>
        <v>-6</v>
      </c>
      <c r="AL2334" s="17"/>
      <c r="AM2334" s="17"/>
      <c r="AN2334" s="17"/>
      <c r="AO2334" s="17"/>
      <c r="AP2334" s="17"/>
      <c r="AQ2334" s="17"/>
      <c r="AR2334" s="17"/>
      <c r="AS2334" s="17"/>
      <c r="AT2334" s="17"/>
      <c r="AU2334" s="17"/>
      <c r="AV2334" s="17"/>
    </row>
    <row r="2335" spans="1:48" ht="15.75" customHeight="1">
      <c r="A2335" s="21" t="s">
        <v>35</v>
      </c>
      <c r="B2335" s="23" t="s">
        <v>1692</v>
      </c>
      <c r="C2335" s="25">
        <v>45755</v>
      </c>
      <c r="D2335" s="23" t="s">
        <v>915</v>
      </c>
      <c r="E2335" s="23" t="s">
        <v>37</v>
      </c>
      <c r="F2335" s="21">
        <v>1</v>
      </c>
      <c r="G2335" s="12">
        <v>10500</v>
      </c>
      <c r="H2335" s="12">
        <v>10500</v>
      </c>
      <c r="I2335" s="23" t="s">
        <v>52</v>
      </c>
      <c r="J2335" s="23" t="s">
        <v>61</v>
      </c>
      <c r="K2335" s="24" t="s">
        <v>177</v>
      </c>
      <c r="L2335" s="24">
        <v>122</v>
      </c>
      <c r="M2335" s="12">
        <v>8823.5294117647063</v>
      </c>
      <c r="N2335" s="12">
        <v>8823.5294117647063</v>
      </c>
      <c r="O2335" s="12">
        <v>1676.4705882352937</v>
      </c>
      <c r="P2335" s="13"/>
      <c r="Q2335" s="14">
        <v>2025</v>
      </c>
      <c r="R2335" s="15">
        <v>45383</v>
      </c>
      <c r="S2335" s="11" t="s">
        <v>364</v>
      </c>
      <c r="T2335" s="16">
        <v>1000</v>
      </c>
      <c r="U2335" s="17"/>
      <c r="V2335" s="12">
        <v>2385.7142857142853</v>
      </c>
      <c r="W2335" s="12">
        <v>2385.7142857142853</v>
      </c>
      <c r="X2335" s="12">
        <v>0</v>
      </c>
      <c r="Y2335" s="18">
        <v>45754</v>
      </c>
      <c r="Z2335" s="13" t="s">
        <v>516</v>
      </c>
      <c r="AA2335" s="19" t="s">
        <v>367</v>
      </c>
      <c r="AB2335" s="13" t="s">
        <v>357</v>
      </c>
      <c r="AC2335" s="13" t="s">
        <v>367</v>
      </c>
      <c r="AD2335" s="20"/>
      <c r="AE2335" s="20"/>
      <c r="AF2335" s="13" t="s">
        <v>40</v>
      </c>
      <c r="AG2335" s="15">
        <v>45383</v>
      </c>
      <c r="AH2335" s="13" t="s">
        <v>41</v>
      </c>
      <c r="AI2335" s="13" t="s">
        <v>35</v>
      </c>
      <c r="AJ2335" s="13" t="str">
        <f>VLOOKUP(E2335,Precios!Z$2:AA$941,2,FALSE)</f>
        <v>Queso RUNCA Mantecoso</v>
      </c>
      <c r="AK2335" s="14">
        <f>VLOOKUP(E2335,Precios!Z$2:BB$941,3,FALSE)*F2335</f>
        <v>-1</v>
      </c>
      <c r="AL2335" s="17"/>
      <c r="AM2335" s="17"/>
      <c r="AN2335" s="17"/>
      <c r="AO2335" s="17"/>
      <c r="AP2335" s="17"/>
      <c r="AQ2335" s="17"/>
      <c r="AR2335" s="17"/>
      <c r="AS2335" s="17"/>
      <c r="AT2335" s="17"/>
      <c r="AU2335" s="17"/>
      <c r="AV2335" s="17"/>
    </row>
    <row r="2336" spans="1:48" ht="15.75" customHeight="1">
      <c r="A2336" s="21" t="s">
        <v>43</v>
      </c>
      <c r="B2336" s="23" t="s">
        <v>1692</v>
      </c>
      <c r="C2336" s="25">
        <v>45755</v>
      </c>
      <c r="D2336" s="23" t="s">
        <v>915</v>
      </c>
      <c r="E2336" s="23" t="s">
        <v>45</v>
      </c>
      <c r="F2336" s="21">
        <v>1</v>
      </c>
      <c r="G2336" s="12">
        <v>8299.7854333055202</v>
      </c>
      <c r="H2336" s="12">
        <v>8299.7854333055202</v>
      </c>
      <c r="I2336" s="23" t="s">
        <v>52</v>
      </c>
      <c r="J2336" s="23" t="s">
        <v>61</v>
      </c>
      <c r="K2336" s="24" t="s">
        <v>177</v>
      </c>
      <c r="L2336" s="24">
        <v>122</v>
      </c>
      <c r="M2336" s="12">
        <v>6974.6096078197652</v>
      </c>
      <c r="N2336" s="12">
        <v>6974.6096078197652</v>
      </c>
      <c r="O2336" s="12">
        <v>1325.175825485755</v>
      </c>
      <c r="P2336" s="13"/>
      <c r="Q2336" s="14">
        <v>2025</v>
      </c>
      <c r="R2336" s="15">
        <v>45383</v>
      </c>
      <c r="S2336" s="11" t="s">
        <v>355</v>
      </c>
      <c r="T2336" s="16">
        <v>0</v>
      </c>
      <c r="U2336" s="17"/>
      <c r="V2336" s="12">
        <v>1123.6096078197643</v>
      </c>
      <c r="W2336" s="12">
        <v>1123.6096078197643</v>
      </c>
      <c r="X2336" s="12">
        <v>0</v>
      </c>
      <c r="Y2336" s="18">
        <v>45754</v>
      </c>
      <c r="Z2336" s="13" t="s">
        <v>516</v>
      </c>
      <c r="AA2336" s="19" t="s">
        <v>367</v>
      </c>
      <c r="AB2336" s="13" t="s">
        <v>357</v>
      </c>
      <c r="AC2336" s="13" t="s">
        <v>367</v>
      </c>
      <c r="AD2336" s="20"/>
      <c r="AE2336" s="20"/>
      <c r="AF2336" s="13" t="s">
        <v>40</v>
      </c>
      <c r="AG2336" s="15">
        <v>45383</v>
      </c>
      <c r="AH2336" s="13" t="s">
        <v>41</v>
      </c>
      <c r="AI2336" s="13" t="s">
        <v>43</v>
      </c>
      <c r="AJ2336" s="13" t="str">
        <f>VLOOKUP(E2336,Precios!Z$2:AA$941,2,FALSE)</f>
        <v>Bandeja Huevos EXTRA</v>
      </c>
      <c r="AK2336" s="14">
        <f>VLOOKUP(E2336,Precios!Z$2:BB$941,3,FALSE)*F2336</f>
        <v>-1</v>
      </c>
      <c r="AL2336" s="17"/>
      <c r="AM2336" s="17"/>
      <c r="AN2336" s="17"/>
      <c r="AO2336" s="17"/>
      <c r="AP2336" s="17"/>
      <c r="AQ2336" s="17"/>
      <c r="AR2336" s="17"/>
      <c r="AS2336" s="17"/>
      <c r="AT2336" s="17"/>
      <c r="AU2336" s="17"/>
      <c r="AV2336" s="17"/>
    </row>
    <row r="2337" spans="1:48" ht="15.75" customHeight="1">
      <c r="A2337" s="14" t="s">
        <v>47</v>
      </c>
      <c r="B2337" s="23" t="s">
        <v>1692</v>
      </c>
      <c r="C2337" s="25">
        <v>45755</v>
      </c>
      <c r="D2337" s="23" t="s">
        <v>915</v>
      </c>
      <c r="E2337" s="23" t="s">
        <v>504</v>
      </c>
      <c r="F2337" s="21">
        <v>1</v>
      </c>
      <c r="G2337" s="12">
        <v>3000.0000000000005</v>
      </c>
      <c r="H2337" s="12">
        <v>3000.0000000000005</v>
      </c>
      <c r="I2337" s="23" t="s">
        <v>52</v>
      </c>
      <c r="J2337" s="23" t="s">
        <v>61</v>
      </c>
      <c r="K2337" s="24" t="s">
        <v>177</v>
      </c>
      <c r="L2337" s="24">
        <v>122</v>
      </c>
      <c r="M2337" s="12">
        <v>2521.0084033613452</v>
      </c>
      <c r="N2337" s="12">
        <v>2521.0084033613452</v>
      </c>
      <c r="O2337" s="12">
        <v>478.99159663865521</v>
      </c>
      <c r="P2337" s="13"/>
      <c r="Q2337" s="14">
        <v>2025</v>
      </c>
      <c r="R2337" s="15">
        <v>45383</v>
      </c>
      <c r="S2337" s="11" t="s">
        <v>105</v>
      </c>
      <c r="T2337" s="16">
        <v>0</v>
      </c>
      <c r="U2337" s="17"/>
      <c r="V2337" s="12">
        <v>776.47058823529437</v>
      </c>
      <c r="W2337" s="12">
        <v>776.47058823529437</v>
      </c>
      <c r="X2337" s="12">
        <v>0</v>
      </c>
      <c r="Y2337" s="18">
        <v>45754</v>
      </c>
      <c r="Z2337" s="13" t="s">
        <v>516</v>
      </c>
      <c r="AA2337" s="19" t="s">
        <v>367</v>
      </c>
      <c r="AB2337" s="13" t="s">
        <v>357</v>
      </c>
      <c r="AC2337" s="13" t="s">
        <v>367</v>
      </c>
      <c r="AD2337" s="20"/>
      <c r="AE2337" s="20"/>
      <c r="AF2337" s="13" t="s">
        <v>40</v>
      </c>
      <c r="AG2337" s="15">
        <v>45383</v>
      </c>
      <c r="AH2337" s="13" t="s">
        <v>41</v>
      </c>
      <c r="AI2337" s="13" t="s">
        <v>47</v>
      </c>
      <c r="AJ2337" s="13" t="str">
        <f>VLOOKUP(E2337,Precios!Z$2:AA$941,2,FALSE)</f>
        <v>Paños Esponja TEDDY</v>
      </c>
      <c r="AK2337" s="14">
        <f>VLOOKUP(E2337,Precios!Z$2:BB$941,3,FALSE)*F2337</f>
        <v>-3</v>
      </c>
      <c r="AL2337" s="17"/>
      <c r="AM2337" s="17"/>
      <c r="AN2337" s="17"/>
      <c r="AO2337" s="17"/>
      <c r="AP2337" s="17"/>
      <c r="AQ2337" s="17"/>
      <c r="AR2337" s="17"/>
      <c r="AS2337" s="17"/>
      <c r="AT2337" s="17"/>
      <c r="AU2337" s="17"/>
      <c r="AV2337" s="17"/>
    </row>
    <row r="2338" spans="1:48" ht="15.75" customHeight="1">
      <c r="A2338" s="21" t="s">
        <v>73</v>
      </c>
      <c r="B2338" s="23" t="s">
        <v>1692</v>
      </c>
      <c r="C2338" s="25">
        <v>45755</v>
      </c>
      <c r="D2338" s="23" t="s">
        <v>298</v>
      </c>
      <c r="E2338" s="23" t="s">
        <v>161</v>
      </c>
      <c r="F2338" s="21">
        <v>2</v>
      </c>
      <c r="G2338" s="12">
        <v>4199.9020019599611</v>
      </c>
      <c r="H2338" s="12">
        <v>8399.8040039199223</v>
      </c>
      <c r="I2338" s="23" t="s">
        <v>52</v>
      </c>
      <c r="J2338" s="23" t="s">
        <v>61</v>
      </c>
      <c r="K2338" s="24" t="s">
        <v>177</v>
      </c>
      <c r="L2338" s="24">
        <v>122</v>
      </c>
      <c r="M2338" s="12">
        <v>3529.3294134117323</v>
      </c>
      <c r="N2338" s="12">
        <v>7058.6588268234646</v>
      </c>
      <c r="O2338" s="12">
        <v>1341.1451770964577</v>
      </c>
      <c r="P2338" s="13"/>
      <c r="Q2338" s="14">
        <v>2025</v>
      </c>
      <c r="R2338" s="15">
        <v>45383</v>
      </c>
      <c r="S2338" s="11" t="s">
        <v>424</v>
      </c>
      <c r="T2338" s="16">
        <v>0</v>
      </c>
      <c r="U2338" s="17"/>
      <c r="V2338" s="12">
        <v>2016.6588268234646</v>
      </c>
      <c r="W2338" s="12">
        <v>2016.6588268234646</v>
      </c>
      <c r="X2338" s="12">
        <v>0</v>
      </c>
      <c r="Y2338" s="18">
        <v>45754</v>
      </c>
      <c r="Z2338" s="13" t="s">
        <v>516</v>
      </c>
      <c r="AA2338" s="19" t="s">
        <v>373</v>
      </c>
      <c r="AB2338" s="13" t="s">
        <v>357</v>
      </c>
      <c r="AC2338" s="13" t="s">
        <v>706</v>
      </c>
      <c r="AD2338" s="20"/>
      <c r="AE2338" s="20"/>
      <c r="AF2338" s="13" t="s">
        <v>40</v>
      </c>
      <c r="AG2338" s="15">
        <v>45383</v>
      </c>
      <c r="AH2338" s="13" t="s">
        <v>41</v>
      </c>
      <c r="AI2338" s="13" t="s">
        <v>73</v>
      </c>
      <c r="AJ2338" s="13" t="str">
        <f>VLOOKUP(E2338,Precios!Z$2:AA$941,2,FALSE)</f>
        <v>Guante NITRILO Talla L</v>
      </c>
      <c r="AK2338" s="14">
        <f>VLOOKUP(E2338,Precios!Z$2:BB$941,3,FALSE)*F2338</f>
        <v>-2</v>
      </c>
      <c r="AL2338" s="17"/>
      <c r="AM2338" s="17"/>
      <c r="AN2338" s="17"/>
      <c r="AO2338" s="17"/>
      <c r="AP2338" s="17"/>
      <c r="AQ2338" s="17"/>
      <c r="AR2338" s="17"/>
      <c r="AS2338" s="17"/>
      <c r="AT2338" s="17"/>
      <c r="AU2338" s="17"/>
      <c r="AV2338" s="17"/>
    </row>
    <row r="2339" spans="1:48" ht="15.75" customHeight="1">
      <c r="A2339" s="21" t="s">
        <v>43</v>
      </c>
      <c r="B2339" s="23" t="s">
        <v>1692</v>
      </c>
      <c r="C2339" s="25">
        <v>45755</v>
      </c>
      <c r="D2339" s="23" t="s">
        <v>618</v>
      </c>
      <c r="E2339" s="23" t="s">
        <v>45</v>
      </c>
      <c r="F2339" s="14">
        <v>1</v>
      </c>
      <c r="G2339" s="12">
        <v>8299.7854333055202</v>
      </c>
      <c r="H2339" s="12">
        <v>8299.7854333055202</v>
      </c>
      <c r="I2339" s="23" t="s">
        <v>52</v>
      </c>
      <c r="J2339" s="23" t="s">
        <v>61</v>
      </c>
      <c r="K2339" s="24" t="s">
        <v>177</v>
      </c>
      <c r="L2339" s="24">
        <v>122</v>
      </c>
      <c r="M2339" s="12">
        <v>6974.6096078197652</v>
      </c>
      <c r="N2339" s="12">
        <v>6974.6096078197652</v>
      </c>
      <c r="O2339" s="12">
        <v>1325.175825485755</v>
      </c>
      <c r="P2339" s="13"/>
      <c r="Q2339" s="14">
        <v>2025</v>
      </c>
      <c r="R2339" s="15">
        <v>45383</v>
      </c>
      <c r="S2339" s="11" t="s">
        <v>355</v>
      </c>
      <c r="T2339" s="16">
        <v>0</v>
      </c>
      <c r="U2339" s="17"/>
      <c r="V2339" s="12">
        <v>1123.6096078197643</v>
      </c>
      <c r="W2339" s="12">
        <v>1123.6096078197643</v>
      </c>
      <c r="X2339" s="12">
        <v>0</v>
      </c>
      <c r="Y2339" s="18">
        <v>45754</v>
      </c>
      <c r="Z2339" s="13" t="s">
        <v>516</v>
      </c>
      <c r="AA2339" s="19" t="s">
        <v>356</v>
      </c>
      <c r="AB2339" s="13" t="s">
        <v>357</v>
      </c>
      <c r="AC2339" s="13" t="s">
        <v>506</v>
      </c>
      <c r="AD2339" s="20"/>
      <c r="AE2339" s="20"/>
      <c r="AF2339" s="13" t="s">
        <v>40</v>
      </c>
      <c r="AG2339" s="15">
        <v>45383</v>
      </c>
      <c r="AH2339" s="13" t="s">
        <v>41</v>
      </c>
      <c r="AI2339" s="13" t="s">
        <v>43</v>
      </c>
      <c r="AJ2339" s="13" t="str">
        <f>VLOOKUP(E2339,Precios!Z$2:AA$941,2,FALSE)</f>
        <v>Bandeja Huevos EXTRA</v>
      </c>
      <c r="AK2339" s="14">
        <f>VLOOKUP(E2339,Precios!Z$2:BB$941,3,FALSE)*F2339</f>
        <v>-1</v>
      </c>
      <c r="AL2339" s="17"/>
      <c r="AM2339" s="17"/>
      <c r="AN2339" s="17"/>
      <c r="AO2339" s="17"/>
      <c r="AP2339" s="17"/>
      <c r="AQ2339" s="17"/>
      <c r="AR2339" s="17"/>
      <c r="AS2339" s="17"/>
      <c r="AT2339" s="17"/>
      <c r="AU2339" s="17"/>
      <c r="AV2339" s="17"/>
    </row>
    <row r="2340" spans="1:48" ht="15.75" customHeight="1">
      <c r="A2340" s="21" t="s">
        <v>35</v>
      </c>
      <c r="B2340" s="23" t="s">
        <v>1692</v>
      </c>
      <c r="C2340" s="25">
        <v>45755</v>
      </c>
      <c r="D2340" s="23" t="s">
        <v>618</v>
      </c>
      <c r="E2340" s="23" t="s">
        <v>37</v>
      </c>
      <c r="F2340" s="21">
        <v>1</v>
      </c>
      <c r="G2340" s="12">
        <v>10500</v>
      </c>
      <c r="H2340" s="12">
        <v>10500</v>
      </c>
      <c r="I2340" s="23" t="s">
        <v>52</v>
      </c>
      <c r="J2340" s="23" t="s">
        <v>61</v>
      </c>
      <c r="K2340" s="24" t="s">
        <v>177</v>
      </c>
      <c r="L2340" s="24">
        <v>122</v>
      </c>
      <c r="M2340" s="12">
        <v>8823.5294117647063</v>
      </c>
      <c r="N2340" s="12">
        <v>8823.5294117647063</v>
      </c>
      <c r="O2340" s="12">
        <v>1676.4705882352937</v>
      </c>
      <c r="P2340" s="13"/>
      <c r="Q2340" s="14">
        <v>2025</v>
      </c>
      <c r="R2340" s="15">
        <v>45383</v>
      </c>
      <c r="S2340" s="11" t="s">
        <v>364</v>
      </c>
      <c r="T2340" s="16">
        <v>1000</v>
      </c>
      <c r="U2340" s="17"/>
      <c r="V2340" s="12">
        <v>2385.7142857142853</v>
      </c>
      <c r="W2340" s="12">
        <v>2385.7142857142853</v>
      </c>
      <c r="X2340" s="12">
        <v>0</v>
      </c>
      <c r="Y2340" s="18">
        <v>45754</v>
      </c>
      <c r="Z2340" s="13" t="s">
        <v>516</v>
      </c>
      <c r="AA2340" s="19" t="s">
        <v>356</v>
      </c>
      <c r="AB2340" s="13" t="s">
        <v>357</v>
      </c>
      <c r="AC2340" s="13" t="s">
        <v>506</v>
      </c>
      <c r="AD2340" s="20"/>
      <c r="AE2340" s="20"/>
      <c r="AF2340" s="13" t="s">
        <v>40</v>
      </c>
      <c r="AG2340" s="15">
        <v>45383</v>
      </c>
      <c r="AH2340" s="13" t="s">
        <v>41</v>
      </c>
      <c r="AI2340" s="13" t="s">
        <v>35</v>
      </c>
      <c r="AJ2340" s="13" t="str">
        <f>VLOOKUP(E2340,Precios!Z$2:AA$941,2,FALSE)</f>
        <v>Queso RUNCA Mantecoso</v>
      </c>
      <c r="AK2340" s="14">
        <f>VLOOKUP(E2340,Precios!Z$2:BB$941,3,FALSE)*F2340</f>
        <v>-1</v>
      </c>
      <c r="AL2340" s="17"/>
      <c r="AM2340" s="17"/>
      <c r="AN2340" s="17"/>
      <c r="AO2340" s="17"/>
      <c r="AP2340" s="17"/>
      <c r="AQ2340" s="17"/>
      <c r="AR2340" s="17"/>
      <c r="AS2340" s="17"/>
      <c r="AT2340" s="17"/>
      <c r="AU2340" s="17"/>
      <c r="AV2340" s="17"/>
    </row>
    <row r="2341" spans="1:48" ht="15.75" customHeight="1">
      <c r="A2341" s="21" t="s">
        <v>35</v>
      </c>
      <c r="B2341" s="23" t="s">
        <v>1692</v>
      </c>
      <c r="C2341" s="25">
        <v>45755</v>
      </c>
      <c r="D2341" s="23" t="s">
        <v>618</v>
      </c>
      <c r="E2341" s="23" t="s">
        <v>650</v>
      </c>
      <c r="F2341" s="21">
        <v>1</v>
      </c>
      <c r="G2341" s="12">
        <v>9999.944524213548</v>
      </c>
      <c r="H2341" s="34">
        <v>9999.944524213548</v>
      </c>
      <c r="I2341" s="23" t="s">
        <v>52</v>
      </c>
      <c r="J2341" s="23" t="s">
        <v>61</v>
      </c>
      <c r="K2341" s="24" t="s">
        <v>177</v>
      </c>
      <c r="L2341" s="24">
        <v>121</v>
      </c>
      <c r="M2341" s="12">
        <v>8403.3147262298735</v>
      </c>
      <c r="N2341" s="12">
        <v>8403.3147262298735</v>
      </c>
      <c r="O2341" s="12">
        <v>1596.6297979836745</v>
      </c>
      <c r="P2341" s="13"/>
      <c r="Q2341" s="14">
        <v>2025</v>
      </c>
      <c r="R2341" s="15">
        <v>45383</v>
      </c>
      <c r="S2341" s="11" t="s">
        <v>364</v>
      </c>
      <c r="T2341" s="16">
        <v>950</v>
      </c>
      <c r="U2341" s="17"/>
      <c r="V2341" s="12">
        <v>2272.0962388349135</v>
      </c>
      <c r="W2341" s="12">
        <v>2272.0962388349135</v>
      </c>
      <c r="X2341" s="12">
        <v>0</v>
      </c>
      <c r="Y2341" s="18">
        <v>45754</v>
      </c>
      <c r="Z2341" s="13" t="s">
        <v>516</v>
      </c>
      <c r="AA2341" s="19" t="s">
        <v>356</v>
      </c>
      <c r="AB2341" s="13" t="s">
        <v>357</v>
      </c>
      <c r="AC2341" s="13" t="s">
        <v>506</v>
      </c>
      <c r="AD2341" s="20"/>
      <c r="AE2341" s="20"/>
      <c r="AF2341" s="13" t="s">
        <v>40</v>
      </c>
      <c r="AG2341" s="15">
        <v>45383</v>
      </c>
      <c r="AH2341" s="13" t="s">
        <v>41</v>
      </c>
      <c r="AI2341" s="13" t="s">
        <v>35</v>
      </c>
      <c r="AJ2341" s="13" t="str">
        <f>VLOOKUP(E2341,Precios!Z$2:AA$941,2,FALSE)</f>
        <v>Queso RUNCA Mantecoso</v>
      </c>
      <c r="AK2341" s="14">
        <f>VLOOKUP(E2341,Precios!Z$2:BB$941,3,FALSE)*F2341</f>
        <v>-0.95</v>
      </c>
      <c r="AL2341" s="17"/>
      <c r="AM2341" s="17"/>
      <c r="AN2341" s="17"/>
      <c r="AO2341" s="17"/>
      <c r="AP2341" s="17"/>
      <c r="AQ2341" s="17"/>
      <c r="AR2341" s="17"/>
      <c r="AS2341" s="17"/>
      <c r="AT2341" s="17"/>
      <c r="AU2341" s="17"/>
      <c r="AV2341" s="17"/>
    </row>
    <row r="2342" spans="1:48" ht="15.75" customHeight="1">
      <c r="A2342" s="21" t="s">
        <v>64</v>
      </c>
      <c r="B2342" s="23" t="s">
        <v>1692</v>
      </c>
      <c r="C2342" s="25">
        <v>45755</v>
      </c>
      <c r="D2342" s="23" t="s">
        <v>618</v>
      </c>
      <c r="E2342" s="23" t="s">
        <v>65</v>
      </c>
      <c r="F2342" s="21">
        <v>2</v>
      </c>
      <c r="G2342" s="12">
        <v>8199.8794599807134</v>
      </c>
      <c r="H2342" s="12">
        <v>16399.758919961427</v>
      </c>
      <c r="I2342" s="23" t="s">
        <v>52</v>
      </c>
      <c r="J2342" s="23" t="s">
        <v>61</v>
      </c>
      <c r="K2342" s="24" t="s">
        <v>177</v>
      </c>
      <c r="L2342" s="24">
        <v>122</v>
      </c>
      <c r="M2342" s="12">
        <v>6890.6550083871543</v>
      </c>
      <c r="N2342" s="12">
        <v>13781.310016774309</v>
      </c>
      <c r="O2342" s="12">
        <v>2618.448903187118</v>
      </c>
      <c r="P2342" s="13"/>
      <c r="Q2342" s="14">
        <v>2025</v>
      </c>
      <c r="R2342" s="15">
        <v>45383</v>
      </c>
      <c r="S2342" s="11" t="s">
        <v>64</v>
      </c>
      <c r="T2342" s="16">
        <v>2</v>
      </c>
      <c r="U2342" s="17"/>
      <c r="V2342" s="12">
        <v>2348.3352268583421</v>
      </c>
      <c r="W2342" s="12">
        <v>2348.3352268583421</v>
      </c>
      <c r="X2342" s="12">
        <v>0</v>
      </c>
      <c r="Y2342" s="18">
        <v>45754</v>
      </c>
      <c r="Z2342" s="13" t="s">
        <v>516</v>
      </c>
      <c r="AA2342" s="19" t="s">
        <v>356</v>
      </c>
      <c r="AB2342" s="13" t="s">
        <v>357</v>
      </c>
      <c r="AC2342" s="13" t="s">
        <v>506</v>
      </c>
      <c r="AD2342" s="20"/>
      <c r="AE2342" s="20"/>
      <c r="AF2342" s="13" t="s">
        <v>40</v>
      </c>
      <c r="AG2342" s="15">
        <v>45383</v>
      </c>
      <c r="AH2342" s="13" t="s">
        <v>41</v>
      </c>
      <c r="AI2342" s="13" t="s">
        <v>64</v>
      </c>
      <c r="AJ2342" s="13" t="str">
        <f>VLOOKUP(E2342,Precios!Z$2:AA$941,2,FALSE)</f>
        <v>Longanizas VILLABLANCA</v>
      </c>
      <c r="AK2342" s="14">
        <f>VLOOKUP(E2342,Precios!Z$2:BB$941,3,FALSE)*F2342</f>
        <v>-2</v>
      </c>
      <c r="AL2342" s="17"/>
      <c r="AM2342" s="17"/>
      <c r="AN2342" s="17"/>
      <c r="AO2342" s="17"/>
      <c r="AP2342" s="17"/>
      <c r="AQ2342" s="17"/>
      <c r="AR2342" s="17"/>
      <c r="AS2342" s="17"/>
      <c r="AT2342" s="17"/>
      <c r="AU2342" s="17"/>
      <c r="AV2342" s="17"/>
    </row>
    <row r="2343" spans="1:48" ht="15.75" customHeight="1">
      <c r="A2343" s="21" t="s">
        <v>56</v>
      </c>
      <c r="B2343" s="23" t="s">
        <v>1692</v>
      </c>
      <c r="C2343" s="25">
        <v>45755</v>
      </c>
      <c r="D2343" s="23" t="s">
        <v>618</v>
      </c>
      <c r="E2343" s="23" t="s">
        <v>190</v>
      </c>
      <c r="F2343" s="14">
        <v>1</v>
      </c>
      <c r="G2343" s="12">
        <v>2500</v>
      </c>
      <c r="H2343" s="12">
        <v>2500</v>
      </c>
      <c r="I2343" s="23" t="s">
        <v>52</v>
      </c>
      <c r="J2343" s="23" t="s">
        <v>61</v>
      </c>
      <c r="K2343" s="24" t="s">
        <v>177</v>
      </c>
      <c r="L2343" s="24">
        <v>122</v>
      </c>
      <c r="M2343" s="12">
        <v>2100.840336134454</v>
      </c>
      <c r="N2343" s="12">
        <v>2100.840336134454</v>
      </c>
      <c r="O2343" s="12">
        <v>399.15966386554601</v>
      </c>
      <c r="P2343" s="13"/>
      <c r="Q2343" s="14">
        <v>2025</v>
      </c>
      <c r="R2343" s="15">
        <v>45383</v>
      </c>
      <c r="S2343" s="11" t="s">
        <v>492</v>
      </c>
      <c r="T2343" s="16">
        <v>200</v>
      </c>
      <c r="U2343" s="17"/>
      <c r="V2343" s="12">
        <v>631.93277310924373</v>
      </c>
      <c r="W2343" s="12">
        <v>631.93277310924373</v>
      </c>
      <c r="X2343" s="12">
        <v>0</v>
      </c>
      <c r="Y2343" s="18">
        <v>45754</v>
      </c>
      <c r="Z2343" s="13" t="s">
        <v>516</v>
      </c>
      <c r="AA2343" s="19" t="s">
        <v>356</v>
      </c>
      <c r="AB2343" s="13" t="s">
        <v>357</v>
      </c>
      <c r="AC2343" s="13" t="s">
        <v>506</v>
      </c>
      <c r="AD2343" s="20"/>
      <c r="AE2343" s="20"/>
      <c r="AF2343" s="13" t="s">
        <v>40</v>
      </c>
      <c r="AG2343" s="15">
        <v>45383</v>
      </c>
      <c r="AH2343" s="13" t="s">
        <v>41</v>
      </c>
      <c r="AI2343" s="13" t="s">
        <v>56</v>
      </c>
      <c r="AJ2343" s="13" t="str">
        <f>VLOOKUP(E2343,Precios!Z$2:AA$941,2,FALSE)</f>
        <v>Mantequilla RUMAY</v>
      </c>
      <c r="AK2343" s="14">
        <f>VLOOKUP(E2343,Precios!Z$2:BB$941,3,FALSE)*F2343</f>
        <v>-1</v>
      </c>
      <c r="AL2343" s="17"/>
      <c r="AM2343" s="17"/>
      <c r="AN2343" s="17"/>
      <c r="AO2343" s="17"/>
      <c r="AP2343" s="17"/>
      <c r="AQ2343" s="17"/>
      <c r="AR2343" s="17"/>
      <c r="AS2343" s="17"/>
      <c r="AT2343" s="17"/>
      <c r="AU2343" s="17"/>
      <c r="AV2343" s="17"/>
    </row>
    <row r="2344" spans="1:48" ht="15.75" customHeight="1">
      <c r="A2344" s="21" t="s">
        <v>56</v>
      </c>
      <c r="B2344" s="23" t="s">
        <v>1692</v>
      </c>
      <c r="C2344" s="25">
        <v>45755</v>
      </c>
      <c r="D2344" s="23" t="s">
        <v>618</v>
      </c>
      <c r="E2344" s="23" t="s">
        <v>67</v>
      </c>
      <c r="F2344" s="14">
        <v>1</v>
      </c>
      <c r="G2344" s="12">
        <v>7000.0000000000009</v>
      </c>
      <c r="H2344" s="12">
        <v>7000.0000000000009</v>
      </c>
      <c r="I2344" s="23" t="s">
        <v>52</v>
      </c>
      <c r="J2344" s="23" t="s">
        <v>61</v>
      </c>
      <c r="K2344" s="24" t="s">
        <v>177</v>
      </c>
      <c r="L2344" s="24">
        <v>122</v>
      </c>
      <c r="M2344" s="12">
        <v>5882.3529411764712</v>
      </c>
      <c r="N2344" s="12">
        <v>5882.3529411764712</v>
      </c>
      <c r="O2344" s="12">
        <v>1117.6470588235297</v>
      </c>
      <c r="P2344" s="13"/>
      <c r="Q2344" s="14">
        <v>2025</v>
      </c>
      <c r="R2344" s="15">
        <v>45383</v>
      </c>
      <c r="S2344" s="11" t="s">
        <v>492</v>
      </c>
      <c r="T2344" s="16">
        <v>200</v>
      </c>
      <c r="U2344" s="17"/>
      <c r="V2344" s="12">
        <v>1512.6050420168067</v>
      </c>
      <c r="W2344" s="12">
        <v>1512.6050420168067</v>
      </c>
      <c r="X2344" s="12">
        <v>0</v>
      </c>
      <c r="Y2344" s="18">
        <v>45754</v>
      </c>
      <c r="Z2344" s="13" t="s">
        <v>516</v>
      </c>
      <c r="AA2344" s="19" t="s">
        <v>356</v>
      </c>
      <c r="AB2344" s="13" t="s">
        <v>357</v>
      </c>
      <c r="AC2344" s="13" t="s">
        <v>506</v>
      </c>
      <c r="AD2344" s="20"/>
      <c r="AE2344" s="20"/>
      <c r="AF2344" s="13" t="s">
        <v>40</v>
      </c>
      <c r="AG2344" s="15">
        <v>45383</v>
      </c>
      <c r="AH2344" s="13" t="s">
        <v>41</v>
      </c>
      <c r="AI2344" s="13" t="s">
        <v>56</v>
      </c>
      <c r="AJ2344" s="13" t="str">
        <f>VLOOKUP(E2344,Precios!Z$2:AA$941,2,FALSE)</f>
        <v>Mantequilla RUMAY</v>
      </c>
      <c r="AK2344" s="14">
        <f>VLOOKUP(E2344,Precios!Z$2:BB$941,3,FALSE)*F2344</f>
        <v>-3</v>
      </c>
      <c r="AL2344" s="17"/>
      <c r="AM2344" s="17"/>
      <c r="AN2344" s="17"/>
      <c r="AO2344" s="17"/>
      <c r="AP2344" s="17"/>
      <c r="AQ2344" s="17"/>
      <c r="AR2344" s="17"/>
      <c r="AS2344" s="17"/>
      <c r="AT2344" s="17"/>
      <c r="AU2344" s="17"/>
      <c r="AV2344" s="17"/>
    </row>
    <row r="2345" spans="1:48" ht="15.75" customHeight="1">
      <c r="A2345" s="21" t="s">
        <v>35</v>
      </c>
      <c r="B2345" s="23" t="s">
        <v>1692</v>
      </c>
      <c r="C2345" s="25">
        <v>45755</v>
      </c>
      <c r="D2345" s="23" t="s">
        <v>42</v>
      </c>
      <c r="E2345" s="23" t="s">
        <v>37</v>
      </c>
      <c r="F2345" s="14">
        <v>1</v>
      </c>
      <c r="G2345" s="12">
        <v>10500</v>
      </c>
      <c r="H2345" s="12">
        <v>10500</v>
      </c>
      <c r="I2345" s="23" t="s">
        <v>52</v>
      </c>
      <c r="J2345" s="23" t="s">
        <v>61</v>
      </c>
      <c r="K2345" s="24" t="s">
        <v>177</v>
      </c>
      <c r="L2345" s="24">
        <v>122</v>
      </c>
      <c r="M2345" s="12">
        <v>8823.5294117647063</v>
      </c>
      <c r="N2345" s="12">
        <v>8823.5294117647063</v>
      </c>
      <c r="O2345" s="12">
        <v>1676.4705882352937</v>
      </c>
      <c r="P2345" s="13"/>
      <c r="Q2345" s="14">
        <v>2025</v>
      </c>
      <c r="R2345" s="15">
        <v>45383</v>
      </c>
      <c r="S2345" s="11" t="s">
        <v>364</v>
      </c>
      <c r="T2345" s="16">
        <v>1000</v>
      </c>
      <c r="U2345" s="17"/>
      <c r="V2345" s="12">
        <v>2385.7142857142853</v>
      </c>
      <c r="W2345" s="12">
        <v>2385.7142857142853</v>
      </c>
      <c r="X2345" s="12">
        <v>0</v>
      </c>
      <c r="Y2345" s="18">
        <v>45754</v>
      </c>
      <c r="Z2345" s="13" t="s">
        <v>516</v>
      </c>
      <c r="AA2345" s="19" t="s">
        <v>361</v>
      </c>
      <c r="AB2345" s="13" t="s">
        <v>357</v>
      </c>
      <c r="AC2345" s="13" t="s">
        <v>506</v>
      </c>
      <c r="AD2345" s="20"/>
      <c r="AE2345" s="20"/>
      <c r="AF2345" s="13" t="s">
        <v>40</v>
      </c>
      <c r="AG2345" s="15">
        <v>45383</v>
      </c>
      <c r="AH2345" s="13" t="s">
        <v>41</v>
      </c>
      <c r="AI2345" s="13" t="s">
        <v>35</v>
      </c>
      <c r="AJ2345" s="13" t="str">
        <f>VLOOKUP(E2345,Precios!Z$2:AA$941,2,FALSE)</f>
        <v>Queso RUNCA Mantecoso</v>
      </c>
      <c r="AK2345" s="14">
        <f>VLOOKUP(E2345,Precios!Z$2:BB$941,3,FALSE)*F2345</f>
        <v>-1</v>
      </c>
      <c r="AL2345" s="17"/>
      <c r="AM2345" s="17"/>
      <c r="AN2345" s="17"/>
      <c r="AO2345" s="17"/>
      <c r="AP2345" s="17"/>
      <c r="AQ2345" s="17"/>
      <c r="AR2345" s="17"/>
      <c r="AS2345" s="17"/>
      <c r="AT2345" s="17"/>
      <c r="AU2345" s="17"/>
      <c r="AV2345" s="17"/>
    </row>
    <row r="2346" spans="1:48" ht="15.75" customHeight="1">
      <c r="A2346" s="21" t="s">
        <v>56</v>
      </c>
      <c r="B2346" s="23" t="s">
        <v>1692</v>
      </c>
      <c r="C2346" s="25">
        <v>45755</v>
      </c>
      <c r="D2346" s="23" t="s">
        <v>42</v>
      </c>
      <c r="E2346" s="23" t="s">
        <v>67</v>
      </c>
      <c r="F2346" s="14">
        <v>1</v>
      </c>
      <c r="G2346" s="12">
        <v>7000.0000000000009</v>
      </c>
      <c r="H2346" s="12">
        <v>7000.0000000000009</v>
      </c>
      <c r="I2346" s="23" t="s">
        <v>52</v>
      </c>
      <c r="J2346" s="23" t="s">
        <v>61</v>
      </c>
      <c r="K2346" s="24" t="s">
        <v>177</v>
      </c>
      <c r="L2346" s="24">
        <v>122</v>
      </c>
      <c r="M2346" s="12">
        <v>5882.3529411764712</v>
      </c>
      <c r="N2346" s="12">
        <v>5882.3529411764712</v>
      </c>
      <c r="O2346" s="12">
        <v>1117.6470588235297</v>
      </c>
      <c r="P2346" s="13"/>
      <c r="Q2346" s="14">
        <v>2025</v>
      </c>
      <c r="R2346" s="15">
        <v>45383</v>
      </c>
      <c r="S2346" s="11" t="s">
        <v>492</v>
      </c>
      <c r="T2346" s="16">
        <v>200</v>
      </c>
      <c r="U2346" s="17"/>
      <c r="V2346" s="12">
        <v>1512.6050420168067</v>
      </c>
      <c r="W2346" s="12">
        <v>1512.6050420168067</v>
      </c>
      <c r="X2346" s="12">
        <v>0</v>
      </c>
      <c r="Y2346" s="18">
        <v>45754</v>
      </c>
      <c r="Z2346" s="13" t="s">
        <v>516</v>
      </c>
      <c r="AA2346" s="19" t="s">
        <v>361</v>
      </c>
      <c r="AB2346" s="13" t="s">
        <v>357</v>
      </c>
      <c r="AC2346" s="13" t="s">
        <v>506</v>
      </c>
      <c r="AD2346" s="20"/>
      <c r="AE2346" s="20"/>
      <c r="AF2346" s="13" t="s">
        <v>40</v>
      </c>
      <c r="AG2346" s="15">
        <v>45383</v>
      </c>
      <c r="AH2346" s="13" t="s">
        <v>41</v>
      </c>
      <c r="AI2346" s="13" t="s">
        <v>56</v>
      </c>
      <c r="AJ2346" s="13" t="str">
        <f>VLOOKUP(E2346,Precios!Z$2:AA$941,2,FALSE)</f>
        <v>Mantequilla RUMAY</v>
      </c>
      <c r="AK2346" s="14">
        <f>VLOOKUP(E2346,Precios!Z$2:BB$941,3,FALSE)*F2346</f>
        <v>-3</v>
      </c>
      <c r="AL2346" s="17"/>
      <c r="AM2346" s="17"/>
      <c r="AN2346" s="17"/>
      <c r="AO2346" s="17"/>
      <c r="AP2346" s="17"/>
      <c r="AQ2346" s="17"/>
      <c r="AR2346" s="17"/>
      <c r="AS2346" s="17"/>
      <c r="AT2346" s="17"/>
      <c r="AU2346" s="17"/>
      <c r="AV2346" s="17"/>
    </row>
    <row r="2347" spans="1:48" ht="15.75" customHeight="1">
      <c r="A2347" s="14" t="s">
        <v>64</v>
      </c>
      <c r="B2347" s="23" t="s">
        <v>1692</v>
      </c>
      <c r="C2347" s="25">
        <v>45755</v>
      </c>
      <c r="D2347" s="23" t="s">
        <v>42</v>
      </c>
      <c r="E2347" s="13" t="s">
        <v>65</v>
      </c>
      <c r="F2347" s="14">
        <v>1</v>
      </c>
      <c r="G2347" s="12">
        <v>8199.8794599807134</v>
      </c>
      <c r="H2347" s="12">
        <v>8199.8794599807134</v>
      </c>
      <c r="I2347" s="23" t="s">
        <v>52</v>
      </c>
      <c r="J2347" s="23" t="s">
        <v>61</v>
      </c>
      <c r="K2347" s="24" t="s">
        <v>177</v>
      </c>
      <c r="L2347" s="24">
        <v>122</v>
      </c>
      <c r="M2347" s="12">
        <v>6890.6550083871543</v>
      </c>
      <c r="N2347" s="12">
        <v>6890.6550083871543</v>
      </c>
      <c r="O2347" s="12">
        <v>1309.224451593559</v>
      </c>
      <c r="P2347" s="13"/>
      <c r="Q2347" s="14">
        <v>2025</v>
      </c>
      <c r="R2347" s="15">
        <v>45383</v>
      </c>
      <c r="S2347" s="11" t="s">
        <v>64</v>
      </c>
      <c r="T2347" s="16">
        <v>1</v>
      </c>
      <c r="U2347" s="17"/>
      <c r="V2347" s="12">
        <v>1174.1676134291711</v>
      </c>
      <c r="W2347" s="12">
        <v>1174.1676134291711</v>
      </c>
      <c r="X2347" s="12">
        <v>0</v>
      </c>
      <c r="Y2347" s="18">
        <v>45754</v>
      </c>
      <c r="Z2347" s="13" t="s">
        <v>516</v>
      </c>
      <c r="AA2347" s="19" t="s">
        <v>361</v>
      </c>
      <c r="AB2347" s="13" t="s">
        <v>357</v>
      </c>
      <c r="AC2347" s="13" t="s">
        <v>506</v>
      </c>
      <c r="AD2347" s="20"/>
      <c r="AE2347" s="20"/>
      <c r="AF2347" s="13" t="s">
        <v>40</v>
      </c>
      <c r="AG2347" s="15">
        <v>45383</v>
      </c>
      <c r="AH2347" s="13" t="s">
        <v>41</v>
      </c>
      <c r="AI2347" s="13" t="s">
        <v>64</v>
      </c>
      <c r="AJ2347" s="13" t="str">
        <f>VLOOKUP(E2347,Precios!Z$2:AA$941,2,FALSE)</f>
        <v>Longanizas VILLABLANCA</v>
      </c>
      <c r="AK2347" s="14">
        <f>VLOOKUP(E2347,Precios!Z$2:BB$941,3,FALSE)*F2347</f>
        <v>-1</v>
      </c>
      <c r="AL2347" s="17"/>
      <c r="AM2347" s="17"/>
      <c r="AN2347" s="17"/>
      <c r="AO2347" s="17"/>
      <c r="AP2347" s="17"/>
      <c r="AQ2347" s="17"/>
      <c r="AR2347" s="17"/>
      <c r="AS2347" s="17"/>
      <c r="AT2347" s="17"/>
      <c r="AU2347" s="17"/>
      <c r="AV2347" s="17"/>
    </row>
    <row r="2348" spans="1:48" ht="15.75" customHeight="1">
      <c r="A2348" s="21" t="s">
        <v>64</v>
      </c>
      <c r="B2348" s="23" t="s">
        <v>1692</v>
      </c>
      <c r="C2348" s="22">
        <v>45755</v>
      </c>
      <c r="D2348" s="23" t="s">
        <v>222</v>
      </c>
      <c r="E2348" s="23" t="s">
        <v>65</v>
      </c>
      <c r="F2348" s="21">
        <v>1</v>
      </c>
      <c r="G2348" s="12">
        <v>8199.8794599807134</v>
      </c>
      <c r="H2348" s="12">
        <v>8199.8794599807134</v>
      </c>
      <c r="I2348" s="23" t="s">
        <v>52</v>
      </c>
      <c r="J2348" s="23" t="s">
        <v>61</v>
      </c>
      <c r="K2348" s="24" t="s">
        <v>177</v>
      </c>
      <c r="L2348" s="24">
        <v>122</v>
      </c>
      <c r="M2348" s="12">
        <v>6890.6550083871543</v>
      </c>
      <c r="N2348" s="12">
        <v>6890.6550083871543</v>
      </c>
      <c r="O2348" s="12">
        <v>1309.224451593559</v>
      </c>
      <c r="P2348" s="13"/>
      <c r="Q2348" s="14">
        <v>2025</v>
      </c>
      <c r="R2348" s="15">
        <v>45383</v>
      </c>
      <c r="S2348" s="11" t="s">
        <v>64</v>
      </c>
      <c r="T2348" s="16">
        <v>1</v>
      </c>
      <c r="U2348" s="17"/>
      <c r="V2348" s="12">
        <v>1174.1676134291711</v>
      </c>
      <c r="W2348" s="12">
        <v>1174.1676134291711</v>
      </c>
      <c r="X2348" s="12">
        <v>0</v>
      </c>
      <c r="Y2348" s="18">
        <v>45754</v>
      </c>
      <c r="Z2348" s="13" t="s">
        <v>516</v>
      </c>
      <c r="AA2348" s="19" t="s">
        <v>373</v>
      </c>
      <c r="AB2348" s="13" t="s">
        <v>357</v>
      </c>
      <c r="AC2348" s="13" t="s">
        <v>405</v>
      </c>
      <c r="AD2348" s="20"/>
      <c r="AE2348" s="20"/>
      <c r="AF2348" s="13" t="s">
        <v>40</v>
      </c>
      <c r="AG2348" s="15">
        <v>45383</v>
      </c>
      <c r="AH2348" s="13" t="s">
        <v>41</v>
      </c>
      <c r="AI2348" s="13" t="s">
        <v>64</v>
      </c>
      <c r="AJ2348" s="13" t="str">
        <f>VLOOKUP(E2348,Precios!Z$2:AA$941,2,FALSE)</f>
        <v>Longanizas VILLABLANCA</v>
      </c>
      <c r="AK2348" s="14">
        <f>VLOOKUP(E2348,Precios!Z$2:BB$941,3,FALSE)*F2348</f>
        <v>-1</v>
      </c>
      <c r="AL2348" s="17"/>
      <c r="AM2348" s="17"/>
      <c r="AN2348" s="17"/>
      <c r="AO2348" s="17"/>
      <c r="AP2348" s="17"/>
      <c r="AQ2348" s="17"/>
      <c r="AR2348" s="17"/>
      <c r="AS2348" s="17"/>
      <c r="AT2348" s="17"/>
      <c r="AU2348" s="17"/>
      <c r="AV2348" s="17"/>
    </row>
    <row r="2349" spans="1:48" ht="15.75" customHeight="1">
      <c r="A2349" s="21" t="s">
        <v>53</v>
      </c>
      <c r="B2349" s="23" t="s">
        <v>1692</v>
      </c>
      <c r="C2349" s="22">
        <v>45754</v>
      </c>
      <c r="D2349" s="23" t="s">
        <v>215</v>
      </c>
      <c r="E2349" s="23" t="s">
        <v>55</v>
      </c>
      <c r="F2349" s="21">
        <v>1</v>
      </c>
      <c r="G2349" s="12">
        <v>20899.657794676805</v>
      </c>
      <c r="H2349" s="12">
        <v>20899.657794676805</v>
      </c>
      <c r="I2349" s="23" t="s">
        <v>52</v>
      </c>
      <c r="J2349" s="23" t="s">
        <v>61</v>
      </c>
      <c r="K2349" s="24" t="s">
        <v>177</v>
      </c>
      <c r="L2349" s="24">
        <v>122</v>
      </c>
      <c r="M2349" s="12">
        <v>17562.737642585551</v>
      </c>
      <c r="N2349" s="12">
        <v>17562.737642585551</v>
      </c>
      <c r="O2349" s="12">
        <v>3336.9201520912538</v>
      </c>
      <c r="P2349" s="13"/>
      <c r="Q2349" s="14">
        <v>2025</v>
      </c>
      <c r="R2349" s="15">
        <v>45383</v>
      </c>
      <c r="S2349" s="11" t="s">
        <v>366</v>
      </c>
      <c r="T2349" s="16">
        <v>0</v>
      </c>
      <c r="U2349" s="17"/>
      <c r="V2349" s="12">
        <v>3705.7376425855509</v>
      </c>
      <c r="W2349" s="12">
        <v>3705.7376425855509</v>
      </c>
      <c r="X2349" s="12">
        <v>0</v>
      </c>
      <c r="Y2349" s="18">
        <v>45754</v>
      </c>
      <c r="Z2349" s="13" t="s">
        <v>523</v>
      </c>
      <c r="AA2349" s="19" t="s">
        <v>373</v>
      </c>
      <c r="AB2349" s="13" t="s">
        <v>357</v>
      </c>
      <c r="AC2349" s="13" t="s">
        <v>465</v>
      </c>
      <c r="AD2349" s="20"/>
      <c r="AE2349" s="20"/>
      <c r="AF2349" s="13" t="s">
        <v>40</v>
      </c>
      <c r="AG2349" s="15">
        <v>45383</v>
      </c>
      <c r="AH2349" s="13" t="s">
        <v>41</v>
      </c>
      <c r="AI2349" s="13" t="s">
        <v>53</v>
      </c>
      <c r="AJ2349" s="13" t="str">
        <f>VLOOKUP(E2349,Precios!Z$2:AA$941,2,FALSE)</f>
        <v>Papel Higienico ELITE 50 metros</v>
      </c>
      <c r="AK2349" s="14">
        <f>VLOOKUP(E2349,Precios!Z$2:BB$941,3,FALSE)*F2349</f>
        <v>-8</v>
      </c>
      <c r="AL2349" s="17"/>
      <c r="AM2349" s="17"/>
      <c r="AN2349" s="17"/>
      <c r="AO2349" s="17"/>
      <c r="AP2349" s="17"/>
      <c r="AQ2349" s="17"/>
      <c r="AR2349" s="17"/>
      <c r="AS2349" s="17"/>
      <c r="AT2349" s="17"/>
      <c r="AU2349" s="17"/>
      <c r="AV2349" s="17"/>
    </row>
    <row r="2350" spans="1:48" ht="15.75" customHeight="1">
      <c r="A2350" s="21" t="s">
        <v>43</v>
      </c>
      <c r="B2350" s="23" t="s">
        <v>1692</v>
      </c>
      <c r="C2350" s="22">
        <v>45754</v>
      </c>
      <c r="D2350" s="23" t="s">
        <v>351</v>
      </c>
      <c r="E2350" s="23" t="s">
        <v>45</v>
      </c>
      <c r="F2350" s="21">
        <v>2</v>
      </c>
      <c r="G2350" s="12">
        <v>8299.7854333055202</v>
      </c>
      <c r="H2350" s="12">
        <v>16599.57086661104</v>
      </c>
      <c r="I2350" s="23" t="s">
        <v>52</v>
      </c>
      <c r="J2350" s="23" t="s">
        <v>61</v>
      </c>
      <c r="K2350" s="24" t="s">
        <v>86</v>
      </c>
      <c r="L2350" s="24">
        <v>71</v>
      </c>
      <c r="M2350" s="12">
        <v>6974.6096078197652</v>
      </c>
      <c r="N2350" s="12">
        <v>13949.21921563953</v>
      </c>
      <c r="O2350" s="12">
        <v>2650.35165097151</v>
      </c>
      <c r="P2350" s="13"/>
      <c r="Q2350" s="14">
        <v>2025</v>
      </c>
      <c r="R2350" s="15">
        <v>45383</v>
      </c>
      <c r="S2350" s="11" t="s">
        <v>355</v>
      </c>
      <c r="T2350" s="16">
        <v>0</v>
      </c>
      <c r="U2350" s="17"/>
      <c r="V2350" s="12">
        <v>2247.2192156395286</v>
      </c>
      <c r="W2350" s="12">
        <v>2247.2192156395286</v>
      </c>
      <c r="X2350" s="12">
        <v>0</v>
      </c>
      <c r="Y2350" s="18">
        <v>45754</v>
      </c>
      <c r="Z2350" s="13" t="s">
        <v>523</v>
      </c>
      <c r="AA2350" s="19" t="s">
        <v>373</v>
      </c>
      <c r="AB2350" s="13" t="s">
        <v>394</v>
      </c>
      <c r="AC2350" s="13" t="s">
        <v>383</v>
      </c>
      <c r="AD2350" s="20"/>
      <c r="AE2350" s="20"/>
      <c r="AF2350" s="13" t="s">
        <v>40</v>
      </c>
      <c r="AG2350" s="15">
        <v>45383</v>
      </c>
      <c r="AH2350" s="13" t="s">
        <v>41</v>
      </c>
      <c r="AI2350" s="13" t="s">
        <v>43</v>
      </c>
      <c r="AJ2350" s="13" t="str">
        <f>VLOOKUP(E2350,Precios!Z$2:AA$941,2,FALSE)</f>
        <v>Bandeja Huevos EXTRA</v>
      </c>
      <c r="AK2350" s="14">
        <f>VLOOKUP(E2350,Precios!Z$2:BB$941,3,FALSE)*F2350</f>
        <v>-2</v>
      </c>
      <c r="AL2350" s="17"/>
      <c r="AM2350" s="17"/>
      <c r="AN2350" s="17"/>
      <c r="AO2350" s="17"/>
      <c r="AP2350" s="17"/>
      <c r="AQ2350" s="17"/>
      <c r="AR2350" s="17"/>
      <c r="AS2350" s="17"/>
      <c r="AT2350" s="17"/>
      <c r="AU2350" s="17"/>
      <c r="AV2350" s="17"/>
    </row>
    <row r="2351" spans="1:48" ht="15.75" customHeight="1">
      <c r="A2351" s="21" t="s">
        <v>53</v>
      </c>
      <c r="B2351" s="23" t="s">
        <v>1692</v>
      </c>
      <c r="C2351" s="22">
        <v>45754</v>
      </c>
      <c r="D2351" s="23" t="s">
        <v>351</v>
      </c>
      <c r="E2351" s="23" t="s">
        <v>55</v>
      </c>
      <c r="F2351" s="21">
        <v>1</v>
      </c>
      <c r="G2351" s="12">
        <v>20899.657794676805</v>
      </c>
      <c r="H2351" s="12">
        <v>20899.657794676805</v>
      </c>
      <c r="I2351" s="23" t="s">
        <v>52</v>
      </c>
      <c r="J2351" s="23" t="s">
        <v>61</v>
      </c>
      <c r="K2351" s="24" t="s">
        <v>86</v>
      </c>
      <c r="L2351" s="24">
        <v>71</v>
      </c>
      <c r="M2351" s="12">
        <v>17562.737642585551</v>
      </c>
      <c r="N2351" s="12">
        <v>17562.737642585551</v>
      </c>
      <c r="O2351" s="12">
        <v>3336.9201520912538</v>
      </c>
      <c r="P2351" s="13"/>
      <c r="Q2351" s="14">
        <v>2025</v>
      </c>
      <c r="R2351" s="15">
        <v>45383</v>
      </c>
      <c r="S2351" s="11" t="s">
        <v>366</v>
      </c>
      <c r="T2351" s="16">
        <v>0</v>
      </c>
      <c r="U2351" s="17"/>
      <c r="V2351" s="12">
        <v>3705.7376425855509</v>
      </c>
      <c r="W2351" s="12">
        <v>3705.7376425855509</v>
      </c>
      <c r="X2351" s="12">
        <v>0</v>
      </c>
      <c r="Y2351" s="18">
        <v>45754</v>
      </c>
      <c r="Z2351" s="13" t="s">
        <v>523</v>
      </c>
      <c r="AA2351" s="19" t="s">
        <v>373</v>
      </c>
      <c r="AB2351" s="13" t="s">
        <v>394</v>
      </c>
      <c r="AC2351" s="13" t="s">
        <v>383</v>
      </c>
      <c r="AD2351" s="20"/>
      <c r="AE2351" s="20"/>
      <c r="AF2351" s="13" t="s">
        <v>40</v>
      </c>
      <c r="AG2351" s="15">
        <v>45383</v>
      </c>
      <c r="AH2351" s="13" t="s">
        <v>41</v>
      </c>
      <c r="AI2351" s="13" t="s">
        <v>53</v>
      </c>
      <c r="AJ2351" s="13" t="str">
        <f>VLOOKUP(E2351,Precios!Z$2:AA$941,2,FALSE)</f>
        <v>Papel Higienico ELITE 50 metros</v>
      </c>
      <c r="AK2351" s="14">
        <f>VLOOKUP(E2351,Precios!Z$2:BB$941,3,FALSE)*F2351</f>
        <v>-8</v>
      </c>
      <c r="AL2351" s="17"/>
      <c r="AM2351" s="17"/>
      <c r="AN2351" s="17"/>
      <c r="AO2351" s="17"/>
      <c r="AP2351" s="17"/>
      <c r="AQ2351" s="17"/>
      <c r="AR2351" s="17"/>
      <c r="AS2351" s="17"/>
      <c r="AT2351" s="17"/>
      <c r="AU2351" s="17"/>
      <c r="AV2351" s="17"/>
    </row>
    <row r="2352" spans="1:48" ht="15.75" customHeight="1">
      <c r="A2352" s="21" t="s">
        <v>76</v>
      </c>
      <c r="B2352" s="23" t="s">
        <v>1692</v>
      </c>
      <c r="C2352" s="22">
        <v>45754</v>
      </c>
      <c r="D2352" s="23" t="s">
        <v>351</v>
      </c>
      <c r="E2352" s="23" t="s">
        <v>216</v>
      </c>
      <c r="F2352" s="21">
        <v>1</v>
      </c>
      <c r="G2352" s="12">
        <v>4300</v>
      </c>
      <c r="H2352" s="12">
        <v>4300</v>
      </c>
      <c r="I2352" s="23" t="s">
        <v>52</v>
      </c>
      <c r="J2352" s="23" t="s">
        <v>61</v>
      </c>
      <c r="K2352" s="24" t="s">
        <v>86</v>
      </c>
      <c r="L2352" s="24">
        <v>71</v>
      </c>
      <c r="M2352" s="12">
        <v>3613.4453781512607</v>
      </c>
      <c r="N2352" s="12">
        <v>3613.4453781512607</v>
      </c>
      <c r="O2352" s="12">
        <v>686.55462184873932</v>
      </c>
      <c r="P2352" s="13"/>
      <c r="Q2352" s="14">
        <v>2025</v>
      </c>
      <c r="R2352" s="15">
        <v>45383</v>
      </c>
      <c r="S2352" s="11" t="s">
        <v>479</v>
      </c>
      <c r="T2352" s="16">
        <v>5</v>
      </c>
      <c r="U2352" s="17"/>
      <c r="V2352" s="12">
        <v>1134.453781512605</v>
      </c>
      <c r="W2352" s="12">
        <v>1134.453781512605</v>
      </c>
      <c r="X2352" s="12">
        <v>0</v>
      </c>
      <c r="Y2352" s="18">
        <v>45754</v>
      </c>
      <c r="Z2352" s="13" t="s">
        <v>523</v>
      </c>
      <c r="AA2352" s="19" t="s">
        <v>373</v>
      </c>
      <c r="AB2352" s="13" t="s">
        <v>394</v>
      </c>
      <c r="AC2352" s="13" t="s">
        <v>383</v>
      </c>
      <c r="AD2352" s="20"/>
      <c r="AE2352" s="20"/>
      <c r="AF2352" s="13" t="s">
        <v>40</v>
      </c>
      <c r="AG2352" s="15">
        <v>45383</v>
      </c>
      <c r="AH2352" s="13" t="s">
        <v>41</v>
      </c>
      <c r="AI2352" s="13" t="s">
        <v>76</v>
      </c>
      <c r="AJ2352" s="13" t="str">
        <f>VLOOKUP(E2352,Precios!Z$2:AA$941,2,FALSE)</f>
        <v>Lavaloza SPUM 5 Litros</v>
      </c>
      <c r="AK2352" s="14">
        <f>VLOOKUP(E2352,Precios!Z$2:BB$941,3,FALSE)*F2352</f>
        <v>-1</v>
      </c>
      <c r="AL2352" s="17"/>
      <c r="AM2352" s="17"/>
      <c r="AN2352" s="17"/>
      <c r="AO2352" s="17"/>
      <c r="AP2352" s="17"/>
      <c r="AQ2352" s="17"/>
      <c r="AR2352" s="17"/>
      <c r="AS2352" s="17"/>
      <c r="AT2352" s="17"/>
      <c r="AU2352" s="17"/>
      <c r="AV2352" s="17"/>
    </row>
    <row r="2353" spans="1:48" ht="15.75" customHeight="1">
      <c r="A2353" s="21" t="s">
        <v>47</v>
      </c>
      <c r="B2353" s="23" t="s">
        <v>1692</v>
      </c>
      <c r="C2353" s="22">
        <v>45754</v>
      </c>
      <c r="D2353" s="23" t="s">
        <v>351</v>
      </c>
      <c r="E2353" s="23" t="s">
        <v>143</v>
      </c>
      <c r="F2353" s="21">
        <v>1</v>
      </c>
      <c r="G2353" s="12">
        <v>2999.9379074821477</v>
      </c>
      <c r="H2353" s="12">
        <v>2999.9379074821477</v>
      </c>
      <c r="I2353" s="23" t="s">
        <v>52</v>
      </c>
      <c r="J2353" s="23" t="s">
        <v>61</v>
      </c>
      <c r="K2353" s="24" t="s">
        <v>86</v>
      </c>
      <c r="L2353" s="24">
        <v>71</v>
      </c>
      <c r="M2353" s="12">
        <v>2520.9562247749141</v>
      </c>
      <c r="N2353" s="12">
        <v>2520.9562247749141</v>
      </c>
      <c r="O2353" s="12">
        <v>478.98168270723363</v>
      </c>
      <c r="P2353" s="13"/>
      <c r="Q2353" s="14">
        <v>2025</v>
      </c>
      <c r="R2353" s="15">
        <v>45383</v>
      </c>
      <c r="S2353" s="11" t="s">
        <v>414</v>
      </c>
      <c r="T2353" s="16">
        <v>0</v>
      </c>
      <c r="U2353" s="17"/>
      <c r="V2353" s="12">
        <v>1708.9562247749141</v>
      </c>
      <c r="W2353" s="12">
        <v>1708.9562247749141</v>
      </c>
      <c r="X2353" s="12">
        <v>0</v>
      </c>
      <c r="Y2353" s="18">
        <v>45754</v>
      </c>
      <c r="Z2353" s="13" t="s">
        <v>523</v>
      </c>
      <c r="AA2353" s="19" t="s">
        <v>373</v>
      </c>
      <c r="AB2353" s="13" t="s">
        <v>394</v>
      </c>
      <c r="AC2353" s="13" t="s">
        <v>383</v>
      </c>
      <c r="AD2353" s="20"/>
      <c r="AE2353" s="20"/>
      <c r="AF2353" s="13" t="s">
        <v>40</v>
      </c>
      <c r="AG2353" s="15">
        <v>45383</v>
      </c>
      <c r="AH2353" s="13" t="s">
        <v>41</v>
      </c>
      <c r="AI2353" s="13" t="s">
        <v>47</v>
      </c>
      <c r="AJ2353" s="13" t="str">
        <f>VLOOKUP(E2353,Precios!Z$2:AA$941,2,FALSE)</f>
        <v>Toalla desinfectante TEDDY 80 unidades</v>
      </c>
      <c r="AK2353" s="14">
        <f>VLOOKUP(E2353,Precios!Z$2:BB$941,3,FALSE)*F2353</f>
        <v>-1</v>
      </c>
      <c r="AL2353" s="17"/>
      <c r="AM2353" s="17"/>
      <c r="AN2353" s="17"/>
      <c r="AO2353" s="17"/>
      <c r="AP2353" s="17"/>
      <c r="AQ2353" s="17"/>
      <c r="AR2353" s="17"/>
      <c r="AS2353" s="17"/>
      <c r="AT2353" s="17"/>
      <c r="AU2353" s="17"/>
      <c r="AV2353" s="17"/>
    </row>
    <row r="2354" spans="1:48" ht="15.75" customHeight="1">
      <c r="A2354" s="21" t="s">
        <v>47</v>
      </c>
      <c r="B2354" s="23" t="s">
        <v>1692</v>
      </c>
      <c r="C2354" s="22">
        <v>45754</v>
      </c>
      <c r="D2354" s="23" t="s">
        <v>351</v>
      </c>
      <c r="E2354" s="23" t="s">
        <v>314</v>
      </c>
      <c r="F2354" s="21">
        <v>1</v>
      </c>
      <c r="G2354" s="12">
        <v>4000.4198085027374</v>
      </c>
      <c r="H2354" s="12">
        <v>4000.4198085027374</v>
      </c>
      <c r="I2354" s="23" t="s">
        <v>52</v>
      </c>
      <c r="J2354" s="23" t="s">
        <v>61</v>
      </c>
      <c r="K2354" s="24" t="s">
        <v>86</v>
      </c>
      <c r="L2354" s="24">
        <v>71</v>
      </c>
      <c r="M2354" s="12">
        <v>3361.6973180695272</v>
      </c>
      <c r="N2354" s="12">
        <v>3361.6973180695272</v>
      </c>
      <c r="O2354" s="12">
        <v>638.72249043321017</v>
      </c>
      <c r="P2354" s="13"/>
      <c r="Q2354" s="14">
        <v>2025</v>
      </c>
      <c r="R2354" s="15">
        <v>45383</v>
      </c>
      <c r="S2354" s="11" t="s">
        <v>540</v>
      </c>
      <c r="T2354" s="16">
        <v>0</v>
      </c>
      <c r="U2354" s="17"/>
      <c r="V2354" s="12">
        <v>1279.6973180695272</v>
      </c>
      <c r="W2354" s="12">
        <v>1279.6973180695272</v>
      </c>
      <c r="X2354" s="12">
        <v>0</v>
      </c>
      <c r="Y2354" s="18">
        <v>45754</v>
      </c>
      <c r="Z2354" s="13" t="s">
        <v>523</v>
      </c>
      <c r="AA2354" s="19" t="s">
        <v>373</v>
      </c>
      <c r="AB2354" s="13" t="s">
        <v>394</v>
      </c>
      <c r="AC2354" s="13" t="s">
        <v>383</v>
      </c>
      <c r="AD2354" s="20"/>
      <c r="AE2354" s="20"/>
      <c r="AF2354" s="13" t="s">
        <v>40</v>
      </c>
      <c r="AG2354" s="15">
        <v>45383</v>
      </c>
      <c r="AH2354" s="13" t="s">
        <v>41</v>
      </c>
      <c r="AI2354" s="13" t="s">
        <v>47</v>
      </c>
      <c r="AJ2354" s="13" t="str">
        <f>VLOOKUP(E2354,Precios!Z$2:AA$941,2,FALSE)</f>
        <v>Toallas Humedas Adultos TEDDY 50 unidades</v>
      </c>
      <c r="AK2354" s="14">
        <f>VLOOKUP(E2354,Precios!Z$2:BB$941,3,FALSE)*F2354</f>
        <v>-2</v>
      </c>
      <c r="AL2354" s="17"/>
      <c r="AM2354" s="17"/>
      <c r="AN2354" s="17"/>
      <c r="AO2354" s="17"/>
      <c r="AP2354" s="17"/>
      <c r="AQ2354" s="17"/>
      <c r="AR2354" s="17"/>
      <c r="AS2354" s="17"/>
      <c r="AT2354" s="17"/>
      <c r="AU2354" s="17"/>
      <c r="AV2354" s="17"/>
    </row>
    <row r="2355" spans="1:48" ht="15.75" customHeight="1">
      <c r="A2355" s="21" t="s">
        <v>47</v>
      </c>
      <c r="B2355" s="23" t="s">
        <v>1692</v>
      </c>
      <c r="C2355" s="22">
        <v>45754</v>
      </c>
      <c r="D2355" s="23" t="s">
        <v>351</v>
      </c>
      <c r="E2355" s="23" t="s">
        <v>155</v>
      </c>
      <c r="F2355" s="21">
        <v>1</v>
      </c>
      <c r="G2355" s="12">
        <v>3400</v>
      </c>
      <c r="H2355" s="12">
        <v>3400</v>
      </c>
      <c r="I2355" s="23" t="s">
        <v>52</v>
      </c>
      <c r="J2355" s="23" t="s">
        <v>61</v>
      </c>
      <c r="K2355" s="24" t="s">
        <v>86</v>
      </c>
      <c r="L2355" s="24">
        <v>71</v>
      </c>
      <c r="M2355" s="12">
        <v>2857.1428571428573</v>
      </c>
      <c r="N2355" s="12">
        <v>2857.1428571428573</v>
      </c>
      <c r="O2355" s="12">
        <v>542.85714285714266</v>
      </c>
      <c r="P2355" s="13"/>
      <c r="Q2355" s="14">
        <v>2025</v>
      </c>
      <c r="R2355" s="15">
        <v>45383</v>
      </c>
      <c r="S2355" s="11" t="s">
        <v>453</v>
      </c>
      <c r="T2355" s="16">
        <v>0</v>
      </c>
      <c r="U2355" s="17"/>
      <c r="V2355" s="12">
        <v>1255.1428571428573</v>
      </c>
      <c r="W2355" s="12">
        <v>1255.1428571428573</v>
      </c>
      <c r="X2355" s="12">
        <v>0</v>
      </c>
      <c r="Y2355" s="18">
        <v>45754</v>
      </c>
      <c r="Z2355" s="13" t="s">
        <v>523</v>
      </c>
      <c r="AA2355" s="19" t="s">
        <v>373</v>
      </c>
      <c r="AB2355" s="13" t="s">
        <v>394</v>
      </c>
      <c r="AC2355" s="13" t="s">
        <v>383</v>
      </c>
      <c r="AD2355" s="20"/>
      <c r="AE2355" s="20"/>
      <c r="AF2355" s="13" t="s">
        <v>40</v>
      </c>
      <c r="AG2355" s="15">
        <v>45383</v>
      </c>
      <c r="AH2355" s="13" t="s">
        <v>41</v>
      </c>
      <c r="AI2355" s="13" t="s">
        <v>47</v>
      </c>
      <c r="AJ2355" s="13" t="str">
        <f>VLOOKUP(E2355,Precios!Z$2:AA$941,2,FALSE)</f>
        <v xml:space="preserve">Bolsas Basura TEDDY 50x70 </v>
      </c>
      <c r="AK2355" s="14">
        <f>VLOOKUP(E2355,Precios!Z$2:BB$941,3,FALSE)*F2355</f>
        <v>-6</v>
      </c>
      <c r="AL2355" s="17"/>
      <c r="AM2355" s="17"/>
      <c r="AN2355" s="17"/>
      <c r="AO2355" s="17"/>
      <c r="AP2355" s="17"/>
      <c r="AQ2355" s="17"/>
      <c r="AR2355" s="17"/>
      <c r="AS2355" s="17"/>
      <c r="AT2355" s="17"/>
      <c r="AU2355" s="17"/>
      <c r="AV2355" s="17"/>
    </row>
    <row r="2356" spans="1:48" ht="15.75" customHeight="1">
      <c r="A2356" s="21" t="s">
        <v>47</v>
      </c>
      <c r="B2356" s="23" t="s">
        <v>1692</v>
      </c>
      <c r="C2356" s="22">
        <v>45754</v>
      </c>
      <c r="D2356" s="23" t="s">
        <v>351</v>
      </c>
      <c r="E2356" s="23" t="s">
        <v>85</v>
      </c>
      <c r="F2356" s="21">
        <v>1</v>
      </c>
      <c r="G2356" s="12">
        <v>3000.268216361198</v>
      </c>
      <c r="H2356" s="12">
        <v>3000.268216361198</v>
      </c>
      <c r="I2356" s="23" t="s">
        <v>52</v>
      </c>
      <c r="J2356" s="23" t="s">
        <v>61</v>
      </c>
      <c r="K2356" s="24" t="s">
        <v>86</v>
      </c>
      <c r="L2356" s="24">
        <v>71</v>
      </c>
      <c r="M2356" s="12">
        <v>2521.2337952615112</v>
      </c>
      <c r="N2356" s="12">
        <v>2521.2337952615112</v>
      </c>
      <c r="O2356" s="12">
        <v>479.03442109968682</v>
      </c>
      <c r="P2356" s="13"/>
      <c r="Q2356" s="14">
        <v>2025</v>
      </c>
      <c r="R2356" s="15">
        <v>45383</v>
      </c>
      <c r="S2356" s="11" t="s">
        <v>453</v>
      </c>
      <c r="T2356" s="16">
        <v>0</v>
      </c>
      <c r="U2356" s="17"/>
      <c r="V2356" s="12">
        <v>829.23379526151075</v>
      </c>
      <c r="W2356" s="12">
        <v>829.23379526151075</v>
      </c>
      <c r="X2356" s="12">
        <v>0</v>
      </c>
      <c r="Y2356" s="18">
        <v>45754</v>
      </c>
      <c r="Z2356" s="13" t="s">
        <v>523</v>
      </c>
      <c r="AA2356" s="19" t="s">
        <v>373</v>
      </c>
      <c r="AB2356" s="13" t="s">
        <v>394</v>
      </c>
      <c r="AC2356" s="13" t="s">
        <v>383</v>
      </c>
      <c r="AD2356" s="20"/>
      <c r="AE2356" s="20"/>
      <c r="AF2356" s="13" t="s">
        <v>40</v>
      </c>
      <c r="AG2356" s="15">
        <v>45383</v>
      </c>
      <c r="AH2356" s="13" t="s">
        <v>41</v>
      </c>
      <c r="AI2356" s="13" t="s">
        <v>47</v>
      </c>
      <c r="AJ2356" s="13" t="str">
        <f>VLOOKUP(E2356,Precios!Z$2:AA$941,2,FALSE)</f>
        <v xml:space="preserve">Bolsas Basura TEDDY 45x55 con Asas </v>
      </c>
      <c r="AK2356" s="14">
        <f>VLOOKUP(E2356,Precios!Z$2:BB$941,3,FALSE)*F2356</f>
        <v>-6</v>
      </c>
      <c r="AL2356" s="17"/>
      <c r="AM2356" s="17"/>
      <c r="AN2356" s="17"/>
      <c r="AO2356" s="17"/>
      <c r="AP2356" s="17"/>
      <c r="AQ2356" s="17"/>
      <c r="AR2356" s="17"/>
      <c r="AS2356" s="17"/>
      <c r="AT2356" s="17"/>
      <c r="AU2356" s="17"/>
      <c r="AV2356" s="17"/>
    </row>
    <row r="2357" spans="1:48" ht="15.75" customHeight="1">
      <c r="A2357" s="21" t="s">
        <v>47</v>
      </c>
      <c r="B2357" s="23" t="s">
        <v>1692</v>
      </c>
      <c r="C2357" s="22">
        <v>45754</v>
      </c>
      <c r="D2357" s="23" t="s">
        <v>351</v>
      </c>
      <c r="E2357" s="23" t="s">
        <v>49</v>
      </c>
      <c r="F2357" s="21">
        <v>1</v>
      </c>
      <c r="G2357" s="12">
        <v>4500.0000000000009</v>
      </c>
      <c r="H2357" s="12">
        <v>4500.0000000000009</v>
      </c>
      <c r="I2357" s="23" t="s">
        <v>52</v>
      </c>
      <c r="J2357" s="23" t="s">
        <v>61</v>
      </c>
      <c r="K2357" s="24" t="s">
        <v>86</v>
      </c>
      <c r="L2357" s="24">
        <v>71</v>
      </c>
      <c r="M2357" s="12">
        <v>3781.5126050420176</v>
      </c>
      <c r="N2357" s="12">
        <v>3781.5126050420176</v>
      </c>
      <c r="O2357" s="12">
        <v>718.48739495798327</v>
      </c>
      <c r="P2357" s="13"/>
      <c r="Q2357" s="14">
        <v>2025</v>
      </c>
      <c r="R2357" s="15">
        <v>45383</v>
      </c>
      <c r="S2357" s="11" t="s">
        <v>384</v>
      </c>
      <c r="T2357" s="16">
        <v>0</v>
      </c>
      <c r="U2357" s="17"/>
      <c r="V2357" s="12">
        <v>988.23529411764775</v>
      </c>
      <c r="W2357" s="12">
        <v>988.23529411764775</v>
      </c>
      <c r="X2357" s="12">
        <v>0</v>
      </c>
      <c r="Y2357" s="18">
        <v>45754</v>
      </c>
      <c r="Z2357" s="13" t="s">
        <v>523</v>
      </c>
      <c r="AA2357" s="19" t="s">
        <v>373</v>
      </c>
      <c r="AB2357" s="13" t="s">
        <v>394</v>
      </c>
      <c r="AC2357" s="13" t="s">
        <v>383</v>
      </c>
      <c r="AD2357" s="20"/>
      <c r="AE2357" s="20"/>
      <c r="AF2357" s="13" t="s">
        <v>40</v>
      </c>
      <c r="AG2357" s="15">
        <v>45383</v>
      </c>
      <c r="AH2357" s="13" t="s">
        <v>41</v>
      </c>
      <c r="AI2357" s="13" t="s">
        <v>47</v>
      </c>
      <c r="AJ2357" s="13" t="str">
        <f>VLOOKUP(E2357,Precios!Z$2:AA$941,2,FALSE)</f>
        <v>Jabón Lìquido BALLERINA</v>
      </c>
      <c r="AK2357" s="14">
        <f>VLOOKUP(E2357,Precios!Z$2:BB$941,3,FALSE)*F2357</f>
        <v>-3</v>
      </c>
      <c r="AL2357" s="17"/>
      <c r="AM2357" s="17"/>
      <c r="AN2357" s="17"/>
      <c r="AO2357" s="17"/>
      <c r="AP2357" s="17"/>
      <c r="AQ2357" s="17"/>
      <c r="AR2357" s="17"/>
      <c r="AS2357" s="17"/>
      <c r="AT2357" s="17"/>
      <c r="AU2357" s="17"/>
      <c r="AV2357" s="17"/>
    </row>
    <row r="2358" spans="1:48" ht="15.75" customHeight="1">
      <c r="A2358" s="21" t="s">
        <v>47</v>
      </c>
      <c r="B2358" s="23" t="s">
        <v>1692</v>
      </c>
      <c r="C2358" s="22">
        <v>45754</v>
      </c>
      <c r="D2358" s="23" t="s">
        <v>351</v>
      </c>
      <c r="E2358" s="23" t="s">
        <v>48</v>
      </c>
      <c r="F2358" s="21">
        <v>1</v>
      </c>
      <c r="G2358" s="12">
        <v>1000</v>
      </c>
      <c r="H2358" s="12">
        <v>1000</v>
      </c>
      <c r="I2358" s="23" t="s">
        <v>52</v>
      </c>
      <c r="J2358" s="23" t="s">
        <v>61</v>
      </c>
      <c r="K2358" s="24" t="s">
        <v>86</v>
      </c>
      <c r="L2358" s="24">
        <v>71</v>
      </c>
      <c r="M2358" s="12">
        <v>840.3361344537816</v>
      </c>
      <c r="N2358" s="12">
        <v>840.3361344537816</v>
      </c>
      <c r="O2358" s="12">
        <v>159.6638655462184</v>
      </c>
      <c r="P2358" s="13"/>
      <c r="Q2358" s="14">
        <v>2025</v>
      </c>
      <c r="R2358" s="15">
        <v>45383</v>
      </c>
      <c r="S2358" s="11" t="s">
        <v>416</v>
      </c>
      <c r="T2358" s="16">
        <v>0</v>
      </c>
      <c r="U2358" s="17"/>
      <c r="V2358" s="12">
        <v>330.33613445378148</v>
      </c>
      <c r="W2358" s="12">
        <v>330.33613445378148</v>
      </c>
      <c r="X2358" s="12">
        <v>0</v>
      </c>
      <c r="Y2358" s="18">
        <v>45754</v>
      </c>
      <c r="Z2358" s="13" t="s">
        <v>523</v>
      </c>
      <c r="AA2358" s="19" t="s">
        <v>373</v>
      </c>
      <c r="AB2358" s="13" t="s">
        <v>394</v>
      </c>
      <c r="AC2358" s="13" t="s">
        <v>383</v>
      </c>
      <c r="AD2358" s="20"/>
      <c r="AE2358" s="20"/>
      <c r="AF2358" s="13" t="s">
        <v>40</v>
      </c>
      <c r="AG2358" s="15">
        <v>45383</v>
      </c>
      <c r="AH2358" s="13" t="s">
        <v>41</v>
      </c>
      <c r="AI2358" s="13" t="s">
        <v>47</v>
      </c>
      <c r="AJ2358" s="13" t="str">
        <f>VLOOKUP(E2358,Precios!Z$2:AA$941,2,FALSE)</f>
        <v>Esponja Acanalada TEDDY</v>
      </c>
      <c r="AK2358" s="14">
        <f>VLOOKUP(E2358,Precios!Z$2:BB$941,3,FALSE)*F2358</f>
        <v>-5</v>
      </c>
      <c r="AL2358" s="17"/>
      <c r="AM2358" s="17"/>
      <c r="AN2358" s="17"/>
      <c r="AO2358" s="17"/>
      <c r="AP2358" s="17"/>
      <c r="AQ2358" s="17"/>
      <c r="AR2358" s="17"/>
      <c r="AS2358" s="17"/>
      <c r="AT2358" s="17"/>
      <c r="AU2358" s="17"/>
      <c r="AV2358" s="17"/>
    </row>
    <row r="2359" spans="1:48" ht="15.75" customHeight="1">
      <c r="A2359" s="21" t="s">
        <v>76</v>
      </c>
      <c r="B2359" s="23" t="s">
        <v>1692</v>
      </c>
      <c r="C2359" s="22">
        <v>45754</v>
      </c>
      <c r="D2359" s="23" t="s">
        <v>351</v>
      </c>
      <c r="E2359" s="23" t="s">
        <v>252</v>
      </c>
      <c r="F2359" s="21">
        <v>2</v>
      </c>
      <c r="G2359" s="12">
        <v>1599.969512195122</v>
      </c>
      <c r="H2359" s="12">
        <v>3199.939024390244</v>
      </c>
      <c r="I2359" s="23" t="s">
        <v>52</v>
      </c>
      <c r="J2359" s="23" t="s">
        <v>61</v>
      </c>
      <c r="K2359" s="24" t="s">
        <v>86</v>
      </c>
      <c r="L2359" s="24">
        <v>71</v>
      </c>
      <c r="M2359" s="12">
        <v>1344.5121951219512</v>
      </c>
      <c r="N2359" s="12">
        <v>2689.0243902439024</v>
      </c>
      <c r="O2359" s="12">
        <v>510.91463414634154</v>
      </c>
      <c r="P2359" s="13"/>
      <c r="Q2359" s="14">
        <v>2025</v>
      </c>
      <c r="R2359" s="15">
        <v>45383</v>
      </c>
      <c r="S2359" s="11" t="s">
        <v>252</v>
      </c>
      <c r="T2359" s="16">
        <v>0</v>
      </c>
      <c r="U2359" s="17"/>
      <c r="V2359" s="12">
        <v>925.02439024390242</v>
      </c>
      <c r="W2359" s="12">
        <v>925.02439024390242</v>
      </c>
      <c r="X2359" s="12">
        <v>0</v>
      </c>
      <c r="Y2359" s="18">
        <v>45754</v>
      </c>
      <c r="Z2359" s="13" t="s">
        <v>523</v>
      </c>
      <c r="AA2359" s="19" t="s">
        <v>373</v>
      </c>
      <c r="AB2359" s="13" t="s">
        <v>394</v>
      </c>
      <c r="AC2359" s="13" t="s">
        <v>383</v>
      </c>
      <c r="AD2359" s="20"/>
      <c r="AE2359" s="20"/>
      <c r="AF2359" s="13" t="s">
        <v>40</v>
      </c>
      <c r="AG2359" s="15">
        <v>45383</v>
      </c>
      <c r="AH2359" s="13" t="s">
        <v>41</v>
      </c>
      <c r="AI2359" s="13" t="s">
        <v>76</v>
      </c>
      <c r="AJ2359" s="13" t="str">
        <f>VLOOKUP(E2359,Precios!Z$2:AA$941,2,FALSE)</f>
        <v>Limpiapiso POETT 900 ml</v>
      </c>
      <c r="AK2359" s="14">
        <f>VLOOKUP(E2359,Precios!Z$2:BB$941,3,FALSE)*F2359</f>
        <v>-2</v>
      </c>
      <c r="AL2359" s="17"/>
      <c r="AM2359" s="17"/>
      <c r="AN2359" s="17"/>
      <c r="AO2359" s="17"/>
      <c r="AP2359" s="17"/>
      <c r="AQ2359" s="17"/>
      <c r="AR2359" s="17"/>
      <c r="AS2359" s="17"/>
      <c r="AT2359" s="17"/>
      <c r="AU2359" s="17"/>
      <c r="AV2359" s="17"/>
    </row>
    <row r="2360" spans="1:48" ht="15.75" customHeight="1">
      <c r="A2360" s="21" t="s">
        <v>76</v>
      </c>
      <c r="B2360" s="23" t="s">
        <v>1692</v>
      </c>
      <c r="C2360" s="22">
        <v>45754</v>
      </c>
      <c r="D2360" s="23" t="s">
        <v>351</v>
      </c>
      <c r="E2360" s="23" t="s">
        <v>325</v>
      </c>
      <c r="F2360" s="21">
        <v>1</v>
      </c>
      <c r="G2360" s="12">
        <v>7000.3784806704516</v>
      </c>
      <c r="H2360" s="12">
        <v>7000.3784806704516</v>
      </c>
      <c r="I2360" s="23" t="s">
        <v>52</v>
      </c>
      <c r="J2360" s="23" t="s">
        <v>61</v>
      </c>
      <c r="K2360" s="24" t="s">
        <v>86</v>
      </c>
      <c r="L2360" s="24">
        <v>71</v>
      </c>
      <c r="M2360" s="12">
        <v>5882.6709921600441</v>
      </c>
      <c r="N2360" s="12">
        <v>5882.6709921600441</v>
      </c>
      <c r="O2360" s="12">
        <v>1117.7074885104075</v>
      </c>
      <c r="P2360" s="13"/>
      <c r="Q2360" s="14">
        <v>2025</v>
      </c>
      <c r="R2360" s="15">
        <v>45383</v>
      </c>
      <c r="S2360" s="11" t="s">
        <v>479</v>
      </c>
      <c r="T2360" s="16">
        <v>0</v>
      </c>
      <c r="U2360" s="17"/>
      <c r="V2360" s="12">
        <v>1530.6709921600432</v>
      </c>
      <c r="W2360" s="12">
        <v>1530.6709921600432</v>
      </c>
      <c r="X2360" s="12">
        <v>0</v>
      </c>
      <c r="Y2360" s="18">
        <v>45754</v>
      </c>
      <c r="Z2360" s="13" t="s">
        <v>523</v>
      </c>
      <c r="AA2360" s="19" t="s">
        <v>373</v>
      </c>
      <c r="AB2360" s="13" t="s">
        <v>394</v>
      </c>
      <c r="AC2360" s="13" t="s">
        <v>383</v>
      </c>
      <c r="AD2360" s="20"/>
      <c r="AE2360" s="20"/>
      <c r="AF2360" s="13" t="s">
        <v>40</v>
      </c>
      <c r="AG2360" s="15">
        <v>45383</v>
      </c>
      <c r="AH2360" s="13" t="s">
        <v>41</v>
      </c>
      <c r="AI2360" s="13" t="s">
        <v>76</v>
      </c>
      <c r="AJ2360" s="13" t="str">
        <f>VLOOKUP(E2360,Precios!Z$2:AA$941,2,FALSE)</f>
        <v>Lavaloza MAGISTRAL 500 ml</v>
      </c>
      <c r="AK2360" s="14">
        <f>VLOOKUP(E2360,Precios!Z$2:BB$941,3,FALSE)*F2360</f>
        <v>-2</v>
      </c>
      <c r="AL2360" s="17"/>
      <c r="AM2360" s="17"/>
      <c r="AN2360" s="17"/>
      <c r="AO2360" s="17"/>
      <c r="AP2360" s="17"/>
      <c r="AQ2360" s="17"/>
      <c r="AR2360" s="17"/>
      <c r="AS2360" s="17"/>
      <c r="AT2360" s="17"/>
      <c r="AU2360" s="17"/>
      <c r="AV2360" s="17"/>
    </row>
    <row r="2361" spans="1:48" ht="15.75" customHeight="1">
      <c r="A2361" s="21" t="s">
        <v>76</v>
      </c>
      <c r="B2361" s="23" t="s">
        <v>1692</v>
      </c>
      <c r="C2361" s="22">
        <v>45754</v>
      </c>
      <c r="D2361" s="23" t="s">
        <v>351</v>
      </c>
      <c r="E2361" s="23" t="s">
        <v>337</v>
      </c>
      <c r="F2361" s="21">
        <v>2</v>
      </c>
      <c r="G2361" s="12">
        <v>1599.9448225124147</v>
      </c>
      <c r="H2361" s="12">
        <v>3199.8896450248294</v>
      </c>
      <c r="I2361" s="23" t="s">
        <v>52</v>
      </c>
      <c r="J2361" s="23" t="s">
        <v>61</v>
      </c>
      <c r="K2361" s="24" t="s">
        <v>86</v>
      </c>
      <c r="L2361" s="24">
        <v>71</v>
      </c>
      <c r="M2361" s="12">
        <v>1344.4914474894242</v>
      </c>
      <c r="N2361" s="12">
        <v>2688.9828949788484</v>
      </c>
      <c r="O2361" s="12">
        <v>510.90675004598097</v>
      </c>
      <c r="P2361" s="13"/>
      <c r="Q2361" s="14">
        <v>2025</v>
      </c>
      <c r="R2361" s="15">
        <v>45383</v>
      </c>
      <c r="S2361" s="11" t="s">
        <v>529</v>
      </c>
      <c r="T2361" s="16">
        <v>0</v>
      </c>
      <c r="U2361" s="17"/>
      <c r="V2361" s="12">
        <v>1226.9828949788484</v>
      </c>
      <c r="W2361" s="12">
        <v>1226.9828949788484</v>
      </c>
      <c r="X2361" s="12">
        <v>0</v>
      </c>
      <c r="Y2361" s="18">
        <v>45754</v>
      </c>
      <c r="Z2361" s="13" t="s">
        <v>523</v>
      </c>
      <c r="AA2361" s="19" t="s">
        <v>373</v>
      </c>
      <c r="AB2361" s="13" t="s">
        <v>394</v>
      </c>
      <c r="AC2361" s="13" t="s">
        <v>383</v>
      </c>
      <c r="AD2361" s="20"/>
      <c r="AE2361" s="20"/>
      <c r="AF2361" s="13" t="s">
        <v>40</v>
      </c>
      <c r="AG2361" s="15">
        <v>45383</v>
      </c>
      <c r="AH2361" s="13" t="s">
        <v>41</v>
      </c>
      <c r="AI2361" s="13" t="s">
        <v>76</v>
      </c>
      <c r="AJ2361" s="13" t="str">
        <f>VLOOKUP(E2361,Precios!Z$2:AA$941,2,FALSE)</f>
        <v>Limpia Inodoro TEDDY</v>
      </c>
      <c r="AK2361" s="14">
        <f>VLOOKUP(E2361,Precios!Z$2:BB$941,3,FALSE)*F2361</f>
        <v>-2</v>
      </c>
      <c r="AL2361" s="17"/>
      <c r="AM2361" s="17"/>
      <c r="AN2361" s="17"/>
      <c r="AO2361" s="17"/>
      <c r="AP2361" s="17"/>
      <c r="AQ2361" s="17"/>
      <c r="AR2361" s="17"/>
      <c r="AS2361" s="17"/>
      <c r="AT2361" s="17"/>
      <c r="AU2361" s="17"/>
      <c r="AV2361" s="17"/>
    </row>
    <row r="2362" spans="1:48" ht="15.75" customHeight="1">
      <c r="A2362" s="21" t="s">
        <v>76</v>
      </c>
      <c r="B2362" s="23" t="s">
        <v>1692</v>
      </c>
      <c r="C2362" s="22">
        <v>45754</v>
      </c>
      <c r="D2362" s="23" t="s">
        <v>351</v>
      </c>
      <c r="E2362" s="23" t="s">
        <v>185</v>
      </c>
      <c r="F2362" s="21">
        <v>1</v>
      </c>
      <c r="G2362" s="12">
        <v>3200.1383843625663</v>
      </c>
      <c r="H2362" s="12">
        <v>3200.1383843625663</v>
      </c>
      <c r="I2362" s="23" t="s">
        <v>52</v>
      </c>
      <c r="J2362" s="23" t="s">
        <v>61</v>
      </c>
      <c r="K2362" s="24" t="s">
        <v>86</v>
      </c>
      <c r="L2362" s="24">
        <v>71</v>
      </c>
      <c r="M2362" s="12">
        <v>2689.1919196324088</v>
      </c>
      <c r="N2362" s="12">
        <v>2689.1919196324088</v>
      </c>
      <c r="O2362" s="12">
        <v>510.94646473015746</v>
      </c>
      <c r="P2362" s="13"/>
      <c r="Q2362" s="14">
        <v>2025</v>
      </c>
      <c r="R2362" s="15">
        <v>45383</v>
      </c>
      <c r="S2362" s="11" t="s">
        <v>444</v>
      </c>
      <c r="T2362" s="16">
        <v>5</v>
      </c>
      <c r="U2362" s="17"/>
      <c r="V2362" s="12">
        <v>1134.570070892913</v>
      </c>
      <c r="W2362" s="12">
        <v>1134.570070892913</v>
      </c>
      <c r="X2362" s="12">
        <v>0</v>
      </c>
      <c r="Y2362" s="18">
        <v>45754</v>
      </c>
      <c r="Z2362" s="13" t="s">
        <v>523</v>
      </c>
      <c r="AA2362" s="19" t="s">
        <v>373</v>
      </c>
      <c r="AB2362" s="13" t="s">
        <v>394</v>
      </c>
      <c r="AC2362" s="13" t="s">
        <v>383</v>
      </c>
      <c r="AD2362" s="20"/>
      <c r="AE2362" s="20"/>
      <c r="AF2362" s="13" t="s">
        <v>40</v>
      </c>
      <c r="AG2362" s="15">
        <v>45383</v>
      </c>
      <c r="AH2362" s="13" t="s">
        <v>41</v>
      </c>
      <c r="AI2362" s="13" t="s">
        <v>76</v>
      </c>
      <c r="AJ2362" s="13" t="str">
        <f>VLOOKUP(E2362,Precios!Z$2:AA$941,2,FALSE)</f>
        <v>Limpia Vidrio SPUM 5 litros</v>
      </c>
      <c r="AK2362" s="14">
        <f>VLOOKUP(E2362,Precios!Z$2:BB$941,3,FALSE)*F2362</f>
        <v>-1</v>
      </c>
      <c r="AL2362" s="17"/>
      <c r="AM2362" s="17"/>
      <c r="AN2362" s="17"/>
      <c r="AO2362" s="17"/>
      <c r="AP2362" s="17"/>
      <c r="AQ2362" s="17"/>
      <c r="AR2362" s="17"/>
      <c r="AS2362" s="17"/>
      <c r="AT2362" s="17"/>
      <c r="AU2362" s="17"/>
      <c r="AV2362" s="17"/>
    </row>
    <row r="2363" spans="1:48" ht="15.75" customHeight="1">
      <c r="A2363" s="21" t="s">
        <v>76</v>
      </c>
      <c r="B2363" s="23" t="s">
        <v>1692</v>
      </c>
      <c r="C2363" s="22">
        <v>45754</v>
      </c>
      <c r="D2363" s="23" t="s">
        <v>351</v>
      </c>
      <c r="E2363" s="23" t="s">
        <v>349</v>
      </c>
      <c r="F2363" s="21">
        <v>1</v>
      </c>
      <c r="G2363" s="12">
        <v>3999.8127946357149</v>
      </c>
      <c r="H2363" s="12">
        <v>3999.8127946357149</v>
      </c>
      <c r="I2363" s="23" t="s">
        <v>52</v>
      </c>
      <c r="J2363" s="23" t="s">
        <v>61</v>
      </c>
      <c r="K2363" s="24" t="s">
        <v>86</v>
      </c>
      <c r="L2363" s="24">
        <v>71</v>
      </c>
      <c r="M2363" s="12">
        <v>3361.1872223829537</v>
      </c>
      <c r="N2363" s="12">
        <v>3361.1872223829537</v>
      </c>
      <c r="O2363" s="12">
        <v>638.62557225276123</v>
      </c>
      <c r="P2363" s="13"/>
      <c r="Q2363" s="14">
        <v>2025</v>
      </c>
      <c r="R2363" s="15">
        <v>45383</v>
      </c>
      <c r="S2363" s="11" t="s">
        <v>550</v>
      </c>
      <c r="T2363" s="16">
        <v>5</v>
      </c>
      <c r="U2363" s="17"/>
      <c r="V2363" s="12">
        <v>1386.1872223829537</v>
      </c>
      <c r="W2363" s="12">
        <v>1386.1872223829537</v>
      </c>
      <c r="X2363" s="12">
        <v>0</v>
      </c>
      <c r="Y2363" s="18">
        <v>45754</v>
      </c>
      <c r="Z2363" s="13" t="s">
        <v>523</v>
      </c>
      <c r="AA2363" s="19" t="s">
        <v>373</v>
      </c>
      <c r="AB2363" s="13" t="s">
        <v>394</v>
      </c>
      <c r="AC2363" s="13" t="s">
        <v>383</v>
      </c>
      <c r="AD2363" s="20"/>
      <c r="AE2363" s="20"/>
      <c r="AF2363" s="13" t="s">
        <v>40</v>
      </c>
      <c r="AG2363" s="15">
        <v>45383</v>
      </c>
      <c r="AH2363" s="13" t="s">
        <v>41</v>
      </c>
      <c r="AI2363" s="13" t="s">
        <v>76</v>
      </c>
      <c r="AJ2363" s="13" t="str">
        <f>VLOOKUP(E2363,Precios!Z$2:AA$941,2,FALSE)</f>
        <v>Antigrasa SPUM 5 Litros</v>
      </c>
      <c r="AK2363" s="14">
        <f>VLOOKUP(E2363,Precios!Z$2:BB$941,3,FALSE)*F2363</f>
        <v>-1</v>
      </c>
      <c r="AL2363" s="17"/>
      <c r="AM2363" s="17"/>
      <c r="AN2363" s="17"/>
      <c r="AO2363" s="17"/>
      <c r="AP2363" s="17"/>
      <c r="AQ2363" s="17"/>
      <c r="AR2363" s="17"/>
      <c r="AS2363" s="17"/>
      <c r="AT2363" s="17"/>
      <c r="AU2363" s="17"/>
      <c r="AV2363" s="17"/>
    </row>
    <row r="2364" spans="1:48" ht="15.75" customHeight="1">
      <c r="A2364" s="21" t="s">
        <v>76</v>
      </c>
      <c r="B2364" s="23" t="s">
        <v>1692</v>
      </c>
      <c r="C2364" s="22">
        <v>45754</v>
      </c>
      <c r="D2364" s="23" t="s">
        <v>351</v>
      </c>
      <c r="E2364" s="23" t="s">
        <v>212</v>
      </c>
      <c r="F2364" s="21">
        <v>1</v>
      </c>
      <c r="G2364" s="12">
        <v>3000.0000000000005</v>
      </c>
      <c r="H2364" s="12">
        <v>3000.0000000000005</v>
      </c>
      <c r="I2364" s="23" t="s">
        <v>52</v>
      </c>
      <c r="J2364" s="23" t="s">
        <v>61</v>
      </c>
      <c r="K2364" s="24" t="s">
        <v>86</v>
      </c>
      <c r="L2364" s="24">
        <v>71</v>
      </c>
      <c r="M2364" s="12">
        <v>2521.0084033613452</v>
      </c>
      <c r="N2364" s="12">
        <v>2521.0084033613452</v>
      </c>
      <c r="O2364" s="12">
        <v>478.99159663865521</v>
      </c>
      <c r="P2364" s="13"/>
      <c r="Q2364" s="14">
        <v>2025</v>
      </c>
      <c r="R2364" s="15">
        <v>45383</v>
      </c>
      <c r="S2364" s="11" t="s">
        <v>446</v>
      </c>
      <c r="T2364" s="16">
        <v>5</v>
      </c>
      <c r="U2364" s="17"/>
      <c r="V2364" s="12">
        <v>764.70588235294144</v>
      </c>
      <c r="W2364" s="12">
        <v>764.70588235294144</v>
      </c>
      <c r="X2364" s="12">
        <v>0</v>
      </c>
      <c r="Y2364" s="18">
        <v>45754</v>
      </c>
      <c r="Z2364" s="13" t="s">
        <v>523</v>
      </c>
      <c r="AA2364" s="19" t="s">
        <v>373</v>
      </c>
      <c r="AB2364" s="13" t="s">
        <v>394</v>
      </c>
      <c r="AC2364" s="13" t="s">
        <v>383</v>
      </c>
      <c r="AD2364" s="20"/>
      <c r="AE2364" s="20"/>
      <c r="AF2364" s="13" t="s">
        <v>40</v>
      </c>
      <c r="AG2364" s="15">
        <v>45383</v>
      </c>
      <c r="AH2364" s="13" t="s">
        <v>41</v>
      </c>
      <c r="AI2364" s="13" t="s">
        <v>76</v>
      </c>
      <c r="AJ2364" s="13" t="str">
        <f>VLOOKUP(E2364,Precios!Z$2:AA$941,2,FALSE)</f>
        <v>Suavizante SPUM 5 Litros</v>
      </c>
      <c r="AK2364" s="14">
        <f>VLOOKUP(E2364,Precios!Z$2:BB$941,3,FALSE)*F2364</f>
        <v>-1</v>
      </c>
      <c r="AL2364" s="17"/>
      <c r="AM2364" s="17"/>
      <c r="AN2364" s="17"/>
      <c r="AO2364" s="17"/>
      <c r="AP2364" s="17"/>
      <c r="AQ2364" s="17"/>
      <c r="AR2364" s="17"/>
      <c r="AS2364" s="17"/>
      <c r="AT2364" s="17"/>
      <c r="AU2364" s="17"/>
      <c r="AV2364" s="17"/>
    </row>
    <row r="2365" spans="1:48" ht="15.75" customHeight="1">
      <c r="A2365" s="21" t="s">
        <v>73</v>
      </c>
      <c r="B2365" s="23" t="s">
        <v>1692</v>
      </c>
      <c r="C2365" s="22">
        <v>45754</v>
      </c>
      <c r="D2365" s="23" t="s">
        <v>351</v>
      </c>
      <c r="E2365" s="23" t="s">
        <v>161</v>
      </c>
      <c r="F2365" s="21">
        <v>1</v>
      </c>
      <c r="G2365" s="12">
        <v>4199.9020019599611</v>
      </c>
      <c r="H2365" s="12">
        <v>4199.9020019599611</v>
      </c>
      <c r="I2365" s="23" t="s">
        <v>52</v>
      </c>
      <c r="J2365" s="23" t="s">
        <v>61</v>
      </c>
      <c r="K2365" s="24" t="s">
        <v>86</v>
      </c>
      <c r="L2365" s="24">
        <v>71</v>
      </c>
      <c r="M2365" s="12">
        <v>3529.3294134117323</v>
      </c>
      <c r="N2365" s="12">
        <v>3529.3294134117323</v>
      </c>
      <c r="O2365" s="12">
        <v>670.57258854822885</v>
      </c>
      <c r="P2365" s="13"/>
      <c r="Q2365" s="14">
        <v>2025</v>
      </c>
      <c r="R2365" s="15">
        <v>45383</v>
      </c>
      <c r="S2365" s="11" t="s">
        <v>424</v>
      </c>
      <c r="T2365" s="16">
        <v>0</v>
      </c>
      <c r="U2365" s="17"/>
      <c r="V2365" s="12">
        <v>1008.3294134117323</v>
      </c>
      <c r="W2365" s="12">
        <v>1008.3294134117323</v>
      </c>
      <c r="X2365" s="12">
        <v>0</v>
      </c>
      <c r="Y2365" s="18">
        <v>45754</v>
      </c>
      <c r="Z2365" s="13" t="s">
        <v>523</v>
      </c>
      <c r="AA2365" s="19" t="s">
        <v>373</v>
      </c>
      <c r="AB2365" s="13" t="s">
        <v>394</v>
      </c>
      <c r="AC2365" s="13" t="s">
        <v>383</v>
      </c>
      <c r="AD2365" s="20"/>
      <c r="AE2365" s="20"/>
      <c r="AF2365" s="13" t="s">
        <v>40</v>
      </c>
      <c r="AG2365" s="15">
        <v>45383</v>
      </c>
      <c r="AH2365" s="13" t="s">
        <v>41</v>
      </c>
      <c r="AI2365" s="13" t="s">
        <v>73</v>
      </c>
      <c r="AJ2365" s="13" t="str">
        <f>VLOOKUP(E2365,Precios!Z$2:AA$941,2,FALSE)</f>
        <v>Guante NITRILO Talla L</v>
      </c>
      <c r="AK2365" s="14">
        <f>VLOOKUP(E2365,Precios!Z$2:BB$941,3,FALSE)*F2365</f>
        <v>-1</v>
      </c>
      <c r="AL2365" s="17"/>
      <c r="AM2365" s="17"/>
      <c r="AN2365" s="17"/>
      <c r="AO2365" s="17"/>
      <c r="AP2365" s="17"/>
      <c r="AQ2365" s="17"/>
      <c r="AR2365" s="17"/>
      <c r="AS2365" s="17"/>
      <c r="AT2365" s="17"/>
      <c r="AU2365" s="17"/>
      <c r="AV2365" s="17"/>
    </row>
    <row r="2366" spans="1:48" ht="15.75" customHeight="1">
      <c r="A2366" s="21" t="s">
        <v>147</v>
      </c>
      <c r="B2366" s="23" t="s">
        <v>1692</v>
      </c>
      <c r="C2366" s="22">
        <v>45754</v>
      </c>
      <c r="D2366" s="23" t="s">
        <v>707</v>
      </c>
      <c r="E2366" s="23" t="s">
        <v>296</v>
      </c>
      <c r="F2366" s="21">
        <v>1</v>
      </c>
      <c r="G2366" s="12">
        <v>6000.0775704921853</v>
      </c>
      <c r="H2366" s="12">
        <v>6000.0775704921853</v>
      </c>
      <c r="I2366" s="23" t="s">
        <v>52</v>
      </c>
      <c r="J2366" s="23" t="s">
        <v>61</v>
      </c>
      <c r="K2366" s="24" t="s">
        <v>177</v>
      </c>
      <c r="L2366" s="24">
        <v>122</v>
      </c>
      <c r="M2366" s="12">
        <v>5042.0819920102404</v>
      </c>
      <c r="N2366" s="12">
        <v>5042.0819920102404</v>
      </c>
      <c r="O2366" s="12">
        <v>957.9955784819449</v>
      </c>
      <c r="P2366" s="13"/>
      <c r="Q2366" s="14">
        <v>2025</v>
      </c>
      <c r="R2366" s="15">
        <v>45383</v>
      </c>
      <c r="S2366" s="11" t="s">
        <v>455</v>
      </c>
      <c r="T2366" s="16">
        <v>0</v>
      </c>
      <c r="U2366" s="17"/>
      <c r="V2366" s="12">
        <v>2442.0819920102394</v>
      </c>
      <c r="W2366" s="12">
        <v>2442.0819920102394</v>
      </c>
      <c r="X2366" s="12">
        <v>0</v>
      </c>
      <c r="Y2366" s="18">
        <v>45754</v>
      </c>
      <c r="Z2366" s="13" t="s">
        <v>523</v>
      </c>
      <c r="AA2366" s="19" t="s">
        <v>373</v>
      </c>
      <c r="AB2366" s="13" t="s">
        <v>357</v>
      </c>
      <c r="AC2366" s="13" t="s">
        <v>708</v>
      </c>
      <c r="AD2366" s="20"/>
      <c r="AE2366" s="20"/>
      <c r="AF2366" s="13" t="s">
        <v>40</v>
      </c>
      <c r="AG2366" s="15">
        <v>45383</v>
      </c>
      <c r="AH2366" s="13" t="s">
        <v>41</v>
      </c>
      <c r="AI2366" s="13" t="s">
        <v>147</v>
      </c>
      <c r="AJ2366" s="13" t="str">
        <f>VLOOKUP(E2366,Precios!Z$2:AA$941,2,FALSE)</f>
        <v>Film Embalaje</v>
      </c>
      <c r="AK2366" s="14">
        <f>VLOOKUP(E2366,Precios!Z$2:BB$941,3,FALSE)*F2366</f>
        <v>-1</v>
      </c>
      <c r="AL2366" s="17"/>
      <c r="AM2366" s="17"/>
      <c r="AN2366" s="17"/>
      <c r="AO2366" s="17"/>
      <c r="AP2366" s="17"/>
      <c r="AQ2366" s="17"/>
      <c r="AR2366" s="17"/>
      <c r="AS2366" s="17"/>
      <c r="AT2366" s="17"/>
      <c r="AU2366" s="17"/>
      <c r="AV2366" s="17"/>
    </row>
    <row r="2367" spans="1:48" ht="15.75" customHeight="1">
      <c r="A2367" s="21" t="s">
        <v>73</v>
      </c>
      <c r="B2367" s="23" t="s">
        <v>1692</v>
      </c>
      <c r="C2367" s="22">
        <v>45754</v>
      </c>
      <c r="D2367" s="23" t="s">
        <v>269</v>
      </c>
      <c r="E2367" s="23" t="s">
        <v>161</v>
      </c>
      <c r="F2367" s="21">
        <v>3</v>
      </c>
      <c r="G2367" s="12">
        <v>4199.9020019599611</v>
      </c>
      <c r="H2367" s="12">
        <v>12599.706005879883</v>
      </c>
      <c r="I2367" s="23" t="s">
        <v>52</v>
      </c>
      <c r="J2367" s="23" t="s">
        <v>61</v>
      </c>
      <c r="K2367" s="24" t="s">
        <v>86</v>
      </c>
      <c r="L2367" s="24">
        <v>70</v>
      </c>
      <c r="M2367" s="12">
        <v>3529.3294134117323</v>
      </c>
      <c r="N2367" s="12">
        <v>10587.988240235196</v>
      </c>
      <c r="O2367" s="12">
        <v>2011.7177656446875</v>
      </c>
      <c r="P2367" s="13"/>
      <c r="Q2367" s="14">
        <v>2025</v>
      </c>
      <c r="R2367" s="15">
        <v>45383</v>
      </c>
      <c r="S2367" s="11" t="s">
        <v>424</v>
      </c>
      <c r="T2367" s="16">
        <v>0</v>
      </c>
      <c r="U2367" s="17"/>
      <c r="V2367" s="12">
        <v>3024.9882402351968</v>
      </c>
      <c r="W2367" s="12">
        <v>3024.9882402351968</v>
      </c>
      <c r="X2367" s="12">
        <v>0</v>
      </c>
      <c r="Y2367" s="18">
        <v>45754</v>
      </c>
      <c r="Z2367" s="13" t="s">
        <v>523</v>
      </c>
      <c r="AA2367" s="19" t="s">
        <v>373</v>
      </c>
      <c r="AB2367" s="13" t="s">
        <v>394</v>
      </c>
      <c r="AC2367" s="13" t="s">
        <v>709</v>
      </c>
      <c r="AD2367" s="20"/>
      <c r="AE2367" s="20"/>
      <c r="AF2367" s="13" t="s">
        <v>40</v>
      </c>
      <c r="AG2367" s="15">
        <v>45383</v>
      </c>
      <c r="AH2367" s="13" t="s">
        <v>41</v>
      </c>
      <c r="AI2367" s="13" t="s">
        <v>73</v>
      </c>
      <c r="AJ2367" s="13" t="str">
        <f>VLOOKUP(E2367,Precios!Z$2:AA$941,2,FALSE)</f>
        <v>Guante NITRILO Talla L</v>
      </c>
      <c r="AK2367" s="14">
        <f>VLOOKUP(E2367,Precios!Z$2:BB$941,3,FALSE)*F2367</f>
        <v>-3</v>
      </c>
      <c r="AL2367" s="17"/>
      <c r="AM2367" s="17"/>
      <c r="AN2367" s="17"/>
      <c r="AO2367" s="17"/>
      <c r="AP2367" s="17"/>
      <c r="AQ2367" s="17"/>
      <c r="AR2367" s="17"/>
      <c r="AS2367" s="17"/>
      <c r="AT2367" s="17"/>
      <c r="AU2367" s="17"/>
      <c r="AV2367" s="17"/>
    </row>
    <row r="2368" spans="1:48" ht="15.75" customHeight="1">
      <c r="A2368" s="21" t="s">
        <v>35</v>
      </c>
      <c r="B2368" s="23" t="s">
        <v>1692</v>
      </c>
      <c r="C2368" s="25">
        <v>45753</v>
      </c>
      <c r="D2368" s="23" t="s">
        <v>96</v>
      </c>
      <c r="E2368" s="23" t="s">
        <v>37</v>
      </c>
      <c r="F2368" s="14">
        <v>1</v>
      </c>
      <c r="G2368" s="12">
        <v>10500</v>
      </c>
      <c r="H2368" s="12">
        <v>10500</v>
      </c>
      <c r="I2368" s="23" t="s">
        <v>52</v>
      </c>
      <c r="J2368" s="23" t="s">
        <v>61</v>
      </c>
      <c r="K2368" s="24" t="s">
        <v>177</v>
      </c>
      <c r="L2368" s="24">
        <v>121</v>
      </c>
      <c r="M2368" s="12">
        <v>8823.5294117647063</v>
      </c>
      <c r="N2368" s="12">
        <v>8823.5294117647063</v>
      </c>
      <c r="O2368" s="12">
        <v>1676.4705882352937</v>
      </c>
      <c r="P2368" s="13"/>
      <c r="Q2368" s="14">
        <v>2025</v>
      </c>
      <c r="R2368" s="15">
        <v>45383</v>
      </c>
      <c r="S2368" s="11" t="s">
        <v>364</v>
      </c>
      <c r="T2368" s="16">
        <v>1000</v>
      </c>
      <c r="U2368" s="17"/>
      <c r="V2368" s="12">
        <v>2385.7142857142853</v>
      </c>
      <c r="W2368" s="12">
        <v>2385.7142857142853</v>
      </c>
      <c r="X2368" s="12">
        <v>0</v>
      </c>
      <c r="Y2368" s="18">
        <v>45747</v>
      </c>
      <c r="Z2368" s="13" t="s">
        <v>497</v>
      </c>
      <c r="AA2368" s="19" t="s">
        <v>373</v>
      </c>
      <c r="AB2368" s="13" t="s">
        <v>357</v>
      </c>
      <c r="AC2368" s="13" t="s">
        <v>374</v>
      </c>
      <c r="AD2368" s="20"/>
      <c r="AE2368" s="20"/>
      <c r="AF2368" s="13" t="s">
        <v>40</v>
      </c>
      <c r="AG2368" s="15">
        <v>45383</v>
      </c>
      <c r="AH2368" s="13" t="s">
        <v>41</v>
      </c>
      <c r="AI2368" s="13" t="s">
        <v>35</v>
      </c>
      <c r="AJ2368" s="13" t="str">
        <f>VLOOKUP(E2368,Precios!Z$2:AA$941,2,FALSE)</f>
        <v>Queso RUNCA Mantecoso</v>
      </c>
      <c r="AK2368" s="14">
        <f>VLOOKUP(E2368,Precios!Z$2:BB$941,3,FALSE)*F2368</f>
        <v>-1</v>
      </c>
      <c r="AL2368" s="17"/>
      <c r="AM2368" s="17"/>
      <c r="AN2368" s="17"/>
      <c r="AO2368" s="17"/>
      <c r="AP2368" s="17"/>
      <c r="AQ2368" s="17"/>
      <c r="AR2368" s="17"/>
      <c r="AS2368" s="17"/>
      <c r="AT2368" s="17"/>
      <c r="AU2368" s="17"/>
      <c r="AV2368" s="17"/>
    </row>
    <row r="2369" spans="1:48" ht="15.75" customHeight="1">
      <c r="A2369" s="21" t="s">
        <v>35</v>
      </c>
      <c r="B2369" s="23" t="s">
        <v>1692</v>
      </c>
      <c r="C2369" s="25">
        <v>45753</v>
      </c>
      <c r="D2369" s="23" t="s">
        <v>96</v>
      </c>
      <c r="E2369" s="23" t="s">
        <v>37</v>
      </c>
      <c r="F2369" s="14">
        <v>1</v>
      </c>
      <c r="G2369" s="12">
        <v>10500</v>
      </c>
      <c r="H2369" s="12">
        <v>10500</v>
      </c>
      <c r="I2369" s="23" t="s">
        <v>52</v>
      </c>
      <c r="J2369" s="23" t="s">
        <v>61</v>
      </c>
      <c r="K2369" s="24" t="s">
        <v>177</v>
      </c>
      <c r="L2369" s="24">
        <v>121</v>
      </c>
      <c r="M2369" s="12">
        <v>8823.5294117647063</v>
      </c>
      <c r="N2369" s="12">
        <v>8823.5294117647063</v>
      </c>
      <c r="O2369" s="12">
        <v>1676.4705882352937</v>
      </c>
      <c r="P2369" s="13"/>
      <c r="Q2369" s="14">
        <v>2025</v>
      </c>
      <c r="R2369" s="15">
        <v>45383</v>
      </c>
      <c r="S2369" s="11" t="s">
        <v>364</v>
      </c>
      <c r="T2369" s="16">
        <v>1000</v>
      </c>
      <c r="U2369" s="17"/>
      <c r="V2369" s="12">
        <v>2385.7142857142853</v>
      </c>
      <c r="W2369" s="12">
        <v>2385.7142857142853</v>
      </c>
      <c r="X2369" s="12">
        <v>0</v>
      </c>
      <c r="Y2369" s="18">
        <v>45747</v>
      </c>
      <c r="Z2369" s="13" t="s">
        <v>497</v>
      </c>
      <c r="AA2369" s="19" t="s">
        <v>373</v>
      </c>
      <c r="AB2369" s="13" t="s">
        <v>357</v>
      </c>
      <c r="AC2369" s="13" t="s">
        <v>374</v>
      </c>
      <c r="AD2369" s="20"/>
      <c r="AE2369" s="20"/>
      <c r="AF2369" s="13" t="s">
        <v>40</v>
      </c>
      <c r="AG2369" s="15">
        <v>45383</v>
      </c>
      <c r="AH2369" s="13" t="s">
        <v>41</v>
      </c>
      <c r="AI2369" s="13" t="s">
        <v>35</v>
      </c>
      <c r="AJ2369" s="13" t="str">
        <f>VLOOKUP(E2369,Precios!Z$2:AA$941,2,FALSE)</f>
        <v>Queso RUNCA Mantecoso</v>
      </c>
      <c r="AK2369" s="14">
        <f>VLOOKUP(E2369,Precios!Z$2:BB$941,3,FALSE)*F2369</f>
        <v>-1</v>
      </c>
      <c r="AL2369" s="17"/>
      <c r="AM2369" s="17"/>
      <c r="AN2369" s="17"/>
      <c r="AO2369" s="17"/>
      <c r="AP2369" s="17"/>
      <c r="AQ2369" s="17"/>
      <c r="AR2369" s="17"/>
      <c r="AS2369" s="17"/>
      <c r="AT2369" s="17"/>
      <c r="AU2369" s="17"/>
      <c r="AV2369" s="17"/>
    </row>
    <row r="2370" spans="1:48" ht="15.75" customHeight="1">
      <c r="A2370" s="21" t="s">
        <v>64</v>
      </c>
      <c r="B2370" s="23" t="s">
        <v>1692</v>
      </c>
      <c r="C2370" s="25">
        <v>45753</v>
      </c>
      <c r="D2370" s="23" t="s">
        <v>96</v>
      </c>
      <c r="E2370" s="23" t="s">
        <v>65</v>
      </c>
      <c r="F2370" s="14">
        <v>1</v>
      </c>
      <c r="G2370" s="12">
        <v>8199.8794599807134</v>
      </c>
      <c r="H2370" s="12">
        <v>8199.8794599807134</v>
      </c>
      <c r="I2370" s="23" t="s">
        <v>52</v>
      </c>
      <c r="J2370" s="23" t="s">
        <v>61</v>
      </c>
      <c r="K2370" s="24" t="s">
        <v>177</v>
      </c>
      <c r="L2370" s="24">
        <v>121</v>
      </c>
      <c r="M2370" s="12">
        <v>6890.6550083871543</v>
      </c>
      <c r="N2370" s="12">
        <v>6890.6550083871543</v>
      </c>
      <c r="O2370" s="12">
        <v>1309.224451593559</v>
      </c>
      <c r="P2370" s="13"/>
      <c r="Q2370" s="14">
        <v>2025</v>
      </c>
      <c r="R2370" s="15">
        <v>45383</v>
      </c>
      <c r="S2370" s="11" t="s">
        <v>64</v>
      </c>
      <c r="T2370" s="16">
        <v>1</v>
      </c>
      <c r="U2370" s="17"/>
      <c r="V2370" s="12">
        <v>1174.1676134291711</v>
      </c>
      <c r="W2370" s="12">
        <v>1174.1676134291711</v>
      </c>
      <c r="X2370" s="12">
        <v>0</v>
      </c>
      <c r="Y2370" s="18">
        <v>45747</v>
      </c>
      <c r="Z2370" s="13" t="s">
        <v>497</v>
      </c>
      <c r="AA2370" s="19" t="s">
        <v>373</v>
      </c>
      <c r="AB2370" s="13" t="s">
        <v>357</v>
      </c>
      <c r="AC2370" s="13" t="s">
        <v>374</v>
      </c>
      <c r="AD2370" s="20"/>
      <c r="AE2370" s="20"/>
      <c r="AF2370" s="13" t="s">
        <v>40</v>
      </c>
      <c r="AG2370" s="15">
        <v>45383</v>
      </c>
      <c r="AH2370" s="13" t="s">
        <v>41</v>
      </c>
      <c r="AI2370" s="13" t="s">
        <v>64</v>
      </c>
      <c r="AJ2370" s="13" t="str">
        <f>VLOOKUP(E2370,Precios!Z$2:AA$941,2,FALSE)</f>
        <v>Longanizas VILLABLANCA</v>
      </c>
      <c r="AK2370" s="14">
        <f>VLOOKUP(E2370,Precios!Z$2:BB$941,3,FALSE)*F2370</f>
        <v>-1</v>
      </c>
      <c r="AL2370" s="17"/>
      <c r="AM2370" s="17"/>
      <c r="AN2370" s="17"/>
      <c r="AO2370" s="17"/>
      <c r="AP2370" s="17"/>
      <c r="AQ2370" s="17"/>
      <c r="AR2370" s="17"/>
      <c r="AS2370" s="17"/>
      <c r="AT2370" s="17"/>
      <c r="AU2370" s="17"/>
      <c r="AV2370" s="17"/>
    </row>
    <row r="2371" spans="1:48" ht="15.75" customHeight="1">
      <c r="A2371" s="21" t="s">
        <v>56</v>
      </c>
      <c r="B2371" s="23" t="s">
        <v>1692</v>
      </c>
      <c r="C2371" s="25">
        <v>45753</v>
      </c>
      <c r="D2371" s="23" t="s">
        <v>96</v>
      </c>
      <c r="E2371" s="23" t="s">
        <v>190</v>
      </c>
      <c r="F2371" s="14">
        <v>1</v>
      </c>
      <c r="G2371" s="12">
        <v>2500</v>
      </c>
      <c r="H2371" s="12">
        <v>2500</v>
      </c>
      <c r="I2371" s="23" t="s">
        <v>52</v>
      </c>
      <c r="J2371" s="23" t="s">
        <v>61</v>
      </c>
      <c r="K2371" s="24" t="s">
        <v>177</v>
      </c>
      <c r="L2371" s="24">
        <v>121</v>
      </c>
      <c r="M2371" s="12">
        <v>2100.840336134454</v>
      </c>
      <c r="N2371" s="12">
        <v>2100.840336134454</v>
      </c>
      <c r="O2371" s="12">
        <v>399.15966386554601</v>
      </c>
      <c r="P2371" s="13"/>
      <c r="Q2371" s="14">
        <v>2025</v>
      </c>
      <c r="R2371" s="15">
        <v>45383</v>
      </c>
      <c r="S2371" s="11" t="s">
        <v>492</v>
      </c>
      <c r="T2371" s="16">
        <v>200</v>
      </c>
      <c r="U2371" s="17"/>
      <c r="V2371" s="12">
        <v>631.93277310924373</v>
      </c>
      <c r="W2371" s="12">
        <v>631.93277310924373</v>
      </c>
      <c r="X2371" s="12">
        <v>0</v>
      </c>
      <c r="Y2371" s="18">
        <v>45747</v>
      </c>
      <c r="Z2371" s="13" t="s">
        <v>497</v>
      </c>
      <c r="AA2371" s="19" t="s">
        <v>373</v>
      </c>
      <c r="AB2371" s="13" t="s">
        <v>357</v>
      </c>
      <c r="AC2371" s="13" t="s">
        <v>374</v>
      </c>
      <c r="AD2371" s="20"/>
      <c r="AE2371" s="20"/>
      <c r="AF2371" s="13" t="s">
        <v>40</v>
      </c>
      <c r="AG2371" s="15">
        <v>45383</v>
      </c>
      <c r="AH2371" s="13" t="s">
        <v>41</v>
      </c>
      <c r="AI2371" s="13" t="s">
        <v>56</v>
      </c>
      <c r="AJ2371" s="13" t="str">
        <f>VLOOKUP(E2371,Precios!Z$2:AA$941,2,FALSE)</f>
        <v>Mantequilla RUMAY</v>
      </c>
      <c r="AK2371" s="14">
        <f>VLOOKUP(E2371,Precios!Z$2:BB$941,3,FALSE)*F2371</f>
        <v>-1</v>
      </c>
      <c r="AL2371" s="17"/>
      <c r="AM2371" s="17"/>
      <c r="AN2371" s="17"/>
      <c r="AO2371" s="17"/>
      <c r="AP2371" s="17"/>
      <c r="AQ2371" s="17"/>
      <c r="AR2371" s="17"/>
      <c r="AS2371" s="17"/>
      <c r="AT2371" s="17"/>
      <c r="AU2371" s="17"/>
      <c r="AV2371" s="17"/>
    </row>
    <row r="2372" spans="1:48" ht="15.75" customHeight="1">
      <c r="A2372" s="21" t="s">
        <v>43</v>
      </c>
      <c r="B2372" s="23" t="s">
        <v>1692</v>
      </c>
      <c r="C2372" s="22">
        <v>45753</v>
      </c>
      <c r="D2372" s="23" t="s">
        <v>180</v>
      </c>
      <c r="E2372" s="23" t="s">
        <v>45</v>
      </c>
      <c r="F2372" s="21">
        <v>1</v>
      </c>
      <c r="G2372" s="12">
        <v>8299.7854333055202</v>
      </c>
      <c r="H2372" s="12">
        <v>8299.7854333055202</v>
      </c>
      <c r="I2372" s="23" t="s">
        <v>52</v>
      </c>
      <c r="J2372" s="23" t="s">
        <v>61</v>
      </c>
      <c r="K2372" s="24" t="s">
        <v>177</v>
      </c>
      <c r="L2372" s="24">
        <v>121</v>
      </c>
      <c r="M2372" s="12">
        <v>6974.6096078197652</v>
      </c>
      <c r="N2372" s="12">
        <v>6974.6096078197652</v>
      </c>
      <c r="O2372" s="12">
        <v>1325.175825485755</v>
      </c>
      <c r="P2372" s="13"/>
      <c r="Q2372" s="14">
        <v>2025</v>
      </c>
      <c r="R2372" s="15">
        <v>45383</v>
      </c>
      <c r="S2372" s="11" t="s">
        <v>355</v>
      </c>
      <c r="T2372" s="16">
        <v>0</v>
      </c>
      <c r="U2372" s="17"/>
      <c r="V2372" s="12">
        <v>1123.6096078197643</v>
      </c>
      <c r="W2372" s="12">
        <v>1123.6096078197643</v>
      </c>
      <c r="X2372" s="12">
        <v>0</v>
      </c>
      <c r="Y2372" s="18">
        <v>45747</v>
      </c>
      <c r="Z2372" s="13" t="s">
        <v>497</v>
      </c>
      <c r="AA2372" s="19" t="s">
        <v>367</v>
      </c>
      <c r="AB2372" s="13" t="s">
        <v>357</v>
      </c>
      <c r="AC2372" s="13" t="s">
        <v>367</v>
      </c>
      <c r="AD2372" s="20"/>
      <c r="AE2372" s="20"/>
      <c r="AF2372" s="13" t="s">
        <v>40</v>
      </c>
      <c r="AG2372" s="15">
        <v>45383</v>
      </c>
      <c r="AH2372" s="13" t="s">
        <v>41</v>
      </c>
      <c r="AI2372" s="13" t="s">
        <v>43</v>
      </c>
      <c r="AJ2372" s="13" t="str">
        <f>VLOOKUP(E2372,Precios!Z$2:AA$941,2,FALSE)</f>
        <v>Bandeja Huevos EXTRA</v>
      </c>
      <c r="AK2372" s="14">
        <f>VLOOKUP(E2372,Precios!Z$2:BB$941,3,FALSE)*F2372</f>
        <v>-1</v>
      </c>
      <c r="AL2372" s="17"/>
      <c r="AM2372" s="17"/>
      <c r="AN2372" s="17"/>
      <c r="AO2372" s="17"/>
      <c r="AP2372" s="17"/>
      <c r="AQ2372" s="17"/>
      <c r="AR2372" s="17"/>
      <c r="AS2372" s="17"/>
      <c r="AT2372" s="17"/>
      <c r="AU2372" s="17"/>
      <c r="AV2372" s="17"/>
    </row>
    <row r="2373" spans="1:48" ht="15.75" customHeight="1">
      <c r="A2373" s="21" t="s">
        <v>53</v>
      </c>
      <c r="B2373" s="23" t="s">
        <v>1692</v>
      </c>
      <c r="C2373" s="22">
        <v>45753</v>
      </c>
      <c r="D2373" s="23" t="s">
        <v>180</v>
      </c>
      <c r="E2373" s="23" t="s">
        <v>114</v>
      </c>
      <c r="F2373" s="21">
        <v>1</v>
      </c>
      <c r="G2373" s="12">
        <v>10500</v>
      </c>
      <c r="H2373" s="12">
        <v>10500</v>
      </c>
      <c r="I2373" s="23" t="s">
        <v>52</v>
      </c>
      <c r="J2373" s="23" t="s">
        <v>61</v>
      </c>
      <c r="K2373" s="24" t="s">
        <v>177</v>
      </c>
      <c r="L2373" s="24">
        <v>121</v>
      </c>
      <c r="M2373" s="12">
        <v>8823.5294117647063</v>
      </c>
      <c r="N2373" s="12">
        <v>8823.5294117647063</v>
      </c>
      <c r="O2373" s="12">
        <v>1676.4705882352937</v>
      </c>
      <c r="P2373" s="13"/>
      <c r="Q2373" s="14">
        <v>2025</v>
      </c>
      <c r="R2373" s="15">
        <v>45383</v>
      </c>
      <c r="S2373" s="11" t="s">
        <v>369</v>
      </c>
      <c r="T2373" s="16">
        <v>0</v>
      </c>
      <c r="U2373" s="17"/>
      <c r="V2373" s="12">
        <v>2403.3613445378151</v>
      </c>
      <c r="W2373" s="12">
        <v>2403.3613445378151</v>
      </c>
      <c r="X2373" s="12">
        <v>0</v>
      </c>
      <c r="Y2373" s="18">
        <v>45747</v>
      </c>
      <c r="Z2373" s="13" t="s">
        <v>497</v>
      </c>
      <c r="AA2373" s="19" t="s">
        <v>367</v>
      </c>
      <c r="AB2373" s="13" t="s">
        <v>357</v>
      </c>
      <c r="AC2373" s="13" t="s">
        <v>367</v>
      </c>
      <c r="AD2373" s="20"/>
      <c r="AE2373" s="20"/>
      <c r="AF2373" s="13" t="s">
        <v>40</v>
      </c>
      <c r="AG2373" s="15">
        <v>45383</v>
      </c>
      <c r="AH2373" s="13" t="s">
        <v>41</v>
      </c>
      <c r="AI2373" s="13" t="s">
        <v>53</v>
      </c>
      <c r="AJ2373" s="13" t="str">
        <f>VLOOKUP(E2373,Precios!Z$2:AA$941,2,FALSE)</f>
        <v>Toalla Papel NOVA 12 metros</v>
      </c>
      <c r="AK2373" s="14">
        <f>VLOOKUP(E2373,Precios!Z$2:BB$941,3,FALSE)*F2373</f>
        <v>-8</v>
      </c>
      <c r="AL2373" s="17"/>
      <c r="AM2373" s="17"/>
      <c r="AN2373" s="17"/>
      <c r="AO2373" s="17"/>
      <c r="AP2373" s="17"/>
      <c r="AQ2373" s="17"/>
      <c r="AR2373" s="17"/>
      <c r="AS2373" s="17"/>
      <c r="AT2373" s="17"/>
      <c r="AU2373" s="17"/>
      <c r="AV2373" s="17"/>
    </row>
    <row r="2374" spans="1:48" ht="15.75" customHeight="1">
      <c r="A2374" s="21" t="s">
        <v>76</v>
      </c>
      <c r="B2374" s="23" t="s">
        <v>1692</v>
      </c>
      <c r="C2374" s="22">
        <v>45753</v>
      </c>
      <c r="D2374" s="23" t="s">
        <v>710</v>
      </c>
      <c r="E2374" s="23" t="s">
        <v>185</v>
      </c>
      <c r="F2374" s="21">
        <v>2</v>
      </c>
      <c r="G2374" s="12">
        <v>3200.1383843625663</v>
      </c>
      <c r="H2374" s="12">
        <v>6400.2767687251326</v>
      </c>
      <c r="I2374" s="23" t="s">
        <v>52</v>
      </c>
      <c r="J2374" s="23" t="s">
        <v>61</v>
      </c>
      <c r="K2374" s="24" t="s">
        <v>177</v>
      </c>
      <c r="L2374" s="24">
        <v>121</v>
      </c>
      <c r="M2374" s="12">
        <v>2689.1919196324088</v>
      </c>
      <c r="N2374" s="12">
        <v>5378.3838392648177</v>
      </c>
      <c r="O2374" s="12">
        <v>1021.8929294603149</v>
      </c>
      <c r="P2374" s="13"/>
      <c r="Q2374" s="14">
        <v>2025</v>
      </c>
      <c r="R2374" s="15">
        <v>45383</v>
      </c>
      <c r="S2374" s="11" t="s">
        <v>444</v>
      </c>
      <c r="T2374" s="16">
        <v>10</v>
      </c>
      <c r="U2374" s="17"/>
      <c r="V2374" s="12">
        <v>2269.140141785826</v>
      </c>
      <c r="W2374" s="12">
        <v>2269.140141785826</v>
      </c>
      <c r="X2374" s="12">
        <v>0</v>
      </c>
      <c r="Y2374" s="18">
        <v>45747</v>
      </c>
      <c r="Z2374" s="13" t="s">
        <v>497</v>
      </c>
      <c r="AA2374" s="19" t="s">
        <v>373</v>
      </c>
      <c r="AB2374" s="13" t="s">
        <v>357</v>
      </c>
      <c r="AC2374" s="13" t="s">
        <v>711</v>
      </c>
      <c r="AD2374" s="20"/>
      <c r="AE2374" s="20"/>
      <c r="AF2374" s="13" t="s">
        <v>40</v>
      </c>
      <c r="AG2374" s="15">
        <v>45383</v>
      </c>
      <c r="AH2374" s="13" t="s">
        <v>41</v>
      </c>
      <c r="AI2374" s="13" t="s">
        <v>76</v>
      </c>
      <c r="AJ2374" s="13" t="str">
        <f>VLOOKUP(E2374,Precios!Z$2:AA$941,2,FALSE)</f>
        <v>Limpia Vidrio SPUM 5 litros</v>
      </c>
      <c r="AK2374" s="14">
        <f>VLOOKUP(E2374,Precios!Z$2:BB$941,3,FALSE)*F2374</f>
        <v>-2</v>
      </c>
      <c r="AL2374" s="17"/>
      <c r="AM2374" s="17"/>
      <c r="AN2374" s="17"/>
      <c r="AO2374" s="17"/>
      <c r="AP2374" s="17"/>
      <c r="AQ2374" s="17"/>
      <c r="AR2374" s="17"/>
      <c r="AS2374" s="17"/>
      <c r="AT2374" s="17"/>
      <c r="AU2374" s="17"/>
      <c r="AV2374" s="17"/>
    </row>
    <row r="2375" spans="1:48" ht="15.75" customHeight="1">
      <c r="A2375" s="21" t="s">
        <v>43</v>
      </c>
      <c r="B2375" s="23" t="s">
        <v>1692</v>
      </c>
      <c r="C2375" s="22">
        <v>45752</v>
      </c>
      <c r="D2375" s="23" t="s">
        <v>120</v>
      </c>
      <c r="E2375" s="23" t="s">
        <v>45</v>
      </c>
      <c r="F2375" s="21">
        <v>2</v>
      </c>
      <c r="G2375" s="12">
        <v>8299.7854333055202</v>
      </c>
      <c r="H2375" s="12">
        <v>16599.57086661104</v>
      </c>
      <c r="I2375" s="13" t="s">
        <v>52</v>
      </c>
      <c r="J2375" s="23" t="s">
        <v>61</v>
      </c>
      <c r="K2375" s="24" t="s">
        <v>177</v>
      </c>
      <c r="L2375" s="24">
        <v>121</v>
      </c>
      <c r="M2375" s="12">
        <v>6974.6096078197652</v>
      </c>
      <c r="N2375" s="12">
        <v>13949.21921563953</v>
      </c>
      <c r="O2375" s="12">
        <v>2650.35165097151</v>
      </c>
      <c r="P2375" s="13"/>
      <c r="Q2375" s="14">
        <v>2025</v>
      </c>
      <c r="R2375" s="15">
        <v>45383</v>
      </c>
      <c r="S2375" s="11" t="s">
        <v>355</v>
      </c>
      <c r="T2375" s="16">
        <v>0</v>
      </c>
      <c r="U2375" s="17"/>
      <c r="V2375" s="12">
        <v>2247.2192156395286</v>
      </c>
      <c r="W2375" s="12">
        <v>2247.2192156395286</v>
      </c>
      <c r="X2375" s="12">
        <v>0</v>
      </c>
      <c r="Y2375" s="18">
        <v>45747</v>
      </c>
      <c r="Z2375" s="13" t="s">
        <v>501</v>
      </c>
      <c r="AA2375" s="19" t="s">
        <v>373</v>
      </c>
      <c r="AB2375" s="13" t="s">
        <v>357</v>
      </c>
      <c r="AC2375" s="13" t="s">
        <v>383</v>
      </c>
      <c r="AD2375" s="20"/>
      <c r="AE2375" s="20"/>
      <c r="AF2375" s="13" t="s">
        <v>40</v>
      </c>
      <c r="AG2375" s="15">
        <v>45383</v>
      </c>
      <c r="AH2375" s="13" t="s">
        <v>41</v>
      </c>
      <c r="AI2375" s="13" t="s">
        <v>43</v>
      </c>
      <c r="AJ2375" s="13" t="str">
        <f>VLOOKUP(E2375,Precios!Z$2:AA$941,2,FALSE)</f>
        <v>Bandeja Huevos EXTRA</v>
      </c>
      <c r="AK2375" s="14">
        <f>VLOOKUP(E2375,Precios!Z$2:BB$941,3,FALSE)*F2375</f>
        <v>-2</v>
      </c>
      <c r="AL2375" s="17"/>
      <c r="AM2375" s="17"/>
      <c r="AN2375" s="17"/>
      <c r="AO2375" s="17"/>
      <c r="AP2375" s="17"/>
      <c r="AQ2375" s="17"/>
      <c r="AR2375" s="17"/>
      <c r="AS2375" s="17"/>
      <c r="AT2375" s="17"/>
      <c r="AU2375" s="17"/>
      <c r="AV2375" s="17"/>
    </row>
    <row r="2376" spans="1:48" ht="15.75" customHeight="1">
      <c r="A2376" s="21" t="s">
        <v>35</v>
      </c>
      <c r="B2376" s="23" t="s">
        <v>1692</v>
      </c>
      <c r="C2376" s="22">
        <v>45752</v>
      </c>
      <c r="D2376" s="23" t="s">
        <v>240</v>
      </c>
      <c r="E2376" s="23" t="s">
        <v>37</v>
      </c>
      <c r="F2376" s="21">
        <v>1</v>
      </c>
      <c r="G2376" s="12">
        <v>10500</v>
      </c>
      <c r="H2376" s="12">
        <v>10500</v>
      </c>
      <c r="I2376" s="13" t="s">
        <v>52</v>
      </c>
      <c r="J2376" s="23" t="s">
        <v>61</v>
      </c>
      <c r="K2376" s="24" t="s">
        <v>177</v>
      </c>
      <c r="L2376" s="24">
        <v>121</v>
      </c>
      <c r="M2376" s="12">
        <v>8823.5294117647063</v>
      </c>
      <c r="N2376" s="12">
        <v>8823.5294117647063</v>
      </c>
      <c r="O2376" s="12">
        <v>1676.4705882352937</v>
      </c>
      <c r="P2376" s="13"/>
      <c r="Q2376" s="14">
        <v>2025</v>
      </c>
      <c r="R2376" s="15">
        <v>45383</v>
      </c>
      <c r="S2376" s="11" t="s">
        <v>364</v>
      </c>
      <c r="T2376" s="16">
        <v>1000</v>
      </c>
      <c r="U2376" s="17"/>
      <c r="V2376" s="12">
        <v>2385.7142857142853</v>
      </c>
      <c r="W2376" s="12">
        <v>2385.7142857142853</v>
      </c>
      <c r="X2376" s="12">
        <v>0</v>
      </c>
      <c r="Y2376" s="18">
        <v>45747</v>
      </c>
      <c r="Z2376" s="13" t="s">
        <v>501</v>
      </c>
      <c r="AA2376" s="19" t="s">
        <v>373</v>
      </c>
      <c r="AB2376" s="13" t="s">
        <v>357</v>
      </c>
      <c r="AC2376" s="13" t="s">
        <v>383</v>
      </c>
      <c r="AD2376" s="20"/>
      <c r="AE2376" s="20"/>
      <c r="AF2376" s="13" t="s">
        <v>40</v>
      </c>
      <c r="AG2376" s="15">
        <v>45383</v>
      </c>
      <c r="AH2376" s="13" t="s">
        <v>41</v>
      </c>
      <c r="AI2376" s="13" t="s">
        <v>35</v>
      </c>
      <c r="AJ2376" s="13" t="str">
        <f>VLOOKUP(E2376,Precios!Z$2:AA$941,2,FALSE)</f>
        <v>Queso RUNCA Mantecoso</v>
      </c>
      <c r="AK2376" s="14">
        <f>VLOOKUP(E2376,Precios!Z$2:BB$941,3,FALSE)*F2376</f>
        <v>-1</v>
      </c>
      <c r="AL2376" s="17"/>
      <c r="AM2376" s="17"/>
      <c r="AN2376" s="17"/>
      <c r="AO2376" s="17"/>
      <c r="AP2376" s="17"/>
      <c r="AQ2376" s="17"/>
      <c r="AR2376" s="17"/>
      <c r="AS2376" s="17"/>
      <c r="AT2376" s="17"/>
      <c r="AU2376" s="17"/>
      <c r="AV2376" s="17"/>
    </row>
    <row r="2377" spans="1:48" ht="15.75" customHeight="1">
      <c r="A2377" s="21" t="s">
        <v>43</v>
      </c>
      <c r="B2377" s="23" t="s">
        <v>1692</v>
      </c>
      <c r="C2377" s="22">
        <v>45752</v>
      </c>
      <c r="D2377" s="23" t="s">
        <v>189</v>
      </c>
      <c r="E2377" s="23" t="s">
        <v>45</v>
      </c>
      <c r="F2377" s="21">
        <v>1</v>
      </c>
      <c r="G2377" s="12">
        <v>8299.7854333055202</v>
      </c>
      <c r="H2377" s="12">
        <v>8299.7854333055202</v>
      </c>
      <c r="I2377" s="13" t="s">
        <v>52</v>
      </c>
      <c r="J2377" s="23" t="s">
        <v>61</v>
      </c>
      <c r="K2377" s="24" t="s">
        <v>177</v>
      </c>
      <c r="L2377" s="24">
        <v>121</v>
      </c>
      <c r="M2377" s="12">
        <v>6974.6096078197652</v>
      </c>
      <c r="N2377" s="12">
        <v>6974.6096078197652</v>
      </c>
      <c r="O2377" s="12">
        <v>1325.175825485755</v>
      </c>
      <c r="P2377" s="13"/>
      <c r="Q2377" s="14">
        <v>2025</v>
      </c>
      <c r="R2377" s="15">
        <v>45383</v>
      </c>
      <c r="S2377" s="11" t="s">
        <v>355</v>
      </c>
      <c r="T2377" s="16">
        <v>0</v>
      </c>
      <c r="U2377" s="17"/>
      <c r="V2377" s="12">
        <v>1123.6096078197643</v>
      </c>
      <c r="W2377" s="12">
        <v>1123.6096078197643</v>
      </c>
      <c r="X2377" s="12">
        <v>0</v>
      </c>
      <c r="Y2377" s="18">
        <v>45747</v>
      </c>
      <c r="Z2377" s="13" t="s">
        <v>501</v>
      </c>
      <c r="AA2377" s="19" t="s">
        <v>361</v>
      </c>
      <c r="AB2377" s="13" t="s">
        <v>357</v>
      </c>
      <c r="AC2377" s="13" t="s">
        <v>362</v>
      </c>
      <c r="AD2377" s="20"/>
      <c r="AE2377" s="20"/>
      <c r="AF2377" s="13" t="s">
        <v>40</v>
      </c>
      <c r="AG2377" s="15">
        <v>45383</v>
      </c>
      <c r="AH2377" s="13" t="s">
        <v>41</v>
      </c>
      <c r="AI2377" s="13" t="s">
        <v>43</v>
      </c>
      <c r="AJ2377" s="13" t="str">
        <f>VLOOKUP(E2377,Precios!Z$2:AA$941,2,FALSE)</f>
        <v>Bandeja Huevos EXTRA</v>
      </c>
      <c r="AK2377" s="14">
        <f>VLOOKUP(E2377,Precios!Z$2:BB$941,3,FALSE)*F2377</f>
        <v>-1</v>
      </c>
      <c r="AL2377" s="17"/>
      <c r="AM2377" s="17"/>
      <c r="AN2377" s="17"/>
      <c r="AO2377" s="17"/>
      <c r="AP2377" s="17"/>
      <c r="AQ2377" s="17"/>
      <c r="AR2377" s="17"/>
      <c r="AS2377" s="17"/>
      <c r="AT2377" s="17"/>
      <c r="AU2377" s="17"/>
      <c r="AV2377" s="17"/>
    </row>
    <row r="2378" spans="1:48" ht="15.75" customHeight="1">
      <c r="A2378" s="21" t="s">
        <v>35</v>
      </c>
      <c r="B2378" s="23" t="s">
        <v>1692</v>
      </c>
      <c r="C2378" s="22">
        <v>45752</v>
      </c>
      <c r="D2378" s="23" t="s">
        <v>189</v>
      </c>
      <c r="E2378" s="23" t="s">
        <v>46</v>
      </c>
      <c r="F2378" s="21">
        <v>1</v>
      </c>
      <c r="G2378" s="12">
        <v>5500</v>
      </c>
      <c r="H2378" s="12">
        <v>5500</v>
      </c>
      <c r="I2378" s="13" t="s">
        <v>52</v>
      </c>
      <c r="J2378" s="23" t="s">
        <v>61</v>
      </c>
      <c r="K2378" s="24" t="s">
        <v>177</v>
      </c>
      <c r="L2378" s="24">
        <v>121</v>
      </c>
      <c r="M2378" s="12">
        <v>4621.8487394957983</v>
      </c>
      <c r="N2378" s="12">
        <v>4621.8487394957983</v>
      </c>
      <c r="O2378" s="12">
        <v>878.15126050420167</v>
      </c>
      <c r="P2378" s="13"/>
      <c r="Q2378" s="14">
        <v>2025</v>
      </c>
      <c r="R2378" s="15">
        <v>45383</v>
      </c>
      <c r="S2378" s="11" t="s">
        <v>364</v>
      </c>
      <c r="T2378" s="16">
        <v>500</v>
      </c>
      <c r="U2378" s="17"/>
      <c r="V2378" s="12">
        <v>1365.1260504201678</v>
      </c>
      <c r="W2378" s="12">
        <v>1365.1260504201678</v>
      </c>
      <c r="X2378" s="12">
        <v>0</v>
      </c>
      <c r="Y2378" s="18">
        <v>45747</v>
      </c>
      <c r="Z2378" s="13" t="s">
        <v>501</v>
      </c>
      <c r="AA2378" s="19" t="s">
        <v>361</v>
      </c>
      <c r="AB2378" s="13" t="s">
        <v>357</v>
      </c>
      <c r="AC2378" s="13" t="s">
        <v>362</v>
      </c>
      <c r="AD2378" s="20"/>
      <c r="AE2378" s="20"/>
      <c r="AF2378" s="13" t="s">
        <v>40</v>
      </c>
      <c r="AG2378" s="15">
        <v>45383</v>
      </c>
      <c r="AH2378" s="13" t="s">
        <v>41</v>
      </c>
      <c r="AI2378" s="13" t="s">
        <v>35</v>
      </c>
      <c r="AJ2378" s="13" t="str">
        <f>VLOOKUP(E2378,Precios!Z$2:AA$941,2,FALSE)</f>
        <v>Queso RUNCA Mantecoso</v>
      </c>
      <c r="AK2378" s="14">
        <f>VLOOKUP(E2378,Precios!Z$2:BB$941,3,FALSE)*F2378</f>
        <v>-0.5</v>
      </c>
      <c r="AL2378" s="17"/>
      <c r="AM2378" s="17"/>
      <c r="AN2378" s="17"/>
      <c r="AO2378" s="17"/>
      <c r="AP2378" s="17"/>
      <c r="AQ2378" s="17"/>
      <c r="AR2378" s="17"/>
      <c r="AS2378" s="17"/>
      <c r="AT2378" s="17"/>
      <c r="AU2378" s="17"/>
      <c r="AV2378" s="17"/>
    </row>
    <row r="2379" spans="1:48" ht="15.75" customHeight="1">
      <c r="A2379" s="14" t="s">
        <v>64</v>
      </c>
      <c r="B2379" s="23" t="s">
        <v>1692</v>
      </c>
      <c r="C2379" s="22">
        <v>45752</v>
      </c>
      <c r="D2379" s="23" t="s">
        <v>348</v>
      </c>
      <c r="E2379" s="13" t="s">
        <v>65</v>
      </c>
      <c r="F2379" s="21">
        <v>1</v>
      </c>
      <c r="G2379" s="12">
        <v>8199.8794599807134</v>
      </c>
      <c r="H2379" s="12">
        <v>8199.8794599807134</v>
      </c>
      <c r="I2379" s="13" t="s">
        <v>52</v>
      </c>
      <c r="J2379" s="23" t="s">
        <v>61</v>
      </c>
      <c r="K2379" s="24" t="s">
        <v>177</v>
      </c>
      <c r="L2379" s="24">
        <v>121</v>
      </c>
      <c r="M2379" s="12">
        <v>6890.6550083871543</v>
      </c>
      <c r="N2379" s="12">
        <v>6890.6550083871543</v>
      </c>
      <c r="O2379" s="12">
        <v>1309.224451593559</v>
      </c>
      <c r="P2379" s="13"/>
      <c r="Q2379" s="14">
        <v>2025</v>
      </c>
      <c r="R2379" s="15">
        <v>45383</v>
      </c>
      <c r="S2379" s="11" t="s">
        <v>64</v>
      </c>
      <c r="T2379" s="16">
        <v>1</v>
      </c>
      <c r="U2379" s="17"/>
      <c r="V2379" s="12">
        <v>1174.1676134291711</v>
      </c>
      <c r="W2379" s="12">
        <v>1174.1676134291711</v>
      </c>
      <c r="X2379" s="12">
        <v>0</v>
      </c>
      <c r="Y2379" s="18">
        <v>45747</v>
      </c>
      <c r="Z2379" s="13" t="s">
        <v>501</v>
      </c>
      <c r="AA2379" s="19" t="s">
        <v>356</v>
      </c>
      <c r="AB2379" s="13" t="s">
        <v>357</v>
      </c>
      <c r="AC2379" s="13" t="s">
        <v>362</v>
      </c>
      <c r="AD2379" s="20"/>
      <c r="AE2379" s="20"/>
      <c r="AF2379" s="13" t="s">
        <v>40</v>
      </c>
      <c r="AG2379" s="15">
        <v>45383</v>
      </c>
      <c r="AH2379" s="13" t="s">
        <v>41</v>
      </c>
      <c r="AI2379" s="13" t="s">
        <v>64</v>
      </c>
      <c r="AJ2379" s="13" t="str">
        <f>VLOOKUP(E2379,Precios!Z$2:AA$941,2,FALSE)</f>
        <v>Longanizas VILLABLANCA</v>
      </c>
      <c r="AK2379" s="14">
        <f>VLOOKUP(E2379,Precios!Z$2:BB$941,3,FALSE)*F2379</f>
        <v>-1</v>
      </c>
      <c r="AL2379" s="17"/>
      <c r="AM2379" s="17"/>
      <c r="AN2379" s="17"/>
      <c r="AO2379" s="17"/>
      <c r="AP2379" s="17"/>
      <c r="AQ2379" s="17"/>
      <c r="AR2379" s="17"/>
      <c r="AS2379" s="17"/>
      <c r="AT2379" s="17"/>
      <c r="AU2379" s="17"/>
      <c r="AV2379" s="17"/>
    </row>
    <row r="2380" spans="1:48" ht="15.75" customHeight="1">
      <c r="A2380" s="21" t="s">
        <v>56</v>
      </c>
      <c r="B2380" s="23" t="s">
        <v>1692</v>
      </c>
      <c r="C2380" s="22">
        <v>45751</v>
      </c>
      <c r="D2380" s="23" t="s">
        <v>310</v>
      </c>
      <c r="E2380" s="23" t="s">
        <v>617</v>
      </c>
      <c r="F2380" s="21">
        <v>1</v>
      </c>
      <c r="G2380" s="12">
        <v>9399.5742010115791</v>
      </c>
      <c r="H2380" s="12">
        <v>9399.5742010115791</v>
      </c>
      <c r="I2380" s="23" t="s">
        <v>52</v>
      </c>
      <c r="J2380" s="23" t="s">
        <v>61</v>
      </c>
      <c r="K2380" s="24" t="s">
        <v>177</v>
      </c>
      <c r="L2380" s="24">
        <v>121</v>
      </c>
      <c r="M2380" s="12">
        <v>7898.8018495895631</v>
      </c>
      <c r="N2380" s="12">
        <v>7898.8018495895631</v>
      </c>
      <c r="O2380" s="12">
        <v>1500.7723514220161</v>
      </c>
      <c r="P2380" s="13"/>
      <c r="Q2380" s="14">
        <v>2025</v>
      </c>
      <c r="R2380" s="15">
        <v>45383</v>
      </c>
      <c r="S2380" s="11" t="s">
        <v>429</v>
      </c>
      <c r="T2380" s="16">
        <v>200</v>
      </c>
      <c r="U2380" s="17"/>
      <c r="V2380" s="12">
        <v>1480.3144546315798</v>
      </c>
      <c r="W2380" s="12">
        <v>1480.3144546315798</v>
      </c>
      <c r="X2380" s="12">
        <v>0</v>
      </c>
      <c r="Y2380" s="18">
        <v>45747</v>
      </c>
      <c r="Z2380" s="13" t="s">
        <v>503</v>
      </c>
      <c r="AA2380" s="19" t="s">
        <v>367</v>
      </c>
      <c r="AB2380" s="13" t="s">
        <v>357</v>
      </c>
      <c r="AC2380" s="13" t="s">
        <v>367</v>
      </c>
      <c r="AD2380" s="20"/>
      <c r="AE2380" s="20"/>
      <c r="AF2380" s="13" t="s">
        <v>40</v>
      </c>
      <c r="AG2380" s="15">
        <v>45383</v>
      </c>
      <c r="AH2380" s="13" t="s">
        <v>41</v>
      </c>
      <c r="AI2380" s="13" t="s">
        <v>56</v>
      </c>
      <c r="AJ2380" s="13" t="str">
        <f>VLOOKUP(E2380,Precios!Z$2:AA$941,2,FALSE)</f>
        <v>Queso Cabra</v>
      </c>
      <c r="AK2380" s="14">
        <f>VLOOKUP(E2380,Precios!Z$2:BB$941,3,FALSE)*F2380</f>
        <v>-2</v>
      </c>
      <c r="AL2380" s="17"/>
      <c r="AM2380" s="17"/>
      <c r="AN2380" s="17"/>
      <c r="AO2380" s="17"/>
      <c r="AP2380" s="17"/>
      <c r="AQ2380" s="17"/>
      <c r="AR2380" s="17"/>
      <c r="AS2380" s="17"/>
      <c r="AT2380" s="17"/>
      <c r="AU2380" s="17"/>
      <c r="AV2380" s="17"/>
    </row>
    <row r="2381" spans="1:48" ht="15.75" customHeight="1">
      <c r="A2381" s="21" t="s">
        <v>64</v>
      </c>
      <c r="B2381" s="23" t="s">
        <v>1692</v>
      </c>
      <c r="C2381" s="22">
        <v>45751</v>
      </c>
      <c r="D2381" s="23" t="s">
        <v>256</v>
      </c>
      <c r="E2381" s="23" t="s">
        <v>65</v>
      </c>
      <c r="F2381" s="21">
        <v>2</v>
      </c>
      <c r="G2381" s="12">
        <v>8199.8794599807134</v>
      </c>
      <c r="H2381" s="12">
        <v>16399.758919961427</v>
      </c>
      <c r="I2381" s="23" t="s">
        <v>52</v>
      </c>
      <c r="J2381" s="23" t="s">
        <v>61</v>
      </c>
      <c r="K2381" s="24" t="s">
        <v>177</v>
      </c>
      <c r="L2381" s="24">
        <v>121</v>
      </c>
      <c r="M2381" s="12">
        <v>6890.6550083871543</v>
      </c>
      <c r="N2381" s="12">
        <v>13781.310016774309</v>
      </c>
      <c r="O2381" s="12">
        <v>2618.448903187118</v>
      </c>
      <c r="P2381" s="13"/>
      <c r="Q2381" s="14">
        <v>2025</v>
      </c>
      <c r="R2381" s="15">
        <v>45383</v>
      </c>
      <c r="S2381" s="11" t="s">
        <v>64</v>
      </c>
      <c r="T2381" s="16">
        <v>2</v>
      </c>
      <c r="U2381" s="17"/>
      <c r="V2381" s="12">
        <v>2348.3352268583421</v>
      </c>
      <c r="W2381" s="12">
        <v>2348.3352268583421</v>
      </c>
      <c r="X2381" s="12">
        <v>0</v>
      </c>
      <c r="Y2381" s="18">
        <v>45747</v>
      </c>
      <c r="Z2381" s="13" t="s">
        <v>503</v>
      </c>
      <c r="AA2381" s="19" t="s">
        <v>373</v>
      </c>
      <c r="AB2381" s="13" t="s">
        <v>357</v>
      </c>
      <c r="AC2381" s="13" t="s">
        <v>685</v>
      </c>
      <c r="AD2381" s="20"/>
      <c r="AE2381" s="20"/>
      <c r="AF2381" s="13" t="s">
        <v>40</v>
      </c>
      <c r="AG2381" s="15">
        <v>45383</v>
      </c>
      <c r="AH2381" s="13" t="s">
        <v>41</v>
      </c>
      <c r="AI2381" s="13" t="s">
        <v>64</v>
      </c>
      <c r="AJ2381" s="13" t="str">
        <f>VLOOKUP(E2381,Precios!Z$2:AA$941,2,FALSE)</f>
        <v>Longanizas VILLABLANCA</v>
      </c>
      <c r="AK2381" s="14">
        <f>VLOOKUP(E2381,Precios!Z$2:BB$941,3,FALSE)*F2381</f>
        <v>-2</v>
      </c>
      <c r="AL2381" s="17"/>
      <c r="AM2381" s="17"/>
      <c r="AN2381" s="17"/>
      <c r="AO2381" s="17"/>
      <c r="AP2381" s="17"/>
      <c r="AQ2381" s="17"/>
      <c r="AR2381" s="17"/>
      <c r="AS2381" s="17"/>
      <c r="AT2381" s="17"/>
      <c r="AU2381" s="17"/>
      <c r="AV2381" s="17"/>
    </row>
    <row r="2382" spans="1:48" ht="15.75" customHeight="1">
      <c r="A2382" s="21" t="s">
        <v>56</v>
      </c>
      <c r="B2382" s="23" t="s">
        <v>1692</v>
      </c>
      <c r="C2382" s="22">
        <v>45751</v>
      </c>
      <c r="D2382" s="23" t="s">
        <v>131</v>
      </c>
      <c r="E2382" s="23" t="s">
        <v>112</v>
      </c>
      <c r="F2382" s="21">
        <v>1</v>
      </c>
      <c r="G2382" s="12">
        <v>7999.6031746031749</v>
      </c>
      <c r="H2382" s="12">
        <v>7999.6031746031749</v>
      </c>
      <c r="I2382" s="23" t="s">
        <v>52</v>
      </c>
      <c r="J2382" s="23" t="s">
        <v>61</v>
      </c>
      <c r="K2382" s="24" t="s">
        <v>177</v>
      </c>
      <c r="L2382" s="24">
        <v>121</v>
      </c>
      <c r="M2382" s="12">
        <v>6722.3556089102312</v>
      </c>
      <c r="N2382" s="12">
        <v>6722.3556089102312</v>
      </c>
      <c r="O2382" s="12">
        <v>1277.2475656929437</v>
      </c>
      <c r="P2382" s="13"/>
      <c r="Q2382" s="14">
        <v>2025</v>
      </c>
      <c r="R2382" s="15">
        <v>45383</v>
      </c>
      <c r="S2382" s="11" t="s">
        <v>427</v>
      </c>
      <c r="T2382" s="16">
        <v>135</v>
      </c>
      <c r="U2382" s="17"/>
      <c r="V2382" s="12">
        <v>2317.868213952248</v>
      </c>
      <c r="W2382" s="12">
        <v>2317.868213952248</v>
      </c>
      <c r="X2382" s="12">
        <v>0</v>
      </c>
      <c r="Y2382" s="18">
        <v>45747</v>
      </c>
      <c r="Z2382" s="13" t="s">
        <v>503</v>
      </c>
      <c r="AA2382" s="19" t="s">
        <v>361</v>
      </c>
      <c r="AB2382" s="13" t="s">
        <v>357</v>
      </c>
      <c r="AC2382" s="13" t="s">
        <v>383</v>
      </c>
      <c r="AD2382" s="20"/>
      <c r="AE2382" s="20"/>
      <c r="AF2382" s="13" t="s">
        <v>40</v>
      </c>
      <c r="AG2382" s="15">
        <v>45383</v>
      </c>
      <c r="AH2382" s="13" t="s">
        <v>41</v>
      </c>
      <c r="AI2382" s="13" t="s">
        <v>56</v>
      </c>
      <c r="AJ2382" s="13" t="str">
        <f>VLOOKUP(E2382,Precios!Z$2:AA$941,2,FALSE)</f>
        <v>Provoleta Parrillera</v>
      </c>
      <c r="AK2382" s="14">
        <f>VLOOKUP(E2382,Precios!Z$2:BB$941,3,FALSE)*F2382</f>
        <v>-3</v>
      </c>
      <c r="AL2382" s="17"/>
      <c r="AM2382" s="17"/>
      <c r="AN2382" s="17"/>
      <c r="AO2382" s="17"/>
      <c r="AP2382" s="17"/>
      <c r="AQ2382" s="17"/>
      <c r="AR2382" s="17"/>
      <c r="AS2382" s="17"/>
      <c r="AT2382" s="17"/>
      <c r="AU2382" s="17"/>
      <c r="AV2382" s="17"/>
    </row>
    <row r="2383" spans="1:48" ht="15.75" customHeight="1">
      <c r="A2383" s="21" t="s">
        <v>43</v>
      </c>
      <c r="B2383" s="23" t="s">
        <v>1692</v>
      </c>
      <c r="C2383" s="22">
        <v>45751</v>
      </c>
      <c r="D2383" s="23" t="s">
        <v>184</v>
      </c>
      <c r="E2383" s="23" t="s">
        <v>45</v>
      </c>
      <c r="F2383" s="21">
        <v>1</v>
      </c>
      <c r="G2383" s="12">
        <v>8299.7854333055202</v>
      </c>
      <c r="H2383" s="12">
        <v>8299.7854333055202</v>
      </c>
      <c r="I2383" s="23" t="s">
        <v>52</v>
      </c>
      <c r="J2383" s="23" t="s">
        <v>61</v>
      </c>
      <c r="K2383" s="24" t="s">
        <v>177</v>
      </c>
      <c r="L2383" s="24">
        <v>121</v>
      </c>
      <c r="M2383" s="12">
        <v>6974.6096078197652</v>
      </c>
      <c r="N2383" s="12">
        <v>6974.6096078197652</v>
      </c>
      <c r="O2383" s="12">
        <v>1325.175825485755</v>
      </c>
      <c r="P2383" s="13"/>
      <c r="Q2383" s="14">
        <v>2025</v>
      </c>
      <c r="R2383" s="15">
        <v>45383</v>
      </c>
      <c r="S2383" s="11" t="s">
        <v>355</v>
      </c>
      <c r="T2383" s="16">
        <v>0</v>
      </c>
      <c r="U2383" s="17"/>
      <c r="V2383" s="12">
        <v>1123.6096078197643</v>
      </c>
      <c r="W2383" s="12">
        <v>1123.6096078197643</v>
      </c>
      <c r="X2383" s="12">
        <v>0</v>
      </c>
      <c r="Y2383" s="18">
        <v>45747</v>
      </c>
      <c r="Z2383" s="13" t="s">
        <v>503</v>
      </c>
      <c r="AA2383" s="19" t="s">
        <v>361</v>
      </c>
      <c r="AB2383" s="13" t="s">
        <v>357</v>
      </c>
      <c r="AC2383" s="13" t="s">
        <v>405</v>
      </c>
      <c r="AD2383" s="20"/>
      <c r="AE2383" s="20"/>
      <c r="AF2383" s="13" t="s">
        <v>40</v>
      </c>
      <c r="AG2383" s="15">
        <v>45383</v>
      </c>
      <c r="AH2383" s="13" t="s">
        <v>41</v>
      </c>
      <c r="AI2383" s="13" t="s">
        <v>43</v>
      </c>
      <c r="AJ2383" s="13" t="str">
        <f>VLOOKUP(E2383,Precios!Z$2:AA$941,2,FALSE)</f>
        <v>Bandeja Huevos EXTRA</v>
      </c>
      <c r="AK2383" s="14">
        <f>VLOOKUP(E2383,Precios!Z$2:BB$941,3,FALSE)*F2383</f>
        <v>-1</v>
      </c>
      <c r="AL2383" s="17"/>
      <c r="AM2383" s="17"/>
      <c r="AN2383" s="17"/>
      <c r="AO2383" s="17"/>
      <c r="AP2383" s="17"/>
      <c r="AQ2383" s="17"/>
      <c r="AR2383" s="17"/>
      <c r="AS2383" s="17"/>
      <c r="AT2383" s="17"/>
      <c r="AU2383" s="17"/>
      <c r="AV2383" s="17"/>
    </row>
    <row r="2384" spans="1:48" ht="15.75" customHeight="1">
      <c r="A2384" s="21" t="s">
        <v>53</v>
      </c>
      <c r="B2384" s="23" t="s">
        <v>1692</v>
      </c>
      <c r="C2384" s="22">
        <v>45751</v>
      </c>
      <c r="D2384" s="23" t="s">
        <v>142</v>
      </c>
      <c r="E2384" s="23" t="s">
        <v>163</v>
      </c>
      <c r="F2384" s="21">
        <v>1</v>
      </c>
      <c r="G2384" s="12">
        <v>18990</v>
      </c>
      <c r="H2384" s="12">
        <v>18990</v>
      </c>
      <c r="I2384" s="23" t="s">
        <v>52</v>
      </c>
      <c r="J2384" s="23" t="s">
        <v>61</v>
      </c>
      <c r="K2384" s="24" t="s">
        <v>177</v>
      </c>
      <c r="L2384" s="24">
        <v>121</v>
      </c>
      <c r="M2384" s="12">
        <v>15957.983193277312</v>
      </c>
      <c r="N2384" s="12">
        <v>15957.983193277312</v>
      </c>
      <c r="O2384" s="12">
        <v>3032.0168067226878</v>
      </c>
      <c r="P2384" s="13"/>
      <c r="Q2384" s="14">
        <v>2025</v>
      </c>
      <c r="R2384" s="15">
        <v>45383</v>
      </c>
      <c r="S2384" s="11" t="s">
        <v>435</v>
      </c>
      <c r="T2384" s="16">
        <v>0</v>
      </c>
      <c r="U2384" s="17"/>
      <c r="V2384" s="12">
        <v>4112.6050420168067</v>
      </c>
      <c r="W2384" s="12">
        <v>4112.6050420168067</v>
      </c>
      <c r="X2384" s="12">
        <v>0</v>
      </c>
      <c r="Y2384" s="18">
        <v>45747</v>
      </c>
      <c r="Z2384" s="13" t="s">
        <v>503</v>
      </c>
      <c r="AA2384" s="19" t="s">
        <v>361</v>
      </c>
      <c r="AB2384" s="13" t="s">
        <v>357</v>
      </c>
      <c r="AC2384" s="13" t="s">
        <v>489</v>
      </c>
      <c r="AD2384" s="20"/>
      <c r="AE2384" s="20"/>
      <c r="AF2384" s="13" t="s">
        <v>40</v>
      </c>
      <c r="AG2384" s="15">
        <v>45383</v>
      </c>
      <c r="AH2384" s="13" t="s">
        <v>41</v>
      </c>
      <c r="AI2384" s="13" t="s">
        <v>53</v>
      </c>
      <c r="AJ2384" s="13" t="str">
        <f>VLOOKUP(E2384,Precios!Z$2:AA$941,2,FALSE)</f>
        <v>Papel Higienico SWAN 50 metros</v>
      </c>
      <c r="AK2384" s="14">
        <f>VLOOKUP(E2384,Precios!Z$2:BB$941,3,FALSE)*F2384</f>
        <v>-8</v>
      </c>
      <c r="AL2384" s="17"/>
      <c r="AM2384" s="17"/>
      <c r="AN2384" s="17"/>
      <c r="AO2384" s="17"/>
      <c r="AP2384" s="17"/>
      <c r="AQ2384" s="17"/>
      <c r="AR2384" s="17"/>
      <c r="AS2384" s="17"/>
      <c r="AT2384" s="17"/>
      <c r="AU2384" s="17"/>
      <c r="AV2384" s="17"/>
    </row>
    <row r="2385" spans="1:48" ht="15.75" customHeight="1">
      <c r="A2385" s="21" t="s">
        <v>53</v>
      </c>
      <c r="B2385" s="23" t="s">
        <v>1692</v>
      </c>
      <c r="C2385" s="22">
        <v>45751</v>
      </c>
      <c r="D2385" s="23" t="s">
        <v>142</v>
      </c>
      <c r="E2385" s="23" t="s">
        <v>114</v>
      </c>
      <c r="F2385" s="21">
        <v>1</v>
      </c>
      <c r="G2385" s="12">
        <v>10500</v>
      </c>
      <c r="H2385" s="12">
        <v>10500</v>
      </c>
      <c r="I2385" s="23" t="s">
        <v>52</v>
      </c>
      <c r="J2385" s="23" t="s">
        <v>61</v>
      </c>
      <c r="K2385" s="24" t="s">
        <v>177</v>
      </c>
      <c r="L2385" s="24">
        <v>121</v>
      </c>
      <c r="M2385" s="12">
        <v>8823.5294117647063</v>
      </c>
      <c r="N2385" s="12">
        <v>8823.5294117647063</v>
      </c>
      <c r="O2385" s="12">
        <v>1676.4705882352937</v>
      </c>
      <c r="P2385" s="13"/>
      <c r="Q2385" s="14">
        <v>2025</v>
      </c>
      <c r="R2385" s="15">
        <v>45383</v>
      </c>
      <c r="S2385" s="11" t="s">
        <v>369</v>
      </c>
      <c r="T2385" s="16">
        <v>0</v>
      </c>
      <c r="U2385" s="17"/>
      <c r="V2385" s="12">
        <v>2403.3613445378151</v>
      </c>
      <c r="W2385" s="12">
        <v>2403.3613445378151</v>
      </c>
      <c r="X2385" s="12">
        <v>0</v>
      </c>
      <c r="Y2385" s="18">
        <v>45747</v>
      </c>
      <c r="Z2385" s="13" t="s">
        <v>503</v>
      </c>
      <c r="AA2385" s="19" t="s">
        <v>361</v>
      </c>
      <c r="AB2385" s="13" t="s">
        <v>357</v>
      </c>
      <c r="AC2385" s="13" t="s">
        <v>489</v>
      </c>
      <c r="AD2385" s="20"/>
      <c r="AE2385" s="20"/>
      <c r="AF2385" s="13" t="s">
        <v>40</v>
      </c>
      <c r="AG2385" s="15">
        <v>45383</v>
      </c>
      <c r="AH2385" s="13" t="s">
        <v>41</v>
      </c>
      <c r="AI2385" s="13" t="s">
        <v>53</v>
      </c>
      <c r="AJ2385" s="13" t="str">
        <f>VLOOKUP(E2385,Precios!Z$2:AA$941,2,FALSE)</f>
        <v>Toalla Papel NOVA 12 metros</v>
      </c>
      <c r="AK2385" s="14">
        <f>VLOOKUP(E2385,Precios!Z$2:BB$941,3,FALSE)*F2385</f>
        <v>-8</v>
      </c>
      <c r="AL2385" s="17"/>
      <c r="AM2385" s="17"/>
      <c r="AN2385" s="17"/>
      <c r="AO2385" s="17"/>
      <c r="AP2385" s="17"/>
      <c r="AQ2385" s="17"/>
      <c r="AR2385" s="17"/>
      <c r="AS2385" s="17"/>
      <c r="AT2385" s="17"/>
      <c r="AU2385" s="17"/>
      <c r="AV2385" s="17"/>
    </row>
    <row r="2386" spans="1:48" ht="15.75" customHeight="1">
      <c r="A2386" s="21" t="s">
        <v>53</v>
      </c>
      <c r="B2386" s="23" t="s">
        <v>1692</v>
      </c>
      <c r="C2386" s="22">
        <v>45751</v>
      </c>
      <c r="D2386" s="23" t="s">
        <v>142</v>
      </c>
      <c r="E2386" s="23" t="s">
        <v>150</v>
      </c>
      <c r="F2386" s="21">
        <v>1</v>
      </c>
      <c r="G2386" s="12">
        <v>1799.8965445892823</v>
      </c>
      <c r="H2386" s="12">
        <v>1799.8965445892823</v>
      </c>
      <c r="I2386" s="23" t="s">
        <v>52</v>
      </c>
      <c r="J2386" s="23" t="s">
        <v>61</v>
      </c>
      <c r="K2386" s="24" t="s">
        <v>177</v>
      </c>
      <c r="L2386" s="24">
        <v>121</v>
      </c>
      <c r="M2386" s="12">
        <v>1512.518104696876</v>
      </c>
      <c r="N2386" s="12">
        <v>1512.518104696876</v>
      </c>
      <c r="O2386" s="12">
        <v>287.37843989240628</v>
      </c>
      <c r="P2386" s="13"/>
      <c r="Q2386" s="14">
        <v>2025</v>
      </c>
      <c r="R2386" s="15">
        <v>45383</v>
      </c>
      <c r="S2386" s="11" t="s">
        <v>381</v>
      </c>
      <c r="T2386" s="16">
        <v>300</v>
      </c>
      <c r="U2386" s="17"/>
      <c r="V2386" s="12">
        <v>781.51810469687575</v>
      </c>
      <c r="W2386" s="12">
        <v>781.51810469687575</v>
      </c>
      <c r="X2386" s="12">
        <v>0</v>
      </c>
      <c r="Y2386" s="18">
        <v>45747</v>
      </c>
      <c r="Z2386" s="13" t="s">
        <v>503</v>
      </c>
      <c r="AA2386" s="19" t="s">
        <v>361</v>
      </c>
      <c r="AB2386" s="13" t="s">
        <v>357</v>
      </c>
      <c r="AC2386" s="13" t="s">
        <v>489</v>
      </c>
      <c r="AD2386" s="20"/>
      <c r="AE2386" s="20"/>
      <c r="AF2386" s="13" t="s">
        <v>40</v>
      </c>
      <c r="AG2386" s="15">
        <v>45383</v>
      </c>
      <c r="AH2386" s="13" t="s">
        <v>41</v>
      </c>
      <c r="AI2386" s="13" t="s">
        <v>53</v>
      </c>
      <c r="AJ2386" s="13" t="str">
        <f>VLOOKUP(E2386,Precios!Z$2:AA$941,2,FALSE)</f>
        <v>Servilletas SOFTQUALITY 300 unidades</v>
      </c>
      <c r="AK2386" s="14">
        <f>VLOOKUP(E2386,Precios!Z$2:BB$941,3,FALSE)*F2386</f>
        <v>-1</v>
      </c>
      <c r="AL2386" s="17"/>
      <c r="AM2386" s="17"/>
      <c r="AN2386" s="17"/>
      <c r="AO2386" s="17"/>
      <c r="AP2386" s="17"/>
      <c r="AQ2386" s="17"/>
      <c r="AR2386" s="17"/>
      <c r="AS2386" s="17"/>
      <c r="AT2386" s="17"/>
      <c r="AU2386" s="17"/>
      <c r="AV2386" s="17"/>
    </row>
    <row r="2387" spans="1:48" ht="15.75" customHeight="1">
      <c r="A2387" s="21" t="s">
        <v>47</v>
      </c>
      <c r="B2387" s="23" t="s">
        <v>1692</v>
      </c>
      <c r="C2387" s="22">
        <v>45751</v>
      </c>
      <c r="D2387" s="23" t="s">
        <v>142</v>
      </c>
      <c r="E2387" s="23" t="s">
        <v>143</v>
      </c>
      <c r="F2387" s="21">
        <v>1</v>
      </c>
      <c r="G2387" s="12">
        <v>2999.9379074821477</v>
      </c>
      <c r="H2387" s="12">
        <v>2999.9379074821477</v>
      </c>
      <c r="I2387" s="23" t="s">
        <v>52</v>
      </c>
      <c r="J2387" s="23" t="s">
        <v>61</v>
      </c>
      <c r="K2387" s="24" t="s">
        <v>177</v>
      </c>
      <c r="L2387" s="24">
        <v>121</v>
      </c>
      <c r="M2387" s="12">
        <v>2520.9562247749141</v>
      </c>
      <c r="N2387" s="12">
        <v>2520.9562247749141</v>
      </c>
      <c r="O2387" s="12">
        <v>478.98168270723363</v>
      </c>
      <c r="P2387" s="13"/>
      <c r="Q2387" s="14">
        <v>2025</v>
      </c>
      <c r="R2387" s="15">
        <v>45383</v>
      </c>
      <c r="S2387" s="11" t="s">
        <v>414</v>
      </c>
      <c r="T2387" s="16">
        <v>0</v>
      </c>
      <c r="U2387" s="17"/>
      <c r="V2387" s="12">
        <v>1708.9562247749141</v>
      </c>
      <c r="W2387" s="12">
        <v>1708.9562247749141</v>
      </c>
      <c r="X2387" s="12">
        <v>0</v>
      </c>
      <c r="Y2387" s="18">
        <v>45747</v>
      </c>
      <c r="Z2387" s="13" t="s">
        <v>503</v>
      </c>
      <c r="AA2387" s="19" t="s">
        <v>361</v>
      </c>
      <c r="AB2387" s="13" t="s">
        <v>357</v>
      </c>
      <c r="AC2387" s="13" t="s">
        <v>489</v>
      </c>
      <c r="AD2387" s="20"/>
      <c r="AE2387" s="20"/>
      <c r="AF2387" s="13" t="s">
        <v>40</v>
      </c>
      <c r="AG2387" s="15">
        <v>45383</v>
      </c>
      <c r="AH2387" s="13" t="s">
        <v>41</v>
      </c>
      <c r="AI2387" s="13" t="s">
        <v>47</v>
      </c>
      <c r="AJ2387" s="13" t="str">
        <f>VLOOKUP(E2387,Precios!Z$2:AA$941,2,FALSE)</f>
        <v>Toalla desinfectante TEDDY 80 unidades</v>
      </c>
      <c r="AK2387" s="14">
        <f>VLOOKUP(E2387,Precios!Z$2:BB$941,3,FALSE)*F2387</f>
        <v>-1</v>
      </c>
      <c r="AL2387" s="17"/>
      <c r="AM2387" s="17"/>
      <c r="AN2387" s="17"/>
      <c r="AO2387" s="17"/>
      <c r="AP2387" s="17"/>
      <c r="AQ2387" s="17"/>
      <c r="AR2387" s="17"/>
      <c r="AS2387" s="17"/>
      <c r="AT2387" s="17"/>
      <c r="AU2387" s="17"/>
      <c r="AV2387" s="17"/>
    </row>
    <row r="2388" spans="1:48" ht="15.75" customHeight="1">
      <c r="A2388" s="21" t="s">
        <v>47</v>
      </c>
      <c r="B2388" s="23" t="s">
        <v>1692</v>
      </c>
      <c r="C2388" s="22">
        <v>45751</v>
      </c>
      <c r="D2388" s="23" t="s">
        <v>142</v>
      </c>
      <c r="E2388" s="23" t="s">
        <v>170</v>
      </c>
      <c r="F2388" s="21">
        <v>1</v>
      </c>
      <c r="G2388" s="12">
        <v>1800.1699716713879</v>
      </c>
      <c r="H2388" s="12">
        <v>1800.1699716713879</v>
      </c>
      <c r="I2388" s="23" t="s">
        <v>52</v>
      </c>
      <c r="J2388" s="23" t="s">
        <v>61</v>
      </c>
      <c r="K2388" s="24" t="s">
        <v>177</v>
      </c>
      <c r="L2388" s="24">
        <v>121</v>
      </c>
      <c r="M2388" s="12">
        <v>1512.7478753541075</v>
      </c>
      <c r="N2388" s="12">
        <v>1512.7478753541075</v>
      </c>
      <c r="O2388" s="12">
        <v>287.42209631728042</v>
      </c>
      <c r="P2388" s="13"/>
      <c r="Q2388" s="14">
        <v>2025</v>
      </c>
      <c r="R2388" s="15">
        <v>45383</v>
      </c>
      <c r="S2388" s="11" t="s">
        <v>453</v>
      </c>
      <c r="T2388" s="16">
        <v>0</v>
      </c>
      <c r="U2388" s="17"/>
      <c r="V2388" s="12">
        <v>711.74787535410746</v>
      </c>
      <c r="W2388" s="12">
        <v>711.74787535410746</v>
      </c>
      <c r="X2388" s="12">
        <v>0</v>
      </c>
      <c r="Y2388" s="18">
        <v>45747</v>
      </c>
      <c r="Z2388" s="13" t="s">
        <v>503</v>
      </c>
      <c r="AA2388" s="19" t="s">
        <v>361</v>
      </c>
      <c r="AB2388" s="13" t="s">
        <v>357</v>
      </c>
      <c r="AC2388" s="13" t="s">
        <v>489</v>
      </c>
      <c r="AD2388" s="20"/>
      <c r="AE2388" s="20"/>
      <c r="AF2388" s="13" t="s">
        <v>40</v>
      </c>
      <c r="AG2388" s="15">
        <v>45383</v>
      </c>
      <c r="AH2388" s="13" t="s">
        <v>41</v>
      </c>
      <c r="AI2388" s="13" t="s">
        <v>47</v>
      </c>
      <c r="AJ2388" s="13" t="str">
        <f>VLOOKUP(E2388,Precios!Z$2:AA$941,2,FALSE)</f>
        <v xml:space="preserve">Bolsas Basura TEDDY 50x70 </v>
      </c>
      <c r="AK2388" s="14">
        <f>VLOOKUP(E2388,Precios!Z$2:BB$941,3,FALSE)*F2388</f>
        <v>-3</v>
      </c>
      <c r="AL2388" s="17"/>
      <c r="AM2388" s="17"/>
      <c r="AN2388" s="17"/>
      <c r="AO2388" s="17"/>
      <c r="AP2388" s="17"/>
      <c r="AQ2388" s="17"/>
      <c r="AR2388" s="17"/>
      <c r="AS2388" s="17"/>
      <c r="AT2388" s="17"/>
      <c r="AU2388" s="17"/>
      <c r="AV2388" s="17"/>
    </row>
    <row r="2389" spans="1:48" ht="15.75" customHeight="1">
      <c r="A2389" s="21" t="s">
        <v>47</v>
      </c>
      <c r="B2389" s="23" t="s">
        <v>1692</v>
      </c>
      <c r="C2389" s="22">
        <v>45751</v>
      </c>
      <c r="D2389" s="23" t="s">
        <v>142</v>
      </c>
      <c r="E2389" s="23" t="s">
        <v>49</v>
      </c>
      <c r="F2389" s="21">
        <v>1</v>
      </c>
      <c r="G2389" s="12">
        <v>4500.0000000000009</v>
      </c>
      <c r="H2389" s="12">
        <v>4500.0000000000009</v>
      </c>
      <c r="I2389" s="23" t="s">
        <v>52</v>
      </c>
      <c r="J2389" s="23" t="s">
        <v>61</v>
      </c>
      <c r="K2389" s="24" t="s">
        <v>177</v>
      </c>
      <c r="L2389" s="24">
        <v>121</v>
      </c>
      <c r="M2389" s="12">
        <v>3781.5126050420176</v>
      </c>
      <c r="N2389" s="12">
        <v>3781.5126050420176</v>
      </c>
      <c r="O2389" s="12">
        <v>718.48739495798327</v>
      </c>
      <c r="P2389" s="13"/>
      <c r="Q2389" s="14">
        <v>2025</v>
      </c>
      <c r="R2389" s="15">
        <v>45383</v>
      </c>
      <c r="S2389" s="11" t="s">
        <v>384</v>
      </c>
      <c r="T2389" s="16">
        <v>0</v>
      </c>
      <c r="U2389" s="17"/>
      <c r="V2389" s="12">
        <v>988.23529411764775</v>
      </c>
      <c r="W2389" s="12">
        <v>988.23529411764775</v>
      </c>
      <c r="X2389" s="12">
        <v>0</v>
      </c>
      <c r="Y2389" s="18">
        <v>45747</v>
      </c>
      <c r="Z2389" s="13" t="s">
        <v>503</v>
      </c>
      <c r="AA2389" s="19" t="s">
        <v>361</v>
      </c>
      <c r="AB2389" s="13" t="s">
        <v>357</v>
      </c>
      <c r="AC2389" s="13" t="s">
        <v>489</v>
      </c>
      <c r="AD2389" s="20"/>
      <c r="AE2389" s="20"/>
      <c r="AF2389" s="13" t="s">
        <v>40</v>
      </c>
      <c r="AG2389" s="15">
        <v>45383</v>
      </c>
      <c r="AH2389" s="13" t="s">
        <v>41</v>
      </c>
      <c r="AI2389" s="13" t="s">
        <v>47</v>
      </c>
      <c r="AJ2389" s="13" t="str">
        <f>VLOOKUP(E2389,Precios!Z$2:AA$941,2,FALSE)</f>
        <v>Jabón Lìquido BALLERINA</v>
      </c>
      <c r="AK2389" s="14">
        <f>VLOOKUP(E2389,Precios!Z$2:BB$941,3,FALSE)*F2389</f>
        <v>-3</v>
      </c>
      <c r="AL2389" s="17"/>
      <c r="AM2389" s="17"/>
      <c r="AN2389" s="17"/>
      <c r="AO2389" s="17"/>
      <c r="AP2389" s="17"/>
      <c r="AQ2389" s="17"/>
      <c r="AR2389" s="17"/>
      <c r="AS2389" s="17"/>
      <c r="AT2389" s="17"/>
      <c r="AU2389" s="17"/>
      <c r="AV2389" s="17"/>
    </row>
    <row r="2390" spans="1:48" ht="15.75" customHeight="1">
      <c r="A2390" s="21" t="s">
        <v>47</v>
      </c>
      <c r="B2390" s="23" t="s">
        <v>1692</v>
      </c>
      <c r="C2390" s="22">
        <v>45751</v>
      </c>
      <c r="D2390" s="23" t="s">
        <v>142</v>
      </c>
      <c r="E2390" s="23" t="s">
        <v>48</v>
      </c>
      <c r="F2390" s="21">
        <v>1</v>
      </c>
      <c r="G2390" s="12">
        <v>1000</v>
      </c>
      <c r="H2390" s="12">
        <v>1000</v>
      </c>
      <c r="I2390" s="23" t="s">
        <v>52</v>
      </c>
      <c r="J2390" s="23" t="s">
        <v>61</v>
      </c>
      <c r="K2390" s="24" t="s">
        <v>177</v>
      </c>
      <c r="L2390" s="24">
        <v>121</v>
      </c>
      <c r="M2390" s="12">
        <v>840.3361344537816</v>
      </c>
      <c r="N2390" s="12">
        <v>840.3361344537816</v>
      </c>
      <c r="O2390" s="12">
        <v>159.6638655462184</v>
      </c>
      <c r="P2390" s="13"/>
      <c r="Q2390" s="14">
        <v>2025</v>
      </c>
      <c r="R2390" s="15">
        <v>45383</v>
      </c>
      <c r="S2390" s="11" t="s">
        <v>416</v>
      </c>
      <c r="T2390" s="16">
        <v>0</v>
      </c>
      <c r="U2390" s="17"/>
      <c r="V2390" s="12">
        <v>330.33613445378148</v>
      </c>
      <c r="W2390" s="12">
        <v>330.33613445378148</v>
      </c>
      <c r="X2390" s="12">
        <v>0</v>
      </c>
      <c r="Y2390" s="18">
        <v>45747</v>
      </c>
      <c r="Z2390" s="13" t="s">
        <v>503</v>
      </c>
      <c r="AA2390" s="19" t="s">
        <v>361</v>
      </c>
      <c r="AB2390" s="13" t="s">
        <v>357</v>
      </c>
      <c r="AC2390" s="13" t="s">
        <v>489</v>
      </c>
      <c r="AD2390" s="20"/>
      <c r="AE2390" s="20"/>
      <c r="AF2390" s="13" t="s">
        <v>40</v>
      </c>
      <c r="AG2390" s="15">
        <v>45383</v>
      </c>
      <c r="AH2390" s="13" t="s">
        <v>41</v>
      </c>
      <c r="AI2390" s="13" t="s">
        <v>47</v>
      </c>
      <c r="AJ2390" s="13" t="str">
        <f>VLOOKUP(E2390,Precios!Z$2:AA$941,2,FALSE)</f>
        <v>Esponja Acanalada TEDDY</v>
      </c>
      <c r="AK2390" s="14">
        <f>VLOOKUP(E2390,Precios!Z$2:BB$941,3,FALSE)*F2390</f>
        <v>-5</v>
      </c>
      <c r="AL2390" s="17"/>
      <c r="AM2390" s="17"/>
      <c r="AN2390" s="17"/>
      <c r="AO2390" s="17"/>
      <c r="AP2390" s="17"/>
      <c r="AQ2390" s="17"/>
      <c r="AR2390" s="17"/>
      <c r="AS2390" s="17"/>
      <c r="AT2390" s="17"/>
      <c r="AU2390" s="17"/>
      <c r="AV2390" s="17"/>
    </row>
    <row r="2391" spans="1:48" ht="15.75" customHeight="1">
      <c r="A2391" s="21" t="s">
        <v>47</v>
      </c>
      <c r="B2391" s="23" t="s">
        <v>1692</v>
      </c>
      <c r="C2391" s="22">
        <v>45751</v>
      </c>
      <c r="D2391" s="23" t="s">
        <v>142</v>
      </c>
      <c r="E2391" s="23" t="s">
        <v>504</v>
      </c>
      <c r="F2391" s="21">
        <v>1</v>
      </c>
      <c r="G2391" s="12">
        <v>3000.0000000000005</v>
      </c>
      <c r="H2391" s="12">
        <v>3000.0000000000005</v>
      </c>
      <c r="I2391" s="23" t="s">
        <v>52</v>
      </c>
      <c r="J2391" s="23" t="s">
        <v>61</v>
      </c>
      <c r="K2391" s="24" t="s">
        <v>177</v>
      </c>
      <c r="L2391" s="24">
        <v>121</v>
      </c>
      <c r="M2391" s="12">
        <v>2521.0084033613452</v>
      </c>
      <c r="N2391" s="12">
        <v>2521.0084033613452</v>
      </c>
      <c r="O2391" s="12">
        <v>478.99159663865521</v>
      </c>
      <c r="P2391" s="13"/>
      <c r="Q2391" s="14">
        <v>2025</v>
      </c>
      <c r="R2391" s="15">
        <v>45383</v>
      </c>
      <c r="S2391" s="11" t="s">
        <v>105</v>
      </c>
      <c r="T2391" s="16">
        <v>0</v>
      </c>
      <c r="U2391" s="17"/>
      <c r="V2391" s="12">
        <v>776.47058823529437</v>
      </c>
      <c r="W2391" s="12">
        <v>776.47058823529437</v>
      </c>
      <c r="X2391" s="12">
        <v>0</v>
      </c>
      <c r="Y2391" s="18">
        <v>45747</v>
      </c>
      <c r="Z2391" s="13" t="s">
        <v>503</v>
      </c>
      <c r="AA2391" s="19" t="s">
        <v>361</v>
      </c>
      <c r="AB2391" s="13" t="s">
        <v>357</v>
      </c>
      <c r="AC2391" s="13" t="s">
        <v>489</v>
      </c>
      <c r="AD2391" s="20"/>
      <c r="AE2391" s="20"/>
      <c r="AF2391" s="13" t="s">
        <v>40</v>
      </c>
      <c r="AG2391" s="15">
        <v>45383</v>
      </c>
      <c r="AH2391" s="13" t="s">
        <v>41</v>
      </c>
      <c r="AI2391" s="13" t="s">
        <v>47</v>
      </c>
      <c r="AJ2391" s="13" t="str">
        <f>VLOOKUP(E2391,Precios!Z$2:AA$941,2,FALSE)</f>
        <v>Paños Esponja TEDDY</v>
      </c>
      <c r="AK2391" s="14">
        <f>VLOOKUP(E2391,Precios!Z$2:BB$941,3,FALSE)*F2391</f>
        <v>-3</v>
      </c>
      <c r="AL2391" s="17"/>
      <c r="AM2391" s="17"/>
      <c r="AN2391" s="17"/>
      <c r="AO2391" s="17"/>
      <c r="AP2391" s="17"/>
      <c r="AQ2391" s="17"/>
      <c r="AR2391" s="17"/>
      <c r="AS2391" s="17"/>
      <c r="AT2391" s="17"/>
      <c r="AU2391" s="17"/>
      <c r="AV2391" s="17"/>
    </row>
    <row r="2392" spans="1:48" ht="15.75" customHeight="1">
      <c r="A2392" s="21" t="s">
        <v>76</v>
      </c>
      <c r="B2392" s="23" t="s">
        <v>1692</v>
      </c>
      <c r="C2392" s="22">
        <v>45751</v>
      </c>
      <c r="D2392" s="23" t="s">
        <v>142</v>
      </c>
      <c r="E2392" s="23" t="s">
        <v>77</v>
      </c>
      <c r="F2392" s="21">
        <v>1</v>
      </c>
      <c r="G2392" s="12">
        <v>1500.0000000000002</v>
      </c>
      <c r="H2392" s="12">
        <v>1500.0000000000002</v>
      </c>
      <c r="I2392" s="23" t="s">
        <v>52</v>
      </c>
      <c r="J2392" s="23" t="s">
        <v>61</v>
      </c>
      <c r="K2392" s="24" t="s">
        <v>177</v>
      </c>
      <c r="L2392" s="24">
        <v>121</v>
      </c>
      <c r="M2392" s="12">
        <v>1260.5042016806726</v>
      </c>
      <c r="N2392" s="12">
        <v>1260.5042016806726</v>
      </c>
      <c r="O2392" s="12">
        <v>239.4957983193276</v>
      </c>
      <c r="P2392" s="13"/>
      <c r="Q2392" s="14">
        <v>2025</v>
      </c>
      <c r="R2392" s="15">
        <v>45383</v>
      </c>
      <c r="S2392" s="11" t="s">
        <v>448</v>
      </c>
      <c r="T2392" s="16">
        <v>0</v>
      </c>
      <c r="U2392" s="17"/>
      <c r="V2392" s="12">
        <v>421.00840336134468</v>
      </c>
      <c r="W2392" s="12">
        <v>421.00840336134468</v>
      </c>
      <c r="X2392" s="12">
        <v>0</v>
      </c>
      <c r="Y2392" s="18">
        <v>45747</v>
      </c>
      <c r="Z2392" s="13" t="s">
        <v>503</v>
      </c>
      <c r="AA2392" s="19" t="s">
        <v>361</v>
      </c>
      <c r="AB2392" s="13" t="s">
        <v>357</v>
      </c>
      <c r="AC2392" s="13" t="s">
        <v>489</v>
      </c>
      <c r="AD2392" s="20"/>
      <c r="AE2392" s="20"/>
      <c r="AF2392" s="13" t="s">
        <v>40</v>
      </c>
      <c r="AG2392" s="15">
        <v>45383</v>
      </c>
      <c r="AH2392" s="13" t="s">
        <v>41</v>
      </c>
      <c r="AI2392" s="13" t="s">
        <v>76</v>
      </c>
      <c r="AJ2392" s="13" t="str">
        <f>VLOOKUP(E2392,Precios!Z$2:AA$941,2,FALSE)</f>
        <v>Cloro GEL IGENIX 900ml</v>
      </c>
      <c r="AK2392" s="14">
        <f>VLOOKUP(E2392,Precios!Z$2:BB$941,3,FALSE)*F2392</f>
        <v>-1</v>
      </c>
      <c r="AL2392" s="17"/>
      <c r="AM2392" s="17"/>
      <c r="AN2392" s="17"/>
      <c r="AO2392" s="17"/>
      <c r="AP2392" s="17"/>
      <c r="AQ2392" s="17"/>
      <c r="AR2392" s="17"/>
      <c r="AS2392" s="17"/>
      <c r="AT2392" s="17"/>
      <c r="AU2392" s="17"/>
      <c r="AV2392" s="17"/>
    </row>
    <row r="2393" spans="1:48" ht="15.75" customHeight="1">
      <c r="A2393" s="21" t="s">
        <v>76</v>
      </c>
      <c r="B2393" s="23" t="s">
        <v>1692</v>
      </c>
      <c r="C2393" s="22">
        <v>45751</v>
      </c>
      <c r="D2393" s="23" t="s">
        <v>142</v>
      </c>
      <c r="E2393" s="23" t="s">
        <v>82</v>
      </c>
      <c r="F2393" s="21">
        <v>1</v>
      </c>
      <c r="G2393" s="12">
        <v>2000.0000000000002</v>
      </c>
      <c r="H2393" s="12">
        <v>2000.0000000000002</v>
      </c>
      <c r="I2393" s="23" t="s">
        <v>52</v>
      </c>
      <c r="J2393" s="23" t="s">
        <v>61</v>
      </c>
      <c r="K2393" s="24" t="s">
        <v>177</v>
      </c>
      <c r="L2393" s="24">
        <v>121</v>
      </c>
      <c r="M2393" s="12">
        <v>1680.6722689075632</v>
      </c>
      <c r="N2393" s="12">
        <v>1680.6722689075632</v>
      </c>
      <c r="O2393" s="12">
        <v>319.32773109243703</v>
      </c>
      <c r="P2393" s="13"/>
      <c r="Q2393" s="14">
        <v>2025</v>
      </c>
      <c r="R2393" s="15">
        <v>45383</v>
      </c>
      <c r="S2393" s="11" t="s">
        <v>463</v>
      </c>
      <c r="T2393" s="16">
        <v>5</v>
      </c>
      <c r="U2393" s="17"/>
      <c r="V2393" s="12">
        <v>680.67226890756319</v>
      </c>
      <c r="W2393" s="12">
        <v>680.67226890756319</v>
      </c>
      <c r="X2393" s="12">
        <v>0</v>
      </c>
      <c r="Y2393" s="18">
        <v>45747</v>
      </c>
      <c r="Z2393" s="13" t="s">
        <v>503</v>
      </c>
      <c r="AA2393" s="19" t="s">
        <v>361</v>
      </c>
      <c r="AB2393" s="13" t="s">
        <v>357</v>
      </c>
      <c r="AC2393" s="13" t="s">
        <v>489</v>
      </c>
      <c r="AD2393" s="20"/>
      <c r="AE2393" s="20"/>
      <c r="AF2393" s="13" t="s">
        <v>40</v>
      </c>
      <c r="AG2393" s="15">
        <v>45383</v>
      </c>
      <c r="AH2393" s="13" t="s">
        <v>41</v>
      </c>
      <c r="AI2393" s="13" t="s">
        <v>76</v>
      </c>
      <c r="AJ2393" s="13" t="str">
        <f>VLOOKUP(E2393,Precios!Z$2:AA$941,2,FALSE)</f>
        <v>Limpiapiso SPUM 5 Litros</v>
      </c>
      <c r="AK2393" s="14">
        <f>VLOOKUP(E2393,Precios!Z$2:BB$941,3,FALSE)*F2393</f>
        <v>-1</v>
      </c>
      <c r="AL2393" s="17"/>
      <c r="AM2393" s="17"/>
      <c r="AN2393" s="17"/>
      <c r="AO2393" s="17"/>
      <c r="AP2393" s="17"/>
      <c r="AQ2393" s="17"/>
      <c r="AR2393" s="17"/>
      <c r="AS2393" s="17"/>
      <c r="AT2393" s="17"/>
      <c r="AU2393" s="17"/>
      <c r="AV2393" s="17"/>
    </row>
    <row r="2394" spans="1:48" ht="15.75" customHeight="1">
      <c r="A2394" s="21" t="s">
        <v>76</v>
      </c>
      <c r="B2394" s="23" t="s">
        <v>1692</v>
      </c>
      <c r="C2394" s="22">
        <v>45751</v>
      </c>
      <c r="D2394" s="23" t="s">
        <v>142</v>
      </c>
      <c r="E2394" s="23" t="s">
        <v>137</v>
      </c>
      <c r="F2394" s="21">
        <v>1</v>
      </c>
      <c r="G2394" s="12">
        <v>3500.0000000000005</v>
      </c>
      <c r="H2394" s="12">
        <v>3500.0000000000005</v>
      </c>
      <c r="I2394" s="23" t="s">
        <v>52</v>
      </c>
      <c r="J2394" s="23" t="s">
        <v>61</v>
      </c>
      <c r="K2394" s="24" t="s">
        <v>177</v>
      </c>
      <c r="L2394" s="24">
        <v>121</v>
      </c>
      <c r="M2394" s="12">
        <v>2941.1764705882356</v>
      </c>
      <c r="N2394" s="12">
        <v>2941.1764705882356</v>
      </c>
      <c r="O2394" s="12">
        <v>558.82352941176487</v>
      </c>
      <c r="P2394" s="13"/>
      <c r="Q2394" s="14">
        <v>2025</v>
      </c>
      <c r="R2394" s="15">
        <v>45383</v>
      </c>
      <c r="S2394" s="11" t="s">
        <v>406</v>
      </c>
      <c r="T2394" s="16">
        <v>5</v>
      </c>
      <c r="U2394" s="17"/>
      <c r="V2394" s="12">
        <v>848.73949579831969</v>
      </c>
      <c r="W2394" s="12">
        <v>848.73949579831969</v>
      </c>
      <c r="X2394" s="12">
        <v>0</v>
      </c>
      <c r="Y2394" s="18">
        <v>45747</v>
      </c>
      <c r="Z2394" s="13" t="s">
        <v>503</v>
      </c>
      <c r="AA2394" s="19" t="s">
        <v>361</v>
      </c>
      <c r="AB2394" s="13" t="s">
        <v>357</v>
      </c>
      <c r="AC2394" s="13" t="s">
        <v>489</v>
      </c>
      <c r="AD2394" s="20"/>
      <c r="AE2394" s="20"/>
      <c r="AF2394" s="13" t="s">
        <v>40</v>
      </c>
      <c r="AG2394" s="15">
        <v>45383</v>
      </c>
      <c r="AH2394" s="13" t="s">
        <v>41</v>
      </c>
      <c r="AI2394" s="13" t="s">
        <v>76</v>
      </c>
      <c r="AJ2394" s="13" t="str">
        <f>VLOOKUP(E2394,Precios!Z$2:AA$941,2,FALSE)</f>
        <v>Detergente SPUM 5 Litros (Blanco)</v>
      </c>
      <c r="AK2394" s="14">
        <f>VLOOKUP(E2394,Precios!Z$2:BB$941,3,FALSE)*F2394</f>
        <v>-1</v>
      </c>
      <c r="AL2394" s="17"/>
      <c r="AM2394" s="17"/>
      <c r="AN2394" s="17"/>
      <c r="AO2394" s="17"/>
      <c r="AP2394" s="17"/>
      <c r="AQ2394" s="17"/>
      <c r="AR2394" s="17"/>
      <c r="AS2394" s="17"/>
      <c r="AT2394" s="17"/>
      <c r="AU2394" s="17"/>
      <c r="AV2394" s="17"/>
    </row>
    <row r="2395" spans="1:48" ht="15.75" customHeight="1">
      <c r="A2395" s="21" t="s">
        <v>43</v>
      </c>
      <c r="B2395" s="23" t="s">
        <v>1692</v>
      </c>
      <c r="C2395" s="22">
        <v>45751</v>
      </c>
      <c r="D2395" s="23" t="s">
        <v>142</v>
      </c>
      <c r="E2395" s="23" t="s">
        <v>45</v>
      </c>
      <c r="F2395" s="21">
        <v>1</v>
      </c>
      <c r="G2395" s="12">
        <v>8299.7854333055202</v>
      </c>
      <c r="H2395" s="12">
        <v>8299.7854333055202</v>
      </c>
      <c r="I2395" s="23" t="s">
        <v>52</v>
      </c>
      <c r="J2395" s="23" t="s">
        <v>61</v>
      </c>
      <c r="K2395" s="24" t="s">
        <v>177</v>
      </c>
      <c r="L2395" s="24">
        <v>121</v>
      </c>
      <c r="M2395" s="12">
        <v>6974.6096078197652</v>
      </c>
      <c r="N2395" s="12">
        <v>6974.6096078197652</v>
      </c>
      <c r="O2395" s="12">
        <v>1325.175825485755</v>
      </c>
      <c r="P2395" s="13"/>
      <c r="Q2395" s="14">
        <v>2025</v>
      </c>
      <c r="R2395" s="15">
        <v>45383</v>
      </c>
      <c r="S2395" s="11" t="s">
        <v>355</v>
      </c>
      <c r="T2395" s="16">
        <v>0</v>
      </c>
      <c r="U2395" s="17"/>
      <c r="V2395" s="12">
        <v>1123.6096078197643</v>
      </c>
      <c r="W2395" s="12">
        <v>1123.6096078197643</v>
      </c>
      <c r="X2395" s="12">
        <v>0</v>
      </c>
      <c r="Y2395" s="18">
        <v>45747</v>
      </c>
      <c r="Z2395" s="13" t="s">
        <v>503</v>
      </c>
      <c r="AA2395" s="19" t="s">
        <v>361</v>
      </c>
      <c r="AB2395" s="13" t="s">
        <v>357</v>
      </c>
      <c r="AC2395" s="13" t="s">
        <v>489</v>
      </c>
      <c r="AD2395" s="20"/>
      <c r="AE2395" s="20"/>
      <c r="AF2395" s="13" t="s">
        <v>40</v>
      </c>
      <c r="AG2395" s="15">
        <v>45383</v>
      </c>
      <c r="AH2395" s="13" t="s">
        <v>41</v>
      </c>
      <c r="AI2395" s="13" t="s">
        <v>43</v>
      </c>
      <c r="AJ2395" s="13" t="str">
        <f>VLOOKUP(E2395,Precios!Z$2:AA$941,2,FALSE)</f>
        <v>Bandeja Huevos EXTRA</v>
      </c>
      <c r="AK2395" s="14">
        <f>VLOOKUP(E2395,Precios!Z$2:BB$941,3,FALSE)*F2395</f>
        <v>-1</v>
      </c>
      <c r="AL2395" s="17"/>
      <c r="AM2395" s="17"/>
      <c r="AN2395" s="17"/>
      <c r="AO2395" s="17"/>
      <c r="AP2395" s="17"/>
      <c r="AQ2395" s="17"/>
      <c r="AR2395" s="17"/>
      <c r="AS2395" s="17"/>
      <c r="AT2395" s="17"/>
      <c r="AU2395" s="17"/>
      <c r="AV2395" s="17"/>
    </row>
    <row r="2396" spans="1:48" ht="15.75" customHeight="1">
      <c r="A2396" s="21" t="s">
        <v>35</v>
      </c>
      <c r="B2396" s="23" t="s">
        <v>1692</v>
      </c>
      <c r="C2396" s="22">
        <v>45751</v>
      </c>
      <c r="D2396" s="23" t="s">
        <v>142</v>
      </c>
      <c r="E2396" s="23" t="s">
        <v>37</v>
      </c>
      <c r="F2396" s="21">
        <v>1</v>
      </c>
      <c r="G2396" s="12">
        <v>10500</v>
      </c>
      <c r="H2396" s="12">
        <v>10500</v>
      </c>
      <c r="I2396" s="23" t="s">
        <v>52</v>
      </c>
      <c r="J2396" s="23" t="s">
        <v>61</v>
      </c>
      <c r="K2396" s="24" t="s">
        <v>177</v>
      </c>
      <c r="L2396" s="24">
        <v>121</v>
      </c>
      <c r="M2396" s="12">
        <v>8823.5294117647063</v>
      </c>
      <c r="N2396" s="12">
        <v>8823.5294117647063</v>
      </c>
      <c r="O2396" s="12">
        <v>1676.4705882352937</v>
      </c>
      <c r="P2396" s="13"/>
      <c r="Q2396" s="14">
        <v>2025</v>
      </c>
      <c r="R2396" s="15">
        <v>45383</v>
      </c>
      <c r="S2396" s="11" t="s">
        <v>364</v>
      </c>
      <c r="T2396" s="16">
        <v>1000</v>
      </c>
      <c r="U2396" s="17"/>
      <c r="V2396" s="12">
        <v>2385.7142857142853</v>
      </c>
      <c r="W2396" s="12">
        <v>2385.7142857142853</v>
      </c>
      <c r="X2396" s="12">
        <v>0</v>
      </c>
      <c r="Y2396" s="18">
        <v>45747</v>
      </c>
      <c r="Z2396" s="13" t="s">
        <v>503</v>
      </c>
      <c r="AA2396" s="19" t="s">
        <v>361</v>
      </c>
      <c r="AB2396" s="13" t="s">
        <v>357</v>
      </c>
      <c r="AC2396" s="13" t="s">
        <v>489</v>
      </c>
      <c r="AD2396" s="20"/>
      <c r="AE2396" s="20"/>
      <c r="AF2396" s="13" t="s">
        <v>40</v>
      </c>
      <c r="AG2396" s="15">
        <v>45383</v>
      </c>
      <c r="AH2396" s="13" t="s">
        <v>41</v>
      </c>
      <c r="AI2396" s="13" t="s">
        <v>35</v>
      </c>
      <c r="AJ2396" s="13" t="str">
        <f>VLOOKUP(E2396,Precios!Z$2:AA$941,2,FALSE)</f>
        <v>Queso RUNCA Mantecoso</v>
      </c>
      <c r="AK2396" s="14">
        <f>VLOOKUP(E2396,Precios!Z$2:BB$941,3,FALSE)*F2396</f>
        <v>-1</v>
      </c>
      <c r="AL2396" s="17"/>
      <c r="AM2396" s="17"/>
      <c r="AN2396" s="17"/>
      <c r="AO2396" s="17"/>
      <c r="AP2396" s="17"/>
      <c r="AQ2396" s="17"/>
      <c r="AR2396" s="17"/>
      <c r="AS2396" s="17"/>
      <c r="AT2396" s="17"/>
      <c r="AU2396" s="17"/>
      <c r="AV2396" s="17"/>
    </row>
    <row r="2397" spans="1:48" ht="15.75" customHeight="1">
      <c r="A2397" s="21" t="s">
        <v>43</v>
      </c>
      <c r="B2397" s="23" t="s">
        <v>1692</v>
      </c>
      <c r="C2397" s="22">
        <v>45751</v>
      </c>
      <c r="D2397" s="23" t="s">
        <v>291</v>
      </c>
      <c r="E2397" s="23" t="s">
        <v>45</v>
      </c>
      <c r="F2397" s="21">
        <v>1</v>
      </c>
      <c r="G2397" s="12">
        <v>8299.7854333055202</v>
      </c>
      <c r="H2397" s="12">
        <v>8299.7854333055202</v>
      </c>
      <c r="I2397" s="23" t="s">
        <v>52</v>
      </c>
      <c r="J2397" s="23" t="s">
        <v>61</v>
      </c>
      <c r="K2397" s="24" t="s">
        <v>177</v>
      </c>
      <c r="L2397" s="24">
        <v>121</v>
      </c>
      <c r="M2397" s="12">
        <v>6974.6096078197652</v>
      </c>
      <c r="N2397" s="12">
        <v>6974.6096078197652</v>
      </c>
      <c r="O2397" s="12">
        <v>1325.175825485755</v>
      </c>
      <c r="P2397" s="13"/>
      <c r="Q2397" s="14">
        <v>2025</v>
      </c>
      <c r="R2397" s="15">
        <v>45383</v>
      </c>
      <c r="S2397" s="11" t="s">
        <v>355</v>
      </c>
      <c r="T2397" s="16">
        <v>0</v>
      </c>
      <c r="U2397" s="17"/>
      <c r="V2397" s="12">
        <v>1123.6096078197643</v>
      </c>
      <c r="W2397" s="12">
        <v>1123.6096078197643</v>
      </c>
      <c r="X2397" s="12">
        <v>0</v>
      </c>
      <c r="Y2397" s="18">
        <v>45747</v>
      </c>
      <c r="Z2397" s="13" t="s">
        <v>503</v>
      </c>
      <c r="AA2397" s="19" t="s">
        <v>373</v>
      </c>
      <c r="AB2397" s="13" t="s">
        <v>357</v>
      </c>
      <c r="AC2397" s="13" t="s">
        <v>374</v>
      </c>
      <c r="AD2397" s="20"/>
      <c r="AE2397" s="20"/>
      <c r="AF2397" s="13" t="s">
        <v>40</v>
      </c>
      <c r="AG2397" s="15">
        <v>45383</v>
      </c>
      <c r="AH2397" s="13" t="s">
        <v>41</v>
      </c>
      <c r="AI2397" s="13" t="s">
        <v>43</v>
      </c>
      <c r="AJ2397" s="13" t="str">
        <f>VLOOKUP(E2397,Precios!Z$2:AA$941,2,FALSE)</f>
        <v>Bandeja Huevos EXTRA</v>
      </c>
      <c r="AK2397" s="14">
        <f>VLOOKUP(E2397,Precios!Z$2:BB$941,3,FALSE)*F2397</f>
        <v>-1</v>
      </c>
      <c r="AL2397" s="17"/>
      <c r="AM2397" s="17"/>
      <c r="AN2397" s="17"/>
      <c r="AO2397" s="17"/>
      <c r="AP2397" s="17"/>
      <c r="AQ2397" s="17"/>
      <c r="AR2397" s="17"/>
      <c r="AS2397" s="17"/>
      <c r="AT2397" s="17"/>
      <c r="AU2397" s="17"/>
      <c r="AV2397" s="17"/>
    </row>
    <row r="2398" spans="1:48" ht="15.75" customHeight="1">
      <c r="A2398" s="21" t="s">
        <v>43</v>
      </c>
      <c r="B2398" s="23" t="s">
        <v>1692</v>
      </c>
      <c r="C2398" s="22">
        <v>45751</v>
      </c>
      <c r="D2398" s="23" t="s">
        <v>915</v>
      </c>
      <c r="E2398" s="23" t="s">
        <v>688</v>
      </c>
      <c r="F2398" s="21">
        <v>1</v>
      </c>
      <c r="G2398" s="12">
        <v>6199.8000799680131</v>
      </c>
      <c r="H2398" s="12">
        <v>6199.8000799680131</v>
      </c>
      <c r="I2398" s="23" t="s">
        <v>52</v>
      </c>
      <c r="J2398" s="23" t="s">
        <v>61</v>
      </c>
      <c r="K2398" s="24" t="s">
        <v>177</v>
      </c>
      <c r="L2398" s="24">
        <v>121</v>
      </c>
      <c r="M2398" s="12">
        <v>5209.9160335865654</v>
      </c>
      <c r="N2398" s="12">
        <v>5209.9160335865654</v>
      </c>
      <c r="O2398" s="12">
        <v>989.88404638144766</v>
      </c>
      <c r="P2398" s="13"/>
      <c r="Q2398" s="14">
        <v>2025</v>
      </c>
      <c r="R2398" s="15">
        <v>45383</v>
      </c>
      <c r="S2398" s="11" t="s">
        <v>355</v>
      </c>
      <c r="T2398" s="16">
        <v>0</v>
      </c>
      <c r="U2398" s="17"/>
      <c r="V2398" s="12">
        <v>1300.9160335865654</v>
      </c>
      <c r="W2398" s="12">
        <v>1300.9160335865654</v>
      </c>
      <c r="X2398" s="12">
        <v>0</v>
      </c>
      <c r="Y2398" s="18">
        <v>45747</v>
      </c>
      <c r="Z2398" s="13" t="s">
        <v>503</v>
      </c>
      <c r="AA2398" s="19" t="s">
        <v>367</v>
      </c>
      <c r="AB2398" s="13" t="s">
        <v>357</v>
      </c>
      <c r="AC2398" s="13" t="s">
        <v>367</v>
      </c>
      <c r="AD2398" s="20"/>
      <c r="AE2398" s="20"/>
      <c r="AF2398" s="13" t="s">
        <v>40</v>
      </c>
      <c r="AG2398" s="15">
        <v>45383</v>
      </c>
      <c r="AH2398" s="13" t="s">
        <v>41</v>
      </c>
      <c r="AI2398" s="13" t="s">
        <v>43</v>
      </c>
      <c r="AJ2398" s="13" t="str">
        <f>VLOOKUP(E2398,Precios!Z$2:AA$941,2,FALSE)</f>
        <v>Bandeja Huevos EXTRA</v>
      </c>
      <c r="AK2398" s="14">
        <f>VLOOKUP(E2398,Precios!Z$2:BB$941,3,FALSE)*F2398</f>
        <v>-0.67</v>
      </c>
      <c r="AL2398" s="17"/>
      <c r="AM2398" s="17"/>
      <c r="AN2398" s="17"/>
      <c r="AO2398" s="17"/>
      <c r="AP2398" s="17"/>
      <c r="AQ2398" s="17"/>
      <c r="AR2398" s="17"/>
      <c r="AS2398" s="17"/>
      <c r="AT2398" s="17"/>
      <c r="AU2398" s="17"/>
      <c r="AV2398" s="17"/>
    </row>
    <row r="2399" spans="1:48" ht="15.75" customHeight="1">
      <c r="A2399" s="21" t="s">
        <v>53</v>
      </c>
      <c r="B2399" s="23" t="s">
        <v>1692</v>
      </c>
      <c r="C2399" s="22">
        <v>45751</v>
      </c>
      <c r="D2399" s="23" t="s">
        <v>229</v>
      </c>
      <c r="E2399" s="23" t="s">
        <v>587</v>
      </c>
      <c r="F2399" s="21">
        <v>1</v>
      </c>
      <c r="G2399" s="12">
        <v>3499.8985330782161</v>
      </c>
      <c r="H2399" s="12">
        <v>3499.8985330782161</v>
      </c>
      <c r="I2399" s="23" t="s">
        <v>52</v>
      </c>
      <c r="J2399" s="23" t="s">
        <v>61</v>
      </c>
      <c r="K2399" s="24" t="s">
        <v>177</v>
      </c>
      <c r="L2399" s="24">
        <v>121</v>
      </c>
      <c r="M2399" s="12">
        <v>2941.0912042674086</v>
      </c>
      <c r="N2399" s="12">
        <v>2941.0912042674086</v>
      </c>
      <c r="O2399" s="12">
        <v>558.80732881080758</v>
      </c>
      <c r="P2399" s="13"/>
      <c r="Q2399" s="14">
        <v>2025</v>
      </c>
      <c r="R2399" s="15">
        <v>45383</v>
      </c>
      <c r="S2399" s="11" t="s">
        <v>408</v>
      </c>
      <c r="T2399" s="16">
        <v>0</v>
      </c>
      <c r="U2399" s="17"/>
      <c r="V2399" s="12">
        <v>912.09120426740856</v>
      </c>
      <c r="W2399" s="12">
        <v>912.09120426740856</v>
      </c>
      <c r="X2399" s="12">
        <v>0</v>
      </c>
      <c r="Y2399" s="18">
        <v>45747</v>
      </c>
      <c r="Z2399" s="13" t="s">
        <v>503</v>
      </c>
      <c r="AA2399" s="19" t="s">
        <v>361</v>
      </c>
      <c r="AB2399" s="13" t="s">
        <v>357</v>
      </c>
      <c r="AC2399" s="13" t="s">
        <v>380</v>
      </c>
      <c r="AD2399" s="20"/>
      <c r="AE2399" s="20"/>
      <c r="AF2399" s="13" t="s">
        <v>40</v>
      </c>
      <c r="AG2399" s="15">
        <v>45383</v>
      </c>
      <c r="AH2399" s="13" t="s">
        <v>41</v>
      </c>
      <c r="AI2399" s="13" t="s">
        <v>53</v>
      </c>
      <c r="AJ2399" s="13" t="str">
        <f>VLOOKUP(E2399,Precios!Z$2:AA$941,2,FALSE)</f>
        <v>Toalla Papel SWAN D/H AZUL 100 metros</v>
      </c>
      <c r="AK2399" s="14">
        <f>VLOOKUP(E2399,Precios!Z$2:BB$941,3,FALSE)*F2399</f>
        <v>-1</v>
      </c>
      <c r="AL2399" s="17"/>
      <c r="AM2399" s="17"/>
      <c r="AN2399" s="17"/>
      <c r="AO2399" s="17"/>
      <c r="AP2399" s="17"/>
      <c r="AQ2399" s="17"/>
      <c r="AR2399" s="17"/>
      <c r="AS2399" s="17"/>
      <c r="AT2399" s="17"/>
      <c r="AU2399" s="17"/>
      <c r="AV2399" s="17"/>
    </row>
    <row r="2400" spans="1:48" ht="15.75" customHeight="1">
      <c r="A2400" s="21" t="s">
        <v>47</v>
      </c>
      <c r="B2400" s="23" t="s">
        <v>1692</v>
      </c>
      <c r="C2400" s="22">
        <v>45751</v>
      </c>
      <c r="D2400" s="23" t="s">
        <v>229</v>
      </c>
      <c r="E2400" s="23" t="s">
        <v>94</v>
      </c>
      <c r="F2400" s="21">
        <v>1</v>
      </c>
      <c r="G2400" s="12">
        <v>1650.3649635036495</v>
      </c>
      <c r="H2400" s="12">
        <v>1650.3649635036495</v>
      </c>
      <c r="I2400" s="23" t="s">
        <v>52</v>
      </c>
      <c r="J2400" s="23" t="s">
        <v>61</v>
      </c>
      <c r="K2400" s="24" t="s">
        <v>177</v>
      </c>
      <c r="L2400" s="24">
        <v>121</v>
      </c>
      <c r="M2400" s="12">
        <v>1386.861313868613</v>
      </c>
      <c r="N2400" s="12">
        <v>1386.861313868613</v>
      </c>
      <c r="O2400" s="12">
        <v>263.50364963503648</v>
      </c>
      <c r="P2400" s="13"/>
      <c r="Q2400" s="14">
        <v>2025</v>
      </c>
      <c r="R2400" s="15">
        <v>45383</v>
      </c>
      <c r="S2400" s="11" t="s">
        <v>384</v>
      </c>
      <c r="T2400" s="16">
        <v>0</v>
      </c>
      <c r="U2400" s="17"/>
      <c r="V2400" s="12">
        <v>436.86131386861302</v>
      </c>
      <c r="W2400" s="12">
        <v>436.86131386861302</v>
      </c>
      <c r="X2400" s="12">
        <v>0</v>
      </c>
      <c r="Y2400" s="18">
        <v>45747</v>
      </c>
      <c r="Z2400" s="13" t="s">
        <v>503</v>
      </c>
      <c r="AA2400" s="19" t="s">
        <v>361</v>
      </c>
      <c r="AB2400" s="13" t="s">
        <v>357</v>
      </c>
      <c r="AC2400" s="13" t="s">
        <v>380</v>
      </c>
      <c r="AD2400" s="20"/>
      <c r="AE2400" s="20"/>
      <c r="AF2400" s="13" t="s">
        <v>40</v>
      </c>
      <c r="AG2400" s="15">
        <v>45383</v>
      </c>
      <c r="AH2400" s="13" t="s">
        <v>41</v>
      </c>
      <c r="AI2400" s="13" t="s">
        <v>47</v>
      </c>
      <c r="AJ2400" s="13" t="str">
        <f>VLOOKUP(E2400,Precios!Z$2:AA$941,2,FALSE)</f>
        <v>Jabón Lìquido BALLERINA</v>
      </c>
      <c r="AK2400" s="14">
        <f>VLOOKUP(E2400,Precios!Z$2:BB$941,3,FALSE)*F2400</f>
        <v>-3</v>
      </c>
      <c r="AL2400" s="17"/>
      <c r="AM2400" s="17"/>
      <c r="AN2400" s="17"/>
      <c r="AO2400" s="17"/>
      <c r="AP2400" s="17"/>
      <c r="AQ2400" s="17"/>
      <c r="AR2400" s="17"/>
      <c r="AS2400" s="17"/>
      <c r="AT2400" s="17"/>
      <c r="AU2400" s="17"/>
      <c r="AV2400" s="17"/>
    </row>
    <row r="2401" spans="1:48" ht="15.75" customHeight="1">
      <c r="A2401" s="21" t="s">
        <v>76</v>
      </c>
      <c r="B2401" s="23" t="s">
        <v>1692</v>
      </c>
      <c r="C2401" s="22">
        <v>45751</v>
      </c>
      <c r="D2401" s="23" t="s">
        <v>229</v>
      </c>
      <c r="E2401" s="23" t="s">
        <v>194</v>
      </c>
      <c r="F2401" s="21">
        <v>1</v>
      </c>
      <c r="G2401" s="12">
        <v>2400</v>
      </c>
      <c r="H2401" s="12">
        <v>2400</v>
      </c>
      <c r="I2401" s="23" t="s">
        <v>52</v>
      </c>
      <c r="J2401" s="23" t="s">
        <v>61</v>
      </c>
      <c r="K2401" s="24" t="s">
        <v>177</v>
      </c>
      <c r="L2401" s="24">
        <v>121</v>
      </c>
      <c r="M2401" s="12">
        <v>2016.8067226890757</v>
      </c>
      <c r="N2401" s="12">
        <v>2016.8067226890757</v>
      </c>
      <c r="O2401" s="12">
        <v>383.19327731092426</v>
      </c>
      <c r="P2401" s="13"/>
      <c r="Q2401" s="14">
        <v>2025</v>
      </c>
      <c r="R2401" s="15">
        <v>45383</v>
      </c>
      <c r="S2401" s="11" t="s">
        <v>442</v>
      </c>
      <c r="T2401" s="16">
        <v>0</v>
      </c>
      <c r="U2401" s="17"/>
      <c r="V2401" s="12">
        <v>959.6638655462184</v>
      </c>
      <c r="W2401" s="12">
        <v>959.6638655462184</v>
      </c>
      <c r="X2401" s="12">
        <v>0</v>
      </c>
      <c r="Y2401" s="18">
        <v>45747</v>
      </c>
      <c r="Z2401" s="13" t="s">
        <v>503</v>
      </c>
      <c r="AA2401" s="19" t="s">
        <v>361</v>
      </c>
      <c r="AB2401" s="13" t="s">
        <v>357</v>
      </c>
      <c r="AC2401" s="13" t="s">
        <v>380</v>
      </c>
      <c r="AD2401" s="20"/>
      <c r="AE2401" s="20"/>
      <c r="AF2401" s="13" t="s">
        <v>40</v>
      </c>
      <c r="AG2401" s="15">
        <v>45383</v>
      </c>
      <c r="AH2401" s="13" t="s">
        <v>41</v>
      </c>
      <c r="AI2401" s="13" t="s">
        <v>76</v>
      </c>
      <c r="AJ2401" s="13" t="str">
        <f>VLOOKUP(E2401,Precios!Z$2:AA$941,2,FALSE)</f>
        <v>CIF 750 cc</v>
      </c>
      <c r="AK2401" s="14">
        <f>VLOOKUP(E2401,Precios!Z$2:BB$941,3,FALSE)*F2401</f>
        <v>-1</v>
      </c>
      <c r="AL2401" s="17"/>
      <c r="AM2401" s="17"/>
      <c r="AN2401" s="17"/>
      <c r="AO2401" s="17"/>
      <c r="AP2401" s="17"/>
      <c r="AQ2401" s="17"/>
      <c r="AR2401" s="17"/>
      <c r="AS2401" s="17"/>
      <c r="AT2401" s="17"/>
      <c r="AU2401" s="17"/>
      <c r="AV2401" s="17"/>
    </row>
    <row r="2402" spans="1:48" ht="15.75" customHeight="1">
      <c r="A2402" s="21" t="s">
        <v>76</v>
      </c>
      <c r="B2402" s="23" t="s">
        <v>1692</v>
      </c>
      <c r="C2402" s="22">
        <v>45751</v>
      </c>
      <c r="D2402" s="23" t="s">
        <v>229</v>
      </c>
      <c r="E2402" s="23" t="s">
        <v>166</v>
      </c>
      <c r="F2402" s="21">
        <v>1</v>
      </c>
      <c r="G2402" s="12">
        <v>3500.0000000000005</v>
      </c>
      <c r="H2402" s="12">
        <v>3500.0000000000005</v>
      </c>
      <c r="I2402" s="23" t="s">
        <v>52</v>
      </c>
      <c r="J2402" s="23" t="s">
        <v>61</v>
      </c>
      <c r="K2402" s="24" t="s">
        <v>177</v>
      </c>
      <c r="L2402" s="24">
        <v>121</v>
      </c>
      <c r="M2402" s="12">
        <v>2941.1764705882356</v>
      </c>
      <c r="N2402" s="12">
        <v>2941.1764705882356</v>
      </c>
      <c r="O2402" s="12">
        <v>558.82352941176487</v>
      </c>
      <c r="P2402" s="13"/>
      <c r="Q2402" s="14">
        <v>2025</v>
      </c>
      <c r="R2402" s="15">
        <v>45383</v>
      </c>
      <c r="S2402" s="11" t="s">
        <v>448</v>
      </c>
      <c r="T2402" s="16">
        <v>5</v>
      </c>
      <c r="U2402" s="17"/>
      <c r="V2402" s="12">
        <v>1016.8067226890757</v>
      </c>
      <c r="W2402" s="12">
        <v>1016.8067226890757</v>
      </c>
      <c r="X2402" s="12">
        <v>0</v>
      </c>
      <c r="Y2402" s="18">
        <v>45747</v>
      </c>
      <c r="Z2402" s="13" t="s">
        <v>503</v>
      </c>
      <c r="AA2402" s="19" t="s">
        <v>361</v>
      </c>
      <c r="AB2402" s="13" t="s">
        <v>357</v>
      </c>
      <c r="AC2402" s="13" t="s">
        <v>380</v>
      </c>
      <c r="AD2402" s="20"/>
      <c r="AE2402" s="20"/>
      <c r="AF2402" s="13" t="s">
        <v>40</v>
      </c>
      <c r="AG2402" s="15">
        <v>45383</v>
      </c>
      <c r="AH2402" s="13" t="s">
        <v>41</v>
      </c>
      <c r="AI2402" s="13" t="s">
        <v>76</v>
      </c>
      <c r="AJ2402" s="13" t="str">
        <f>VLOOKUP(E2402,Precios!Z$2:AA$941,2,FALSE)</f>
        <v>Cloro GEL SPUM 5 Litros</v>
      </c>
      <c r="AK2402" s="14">
        <f>VLOOKUP(E2402,Precios!Z$2:BB$941,3,FALSE)*F2402</f>
        <v>-1</v>
      </c>
      <c r="AL2402" s="17"/>
      <c r="AM2402" s="17"/>
      <c r="AN2402" s="17"/>
      <c r="AO2402" s="17"/>
      <c r="AP2402" s="17"/>
      <c r="AQ2402" s="17"/>
      <c r="AR2402" s="17"/>
      <c r="AS2402" s="17"/>
      <c r="AT2402" s="17"/>
      <c r="AU2402" s="17"/>
      <c r="AV2402" s="17"/>
    </row>
    <row r="2403" spans="1:48" ht="15.75" customHeight="1">
      <c r="A2403" s="21" t="s">
        <v>76</v>
      </c>
      <c r="B2403" s="23" t="s">
        <v>1692</v>
      </c>
      <c r="C2403" s="22">
        <v>45751</v>
      </c>
      <c r="D2403" s="23" t="s">
        <v>229</v>
      </c>
      <c r="E2403" s="23" t="s">
        <v>82</v>
      </c>
      <c r="F2403" s="21">
        <v>1</v>
      </c>
      <c r="G2403" s="12">
        <v>2000.0000000000002</v>
      </c>
      <c r="H2403" s="12">
        <v>2000.0000000000002</v>
      </c>
      <c r="I2403" s="23" t="s">
        <v>52</v>
      </c>
      <c r="J2403" s="23" t="s">
        <v>61</v>
      </c>
      <c r="K2403" s="24" t="s">
        <v>177</v>
      </c>
      <c r="L2403" s="24">
        <v>121</v>
      </c>
      <c r="M2403" s="12">
        <v>1680.6722689075632</v>
      </c>
      <c r="N2403" s="12">
        <v>1680.6722689075632</v>
      </c>
      <c r="O2403" s="12">
        <v>319.32773109243703</v>
      </c>
      <c r="P2403" s="13"/>
      <c r="Q2403" s="14">
        <v>2025</v>
      </c>
      <c r="R2403" s="15">
        <v>45383</v>
      </c>
      <c r="S2403" s="11" t="s">
        <v>463</v>
      </c>
      <c r="T2403" s="16">
        <v>5</v>
      </c>
      <c r="U2403" s="17"/>
      <c r="V2403" s="12">
        <v>680.67226890756319</v>
      </c>
      <c r="W2403" s="12">
        <v>680.67226890756319</v>
      </c>
      <c r="X2403" s="12">
        <v>0</v>
      </c>
      <c r="Y2403" s="18">
        <v>45747</v>
      </c>
      <c r="Z2403" s="13" t="s">
        <v>503</v>
      </c>
      <c r="AA2403" s="19" t="s">
        <v>361</v>
      </c>
      <c r="AB2403" s="13" t="s">
        <v>357</v>
      </c>
      <c r="AC2403" s="13" t="s">
        <v>380</v>
      </c>
      <c r="AD2403" s="20"/>
      <c r="AE2403" s="20"/>
      <c r="AF2403" s="13" t="s">
        <v>40</v>
      </c>
      <c r="AG2403" s="15">
        <v>45383</v>
      </c>
      <c r="AH2403" s="13" t="s">
        <v>41</v>
      </c>
      <c r="AI2403" s="13" t="s">
        <v>76</v>
      </c>
      <c r="AJ2403" s="13" t="str">
        <f>VLOOKUP(E2403,Precios!Z$2:AA$941,2,FALSE)</f>
        <v>Limpiapiso SPUM 5 Litros</v>
      </c>
      <c r="AK2403" s="14">
        <f>VLOOKUP(E2403,Precios!Z$2:BB$941,3,FALSE)*F2403</f>
        <v>-1</v>
      </c>
      <c r="AL2403" s="17"/>
      <c r="AM2403" s="17"/>
      <c r="AN2403" s="17"/>
      <c r="AO2403" s="17"/>
      <c r="AP2403" s="17"/>
      <c r="AQ2403" s="17"/>
      <c r="AR2403" s="17"/>
      <c r="AS2403" s="17"/>
      <c r="AT2403" s="17"/>
      <c r="AU2403" s="17"/>
      <c r="AV2403" s="17"/>
    </row>
    <row r="2404" spans="1:48" ht="15.75" customHeight="1">
      <c r="A2404" s="21" t="s">
        <v>147</v>
      </c>
      <c r="B2404" s="23" t="s">
        <v>1692</v>
      </c>
      <c r="C2404" s="22">
        <v>45751</v>
      </c>
      <c r="D2404" s="23" t="s">
        <v>712</v>
      </c>
      <c r="E2404" s="23" t="s">
        <v>257</v>
      </c>
      <c r="F2404" s="21">
        <v>1</v>
      </c>
      <c r="G2404" s="12">
        <v>4000.0000000000005</v>
      </c>
      <c r="H2404" s="12">
        <v>4000.0000000000005</v>
      </c>
      <c r="I2404" s="23" t="s">
        <v>52</v>
      </c>
      <c r="J2404" s="23" t="s">
        <v>61</v>
      </c>
      <c r="K2404" s="24" t="s">
        <v>177</v>
      </c>
      <c r="L2404" s="24">
        <v>121</v>
      </c>
      <c r="M2404" s="12">
        <v>3361.3445378151264</v>
      </c>
      <c r="N2404" s="12">
        <v>3361.3445378151264</v>
      </c>
      <c r="O2404" s="12">
        <v>638.65546218487407</v>
      </c>
      <c r="P2404" s="13"/>
      <c r="Q2404" s="14">
        <v>2025</v>
      </c>
      <c r="R2404" s="15">
        <v>45383</v>
      </c>
      <c r="S2404" s="11" t="s">
        <v>412</v>
      </c>
      <c r="T2404" s="16">
        <v>0</v>
      </c>
      <c r="U2404" s="17"/>
      <c r="V2404" s="12">
        <v>1680.6722689075632</v>
      </c>
      <c r="W2404" s="12">
        <v>1680.6722689075632</v>
      </c>
      <c r="X2404" s="12">
        <v>0</v>
      </c>
      <c r="Y2404" s="18">
        <v>45747</v>
      </c>
      <c r="Z2404" s="13" t="s">
        <v>503</v>
      </c>
      <c r="AA2404" s="19" t="s">
        <v>373</v>
      </c>
      <c r="AB2404" s="13" t="s">
        <v>357</v>
      </c>
      <c r="AC2404" s="13" t="s">
        <v>713</v>
      </c>
      <c r="AD2404" s="20"/>
      <c r="AE2404" s="20"/>
      <c r="AF2404" s="13" t="s">
        <v>40</v>
      </c>
      <c r="AG2404" s="15">
        <v>45383</v>
      </c>
      <c r="AH2404" s="13" t="s">
        <v>41</v>
      </c>
      <c r="AI2404" s="13" t="s">
        <v>147</v>
      </c>
      <c r="AJ2404" s="13" t="str">
        <f>VLOOKUP(E2404,Precios!Z$2:AA$941,2,FALSE)</f>
        <v>Film Plástico 100 metros</v>
      </c>
      <c r="AK2404" s="14">
        <f>VLOOKUP(E2404,Precios!Z$2:BB$941,3,FALSE)*F2404</f>
        <v>-1</v>
      </c>
      <c r="AL2404" s="17"/>
      <c r="AM2404" s="17"/>
      <c r="AN2404" s="17"/>
      <c r="AO2404" s="17"/>
      <c r="AP2404" s="17"/>
      <c r="AQ2404" s="17"/>
      <c r="AR2404" s="17"/>
      <c r="AS2404" s="17"/>
      <c r="AT2404" s="17"/>
      <c r="AU2404" s="17"/>
      <c r="AV2404" s="17"/>
    </row>
    <row r="2405" spans="1:48" ht="15.75" customHeight="1">
      <c r="A2405" s="21" t="s">
        <v>147</v>
      </c>
      <c r="B2405" s="23" t="s">
        <v>1692</v>
      </c>
      <c r="C2405" s="22">
        <v>45751</v>
      </c>
      <c r="D2405" s="23" t="s">
        <v>712</v>
      </c>
      <c r="E2405" s="23" t="s">
        <v>249</v>
      </c>
      <c r="F2405" s="21">
        <v>1</v>
      </c>
      <c r="G2405" s="12">
        <v>8000.4228329809721</v>
      </c>
      <c r="H2405" s="12">
        <v>8000.4228329809721</v>
      </c>
      <c r="I2405" s="23" t="s">
        <v>52</v>
      </c>
      <c r="J2405" s="23" t="s">
        <v>61</v>
      </c>
      <c r="K2405" s="24" t="s">
        <v>177</v>
      </c>
      <c r="L2405" s="24">
        <v>121</v>
      </c>
      <c r="M2405" s="12">
        <v>6723.0443974630025</v>
      </c>
      <c r="N2405" s="12">
        <v>6723.0443974630025</v>
      </c>
      <c r="O2405" s="12">
        <v>1277.3784355179696</v>
      </c>
      <c r="P2405" s="13"/>
      <c r="Q2405" s="14">
        <v>2025</v>
      </c>
      <c r="R2405" s="15">
        <v>45383</v>
      </c>
      <c r="S2405" s="11" t="s">
        <v>360</v>
      </c>
      <c r="T2405" s="16">
        <v>0</v>
      </c>
      <c r="U2405" s="17"/>
      <c r="V2405" s="12">
        <v>2271.0443974630016</v>
      </c>
      <c r="W2405" s="12">
        <v>2271.0443974630016</v>
      </c>
      <c r="X2405" s="12">
        <v>0</v>
      </c>
      <c r="Y2405" s="18">
        <v>45747</v>
      </c>
      <c r="Z2405" s="13" t="s">
        <v>503</v>
      </c>
      <c r="AA2405" s="19" t="s">
        <v>373</v>
      </c>
      <c r="AB2405" s="13" t="s">
        <v>357</v>
      </c>
      <c r="AC2405" s="13" t="s">
        <v>713</v>
      </c>
      <c r="AD2405" s="20"/>
      <c r="AE2405" s="20"/>
      <c r="AF2405" s="13" t="s">
        <v>40</v>
      </c>
      <c r="AG2405" s="15">
        <v>45383</v>
      </c>
      <c r="AH2405" s="13" t="s">
        <v>41</v>
      </c>
      <c r="AI2405" s="13" t="s">
        <v>147</v>
      </c>
      <c r="AJ2405" s="13" t="str">
        <f>VLOOKUP(E2405,Precios!Z$2:AA$941,2,FALSE)</f>
        <v>Papel Aluminio 100 metros</v>
      </c>
      <c r="AK2405" s="14">
        <f>VLOOKUP(E2405,Precios!Z$2:BB$941,3,FALSE)*F2405</f>
        <v>-1</v>
      </c>
      <c r="AL2405" s="17"/>
      <c r="AM2405" s="17"/>
      <c r="AN2405" s="17"/>
      <c r="AO2405" s="17"/>
      <c r="AP2405" s="17"/>
      <c r="AQ2405" s="17"/>
      <c r="AR2405" s="17"/>
      <c r="AS2405" s="17"/>
      <c r="AT2405" s="17"/>
      <c r="AU2405" s="17"/>
      <c r="AV2405" s="17"/>
    </row>
    <row r="2406" spans="1:48" ht="15.75" customHeight="1">
      <c r="A2406" s="21" t="s">
        <v>53</v>
      </c>
      <c r="B2406" s="23" t="s">
        <v>1692</v>
      </c>
      <c r="C2406" s="22">
        <v>45751</v>
      </c>
      <c r="D2406" s="23" t="s">
        <v>714</v>
      </c>
      <c r="E2406" s="23" t="s">
        <v>97</v>
      </c>
      <c r="F2406" s="21">
        <v>1</v>
      </c>
      <c r="G2406" s="12">
        <v>15500.298388701016</v>
      </c>
      <c r="H2406" s="12">
        <v>15500.298388701016</v>
      </c>
      <c r="I2406" s="23" t="s">
        <v>52</v>
      </c>
      <c r="J2406" s="23" t="s">
        <v>61</v>
      </c>
      <c r="K2406" s="24" t="s">
        <v>177</v>
      </c>
      <c r="L2406" s="24">
        <v>121</v>
      </c>
      <c r="M2406" s="12">
        <v>13025.46083084119</v>
      </c>
      <c r="N2406" s="12">
        <v>13025.46083084119</v>
      </c>
      <c r="O2406" s="12">
        <v>2474.8375578598261</v>
      </c>
      <c r="P2406" s="13"/>
      <c r="Q2406" s="14">
        <v>2025</v>
      </c>
      <c r="R2406" s="15">
        <v>45383</v>
      </c>
      <c r="S2406" s="11" t="s">
        <v>366</v>
      </c>
      <c r="T2406" s="16">
        <v>0</v>
      </c>
      <c r="U2406" s="17"/>
      <c r="V2406" s="12">
        <v>3203.6120913453906</v>
      </c>
      <c r="W2406" s="12">
        <v>3203.6120913453906</v>
      </c>
      <c r="X2406" s="12">
        <v>0</v>
      </c>
      <c r="Y2406" s="18">
        <v>45747</v>
      </c>
      <c r="Z2406" s="13" t="s">
        <v>503</v>
      </c>
      <c r="AA2406" s="19" t="s">
        <v>373</v>
      </c>
      <c r="AB2406" s="13" t="s">
        <v>357</v>
      </c>
      <c r="AC2406" s="13" t="s">
        <v>534</v>
      </c>
      <c r="AD2406" s="20"/>
      <c r="AE2406" s="20"/>
      <c r="AF2406" s="13" t="s">
        <v>40</v>
      </c>
      <c r="AG2406" s="15">
        <v>45383</v>
      </c>
      <c r="AH2406" s="13" t="s">
        <v>41</v>
      </c>
      <c r="AI2406" s="13" t="s">
        <v>53</v>
      </c>
      <c r="AJ2406" s="13" t="str">
        <f>VLOOKUP(E2406,Precios!Z$2:AA$941,2,FALSE)</f>
        <v>Papel Higienico ELITE 50 metros</v>
      </c>
      <c r="AK2406" s="14">
        <f>VLOOKUP(E2406,Precios!Z$2:BB$941,3,FALSE)*F2406</f>
        <v>-6</v>
      </c>
      <c r="AL2406" s="17"/>
      <c r="AM2406" s="17"/>
      <c r="AN2406" s="17"/>
      <c r="AO2406" s="17"/>
      <c r="AP2406" s="17"/>
      <c r="AQ2406" s="17"/>
      <c r="AR2406" s="17"/>
      <c r="AS2406" s="17"/>
      <c r="AT2406" s="17"/>
      <c r="AU2406" s="17"/>
      <c r="AV2406" s="17"/>
    </row>
    <row r="2407" spans="1:48" ht="15.75" customHeight="1">
      <c r="A2407" s="21" t="s">
        <v>53</v>
      </c>
      <c r="B2407" s="23" t="s">
        <v>1692</v>
      </c>
      <c r="C2407" s="22">
        <v>45751</v>
      </c>
      <c r="D2407" s="23" t="s">
        <v>714</v>
      </c>
      <c r="E2407" s="23" t="s">
        <v>114</v>
      </c>
      <c r="F2407" s="21">
        <v>1</v>
      </c>
      <c r="G2407" s="12">
        <v>10500</v>
      </c>
      <c r="H2407" s="12">
        <v>10500</v>
      </c>
      <c r="I2407" s="23" t="s">
        <v>52</v>
      </c>
      <c r="J2407" s="23" t="s">
        <v>61</v>
      </c>
      <c r="K2407" s="24" t="s">
        <v>177</v>
      </c>
      <c r="L2407" s="24">
        <v>121</v>
      </c>
      <c r="M2407" s="12">
        <v>8823.5294117647063</v>
      </c>
      <c r="N2407" s="12">
        <v>8823.5294117647063</v>
      </c>
      <c r="O2407" s="12">
        <v>1676.4705882352937</v>
      </c>
      <c r="P2407" s="13"/>
      <c r="Q2407" s="14">
        <v>2025</v>
      </c>
      <c r="R2407" s="15">
        <v>45383</v>
      </c>
      <c r="S2407" s="11" t="s">
        <v>369</v>
      </c>
      <c r="T2407" s="16">
        <v>0</v>
      </c>
      <c r="U2407" s="17"/>
      <c r="V2407" s="12">
        <v>2403.3613445378151</v>
      </c>
      <c r="W2407" s="12">
        <v>2403.3613445378151</v>
      </c>
      <c r="X2407" s="12">
        <v>0</v>
      </c>
      <c r="Y2407" s="18">
        <v>45747</v>
      </c>
      <c r="Z2407" s="13" t="s">
        <v>503</v>
      </c>
      <c r="AA2407" s="19" t="s">
        <v>373</v>
      </c>
      <c r="AB2407" s="13" t="s">
        <v>357</v>
      </c>
      <c r="AC2407" s="13" t="s">
        <v>534</v>
      </c>
      <c r="AD2407" s="20"/>
      <c r="AE2407" s="20"/>
      <c r="AF2407" s="13" t="s">
        <v>40</v>
      </c>
      <c r="AG2407" s="15">
        <v>45383</v>
      </c>
      <c r="AH2407" s="13" t="s">
        <v>41</v>
      </c>
      <c r="AI2407" s="13" t="s">
        <v>53</v>
      </c>
      <c r="AJ2407" s="13" t="str">
        <f>VLOOKUP(E2407,Precios!Z$2:AA$941,2,FALSE)</f>
        <v>Toalla Papel NOVA 12 metros</v>
      </c>
      <c r="AK2407" s="14">
        <f>VLOOKUP(E2407,Precios!Z$2:BB$941,3,FALSE)*F2407</f>
        <v>-8</v>
      </c>
      <c r="AL2407" s="17"/>
      <c r="AM2407" s="17"/>
      <c r="AN2407" s="17"/>
      <c r="AO2407" s="17"/>
      <c r="AP2407" s="17"/>
      <c r="AQ2407" s="17"/>
      <c r="AR2407" s="17"/>
      <c r="AS2407" s="17"/>
      <c r="AT2407" s="17"/>
      <c r="AU2407" s="17"/>
      <c r="AV2407" s="17"/>
    </row>
    <row r="2408" spans="1:48" ht="15.75" customHeight="1">
      <c r="A2408" s="21" t="s">
        <v>147</v>
      </c>
      <c r="B2408" s="23" t="s">
        <v>1692</v>
      </c>
      <c r="C2408" s="22">
        <v>45751</v>
      </c>
      <c r="D2408" s="23" t="s">
        <v>714</v>
      </c>
      <c r="E2408" s="23" t="s">
        <v>249</v>
      </c>
      <c r="F2408" s="21">
        <v>1</v>
      </c>
      <c r="G2408" s="12">
        <v>8000.4228329809721</v>
      </c>
      <c r="H2408" s="12">
        <v>8000.4228329809721</v>
      </c>
      <c r="I2408" s="23" t="s">
        <v>52</v>
      </c>
      <c r="J2408" s="23" t="s">
        <v>61</v>
      </c>
      <c r="K2408" s="24" t="s">
        <v>177</v>
      </c>
      <c r="L2408" s="24">
        <v>121</v>
      </c>
      <c r="M2408" s="12">
        <v>6723.0443974630025</v>
      </c>
      <c r="N2408" s="12">
        <v>6723.0443974630025</v>
      </c>
      <c r="O2408" s="12">
        <v>1277.3784355179696</v>
      </c>
      <c r="P2408" s="13"/>
      <c r="Q2408" s="14">
        <v>2025</v>
      </c>
      <c r="R2408" s="15">
        <v>45383</v>
      </c>
      <c r="S2408" s="11" t="s">
        <v>360</v>
      </c>
      <c r="T2408" s="16">
        <v>0</v>
      </c>
      <c r="U2408" s="17"/>
      <c r="V2408" s="12">
        <v>2271.0443974630016</v>
      </c>
      <c r="W2408" s="12">
        <v>2271.0443974630016</v>
      </c>
      <c r="X2408" s="12">
        <v>0</v>
      </c>
      <c r="Y2408" s="18">
        <v>45747</v>
      </c>
      <c r="Z2408" s="13" t="s">
        <v>503</v>
      </c>
      <c r="AA2408" s="19" t="s">
        <v>373</v>
      </c>
      <c r="AB2408" s="13" t="s">
        <v>357</v>
      </c>
      <c r="AC2408" s="13" t="s">
        <v>534</v>
      </c>
      <c r="AD2408" s="20"/>
      <c r="AE2408" s="20"/>
      <c r="AF2408" s="13" t="s">
        <v>40</v>
      </c>
      <c r="AG2408" s="15">
        <v>45383</v>
      </c>
      <c r="AH2408" s="13" t="s">
        <v>41</v>
      </c>
      <c r="AI2408" s="13" t="s">
        <v>147</v>
      </c>
      <c r="AJ2408" s="13" t="str">
        <f>VLOOKUP(E2408,Precios!Z$2:AA$941,2,FALSE)</f>
        <v>Papel Aluminio 100 metros</v>
      </c>
      <c r="AK2408" s="14">
        <f>VLOOKUP(E2408,Precios!Z$2:BB$941,3,FALSE)*F2408</f>
        <v>-1</v>
      </c>
      <c r="AL2408" s="17"/>
      <c r="AM2408" s="17"/>
      <c r="AN2408" s="17"/>
      <c r="AO2408" s="17"/>
      <c r="AP2408" s="17"/>
      <c r="AQ2408" s="17"/>
      <c r="AR2408" s="17"/>
      <c r="AS2408" s="17"/>
      <c r="AT2408" s="17"/>
      <c r="AU2408" s="17"/>
      <c r="AV2408" s="17"/>
    </row>
    <row r="2409" spans="1:48" ht="15.75" customHeight="1">
      <c r="A2409" s="21" t="s">
        <v>147</v>
      </c>
      <c r="B2409" s="23" t="s">
        <v>1692</v>
      </c>
      <c r="C2409" s="22">
        <v>45751</v>
      </c>
      <c r="D2409" s="23" t="s">
        <v>714</v>
      </c>
      <c r="E2409" s="23" t="s">
        <v>149</v>
      </c>
      <c r="F2409" s="21">
        <v>1</v>
      </c>
      <c r="G2409" s="12">
        <v>1700</v>
      </c>
      <c r="H2409" s="12">
        <v>1700</v>
      </c>
      <c r="I2409" s="23" t="s">
        <v>52</v>
      </c>
      <c r="J2409" s="23" t="s">
        <v>61</v>
      </c>
      <c r="K2409" s="24" t="s">
        <v>177</v>
      </c>
      <c r="L2409" s="24">
        <v>121</v>
      </c>
      <c r="M2409" s="12">
        <v>1428.5714285714287</v>
      </c>
      <c r="N2409" s="12">
        <v>1428.5714285714287</v>
      </c>
      <c r="O2409" s="12">
        <v>271.42857142857133</v>
      </c>
      <c r="P2409" s="13"/>
      <c r="Q2409" s="14">
        <v>2025</v>
      </c>
      <c r="R2409" s="15">
        <v>45383</v>
      </c>
      <c r="S2409" s="11" t="s">
        <v>412</v>
      </c>
      <c r="T2409" s="16">
        <v>0</v>
      </c>
      <c r="U2409" s="17"/>
      <c r="V2409" s="12">
        <v>774.78991596638662</v>
      </c>
      <c r="W2409" s="12">
        <v>774.78991596638662</v>
      </c>
      <c r="X2409" s="12">
        <v>0</v>
      </c>
      <c r="Y2409" s="18">
        <v>45747</v>
      </c>
      <c r="Z2409" s="13" t="s">
        <v>503</v>
      </c>
      <c r="AA2409" s="19" t="s">
        <v>373</v>
      </c>
      <c r="AB2409" s="13" t="s">
        <v>357</v>
      </c>
      <c r="AC2409" s="13" t="s">
        <v>534</v>
      </c>
      <c r="AD2409" s="20"/>
      <c r="AE2409" s="20"/>
      <c r="AF2409" s="13" t="s">
        <v>40</v>
      </c>
      <c r="AG2409" s="15">
        <v>45383</v>
      </c>
      <c r="AH2409" s="13" t="s">
        <v>41</v>
      </c>
      <c r="AI2409" s="13" t="s">
        <v>147</v>
      </c>
      <c r="AJ2409" s="13" t="str">
        <f>VLOOKUP(E2409,Precios!Z$2:AA$941,2,FALSE)</f>
        <v>Film Plástico 30 metros</v>
      </c>
      <c r="AK2409" s="14">
        <f>VLOOKUP(E2409,Precios!Z$2:BB$941,3,FALSE)*F2409</f>
        <v>-1</v>
      </c>
      <c r="AL2409" s="17"/>
      <c r="AM2409" s="17"/>
      <c r="AN2409" s="17"/>
      <c r="AO2409" s="17"/>
      <c r="AP2409" s="17"/>
      <c r="AQ2409" s="17"/>
      <c r="AR2409" s="17"/>
      <c r="AS2409" s="17"/>
      <c r="AT2409" s="17"/>
      <c r="AU2409" s="17"/>
      <c r="AV2409" s="17"/>
    </row>
    <row r="2410" spans="1:48" ht="15.75" customHeight="1">
      <c r="A2410" s="21" t="s">
        <v>76</v>
      </c>
      <c r="B2410" s="23" t="s">
        <v>1692</v>
      </c>
      <c r="C2410" s="22">
        <v>45751</v>
      </c>
      <c r="D2410" s="23" t="s">
        <v>714</v>
      </c>
      <c r="E2410" s="23" t="s">
        <v>337</v>
      </c>
      <c r="F2410" s="21">
        <v>3</v>
      </c>
      <c r="G2410" s="12">
        <v>1599.9448225124147</v>
      </c>
      <c r="H2410" s="12">
        <v>4799.8344675372446</v>
      </c>
      <c r="I2410" s="23" t="s">
        <v>52</v>
      </c>
      <c r="J2410" s="23" t="s">
        <v>61</v>
      </c>
      <c r="K2410" s="24" t="s">
        <v>177</v>
      </c>
      <c r="L2410" s="24">
        <v>121</v>
      </c>
      <c r="M2410" s="12">
        <v>1344.4914474894242</v>
      </c>
      <c r="N2410" s="12">
        <v>4033.4743424682729</v>
      </c>
      <c r="O2410" s="12">
        <v>766.36012506897168</v>
      </c>
      <c r="P2410" s="13"/>
      <c r="Q2410" s="14">
        <v>2025</v>
      </c>
      <c r="R2410" s="15">
        <v>45383</v>
      </c>
      <c r="S2410" s="11" t="s">
        <v>529</v>
      </c>
      <c r="T2410" s="16">
        <v>0</v>
      </c>
      <c r="U2410" s="17"/>
      <c r="V2410" s="12">
        <v>1840.4743424682727</v>
      </c>
      <c r="W2410" s="12">
        <v>1840.4743424682727</v>
      </c>
      <c r="X2410" s="12">
        <v>0</v>
      </c>
      <c r="Y2410" s="18">
        <v>45747</v>
      </c>
      <c r="Z2410" s="13" t="s">
        <v>503</v>
      </c>
      <c r="AA2410" s="19" t="s">
        <v>373</v>
      </c>
      <c r="AB2410" s="13" t="s">
        <v>357</v>
      </c>
      <c r="AC2410" s="13" t="s">
        <v>534</v>
      </c>
      <c r="AD2410" s="20"/>
      <c r="AE2410" s="20"/>
      <c r="AF2410" s="13" t="s">
        <v>40</v>
      </c>
      <c r="AG2410" s="15">
        <v>45383</v>
      </c>
      <c r="AH2410" s="13" t="s">
        <v>41</v>
      </c>
      <c r="AI2410" s="13" t="s">
        <v>76</v>
      </c>
      <c r="AJ2410" s="13" t="str">
        <f>VLOOKUP(E2410,Precios!Z$2:AA$941,2,FALSE)</f>
        <v>Limpia Inodoro TEDDY</v>
      </c>
      <c r="AK2410" s="14">
        <f>VLOOKUP(E2410,Precios!Z$2:BB$941,3,FALSE)*F2410</f>
        <v>-3</v>
      </c>
      <c r="AL2410" s="17"/>
      <c r="AM2410" s="17"/>
      <c r="AN2410" s="17"/>
      <c r="AO2410" s="17"/>
      <c r="AP2410" s="17"/>
      <c r="AQ2410" s="17"/>
      <c r="AR2410" s="17"/>
      <c r="AS2410" s="17"/>
      <c r="AT2410" s="17"/>
      <c r="AU2410" s="17"/>
      <c r="AV2410" s="17"/>
    </row>
    <row r="2411" spans="1:48" ht="15.75" customHeight="1">
      <c r="A2411" s="21" t="s">
        <v>76</v>
      </c>
      <c r="B2411" s="23" t="s">
        <v>1692</v>
      </c>
      <c r="C2411" s="22">
        <v>45751</v>
      </c>
      <c r="D2411" s="23" t="s">
        <v>714</v>
      </c>
      <c r="E2411" s="23" t="s">
        <v>82</v>
      </c>
      <c r="F2411" s="21">
        <v>2</v>
      </c>
      <c r="G2411" s="12">
        <v>2000.0000000000002</v>
      </c>
      <c r="H2411" s="12">
        <v>4000.0000000000005</v>
      </c>
      <c r="I2411" s="23" t="s">
        <v>52</v>
      </c>
      <c r="J2411" s="23" t="s">
        <v>61</v>
      </c>
      <c r="K2411" s="24" t="s">
        <v>177</v>
      </c>
      <c r="L2411" s="24">
        <v>121</v>
      </c>
      <c r="M2411" s="12">
        <v>1680.6722689075632</v>
      </c>
      <c r="N2411" s="12">
        <v>3361.3445378151264</v>
      </c>
      <c r="O2411" s="12">
        <v>638.65546218487407</v>
      </c>
      <c r="P2411" s="13"/>
      <c r="Q2411" s="14">
        <v>2025</v>
      </c>
      <c r="R2411" s="15">
        <v>45383</v>
      </c>
      <c r="S2411" s="11" t="s">
        <v>463</v>
      </c>
      <c r="T2411" s="16">
        <v>10</v>
      </c>
      <c r="U2411" s="17"/>
      <c r="V2411" s="12">
        <v>1361.3445378151264</v>
      </c>
      <c r="W2411" s="12">
        <v>1361.3445378151264</v>
      </c>
      <c r="X2411" s="12">
        <v>0</v>
      </c>
      <c r="Y2411" s="18">
        <v>45747</v>
      </c>
      <c r="Z2411" s="13" t="s">
        <v>503</v>
      </c>
      <c r="AA2411" s="19" t="s">
        <v>373</v>
      </c>
      <c r="AB2411" s="13" t="s">
        <v>357</v>
      </c>
      <c r="AC2411" s="13" t="s">
        <v>534</v>
      </c>
      <c r="AD2411" s="20"/>
      <c r="AE2411" s="20"/>
      <c r="AF2411" s="13" t="s">
        <v>40</v>
      </c>
      <c r="AG2411" s="15">
        <v>45383</v>
      </c>
      <c r="AH2411" s="13" t="s">
        <v>41</v>
      </c>
      <c r="AI2411" s="13" t="s">
        <v>76</v>
      </c>
      <c r="AJ2411" s="13" t="str">
        <f>VLOOKUP(E2411,Precios!Z$2:AA$941,2,FALSE)</f>
        <v>Limpiapiso SPUM 5 Litros</v>
      </c>
      <c r="AK2411" s="14">
        <f>VLOOKUP(E2411,Precios!Z$2:BB$941,3,FALSE)*F2411</f>
        <v>-2</v>
      </c>
      <c r="AL2411" s="17"/>
      <c r="AM2411" s="17"/>
      <c r="AN2411" s="17"/>
      <c r="AO2411" s="17"/>
      <c r="AP2411" s="17"/>
      <c r="AQ2411" s="17"/>
      <c r="AR2411" s="17"/>
      <c r="AS2411" s="17"/>
      <c r="AT2411" s="17"/>
      <c r="AU2411" s="17"/>
      <c r="AV2411" s="17"/>
    </row>
    <row r="2412" spans="1:48" ht="15.75" customHeight="1">
      <c r="A2412" s="21" t="s">
        <v>76</v>
      </c>
      <c r="B2412" s="23" t="s">
        <v>1692</v>
      </c>
      <c r="C2412" s="22">
        <v>45751</v>
      </c>
      <c r="D2412" s="23" t="s">
        <v>714</v>
      </c>
      <c r="E2412" s="23" t="s">
        <v>81</v>
      </c>
      <c r="F2412" s="21">
        <v>1</v>
      </c>
      <c r="G2412" s="12">
        <v>3500.0000000000005</v>
      </c>
      <c r="H2412" s="12">
        <v>3500.0000000000005</v>
      </c>
      <c r="I2412" s="23" t="s">
        <v>52</v>
      </c>
      <c r="J2412" s="23" t="s">
        <v>61</v>
      </c>
      <c r="K2412" s="24" t="s">
        <v>177</v>
      </c>
      <c r="L2412" s="24">
        <v>121</v>
      </c>
      <c r="M2412" s="12">
        <v>2941.1764705882356</v>
      </c>
      <c r="N2412" s="12">
        <v>2941.1764705882356</v>
      </c>
      <c r="O2412" s="12">
        <v>558.82352941176487</v>
      </c>
      <c r="P2412" s="13"/>
      <c r="Q2412" s="14">
        <v>2025</v>
      </c>
      <c r="R2412" s="15">
        <v>45383</v>
      </c>
      <c r="S2412" s="11" t="s">
        <v>397</v>
      </c>
      <c r="T2412" s="16">
        <v>5</v>
      </c>
      <c r="U2412" s="17"/>
      <c r="V2412" s="12">
        <v>764.70588235294144</v>
      </c>
      <c r="W2412" s="12">
        <v>764.70588235294144</v>
      </c>
      <c r="X2412" s="12">
        <v>0</v>
      </c>
      <c r="Y2412" s="18">
        <v>45747</v>
      </c>
      <c r="Z2412" s="13" t="s">
        <v>503</v>
      </c>
      <c r="AA2412" s="19" t="s">
        <v>373</v>
      </c>
      <c r="AB2412" s="13" t="s">
        <v>357</v>
      </c>
      <c r="AC2412" s="13" t="s">
        <v>534</v>
      </c>
      <c r="AD2412" s="20"/>
      <c r="AE2412" s="20"/>
      <c r="AF2412" s="13" t="s">
        <v>40</v>
      </c>
      <c r="AG2412" s="15">
        <v>45383</v>
      </c>
      <c r="AH2412" s="13" t="s">
        <v>41</v>
      </c>
      <c r="AI2412" s="13" t="s">
        <v>76</v>
      </c>
      <c r="AJ2412" s="13" t="str">
        <f>VLOOKUP(E2412,Precios!Z$2:AA$941,2,FALSE)</f>
        <v>Detergente SPUM 5 Litros (Verde)</v>
      </c>
      <c r="AK2412" s="14">
        <f>VLOOKUP(E2412,Precios!Z$2:BB$941,3,FALSE)*F2412</f>
        <v>-1</v>
      </c>
      <c r="AL2412" s="17"/>
      <c r="AM2412" s="17"/>
      <c r="AN2412" s="17"/>
      <c r="AO2412" s="17"/>
      <c r="AP2412" s="17"/>
      <c r="AQ2412" s="17"/>
      <c r="AR2412" s="17"/>
      <c r="AS2412" s="17"/>
      <c r="AT2412" s="17"/>
      <c r="AU2412" s="17"/>
      <c r="AV2412" s="17"/>
    </row>
    <row r="2413" spans="1:48" ht="15.75" customHeight="1">
      <c r="A2413" s="21" t="s">
        <v>56</v>
      </c>
      <c r="B2413" s="23" t="s">
        <v>1692</v>
      </c>
      <c r="C2413" s="22">
        <v>45751</v>
      </c>
      <c r="D2413" s="23" t="s">
        <v>714</v>
      </c>
      <c r="E2413" s="23" t="s">
        <v>60</v>
      </c>
      <c r="F2413" s="21">
        <v>1</v>
      </c>
      <c r="G2413" s="12">
        <v>7000.0000000000018</v>
      </c>
      <c r="H2413" s="12">
        <v>7000.0000000000018</v>
      </c>
      <c r="I2413" s="23" t="s">
        <v>52</v>
      </c>
      <c r="J2413" s="23" t="s">
        <v>61</v>
      </c>
      <c r="K2413" s="24" t="s">
        <v>177</v>
      </c>
      <c r="L2413" s="24">
        <v>121</v>
      </c>
      <c r="M2413" s="12">
        <v>5882.3529411764721</v>
      </c>
      <c r="N2413" s="12">
        <v>5882.3529411764721</v>
      </c>
      <c r="O2413" s="12">
        <v>1117.6470588235297</v>
      </c>
      <c r="P2413" s="13"/>
      <c r="Q2413" s="14">
        <v>2025</v>
      </c>
      <c r="R2413" s="15">
        <v>45383</v>
      </c>
      <c r="S2413" s="11" t="s">
        <v>429</v>
      </c>
      <c r="T2413" s="16">
        <v>200</v>
      </c>
      <c r="U2413" s="17"/>
      <c r="V2413" s="12">
        <v>2080.6722689075641</v>
      </c>
      <c r="W2413" s="12">
        <v>2080.6722689075641</v>
      </c>
      <c r="X2413" s="12">
        <v>0</v>
      </c>
      <c r="Y2413" s="18">
        <v>45747</v>
      </c>
      <c r="Z2413" s="13" t="s">
        <v>503</v>
      </c>
      <c r="AA2413" s="19" t="s">
        <v>373</v>
      </c>
      <c r="AB2413" s="13" t="s">
        <v>357</v>
      </c>
      <c r="AC2413" s="13" t="s">
        <v>534</v>
      </c>
      <c r="AD2413" s="20"/>
      <c r="AE2413" s="20"/>
      <c r="AF2413" s="13" t="s">
        <v>40</v>
      </c>
      <c r="AG2413" s="15">
        <v>45383</v>
      </c>
      <c r="AH2413" s="13" t="s">
        <v>41</v>
      </c>
      <c r="AI2413" s="13" t="s">
        <v>56</v>
      </c>
      <c r="AJ2413" s="13" t="str">
        <f>VLOOKUP(E2413,Precios!Z$2:AA$941,2,FALSE)</f>
        <v>Queso Sabores</v>
      </c>
      <c r="AK2413" s="14">
        <f>VLOOKUP(E2413,Precios!Z$2:BB$941,3,FALSE)*F2413</f>
        <v>-2</v>
      </c>
      <c r="AL2413" s="17"/>
      <c r="AM2413" s="17"/>
      <c r="AN2413" s="17"/>
      <c r="AO2413" s="17"/>
      <c r="AP2413" s="17"/>
      <c r="AQ2413" s="17"/>
      <c r="AR2413" s="17"/>
      <c r="AS2413" s="17"/>
      <c r="AT2413" s="17"/>
      <c r="AU2413" s="17"/>
      <c r="AV2413" s="17"/>
    </row>
    <row r="2414" spans="1:48" ht="15.75" customHeight="1">
      <c r="A2414" s="21" t="s">
        <v>64</v>
      </c>
      <c r="B2414" s="23" t="s">
        <v>1692</v>
      </c>
      <c r="C2414" s="22">
        <v>45751</v>
      </c>
      <c r="D2414" s="23" t="s">
        <v>714</v>
      </c>
      <c r="E2414" s="23" t="s">
        <v>65</v>
      </c>
      <c r="F2414" s="21">
        <v>1</v>
      </c>
      <c r="G2414" s="12">
        <v>8199.8794599807134</v>
      </c>
      <c r="H2414" s="12">
        <v>8199.8794599807134</v>
      </c>
      <c r="I2414" s="23" t="s">
        <v>52</v>
      </c>
      <c r="J2414" s="23" t="s">
        <v>61</v>
      </c>
      <c r="K2414" s="24" t="s">
        <v>177</v>
      </c>
      <c r="L2414" s="24">
        <v>121</v>
      </c>
      <c r="M2414" s="12">
        <v>6890.6550083871543</v>
      </c>
      <c r="N2414" s="12">
        <v>6890.6550083871543</v>
      </c>
      <c r="O2414" s="12">
        <v>1309.224451593559</v>
      </c>
      <c r="P2414" s="13"/>
      <c r="Q2414" s="14">
        <v>2025</v>
      </c>
      <c r="R2414" s="15">
        <v>45383</v>
      </c>
      <c r="S2414" s="11" t="s">
        <v>64</v>
      </c>
      <c r="T2414" s="16">
        <v>1</v>
      </c>
      <c r="U2414" s="17"/>
      <c r="V2414" s="12">
        <v>1174.1676134291711</v>
      </c>
      <c r="W2414" s="12">
        <v>1174.1676134291711</v>
      </c>
      <c r="X2414" s="12">
        <v>0</v>
      </c>
      <c r="Y2414" s="18">
        <v>45747</v>
      </c>
      <c r="Z2414" s="13" t="s">
        <v>503</v>
      </c>
      <c r="AA2414" s="19" t="s">
        <v>373</v>
      </c>
      <c r="AB2414" s="13" t="s">
        <v>357</v>
      </c>
      <c r="AC2414" s="13" t="s">
        <v>534</v>
      </c>
      <c r="AD2414" s="20"/>
      <c r="AE2414" s="20"/>
      <c r="AF2414" s="13" t="s">
        <v>40</v>
      </c>
      <c r="AG2414" s="15">
        <v>45383</v>
      </c>
      <c r="AH2414" s="13" t="s">
        <v>41</v>
      </c>
      <c r="AI2414" s="13" t="s">
        <v>64</v>
      </c>
      <c r="AJ2414" s="13" t="str">
        <f>VLOOKUP(E2414,Precios!Z$2:AA$941,2,FALSE)</f>
        <v>Longanizas VILLABLANCA</v>
      </c>
      <c r="AK2414" s="14">
        <f>VLOOKUP(E2414,Precios!Z$2:BB$941,3,FALSE)*F2414</f>
        <v>-1</v>
      </c>
      <c r="AL2414" s="17"/>
      <c r="AM2414" s="17"/>
      <c r="AN2414" s="17"/>
      <c r="AO2414" s="17"/>
      <c r="AP2414" s="17"/>
      <c r="AQ2414" s="17"/>
      <c r="AR2414" s="17"/>
      <c r="AS2414" s="17"/>
      <c r="AT2414" s="17"/>
      <c r="AU2414" s="17"/>
      <c r="AV2414" s="17"/>
    </row>
    <row r="2415" spans="1:48" ht="15.75" customHeight="1">
      <c r="A2415" s="21" t="s">
        <v>43</v>
      </c>
      <c r="B2415" s="23" t="s">
        <v>310</v>
      </c>
      <c r="C2415" s="22">
        <v>45750</v>
      </c>
      <c r="D2415" s="23" t="s">
        <v>123</v>
      </c>
      <c r="E2415" s="23" t="s">
        <v>45</v>
      </c>
      <c r="F2415" s="21">
        <v>1</v>
      </c>
      <c r="G2415" s="12">
        <v>8299.7854333055202</v>
      </c>
      <c r="H2415" s="12">
        <v>8299.7854333055202</v>
      </c>
      <c r="I2415" s="23" t="s">
        <v>52</v>
      </c>
      <c r="J2415" s="23" t="s">
        <v>61</v>
      </c>
      <c r="K2415" s="24" t="s">
        <v>177</v>
      </c>
      <c r="L2415" s="24">
        <v>121</v>
      </c>
      <c r="M2415" s="12">
        <v>6974.6096078197652</v>
      </c>
      <c r="N2415" s="12">
        <v>6974.6096078197652</v>
      </c>
      <c r="O2415" s="12">
        <v>1325.175825485755</v>
      </c>
      <c r="P2415" s="13"/>
      <c r="Q2415" s="14">
        <v>2025</v>
      </c>
      <c r="R2415" s="15">
        <v>45383</v>
      </c>
      <c r="S2415" s="11" t="s">
        <v>355</v>
      </c>
      <c r="T2415" s="16">
        <v>0</v>
      </c>
      <c r="U2415" s="17"/>
      <c r="V2415" s="12">
        <v>1123.6096078197643</v>
      </c>
      <c r="W2415" s="12">
        <v>561.80480390988214</v>
      </c>
      <c r="X2415" s="12">
        <v>561.80480390988214</v>
      </c>
      <c r="Y2415" s="18">
        <v>45747</v>
      </c>
      <c r="Z2415" s="13" t="s">
        <v>505</v>
      </c>
      <c r="AA2415" s="19" t="s">
        <v>373</v>
      </c>
      <c r="AB2415" s="13" t="s">
        <v>357</v>
      </c>
      <c r="AC2415" s="13" t="s">
        <v>383</v>
      </c>
      <c r="AD2415" s="20"/>
      <c r="AE2415" s="20"/>
      <c r="AF2415" s="13" t="s">
        <v>40</v>
      </c>
      <c r="AG2415" s="15">
        <v>45383</v>
      </c>
      <c r="AH2415" s="13" t="s">
        <v>41</v>
      </c>
      <c r="AI2415" s="13" t="s">
        <v>43</v>
      </c>
      <c r="AJ2415" s="13" t="str">
        <f>VLOOKUP(E2415,Precios!Z$2:AA$941,2,FALSE)</f>
        <v>Bandeja Huevos EXTRA</v>
      </c>
      <c r="AK2415" s="14">
        <f>VLOOKUP(E2415,Precios!Z$2:BB$941,3,FALSE)*F2415</f>
        <v>-1</v>
      </c>
      <c r="AL2415" s="17"/>
      <c r="AM2415" s="17"/>
      <c r="AN2415" s="17"/>
      <c r="AO2415" s="17"/>
      <c r="AP2415" s="17"/>
      <c r="AQ2415" s="17"/>
      <c r="AR2415" s="17"/>
      <c r="AS2415" s="17"/>
      <c r="AT2415" s="17"/>
      <c r="AU2415" s="17"/>
      <c r="AV2415" s="17"/>
    </row>
    <row r="2416" spans="1:48" ht="15.75" customHeight="1">
      <c r="A2416" s="21" t="s">
        <v>35</v>
      </c>
      <c r="B2416" s="23" t="s">
        <v>310</v>
      </c>
      <c r="C2416" s="22">
        <v>45750</v>
      </c>
      <c r="D2416" s="23" t="s">
        <v>123</v>
      </c>
      <c r="E2416" s="23" t="s">
        <v>46</v>
      </c>
      <c r="F2416" s="21">
        <v>1</v>
      </c>
      <c r="G2416" s="12">
        <v>5500</v>
      </c>
      <c r="H2416" s="12">
        <v>5500</v>
      </c>
      <c r="I2416" s="23" t="s">
        <v>52</v>
      </c>
      <c r="J2416" s="23" t="s">
        <v>61</v>
      </c>
      <c r="K2416" s="24" t="s">
        <v>177</v>
      </c>
      <c r="L2416" s="24">
        <v>121</v>
      </c>
      <c r="M2416" s="12">
        <v>4621.8487394957983</v>
      </c>
      <c r="N2416" s="12">
        <v>4621.8487394957983</v>
      </c>
      <c r="O2416" s="12">
        <v>878.15126050420167</v>
      </c>
      <c r="P2416" s="13"/>
      <c r="Q2416" s="14">
        <v>2025</v>
      </c>
      <c r="R2416" s="15">
        <v>45383</v>
      </c>
      <c r="S2416" s="11" t="s">
        <v>364</v>
      </c>
      <c r="T2416" s="16">
        <v>500</v>
      </c>
      <c r="U2416" s="17"/>
      <c r="V2416" s="12">
        <v>1365.1260504201678</v>
      </c>
      <c r="W2416" s="12">
        <v>682.56302521008388</v>
      </c>
      <c r="X2416" s="12">
        <v>682.56302521008388</v>
      </c>
      <c r="Y2416" s="18">
        <v>45747</v>
      </c>
      <c r="Z2416" s="13" t="s">
        <v>505</v>
      </c>
      <c r="AA2416" s="19" t="s">
        <v>373</v>
      </c>
      <c r="AB2416" s="13" t="s">
        <v>357</v>
      </c>
      <c r="AC2416" s="13" t="s">
        <v>383</v>
      </c>
      <c r="AD2416" s="20"/>
      <c r="AE2416" s="20"/>
      <c r="AF2416" s="13" t="s">
        <v>40</v>
      </c>
      <c r="AG2416" s="15">
        <v>45383</v>
      </c>
      <c r="AH2416" s="13" t="s">
        <v>41</v>
      </c>
      <c r="AI2416" s="13" t="s">
        <v>35</v>
      </c>
      <c r="AJ2416" s="13" t="str">
        <f>VLOOKUP(E2416,Precios!Z$2:AA$941,2,FALSE)</f>
        <v>Queso RUNCA Mantecoso</v>
      </c>
      <c r="AK2416" s="14">
        <f>VLOOKUP(E2416,Precios!Z$2:BB$941,3,FALSE)*F2416</f>
        <v>-0.5</v>
      </c>
      <c r="AL2416" s="17"/>
      <c r="AM2416" s="17"/>
      <c r="AN2416" s="17"/>
      <c r="AO2416" s="17"/>
      <c r="AP2416" s="17"/>
      <c r="AQ2416" s="17"/>
      <c r="AR2416" s="17"/>
      <c r="AS2416" s="17"/>
      <c r="AT2416" s="17"/>
      <c r="AU2416" s="17"/>
      <c r="AV2416" s="17"/>
    </row>
    <row r="2417" spans="1:48" ht="15.75" customHeight="1">
      <c r="A2417" s="21" t="s">
        <v>43</v>
      </c>
      <c r="B2417" s="23" t="s">
        <v>1692</v>
      </c>
      <c r="C2417" s="22">
        <v>45750</v>
      </c>
      <c r="D2417" s="23" t="s">
        <v>124</v>
      </c>
      <c r="E2417" s="23" t="s">
        <v>45</v>
      </c>
      <c r="F2417" s="21">
        <v>1</v>
      </c>
      <c r="G2417" s="12">
        <v>8299.7854333055202</v>
      </c>
      <c r="H2417" s="12">
        <v>8299.7854333055202</v>
      </c>
      <c r="I2417" s="23" t="s">
        <v>52</v>
      </c>
      <c r="J2417" s="23" t="s">
        <v>61</v>
      </c>
      <c r="K2417" s="24" t="s">
        <v>177</v>
      </c>
      <c r="L2417" s="24">
        <v>121</v>
      </c>
      <c r="M2417" s="12">
        <v>6974.6096078197652</v>
      </c>
      <c r="N2417" s="12">
        <v>6974.6096078197652</v>
      </c>
      <c r="O2417" s="12">
        <v>1325.175825485755</v>
      </c>
      <c r="P2417" s="13"/>
      <c r="Q2417" s="14">
        <v>2025</v>
      </c>
      <c r="R2417" s="15">
        <v>45383</v>
      </c>
      <c r="S2417" s="11" t="s">
        <v>355</v>
      </c>
      <c r="T2417" s="16">
        <v>0</v>
      </c>
      <c r="U2417" s="17"/>
      <c r="V2417" s="12">
        <v>1123.6096078197643</v>
      </c>
      <c r="W2417" s="12">
        <v>1123.6096078197643</v>
      </c>
      <c r="X2417" s="12">
        <v>0</v>
      </c>
      <c r="Y2417" s="18">
        <v>45747</v>
      </c>
      <c r="Z2417" s="13" t="s">
        <v>505</v>
      </c>
      <c r="AA2417" s="19" t="s">
        <v>356</v>
      </c>
      <c r="AB2417" s="13" t="s">
        <v>357</v>
      </c>
      <c r="AC2417" s="13" t="s">
        <v>383</v>
      </c>
      <c r="AD2417" s="20"/>
      <c r="AE2417" s="20"/>
      <c r="AF2417" s="13" t="s">
        <v>40</v>
      </c>
      <c r="AG2417" s="15">
        <v>45383</v>
      </c>
      <c r="AH2417" s="13" t="s">
        <v>41</v>
      </c>
      <c r="AI2417" s="13" t="s">
        <v>43</v>
      </c>
      <c r="AJ2417" s="13" t="str">
        <f>VLOOKUP(E2417,Precios!Z$2:AA$941,2,FALSE)</f>
        <v>Bandeja Huevos EXTRA</v>
      </c>
      <c r="AK2417" s="14">
        <f>VLOOKUP(E2417,Precios!Z$2:BB$941,3,FALSE)*F2417</f>
        <v>-1</v>
      </c>
      <c r="AL2417" s="17"/>
      <c r="AM2417" s="17"/>
      <c r="AN2417" s="17"/>
      <c r="AO2417" s="17"/>
      <c r="AP2417" s="17"/>
      <c r="AQ2417" s="17"/>
      <c r="AR2417" s="17"/>
      <c r="AS2417" s="17"/>
      <c r="AT2417" s="17"/>
      <c r="AU2417" s="17"/>
      <c r="AV2417" s="17"/>
    </row>
    <row r="2418" spans="1:48" ht="15.75" customHeight="1">
      <c r="A2418" s="21" t="s">
        <v>50</v>
      </c>
      <c r="B2418" s="23" t="s">
        <v>1692</v>
      </c>
      <c r="C2418" s="22">
        <v>45750</v>
      </c>
      <c r="D2418" s="23" t="s">
        <v>124</v>
      </c>
      <c r="E2418" s="23" t="s">
        <v>51</v>
      </c>
      <c r="F2418" s="21">
        <v>2</v>
      </c>
      <c r="G2418" s="12">
        <v>1000.0000000000001</v>
      </c>
      <c r="H2418" s="12">
        <v>2000.0000000000002</v>
      </c>
      <c r="I2418" s="23" t="s">
        <v>52</v>
      </c>
      <c r="J2418" s="23" t="s">
        <v>61</v>
      </c>
      <c r="K2418" s="24" t="s">
        <v>177</v>
      </c>
      <c r="L2418" s="24">
        <v>121</v>
      </c>
      <c r="M2418" s="12">
        <v>840.3361344537816</v>
      </c>
      <c r="N2418" s="12">
        <v>1680.6722689075632</v>
      </c>
      <c r="O2418" s="12">
        <v>319.32773109243703</v>
      </c>
      <c r="P2418" s="13"/>
      <c r="Q2418" s="14">
        <v>2025</v>
      </c>
      <c r="R2418" s="15">
        <v>45383</v>
      </c>
      <c r="S2418" s="11" t="s">
        <v>51</v>
      </c>
      <c r="T2418" s="16">
        <v>0</v>
      </c>
      <c r="U2418" s="17"/>
      <c r="V2418" s="12">
        <v>880.67226890756319</v>
      </c>
      <c r="W2418" s="12">
        <v>880.67226890756319</v>
      </c>
      <c r="X2418" s="12">
        <v>0</v>
      </c>
      <c r="Y2418" s="18">
        <v>45747</v>
      </c>
      <c r="Z2418" s="13" t="s">
        <v>505</v>
      </c>
      <c r="AA2418" s="19" t="s">
        <v>356</v>
      </c>
      <c r="AB2418" s="13" t="s">
        <v>357</v>
      </c>
      <c r="AC2418" s="13" t="s">
        <v>383</v>
      </c>
      <c r="AD2418" s="20"/>
      <c r="AE2418" s="20"/>
      <c r="AF2418" s="13" t="s">
        <v>40</v>
      </c>
      <c r="AG2418" s="15">
        <v>45383</v>
      </c>
      <c r="AH2418" s="13" t="s">
        <v>41</v>
      </c>
      <c r="AI2418" s="13" t="s">
        <v>50</v>
      </c>
      <c r="AJ2418" s="13" t="str">
        <f>VLOOKUP(E2418,Precios!Z$2:AA$941,2,FALSE)</f>
        <v>Hielo 1 Kilo</v>
      </c>
      <c r="AK2418" s="14">
        <f>VLOOKUP(E2418,Precios!Z$2:BB$941,3,FALSE)*F2418</f>
        <v>-2</v>
      </c>
      <c r="AL2418" s="17"/>
      <c r="AM2418" s="17"/>
      <c r="AN2418" s="17"/>
      <c r="AO2418" s="17"/>
      <c r="AP2418" s="17"/>
      <c r="AQ2418" s="17"/>
      <c r="AR2418" s="17"/>
      <c r="AS2418" s="17"/>
      <c r="AT2418" s="17"/>
      <c r="AU2418" s="17"/>
      <c r="AV2418" s="17"/>
    </row>
    <row r="2419" spans="1:48" ht="15.75" customHeight="1">
      <c r="A2419" s="21" t="s">
        <v>56</v>
      </c>
      <c r="B2419" s="23" t="s">
        <v>1692</v>
      </c>
      <c r="C2419" s="22">
        <v>45750</v>
      </c>
      <c r="D2419" s="23" t="s">
        <v>198</v>
      </c>
      <c r="E2419" s="23" t="s">
        <v>112</v>
      </c>
      <c r="F2419" s="21">
        <v>1</v>
      </c>
      <c r="G2419" s="12">
        <v>7999.6031746031749</v>
      </c>
      <c r="H2419" s="12">
        <v>7999.6031746031749</v>
      </c>
      <c r="I2419" s="23" t="s">
        <v>52</v>
      </c>
      <c r="J2419" s="23" t="s">
        <v>61</v>
      </c>
      <c r="K2419" s="24" t="s">
        <v>177</v>
      </c>
      <c r="L2419" s="24">
        <v>121</v>
      </c>
      <c r="M2419" s="12">
        <v>6722.3556089102312</v>
      </c>
      <c r="N2419" s="12">
        <v>6722.3556089102312</v>
      </c>
      <c r="O2419" s="12">
        <v>1277.2475656929437</v>
      </c>
      <c r="P2419" s="13"/>
      <c r="Q2419" s="14">
        <v>2025</v>
      </c>
      <c r="R2419" s="15">
        <v>45383</v>
      </c>
      <c r="S2419" s="11" t="s">
        <v>427</v>
      </c>
      <c r="T2419" s="16">
        <v>135</v>
      </c>
      <c r="U2419" s="17"/>
      <c r="V2419" s="12">
        <v>2317.868213952248</v>
      </c>
      <c r="W2419" s="12">
        <v>2317.868213952248</v>
      </c>
      <c r="X2419" s="12">
        <v>0</v>
      </c>
      <c r="Y2419" s="18">
        <v>45747</v>
      </c>
      <c r="Z2419" s="13" t="s">
        <v>505</v>
      </c>
      <c r="AA2419" s="19" t="s">
        <v>361</v>
      </c>
      <c r="AB2419" s="13" t="s">
        <v>357</v>
      </c>
      <c r="AC2419" s="13" t="s">
        <v>489</v>
      </c>
      <c r="AD2419" s="20"/>
      <c r="AE2419" s="20"/>
      <c r="AF2419" s="13" t="s">
        <v>40</v>
      </c>
      <c r="AG2419" s="15">
        <v>45383</v>
      </c>
      <c r="AH2419" s="13" t="s">
        <v>41</v>
      </c>
      <c r="AI2419" s="13" t="s">
        <v>56</v>
      </c>
      <c r="AJ2419" s="13" t="str">
        <f>VLOOKUP(E2419,Precios!Z$2:AA$941,2,FALSE)</f>
        <v>Provoleta Parrillera</v>
      </c>
      <c r="AK2419" s="14">
        <f>VLOOKUP(E2419,Precios!Z$2:BB$941,3,FALSE)*F2419</f>
        <v>-3</v>
      </c>
      <c r="AL2419" s="17"/>
      <c r="AM2419" s="17"/>
      <c r="AN2419" s="17"/>
      <c r="AO2419" s="17"/>
      <c r="AP2419" s="17"/>
      <c r="AQ2419" s="17"/>
      <c r="AR2419" s="17"/>
      <c r="AS2419" s="17"/>
      <c r="AT2419" s="17"/>
      <c r="AU2419" s="17"/>
      <c r="AV2419" s="17"/>
    </row>
    <row r="2420" spans="1:48" ht="15.75" customHeight="1">
      <c r="A2420" s="21" t="s">
        <v>56</v>
      </c>
      <c r="B2420" s="23" t="s">
        <v>1692</v>
      </c>
      <c r="C2420" s="22">
        <v>45750</v>
      </c>
      <c r="D2420" s="23" t="s">
        <v>198</v>
      </c>
      <c r="E2420" s="23" t="s">
        <v>60</v>
      </c>
      <c r="F2420" s="21">
        <v>1</v>
      </c>
      <c r="G2420" s="12">
        <v>7000.0000000000018</v>
      </c>
      <c r="H2420" s="12">
        <v>7000.0000000000018</v>
      </c>
      <c r="I2420" s="23" t="s">
        <v>52</v>
      </c>
      <c r="J2420" s="23" t="s">
        <v>61</v>
      </c>
      <c r="K2420" s="24" t="s">
        <v>177</v>
      </c>
      <c r="L2420" s="24">
        <v>121</v>
      </c>
      <c r="M2420" s="12">
        <v>5882.3529411764721</v>
      </c>
      <c r="N2420" s="12">
        <v>5882.3529411764721</v>
      </c>
      <c r="O2420" s="12">
        <v>1117.6470588235297</v>
      </c>
      <c r="P2420" s="13"/>
      <c r="Q2420" s="14">
        <v>2025</v>
      </c>
      <c r="R2420" s="15">
        <v>45383</v>
      </c>
      <c r="S2420" s="11" t="s">
        <v>429</v>
      </c>
      <c r="T2420" s="16">
        <v>200</v>
      </c>
      <c r="U2420" s="17"/>
      <c r="V2420" s="12">
        <v>2080.6722689075641</v>
      </c>
      <c r="W2420" s="12">
        <v>2080.6722689075641</v>
      </c>
      <c r="X2420" s="12">
        <v>0</v>
      </c>
      <c r="Y2420" s="18">
        <v>45747</v>
      </c>
      <c r="Z2420" s="13" t="s">
        <v>505</v>
      </c>
      <c r="AA2420" s="19" t="s">
        <v>361</v>
      </c>
      <c r="AB2420" s="13" t="s">
        <v>357</v>
      </c>
      <c r="AC2420" s="13" t="s">
        <v>489</v>
      </c>
      <c r="AD2420" s="20"/>
      <c r="AE2420" s="20"/>
      <c r="AF2420" s="13" t="s">
        <v>40</v>
      </c>
      <c r="AG2420" s="15">
        <v>45383</v>
      </c>
      <c r="AH2420" s="13" t="s">
        <v>41</v>
      </c>
      <c r="AI2420" s="13" t="s">
        <v>56</v>
      </c>
      <c r="AJ2420" s="13" t="str">
        <f>VLOOKUP(E2420,Precios!Z$2:AA$941,2,FALSE)</f>
        <v>Queso Sabores</v>
      </c>
      <c r="AK2420" s="14">
        <f>VLOOKUP(E2420,Precios!Z$2:BB$941,3,FALSE)*F2420</f>
        <v>-2</v>
      </c>
      <c r="AL2420" s="17"/>
      <c r="AM2420" s="17"/>
      <c r="AN2420" s="17"/>
      <c r="AO2420" s="17"/>
      <c r="AP2420" s="17"/>
      <c r="AQ2420" s="17"/>
      <c r="AR2420" s="17"/>
      <c r="AS2420" s="17"/>
      <c r="AT2420" s="17"/>
      <c r="AU2420" s="17"/>
      <c r="AV2420" s="17"/>
    </row>
    <row r="2421" spans="1:48" ht="15.75" customHeight="1">
      <c r="A2421" s="21" t="s">
        <v>35</v>
      </c>
      <c r="B2421" s="23" t="s">
        <v>1692</v>
      </c>
      <c r="C2421" s="22">
        <v>45750</v>
      </c>
      <c r="D2421" s="23" t="s">
        <v>198</v>
      </c>
      <c r="E2421" s="23" t="s">
        <v>37</v>
      </c>
      <c r="F2421" s="21">
        <v>1</v>
      </c>
      <c r="G2421" s="12">
        <v>10500</v>
      </c>
      <c r="H2421" s="12">
        <v>10500</v>
      </c>
      <c r="I2421" s="23" t="s">
        <v>52</v>
      </c>
      <c r="J2421" s="23" t="s">
        <v>61</v>
      </c>
      <c r="K2421" s="24" t="s">
        <v>177</v>
      </c>
      <c r="L2421" s="24">
        <v>121</v>
      </c>
      <c r="M2421" s="12">
        <v>8823.5294117647063</v>
      </c>
      <c r="N2421" s="12">
        <v>8823.5294117647063</v>
      </c>
      <c r="O2421" s="12">
        <v>1676.4705882352937</v>
      </c>
      <c r="P2421" s="13"/>
      <c r="Q2421" s="14">
        <v>2025</v>
      </c>
      <c r="R2421" s="15">
        <v>45383</v>
      </c>
      <c r="S2421" s="11" t="s">
        <v>364</v>
      </c>
      <c r="T2421" s="16">
        <v>1000</v>
      </c>
      <c r="U2421" s="17"/>
      <c r="V2421" s="12">
        <v>2385.7142857142853</v>
      </c>
      <c r="W2421" s="12">
        <v>2385.7142857142853</v>
      </c>
      <c r="X2421" s="12">
        <v>0</v>
      </c>
      <c r="Y2421" s="18">
        <v>45747</v>
      </c>
      <c r="Z2421" s="13" t="s">
        <v>505</v>
      </c>
      <c r="AA2421" s="19" t="s">
        <v>361</v>
      </c>
      <c r="AB2421" s="13" t="s">
        <v>357</v>
      </c>
      <c r="AC2421" s="13" t="s">
        <v>489</v>
      </c>
      <c r="AD2421" s="20"/>
      <c r="AE2421" s="20"/>
      <c r="AF2421" s="13" t="s">
        <v>40</v>
      </c>
      <c r="AG2421" s="15">
        <v>45383</v>
      </c>
      <c r="AH2421" s="13" t="s">
        <v>41</v>
      </c>
      <c r="AI2421" s="13" t="s">
        <v>35</v>
      </c>
      <c r="AJ2421" s="13" t="str">
        <f>VLOOKUP(E2421,Precios!Z$2:AA$941,2,FALSE)</f>
        <v>Queso RUNCA Mantecoso</v>
      </c>
      <c r="AK2421" s="14">
        <f>VLOOKUP(E2421,Precios!Z$2:BB$941,3,FALSE)*F2421</f>
        <v>-1</v>
      </c>
      <c r="AL2421" s="17"/>
      <c r="AM2421" s="17"/>
      <c r="AN2421" s="17"/>
      <c r="AO2421" s="17"/>
      <c r="AP2421" s="17"/>
      <c r="AQ2421" s="17"/>
      <c r="AR2421" s="17"/>
      <c r="AS2421" s="17"/>
      <c r="AT2421" s="17"/>
      <c r="AU2421" s="17"/>
      <c r="AV2421" s="17"/>
    </row>
    <row r="2422" spans="1:48" ht="15.75" customHeight="1">
      <c r="A2422" s="21" t="s">
        <v>56</v>
      </c>
      <c r="B2422" s="23" t="s">
        <v>1692</v>
      </c>
      <c r="C2422" s="22">
        <v>45750</v>
      </c>
      <c r="D2422" s="23" t="s">
        <v>611</v>
      </c>
      <c r="E2422" s="23" t="s">
        <v>60</v>
      </c>
      <c r="F2422" s="21">
        <v>1</v>
      </c>
      <c r="G2422" s="12">
        <v>7000.0000000000018</v>
      </c>
      <c r="H2422" s="12">
        <v>7000.0000000000018</v>
      </c>
      <c r="I2422" s="23" t="s">
        <v>52</v>
      </c>
      <c r="J2422" s="23" t="s">
        <v>61</v>
      </c>
      <c r="K2422" s="24" t="s">
        <v>177</v>
      </c>
      <c r="L2422" s="24">
        <v>121</v>
      </c>
      <c r="M2422" s="12">
        <v>5882.3529411764721</v>
      </c>
      <c r="N2422" s="12">
        <v>5882.3529411764721</v>
      </c>
      <c r="O2422" s="12">
        <v>1117.6470588235297</v>
      </c>
      <c r="P2422" s="13"/>
      <c r="Q2422" s="14">
        <v>2025</v>
      </c>
      <c r="R2422" s="15">
        <v>45383</v>
      </c>
      <c r="S2422" s="11" t="s">
        <v>429</v>
      </c>
      <c r="T2422" s="16">
        <v>200</v>
      </c>
      <c r="U2422" s="17"/>
      <c r="V2422" s="12">
        <v>2080.6722689075641</v>
      </c>
      <c r="W2422" s="12">
        <v>2080.6722689075641</v>
      </c>
      <c r="X2422" s="12">
        <v>0</v>
      </c>
      <c r="Y2422" s="18">
        <v>45747</v>
      </c>
      <c r="Z2422" s="13" t="s">
        <v>505</v>
      </c>
      <c r="AA2422" s="19" t="s">
        <v>373</v>
      </c>
      <c r="AB2422" s="13" t="s">
        <v>357</v>
      </c>
      <c r="AC2422" s="13"/>
      <c r="AD2422" s="20"/>
      <c r="AE2422" s="20"/>
      <c r="AF2422" s="13" t="s">
        <v>40</v>
      </c>
      <c r="AG2422" s="15">
        <v>45383</v>
      </c>
      <c r="AH2422" s="13" t="s">
        <v>41</v>
      </c>
      <c r="AI2422" s="13" t="s">
        <v>56</v>
      </c>
      <c r="AJ2422" s="13" t="str">
        <f>VLOOKUP(E2422,Precios!Z$2:AA$941,2,FALSE)</f>
        <v>Queso Sabores</v>
      </c>
      <c r="AK2422" s="14">
        <f>VLOOKUP(E2422,Precios!Z$2:BB$941,3,FALSE)*F2422</f>
        <v>-2</v>
      </c>
      <c r="AL2422" s="17"/>
      <c r="AM2422" s="17"/>
      <c r="AN2422" s="17"/>
      <c r="AO2422" s="17"/>
      <c r="AP2422" s="17"/>
      <c r="AQ2422" s="17"/>
      <c r="AR2422" s="17"/>
      <c r="AS2422" s="17"/>
      <c r="AT2422" s="17"/>
      <c r="AU2422" s="17"/>
      <c r="AV2422" s="17"/>
    </row>
    <row r="2423" spans="1:48" ht="15.75" customHeight="1">
      <c r="A2423" s="21" t="s">
        <v>43</v>
      </c>
      <c r="B2423" s="23" t="s">
        <v>1692</v>
      </c>
      <c r="C2423" s="22">
        <v>45750</v>
      </c>
      <c r="D2423" s="23" t="s">
        <v>236</v>
      </c>
      <c r="E2423" s="23" t="s">
        <v>45</v>
      </c>
      <c r="F2423" s="21">
        <v>2</v>
      </c>
      <c r="G2423" s="12">
        <v>8299.7854333055202</v>
      </c>
      <c r="H2423" s="12">
        <v>16599.57086661104</v>
      </c>
      <c r="I2423" s="23" t="s">
        <v>52</v>
      </c>
      <c r="J2423" s="23" t="s">
        <v>61</v>
      </c>
      <c r="K2423" s="24" t="s">
        <v>177</v>
      </c>
      <c r="L2423" s="24">
        <v>121</v>
      </c>
      <c r="M2423" s="12">
        <v>6974.6096078197652</v>
      </c>
      <c r="N2423" s="12">
        <v>13949.21921563953</v>
      </c>
      <c r="O2423" s="12">
        <v>2650.35165097151</v>
      </c>
      <c r="P2423" s="13"/>
      <c r="Q2423" s="14">
        <v>2025</v>
      </c>
      <c r="R2423" s="15">
        <v>45383</v>
      </c>
      <c r="S2423" s="11" t="s">
        <v>355</v>
      </c>
      <c r="T2423" s="16">
        <v>0</v>
      </c>
      <c r="U2423" s="17"/>
      <c r="V2423" s="12">
        <v>2247.2192156395286</v>
      </c>
      <c r="W2423" s="12">
        <v>2247.2192156395286</v>
      </c>
      <c r="X2423" s="12">
        <v>0</v>
      </c>
      <c r="Y2423" s="18">
        <v>45747</v>
      </c>
      <c r="Z2423" s="13" t="s">
        <v>505</v>
      </c>
      <c r="AA2423" s="19" t="s">
        <v>367</v>
      </c>
      <c r="AB2423" s="13" t="s">
        <v>357</v>
      </c>
      <c r="AC2423" s="13" t="s">
        <v>367</v>
      </c>
      <c r="AD2423" s="20"/>
      <c r="AE2423" s="20"/>
      <c r="AF2423" s="13" t="s">
        <v>40</v>
      </c>
      <c r="AG2423" s="15">
        <v>45383</v>
      </c>
      <c r="AH2423" s="13" t="s">
        <v>41</v>
      </c>
      <c r="AI2423" s="13" t="s">
        <v>43</v>
      </c>
      <c r="AJ2423" s="13" t="str">
        <f>VLOOKUP(E2423,Precios!Z$2:AA$941,2,FALSE)</f>
        <v>Bandeja Huevos EXTRA</v>
      </c>
      <c r="AK2423" s="14">
        <f>VLOOKUP(E2423,Precios!Z$2:BB$941,3,FALSE)*F2423</f>
        <v>-2</v>
      </c>
      <c r="AL2423" s="17"/>
      <c r="AM2423" s="17"/>
      <c r="AN2423" s="17"/>
      <c r="AO2423" s="17"/>
      <c r="AP2423" s="17"/>
      <c r="AQ2423" s="17"/>
      <c r="AR2423" s="17"/>
      <c r="AS2423" s="17"/>
      <c r="AT2423" s="17"/>
      <c r="AU2423" s="17"/>
      <c r="AV2423" s="17"/>
    </row>
    <row r="2424" spans="1:48" ht="15.75" customHeight="1">
      <c r="A2424" s="21" t="s">
        <v>47</v>
      </c>
      <c r="B2424" s="23" t="s">
        <v>1692</v>
      </c>
      <c r="C2424" s="22">
        <v>45750</v>
      </c>
      <c r="D2424" s="23" t="s">
        <v>236</v>
      </c>
      <c r="E2424" s="23" t="s">
        <v>85</v>
      </c>
      <c r="F2424" s="21">
        <v>1</v>
      </c>
      <c r="G2424" s="12">
        <v>3000.268216361198</v>
      </c>
      <c r="H2424" s="12">
        <v>3000.268216361198</v>
      </c>
      <c r="I2424" s="23" t="s">
        <v>52</v>
      </c>
      <c r="J2424" s="23" t="s">
        <v>61</v>
      </c>
      <c r="K2424" s="24" t="s">
        <v>177</v>
      </c>
      <c r="L2424" s="24">
        <v>121</v>
      </c>
      <c r="M2424" s="12">
        <v>2521.2337952615112</v>
      </c>
      <c r="N2424" s="12">
        <v>2521.2337952615112</v>
      </c>
      <c r="O2424" s="12">
        <v>479.03442109968682</v>
      </c>
      <c r="P2424" s="13"/>
      <c r="Q2424" s="14">
        <v>2025</v>
      </c>
      <c r="R2424" s="15">
        <v>45383</v>
      </c>
      <c r="S2424" s="11" t="s">
        <v>453</v>
      </c>
      <c r="T2424" s="16">
        <v>0</v>
      </c>
      <c r="U2424" s="17"/>
      <c r="V2424" s="12">
        <v>829.23379526151075</v>
      </c>
      <c r="W2424" s="12">
        <v>829.23379526151075</v>
      </c>
      <c r="X2424" s="12">
        <v>0</v>
      </c>
      <c r="Y2424" s="18">
        <v>45747</v>
      </c>
      <c r="Z2424" s="13" t="s">
        <v>505</v>
      </c>
      <c r="AA2424" s="19" t="s">
        <v>367</v>
      </c>
      <c r="AB2424" s="13" t="s">
        <v>357</v>
      </c>
      <c r="AC2424" s="13" t="s">
        <v>367</v>
      </c>
      <c r="AD2424" s="20"/>
      <c r="AE2424" s="20"/>
      <c r="AF2424" s="13" t="s">
        <v>40</v>
      </c>
      <c r="AG2424" s="15">
        <v>45383</v>
      </c>
      <c r="AH2424" s="13" t="s">
        <v>41</v>
      </c>
      <c r="AI2424" s="13" t="s">
        <v>47</v>
      </c>
      <c r="AJ2424" s="13" t="str">
        <f>VLOOKUP(E2424,Precios!Z$2:AA$941,2,FALSE)</f>
        <v xml:space="preserve">Bolsas Basura TEDDY 45x55 con Asas </v>
      </c>
      <c r="AK2424" s="14">
        <f>VLOOKUP(E2424,Precios!Z$2:BB$941,3,FALSE)*F2424</f>
        <v>-6</v>
      </c>
      <c r="AL2424" s="17"/>
      <c r="AM2424" s="17"/>
      <c r="AN2424" s="17"/>
      <c r="AO2424" s="17"/>
      <c r="AP2424" s="17"/>
      <c r="AQ2424" s="17"/>
      <c r="AR2424" s="17"/>
      <c r="AS2424" s="17"/>
      <c r="AT2424" s="17"/>
      <c r="AU2424" s="17"/>
      <c r="AV2424" s="17"/>
    </row>
    <row r="2425" spans="1:48" ht="15.75" customHeight="1">
      <c r="A2425" s="21" t="s">
        <v>53</v>
      </c>
      <c r="B2425" s="23" t="s">
        <v>1692</v>
      </c>
      <c r="C2425" s="22">
        <v>45750</v>
      </c>
      <c r="D2425" s="23" t="s">
        <v>915</v>
      </c>
      <c r="E2425" s="23" t="s">
        <v>163</v>
      </c>
      <c r="F2425" s="21">
        <v>1</v>
      </c>
      <c r="G2425" s="12">
        <v>18990</v>
      </c>
      <c r="H2425" s="12">
        <v>18990</v>
      </c>
      <c r="I2425" s="23" t="s">
        <v>52</v>
      </c>
      <c r="J2425" s="23" t="s">
        <v>61</v>
      </c>
      <c r="K2425" s="24" t="s">
        <v>177</v>
      </c>
      <c r="L2425" s="24">
        <v>121</v>
      </c>
      <c r="M2425" s="12">
        <v>15957.983193277312</v>
      </c>
      <c r="N2425" s="12">
        <v>15957.983193277312</v>
      </c>
      <c r="O2425" s="12">
        <v>3032.0168067226878</v>
      </c>
      <c r="P2425" s="13"/>
      <c r="Q2425" s="14">
        <v>2025</v>
      </c>
      <c r="R2425" s="15">
        <v>45383</v>
      </c>
      <c r="S2425" s="11" t="s">
        <v>435</v>
      </c>
      <c r="T2425" s="16">
        <v>0</v>
      </c>
      <c r="U2425" s="17"/>
      <c r="V2425" s="12">
        <v>4112.6050420168067</v>
      </c>
      <c r="W2425" s="12">
        <v>4112.6050420168067</v>
      </c>
      <c r="X2425" s="12">
        <v>0</v>
      </c>
      <c r="Y2425" s="18">
        <v>45747</v>
      </c>
      <c r="Z2425" s="13" t="s">
        <v>505</v>
      </c>
      <c r="AA2425" s="19" t="s">
        <v>367</v>
      </c>
      <c r="AB2425" s="13" t="s">
        <v>357</v>
      </c>
      <c r="AC2425" s="13" t="s">
        <v>367</v>
      </c>
      <c r="AD2425" s="20"/>
      <c r="AE2425" s="20"/>
      <c r="AF2425" s="13" t="s">
        <v>40</v>
      </c>
      <c r="AG2425" s="15">
        <v>45383</v>
      </c>
      <c r="AH2425" s="13" t="s">
        <v>41</v>
      </c>
      <c r="AI2425" s="13" t="s">
        <v>53</v>
      </c>
      <c r="AJ2425" s="13" t="str">
        <f>VLOOKUP(E2425,Precios!Z$2:AA$941,2,FALSE)</f>
        <v>Papel Higienico SWAN 50 metros</v>
      </c>
      <c r="AK2425" s="14">
        <f>VLOOKUP(E2425,Precios!Z$2:BB$941,3,FALSE)*F2425</f>
        <v>-8</v>
      </c>
      <c r="AL2425" s="17"/>
      <c r="AM2425" s="17"/>
      <c r="AN2425" s="17"/>
      <c r="AO2425" s="17"/>
      <c r="AP2425" s="17"/>
      <c r="AQ2425" s="17"/>
      <c r="AR2425" s="17"/>
      <c r="AS2425" s="17"/>
      <c r="AT2425" s="17"/>
      <c r="AU2425" s="17"/>
      <c r="AV2425" s="17"/>
    </row>
    <row r="2426" spans="1:48" ht="15.75" customHeight="1">
      <c r="A2426" s="21" t="s">
        <v>53</v>
      </c>
      <c r="B2426" s="23" t="s">
        <v>1692</v>
      </c>
      <c r="C2426" s="22">
        <v>45750</v>
      </c>
      <c r="D2426" s="23" t="s">
        <v>54</v>
      </c>
      <c r="E2426" s="23" t="s">
        <v>55</v>
      </c>
      <c r="F2426" s="21">
        <v>1</v>
      </c>
      <c r="G2426" s="12">
        <v>19989.738327347361</v>
      </c>
      <c r="H2426" s="12">
        <v>19989.738327347361</v>
      </c>
      <c r="I2426" s="23" t="s">
        <v>52</v>
      </c>
      <c r="J2426" s="23" t="s">
        <v>61</v>
      </c>
      <c r="K2426" s="24" t="s">
        <v>177</v>
      </c>
      <c r="L2426" s="24">
        <v>121</v>
      </c>
      <c r="M2426" s="12">
        <v>16798.099434745684</v>
      </c>
      <c r="N2426" s="12">
        <v>16798.099434745684</v>
      </c>
      <c r="O2426" s="12">
        <v>3191.6388926016771</v>
      </c>
      <c r="P2426" s="13"/>
      <c r="Q2426" s="14">
        <v>2025</v>
      </c>
      <c r="R2426" s="15">
        <v>45383</v>
      </c>
      <c r="S2426" s="11" t="s">
        <v>366</v>
      </c>
      <c r="T2426" s="16">
        <v>0</v>
      </c>
      <c r="U2426" s="17"/>
      <c r="V2426" s="12">
        <v>3702.3011154179476</v>
      </c>
      <c r="W2426" s="12">
        <v>3702.3011154179476</v>
      </c>
      <c r="X2426" s="12">
        <v>0</v>
      </c>
      <c r="Y2426" s="18">
        <v>45747</v>
      </c>
      <c r="Z2426" s="13" t="s">
        <v>505</v>
      </c>
      <c r="AA2426" s="19" t="s">
        <v>373</v>
      </c>
      <c r="AB2426" s="13" t="s">
        <v>357</v>
      </c>
      <c r="AC2426" s="13" t="s">
        <v>380</v>
      </c>
      <c r="AD2426" s="20"/>
      <c r="AE2426" s="20"/>
      <c r="AF2426" s="13" t="s">
        <v>40</v>
      </c>
      <c r="AG2426" s="15">
        <v>45383</v>
      </c>
      <c r="AH2426" s="13" t="s">
        <v>41</v>
      </c>
      <c r="AI2426" s="13" t="s">
        <v>53</v>
      </c>
      <c r="AJ2426" s="13" t="str">
        <f>VLOOKUP(E2426,Precios!Z$2:AA$941,2,FALSE)</f>
        <v>Papel Higienico ELITE 50 metros</v>
      </c>
      <c r="AK2426" s="14">
        <f>VLOOKUP(E2426,Precios!Z$2:BB$941,3,FALSE)*F2426</f>
        <v>-8</v>
      </c>
      <c r="AL2426" s="17"/>
      <c r="AM2426" s="17"/>
      <c r="AN2426" s="17"/>
      <c r="AO2426" s="17"/>
      <c r="AP2426" s="17"/>
      <c r="AQ2426" s="17"/>
      <c r="AR2426" s="17"/>
      <c r="AS2426" s="17"/>
      <c r="AT2426" s="17"/>
      <c r="AU2426" s="17"/>
      <c r="AV2426" s="17"/>
    </row>
    <row r="2427" spans="1:48" ht="15.75" customHeight="1">
      <c r="A2427" s="21" t="s">
        <v>76</v>
      </c>
      <c r="B2427" s="23" t="s">
        <v>1692</v>
      </c>
      <c r="C2427" s="22">
        <v>45750</v>
      </c>
      <c r="D2427" s="23" t="s">
        <v>915</v>
      </c>
      <c r="E2427" s="23" t="s">
        <v>78</v>
      </c>
      <c r="F2427" s="21">
        <v>1</v>
      </c>
      <c r="G2427" s="12">
        <v>3699.7285326475212</v>
      </c>
      <c r="H2427" s="12">
        <v>3699.7285326475212</v>
      </c>
      <c r="I2427" s="23" t="s">
        <v>52</v>
      </c>
      <c r="J2427" s="23" t="s">
        <v>61</v>
      </c>
      <c r="K2427" s="24" t="s">
        <v>177</v>
      </c>
      <c r="L2427" s="24">
        <v>121</v>
      </c>
      <c r="M2427" s="12">
        <v>3109.0155736533793</v>
      </c>
      <c r="N2427" s="12">
        <v>3109.0155736533793</v>
      </c>
      <c r="O2427" s="12">
        <v>590.7129589941419</v>
      </c>
      <c r="P2427" s="13"/>
      <c r="Q2427" s="14">
        <v>2025</v>
      </c>
      <c r="R2427" s="15">
        <v>45383</v>
      </c>
      <c r="S2427" s="11" t="s">
        <v>479</v>
      </c>
      <c r="T2427" s="16">
        <v>0</v>
      </c>
      <c r="U2427" s="17"/>
      <c r="V2427" s="12">
        <v>933.01557365337931</v>
      </c>
      <c r="W2427" s="12">
        <v>933.01557365337931</v>
      </c>
      <c r="X2427" s="12">
        <v>0</v>
      </c>
      <c r="Y2427" s="18">
        <v>45747</v>
      </c>
      <c r="Z2427" s="13" t="s">
        <v>505</v>
      </c>
      <c r="AA2427" s="19" t="s">
        <v>367</v>
      </c>
      <c r="AB2427" s="13" t="s">
        <v>357</v>
      </c>
      <c r="AC2427" s="13" t="s">
        <v>367</v>
      </c>
      <c r="AD2427" s="20"/>
      <c r="AE2427" s="20"/>
      <c r="AF2427" s="13" t="s">
        <v>40</v>
      </c>
      <c r="AG2427" s="15">
        <v>45383</v>
      </c>
      <c r="AH2427" s="13" t="s">
        <v>41</v>
      </c>
      <c r="AI2427" s="13" t="s">
        <v>76</v>
      </c>
      <c r="AJ2427" s="13" t="str">
        <f>VLOOKUP(E2427,Precios!Z$2:AA$941,2,FALSE)</f>
        <v>Lavaloza MAGISTRAL 500 ml</v>
      </c>
      <c r="AK2427" s="14">
        <f>VLOOKUP(E2427,Precios!Z$2:BB$941,3,FALSE)*F2427</f>
        <v>-1</v>
      </c>
      <c r="AL2427" s="17"/>
      <c r="AM2427" s="17"/>
      <c r="AN2427" s="17"/>
      <c r="AO2427" s="17"/>
      <c r="AP2427" s="17"/>
      <c r="AQ2427" s="17"/>
      <c r="AR2427" s="17"/>
      <c r="AS2427" s="17"/>
      <c r="AT2427" s="17"/>
      <c r="AU2427" s="17"/>
      <c r="AV2427" s="17"/>
    </row>
    <row r="2428" spans="1:48" ht="15.75" customHeight="1">
      <c r="A2428" s="21" t="s">
        <v>53</v>
      </c>
      <c r="B2428" s="23" t="s">
        <v>1692</v>
      </c>
      <c r="C2428" s="22">
        <v>45750</v>
      </c>
      <c r="D2428" s="23" t="s">
        <v>133</v>
      </c>
      <c r="E2428" s="23" t="s">
        <v>97</v>
      </c>
      <c r="F2428" s="21">
        <v>1</v>
      </c>
      <c r="G2428" s="12">
        <v>15500.298388701016</v>
      </c>
      <c r="H2428" s="12">
        <v>15500.298388701016</v>
      </c>
      <c r="I2428" s="23" t="s">
        <v>52</v>
      </c>
      <c r="J2428" s="23" t="s">
        <v>61</v>
      </c>
      <c r="K2428" s="24" t="s">
        <v>177</v>
      </c>
      <c r="L2428" s="24">
        <v>121</v>
      </c>
      <c r="M2428" s="12">
        <v>13025.46083084119</v>
      </c>
      <c r="N2428" s="12">
        <v>13025.46083084119</v>
      </c>
      <c r="O2428" s="12">
        <v>2474.8375578598261</v>
      </c>
      <c r="P2428" s="13"/>
      <c r="Q2428" s="14">
        <v>2025</v>
      </c>
      <c r="R2428" s="15">
        <v>45383</v>
      </c>
      <c r="S2428" s="11" t="s">
        <v>366</v>
      </c>
      <c r="T2428" s="16">
        <v>0</v>
      </c>
      <c r="U2428" s="17"/>
      <c r="V2428" s="12">
        <v>3203.6120913453906</v>
      </c>
      <c r="W2428" s="12">
        <v>3203.6120913453906</v>
      </c>
      <c r="X2428" s="12">
        <v>0</v>
      </c>
      <c r="Y2428" s="18">
        <v>45747</v>
      </c>
      <c r="Z2428" s="13" t="s">
        <v>505</v>
      </c>
      <c r="AA2428" s="19" t="s">
        <v>361</v>
      </c>
      <c r="AB2428" s="13" t="s">
        <v>357</v>
      </c>
      <c r="AC2428" s="13" t="s">
        <v>362</v>
      </c>
      <c r="AD2428" s="20"/>
      <c r="AE2428" s="20"/>
      <c r="AF2428" s="13" t="s">
        <v>40</v>
      </c>
      <c r="AG2428" s="15">
        <v>45383</v>
      </c>
      <c r="AH2428" s="13" t="s">
        <v>41</v>
      </c>
      <c r="AI2428" s="13" t="s">
        <v>53</v>
      </c>
      <c r="AJ2428" s="13" t="str">
        <f>VLOOKUP(E2428,Precios!Z$2:AA$941,2,FALSE)</f>
        <v>Papel Higienico ELITE 50 metros</v>
      </c>
      <c r="AK2428" s="14">
        <f>VLOOKUP(E2428,Precios!Z$2:BB$941,3,FALSE)*F2428</f>
        <v>-6</v>
      </c>
      <c r="AL2428" s="17"/>
      <c r="AM2428" s="17"/>
      <c r="AN2428" s="17"/>
      <c r="AO2428" s="17"/>
      <c r="AP2428" s="17"/>
      <c r="AQ2428" s="17"/>
      <c r="AR2428" s="17"/>
      <c r="AS2428" s="17"/>
      <c r="AT2428" s="17"/>
      <c r="AU2428" s="17"/>
      <c r="AV2428" s="17"/>
    </row>
    <row r="2429" spans="1:48" ht="15.75" customHeight="1">
      <c r="A2429" s="21" t="s">
        <v>76</v>
      </c>
      <c r="B2429" s="23" t="s">
        <v>1692</v>
      </c>
      <c r="C2429" s="22">
        <v>45750</v>
      </c>
      <c r="D2429" s="23" t="s">
        <v>715</v>
      </c>
      <c r="E2429" s="23" t="s">
        <v>185</v>
      </c>
      <c r="F2429" s="21">
        <v>1</v>
      </c>
      <c r="G2429" s="12">
        <v>3200.1383843625663</v>
      </c>
      <c r="H2429" s="12">
        <v>3200.1383843625663</v>
      </c>
      <c r="I2429" s="23" t="s">
        <v>52</v>
      </c>
      <c r="J2429" s="23" t="s">
        <v>61</v>
      </c>
      <c r="K2429" s="24" t="s">
        <v>177</v>
      </c>
      <c r="L2429" s="24">
        <v>121</v>
      </c>
      <c r="M2429" s="12">
        <v>2689.1919196324088</v>
      </c>
      <c r="N2429" s="12">
        <v>2689.1919196324088</v>
      </c>
      <c r="O2429" s="12">
        <v>510.94646473015746</v>
      </c>
      <c r="P2429" s="13"/>
      <c r="Q2429" s="14">
        <v>2025</v>
      </c>
      <c r="R2429" s="15">
        <v>45383</v>
      </c>
      <c r="S2429" s="11" t="s">
        <v>444</v>
      </c>
      <c r="T2429" s="16">
        <v>5</v>
      </c>
      <c r="U2429" s="17"/>
      <c r="V2429" s="12">
        <v>1134.570070892913</v>
      </c>
      <c r="W2429" s="12">
        <v>1134.570070892913</v>
      </c>
      <c r="X2429" s="12">
        <v>0</v>
      </c>
      <c r="Y2429" s="18">
        <v>45747</v>
      </c>
      <c r="Z2429" s="13" t="s">
        <v>505</v>
      </c>
      <c r="AA2429" s="19" t="s">
        <v>373</v>
      </c>
      <c r="AB2429" s="13" t="s">
        <v>357</v>
      </c>
      <c r="AC2429" s="13" t="s">
        <v>500</v>
      </c>
      <c r="AD2429" s="20"/>
      <c r="AE2429" s="20"/>
      <c r="AF2429" s="13" t="s">
        <v>40</v>
      </c>
      <c r="AG2429" s="15">
        <v>45383</v>
      </c>
      <c r="AH2429" s="13" t="s">
        <v>41</v>
      </c>
      <c r="AI2429" s="13" t="s">
        <v>76</v>
      </c>
      <c r="AJ2429" s="13" t="str">
        <f>VLOOKUP(E2429,Precios!Z$2:AA$941,2,FALSE)</f>
        <v>Limpia Vidrio SPUM 5 litros</v>
      </c>
      <c r="AK2429" s="14">
        <f>VLOOKUP(E2429,Precios!Z$2:BB$941,3,FALSE)*F2429</f>
        <v>-1</v>
      </c>
      <c r="AL2429" s="17"/>
      <c r="AM2429" s="17"/>
      <c r="AN2429" s="17"/>
      <c r="AO2429" s="17"/>
      <c r="AP2429" s="17"/>
      <c r="AQ2429" s="17"/>
      <c r="AR2429" s="17"/>
      <c r="AS2429" s="17"/>
      <c r="AT2429" s="17"/>
      <c r="AU2429" s="17"/>
      <c r="AV2429" s="17"/>
    </row>
    <row r="2430" spans="1:48" ht="15.75" customHeight="1">
      <c r="A2430" s="21" t="s">
        <v>76</v>
      </c>
      <c r="B2430" s="23" t="s">
        <v>1692</v>
      </c>
      <c r="C2430" s="22">
        <v>45750</v>
      </c>
      <c r="D2430" s="23" t="s">
        <v>715</v>
      </c>
      <c r="E2430" s="23" t="s">
        <v>337</v>
      </c>
      <c r="F2430" s="21">
        <v>1</v>
      </c>
      <c r="G2430" s="12">
        <v>1599.9448225124147</v>
      </c>
      <c r="H2430" s="12">
        <v>1599.9448225124147</v>
      </c>
      <c r="I2430" s="23" t="s">
        <v>52</v>
      </c>
      <c r="J2430" s="23" t="s">
        <v>61</v>
      </c>
      <c r="K2430" s="24" t="s">
        <v>177</v>
      </c>
      <c r="L2430" s="24">
        <v>121</v>
      </c>
      <c r="M2430" s="12">
        <v>1344.4914474894242</v>
      </c>
      <c r="N2430" s="12">
        <v>1344.4914474894242</v>
      </c>
      <c r="O2430" s="12">
        <v>255.45337502299049</v>
      </c>
      <c r="P2430" s="13"/>
      <c r="Q2430" s="14">
        <v>2025</v>
      </c>
      <c r="R2430" s="15">
        <v>45383</v>
      </c>
      <c r="S2430" s="11" t="s">
        <v>529</v>
      </c>
      <c r="T2430" s="16">
        <v>0</v>
      </c>
      <c r="U2430" s="17"/>
      <c r="V2430" s="12">
        <v>613.49144748942422</v>
      </c>
      <c r="W2430" s="12">
        <v>613.49144748942422</v>
      </c>
      <c r="X2430" s="12">
        <v>0</v>
      </c>
      <c r="Y2430" s="18">
        <v>45747</v>
      </c>
      <c r="Z2430" s="13" t="s">
        <v>505</v>
      </c>
      <c r="AA2430" s="19" t="s">
        <v>373</v>
      </c>
      <c r="AB2430" s="13" t="s">
        <v>357</v>
      </c>
      <c r="AC2430" s="13" t="s">
        <v>500</v>
      </c>
      <c r="AD2430" s="20"/>
      <c r="AE2430" s="20"/>
      <c r="AF2430" s="13" t="s">
        <v>40</v>
      </c>
      <c r="AG2430" s="15">
        <v>45383</v>
      </c>
      <c r="AH2430" s="13" t="s">
        <v>41</v>
      </c>
      <c r="AI2430" s="13" t="s">
        <v>76</v>
      </c>
      <c r="AJ2430" s="13" t="str">
        <f>VLOOKUP(E2430,Precios!Z$2:AA$941,2,FALSE)</f>
        <v>Limpia Inodoro TEDDY</v>
      </c>
      <c r="AK2430" s="14">
        <f>VLOOKUP(E2430,Precios!Z$2:BB$941,3,FALSE)*F2430</f>
        <v>-1</v>
      </c>
      <c r="AL2430" s="17"/>
      <c r="AM2430" s="17"/>
      <c r="AN2430" s="17"/>
      <c r="AO2430" s="17"/>
      <c r="AP2430" s="17"/>
      <c r="AQ2430" s="17"/>
      <c r="AR2430" s="17"/>
      <c r="AS2430" s="17"/>
      <c r="AT2430" s="17"/>
      <c r="AU2430" s="17"/>
      <c r="AV2430" s="17"/>
    </row>
    <row r="2431" spans="1:48" ht="15.75" customHeight="1">
      <c r="A2431" s="21" t="s">
        <v>76</v>
      </c>
      <c r="B2431" s="23" t="s">
        <v>1692</v>
      </c>
      <c r="C2431" s="22">
        <v>45750</v>
      </c>
      <c r="D2431" s="23" t="s">
        <v>715</v>
      </c>
      <c r="E2431" s="23" t="s">
        <v>77</v>
      </c>
      <c r="F2431" s="21">
        <v>1</v>
      </c>
      <c r="G2431" s="12">
        <v>1500.0000000000002</v>
      </c>
      <c r="H2431" s="12">
        <v>1500.0000000000002</v>
      </c>
      <c r="I2431" s="23" t="s">
        <v>52</v>
      </c>
      <c r="J2431" s="23" t="s">
        <v>61</v>
      </c>
      <c r="K2431" s="24" t="s">
        <v>177</v>
      </c>
      <c r="L2431" s="24">
        <v>121</v>
      </c>
      <c r="M2431" s="12">
        <v>1260.5042016806726</v>
      </c>
      <c r="N2431" s="12">
        <v>1260.5042016806726</v>
      </c>
      <c r="O2431" s="12">
        <v>239.4957983193276</v>
      </c>
      <c r="P2431" s="13"/>
      <c r="Q2431" s="14">
        <v>2025</v>
      </c>
      <c r="R2431" s="15">
        <v>45383</v>
      </c>
      <c r="S2431" s="11" t="s">
        <v>448</v>
      </c>
      <c r="T2431" s="16">
        <v>0</v>
      </c>
      <c r="U2431" s="17"/>
      <c r="V2431" s="12">
        <v>421.00840336134468</v>
      </c>
      <c r="W2431" s="12">
        <v>421.00840336134468</v>
      </c>
      <c r="X2431" s="12">
        <v>0</v>
      </c>
      <c r="Y2431" s="18">
        <v>45747</v>
      </c>
      <c r="Z2431" s="13" t="s">
        <v>505</v>
      </c>
      <c r="AA2431" s="19" t="s">
        <v>373</v>
      </c>
      <c r="AB2431" s="13" t="s">
        <v>357</v>
      </c>
      <c r="AC2431" s="13" t="s">
        <v>500</v>
      </c>
      <c r="AD2431" s="20"/>
      <c r="AE2431" s="20"/>
      <c r="AF2431" s="13" t="s">
        <v>40</v>
      </c>
      <c r="AG2431" s="15">
        <v>45383</v>
      </c>
      <c r="AH2431" s="13" t="s">
        <v>41</v>
      </c>
      <c r="AI2431" s="13" t="s">
        <v>76</v>
      </c>
      <c r="AJ2431" s="13" t="str">
        <f>VLOOKUP(E2431,Precios!Z$2:AA$941,2,FALSE)</f>
        <v>Cloro GEL IGENIX 900ml</v>
      </c>
      <c r="AK2431" s="14">
        <f>VLOOKUP(E2431,Precios!Z$2:BB$941,3,FALSE)*F2431</f>
        <v>-1</v>
      </c>
      <c r="AL2431" s="17"/>
      <c r="AM2431" s="17"/>
      <c r="AN2431" s="17"/>
      <c r="AO2431" s="17"/>
      <c r="AP2431" s="17"/>
      <c r="AQ2431" s="17"/>
      <c r="AR2431" s="17"/>
      <c r="AS2431" s="17"/>
      <c r="AT2431" s="17"/>
      <c r="AU2431" s="17"/>
      <c r="AV2431" s="17"/>
    </row>
    <row r="2432" spans="1:48" ht="15.75" customHeight="1">
      <c r="A2432" s="21" t="s">
        <v>76</v>
      </c>
      <c r="B2432" s="23" t="s">
        <v>1692</v>
      </c>
      <c r="C2432" s="22">
        <v>45750</v>
      </c>
      <c r="D2432" s="23" t="s">
        <v>715</v>
      </c>
      <c r="E2432" s="23" t="s">
        <v>156</v>
      </c>
      <c r="F2432" s="21">
        <v>1</v>
      </c>
      <c r="G2432" s="12">
        <v>4800</v>
      </c>
      <c r="H2432" s="12">
        <v>4800</v>
      </c>
      <c r="I2432" s="23" t="s">
        <v>52</v>
      </c>
      <c r="J2432" s="23" t="s">
        <v>61</v>
      </c>
      <c r="K2432" s="24" t="s">
        <v>177</v>
      </c>
      <c r="L2432" s="24">
        <v>121</v>
      </c>
      <c r="M2432" s="12">
        <v>4033.6134453781515</v>
      </c>
      <c r="N2432" s="12">
        <v>4033.6134453781515</v>
      </c>
      <c r="O2432" s="12">
        <v>766.38655462184852</v>
      </c>
      <c r="P2432" s="13"/>
      <c r="Q2432" s="14">
        <v>2025</v>
      </c>
      <c r="R2432" s="15">
        <v>45383</v>
      </c>
      <c r="S2432" s="11" t="s">
        <v>479</v>
      </c>
      <c r="T2432" s="16">
        <v>0</v>
      </c>
      <c r="U2432" s="17"/>
      <c r="V2432" s="12">
        <v>1768.0672268907565</v>
      </c>
      <c r="W2432" s="12">
        <v>1768.0672268907565</v>
      </c>
      <c r="X2432" s="12">
        <v>0</v>
      </c>
      <c r="Y2432" s="18">
        <v>45747</v>
      </c>
      <c r="Z2432" s="13" t="s">
        <v>505</v>
      </c>
      <c r="AA2432" s="19" t="s">
        <v>373</v>
      </c>
      <c r="AB2432" s="13" t="s">
        <v>357</v>
      </c>
      <c r="AC2432" s="13" t="s">
        <v>500</v>
      </c>
      <c r="AD2432" s="20"/>
      <c r="AE2432" s="20"/>
      <c r="AF2432" s="13" t="s">
        <v>40</v>
      </c>
      <c r="AG2432" s="15">
        <v>45383</v>
      </c>
      <c r="AH2432" s="13" t="s">
        <v>41</v>
      </c>
      <c r="AI2432" s="13" t="s">
        <v>76</v>
      </c>
      <c r="AJ2432" s="13" t="str">
        <f>VLOOKUP(E2432,Precios!Z$2:AA$941,2,FALSE)</f>
        <v>Lavaloza QUIX 750 cc</v>
      </c>
      <c r="AK2432" s="14">
        <f>VLOOKUP(E2432,Precios!Z$2:BB$941,3,FALSE)*F2432</f>
        <v>-2</v>
      </c>
      <c r="AL2432" s="17"/>
      <c r="AM2432" s="17"/>
      <c r="AN2432" s="17"/>
      <c r="AO2432" s="17"/>
      <c r="AP2432" s="17"/>
      <c r="AQ2432" s="17"/>
      <c r="AR2432" s="17"/>
      <c r="AS2432" s="17"/>
      <c r="AT2432" s="17"/>
      <c r="AU2432" s="17"/>
      <c r="AV2432" s="17"/>
    </row>
    <row r="2433" spans="1:48" ht="15.75" customHeight="1">
      <c r="A2433" s="21" t="s">
        <v>47</v>
      </c>
      <c r="B2433" s="23" t="s">
        <v>1692</v>
      </c>
      <c r="C2433" s="22">
        <v>45750</v>
      </c>
      <c r="D2433" s="23" t="s">
        <v>715</v>
      </c>
      <c r="E2433" s="23" t="s">
        <v>169</v>
      </c>
      <c r="F2433" s="21">
        <v>1</v>
      </c>
      <c r="G2433" s="12">
        <v>1650.3934426229507</v>
      </c>
      <c r="H2433" s="12">
        <v>1650.3934426229507</v>
      </c>
      <c r="I2433" s="23" t="s">
        <v>52</v>
      </c>
      <c r="J2433" s="23" t="s">
        <v>61</v>
      </c>
      <c r="K2433" s="24" t="s">
        <v>177</v>
      </c>
      <c r="L2433" s="24">
        <v>121</v>
      </c>
      <c r="M2433" s="12">
        <v>1386.8852459016393</v>
      </c>
      <c r="N2433" s="12">
        <v>1386.8852459016393</v>
      </c>
      <c r="O2433" s="12">
        <v>263.50819672131138</v>
      </c>
      <c r="P2433" s="13"/>
      <c r="Q2433" s="14">
        <v>2025</v>
      </c>
      <c r="R2433" s="15">
        <v>45383</v>
      </c>
      <c r="S2433" s="11" t="s">
        <v>453</v>
      </c>
      <c r="T2433" s="16">
        <v>0</v>
      </c>
      <c r="U2433" s="17"/>
      <c r="V2433" s="12">
        <v>540.88524590163934</v>
      </c>
      <c r="W2433" s="12">
        <v>540.88524590163934</v>
      </c>
      <c r="X2433" s="12">
        <v>0</v>
      </c>
      <c r="Y2433" s="18">
        <v>45747</v>
      </c>
      <c r="Z2433" s="13" t="s">
        <v>505</v>
      </c>
      <c r="AA2433" s="19" t="s">
        <v>373</v>
      </c>
      <c r="AB2433" s="13" t="s">
        <v>357</v>
      </c>
      <c r="AC2433" s="13" t="s">
        <v>500</v>
      </c>
      <c r="AD2433" s="20"/>
      <c r="AE2433" s="20"/>
      <c r="AF2433" s="13" t="s">
        <v>40</v>
      </c>
      <c r="AG2433" s="15">
        <v>45383</v>
      </c>
      <c r="AH2433" s="13" t="s">
        <v>41</v>
      </c>
      <c r="AI2433" s="13" t="s">
        <v>47</v>
      </c>
      <c r="AJ2433" s="13" t="str">
        <f>VLOOKUP(E2433,Precios!Z$2:AA$941,2,FALSE)</f>
        <v xml:space="preserve">Bolsas Basura TEDDY 45x55 con Asas </v>
      </c>
      <c r="AK2433" s="14">
        <f>VLOOKUP(E2433,Precios!Z$2:BB$941,3,FALSE)*F2433</f>
        <v>-3</v>
      </c>
      <c r="AL2433" s="17"/>
      <c r="AM2433" s="17"/>
      <c r="AN2433" s="17"/>
      <c r="AO2433" s="17"/>
      <c r="AP2433" s="17"/>
      <c r="AQ2433" s="17"/>
      <c r="AR2433" s="17"/>
      <c r="AS2433" s="17"/>
      <c r="AT2433" s="17"/>
      <c r="AU2433" s="17"/>
      <c r="AV2433" s="17"/>
    </row>
    <row r="2434" spans="1:48" ht="15.75" customHeight="1">
      <c r="A2434" s="21" t="s">
        <v>53</v>
      </c>
      <c r="B2434" s="23" t="s">
        <v>1692</v>
      </c>
      <c r="C2434" s="22">
        <v>45750</v>
      </c>
      <c r="D2434" s="23" t="s">
        <v>247</v>
      </c>
      <c r="E2434" s="23" t="s">
        <v>55</v>
      </c>
      <c r="F2434" s="21">
        <v>1</v>
      </c>
      <c r="G2434" s="12">
        <v>19989.738327347361</v>
      </c>
      <c r="H2434" s="12">
        <v>19989.738327347361</v>
      </c>
      <c r="I2434" s="23" t="s">
        <v>52</v>
      </c>
      <c r="J2434" s="23" t="s">
        <v>61</v>
      </c>
      <c r="K2434" s="24" t="s">
        <v>177</v>
      </c>
      <c r="L2434" s="24">
        <v>121</v>
      </c>
      <c r="M2434" s="12">
        <v>16798.099434745684</v>
      </c>
      <c r="N2434" s="12">
        <v>16798.099434745684</v>
      </c>
      <c r="O2434" s="12">
        <v>3191.6388926016771</v>
      </c>
      <c r="P2434" s="13"/>
      <c r="Q2434" s="14">
        <v>2025</v>
      </c>
      <c r="R2434" s="15">
        <v>45383</v>
      </c>
      <c r="S2434" s="11" t="s">
        <v>366</v>
      </c>
      <c r="T2434" s="16">
        <v>0</v>
      </c>
      <c r="U2434" s="17"/>
      <c r="V2434" s="12">
        <v>3702.3011154179476</v>
      </c>
      <c r="W2434" s="12">
        <v>3702.3011154179476</v>
      </c>
      <c r="X2434" s="12">
        <v>0</v>
      </c>
      <c r="Y2434" s="18">
        <v>45747</v>
      </c>
      <c r="Z2434" s="13" t="s">
        <v>505</v>
      </c>
      <c r="AA2434" s="19" t="s">
        <v>361</v>
      </c>
      <c r="AB2434" s="13" t="s">
        <v>357</v>
      </c>
      <c r="AC2434" s="13" t="s">
        <v>374</v>
      </c>
      <c r="AD2434" s="20"/>
      <c r="AE2434" s="20"/>
      <c r="AF2434" s="13" t="s">
        <v>40</v>
      </c>
      <c r="AG2434" s="15">
        <v>45383</v>
      </c>
      <c r="AH2434" s="13" t="s">
        <v>41</v>
      </c>
      <c r="AI2434" s="13" t="s">
        <v>53</v>
      </c>
      <c r="AJ2434" s="13" t="str">
        <f>VLOOKUP(E2434,Precios!Z$2:AA$941,2,FALSE)</f>
        <v>Papel Higienico ELITE 50 metros</v>
      </c>
      <c r="AK2434" s="14">
        <f>VLOOKUP(E2434,Precios!Z$2:BB$941,3,FALSE)*F2434</f>
        <v>-8</v>
      </c>
      <c r="AL2434" s="17"/>
      <c r="AM2434" s="17"/>
      <c r="AN2434" s="17"/>
      <c r="AO2434" s="17"/>
      <c r="AP2434" s="17"/>
      <c r="AQ2434" s="17"/>
      <c r="AR2434" s="17"/>
      <c r="AS2434" s="17"/>
      <c r="AT2434" s="17"/>
      <c r="AU2434" s="17"/>
      <c r="AV2434" s="17"/>
    </row>
    <row r="2435" spans="1:48" ht="15.75" customHeight="1">
      <c r="A2435" s="21" t="s">
        <v>53</v>
      </c>
      <c r="B2435" s="23" t="s">
        <v>1692</v>
      </c>
      <c r="C2435" s="22">
        <v>45750</v>
      </c>
      <c r="D2435" s="23" t="s">
        <v>247</v>
      </c>
      <c r="E2435" s="23" t="s">
        <v>253</v>
      </c>
      <c r="F2435" s="21">
        <v>1</v>
      </c>
      <c r="G2435" s="12">
        <v>21500.472527761005</v>
      </c>
      <c r="H2435" s="12">
        <v>21500.472527761005</v>
      </c>
      <c r="I2435" s="23" t="s">
        <v>52</v>
      </c>
      <c r="J2435" s="23" t="s">
        <v>61</v>
      </c>
      <c r="K2435" s="24" t="s">
        <v>177</v>
      </c>
      <c r="L2435" s="24">
        <v>121</v>
      </c>
      <c r="M2435" s="12">
        <v>18067.623972908408</v>
      </c>
      <c r="N2435" s="12">
        <v>18067.623972908408</v>
      </c>
      <c r="O2435" s="12">
        <v>3432.8485548525969</v>
      </c>
      <c r="P2435" s="13"/>
      <c r="Q2435" s="14">
        <v>2025</v>
      </c>
      <c r="R2435" s="15">
        <v>45383</v>
      </c>
      <c r="S2435" s="11" t="s">
        <v>716</v>
      </c>
      <c r="T2435" s="16">
        <v>100</v>
      </c>
      <c r="U2435" s="17"/>
      <c r="V2435" s="12">
        <v>4302.6239729084082</v>
      </c>
      <c r="W2435" s="12">
        <v>4302.6239729084082</v>
      </c>
      <c r="X2435" s="12">
        <v>0</v>
      </c>
      <c r="Y2435" s="18">
        <v>45747</v>
      </c>
      <c r="Z2435" s="13" t="s">
        <v>505</v>
      </c>
      <c r="AA2435" s="19" t="s">
        <v>361</v>
      </c>
      <c r="AB2435" s="13" t="s">
        <v>357</v>
      </c>
      <c r="AC2435" s="13" t="s">
        <v>374</v>
      </c>
      <c r="AD2435" s="20"/>
      <c r="AE2435" s="20"/>
      <c r="AF2435" s="13" t="s">
        <v>40</v>
      </c>
      <c r="AG2435" s="15">
        <v>45383</v>
      </c>
      <c r="AH2435" s="13" t="s">
        <v>41</v>
      </c>
      <c r="AI2435" s="13" t="s">
        <v>53</v>
      </c>
      <c r="AJ2435" s="13" t="str">
        <f>VLOOKUP(E2435,Precios!Z$2:AA$941,2,FALSE)</f>
        <v>Toalla Papel OVELLA D/H 100 metros</v>
      </c>
      <c r="AK2435" s="14">
        <f>VLOOKUP(E2435,Precios!Z$2:BB$941,3,FALSE)*F2435</f>
        <v>-6</v>
      </c>
      <c r="AL2435" s="17"/>
      <c r="AM2435" s="17"/>
      <c r="AN2435" s="17"/>
      <c r="AO2435" s="17"/>
      <c r="AP2435" s="17"/>
      <c r="AQ2435" s="17"/>
      <c r="AR2435" s="17"/>
      <c r="AS2435" s="17"/>
      <c r="AT2435" s="17"/>
      <c r="AU2435" s="17"/>
      <c r="AV2435" s="17"/>
    </row>
    <row r="2436" spans="1:48" ht="15.75" customHeight="1">
      <c r="A2436" s="21" t="s">
        <v>47</v>
      </c>
      <c r="B2436" s="23" t="s">
        <v>1692</v>
      </c>
      <c r="C2436" s="22">
        <v>45750</v>
      </c>
      <c r="D2436" s="23" t="s">
        <v>247</v>
      </c>
      <c r="E2436" s="23" t="s">
        <v>49</v>
      </c>
      <c r="F2436" s="21">
        <v>1</v>
      </c>
      <c r="G2436" s="12">
        <v>4500.0000000000009</v>
      </c>
      <c r="H2436" s="12">
        <v>4500.0000000000009</v>
      </c>
      <c r="I2436" s="23" t="s">
        <v>52</v>
      </c>
      <c r="J2436" s="23" t="s">
        <v>61</v>
      </c>
      <c r="K2436" s="24" t="s">
        <v>177</v>
      </c>
      <c r="L2436" s="24">
        <v>121</v>
      </c>
      <c r="M2436" s="12">
        <v>3781.5126050420176</v>
      </c>
      <c r="N2436" s="12">
        <v>3781.5126050420176</v>
      </c>
      <c r="O2436" s="12">
        <v>718.48739495798327</v>
      </c>
      <c r="P2436" s="13"/>
      <c r="Q2436" s="14">
        <v>2025</v>
      </c>
      <c r="R2436" s="15">
        <v>45383</v>
      </c>
      <c r="S2436" s="11" t="s">
        <v>384</v>
      </c>
      <c r="T2436" s="16">
        <v>0</v>
      </c>
      <c r="U2436" s="17"/>
      <c r="V2436" s="12">
        <v>988.23529411764775</v>
      </c>
      <c r="W2436" s="12">
        <v>988.23529411764775</v>
      </c>
      <c r="X2436" s="12">
        <v>0</v>
      </c>
      <c r="Y2436" s="18">
        <v>45747</v>
      </c>
      <c r="Z2436" s="13" t="s">
        <v>505</v>
      </c>
      <c r="AA2436" s="19" t="s">
        <v>361</v>
      </c>
      <c r="AB2436" s="13" t="s">
        <v>357</v>
      </c>
      <c r="AC2436" s="13" t="s">
        <v>374</v>
      </c>
      <c r="AD2436" s="20"/>
      <c r="AE2436" s="20"/>
      <c r="AF2436" s="13" t="s">
        <v>40</v>
      </c>
      <c r="AG2436" s="15">
        <v>45383</v>
      </c>
      <c r="AH2436" s="13" t="s">
        <v>41</v>
      </c>
      <c r="AI2436" s="13" t="s">
        <v>47</v>
      </c>
      <c r="AJ2436" s="13" t="str">
        <f>VLOOKUP(E2436,Precios!Z$2:AA$941,2,FALSE)</f>
        <v>Jabón Lìquido BALLERINA</v>
      </c>
      <c r="AK2436" s="14">
        <f>VLOOKUP(E2436,Precios!Z$2:BB$941,3,FALSE)*F2436</f>
        <v>-3</v>
      </c>
      <c r="AL2436" s="17"/>
      <c r="AM2436" s="17"/>
      <c r="AN2436" s="17"/>
      <c r="AO2436" s="17"/>
      <c r="AP2436" s="17"/>
      <c r="AQ2436" s="17"/>
      <c r="AR2436" s="17"/>
      <c r="AS2436" s="17"/>
      <c r="AT2436" s="17"/>
      <c r="AU2436" s="17"/>
      <c r="AV2436" s="17"/>
    </row>
    <row r="2437" spans="1:48" ht="15.75" customHeight="1">
      <c r="A2437" s="21" t="s">
        <v>47</v>
      </c>
      <c r="B2437" s="23" t="s">
        <v>1692</v>
      </c>
      <c r="C2437" s="22">
        <v>45750</v>
      </c>
      <c r="D2437" s="23" t="s">
        <v>247</v>
      </c>
      <c r="E2437" s="23" t="s">
        <v>562</v>
      </c>
      <c r="F2437" s="21">
        <v>1</v>
      </c>
      <c r="G2437" s="12">
        <v>6499.5824285952895</v>
      </c>
      <c r="H2437" s="12">
        <v>6499.5824285952895</v>
      </c>
      <c r="I2437" s="23" t="s">
        <v>52</v>
      </c>
      <c r="J2437" s="23" t="s">
        <v>61</v>
      </c>
      <c r="K2437" s="24" t="s">
        <v>177</v>
      </c>
      <c r="L2437" s="24">
        <v>121</v>
      </c>
      <c r="M2437" s="12">
        <v>5461.8339736094867</v>
      </c>
      <c r="N2437" s="12">
        <v>5461.8339736094867</v>
      </c>
      <c r="O2437" s="12">
        <v>1037.7484549858027</v>
      </c>
      <c r="P2437" s="13"/>
      <c r="Q2437" s="14">
        <v>2025</v>
      </c>
      <c r="R2437" s="15">
        <v>45383</v>
      </c>
      <c r="S2437" s="11" t="s">
        <v>453</v>
      </c>
      <c r="T2437" s="16">
        <v>0</v>
      </c>
      <c r="U2437" s="17"/>
      <c r="V2437" s="12">
        <v>2191.8339736094867</v>
      </c>
      <c r="W2437" s="12">
        <v>2191.8339736094867</v>
      </c>
      <c r="X2437" s="12">
        <v>0</v>
      </c>
      <c r="Y2437" s="18">
        <v>45747</v>
      </c>
      <c r="Z2437" s="13" t="s">
        <v>505</v>
      </c>
      <c r="AA2437" s="19" t="s">
        <v>361</v>
      </c>
      <c r="AB2437" s="13" t="s">
        <v>357</v>
      </c>
      <c r="AC2437" s="13" t="s">
        <v>374</v>
      </c>
      <c r="AD2437" s="20"/>
      <c r="AE2437" s="20"/>
      <c r="AF2437" s="13" t="s">
        <v>40</v>
      </c>
      <c r="AG2437" s="15">
        <v>45383</v>
      </c>
      <c r="AH2437" s="13" t="s">
        <v>41</v>
      </c>
      <c r="AI2437" s="13" t="s">
        <v>47</v>
      </c>
      <c r="AJ2437" s="13" t="str">
        <f>VLOOKUP(E2437,Precios!Z$2:AA$941,2,FALSE)</f>
        <v xml:space="preserve">Bolsas Basura TEDDY 70x90 </v>
      </c>
      <c r="AK2437" s="14">
        <f>VLOOKUP(E2437,Precios!Z$2:BB$941,3,FALSE)*F2437</f>
        <v>-6</v>
      </c>
      <c r="AL2437" s="17"/>
      <c r="AM2437" s="17"/>
      <c r="AN2437" s="17"/>
      <c r="AO2437" s="17"/>
      <c r="AP2437" s="17"/>
      <c r="AQ2437" s="17"/>
      <c r="AR2437" s="17"/>
      <c r="AS2437" s="17"/>
      <c r="AT2437" s="17"/>
      <c r="AU2437" s="17"/>
      <c r="AV2437" s="17"/>
    </row>
    <row r="2438" spans="1:48" ht="15.75" customHeight="1">
      <c r="A2438" s="21" t="s">
        <v>76</v>
      </c>
      <c r="B2438" s="23" t="s">
        <v>1692</v>
      </c>
      <c r="C2438" s="22">
        <v>45750</v>
      </c>
      <c r="D2438" s="23" t="s">
        <v>247</v>
      </c>
      <c r="E2438" s="23" t="s">
        <v>77</v>
      </c>
      <c r="F2438" s="21">
        <v>2</v>
      </c>
      <c r="G2438" s="12">
        <v>1500.0000000000002</v>
      </c>
      <c r="H2438" s="12">
        <v>3000.0000000000005</v>
      </c>
      <c r="I2438" s="23" t="s">
        <v>52</v>
      </c>
      <c r="J2438" s="23" t="s">
        <v>61</v>
      </c>
      <c r="K2438" s="24" t="s">
        <v>177</v>
      </c>
      <c r="L2438" s="24">
        <v>121</v>
      </c>
      <c r="M2438" s="12">
        <v>1260.5042016806726</v>
      </c>
      <c r="N2438" s="12">
        <v>2521.0084033613452</v>
      </c>
      <c r="O2438" s="12">
        <v>478.99159663865521</v>
      </c>
      <c r="P2438" s="13"/>
      <c r="Q2438" s="14">
        <v>2025</v>
      </c>
      <c r="R2438" s="15">
        <v>45383</v>
      </c>
      <c r="S2438" s="11" t="s">
        <v>448</v>
      </c>
      <c r="T2438" s="16">
        <v>0</v>
      </c>
      <c r="U2438" s="17"/>
      <c r="V2438" s="12">
        <v>842.01680672268935</v>
      </c>
      <c r="W2438" s="12">
        <v>842.01680672268935</v>
      </c>
      <c r="X2438" s="12">
        <v>0</v>
      </c>
      <c r="Y2438" s="18">
        <v>45747</v>
      </c>
      <c r="Z2438" s="13" t="s">
        <v>505</v>
      </c>
      <c r="AA2438" s="19" t="s">
        <v>361</v>
      </c>
      <c r="AB2438" s="13" t="s">
        <v>357</v>
      </c>
      <c r="AC2438" s="13" t="s">
        <v>374</v>
      </c>
      <c r="AD2438" s="20"/>
      <c r="AE2438" s="20"/>
      <c r="AF2438" s="13" t="s">
        <v>40</v>
      </c>
      <c r="AG2438" s="15">
        <v>45383</v>
      </c>
      <c r="AH2438" s="13" t="s">
        <v>41</v>
      </c>
      <c r="AI2438" s="13" t="s">
        <v>76</v>
      </c>
      <c r="AJ2438" s="13" t="str">
        <f>VLOOKUP(E2438,Precios!Z$2:AA$941,2,FALSE)</f>
        <v>Cloro GEL IGENIX 900ml</v>
      </c>
      <c r="AK2438" s="14">
        <f>VLOOKUP(E2438,Precios!Z$2:BB$941,3,FALSE)*F2438</f>
        <v>-2</v>
      </c>
      <c r="AL2438" s="17"/>
      <c r="AM2438" s="17"/>
      <c r="AN2438" s="17"/>
      <c r="AO2438" s="17"/>
      <c r="AP2438" s="17"/>
      <c r="AQ2438" s="17"/>
      <c r="AR2438" s="17"/>
      <c r="AS2438" s="17"/>
      <c r="AT2438" s="17"/>
      <c r="AU2438" s="17"/>
      <c r="AV2438" s="17"/>
    </row>
    <row r="2439" spans="1:48" ht="15.75" customHeight="1">
      <c r="A2439" s="21" t="s">
        <v>47</v>
      </c>
      <c r="B2439" s="23" t="s">
        <v>1692</v>
      </c>
      <c r="C2439" s="22">
        <v>45750</v>
      </c>
      <c r="D2439" s="23" t="s">
        <v>247</v>
      </c>
      <c r="E2439" s="23" t="s">
        <v>693</v>
      </c>
      <c r="F2439" s="21">
        <v>1</v>
      </c>
      <c r="G2439" s="12">
        <v>3600</v>
      </c>
      <c r="H2439" s="12">
        <v>3600</v>
      </c>
      <c r="I2439" s="23" t="s">
        <v>52</v>
      </c>
      <c r="J2439" s="23" t="s">
        <v>61</v>
      </c>
      <c r="K2439" s="24" t="s">
        <v>177</v>
      </c>
      <c r="L2439" s="24">
        <v>121</v>
      </c>
      <c r="M2439" s="12">
        <v>3025.2100840336134</v>
      </c>
      <c r="N2439" s="12">
        <v>3025.2100840336134</v>
      </c>
      <c r="O2439" s="12">
        <v>574.78991596638662</v>
      </c>
      <c r="P2439" s="13"/>
      <c r="Q2439" s="14">
        <v>2025</v>
      </c>
      <c r="R2439" s="15">
        <v>45383</v>
      </c>
      <c r="S2439" s="11" t="s">
        <v>694</v>
      </c>
      <c r="T2439" s="16">
        <v>0</v>
      </c>
      <c r="U2439" s="17"/>
      <c r="V2439" s="12">
        <v>898.31932773109247</v>
      </c>
      <c r="W2439" s="12">
        <v>898.31932773109247</v>
      </c>
      <c r="X2439" s="12">
        <v>0</v>
      </c>
      <c r="Y2439" s="18">
        <v>45747</v>
      </c>
      <c r="Z2439" s="13" t="s">
        <v>505</v>
      </c>
      <c r="AA2439" s="19" t="s">
        <v>361</v>
      </c>
      <c r="AB2439" s="13" t="s">
        <v>357</v>
      </c>
      <c r="AC2439" s="13" t="s">
        <v>374</v>
      </c>
      <c r="AD2439" s="20"/>
      <c r="AE2439" s="20"/>
      <c r="AF2439" s="13" t="s">
        <v>40</v>
      </c>
      <c r="AG2439" s="15">
        <v>45383</v>
      </c>
      <c r="AH2439" s="13" t="s">
        <v>41</v>
      </c>
      <c r="AI2439" s="13" t="s">
        <v>47</v>
      </c>
      <c r="AJ2439" s="13" t="str">
        <f>VLOOKUP(E2439,Precios!Z$2:AA$941,2,FALSE)</f>
        <v>Lysoform 420 cc</v>
      </c>
      <c r="AK2439" s="14">
        <f>VLOOKUP(E2439,Precios!Z$2:BB$941,3,FALSE)*F2439</f>
        <v>-1</v>
      </c>
      <c r="AL2439" s="17"/>
      <c r="AM2439" s="17"/>
      <c r="AN2439" s="17"/>
      <c r="AO2439" s="17"/>
      <c r="AP2439" s="17"/>
      <c r="AQ2439" s="17"/>
      <c r="AR2439" s="17"/>
      <c r="AS2439" s="17"/>
      <c r="AT2439" s="17"/>
      <c r="AU2439" s="17"/>
      <c r="AV2439" s="17"/>
    </row>
    <row r="2440" spans="1:48" ht="15.75" customHeight="1">
      <c r="A2440" s="21" t="s">
        <v>47</v>
      </c>
      <c r="B2440" s="23" t="s">
        <v>1692</v>
      </c>
      <c r="C2440" s="22">
        <v>45750</v>
      </c>
      <c r="D2440" s="23" t="s">
        <v>247</v>
      </c>
      <c r="E2440" s="23" t="s">
        <v>251</v>
      </c>
      <c r="F2440" s="21">
        <v>1</v>
      </c>
      <c r="G2440" s="12">
        <v>4199.9016948855005</v>
      </c>
      <c r="H2440" s="12">
        <v>4199.9016948855005</v>
      </c>
      <c r="I2440" s="23" t="s">
        <v>52</v>
      </c>
      <c r="J2440" s="23" t="s">
        <v>61</v>
      </c>
      <c r="K2440" s="24" t="s">
        <v>177</v>
      </c>
      <c r="L2440" s="24">
        <v>121</v>
      </c>
      <c r="M2440" s="12">
        <v>3529.3291553659669</v>
      </c>
      <c r="N2440" s="12">
        <v>3529.3291553659669</v>
      </c>
      <c r="O2440" s="12">
        <v>670.57253951953362</v>
      </c>
      <c r="P2440" s="13"/>
      <c r="Q2440" s="14">
        <v>2025</v>
      </c>
      <c r="R2440" s="15">
        <v>45383</v>
      </c>
      <c r="S2440" s="11" t="s">
        <v>621</v>
      </c>
      <c r="T2440" s="16">
        <v>0</v>
      </c>
      <c r="U2440" s="17"/>
      <c r="V2440" s="12">
        <v>848.66248869930041</v>
      </c>
      <c r="W2440" s="12">
        <v>848.66248869930041</v>
      </c>
      <c r="X2440" s="12">
        <v>0</v>
      </c>
      <c r="Y2440" s="18">
        <v>45747</v>
      </c>
      <c r="Z2440" s="13" t="s">
        <v>505</v>
      </c>
      <c r="AA2440" s="19" t="s">
        <v>361</v>
      </c>
      <c r="AB2440" s="13" t="s">
        <v>357</v>
      </c>
      <c r="AC2440" s="13" t="s">
        <v>374</v>
      </c>
      <c r="AD2440" s="20"/>
      <c r="AE2440" s="20"/>
      <c r="AF2440" s="13" t="s">
        <v>40</v>
      </c>
      <c r="AG2440" s="15">
        <v>45383</v>
      </c>
      <c r="AH2440" s="13" t="s">
        <v>41</v>
      </c>
      <c r="AI2440" s="13" t="s">
        <v>47</v>
      </c>
      <c r="AJ2440" s="13" t="str">
        <f>VLOOKUP(E2440,Precios!Z$2:AA$941,2,FALSE)</f>
        <v>Insecticida RAID 360 cc Casa Jardin (Naranjo)</v>
      </c>
      <c r="AK2440" s="14">
        <f>VLOOKUP(E2440,Precios!Z$2:BB$941,3,FALSE)*F2440</f>
        <v>-1</v>
      </c>
      <c r="AL2440" s="17"/>
      <c r="AM2440" s="17"/>
      <c r="AN2440" s="17"/>
      <c r="AO2440" s="17"/>
      <c r="AP2440" s="17"/>
      <c r="AQ2440" s="17"/>
      <c r="AR2440" s="17"/>
      <c r="AS2440" s="17"/>
      <c r="AT2440" s="17"/>
      <c r="AU2440" s="17"/>
      <c r="AV2440" s="17"/>
    </row>
    <row r="2441" spans="1:48" ht="15.75" customHeight="1">
      <c r="A2441" s="21" t="s">
        <v>47</v>
      </c>
      <c r="B2441" s="23" t="s">
        <v>1692</v>
      </c>
      <c r="C2441" s="22">
        <v>45750</v>
      </c>
      <c r="D2441" s="23" t="s">
        <v>247</v>
      </c>
      <c r="E2441" s="23" t="s">
        <v>255</v>
      </c>
      <c r="F2441" s="21">
        <v>3</v>
      </c>
      <c r="G2441" s="12">
        <v>1800</v>
      </c>
      <c r="H2441" s="12">
        <v>5400</v>
      </c>
      <c r="I2441" s="23" t="s">
        <v>52</v>
      </c>
      <c r="J2441" s="23" t="s">
        <v>61</v>
      </c>
      <c r="K2441" s="24" t="s">
        <v>177</v>
      </c>
      <c r="L2441" s="24">
        <v>121</v>
      </c>
      <c r="M2441" s="12">
        <v>1512.6050420168067</v>
      </c>
      <c r="N2441" s="12">
        <v>4537.8151260504201</v>
      </c>
      <c r="O2441" s="12">
        <v>862.18487394957992</v>
      </c>
      <c r="P2441" s="13"/>
      <c r="Q2441" s="14">
        <v>2025</v>
      </c>
      <c r="R2441" s="15">
        <v>45383</v>
      </c>
      <c r="S2441" s="11" t="s">
        <v>414</v>
      </c>
      <c r="T2441" s="16">
        <v>0</v>
      </c>
      <c r="U2441" s="17"/>
      <c r="V2441" s="12">
        <v>1593.2773109243694</v>
      </c>
      <c r="W2441" s="12">
        <v>1593.2773109243694</v>
      </c>
      <c r="X2441" s="12">
        <v>0</v>
      </c>
      <c r="Y2441" s="18">
        <v>45747</v>
      </c>
      <c r="Z2441" s="13" t="s">
        <v>505</v>
      </c>
      <c r="AA2441" s="19" t="s">
        <v>361</v>
      </c>
      <c r="AB2441" s="13" t="s">
        <v>357</v>
      </c>
      <c r="AC2441" s="13" t="s">
        <v>374</v>
      </c>
      <c r="AD2441" s="20"/>
      <c r="AE2441" s="20"/>
      <c r="AF2441" s="13" t="s">
        <v>40</v>
      </c>
      <c r="AG2441" s="15">
        <v>45383</v>
      </c>
      <c r="AH2441" s="13" t="s">
        <v>41</v>
      </c>
      <c r="AI2441" s="13" t="s">
        <v>47</v>
      </c>
      <c r="AJ2441" s="13" t="str">
        <f>VLOOKUP(E2441,Precios!Z$2:AA$941,2,FALSE)</f>
        <v>Toalla desinfectante VIRUTEX 30 unidades</v>
      </c>
      <c r="AK2441" s="14">
        <f>VLOOKUP(E2441,Precios!Z$2:BB$941,3,FALSE)*F2441</f>
        <v>-3</v>
      </c>
      <c r="AL2441" s="17"/>
      <c r="AM2441" s="17"/>
      <c r="AN2441" s="17"/>
      <c r="AO2441" s="17"/>
      <c r="AP2441" s="17"/>
      <c r="AQ2441" s="17"/>
      <c r="AR2441" s="17"/>
      <c r="AS2441" s="17"/>
      <c r="AT2441" s="17"/>
      <c r="AU2441" s="17"/>
      <c r="AV2441" s="17"/>
    </row>
    <row r="2442" spans="1:48" ht="15.75" customHeight="1">
      <c r="A2442" s="21" t="s">
        <v>53</v>
      </c>
      <c r="B2442" s="23" t="s">
        <v>1692</v>
      </c>
      <c r="C2442" s="22">
        <v>45750</v>
      </c>
      <c r="D2442" s="23" t="s">
        <v>346</v>
      </c>
      <c r="E2442" s="23" t="s">
        <v>55</v>
      </c>
      <c r="F2442" s="21">
        <v>1</v>
      </c>
      <c r="G2442" s="12">
        <v>19989.738327347361</v>
      </c>
      <c r="H2442" s="12">
        <v>19989.738327347361</v>
      </c>
      <c r="I2442" s="23" t="s">
        <v>52</v>
      </c>
      <c r="J2442" s="23" t="s">
        <v>61</v>
      </c>
      <c r="K2442" s="24" t="s">
        <v>177</v>
      </c>
      <c r="L2442" s="24">
        <v>121</v>
      </c>
      <c r="M2442" s="12">
        <v>16798.099434745684</v>
      </c>
      <c r="N2442" s="12">
        <v>16798.099434745684</v>
      </c>
      <c r="O2442" s="12">
        <v>3191.6388926016771</v>
      </c>
      <c r="P2442" s="13"/>
      <c r="Q2442" s="14">
        <v>2025</v>
      </c>
      <c r="R2442" s="15">
        <v>45383</v>
      </c>
      <c r="S2442" s="11" t="s">
        <v>366</v>
      </c>
      <c r="T2442" s="16">
        <v>0</v>
      </c>
      <c r="U2442" s="17"/>
      <c r="V2442" s="12">
        <v>3702.3011154179476</v>
      </c>
      <c r="W2442" s="12">
        <v>3702.3011154179476</v>
      </c>
      <c r="X2442" s="12">
        <v>0</v>
      </c>
      <c r="Y2442" s="18">
        <v>45747</v>
      </c>
      <c r="Z2442" s="13" t="s">
        <v>505</v>
      </c>
      <c r="AA2442" s="19" t="s">
        <v>373</v>
      </c>
      <c r="AB2442" s="13" t="s">
        <v>357</v>
      </c>
      <c r="AC2442" s="13" t="s">
        <v>522</v>
      </c>
      <c r="AD2442" s="20"/>
      <c r="AE2442" s="20"/>
      <c r="AF2442" s="13" t="s">
        <v>40</v>
      </c>
      <c r="AG2442" s="15">
        <v>45383</v>
      </c>
      <c r="AH2442" s="13" t="s">
        <v>41</v>
      </c>
      <c r="AI2442" s="13" t="s">
        <v>53</v>
      </c>
      <c r="AJ2442" s="13" t="str">
        <f>VLOOKUP(E2442,Precios!Z$2:AA$941,2,FALSE)</f>
        <v>Papel Higienico ELITE 50 metros</v>
      </c>
      <c r="AK2442" s="14">
        <f>VLOOKUP(E2442,Precios!Z$2:BB$941,3,FALSE)*F2442</f>
        <v>-8</v>
      </c>
      <c r="AL2442" s="17"/>
      <c r="AM2442" s="17"/>
      <c r="AN2442" s="17"/>
      <c r="AO2442" s="17"/>
      <c r="AP2442" s="17"/>
      <c r="AQ2442" s="17"/>
      <c r="AR2442" s="17"/>
      <c r="AS2442" s="17"/>
      <c r="AT2442" s="17"/>
      <c r="AU2442" s="17"/>
      <c r="AV2442" s="17"/>
    </row>
    <row r="2443" spans="1:48" ht="15.75" customHeight="1">
      <c r="A2443" s="21" t="s">
        <v>53</v>
      </c>
      <c r="B2443" s="23" t="s">
        <v>1692</v>
      </c>
      <c r="C2443" s="22">
        <v>45750</v>
      </c>
      <c r="D2443" s="23" t="s">
        <v>346</v>
      </c>
      <c r="E2443" s="23" t="s">
        <v>136</v>
      </c>
      <c r="F2443" s="21">
        <v>1</v>
      </c>
      <c r="G2443" s="12">
        <v>14900.292682926829</v>
      </c>
      <c r="H2443" s="12">
        <v>14900.292682926829</v>
      </c>
      <c r="I2443" s="23" t="s">
        <v>52</v>
      </c>
      <c r="J2443" s="23" t="s">
        <v>61</v>
      </c>
      <c r="K2443" s="24" t="s">
        <v>177</v>
      </c>
      <c r="L2443" s="24">
        <v>121</v>
      </c>
      <c r="M2443" s="12">
        <v>12521.254355400697</v>
      </c>
      <c r="N2443" s="12">
        <v>12521.254355400697</v>
      </c>
      <c r="O2443" s="12">
        <v>2379.038327526132</v>
      </c>
      <c r="P2443" s="13"/>
      <c r="Q2443" s="14">
        <v>2025</v>
      </c>
      <c r="R2443" s="15">
        <v>45383</v>
      </c>
      <c r="S2443" s="11" t="s">
        <v>410</v>
      </c>
      <c r="T2443" s="16">
        <v>0</v>
      </c>
      <c r="U2443" s="17"/>
      <c r="V2443" s="12">
        <v>3537.254355400697</v>
      </c>
      <c r="W2443" s="12">
        <v>3537.254355400697</v>
      </c>
      <c r="X2443" s="12">
        <v>0</v>
      </c>
      <c r="Y2443" s="18">
        <v>45747</v>
      </c>
      <c r="Z2443" s="13" t="s">
        <v>505</v>
      </c>
      <c r="AA2443" s="19" t="s">
        <v>373</v>
      </c>
      <c r="AB2443" s="13" t="s">
        <v>357</v>
      </c>
      <c r="AC2443" s="13" t="s">
        <v>522</v>
      </c>
      <c r="AD2443" s="20"/>
      <c r="AE2443" s="20"/>
      <c r="AF2443" s="13" t="s">
        <v>40</v>
      </c>
      <c r="AG2443" s="15">
        <v>45383</v>
      </c>
      <c r="AH2443" s="13" t="s">
        <v>41</v>
      </c>
      <c r="AI2443" s="13" t="s">
        <v>53</v>
      </c>
      <c r="AJ2443" s="13" t="str">
        <f>VLOOKUP(E2443,Precios!Z$2:AA$941,2,FALSE)</f>
        <v>Toalla Papel NOVA 26 metros</v>
      </c>
      <c r="AK2443" s="14">
        <f>VLOOKUP(E2443,Precios!Z$2:BB$941,3,FALSE)*F2443</f>
        <v>-8</v>
      </c>
      <c r="AL2443" s="17"/>
      <c r="AM2443" s="17"/>
      <c r="AN2443" s="17"/>
      <c r="AO2443" s="17"/>
      <c r="AP2443" s="17"/>
      <c r="AQ2443" s="17"/>
      <c r="AR2443" s="17"/>
      <c r="AS2443" s="17"/>
      <c r="AT2443" s="17"/>
      <c r="AU2443" s="17"/>
      <c r="AV2443" s="17"/>
    </row>
    <row r="2444" spans="1:48" ht="15.75" customHeight="1">
      <c r="A2444" s="21" t="s">
        <v>35</v>
      </c>
      <c r="B2444" s="23" t="s">
        <v>1692</v>
      </c>
      <c r="C2444" s="22">
        <v>45749</v>
      </c>
      <c r="D2444" s="23" t="s">
        <v>124</v>
      </c>
      <c r="E2444" s="23" t="s">
        <v>37</v>
      </c>
      <c r="F2444" s="21">
        <v>1</v>
      </c>
      <c r="G2444" s="12">
        <v>10500</v>
      </c>
      <c r="H2444" s="12">
        <v>10500</v>
      </c>
      <c r="I2444" s="23" t="s">
        <v>52</v>
      </c>
      <c r="J2444" s="23" t="s">
        <v>61</v>
      </c>
      <c r="K2444" s="24" t="s">
        <v>177</v>
      </c>
      <c r="L2444" s="24">
        <v>121</v>
      </c>
      <c r="M2444" s="12">
        <v>8823.5294117647063</v>
      </c>
      <c r="N2444" s="12">
        <v>8823.5294117647063</v>
      </c>
      <c r="O2444" s="12">
        <v>1676.4705882352937</v>
      </c>
      <c r="P2444" s="13"/>
      <c r="Q2444" s="14">
        <v>2025</v>
      </c>
      <c r="R2444" s="15">
        <v>45383</v>
      </c>
      <c r="S2444" s="11" t="s">
        <v>364</v>
      </c>
      <c r="T2444" s="16">
        <v>1000</v>
      </c>
      <c r="U2444" s="17"/>
      <c r="V2444" s="12">
        <v>2385.7142857142853</v>
      </c>
      <c r="W2444" s="12">
        <v>2385.7142857142853</v>
      </c>
      <c r="X2444" s="12">
        <v>0</v>
      </c>
      <c r="Y2444" s="18">
        <v>45747</v>
      </c>
      <c r="Z2444" s="13" t="s">
        <v>515</v>
      </c>
      <c r="AA2444" s="19" t="s">
        <v>356</v>
      </c>
      <c r="AB2444" s="13" t="s">
        <v>357</v>
      </c>
      <c r="AC2444" s="13" t="s">
        <v>383</v>
      </c>
      <c r="AD2444" s="20"/>
      <c r="AE2444" s="20"/>
      <c r="AF2444" s="13" t="s">
        <v>40</v>
      </c>
      <c r="AG2444" s="15">
        <v>45383</v>
      </c>
      <c r="AH2444" s="13" t="s">
        <v>41</v>
      </c>
      <c r="AI2444" s="13" t="s">
        <v>35</v>
      </c>
      <c r="AJ2444" s="13" t="str">
        <f>VLOOKUP(E2444,Precios!Z$2:AA$941,2,FALSE)</f>
        <v>Queso RUNCA Mantecoso</v>
      </c>
      <c r="AK2444" s="14">
        <f>VLOOKUP(E2444,Precios!Z$2:BB$941,3,FALSE)*F2444</f>
        <v>-1</v>
      </c>
      <c r="AL2444" s="17"/>
      <c r="AM2444" s="17"/>
      <c r="AN2444" s="17"/>
      <c r="AO2444" s="17"/>
      <c r="AP2444" s="17"/>
      <c r="AQ2444" s="17"/>
      <c r="AR2444" s="17"/>
      <c r="AS2444" s="17"/>
      <c r="AT2444" s="17"/>
      <c r="AU2444" s="17"/>
      <c r="AV2444" s="17"/>
    </row>
    <row r="2445" spans="1:48" ht="15.75" customHeight="1">
      <c r="A2445" s="21" t="s">
        <v>43</v>
      </c>
      <c r="B2445" s="23" t="s">
        <v>1692</v>
      </c>
      <c r="C2445" s="22">
        <v>45749</v>
      </c>
      <c r="D2445" s="23" t="s">
        <v>622</v>
      </c>
      <c r="E2445" s="23" t="s">
        <v>45</v>
      </c>
      <c r="F2445" s="21">
        <v>1</v>
      </c>
      <c r="G2445" s="12">
        <v>8299.7854333055202</v>
      </c>
      <c r="H2445" s="12">
        <v>8299.7854333055202</v>
      </c>
      <c r="I2445" s="23" t="s">
        <v>52</v>
      </c>
      <c r="J2445" s="23" t="s">
        <v>61</v>
      </c>
      <c r="K2445" s="24" t="s">
        <v>177</v>
      </c>
      <c r="L2445" s="24">
        <v>121</v>
      </c>
      <c r="M2445" s="12">
        <v>6974.6096078197652</v>
      </c>
      <c r="N2445" s="12">
        <v>6974.6096078197652</v>
      </c>
      <c r="O2445" s="12">
        <v>1325.175825485755</v>
      </c>
      <c r="P2445" s="13"/>
      <c r="Q2445" s="14">
        <v>2025</v>
      </c>
      <c r="R2445" s="15">
        <v>45383</v>
      </c>
      <c r="S2445" s="11" t="s">
        <v>355</v>
      </c>
      <c r="T2445" s="16">
        <v>0</v>
      </c>
      <c r="U2445" s="17"/>
      <c r="V2445" s="12">
        <v>1123.6096078197643</v>
      </c>
      <c r="W2445" s="12">
        <v>1123.6096078197643</v>
      </c>
      <c r="X2445" s="12">
        <v>0</v>
      </c>
      <c r="Y2445" s="18">
        <v>45747</v>
      </c>
      <c r="Z2445" s="13" t="s">
        <v>515</v>
      </c>
      <c r="AA2445" s="19" t="s">
        <v>373</v>
      </c>
      <c r="AB2445" s="13" t="s">
        <v>357</v>
      </c>
      <c r="AC2445" s="13" t="s">
        <v>623</v>
      </c>
      <c r="AD2445" s="20"/>
      <c r="AE2445" s="20"/>
      <c r="AF2445" s="13" t="s">
        <v>40</v>
      </c>
      <c r="AG2445" s="15">
        <v>45383</v>
      </c>
      <c r="AH2445" s="13" t="s">
        <v>41</v>
      </c>
      <c r="AI2445" s="13" t="s">
        <v>43</v>
      </c>
      <c r="AJ2445" s="13" t="str">
        <f>VLOOKUP(E2445,Precios!Z$2:AA$941,2,FALSE)</f>
        <v>Bandeja Huevos EXTRA</v>
      </c>
      <c r="AK2445" s="14">
        <f>VLOOKUP(E2445,Precios!Z$2:BB$941,3,FALSE)*F2445</f>
        <v>-1</v>
      </c>
      <c r="AL2445" s="17"/>
      <c r="AM2445" s="17"/>
      <c r="AN2445" s="17"/>
      <c r="AO2445" s="17"/>
      <c r="AP2445" s="17"/>
      <c r="AQ2445" s="17"/>
      <c r="AR2445" s="17"/>
      <c r="AS2445" s="17"/>
      <c r="AT2445" s="17"/>
      <c r="AU2445" s="17"/>
      <c r="AV2445" s="17"/>
    </row>
    <row r="2446" spans="1:48" ht="15.75" customHeight="1">
      <c r="A2446" s="21" t="s">
        <v>53</v>
      </c>
      <c r="B2446" s="23" t="s">
        <v>1692</v>
      </c>
      <c r="C2446" s="22">
        <v>45749</v>
      </c>
      <c r="D2446" s="23" t="s">
        <v>229</v>
      </c>
      <c r="E2446" s="23" t="s">
        <v>97</v>
      </c>
      <c r="F2446" s="21">
        <v>1</v>
      </c>
      <c r="G2446" s="12">
        <v>15500.298388701016</v>
      </c>
      <c r="H2446" s="12">
        <v>15500.298388701016</v>
      </c>
      <c r="I2446" s="23" t="s">
        <v>52</v>
      </c>
      <c r="J2446" s="23" t="s">
        <v>61</v>
      </c>
      <c r="K2446" s="24" t="s">
        <v>177</v>
      </c>
      <c r="L2446" s="24">
        <v>121</v>
      </c>
      <c r="M2446" s="12">
        <v>13025.46083084119</v>
      </c>
      <c r="N2446" s="12">
        <v>13025.46083084119</v>
      </c>
      <c r="O2446" s="12">
        <v>2474.8375578598261</v>
      </c>
      <c r="P2446" s="13"/>
      <c r="Q2446" s="14">
        <v>2025</v>
      </c>
      <c r="R2446" s="15">
        <v>45383</v>
      </c>
      <c r="S2446" s="11" t="s">
        <v>366</v>
      </c>
      <c r="T2446" s="16">
        <v>0</v>
      </c>
      <c r="U2446" s="17"/>
      <c r="V2446" s="12">
        <v>3203.6120913453906</v>
      </c>
      <c r="W2446" s="12">
        <v>3203.6120913453906</v>
      </c>
      <c r="X2446" s="12">
        <v>0</v>
      </c>
      <c r="Y2446" s="18">
        <v>45747</v>
      </c>
      <c r="Z2446" s="13" t="s">
        <v>515</v>
      </c>
      <c r="AA2446" s="19" t="s">
        <v>361</v>
      </c>
      <c r="AB2446" s="13" t="s">
        <v>357</v>
      </c>
      <c r="AC2446" s="13" t="s">
        <v>380</v>
      </c>
      <c r="AD2446" s="20"/>
      <c r="AE2446" s="20"/>
      <c r="AF2446" s="13" t="s">
        <v>40</v>
      </c>
      <c r="AG2446" s="15">
        <v>45383</v>
      </c>
      <c r="AH2446" s="13" t="s">
        <v>41</v>
      </c>
      <c r="AI2446" s="13" t="s">
        <v>53</v>
      </c>
      <c r="AJ2446" s="13" t="str">
        <f>VLOOKUP(E2446,Precios!Z$2:AA$941,2,FALSE)</f>
        <v>Papel Higienico ELITE 50 metros</v>
      </c>
      <c r="AK2446" s="14">
        <f>VLOOKUP(E2446,Precios!Z$2:BB$941,3,FALSE)*F2446</f>
        <v>-6</v>
      </c>
      <c r="AL2446" s="17"/>
      <c r="AM2446" s="17"/>
      <c r="AN2446" s="17"/>
      <c r="AO2446" s="17"/>
      <c r="AP2446" s="17"/>
      <c r="AQ2446" s="17"/>
      <c r="AR2446" s="17"/>
      <c r="AS2446" s="17"/>
      <c r="AT2446" s="17"/>
      <c r="AU2446" s="17"/>
      <c r="AV2446" s="17"/>
    </row>
    <row r="2447" spans="1:48" ht="15.75" customHeight="1">
      <c r="A2447" s="21" t="s">
        <v>53</v>
      </c>
      <c r="B2447" s="23" t="s">
        <v>1692</v>
      </c>
      <c r="C2447" s="22">
        <v>45749</v>
      </c>
      <c r="D2447" s="23" t="s">
        <v>498</v>
      </c>
      <c r="E2447" s="23" t="s">
        <v>114</v>
      </c>
      <c r="F2447" s="21">
        <v>1</v>
      </c>
      <c r="G2447" s="12">
        <v>10500</v>
      </c>
      <c r="H2447" s="12">
        <v>10500</v>
      </c>
      <c r="I2447" s="23" t="s">
        <v>52</v>
      </c>
      <c r="J2447" s="23" t="s">
        <v>61</v>
      </c>
      <c r="K2447" s="24" t="s">
        <v>177</v>
      </c>
      <c r="L2447" s="24">
        <v>121</v>
      </c>
      <c r="M2447" s="12">
        <v>8823.5294117647063</v>
      </c>
      <c r="N2447" s="12">
        <v>8823.5294117647063</v>
      </c>
      <c r="O2447" s="12">
        <v>1676.4705882352937</v>
      </c>
      <c r="P2447" s="13"/>
      <c r="Q2447" s="14">
        <v>2025</v>
      </c>
      <c r="R2447" s="15">
        <v>45383</v>
      </c>
      <c r="S2447" s="11" t="s">
        <v>369</v>
      </c>
      <c r="T2447" s="16">
        <v>0</v>
      </c>
      <c r="U2447" s="17"/>
      <c r="V2447" s="12">
        <v>2403.3613445378151</v>
      </c>
      <c r="W2447" s="12">
        <v>2403.3613445378151</v>
      </c>
      <c r="X2447" s="12">
        <v>0</v>
      </c>
      <c r="Y2447" s="18">
        <v>45747</v>
      </c>
      <c r="Z2447" s="13" t="s">
        <v>515</v>
      </c>
      <c r="AA2447" s="19" t="s">
        <v>373</v>
      </c>
      <c r="AB2447" s="13" t="s">
        <v>357</v>
      </c>
      <c r="AC2447" s="13" t="s">
        <v>500</v>
      </c>
      <c r="AD2447" s="20"/>
      <c r="AE2447" s="20"/>
      <c r="AF2447" s="13" t="s">
        <v>40</v>
      </c>
      <c r="AG2447" s="15">
        <v>45383</v>
      </c>
      <c r="AH2447" s="13" t="s">
        <v>41</v>
      </c>
      <c r="AI2447" s="13" t="s">
        <v>53</v>
      </c>
      <c r="AJ2447" s="13" t="str">
        <f>VLOOKUP(E2447,Precios!Z$2:AA$941,2,FALSE)</f>
        <v>Toalla Papel NOVA 12 metros</v>
      </c>
      <c r="AK2447" s="14">
        <f>VLOOKUP(E2447,Precios!Z$2:BB$941,3,FALSE)*F2447</f>
        <v>-8</v>
      </c>
      <c r="AL2447" s="17"/>
      <c r="AM2447" s="17"/>
      <c r="AN2447" s="17"/>
      <c r="AO2447" s="17"/>
      <c r="AP2447" s="17"/>
      <c r="AQ2447" s="17"/>
      <c r="AR2447" s="17"/>
      <c r="AS2447" s="17"/>
      <c r="AT2447" s="17"/>
      <c r="AU2447" s="17"/>
      <c r="AV2447" s="17"/>
    </row>
    <row r="2448" spans="1:48" ht="15.75" customHeight="1">
      <c r="A2448" s="21" t="s">
        <v>53</v>
      </c>
      <c r="B2448" s="23" t="s">
        <v>1692</v>
      </c>
      <c r="C2448" s="22">
        <v>45749</v>
      </c>
      <c r="D2448" s="23" t="s">
        <v>498</v>
      </c>
      <c r="E2448" s="23" t="s">
        <v>55</v>
      </c>
      <c r="F2448" s="21">
        <v>1</v>
      </c>
      <c r="G2448" s="12">
        <v>19989.738327347361</v>
      </c>
      <c r="H2448" s="12">
        <v>19989.738327347361</v>
      </c>
      <c r="I2448" s="23" t="s">
        <v>52</v>
      </c>
      <c r="J2448" s="23" t="s">
        <v>61</v>
      </c>
      <c r="K2448" s="24" t="s">
        <v>177</v>
      </c>
      <c r="L2448" s="24">
        <v>121</v>
      </c>
      <c r="M2448" s="12">
        <v>16798.099434745684</v>
      </c>
      <c r="N2448" s="12">
        <v>16798.099434745684</v>
      </c>
      <c r="O2448" s="12">
        <v>3191.6388926016771</v>
      </c>
      <c r="P2448" s="13"/>
      <c r="Q2448" s="14">
        <v>2025</v>
      </c>
      <c r="R2448" s="15">
        <v>45383</v>
      </c>
      <c r="S2448" s="11" t="s">
        <v>366</v>
      </c>
      <c r="T2448" s="16">
        <v>0</v>
      </c>
      <c r="U2448" s="17"/>
      <c r="V2448" s="12">
        <v>3702.3011154179476</v>
      </c>
      <c r="W2448" s="12">
        <v>3702.3011154179476</v>
      </c>
      <c r="X2448" s="12">
        <v>0</v>
      </c>
      <c r="Y2448" s="18">
        <v>45747</v>
      </c>
      <c r="Z2448" s="13" t="s">
        <v>515</v>
      </c>
      <c r="AA2448" s="19" t="s">
        <v>373</v>
      </c>
      <c r="AB2448" s="13" t="s">
        <v>357</v>
      </c>
      <c r="AC2448" s="13" t="s">
        <v>500</v>
      </c>
      <c r="AD2448" s="20"/>
      <c r="AE2448" s="20"/>
      <c r="AF2448" s="13" t="s">
        <v>40</v>
      </c>
      <c r="AG2448" s="15">
        <v>45383</v>
      </c>
      <c r="AH2448" s="13" t="s">
        <v>41</v>
      </c>
      <c r="AI2448" s="13" t="s">
        <v>53</v>
      </c>
      <c r="AJ2448" s="13" t="str">
        <f>VLOOKUP(E2448,Precios!Z$2:AA$941,2,FALSE)</f>
        <v>Papel Higienico ELITE 50 metros</v>
      </c>
      <c r="AK2448" s="14">
        <f>VLOOKUP(E2448,Precios!Z$2:BB$941,3,FALSE)*F2448</f>
        <v>-8</v>
      </c>
      <c r="AL2448" s="17"/>
      <c r="AM2448" s="17"/>
      <c r="AN2448" s="17"/>
      <c r="AO2448" s="17"/>
      <c r="AP2448" s="17"/>
      <c r="AQ2448" s="17"/>
      <c r="AR2448" s="17"/>
      <c r="AS2448" s="17"/>
      <c r="AT2448" s="17"/>
      <c r="AU2448" s="17"/>
      <c r="AV2448" s="17"/>
    </row>
    <row r="2449" spans="1:48" ht="15.75" customHeight="1">
      <c r="A2449" s="21" t="s">
        <v>53</v>
      </c>
      <c r="B2449" s="23" t="s">
        <v>1692</v>
      </c>
      <c r="C2449" s="22">
        <v>45749</v>
      </c>
      <c r="D2449" s="23" t="s">
        <v>68</v>
      </c>
      <c r="E2449" s="23" t="s">
        <v>55</v>
      </c>
      <c r="F2449" s="21">
        <v>1</v>
      </c>
      <c r="G2449" s="12">
        <v>19989.738327347361</v>
      </c>
      <c r="H2449" s="12">
        <v>19989.738327347361</v>
      </c>
      <c r="I2449" s="23" t="s">
        <v>52</v>
      </c>
      <c r="J2449" s="23" t="s">
        <v>61</v>
      </c>
      <c r="K2449" s="24" t="s">
        <v>86</v>
      </c>
      <c r="L2449" s="24">
        <v>69</v>
      </c>
      <c r="M2449" s="12">
        <v>16798.099434745684</v>
      </c>
      <c r="N2449" s="12">
        <v>16798.099434745684</v>
      </c>
      <c r="O2449" s="12">
        <v>3191.6388926016771</v>
      </c>
      <c r="P2449" s="13"/>
      <c r="Q2449" s="14">
        <v>2025</v>
      </c>
      <c r="R2449" s="15">
        <v>45383</v>
      </c>
      <c r="S2449" s="11" t="s">
        <v>366</v>
      </c>
      <c r="T2449" s="16">
        <v>0</v>
      </c>
      <c r="U2449" s="17"/>
      <c r="V2449" s="12">
        <v>3702.3011154179476</v>
      </c>
      <c r="W2449" s="12">
        <v>3702.3011154179476</v>
      </c>
      <c r="X2449" s="12">
        <v>0</v>
      </c>
      <c r="Y2449" s="18">
        <v>45747</v>
      </c>
      <c r="Z2449" s="13" t="s">
        <v>515</v>
      </c>
      <c r="AA2449" s="19" t="s">
        <v>361</v>
      </c>
      <c r="AB2449" s="13" t="s">
        <v>394</v>
      </c>
      <c r="AC2449" s="13" t="s">
        <v>383</v>
      </c>
      <c r="AD2449" s="20"/>
      <c r="AE2449" s="20"/>
      <c r="AF2449" s="13" t="s">
        <v>40</v>
      </c>
      <c r="AG2449" s="15">
        <v>45383</v>
      </c>
      <c r="AH2449" s="13" t="s">
        <v>41</v>
      </c>
      <c r="AI2449" s="13" t="s">
        <v>53</v>
      </c>
      <c r="AJ2449" s="13" t="str">
        <f>VLOOKUP(E2449,Precios!Z$2:AA$941,2,FALSE)</f>
        <v>Papel Higienico ELITE 50 metros</v>
      </c>
      <c r="AK2449" s="14">
        <f>VLOOKUP(E2449,Precios!Z$2:BB$941,3,FALSE)*F2449</f>
        <v>-8</v>
      </c>
      <c r="AL2449" s="17"/>
      <c r="AM2449" s="17"/>
      <c r="AN2449" s="17"/>
      <c r="AO2449" s="17"/>
      <c r="AP2449" s="17"/>
      <c r="AQ2449" s="17"/>
      <c r="AR2449" s="17"/>
      <c r="AS2449" s="17"/>
      <c r="AT2449" s="17"/>
      <c r="AU2449" s="17"/>
      <c r="AV2449" s="17"/>
    </row>
    <row r="2450" spans="1:48" ht="15.75" customHeight="1">
      <c r="A2450" s="21" t="s">
        <v>53</v>
      </c>
      <c r="B2450" s="23" t="s">
        <v>1692</v>
      </c>
      <c r="C2450" s="22">
        <v>45749</v>
      </c>
      <c r="D2450" s="23" t="s">
        <v>68</v>
      </c>
      <c r="E2450" s="23" t="s">
        <v>109</v>
      </c>
      <c r="F2450" s="21">
        <v>1</v>
      </c>
      <c r="G2450" s="12">
        <v>10000</v>
      </c>
      <c r="H2450" s="12">
        <v>10000</v>
      </c>
      <c r="I2450" s="23" t="s">
        <v>52</v>
      </c>
      <c r="J2450" s="23" t="s">
        <v>61</v>
      </c>
      <c r="K2450" s="24" t="s">
        <v>86</v>
      </c>
      <c r="L2450" s="24">
        <v>69</v>
      </c>
      <c r="M2450" s="12">
        <v>8403.361344537816</v>
      </c>
      <c r="N2450" s="12">
        <v>8403.361344537816</v>
      </c>
      <c r="O2450" s="12">
        <v>1596.638655462184</v>
      </c>
      <c r="P2450" s="13"/>
      <c r="Q2450" s="14">
        <v>2025</v>
      </c>
      <c r="R2450" s="15">
        <v>45383</v>
      </c>
      <c r="S2450" s="11" t="s">
        <v>395</v>
      </c>
      <c r="T2450" s="16">
        <v>400</v>
      </c>
      <c r="U2450" s="17"/>
      <c r="V2450" s="12">
        <v>2100.8403361344544</v>
      </c>
      <c r="W2450" s="12">
        <v>2100.8403361344544</v>
      </c>
      <c r="X2450" s="12">
        <v>0</v>
      </c>
      <c r="Y2450" s="18">
        <v>45747</v>
      </c>
      <c r="Z2450" s="13" t="s">
        <v>515</v>
      </c>
      <c r="AA2450" s="19" t="s">
        <v>361</v>
      </c>
      <c r="AB2450" s="13" t="s">
        <v>394</v>
      </c>
      <c r="AC2450" s="13" t="s">
        <v>383</v>
      </c>
      <c r="AD2450" s="20"/>
      <c r="AE2450" s="20"/>
      <c r="AF2450" s="13" t="s">
        <v>40</v>
      </c>
      <c r="AG2450" s="15">
        <v>45383</v>
      </c>
      <c r="AH2450" s="13" t="s">
        <v>41</v>
      </c>
      <c r="AI2450" s="13" t="s">
        <v>53</v>
      </c>
      <c r="AJ2450" s="13" t="str">
        <f>VLOOKUP(E2450,Precios!Z$2:AA$941,2,FALSE)</f>
        <v>Toalla Papel SPUM D/H 100 metros</v>
      </c>
      <c r="AK2450" s="14">
        <f>VLOOKUP(E2450,Precios!Z$2:BB$941,3,FALSE)*F2450</f>
        <v>-4</v>
      </c>
      <c r="AL2450" s="17"/>
      <c r="AM2450" s="17"/>
      <c r="AN2450" s="17"/>
      <c r="AO2450" s="17"/>
      <c r="AP2450" s="17"/>
      <c r="AQ2450" s="17"/>
      <c r="AR2450" s="17"/>
      <c r="AS2450" s="17"/>
      <c r="AT2450" s="17"/>
      <c r="AU2450" s="17"/>
      <c r="AV2450" s="17"/>
    </row>
    <row r="2451" spans="1:48" ht="15.75" customHeight="1">
      <c r="A2451" s="21" t="s">
        <v>47</v>
      </c>
      <c r="B2451" s="23" t="s">
        <v>1692</v>
      </c>
      <c r="C2451" s="22">
        <v>45749</v>
      </c>
      <c r="D2451" s="23" t="s">
        <v>68</v>
      </c>
      <c r="E2451" s="23" t="s">
        <v>306</v>
      </c>
      <c r="F2451" s="21">
        <v>1</v>
      </c>
      <c r="G2451" s="12">
        <v>8000.0000000000009</v>
      </c>
      <c r="H2451" s="12">
        <v>8000.0000000000009</v>
      </c>
      <c r="I2451" s="23" t="s">
        <v>52</v>
      </c>
      <c r="J2451" s="23" t="s">
        <v>61</v>
      </c>
      <c r="K2451" s="24" t="s">
        <v>86</v>
      </c>
      <c r="L2451" s="24">
        <v>69</v>
      </c>
      <c r="M2451" s="12">
        <v>6722.6890756302528</v>
      </c>
      <c r="N2451" s="12">
        <v>6722.6890756302528</v>
      </c>
      <c r="O2451" s="12">
        <v>1277.3109243697481</v>
      </c>
      <c r="P2451" s="13"/>
      <c r="Q2451" s="14">
        <v>2025</v>
      </c>
      <c r="R2451" s="15">
        <v>45383</v>
      </c>
      <c r="S2451" s="11" t="s">
        <v>372</v>
      </c>
      <c r="T2451" s="16">
        <v>0</v>
      </c>
      <c r="U2451" s="17"/>
      <c r="V2451" s="12">
        <v>1781.5126050420176</v>
      </c>
      <c r="W2451" s="12">
        <v>1781.5126050420176</v>
      </c>
      <c r="X2451" s="12">
        <v>0</v>
      </c>
      <c r="Y2451" s="18">
        <v>45747</v>
      </c>
      <c r="Z2451" s="13" t="s">
        <v>515</v>
      </c>
      <c r="AA2451" s="19" t="s">
        <v>361</v>
      </c>
      <c r="AB2451" s="13" t="s">
        <v>394</v>
      </c>
      <c r="AC2451" s="13" t="s">
        <v>383</v>
      </c>
      <c r="AD2451" s="20"/>
      <c r="AE2451" s="20"/>
      <c r="AF2451" s="13" t="s">
        <v>40</v>
      </c>
      <c r="AG2451" s="15">
        <v>45383</v>
      </c>
      <c r="AH2451" s="13" t="s">
        <v>41</v>
      </c>
      <c r="AI2451" s="13" t="s">
        <v>47</v>
      </c>
      <c r="AJ2451" s="13" t="str">
        <f>VLOOKUP(E2451,Precios!Z$2:AA$941,2,FALSE)</f>
        <v>Traperos Humedos VIRGINIA</v>
      </c>
      <c r="AK2451" s="14">
        <f>VLOOKUP(E2451,Precios!Z$2:BB$941,3,FALSE)*F2451</f>
        <v>-3</v>
      </c>
      <c r="AL2451" s="17"/>
      <c r="AM2451" s="17"/>
      <c r="AN2451" s="17"/>
      <c r="AO2451" s="17"/>
      <c r="AP2451" s="17"/>
      <c r="AQ2451" s="17"/>
      <c r="AR2451" s="17"/>
      <c r="AS2451" s="17"/>
      <c r="AT2451" s="17"/>
      <c r="AU2451" s="17"/>
      <c r="AV2451" s="17"/>
    </row>
    <row r="2452" spans="1:48" ht="15.75" customHeight="1">
      <c r="A2452" s="21" t="s">
        <v>76</v>
      </c>
      <c r="B2452" s="23" t="s">
        <v>1692</v>
      </c>
      <c r="C2452" s="22">
        <v>45749</v>
      </c>
      <c r="D2452" s="23" t="s">
        <v>68</v>
      </c>
      <c r="E2452" s="23" t="s">
        <v>81</v>
      </c>
      <c r="F2452" s="21">
        <v>1</v>
      </c>
      <c r="G2452" s="12">
        <v>3500.0000000000005</v>
      </c>
      <c r="H2452" s="12">
        <v>3500.0000000000005</v>
      </c>
      <c r="I2452" s="23" t="s">
        <v>52</v>
      </c>
      <c r="J2452" s="23" t="s">
        <v>61</v>
      </c>
      <c r="K2452" s="24" t="s">
        <v>86</v>
      </c>
      <c r="L2452" s="24">
        <v>69</v>
      </c>
      <c r="M2452" s="12">
        <v>2941.1764705882356</v>
      </c>
      <c r="N2452" s="12">
        <v>2941.1764705882356</v>
      </c>
      <c r="O2452" s="12">
        <v>558.82352941176487</v>
      </c>
      <c r="P2452" s="13"/>
      <c r="Q2452" s="14">
        <v>2025</v>
      </c>
      <c r="R2452" s="15">
        <v>45383</v>
      </c>
      <c r="S2452" s="11" t="s">
        <v>397</v>
      </c>
      <c r="T2452" s="16">
        <v>5</v>
      </c>
      <c r="U2452" s="17"/>
      <c r="V2452" s="12">
        <v>764.70588235294144</v>
      </c>
      <c r="W2452" s="12">
        <v>764.70588235294144</v>
      </c>
      <c r="X2452" s="12">
        <v>0</v>
      </c>
      <c r="Y2452" s="18">
        <v>45747</v>
      </c>
      <c r="Z2452" s="13" t="s">
        <v>515</v>
      </c>
      <c r="AA2452" s="19" t="s">
        <v>361</v>
      </c>
      <c r="AB2452" s="13" t="s">
        <v>394</v>
      </c>
      <c r="AC2452" s="13" t="s">
        <v>383</v>
      </c>
      <c r="AD2452" s="20"/>
      <c r="AE2452" s="20"/>
      <c r="AF2452" s="13" t="s">
        <v>40</v>
      </c>
      <c r="AG2452" s="15">
        <v>45383</v>
      </c>
      <c r="AH2452" s="13" t="s">
        <v>41</v>
      </c>
      <c r="AI2452" s="13" t="s">
        <v>76</v>
      </c>
      <c r="AJ2452" s="13" t="str">
        <f>VLOOKUP(E2452,Precios!Z$2:AA$941,2,FALSE)</f>
        <v>Detergente SPUM 5 Litros (Verde)</v>
      </c>
      <c r="AK2452" s="14">
        <f>VLOOKUP(E2452,Precios!Z$2:BB$941,3,FALSE)*F2452</f>
        <v>-1</v>
      </c>
      <c r="AL2452" s="17"/>
      <c r="AM2452" s="17"/>
      <c r="AN2452" s="17"/>
      <c r="AO2452" s="17"/>
      <c r="AP2452" s="17"/>
      <c r="AQ2452" s="17"/>
      <c r="AR2452" s="17"/>
      <c r="AS2452" s="17"/>
      <c r="AT2452" s="17"/>
      <c r="AU2452" s="17"/>
      <c r="AV2452" s="17"/>
    </row>
    <row r="2453" spans="1:48" ht="15.75" customHeight="1">
      <c r="A2453" s="21" t="s">
        <v>47</v>
      </c>
      <c r="B2453" s="23" t="s">
        <v>1692</v>
      </c>
      <c r="C2453" s="22">
        <v>45749</v>
      </c>
      <c r="D2453" s="23" t="s">
        <v>68</v>
      </c>
      <c r="E2453" s="23" t="s">
        <v>71</v>
      </c>
      <c r="F2453" s="21">
        <v>2</v>
      </c>
      <c r="G2453" s="12">
        <v>2500</v>
      </c>
      <c r="H2453" s="12">
        <v>5000</v>
      </c>
      <c r="I2453" s="23" t="s">
        <v>52</v>
      </c>
      <c r="J2453" s="23" t="s">
        <v>61</v>
      </c>
      <c r="K2453" s="24" t="s">
        <v>86</v>
      </c>
      <c r="L2453" s="24">
        <v>69</v>
      </c>
      <c r="M2453" s="12">
        <v>2100.840336134454</v>
      </c>
      <c r="N2453" s="12">
        <v>4201.680672268908</v>
      </c>
      <c r="O2453" s="12">
        <v>798.31932773109202</v>
      </c>
      <c r="P2453" s="13"/>
      <c r="Q2453" s="14">
        <v>2025</v>
      </c>
      <c r="R2453" s="15">
        <v>45383</v>
      </c>
      <c r="S2453" s="11" t="s">
        <v>414</v>
      </c>
      <c r="T2453" s="16">
        <v>0</v>
      </c>
      <c r="U2453" s="17"/>
      <c r="V2453" s="12">
        <v>1243.6974789915971</v>
      </c>
      <c r="W2453" s="12">
        <v>1243.6974789915971</v>
      </c>
      <c r="X2453" s="12">
        <v>0</v>
      </c>
      <c r="Y2453" s="18">
        <v>45747</v>
      </c>
      <c r="Z2453" s="13" t="s">
        <v>515</v>
      </c>
      <c r="AA2453" s="19" t="s">
        <v>361</v>
      </c>
      <c r="AB2453" s="13" t="s">
        <v>394</v>
      </c>
      <c r="AC2453" s="13" t="s">
        <v>383</v>
      </c>
      <c r="AD2453" s="20"/>
      <c r="AE2453" s="20"/>
      <c r="AF2453" s="13" t="s">
        <v>40</v>
      </c>
      <c r="AG2453" s="15">
        <v>45383</v>
      </c>
      <c r="AH2453" s="13" t="s">
        <v>41</v>
      </c>
      <c r="AI2453" s="13" t="s">
        <v>47</v>
      </c>
      <c r="AJ2453" s="13" t="str">
        <f>VLOOKUP(E2453,Precios!Z$2:AA$941,2,FALSE)</f>
        <v>Toalla desinfectante IGENIX 50 unidades</v>
      </c>
      <c r="AK2453" s="14">
        <f>VLOOKUP(E2453,Precios!Z$2:BB$941,3,FALSE)*F2453</f>
        <v>-2</v>
      </c>
      <c r="AL2453" s="17"/>
      <c r="AM2453" s="17"/>
      <c r="AN2453" s="17"/>
      <c r="AO2453" s="17"/>
      <c r="AP2453" s="17"/>
      <c r="AQ2453" s="17"/>
      <c r="AR2453" s="17"/>
      <c r="AS2453" s="17"/>
      <c r="AT2453" s="17"/>
      <c r="AU2453" s="17"/>
      <c r="AV2453" s="17"/>
    </row>
    <row r="2454" spans="1:48" ht="15.75" customHeight="1">
      <c r="A2454" s="21" t="s">
        <v>73</v>
      </c>
      <c r="B2454" s="23" t="s">
        <v>1692</v>
      </c>
      <c r="C2454" s="22">
        <v>45749</v>
      </c>
      <c r="D2454" s="23" t="s">
        <v>68</v>
      </c>
      <c r="E2454" s="23" t="s">
        <v>74</v>
      </c>
      <c r="F2454" s="21">
        <v>1</v>
      </c>
      <c r="G2454" s="12">
        <v>4199.9020019599611</v>
      </c>
      <c r="H2454" s="12">
        <v>4199.9020019599611</v>
      </c>
      <c r="I2454" s="23" t="s">
        <v>52</v>
      </c>
      <c r="J2454" s="23" t="s">
        <v>61</v>
      </c>
      <c r="K2454" s="24" t="s">
        <v>86</v>
      </c>
      <c r="L2454" s="24">
        <v>69</v>
      </c>
      <c r="M2454" s="12">
        <v>3529.3294134117323</v>
      </c>
      <c r="N2454" s="12">
        <v>3529.3294134117323</v>
      </c>
      <c r="O2454" s="12">
        <v>670.57258854822885</v>
      </c>
      <c r="P2454" s="13"/>
      <c r="Q2454" s="14">
        <v>2025</v>
      </c>
      <c r="R2454" s="15">
        <v>45383</v>
      </c>
      <c r="S2454" s="11" t="s">
        <v>424</v>
      </c>
      <c r="T2454" s="16">
        <v>0</v>
      </c>
      <c r="U2454" s="17"/>
      <c r="V2454" s="12">
        <v>1008.3294134117323</v>
      </c>
      <c r="W2454" s="12">
        <v>1008.3294134117323</v>
      </c>
      <c r="X2454" s="12">
        <v>0</v>
      </c>
      <c r="Y2454" s="18">
        <v>45747</v>
      </c>
      <c r="Z2454" s="13" t="s">
        <v>515</v>
      </c>
      <c r="AA2454" s="19" t="s">
        <v>361</v>
      </c>
      <c r="AB2454" s="13" t="s">
        <v>394</v>
      </c>
      <c r="AC2454" s="13" t="s">
        <v>383</v>
      </c>
      <c r="AD2454" s="20"/>
      <c r="AE2454" s="20"/>
      <c r="AF2454" s="13" t="s">
        <v>40</v>
      </c>
      <c r="AG2454" s="15">
        <v>45383</v>
      </c>
      <c r="AH2454" s="13" t="s">
        <v>41</v>
      </c>
      <c r="AI2454" s="13" t="s">
        <v>47</v>
      </c>
      <c r="AJ2454" s="13" t="str">
        <f>VLOOKUP(E2454,Precios!Z$2:AA$941,2,FALSE)</f>
        <v>Guante NITRILO Talla S</v>
      </c>
      <c r="AK2454" s="14">
        <f>VLOOKUP(E2454,Precios!Z$2:BB$941,3,FALSE)*F2454</f>
        <v>-1</v>
      </c>
      <c r="AL2454" s="17"/>
      <c r="AM2454" s="17"/>
      <c r="AN2454" s="17"/>
      <c r="AO2454" s="17"/>
      <c r="AP2454" s="17"/>
      <c r="AQ2454" s="17"/>
      <c r="AR2454" s="17"/>
      <c r="AS2454" s="17"/>
      <c r="AT2454" s="17"/>
      <c r="AU2454" s="17"/>
      <c r="AV2454" s="17"/>
    </row>
    <row r="2455" spans="1:48" ht="15.75" customHeight="1">
      <c r="A2455" s="14" t="s">
        <v>43</v>
      </c>
      <c r="B2455" s="23" t="s">
        <v>1692</v>
      </c>
      <c r="C2455" s="22">
        <v>45749</v>
      </c>
      <c r="D2455" s="23" t="s">
        <v>68</v>
      </c>
      <c r="E2455" s="13" t="s">
        <v>45</v>
      </c>
      <c r="F2455" s="21">
        <v>1</v>
      </c>
      <c r="G2455" s="12">
        <v>8299.7854333055202</v>
      </c>
      <c r="H2455" s="12">
        <v>8299.7854333055202</v>
      </c>
      <c r="I2455" s="23" t="s">
        <v>52</v>
      </c>
      <c r="J2455" s="23" t="s">
        <v>61</v>
      </c>
      <c r="K2455" s="24" t="s">
        <v>86</v>
      </c>
      <c r="L2455" s="24">
        <v>69</v>
      </c>
      <c r="M2455" s="12">
        <v>6974.6096078197652</v>
      </c>
      <c r="N2455" s="12">
        <v>6974.6096078197652</v>
      </c>
      <c r="O2455" s="12">
        <v>1325.175825485755</v>
      </c>
      <c r="P2455" s="13"/>
      <c r="Q2455" s="14">
        <v>2025</v>
      </c>
      <c r="R2455" s="15">
        <v>45383</v>
      </c>
      <c r="S2455" s="11" t="s">
        <v>355</v>
      </c>
      <c r="T2455" s="16">
        <v>0</v>
      </c>
      <c r="U2455" s="17"/>
      <c r="V2455" s="12">
        <v>1123.6096078197643</v>
      </c>
      <c r="W2455" s="12">
        <v>1123.6096078197643</v>
      </c>
      <c r="X2455" s="12">
        <v>0</v>
      </c>
      <c r="Y2455" s="18">
        <v>45747</v>
      </c>
      <c r="Z2455" s="13" t="s">
        <v>515</v>
      </c>
      <c r="AA2455" s="19" t="s">
        <v>361</v>
      </c>
      <c r="AB2455" s="13" t="s">
        <v>394</v>
      </c>
      <c r="AC2455" s="13" t="s">
        <v>383</v>
      </c>
      <c r="AD2455" s="20"/>
      <c r="AE2455" s="20"/>
      <c r="AF2455" s="13" t="s">
        <v>40</v>
      </c>
      <c r="AG2455" s="15">
        <v>45383</v>
      </c>
      <c r="AH2455" s="13" t="s">
        <v>41</v>
      </c>
      <c r="AI2455" s="13" t="s">
        <v>43</v>
      </c>
      <c r="AJ2455" s="13" t="str">
        <f>VLOOKUP(E2455,Precios!Z$2:AA$941,2,FALSE)</f>
        <v>Bandeja Huevos EXTRA</v>
      </c>
      <c r="AK2455" s="14">
        <f>VLOOKUP(E2455,Precios!Z$2:BB$941,3,FALSE)*F2455</f>
        <v>-1</v>
      </c>
      <c r="AL2455" s="17"/>
      <c r="AM2455" s="17"/>
      <c r="AN2455" s="17"/>
      <c r="AO2455" s="17"/>
      <c r="AP2455" s="17"/>
      <c r="AQ2455" s="17"/>
      <c r="AR2455" s="17"/>
      <c r="AS2455" s="17"/>
      <c r="AT2455" s="17"/>
      <c r="AU2455" s="17"/>
      <c r="AV2455" s="17"/>
    </row>
    <row r="2456" spans="1:48" ht="15.75" customHeight="1">
      <c r="A2456" s="14" t="s">
        <v>43</v>
      </c>
      <c r="B2456" s="23" t="s">
        <v>1692</v>
      </c>
      <c r="C2456" s="25">
        <v>45748</v>
      </c>
      <c r="D2456" s="23" t="s">
        <v>241</v>
      </c>
      <c r="E2456" s="13" t="s">
        <v>45</v>
      </c>
      <c r="F2456" s="21">
        <v>1</v>
      </c>
      <c r="G2456" s="12">
        <v>8299.7854333055202</v>
      </c>
      <c r="H2456" s="12">
        <v>8299.7854333055202</v>
      </c>
      <c r="I2456" s="23" t="s">
        <v>52</v>
      </c>
      <c r="J2456" s="23" t="s">
        <v>61</v>
      </c>
      <c r="K2456" s="24" t="s">
        <v>177</v>
      </c>
      <c r="L2456" s="24">
        <v>121</v>
      </c>
      <c r="M2456" s="12">
        <v>6974.6096078197652</v>
      </c>
      <c r="N2456" s="12">
        <v>6974.6096078197652</v>
      </c>
      <c r="O2456" s="12">
        <v>1325.175825485755</v>
      </c>
      <c r="P2456" s="13"/>
      <c r="Q2456" s="14">
        <v>2025</v>
      </c>
      <c r="R2456" s="15">
        <v>45383</v>
      </c>
      <c r="S2456" s="11" t="s">
        <v>355</v>
      </c>
      <c r="T2456" s="16">
        <v>0</v>
      </c>
      <c r="U2456" s="17"/>
      <c r="V2456" s="12">
        <v>1123.6096078197643</v>
      </c>
      <c r="W2456" s="12">
        <v>1123.6096078197643</v>
      </c>
      <c r="X2456" s="12">
        <v>0</v>
      </c>
      <c r="Y2456" s="18">
        <v>45747</v>
      </c>
      <c r="Z2456" s="13" t="s">
        <v>516</v>
      </c>
      <c r="AA2456" s="19" t="s">
        <v>373</v>
      </c>
      <c r="AB2456" s="13" t="s">
        <v>357</v>
      </c>
      <c r="AC2456" s="13" t="s">
        <v>488</v>
      </c>
      <c r="AD2456" s="20"/>
      <c r="AE2456" s="20"/>
      <c r="AF2456" s="13" t="s">
        <v>40</v>
      </c>
      <c r="AG2456" s="15">
        <v>45383</v>
      </c>
      <c r="AH2456" s="13" t="s">
        <v>41</v>
      </c>
      <c r="AI2456" s="13" t="s">
        <v>43</v>
      </c>
      <c r="AJ2456" s="13" t="str">
        <f>VLOOKUP(E2456,Precios!Z$2:AA$941,2,FALSE)</f>
        <v>Bandeja Huevos EXTRA</v>
      </c>
      <c r="AK2456" s="14">
        <f>VLOOKUP(E2456,Precios!Z$2:BB$941,3,FALSE)*F2456</f>
        <v>-1</v>
      </c>
      <c r="AL2456" s="17"/>
      <c r="AM2456" s="17"/>
      <c r="AN2456" s="17"/>
      <c r="AO2456" s="17"/>
      <c r="AP2456" s="17"/>
      <c r="AQ2456" s="17"/>
      <c r="AR2456" s="17"/>
      <c r="AS2456" s="17"/>
      <c r="AT2456" s="17"/>
      <c r="AU2456" s="17"/>
      <c r="AV2456" s="17"/>
    </row>
    <row r="2457" spans="1:48" ht="15.75" customHeight="1">
      <c r="A2457" s="21" t="s">
        <v>73</v>
      </c>
      <c r="B2457" s="23" t="s">
        <v>1692</v>
      </c>
      <c r="C2457" s="22">
        <v>45748</v>
      </c>
      <c r="D2457" s="23" t="s">
        <v>423</v>
      </c>
      <c r="E2457" s="23" t="s">
        <v>90</v>
      </c>
      <c r="F2457" s="21">
        <v>1</v>
      </c>
      <c r="G2457" s="12">
        <v>4199.9020019599611</v>
      </c>
      <c r="H2457" s="12">
        <v>4199.9020019599611</v>
      </c>
      <c r="I2457" s="23" t="s">
        <v>52</v>
      </c>
      <c r="J2457" s="23" t="s">
        <v>61</v>
      </c>
      <c r="K2457" s="24" t="s">
        <v>177</v>
      </c>
      <c r="L2457" s="24">
        <v>121</v>
      </c>
      <c r="M2457" s="12">
        <v>3529.3294134117323</v>
      </c>
      <c r="N2457" s="12">
        <v>3529.3294134117323</v>
      </c>
      <c r="O2457" s="12">
        <v>670.57258854822885</v>
      </c>
      <c r="P2457" s="13"/>
      <c r="Q2457" s="14">
        <v>2025</v>
      </c>
      <c r="R2457" s="15">
        <v>45383</v>
      </c>
      <c r="S2457" s="11" t="s">
        <v>424</v>
      </c>
      <c r="T2457" s="16">
        <v>0</v>
      </c>
      <c r="U2457" s="17"/>
      <c r="V2457" s="12">
        <v>1008.3294134117323</v>
      </c>
      <c r="W2457" s="12">
        <v>1008.3294134117323</v>
      </c>
      <c r="X2457" s="12">
        <v>0</v>
      </c>
      <c r="Y2457" s="18">
        <v>45747</v>
      </c>
      <c r="Z2457" s="13" t="s">
        <v>516</v>
      </c>
      <c r="AA2457" s="19" t="s">
        <v>373</v>
      </c>
      <c r="AB2457" s="13" t="s">
        <v>357</v>
      </c>
      <c r="AC2457" s="13" t="s">
        <v>425</v>
      </c>
      <c r="AD2457" s="20"/>
      <c r="AE2457" s="20"/>
      <c r="AF2457" s="13" t="s">
        <v>40</v>
      </c>
      <c r="AG2457" s="15">
        <v>45383</v>
      </c>
      <c r="AH2457" s="13" t="s">
        <v>41</v>
      </c>
      <c r="AI2457" s="13" t="s">
        <v>47</v>
      </c>
      <c r="AJ2457" s="13" t="str">
        <f>VLOOKUP(E2457,Precios!Z$2:AA$941,2,FALSE)</f>
        <v>Guante NITRILO Talla M</v>
      </c>
      <c r="AK2457" s="14">
        <f>VLOOKUP(E2457,Precios!Z$2:BB$941,3,FALSE)*F2457</f>
        <v>-1</v>
      </c>
      <c r="AL2457" s="17"/>
      <c r="AM2457" s="17"/>
      <c r="AN2457" s="17"/>
      <c r="AO2457" s="17"/>
      <c r="AP2457" s="17"/>
      <c r="AQ2457" s="17"/>
      <c r="AR2457" s="17"/>
      <c r="AS2457" s="17"/>
      <c r="AT2457" s="17"/>
      <c r="AU2457" s="17"/>
      <c r="AV2457" s="17"/>
    </row>
    <row r="2458" spans="1:48" ht="15.75" customHeight="1">
      <c r="A2458" s="21" t="s">
        <v>43</v>
      </c>
      <c r="B2458" s="23" t="s">
        <v>1692</v>
      </c>
      <c r="C2458" s="22">
        <v>45748</v>
      </c>
      <c r="D2458" s="23" t="s">
        <v>634</v>
      </c>
      <c r="E2458" s="23" t="s">
        <v>45</v>
      </c>
      <c r="F2458" s="21">
        <v>2</v>
      </c>
      <c r="G2458" s="12">
        <v>8299.7854333055202</v>
      </c>
      <c r="H2458" s="12">
        <v>16599.57086661104</v>
      </c>
      <c r="I2458" s="23" t="s">
        <v>52</v>
      </c>
      <c r="J2458" s="23" t="s">
        <v>61</v>
      </c>
      <c r="K2458" s="24" t="s">
        <v>177</v>
      </c>
      <c r="L2458" s="24">
        <v>121</v>
      </c>
      <c r="M2458" s="12">
        <v>6974.6096078197652</v>
      </c>
      <c r="N2458" s="12">
        <v>13949.21921563953</v>
      </c>
      <c r="O2458" s="12">
        <v>2650.35165097151</v>
      </c>
      <c r="P2458" s="13"/>
      <c r="Q2458" s="14">
        <v>2025</v>
      </c>
      <c r="R2458" s="15">
        <v>45383</v>
      </c>
      <c r="S2458" s="11" t="s">
        <v>355</v>
      </c>
      <c r="T2458" s="16">
        <v>0</v>
      </c>
      <c r="U2458" s="17"/>
      <c r="V2458" s="12">
        <v>2247.2192156395286</v>
      </c>
      <c r="W2458" s="12">
        <v>2247.2192156395286</v>
      </c>
      <c r="X2458" s="12">
        <v>0</v>
      </c>
      <c r="Y2458" s="18">
        <v>45747</v>
      </c>
      <c r="Z2458" s="13" t="s">
        <v>516</v>
      </c>
      <c r="AA2458" s="19" t="s">
        <v>361</v>
      </c>
      <c r="AB2458" s="13" t="s">
        <v>357</v>
      </c>
      <c r="AC2458" s="13" t="s">
        <v>405</v>
      </c>
      <c r="AD2458" s="20"/>
      <c r="AE2458" s="20"/>
      <c r="AF2458" s="13" t="s">
        <v>40</v>
      </c>
      <c r="AG2458" s="15">
        <v>45383</v>
      </c>
      <c r="AH2458" s="13" t="s">
        <v>41</v>
      </c>
      <c r="AI2458" s="13" t="s">
        <v>43</v>
      </c>
      <c r="AJ2458" s="13" t="str">
        <f>VLOOKUP(E2458,Precios!Z$2:AA$941,2,FALSE)</f>
        <v>Bandeja Huevos EXTRA</v>
      </c>
      <c r="AK2458" s="14">
        <f>VLOOKUP(E2458,Precios!Z$2:BB$941,3,FALSE)*F2458</f>
        <v>-2</v>
      </c>
      <c r="AL2458" s="17"/>
      <c r="AM2458" s="17"/>
      <c r="AN2458" s="17"/>
      <c r="AO2458" s="17"/>
      <c r="AP2458" s="17"/>
      <c r="AQ2458" s="17"/>
      <c r="AR2458" s="17"/>
      <c r="AS2458" s="17"/>
      <c r="AT2458" s="17"/>
      <c r="AU2458" s="17"/>
      <c r="AV2458" s="17"/>
    </row>
    <row r="2459" spans="1:48" ht="15.75" customHeight="1">
      <c r="A2459" s="21" t="s">
        <v>47</v>
      </c>
      <c r="B2459" s="23" t="s">
        <v>1692</v>
      </c>
      <c r="C2459" s="22">
        <v>45748</v>
      </c>
      <c r="D2459" s="23" t="s">
        <v>634</v>
      </c>
      <c r="E2459" s="23" t="s">
        <v>336</v>
      </c>
      <c r="F2459" s="21">
        <v>1</v>
      </c>
      <c r="G2459" s="12">
        <v>2800</v>
      </c>
      <c r="H2459" s="12">
        <v>2800</v>
      </c>
      <c r="I2459" s="23" t="s">
        <v>52</v>
      </c>
      <c r="J2459" s="23" t="s">
        <v>61</v>
      </c>
      <c r="K2459" s="24" t="s">
        <v>177</v>
      </c>
      <c r="L2459" s="24">
        <v>121</v>
      </c>
      <c r="M2459" s="12">
        <v>2352.9411764705883</v>
      </c>
      <c r="N2459" s="12">
        <v>2352.9411764705883</v>
      </c>
      <c r="O2459" s="12">
        <v>447.05882352941171</v>
      </c>
      <c r="P2459" s="13"/>
      <c r="Q2459" s="14">
        <v>2025</v>
      </c>
      <c r="R2459" s="15">
        <v>45383</v>
      </c>
      <c r="S2459" s="11" t="s">
        <v>476</v>
      </c>
      <c r="T2459" s="16">
        <v>0</v>
      </c>
      <c r="U2459" s="17"/>
      <c r="V2459" s="12">
        <v>896.94117647058829</v>
      </c>
      <c r="W2459" s="12">
        <v>896.94117647058829</v>
      </c>
      <c r="X2459" s="12">
        <v>0</v>
      </c>
      <c r="Y2459" s="18">
        <v>45747</v>
      </c>
      <c r="Z2459" s="13" t="s">
        <v>516</v>
      </c>
      <c r="AA2459" s="19" t="s">
        <v>361</v>
      </c>
      <c r="AB2459" s="13" t="s">
        <v>357</v>
      </c>
      <c r="AC2459" s="13" t="s">
        <v>405</v>
      </c>
      <c r="AD2459" s="20"/>
      <c r="AE2459" s="20"/>
      <c r="AF2459" s="13" t="s">
        <v>40</v>
      </c>
      <c r="AG2459" s="15">
        <v>45383</v>
      </c>
      <c r="AH2459" s="13" t="s">
        <v>41</v>
      </c>
      <c r="AI2459" s="13" t="s">
        <v>47</v>
      </c>
      <c r="AJ2459" s="13" t="str">
        <f>VLOOKUP(E2459,Precios!Z$2:AA$941,2,FALSE)</f>
        <v>Ambiental Tubo TEDDY</v>
      </c>
      <c r="AK2459" s="14">
        <f>VLOOKUP(E2459,Precios!Z$2:BB$941,3,FALSE)*F2459</f>
        <v>-2</v>
      </c>
      <c r="AL2459" s="17"/>
      <c r="AM2459" s="17"/>
      <c r="AN2459" s="17"/>
      <c r="AO2459" s="17"/>
      <c r="AP2459" s="17"/>
      <c r="AQ2459" s="17"/>
      <c r="AR2459" s="17"/>
      <c r="AS2459" s="17"/>
      <c r="AT2459" s="17"/>
      <c r="AU2459" s="17"/>
      <c r="AV2459" s="17"/>
    </row>
    <row r="2460" spans="1:48" ht="15.75" customHeight="1">
      <c r="A2460" s="21" t="s">
        <v>47</v>
      </c>
      <c r="B2460" s="23" t="s">
        <v>1692</v>
      </c>
      <c r="C2460" s="22">
        <v>45748</v>
      </c>
      <c r="D2460" s="23" t="s">
        <v>634</v>
      </c>
      <c r="E2460" s="23" t="s">
        <v>48</v>
      </c>
      <c r="F2460" s="21">
        <v>1</v>
      </c>
      <c r="G2460" s="12">
        <v>1000</v>
      </c>
      <c r="H2460" s="12">
        <v>1000</v>
      </c>
      <c r="I2460" s="23" t="s">
        <v>52</v>
      </c>
      <c r="J2460" s="23" t="s">
        <v>61</v>
      </c>
      <c r="K2460" s="24" t="s">
        <v>177</v>
      </c>
      <c r="L2460" s="24">
        <v>121</v>
      </c>
      <c r="M2460" s="12">
        <v>840.3361344537816</v>
      </c>
      <c r="N2460" s="12">
        <v>840.3361344537816</v>
      </c>
      <c r="O2460" s="12">
        <v>159.6638655462184</v>
      </c>
      <c r="P2460" s="13"/>
      <c r="Q2460" s="14">
        <v>2025</v>
      </c>
      <c r="R2460" s="15">
        <v>45383</v>
      </c>
      <c r="S2460" s="11" t="s">
        <v>416</v>
      </c>
      <c r="T2460" s="16">
        <v>0</v>
      </c>
      <c r="U2460" s="17"/>
      <c r="V2460" s="12">
        <v>330.33613445378148</v>
      </c>
      <c r="W2460" s="12">
        <v>330.33613445378148</v>
      </c>
      <c r="X2460" s="12">
        <v>0</v>
      </c>
      <c r="Y2460" s="18">
        <v>45747</v>
      </c>
      <c r="Z2460" s="13" t="s">
        <v>516</v>
      </c>
      <c r="AA2460" s="19" t="s">
        <v>361</v>
      </c>
      <c r="AB2460" s="13" t="s">
        <v>357</v>
      </c>
      <c r="AC2460" s="13" t="s">
        <v>405</v>
      </c>
      <c r="AD2460" s="20"/>
      <c r="AE2460" s="20"/>
      <c r="AF2460" s="13" t="s">
        <v>40</v>
      </c>
      <c r="AG2460" s="15">
        <v>45383</v>
      </c>
      <c r="AH2460" s="13" t="s">
        <v>41</v>
      </c>
      <c r="AI2460" s="13" t="s">
        <v>47</v>
      </c>
      <c r="AJ2460" s="13" t="str">
        <f>VLOOKUP(E2460,Precios!Z$2:AA$941,2,FALSE)</f>
        <v>Esponja Acanalada TEDDY</v>
      </c>
      <c r="AK2460" s="14">
        <f>VLOOKUP(E2460,Precios!Z$2:BB$941,3,FALSE)*F2460</f>
        <v>-5</v>
      </c>
      <c r="AL2460" s="17"/>
      <c r="AM2460" s="17"/>
      <c r="AN2460" s="17"/>
      <c r="AO2460" s="17"/>
      <c r="AP2460" s="17"/>
      <c r="AQ2460" s="17"/>
      <c r="AR2460" s="17"/>
      <c r="AS2460" s="17"/>
      <c r="AT2460" s="17"/>
      <c r="AU2460" s="17"/>
      <c r="AV2460" s="17"/>
    </row>
    <row r="2461" spans="1:48" ht="15.75" customHeight="1">
      <c r="A2461" s="21" t="s">
        <v>47</v>
      </c>
      <c r="B2461" s="23" t="s">
        <v>1692</v>
      </c>
      <c r="C2461" s="22">
        <v>45748</v>
      </c>
      <c r="D2461" s="23" t="s">
        <v>634</v>
      </c>
      <c r="E2461" s="23" t="s">
        <v>99</v>
      </c>
      <c r="F2461" s="21">
        <v>1</v>
      </c>
      <c r="G2461" s="12">
        <v>1100</v>
      </c>
      <c r="H2461" s="12">
        <v>1100</v>
      </c>
      <c r="I2461" s="23" t="s">
        <v>52</v>
      </c>
      <c r="J2461" s="23" t="s">
        <v>61</v>
      </c>
      <c r="K2461" s="24" t="s">
        <v>177</v>
      </c>
      <c r="L2461" s="24">
        <v>121</v>
      </c>
      <c r="M2461" s="12">
        <v>924.36974789915973</v>
      </c>
      <c r="N2461" s="12">
        <v>924.36974789915973</v>
      </c>
      <c r="O2461" s="12">
        <v>175.63025210084027</v>
      </c>
      <c r="P2461" s="13"/>
      <c r="Q2461" s="14">
        <v>2025</v>
      </c>
      <c r="R2461" s="15">
        <v>45383</v>
      </c>
      <c r="S2461" s="11" t="s">
        <v>453</v>
      </c>
      <c r="T2461" s="16">
        <v>0</v>
      </c>
      <c r="U2461" s="17"/>
      <c r="V2461" s="12">
        <v>354.62184873949582</v>
      </c>
      <c r="W2461" s="12">
        <v>354.62184873949582</v>
      </c>
      <c r="X2461" s="12">
        <v>0</v>
      </c>
      <c r="Y2461" s="18">
        <v>45747</v>
      </c>
      <c r="Z2461" s="13" t="s">
        <v>516</v>
      </c>
      <c r="AA2461" s="19" t="s">
        <v>361</v>
      </c>
      <c r="AB2461" s="13" t="s">
        <v>357</v>
      </c>
      <c r="AC2461" s="13" t="s">
        <v>405</v>
      </c>
      <c r="AD2461" s="20"/>
      <c r="AE2461" s="20"/>
      <c r="AF2461" s="13" t="s">
        <v>40</v>
      </c>
      <c r="AG2461" s="15">
        <v>45383</v>
      </c>
      <c r="AH2461" s="13" t="s">
        <v>41</v>
      </c>
      <c r="AI2461" s="13" t="s">
        <v>47</v>
      </c>
      <c r="AJ2461" s="13" t="str">
        <f>VLOOKUP(E2461,Precios!Z$2:AA$941,2,FALSE)</f>
        <v xml:space="preserve">Bolsas Basura TEDDY 70x90 </v>
      </c>
      <c r="AK2461" s="14">
        <f>VLOOKUP(E2461,Precios!Z$2:BB$941,3,FALSE)*F2461</f>
        <v>-1</v>
      </c>
      <c r="AL2461" s="17"/>
      <c r="AM2461" s="17"/>
      <c r="AN2461" s="17"/>
      <c r="AO2461" s="17"/>
      <c r="AP2461" s="17"/>
      <c r="AQ2461" s="17"/>
      <c r="AR2461" s="17"/>
      <c r="AS2461" s="17"/>
      <c r="AT2461" s="17"/>
      <c r="AU2461" s="17"/>
      <c r="AV2461" s="17"/>
    </row>
    <row r="2462" spans="1:48" ht="15.75" customHeight="1">
      <c r="A2462" s="21" t="s">
        <v>47</v>
      </c>
      <c r="B2462" s="23" t="s">
        <v>1692</v>
      </c>
      <c r="C2462" s="22">
        <v>45748</v>
      </c>
      <c r="D2462" s="23" t="s">
        <v>634</v>
      </c>
      <c r="E2462" s="23" t="s">
        <v>149</v>
      </c>
      <c r="F2462" s="21">
        <v>1</v>
      </c>
      <c r="G2462" s="12">
        <v>1700</v>
      </c>
      <c r="H2462" s="12">
        <v>1700</v>
      </c>
      <c r="I2462" s="23" t="s">
        <v>52</v>
      </c>
      <c r="J2462" s="23" t="s">
        <v>61</v>
      </c>
      <c r="K2462" s="24" t="s">
        <v>177</v>
      </c>
      <c r="L2462" s="24">
        <v>121</v>
      </c>
      <c r="M2462" s="12">
        <v>1428.5714285714287</v>
      </c>
      <c r="N2462" s="12">
        <v>1428.5714285714287</v>
      </c>
      <c r="O2462" s="12">
        <v>271.42857142857133</v>
      </c>
      <c r="P2462" s="13"/>
      <c r="Q2462" s="14">
        <v>2025</v>
      </c>
      <c r="R2462" s="15">
        <v>45383</v>
      </c>
      <c r="S2462" s="11" t="s">
        <v>412</v>
      </c>
      <c r="T2462" s="16">
        <v>0</v>
      </c>
      <c r="U2462" s="17"/>
      <c r="V2462" s="12">
        <v>774.78991596638662</v>
      </c>
      <c r="W2462" s="12">
        <v>774.78991596638662</v>
      </c>
      <c r="X2462" s="12">
        <v>0</v>
      </c>
      <c r="Y2462" s="18">
        <v>45747</v>
      </c>
      <c r="Z2462" s="13" t="s">
        <v>516</v>
      </c>
      <c r="AA2462" s="19" t="s">
        <v>361</v>
      </c>
      <c r="AB2462" s="13" t="s">
        <v>357</v>
      </c>
      <c r="AC2462" s="13" t="s">
        <v>405</v>
      </c>
      <c r="AD2462" s="20"/>
      <c r="AE2462" s="20"/>
      <c r="AF2462" s="13" t="s">
        <v>40</v>
      </c>
      <c r="AG2462" s="15">
        <v>45383</v>
      </c>
      <c r="AH2462" s="13" t="s">
        <v>41</v>
      </c>
      <c r="AI2462" s="13" t="s">
        <v>47</v>
      </c>
      <c r="AJ2462" s="13" t="str">
        <f>VLOOKUP(E2462,Precios!Z$2:AA$941,2,FALSE)</f>
        <v>Film Plástico 30 metros</v>
      </c>
      <c r="AK2462" s="14">
        <f>VLOOKUP(E2462,Precios!Z$2:BB$941,3,FALSE)*F2462</f>
        <v>-1</v>
      </c>
      <c r="AL2462" s="17"/>
      <c r="AM2462" s="17"/>
      <c r="AN2462" s="17"/>
      <c r="AO2462" s="17"/>
      <c r="AP2462" s="17"/>
      <c r="AQ2462" s="17"/>
      <c r="AR2462" s="17"/>
      <c r="AS2462" s="17"/>
      <c r="AT2462" s="17"/>
      <c r="AU2462" s="17"/>
      <c r="AV2462" s="17"/>
    </row>
    <row r="2463" spans="1:48" ht="15.75" customHeight="1">
      <c r="A2463" s="21" t="s">
        <v>73</v>
      </c>
      <c r="B2463" s="23" t="s">
        <v>1692</v>
      </c>
      <c r="C2463" s="22">
        <v>45748</v>
      </c>
      <c r="D2463" s="23" t="s">
        <v>634</v>
      </c>
      <c r="E2463" s="23" t="s">
        <v>90</v>
      </c>
      <c r="F2463" s="21">
        <v>1</v>
      </c>
      <c r="G2463" s="12">
        <v>4199.9020019599611</v>
      </c>
      <c r="H2463" s="12">
        <v>4199.9020019599611</v>
      </c>
      <c r="I2463" s="23" t="s">
        <v>52</v>
      </c>
      <c r="J2463" s="23" t="s">
        <v>61</v>
      </c>
      <c r="K2463" s="24" t="s">
        <v>177</v>
      </c>
      <c r="L2463" s="24">
        <v>121</v>
      </c>
      <c r="M2463" s="12">
        <v>3529.3294134117323</v>
      </c>
      <c r="N2463" s="12">
        <v>3529.3294134117323</v>
      </c>
      <c r="O2463" s="12">
        <v>670.57258854822885</v>
      </c>
      <c r="P2463" s="13"/>
      <c r="Q2463" s="14">
        <v>2025</v>
      </c>
      <c r="R2463" s="15">
        <v>45383</v>
      </c>
      <c r="S2463" s="11" t="s">
        <v>424</v>
      </c>
      <c r="T2463" s="16">
        <v>0</v>
      </c>
      <c r="U2463" s="17"/>
      <c r="V2463" s="12">
        <v>1008.3294134117323</v>
      </c>
      <c r="W2463" s="12">
        <v>1008.3294134117323</v>
      </c>
      <c r="X2463" s="12">
        <v>0</v>
      </c>
      <c r="Y2463" s="18">
        <v>45747</v>
      </c>
      <c r="Z2463" s="13" t="s">
        <v>516</v>
      </c>
      <c r="AA2463" s="19" t="s">
        <v>361</v>
      </c>
      <c r="AB2463" s="13" t="s">
        <v>357</v>
      </c>
      <c r="AC2463" s="13" t="s">
        <v>405</v>
      </c>
      <c r="AD2463" s="20"/>
      <c r="AE2463" s="20"/>
      <c r="AF2463" s="13" t="s">
        <v>40</v>
      </c>
      <c r="AG2463" s="15">
        <v>45383</v>
      </c>
      <c r="AH2463" s="13" t="s">
        <v>41</v>
      </c>
      <c r="AI2463" s="13" t="s">
        <v>47</v>
      </c>
      <c r="AJ2463" s="13" t="str">
        <f>VLOOKUP(E2463,Precios!Z$2:AA$941,2,FALSE)</f>
        <v>Guante NITRILO Talla M</v>
      </c>
      <c r="AK2463" s="14">
        <f>VLOOKUP(E2463,Precios!Z$2:BB$941,3,FALSE)*F2463</f>
        <v>-1</v>
      </c>
      <c r="AL2463" s="17"/>
      <c r="AM2463" s="17"/>
      <c r="AN2463" s="17"/>
      <c r="AO2463" s="17"/>
      <c r="AP2463" s="17"/>
      <c r="AQ2463" s="17"/>
      <c r="AR2463" s="17"/>
      <c r="AS2463" s="17"/>
      <c r="AT2463" s="17"/>
      <c r="AU2463" s="17"/>
      <c r="AV2463" s="17"/>
    </row>
    <row r="2464" spans="1:48" ht="15.75" customHeight="1">
      <c r="A2464" s="21" t="s">
        <v>56</v>
      </c>
      <c r="B2464" s="23" t="s">
        <v>1692</v>
      </c>
      <c r="C2464" s="22">
        <v>45748</v>
      </c>
      <c r="D2464" s="23" t="s">
        <v>915</v>
      </c>
      <c r="E2464" s="23" t="s">
        <v>190</v>
      </c>
      <c r="F2464" s="21">
        <v>3</v>
      </c>
      <c r="G2464" s="12">
        <v>2500</v>
      </c>
      <c r="H2464" s="12">
        <v>7500</v>
      </c>
      <c r="I2464" s="23" t="s">
        <v>52</v>
      </c>
      <c r="J2464" s="23" t="s">
        <v>61</v>
      </c>
      <c r="K2464" s="24" t="s">
        <v>177</v>
      </c>
      <c r="L2464" s="24">
        <v>121</v>
      </c>
      <c r="M2464" s="12">
        <v>2100.840336134454</v>
      </c>
      <c r="N2464" s="12">
        <v>6302.5210084033615</v>
      </c>
      <c r="O2464" s="12">
        <v>1197.4789915966385</v>
      </c>
      <c r="P2464" s="13"/>
      <c r="Q2464" s="14">
        <v>2025</v>
      </c>
      <c r="R2464" s="15">
        <v>45383</v>
      </c>
      <c r="S2464" s="11" t="s">
        <v>492</v>
      </c>
      <c r="T2464" s="16">
        <v>600</v>
      </c>
      <c r="U2464" s="17"/>
      <c r="V2464" s="12">
        <v>1895.7983193277312</v>
      </c>
      <c r="W2464" s="12">
        <v>1895.7983193277312</v>
      </c>
      <c r="X2464" s="12">
        <v>0</v>
      </c>
      <c r="Y2464" s="18">
        <v>45747</v>
      </c>
      <c r="Z2464" s="13" t="s">
        <v>516</v>
      </c>
      <c r="AA2464" s="19" t="s">
        <v>367</v>
      </c>
      <c r="AB2464" s="13" t="s">
        <v>357</v>
      </c>
      <c r="AC2464" s="13" t="s">
        <v>367</v>
      </c>
      <c r="AD2464" s="20"/>
      <c r="AE2464" s="20"/>
      <c r="AF2464" s="13" t="s">
        <v>40</v>
      </c>
      <c r="AG2464" s="15">
        <v>45383</v>
      </c>
      <c r="AH2464" s="13" t="s">
        <v>41</v>
      </c>
      <c r="AI2464" s="13" t="s">
        <v>56</v>
      </c>
      <c r="AJ2464" s="13" t="str">
        <f>VLOOKUP(E2464,Precios!Z$2:AA$941,2,FALSE)</f>
        <v>Mantequilla RUMAY</v>
      </c>
      <c r="AK2464" s="14">
        <f>VLOOKUP(E2464,Precios!Z$2:BB$941,3,FALSE)*F2464</f>
        <v>-3</v>
      </c>
      <c r="AL2464" s="17"/>
      <c r="AM2464" s="17"/>
      <c r="AN2464" s="17"/>
      <c r="AO2464" s="17"/>
      <c r="AP2464" s="17"/>
      <c r="AQ2464" s="17"/>
      <c r="AR2464" s="17"/>
      <c r="AS2464" s="17"/>
      <c r="AT2464" s="17"/>
      <c r="AU2464" s="17"/>
      <c r="AV2464" s="17"/>
    </row>
    <row r="2465" spans="1:48" ht="15.75" customHeight="1">
      <c r="A2465" s="21" t="s">
        <v>76</v>
      </c>
      <c r="B2465" s="23" t="s">
        <v>1692</v>
      </c>
      <c r="C2465" s="22">
        <v>45748</v>
      </c>
      <c r="D2465" s="23" t="s">
        <v>588</v>
      </c>
      <c r="E2465" s="23" t="s">
        <v>81</v>
      </c>
      <c r="F2465" s="21">
        <v>1</v>
      </c>
      <c r="G2465" s="12">
        <v>3500.0000000000005</v>
      </c>
      <c r="H2465" s="12">
        <v>3500.0000000000005</v>
      </c>
      <c r="I2465" s="23" t="s">
        <v>52</v>
      </c>
      <c r="J2465" s="23" t="s">
        <v>61</v>
      </c>
      <c r="K2465" s="24" t="s">
        <v>177</v>
      </c>
      <c r="L2465" s="24">
        <v>121</v>
      </c>
      <c r="M2465" s="12">
        <v>2941.1764705882356</v>
      </c>
      <c r="N2465" s="12">
        <v>2941.1764705882356</v>
      </c>
      <c r="O2465" s="12">
        <v>558.82352941176487</v>
      </c>
      <c r="P2465" s="13"/>
      <c r="Q2465" s="14">
        <v>2025</v>
      </c>
      <c r="R2465" s="15">
        <v>45383</v>
      </c>
      <c r="S2465" s="11" t="s">
        <v>397</v>
      </c>
      <c r="T2465" s="16">
        <v>5</v>
      </c>
      <c r="U2465" s="17"/>
      <c r="V2465" s="12">
        <v>764.70588235294144</v>
      </c>
      <c r="W2465" s="12">
        <v>764.70588235294144</v>
      </c>
      <c r="X2465" s="12">
        <v>0</v>
      </c>
      <c r="Y2465" s="18">
        <v>45747</v>
      </c>
      <c r="Z2465" s="13" t="s">
        <v>516</v>
      </c>
      <c r="AA2465" s="19" t="s">
        <v>373</v>
      </c>
      <c r="AB2465" s="13" t="s">
        <v>357</v>
      </c>
      <c r="AC2465" s="13" t="s">
        <v>367</v>
      </c>
      <c r="AD2465" s="20"/>
      <c r="AE2465" s="20"/>
      <c r="AF2465" s="13" t="s">
        <v>40</v>
      </c>
      <c r="AG2465" s="15">
        <v>45383</v>
      </c>
      <c r="AH2465" s="13" t="s">
        <v>41</v>
      </c>
      <c r="AI2465" s="13" t="s">
        <v>76</v>
      </c>
      <c r="AJ2465" s="13" t="str">
        <f>VLOOKUP(E2465,Precios!Z$2:AA$941,2,FALSE)</f>
        <v>Detergente SPUM 5 Litros (Verde)</v>
      </c>
      <c r="AK2465" s="14">
        <f>VLOOKUP(E2465,Precios!Z$2:BB$941,3,FALSE)*F2465</f>
        <v>-1</v>
      </c>
      <c r="AL2465" s="17"/>
      <c r="AM2465" s="17"/>
      <c r="AN2465" s="17"/>
      <c r="AO2465" s="17"/>
      <c r="AP2465" s="17"/>
      <c r="AQ2465" s="17"/>
      <c r="AR2465" s="17"/>
      <c r="AS2465" s="17"/>
      <c r="AT2465" s="17"/>
      <c r="AU2465" s="17"/>
      <c r="AV2465" s="17"/>
    </row>
    <row r="2466" spans="1:48" ht="15.75" customHeight="1">
      <c r="A2466" s="21" t="s">
        <v>43</v>
      </c>
      <c r="B2466" s="23" t="s">
        <v>1692</v>
      </c>
      <c r="C2466" s="22">
        <v>45748</v>
      </c>
      <c r="D2466" s="23" t="s">
        <v>588</v>
      </c>
      <c r="E2466" s="23" t="s">
        <v>45</v>
      </c>
      <c r="F2466" s="21">
        <v>2</v>
      </c>
      <c r="G2466" s="12">
        <v>8299.7854333055202</v>
      </c>
      <c r="H2466" s="12">
        <v>16599.57086661104</v>
      </c>
      <c r="I2466" s="23" t="s">
        <v>52</v>
      </c>
      <c r="J2466" s="23" t="s">
        <v>61</v>
      </c>
      <c r="K2466" s="24" t="s">
        <v>177</v>
      </c>
      <c r="L2466" s="24">
        <v>121</v>
      </c>
      <c r="M2466" s="12">
        <v>6974.6096078197652</v>
      </c>
      <c r="N2466" s="12">
        <v>13949.21921563953</v>
      </c>
      <c r="O2466" s="12">
        <v>2650.35165097151</v>
      </c>
      <c r="P2466" s="13"/>
      <c r="Q2466" s="14">
        <v>2025</v>
      </c>
      <c r="R2466" s="15">
        <v>45383</v>
      </c>
      <c r="S2466" s="11" t="s">
        <v>355</v>
      </c>
      <c r="T2466" s="16">
        <v>0</v>
      </c>
      <c r="U2466" s="17"/>
      <c r="V2466" s="12">
        <v>2247.2192156395286</v>
      </c>
      <c r="W2466" s="12">
        <v>2247.2192156395286</v>
      </c>
      <c r="X2466" s="12">
        <v>0</v>
      </c>
      <c r="Y2466" s="18">
        <v>45747</v>
      </c>
      <c r="Z2466" s="13" t="s">
        <v>516</v>
      </c>
      <c r="AA2466" s="19" t="s">
        <v>373</v>
      </c>
      <c r="AB2466" s="13" t="s">
        <v>357</v>
      </c>
      <c r="AC2466" s="13" t="s">
        <v>367</v>
      </c>
      <c r="AD2466" s="20"/>
      <c r="AE2466" s="20"/>
      <c r="AF2466" s="13" t="s">
        <v>40</v>
      </c>
      <c r="AG2466" s="15">
        <v>45383</v>
      </c>
      <c r="AH2466" s="13" t="s">
        <v>41</v>
      </c>
      <c r="AI2466" s="13" t="s">
        <v>43</v>
      </c>
      <c r="AJ2466" s="13" t="str">
        <f>VLOOKUP(E2466,Precios!Z$2:AA$941,2,FALSE)</f>
        <v>Bandeja Huevos EXTRA</v>
      </c>
      <c r="AK2466" s="14">
        <f>VLOOKUP(E2466,Precios!Z$2:BB$941,3,FALSE)*F2466</f>
        <v>-2</v>
      </c>
      <c r="AL2466" s="17"/>
      <c r="AM2466" s="17"/>
      <c r="AN2466" s="17"/>
      <c r="AO2466" s="17"/>
      <c r="AP2466" s="17"/>
      <c r="AQ2466" s="17"/>
      <c r="AR2466" s="17"/>
      <c r="AS2466" s="17"/>
      <c r="AT2466" s="17"/>
      <c r="AU2466" s="17"/>
      <c r="AV2466" s="17"/>
    </row>
    <row r="2467" spans="1:48" ht="15.75" customHeight="1">
      <c r="A2467" s="21" t="s">
        <v>43</v>
      </c>
      <c r="B2467" s="23" t="s">
        <v>1692</v>
      </c>
      <c r="C2467" s="22">
        <v>45748</v>
      </c>
      <c r="D2467" s="23" t="s">
        <v>270</v>
      </c>
      <c r="E2467" s="23" t="s">
        <v>673</v>
      </c>
      <c r="F2467" s="21">
        <v>1</v>
      </c>
      <c r="G2467" s="12">
        <v>3699.6039603960394</v>
      </c>
      <c r="H2467" s="12">
        <v>3699.6039603960394</v>
      </c>
      <c r="I2467" s="23" t="s">
        <v>52</v>
      </c>
      <c r="J2467" s="23" t="s">
        <v>61</v>
      </c>
      <c r="K2467" s="24" t="s">
        <v>177</v>
      </c>
      <c r="L2467" s="24">
        <v>121</v>
      </c>
      <c r="M2467" s="12">
        <v>3108.9108910891086</v>
      </c>
      <c r="N2467" s="12">
        <v>3108.9108910891086</v>
      </c>
      <c r="O2467" s="12">
        <v>590.69306930693074</v>
      </c>
      <c r="P2467" s="13"/>
      <c r="Q2467" s="14">
        <v>2025</v>
      </c>
      <c r="R2467" s="15">
        <v>45383</v>
      </c>
      <c r="S2467" s="11" t="s">
        <v>355</v>
      </c>
      <c r="T2467" s="16">
        <v>0</v>
      </c>
      <c r="U2467" s="17"/>
      <c r="V2467" s="12">
        <v>753.91089108910865</v>
      </c>
      <c r="W2467" s="12">
        <v>753.91089108910865</v>
      </c>
      <c r="X2467" s="12">
        <v>0</v>
      </c>
      <c r="Y2467" s="18">
        <v>45747</v>
      </c>
      <c r="Z2467" s="13" t="s">
        <v>516</v>
      </c>
      <c r="AA2467" s="19" t="s">
        <v>367</v>
      </c>
      <c r="AB2467" s="13" t="s">
        <v>357</v>
      </c>
      <c r="AC2467" s="13" t="s">
        <v>367</v>
      </c>
      <c r="AD2467" s="20"/>
      <c r="AE2467" s="20"/>
      <c r="AF2467" s="13" t="s">
        <v>40</v>
      </c>
      <c r="AG2467" s="15">
        <v>45383</v>
      </c>
      <c r="AH2467" s="13" t="s">
        <v>41</v>
      </c>
      <c r="AI2467" s="13" t="s">
        <v>43</v>
      </c>
      <c r="AJ2467" s="13" t="str">
        <f>VLOOKUP(E2467,Precios!Z$2:AA$941,2,FALSE)</f>
        <v>Bandeja Huevos EXTRA</v>
      </c>
      <c r="AK2467" s="14">
        <f>VLOOKUP(E2467,Precios!Z$2:BB$941,3,FALSE)*F2467</f>
        <v>-0.4</v>
      </c>
      <c r="AL2467" s="17"/>
      <c r="AM2467" s="17"/>
      <c r="AN2467" s="17"/>
      <c r="AO2467" s="17"/>
      <c r="AP2467" s="17"/>
      <c r="AQ2467" s="17"/>
      <c r="AR2467" s="17"/>
      <c r="AS2467" s="17"/>
      <c r="AT2467" s="17"/>
      <c r="AU2467" s="17"/>
      <c r="AV2467" s="17"/>
    </row>
    <row r="2468" spans="1:48" ht="15.75" customHeight="1">
      <c r="A2468" s="21" t="s">
        <v>35</v>
      </c>
      <c r="B2468" s="23" t="s">
        <v>1692</v>
      </c>
      <c r="C2468" s="22">
        <v>45747</v>
      </c>
      <c r="D2468" s="23" t="s">
        <v>126</v>
      </c>
      <c r="E2468" s="23" t="s">
        <v>46</v>
      </c>
      <c r="F2468" s="21">
        <v>1</v>
      </c>
      <c r="G2468" s="12">
        <v>5500</v>
      </c>
      <c r="H2468" s="12">
        <v>5500</v>
      </c>
      <c r="I2468" s="23" t="s">
        <v>52</v>
      </c>
      <c r="J2468" s="23" t="s">
        <v>61</v>
      </c>
      <c r="K2468" s="24" t="s">
        <v>177</v>
      </c>
      <c r="L2468" s="24">
        <v>120</v>
      </c>
      <c r="M2468" s="12">
        <v>4621.8487394957983</v>
      </c>
      <c r="N2468" s="12">
        <v>4621.8487394957983</v>
      </c>
      <c r="O2468" s="12">
        <v>878.15126050420167</v>
      </c>
      <c r="P2468" s="13"/>
      <c r="Q2468" s="14">
        <v>2025</v>
      </c>
      <c r="R2468" s="15">
        <v>45352</v>
      </c>
      <c r="S2468" s="11" t="s">
        <v>364</v>
      </c>
      <c r="T2468" s="16">
        <v>500</v>
      </c>
      <c r="U2468" s="17"/>
      <c r="V2468" s="12">
        <v>1365.1260504201678</v>
      </c>
      <c r="W2468" s="12">
        <v>1365.1260504201678</v>
      </c>
      <c r="X2468" s="12">
        <v>0</v>
      </c>
      <c r="Y2468" s="18">
        <v>45747</v>
      </c>
      <c r="Z2468" s="13" t="s">
        <v>523</v>
      </c>
      <c r="AA2468" s="19" t="str">
        <f>VLOOKUP(D2468,Clientes!$A$2:$J$486,9,FALSE)</f>
        <v>Frecuente</v>
      </c>
      <c r="AB2468" s="13" t="str">
        <f>VLOOKUP(D2468,Clientes!$A$2:$K$486,11,FALSE)</f>
        <v>Persona Natural</v>
      </c>
      <c r="AC2468" s="13" t="str">
        <f>VLOOKUP(D2468,Clientes!$A$2:$B$486,2,FALSE)</f>
        <v>Jardines de la Viña</v>
      </c>
      <c r="AD2468" s="20"/>
      <c r="AE2468" s="20"/>
      <c r="AF2468" s="13" t="s">
        <v>40</v>
      </c>
      <c r="AG2468" s="15">
        <v>45352</v>
      </c>
      <c r="AH2468" s="13" t="s">
        <v>41</v>
      </c>
      <c r="AI2468" s="13" t="s">
        <v>35</v>
      </c>
      <c r="AJ2468" s="13" t="str">
        <f>VLOOKUP(E2468,Precios!Z$2:AA$941,2,FALSE)</f>
        <v>Queso RUNCA Mantecoso</v>
      </c>
      <c r="AK2468" s="14">
        <f>VLOOKUP(E2468,Precios!Z$2:BB$941,3,FALSE)*F2468</f>
        <v>-0.5</v>
      </c>
      <c r="AL2468" s="17"/>
      <c r="AM2468" s="17"/>
      <c r="AN2468" s="17"/>
      <c r="AO2468" s="17"/>
      <c r="AP2468" s="17"/>
      <c r="AQ2468" s="17"/>
      <c r="AR2468" s="17"/>
      <c r="AS2468" s="17"/>
      <c r="AT2468" s="17"/>
      <c r="AU2468" s="17"/>
      <c r="AV2468" s="17"/>
    </row>
    <row r="2469" spans="1:48" ht="15.75" customHeight="1">
      <c r="A2469" s="21" t="s">
        <v>53</v>
      </c>
      <c r="B2469" s="23" t="s">
        <v>1692</v>
      </c>
      <c r="C2469" s="22">
        <v>45747</v>
      </c>
      <c r="D2469" s="23" t="s">
        <v>126</v>
      </c>
      <c r="E2469" s="23" t="s">
        <v>648</v>
      </c>
      <c r="F2469" s="21">
        <v>1</v>
      </c>
      <c r="G2469" s="12">
        <v>3200</v>
      </c>
      <c r="H2469" s="12">
        <v>3200</v>
      </c>
      <c r="I2469" s="23" t="s">
        <v>52</v>
      </c>
      <c r="J2469" s="23" t="s">
        <v>61</v>
      </c>
      <c r="K2469" s="24" t="s">
        <v>177</v>
      </c>
      <c r="L2469" s="24">
        <v>120</v>
      </c>
      <c r="M2469" s="12">
        <v>2689.0756302521008</v>
      </c>
      <c r="N2469" s="12">
        <v>2689.0756302521008</v>
      </c>
      <c r="O2469" s="12">
        <v>510.92436974789916</v>
      </c>
      <c r="P2469" s="13"/>
      <c r="Q2469" s="14">
        <v>2025</v>
      </c>
      <c r="R2469" s="15">
        <v>45352</v>
      </c>
      <c r="S2469" s="11" t="s">
        <v>435</v>
      </c>
      <c r="T2469" s="16">
        <v>0</v>
      </c>
      <c r="U2469" s="17"/>
      <c r="V2469" s="12">
        <v>1208.4033613445376</v>
      </c>
      <c r="W2469" s="12">
        <v>1208.4033613445376</v>
      </c>
      <c r="X2469" s="12">
        <v>0</v>
      </c>
      <c r="Y2469" s="18">
        <v>45747</v>
      </c>
      <c r="Z2469" s="13" t="s">
        <v>523</v>
      </c>
      <c r="AA2469" s="19" t="str">
        <f>VLOOKUP(D2469,Clientes!$A$2:$J$486,9,FALSE)</f>
        <v>Frecuente</v>
      </c>
      <c r="AB2469" s="13" t="str">
        <f>VLOOKUP(D2469,Clientes!$A$2:$K$486,11,FALSE)</f>
        <v>Persona Natural</v>
      </c>
      <c r="AC2469" s="13" t="str">
        <f>VLOOKUP(D2469,Clientes!$A$2:$B$486,2,FALSE)</f>
        <v>Jardines de la Viña</v>
      </c>
      <c r="AD2469" s="20"/>
      <c r="AE2469" s="20"/>
      <c r="AF2469" s="13" t="s">
        <v>40</v>
      </c>
      <c r="AG2469" s="15">
        <v>45352</v>
      </c>
      <c r="AH2469" s="13" t="s">
        <v>41</v>
      </c>
      <c r="AI2469" s="13" t="s">
        <v>53</v>
      </c>
      <c r="AJ2469" s="13" t="str">
        <f>VLOOKUP(E2469,Precios!Z$2:AA$941,2,FALSE)</f>
        <v>Papel Higienico SWAN 50 metros</v>
      </c>
      <c r="AK2469" s="14">
        <f>VLOOKUP(E2469,Precios!Z$2:BB$941,3,FALSE)*F2469</f>
        <v>-1</v>
      </c>
      <c r="AL2469" s="17"/>
      <c r="AM2469" s="17"/>
      <c r="AN2469" s="17"/>
      <c r="AO2469" s="17"/>
      <c r="AP2469" s="17"/>
      <c r="AQ2469" s="17"/>
      <c r="AR2469" s="17"/>
      <c r="AS2469" s="17"/>
      <c r="AT2469" s="17"/>
      <c r="AU2469" s="17"/>
      <c r="AV2469" s="17"/>
    </row>
    <row r="2470" spans="1:48" ht="15.75" customHeight="1">
      <c r="A2470" s="21" t="s">
        <v>35</v>
      </c>
      <c r="B2470" s="23" t="s">
        <v>1692</v>
      </c>
      <c r="C2470" s="22">
        <v>45747</v>
      </c>
      <c r="D2470" s="23" t="s">
        <v>116</v>
      </c>
      <c r="E2470" s="23" t="s">
        <v>46</v>
      </c>
      <c r="F2470" s="21">
        <v>1</v>
      </c>
      <c r="G2470" s="12">
        <v>5500</v>
      </c>
      <c r="H2470" s="12">
        <v>5500</v>
      </c>
      <c r="I2470" s="23" t="s">
        <v>52</v>
      </c>
      <c r="J2470" s="23" t="s">
        <v>61</v>
      </c>
      <c r="K2470" s="24" t="s">
        <v>177</v>
      </c>
      <c r="L2470" s="24">
        <v>120</v>
      </c>
      <c r="M2470" s="12">
        <v>4621.8487394957983</v>
      </c>
      <c r="N2470" s="12">
        <v>4621.8487394957983</v>
      </c>
      <c r="O2470" s="12">
        <v>878.15126050420167</v>
      </c>
      <c r="P2470" s="13"/>
      <c r="Q2470" s="14">
        <v>2025</v>
      </c>
      <c r="R2470" s="15">
        <v>45352</v>
      </c>
      <c r="S2470" s="11" t="s">
        <v>364</v>
      </c>
      <c r="T2470" s="16">
        <v>500</v>
      </c>
      <c r="U2470" s="17"/>
      <c r="V2470" s="12">
        <v>1365.1260504201678</v>
      </c>
      <c r="W2470" s="12">
        <v>1365.1260504201678</v>
      </c>
      <c r="X2470" s="12">
        <v>0</v>
      </c>
      <c r="Y2470" s="18">
        <v>45747</v>
      </c>
      <c r="Z2470" s="13" t="s">
        <v>523</v>
      </c>
      <c r="AA2470" s="19" t="str">
        <f>VLOOKUP(D2470,Clientes!$A$2:$J$486,9,FALSE)</f>
        <v>Ocacional</v>
      </c>
      <c r="AB2470" s="13" t="str">
        <f>VLOOKUP(D2470,Clientes!$A$2:$K$486,11,FALSE)</f>
        <v>Persona Natural</v>
      </c>
      <c r="AC2470" s="13">
        <f>VLOOKUP(D2470,Clientes!$A$2:$B$486,2,FALSE)</f>
        <v>0</v>
      </c>
      <c r="AD2470" s="20"/>
      <c r="AE2470" s="20"/>
      <c r="AF2470" s="13" t="s">
        <v>40</v>
      </c>
      <c r="AG2470" s="15">
        <v>45352</v>
      </c>
      <c r="AH2470" s="13" t="s">
        <v>41</v>
      </c>
      <c r="AI2470" s="13" t="s">
        <v>35</v>
      </c>
      <c r="AJ2470" s="13" t="str">
        <f>VLOOKUP(E2470,Precios!Z$2:AA$941,2,FALSE)</f>
        <v>Queso RUNCA Mantecoso</v>
      </c>
      <c r="AK2470" s="14">
        <f>VLOOKUP(E2470,Precios!Z$2:BB$941,3,FALSE)*F2470</f>
        <v>-0.5</v>
      </c>
      <c r="AL2470" s="17"/>
      <c r="AM2470" s="17"/>
      <c r="AN2470" s="17"/>
      <c r="AO2470" s="17"/>
      <c r="AP2470" s="17"/>
      <c r="AQ2470" s="17"/>
      <c r="AR2470" s="17"/>
      <c r="AS2470" s="17"/>
      <c r="AT2470" s="17"/>
      <c r="AU2470" s="17"/>
      <c r="AV2470" s="17"/>
    </row>
    <row r="2471" spans="1:48" ht="15.75" customHeight="1">
      <c r="A2471" s="21" t="s">
        <v>53</v>
      </c>
      <c r="B2471" s="23" t="s">
        <v>1692</v>
      </c>
      <c r="C2471" s="22">
        <v>45747</v>
      </c>
      <c r="D2471" s="23" t="s">
        <v>152</v>
      </c>
      <c r="E2471" s="23" t="s">
        <v>192</v>
      </c>
      <c r="F2471" s="21">
        <v>1</v>
      </c>
      <c r="G2471" s="12">
        <v>15990.211345939933</v>
      </c>
      <c r="H2471" s="12">
        <v>15990.211345939933</v>
      </c>
      <c r="I2471" s="23" t="s">
        <v>52</v>
      </c>
      <c r="J2471" s="23" t="s">
        <v>61</v>
      </c>
      <c r="K2471" s="24" t="s">
        <v>177</v>
      </c>
      <c r="L2471" s="24">
        <v>120</v>
      </c>
      <c r="M2471" s="12">
        <v>13437.152391546164</v>
      </c>
      <c r="N2471" s="12">
        <v>13437.152391546164</v>
      </c>
      <c r="O2471" s="12">
        <v>2553.0589543937695</v>
      </c>
      <c r="P2471" s="13"/>
      <c r="Q2471" s="14">
        <v>2025</v>
      </c>
      <c r="R2471" s="15">
        <v>45352</v>
      </c>
      <c r="S2471" s="11" t="s">
        <v>435</v>
      </c>
      <c r="T2471" s="16">
        <v>0</v>
      </c>
      <c r="U2471" s="17"/>
      <c r="V2471" s="12">
        <v>3773.1523915461621</v>
      </c>
      <c r="W2471" s="12">
        <v>3773.1523915461621</v>
      </c>
      <c r="X2471" s="12">
        <v>0</v>
      </c>
      <c r="Y2471" s="18">
        <v>45747</v>
      </c>
      <c r="Z2471" s="13" t="s">
        <v>523</v>
      </c>
      <c r="AA2471" s="19" t="str">
        <f>VLOOKUP(D2471,Clientes!$A$2:$J$486,9,FALSE)</f>
        <v>Ocacional</v>
      </c>
      <c r="AB2471" s="13" t="str">
        <f>VLOOKUP(D2471,Clientes!$A$2:$K$486,11,FALSE)</f>
        <v>Persona Natural</v>
      </c>
      <c r="AC2471" s="13" t="str">
        <f>VLOOKUP(D2471,Clientes!$A$2:$B$486,2,FALSE)</f>
        <v>Jardines de la viña</v>
      </c>
      <c r="AD2471" s="20"/>
      <c r="AE2471" s="20"/>
      <c r="AF2471" s="13" t="s">
        <v>40</v>
      </c>
      <c r="AG2471" s="15">
        <v>45352</v>
      </c>
      <c r="AH2471" s="13" t="s">
        <v>41</v>
      </c>
      <c r="AI2471" s="13" t="s">
        <v>53</v>
      </c>
      <c r="AJ2471" s="13" t="str">
        <f>VLOOKUP(E2471,Precios!Z$2:AA$941,2,FALSE)</f>
        <v>Papel Higienico SWAN 400 hojas</v>
      </c>
      <c r="AK2471" s="14">
        <f>VLOOKUP(E2471,Precios!Z$2:BB$941,3,FALSE)*F2471</f>
        <v>-8</v>
      </c>
      <c r="AL2471" s="17"/>
      <c r="AM2471" s="17"/>
      <c r="AN2471" s="17"/>
      <c r="AO2471" s="17"/>
      <c r="AP2471" s="17"/>
      <c r="AQ2471" s="17"/>
      <c r="AR2471" s="17"/>
      <c r="AS2471" s="17"/>
      <c r="AT2471" s="17"/>
      <c r="AU2471" s="17"/>
      <c r="AV2471" s="17"/>
    </row>
    <row r="2472" spans="1:48" ht="15.75" customHeight="1">
      <c r="A2472" s="21" t="s">
        <v>43</v>
      </c>
      <c r="B2472" s="23" t="s">
        <v>1692</v>
      </c>
      <c r="C2472" s="22">
        <v>45747</v>
      </c>
      <c r="D2472" s="23" t="s">
        <v>297</v>
      </c>
      <c r="E2472" s="23" t="s">
        <v>45</v>
      </c>
      <c r="F2472" s="21">
        <v>1</v>
      </c>
      <c r="G2472" s="12">
        <v>8299.7854333055202</v>
      </c>
      <c r="H2472" s="12">
        <v>8299.7854333055202</v>
      </c>
      <c r="I2472" s="23" t="s">
        <v>52</v>
      </c>
      <c r="J2472" s="23" t="s">
        <v>61</v>
      </c>
      <c r="K2472" s="24" t="s">
        <v>177</v>
      </c>
      <c r="L2472" s="24">
        <v>120</v>
      </c>
      <c r="M2472" s="12">
        <v>6974.6096078197652</v>
      </c>
      <c r="N2472" s="12">
        <v>6974.6096078197652</v>
      </c>
      <c r="O2472" s="12">
        <v>1325.175825485755</v>
      </c>
      <c r="P2472" s="13"/>
      <c r="Q2472" s="14">
        <v>2025</v>
      </c>
      <c r="R2472" s="15">
        <v>45352</v>
      </c>
      <c r="S2472" s="11" t="s">
        <v>355</v>
      </c>
      <c r="T2472" s="16">
        <v>0</v>
      </c>
      <c r="U2472" s="17"/>
      <c r="V2472" s="12">
        <v>1123.6096078197643</v>
      </c>
      <c r="W2472" s="12">
        <v>1123.6096078197643</v>
      </c>
      <c r="X2472" s="12">
        <v>0</v>
      </c>
      <c r="Y2472" s="18">
        <v>45747</v>
      </c>
      <c r="Z2472" s="13" t="s">
        <v>523</v>
      </c>
      <c r="AA2472" s="19" t="str">
        <f>VLOOKUP(D2472,Clientes!$A$2:$J$486,9,FALSE)</f>
        <v>Ocacional</v>
      </c>
      <c r="AB2472" s="13" t="str">
        <f>VLOOKUP(D2472,Clientes!$A$2:$K$486,11,FALSE)</f>
        <v>Persona Natural</v>
      </c>
      <c r="AC2472" s="13" t="str">
        <f>VLOOKUP(D2472,Clientes!$A$2:$B$486,2,FALSE)</f>
        <v>Jardines de la viña</v>
      </c>
      <c r="AD2472" s="20"/>
      <c r="AE2472" s="20"/>
      <c r="AF2472" s="13" t="s">
        <v>40</v>
      </c>
      <c r="AG2472" s="15">
        <v>45352</v>
      </c>
      <c r="AH2472" s="13" t="s">
        <v>41</v>
      </c>
      <c r="AI2472" s="13" t="s">
        <v>43</v>
      </c>
      <c r="AJ2472" s="13" t="str">
        <f>VLOOKUP(E2472,Precios!Z$2:AA$941,2,FALSE)</f>
        <v>Bandeja Huevos EXTRA</v>
      </c>
      <c r="AK2472" s="14">
        <f>VLOOKUP(E2472,Precios!Z$2:BB$941,3,FALSE)*F2472</f>
        <v>-1</v>
      </c>
      <c r="AL2472" s="17"/>
      <c r="AM2472" s="17"/>
      <c r="AN2472" s="17"/>
      <c r="AO2472" s="17"/>
      <c r="AP2472" s="17"/>
      <c r="AQ2472" s="17"/>
      <c r="AR2472" s="17"/>
      <c r="AS2472" s="17"/>
      <c r="AT2472" s="17"/>
      <c r="AU2472" s="17"/>
      <c r="AV2472" s="17"/>
    </row>
    <row r="2473" spans="1:48" ht="15.75" customHeight="1">
      <c r="A2473" s="21" t="s">
        <v>35</v>
      </c>
      <c r="B2473" s="23" t="s">
        <v>1692</v>
      </c>
      <c r="C2473" s="22">
        <v>45747</v>
      </c>
      <c r="D2473" s="23" t="s">
        <v>297</v>
      </c>
      <c r="E2473" s="23" t="s">
        <v>46</v>
      </c>
      <c r="F2473" s="21">
        <v>1</v>
      </c>
      <c r="G2473" s="12">
        <v>5500</v>
      </c>
      <c r="H2473" s="12">
        <v>5500</v>
      </c>
      <c r="I2473" s="23" t="s">
        <v>52</v>
      </c>
      <c r="J2473" s="23" t="s">
        <v>61</v>
      </c>
      <c r="K2473" s="24" t="s">
        <v>177</v>
      </c>
      <c r="L2473" s="24">
        <v>120</v>
      </c>
      <c r="M2473" s="12">
        <v>4621.8487394957983</v>
      </c>
      <c r="N2473" s="12">
        <v>4621.8487394957983</v>
      </c>
      <c r="O2473" s="12">
        <v>878.15126050420167</v>
      </c>
      <c r="P2473" s="13"/>
      <c r="Q2473" s="14">
        <v>2025</v>
      </c>
      <c r="R2473" s="15">
        <v>45352</v>
      </c>
      <c r="S2473" s="11" t="s">
        <v>364</v>
      </c>
      <c r="T2473" s="16">
        <v>500</v>
      </c>
      <c r="U2473" s="17"/>
      <c r="V2473" s="12">
        <v>1365.1260504201678</v>
      </c>
      <c r="W2473" s="12">
        <v>1365.1260504201678</v>
      </c>
      <c r="X2473" s="12">
        <v>0</v>
      </c>
      <c r="Y2473" s="18">
        <v>45747</v>
      </c>
      <c r="Z2473" s="13" t="s">
        <v>523</v>
      </c>
      <c r="AA2473" s="19" t="str">
        <f>VLOOKUP(D2473,Clientes!$A$2:$J$486,9,FALSE)</f>
        <v>Ocacional</v>
      </c>
      <c r="AB2473" s="13" t="str">
        <f>VLOOKUP(D2473,Clientes!$A$2:$K$486,11,FALSE)</f>
        <v>Persona Natural</v>
      </c>
      <c r="AC2473" s="13" t="str">
        <f>VLOOKUP(D2473,Clientes!$A$2:$B$486,2,FALSE)</f>
        <v>Jardines de la viña</v>
      </c>
      <c r="AD2473" s="20"/>
      <c r="AE2473" s="20"/>
      <c r="AF2473" s="13" t="s">
        <v>40</v>
      </c>
      <c r="AG2473" s="15">
        <v>45352</v>
      </c>
      <c r="AH2473" s="13" t="s">
        <v>41</v>
      </c>
      <c r="AI2473" s="13" t="s">
        <v>35</v>
      </c>
      <c r="AJ2473" s="13" t="str">
        <f>VLOOKUP(E2473,Precios!Z$2:AA$941,2,FALSE)</f>
        <v>Queso RUNCA Mantecoso</v>
      </c>
      <c r="AK2473" s="14">
        <f>VLOOKUP(E2473,Precios!Z$2:BB$941,3,FALSE)*F2473</f>
        <v>-0.5</v>
      </c>
      <c r="AL2473" s="17"/>
      <c r="AM2473" s="17"/>
      <c r="AN2473" s="17"/>
      <c r="AO2473" s="17"/>
      <c r="AP2473" s="17"/>
      <c r="AQ2473" s="17"/>
      <c r="AR2473" s="17"/>
      <c r="AS2473" s="17"/>
      <c r="AT2473" s="17"/>
      <c r="AU2473" s="17"/>
      <c r="AV2473" s="17"/>
    </row>
    <row r="2474" spans="1:48" ht="15.75" customHeight="1">
      <c r="A2474" s="21" t="s">
        <v>76</v>
      </c>
      <c r="B2474" s="23" t="s">
        <v>1692</v>
      </c>
      <c r="C2474" s="22">
        <v>45747</v>
      </c>
      <c r="D2474" s="23" t="s">
        <v>152</v>
      </c>
      <c r="E2474" s="23" t="s">
        <v>81</v>
      </c>
      <c r="F2474" s="21">
        <v>1</v>
      </c>
      <c r="G2474" s="12">
        <v>3500.0000000000005</v>
      </c>
      <c r="H2474" s="12">
        <v>3500.0000000000005</v>
      </c>
      <c r="I2474" s="23" t="s">
        <v>52</v>
      </c>
      <c r="J2474" s="23" t="s">
        <v>61</v>
      </c>
      <c r="K2474" s="24" t="s">
        <v>177</v>
      </c>
      <c r="L2474" s="24">
        <v>120</v>
      </c>
      <c r="M2474" s="12">
        <v>2941.1764705882356</v>
      </c>
      <c r="N2474" s="12">
        <v>2941.1764705882356</v>
      </c>
      <c r="O2474" s="12">
        <v>558.82352941176487</v>
      </c>
      <c r="P2474" s="13"/>
      <c r="Q2474" s="14">
        <v>2025</v>
      </c>
      <c r="R2474" s="15">
        <v>45352</v>
      </c>
      <c r="S2474" s="11" t="s">
        <v>397</v>
      </c>
      <c r="T2474" s="16">
        <v>5</v>
      </c>
      <c r="U2474" s="17"/>
      <c r="V2474" s="12">
        <v>764.70588235294144</v>
      </c>
      <c r="W2474" s="12">
        <v>764.70588235294144</v>
      </c>
      <c r="X2474" s="12">
        <v>0</v>
      </c>
      <c r="Y2474" s="18">
        <v>45747</v>
      </c>
      <c r="Z2474" s="13" t="s">
        <v>523</v>
      </c>
      <c r="AA2474" s="19" t="str">
        <f>VLOOKUP(D2474,Clientes!$A$2:$J$486,9,FALSE)</f>
        <v>Ocacional</v>
      </c>
      <c r="AB2474" s="13" t="str">
        <f>VLOOKUP(D2474,Clientes!$A$2:$K$486,11,FALSE)</f>
        <v>Persona Natural</v>
      </c>
      <c r="AC2474" s="13" t="str">
        <f>VLOOKUP(D2474,Clientes!$A$2:$B$486,2,FALSE)</f>
        <v>Jardines de la viña</v>
      </c>
      <c r="AD2474" s="20"/>
      <c r="AE2474" s="20"/>
      <c r="AF2474" s="13" t="s">
        <v>40</v>
      </c>
      <c r="AG2474" s="15">
        <v>45352</v>
      </c>
      <c r="AH2474" s="13" t="s">
        <v>41</v>
      </c>
      <c r="AI2474" s="13" t="s">
        <v>76</v>
      </c>
      <c r="AJ2474" s="13" t="str">
        <f>VLOOKUP(E2474,Precios!Z$2:AA$941,2,FALSE)</f>
        <v>Detergente SPUM 5 Litros (Verde)</v>
      </c>
      <c r="AK2474" s="14">
        <f>VLOOKUP(E2474,Precios!Z$2:BB$941,3,FALSE)*F2474</f>
        <v>-1</v>
      </c>
      <c r="AL2474" s="17"/>
      <c r="AM2474" s="17"/>
      <c r="AN2474" s="17"/>
      <c r="AO2474" s="17"/>
      <c r="AP2474" s="17"/>
      <c r="AQ2474" s="17"/>
      <c r="AR2474" s="17"/>
      <c r="AS2474" s="17"/>
      <c r="AT2474" s="17"/>
      <c r="AU2474" s="17"/>
      <c r="AV2474" s="17"/>
    </row>
    <row r="2475" spans="1:48" ht="15.75" customHeight="1">
      <c r="A2475" s="21" t="s">
        <v>76</v>
      </c>
      <c r="B2475" s="23" t="s">
        <v>1692</v>
      </c>
      <c r="C2475" s="22">
        <v>45747</v>
      </c>
      <c r="D2475" s="23" t="s">
        <v>152</v>
      </c>
      <c r="E2475" s="23" t="s">
        <v>77</v>
      </c>
      <c r="F2475" s="21">
        <v>1</v>
      </c>
      <c r="G2475" s="12">
        <v>1500.0000000000002</v>
      </c>
      <c r="H2475" s="12">
        <v>1500.0000000000002</v>
      </c>
      <c r="I2475" s="23" t="s">
        <v>52</v>
      </c>
      <c r="J2475" s="23" t="s">
        <v>61</v>
      </c>
      <c r="K2475" s="24" t="s">
        <v>177</v>
      </c>
      <c r="L2475" s="24">
        <v>120</v>
      </c>
      <c r="M2475" s="12">
        <v>1260.5042016806726</v>
      </c>
      <c r="N2475" s="12">
        <v>1260.5042016806726</v>
      </c>
      <c r="O2475" s="12">
        <v>239.4957983193276</v>
      </c>
      <c r="P2475" s="13"/>
      <c r="Q2475" s="14">
        <v>2025</v>
      </c>
      <c r="R2475" s="15">
        <v>45352</v>
      </c>
      <c r="S2475" s="11" t="s">
        <v>448</v>
      </c>
      <c r="T2475" s="16">
        <v>0</v>
      </c>
      <c r="U2475" s="17"/>
      <c r="V2475" s="12">
        <v>421.00840336134468</v>
      </c>
      <c r="W2475" s="12">
        <v>421.00840336134468</v>
      </c>
      <c r="X2475" s="12">
        <v>0</v>
      </c>
      <c r="Y2475" s="18">
        <v>45747</v>
      </c>
      <c r="Z2475" s="13" t="s">
        <v>523</v>
      </c>
      <c r="AA2475" s="19" t="str">
        <f>VLOOKUP(D2475,Clientes!$A$2:$J$486,9,FALSE)</f>
        <v>Ocacional</v>
      </c>
      <c r="AB2475" s="13" t="str">
        <f>VLOOKUP(D2475,Clientes!$A$2:$K$486,11,FALSE)</f>
        <v>Persona Natural</v>
      </c>
      <c r="AC2475" s="13" t="str">
        <f>VLOOKUP(D2475,Clientes!$A$2:$B$486,2,FALSE)</f>
        <v>Jardines de la viña</v>
      </c>
      <c r="AD2475" s="20"/>
      <c r="AE2475" s="20"/>
      <c r="AF2475" s="13" t="s">
        <v>40</v>
      </c>
      <c r="AG2475" s="15">
        <v>45352</v>
      </c>
      <c r="AH2475" s="13" t="s">
        <v>41</v>
      </c>
      <c r="AI2475" s="13" t="s">
        <v>76</v>
      </c>
      <c r="AJ2475" s="13" t="str">
        <f>VLOOKUP(E2475,Precios!Z$2:AA$941,2,FALSE)</f>
        <v>Cloro GEL IGENIX 900ml</v>
      </c>
      <c r="AK2475" s="14">
        <f>VLOOKUP(E2475,Precios!Z$2:BB$941,3,FALSE)*F2475</f>
        <v>-1</v>
      </c>
      <c r="AL2475" s="17"/>
      <c r="AM2475" s="17"/>
      <c r="AN2475" s="17"/>
      <c r="AO2475" s="17"/>
      <c r="AP2475" s="17"/>
      <c r="AQ2475" s="17"/>
      <c r="AR2475" s="17"/>
      <c r="AS2475" s="17"/>
      <c r="AT2475" s="17"/>
      <c r="AU2475" s="17"/>
      <c r="AV2475" s="17"/>
    </row>
    <row r="2476" spans="1:48" ht="15.75" customHeight="1">
      <c r="A2476" s="21" t="s">
        <v>47</v>
      </c>
      <c r="B2476" s="23" t="s">
        <v>1692</v>
      </c>
      <c r="C2476" s="22">
        <v>45747</v>
      </c>
      <c r="D2476" s="23" t="s">
        <v>152</v>
      </c>
      <c r="E2476" s="23" t="s">
        <v>475</v>
      </c>
      <c r="F2476" s="21">
        <v>1</v>
      </c>
      <c r="G2476" s="12">
        <v>1500.121212121212</v>
      </c>
      <c r="H2476" s="12">
        <v>1500.121212121212</v>
      </c>
      <c r="I2476" s="23" t="s">
        <v>52</v>
      </c>
      <c r="J2476" s="23" t="s">
        <v>61</v>
      </c>
      <c r="K2476" s="24" t="s">
        <v>177</v>
      </c>
      <c r="L2476" s="24">
        <v>120</v>
      </c>
      <c r="M2476" s="12">
        <v>1260.6060606060605</v>
      </c>
      <c r="N2476" s="12">
        <v>1260.6060606060605</v>
      </c>
      <c r="O2476" s="12">
        <v>239.5151515151515</v>
      </c>
      <c r="P2476" s="13"/>
      <c r="Q2476" s="14">
        <v>2025</v>
      </c>
      <c r="R2476" s="15">
        <v>45352</v>
      </c>
      <c r="S2476" s="11" t="s">
        <v>476</v>
      </c>
      <c r="T2476" s="16">
        <v>0</v>
      </c>
      <c r="U2476" s="17"/>
      <c r="V2476" s="12">
        <v>532.60606060606051</v>
      </c>
      <c r="W2476" s="12">
        <v>532.60606060606051</v>
      </c>
      <c r="X2476" s="12">
        <v>0</v>
      </c>
      <c r="Y2476" s="18">
        <v>45747</v>
      </c>
      <c r="Z2476" s="13" t="s">
        <v>523</v>
      </c>
      <c r="AA2476" s="19" t="str">
        <f>VLOOKUP(D2476,Clientes!$A$2:$J$486,9,FALSE)</f>
        <v>Ocacional</v>
      </c>
      <c r="AB2476" s="13" t="str">
        <f>VLOOKUP(D2476,Clientes!$A$2:$K$486,11,FALSE)</f>
        <v>Persona Natural</v>
      </c>
      <c r="AC2476" s="13" t="str">
        <f>VLOOKUP(D2476,Clientes!$A$2:$B$486,2,FALSE)</f>
        <v>Jardines de la viña</v>
      </c>
      <c r="AD2476" s="20"/>
      <c r="AE2476" s="20"/>
      <c r="AF2476" s="13" t="s">
        <v>40</v>
      </c>
      <c r="AG2476" s="15">
        <v>45352</v>
      </c>
      <c r="AH2476" s="13" t="s">
        <v>41</v>
      </c>
      <c r="AI2476" s="13" t="s">
        <v>47</v>
      </c>
      <c r="AJ2476" s="13" t="str">
        <f>VLOOKUP(E2476,Precios!Z$2:AA$941,2,FALSE)</f>
        <v>Ambiental Tubo TEDDY</v>
      </c>
      <c r="AK2476" s="14">
        <f>VLOOKUP(E2476,Precios!Z$2:BB$941,3,FALSE)*F2476</f>
        <v>-1</v>
      </c>
      <c r="AL2476" s="17"/>
      <c r="AM2476" s="17"/>
      <c r="AN2476" s="17"/>
      <c r="AO2476" s="17"/>
      <c r="AP2476" s="17"/>
      <c r="AQ2476" s="17"/>
      <c r="AR2476" s="17"/>
      <c r="AS2476" s="17"/>
      <c r="AT2476" s="17"/>
      <c r="AU2476" s="17"/>
      <c r="AV2476" s="17"/>
    </row>
    <row r="2477" spans="1:48" ht="15.75" customHeight="1">
      <c r="A2477" s="21" t="s">
        <v>76</v>
      </c>
      <c r="B2477" s="23" t="s">
        <v>1692</v>
      </c>
      <c r="C2477" s="22">
        <v>45747</v>
      </c>
      <c r="D2477" s="23" t="s">
        <v>80</v>
      </c>
      <c r="E2477" s="23" t="s">
        <v>81</v>
      </c>
      <c r="F2477" s="21">
        <v>1</v>
      </c>
      <c r="G2477" s="12">
        <v>3500.0000000000005</v>
      </c>
      <c r="H2477" s="12">
        <v>3500.0000000000005</v>
      </c>
      <c r="I2477" s="23" t="s">
        <v>52</v>
      </c>
      <c r="J2477" s="23" t="s">
        <v>61</v>
      </c>
      <c r="K2477" s="24" t="s">
        <v>177</v>
      </c>
      <c r="L2477" s="24">
        <v>120</v>
      </c>
      <c r="M2477" s="12">
        <v>2941.1764705882356</v>
      </c>
      <c r="N2477" s="12">
        <v>2941.1764705882356</v>
      </c>
      <c r="O2477" s="12">
        <v>558.82352941176487</v>
      </c>
      <c r="P2477" s="13"/>
      <c r="Q2477" s="14">
        <v>2025</v>
      </c>
      <c r="R2477" s="15">
        <v>45352</v>
      </c>
      <c r="S2477" s="11" t="s">
        <v>397</v>
      </c>
      <c r="T2477" s="16">
        <v>5</v>
      </c>
      <c r="U2477" s="17"/>
      <c r="V2477" s="12">
        <v>764.70588235294144</v>
      </c>
      <c r="W2477" s="12">
        <v>764.70588235294144</v>
      </c>
      <c r="X2477" s="12">
        <v>0</v>
      </c>
      <c r="Y2477" s="18">
        <v>45747</v>
      </c>
      <c r="Z2477" s="13" t="s">
        <v>523</v>
      </c>
      <c r="AA2477" s="19" t="str">
        <f>VLOOKUP(D2477,Clientes!$A$2:$J$486,9,FALSE)</f>
        <v>Frecuente</v>
      </c>
      <c r="AB2477" s="13" t="str">
        <f>VLOOKUP(D2477,Clientes!$A$2:$K$486,11,FALSE)</f>
        <v>Persona Natural</v>
      </c>
      <c r="AC2477" s="13" t="str">
        <f>VLOOKUP(D2477,Clientes!$A$2:$B$486,2,FALSE)</f>
        <v>Jardines de la Viña</v>
      </c>
      <c r="AD2477" s="20"/>
      <c r="AE2477" s="20"/>
      <c r="AF2477" s="13" t="s">
        <v>40</v>
      </c>
      <c r="AG2477" s="15">
        <v>45352</v>
      </c>
      <c r="AH2477" s="13" t="s">
        <v>41</v>
      </c>
      <c r="AI2477" s="13" t="s">
        <v>76</v>
      </c>
      <c r="AJ2477" s="13" t="str">
        <f>VLOOKUP(E2477,Precios!Z$2:AA$941,2,FALSE)</f>
        <v>Detergente SPUM 5 Litros (Verde)</v>
      </c>
      <c r="AK2477" s="14">
        <f>VLOOKUP(E2477,Precios!Z$2:BB$941,3,FALSE)*F2477</f>
        <v>-1</v>
      </c>
      <c r="AL2477" s="17"/>
      <c r="AM2477" s="17"/>
      <c r="AN2477" s="17"/>
      <c r="AO2477" s="17"/>
      <c r="AP2477" s="17"/>
      <c r="AQ2477" s="17"/>
      <c r="AR2477" s="17"/>
      <c r="AS2477" s="17"/>
      <c r="AT2477" s="17"/>
      <c r="AU2477" s="17"/>
      <c r="AV2477" s="17"/>
    </row>
    <row r="2478" spans="1:48" ht="15.75" customHeight="1">
      <c r="A2478" s="21" t="s">
        <v>43</v>
      </c>
      <c r="B2478" s="23" t="s">
        <v>1692</v>
      </c>
      <c r="C2478" s="22">
        <v>45747</v>
      </c>
      <c r="D2478" s="23" t="s">
        <v>717</v>
      </c>
      <c r="E2478" s="23" t="s">
        <v>45</v>
      </c>
      <c r="F2478" s="21">
        <v>1</v>
      </c>
      <c r="G2478" s="12">
        <v>8299.7854333055202</v>
      </c>
      <c r="H2478" s="12">
        <v>8299.7854333055202</v>
      </c>
      <c r="I2478" s="23" t="s">
        <v>52</v>
      </c>
      <c r="J2478" s="23" t="s">
        <v>61</v>
      </c>
      <c r="K2478" s="24" t="s">
        <v>177</v>
      </c>
      <c r="L2478" s="24">
        <v>120</v>
      </c>
      <c r="M2478" s="12">
        <v>6974.6096078197652</v>
      </c>
      <c r="N2478" s="12">
        <v>6974.6096078197652</v>
      </c>
      <c r="O2478" s="12">
        <v>1325.175825485755</v>
      </c>
      <c r="P2478" s="13"/>
      <c r="Q2478" s="14">
        <v>2025</v>
      </c>
      <c r="R2478" s="15">
        <v>45352</v>
      </c>
      <c r="S2478" s="11" t="s">
        <v>355</v>
      </c>
      <c r="T2478" s="16">
        <v>0</v>
      </c>
      <c r="U2478" s="17"/>
      <c r="V2478" s="12">
        <v>1123.6096078197643</v>
      </c>
      <c r="W2478" s="12">
        <v>1123.6096078197643</v>
      </c>
      <c r="X2478" s="12">
        <v>0</v>
      </c>
      <c r="Y2478" s="18">
        <v>45747</v>
      </c>
      <c r="Z2478" s="13" t="s">
        <v>523</v>
      </c>
      <c r="AA2478" s="19" t="str">
        <f>VLOOKUP(D2478,Clientes!$A$2:$J$486,9,FALSE)</f>
        <v>Ocacional</v>
      </c>
      <c r="AB2478" s="13" t="str">
        <f>VLOOKUP(D2478,Clientes!$A$2:$K$486,11,FALSE)</f>
        <v>Persona Natural</v>
      </c>
      <c r="AC2478" s="13" t="str">
        <f>VLOOKUP(D2478,Clientes!$A$2:$B$486,2,FALSE)</f>
        <v>Palena</v>
      </c>
      <c r="AD2478" s="20"/>
      <c r="AE2478" s="20"/>
      <c r="AF2478" s="13" t="s">
        <v>40</v>
      </c>
      <c r="AG2478" s="15">
        <v>45352</v>
      </c>
      <c r="AH2478" s="13" t="s">
        <v>41</v>
      </c>
      <c r="AI2478" s="13" t="s">
        <v>43</v>
      </c>
      <c r="AJ2478" s="13" t="str">
        <f>VLOOKUP(E2478,Precios!Z$2:AA$941,2,FALSE)</f>
        <v>Bandeja Huevos EXTRA</v>
      </c>
      <c r="AK2478" s="14">
        <f>VLOOKUP(E2478,Precios!Z$2:BB$941,3,FALSE)*F2478</f>
        <v>-1</v>
      </c>
      <c r="AL2478" s="17"/>
      <c r="AM2478" s="17"/>
      <c r="AN2478" s="17"/>
      <c r="AO2478" s="17"/>
      <c r="AP2478" s="17"/>
      <c r="AQ2478" s="17"/>
      <c r="AR2478" s="17"/>
      <c r="AS2478" s="17"/>
      <c r="AT2478" s="17"/>
      <c r="AU2478" s="17"/>
      <c r="AV2478" s="17"/>
    </row>
    <row r="2479" spans="1:48" ht="15.75" customHeight="1">
      <c r="A2479" s="21" t="s">
        <v>76</v>
      </c>
      <c r="B2479" s="23" t="s">
        <v>1692</v>
      </c>
      <c r="C2479" s="22">
        <v>45747</v>
      </c>
      <c r="D2479" s="23" t="s">
        <v>552</v>
      </c>
      <c r="E2479" s="23" t="s">
        <v>81</v>
      </c>
      <c r="F2479" s="21">
        <v>3</v>
      </c>
      <c r="G2479" s="12">
        <v>3500.0000000000005</v>
      </c>
      <c r="H2479" s="12">
        <v>10500.000000000002</v>
      </c>
      <c r="I2479" s="23" t="s">
        <v>52</v>
      </c>
      <c r="J2479" s="23" t="s">
        <v>61</v>
      </c>
      <c r="K2479" s="24" t="s">
        <v>177</v>
      </c>
      <c r="L2479" s="24">
        <v>120</v>
      </c>
      <c r="M2479" s="12">
        <v>2941.1764705882356</v>
      </c>
      <c r="N2479" s="12">
        <v>8823.5294117647081</v>
      </c>
      <c r="O2479" s="12">
        <v>1676.4705882352937</v>
      </c>
      <c r="P2479" s="13"/>
      <c r="Q2479" s="14">
        <v>2025</v>
      </c>
      <c r="R2479" s="15">
        <v>45352</v>
      </c>
      <c r="S2479" s="11" t="s">
        <v>397</v>
      </c>
      <c r="T2479" s="16">
        <v>15</v>
      </c>
      <c r="U2479" s="17"/>
      <c r="V2479" s="12">
        <v>2294.1176470588243</v>
      </c>
      <c r="W2479" s="12">
        <v>2294.1176470588243</v>
      </c>
      <c r="X2479" s="12">
        <v>0</v>
      </c>
      <c r="Y2479" s="18">
        <v>45747</v>
      </c>
      <c r="Z2479" s="13" t="s">
        <v>523</v>
      </c>
      <c r="AA2479" s="19" t="str">
        <f>VLOOKUP(D2479,Clientes!$A$2:$J$486,9,FALSE)</f>
        <v>Ocacional</v>
      </c>
      <c r="AB2479" s="13" t="str">
        <f>VLOOKUP(D2479,Clientes!$A$2:$K$486,11,FALSE)</f>
        <v>Persona Natural</v>
      </c>
      <c r="AC2479" s="13" t="str">
        <f>VLOOKUP(D2479,Clientes!$A$2:$B$486,2,FALSE)</f>
        <v>Sector Diego Portales</v>
      </c>
      <c r="AD2479" s="20"/>
      <c r="AE2479" s="20"/>
      <c r="AF2479" s="13" t="s">
        <v>40</v>
      </c>
      <c r="AG2479" s="15">
        <v>45352</v>
      </c>
      <c r="AH2479" s="13" t="s">
        <v>41</v>
      </c>
      <c r="AI2479" s="13" t="s">
        <v>76</v>
      </c>
      <c r="AJ2479" s="13" t="str">
        <f>VLOOKUP(E2479,Precios!Z$2:AA$941,2,FALSE)</f>
        <v>Detergente SPUM 5 Litros (Verde)</v>
      </c>
      <c r="AK2479" s="14">
        <f>VLOOKUP(E2479,Precios!Z$2:BB$941,3,FALSE)*F2479</f>
        <v>-3</v>
      </c>
      <c r="AL2479" s="17"/>
      <c r="AM2479" s="17"/>
      <c r="AN2479" s="17"/>
      <c r="AO2479" s="17"/>
      <c r="AP2479" s="17"/>
      <c r="AQ2479" s="17"/>
      <c r="AR2479" s="17"/>
      <c r="AS2479" s="17"/>
      <c r="AT2479" s="17"/>
      <c r="AU2479" s="17"/>
      <c r="AV2479" s="17"/>
    </row>
    <row r="2480" spans="1:48" ht="15.75" customHeight="1">
      <c r="A2480" s="21" t="s">
        <v>76</v>
      </c>
      <c r="B2480" s="23" t="s">
        <v>1692</v>
      </c>
      <c r="C2480" s="22">
        <v>45747</v>
      </c>
      <c r="D2480" s="23" t="s">
        <v>552</v>
      </c>
      <c r="E2480" s="23" t="s">
        <v>212</v>
      </c>
      <c r="F2480" s="21">
        <v>1</v>
      </c>
      <c r="G2480" s="12">
        <v>3000.0000000000005</v>
      </c>
      <c r="H2480" s="12">
        <v>3000.0000000000005</v>
      </c>
      <c r="I2480" s="23" t="s">
        <v>52</v>
      </c>
      <c r="J2480" s="23" t="s">
        <v>61</v>
      </c>
      <c r="K2480" s="24" t="s">
        <v>177</v>
      </c>
      <c r="L2480" s="24">
        <v>120</v>
      </c>
      <c r="M2480" s="12">
        <v>2521.0084033613452</v>
      </c>
      <c r="N2480" s="12">
        <v>2521.0084033613452</v>
      </c>
      <c r="O2480" s="12">
        <v>478.99159663865521</v>
      </c>
      <c r="P2480" s="13"/>
      <c r="Q2480" s="14">
        <v>2025</v>
      </c>
      <c r="R2480" s="15">
        <v>45352</v>
      </c>
      <c r="S2480" s="11" t="s">
        <v>446</v>
      </c>
      <c r="T2480" s="16">
        <v>5</v>
      </c>
      <c r="U2480" s="17"/>
      <c r="V2480" s="12">
        <v>764.70588235294144</v>
      </c>
      <c r="W2480" s="12">
        <v>764.70588235294144</v>
      </c>
      <c r="X2480" s="12">
        <v>0</v>
      </c>
      <c r="Y2480" s="18">
        <v>45747</v>
      </c>
      <c r="Z2480" s="13" t="s">
        <v>523</v>
      </c>
      <c r="AA2480" s="19" t="str">
        <f>VLOOKUP(D2480,Clientes!$A$2:$J$486,9,FALSE)</f>
        <v>Ocacional</v>
      </c>
      <c r="AB2480" s="13" t="str">
        <f>VLOOKUP(D2480,Clientes!$A$2:$K$486,11,FALSE)</f>
        <v>Persona Natural</v>
      </c>
      <c r="AC2480" s="13" t="str">
        <f>VLOOKUP(D2480,Clientes!$A$2:$B$486,2,FALSE)</f>
        <v>Sector Diego Portales</v>
      </c>
      <c r="AD2480" s="20"/>
      <c r="AE2480" s="20"/>
      <c r="AF2480" s="13" t="s">
        <v>40</v>
      </c>
      <c r="AG2480" s="15">
        <v>45352</v>
      </c>
      <c r="AH2480" s="13" t="s">
        <v>41</v>
      </c>
      <c r="AI2480" s="13" t="s">
        <v>76</v>
      </c>
      <c r="AJ2480" s="13" t="str">
        <f>VLOOKUP(E2480,Precios!Z$2:AA$941,2,FALSE)</f>
        <v>Suavizante SPUM 5 Litros</v>
      </c>
      <c r="AK2480" s="14">
        <f>VLOOKUP(E2480,Precios!Z$2:BB$941,3,FALSE)*F2480</f>
        <v>-1</v>
      </c>
      <c r="AL2480" s="17"/>
      <c r="AM2480" s="17"/>
      <c r="AN2480" s="17"/>
      <c r="AO2480" s="17"/>
      <c r="AP2480" s="17"/>
      <c r="AQ2480" s="17"/>
      <c r="AR2480" s="17"/>
      <c r="AS2480" s="17"/>
      <c r="AT2480" s="17"/>
      <c r="AU2480" s="17"/>
      <c r="AV2480" s="17"/>
    </row>
    <row r="2481" spans="1:48" ht="15.75" customHeight="1">
      <c r="A2481" s="21" t="s">
        <v>76</v>
      </c>
      <c r="B2481" s="23" t="s">
        <v>1692</v>
      </c>
      <c r="C2481" s="22">
        <v>45747</v>
      </c>
      <c r="D2481" s="23" t="s">
        <v>552</v>
      </c>
      <c r="E2481" s="23" t="s">
        <v>82</v>
      </c>
      <c r="F2481" s="21">
        <v>1</v>
      </c>
      <c r="G2481" s="12">
        <v>2000.0000000000002</v>
      </c>
      <c r="H2481" s="12">
        <v>2000.0000000000002</v>
      </c>
      <c r="I2481" s="23" t="s">
        <v>52</v>
      </c>
      <c r="J2481" s="23" t="s">
        <v>61</v>
      </c>
      <c r="K2481" s="24" t="s">
        <v>177</v>
      </c>
      <c r="L2481" s="24">
        <v>120</v>
      </c>
      <c r="M2481" s="12">
        <v>1680.6722689075632</v>
      </c>
      <c r="N2481" s="12">
        <v>1680.6722689075632</v>
      </c>
      <c r="O2481" s="12">
        <v>319.32773109243703</v>
      </c>
      <c r="P2481" s="13"/>
      <c r="Q2481" s="14">
        <v>2025</v>
      </c>
      <c r="R2481" s="15">
        <v>45352</v>
      </c>
      <c r="S2481" s="11" t="s">
        <v>463</v>
      </c>
      <c r="T2481" s="16">
        <v>5</v>
      </c>
      <c r="U2481" s="17"/>
      <c r="V2481" s="12">
        <v>680.67226890756319</v>
      </c>
      <c r="W2481" s="12">
        <v>680.67226890756319</v>
      </c>
      <c r="X2481" s="12">
        <v>0</v>
      </c>
      <c r="Y2481" s="18">
        <v>45747</v>
      </c>
      <c r="Z2481" s="13" t="s">
        <v>523</v>
      </c>
      <c r="AA2481" s="19" t="str">
        <f>VLOOKUP(D2481,Clientes!$A$2:$J$486,9,FALSE)</f>
        <v>Ocacional</v>
      </c>
      <c r="AB2481" s="13" t="str">
        <f>VLOOKUP(D2481,Clientes!$A$2:$K$486,11,FALSE)</f>
        <v>Persona Natural</v>
      </c>
      <c r="AC2481" s="13" t="str">
        <f>VLOOKUP(D2481,Clientes!$A$2:$B$486,2,FALSE)</f>
        <v>Sector Diego Portales</v>
      </c>
      <c r="AD2481" s="20"/>
      <c r="AE2481" s="20"/>
      <c r="AF2481" s="13" t="s">
        <v>40</v>
      </c>
      <c r="AG2481" s="15">
        <v>45352</v>
      </c>
      <c r="AH2481" s="13" t="s">
        <v>41</v>
      </c>
      <c r="AI2481" s="13" t="s">
        <v>76</v>
      </c>
      <c r="AJ2481" s="13" t="str">
        <f>VLOOKUP(E2481,Precios!Z$2:AA$941,2,FALSE)</f>
        <v>Limpiapiso SPUM 5 Litros</v>
      </c>
      <c r="AK2481" s="14">
        <f>VLOOKUP(E2481,Precios!Z$2:BB$941,3,FALSE)*F2481</f>
        <v>-1</v>
      </c>
      <c r="AL2481" s="17"/>
      <c r="AM2481" s="17"/>
      <c r="AN2481" s="17"/>
      <c r="AO2481" s="17"/>
      <c r="AP2481" s="17"/>
      <c r="AQ2481" s="17"/>
      <c r="AR2481" s="17"/>
      <c r="AS2481" s="17"/>
      <c r="AT2481" s="17"/>
      <c r="AU2481" s="17"/>
      <c r="AV2481" s="17"/>
    </row>
    <row r="2482" spans="1:48" ht="15.75" customHeight="1">
      <c r="A2482" s="21" t="s">
        <v>47</v>
      </c>
      <c r="B2482" s="23" t="s">
        <v>1692</v>
      </c>
      <c r="C2482" s="22">
        <v>45747</v>
      </c>
      <c r="D2482" s="23" t="s">
        <v>552</v>
      </c>
      <c r="E2482" s="23" t="s">
        <v>48</v>
      </c>
      <c r="F2482" s="21">
        <v>2</v>
      </c>
      <c r="G2482" s="12">
        <v>1000</v>
      </c>
      <c r="H2482" s="12">
        <v>2000</v>
      </c>
      <c r="I2482" s="23" t="s">
        <v>52</v>
      </c>
      <c r="J2482" s="23" t="s">
        <v>61</v>
      </c>
      <c r="K2482" s="24" t="s">
        <v>177</v>
      </c>
      <c r="L2482" s="24">
        <v>120</v>
      </c>
      <c r="M2482" s="12">
        <v>840.3361344537816</v>
      </c>
      <c r="N2482" s="12">
        <v>1680.6722689075632</v>
      </c>
      <c r="O2482" s="12">
        <v>319.32773109243681</v>
      </c>
      <c r="P2482" s="13"/>
      <c r="Q2482" s="14">
        <v>2025</v>
      </c>
      <c r="R2482" s="15">
        <v>45352</v>
      </c>
      <c r="S2482" s="11" t="s">
        <v>416</v>
      </c>
      <c r="T2482" s="16">
        <v>0</v>
      </c>
      <c r="U2482" s="17"/>
      <c r="V2482" s="12">
        <v>660.67226890756297</v>
      </c>
      <c r="W2482" s="12">
        <v>660.67226890756297</v>
      </c>
      <c r="X2482" s="12">
        <v>0</v>
      </c>
      <c r="Y2482" s="18">
        <v>45747</v>
      </c>
      <c r="Z2482" s="13" t="s">
        <v>523</v>
      </c>
      <c r="AA2482" s="19" t="str">
        <f>VLOOKUP(D2482,Clientes!$A$2:$J$486,9,FALSE)</f>
        <v>Ocacional</v>
      </c>
      <c r="AB2482" s="13" t="str">
        <f>VLOOKUP(D2482,Clientes!$A$2:$K$486,11,FALSE)</f>
        <v>Persona Natural</v>
      </c>
      <c r="AC2482" s="13" t="str">
        <f>VLOOKUP(D2482,Clientes!$A$2:$B$486,2,FALSE)</f>
        <v>Sector Diego Portales</v>
      </c>
      <c r="AD2482" s="20"/>
      <c r="AE2482" s="20"/>
      <c r="AF2482" s="13" t="s">
        <v>40</v>
      </c>
      <c r="AG2482" s="15">
        <v>45352</v>
      </c>
      <c r="AH2482" s="13" t="s">
        <v>41</v>
      </c>
      <c r="AI2482" s="13" t="s">
        <v>47</v>
      </c>
      <c r="AJ2482" s="13" t="str">
        <f>VLOOKUP(E2482,Precios!Z$2:AA$941,2,FALSE)</f>
        <v>Esponja Acanalada TEDDY</v>
      </c>
      <c r="AK2482" s="14">
        <f>VLOOKUP(E2482,Precios!Z$2:BB$941,3,FALSE)*F2482</f>
        <v>-10</v>
      </c>
      <c r="AL2482" s="17"/>
      <c r="AM2482" s="17"/>
      <c r="AN2482" s="17"/>
      <c r="AO2482" s="17"/>
      <c r="AP2482" s="17"/>
      <c r="AQ2482" s="17"/>
      <c r="AR2482" s="17"/>
      <c r="AS2482" s="17"/>
      <c r="AT2482" s="17"/>
      <c r="AU2482" s="17"/>
      <c r="AV2482" s="17"/>
    </row>
    <row r="2483" spans="1:48" ht="15.75" customHeight="1">
      <c r="A2483" s="21" t="s">
        <v>43</v>
      </c>
      <c r="B2483" s="23" t="s">
        <v>1692</v>
      </c>
      <c r="C2483" s="22">
        <v>45747</v>
      </c>
      <c r="D2483" s="23" t="s">
        <v>104</v>
      </c>
      <c r="E2483" s="23" t="s">
        <v>45</v>
      </c>
      <c r="F2483" s="21">
        <v>1</v>
      </c>
      <c r="G2483" s="12">
        <v>8299.7854333055202</v>
      </c>
      <c r="H2483" s="12">
        <v>8299.7854333055202</v>
      </c>
      <c r="I2483" s="23" t="s">
        <v>52</v>
      </c>
      <c r="J2483" s="23" t="s">
        <v>61</v>
      </c>
      <c r="K2483" s="24" t="s">
        <v>177</v>
      </c>
      <c r="L2483" s="24">
        <v>120</v>
      </c>
      <c r="M2483" s="12">
        <v>6974.6096078197652</v>
      </c>
      <c r="N2483" s="12">
        <v>6974.6096078197652</v>
      </c>
      <c r="O2483" s="12">
        <v>1325.175825485755</v>
      </c>
      <c r="P2483" s="13"/>
      <c r="Q2483" s="14">
        <v>2025</v>
      </c>
      <c r="R2483" s="15">
        <v>45352</v>
      </c>
      <c r="S2483" s="11" t="s">
        <v>355</v>
      </c>
      <c r="T2483" s="16">
        <v>0</v>
      </c>
      <c r="U2483" s="17"/>
      <c r="V2483" s="12">
        <v>1123.6096078197643</v>
      </c>
      <c r="W2483" s="12">
        <v>1123.6096078197643</v>
      </c>
      <c r="X2483" s="12">
        <v>0</v>
      </c>
      <c r="Y2483" s="18">
        <v>45747</v>
      </c>
      <c r="Z2483" s="13" t="s">
        <v>523</v>
      </c>
      <c r="AA2483" s="19" t="str">
        <f>VLOOKUP(D2483,Clientes!$A$2:$J$486,9,FALSE)</f>
        <v>Ocacional</v>
      </c>
      <c r="AB2483" s="13" t="str">
        <f>VLOOKUP(D2483,Clientes!$A$2:$K$486,11,FALSE)</f>
        <v>Persona Natural</v>
      </c>
      <c r="AC2483" s="13" t="str">
        <f>VLOOKUP(D2483,Clientes!$A$2:$B$486,2,FALSE)</f>
        <v>Jardines de la viña</v>
      </c>
      <c r="AD2483" s="20"/>
      <c r="AE2483" s="20"/>
      <c r="AF2483" s="13" t="s">
        <v>40</v>
      </c>
      <c r="AG2483" s="15">
        <v>45352</v>
      </c>
      <c r="AH2483" s="13" t="s">
        <v>41</v>
      </c>
      <c r="AI2483" s="13" t="s">
        <v>43</v>
      </c>
      <c r="AJ2483" s="13" t="str">
        <f>VLOOKUP(E2483,Precios!Z$2:AA$941,2,FALSE)</f>
        <v>Bandeja Huevos EXTRA</v>
      </c>
      <c r="AK2483" s="14">
        <f>VLOOKUP(E2483,Precios!Z$2:BB$941,3,FALSE)*F2483</f>
        <v>-1</v>
      </c>
      <c r="AL2483" s="17"/>
      <c r="AM2483" s="17"/>
      <c r="AN2483" s="17"/>
      <c r="AO2483" s="17"/>
      <c r="AP2483" s="17"/>
      <c r="AQ2483" s="17"/>
      <c r="AR2483" s="17"/>
      <c r="AS2483" s="17"/>
      <c r="AT2483" s="17"/>
      <c r="AU2483" s="17"/>
      <c r="AV2483" s="17"/>
    </row>
    <row r="2484" spans="1:48" ht="15.75" customHeight="1">
      <c r="A2484" s="21" t="s">
        <v>53</v>
      </c>
      <c r="B2484" s="23" t="s">
        <v>1692</v>
      </c>
      <c r="C2484" s="22">
        <v>45747</v>
      </c>
      <c r="D2484" s="23" t="s">
        <v>230</v>
      </c>
      <c r="E2484" s="23" t="s">
        <v>114</v>
      </c>
      <c r="F2484" s="21">
        <v>2</v>
      </c>
      <c r="G2484" s="12">
        <v>10500</v>
      </c>
      <c r="H2484" s="12">
        <v>21000</v>
      </c>
      <c r="I2484" s="23" t="s">
        <v>52</v>
      </c>
      <c r="J2484" s="23" t="s">
        <v>61</v>
      </c>
      <c r="K2484" s="24" t="s">
        <v>177</v>
      </c>
      <c r="L2484" s="24">
        <v>120</v>
      </c>
      <c r="M2484" s="12">
        <v>8823.5294117647063</v>
      </c>
      <c r="N2484" s="12">
        <v>17647.058823529413</v>
      </c>
      <c r="O2484" s="12">
        <v>3352.9411764705874</v>
      </c>
      <c r="P2484" s="13"/>
      <c r="Q2484" s="14">
        <v>2025</v>
      </c>
      <c r="R2484" s="15">
        <v>45352</v>
      </c>
      <c r="S2484" s="11" t="s">
        <v>369</v>
      </c>
      <c r="T2484" s="16">
        <v>0</v>
      </c>
      <c r="U2484" s="17"/>
      <c r="V2484" s="12">
        <v>4806.7226890756301</v>
      </c>
      <c r="W2484" s="12">
        <v>4806.7226890756301</v>
      </c>
      <c r="X2484" s="12">
        <v>0</v>
      </c>
      <c r="Y2484" s="18">
        <v>45747</v>
      </c>
      <c r="Z2484" s="13" t="s">
        <v>523</v>
      </c>
      <c r="AA2484" s="19" t="str">
        <f>VLOOKUP(D2484,Clientes!$A$2:$J$486,9,FALSE)</f>
        <v>Ocacional</v>
      </c>
      <c r="AB2484" s="13" t="str">
        <f>VLOOKUP(D2484,Clientes!$A$2:$K$486,11,FALSE)</f>
        <v>Persona Natural</v>
      </c>
      <c r="AC2484" s="13" t="str">
        <f>VLOOKUP(D2484,Clientes!$A$2:$B$486,2,FALSE)</f>
        <v>Jardin del eden</v>
      </c>
      <c r="AD2484" s="20"/>
      <c r="AE2484" s="20"/>
      <c r="AF2484" s="13" t="s">
        <v>40</v>
      </c>
      <c r="AG2484" s="15">
        <v>45352</v>
      </c>
      <c r="AH2484" s="13" t="s">
        <v>41</v>
      </c>
      <c r="AI2484" s="13" t="s">
        <v>53</v>
      </c>
      <c r="AJ2484" s="13" t="str">
        <f>VLOOKUP(E2484,Precios!Z$2:AA$941,2,FALSE)</f>
        <v>Toalla Papel NOVA 12 metros</v>
      </c>
      <c r="AK2484" s="14">
        <f>VLOOKUP(E2484,Precios!Z$2:BB$941,3,FALSE)*F2484</f>
        <v>-16</v>
      </c>
      <c r="AL2484" s="17"/>
      <c r="AM2484" s="17"/>
      <c r="AN2484" s="17"/>
      <c r="AO2484" s="17"/>
      <c r="AP2484" s="17"/>
      <c r="AQ2484" s="17"/>
      <c r="AR2484" s="17"/>
      <c r="AS2484" s="17"/>
      <c r="AT2484" s="17"/>
      <c r="AU2484" s="17"/>
      <c r="AV2484" s="17"/>
    </row>
    <row r="2485" spans="1:48" ht="15.75" customHeight="1">
      <c r="A2485" s="21" t="s">
        <v>53</v>
      </c>
      <c r="B2485" s="23" t="s">
        <v>1692</v>
      </c>
      <c r="C2485" s="22">
        <v>45747</v>
      </c>
      <c r="D2485" s="23" t="s">
        <v>230</v>
      </c>
      <c r="E2485" s="23" t="s">
        <v>518</v>
      </c>
      <c r="F2485" s="21">
        <v>1</v>
      </c>
      <c r="G2485" s="12">
        <v>2500.0347826086959</v>
      </c>
      <c r="H2485" s="12">
        <v>2500.0347826086959</v>
      </c>
      <c r="I2485" s="23" t="s">
        <v>52</v>
      </c>
      <c r="J2485" s="23" t="s">
        <v>61</v>
      </c>
      <c r="K2485" s="24" t="s">
        <v>177</v>
      </c>
      <c r="L2485" s="24">
        <v>120</v>
      </c>
      <c r="M2485" s="12">
        <v>2100.8695652173915</v>
      </c>
      <c r="N2485" s="12">
        <v>2100.8695652173915</v>
      </c>
      <c r="O2485" s="12">
        <v>399.1652173913044</v>
      </c>
      <c r="P2485" s="13"/>
      <c r="Q2485" s="14">
        <v>2025</v>
      </c>
      <c r="R2485" s="15">
        <v>45352</v>
      </c>
      <c r="S2485" s="11" t="s">
        <v>435</v>
      </c>
      <c r="T2485" s="16">
        <v>0</v>
      </c>
      <c r="U2485" s="17"/>
      <c r="V2485" s="12">
        <v>892.86956521739148</v>
      </c>
      <c r="W2485" s="12">
        <v>892.86956521739148</v>
      </c>
      <c r="X2485" s="12">
        <v>0</v>
      </c>
      <c r="Y2485" s="18">
        <v>45747</v>
      </c>
      <c r="Z2485" s="13" t="s">
        <v>523</v>
      </c>
      <c r="AA2485" s="19" t="str">
        <f>VLOOKUP(D2485,Clientes!$A$2:$J$486,9,FALSE)</f>
        <v>Ocacional</v>
      </c>
      <c r="AB2485" s="13" t="str">
        <f>VLOOKUP(D2485,Clientes!$A$2:$K$486,11,FALSE)</f>
        <v>Persona Natural</v>
      </c>
      <c r="AC2485" s="13" t="str">
        <f>VLOOKUP(D2485,Clientes!$A$2:$B$486,2,FALSE)</f>
        <v>Jardin del eden</v>
      </c>
      <c r="AD2485" s="20"/>
      <c r="AE2485" s="20"/>
      <c r="AF2485" s="13" t="s">
        <v>40</v>
      </c>
      <c r="AG2485" s="15">
        <v>45352</v>
      </c>
      <c r="AH2485" s="13" t="s">
        <v>41</v>
      </c>
      <c r="AI2485" s="13" t="s">
        <v>53</v>
      </c>
      <c r="AJ2485" s="13" t="str">
        <f>VLOOKUP(E2485,Precios!Z$2:AA$941,2,FALSE)</f>
        <v>Papel Higienico SWAN 400 hojas</v>
      </c>
      <c r="AK2485" s="14">
        <f>VLOOKUP(E2485,Precios!Z$2:BB$941,3,FALSE)*F2485</f>
        <v>-1</v>
      </c>
      <c r="AL2485" s="17"/>
      <c r="AM2485" s="17"/>
      <c r="AN2485" s="17"/>
      <c r="AO2485" s="17"/>
      <c r="AP2485" s="17"/>
      <c r="AQ2485" s="17"/>
      <c r="AR2485" s="17"/>
      <c r="AS2485" s="17"/>
      <c r="AT2485" s="17"/>
      <c r="AU2485" s="17"/>
      <c r="AV2485" s="17"/>
    </row>
    <row r="2486" spans="1:48" ht="15.75" customHeight="1">
      <c r="A2486" s="21" t="s">
        <v>43</v>
      </c>
      <c r="B2486" s="23" t="s">
        <v>1692</v>
      </c>
      <c r="C2486" s="22">
        <v>45747</v>
      </c>
      <c r="D2486" s="23" t="s">
        <v>239</v>
      </c>
      <c r="E2486" s="23" t="s">
        <v>45</v>
      </c>
      <c r="F2486" s="21">
        <v>2</v>
      </c>
      <c r="G2486" s="12">
        <v>8299.7854333055202</v>
      </c>
      <c r="H2486" s="12">
        <v>16599.57086661104</v>
      </c>
      <c r="I2486" s="23" t="s">
        <v>52</v>
      </c>
      <c r="J2486" s="23" t="s">
        <v>61</v>
      </c>
      <c r="K2486" s="24" t="s">
        <v>177</v>
      </c>
      <c r="L2486" s="24">
        <v>120</v>
      </c>
      <c r="M2486" s="12">
        <v>6974.6096078197652</v>
      </c>
      <c r="N2486" s="12">
        <v>13949.21921563953</v>
      </c>
      <c r="O2486" s="12">
        <v>2650.35165097151</v>
      </c>
      <c r="P2486" s="13"/>
      <c r="Q2486" s="14">
        <v>2025</v>
      </c>
      <c r="R2486" s="15">
        <v>45352</v>
      </c>
      <c r="S2486" s="11" t="s">
        <v>355</v>
      </c>
      <c r="T2486" s="16">
        <v>0</v>
      </c>
      <c r="U2486" s="17"/>
      <c r="V2486" s="12">
        <v>2247.2192156395286</v>
      </c>
      <c r="W2486" s="12">
        <v>2247.2192156395286</v>
      </c>
      <c r="X2486" s="12">
        <v>0</v>
      </c>
      <c r="Y2486" s="18">
        <v>45747</v>
      </c>
      <c r="Z2486" s="13" t="s">
        <v>523</v>
      </c>
      <c r="AA2486" s="19" t="str">
        <f>VLOOKUP(D2486,Clientes!$A$2:$J$486,9,FALSE)</f>
        <v>Ocacional</v>
      </c>
      <c r="AB2486" s="13" t="str">
        <f>VLOOKUP(D2486,Clientes!$A$2:$K$486,11,FALSE)</f>
        <v>Persona Natural</v>
      </c>
      <c r="AC2486" s="13" t="str">
        <f>VLOOKUP(D2486,Clientes!$A$2:$B$486,2,FALSE)</f>
        <v>Alicachue</v>
      </c>
      <c r="AD2486" s="20"/>
      <c r="AE2486" s="20"/>
      <c r="AF2486" s="13" t="s">
        <v>40</v>
      </c>
      <c r="AG2486" s="15">
        <v>45352</v>
      </c>
      <c r="AH2486" s="13" t="s">
        <v>41</v>
      </c>
      <c r="AI2486" s="13" t="s">
        <v>43</v>
      </c>
      <c r="AJ2486" s="13" t="str">
        <f>VLOOKUP(E2486,Precios!Z$2:AA$941,2,FALSE)</f>
        <v>Bandeja Huevos EXTRA</v>
      </c>
      <c r="AK2486" s="14">
        <f>VLOOKUP(E2486,Precios!Z$2:BB$941,3,FALSE)*F2486</f>
        <v>-2</v>
      </c>
      <c r="AL2486" s="17"/>
      <c r="AM2486" s="17"/>
      <c r="AN2486" s="17"/>
      <c r="AO2486" s="17"/>
      <c r="AP2486" s="17"/>
      <c r="AQ2486" s="17"/>
      <c r="AR2486" s="17"/>
      <c r="AS2486" s="17"/>
      <c r="AT2486" s="17"/>
      <c r="AU2486" s="17"/>
      <c r="AV2486" s="17"/>
    </row>
    <row r="2487" spans="1:48" ht="15.75" customHeight="1">
      <c r="A2487" s="21" t="s">
        <v>76</v>
      </c>
      <c r="B2487" s="23" t="s">
        <v>1692</v>
      </c>
      <c r="C2487" s="22">
        <v>45747</v>
      </c>
      <c r="D2487" s="23" t="s">
        <v>266</v>
      </c>
      <c r="E2487" s="23" t="s">
        <v>137</v>
      </c>
      <c r="F2487" s="21">
        <v>1</v>
      </c>
      <c r="G2487" s="12">
        <v>3500.0000000000005</v>
      </c>
      <c r="H2487" s="12">
        <v>3500.0000000000005</v>
      </c>
      <c r="I2487" s="23" t="s">
        <v>52</v>
      </c>
      <c r="J2487" s="23" t="s">
        <v>61</v>
      </c>
      <c r="K2487" s="24" t="s">
        <v>177</v>
      </c>
      <c r="L2487" s="24">
        <v>120</v>
      </c>
      <c r="M2487" s="12">
        <v>2941.1764705882356</v>
      </c>
      <c r="N2487" s="12">
        <v>2941.1764705882356</v>
      </c>
      <c r="O2487" s="12">
        <v>558.82352941176487</v>
      </c>
      <c r="P2487" s="13"/>
      <c r="Q2487" s="14">
        <v>2025</v>
      </c>
      <c r="R2487" s="15">
        <v>45352</v>
      </c>
      <c r="S2487" s="11" t="s">
        <v>406</v>
      </c>
      <c r="T2487" s="16">
        <v>5</v>
      </c>
      <c r="U2487" s="17"/>
      <c r="V2487" s="12">
        <v>848.73949579831969</v>
      </c>
      <c r="W2487" s="12">
        <v>848.73949579831969</v>
      </c>
      <c r="X2487" s="12">
        <v>0</v>
      </c>
      <c r="Y2487" s="18">
        <v>45747</v>
      </c>
      <c r="Z2487" s="13" t="s">
        <v>523</v>
      </c>
      <c r="AA2487" s="19" t="str">
        <f>VLOOKUP(D2487,Clientes!$A$2:$J$486,9,FALSE)</f>
        <v>Regular</v>
      </c>
      <c r="AB2487" s="13" t="str">
        <f>VLOOKUP(D2487,Clientes!$A$2:$K$486,11,FALSE)</f>
        <v>Persona Natural</v>
      </c>
      <c r="AC2487" s="13" t="str">
        <f>VLOOKUP(D2487,Clientes!$A$2:$B$486,2,FALSE)</f>
        <v>Sector Santa Delia</v>
      </c>
      <c r="AD2487" s="20"/>
      <c r="AE2487" s="20"/>
      <c r="AF2487" s="13" t="s">
        <v>40</v>
      </c>
      <c r="AG2487" s="15">
        <v>45352</v>
      </c>
      <c r="AH2487" s="13" t="s">
        <v>41</v>
      </c>
      <c r="AI2487" s="13" t="s">
        <v>76</v>
      </c>
      <c r="AJ2487" s="13" t="str">
        <f>VLOOKUP(E2487,Precios!Z$2:AA$941,2,FALSE)</f>
        <v>Detergente SPUM 5 Litros (Blanco)</v>
      </c>
      <c r="AK2487" s="14">
        <f>VLOOKUP(E2487,Precios!Z$2:BB$941,3,FALSE)*F2487</f>
        <v>-1</v>
      </c>
      <c r="AL2487" s="17"/>
      <c r="AM2487" s="17"/>
      <c r="AN2487" s="17"/>
      <c r="AO2487" s="17"/>
      <c r="AP2487" s="17"/>
      <c r="AQ2487" s="17"/>
      <c r="AR2487" s="17"/>
      <c r="AS2487" s="17"/>
      <c r="AT2487" s="17"/>
      <c r="AU2487" s="17"/>
      <c r="AV2487" s="17"/>
    </row>
    <row r="2488" spans="1:48" ht="15.75" customHeight="1">
      <c r="A2488" s="21" t="s">
        <v>35</v>
      </c>
      <c r="B2488" s="23" t="s">
        <v>1692</v>
      </c>
      <c r="C2488" s="22">
        <v>45747</v>
      </c>
      <c r="D2488" s="23" t="s">
        <v>266</v>
      </c>
      <c r="E2488" s="23" t="s">
        <v>46</v>
      </c>
      <c r="F2488" s="21">
        <v>1</v>
      </c>
      <c r="G2488" s="12">
        <v>5500</v>
      </c>
      <c r="H2488" s="12">
        <v>5500</v>
      </c>
      <c r="I2488" s="23" t="s">
        <v>52</v>
      </c>
      <c r="J2488" s="23" t="s">
        <v>61</v>
      </c>
      <c r="K2488" s="24" t="s">
        <v>177</v>
      </c>
      <c r="L2488" s="24">
        <v>120</v>
      </c>
      <c r="M2488" s="12">
        <v>4621.8487394957983</v>
      </c>
      <c r="N2488" s="12">
        <v>4621.8487394957983</v>
      </c>
      <c r="O2488" s="12">
        <v>878.15126050420167</v>
      </c>
      <c r="P2488" s="13"/>
      <c r="Q2488" s="14">
        <v>2025</v>
      </c>
      <c r="R2488" s="15">
        <v>45352</v>
      </c>
      <c r="S2488" s="11" t="s">
        <v>364</v>
      </c>
      <c r="T2488" s="16">
        <v>500</v>
      </c>
      <c r="U2488" s="17"/>
      <c r="V2488" s="12">
        <v>1365.1260504201678</v>
      </c>
      <c r="W2488" s="12">
        <v>1365.1260504201678</v>
      </c>
      <c r="X2488" s="12">
        <v>0</v>
      </c>
      <c r="Y2488" s="18">
        <v>45747</v>
      </c>
      <c r="Z2488" s="13" t="s">
        <v>523</v>
      </c>
      <c r="AA2488" s="19" t="str">
        <f>VLOOKUP(D2488,Clientes!$A$2:$J$486,9,FALSE)</f>
        <v>Regular</v>
      </c>
      <c r="AB2488" s="13" t="str">
        <f>VLOOKUP(D2488,Clientes!$A$2:$K$486,11,FALSE)</f>
        <v>Persona Natural</v>
      </c>
      <c r="AC2488" s="13" t="str">
        <f>VLOOKUP(D2488,Clientes!$A$2:$B$486,2,FALSE)</f>
        <v>Sector Santa Delia</v>
      </c>
      <c r="AD2488" s="20"/>
      <c r="AE2488" s="20"/>
      <c r="AF2488" s="13" t="s">
        <v>40</v>
      </c>
      <c r="AG2488" s="15">
        <v>45352</v>
      </c>
      <c r="AH2488" s="13" t="s">
        <v>41</v>
      </c>
      <c r="AI2488" s="13" t="s">
        <v>35</v>
      </c>
      <c r="AJ2488" s="13" t="str">
        <f>VLOOKUP(E2488,Precios!Z$2:AA$941,2,FALSE)</f>
        <v>Queso RUNCA Mantecoso</v>
      </c>
      <c r="AK2488" s="14">
        <f>VLOOKUP(E2488,Precios!Z$2:BB$941,3,FALSE)*F2488</f>
        <v>-0.5</v>
      </c>
      <c r="AL2488" s="17"/>
      <c r="AM2488" s="17"/>
      <c r="AN2488" s="17"/>
      <c r="AO2488" s="17"/>
      <c r="AP2488" s="17"/>
      <c r="AQ2488" s="17"/>
      <c r="AR2488" s="17"/>
      <c r="AS2488" s="17"/>
      <c r="AT2488" s="17"/>
      <c r="AU2488" s="17"/>
      <c r="AV2488" s="17"/>
    </row>
    <row r="2489" spans="1:48" ht="15.75" customHeight="1">
      <c r="A2489" s="21" t="s">
        <v>43</v>
      </c>
      <c r="B2489" s="23" t="s">
        <v>1692</v>
      </c>
      <c r="C2489" s="22">
        <v>45747</v>
      </c>
      <c r="D2489" s="23" t="s">
        <v>258</v>
      </c>
      <c r="E2489" s="23" t="s">
        <v>45</v>
      </c>
      <c r="F2489" s="21">
        <v>2</v>
      </c>
      <c r="G2489" s="12">
        <v>8299.7854333055202</v>
      </c>
      <c r="H2489" s="12">
        <v>16599.57086661104</v>
      </c>
      <c r="I2489" s="23" t="s">
        <v>52</v>
      </c>
      <c r="J2489" s="23" t="s">
        <v>61</v>
      </c>
      <c r="K2489" s="24" t="s">
        <v>177</v>
      </c>
      <c r="L2489" s="24">
        <v>120</v>
      </c>
      <c r="M2489" s="12">
        <v>6974.6096078197652</v>
      </c>
      <c r="N2489" s="12">
        <v>13949.21921563953</v>
      </c>
      <c r="O2489" s="12">
        <v>2650.35165097151</v>
      </c>
      <c r="P2489" s="13"/>
      <c r="Q2489" s="14">
        <v>2025</v>
      </c>
      <c r="R2489" s="15">
        <v>45352</v>
      </c>
      <c r="S2489" s="11" t="s">
        <v>355</v>
      </c>
      <c r="T2489" s="16">
        <v>0</v>
      </c>
      <c r="U2489" s="17"/>
      <c r="V2489" s="12">
        <v>2247.2192156395286</v>
      </c>
      <c r="W2489" s="12">
        <v>2247.2192156395286</v>
      </c>
      <c r="X2489" s="12">
        <v>0</v>
      </c>
      <c r="Y2489" s="18">
        <v>45747</v>
      </c>
      <c r="Z2489" s="13" t="s">
        <v>523</v>
      </c>
      <c r="AA2489" s="19" t="str">
        <f>VLOOKUP(D2489,Clientes!$A$2:$J$486,9,FALSE)</f>
        <v>Regular</v>
      </c>
      <c r="AB2489" s="13" t="str">
        <f>VLOOKUP(D2489,Clientes!$A$2:$K$486,11,FALSE)</f>
        <v>Persona Natural</v>
      </c>
      <c r="AC2489" s="13" t="str">
        <f>VLOOKUP(D2489,Clientes!$A$2:$B$486,2,FALSE)</f>
        <v>Colegio Antilhue</v>
      </c>
      <c r="AD2489" s="20"/>
      <c r="AE2489" s="20"/>
      <c r="AF2489" s="13" t="s">
        <v>40</v>
      </c>
      <c r="AG2489" s="15">
        <v>45352</v>
      </c>
      <c r="AH2489" s="13" t="s">
        <v>41</v>
      </c>
      <c r="AI2489" s="13" t="s">
        <v>43</v>
      </c>
      <c r="AJ2489" s="13" t="str">
        <f>VLOOKUP(E2489,Precios!Z$2:AA$941,2,FALSE)</f>
        <v>Bandeja Huevos EXTRA</v>
      </c>
      <c r="AK2489" s="14">
        <f>VLOOKUP(E2489,Precios!Z$2:BB$941,3,FALSE)*F2489</f>
        <v>-2</v>
      </c>
      <c r="AL2489" s="17"/>
      <c r="AM2489" s="17"/>
      <c r="AN2489" s="17"/>
      <c r="AO2489" s="17"/>
      <c r="AP2489" s="17"/>
      <c r="AQ2489" s="17"/>
      <c r="AR2489" s="17"/>
      <c r="AS2489" s="17"/>
      <c r="AT2489" s="17"/>
      <c r="AU2489" s="17"/>
      <c r="AV2489" s="17"/>
    </row>
    <row r="2490" spans="1:48" ht="15.75" customHeight="1">
      <c r="A2490" s="21" t="s">
        <v>35</v>
      </c>
      <c r="B2490" s="23" t="s">
        <v>1692</v>
      </c>
      <c r="C2490" s="22">
        <v>45747</v>
      </c>
      <c r="D2490" s="23" t="s">
        <v>238</v>
      </c>
      <c r="E2490" s="23" t="s">
        <v>46</v>
      </c>
      <c r="F2490" s="21">
        <v>1</v>
      </c>
      <c r="G2490" s="12">
        <v>5500</v>
      </c>
      <c r="H2490" s="12">
        <v>5500</v>
      </c>
      <c r="I2490" s="23" t="s">
        <v>52</v>
      </c>
      <c r="J2490" s="23" t="s">
        <v>61</v>
      </c>
      <c r="K2490" s="24" t="s">
        <v>177</v>
      </c>
      <c r="L2490" s="24">
        <v>120</v>
      </c>
      <c r="M2490" s="12">
        <v>4621.8487394957983</v>
      </c>
      <c r="N2490" s="12">
        <v>4621.8487394957983</v>
      </c>
      <c r="O2490" s="12">
        <v>878.15126050420167</v>
      </c>
      <c r="P2490" s="13"/>
      <c r="Q2490" s="14">
        <v>2025</v>
      </c>
      <c r="R2490" s="15">
        <v>45352</v>
      </c>
      <c r="S2490" s="11" t="s">
        <v>364</v>
      </c>
      <c r="T2490" s="16">
        <v>500</v>
      </c>
      <c r="U2490" s="17"/>
      <c r="V2490" s="12">
        <v>1365.1260504201678</v>
      </c>
      <c r="W2490" s="12">
        <v>1365.1260504201678</v>
      </c>
      <c r="X2490" s="12">
        <v>0</v>
      </c>
      <c r="Y2490" s="18">
        <v>45747</v>
      </c>
      <c r="Z2490" s="13" t="s">
        <v>523</v>
      </c>
      <c r="AA2490" s="19" t="str">
        <f>VLOOKUP(D2490,Clientes!$A$2:$J$486,9,FALSE)</f>
        <v>Ocacional</v>
      </c>
      <c r="AB2490" s="13" t="str">
        <f>VLOOKUP(D2490,Clientes!$A$2:$K$486,11,FALSE)</f>
        <v>Persona Natural</v>
      </c>
      <c r="AC2490" s="13" t="str">
        <f>VLOOKUP(D2490,Clientes!$A$2:$B$486,2,FALSE)</f>
        <v>Araucana</v>
      </c>
      <c r="AD2490" s="20"/>
      <c r="AE2490" s="20"/>
      <c r="AF2490" s="13" t="s">
        <v>40</v>
      </c>
      <c r="AG2490" s="15">
        <v>45352</v>
      </c>
      <c r="AH2490" s="13" t="s">
        <v>41</v>
      </c>
      <c r="AI2490" s="13" t="s">
        <v>35</v>
      </c>
      <c r="AJ2490" s="13" t="str">
        <f>VLOOKUP(E2490,Precios!Z$2:AA$941,2,FALSE)</f>
        <v>Queso RUNCA Mantecoso</v>
      </c>
      <c r="AK2490" s="14">
        <f>VLOOKUP(E2490,Precios!Z$2:BB$941,3,FALSE)*F2490</f>
        <v>-0.5</v>
      </c>
      <c r="AL2490" s="17"/>
      <c r="AM2490" s="17"/>
      <c r="AN2490" s="17"/>
      <c r="AO2490" s="17"/>
      <c r="AP2490" s="17"/>
      <c r="AQ2490" s="17"/>
      <c r="AR2490" s="17"/>
      <c r="AS2490" s="17"/>
      <c r="AT2490" s="17"/>
      <c r="AU2490" s="17"/>
      <c r="AV2490" s="17"/>
    </row>
    <row r="2491" spans="1:48" ht="15.75" customHeight="1">
      <c r="A2491" s="21" t="s">
        <v>53</v>
      </c>
      <c r="B2491" s="23" t="s">
        <v>1692</v>
      </c>
      <c r="C2491" s="22">
        <v>45747</v>
      </c>
      <c r="D2491" s="23" t="s">
        <v>238</v>
      </c>
      <c r="E2491" s="23" t="s">
        <v>97</v>
      </c>
      <c r="F2491" s="21">
        <v>1</v>
      </c>
      <c r="G2491" s="12">
        <v>15500.298388701016</v>
      </c>
      <c r="H2491" s="12">
        <v>15500.298388701016</v>
      </c>
      <c r="I2491" s="23" t="s">
        <v>52</v>
      </c>
      <c r="J2491" s="23" t="s">
        <v>61</v>
      </c>
      <c r="K2491" s="24" t="s">
        <v>177</v>
      </c>
      <c r="L2491" s="24">
        <v>120</v>
      </c>
      <c r="M2491" s="12">
        <v>13025.46083084119</v>
      </c>
      <c r="N2491" s="12">
        <v>13025.46083084119</v>
      </c>
      <c r="O2491" s="12">
        <v>2474.8375578598261</v>
      </c>
      <c r="P2491" s="13"/>
      <c r="Q2491" s="14">
        <v>2025</v>
      </c>
      <c r="R2491" s="15">
        <v>45352</v>
      </c>
      <c r="S2491" s="11" t="s">
        <v>366</v>
      </c>
      <c r="T2491" s="16">
        <v>0</v>
      </c>
      <c r="U2491" s="17"/>
      <c r="V2491" s="12">
        <v>3203.6120913453906</v>
      </c>
      <c r="W2491" s="12">
        <v>3203.6120913453906</v>
      </c>
      <c r="X2491" s="12">
        <v>0</v>
      </c>
      <c r="Y2491" s="18">
        <v>45747</v>
      </c>
      <c r="Z2491" s="13" t="s">
        <v>523</v>
      </c>
      <c r="AA2491" s="19" t="str">
        <f>VLOOKUP(D2491,Clientes!$A$2:$J$486,9,FALSE)</f>
        <v>Ocacional</v>
      </c>
      <c r="AB2491" s="13" t="str">
        <f>VLOOKUP(D2491,Clientes!$A$2:$K$486,11,FALSE)</f>
        <v>Persona Natural</v>
      </c>
      <c r="AC2491" s="13" t="str">
        <f>VLOOKUP(D2491,Clientes!$A$2:$B$486,2,FALSE)</f>
        <v>Araucana</v>
      </c>
      <c r="AD2491" s="20"/>
      <c r="AE2491" s="20"/>
      <c r="AF2491" s="13" t="s">
        <v>40</v>
      </c>
      <c r="AG2491" s="15">
        <v>45352</v>
      </c>
      <c r="AH2491" s="13" t="s">
        <v>41</v>
      </c>
      <c r="AI2491" s="13" t="s">
        <v>53</v>
      </c>
      <c r="AJ2491" s="13" t="str">
        <f>VLOOKUP(E2491,Precios!Z$2:AA$941,2,FALSE)</f>
        <v>Papel Higienico ELITE 50 metros</v>
      </c>
      <c r="AK2491" s="14">
        <f>VLOOKUP(E2491,Precios!Z$2:BB$941,3,FALSE)*F2491</f>
        <v>-6</v>
      </c>
      <c r="AL2491" s="17"/>
      <c r="AM2491" s="17"/>
      <c r="AN2491" s="17"/>
      <c r="AO2491" s="17"/>
      <c r="AP2491" s="17"/>
      <c r="AQ2491" s="17"/>
      <c r="AR2491" s="17"/>
      <c r="AS2491" s="17"/>
      <c r="AT2491" s="17"/>
      <c r="AU2491" s="17"/>
      <c r="AV2491" s="17"/>
    </row>
    <row r="2492" spans="1:48" ht="15.75" customHeight="1">
      <c r="A2492" s="21" t="s">
        <v>73</v>
      </c>
      <c r="B2492" s="23" t="s">
        <v>1692</v>
      </c>
      <c r="C2492" s="22">
        <v>45747</v>
      </c>
      <c r="D2492" s="23" t="s">
        <v>514</v>
      </c>
      <c r="E2492" s="23" t="s">
        <v>90</v>
      </c>
      <c r="F2492" s="21">
        <v>2</v>
      </c>
      <c r="G2492" s="12">
        <v>4199.9020019599611</v>
      </c>
      <c r="H2492" s="12">
        <v>8399.8040039199223</v>
      </c>
      <c r="I2492" s="23" t="s">
        <v>52</v>
      </c>
      <c r="J2492" s="23" t="s">
        <v>61</v>
      </c>
      <c r="K2492" s="24" t="s">
        <v>177</v>
      </c>
      <c r="L2492" s="24">
        <v>120</v>
      </c>
      <c r="M2492" s="12">
        <v>3529.3294134117323</v>
      </c>
      <c r="N2492" s="12">
        <v>7058.6588268234646</v>
      </c>
      <c r="O2492" s="12">
        <v>1341.1451770964577</v>
      </c>
      <c r="P2492" s="13"/>
      <c r="Q2492" s="14">
        <v>2025</v>
      </c>
      <c r="R2492" s="15">
        <v>45352</v>
      </c>
      <c r="S2492" s="11" t="s">
        <v>424</v>
      </c>
      <c r="T2492" s="16">
        <v>0</v>
      </c>
      <c r="U2492" s="17"/>
      <c r="V2492" s="12">
        <v>2016.6588268234646</v>
      </c>
      <c r="W2492" s="12">
        <v>2016.6588268234646</v>
      </c>
      <c r="X2492" s="12">
        <v>0</v>
      </c>
      <c r="Y2492" s="18">
        <v>45747</v>
      </c>
      <c r="Z2492" s="13" t="s">
        <v>523</v>
      </c>
      <c r="AA2492" s="19" t="str">
        <f>VLOOKUP(D2492,Clientes!$A$2:$J$486,9,FALSE)</f>
        <v>Ocacional</v>
      </c>
      <c r="AB2492" s="13" t="str">
        <f>VLOOKUP(D2492,Clientes!$A$2:$K$486,11,FALSE)</f>
        <v>Persona Natural</v>
      </c>
      <c r="AC2492" s="13" t="str">
        <f>VLOOKUP(D2492,Clientes!$A$2:$B$486,2,FALSE)</f>
        <v>Colegio Antilhue</v>
      </c>
      <c r="AD2492" s="20"/>
      <c r="AE2492" s="20"/>
      <c r="AF2492" s="13" t="s">
        <v>40</v>
      </c>
      <c r="AG2492" s="15">
        <v>45352</v>
      </c>
      <c r="AH2492" s="13" t="s">
        <v>41</v>
      </c>
      <c r="AI2492" s="13" t="s">
        <v>47</v>
      </c>
      <c r="AJ2492" s="13" t="str">
        <f>VLOOKUP(E2492,Precios!Z$2:AA$941,2,FALSE)</f>
        <v>Guante NITRILO Talla M</v>
      </c>
      <c r="AK2492" s="14">
        <f>VLOOKUP(E2492,Precios!Z$2:BB$941,3,FALSE)*F2492</f>
        <v>-2</v>
      </c>
      <c r="AL2492" s="17"/>
      <c r="AM2492" s="17"/>
      <c r="AN2492" s="17"/>
      <c r="AO2492" s="17"/>
      <c r="AP2492" s="17"/>
      <c r="AQ2492" s="17"/>
      <c r="AR2492" s="17"/>
      <c r="AS2492" s="17"/>
      <c r="AT2492" s="17"/>
      <c r="AU2492" s="17"/>
      <c r="AV2492" s="17"/>
    </row>
    <row r="2493" spans="1:48" ht="15.75" customHeight="1">
      <c r="A2493" s="21" t="s">
        <v>53</v>
      </c>
      <c r="B2493" s="23" t="s">
        <v>1692</v>
      </c>
      <c r="C2493" s="22">
        <v>45747</v>
      </c>
      <c r="D2493" s="23" t="s">
        <v>135</v>
      </c>
      <c r="E2493" s="23" t="s">
        <v>97</v>
      </c>
      <c r="F2493" s="14">
        <v>1</v>
      </c>
      <c r="G2493" s="12">
        <v>15500.298388701016</v>
      </c>
      <c r="H2493" s="12">
        <v>15500.298388701016</v>
      </c>
      <c r="I2493" s="23" t="s">
        <v>52</v>
      </c>
      <c r="J2493" s="23" t="s">
        <v>61</v>
      </c>
      <c r="K2493" s="24" t="s">
        <v>177</v>
      </c>
      <c r="L2493" s="24">
        <v>120</v>
      </c>
      <c r="M2493" s="12">
        <v>13025.46083084119</v>
      </c>
      <c r="N2493" s="12">
        <v>13025.46083084119</v>
      </c>
      <c r="O2493" s="12">
        <v>2474.8375578598261</v>
      </c>
      <c r="P2493" s="13"/>
      <c r="Q2493" s="14">
        <v>2025</v>
      </c>
      <c r="R2493" s="15">
        <v>45352</v>
      </c>
      <c r="S2493" s="11" t="s">
        <v>366</v>
      </c>
      <c r="T2493" s="16">
        <v>0</v>
      </c>
      <c r="U2493" s="17"/>
      <c r="V2493" s="12">
        <v>3203.6120913453906</v>
      </c>
      <c r="W2493" s="12">
        <v>3203.6120913453906</v>
      </c>
      <c r="X2493" s="12">
        <v>0</v>
      </c>
      <c r="Y2493" s="18">
        <v>45747</v>
      </c>
      <c r="Z2493" s="13" t="s">
        <v>523</v>
      </c>
      <c r="AA2493" s="19" t="str">
        <f>VLOOKUP(D2493,Clientes!$A$2:$J$486,9,FALSE)</f>
        <v>Frecuente</v>
      </c>
      <c r="AB2493" s="13" t="str">
        <f>VLOOKUP(D2493,Clientes!$A$2:$K$486,11,FALSE)</f>
        <v>Persona Natural</v>
      </c>
      <c r="AC2493" s="13" t="str">
        <f>VLOOKUP(D2493,Clientes!$A$2:$B$486,2,FALSE)</f>
        <v>Ex 4to Antilhue</v>
      </c>
      <c r="AD2493" s="20"/>
      <c r="AE2493" s="20"/>
      <c r="AF2493" s="13" t="s">
        <v>40</v>
      </c>
      <c r="AG2493" s="15">
        <v>45352</v>
      </c>
      <c r="AH2493" s="13" t="s">
        <v>41</v>
      </c>
      <c r="AI2493" s="13" t="s">
        <v>53</v>
      </c>
      <c r="AJ2493" s="13" t="str">
        <f>VLOOKUP(E2493,Precios!Z$2:AA$941,2,FALSE)</f>
        <v>Papel Higienico ELITE 50 metros</v>
      </c>
      <c r="AK2493" s="14">
        <f>VLOOKUP(E2493,Precios!Z$2:BB$941,3,FALSE)*F2493</f>
        <v>-6</v>
      </c>
      <c r="AL2493" s="17"/>
      <c r="AM2493" s="17"/>
      <c r="AN2493" s="17"/>
      <c r="AO2493" s="17"/>
      <c r="AP2493" s="17"/>
      <c r="AQ2493" s="17"/>
      <c r="AR2493" s="17"/>
      <c r="AS2493" s="17"/>
      <c r="AT2493" s="17"/>
      <c r="AU2493" s="17"/>
      <c r="AV2493" s="17"/>
    </row>
    <row r="2494" spans="1:48" ht="15.75" customHeight="1">
      <c r="A2494" s="21" t="s">
        <v>35</v>
      </c>
      <c r="B2494" s="23" t="s">
        <v>1692</v>
      </c>
      <c r="C2494" s="22">
        <v>45746</v>
      </c>
      <c r="D2494" s="23" t="s">
        <v>507</v>
      </c>
      <c r="E2494" s="23" t="s">
        <v>46</v>
      </c>
      <c r="F2494" s="14">
        <v>1</v>
      </c>
      <c r="G2494" s="12">
        <v>5500</v>
      </c>
      <c r="H2494" s="12">
        <v>5500</v>
      </c>
      <c r="I2494" s="13" t="s">
        <v>52</v>
      </c>
      <c r="J2494" s="23" t="s">
        <v>61</v>
      </c>
      <c r="K2494" s="24" t="s">
        <v>177</v>
      </c>
      <c r="L2494" s="24">
        <v>119</v>
      </c>
      <c r="M2494" s="12">
        <v>4621.8487394957983</v>
      </c>
      <c r="N2494" s="12">
        <v>4621.8487394957983</v>
      </c>
      <c r="O2494" s="12">
        <v>878.15126050420167</v>
      </c>
      <c r="P2494" s="13"/>
      <c r="Q2494" s="14">
        <v>2025</v>
      </c>
      <c r="R2494" s="15">
        <v>45352</v>
      </c>
      <c r="S2494" s="11" t="s">
        <v>364</v>
      </c>
      <c r="T2494" s="16">
        <v>500</v>
      </c>
      <c r="U2494" s="17"/>
      <c r="V2494" s="12">
        <v>1365.1260504201678</v>
      </c>
      <c r="W2494" s="12">
        <v>1365.1260504201678</v>
      </c>
      <c r="X2494" s="12">
        <v>0</v>
      </c>
      <c r="Y2494" s="18">
        <v>45740</v>
      </c>
      <c r="Z2494" s="13" t="s">
        <v>497</v>
      </c>
      <c r="AA2494" s="19" t="str">
        <f>VLOOKUP(D2494,Clientes!$A$2:$J$486,9,FALSE)</f>
        <v>Ocacional</v>
      </c>
      <c r="AB2494" s="13" t="str">
        <f>VLOOKUP(D2494,Clientes!$A$2:$K$486,11,FALSE)</f>
        <v>Persona Natural</v>
      </c>
      <c r="AC2494" s="13" t="str">
        <f>VLOOKUP(D2494,Clientes!$A$2:$B$486,2,FALSE)</f>
        <v>Jardines de la viña</v>
      </c>
      <c r="AD2494" s="20"/>
      <c r="AE2494" s="20"/>
      <c r="AF2494" s="13" t="s">
        <v>40</v>
      </c>
      <c r="AG2494" s="15">
        <v>45352</v>
      </c>
      <c r="AH2494" s="13" t="s">
        <v>41</v>
      </c>
      <c r="AI2494" s="13" t="s">
        <v>35</v>
      </c>
      <c r="AJ2494" s="13" t="str">
        <f>VLOOKUP(E2494,Precios!Z$2:AA$941,2,FALSE)</f>
        <v>Queso RUNCA Mantecoso</v>
      </c>
      <c r="AK2494" s="14">
        <f>VLOOKUP(E2494,Precios!Z$2:BB$941,3,FALSE)*F2494</f>
        <v>-0.5</v>
      </c>
      <c r="AL2494" s="17"/>
      <c r="AM2494" s="17"/>
      <c r="AN2494" s="17"/>
      <c r="AO2494" s="17"/>
      <c r="AP2494" s="17"/>
      <c r="AQ2494" s="17"/>
      <c r="AR2494" s="17"/>
      <c r="AS2494" s="17"/>
      <c r="AT2494" s="17"/>
      <c r="AU2494" s="17"/>
      <c r="AV2494" s="17"/>
    </row>
    <row r="2495" spans="1:48" ht="15.75" customHeight="1">
      <c r="A2495" s="21" t="s">
        <v>53</v>
      </c>
      <c r="B2495" s="23" t="s">
        <v>1692</v>
      </c>
      <c r="C2495" s="22">
        <v>45746</v>
      </c>
      <c r="D2495" s="23" t="s">
        <v>315</v>
      </c>
      <c r="E2495" s="23" t="s">
        <v>97</v>
      </c>
      <c r="F2495" s="14">
        <v>1</v>
      </c>
      <c r="G2495" s="12">
        <v>15500.298388701016</v>
      </c>
      <c r="H2495" s="12">
        <v>15500.298388701016</v>
      </c>
      <c r="I2495" s="13" t="s">
        <v>52</v>
      </c>
      <c r="J2495" s="23" t="s">
        <v>61</v>
      </c>
      <c r="K2495" s="24" t="s">
        <v>177</v>
      </c>
      <c r="L2495" s="24">
        <v>119</v>
      </c>
      <c r="M2495" s="12">
        <v>13025.46083084119</v>
      </c>
      <c r="N2495" s="12">
        <v>13025.46083084119</v>
      </c>
      <c r="O2495" s="12">
        <v>2474.8375578598261</v>
      </c>
      <c r="P2495" s="13"/>
      <c r="Q2495" s="14">
        <v>2025</v>
      </c>
      <c r="R2495" s="15">
        <v>45352</v>
      </c>
      <c r="S2495" s="11" t="s">
        <v>366</v>
      </c>
      <c r="T2495" s="16">
        <v>0</v>
      </c>
      <c r="U2495" s="17"/>
      <c r="V2495" s="12">
        <v>3203.6120913453906</v>
      </c>
      <c r="W2495" s="12">
        <v>3203.6120913453906</v>
      </c>
      <c r="X2495" s="12">
        <v>0</v>
      </c>
      <c r="Y2495" s="18">
        <v>45740</v>
      </c>
      <c r="Z2495" s="13" t="s">
        <v>497</v>
      </c>
      <c r="AA2495" s="19" t="str">
        <f>VLOOKUP(D2495,Clientes!$A$2:$J$486,9,FALSE)</f>
        <v>Ocacional</v>
      </c>
      <c r="AB2495" s="13" t="str">
        <f>VLOOKUP(D2495,Clientes!$A$2:$K$486,11,FALSE)</f>
        <v>Persona Natural</v>
      </c>
      <c r="AC2495" s="13" t="str">
        <f>VLOOKUP(D2495,Clientes!$A$2:$B$486,2,FALSE)</f>
        <v>Jardines de la Viña</v>
      </c>
      <c r="AD2495" s="20"/>
      <c r="AE2495" s="20"/>
      <c r="AF2495" s="13" t="s">
        <v>40</v>
      </c>
      <c r="AG2495" s="15">
        <v>45352</v>
      </c>
      <c r="AH2495" s="13" t="s">
        <v>41</v>
      </c>
      <c r="AI2495" s="13" t="s">
        <v>53</v>
      </c>
      <c r="AJ2495" s="13" t="str">
        <f>VLOOKUP(E2495,Precios!Z$2:AA$941,2,FALSE)</f>
        <v>Papel Higienico ELITE 50 metros</v>
      </c>
      <c r="AK2495" s="14">
        <f>VLOOKUP(E2495,Precios!Z$2:BB$941,3,FALSE)*F2495</f>
        <v>-6</v>
      </c>
      <c r="AL2495" s="17"/>
      <c r="AM2495" s="17"/>
      <c r="AN2495" s="17"/>
      <c r="AO2495" s="17"/>
      <c r="AP2495" s="17"/>
      <c r="AQ2495" s="17"/>
      <c r="AR2495" s="17"/>
      <c r="AS2495" s="17"/>
      <c r="AT2495" s="17"/>
      <c r="AU2495" s="17"/>
      <c r="AV2495" s="17"/>
    </row>
    <row r="2496" spans="1:48" ht="15.75" customHeight="1">
      <c r="A2496" s="21" t="s">
        <v>35</v>
      </c>
      <c r="B2496" s="23" t="s">
        <v>1692</v>
      </c>
      <c r="C2496" s="22">
        <v>45746</v>
      </c>
      <c r="D2496" s="23" t="s">
        <v>718</v>
      </c>
      <c r="E2496" s="23" t="s">
        <v>37</v>
      </c>
      <c r="F2496" s="14">
        <v>1</v>
      </c>
      <c r="G2496" s="12">
        <v>10500</v>
      </c>
      <c r="H2496" s="12">
        <v>10500</v>
      </c>
      <c r="I2496" s="13" t="s">
        <v>52</v>
      </c>
      <c r="J2496" s="23" t="s">
        <v>61</v>
      </c>
      <c r="K2496" s="24" t="s">
        <v>177</v>
      </c>
      <c r="L2496" s="24">
        <v>119</v>
      </c>
      <c r="M2496" s="12">
        <v>8823.5294117647063</v>
      </c>
      <c r="N2496" s="12">
        <v>8823.5294117647063</v>
      </c>
      <c r="O2496" s="12">
        <v>1676.4705882352937</v>
      </c>
      <c r="P2496" s="13"/>
      <c r="Q2496" s="14">
        <v>2025</v>
      </c>
      <c r="R2496" s="15">
        <v>45352</v>
      </c>
      <c r="S2496" s="11" t="s">
        <v>364</v>
      </c>
      <c r="T2496" s="16">
        <v>1000</v>
      </c>
      <c r="U2496" s="17"/>
      <c r="V2496" s="12">
        <v>2385.7142857142853</v>
      </c>
      <c r="W2496" s="12">
        <v>2385.7142857142853</v>
      </c>
      <c r="X2496" s="12">
        <v>0</v>
      </c>
      <c r="Y2496" s="18">
        <v>45740</v>
      </c>
      <c r="Z2496" s="13" t="s">
        <v>497</v>
      </c>
      <c r="AA2496" s="19" t="str">
        <f>VLOOKUP(D2496,Clientes!$A$2:$J$486,9,FALSE)</f>
        <v>Ocacional</v>
      </c>
      <c r="AB2496" s="13" t="str">
        <f>VLOOKUP(D2496,Clientes!$A$2:$K$486,11,FALSE)</f>
        <v>Persona Natural</v>
      </c>
      <c r="AC2496" s="13" t="str">
        <f>VLOOKUP(D2496,Clientes!$A$2:$B$486,2,FALSE)</f>
        <v>Colombia</v>
      </c>
      <c r="AD2496" s="20"/>
      <c r="AE2496" s="20"/>
      <c r="AF2496" s="13" t="s">
        <v>40</v>
      </c>
      <c r="AG2496" s="15">
        <v>45352</v>
      </c>
      <c r="AH2496" s="13" t="s">
        <v>41</v>
      </c>
      <c r="AI2496" s="13" t="s">
        <v>35</v>
      </c>
      <c r="AJ2496" s="13" t="str">
        <f>VLOOKUP(E2496,Precios!Z$2:AA$941,2,FALSE)</f>
        <v>Queso RUNCA Mantecoso</v>
      </c>
      <c r="AK2496" s="14">
        <f>VLOOKUP(E2496,Precios!Z$2:BB$941,3,FALSE)*F2496</f>
        <v>-1</v>
      </c>
      <c r="AL2496" s="17"/>
      <c r="AM2496" s="17"/>
      <c r="AN2496" s="17"/>
      <c r="AO2496" s="17"/>
      <c r="AP2496" s="17"/>
      <c r="AQ2496" s="17"/>
      <c r="AR2496" s="17"/>
      <c r="AS2496" s="17"/>
      <c r="AT2496" s="17"/>
      <c r="AU2496" s="17"/>
      <c r="AV2496" s="17"/>
    </row>
    <row r="2497" spans="1:48" ht="15.75" customHeight="1">
      <c r="A2497" s="21" t="s">
        <v>76</v>
      </c>
      <c r="B2497" s="23" t="s">
        <v>1692</v>
      </c>
      <c r="C2497" s="22">
        <v>45746</v>
      </c>
      <c r="D2497" s="23" t="s">
        <v>915</v>
      </c>
      <c r="E2497" s="23" t="s">
        <v>81</v>
      </c>
      <c r="F2497" s="14">
        <v>1</v>
      </c>
      <c r="G2497" s="12">
        <v>3500.0000000000005</v>
      </c>
      <c r="H2497" s="34">
        <v>3500.0000000000005</v>
      </c>
      <c r="I2497" s="13" t="s">
        <v>52</v>
      </c>
      <c r="J2497" s="23" t="s">
        <v>61</v>
      </c>
      <c r="K2497" s="24" t="s">
        <v>177</v>
      </c>
      <c r="L2497" s="24">
        <v>119</v>
      </c>
      <c r="M2497" s="12">
        <v>2941.1764705882356</v>
      </c>
      <c r="N2497" s="12">
        <v>2941.1764705882356</v>
      </c>
      <c r="O2497" s="12">
        <v>558.82352941176487</v>
      </c>
      <c r="P2497" s="13"/>
      <c r="Q2497" s="14">
        <v>2025</v>
      </c>
      <c r="R2497" s="15">
        <v>45352</v>
      </c>
      <c r="S2497" s="11" t="s">
        <v>397</v>
      </c>
      <c r="T2497" s="16">
        <v>5</v>
      </c>
      <c r="U2497" s="17"/>
      <c r="V2497" s="12">
        <v>764.70588235294144</v>
      </c>
      <c r="W2497" s="12">
        <v>764.70588235294144</v>
      </c>
      <c r="X2497" s="12">
        <v>0</v>
      </c>
      <c r="Y2497" s="18">
        <v>45740</v>
      </c>
      <c r="Z2497" s="13" t="s">
        <v>497</v>
      </c>
      <c r="AA2497" s="19" t="str">
        <f>VLOOKUP(D2497,Clientes!$A$2:$J$486,9,FALSE)</f>
        <v>Regular</v>
      </c>
      <c r="AB2497" s="13" t="str">
        <f>VLOOKUP(D2497,Clientes!$A$2:$K$486,11,FALSE)</f>
        <v>Persona Natural</v>
      </c>
      <c r="AC2497" s="13" t="str">
        <f>VLOOKUP(D2497,Clientes!$A$2:$B$486,2,FALSE)</f>
        <v>Jardin del Eden</v>
      </c>
      <c r="AD2497" s="20"/>
      <c r="AE2497" s="20"/>
      <c r="AF2497" s="13" t="s">
        <v>40</v>
      </c>
      <c r="AG2497" s="15">
        <v>45352</v>
      </c>
      <c r="AH2497" s="13" t="s">
        <v>41</v>
      </c>
      <c r="AI2497" s="13" t="s">
        <v>76</v>
      </c>
      <c r="AJ2497" s="13" t="str">
        <f>VLOOKUP(E2497,Precios!Z$2:AA$941,2,FALSE)</f>
        <v>Detergente SPUM 5 Litros (Verde)</v>
      </c>
      <c r="AK2497" s="14">
        <f>VLOOKUP(E2497,Precios!Z$2:BB$941,3,FALSE)*F2497</f>
        <v>-1</v>
      </c>
      <c r="AL2497" s="17"/>
      <c r="AM2497" s="17"/>
      <c r="AN2497" s="17"/>
      <c r="AO2497" s="17"/>
      <c r="AP2497" s="17"/>
      <c r="AQ2497" s="17"/>
      <c r="AR2497" s="17"/>
      <c r="AS2497" s="17"/>
      <c r="AT2497" s="17"/>
      <c r="AU2497" s="17"/>
      <c r="AV2497" s="17"/>
    </row>
    <row r="2498" spans="1:48" ht="15.75" customHeight="1">
      <c r="A2498" s="21" t="s">
        <v>43</v>
      </c>
      <c r="B2498" s="23" t="s">
        <v>1692</v>
      </c>
      <c r="C2498" s="22">
        <v>45746</v>
      </c>
      <c r="D2498" s="23" t="s">
        <v>915</v>
      </c>
      <c r="E2498" s="23" t="s">
        <v>45</v>
      </c>
      <c r="F2498" s="14">
        <v>1</v>
      </c>
      <c r="G2498" s="12">
        <v>8299.7854333055202</v>
      </c>
      <c r="H2498" s="34">
        <v>8299.7854333055202</v>
      </c>
      <c r="I2498" s="13" t="s">
        <v>52</v>
      </c>
      <c r="J2498" s="23" t="s">
        <v>61</v>
      </c>
      <c r="K2498" s="24" t="s">
        <v>177</v>
      </c>
      <c r="L2498" s="24">
        <v>119</v>
      </c>
      <c r="M2498" s="12">
        <v>6974.6096078197652</v>
      </c>
      <c r="N2498" s="12">
        <v>6974.6096078197652</v>
      </c>
      <c r="O2498" s="12">
        <v>1325.175825485755</v>
      </c>
      <c r="P2498" s="13"/>
      <c r="Q2498" s="14">
        <v>2025</v>
      </c>
      <c r="R2498" s="15">
        <v>45352</v>
      </c>
      <c r="S2498" s="11" t="s">
        <v>355</v>
      </c>
      <c r="T2498" s="16">
        <v>0</v>
      </c>
      <c r="U2498" s="17"/>
      <c r="V2498" s="12">
        <v>1123.6096078197643</v>
      </c>
      <c r="W2498" s="12">
        <v>1123.6096078197643</v>
      </c>
      <c r="X2498" s="12">
        <v>0</v>
      </c>
      <c r="Y2498" s="18">
        <v>45740</v>
      </c>
      <c r="Z2498" s="13" t="s">
        <v>497</v>
      </c>
      <c r="AA2498" s="19" t="str">
        <f>VLOOKUP(D2498,Clientes!$A$2:$J$486,9,FALSE)</f>
        <v>Regular</v>
      </c>
      <c r="AB2498" s="13" t="str">
        <f>VLOOKUP(D2498,Clientes!$A$2:$K$486,11,FALSE)</f>
        <v>Persona Natural</v>
      </c>
      <c r="AC2498" s="13" t="str">
        <f>VLOOKUP(D2498,Clientes!$A$2:$B$486,2,FALSE)</f>
        <v>Jardin del Eden</v>
      </c>
      <c r="AD2498" s="20"/>
      <c r="AE2498" s="20"/>
      <c r="AF2498" s="13" t="s">
        <v>40</v>
      </c>
      <c r="AG2498" s="15">
        <v>45352</v>
      </c>
      <c r="AH2498" s="13" t="s">
        <v>41</v>
      </c>
      <c r="AI2498" s="13" t="s">
        <v>43</v>
      </c>
      <c r="AJ2498" s="13" t="str">
        <f>VLOOKUP(E2498,Precios!Z$2:AA$941,2,FALSE)</f>
        <v>Bandeja Huevos EXTRA</v>
      </c>
      <c r="AK2498" s="14">
        <f>VLOOKUP(E2498,Precios!Z$2:BB$941,3,FALSE)*F2498</f>
        <v>-1</v>
      </c>
      <c r="AL2498" s="17"/>
      <c r="AM2498" s="17"/>
      <c r="AN2498" s="17"/>
      <c r="AO2498" s="17"/>
      <c r="AP2498" s="17"/>
      <c r="AQ2498" s="17"/>
      <c r="AR2498" s="17"/>
      <c r="AS2498" s="17"/>
      <c r="AT2498" s="17"/>
      <c r="AU2498" s="17"/>
      <c r="AV2498" s="17"/>
    </row>
    <row r="2499" spans="1:48" ht="15.75" customHeight="1">
      <c r="A2499" s="21" t="s">
        <v>47</v>
      </c>
      <c r="B2499" s="23" t="s">
        <v>1692</v>
      </c>
      <c r="C2499" s="22">
        <v>45746</v>
      </c>
      <c r="D2499" s="23" t="s">
        <v>285</v>
      </c>
      <c r="E2499" s="23" t="s">
        <v>531</v>
      </c>
      <c r="F2499" s="14">
        <v>1</v>
      </c>
      <c r="G2499" s="12">
        <v>8699.5893440033688</v>
      </c>
      <c r="H2499" s="12">
        <v>8699.5893440033688</v>
      </c>
      <c r="I2499" s="13" t="s">
        <v>52</v>
      </c>
      <c r="J2499" s="23" t="s">
        <v>61</v>
      </c>
      <c r="K2499" s="24" t="s">
        <v>177</v>
      </c>
      <c r="L2499" s="24">
        <v>119</v>
      </c>
      <c r="M2499" s="12">
        <v>7310.5792806751006</v>
      </c>
      <c r="N2499" s="12">
        <v>7310.5792806751006</v>
      </c>
      <c r="O2499" s="12">
        <v>1389.0100633282682</v>
      </c>
      <c r="P2499" s="13"/>
      <c r="Q2499" s="14">
        <v>2025</v>
      </c>
      <c r="R2499" s="15">
        <v>45352</v>
      </c>
      <c r="S2499" s="11" t="s">
        <v>453</v>
      </c>
      <c r="T2499" s="16">
        <v>0</v>
      </c>
      <c r="U2499" s="17"/>
      <c r="V2499" s="12">
        <v>2450.5792806751006</v>
      </c>
      <c r="W2499" s="12">
        <v>2450.5792806751006</v>
      </c>
      <c r="X2499" s="12">
        <v>0</v>
      </c>
      <c r="Y2499" s="18">
        <v>45740</v>
      </c>
      <c r="Z2499" s="13" t="s">
        <v>497</v>
      </c>
      <c r="AA2499" s="19" t="str">
        <f>VLOOKUP(D2499,Clientes!$A$2:$J$486,9,FALSE)</f>
        <v>Familiar</v>
      </c>
      <c r="AB2499" s="13" t="str">
        <f>VLOOKUP(D2499,Clientes!$A$2:$K$486,11,FALSE)</f>
        <v>Persona Natural</v>
      </c>
      <c r="AC2499" s="13" t="str">
        <f>VLOOKUP(D2499,Clientes!$A$2:$B$486,2,FALSE)</f>
        <v>Familiar</v>
      </c>
      <c r="AD2499" s="20"/>
      <c r="AE2499" s="20"/>
      <c r="AF2499" s="13" t="s">
        <v>40</v>
      </c>
      <c r="AG2499" s="15">
        <v>45352</v>
      </c>
      <c r="AH2499" s="13" t="s">
        <v>41</v>
      </c>
      <c r="AI2499" s="13" t="s">
        <v>47</v>
      </c>
      <c r="AJ2499" s="13" t="str">
        <f>VLOOKUP(E2499,Precios!Z$2:AA$941,2,FALSE)</f>
        <v xml:space="preserve">Bolsas Basura TEDDY 90x120 </v>
      </c>
      <c r="AK2499" s="14">
        <f>VLOOKUP(E2499,Precios!Z$2:BB$941,3,FALSE)*F2499</f>
        <v>-3</v>
      </c>
      <c r="AL2499" s="17"/>
      <c r="AM2499" s="17"/>
      <c r="AN2499" s="17"/>
      <c r="AO2499" s="17"/>
      <c r="AP2499" s="17"/>
      <c r="AQ2499" s="17"/>
      <c r="AR2499" s="17"/>
      <c r="AS2499" s="17"/>
      <c r="AT2499" s="17"/>
      <c r="AU2499" s="17"/>
      <c r="AV2499" s="17"/>
    </row>
    <row r="2500" spans="1:48" ht="15.75" customHeight="1">
      <c r="A2500" s="21" t="s">
        <v>35</v>
      </c>
      <c r="B2500" s="23" t="s">
        <v>1692</v>
      </c>
      <c r="C2500" s="22">
        <v>45746</v>
      </c>
      <c r="D2500" s="23" t="s">
        <v>285</v>
      </c>
      <c r="E2500" s="23" t="s">
        <v>37</v>
      </c>
      <c r="F2500" s="14">
        <v>1</v>
      </c>
      <c r="G2500" s="12">
        <v>10500</v>
      </c>
      <c r="H2500" s="12">
        <v>10500</v>
      </c>
      <c r="I2500" s="13" t="s">
        <v>52</v>
      </c>
      <c r="J2500" s="23" t="s">
        <v>61</v>
      </c>
      <c r="K2500" s="24" t="s">
        <v>177</v>
      </c>
      <c r="L2500" s="24">
        <v>119</v>
      </c>
      <c r="M2500" s="12">
        <v>8823.5294117647063</v>
      </c>
      <c r="N2500" s="12">
        <v>8823.5294117647063</v>
      </c>
      <c r="O2500" s="12">
        <v>1676.4705882352937</v>
      </c>
      <c r="P2500" s="13"/>
      <c r="Q2500" s="14">
        <v>2025</v>
      </c>
      <c r="R2500" s="15">
        <v>45352</v>
      </c>
      <c r="S2500" s="11" t="s">
        <v>364</v>
      </c>
      <c r="T2500" s="16">
        <v>1000</v>
      </c>
      <c r="U2500" s="17"/>
      <c r="V2500" s="12">
        <v>2385.7142857142853</v>
      </c>
      <c r="W2500" s="12">
        <v>2385.7142857142853</v>
      </c>
      <c r="X2500" s="12">
        <v>0</v>
      </c>
      <c r="Y2500" s="18">
        <v>45740</v>
      </c>
      <c r="Z2500" s="13" t="s">
        <v>497</v>
      </c>
      <c r="AA2500" s="19" t="str">
        <f>VLOOKUP(D2500,Clientes!$A$2:$J$486,9,FALSE)</f>
        <v>Familiar</v>
      </c>
      <c r="AB2500" s="13" t="str">
        <f>VLOOKUP(D2500,Clientes!$A$2:$K$486,11,FALSE)</f>
        <v>Persona Natural</v>
      </c>
      <c r="AC2500" s="13" t="str">
        <f>VLOOKUP(D2500,Clientes!$A$2:$B$486,2,FALSE)</f>
        <v>Familiar</v>
      </c>
      <c r="AD2500" s="20"/>
      <c r="AE2500" s="20"/>
      <c r="AF2500" s="13" t="s">
        <v>40</v>
      </c>
      <c r="AG2500" s="15">
        <v>45352</v>
      </c>
      <c r="AH2500" s="13" t="s">
        <v>41</v>
      </c>
      <c r="AI2500" s="13" t="s">
        <v>35</v>
      </c>
      <c r="AJ2500" s="13" t="str">
        <f>VLOOKUP(E2500,Precios!Z$2:AA$941,2,FALSE)</f>
        <v>Queso RUNCA Mantecoso</v>
      </c>
      <c r="AK2500" s="14">
        <f>VLOOKUP(E2500,Precios!Z$2:BB$941,3,FALSE)*F2500</f>
        <v>-1</v>
      </c>
      <c r="AL2500" s="17"/>
      <c r="AM2500" s="17"/>
      <c r="AN2500" s="17"/>
      <c r="AO2500" s="17"/>
      <c r="AP2500" s="17"/>
      <c r="AQ2500" s="17"/>
      <c r="AR2500" s="17"/>
      <c r="AS2500" s="17"/>
      <c r="AT2500" s="17"/>
      <c r="AU2500" s="17"/>
      <c r="AV2500" s="17"/>
    </row>
    <row r="2501" spans="1:48" ht="15.75" customHeight="1">
      <c r="A2501" s="21" t="s">
        <v>43</v>
      </c>
      <c r="B2501" s="23" t="s">
        <v>1692</v>
      </c>
      <c r="C2501" s="22">
        <v>45746</v>
      </c>
      <c r="D2501" s="23" t="s">
        <v>350</v>
      </c>
      <c r="E2501" s="23" t="s">
        <v>45</v>
      </c>
      <c r="F2501" s="21">
        <v>2</v>
      </c>
      <c r="G2501" s="12">
        <v>8299.7854333055202</v>
      </c>
      <c r="H2501" s="12">
        <v>16599.57086661104</v>
      </c>
      <c r="I2501" s="13" t="s">
        <v>52</v>
      </c>
      <c r="J2501" s="23" t="s">
        <v>61</v>
      </c>
      <c r="K2501" s="24" t="s">
        <v>177</v>
      </c>
      <c r="L2501" s="24">
        <v>119</v>
      </c>
      <c r="M2501" s="12">
        <v>6974.6096078197652</v>
      </c>
      <c r="N2501" s="12">
        <v>13949.21921563953</v>
      </c>
      <c r="O2501" s="12">
        <v>2650.35165097151</v>
      </c>
      <c r="P2501" s="13"/>
      <c r="Q2501" s="14">
        <v>2025</v>
      </c>
      <c r="R2501" s="15">
        <v>45352</v>
      </c>
      <c r="S2501" s="11" t="s">
        <v>355</v>
      </c>
      <c r="T2501" s="16">
        <v>0</v>
      </c>
      <c r="U2501" s="17"/>
      <c r="V2501" s="12">
        <v>2247.2192156395286</v>
      </c>
      <c r="W2501" s="12">
        <v>2247.2192156395286</v>
      </c>
      <c r="X2501" s="12">
        <v>0</v>
      </c>
      <c r="Y2501" s="18">
        <v>45740</v>
      </c>
      <c r="Z2501" s="13" t="s">
        <v>497</v>
      </c>
      <c r="AA2501" s="19" t="str">
        <f>VLOOKUP(D2501,Clientes!$A$2:$J$486,9,FALSE)</f>
        <v>Ocacional</v>
      </c>
      <c r="AB2501" s="13" t="str">
        <f>VLOOKUP(D2501,Clientes!$A$2:$K$486,11,FALSE)</f>
        <v>Persona Natural</v>
      </c>
      <c r="AC2501" s="13" t="str">
        <f>VLOOKUP(D2501,Clientes!$A$2:$B$486,2,FALSE)</f>
        <v>Walker Martinez</v>
      </c>
      <c r="AD2501" s="20"/>
      <c r="AE2501" s="20"/>
      <c r="AF2501" s="13" t="s">
        <v>40</v>
      </c>
      <c r="AG2501" s="15">
        <v>45352</v>
      </c>
      <c r="AH2501" s="13" t="s">
        <v>41</v>
      </c>
      <c r="AI2501" s="13" t="s">
        <v>43</v>
      </c>
      <c r="AJ2501" s="13" t="str">
        <f>VLOOKUP(E2501,Precios!Z$2:AA$941,2,FALSE)</f>
        <v>Bandeja Huevos EXTRA</v>
      </c>
      <c r="AK2501" s="14">
        <f>VLOOKUP(E2501,Precios!Z$2:BB$941,3,FALSE)*F2501</f>
        <v>-2</v>
      </c>
      <c r="AL2501" s="17"/>
      <c r="AM2501" s="17"/>
      <c r="AN2501" s="17"/>
      <c r="AO2501" s="17"/>
      <c r="AP2501" s="17"/>
      <c r="AQ2501" s="17"/>
      <c r="AR2501" s="17"/>
      <c r="AS2501" s="17"/>
      <c r="AT2501" s="17"/>
      <c r="AU2501" s="17"/>
      <c r="AV2501" s="17"/>
    </row>
    <row r="2502" spans="1:48" ht="15.75" customHeight="1">
      <c r="A2502" s="21" t="s">
        <v>76</v>
      </c>
      <c r="B2502" s="23" t="s">
        <v>1692</v>
      </c>
      <c r="C2502" s="22">
        <v>45746</v>
      </c>
      <c r="D2502" s="23" t="s">
        <v>519</v>
      </c>
      <c r="E2502" s="23" t="s">
        <v>81</v>
      </c>
      <c r="F2502" s="21">
        <v>1</v>
      </c>
      <c r="G2502" s="12">
        <v>3500.0000000000005</v>
      </c>
      <c r="H2502" s="12">
        <v>3500.0000000000005</v>
      </c>
      <c r="I2502" s="13" t="s">
        <v>52</v>
      </c>
      <c r="J2502" s="23" t="s">
        <v>61</v>
      </c>
      <c r="K2502" s="24" t="s">
        <v>177</v>
      </c>
      <c r="L2502" s="24">
        <v>119</v>
      </c>
      <c r="M2502" s="12">
        <v>2941.1764705882356</v>
      </c>
      <c r="N2502" s="12">
        <v>2941.1764705882356</v>
      </c>
      <c r="O2502" s="12">
        <v>558.82352941176487</v>
      </c>
      <c r="P2502" s="13"/>
      <c r="Q2502" s="14">
        <v>2025</v>
      </c>
      <c r="R2502" s="15">
        <v>45352</v>
      </c>
      <c r="S2502" s="11" t="s">
        <v>397</v>
      </c>
      <c r="T2502" s="16">
        <v>5</v>
      </c>
      <c r="U2502" s="17"/>
      <c r="V2502" s="12">
        <v>764.70588235294144</v>
      </c>
      <c r="W2502" s="12">
        <v>764.70588235294144</v>
      </c>
      <c r="X2502" s="12">
        <v>0</v>
      </c>
      <c r="Y2502" s="18">
        <v>45740</v>
      </c>
      <c r="Z2502" s="13" t="s">
        <v>497</v>
      </c>
      <c r="AA2502" s="23" t="s">
        <v>373</v>
      </c>
      <c r="AB2502" s="23" t="s">
        <v>357</v>
      </c>
      <c r="AC2502" s="23" t="s">
        <v>520</v>
      </c>
      <c r="AD2502" s="20"/>
      <c r="AE2502" s="20"/>
      <c r="AF2502" s="13" t="s">
        <v>40</v>
      </c>
      <c r="AG2502" s="15">
        <v>45352</v>
      </c>
      <c r="AH2502" s="13" t="s">
        <v>41</v>
      </c>
      <c r="AI2502" s="13" t="s">
        <v>76</v>
      </c>
      <c r="AJ2502" s="13" t="str">
        <f>VLOOKUP(E2502,Precios!Z$2:AA$941,2,FALSE)</f>
        <v>Detergente SPUM 5 Litros (Verde)</v>
      </c>
      <c r="AK2502" s="14">
        <f>VLOOKUP(E2502,Precios!Z$2:BB$941,3,FALSE)*F2502</f>
        <v>-1</v>
      </c>
      <c r="AL2502" s="17"/>
      <c r="AM2502" s="17"/>
      <c r="AN2502" s="17"/>
      <c r="AO2502" s="17"/>
      <c r="AP2502" s="17"/>
      <c r="AQ2502" s="17"/>
      <c r="AR2502" s="17"/>
      <c r="AS2502" s="17"/>
      <c r="AT2502" s="17"/>
      <c r="AU2502" s="17"/>
      <c r="AV2502" s="17"/>
    </row>
    <row r="2503" spans="1:48" ht="15.75" customHeight="1">
      <c r="A2503" s="21" t="s">
        <v>53</v>
      </c>
      <c r="B2503" s="23" t="s">
        <v>1692</v>
      </c>
      <c r="C2503" s="22">
        <v>45746</v>
      </c>
      <c r="D2503" s="23" t="s">
        <v>519</v>
      </c>
      <c r="E2503" s="23" t="s">
        <v>150</v>
      </c>
      <c r="F2503" s="21">
        <v>1</v>
      </c>
      <c r="G2503" s="12">
        <v>1799.8965445892823</v>
      </c>
      <c r="H2503" s="12">
        <v>1799.8965445892823</v>
      </c>
      <c r="I2503" s="13" t="s">
        <v>52</v>
      </c>
      <c r="J2503" s="23" t="s">
        <v>61</v>
      </c>
      <c r="K2503" s="24" t="s">
        <v>177</v>
      </c>
      <c r="L2503" s="24">
        <v>119</v>
      </c>
      <c r="M2503" s="12">
        <v>1512.518104696876</v>
      </c>
      <c r="N2503" s="12">
        <v>1512.518104696876</v>
      </c>
      <c r="O2503" s="12">
        <v>287.37843989240628</v>
      </c>
      <c r="P2503" s="13"/>
      <c r="Q2503" s="14">
        <v>2025</v>
      </c>
      <c r="R2503" s="15">
        <v>45352</v>
      </c>
      <c r="S2503" s="11" t="s">
        <v>381</v>
      </c>
      <c r="T2503" s="16">
        <v>300</v>
      </c>
      <c r="U2503" s="17"/>
      <c r="V2503" s="12">
        <v>781.51810469687575</v>
      </c>
      <c r="W2503" s="12">
        <v>781.51810469687575</v>
      </c>
      <c r="X2503" s="12">
        <v>0</v>
      </c>
      <c r="Y2503" s="18">
        <v>45740</v>
      </c>
      <c r="Z2503" s="13" t="s">
        <v>497</v>
      </c>
      <c r="AA2503" s="23" t="s">
        <v>373</v>
      </c>
      <c r="AB2503" s="23" t="s">
        <v>357</v>
      </c>
      <c r="AC2503" s="23" t="s">
        <v>520</v>
      </c>
      <c r="AD2503" s="20"/>
      <c r="AE2503" s="20"/>
      <c r="AF2503" s="13" t="s">
        <v>40</v>
      </c>
      <c r="AG2503" s="15">
        <v>45352</v>
      </c>
      <c r="AH2503" s="13" t="s">
        <v>41</v>
      </c>
      <c r="AI2503" s="13" t="s">
        <v>53</v>
      </c>
      <c r="AJ2503" s="13" t="str">
        <f>VLOOKUP(E2503,Precios!Z$2:AA$941,2,FALSE)</f>
        <v>Servilletas SOFTQUALITY 300 unidades</v>
      </c>
      <c r="AK2503" s="14">
        <f>VLOOKUP(E2503,Precios!Z$2:BB$941,3,FALSE)*F2503</f>
        <v>-1</v>
      </c>
      <c r="AL2503" s="17"/>
      <c r="AM2503" s="17"/>
      <c r="AN2503" s="17"/>
      <c r="AO2503" s="17"/>
      <c r="AP2503" s="17"/>
      <c r="AQ2503" s="17"/>
      <c r="AR2503" s="17"/>
      <c r="AS2503" s="17"/>
      <c r="AT2503" s="17"/>
      <c r="AU2503" s="17"/>
      <c r="AV2503" s="17"/>
    </row>
    <row r="2504" spans="1:48" ht="15.75" customHeight="1">
      <c r="A2504" s="21" t="s">
        <v>147</v>
      </c>
      <c r="B2504" s="23" t="s">
        <v>1692</v>
      </c>
      <c r="C2504" s="22">
        <v>45745</v>
      </c>
      <c r="D2504" s="23" t="s">
        <v>219</v>
      </c>
      <c r="E2504" s="23" t="s">
        <v>149</v>
      </c>
      <c r="F2504" s="21">
        <v>2</v>
      </c>
      <c r="G2504" s="12">
        <v>1700</v>
      </c>
      <c r="H2504" s="12">
        <v>3400</v>
      </c>
      <c r="I2504" s="23" t="s">
        <v>52</v>
      </c>
      <c r="J2504" s="23" t="s">
        <v>61</v>
      </c>
      <c r="K2504" s="24" t="s">
        <v>177</v>
      </c>
      <c r="L2504" s="24">
        <v>119</v>
      </c>
      <c r="M2504" s="12">
        <v>1428.5714285714287</v>
      </c>
      <c r="N2504" s="12">
        <v>2857.1428571428573</v>
      </c>
      <c r="O2504" s="12">
        <v>542.85714285714266</v>
      </c>
      <c r="P2504" s="13"/>
      <c r="Q2504" s="14">
        <v>2025</v>
      </c>
      <c r="R2504" s="15">
        <v>45352</v>
      </c>
      <c r="S2504" s="11" t="s">
        <v>412</v>
      </c>
      <c r="T2504" s="16">
        <v>0</v>
      </c>
      <c r="U2504" s="17"/>
      <c r="V2504" s="12">
        <v>1549.5798319327732</v>
      </c>
      <c r="W2504" s="12">
        <v>1549.5798319327732</v>
      </c>
      <c r="X2504" s="12">
        <v>0</v>
      </c>
      <c r="Y2504" s="18">
        <v>45740</v>
      </c>
      <c r="Z2504" s="13" t="s">
        <v>501</v>
      </c>
      <c r="AA2504" s="19" t="str">
        <f>VLOOKUP(D2504,Clientes!$A$2:$J$486,9,FALSE)</f>
        <v>Ocacional</v>
      </c>
      <c r="AB2504" s="13" t="str">
        <f>VLOOKUP(D2504,Clientes!$A$2:$K$486,11,FALSE)</f>
        <v>Persona Natural</v>
      </c>
      <c r="AC2504" s="13" t="str">
        <f>VLOOKUP(D2504,Clientes!$A$2:$B$486,2,FALSE)</f>
        <v>Jardines de la Viña</v>
      </c>
      <c r="AD2504" s="20"/>
      <c r="AE2504" s="20"/>
      <c r="AF2504" s="13" t="s">
        <v>40</v>
      </c>
      <c r="AG2504" s="15">
        <v>45352</v>
      </c>
      <c r="AH2504" s="13" t="s">
        <v>41</v>
      </c>
      <c r="AI2504" s="13" t="s">
        <v>147</v>
      </c>
      <c r="AJ2504" s="13" t="str">
        <f>VLOOKUP(E2504,Precios!Z$2:AA$941,2,FALSE)</f>
        <v>Film Plástico 30 metros</v>
      </c>
      <c r="AK2504" s="14">
        <f>VLOOKUP(E2504,Precios!Z$2:BB$941,3,FALSE)*F2504</f>
        <v>-2</v>
      </c>
      <c r="AL2504" s="17"/>
      <c r="AM2504" s="17"/>
      <c r="AN2504" s="17"/>
      <c r="AO2504" s="17"/>
      <c r="AP2504" s="17"/>
      <c r="AQ2504" s="17"/>
      <c r="AR2504" s="17"/>
      <c r="AS2504" s="17"/>
      <c r="AT2504" s="17"/>
      <c r="AU2504" s="17"/>
      <c r="AV2504" s="17"/>
    </row>
    <row r="2505" spans="1:48" ht="15.75" customHeight="1">
      <c r="A2505" s="21" t="s">
        <v>43</v>
      </c>
      <c r="B2505" s="23" t="s">
        <v>1692</v>
      </c>
      <c r="C2505" s="22">
        <v>45745</v>
      </c>
      <c r="D2505" s="23" t="s">
        <v>124</v>
      </c>
      <c r="E2505" s="23" t="s">
        <v>45</v>
      </c>
      <c r="F2505" s="21">
        <v>1</v>
      </c>
      <c r="G2505" s="12">
        <v>8299.7854333055202</v>
      </c>
      <c r="H2505" s="12">
        <v>8299.7854333055202</v>
      </c>
      <c r="I2505" s="23" t="s">
        <v>52</v>
      </c>
      <c r="J2505" s="23" t="s">
        <v>61</v>
      </c>
      <c r="K2505" s="24" t="s">
        <v>177</v>
      </c>
      <c r="L2505" s="24">
        <v>119</v>
      </c>
      <c r="M2505" s="12">
        <v>6974.6096078197652</v>
      </c>
      <c r="N2505" s="12">
        <v>6974.6096078197652</v>
      </c>
      <c r="O2505" s="12">
        <v>1325.175825485755</v>
      </c>
      <c r="P2505" s="13"/>
      <c r="Q2505" s="14">
        <v>2025</v>
      </c>
      <c r="R2505" s="15">
        <v>45352</v>
      </c>
      <c r="S2505" s="11" t="s">
        <v>355</v>
      </c>
      <c r="T2505" s="16">
        <v>0</v>
      </c>
      <c r="U2505" s="17"/>
      <c r="V2505" s="12">
        <v>1123.6096078197643</v>
      </c>
      <c r="W2505" s="12">
        <v>1123.6096078197643</v>
      </c>
      <c r="X2505" s="12">
        <v>0</v>
      </c>
      <c r="Y2505" s="18">
        <v>45740</v>
      </c>
      <c r="Z2505" s="13" t="s">
        <v>501</v>
      </c>
      <c r="AA2505" s="19" t="str">
        <f>VLOOKUP(D2505,Clientes!$A$2:$J$486,9,FALSE)</f>
        <v>Regular</v>
      </c>
      <c r="AB2505" s="13" t="str">
        <f>VLOOKUP(D2505,Clientes!$A$2:$K$486,11,FALSE)</f>
        <v>Persona Natural</v>
      </c>
      <c r="AC2505" s="13" t="str">
        <f>VLOOKUP(D2505,Clientes!$A$2:$B$486,2,FALSE)</f>
        <v>Jardines de la viña</v>
      </c>
      <c r="AD2505" s="20"/>
      <c r="AE2505" s="20"/>
      <c r="AF2505" s="13" t="s">
        <v>40</v>
      </c>
      <c r="AG2505" s="15">
        <v>45352</v>
      </c>
      <c r="AH2505" s="13" t="s">
        <v>41</v>
      </c>
      <c r="AI2505" s="13" t="s">
        <v>43</v>
      </c>
      <c r="AJ2505" s="13" t="str">
        <f>VLOOKUP(E2505,Precios!Z$2:AA$941,2,FALSE)</f>
        <v>Bandeja Huevos EXTRA</v>
      </c>
      <c r="AK2505" s="14">
        <f>VLOOKUP(E2505,Precios!Z$2:BB$941,3,FALSE)*F2505</f>
        <v>-1</v>
      </c>
      <c r="AL2505" s="17"/>
      <c r="AM2505" s="17"/>
      <c r="AN2505" s="17"/>
      <c r="AO2505" s="17"/>
      <c r="AP2505" s="17"/>
      <c r="AQ2505" s="17"/>
      <c r="AR2505" s="17"/>
      <c r="AS2505" s="17"/>
      <c r="AT2505" s="17"/>
      <c r="AU2505" s="17"/>
      <c r="AV2505" s="17"/>
    </row>
    <row r="2506" spans="1:48" ht="15.75" customHeight="1">
      <c r="A2506" s="21" t="s">
        <v>50</v>
      </c>
      <c r="B2506" s="23" t="s">
        <v>1692</v>
      </c>
      <c r="C2506" s="22">
        <v>45745</v>
      </c>
      <c r="D2506" s="23" t="s">
        <v>124</v>
      </c>
      <c r="E2506" s="23" t="s">
        <v>51</v>
      </c>
      <c r="F2506" s="21">
        <v>2</v>
      </c>
      <c r="G2506" s="12">
        <v>1000.0000000000001</v>
      </c>
      <c r="H2506" s="12">
        <v>2000.0000000000002</v>
      </c>
      <c r="I2506" s="23" t="s">
        <v>52</v>
      </c>
      <c r="J2506" s="23" t="s">
        <v>61</v>
      </c>
      <c r="K2506" s="24" t="s">
        <v>177</v>
      </c>
      <c r="L2506" s="24">
        <v>119</v>
      </c>
      <c r="M2506" s="12">
        <v>840.3361344537816</v>
      </c>
      <c r="N2506" s="12">
        <v>1680.6722689075632</v>
      </c>
      <c r="O2506" s="12">
        <v>319.32773109243703</v>
      </c>
      <c r="P2506" s="13"/>
      <c r="Q2506" s="14">
        <v>2025</v>
      </c>
      <c r="R2506" s="15">
        <v>45352</v>
      </c>
      <c r="S2506" s="11" t="s">
        <v>51</v>
      </c>
      <c r="T2506" s="16">
        <v>0</v>
      </c>
      <c r="U2506" s="17"/>
      <c r="V2506" s="12">
        <v>880.67226890756319</v>
      </c>
      <c r="W2506" s="12">
        <v>880.67226890756319</v>
      </c>
      <c r="X2506" s="12">
        <v>0</v>
      </c>
      <c r="Y2506" s="18">
        <v>45740</v>
      </c>
      <c r="Z2506" s="13" t="s">
        <v>501</v>
      </c>
      <c r="AA2506" s="19" t="str">
        <f>VLOOKUP(D2506,Clientes!$A$2:$J$486,9,FALSE)</f>
        <v>Regular</v>
      </c>
      <c r="AB2506" s="13" t="str">
        <f>VLOOKUP(D2506,Clientes!$A$2:$K$486,11,FALSE)</f>
        <v>Persona Natural</v>
      </c>
      <c r="AC2506" s="13" t="str">
        <f>VLOOKUP(D2506,Clientes!$A$2:$B$486,2,FALSE)</f>
        <v>Jardines de la viña</v>
      </c>
      <c r="AD2506" s="20"/>
      <c r="AE2506" s="20"/>
      <c r="AF2506" s="13" t="s">
        <v>40</v>
      </c>
      <c r="AG2506" s="15">
        <v>45352</v>
      </c>
      <c r="AH2506" s="13" t="s">
        <v>41</v>
      </c>
      <c r="AI2506" s="13" t="s">
        <v>50</v>
      </c>
      <c r="AJ2506" s="13" t="str">
        <f>VLOOKUP(E2506,Precios!Z$2:AA$941,2,FALSE)</f>
        <v>Hielo 1 Kilo</v>
      </c>
      <c r="AK2506" s="14">
        <f>VLOOKUP(E2506,Precios!Z$2:BB$941,3,FALSE)*F2506</f>
        <v>-2</v>
      </c>
      <c r="AL2506" s="17"/>
      <c r="AM2506" s="17"/>
      <c r="AN2506" s="17"/>
      <c r="AO2506" s="17"/>
      <c r="AP2506" s="17"/>
      <c r="AQ2506" s="17"/>
      <c r="AR2506" s="17"/>
      <c r="AS2506" s="17"/>
      <c r="AT2506" s="17"/>
      <c r="AU2506" s="17"/>
      <c r="AV2506" s="17"/>
    </row>
    <row r="2507" spans="1:48" ht="15.75" customHeight="1">
      <c r="A2507" s="21" t="s">
        <v>53</v>
      </c>
      <c r="B2507" s="23" t="s">
        <v>1692</v>
      </c>
      <c r="C2507" s="22">
        <v>45745</v>
      </c>
      <c r="D2507" s="23" t="s">
        <v>915</v>
      </c>
      <c r="E2507" s="23" t="s">
        <v>150</v>
      </c>
      <c r="F2507" s="21">
        <v>1</v>
      </c>
      <c r="G2507" s="12">
        <v>1799.8965445892823</v>
      </c>
      <c r="H2507" s="34">
        <v>1799.8965445892823</v>
      </c>
      <c r="I2507" s="23" t="s">
        <v>52</v>
      </c>
      <c r="J2507" s="23" t="s">
        <v>61</v>
      </c>
      <c r="K2507" s="24" t="s">
        <v>177</v>
      </c>
      <c r="L2507" s="24">
        <v>119</v>
      </c>
      <c r="M2507" s="12">
        <v>1512.518104696876</v>
      </c>
      <c r="N2507" s="12">
        <v>1512.518104696876</v>
      </c>
      <c r="O2507" s="12">
        <v>287.37843989240628</v>
      </c>
      <c r="P2507" s="13"/>
      <c r="Q2507" s="14">
        <v>2025</v>
      </c>
      <c r="R2507" s="15">
        <v>45352</v>
      </c>
      <c r="S2507" s="11" t="s">
        <v>381</v>
      </c>
      <c r="T2507" s="16">
        <v>300</v>
      </c>
      <c r="U2507" s="17"/>
      <c r="V2507" s="12">
        <v>781.51810469687575</v>
      </c>
      <c r="W2507" s="12">
        <v>781.51810469687575</v>
      </c>
      <c r="X2507" s="12">
        <v>0</v>
      </c>
      <c r="Y2507" s="18">
        <v>45740</v>
      </c>
      <c r="Z2507" s="13" t="s">
        <v>501</v>
      </c>
      <c r="AA2507" s="19" t="str">
        <f>VLOOKUP(D2507,Clientes!$A$2:$J$486,9,FALSE)</f>
        <v>Regular</v>
      </c>
      <c r="AB2507" s="13" t="str">
        <f>VLOOKUP(D2507,Clientes!$A$2:$K$486,11,FALSE)</f>
        <v>Persona Natural</v>
      </c>
      <c r="AC2507" s="13" t="str">
        <f>VLOOKUP(D2507,Clientes!$A$2:$B$486,2,FALSE)</f>
        <v>Jardin del Eden</v>
      </c>
      <c r="AD2507" s="20"/>
      <c r="AE2507" s="20"/>
      <c r="AF2507" s="13" t="s">
        <v>40</v>
      </c>
      <c r="AG2507" s="15">
        <v>45352</v>
      </c>
      <c r="AH2507" s="13" t="s">
        <v>41</v>
      </c>
      <c r="AI2507" s="13" t="s">
        <v>53</v>
      </c>
      <c r="AJ2507" s="13" t="str">
        <f>VLOOKUP(E2507,Precios!Z$2:AA$941,2,FALSE)</f>
        <v>Servilletas SOFTQUALITY 300 unidades</v>
      </c>
      <c r="AK2507" s="14">
        <f>VLOOKUP(E2507,Precios!Z$2:BB$941,3,FALSE)*F2507</f>
        <v>-1</v>
      </c>
      <c r="AL2507" s="17"/>
      <c r="AM2507" s="17"/>
      <c r="AN2507" s="17"/>
      <c r="AO2507" s="17"/>
      <c r="AP2507" s="17"/>
      <c r="AQ2507" s="17"/>
      <c r="AR2507" s="17"/>
      <c r="AS2507" s="17"/>
      <c r="AT2507" s="17"/>
      <c r="AU2507" s="17"/>
      <c r="AV2507" s="17"/>
    </row>
    <row r="2508" spans="1:48" ht="15.75" customHeight="1">
      <c r="A2508" s="21" t="s">
        <v>50</v>
      </c>
      <c r="B2508" s="23" t="s">
        <v>1692</v>
      </c>
      <c r="C2508" s="22">
        <v>45745</v>
      </c>
      <c r="D2508" s="23" t="s">
        <v>915</v>
      </c>
      <c r="E2508" s="23" t="s">
        <v>51</v>
      </c>
      <c r="F2508" s="21">
        <v>1</v>
      </c>
      <c r="G2508" s="12">
        <v>1000.0000000000001</v>
      </c>
      <c r="H2508" s="34">
        <v>1000.0000000000001</v>
      </c>
      <c r="I2508" s="23" t="s">
        <v>52</v>
      </c>
      <c r="J2508" s="23" t="s">
        <v>61</v>
      </c>
      <c r="K2508" s="24" t="s">
        <v>177</v>
      </c>
      <c r="L2508" s="24">
        <v>119</v>
      </c>
      <c r="M2508" s="12">
        <v>840.3361344537816</v>
      </c>
      <c r="N2508" s="12">
        <v>840.3361344537816</v>
      </c>
      <c r="O2508" s="12">
        <v>159.66386554621852</v>
      </c>
      <c r="P2508" s="13"/>
      <c r="Q2508" s="14">
        <v>2025</v>
      </c>
      <c r="R2508" s="15">
        <v>45352</v>
      </c>
      <c r="S2508" s="11" t="s">
        <v>51</v>
      </c>
      <c r="T2508" s="16">
        <v>0</v>
      </c>
      <c r="U2508" s="17"/>
      <c r="V2508" s="12">
        <v>440.3361344537816</v>
      </c>
      <c r="W2508" s="12">
        <v>440.3361344537816</v>
      </c>
      <c r="X2508" s="12">
        <v>0</v>
      </c>
      <c r="Y2508" s="18">
        <v>45740</v>
      </c>
      <c r="Z2508" s="13" t="s">
        <v>501</v>
      </c>
      <c r="AA2508" s="19" t="str">
        <f>VLOOKUP(D2508,Clientes!$A$2:$J$486,9,FALSE)</f>
        <v>Regular</v>
      </c>
      <c r="AB2508" s="13" t="str">
        <f>VLOOKUP(D2508,Clientes!$A$2:$K$486,11,FALSE)</f>
        <v>Persona Natural</v>
      </c>
      <c r="AC2508" s="13" t="str">
        <f>VLOOKUP(D2508,Clientes!$A$2:$B$486,2,FALSE)</f>
        <v>Jardin del Eden</v>
      </c>
      <c r="AD2508" s="20"/>
      <c r="AE2508" s="20"/>
      <c r="AF2508" s="13" t="s">
        <v>40</v>
      </c>
      <c r="AG2508" s="15">
        <v>45352</v>
      </c>
      <c r="AH2508" s="13" t="s">
        <v>41</v>
      </c>
      <c r="AI2508" s="13" t="s">
        <v>50</v>
      </c>
      <c r="AJ2508" s="13" t="str">
        <f>VLOOKUP(E2508,Precios!Z$2:AA$941,2,FALSE)</f>
        <v>Hielo 1 Kilo</v>
      </c>
      <c r="AK2508" s="14">
        <f>VLOOKUP(E2508,Precios!Z$2:BB$941,3,FALSE)*F2508</f>
        <v>-1</v>
      </c>
      <c r="AL2508" s="17"/>
      <c r="AM2508" s="17"/>
      <c r="AN2508" s="17"/>
      <c r="AO2508" s="17"/>
      <c r="AP2508" s="17"/>
      <c r="AQ2508" s="17"/>
      <c r="AR2508" s="17"/>
      <c r="AS2508" s="17"/>
      <c r="AT2508" s="17"/>
      <c r="AU2508" s="17"/>
      <c r="AV2508" s="17"/>
    </row>
    <row r="2509" spans="1:48" ht="15.75" customHeight="1">
      <c r="A2509" s="21" t="s">
        <v>56</v>
      </c>
      <c r="B2509" s="23" t="s">
        <v>1692</v>
      </c>
      <c r="C2509" s="22">
        <v>45745</v>
      </c>
      <c r="D2509" s="23" t="s">
        <v>915</v>
      </c>
      <c r="E2509" s="23" t="s">
        <v>60</v>
      </c>
      <c r="F2509" s="21">
        <v>1</v>
      </c>
      <c r="G2509" s="12">
        <v>7000.0000000000018</v>
      </c>
      <c r="H2509" s="34">
        <v>7000.0000000000018</v>
      </c>
      <c r="I2509" s="23" t="s">
        <v>52</v>
      </c>
      <c r="J2509" s="23" t="s">
        <v>61</v>
      </c>
      <c r="K2509" s="24" t="s">
        <v>177</v>
      </c>
      <c r="L2509" s="24">
        <v>119</v>
      </c>
      <c r="M2509" s="12">
        <v>5882.3529411764721</v>
      </c>
      <c r="N2509" s="12">
        <v>5882.3529411764721</v>
      </c>
      <c r="O2509" s="12">
        <v>1117.6470588235297</v>
      </c>
      <c r="P2509" s="13"/>
      <c r="Q2509" s="14">
        <v>2025</v>
      </c>
      <c r="R2509" s="15">
        <v>45352</v>
      </c>
      <c r="S2509" s="11" t="s">
        <v>429</v>
      </c>
      <c r="T2509" s="16">
        <v>200</v>
      </c>
      <c r="U2509" s="17"/>
      <c r="V2509" s="12">
        <v>2080.6722689075641</v>
      </c>
      <c r="W2509" s="12">
        <v>2080.6722689075641</v>
      </c>
      <c r="X2509" s="12">
        <v>0</v>
      </c>
      <c r="Y2509" s="18">
        <v>45740</v>
      </c>
      <c r="Z2509" s="13" t="s">
        <v>501</v>
      </c>
      <c r="AA2509" s="19" t="str">
        <f>VLOOKUP(D2509,Clientes!$A$2:$J$486,9,FALSE)</f>
        <v>Regular</v>
      </c>
      <c r="AB2509" s="13" t="str">
        <f>VLOOKUP(D2509,Clientes!$A$2:$K$486,11,FALSE)</f>
        <v>Persona Natural</v>
      </c>
      <c r="AC2509" s="13" t="str">
        <f>VLOOKUP(D2509,Clientes!$A$2:$B$486,2,FALSE)</f>
        <v>Jardin del Eden</v>
      </c>
      <c r="AD2509" s="20"/>
      <c r="AE2509" s="20"/>
      <c r="AF2509" s="13" t="s">
        <v>40</v>
      </c>
      <c r="AG2509" s="15">
        <v>45352</v>
      </c>
      <c r="AH2509" s="13" t="s">
        <v>41</v>
      </c>
      <c r="AI2509" s="13" t="s">
        <v>56</v>
      </c>
      <c r="AJ2509" s="13" t="str">
        <f>VLOOKUP(E2509,Precios!Z$2:AA$941,2,FALSE)</f>
        <v>Queso Sabores</v>
      </c>
      <c r="AK2509" s="14">
        <f>VLOOKUP(E2509,Precios!Z$2:BB$941,3,FALSE)*F2509</f>
        <v>-2</v>
      </c>
      <c r="AL2509" s="17"/>
      <c r="AM2509" s="17"/>
      <c r="AN2509" s="17"/>
      <c r="AO2509" s="17"/>
      <c r="AP2509" s="17"/>
      <c r="AQ2509" s="17"/>
      <c r="AR2509" s="17"/>
      <c r="AS2509" s="17"/>
      <c r="AT2509" s="17"/>
      <c r="AU2509" s="17"/>
      <c r="AV2509" s="17"/>
    </row>
    <row r="2510" spans="1:48" ht="15.75" customHeight="1">
      <c r="A2510" s="21" t="s">
        <v>56</v>
      </c>
      <c r="B2510" s="23" t="s">
        <v>1692</v>
      </c>
      <c r="C2510" s="22">
        <v>45745</v>
      </c>
      <c r="D2510" s="23" t="s">
        <v>611</v>
      </c>
      <c r="E2510" s="23" t="s">
        <v>62</v>
      </c>
      <c r="F2510" s="21">
        <v>1</v>
      </c>
      <c r="G2510" s="12">
        <v>3700</v>
      </c>
      <c r="H2510" s="12">
        <v>3700</v>
      </c>
      <c r="I2510" s="23" t="s">
        <v>52</v>
      </c>
      <c r="J2510" s="23" t="s">
        <v>61</v>
      </c>
      <c r="K2510" s="24" t="s">
        <v>177</v>
      </c>
      <c r="L2510" s="24">
        <v>119</v>
      </c>
      <c r="M2510" s="12">
        <v>3109.2436974789916</v>
      </c>
      <c r="N2510" s="12">
        <v>3109.2436974789916</v>
      </c>
      <c r="O2510" s="12">
        <v>590.75630252100837</v>
      </c>
      <c r="P2510" s="13"/>
      <c r="Q2510" s="14">
        <v>2025</v>
      </c>
      <c r="R2510" s="15">
        <v>45352</v>
      </c>
      <c r="S2510" s="11" t="s">
        <v>429</v>
      </c>
      <c r="T2510" s="16">
        <v>200</v>
      </c>
      <c r="U2510" s="17"/>
      <c r="V2510" s="12">
        <v>1199.159663865546</v>
      </c>
      <c r="W2510" s="12">
        <v>1199.159663865546</v>
      </c>
      <c r="X2510" s="12">
        <v>0</v>
      </c>
      <c r="Y2510" s="18">
        <v>45740</v>
      </c>
      <c r="Z2510" s="13" t="s">
        <v>501</v>
      </c>
      <c r="AA2510" s="19" t="str">
        <f>VLOOKUP(D2510,Clientes!$A$2:$J$486,9,FALSE)</f>
        <v>Ocacional</v>
      </c>
      <c r="AB2510" s="13" t="str">
        <f>VLOOKUP(D2510,Clientes!$A$2:$K$486,11,FALSE)</f>
        <v>Persona Natural</v>
      </c>
      <c r="AC2510" s="13">
        <f>VLOOKUP(D2510,Clientes!$A$2:$B$486,2,FALSE)</f>
        <v>0</v>
      </c>
      <c r="AD2510" s="20"/>
      <c r="AE2510" s="20"/>
      <c r="AF2510" s="13" t="s">
        <v>40</v>
      </c>
      <c r="AG2510" s="15">
        <v>45352</v>
      </c>
      <c r="AH2510" s="13" t="s">
        <v>41</v>
      </c>
      <c r="AI2510" s="13" t="s">
        <v>56</v>
      </c>
      <c r="AJ2510" s="13" t="str">
        <f>VLOOKUP(E2510,Precios!Z$2:AA$941,2,FALSE)</f>
        <v>Queso Sabores</v>
      </c>
      <c r="AK2510" s="14">
        <f>VLOOKUP(E2510,Precios!Z$2:BB$941,3,FALSE)*F2510</f>
        <v>-1</v>
      </c>
      <c r="AL2510" s="17"/>
      <c r="AM2510" s="17"/>
      <c r="AN2510" s="17"/>
      <c r="AO2510" s="17"/>
      <c r="AP2510" s="17"/>
      <c r="AQ2510" s="17"/>
      <c r="AR2510" s="17"/>
      <c r="AS2510" s="17"/>
      <c r="AT2510" s="17"/>
      <c r="AU2510" s="17"/>
      <c r="AV2510" s="17"/>
    </row>
    <row r="2511" spans="1:48" ht="15.75" customHeight="1">
      <c r="A2511" s="21" t="s">
        <v>64</v>
      </c>
      <c r="B2511" s="23" t="s">
        <v>1692</v>
      </c>
      <c r="C2511" s="22">
        <v>45745</v>
      </c>
      <c r="D2511" s="23" t="s">
        <v>915</v>
      </c>
      <c r="E2511" s="23" t="s">
        <v>65</v>
      </c>
      <c r="F2511" s="21">
        <v>2</v>
      </c>
      <c r="G2511" s="12">
        <v>8199.8794599807134</v>
      </c>
      <c r="H2511" s="34">
        <v>16399.758919961427</v>
      </c>
      <c r="I2511" s="23" t="s">
        <v>52</v>
      </c>
      <c r="J2511" s="23" t="s">
        <v>61</v>
      </c>
      <c r="K2511" s="24" t="s">
        <v>177</v>
      </c>
      <c r="L2511" s="24">
        <v>119</v>
      </c>
      <c r="M2511" s="12">
        <v>6890.6550083871543</v>
      </c>
      <c r="N2511" s="12">
        <v>13781.310016774309</v>
      </c>
      <c r="O2511" s="12">
        <v>2618.448903187118</v>
      </c>
      <c r="P2511" s="13"/>
      <c r="Q2511" s="14">
        <v>2025</v>
      </c>
      <c r="R2511" s="15">
        <v>45352</v>
      </c>
      <c r="S2511" s="11" t="s">
        <v>64</v>
      </c>
      <c r="T2511" s="16">
        <v>2</v>
      </c>
      <c r="U2511" s="17"/>
      <c r="V2511" s="12">
        <v>2348.3352268583421</v>
      </c>
      <c r="W2511" s="12">
        <v>2348.3352268583421</v>
      </c>
      <c r="X2511" s="12">
        <v>0</v>
      </c>
      <c r="Y2511" s="18">
        <v>45740</v>
      </c>
      <c r="Z2511" s="13" t="s">
        <v>501</v>
      </c>
      <c r="AA2511" s="19" t="str">
        <f>VLOOKUP(D2511,Clientes!$A$2:$J$486,9,FALSE)</f>
        <v>Regular</v>
      </c>
      <c r="AB2511" s="13" t="str">
        <f>VLOOKUP(D2511,Clientes!$A$2:$K$486,11,FALSE)</f>
        <v>Persona Natural</v>
      </c>
      <c r="AC2511" s="13" t="str">
        <f>VLOOKUP(D2511,Clientes!$A$2:$B$486,2,FALSE)</f>
        <v>Jardin del Eden</v>
      </c>
      <c r="AD2511" s="20"/>
      <c r="AE2511" s="20"/>
      <c r="AF2511" s="13" t="s">
        <v>40</v>
      </c>
      <c r="AG2511" s="15">
        <v>45352</v>
      </c>
      <c r="AH2511" s="13" t="s">
        <v>41</v>
      </c>
      <c r="AI2511" s="13" t="s">
        <v>64</v>
      </c>
      <c r="AJ2511" s="13" t="str">
        <f>VLOOKUP(E2511,Precios!Z$2:AA$941,2,FALSE)</f>
        <v>Longanizas VILLABLANCA</v>
      </c>
      <c r="AK2511" s="14">
        <f>VLOOKUP(E2511,Precios!Z$2:BB$941,3,FALSE)*F2511</f>
        <v>-2</v>
      </c>
      <c r="AL2511" s="17"/>
      <c r="AM2511" s="17"/>
      <c r="AN2511" s="17"/>
      <c r="AO2511" s="17"/>
      <c r="AP2511" s="17"/>
      <c r="AQ2511" s="17"/>
      <c r="AR2511" s="17"/>
      <c r="AS2511" s="17"/>
      <c r="AT2511" s="17"/>
      <c r="AU2511" s="17"/>
      <c r="AV2511" s="17"/>
    </row>
    <row r="2512" spans="1:48" ht="15.75" customHeight="1">
      <c r="A2512" s="21" t="s">
        <v>53</v>
      </c>
      <c r="B2512" s="23" t="s">
        <v>1692</v>
      </c>
      <c r="C2512" s="22">
        <v>45745</v>
      </c>
      <c r="D2512" s="23" t="s">
        <v>245</v>
      </c>
      <c r="E2512" s="23" t="s">
        <v>97</v>
      </c>
      <c r="F2512" s="21">
        <v>1</v>
      </c>
      <c r="G2512" s="12">
        <v>15500.298388701016</v>
      </c>
      <c r="H2512" s="12">
        <v>15500.298388701016</v>
      </c>
      <c r="I2512" s="23" t="s">
        <v>52</v>
      </c>
      <c r="J2512" s="23" t="s">
        <v>61</v>
      </c>
      <c r="K2512" s="24" t="s">
        <v>177</v>
      </c>
      <c r="L2512" s="24">
        <v>119</v>
      </c>
      <c r="M2512" s="12">
        <v>13025.46083084119</v>
      </c>
      <c r="N2512" s="12">
        <v>13025.46083084119</v>
      </c>
      <c r="O2512" s="12">
        <v>2474.8375578598261</v>
      </c>
      <c r="P2512" s="13"/>
      <c r="Q2512" s="14">
        <v>2025</v>
      </c>
      <c r="R2512" s="15">
        <v>45352</v>
      </c>
      <c r="S2512" s="11" t="s">
        <v>366</v>
      </c>
      <c r="T2512" s="16">
        <v>0</v>
      </c>
      <c r="U2512" s="17"/>
      <c r="V2512" s="12">
        <v>3203.6120913453906</v>
      </c>
      <c r="W2512" s="12">
        <v>3203.6120913453906</v>
      </c>
      <c r="X2512" s="12">
        <v>0</v>
      </c>
      <c r="Y2512" s="18">
        <v>45740</v>
      </c>
      <c r="Z2512" s="13" t="s">
        <v>501</v>
      </c>
      <c r="AA2512" s="19" t="str">
        <f>VLOOKUP(D2512,Clientes!$A$2:$J$486,9,FALSE)</f>
        <v>Ocacional</v>
      </c>
      <c r="AB2512" s="13" t="str">
        <f>VLOOKUP(D2512,Clientes!$A$2:$K$486,11,FALSE)</f>
        <v>Persona Natural</v>
      </c>
      <c r="AC2512" s="13" t="str">
        <f>VLOOKUP(D2512,Clientes!$A$2:$B$486,2,FALSE)</f>
        <v>Curso Amalia</v>
      </c>
      <c r="AD2512" s="20"/>
      <c r="AE2512" s="20"/>
      <c r="AF2512" s="13" t="s">
        <v>40</v>
      </c>
      <c r="AG2512" s="15">
        <v>45352</v>
      </c>
      <c r="AH2512" s="13" t="s">
        <v>41</v>
      </c>
      <c r="AI2512" s="13" t="s">
        <v>53</v>
      </c>
      <c r="AJ2512" s="13" t="str">
        <f>VLOOKUP(E2512,Precios!Z$2:AA$941,2,FALSE)</f>
        <v>Papel Higienico ELITE 50 metros</v>
      </c>
      <c r="AK2512" s="14">
        <f>VLOOKUP(E2512,Precios!Z$2:BB$941,3,FALSE)*F2512</f>
        <v>-6</v>
      </c>
      <c r="AL2512" s="17"/>
      <c r="AM2512" s="17"/>
      <c r="AN2512" s="17"/>
      <c r="AO2512" s="17"/>
      <c r="AP2512" s="17"/>
      <c r="AQ2512" s="17"/>
      <c r="AR2512" s="17"/>
      <c r="AS2512" s="17"/>
      <c r="AT2512" s="17"/>
      <c r="AU2512" s="17"/>
      <c r="AV2512" s="17"/>
    </row>
    <row r="2513" spans="1:48" ht="15.75" customHeight="1">
      <c r="A2513" s="21" t="s">
        <v>43</v>
      </c>
      <c r="B2513" s="23" t="s">
        <v>1692</v>
      </c>
      <c r="C2513" s="22">
        <v>45744</v>
      </c>
      <c r="D2513" s="23" t="s">
        <v>291</v>
      </c>
      <c r="E2513" s="23" t="s">
        <v>45</v>
      </c>
      <c r="F2513" s="21">
        <v>1</v>
      </c>
      <c r="G2513" s="12">
        <v>8299.7854333055202</v>
      </c>
      <c r="H2513" s="12">
        <v>8299.7854333055202</v>
      </c>
      <c r="I2513" s="23" t="s">
        <v>52</v>
      </c>
      <c r="J2513" s="23" t="s">
        <v>61</v>
      </c>
      <c r="K2513" s="24" t="s">
        <v>177</v>
      </c>
      <c r="L2513" s="24">
        <v>119</v>
      </c>
      <c r="M2513" s="12">
        <v>6974.6096078197652</v>
      </c>
      <c r="N2513" s="12">
        <v>6974.6096078197652</v>
      </c>
      <c r="O2513" s="12">
        <v>1325.175825485755</v>
      </c>
      <c r="P2513" s="13"/>
      <c r="Q2513" s="14">
        <v>2025</v>
      </c>
      <c r="R2513" s="15">
        <v>45352</v>
      </c>
      <c r="S2513" s="11" t="s">
        <v>355</v>
      </c>
      <c r="T2513" s="16">
        <v>0</v>
      </c>
      <c r="U2513" s="17"/>
      <c r="V2513" s="12">
        <v>1123.6096078197643</v>
      </c>
      <c r="W2513" s="12">
        <v>1123.6096078197643</v>
      </c>
      <c r="X2513" s="12">
        <v>0</v>
      </c>
      <c r="Y2513" s="18">
        <v>45740</v>
      </c>
      <c r="Z2513" s="13" t="s">
        <v>503</v>
      </c>
      <c r="AA2513" s="19" t="str">
        <f>VLOOKUP(D2513,Clientes!$A$2:$J$486,9,FALSE)</f>
        <v>Ocacional</v>
      </c>
      <c r="AB2513" s="13" t="str">
        <f>VLOOKUP(D2513,Clientes!$A$2:$K$486,11,FALSE)</f>
        <v>Persona Natural</v>
      </c>
      <c r="AC2513" s="13" t="str">
        <f>VLOOKUP(D2513,Clientes!$A$2:$B$486,2,FALSE)</f>
        <v>Jardin del eden</v>
      </c>
      <c r="AD2513" s="20"/>
      <c r="AE2513" s="20"/>
      <c r="AF2513" s="13" t="s">
        <v>40</v>
      </c>
      <c r="AG2513" s="15">
        <v>45352</v>
      </c>
      <c r="AH2513" s="13" t="s">
        <v>41</v>
      </c>
      <c r="AI2513" s="13" t="s">
        <v>43</v>
      </c>
      <c r="AJ2513" s="13" t="str">
        <f>VLOOKUP(E2513,Precios!Z$2:AA$941,2,FALSE)</f>
        <v>Bandeja Huevos EXTRA</v>
      </c>
      <c r="AK2513" s="14">
        <f>VLOOKUP(E2513,Precios!Z$2:BB$941,3,FALSE)*F2513</f>
        <v>-1</v>
      </c>
      <c r="AL2513" s="17"/>
      <c r="AM2513" s="17"/>
      <c r="AN2513" s="17"/>
      <c r="AO2513" s="17"/>
      <c r="AP2513" s="17"/>
      <c r="AQ2513" s="17"/>
      <c r="AR2513" s="17"/>
      <c r="AS2513" s="17"/>
      <c r="AT2513" s="17"/>
      <c r="AU2513" s="17"/>
      <c r="AV2513" s="17"/>
    </row>
    <row r="2514" spans="1:48" ht="15.75" customHeight="1">
      <c r="A2514" s="21" t="s">
        <v>35</v>
      </c>
      <c r="B2514" s="23" t="s">
        <v>1692</v>
      </c>
      <c r="C2514" s="22">
        <v>45744</v>
      </c>
      <c r="D2514" s="23" t="s">
        <v>116</v>
      </c>
      <c r="E2514" s="23" t="s">
        <v>46</v>
      </c>
      <c r="F2514" s="21">
        <v>1</v>
      </c>
      <c r="G2514" s="12">
        <v>5500</v>
      </c>
      <c r="H2514" s="12">
        <v>5500</v>
      </c>
      <c r="I2514" s="23" t="s">
        <v>52</v>
      </c>
      <c r="J2514" s="23" t="s">
        <v>61</v>
      </c>
      <c r="K2514" s="24" t="s">
        <v>177</v>
      </c>
      <c r="L2514" s="24">
        <v>119</v>
      </c>
      <c r="M2514" s="12">
        <v>4621.8487394957983</v>
      </c>
      <c r="N2514" s="12">
        <v>4621.8487394957983</v>
      </c>
      <c r="O2514" s="12">
        <v>878.15126050420167</v>
      </c>
      <c r="P2514" s="13"/>
      <c r="Q2514" s="14">
        <v>2025</v>
      </c>
      <c r="R2514" s="15">
        <v>45352</v>
      </c>
      <c r="S2514" s="11" t="s">
        <v>364</v>
      </c>
      <c r="T2514" s="16">
        <v>500</v>
      </c>
      <c r="U2514" s="17"/>
      <c r="V2514" s="12">
        <v>1365.1260504201678</v>
      </c>
      <c r="W2514" s="12">
        <v>1365.1260504201678</v>
      </c>
      <c r="X2514" s="12">
        <v>0</v>
      </c>
      <c r="Y2514" s="18">
        <v>45740</v>
      </c>
      <c r="Z2514" s="13" t="s">
        <v>503</v>
      </c>
      <c r="AA2514" s="19" t="str">
        <f>VLOOKUP(D2514,Clientes!$A$2:$J$486,9,FALSE)</f>
        <v>Ocacional</v>
      </c>
      <c r="AB2514" s="13" t="str">
        <f>VLOOKUP(D2514,Clientes!$A$2:$K$486,11,FALSE)</f>
        <v>Persona Natural</v>
      </c>
      <c r="AC2514" s="13">
        <f>VLOOKUP(D2514,Clientes!$A$2:$B$486,2,FALSE)</f>
        <v>0</v>
      </c>
      <c r="AD2514" s="20"/>
      <c r="AE2514" s="20"/>
      <c r="AF2514" s="13" t="s">
        <v>40</v>
      </c>
      <c r="AG2514" s="15">
        <v>45352</v>
      </c>
      <c r="AH2514" s="13" t="s">
        <v>41</v>
      </c>
      <c r="AI2514" s="13" t="s">
        <v>35</v>
      </c>
      <c r="AJ2514" s="13" t="str">
        <f>VLOOKUP(E2514,Precios!Z$2:AA$941,2,FALSE)</f>
        <v>Queso RUNCA Mantecoso</v>
      </c>
      <c r="AK2514" s="14">
        <f>VLOOKUP(E2514,Precios!Z$2:BB$941,3,FALSE)*F2514</f>
        <v>-0.5</v>
      </c>
      <c r="AL2514" s="17"/>
      <c r="AM2514" s="17"/>
      <c r="AN2514" s="17"/>
      <c r="AO2514" s="17"/>
      <c r="AP2514" s="17"/>
      <c r="AQ2514" s="17"/>
      <c r="AR2514" s="17"/>
      <c r="AS2514" s="17"/>
      <c r="AT2514" s="17"/>
      <c r="AU2514" s="17"/>
      <c r="AV2514" s="17"/>
    </row>
    <row r="2515" spans="1:48" ht="15.75" customHeight="1">
      <c r="A2515" s="21" t="s">
        <v>76</v>
      </c>
      <c r="B2515" s="23" t="s">
        <v>1692</v>
      </c>
      <c r="C2515" s="22">
        <v>45744</v>
      </c>
      <c r="D2515" s="23" t="s">
        <v>333</v>
      </c>
      <c r="E2515" s="23" t="s">
        <v>137</v>
      </c>
      <c r="F2515" s="21">
        <v>2</v>
      </c>
      <c r="G2515" s="12">
        <v>3500.0000000000005</v>
      </c>
      <c r="H2515" s="12">
        <v>7000.0000000000009</v>
      </c>
      <c r="I2515" s="23" t="s">
        <v>52</v>
      </c>
      <c r="J2515" s="23" t="s">
        <v>61</v>
      </c>
      <c r="K2515" s="24" t="s">
        <v>177</v>
      </c>
      <c r="L2515" s="24">
        <v>119</v>
      </c>
      <c r="M2515" s="12">
        <v>2941.1764705882356</v>
      </c>
      <c r="N2515" s="12">
        <v>5882.3529411764712</v>
      </c>
      <c r="O2515" s="12">
        <v>1117.6470588235297</v>
      </c>
      <c r="P2515" s="13"/>
      <c r="Q2515" s="14">
        <v>2025</v>
      </c>
      <c r="R2515" s="15">
        <v>45352</v>
      </c>
      <c r="S2515" s="11" t="s">
        <v>406</v>
      </c>
      <c r="T2515" s="16">
        <v>10</v>
      </c>
      <c r="U2515" s="17"/>
      <c r="V2515" s="12">
        <v>1697.4789915966394</v>
      </c>
      <c r="W2515" s="12">
        <v>1697.4789915966394</v>
      </c>
      <c r="X2515" s="12">
        <v>0</v>
      </c>
      <c r="Y2515" s="18">
        <v>45740</v>
      </c>
      <c r="Z2515" s="13" t="s">
        <v>503</v>
      </c>
      <c r="AA2515" s="19" t="str">
        <f>VLOOKUP(D2515,Clientes!$A$2:$J$486,9,FALSE)</f>
        <v>Ocacional</v>
      </c>
      <c r="AB2515" s="13" t="str">
        <f>VLOOKUP(D2515,Clientes!$A$2:$K$486,11,FALSE)</f>
        <v>Persona Natural</v>
      </c>
      <c r="AC2515" s="13" t="str">
        <f>VLOOKUP(D2515,Clientes!$A$2:$B$486,2,FALSE)</f>
        <v>Curso Amalia</v>
      </c>
      <c r="AD2515" s="20"/>
      <c r="AE2515" s="20"/>
      <c r="AF2515" s="13" t="s">
        <v>40</v>
      </c>
      <c r="AG2515" s="15">
        <v>45352</v>
      </c>
      <c r="AH2515" s="13" t="s">
        <v>41</v>
      </c>
      <c r="AI2515" s="13" t="s">
        <v>76</v>
      </c>
      <c r="AJ2515" s="13" t="str">
        <f>VLOOKUP(E2515,Precios!Z$2:AA$941,2,FALSE)</f>
        <v>Detergente SPUM 5 Litros (Blanco)</v>
      </c>
      <c r="AK2515" s="14">
        <f>VLOOKUP(E2515,Precios!Z$2:BB$941,3,FALSE)*F2515</f>
        <v>-2</v>
      </c>
      <c r="AL2515" s="17"/>
      <c r="AM2515" s="17"/>
      <c r="AN2515" s="17"/>
      <c r="AO2515" s="17"/>
      <c r="AP2515" s="17"/>
      <c r="AQ2515" s="17"/>
      <c r="AR2515" s="17"/>
      <c r="AS2515" s="17"/>
      <c r="AT2515" s="17"/>
      <c r="AU2515" s="17"/>
      <c r="AV2515" s="17"/>
    </row>
    <row r="2516" spans="1:48" ht="15.75" customHeight="1">
      <c r="A2516" s="21" t="s">
        <v>76</v>
      </c>
      <c r="B2516" s="23" t="s">
        <v>1692</v>
      </c>
      <c r="C2516" s="22">
        <v>45744</v>
      </c>
      <c r="D2516" s="23" t="s">
        <v>338</v>
      </c>
      <c r="E2516" s="23" t="s">
        <v>137</v>
      </c>
      <c r="F2516" s="21">
        <v>1</v>
      </c>
      <c r="G2516" s="12">
        <v>3500.0000000000005</v>
      </c>
      <c r="H2516" s="12">
        <v>3500.0000000000005</v>
      </c>
      <c r="I2516" s="23" t="s">
        <v>52</v>
      </c>
      <c r="J2516" s="23" t="s">
        <v>61</v>
      </c>
      <c r="K2516" s="24" t="s">
        <v>177</v>
      </c>
      <c r="L2516" s="24">
        <v>119</v>
      </c>
      <c r="M2516" s="12">
        <v>2941.1764705882356</v>
      </c>
      <c r="N2516" s="12">
        <v>2941.1764705882356</v>
      </c>
      <c r="O2516" s="12">
        <v>558.82352941176487</v>
      </c>
      <c r="P2516" s="13"/>
      <c r="Q2516" s="14">
        <v>2025</v>
      </c>
      <c r="R2516" s="15">
        <v>45352</v>
      </c>
      <c r="S2516" s="11" t="s">
        <v>406</v>
      </c>
      <c r="T2516" s="16">
        <v>5</v>
      </c>
      <c r="U2516" s="17"/>
      <c r="V2516" s="12">
        <v>848.73949579831969</v>
      </c>
      <c r="W2516" s="12">
        <v>848.73949579831969</v>
      </c>
      <c r="X2516" s="12">
        <v>0</v>
      </c>
      <c r="Y2516" s="18">
        <v>45740</v>
      </c>
      <c r="Z2516" s="13" t="s">
        <v>503</v>
      </c>
      <c r="AA2516" s="19" t="str">
        <f>VLOOKUP(D2516,Clientes!$A$2:$J$486,9,FALSE)</f>
        <v>Frecuente</v>
      </c>
      <c r="AB2516" s="13" t="str">
        <f>VLOOKUP(D2516,Clientes!$A$2:$K$486,11,FALSE)</f>
        <v>Persona Natural</v>
      </c>
      <c r="AC2516" s="13" t="str">
        <f>VLOOKUP(D2516,Clientes!$A$2:$B$486,2,FALSE)</f>
        <v>Sector Colombia</v>
      </c>
      <c r="AD2516" s="20"/>
      <c r="AE2516" s="20"/>
      <c r="AF2516" s="13" t="s">
        <v>40</v>
      </c>
      <c r="AG2516" s="15">
        <v>45352</v>
      </c>
      <c r="AH2516" s="13" t="s">
        <v>41</v>
      </c>
      <c r="AI2516" s="13" t="s">
        <v>76</v>
      </c>
      <c r="AJ2516" s="13" t="str">
        <f>VLOOKUP(E2516,Precios!Z$2:AA$941,2,FALSE)</f>
        <v>Detergente SPUM 5 Litros (Blanco)</v>
      </c>
      <c r="AK2516" s="14">
        <f>VLOOKUP(E2516,Precios!Z$2:BB$941,3,FALSE)*F2516</f>
        <v>-1</v>
      </c>
      <c r="AL2516" s="17"/>
      <c r="AM2516" s="17"/>
      <c r="AN2516" s="17"/>
      <c r="AO2516" s="17"/>
      <c r="AP2516" s="17"/>
      <c r="AQ2516" s="17"/>
      <c r="AR2516" s="17"/>
      <c r="AS2516" s="17"/>
      <c r="AT2516" s="17"/>
      <c r="AU2516" s="17"/>
      <c r="AV2516" s="17"/>
    </row>
    <row r="2517" spans="1:48" ht="15.75" customHeight="1">
      <c r="A2517" s="21" t="s">
        <v>76</v>
      </c>
      <c r="B2517" s="23" t="s">
        <v>1692</v>
      </c>
      <c r="C2517" s="22">
        <v>45744</v>
      </c>
      <c r="D2517" s="23" t="s">
        <v>338</v>
      </c>
      <c r="E2517" s="23" t="s">
        <v>82</v>
      </c>
      <c r="F2517" s="21">
        <v>1</v>
      </c>
      <c r="G2517" s="12">
        <v>2000.0000000000002</v>
      </c>
      <c r="H2517" s="12">
        <v>2000.0000000000002</v>
      </c>
      <c r="I2517" s="23" t="s">
        <v>52</v>
      </c>
      <c r="J2517" s="23" t="s">
        <v>61</v>
      </c>
      <c r="K2517" s="24" t="s">
        <v>177</v>
      </c>
      <c r="L2517" s="24">
        <v>119</v>
      </c>
      <c r="M2517" s="12">
        <v>1680.6722689075632</v>
      </c>
      <c r="N2517" s="12">
        <v>1680.6722689075632</v>
      </c>
      <c r="O2517" s="12">
        <v>319.32773109243703</v>
      </c>
      <c r="P2517" s="13"/>
      <c r="Q2517" s="14">
        <v>2025</v>
      </c>
      <c r="R2517" s="15">
        <v>45352</v>
      </c>
      <c r="S2517" s="11" t="s">
        <v>463</v>
      </c>
      <c r="T2517" s="16">
        <v>5</v>
      </c>
      <c r="U2517" s="17"/>
      <c r="V2517" s="12">
        <v>680.67226890756319</v>
      </c>
      <c r="W2517" s="12">
        <v>680.67226890756319</v>
      </c>
      <c r="X2517" s="12">
        <v>0</v>
      </c>
      <c r="Y2517" s="18">
        <v>45740</v>
      </c>
      <c r="Z2517" s="13" t="s">
        <v>503</v>
      </c>
      <c r="AA2517" s="19" t="str">
        <f>VLOOKUP(D2517,Clientes!$A$2:$J$486,9,FALSE)</f>
        <v>Frecuente</v>
      </c>
      <c r="AB2517" s="13" t="str">
        <f>VLOOKUP(D2517,Clientes!$A$2:$K$486,11,FALSE)</f>
        <v>Persona Natural</v>
      </c>
      <c r="AC2517" s="13" t="str">
        <f>VLOOKUP(D2517,Clientes!$A$2:$B$486,2,FALSE)</f>
        <v>Sector Colombia</v>
      </c>
      <c r="AD2517" s="20"/>
      <c r="AE2517" s="20"/>
      <c r="AF2517" s="13" t="s">
        <v>40</v>
      </c>
      <c r="AG2517" s="15">
        <v>45352</v>
      </c>
      <c r="AH2517" s="13" t="s">
        <v>41</v>
      </c>
      <c r="AI2517" s="13" t="s">
        <v>76</v>
      </c>
      <c r="AJ2517" s="13" t="str">
        <f>VLOOKUP(E2517,Precios!Z$2:AA$941,2,FALSE)</f>
        <v>Limpiapiso SPUM 5 Litros</v>
      </c>
      <c r="AK2517" s="14">
        <f>VLOOKUP(E2517,Precios!Z$2:BB$941,3,FALSE)*F2517</f>
        <v>-1</v>
      </c>
      <c r="AL2517" s="17"/>
      <c r="AM2517" s="17"/>
      <c r="AN2517" s="17"/>
      <c r="AO2517" s="17"/>
      <c r="AP2517" s="17"/>
      <c r="AQ2517" s="17"/>
      <c r="AR2517" s="17"/>
      <c r="AS2517" s="17"/>
      <c r="AT2517" s="17"/>
      <c r="AU2517" s="17"/>
      <c r="AV2517" s="17"/>
    </row>
    <row r="2518" spans="1:48" ht="15.75" customHeight="1">
      <c r="A2518" s="21" t="s">
        <v>53</v>
      </c>
      <c r="B2518" s="23" t="s">
        <v>1692</v>
      </c>
      <c r="C2518" s="22">
        <v>45744</v>
      </c>
      <c r="D2518" s="23" t="s">
        <v>338</v>
      </c>
      <c r="E2518" s="23" t="s">
        <v>369</v>
      </c>
      <c r="F2518" s="21">
        <v>2</v>
      </c>
      <c r="G2518" s="12">
        <v>1500.0000000000002</v>
      </c>
      <c r="H2518" s="12">
        <v>3000.0000000000005</v>
      </c>
      <c r="I2518" s="23" t="s">
        <v>52</v>
      </c>
      <c r="J2518" s="23" t="s">
        <v>61</v>
      </c>
      <c r="K2518" s="24" t="s">
        <v>177</v>
      </c>
      <c r="L2518" s="24">
        <v>119</v>
      </c>
      <c r="M2518" s="12">
        <v>1260.5042016806726</v>
      </c>
      <c r="N2518" s="12">
        <v>2521.0084033613452</v>
      </c>
      <c r="O2518" s="12">
        <v>478.99159663865521</v>
      </c>
      <c r="P2518" s="13"/>
      <c r="Q2518" s="14">
        <v>2025</v>
      </c>
      <c r="R2518" s="15">
        <v>45352</v>
      </c>
      <c r="S2518" s="11" t="s">
        <v>369</v>
      </c>
      <c r="T2518" s="16">
        <v>0</v>
      </c>
      <c r="U2518" s="17"/>
      <c r="V2518" s="12">
        <v>915.96638655462198</v>
      </c>
      <c r="W2518" s="12">
        <v>915.96638655462198</v>
      </c>
      <c r="X2518" s="12">
        <v>0</v>
      </c>
      <c r="Y2518" s="18">
        <v>45740</v>
      </c>
      <c r="Z2518" s="13" t="s">
        <v>503</v>
      </c>
      <c r="AA2518" s="19" t="str">
        <f>VLOOKUP(D2518,Clientes!$A$2:$J$486,9,FALSE)</f>
        <v>Frecuente</v>
      </c>
      <c r="AB2518" s="13" t="str">
        <f>VLOOKUP(D2518,Clientes!$A$2:$K$486,11,FALSE)</f>
        <v>Persona Natural</v>
      </c>
      <c r="AC2518" s="13" t="str">
        <f>VLOOKUP(D2518,Clientes!$A$2:$B$486,2,FALSE)</f>
        <v>Sector Colombia</v>
      </c>
      <c r="AD2518" s="20"/>
      <c r="AE2518" s="20"/>
      <c r="AF2518" s="13" t="s">
        <v>40</v>
      </c>
      <c r="AG2518" s="15">
        <v>45352</v>
      </c>
      <c r="AH2518" s="13" t="s">
        <v>41</v>
      </c>
      <c r="AI2518" s="13" t="s">
        <v>53</v>
      </c>
      <c r="AJ2518" s="13" t="str">
        <f>VLOOKUP(E2518,Precios!Z$2:AA$941,2,FALSE)</f>
        <v>Toalla Papel NOVA 12 metros</v>
      </c>
      <c r="AK2518" s="14">
        <f>VLOOKUP(E2518,Precios!Z$2:BB$941,3,FALSE)*F2518</f>
        <v>-2</v>
      </c>
      <c r="AL2518" s="17"/>
      <c r="AM2518" s="17"/>
      <c r="AN2518" s="17"/>
      <c r="AO2518" s="17"/>
      <c r="AP2518" s="17"/>
      <c r="AQ2518" s="17"/>
      <c r="AR2518" s="17"/>
      <c r="AS2518" s="17"/>
      <c r="AT2518" s="17"/>
      <c r="AU2518" s="17"/>
      <c r="AV2518" s="17"/>
    </row>
    <row r="2519" spans="1:48" ht="15.75" customHeight="1">
      <c r="A2519" s="21" t="s">
        <v>47</v>
      </c>
      <c r="B2519" s="23" t="s">
        <v>1692</v>
      </c>
      <c r="C2519" s="22">
        <v>45744</v>
      </c>
      <c r="D2519" s="23" t="s">
        <v>338</v>
      </c>
      <c r="E2519" s="23" t="s">
        <v>267</v>
      </c>
      <c r="F2519" s="21">
        <v>1</v>
      </c>
      <c r="G2519" s="12">
        <v>7499.8770659745942</v>
      </c>
      <c r="H2519" s="12">
        <v>7499.8770659745942</v>
      </c>
      <c r="I2519" s="23" t="s">
        <v>52</v>
      </c>
      <c r="J2519" s="23" t="s">
        <v>61</v>
      </c>
      <c r="K2519" s="24" t="s">
        <v>177</v>
      </c>
      <c r="L2519" s="24">
        <v>119</v>
      </c>
      <c r="M2519" s="12">
        <v>6302.4177024996588</v>
      </c>
      <c r="N2519" s="12">
        <v>6302.4177024996588</v>
      </c>
      <c r="O2519" s="12">
        <v>1197.4593634749353</v>
      </c>
      <c r="P2519" s="13"/>
      <c r="Q2519" s="14">
        <v>2025</v>
      </c>
      <c r="R2519" s="15">
        <v>45352</v>
      </c>
      <c r="S2519" s="11" t="s">
        <v>372</v>
      </c>
      <c r="T2519" s="16">
        <v>0</v>
      </c>
      <c r="U2519" s="17"/>
      <c r="V2519" s="12">
        <v>1688.4177024996588</v>
      </c>
      <c r="W2519" s="12">
        <v>1688.4177024996588</v>
      </c>
      <c r="X2519" s="12">
        <v>0</v>
      </c>
      <c r="Y2519" s="18">
        <v>45740</v>
      </c>
      <c r="Z2519" s="13" t="s">
        <v>503</v>
      </c>
      <c r="AA2519" s="19" t="str">
        <f>VLOOKUP(D2519,Clientes!$A$2:$J$486,9,FALSE)</f>
        <v>Frecuente</v>
      </c>
      <c r="AB2519" s="13" t="str">
        <f>VLOOKUP(D2519,Clientes!$A$2:$K$486,11,FALSE)</f>
        <v>Persona Natural</v>
      </c>
      <c r="AC2519" s="13" t="str">
        <f>VLOOKUP(D2519,Clientes!$A$2:$B$486,2,FALSE)</f>
        <v>Sector Colombia</v>
      </c>
      <c r="AD2519" s="20"/>
      <c r="AE2519" s="20"/>
      <c r="AF2519" s="13" t="s">
        <v>40</v>
      </c>
      <c r="AG2519" s="15">
        <v>45352</v>
      </c>
      <c r="AH2519" s="13" t="s">
        <v>41</v>
      </c>
      <c r="AI2519" s="13" t="s">
        <v>47</v>
      </c>
      <c r="AJ2519" s="13" t="str">
        <f>VLOOKUP(E2519,Precios!Z$2:AA$941,2,FALSE)</f>
        <v>Traperos Humedos EXCELL</v>
      </c>
      <c r="AK2519" s="14">
        <f>VLOOKUP(E2519,Precios!Z$2:BB$941,3,FALSE)*F2519</f>
        <v>-3</v>
      </c>
      <c r="AL2519" s="17"/>
      <c r="AM2519" s="17"/>
      <c r="AN2519" s="17"/>
      <c r="AO2519" s="17"/>
      <c r="AP2519" s="17"/>
      <c r="AQ2519" s="17"/>
      <c r="AR2519" s="17"/>
      <c r="AS2519" s="17"/>
      <c r="AT2519" s="17"/>
      <c r="AU2519" s="17"/>
      <c r="AV2519" s="17"/>
    </row>
    <row r="2520" spans="1:48" ht="15.75" customHeight="1">
      <c r="A2520" s="21" t="s">
        <v>76</v>
      </c>
      <c r="B2520" s="23" t="s">
        <v>1692</v>
      </c>
      <c r="C2520" s="22">
        <v>45744</v>
      </c>
      <c r="D2520" s="23" t="s">
        <v>108</v>
      </c>
      <c r="E2520" s="23" t="s">
        <v>81</v>
      </c>
      <c r="F2520" s="21">
        <v>1</v>
      </c>
      <c r="G2520" s="12">
        <v>3500.0000000000005</v>
      </c>
      <c r="H2520" s="12">
        <v>3500.0000000000005</v>
      </c>
      <c r="I2520" s="23" t="s">
        <v>52</v>
      </c>
      <c r="J2520" s="23" t="s">
        <v>61</v>
      </c>
      <c r="K2520" s="24" t="s">
        <v>177</v>
      </c>
      <c r="L2520" s="24">
        <v>119</v>
      </c>
      <c r="M2520" s="12">
        <v>2941.1764705882356</v>
      </c>
      <c r="N2520" s="12">
        <v>2941.1764705882356</v>
      </c>
      <c r="O2520" s="12">
        <v>558.82352941176487</v>
      </c>
      <c r="P2520" s="13"/>
      <c r="Q2520" s="14">
        <v>2025</v>
      </c>
      <c r="R2520" s="15">
        <v>45352</v>
      </c>
      <c r="S2520" s="11" t="s">
        <v>397</v>
      </c>
      <c r="T2520" s="16">
        <v>5</v>
      </c>
      <c r="U2520" s="17"/>
      <c r="V2520" s="12">
        <v>764.70588235294144</v>
      </c>
      <c r="W2520" s="12">
        <v>764.70588235294144</v>
      </c>
      <c r="X2520" s="12">
        <v>0</v>
      </c>
      <c r="Y2520" s="18">
        <v>45740</v>
      </c>
      <c r="Z2520" s="13" t="s">
        <v>503</v>
      </c>
      <c r="AA2520" s="19" t="str">
        <f>VLOOKUP(D2520,Clientes!$A$2:$J$486,9,FALSE)</f>
        <v>Frecuente</v>
      </c>
      <c r="AB2520" s="13" t="str">
        <f>VLOOKUP(D2520,Clientes!$A$2:$K$486,11,FALSE)</f>
        <v>Persona Natural</v>
      </c>
      <c r="AC2520" s="13" t="str">
        <f>VLOOKUP(D2520,Clientes!$A$2:$B$486,2,FALSE)</f>
        <v>Jardines de la Viña</v>
      </c>
      <c r="AD2520" s="20"/>
      <c r="AE2520" s="20"/>
      <c r="AF2520" s="13" t="s">
        <v>40</v>
      </c>
      <c r="AG2520" s="15">
        <v>45352</v>
      </c>
      <c r="AH2520" s="13" t="s">
        <v>41</v>
      </c>
      <c r="AI2520" s="13" t="s">
        <v>76</v>
      </c>
      <c r="AJ2520" s="13" t="str">
        <f>VLOOKUP(E2520,Precios!Z$2:AA$941,2,FALSE)</f>
        <v>Detergente SPUM 5 Litros (Verde)</v>
      </c>
      <c r="AK2520" s="14">
        <f>VLOOKUP(E2520,Precios!Z$2:BB$941,3,FALSE)*F2520</f>
        <v>-1</v>
      </c>
      <c r="AL2520" s="17"/>
      <c r="AM2520" s="17"/>
      <c r="AN2520" s="17"/>
      <c r="AO2520" s="17"/>
      <c r="AP2520" s="17"/>
      <c r="AQ2520" s="17"/>
      <c r="AR2520" s="17"/>
      <c r="AS2520" s="17"/>
      <c r="AT2520" s="17"/>
      <c r="AU2520" s="17"/>
      <c r="AV2520" s="17"/>
    </row>
    <row r="2521" spans="1:48" ht="15.75" customHeight="1">
      <c r="A2521" s="21" t="s">
        <v>76</v>
      </c>
      <c r="B2521" s="23" t="s">
        <v>1692</v>
      </c>
      <c r="C2521" s="22">
        <v>45744</v>
      </c>
      <c r="D2521" s="23" t="s">
        <v>108</v>
      </c>
      <c r="E2521" s="23" t="s">
        <v>216</v>
      </c>
      <c r="F2521" s="21">
        <v>1</v>
      </c>
      <c r="G2521" s="12">
        <v>4300</v>
      </c>
      <c r="H2521" s="12">
        <v>4300</v>
      </c>
      <c r="I2521" s="23" t="s">
        <v>52</v>
      </c>
      <c r="J2521" s="23" t="s">
        <v>61</v>
      </c>
      <c r="K2521" s="24" t="s">
        <v>177</v>
      </c>
      <c r="L2521" s="24">
        <v>119</v>
      </c>
      <c r="M2521" s="12">
        <v>3613.4453781512607</v>
      </c>
      <c r="N2521" s="12">
        <v>3613.4453781512607</v>
      </c>
      <c r="O2521" s="12">
        <v>686.55462184873932</v>
      </c>
      <c r="P2521" s="13"/>
      <c r="Q2521" s="14">
        <v>2025</v>
      </c>
      <c r="R2521" s="15">
        <v>45352</v>
      </c>
      <c r="S2521" s="11" t="s">
        <v>479</v>
      </c>
      <c r="T2521" s="16">
        <v>5</v>
      </c>
      <c r="U2521" s="17"/>
      <c r="V2521" s="12">
        <v>1134.453781512605</v>
      </c>
      <c r="W2521" s="12">
        <v>1134.453781512605</v>
      </c>
      <c r="X2521" s="12">
        <v>0</v>
      </c>
      <c r="Y2521" s="18">
        <v>45740</v>
      </c>
      <c r="Z2521" s="13" t="s">
        <v>503</v>
      </c>
      <c r="AA2521" s="19" t="str">
        <f>VLOOKUP(D2521,Clientes!$A$2:$J$486,9,FALSE)</f>
        <v>Frecuente</v>
      </c>
      <c r="AB2521" s="13" t="str">
        <f>VLOOKUP(D2521,Clientes!$A$2:$K$486,11,FALSE)</f>
        <v>Persona Natural</v>
      </c>
      <c r="AC2521" s="13" t="str">
        <f>VLOOKUP(D2521,Clientes!$A$2:$B$486,2,FALSE)</f>
        <v>Jardines de la Viña</v>
      </c>
      <c r="AD2521" s="20"/>
      <c r="AE2521" s="20"/>
      <c r="AF2521" s="13" t="s">
        <v>40</v>
      </c>
      <c r="AG2521" s="15">
        <v>45352</v>
      </c>
      <c r="AH2521" s="13" t="s">
        <v>41</v>
      </c>
      <c r="AI2521" s="13" t="s">
        <v>76</v>
      </c>
      <c r="AJ2521" s="13" t="str">
        <f>VLOOKUP(E2521,Precios!Z$2:AA$941,2,FALSE)</f>
        <v>Lavaloza SPUM 5 Litros</v>
      </c>
      <c r="AK2521" s="14">
        <f>VLOOKUP(E2521,Precios!Z$2:BB$941,3,FALSE)*F2521</f>
        <v>-1</v>
      </c>
      <c r="AL2521" s="17"/>
      <c r="AM2521" s="17"/>
      <c r="AN2521" s="17"/>
      <c r="AO2521" s="17"/>
      <c r="AP2521" s="17"/>
      <c r="AQ2521" s="17"/>
      <c r="AR2521" s="17"/>
      <c r="AS2521" s="17"/>
      <c r="AT2521" s="17"/>
      <c r="AU2521" s="17"/>
      <c r="AV2521" s="17"/>
    </row>
    <row r="2522" spans="1:48" ht="15.75" customHeight="1">
      <c r="A2522" s="21" t="s">
        <v>43</v>
      </c>
      <c r="B2522" s="23" t="s">
        <v>1692</v>
      </c>
      <c r="C2522" s="22">
        <v>45744</v>
      </c>
      <c r="D2522" s="23" t="s">
        <v>108</v>
      </c>
      <c r="E2522" s="23" t="s">
        <v>45</v>
      </c>
      <c r="F2522" s="21">
        <v>1</v>
      </c>
      <c r="G2522" s="12">
        <v>8299.7854333055202</v>
      </c>
      <c r="H2522" s="12">
        <v>8299.7854333055202</v>
      </c>
      <c r="I2522" s="23" t="s">
        <v>52</v>
      </c>
      <c r="J2522" s="23" t="s">
        <v>61</v>
      </c>
      <c r="K2522" s="24" t="s">
        <v>177</v>
      </c>
      <c r="L2522" s="24">
        <v>119</v>
      </c>
      <c r="M2522" s="12">
        <v>6974.6096078197652</v>
      </c>
      <c r="N2522" s="12">
        <v>6974.6096078197652</v>
      </c>
      <c r="O2522" s="12">
        <v>1325.175825485755</v>
      </c>
      <c r="P2522" s="13"/>
      <c r="Q2522" s="14">
        <v>2025</v>
      </c>
      <c r="R2522" s="15">
        <v>45352</v>
      </c>
      <c r="S2522" s="11" t="s">
        <v>355</v>
      </c>
      <c r="T2522" s="16">
        <v>0</v>
      </c>
      <c r="U2522" s="17"/>
      <c r="V2522" s="12">
        <v>1123.6096078197643</v>
      </c>
      <c r="W2522" s="12">
        <v>1123.6096078197643</v>
      </c>
      <c r="X2522" s="12">
        <v>0</v>
      </c>
      <c r="Y2522" s="18">
        <v>45740</v>
      </c>
      <c r="Z2522" s="13" t="s">
        <v>503</v>
      </c>
      <c r="AA2522" s="19" t="str">
        <f>VLOOKUP(D2522,Clientes!$A$2:$J$486,9,FALSE)</f>
        <v>Frecuente</v>
      </c>
      <c r="AB2522" s="13" t="str">
        <f>VLOOKUP(D2522,Clientes!$A$2:$K$486,11,FALSE)</f>
        <v>Persona Natural</v>
      </c>
      <c r="AC2522" s="13" t="str">
        <f>VLOOKUP(D2522,Clientes!$A$2:$B$486,2,FALSE)</f>
        <v>Jardines de la Viña</v>
      </c>
      <c r="AD2522" s="20"/>
      <c r="AE2522" s="20"/>
      <c r="AF2522" s="13" t="s">
        <v>40</v>
      </c>
      <c r="AG2522" s="15">
        <v>45352</v>
      </c>
      <c r="AH2522" s="13" t="s">
        <v>41</v>
      </c>
      <c r="AI2522" s="13" t="s">
        <v>43</v>
      </c>
      <c r="AJ2522" s="13" t="str">
        <f>VLOOKUP(E2522,Precios!Z$2:AA$941,2,FALSE)</f>
        <v>Bandeja Huevos EXTRA</v>
      </c>
      <c r="AK2522" s="14">
        <f>VLOOKUP(E2522,Precios!Z$2:BB$941,3,FALSE)*F2522</f>
        <v>-1</v>
      </c>
      <c r="AL2522" s="17"/>
      <c r="AM2522" s="17"/>
      <c r="AN2522" s="17"/>
      <c r="AO2522" s="17"/>
      <c r="AP2522" s="17"/>
      <c r="AQ2522" s="17"/>
      <c r="AR2522" s="17"/>
      <c r="AS2522" s="17"/>
      <c r="AT2522" s="17"/>
      <c r="AU2522" s="17"/>
      <c r="AV2522" s="17"/>
    </row>
    <row r="2523" spans="1:48" ht="15.75" customHeight="1">
      <c r="A2523" s="21" t="s">
        <v>35</v>
      </c>
      <c r="B2523" s="23" t="s">
        <v>1692</v>
      </c>
      <c r="C2523" s="22">
        <v>45744</v>
      </c>
      <c r="D2523" s="23" t="s">
        <v>108</v>
      </c>
      <c r="E2523" s="23" t="s">
        <v>46</v>
      </c>
      <c r="F2523" s="21">
        <v>1</v>
      </c>
      <c r="G2523" s="12">
        <v>5500</v>
      </c>
      <c r="H2523" s="12">
        <v>5500</v>
      </c>
      <c r="I2523" s="23" t="s">
        <v>52</v>
      </c>
      <c r="J2523" s="23" t="s">
        <v>61</v>
      </c>
      <c r="K2523" s="24" t="s">
        <v>177</v>
      </c>
      <c r="L2523" s="24">
        <v>119</v>
      </c>
      <c r="M2523" s="12">
        <v>4621.8487394957983</v>
      </c>
      <c r="N2523" s="12">
        <v>4621.8487394957983</v>
      </c>
      <c r="O2523" s="12">
        <v>878.15126050420167</v>
      </c>
      <c r="P2523" s="13"/>
      <c r="Q2523" s="14">
        <v>2025</v>
      </c>
      <c r="R2523" s="15">
        <v>45352</v>
      </c>
      <c r="S2523" s="11" t="s">
        <v>364</v>
      </c>
      <c r="T2523" s="16">
        <v>500</v>
      </c>
      <c r="U2523" s="17"/>
      <c r="V2523" s="12">
        <v>1365.1260504201678</v>
      </c>
      <c r="W2523" s="12">
        <v>1365.1260504201678</v>
      </c>
      <c r="X2523" s="12">
        <v>0</v>
      </c>
      <c r="Y2523" s="18">
        <v>45740</v>
      </c>
      <c r="Z2523" s="13" t="s">
        <v>503</v>
      </c>
      <c r="AA2523" s="19" t="str">
        <f>VLOOKUP(D2523,Clientes!$A$2:$J$486,9,FALSE)</f>
        <v>Frecuente</v>
      </c>
      <c r="AB2523" s="13" t="str">
        <f>VLOOKUP(D2523,Clientes!$A$2:$K$486,11,FALSE)</f>
        <v>Persona Natural</v>
      </c>
      <c r="AC2523" s="13" t="str">
        <f>VLOOKUP(D2523,Clientes!$A$2:$B$486,2,FALSE)</f>
        <v>Jardines de la Viña</v>
      </c>
      <c r="AD2523" s="20"/>
      <c r="AE2523" s="20"/>
      <c r="AF2523" s="13" t="s">
        <v>40</v>
      </c>
      <c r="AG2523" s="15">
        <v>45352</v>
      </c>
      <c r="AH2523" s="13" t="s">
        <v>41</v>
      </c>
      <c r="AI2523" s="13" t="s">
        <v>35</v>
      </c>
      <c r="AJ2523" s="13" t="str">
        <f>VLOOKUP(E2523,Precios!Z$2:AA$941,2,FALSE)</f>
        <v>Queso RUNCA Mantecoso</v>
      </c>
      <c r="AK2523" s="14">
        <f>VLOOKUP(E2523,Precios!Z$2:BB$941,3,FALSE)*F2523</f>
        <v>-0.5</v>
      </c>
      <c r="AL2523" s="17"/>
      <c r="AM2523" s="17"/>
      <c r="AN2523" s="17"/>
      <c r="AO2523" s="17"/>
      <c r="AP2523" s="17"/>
      <c r="AQ2523" s="17"/>
      <c r="AR2523" s="17"/>
      <c r="AS2523" s="17"/>
      <c r="AT2523" s="17"/>
      <c r="AU2523" s="17"/>
      <c r="AV2523" s="17"/>
    </row>
    <row r="2524" spans="1:48" ht="15.75" customHeight="1">
      <c r="A2524" s="21" t="s">
        <v>35</v>
      </c>
      <c r="B2524" s="23" t="s">
        <v>1692</v>
      </c>
      <c r="C2524" s="22">
        <v>45744</v>
      </c>
      <c r="D2524" s="23" t="s">
        <v>198</v>
      </c>
      <c r="E2524" s="23" t="s">
        <v>37</v>
      </c>
      <c r="F2524" s="21">
        <v>1</v>
      </c>
      <c r="G2524" s="12">
        <v>10500</v>
      </c>
      <c r="H2524" s="12">
        <v>10500</v>
      </c>
      <c r="I2524" s="23" t="s">
        <v>52</v>
      </c>
      <c r="J2524" s="23" t="s">
        <v>61</v>
      </c>
      <c r="K2524" s="24" t="s">
        <v>177</v>
      </c>
      <c r="L2524" s="24">
        <v>119</v>
      </c>
      <c r="M2524" s="12">
        <v>8823.5294117647063</v>
      </c>
      <c r="N2524" s="12">
        <v>8823.5294117647063</v>
      </c>
      <c r="O2524" s="12">
        <v>1676.4705882352937</v>
      </c>
      <c r="P2524" s="13"/>
      <c r="Q2524" s="14">
        <v>2025</v>
      </c>
      <c r="R2524" s="15">
        <v>45352</v>
      </c>
      <c r="S2524" s="11" t="s">
        <v>364</v>
      </c>
      <c r="T2524" s="16">
        <v>1000</v>
      </c>
      <c r="U2524" s="17"/>
      <c r="V2524" s="12">
        <v>2385.7142857142853</v>
      </c>
      <c r="W2524" s="12">
        <v>2385.7142857142853</v>
      </c>
      <c r="X2524" s="12">
        <v>0</v>
      </c>
      <c r="Y2524" s="18">
        <v>45740</v>
      </c>
      <c r="Z2524" s="13" t="s">
        <v>503</v>
      </c>
      <c r="AA2524" s="19" t="str">
        <f>VLOOKUP(D2524,Clientes!$A$2:$J$486,9,FALSE)</f>
        <v>Frecuente</v>
      </c>
      <c r="AB2524" s="13" t="str">
        <f>VLOOKUP(D2524,Clientes!$A$2:$K$486,11,FALSE)</f>
        <v>Persona Natural</v>
      </c>
      <c r="AC2524" s="13" t="str">
        <f>VLOOKUP(D2524,Clientes!$A$2:$B$486,2,FALSE)</f>
        <v>Curso Amalia</v>
      </c>
      <c r="AD2524" s="20"/>
      <c r="AE2524" s="20"/>
      <c r="AF2524" s="13" t="s">
        <v>40</v>
      </c>
      <c r="AG2524" s="15">
        <v>45352</v>
      </c>
      <c r="AH2524" s="13" t="s">
        <v>41</v>
      </c>
      <c r="AI2524" s="13" t="s">
        <v>35</v>
      </c>
      <c r="AJ2524" s="13" t="str">
        <f>VLOOKUP(E2524,Precios!Z$2:AA$941,2,FALSE)</f>
        <v>Queso RUNCA Mantecoso</v>
      </c>
      <c r="AK2524" s="14">
        <f>VLOOKUP(E2524,Precios!Z$2:BB$941,3,FALSE)*F2524</f>
        <v>-1</v>
      </c>
      <c r="AL2524" s="17"/>
      <c r="AM2524" s="17"/>
      <c r="AN2524" s="17"/>
      <c r="AO2524" s="17"/>
      <c r="AP2524" s="17"/>
      <c r="AQ2524" s="17"/>
      <c r="AR2524" s="17"/>
      <c r="AS2524" s="17"/>
      <c r="AT2524" s="17"/>
      <c r="AU2524" s="17"/>
      <c r="AV2524" s="17"/>
    </row>
    <row r="2525" spans="1:48" ht="15.75" customHeight="1">
      <c r="A2525" s="21" t="s">
        <v>35</v>
      </c>
      <c r="B2525" s="23" t="s">
        <v>1692</v>
      </c>
      <c r="C2525" s="22">
        <v>45743</v>
      </c>
      <c r="D2525" s="23" t="s">
        <v>232</v>
      </c>
      <c r="E2525" s="23" t="s">
        <v>37</v>
      </c>
      <c r="F2525" s="21">
        <v>1</v>
      </c>
      <c r="G2525" s="12">
        <v>10500</v>
      </c>
      <c r="H2525" s="12">
        <v>10500</v>
      </c>
      <c r="I2525" s="23" t="s">
        <v>52</v>
      </c>
      <c r="J2525" s="23" t="s">
        <v>61</v>
      </c>
      <c r="K2525" s="24" t="s">
        <v>177</v>
      </c>
      <c r="L2525" s="24">
        <v>119</v>
      </c>
      <c r="M2525" s="12">
        <v>8823.5294117647063</v>
      </c>
      <c r="N2525" s="12">
        <v>8823.5294117647063</v>
      </c>
      <c r="O2525" s="12">
        <v>1676.4705882352937</v>
      </c>
      <c r="P2525" s="13"/>
      <c r="Q2525" s="14">
        <v>2025</v>
      </c>
      <c r="R2525" s="15">
        <v>45352</v>
      </c>
      <c r="S2525" s="11" t="s">
        <v>364</v>
      </c>
      <c r="T2525" s="16">
        <v>1000</v>
      </c>
      <c r="U2525" s="17"/>
      <c r="V2525" s="12">
        <v>2385.7142857142853</v>
      </c>
      <c r="W2525" s="12">
        <v>2385.7142857142853</v>
      </c>
      <c r="X2525" s="12">
        <v>0</v>
      </c>
      <c r="Y2525" s="18">
        <v>45740</v>
      </c>
      <c r="Z2525" s="13" t="s">
        <v>505</v>
      </c>
      <c r="AA2525" s="19" t="str">
        <f>VLOOKUP(D2525,Clientes!$A$2:$J$486,9,FALSE)</f>
        <v>Regular</v>
      </c>
      <c r="AB2525" s="13" t="str">
        <f>VLOOKUP(D2525,Clientes!$A$2:$K$486,11,FALSE)</f>
        <v>Persona Natural</v>
      </c>
      <c r="AC2525" s="13" t="str">
        <f>VLOOKUP(D2525,Clientes!$A$2:$B$486,2,FALSE)</f>
        <v>Colegio Antilhue</v>
      </c>
      <c r="AD2525" s="20"/>
      <c r="AE2525" s="20"/>
      <c r="AF2525" s="13" t="s">
        <v>40</v>
      </c>
      <c r="AG2525" s="15">
        <v>45352</v>
      </c>
      <c r="AH2525" s="13" t="s">
        <v>41</v>
      </c>
      <c r="AI2525" s="13" t="s">
        <v>35</v>
      </c>
      <c r="AJ2525" s="13" t="str">
        <f>VLOOKUP(E2525,Precios!Z$2:AA$941,2,FALSE)</f>
        <v>Queso RUNCA Mantecoso</v>
      </c>
      <c r="AK2525" s="14">
        <f>VLOOKUP(E2525,Precios!Z$2:BB$941,3,FALSE)*F2525</f>
        <v>-1</v>
      </c>
      <c r="AL2525" s="17"/>
      <c r="AM2525" s="17"/>
      <c r="AN2525" s="17"/>
      <c r="AO2525" s="17"/>
      <c r="AP2525" s="17"/>
      <c r="AQ2525" s="17"/>
      <c r="AR2525" s="17"/>
      <c r="AS2525" s="17"/>
      <c r="AT2525" s="17"/>
      <c r="AU2525" s="17"/>
      <c r="AV2525" s="17"/>
    </row>
    <row r="2526" spans="1:48" ht="15.75" customHeight="1">
      <c r="A2526" s="21" t="s">
        <v>43</v>
      </c>
      <c r="B2526" s="23" t="s">
        <v>1692</v>
      </c>
      <c r="C2526" s="22">
        <v>45743</v>
      </c>
      <c r="D2526" s="23" t="s">
        <v>232</v>
      </c>
      <c r="E2526" s="23" t="s">
        <v>45</v>
      </c>
      <c r="F2526" s="21">
        <v>1</v>
      </c>
      <c r="G2526" s="12">
        <v>8299.7854333055202</v>
      </c>
      <c r="H2526" s="12">
        <v>8299.7854333055202</v>
      </c>
      <c r="I2526" s="23" t="s">
        <v>52</v>
      </c>
      <c r="J2526" s="23" t="s">
        <v>61</v>
      </c>
      <c r="K2526" s="24" t="s">
        <v>177</v>
      </c>
      <c r="L2526" s="24">
        <v>119</v>
      </c>
      <c r="M2526" s="12">
        <v>6974.6096078197652</v>
      </c>
      <c r="N2526" s="12">
        <v>6974.6096078197652</v>
      </c>
      <c r="O2526" s="12">
        <v>1325.175825485755</v>
      </c>
      <c r="P2526" s="13"/>
      <c r="Q2526" s="14">
        <v>2025</v>
      </c>
      <c r="R2526" s="15">
        <v>45352</v>
      </c>
      <c r="S2526" s="11" t="s">
        <v>355</v>
      </c>
      <c r="T2526" s="16">
        <v>0</v>
      </c>
      <c r="U2526" s="17"/>
      <c r="V2526" s="12">
        <v>1123.6096078197643</v>
      </c>
      <c r="W2526" s="12">
        <v>1123.6096078197643</v>
      </c>
      <c r="X2526" s="12">
        <v>0</v>
      </c>
      <c r="Y2526" s="18">
        <v>45740</v>
      </c>
      <c r="Z2526" s="13" t="s">
        <v>505</v>
      </c>
      <c r="AA2526" s="19" t="str">
        <f>VLOOKUP(D2526,Clientes!$A$2:$J$486,9,FALSE)</f>
        <v>Regular</v>
      </c>
      <c r="AB2526" s="13" t="str">
        <f>VLOOKUP(D2526,Clientes!$A$2:$K$486,11,FALSE)</f>
        <v>Persona Natural</v>
      </c>
      <c r="AC2526" s="13" t="str">
        <f>VLOOKUP(D2526,Clientes!$A$2:$B$486,2,FALSE)</f>
        <v>Colegio Antilhue</v>
      </c>
      <c r="AD2526" s="20"/>
      <c r="AE2526" s="20"/>
      <c r="AF2526" s="13" t="s">
        <v>40</v>
      </c>
      <c r="AG2526" s="15">
        <v>45352</v>
      </c>
      <c r="AH2526" s="13" t="s">
        <v>41</v>
      </c>
      <c r="AI2526" s="13" t="s">
        <v>43</v>
      </c>
      <c r="AJ2526" s="13" t="str">
        <f>VLOOKUP(E2526,Precios!Z$2:AA$941,2,FALSE)</f>
        <v>Bandeja Huevos EXTRA</v>
      </c>
      <c r="AK2526" s="14">
        <f>VLOOKUP(E2526,Precios!Z$2:BB$941,3,FALSE)*F2526</f>
        <v>-1</v>
      </c>
      <c r="AL2526" s="17"/>
      <c r="AM2526" s="17"/>
      <c r="AN2526" s="17"/>
      <c r="AO2526" s="17"/>
      <c r="AP2526" s="17"/>
      <c r="AQ2526" s="17"/>
      <c r="AR2526" s="17"/>
      <c r="AS2526" s="17"/>
      <c r="AT2526" s="17"/>
      <c r="AU2526" s="17"/>
      <c r="AV2526" s="17"/>
    </row>
    <row r="2527" spans="1:48" ht="15.75" customHeight="1">
      <c r="A2527" s="21" t="s">
        <v>35</v>
      </c>
      <c r="B2527" s="23" t="s">
        <v>1692</v>
      </c>
      <c r="C2527" s="22">
        <v>45743</v>
      </c>
      <c r="D2527" s="23" t="s">
        <v>198</v>
      </c>
      <c r="E2527" s="23" t="s">
        <v>37</v>
      </c>
      <c r="F2527" s="21">
        <v>1</v>
      </c>
      <c r="G2527" s="12">
        <v>10500</v>
      </c>
      <c r="H2527" s="12">
        <v>10500</v>
      </c>
      <c r="I2527" s="23" t="s">
        <v>52</v>
      </c>
      <c r="J2527" s="23" t="s">
        <v>61</v>
      </c>
      <c r="K2527" s="24" t="s">
        <v>177</v>
      </c>
      <c r="L2527" s="24">
        <v>119</v>
      </c>
      <c r="M2527" s="12">
        <v>8823.5294117647063</v>
      </c>
      <c r="N2527" s="12">
        <v>8823.5294117647063</v>
      </c>
      <c r="O2527" s="12">
        <v>1676.4705882352937</v>
      </c>
      <c r="P2527" s="13"/>
      <c r="Q2527" s="14">
        <v>2025</v>
      </c>
      <c r="R2527" s="15">
        <v>45352</v>
      </c>
      <c r="S2527" s="11" t="s">
        <v>364</v>
      </c>
      <c r="T2527" s="16">
        <v>1000</v>
      </c>
      <c r="U2527" s="17"/>
      <c r="V2527" s="12">
        <v>2385.7142857142853</v>
      </c>
      <c r="W2527" s="12">
        <v>2385.7142857142853</v>
      </c>
      <c r="X2527" s="12">
        <v>0</v>
      </c>
      <c r="Y2527" s="18">
        <v>45740</v>
      </c>
      <c r="Z2527" s="13" t="s">
        <v>505</v>
      </c>
      <c r="AA2527" s="19" t="str">
        <f>VLOOKUP(D2527,Clientes!$A$2:$J$486,9,FALSE)</f>
        <v>Frecuente</v>
      </c>
      <c r="AB2527" s="13" t="str">
        <f>VLOOKUP(D2527,Clientes!$A$2:$K$486,11,FALSE)</f>
        <v>Persona Natural</v>
      </c>
      <c r="AC2527" s="13" t="str">
        <f>VLOOKUP(D2527,Clientes!$A$2:$B$486,2,FALSE)</f>
        <v>Curso Amalia</v>
      </c>
      <c r="AD2527" s="20"/>
      <c r="AE2527" s="20"/>
      <c r="AF2527" s="13" t="s">
        <v>40</v>
      </c>
      <c r="AG2527" s="15">
        <v>45352</v>
      </c>
      <c r="AH2527" s="13" t="s">
        <v>41</v>
      </c>
      <c r="AI2527" s="13" t="s">
        <v>35</v>
      </c>
      <c r="AJ2527" s="13" t="str">
        <f>VLOOKUP(E2527,Precios!Z$2:AA$941,2,FALSE)</f>
        <v>Queso RUNCA Mantecoso</v>
      </c>
      <c r="AK2527" s="14">
        <f>VLOOKUP(E2527,Precios!Z$2:BB$941,3,FALSE)*F2527</f>
        <v>-1</v>
      </c>
      <c r="AL2527" s="17"/>
      <c r="AM2527" s="17"/>
      <c r="AN2527" s="17"/>
      <c r="AO2527" s="17"/>
      <c r="AP2527" s="17"/>
      <c r="AQ2527" s="17"/>
      <c r="AR2527" s="17"/>
      <c r="AS2527" s="17"/>
      <c r="AT2527" s="17"/>
      <c r="AU2527" s="17"/>
      <c r="AV2527" s="17"/>
    </row>
    <row r="2528" spans="1:48" ht="15.75" customHeight="1">
      <c r="A2528" s="21" t="s">
        <v>76</v>
      </c>
      <c r="B2528" s="23" t="s">
        <v>1692</v>
      </c>
      <c r="C2528" s="22">
        <v>45743</v>
      </c>
      <c r="D2528" s="23" t="s">
        <v>301</v>
      </c>
      <c r="E2528" s="23" t="s">
        <v>82</v>
      </c>
      <c r="F2528" s="21">
        <v>1</v>
      </c>
      <c r="G2528" s="12">
        <v>2000.0000000000002</v>
      </c>
      <c r="H2528" s="12">
        <v>2000.0000000000002</v>
      </c>
      <c r="I2528" s="23" t="s">
        <v>52</v>
      </c>
      <c r="J2528" s="23" t="s">
        <v>61</v>
      </c>
      <c r="K2528" s="24" t="s">
        <v>177</v>
      </c>
      <c r="L2528" s="24">
        <v>119</v>
      </c>
      <c r="M2528" s="12">
        <v>1680.6722689075632</v>
      </c>
      <c r="N2528" s="12">
        <v>1680.6722689075632</v>
      </c>
      <c r="O2528" s="12">
        <v>319.32773109243703</v>
      </c>
      <c r="P2528" s="13"/>
      <c r="Q2528" s="14">
        <v>2025</v>
      </c>
      <c r="R2528" s="15">
        <v>45352</v>
      </c>
      <c r="S2528" s="11" t="s">
        <v>463</v>
      </c>
      <c r="T2528" s="16">
        <v>5</v>
      </c>
      <c r="U2528" s="17"/>
      <c r="V2528" s="12">
        <v>680.67226890756319</v>
      </c>
      <c r="W2528" s="12">
        <v>680.67226890756319</v>
      </c>
      <c r="X2528" s="12">
        <v>0</v>
      </c>
      <c r="Y2528" s="18">
        <v>45740</v>
      </c>
      <c r="Z2528" s="13" t="s">
        <v>505</v>
      </c>
      <c r="AA2528" s="19" t="str">
        <f>VLOOKUP(D2528,Clientes!$A$2:$J$486,9,FALSE)</f>
        <v>Regular</v>
      </c>
      <c r="AB2528" s="13" t="str">
        <f>VLOOKUP(D2528,Clientes!$A$2:$K$486,11,FALSE)</f>
        <v>Persona Natural</v>
      </c>
      <c r="AC2528" s="13" t="str">
        <f>VLOOKUP(D2528,Clientes!$A$2:$B$486,2,FALSE)</f>
        <v>Sector Chilcas</v>
      </c>
      <c r="AD2528" s="20"/>
      <c r="AE2528" s="20"/>
      <c r="AF2528" s="13" t="s">
        <v>40</v>
      </c>
      <c r="AG2528" s="15">
        <v>45352</v>
      </c>
      <c r="AH2528" s="13" t="s">
        <v>41</v>
      </c>
      <c r="AI2528" s="13" t="s">
        <v>76</v>
      </c>
      <c r="AJ2528" s="13" t="str">
        <f>VLOOKUP(E2528,Precios!Z$2:AA$941,2,FALSE)</f>
        <v>Limpiapiso SPUM 5 Litros</v>
      </c>
      <c r="AK2528" s="14">
        <f>VLOOKUP(E2528,Precios!Z$2:BB$941,3,FALSE)*F2528</f>
        <v>-1</v>
      </c>
      <c r="AL2528" s="17"/>
      <c r="AM2528" s="17"/>
      <c r="AN2528" s="17"/>
      <c r="AO2528" s="17"/>
      <c r="AP2528" s="17"/>
      <c r="AQ2528" s="17"/>
      <c r="AR2528" s="17"/>
      <c r="AS2528" s="17"/>
      <c r="AT2528" s="17"/>
      <c r="AU2528" s="17"/>
      <c r="AV2528" s="17"/>
    </row>
    <row r="2529" spans="1:48" ht="15.75" customHeight="1">
      <c r="A2529" s="21" t="s">
        <v>43</v>
      </c>
      <c r="B2529" s="23" t="s">
        <v>1692</v>
      </c>
      <c r="C2529" s="22">
        <v>45743</v>
      </c>
      <c r="D2529" s="23" t="s">
        <v>653</v>
      </c>
      <c r="E2529" s="23" t="s">
        <v>45</v>
      </c>
      <c r="F2529" s="21">
        <v>1</v>
      </c>
      <c r="G2529" s="12">
        <v>8299.7854333055202</v>
      </c>
      <c r="H2529" s="12">
        <v>8299.7854333055202</v>
      </c>
      <c r="I2529" s="23" t="s">
        <v>52</v>
      </c>
      <c r="J2529" s="23" t="s">
        <v>61</v>
      </c>
      <c r="K2529" s="24" t="s">
        <v>177</v>
      </c>
      <c r="L2529" s="24">
        <v>119</v>
      </c>
      <c r="M2529" s="12">
        <v>6974.6096078197652</v>
      </c>
      <c r="N2529" s="12">
        <v>6974.6096078197652</v>
      </c>
      <c r="O2529" s="12">
        <v>1325.175825485755</v>
      </c>
      <c r="P2529" s="13"/>
      <c r="Q2529" s="14">
        <v>2025</v>
      </c>
      <c r="R2529" s="15">
        <v>45352</v>
      </c>
      <c r="S2529" s="11" t="s">
        <v>355</v>
      </c>
      <c r="T2529" s="16">
        <v>0</v>
      </c>
      <c r="U2529" s="17"/>
      <c r="V2529" s="12">
        <v>1123.6096078197643</v>
      </c>
      <c r="W2529" s="12">
        <v>1123.6096078197643</v>
      </c>
      <c r="X2529" s="12">
        <v>0</v>
      </c>
      <c r="Y2529" s="18">
        <v>45740</v>
      </c>
      <c r="Z2529" s="13" t="s">
        <v>505</v>
      </c>
      <c r="AA2529" s="19" t="str">
        <f>VLOOKUP(D2529,Clientes!$A$2:$J$486,9,FALSE)</f>
        <v>Ocacional</v>
      </c>
      <c r="AB2529" s="13" t="str">
        <f>VLOOKUP(D2529,Clientes!$A$2:$K$486,11,FALSE)</f>
        <v>Persona Natural</v>
      </c>
      <c r="AC2529" s="13" t="str">
        <f>VLOOKUP(D2529,Clientes!$A$2:$B$486,2,FALSE)</f>
        <v>Cumbres de la Viña</v>
      </c>
      <c r="AD2529" s="20"/>
      <c r="AE2529" s="20"/>
      <c r="AF2529" s="13" t="s">
        <v>40</v>
      </c>
      <c r="AG2529" s="15">
        <v>45352</v>
      </c>
      <c r="AH2529" s="13" t="s">
        <v>41</v>
      </c>
      <c r="AI2529" s="13" t="s">
        <v>43</v>
      </c>
      <c r="AJ2529" s="13" t="str">
        <f>VLOOKUP(E2529,Precios!Z$2:AA$941,2,FALSE)</f>
        <v>Bandeja Huevos EXTRA</v>
      </c>
      <c r="AK2529" s="14">
        <f>VLOOKUP(E2529,Precios!Z$2:BB$941,3,FALSE)*F2529</f>
        <v>-1</v>
      </c>
      <c r="AL2529" s="17"/>
      <c r="AM2529" s="17"/>
      <c r="AN2529" s="17"/>
      <c r="AO2529" s="17"/>
      <c r="AP2529" s="17"/>
      <c r="AQ2529" s="17"/>
      <c r="AR2529" s="17"/>
      <c r="AS2529" s="17"/>
      <c r="AT2529" s="17"/>
      <c r="AU2529" s="17"/>
      <c r="AV2529" s="17"/>
    </row>
    <row r="2530" spans="1:48" ht="15.75" customHeight="1">
      <c r="A2530" s="21" t="s">
        <v>43</v>
      </c>
      <c r="B2530" s="23" t="s">
        <v>1692</v>
      </c>
      <c r="C2530" s="22">
        <v>45743</v>
      </c>
      <c r="D2530" s="23" t="s">
        <v>113</v>
      </c>
      <c r="E2530" s="23" t="s">
        <v>45</v>
      </c>
      <c r="F2530" s="21">
        <v>2</v>
      </c>
      <c r="G2530" s="12">
        <v>8299.7854333055202</v>
      </c>
      <c r="H2530" s="12">
        <v>16599.57086661104</v>
      </c>
      <c r="I2530" s="23" t="s">
        <v>52</v>
      </c>
      <c r="J2530" s="23" t="s">
        <v>61</v>
      </c>
      <c r="K2530" s="24" t="s">
        <v>177</v>
      </c>
      <c r="L2530" s="24">
        <v>119</v>
      </c>
      <c r="M2530" s="12">
        <v>6974.6096078197652</v>
      </c>
      <c r="N2530" s="12">
        <v>13949.21921563953</v>
      </c>
      <c r="O2530" s="12">
        <v>2650.35165097151</v>
      </c>
      <c r="P2530" s="13"/>
      <c r="Q2530" s="14">
        <v>2025</v>
      </c>
      <c r="R2530" s="15">
        <v>45352</v>
      </c>
      <c r="S2530" s="11" t="s">
        <v>355</v>
      </c>
      <c r="T2530" s="16">
        <v>0</v>
      </c>
      <c r="U2530" s="17"/>
      <c r="V2530" s="12">
        <v>2247.2192156395286</v>
      </c>
      <c r="W2530" s="12">
        <v>2247.2192156395286</v>
      </c>
      <c r="X2530" s="12">
        <v>0</v>
      </c>
      <c r="Y2530" s="18">
        <v>45740</v>
      </c>
      <c r="Z2530" s="13" t="s">
        <v>505</v>
      </c>
      <c r="AA2530" s="19" t="str">
        <f>VLOOKUP(D2530,Clientes!$A$2:$J$486,9,FALSE)</f>
        <v>Ocacional</v>
      </c>
      <c r="AB2530" s="13" t="str">
        <f>VLOOKUP(D2530,Clientes!$A$2:$K$486,11,FALSE)</f>
        <v>Persona Natural</v>
      </c>
      <c r="AC2530" s="13" t="str">
        <f>VLOOKUP(D2530,Clientes!$A$2:$B$486,2,FALSE)</f>
        <v>Jardines de la viña</v>
      </c>
      <c r="AD2530" s="20"/>
      <c r="AE2530" s="20"/>
      <c r="AF2530" s="13" t="s">
        <v>40</v>
      </c>
      <c r="AG2530" s="15">
        <v>45352</v>
      </c>
      <c r="AH2530" s="13" t="s">
        <v>41</v>
      </c>
      <c r="AI2530" s="13" t="s">
        <v>43</v>
      </c>
      <c r="AJ2530" s="13" t="str">
        <f>VLOOKUP(E2530,Precios!Z$2:AA$941,2,FALSE)</f>
        <v>Bandeja Huevos EXTRA</v>
      </c>
      <c r="AK2530" s="14">
        <f>VLOOKUP(E2530,Precios!Z$2:BB$941,3,FALSE)*F2530</f>
        <v>-2</v>
      </c>
      <c r="AL2530" s="17"/>
      <c r="AM2530" s="17"/>
      <c r="AN2530" s="17"/>
      <c r="AO2530" s="17"/>
      <c r="AP2530" s="17"/>
      <c r="AQ2530" s="17"/>
      <c r="AR2530" s="17"/>
      <c r="AS2530" s="17"/>
      <c r="AT2530" s="17"/>
      <c r="AU2530" s="17"/>
      <c r="AV2530" s="17"/>
    </row>
    <row r="2531" spans="1:48" ht="15.75" customHeight="1">
      <c r="A2531" s="21" t="s">
        <v>35</v>
      </c>
      <c r="B2531" s="23" t="s">
        <v>1692</v>
      </c>
      <c r="C2531" s="22">
        <v>45743</v>
      </c>
      <c r="D2531" s="23" t="s">
        <v>915</v>
      </c>
      <c r="E2531" s="23" t="s">
        <v>46</v>
      </c>
      <c r="F2531" s="14">
        <v>1</v>
      </c>
      <c r="G2531" s="12">
        <v>5500</v>
      </c>
      <c r="H2531" s="34">
        <v>5500</v>
      </c>
      <c r="I2531" s="23" t="s">
        <v>52</v>
      </c>
      <c r="J2531" s="23" t="s">
        <v>61</v>
      </c>
      <c r="K2531" s="24" t="s">
        <v>177</v>
      </c>
      <c r="L2531" s="24">
        <v>119</v>
      </c>
      <c r="M2531" s="12">
        <v>4621.8487394957983</v>
      </c>
      <c r="N2531" s="12">
        <v>4621.8487394957983</v>
      </c>
      <c r="O2531" s="12">
        <v>878.15126050420167</v>
      </c>
      <c r="P2531" s="13"/>
      <c r="Q2531" s="14">
        <v>2025</v>
      </c>
      <c r="R2531" s="15">
        <v>45352</v>
      </c>
      <c r="S2531" s="11" t="s">
        <v>364</v>
      </c>
      <c r="T2531" s="16">
        <v>500</v>
      </c>
      <c r="U2531" s="17"/>
      <c r="V2531" s="12">
        <v>1365.1260504201678</v>
      </c>
      <c r="W2531" s="12">
        <v>1365.1260504201678</v>
      </c>
      <c r="X2531" s="12">
        <v>0</v>
      </c>
      <c r="Y2531" s="18">
        <v>45740</v>
      </c>
      <c r="Z2531" s="13" t="s">
        <v>505</v>
      </c>
      <c r="AA2531" s="19" t="str">
        <f>VLOOKUP(D2531,Clientes!$A$2:$J$486,9,FALSE)</f>
        <v>Regular</v>
      </c>
      <c r="AB2531" s="13" t="str">
        <f>VLOOKUP(D2531,Clientes!$A$2:$K$486,11,FALSE)</f>
        <v>Persona Natural</v>
      </c>
      <c r="AC2531" s="13" t="str">
        <f>VLOOKUP(D2531,Clientes!$A$2:$B$486,2,FALSE)</f>
        <v>Jardin del Eden</v>
      </c>
      <c r="AD2531" s="20"/>
      <c r="AE2531" s="20"/>
      <c r="AF2531" s="13" t="s">
        <v>40</v>
      </c>
      <c r="AG2531" s="15">
        <v>45352</v>
      </c>
      <c r="AH2531" s="13" t="s">
        <v>41</v>
      </c>
      <c r="AI2531" s="13" t="s">
        <v>35</v>
      </c>
      <c r="AJ2531" s="13" t="str">
        <f>VLOOKUP(E2531,Precios!Z$2:AA$941,2,FALSE)</f>
        <v>Queso RUNCA Mantecoso</v>
      </c>
      <c r="AK2531" s="14">
        <f>VLOOKUP(E2531,Precios!Z$2:BB$941,3,FALSE)*F2531</f>
        <v>-0.5</v>
      </c>
      <c r="AL2531" s="17"/>
      <c r="AM2531" s="17"/>
      <c r="AN2531" s="17"/>
      <c r="AO2531" s="17"/>
      <c r="AP2531" s="17"/>
      <c r="AQ2531" s="17"/>
      <c r="AR2531" s="17"/>
      <c r="AS2531" s="17"/>
      <c r="AT2531" s="17"/>
      <c r="AU2531" s="17"/>
      <c r="AV2531" s="17"/>
    </row>
    <row r="2532" spans="1:48" ht="15.75" customHeight="1">
      <c r="A2532" s="21" t="s">
        <v>76</v>
      </c>
      <c r="B2532" s="23" t="s">
        <v>1692</v>
      </c>
      <c r="C2532" s="22">
        <v>45743</v>
      </c>
      <c r="D2532" s="23" t="s">
        <v>915</v>
      </c>
      <c r="E2532" s="23" t="s">
        <v>137</v>
      </c>
      <c r="F2532" s="14">
        <v>1</v>
      </c>
      <c r="G2532" s="12">
        <v>3500.0000000000005</v>
      </c>
      <c r="H2532" s="34">
        <v>3500.0000000000005</v>
      </c>
      <c r="I2532" s="23" t="s">
        <v>52</v>
      </c>
      <c r="J2532" s="23" t="s">
        <v>61</v>
      </c>
      <c r="K2532" s="24" t="s">
        <v>177</v>
      </c>
      <c r="L2532" s="24">
        <v>119</v>
      </c>
      <c r="M2532" s="12">
        <v>2941.1764705882356</v>
      </c>
      <c r="N2532" s="12">
        <v>2941.1764705882356</v>
      </c>
      <c r="O2532" s="12">
        <v>558.82352941176487</v>
      </c>
      <c r="P2532" s="13"/>
      <c r="Q2532" s="14">
        <v>2025</v>
      </c>
      <c r="R2532" s="15">
        <v>45352</v>
      </c>
      <c r="S2532" s="11" t="s">
        <v>406</v>
      </c>
      <c r="T2532" s="16">
        <v>5</v>
      </c>
      <c r="U2532" s="17"/>
      <c r="V2532" s="12">
        <v>848.73949579831969</v>
      </c>
      <c r="W2532" s="12">
        <v>848.73949579831969</v>
      </c>
      <c r="X2532" s="12">
        <v>0</v>
      </c>
      <c r="Y2532" s="18">
        <v>45740</v>
      </c>
      <c r="Z2532" s="13" t="s">
        <v>505</v>
      </c>
      <c r="AA2532" s="19" t="str">
        <f>VLOOKUP(D2532,Clientes!$A$2:$J$486,9,FALSE)</f>
        <v>Regular</v>
      </c>
      <c r="AB2532" s="13" t="str">
        <f>VLOOKUP(D2532,Clientes!$A$2:$K$486,11,FALSE)</f>
        <v>Persona Natural</v>
      </c>
      <c r="AC2532" s="13" t="str">
        <f>VLOOKUP(D2532,Clientes!$A$2:$B$486,2,FALSE)</f>
        <v>Jardin del Eden</v>
      </c>
      <c r="AD2532" s="20"/>
      <c r="AE2532" s="20"/>
      <c r="AF2532" s="13" t="s">
        <v>40</v>
      </c>
      <c r="AG2532" s="15">
        <v>45352</v>
      </c>
      <c r="AH2532" s="13" t="s">
        <v>41</v>
      </c>
      <c r="AI2532" s="13" t="s">
        <v>76</v>
      </c>
      <c r="AJ2532" s="13" t="str">
        <f>VLOOKUP(E2532,Precios!Z$2:AA$941,2,FALSE)</f>
        <v>Detergente SPUM 5 Litros (Blanco)</v>
      </c>
      <c r="AK2532" s="14">
        <f>VLOOKUP(E2532,Precios!Z$2:BB$941,3,FALSE)*F2532</f>
        <v>-1</v>
      </c>
      <c r="AL2532" s="17"/>
      <c r="AM2532" s="17"/>
      <c r="AN2532" s="17"/>
      <c r="AO2532" s="17"/>
      <c r="AP2532" s="17"/>
      <c r="AQ2532" s="17"/>
      <c r="AR2532" s="17"/>
      <c r="AS2532" s="17"/>
      <c r="AT2532" s="17"/>
      <c r="AU2532" s="17"/>
      <c r="AV2532" s="17"/>
    </row>
    <row r="2533" spans="1:48" ht="15.75" customHeight="1">
      <c r="A2533" s="21" t="s">
        <v>47</v>
      </c>
      <c r="B2533" s="23" t="s">
        <v>1692</v>
      </c>
      <c r="C2533" s="22">
        <v>45743</v>
      </c>
      <c r="D2533" s="23" t="s">
        <v>915</v>
      </c>
      <c r="E2533" s="23" t="s">
        <v>94</v>
      </c>
      <c r="F2533" s="14">
        <v>1</v>
      </c>
      <c r="G2533" s="12">
        <v>1650.3649635036495</v>
      </c>
      <c r="H2533" s="34">
        <v>1650.3649635036495</v>
      </c>
      <c r="I2533" s="23" t="s">
        <v>52</v>
      </c>
      <c r="J2533" s="23" t="s">
        <v>61</v>
      </c>
      <c r="K2533" s="24" t="s">
        <v>177</v>
      </c>
      <c r="L2533" s="24">
        <v>119</v>
      </c>
      <c r="M2533" s="12">
        <v>1386.861313868613</v>
      </c>
      <c r="N2533" s="12">
        <v>1386.861313868613</v>
      </c>
      <c r="O2533" s="12">
        <v>263.50364963503648</v>
      </c>
      <c r="P2533" s="13"/>
      <c r="Q2533" s="14">
        <v>2025</v>
      </c>
      <c r="R2533" s="15">
        <v>45352</v>
      </c>
      <c r="S2533" s="11" t="s">
        <v>384</v>
      </c>
      <c r="T2533" s="16">
        <v>0</v>
      </c>
      <c r="U2533" s="17"/>
      <c r="V2533" s="12">
        <v>436.86131386861302</v>
      </c>
      <c r="W2533" s="12">
        <v>436.86131386861302</v>
      </c>
      <c r="X2533" s="12">
        <v>0</v>
      </c>
      <c r="Y2533" s="18">
        <v>45740</v>
      </c>
      <c r="Z2533" s="13" t="s">
        <v>505</v>
      </c>
      <c r="AA2533" s="19" t="str">
        <f>VLOOKUP(D2533,Clientes!$A$2:$J$486,9,FALSE)</f>
        <v>Regular</v>
      </c>
      <c r="AB2533" s="13" t="str">
        <f>VLOOKUP(D2533,Clientes!$A$2:$K$486,11,FALSE)</f>
        <v>Persona Natural</v>
      </c>
      <c r="AC2533" s="13" t="str">
        <f>VLOOKUP(D2533,Clientes!$A$2:$B$486,2,FALSE)</f>
        <v>Jardin del Eden</v>
      </c>
      <c r="AD2533" s="20"/>
      <c r="AE2533" s="20"/>
      <c r="AF2533" s="13" t="s">
        <v>40</v>
      </c>
      <c r="AG2533" s="15">
        <v>45352</v>
      </c>
      <c r="AH2533" s="13" t="s">
        <v>41</v>
      </c>
      <c r="AI2533" s="13" t="s">
        <v>47</v>
      </c>
      <c r="AJ2533" s="13" t="str">
        <f>VLOOKUP(E2533,Precios!Z$2:AA$941,2,FALSE)</f>
        <v>Jabón Lìquido BALLERINA</v>
      </c>
      <c r="AK2533" s="14">
        <f>VLOOKUP(E2533,Precios!Z$2:BB$941,3,FALSE)*F2533</f>
        <v>-3</v>
      </c>
      <c r="AL2533" s="17"/>
      <c r="AM2533" s="17"/>
      <c r="AN2533" s="17"/>
      <c r="AO2533" s="17"/>
      <c r="AP2533" s="17"/>
      <c r="AQ2533" s="17"/>
      <c r="AR2533" s="17"/>
      <c r="AS2533" s="17"/>
      <c r="AT2533" s="17"/>
      <c r="AU2533" s="17"/>
      <c r="AV2533" s="17"/>
    </row>
    <row r="2534" spans="1:48" ht="15.75" customHeight="1">
      <c r="A2534" s="21" t="s">
        <v>56</v>
      </c>
      <c r="B2534" s="23" t="s">
        <v>1692</v>
      </c>
      <c r="C2534" s="22">
        <v>45742</v>
      </c>
      <c r="D2534" s="23" t="s">
        <v>507</v>
      </c>
      <c r="E2534" s="23" t="s">
        <v>67</v>
      </c>
      <c r="F2534" s="14">
        <v>1</v>
      </c>
      <c r="G2534" s="12">
        <v>7000.0000000000009</v>
      </c>
      <c r="H2534" s="12">
        <v>7000.0000000000009</v>
      </c>
      <c r="I2534" s="23" t="s">
        <v>52</v>
      </c>
      <c r="J2534" s="23" t="s">
        <v>61</v>
      </c>
      <c r="K2534" s="24" t="s">
        <v>177</v>
      </c>
      <c r="L2534" s="24">
        <v>118</v>
      </c>
      <c r="M2534" s="12">
        <v>5882.3529411764712</v>
      </c>
      <c r="N2534" s="12">
        <v>5882.3529411764712</v>
      </c>
      <c r="O2534" s="12">
        <v>1117.6470588235297</v>
      </c>
      <c r="P2534" s="13"/>
      <c r="Q2534" s="14">
        <v>2025</v>
      </c>
      <c r="R2534" s="15">
        <v>45352</v>
      </c>
      <c r="S2534" s="11" t="s">
        <v>492</v>
      </c>
      <c r="T2534" s="16">
        <v>200</v>
      </c>
      <c r="U2534" s="17"/>
      <c r="V2534" s="12">
        <v>1512.6050420168067</v>
      </c>
      <c r="W2534" s="12">
        <v>1512.6050420168067</v>
      </c>
      <c r="X2534" s="12">
        <v>0</v>
      </c>
      <c r="Y2534" s="18">
        <v>45740</v>
      </c>
      <c r="Z2534" s="13" t="s">
        <v>515</v>
      </c>
      <c r="AA2534" s="19" t="str">
        <f>VLOOKUP(D2534,Clientes!$A$2:$J$486,9,FALSE)</f>
        <v>Ocacional</v>
      </c>
      <c r="AB2534" s="13" t="str">
        <f>VLOOKUP(D2534,Clientes!$A$2:$K$486,11,FALSE)</f>
        <v>Persona Natural</v>
      </c>
      <c r="AC2534" s="13" t="str">
        <f>VLOOKUP(D2534,Clientes!$A$2:$B$486,2,FALSE)</f>
        <v>Jardines de la viña</v>
      </c>
      <c r="AD2534" s="20"/>
      <c r="AE2534" s="20"/>
      <c r="AF2534" s="13" t="s">
        <v>40</v>
      </c>
      <c r="AG2534" s="15">
        <v>45352</v>
      </c>
      <c r="AH2534" s="13" t="s">
        <v>41</v>
      </c>
      <c r="AI2534" s="13" t="s">
        <v>56</v>
      </c>
      <c r="AJ2534" s="13" t="str">
        <f>VLOOKUP(E2534,Precios!Z$2:AA$941,2,FALSE)</f>
        <v>Mantequilla RUMAY</v>
      </c>
      <c r="AK2534" s="14">
        <f>VLOOKUP(E2534,Precios!Z$2:BB$941,3,FALSE)*F2534</f>
        <v>-3</v>
      </c>
      <c r="AL2534" s="17"/>
      <c r="AM2534" s="17"/>
      <c r="AN2534" s="17"/>
      <c r="AO2534" s="17"/>
      <c r="AP2534" s="17"/>
      <c r="AQ2534" s="17"/>
      <c r="AR2534" s="17"/>
      <c r="AS2534" s="17"/>
      <c r="AT2534" s="17"/>
      <c r="AU2534" s="17"/>
      <c r="AV2534" s="17"/>
    </row>
    <row r="2535" spans="1:48" ht="15.75" customHeight="1">
      <c r="A2535" s="21" t="s">
        <v>35</v>
      </c>
      <c r="B2535" s="23" t="s">
        <v>1692</v>
      </c>
      <c r="C2535" s="22">
        <v>45742</v>
      </c>
      <c r="D2535" s="23" t="s">
        <v>507</v>
      </c>
      <c r="E2535" s="23" t="s">
        <v>46</v>
      </c>
      <c r="F2535" s="14">
        <v>1</v>
      </c>
      <c r="G2535" s="12">
        <v>5500</v>
      </c>
      <c r="H2535" s="12">
        <v>5500</v>
      </c>
      <c r="I2535" s="23" t="s">
        <v>52</v>
      </c>
      <c r="J2535" s="23" t="s">
        <v>61</v>
      </c>
      <c r="K2535" s="24" t="s">
        <v>177</v>
      </c>
      <c r="L2535" s="24">
        <v>118</v>
      </c>
      <c r="M2535" s="12">
        <v>4621.8487394957983</v>
      </c>
      <c r="N2535" s="12">
        <v>4621.8487394957983</v>
      </c>
      <c r="O2535" s="12">
        <v>878.15126050420167</v>
      </c>
      <c r="P2535" s="13"/>
      <c r="Q2535" s="14">
        <v>2025</v>
      </c>
      <c r="R2535" s="15">
        <v>45352</v>
      </c>
      <c r="S2535" s="11" t="s">
        <v>364</v>
      </c>
      <c r="T2535" s="16">
        <v>500</v>
      </c>
      <c r="U2535" s="17"/>
      <c r="V2535" s="12">
        <v>1365.1260504201678</v>
      </c>
      <c r="W2535" s="12">
        <v>1365.1260504201678</v>
      </c>
      <c r="X2535" s="12">
        <v>0</v>
      </c>
      <c r="Y2535" s="18">
        <v>45740</v>
      </c>
      <c r="Z2535" s="13" t="s">
        <v>515</v>
      </c>
      <c r="AA2535" s="19" t="str">
        <f>VLOOKUP(D2535,Clientes!$A$2:$J$486,9,FALSE)</f>
        <v>Ocacional</v>
      </c>
      <c r="AB2535" s="13" t="str">
        <f>VLOOKUP(D2535,Clientes!$A$2:$K$486,11,FALSE)</f>
        <v>Persona Natural</v>
      </c>
      <c r="AC2535" s="13" t="str">
        <f>VLOOKUP(D2535,Clientes!$A$2:$B$486,2,FALSE)</f>
        <v>Jardines de la viña</v>
      </c>
      <c r="AD2535" s="20"/>
      <c r="AE2535" s="20"/>
      <c r="AF2535" s="13" t="s">
        <v>40</v>
      </c>
      <c r="AG2535" s="15">
        <v>45352</v>
      </c>
      <c r="AH2535" s="13" t="s">
        <v>41</v>
      </c>
      <c r="AI2535" s="13" t="s">
        <v>35</v>
      </c>
      <c r="AJ2535" s="13" t="str">
        <f>VLOOKUP(E2535,Precios!Z$2:AA$941,2,FALSE)</f>
        <v>Queso RUNCA Mantecoso</v>
      </c>
      <c r="AK2535" s="14">
        <f>VLOOKUP(E2535,Precios!Z$2:BB$941,3,FALSE)*F2535</f>
        <v>-0.5</v>
      </c>
      <c r="AL2535" s="17"/>
      <c r="AM2535" s="17"/>
      <c r="AN2535" s="17"/>
      <c r="AO2535" s="17"/>
      <c r="AP2535" s="17"/>
      <c r="AQ2535" s="17"/>
      <c r="AR2535" s="17"/>
      <c r="AS2535" s="17"/>
      <c r="AT2535" s="17"/>
      <c r="AU2535" s="17"/>
      <c r="AV2535" s="17"/>
    </row>
    <row r="2536" spans="1:48" ht="15.75" customHeight="1">
      <c r="A2536" s="21" t="s">
        <v>35</v>
      </c>
      <c r="B2536" s="23" t="s">
        <v>1692</v>
      </c>
      <c r="C2536" s="22">
        <v>45742</v>
      </c>
      <c r="D2536" s="23" t="s">
        <v>122</v>
      </c>
      <c r="E2536" s="23" t="s">
        <v>37</v>
      </c>
      <c r="F2536" s="14">
        <v>1</v>
      </c>
      <c r="G2536" s="12">
        <v>10500</v>
      </c>
      <c r="H2536" s="12">
        <v>10500</v>
      </c>
      <c r="I2536" s="23" t="s">
        <v>52</v>
      </c>
      <c r="J2536" s="23" t="s">
        <v>61</v>
      </c>
      <c r="K2536" s="24" t="s">
        <v>177</v>
      </c>
      <c r="L2536" s="24">
        <v>118</v>
      </c>
      <c r="M2536" s="12">
        <v>8823.5294117647063</v>
      </c>
      <c r="N2536" s="12">
        <v>8823.5294117647063</v>
      </c>
      <c r="O2536" s="12">
        <v>1676.4705882352937</v>
      </c>
      <c r="P2536" s="13"/>
      <c r="Q2536" s="14">
        <v>2025</v>
      </c>
      <c r="R2536" s="15">
        <v>45352</v>
      </c>
      <c r="S2536" s="11" t="s">
        <v>364</v>
      </c>
      <c r="T2536" s="16">
        <v>1000</v>
      </c>
      <c r="U2536" s="17"/>
      <c r="V2536" s="12">
        <v>2385.7142857142853</v>
      </c>
      <c r="W2536" s="12">
        <v>2385.7142857142853</v>
      </c>
      <c r="X2536" s="12">
        <v>0</v>
      </c>
      <c r="Y2536" s="18">
        <v>45740</v>
      </c>
      <c r="Z2536" s="13" t="s">
        <v>515</v>
      </c>
      <c r="AA2536" s="19" t="str">
        <f>VLOOKUP(D2536,Clientes!$A$2:$J$486,9,FALSE)</f>
        <v>Frecuente</v>
      </c>
      <c r="AB2536" s="13" t="str">
        <f>VLOOKUP(D2536,Clientes!$A$2:$K$486,11,FALSE)</f>
        <v>Persona Natural</v>
      </c>
      <c r="AC2536" s="13" t="str">
        <f>VLOOKUP(D2536,Clientes!$A$2:$B$486,2,FALSE)</f>
        <v>Jardines de la Viña</v>
      </c>
      <c r="AD2536" s="20"/>
      <c r="AE2536" s="20"/>
      <c r="AF2536" s="13" t="s">
        <v>40</v>
      </c>
      <c r="AG2536" s="15">
        <v>45352</v>
      </c>
      <c r="AH2536" s="13" t="s">
        <v>41</v>
      </c>
      <c r="AI2536" s="13" t="s">
        <v>35</v>
      </c>
      <c r="AJ2536" s="13" t="str">
        <f>VLOOKUP(E2536,Precios!Z$2:AA$941,2,FALSE)</f>
        <v>Queso RUNCA Mantecoso</v>
      </c>
      <c r="AK2536" s="14">
        <f>VLOOKUP(E2536,Precios!Z$2:BB$941,3,FALSE)*F2536</f>
        <v>-1</v>
      </c>
      <c r="AL2536" s="17"/>
      <c r="AM2536" s="17"/>
      <c r="AN2536" s="17"/>
      <c r="AO2536" s="17"/>
      <c r="AP2536" s="17"/>
      <c r="AQ2536" s="17"/>
      <c r="AR2536" s="17"/>
      <c r="AS2536" s="17"/>
      <c r="AT2536" s="17"/>
      <c r="AU2536" s="17"/>
      <c r="AV2536" s="17"/>
    </row>
    <row r="2537" spans="1:48" ht="15.75" customHeight="1">
      <c r="A2537" s="21" t="s">
        <v>43</v>
      </c>
      <c r="B2537" s="23" t="s">
        <v>1692</v>
      </c>
      <c r="C2537" s="22">
        <v>45742</v>
      </c>
      <c r="D2537" s="23" t="s">
        <v>915</v>
      </c>
      <c r="E2537" s="23" t="s">
        <v>45</v>
      </c>
      <c r="F2537" s="14">
        <v>1</v>
      </c>
      <c r="G2537" s="12">
        <v>8299.7854333055202</v>
      </c>
      <c r="H2537" s="34">
        <v>8299.7854333055202</v>
      </c>
      <c r="I2537" s="23" t="s">
        <v>52</v>
      </c>
      <c r="J2537" s="23" t="s">
        <v>61</v>
      </c>
      <c r="K2537" s="24" t="s">
        <v>177</v>
      </c>
      <c r="L2537" s="24">
        <v>118</v>
      </c>
      <c r="M2537" s="12">
        <v>6974.6096078197652</v>
      </c>
      <c r="N2537" s="12">
        <v>6974.6096078197652</v>
      </c>
      <c r="O2537" s="12">
        <v>1325.175825485755</v>
      </c>
      <c r="P2537" s="13"/>
      <c r="Q2537" s="14">
        <v>2025</v>
      </c>
      <c r="R2537" s="15">
        <v>45352</v>
      </c>
      <c r="S2537" s="11" t="s">
        <v>355</v>
      </c>
      <c r="T2537" s="16">
        <v>0</v>
      </c>
      <c r="U2537" s="17"/>
      <c r="V2537" s="12">
        <v>1123.6096078197643</v>
      </c>
      <c r="W2537" s="12">
        <v>1123.6096078197643</v>
      </c>
      <c r="X2537" s="12">
        <v>0</v>
      </c>
      <c r="Y2537" s="18">
        <v>45740</v>
      </c>
      <c r="Z2537" s="13" t="s">
        <v>515</v>
      </c>
      <c r="AA2537" s="19" t="str">
        <f>VLOOKUP(D2537,Clientes!$A$2:$J$486,9,FALSE)</f>
        <v>Regular</v>
      </c>
      <c r="AB2537" s="13" t="str">
        <f>VLOOKUP(D2537,Clientes!$A$2:$K$486,11,FALSE)</f>
        <v>Persona Natural</v>
      </c>
      <c r="AC2537" s="13" t="str">
        <f>VLOOKUP(D2537,Clientes!$A$2:$B$486,2,FALSE)</f>
        <v>Jardin del Eden</v>
      </c>
      <c r="AD2537" s="20"/>
      <c r="AE2537" s="20"/>
      <c r="AF2537" s="13" t="s">
        <v>40</v>
      </c>
      <c r="AG2537" s="15">
        <v>45352</v>
      </c>
      <c r="AH2537" s="13" t="s">
        <v>41</v>
      </c>
      <c r="AI2537" s="13" t="s">
        <v>43</v>
      </c>
      <c r="AJ2537" s="13" t="str">
        <f>VLOOKUP(E2537,Precios!Z$2:AA$941,2,FALSE)</f>
        <v>Bandeja Huevos EXTRA</v>
      </c>
      <c r="AK2537" s="14">
        <f>VLOOKUP(E2537,Precios!Z$2:BB$941,3,FALSE)*F2537</f>
        <v>-1</v>
      </c>
      <c r="AL2537" s="17"/>
      <c r="AM2537" s="17"/>
      <c r="AN2537" s="17"/>
      <c r="AO2537" s="17"/>
      <c r="AP2537" s="17"/>
      <c r="AQ2537" s="17"/>
      <c r="AR2537" s="17"/>
      <c r="AS2537" s="17"/>
      <c r="AT2537" s="17"/>
      <c r="AU2537" s="17"/>
      <c r="AV2537" s="17"/>
    </row>
    <row r="2538" spans="1:48" ht="15.75" customHeight="1">
      <c r="A2538" s="21" t="s">
        <v>43</v>
      </c>
      <c r="B2538" s="23" t="s">
        <v>1692</v>
      </c>
      <c r="C2538" s="22">
        <v>45742</v>
      </c>
      <c r="D2538" s="23" t="s">
        <v>572</v>
      </c>
      <c r="E2538" s="23" t="s">
        <v>45</v>
      </c>
      <c r="F2538" s="14">
        <v>1</v>
      </c>
      <c r="G2538" s="12">
        <v>8299.7854333055202</v>
      </c>
      <c r="H2538" s="12">
        <v>8299.7854333055202</v>
      </c>
      <c r="I2538" s="23" t="s">
        <v>52</v>
      </c>
      <c r="J2538" s="23" t="s">
        <v>61</v>
      </c>
      <c r="K2538" s="24" t="s">
        <v>177</v>
      </c>
      <c r="L2538" s="24">
        <v>118</v>
      </c>
      <c r="M2538" s="12">
        <v>6974.6096078197652</v>
      </c>
      <c r="N2538" s="12">
        <v>6974.6096078197652</v>
      </c>
      <c r="O2538" s="12">
        <v>1325.175825485755</v>
      </c>
      <c r="P2538" s="13"/>
      <c r="Q2538" s="14">
        <v>2025</v>
      </c>
      <c r="R2538" s="15">
        <v>45352</v>
      </c>
      <c r="S2538" s="11" t="s">
        <v>355</v>
      </c>
      <c r="T2538" s="16">
        <v>0</v>
      </c>
      <c r="U2538" s="17"/>
      <c r="V2538" s="12">
        <v>1123.6096078197643</v>
      </c>
      <c r="W2538" s="12">
        <v>1123.6096078197643</v>
      </c>
      <c r="X2538" s="12">
        <v>0</v>
      </c>
      <c r="Y2538" s="18">
        <v>45740</v>
      </c>
      <c r="Z2538" s="13" t="s">
        <v>515</v>
      </c>
      <c r="AA2538" s="19" t="str">
        <f>VLOOKUP(D2538,Clientes!$A$2:$J$486,9,FALSE)</f>
        <v>Ocacional</v>
      </c>
      <c r="AB2538" s="13" t="str">
        <f>VLOOKUP(D2538,Clientes!$A$2:$K$486,11,FALSE)</f>
        <v>Persona Natural</v>
      </c>
      <c r="AC2538" s="13" t="str">
        <f>VLOOKUP(D2538,Clientes!$A$2:$B$486,2,FALSE)</f>
        <v>Marcela Paz</v>
      </c>
      <c r="AD2538" s="20"/>
      <c r="AE2538" s="20"/>
      <c r="AF2538" s="13" t="s">
        <v>40</v>
      </c>
      <c r="AG2538" s="15">
        <v>45352</v>
      </c>
      <c r="AH2538" s="13" t="s">
        <v>41</v>
      </c>
      <c r="AI2538" s="13" t="s">
        <v>43</v>
      </c>
      <c r="AJ2538" s="13" t="str">
        <f>VLOOKUP(E2538,Precios!Z$2:AA$941,2,FALSE)</f>
        <v>Bandeja Huevos EXTRA</v>
      </c>
      <c r="AK2538" s="14">
        <f>VLOOKUP(E2538,Precios!Z$2:BB$941,3,FALSE)*F2538</f>
        <v>-1</v>
      </c>
      <c r="AL2538" s="17"/>
      <c r="AM2538" s="17"/>
      <c r="AN2538" s="17"/>
      <c r="AO2538" s="17"/>
      <c r="AP2538" s="17"/>
      <c r="AQ2538" s="17"/>
      <c r="AR2538" s="17"/>
      <c r="AS2538" s="17"/>
      <c r="AT2538" s="17"/>
      <c r="AU2538" s="17"/>
      <c r="AV2538" s="17"/>
    </row>
    <row r="2539" spans="1:48" ht="15.75" customHeight="1">
      <c r="A2539" s="21" t="s">
        <v>35</v>
      </c>
      <c r="B2539" s="23" t="s">
        <v>1692</v>
      </c>
      <c r="C2539" s="22">
        <v>45742</v>
      </c>
      <c r="D2539" s="23" t="s">
        <v>915</v>
      </c>
      <c r="E2539" s="23" t="s">
        <v>37</v>
      </c>
      <c r="F2539" s="14">
        <v>1</v>
      </c>
      <c r="G2539" s="12">
        <v>10500</v>
      </c>
      <c r="H2539" s="34">
        <v>10500</v>
      </c>
      <c r="I2539" s="13" t="s">
        <v>52</v>
      </c>
      <c r="J2539" s="23" t="s">
        <v>61</v>
      </c>
      <c r="K2539" s="24" t="s">
        <v>177</v>
      </c>
      <c r="L2539" s="24">
        <v>118</v>
      </c>
      <c r="M2539" s="12">
        <v>8823.5294117647063</v>
      </c>
      <c r="N2539" s="12">
        <v>8823.5294117647063</v>
      </c>
      <c r="O2539" s="12">
        <v>1676.4705882352937</v>
      </c>
      <c r="P2539" s="13"/>
      <c r="Q2539" s="14">
        <v>2025</v>
      </c>
      <c r="R2539" s="15">
        <v>45352</v>
      </c>
      <c r="S2539" s="11" t="s">
        <v>364</v>
      </c>
      <c r="T2539" s="16">
        <v>1000</v>
      </c>
      <c r="U2539" s="17"/>
      <c r="V2539" s="12">
        <v>2385.7142857142853</v>
      </c>
      <c r="W2539" s="12">
        <v>2385.7142857142853</v>
      </c>
      <c r="X2539" s="12">
        <v>0</v>
      </c>
      <c r="Y2539" s="18">
        <v>45740</v>
      </c>
      <c r="Z2539" s="13" t="s">
        <v>515</v>
      </c>
      <c r="AA2539" s="19" t="str">
        <f>VLOOKUP(D2539,Clientes!$A$2:$J$486,9,FALSE)</f>
        <v>Regular</v>
      </c>
      <c r="AB2539" s="13" t="str">
        <f>VLOOKUP(D2539,Clientes!$A$2:$K$486,11,FALSE)</f>
        <v>Persona Natural</v>
      </c>
      <c r="AC2539" s="13" t="str">
        <f>VLOOKUP(D2539,Clientes!$A$2:$B$486,2,FALSE)</f>
        <v>Jardin del Eden</v>
      </c>
      <c r="AD2539" s="20"/>
      <c r="AE2539" s="20"/>
      <c r="AF2539" s="13" t="s">
        <v>40</v>
      </c>
      <c r="AG2539" s="15">
        <v>45352</v>
      </c>
      <c r="AH2539" s="13" t="s">
        <v>41</v>
      </c>
      <c r="AI2539" s="13" t="s">
        <v>35</v>
      </c>
      <c r="AJ2539" s="13" t="str">
        <f>VLOOKUP(E2539,Precios!Z$2:AA$941,2,FALSE)</f>
        <v>Queso RUNCA Mantecoso</v>
      </c>
      <c r="AK2539" s="14">
        <f>VLOOKUP(E2539,Precios!Z$2:BB$941,3,FALSE)*F2539</f>
        <v>-1</v>
      </c>
      <c r="AL2539" s="17"/>
      <c r="AM2539" s="17"/>
      <c r="AN2539" s="17"/>
      <c r="AO2539" s="17"/>
      <c r="AP2539" s="17"/>
      <c r="AQ2539" s="17"/>
      <c r="AR2539" s="17"/>
      <c r="AS2539" s="17"/>
      <c r="AT2539" s="17"/>
      <c r="AU2539" s="17"/>
      <c r="AV2539" s="17"/>
    </row>
    <row r="2540" spans="1:48" ht="15.75" customHeight="1">
      <c r="A2540" s="21" t="s">
        <v>43</v>
      </c>
      <c r="B2540" s="23" t="s">
        <v>1692</v>
      </c>
      <c r="C2540" s="22">
        <v>45742</v>
      </c>
      <c r="D2540" s="23" t="s">
        <v>719</v>
      </c>
      <c r="E2540" s="23" t="s">
        <v>45</v>
      </c>
      <c r="F2540" s="14">
        <v>1</v>
      </c>
      <c r="G2540" s="12">
        <v>8299.7854333055202</v>
      </c>
      <c r="H2540" s="12">
        <v>8299.7854333055202</v>
      </c>
      <c r="I2540" s="13" t="s">
        <v>52</v>
      </c>
      <c r="J2540" s="23" t="s">
        <v>61</v>
      </c>
      <c r="K2540" s="24" t="s">
        <v>177</v>
      </c>
      <c r="L2540" s="24">
        <v>118</v>
      </c>
      <c r="M2540" s="12">
        <v>6974.6096078197652</v>
      </c>
      <c r="N2540" s="12">
        <v>6974.6096078197652</v>
      </c>
      <c r="O2540" s="12">
        <v>1325.175825485755</v>
      </c>
      <c r="P2540" s="13"/>
      <c r="Q2540" s="14">
        <v>2025</v>
      </c>
      <c r="R2540" s="15">
        <v>45352</v>
      </c>
      <c r="S2540" s="11" t="s">
        <v>355</v>
      </c>
      <c r="T2540" s="16">
        <v>0</v>
      </c>
      <c r="U2540" s="17"/>
      <c r="V2540" s="12">
        <v>1123.6096078197643</v>
      </c>
      <c r="W2540" s="12">
        <v>1123.6096078197643</v>
      </c>
      <c r="X2540" s="12">
        <v>0</v>
      </c>
      <c r="Y2540" s="18">
        <v>45740</v>
      </c>
      <c r="Z2540" s="13" t="s">
        <v>515</v>
      </c>
      <c r="AA2540" s="19" t="str">
        <f>VLOOKUP(D2540,Clientes!$A$2:$J$486,9,FALSE)</f>
        <v>Frecuente</v>
      </c>
      <c r="AB2540" s="13" t="str">
        <f>VLOOKUP(D2540,Clientes!$A$2:$K$486,11,FALSE)</f>
        <v>Persona Natural</v>
      </c>
      <c r="AC2540" s="13" t="str">
        <f>VLOOKUP(D2540,Clientes!$A$2:$B$486,2,FALSE)</f>
        <v>Sector Marcela Paz</v>
      </c>
      <c r="AD2540" s="20"/>
      <c r="AE2540" s="20"/>
      <c r="AF2540" s="13" t="s">
        <v>40</v>
      </c>
      <c r="AG2540" s="15">
        <v>45352</v>
      </c>
      <c r="AH2540" s="13" t="s">
        <v>41</v>
      </c>
      <c r="AI2540" s="13" t="s">
        <v>43</v>
      </c>
      <c r="AJ2540" s="13" t="str">
        <f>VLOOKUP(E2540,Precios!Z$2:AA$941,2,FALSE)</f>
        <v>Bandeja Huevos EXTRA</v>
      </c>
      <c r="AK2540" s="14">
        <f>VLOOKUP(E2540,Precios!Z$2:BB$941,3,FALSE)*F2540</f>
        <v>-1</v>
      </c>
      <c r="AL2540" s="17"/>
      <c r="AM2540" s="17"/>
      <c r="AN2540" s="17"/>
      <c r="AO2540" s="17"/>
      <c r="AP2540" s="17"/>
      <c r="AQ2540" s="17"/>
      <c r="AR2540" s="17"/>
      <c r="AS2540" s="17"/>
      <c r="AT2540" s="17"/>
      <c r="AU2540" s="17"/>
      <c r="AV2540" s="17"/>
    </row>
    <row r="2541" spans="1:48" ht="15.75" customHeight="1">
      <c r="A2541" s="21" t="s">
        <v>47</v>
      </c>
      <c r="B2541" s="23" t="s">
        <v>1692</v>
      </c>
      <c r="C2541" s="22">
        <v>45741</v>
      </c>
      <c r="D2541" s="23" t="s">
        <v>670</v>
      </c>
      <c r="E2541" s="23" t="s">
        <v>92</v>
      </c>
      <c r="F2541" s="21">
        <v>1</v>
      </c>
      <c r="G2541" s="12">
        <v>3400.2970989164628</v>
      </c>
      <c r="H2541" s="12">
        <v>3400.2970989164628</v>
      </c>
      <c r="I2541" s="23" t="s">
        <v>52</v>
      </c>
      <c r="J2541" s="23" t="s">
        <v>61</v>
      </c>
      <c r="K2541" s="24" t="s">
        <v>177</v>
      </c>
      <c r="L2541" s="24">
        <v>118</v>
      </c>
      <c r="M2541" s="12">
        <v>2857.3925200978679</v>
      </c>
      <c r="N2541" s="12">
        <v>2857.3925200978679</v>
      </c>
      <c r="O2541" s="12">
        <v>542.90457881859493</v>
      </c>
      <c r="P2541" s="13"/>
      <c r="Q2541" s="14">
        <v>2025</v>
      </c>
      <c r="R2541" s="15">
        <v>45352</v>
      </c>
      <c r="S2541" s="11" t="s">
        <v>453</v>
      </c>
      <c r="T2541" s="16">
        <v>0</v>
      </c>
      <c r="U2541" s="17"/>
      <c r="V2541" s="12">
        <v>1222.3925200978679</v>
      </c>
      <c r="W2541" s="12">
        <v>1222.3925200978679</v>
      </c>
      <c r="X2541" s="12">
        <v>0</v>
      </c>
      <c r="Y2541" s="18">
        <v>45740</v>
      </c>
      <c r="Z2541" s="13" t="s">
        <v>516</v>
      </c>
      <c r="AA2541" s="19" t="str">
        <f>VLOOKUP(D2541,Clientes!$A$2:$J$486,9,FALSE)</f>
        <v>Ocacional</v>
      </c>
      <c r="AB2541" s="13" t="str">
        <f>VLOOKUP(D2541,Clientes!$A$2:$K$486,11,FALSE)</f>
        <v>Persona Natural</v>
      </c>
      <c r="AC2541" s="13" t="str">
        <f>VLOOKUP(D2541,Clientes!$A$2:$B$486,2,FALSE)</f>
        <v>Jardines de la viña</v>
      </c>
      <c r="AD2541" s="20"/>
      <c r="AE2541" s="20"/>
      <c r="AF2541" s="13" t="s">
        <v>40</v>
      </c>
      <c r="AG2541" s="15">
        <v>45352</v>
      </c>
      <c r="AH2541" s="13" t="s">
        <v>41</v>
      </c>
      <c r="AI2541" s="13" t="s">
        <v>47</v>
      </c>
      <c r="AJ2541" s="13" t="str">
        <f>VLOOKUP(E2541,Precios!Z$2:AA$941,2,FALSE)</f>
        <v xml:space="preserve">Bolsas Basura TEDDY 70x90 </v>
      </c>
      <c r="AK2541" s="14">
        <f>VLOOKUP(E2541,Precios!Z$2:BB$941,3,FALSE)*F2541</f>
        <v>-3</v>
      </c>
      <c r="AL2541" s="17"/>
      <c r="AM2541" s="17"/>
      <c r="AN2541" s="17"/>
      <c r="AO2541" s="17"/>
      <c r="AP2541" s="17"/>
      <c r="AQ2541" s="17"/>
      <c r="AR2541" s="17"/>
      <c r="AS2541" s="17"/>
      <c r="AT2541" s="17"/>
      <c r="AU2541" s="17"/>
      <c r="AV2541" s="17"/>
    </row>
    <row r="2542" spans="1:48" ht="15.75" customHeight="1">
      <c r="A2542" s="21" t="s">
        <v>47</v>
      </c>
      <c r="B2542" s="23" t="s">
        <v>1692</v>
      </c>
      <c r="C2542" s="22">
        <v>45741</v>
      </c>
      <c r="D2542" s="23" t="s">
        <v>670</v>
      </c>
      <c r="E2542" s="23" t="s">
        <v>531</v>
      </c>
      <c r="F2542" s="21">
        <v>1</v>
      </c>
      <c r="G2542" s="12">
        <v>8699.5893440033688</v>
      </c>
      <c r="H2542" s="12">
        <v>8699.5893440033688</v>
      </c>
      <c r="I2542" s="23" t="s">
        <v>52</v>
      </c>
      <c r="J2542" s="23" t="s">
        <v>61</v>
      </c>
      <c r="K2542" s="24" t="s">
        <v>177</v>
      </c>
      <c r="L2542" s="24">
        <v>118</v>
      </c>
      <c r="M2542" s="12">
        <v>7310.5792806751006</v>
      </c>
      <c r="N2542" s="12">
        <v>7310.5792806751006</v>
      </c>
      <c r="O2542" s="12">
        <v>1389.0100633282682</v>
      </c>
      <c r="P2542" s="13"/>
      <c r="Q2542" s="14">
        <v>2025</v>
      </c>
      <c r="R2542" s="15">
        <v>45352</v>
      </c>
      <c r="S2542" s="11" t="s">
        <v>453</v>
      </c>
      <c r="T2542" s="16">
        <v>0</v>
      </c>
      <c r="U2542" s="17"/>
      <c r="V2542" s="12">
        <v>2450.5792806751006</v>
      </c>
      <c r="W2542" s="12">
        <v>2450.5792806751006</v>
      </c>
      <c r="X2542" s="12">
        <v>0</v>
      </c>
      <c r="Y2542" s="18">
        <v>45740</v>
      </c>
      <c r="Z2542" s="13" t="s">
        <v>516</v>
      </c>
      <c r="AA2542" s="19" t="str">
        <f>VLOOKUP(D2542,Clientes!$A$2:$J$486,9,FALSE)</f>
        <v>Ocacional</v>
      </c>
      <c r="AB2542" s="13" t="str">
        <f>VLOOKUP(D2542,Clientes!$A$2:$K$486,11,FALSE)</f>
        <v>Persona Natural</v>
      </c>
      <c r="AC2542" s="13" t="str">
        <f>VLOOKUP(D2542,Clientes!$A$2:$B$486,2,FALSE)</f>
        <v>Jardines de la viña</v>
      </c>
      <c r="AD2542" s="20"/>
      <c r="AE2542" s="20"/>
      <c r="AF2542" s="13" t="s">
        <v>40</v>
      </c>
      <c r="AG2542" s="15">
        <v>45352</v>
      </c>
      <c r="AH2542" s="13" t="s">
        <v>41</v>
      </c>
      <c r="AI2542" s="13" t="s">
        <v>47</v>
      </c>
      <c r="AJ2542" s="13" t="str">
        <f>VLOOKUP(E2542,Precios!Z$2:AA$941,2,FALSE)</f>
        <v xml:space="preserve">Bolsas Basura TEDDY 90x120 </v>
      </c>
      <c r="AK2542" s="14">
        <f>VLOOKUP(E2542,Precios!Z$2:BB$941,3,FALSE)*F2542</f>
        <v>-3</v>
      </c>
      <c r="AL2542" s="17"/>
      <c r="AM2542" s="17"/>
      <c r="AN2542" s="17"/>
      <c r="AO2542" s="17"/>
      <c r="AP2542" s="17"/>
      <c r="AQ2542" s="17"/>
      <c r="AR2542" s="17"/>
      <c r="AS2542" s="17"/>
      <c r="AT2542" s="17"/>
      <c r="AU2542" s="17"/>
      <c r="AV2542" s="17"/>
    </row>
    <row r="2543" spans="1:48" ht="15.75" customHeight="1">
      <c r="A2543" s="21" t="s">
        <v>53</v>
      </c>
      <c r="B2543" s="23" t="s">
        <v>1692</v>
      </c>
      <c r="C2543" s="22">
        <v>45741</v>
      </c>
      <c r="D2543" s="23" t="s">
        <v>158</v>
      </c>
      <c r="E2543" s="23" t="s">
        <v>162</v>
      </c>
      <c r="F2543" s="21">
        <v>3</v>
      </c>
      <c r="G2543" s="12">
        <v>9500.0304006809747</v>
      </c>
      <c r="H2543" s="12">
        <v>28500.091202042924</v>
      </c>
      <c r="I2543" s="23" t="s">
        <v>52</v>
      </c>
      <c r="J2543" s="23" t="s">
        <v>61</v>
      </c>
      <c r="K2543" s="24" t="s">
        <v>86</v>
      </c>
      <c r="L2543" s="24">
        <v>67</v>
      </c>
      <c r="M2543" s="12">
        <v>7983.2188241016602</v>
      </c>
      <c r="N2543" s="12">
        <v>23949.656472304978</v>
      </c>
      <c r="O2543" s="12">
        <v>4550.4347297379463</v>
      </c>
      <c r="P2543" s="13"/>
      <c r="Q2543" s="14">
        <v>2025</v>
      </c>
      <c r="R2543" s="15">
        <v>45352</v>
      </c>
      <c r="S2543" s="11" t="s">
        <v>437</v>
      </c>
      <c r="T2543" s="16">
        <v>0</v>
      </c>
      <c r="U2543" s="17"/>
      <c r="V2543" s="12">
        <v>8193.6564723049778</v>
      </c>
      <c r="W2543" s="12">
        <v>8193.6564723049778</v>
      </c>
      <c r="X2543" s="12">
        <v>0</v>
      </c>
      <c r="Y2543" s="18">
        <v>45740</v>
      </c>
      <c r="Z2543" s="13" t="s">
        <v>516</v>
      </c>
      <c r="AA2543" s="19" t="str">
        <f>VLOOKUP(D2543,Clientes!$A$2:$J$486,9,FALSE)</f>
        <v>Frecuente</v>
      </c>
      <c r="AB2543" s="13" t="str">
        <f>VLOOKUP(D2543,Clientes!$A$2:$K$486,11,FALSE)</f>
        <v>Empresa</v>
      </c>
      <c r="AC2543" s="13" t="str">
        <f>VLOOKUP(D2543,Clientes!$A$2:$B$486,2,FALSE)</f>
        <v>Departamental</v>
      </c>
      <c r="AD2543" s="20"/>
      <c r="AE2543" s="20"/>
      <c r="AF2543" s="13" t="s">
        <v>40</v>
      </c>
      <c r="AG2543" s="15">
        <v>45352</v>
      </c>
      <c r="AH2543" s="13" t="s">
        <v>41</v>
      </c>
      <c r="AI2543" s="13" t="s">
        <v>53</v>
      </c>
      <c r="AJ2543" s="13" t="str">
        <f>VLOOKUP(E2543,Precios!Z$2:AA$941,2,FALSE)</f>
        <v>Toalla Papel 250 metros dipensador</v>
      </c>
      <c r="AK2543" s="14">
        <f>VLOOKUP(E2543,Precios!Z$2:BB$941,3,FALSE)*F2543</f>
        <v>-3</v>
      </c>
      <c r="AL2543" s="17"/>
      <c r="AM2543" s="17"/>
      <c r="AN2543" s="17"/>
      <c r="AO2543" s="17"/>
      <c r="AP2543" s="17"/>
      <c r="AQ2543" s="17"/>
      <c r="AR2543" s="17"/>
      <c r="AS2543" s="17"/>
      <c r="AT2543" s="17"/>
      <c r="AU2543" s="17"/>
      <c r="AV2543" s="17"/>
    </row>
    <row r="2544" spans="1:48" ht="15.75" customHeight="1">
      <c r="A2544" s="21" t="s">
        <v>53</v>
      </c>
      <c r="B2544" s="23" t="s">
        <v>1692</v>
      </c>
      <c r="C2544" s="22">
        <v>45741</v>
      </c>
      <c r="D2544" s="23" t="s">
        <v>158</v>
      </c>
      <c r="E2544" s="23" t="s">
        <v>580</v>
      </c>
      <c r="F2544" s="21">
        <v>1</v>
      </c>
      <c r="G2544" s="12">
        <v>11499.993390876765</v>
      </c>
      <c r="H2544" s="12">
        <v>11499.993390876765</v>
      </c>
      <c r="I2544" s="23" t="s">
        <v>52</v>
      </c>
      <c r="J2544" s="23" t="s">
        <v>61</v>
      </c>
      <c r="K2544" s="24" t="s">
        <v>86</v>
      </c>
      <c r="L2544" s="24">
        <v>67</v>
      </c>
      <c r="M2544" s="12">
        <v>9663.8599923334168</v>
      </c>
      <c r="N2544" s="12">
        <v>9663.8599923334168</v>
      </c>
      <c r="O2544" s="12">
        <v>1836.1333985433484</v>
      </c>
      <c r="P2544" s="13"/>
      <c r="Q2544" s="14">
        <v>2025</v>
      </c>
      <c r="R2544" s="15">
        <v>45352</v>
      </c>
      <c r="S2544" s="11" t="s">
        <v>381</v>
      </c>
      <c r="T2544" s="16">
        <v>300</v>
      </c>
      <c r="U2544" s="17"/>
      <c r="V2544" s="12">
        <v>2352.8599923334168</v>
      </c>
      <c r="W2544" s="12">
        <v>2352.8599923334168</v>
      </c>
      <c r="X2544" s="12">
        <v>0</v>
      </c>
      <c r="Y2544" s="18">
        <v>45740</v>
      </c>
      <c r="Z2544" s="13" t="s">
        <v>516</v>
      </c>
      <c r="AA2544" s="19" t="str">
        <f>VLOOKUP(D2544,Clientes!$A$2:$J$486,9,FALSE)</f>
        <v>Frecuente</v>
      </c>
      <c r="AB2544" s="13" t="str">
        <f>VLOOKUP(D2544,Clientes!$A$2:$K$486,11,FALSE)</f>
        <v>Empresa</v>
      </c>
      <c r="AC2544" s="13" t="str">
        <f>VLOOKUP(D2544,Clientes!$A$2:$B$486,2,FALSE)</f>
        <v>Departamental</v>
      </c>
      <c r="AD2544" s="20"/>
      <c r="AE2544" s="20"/>
      <c r="AF2544" s="13" t="s">
        <v>40</v>
      </c>
      <c r="AG2544" s="15">
        <v>45352</v>
      </c>
      <c r="AH2544" s="13" t="s">
        <v>41</v>
      </c>
      <c r="AI2544" s="13" t="s">
        <v>53</v>
      </c>
      <c r="AJ2544" s="13" t="str">
        <f>VLOOKUP(E2544,Precios!Z$2:AA$941,2,FALSE)</f>
        <v>Servilletas SOFTQUALITY 300 unidades</v>
      </c>
      <c r="AK2544" s="14">
        <f>VLOOKUP(E2544,Precios!Z$2:BB$941,3,FALSE)*F2544</f>
        <v>-10</v>
      </c>
      <c r="AL2544" s="17"/>
      <c r="AM2544" s="17"/>
      <c r="AN2544" s="17"/>
      <c r="AO2544" s="17"/>
      <c r="AP2544" s="17"/>
      <c r="AQ2544" s="17"/>
      <c r="AR2544" s="17"/>
      <c r="AS2544" s="17"/>
      <c r="AT2544" s="17"/>
      <c r="AU2544" s="17"/>
      <c r="AV2544" s="17"/>
    </row>
    <row r="2545" spans="1:48" ht="15.75" customHeight="1">
      <c r="A2545" s="21" t="s">
        <v>53</v>
      </c>
      <c r="B2545" s="23" t="s">
        <v>1692</v>
      </c>
      <c r="C2545" s="22">
        <v>45741</v>
      </c>
      <c r="D2545" s="23" t="s">
        <v>158</v>
      </c>
      <c r="E2545" s="23" t="s">
        <v>163</v>
      </c>
      <c r="F2545" s="21">
        <v>1</v>
      </c>
      <c r="G2545" s="12">
        <v>18990</v>
      </c>
      <c r="H2545" s="12">
        <v>18990</v>
      </c>
      <c r="I2545" s="23" t="s">
        <v>52</v>
      </c>
      <c r="J2545" s="23" t="s">
        <v>61</v>
      </c>
      <c r="K2545" s="24" t="s">
        <v>86</v>
      </c>
      <c r="L2545" s="24">
        <v>67</v>
      </c>
      <c r="M2545" s="12">
        <v>15957.983193277312</v>
      </c>
      <c r="N2545" s="12">
        <v>15957.983193277312</v>
      </c>
      <c r="O2545" s="12">
        <v>3032.0168067226878</v>
      </c>
      <c r="P2545" s="13"/>
      <c r="Q2545" s="14">
        <v>2025</v>
      </c>
      <c r="R2545" s="15">
        <v>45352</v>
      </c>
      <c r="S2545" s="11" t="s">
        <v>435</v>
      </c>
      <c r="T2545" s="16">
        <v>0</v>
      </c>
      <c r="U2545" s="17"/>
      <c r="V2545" s="12">
        <v>4112.6050420168067</v>
      </c>
      <c r="W2545" s="12">
        <v>4112.6050420168067</v>
      </c>
      <c r="X2545" s="12">
        <v>0</v>
      </c>
      <c r="Y2545" s="18">
        <v>45740</v>
      </c>
      <c r="Z2545" s="13" t="s">
        <v>516</v>
      </c>
      <c r="AA2545" s="19" t="str">
        <f>VLOOKUP(D2545,Clientes!$A$2:$J$486,9,FALSE)</f>
        <v>Frecuente</v>
      </c>
      <c r="AB2545" s="13" t="str">
        <f>VLOOKUP(D2545,Clientes!$A$2:$K$486,11,FALSE)</f>
        <v>Empresa</v>
      </c>
      <c r="AC2545" s="13" t="str">
        <f>VLOOKUP(D2545,Clientes!$A$2:$B$486,2,FALSE)</f>
        <v>Departamental</v>
      </c>
      <c r="AD2545" s="20"/>
      <c r="AE2545" s="20"/>
      <c r="AF2545" s="13" t="s">
        <v>40</v>
      </c>
      <c r="AG2545" s="15">
        <v>45352</v>
      </c>
      <c r="AH2545" s="13" t="s">
        <v>41</v>
      </c>
      <c r="AI2545" s="13" t="s">
        <v>53</v>
      </c>
      <c r="AJ2545" s="13" t="str">
        <f>VLOOKUP(E2545,Precios!Z$2:AA$941,2,FALSE)</f>
        <v>Papel Higienico SWAN 50 metros</v>
      </c>
      <c r="AK2545" s="14">
        <f>VLOOKUP(E2545,Precios!Z$2:BB$941,3,FALSE)*F2545</f>
        <v>-8</v>
      </c>
      <c r="AL2545" s="17"/>
      <c r="AM2545" s="17"/>
      <c r="AN2545" s="17"/>
      <c r="AO2545" s="17"/>
      <c r="AP2545" s="17"/>
      <c r="AQ2545" s="17"/>
      <c r="AR2545" s="17"/>
      <c r="AS2545" s="17"/>
      <c r="AT2545" s="17"/>
      <c r="AU2545" s="17"/>
      <c r="AV2545" s="17"/>
    </row>
    <row r="2546" spans="1:48" ht="15.75" customHeight="1">
      <c r="A2546" s="21" t="s">
        <v>76</v>
      </c>
      <c r="B2546" s="23" t="s">
        <v>1692</v>
      </c>
      <c r="C2546" s="22">
        <v>45740</v>
      </c>
      <c r="D2546" s="23" t="s">
        <v>172</v>
      </c>
      <c r="E2546" s="23" t="s">
        <v>137</v>
      </c>
      <c r="F2546" s="21">
        <v>5</v>
      </c>
      <c r="G2546" s="12">
        <v>3500.0000000000005</v>
      </c>
      <c r="H2546" s="12">
        <v>17500.000000000004</v>
      </c>
      <c r="I2546" s="23" t="s">
        <v>52</v>
      </c>
      <c r="J2546" s="23" t="s">
        <v>61</v>
      </c>
      <c r="K2546" s="24" t="s">
        <v>177</v>
      </c>
      <c r="L2546" s="24">
        <v>118</v>
      </c>
      <c r="M2546" s="12">
        <v>2941.1764705882356</v>
      </c>
      <c r="N2546" s="12">
        <v>14705.88235294118</v>
      </c>
      <c r="O2546" s="12">
        <v>2794.1176470588234</v>
      </c>
      <c r="P2546" s="13"/>
      <c r="Q2546" s="14">
        <v>2025</v>
      </c>
      <c r="R2546" s="15">
        <v>45352</v>
      </c>
      <c r="S2546" s="11" t="s">
        <v>406</v>
      </c>
      <c r="T2546" s="16">
        <v>25</v>
      </c>
      <c r="U2546" s="17"/>
      <c r="V2546" s="12">
        <v>4243.6974789915985</v>
      </c>
      <c r="W2546" s="12">
        <v>4243.6974789915985</v>
      </c>
      <c r="X2546" s="12">
        <v>0</v>
      </c>
      <c r="Y2546" s="18">
        <v>45740</v>
      </c>
      <c r="Z2546" s="13" t="s">
        <v>523</v>
      </c>
      <c r="AA2546" s="19" t="str">
        <f>VLOOKUP(D2546,Clientes!$A$2:$J$486,9,FALSE)</f>
        <v>Frecuente</v>
      </c>
      <c r="AB2546" s="13" t="str">
        <f>VLOOKUP(D2546,Clientes!$A$2:$K$486,11,FALSE)</f>
        <v>Persona Natural</v>
      </c>
      <c r="AC2546" s="13" t="str">
        <f>VLOOKUP(D2546,Clientes!$A$2:$B$486,2,FALSE)</f>
        <v>Jardin del Eden</v>
      </c>
      <c r="AD2546" s="20"/>
      <c r="AE2546" s="20"/>
      <c r="AF2546" s="13" t="s">
        <v>40</v>
      </c>
      <c r="AG2546" s="15">
        <v>45352</v>
      </c>
      <c r="AH2546" s="13" t="s">
        <v>41</v>
      </c>
      <c r="AI2546" s="13" t="s">
        <v>76</v>
      </c>
      <c r="AJ2546" s="13" t="str">
        <f>VLOOKUP(E2546,Precios!Z$2:AA$941,2,FALSE)</f>
        <v>Detergente SPUM 5 Litros (Blanco)</v>
      </c>
      <c r="AK2546" s="14">
        <f>VLOOKUP(E2546,Precios!Z$2:BB$941,3,FALSE)*F2546</f>
        <v>-5</v>
      </c>
      <c r="AL2546" s="17"/>
      <c r="AM2546" s="17"/>
      <c r="AN2546" s="17"/>
      <c r="AO2546" s="17"/>
      <c r="AP2546" s="17"/>
      <c r="AQ2546" s="17"/>
      <c r="AR2546" s="17"/>
      <c r="AS2546" s="17"/>
      <c r="AT2546" s="17"/>
      <c r="AU2546" s="17"/>
      <c r="AV2546" s="17"/>
    </row>
    <row r="2547" spans="1:48" ht="15.75" customHeight="1">
      <c r="A2547" s="21" t="s">
        <v>53</v>
      </c>
      <c r="B2547" s="23" t="s">
        <v>1692</v>
      </c>
      <c r="C2547" s="22">
        <v>45740</v>
      </c>
      <c r="D2547" s="23" t="s">
        <v>172</v>
      </c>
      <c r="E2547" s="23" t="s">
        <v>55</v>
      </c>
      <c r="F2547" s="21">
        <v>1</v>
      </c>
      <c r="G2547" s="12">
        <v>19989.738327347361</v>
      </c>
      <c r="H2547" s="12">
        <v>19989.738327347361</v>
      </c>
      <c r="I2547" s="23" t="s">
        <v>52</v>
      </c>
      <c r="J2547" s="23" t="s">
        <v>61</v>
      </c>
      <c r="K2547" s="24" t="s">
        <v>177</v>
      </c>
      <c r="L2547" s="24">
        <v>118</v>
      </c>
      <c r="M2547" s="12">
        <v>16798.099434745684</v>
      </c>
      <c r="N2547" s="12">
        <v>16798.099434745684</v>
      </c>
      <c r="O2547" s="12">
        <v>3191.6388926016771</v>
      </c>
      <c r="P2547" s="13"/>
      <c r="Q2547" s="14">
        <v>2025</v>
      </c>
      <c r="R2547" s="15">
        <v>45352</v>
      </c>
      <c r="S2547" s="11" t="s">
        <v>366</v>
      </c>
      <c r="T2547" s="16">
        <v>0</v>
      </c>
      <c r="U2547" s="17"/>
      <c r="V2547" s="12">
        <v>3702.3011154179476</v>
      </c>
      <c r="W2547" s="12">
        <v>3702.3011154179476</v>
      </c>
      <c r="X2547" s="12">
        <v>0</v>
      </c>
      <c r="Y2547" s="18">
        <v>45740</v>
      </c>
      <c r="Z2547" s="13" t="s">
        <v>523</v>
      </c>
      <c r="AA2547" s="19" t="str">
        <f>VLOOKUP(D2547,Clientes!$A$2:$J$486,9,FALSE)</f>
        <v>Frecuente</v>
      </c>
      <c r="AB2547" s="13" t="str">
        <f>VLOOKUP(D2547,Clientes!$A$2:$K$486,11,FALSE)</f>
        <v>Persona Natural</v>
      </c>
      <c r="AC2547" s="13" t="str">
        <f>VLOOKUP(D2547,Clientes!$A$2:$B$486,2,FALSE)</f>
        <v>Jardin del Eden</v>
      </c>
      <c r="AD2547" s="20"/>
      <c r="AE2547" s="20"/>
      <c r="AF2547" s="13" t="s">
        <v>40</v>
      </c>
      <c r="AG2547" s="15">
        <v>45352</v>
      </c>
      <c r="AH2547" s="13" t="s">
        <v>41</v>
      </c>
      <c r="AI2547" s="13" t="s">
        <v>53</v>
      </c>
      <c r="AJ2547" s="13" t="str">
        <f>VLOOKUP(E2547,Precios!Z$2:AA$941,2,FALSE)</f>
        <v>Papel Higienico ELITE 50 metros</v>
      </c>
      <c r="AK2547" s="14">
        <f>VLOOKUP(E2547,Precios!Z$2:BB$941,3,FALSE)*F2547</f>
        <v>-8</v>
      </c>
      <c r="AL2547" s="17"/>
      <c r="AM2547" s="17"/>
      <c r="AN2547" s="17"/>
      <c r="AO2547" s="17"/>
      <c r="AP2547" s="17"/>
      <c r="AQ2547" s="17"/>
      <c r="AR2547" s="17"/>
      <c r="AS2547" s="17"/>
      <c r="AT2547" s="17"/>
      <c r="AU2547" s="17"/>
      <c r="AV2547" s="17"/>
    </row>
    <row r="2548" spans="1:48" ht="15.75" customHeight="1">
      <c r="A2548" s="21" t="s">
        <v>47</v>
      </c>
      <c r="B2548" s="23" t="s">
        <v>1692</v>
      </c>
      <c r="C2548" s="22">
        <v>45740</v>
      </c>
      <c r="D2548" s="23" t="s">
        <v>172</v>
      </c>
      <c r="E2548" s="23" t="s">
        <v>100</v>
      </c>
      <c r="F2548" s="21">
        <v>2</v>
      </c>
      <c r="G2548" s="12">
        <v>650.00000000000011</v>
      </c>
      <c r="H2548" s="12">
        <v>1300.0000000000002</v>
      </c>
      <c r="I2548" s="23" t="s">
        <v>52</v>
      </c>
      <c r="J2548" s="23" t="s">
        <v>61</v>
      </c>
      <c r="K2548" s="24" t="s">
        <v>177</v>
      </c>
      <c r="L2548" s="24">
        <v>118</v>
      </c>
      <c r="M2548" s="12">
        <v>546.21848739495806</v>
      </c>
      <c r="N2548" s="12">
        <v>1092.4369747899161</v>
      </c>
      <c r="O2548" s="12">
        <v>207.56302521008411</v>
      </c>
      <c r="P2548" s="13"/>
      <c r="Q2548" s="14">
        <v>2025</v>
      </c>
      <c r="R2548" s="15">
        <v>45352</v>
      </c>
      <c r="S2548" s="11" t="s">
        <v>453</v>
      </c>
      <c r="T2548" s="16">
        <v>0</v>
      </c>
      <c r="U2548" s="17"/>
      <c r="V2548" s="12">
        <v>462.18487394957992</v>
      </c>
      <c r="W2548" s="12">
        <v>462.18487394957992</v>
      </c>
      <c r="X2548" s="12">
        <v>0</v>
      </c>
      <c r="Y2548" s="18">
        <v>45740</v>
      </c>
      <c r="Z2548" s="13" t="s">
        <v>523</v>
      </c>
      <c r="AA2548" s="19" t="str">
        <f>VLOOKUP(D2548,Clientes!$A$2:$J$486,9,FALSE)</f>
        <v>Frecuente</v>
      </c>
      <c r="AB2548" s="13" t="str">
        <f>VLOOKUP(D2548,Clientes!$A$2:$K$486,11,FALSE)</f>
        <v>Persona Natural</v>
      </c>
      <c r="AC2548" s="13" t="str">
        <f>VLOOKUP(D2548,Clientes!$A$2:$B$486,2,FALSE)</f>
        <v>Jardin del Eden</v>
      </c>
      <c r="AD2548" s="20"/>
      <c r="AE2548" s="20"/>
      <c r="AF2548" s="13" t="s">
        <v>40</v>
      </c>
      <c r="AG2548" s="15">
        <v>45352</v>
      </c>
      <c r="AH2548" s="13" t="s">
        <v>41</v>
      </c>
      <c r="AI2548" s="13" t="s">
        <v>47</v>
      </c>
      <c r="AJ2548" s="13" t="str">
        <f>VLOOKUP(E2548,Precios!Z$2:AA$941,2,FALSE)</f>
        <v xml:space="preserve">Bolsas Basura TEDDY 50x70 </v>
      </c>
      <c r="AK2548" s="14">
        <f>VLOOKUP(E2548,Precios!Z$2:BB$941,3,FALSE)*F2548</f>
        <v>-2</v>
      </c>
      <c r="AL2548" s="17"/>
      <c r="AM2548" s="17"/>
      <c r="AN2548" s="17"/>
      <c r="AO2548" s="17"/>
      <c r="AP2548" s="17"/>
      <c r="AQ2548" s="17"/>
      <c r="AR2548" s="17"/>
      <c r="AS2548" s="17"/>
      <c r="AT2548" s="17"/>
      <c r="AU2548" s="17"/>
      <c r="AV2548" s="17"/>
    </row>
    <row r="2549" spans="1:48" ht="15.75" customHeight="1">
      <c r="A2549" s="21" t="s">
        <v>76</v>
      </c>
      <c r="B2549" s="23" t="s">
        <v>1692</v>
      </c>
      <c r="C2549" s="22">
        <v>45740</v>
      </c>
      <c r="D2549" s="23" t="s">
        <v>172</v>
      </c>
      <c r="E2549" s="23" t="s">
        <v>187</v>
      </c>
      <c r="F2549" s="21">
        <v>1</v>
      </c>
      <c r="G2549" s="12">
        <v>2699.9280057595392</v>
      </c>
      <c r="H2549" s="12">
        <v>2699.9280057595392</v>
      </c>
      <c r="I2549" s="23" t="s">
        <v>52</v>
      </c>
      <c r="J2549" s="23" t="s">
        <v>61</v>
      </c>
      <c r="K2549" s="24" t="s">
        <v>177</v>
      </c>
      <c r="L2549" s="24">
        <v>118</v>
      </c>
      <c r="M2549" s="12">
        <v>2268.8470636634784</v>
      </c>
      <c r="N2549" s="12">
        <v>2268.8470636634784</v>
      </c>
      <c r="O2549" s="12">
        <v>431.08094209606088</v>
      </c>
      <c r="P2549" s="13"/>
      <c r="Q2549" s="14">
        <v>2025</v>
      </c>
      <c r="R2549" s="15">
        <v>45352</v>
      </c>
      <c r="S2549" s="11" t="s">
        <v>479</v>
      </c>
      <c r="T2549" s="16">
        <v>0</v>
      </c>
      <c r="U2549" s="17"/>
      <c r="V2549" s="12">
        <v>798.18039699681162</v>
      </c>
      <c r="W2549" s="12">
        <v>798.18039699681162</v>
      </c>
      <c r="X2549" s="12">
        <v>0</v>
      </c>
      <c r="Y2549" s="18">
        <v>45740</v>
      </c>
      <c r="Z2549" s="13" t="s">
        <v>523</v>
      </c>
      <c r="AA2549" s="19" t="str">
        <f>VLOOKUP(D2549,Clientes!$A$2:$J$486,9,FALSE)</f>
        <v>Frecuente</v>
      </c>
      <c r="AB2549" s="13" t="str">
        <f>VLOOKUP(D2549,Clientes!$A$2:$K$486,11,FALSE)</f>
        <v>Persona Natural</v>
      </c>
      <c r="AC2549" s="13" t="str">
        <f>VLOOKUP(D2549,Clientes!$A$2:$B$486,2,FALSE)</f>
        <v>Jardin del Eden</v>
      </c>
      <c r="AD2549" s="20"/>
      <c r="AE2549" s="20"/>
      <c r="AF2549" s="13" t="s">
        <v>40</v>
      </c>
      <c r="AG2549" s="15">
        <v>45352</v>
      </c>
      <c r="AH2549" s="13" t="s">
        <v>41</v>
      </c>
      <c r="AI2549" s="13" t="s">
        <v>76</v>
      </c>
      <c r="AJ2549" s="13" t="str">
        <f>VLOOKUP(E2549,Precios!Z$2:AA$941,2,FALSE)</f>
        <v>Lavaloza WYN 1.5 Litros (recarga)</v>
      </c>
      <c r="AK2549" s="14">
        <f>VLOOKUP(E2549,Precios!Z$2:BB$941,3,FALSE)*F2549</f>
        <v>-1</v>
      </c>
      <c r="AL2549" s="17"/>
      <c r="AM2549" s="17"/>
      <c r="AN2549" s="17"/>
      <c r="AO2549" s="17"/>
      <c r="AP2549" s="17"/>
      <c r="AQ2549" s="17"/>
      <c r="AR2549" s="17"/>
      <c r="AS2549" s="17"/>
      <c r="AT2549" s="17"/>
      <c r="AU2549" s="17"/>
      <c r="AV2549" s="17"/>
    </row>
    <row r="2550" spans="1:48" ht="15.75" customHeight="1">
      <c r="A2550" s="21" t="s">
        <v>53</v>
      </c>
      <c r="B2550" s="23" t="s">
        <v>1692</v>
      </c>
      <c r="C2550" s="22">
        <v>45740</v>
      </c>
      <c r="D2550" s="23" t="s">
        <v>172</v>
      </c>
      <c r="E2550" s="23" t="s">
        <v>69</v>
      </c>
      <c r="F2550" s="21">
        <v>3</v>
      </c>
      <c r="G2550" s="12">
        <v>2999.9553810458683</v>
      </c>
      <c r="H2550" s="12">
        <v>8999.8661431376058</v>
      </c>
      <c r="I2550" s="23" t="s">
        <v>52</v>
      </c>
      <c r="J2550" s="23" t="s">
        <v>61</v>
      </c>
      <c r="K2550" s="24" t="s">
        <v>177</v>
      </c>
      <c r="L2550" s="24">
        <v>118</v>
      </c>
      <c r="M2550" s="12">
        <v>2520.9709084419064</v>
      </c>
      <c r="N2550" s="12">
        <v>7562.9127253257193</v>
      </c>
      <c r="O2550" s="12">
        <v>1436.9534178118865</v>
      </c>
      <c r="P2550" s="13"/>
      <c r="Q2550" s="14">
        <v>2025</v>
      </c>
      <c r="R2550" s="15">
        <v>45352</v>
      </c>
      <c r="S2550" s="11" t="s">
        <v>376</v>
      </c>
      <c r="T2550" s="16">
        <v>0</v>
      </c>
      <c r="U2550" s="17"/>
      <c r="V2550" s="12">
        <v>2477.9127253257179</v>
      </c>
      <c r="W2550" s="12">
        <v>2477.9127253257179</v>
      </c>
      <c r="X2550" s="12">
        <v>0</v>
      </c>
      <c r="Y2550" s="18">
        <v>45740</v>
      </c>
      <c r="Z2550" s="13" t="s">
        <v>523</v>
      </c>
      <c r="AA2550" s="19" t="str">
        <f>VLOOKUP(D2550,Clientes!$A$2:$J$486,9,FALSE)</f>
        <v>Frecuente</v>
      </c>
      <c r="AB2550" s="13" t="str">
        <f>VLOOKUP(D2550,Clientes!$A$2:$K$486,11,FALSE)</f>
        <v>Persona Natural</v>
      </c>
      <c r="AC2550" s="13" t="str">
        <f>VLOOKUP(D2550,Clientes!$A$2:$B$486,2,FALSE)</f>
        <v>Jardin del Eden</v>
      </c>
      <c r="AD2550" s="20"/>
      <c r="AE2550" s="20"/>
      <c r="AF2550" s="13" t="s">
        <v>40</v>
      </c>
      <c r="AG2550" s="15">
        <v>45352</v>
      </c>
      <c r="AH2550" s="13" t="s">
        <v>41</v>
      </c>
      <c r="AI2550" s="13" t="s">
        <v>53</v>
      </c>
      <c r="AJ2550" s="13" t="str">
        <f>VLOOKUP(E2550,Precios!Z$2:AA$941,2,FALSE)</f>
        <v>Toalla Papel NOVA 70 metros</v>
      </c>
      <c r="AK2550" s="14">
        <f>VLOOKUP(E2550,Precios!Z$2:BB$941,3,FALSE)*F2550</f>
        <v>-3</v>
      </c>
      <c r="AL2550" s="17"/>
      <c r="AM2550" s="17"/>
      <c r="AN2550" s="17"/>
      <c r="AO2550" s="17"/>
      <c r="AP2550" s="17"/>
      <c r="AQ2550" s="17"/>
      <c r="AR2550" s="17"/>
      <c r="AS2550" s="17"/>
      <c r="AT2550" s="17"/>
      <c r="AU2550" s="17"/>
      <c r="AV2550" s="17"/>
    </row>
    <row r="2551" spans="1:48" ht="15.75" customHeight="1">
      <c r="A2551" s="21" t="s">
        <v>47</v>
      </c>
      <c r="B2551" s="23" t="s">
        <v>1692</v>
      </c>
      <c r="C2551" s="22">
        <v>45740</v>
      </c>
      <c r="D2551" s="23" t="s">
        <v>172</v>
      </c>
      <c r="E2551" s="23" t="s">
        <v>336</v>
      </c>
      <c r="F2551" s="21">
        <v>1</v>
      </c>
      <c r="G2551" s="12">
        <v>2800</v>
      </c>
      <c r="H2551" s="12">
        <v>2800</v>
      </c>
      <c r="I2551" s="23" t="s">
        <v>52</v>
      </c>
      <c r="J2551" s="23" t="s">
        <v>61</v>
      </c>
      <c r="K2551" s="24" t="s">
        <v>177</v>
      </c>
      <c r="L2551" s="24">
        <v>118</v>
      </c>
      <c r="M2551" s="12">
        <v>2352.9411764705883</v>
      </c>
      <c r="N2551" s="12">
        <v>2352.9411764705883</v>
      </c>
      <c r="O2551" s="12">
        <v>447.05882352941171</v>
      </c>
      <c r="P2551" s="13"/>
      <c r="Q2551" s="14">
        <v>2025</v>
      </c>
      <c r="R2551" s="15">
        <v>45352</v>
      </c>
      <c r="S2551" s="11" t="s">
        <v>476</v>
      </c>
      <c r="T2551" s="16">
        <v>0</v>
      </c>
      <c r="U2551" s="17"/>
      <c r="V2551" s="12">
        <v>896.94117647058829</v>
      </c>
      <c r="W2551" s="12">
        <v>896.94117647058829</v>
      </c>
      <c r="X2551" s="12">
        <v>0</v>
      </c>
      <c r="Y2551" s="18">
        <v>45740</v>
      </c>
      <c r="Z2551" s="13" t="s">
        <v>523</v>
      </c>
      <c r="AA2551" s="19" t="str">
        <f>VLOOKUP(D2551,Clientes!$A$2:$J$486,9,FALSE)</f>
        <v>Frecuente</v>
      </c>
      <c r="AB2551" s="13" t="str">
        <f>VLOOKUP(D2551,Clientes!$A$2:$K$486,11,FALSE)</f>
        <v>Persona Natural</v>
      </c>
      <c r="AC2551" s="13" t="str">
        <f>VLOOKUP(D2551,Clientes!$A$2:$B$486,2,FALSE)</f>
        <v>Jardin del Eden</v>
      </c>
      <c r="AD2551" s="20"/>
      <c r="AE2551" s="20"/>
      <c r="AF2551" s="13" t="s">
        <v>40</v>
      </c>
      <c r="AG2551" s="15">
        <v>45352</v>
      </c>
      <c r="AH2551" s="13" t="s">
        <v>41</v>
      </c>
      <c r="AI2551" s="13" t="s">
        <v>47</v>
      </c>
      <c r="AJ2551" s="13" t="str">
        <f>VLOOKUP(E2551,Precios!Z$2:AA$941,2,FALSE)</f>
        <v>Ambiental Tubo TEDDY</v>
      </c>
      <c r="AK2551" s="14">
        <f>VLOOKUP(E2551,Precios!Z$2:BB$941,3,FALSE)*F2551</f>
        <v>-2</v>
      </c>
      <c r="AL2551" s="17"/>
      <c r="AM2551" s="17"/>
      <c r="AN2551" s="17"/>
      <c r="AO2551" s="17"/>
      <c r="AP2551" s="17"/>
      <c r="AQ2551" s="17"/>
      <c r="AR2551" s="17"/>
      <c r="AS2551" s="17"/>
      <c r="AT2551" s="17"/>
      <c r="AU2551" s="17"/>
      <c r="AV2551" s="17"/>
    </row>
    <row r="2552" spans="1:48" ht="15.75" customHeight="1">
      <c r="A2552" s="21" t="s">
        <v>76</v>
      </c>
      <c r="B2552" s="23" t="s">
        <v>1692</v>
      </c>
      <c r="C2552" s="22">
        <v>45740</v>
      </c>
      <c r="D2552" s="23" t="s">
        <v>172</v>
      </c>
      <c r="E2552" s="23" t="s">
        <v>212</v>
      </c>
      <c r="F2552" s="21">
        <v>1</v>
      </c>
      <c r="G2552" s="12">
        <v>3000.0000000000005</v>
      </c>
      <c r="H2552" s="12">
        <v>3000.0000000000005</v>
      </c>
      <c r="I2552" s="23" t="s">
        <v>52</v>
      </c>
      <c r="J2552" s="23" t="s">
        <v>61</v>
      </c>
      <c r="K2552" s="24" t="s">
        <v>177</v>
      </c>
      <c r="L2552" s="24">
        <v>118</v>
      </c>
      <c r="M2552" s="12">
        <v>2521.0084033613452</v>
      </c>
      <c r="N2552" s="12">
        <v>2521.0084033613452</v>
      </c>
      <c r="O2552" s="12">
        <v>478.99159663865521</v>
      </c>
      <c r="P2552" s="13"/>
      <c r="Q2552" s="14">
        <v>2025</v>
      </c>
      <c r="R2552" s="15">
        <v>45352</v>
      </c>
      <c r="S2552" s="11" t="s">
        <v>446</v>
      </c>
      <c r="T2552" s="16">
        <v>5</v>
      </c>
      <c r="U2552" s="17"/>
      <c r="V2552" s="12">
        <v>764.70588235294144</v>
      </c>
      <c r="W2552" s="12">
        <v>764.70588235294144</v>
      </c>
      <c r="X2552" s="12">
        <v>0</v>
      </c>
      <c r="Y2552" s="18">
        <v>45740</v>
      </c>
      <c r="Z2552" s="13" t="s">
        <v>523</v>
      </c>
      <c r="AA2552" s="19" t="str">
        <f>VLOOKUP(D2552,Clientes!$A$2:$J$486,9,FALSE)</f>
        <v>Frecuente</v>
      </c>
      <c r="AB2552" s="13" t="str">
        <f>VLOOKUP(D2552,Clientes!$A$2:$K$486,11,FALSE)</f>
        <v>Persona Natural</v>
      </c>
      <c r="AC2552" s="13" t="str">
        <f>VLOOKUP(D2552,Clientes!$A$2:$B$486,2,FALSE)</f>
        <v>Jardin del Eden</v>
      </c>
      <c r="AD2552" s="20"/>
      <c r="AE2552" s="20"/>
      <c r="AF2552" s="13" t="s">
        <v>40</v>
      </c>
      <c r="AG2552" s="15">
        <v>45352</v>
      </c>
      <c r="AH2552" s="13" t="s">
        <v>41</v>
      </c>
      <c r="AI2552" s="13" t="s">
        <v>76</v>
      </c>
      <c r="AJ2552" s="13" t="str">
        <f>VLOOKUP(E2552,Precios!Z$2:AA$941,2,FALSE)</f>
        <v>Suavizante SPUM 5 Litros</v>
      </c>
      <c r="AK2552" s="14">
        <f>VLOOKUP(E2552,Precios!Z$2:BB$941,3,FALSE)*F2552</f>
        <v>-1</v>
      </c>
      <c r="AL2552" s="17"/>
      <c r="AM2552" s="17"/>
      <c r="AN2552" s="17"/>
      <c r="AO2552" s="17"/>
      <c r="AP2552" s="17"/>
      <c r="AQ2552" s="17"/>
      <c r="AR2552" s="17"/>
      <c r="AS2552" s="17"/>
      <c r="AT2552" s="17"/>
      <c r="AU2552" s="17"/>
      <c r="AV2552" s="17"/>
    </row>
    <row r="2553" spans="1:48" ht="15.75" customHeight="1">
      <c r="A2553" s="21" t="s">
        <v>35</v>
      </c>
      <c r="B2553" s="23" t="s">
        <v>1692</v>
      </c>
      <c r="C2553" s="25">
        <v>45739</v>
      </c>
      <c r="D2553" s="23" t="s">
        <v>915</v>
      </c>
      <c r="E2553" s="23" t="s">
        <v>46</v>
      </c>
      <c r="F2553" s="21">
        <v>1</v>
      </c>
      <c r="G2553" s="12">
        <v>5500</v>
      </c>
      <c r="H2553" s="34">
        <v>5500</v>
      </c>
      <c r="I2553" s="23" t="s">
        <v>52</v>
      </c>
      <c r="J2553" s="23" t="s">
        <v>61</v>
      </c>
      <c r="K2553" s="24" t="s">
        <v>177</v>
      </c>
      <c r="L2553" s="24">
        <v>118</v>
      </c>
      <c r="M2553" s="12">
        <v>4621.8487394957983</v>
      </c>
      <c r="N2553" s="12">
        <v>4621.8487394957983</v>
      </c>
      <c r="O2553" s="12">
        <v>878.15126050420167</v>
      </c>
      <c r="P2553" s="13"/>
      <c r="Q2553" s="14">
        <v>2025</v>
      </c>
      <c r="R2553" s="15">
        <v>45352</v>
      </c>
      <c r="S2553" s="11" t="s">
        <v>364</v>
      </c>
      <c r="T2553" s="16">
        <v>500</v>
      </c>
      <c r="U2553" s="17"/>
      <c r="V2553" s="12">
        <v>1365.1260504201678</v>
      </c>
      <c r="W2553" s="12">
        <v>1365.1260504201678</v>
      </c>
      <c r="X2553" s="12">
        <v>0</v>
      </c>
      <c r="Y2553" s="18">
        <v>45733</v>
      </c>
      <c r="Z2553" s="13" t="s">
        <v>497</v>
      </c>
      <c r="AA2553" s="19" t="str">
        <f>VLOOKUP(D2553,Clientes!$A$2:$J$486,9,FALSE)</f>
        <v>Regular</v>
      </c>
      <c r="AB2553" s="13" t="str">
        <f>VLOOKUP(D2553,Clientes!$A$2:$K$486,11,FALSE)</f>
        <v>Persona Natural</v>
      </c>
      <c r="AC2553" s="13" t="str">
        <f>VLOOKUP(D2553,Clientes!$A$2:$B$486,2,FALSE)</f>
        <v>Jardin del Eden</v>
      </c>
      <c r="AD2553" s="20"/>
      <c r="AE2553" s="20"/>
      <c r="AF2553" s="13" t="s">
        <v>40</v>
      </c>
      <c r="AG2553" s="15">
        <v>45352</v>
      </c>
      <c r="AH2553" s="13" t="s">
        <v>41</v>
      </c>
      <c r="AI2553" s="13" t="s">
        <v>35</v>
      </c>
      <c r="AJ2553" s="13" t="str">
        <f>VLOOKUP(E2553,Precios!Z$2:AA$941,2,FALSE)</f>
        <v>Queso RUNCA Mantecoso</v>
      </c>
      <c r="AK2553" s="14">
        <f>VLOOKUP(E2553,Precios!Z$2:BB$941,3,FALSE)*F2553</f>
        <v>-0.5</v>
      </c>
      <c r="AL2553" s="17"/>
      <c r="AM2553" s="17"/>
      <c r="AN2553" s="17"/>
      <c r="AO2553" s="17"/>
      <c r="AP2553" s="17"/>
      <c r="AQ2553" s="17"/>
      <c r="AR2553" s="17"/>
      <c r="AS2553" s="17"/>
      <c r="AT2553" s="17"/>
      <c r="AU2553" s="17"/>
      <c r="AV2553" s="17"/>
    </row>
    <row r="2554" spans="1:48" ht="15.75" customHeight="1">
      <c r="A2554" s="21" t="s">
        <v>47</v>
      </c>
      <c r="B2554" s="23" t="s">
        <v>1692</v>
      </c>
      <c r="C2554" s="25">
        <v>45739</v>
      </c>
      <c r="D2554" s="23" t="s">
        <v>285</v>
      </c>
      <c r="E2554" s="23" t="s">
        <v>305</v>
      </c>
      <c r="F2554" s="21">
        <v>3</v>
      </c>
      <c r="G2554" s="12">
        <v>2999.9015263417036</v>
      </c>
      <c r="H2554" s="12">
        <v>8999.7045790251104</v>
      </c>
      <c r="I2554" s="23" t="s">
        <v>52</v>
      </c>
      <c r="J2554" s="23" t="s">
        <v>61</v>
      </c>
      <c r="K2554" s="24" t="s">
        <v>177</v>
      </c>
      <c r="L2554" s="24">
        <v>118</v>
      </c>
      <c r="M2554" s="12">
        <v>2520.9256523879862</v>
      </c>
      <c r="N2554" s="12">
        <v>7562.7769571639583</v>
      </c>
      <c r="O2554" s="12">
        <v>1436.9276218611521</v>
      </c>
      <c r="P2554" s="13"/>
      <c r="Q2554" s="14">
        <v>2025</v>
      </c>
      <c r="R2554" s="15">
        <v>45352</v>
      </c>
      <c r="S2554" s="11" t="s">
        <v>600</v>
      </c>
      <c r="T2554" s="16">
        <v>0</v>
      </c>
      <c r="U2554" s="17"/>
      <c r="V2554" s="12">
        <v>2954.7769571639587</v>
      </c>
      <c r="W2554" s="12">
        <v>2954.7769571639587</v>
      </c>
      <c r="X2554" s="12">
        <v>0</v>
      </c>
      <c r="Y2554" s="18">
        <v>45733</v>
      </c>
      <c r="Z2554" s="13" t="s">
        <v>497</v>
      </c>
      <c r="AA2554" s="19" t="str">
        <f>VLOOKUP(D2554,Clientes!$A$2:$J$486,9,FALSE)</f>
        <v>Familiar</v>
      </c>
      <c r="AB2554" s="13" t="str">
        <f>VLOOKUP(D2554,Clientes!$A$2:$K$486,11,FALSE)</f>
        <v>Persona Natural</v>
      </c>
      <c r="AC2554" s="13" t="str">
        <f>VLOOKUP(D2554,Clientes!$A$2:$B$486,2,FALSE)</f>
        <v>Familiar</v>
      </c>
      <c r="AD2554" s="20"/>
      <c r="AE2554" s="20"/>
      <c r="AF2554" s="13" t="s">
        <v>40</v>
      </c>
      <c r="AG2554" s="15">
        <v>45352</v>
      </c>
      <c r="AH2554" s="13" t="s">
        <v>41</v>
      </c>
      <c r="AI2554" s="13" t="s">
        <v>47</v>
      </c>
      <c r="AJ2554" s="13" t="str">
        <f>VLOOKUP(E2554,Precios!Z$2:AA$941,2,FALSE)</f>
        <v>Toallas Humedas Bebé TEDDY 80 unidades</v>
      </c>
      <c r="AK2554" s="14">
        <f>VLOOKUP(E2554,Precios!Z$2:BB$941,3,FALSE)*F2554</f>
        <v>-6</v>
      </c>
      <c r="AL2554" s="17"/>
      <c r="AM2554" s="17"/>
      <c r="AN2554" s="17"/>
      <c r="AO2554" s="17"/>
      <c r="AP2554" s="17"/>
      <c r="AQ2554" s="17"/>
      <c r="AR2554" s="17"/>
      <c r="AS2554" s="17"/>
      <c r="AT2554" s="17"/>
      <c r="AU2554" s="17"/>
      <c r="AV2554" s="17"/>
    </row>
    <row r="2555" spans="1:48" ht="15.75" customHeight="1">
      <c r="A2555" s="21" t="s">
        <v>53</v>
      </c>
      <c r="B2555" s="23" t="s">
        <v>1692</v>
      </c>
      <c r="C2555" s="25">
        <v>45739</v>
      </c>
      <c r="D2555" s="23" t="s">
        <v>68</v>
      </c>
      <c r="E2555" s="23" t="s">
        <v>70</v>
      </c>
      <c r="F2555" s="14">
        <v>1</v>
      </c>
      <c r="G2555" s="12">
        <v>5000.3257328990221</v>
      </c>
      <c r="H2555" s="12">
        <v>5000.3257328990221</v>
      </c>
      <c r="I2555" s="23" t="s">
        <v>52</v>
      </c>
      <c r="J2555" s="23" t="s">
        <v>61</v>
      </c>
      <c r="K2555" s="24" t="s">
        <v>86</v>
      </c>
      <c r="L2555" s="24">
        <v>68</v>
      </c>
      <c r="M2555" s="12">
        <v>4201.9543973941363</v>
      </c>
      <c r="N2555" s="12">
        <v>4201.9543973941363</v>
      </c>
      <c r="O2555" s="12">
        <v>798.37133550488579</v>
      </c>
      <c r="P2555" s="13"/>
      <c r="Q2555" s="14">
        <v>2025</v>
      </c>
      <c r="R2555" s="15">
        <v>45352</v>
      </c>
      <c r="S2555" s="11" t="s">
        <v>381</v>
      </c>
      <c r="T2555" s="16">
        <v>300</v>
      </c>
      <c r="U2555" s="17"/>
      <c r="V2555" s="12">
        <v>2008.9543973941363</v>
      </c>
      <c r="W2555" s="12">
        <v>2008.9543973941363</v>
      </c>
      <c r="X2555" s="12">
        <v>0</v>
      </c>
      <c r="Y2555" s="18">
        <v>45733</v>
      </c>
      <c r="Z2555" s="13" t="s">
        <v>497</v>
      </c>
      <c r="AA2555" s="19" t="str">
        <f>VLOOKUP(D2555,Clientes!$A$2:$J$486,9,FALSE)</f>
        <v>Frecuente</v>
      </c>
      <c r="AB2555" s="13" t="str">
        <f>VLOOKUP(D2555,Clientes!$A$2:$K$486,11,FALSE)</f>
        <v>Empresa</v>
      </c>
      <c r="AC2555" s="13" t="str">
        <f>VLOOKUP(D2555,Clientes!$A$2:$B$486,2,FALSE)</f>
        <v>Jardines de la viña</v>
      </c>
      <c r="AD2555" s="20"/>
      <c r="AE2555" s="20"/>
      <c r="AF2555" s="13" t="s">
        <v>40</v>
      </c>
      <c r="AG2555" s="15">
        <v>45352</v>
      </c>
      <c r="AH2555" s="13" t="s">
        <v>41</v>
      </c>
      <c r="AI2555" s="13" t="s">
        <v>53</v>
      </c>
      <c r="AJ2555" s="13" t="str">
        <f>VLOOKUP(E2555,Precios!Z$2:AA$941,2,FALSE)</f>
        <v>Servilletas SOFTQUALITY 300 unidades</v>
      </c>
      <c r="AK2555" s="14">
        <f>VLOOKUP(E2555,Precios!Z$2:BB$941,3,FALSE)*F2555</f>
        <v>-3</v>
      </c>
      <c r="AL2555" s="17"/>
      <c r="AM2555" s="17"/>
      <c r="AN2555" s="17"/>
      <c r="AO2555" s="17"/>
      <c r="AP2555" s="17"/>
      <c r="AQ2555" s="17"/>
      <c r="AR2555" s="17"/>
      <c r="AS2555" s="17"/>
      <c r="AT2555" s="17"/>
      <c r="AU2555" s="17"/>
      <c r="AV2555" s="17"/>
    </row>
    <row r="2556" spans="1:48" ht="15.75" customHeight="1">
      <c r="A2556" s="21" t="s">
        <v>53</v>
      </c>
      <c r="B2556" s="23" t="s">
        <v>1692</v>
      </c>
      <c r="C2556" s="25">
        <v>45739</v>
      </c>
      <c r="D2556" s="23" t="s">
        <v>68</v>
      </c>
      <c r="E2556" s="23" t="s">
        <v>109</v>
      </c>
      <c r="F2556" s="14">
        <v>1</v>
      </c>
      <c r="G2556" s="12">
        <v>10000</v>
      </c>
      <c r="H2556" s="12">
        <v>10000</v>
      </c>
      <c r="I2556" s="23" t="s">
        <v>52</v>
      </c>
      <c r="J2556" s="23" t="s">
        <v>61</v>
      </c>
      <c r="K2556" s="24" t="s">
        <v>86</v>
      </c>
      <c r="L2556" s="24">
        <v>68</v>
      </c>
      <c r="M2556" s="12">
        <v>8403.361344537816</v>
      </c>
      <c r="N2556" s="12">
        <v>8403.361344537816</v>
      </c>
      <c r="O2556" s="12">
        <v>1596.638655462184</v>
      </c>
      <c r="P2556" s="13"/>
      <c r="Q2556" s="14">
        <v>2025</v>
      </c>
      <c r="R2556" s="15">
        <v>45352</v>
      </c>
      <c r="S2556" s="11" t="s">
        <v>395</v>
      </c>
      <c r="T2556" s="16">
        <v>400</v>
      </c>
      <c r="U2556" s="17"/>
      <c r="V2556" s="12">
        <v>2100.8403361344544</v>
      </c>
      <c r="W2556" s="12">
        <v>2100.8403361344544</v>
      </c>
      <c r="X2556" s="12">
        <v>0</v>
      </c>
      <c r="Y2556" s="18">
        <v>45733</v>
      </c>
      <c r="Z2556" s="13" t="s">
        <v>497</v>
      </c>
      <c r="AA2556" s="19" t="str">
        <f>VLOOKUP(D2556,Clientes!$A$2:$J$486,9,FALSE)</f>
        <v>Frecuente</v>
      </c>
      <c r="AB2556" s="13" t="str">
        <f>VLOOKUP(D2556,Clientes!$A$2:$K$486,11,FALSE)</f>
        <v>Empresa</v>
      </c>
      <c r="AC2556" s="13" t="str">
        <f>VLOOKUP(D2556,Clientes!$A$2:$B$486,2,FALSE)</f>
        <v>Jardines de la viña</v>
      </c>
      <c r="AD2556" s="20"/>
      <c r="AE2556" s="20"/>
      <c r="AF2556" s="13" t="s">
        <v>40</v>
      </c>
      <c r="AG2556" s="15">
        <v>45352</v>
      </c>
      <c r="AH2556" s="13" t="s">
        <v>41</v>
      </c>
      <c r="AI2556" s="13" t="s">
        <v>53</v>
      </c>
      <c r="AJ2556" s="13" t="str">
        <f>VLOOKUP(E2556,Precios!Z$2:AA$941,2,FALSE)</f>
        <v>Toalla Papel SPUM D/H 100 metros</v>
      </c>
      <c r="AK2556" s="14">
        <f>VLOOKUP(E2556,Precios!Z$2:BB$941,3,FALSE)*F2556</f>
        <v>-4</v>
      </c>
      <c r="AL2556" s="17"/>
      <c r="AM2556" s="17"/>
      <c r="AN2556" s="17"/>
      <c r="AO2556" s="17"/>
      <c r="AP2556" s="17"/>
      <c r="AQ2556" s="17"/>
      <c r="AR2556" s="17"/>
      <c r="AS2556" s="17"/>
      <c r="AT2556" s="17"/>
      <c r="AU2556" s="17"/>
      <c r="AV2556" s="17"/>
    </row>
    <row r="2557" spans="1:48" ht="15.75" customHeight="1">
      <c r="A2557" s="21" t="s">
        <v>76</v>
      </c>
      <c r="B2557" s="23" t="s">
        <v>1692</v>
      </c>
      <c r="C2557" s="25">
        <v>45739</v>
      </c>
      <c r="D2557" s="23" t="s">
        <v>215</v>
      </c>
      <c r="E2557" s="23" t="s">
        <v>216</v>
      </c>
      <c r="F2557" s="14">
        <v>1</v>
      </c>
      <c r="G2557" s="12">
        <v>4300</v>
      </c>
      <c r="H2557" s="12">
        <v>4300</v>
      </c>
      <c r="I2557" s="23" t="s">
        <v>52</v>
      </c>
      <c r="J2557" s="23" t="s">
        <v>61</v>
      </c>
      <c r="K2557" s="24" t="s">
        <v>177</v>
      </c>
      <c r="L2557" s="24">
        <v>118</v>
      </c>
      <c r="M2557" s="12">
        <v>3613.4453781512607</v>
      </c>
      <c r="N2557" s="12">
        <v>3613.4453781512607</v>
      </c>
      <c r="O2557" s="12">
        <v>686.55462184873932</v>
      </c>
      <c r="P2557" s="13"/>
      <c r="Q2557" s="14">
        <v>2025</v>
      </c>
      <c r="R2557" s="15">
        <v>45352</v>
      </c>
      <c r="S2557" s="11" t="s">
        <v>479</v>
      </c>
      <c r="T2557" s="16">
        <v>5</v>
      </c>
      <c r="U2557" s="17"/>
      <c r="V2557" s="12">
        <v>1134.453781512605</v>
      </c>
      <c r="W2557" s="12">
        <v>1134.453781512605</v>
      </c>
      <c r="X2557" s="12">
        <v>0</v>
      </c>
      <c r="Y2557" s="18">
        <v>45733</v>
      </c>
      <c r="Z2557" s="13" t="s">
        <v>497</v>
      </c>
      <c r="AA2557" s="19" t="str">
        <f>VLOOKUP(D2557,Clientes!$A$2:$J$486,9,FALSE)</f>
        <v>Ocacional</v>
      </c>
      <c r="AB2557" s="13" t="str">
        <f>VLOOKUP(D2557,Clientes!$A$2:$K$486,11,FALSE)</f>
        <v>Persona Natural</v>
      </c>
      <c r="AC2557" s="13" t="str">
        <f>VLOOKUP(D2557,Clientes!$A$2:$B$486,2,FALSE)</f>
        <v>Palena</v>
      </c>
      <c r="AD2557" s="20"/>
      <c r="AE2557" s="20"/>
      <c r="AF2557" s="13" t="s">
        <v>40</v>
      </c>
      <c r="AG2557" s="15">
        <v>45352</v>
      </c>
      <c r="AH2557" s="13" t="s">
        <v>41</v>
      </c>
      <c r="AI2557" s="13" t="s">
        <v>76</v>
      </c>
      <c r="AJ2557" s="13" t="str">
        <f>VLOOKUP(E2557,Precios!Z$2:AA$941,2,FALSE)</f>
        <v>Lavaloza SPUM 5 Litros</v>
      </c>
      <c r="AK2557" s="14">
        <f>VLOOKUP(E2557,Precios!Z$2:BB$941,3,FALSE)*F2557</f>
        <v>-1</v>
      </c>
      <c r="AL2557" s="17"/>
      <c r="AM2557" s="17"/>
      <c r="AN2557" s="17"/>
      <c r="AO2557" s="17"/>
      <c r="AP2557" s="17"/>
      <c r="AQ2557" s="17"/>
      <c r="AR2557" s="17"/>
      <c r="AS2557" s="17"/>
      <c r="AT2557" s="17"/>
      <c r="AU2557" s="17"/>
      <c r="AV2557" s="17"/>
    </row>
    <row r="2558" spans="1:48" ht="15.75" customHeight="1">
      <c r="A2558" s="21" t="s">
        <v>53</v>
      </c>
      <c r="B2558" s="23" t="s">
        <v>1692</v>
      </c>
      <c r="C2558" s="25">
        <v>45739</v>
      </c>
      <c r="D2558" s="23" t="s">
        <v>215</v>
      </c>
      <c r="E2558" s="23" t="s">
        <v>287</v>
      </c>
      <c r="F2558" s="14">
        <v>1</v>
      </c>
      <c r="G2558" s="12">
        <v>3500.0000000000005</v>
      </c>
      <c r="H2558" s="12">
        <v>3500.0000000000005</v>
      </c>
      <c r="I2558" s="23" t="s">
        <v>52</v>
      </c>
      <c r="J2558" s="23" t="s">
        <v>61</v>
      </c>
      <c r="K2558" s="24" t="s">
        <v>177</v>
      </c>
      <c r="L2558" s="24">
        <v>118</v>
      </c>
      <c r="M2558" s="12">
        <v>2941.1764705882356</v>
      </c>
      <c r="N2558" s="12">
        <v>2941.1764705882356</v>
      </c>
      <c r="O2558" s="12">
        <v>558.82352941176487</v>
      </c>
      <c r="P2558" s="13"/>
      <c r="Q2558" s="14">
        <v>2025</v>
      </c>
      <c r="R2558" s="15">
        <v>45352</v>
      </c>
      <c r="S2558" s="11" t="s">
        <v>366</v>
      </c>
      <c r="T2558" s="16">
        <v>0</v>
      </c>
      <c r="U2558" s="17"/>
      <c r="V2558" s="12">
        <v>1304.201680672269</v>
      </c>
      <c r="W2558" s="12">
        <v>1304.201680672269</v>
      </c>
      <c r="X2558" s="12">
        <v>0</v>
      </c>
      <c r="Y2558" s="18">
        <v>45733</v>
      </c>
      <c r="Z2558" s="13" t="s">
        <v>497</v>
      </c>
      <c r="AA2558" s="19" t="str">
        <f>VLOOKUP(D2558,Clientes!$A$2:$J$486,9,FALSE)</f>
        <v>Ocacional</v>
      </c>
      <c r="AB2558" s="13" t="str">
        <f>VLOOKUP(D2558,Clientes!$A$2:$K$486,11,FALSE)</f>
        <v>Persona Natural</v>
      </c>
      <c r="AC2558" s="13" t="str">
        <f>VLOOKUP(D2558,Clientes!$A$2:$B$486,2,FALSE)</f>
        <v>Palena</v>
      </c>
      <c r="AD2558" s="20"/>
      <c r="AE2558" s="20"/>
      <c r="AF2558" s="13" t="s">
        <v>40</v>
      </c>
      <c r="AG2558" s="15">
        <v>45352</v>
      </c>
      <c r="AH2558" s="13" t="s">
        <v>41</v>
      </c>
      <c r="AI2558" s="13" t="s">
        <v>53</v>
      </c>
      <c r="AJ2558" s="13" t="str">
        <f>VLOOKUP(E2558,Precios!Z$2:AA$941,2,FALSE)</f>
        <v>Papel Higienico ELITE 50 metros</v>
      </c>
      <c r="AK2558" s="14">
        <f>VLOOKUP(E2558,Precios!Z$2:BB$941,3,FALSE)*F2558</f>
        <v>-1</v>
      </c>
      <c r="AL2558" s="17"/>
      <c r="AM2558" s="17"/>
      <c r="AN2558" s="17"/>
      <c r="AO2558" s="17"/>
      <c r="AP2558" s="17"/>
      <c r="AQ2558" s="17"/>
      <c r="AR2558" s="17"/>
      <c r="AS2558" s="17"/>
      <c r="AT2558" s="17"/>
      <c r="AU2558" s="17"/>
      <c r="AV2558" s="17"/>
    </row>
    <row r="2559" spans="1:48" ht="15.75" customHeight="1">
      <c r="A2559" s="21" t="s">
        <v>35</v>
      </c>
      <c r="B2559" s="23" t="s">
        <v>1692</v>
      </c>
      <c r="C2559" s="25">
        <v>45739</v>
      </c>
      <c r="D2559" s="23" t="s">
        <v>915</v>
      </c>
      <c r="E2559" s="23" t="s">
        <v>46</v>
      </c>
      <c r="F2559" s="14">
        <v>1</v>
      </c>
      <c r="G2559" s="12">
        <v>5500</v>
      </c>
      <c r="H2559" s="34">
        <v>5500</v>
      </c>
      <c r="I2559" s="23" t="s">
        <v>52</v>
      </c>
      <c r="J2559" s="23" t="s">
        <v>61</v>
      </c>
      <c r="K2559" s="24" t="s">
        <v>177</v>
      </c>
      <c r="L2559" s="24">
        <v>118</v>
      </c>
      <c r="M2559" s="12">
        <v>4621.8487394957983</v>
      </c>
      <c r="N2559" s="12">
        <v>4621.8487394957983</v>
      </c>
      <c r="O2559" s="12">
        <v>878.15126050420167</v>
      </c>
      <c r="P2559" s="13"/>
      <c r="Q2559" s="14">
        <v>2025</v>
      </c>
      <c r="R2559" s="15">
        <v>45352</v>
      </c>
      <c r="S2559" s="11" t="s">
        <v>364</v>
      </c>
      <c r="T2559" s="16">
        <v>500</v>
      </c>
      <c r="U2559" s="17"/>
      <c r="V2559" s="12">
        <v>1365.1260504201678</v>
      </c>
      <c r="W2559" s="12">
        <v>1365.1260504201678</v>
      </c>
      <c r="X2559" s="12">
        <v>0</v>
      </c>
      <c r="Y2559" s="18">
        <v>45733</v>
      </c>
      <c r="Z2559" s="13" t="s">
        <v>497</v>
      </c>
      <c r="AA2559" s="19" t="str">
        <f>VLOOKUP(D2559,Clientes!$A$2:$J$486,9,FALSE)</f>
        <v>Regular</v>
      </c>
      <c r="AB2559" s="13" t="str">
        <f>VLOOKUP(D2559,Clientes!$A$2:$K$486,11,FALSE)</f>
        <v>Persona Natural</v>
      </c>
      <c r="AC2559" s="13" t="str">
        <f>VLOOKUP(D2559,Clientes!$A$2:$B$486,2,FALSE)</f>
        <v>Jardin del Eden</v>
      </c>
      <c r="AD2559" s="20"/>
      <c r="AE2559" s="20"/>
      <c r="AF2559" s="13" t="s">
        <v>40</v>
      </c>
      <c r="AG2559" s="15">
        <v>45352</v>
      </c>
      <c r="AH2559" s="13" t="s">
        <v>41</v>
      </c>
      <c r="AI2559" s="13" t="s">
        <v>35</v>
      </c>
      <c r="AJ2559" s="13" t="str">
        <f>VLOOKUP(E2559,Precios!Z$2:AA$941,2,FALSE)</f>
        <v>Queso RUNCA Mantecoso</v>
      </c>
      <c r="AK2559" s="14">
        <f>VLOOKUP(E2559,Precios!Z$2:BB$941,3,FALSE)*F2559</f>
        <v>-0.5</v>
      </c>
      <c r="AL2559" s="17"/>
      <c r="AM2559" s="17"/>
      <c r="AN2559" s="17"/>
      <c r="AO2559" s="17"/>
      <c r="AP2559" s="17"/>
      <c r="AQ2559" s="17"/>
      <c r="AR2559" s="17"/>
      <c r="AS2559" s="17"/>
      <c r="AT2559" s="17"/>
      <c r="AU2559" s="17"/>
      <c r="AV2559" s="17"/>
    </row>
    <row r="2560" spans="1:48" ht="15.75" customHeight="1">
      <c r="A2560" s="21" t="s">
        <v>35</v>
      </c>
      <c r="B2560" s="23" t="s">
        <v>1692</v>
      </c>
      <c r="C2560" s="25">
        <v>45739</v>
      </c>
      <c r="D2560" s="23" t="s">
        <v>119</v>
      </c>
      <c r="E2560" s="23" t="s">
        <v>37</v>
      </c>
      <c r="F2560" s="14">
        <v>1</v>
      </c>
      <c r="G2560" s="12">
        <v>10500</v>
      </c>
      <c r="H2560" s="12">
        <v>10500</v>
      </c>
      <c r="I2560" s="23" t="s">
        <v>52</v>
      </c>
      <c r="J2560" s="23" t="s">
        <v>61</v>
      </c>
      <c r="K2560" s="24" t="s">
        <v>177</v>
      </c>
      <c r="L2560" s="24">
        <v>118</v>
      </c>
      <c r="M2560" s="12">
        <v>8823.5294117647063</v>
      </c>
      <c r="N2560" s="12">
        <v>8823.5294117647063</v>
      </c>
      <c r="O2560" s="12">
        <v>1676.4705882352937</v>
      </c>
      <c r="P2560" s="13"/>
      <c r="Q2560" s="14">
        <v>2025</v>
      </c>
      <c r="R2560" s="15">
        <v>45352</v>
      </c>
      <c r="S2560" s="11" t="s">
        <v>364</v>
      </c>
      <c r="T2560" s="16">
        <v>1000</v>
      </c>
      <c r="U2560" s="17"/>
      <c r="V2560" s="12">
        <v>2385.7142857142853</v>
      </c>
      <c r="W2560" s="12">
        <v>2385.7142857142853</v>
      </c>
      <c r="X2560" s="12">
        <v>0</v>
      </c>
      <c r="Y2560" s="18">
        <v>45733</v>
      </c>
      <c r="Z2560" s="13" t="s">
        <v>497</v>
      </c>
      <c r="AA2560" s="19" t="str">
        <f>VLOOKUP(D2560,Clientes!$A$2:$J$486,9,FALSE)</f>
        <v>Ocacional</v>
      </c>
      <c r="AB2560" s="13" t="str">
        <f>VLOOKUP(D2560,Clientes!$A$2:$K$486,11,FALSE)</f>
        <v>Persona Natural</v>
      </c>
      <c r="AC2560" s="13" t="str">
        <f>VLOOKUP(D2560,Clientes!$A$2:$B$486,2,FALSE)</f>
        <v>Conjunto Ingles</v>
      </c>
      <c r="AD2560" s="20"/>
      <c r="AE2560" s="20"/>
      <c r="AF2560" s="13" t="s">
        <v>40</v>
      </c>
      <c r="AG2560" s="15">
        <v>45352</v>
      </c>
      <c r="AH2560" s="13" t="s">
        <v>41</v>
      </c>
      <c r="AI2560" s="13" t="s">
        <v>35</v>
      </c>
      <c r="AJ2560" s="13" t="str">
        <f>VLOOKUP(E2560,Precios!Z$2:AA$941,2,FALSE)</f>
        <v>Queso RUNCA Mantecoso</v>
      </c>
      <c r="AK2560" s="14">
        <f>VLOOKUP(E2560,Precios!Z$2:BB$941,3,FALSE)*F2560</f>
        <v>-1</v>
      </c>
      <c r="AL2560" s="17"/>
      <c r="AM2560" s="17"/>
      <c r="AN2560" s="17"/>
      <c r="AO2560" s="17"/>
      <c r="AP2560" s="17"/>
      <c r="AQ2560" s="17"/>
      <c r="AR2560" s="17"/>
      <c r="AS2560" s="17"/>
      <c r="AT2560" s="17"/>
      <c r="AU2560" s="17"/>
      <c r="AV2560" s="17"/>
    </row>
    <row r="2561" spans="1:48" ht="15.75" customHeight="1">
      <c r="A2561" s="21" t="s">
        <v>53</v>
      </c>
      <c r="B2561" s="23" t="s">
        <v>1692</v>
      </c>
      <c r="C2561" s="25">
        <v>45739</v>
      </c>
      <c r="D2561" s="23" t="s">
        <v>659</v>
      </c>
      <c r="E2561" s="23" t="s">
        <v>203</v>
      </c>
      <c r="F2561" s="14">
        <v>1</v>
      </c>
      <c r="G2561" s="12">
        <v>9500</v>
      </c>
      <c r="H2561" s="12">
        <v>9500</v>
      </c>
      <c r="I2561" s="23" t="s">
        <v>52</v>
      </c>
      <c r="J2561" s="23" t="s">
        <v>61</v>
      </c>
      <c r="K2561" s="24" t="s">
        <v>177</v>
      </c>
      <c r="L2561" s="24">
        <v>118</v>
      </c>
      <c r="M2561" s="12">
        <v>7983.1932773109247</v>
      </c>
      <c r="N2561" s="12">
        <v>7983.1932773109247</v>
      </c>
      <c r="O2561" s="12">
        <v>1516.8067226890753</v>
      </c>
      <c r="P2561" s="13"/>
      <c r="Q2561" s="14">
        <v>2025</v>
      </c>
      <c r="R2561" s="15">
        <v>45352</v>
      </c>
      <c r="S2561" s="11" t="s">
        <v>366</v>
      </c>
      <c r="T2561" s="16">
        <v>0</v>
      </c>
      <c r="U2561" s="17"/>
      <c r="V2561" s="12">
        <v>3072.2689075630251</v>
      </c>
      <c r="W2561" s="12">
        <v>3072.2689075630251</v>
      </c>
      <c r="X2561" s="12">
        <v>0</v>
      </c>
      <c r="Y2561" s="18">
        <v>45733</v>
      </c>
      <c r="Z2561" s="13" t="s">
        <v>497</v>
      </c>
      <c r="AA2561" s="19" t="str">
        <f>VLOOKUP(D2561,Clientes!$A$2:$J$486,9,FALSE)</f>
        <v>Regular</v>
      </c>
      <c r="AB2561" s="13" t="str">
        <f>VLOOKUP(D2561,Clientes!$A$2:$K$486,11,FALSE)</f>
        <v>Persona Natural</v>
      </c>
      <c r="AC2561" s="13" t="str">
        <f>VLOOKUP(D2561,Clientes!$A$2:$B$486,2,FALSE)</f>
        <v>Jardines de la viña</v>
      </c>
      <c r="AD2561" s="20"/>
      <c r="AE2561" s="20"/>
      <c r="AF2561" s="13" t="s">
        <v>40</v>
      </c>
      <c r="AG2561" s="15">
        <v>45352</v>
      </c>
      <c r="AH2561" s="13" t="s">
        <v>41</v>
      </c>
      <c r="AI2561" s="13" t="s">
        <v>53</v>
      </c>
      <c r="AJ2561" s="13" t="str">
        <f>VLOOKUP(E2561,Precios!Z$2:AA$941,2,FALSE)</f>
        <v>Papel Higienico ELITE 50 metros</v>
      </c>
      <c r="AK2561" s="14">
        <f>VLOOKUP(E2561,Precios!Z$2:BB$941,3,FALSE)*F2561</f>
        <v>-3</v>
      </c>
      <c r="AL2561" s="17"/>
      <c r="AM2561" s="17"/>
      <c r="AN2561" s="17"/>
      <c r="AO2561" s="17"/>
      <c r="AP2561" s="17"/>
      <c r="AQ2561" s="17"/>
      <c r="AR2561" s="17"/>
      <c r="AS2561" s="17"/>
      <c r="AT2561" s="17"/>
      <c r="AU2561" s="17"/>
      <c r="AV2561" s="17"/>
    </row>
    <row r="2562" spans="1:48" ht="15.75" customHeight="1">
      <c r="A2562" s="21" t="s">
        <v>53</v>
      </c>
      <c r="B2562" s="23" t="s">
        <v>1692</v>
      </c>
      <c r="C2562" s="25">
        <v>45739</v>
      </c>
      <c r="D2562" s="23" t="s">
        <v>659</v>
      </c>
      <c r="E2562" s="23" t="s">
        <v>69</v>
      </c>
      <c r="F2562" s="21">
        <v>2</v>
      </c>
      <c r="G2562" s="12">
        <v>2999.9553810458683</v>
      </c>
      <c r="H2562" s="12">
        <v>5999.9107620917366</v>
      </c>
      <c r="I2562" s="23" t="s">
        <v>52</v>
      </c>
      <c r="J2562" s="23" t="s">
        <v>61</v>
      </c>
      <c r="K2562" s="24" t="s">
        <v>177</v>
      </c>
      <c r="L2562" s="24">
        <v>118</v>
      </c>
      <c r="M2562" s="12">
        <v>2520.9709084419064</v>
      </c>
      <c r="N2562" s="12">
        <v>5041.9418168838129</v>
      </c>
      <c r="O2562" s="12">
        <v>957.96894520792375</v>
      </c>
      <c r="P2562" s="13"/>
      <c r="Q2562" s="14">
        <v>2025</v>
      </c>
      <c r="R2562" s="15">
        <v>45352</v>
      </c>
      <c r="S2562" s="11" t="s">
        <v>376</v>
      </c>
      <c r="T2562" s="16">
        <v>0</v>
      </c>
      <c r="U2562" s="17"/>
      <c r="V2562" s="12">
        <v>1651.941816883812</v>
      </c>
      <c r="W2562" s="12">
        <v>1651.941816883812</v>
      </c>
      <c r="X2562" s="12">
        <v>0</v>
      </c>
      <c r="Y2562" s="18">
        <v>45733</v>
      </c>
      <c r="Z2562" s="13" t="s">
        <v>497</v>
      </c>
      <c r="AA2562" s="19" t="str">
        <f>VLOOKUP(D2562,Clientes!$A$2:$J$486,9,FALSE)</f>
        <v>Regular</v>
      </c>
      <c r="AB2562" s="13" t="str">
        <f>VLOOKUP(D2562,Clientes!$A$2:$K$486,11,FALSE)</f>
        <v>Persona Natural</v>
      </c>
      <c r="AC2562" s="13" t="str">
        <f>VLOOKUP(D2562,Clientes!$A$2:$B$486,2,FALSE)</f>
        <v>Jardines de la viña</v>
      </c>
      <c r="AD2562" s="20"/>
      <c r="AE2562" s="20"/>
      <c r="AF2562" s="13" t="s">
        <v>40</v>
      </c>
      <c r="AG2562" s="15">
        <v>45352</v>
      </c>
      <c r="AH2562" s="13" t="s">
        <v>41</v>
      </c>
      <c r="AI2562" s="13" t="s">
        <v>53</v>
      </c>
      <c r="AJ2562" s="13" t="str">
        <f>VLOOKUP(E2562,Precios!Z$2:AA$941,2,FALSE)</f>
        <v>Toalla Papel NOVA 70 metros</v>
      </c>
      <c r="AK2562" s="14">
        <f>VLOOKUP(E2562,Precios!Z$2:BB$941,3,FALSE)*F2562</f>
        <v>-2</v>
      </c>
      <c r="AL2562" s="17"/>
      <c r="AM2562" s="17"/>
      <c r="AN2562" s="17"/>
      <c r="AO2562" s="17"/>
      <c r="AP2562" s="17"/>
      <c r="AQ2562" s="17"/>
      <c r="AR2562" s="17"/>
      <c r="AS2562" s="17"/>
      <c r="AT2562" s="17"/>
      <c r="AU2562" s="17"/>
      <c r="AV2562" s="17"/>
    </row>
    <row r="2563" spans="1:48" ht="15.75" customHeight="1">
      <c r="A2563" s="21" t="s">
        <v>35</v>
      </c>
      <c r="B2563" s="23" t="s">
        <v>1692</v>
      </c>
      <c r="C2563" s="25">
        <v>45739</v>
      </c>
      <c r="D2563" s="23" t="s">
        <v>659</v>
      </c>
      <c r="E2563" s="23" t="s">
        <v>46</v>
      </c>
      <c r="F2563" s="21">
        <v>1</v>
      </c>
      <c r="G2563" s="12">
        <v>5500</v>
      </c>
      <c r="H2563" s="12">
        <v>5500</v>
      </c>
      <c r="I2563" s="23" t="s">
        <v>52</v>
      </c>
      <c r="J2563" s="23" t="s">
        <v>61</v>
      </c>
      <c r="K2563" s="24" t="s">
        <v>177</v>
      </c>
      <c r="L2563" s="24">
        <v>118</v>
      </c>
      <c r="M2563" s="12">
        <v>4621.8487394957983</v>
      </c>
      <c r="N2563" s="12">
        <v>4621.8487394957983</v>
      </c>
      <c r="O2563" s="12">
        <v>878.15126050420167</v>
      </c>
      <c r="P2563" s="13"/>
      <c r="Q2563" s="14">
        <v>2025</v>
      </c>
      <c r="R2563" s="15">
        <v>45352</v>
      </c>
      <c r="S2563" s="11" t="s">
        <v>364</v>
      </c>
      <c r="T2563" s="16">
        <v>500</v>
      </c>
      <c r="U2563" s="17"/>
      <c r="V2563" s="12">
        <v>1365.1260504201678</v>
      </c>
      <c r="W2563" s="12">
        <v>1365.1260504201678</v>
      </c>
      <c r="X2563" s="12">
        <v>0</v>
      </c>
      <c r="Y2563" s="18">
        <v>45733</v>
      </c>
      <c r="Z2563" s="13" t="s">
        <v>497</v>
      </c>
      <c r="AA2563" s="19" t="str">
        <f>VLOOKUP(D2563,Clientes!$A$2:$J$486,9,FALSE)</f>
        <v>Regular</v>
      </c>
      <c r="AB2563" s="13" t="str">
        <f>VLOOKUP(D2563,Clientes!$A$2:$K$486,11,FALSE)</f>
        <v>Persona Natural</v>
      </c>
      <c r="AC2563" s="13" t="str">
        <f>VLOOKUP(D2563,Clientes!$A$2:$B$486,2,FALSE)</f>
        <v>Jardines de la viña</v>
      </c>
      <c r="AD2563" s="20"/>
      <c r="AE2563" s="20"/>
      <c r="AF2563" s="13" t="s">
        <v>40</v>
      </c>
      <c r="AG2563" s="15">
        <v>45352</v>
      </c>
      <c r="AH2563" s="13" t="s">
        <v>41</v>
      </c>
      <c r="AI2563" s="13" t="s">
        <v>35</v>
      </c>
      <c r="AJ2563" s="13" t="str">
        <f>VLOOKUP(E2563,Precios!Z$2:AA$941,2,FALSE)</f>
        <v>Queso RUNCA Mantecoso</v>
      </c>
      <c r="AK2563" s="14">
        <f>VLOOKUP(E2563,Precios!Z$2:BB$941,3,FALSE)*F2563</f>
        <v>-0.5</v>
      </c>
      <c r="AL2563" s="17"/>
      <c r="AM2563" s="17"/>
      <c r="AN2563" s="17"/>
      <c r="AO2563" s="17"/>
      <c r="AP2563" s="17"/>
      <c r="AQ2563" s="17"/>
      <c r="AR2563" s="17"/>
      <c r="AS2563" s="17"/>
      <c r="AT2563" s="17"/>
      <c r="AU2563" s="17"/>
      <c r="AV2563" s="17"/>
    </row>
    <row r="2564" spans="1:48" ht="15.75" customHeight="1">
      <c r="A2564" s="21" t="s">
        <v>53</v>
      </c>
      <c r="B2564" s="23" t="s">
        <v>1692</v>
      </c>
      <c r="C2564" s="25">
        <v>45739</v>
      </c>
      <c r="D2564" s="23" t="s">
        <v>246</v>
      </c>
      <c r="E2564" s="23" t="s">
        <v>55</v>
      </c>
      <c r="F2564" s="14">
        <v>1</v>
      </c>
      <c r="G2564" s="12">
        <v>19989.738327347361</v>
      </c>
      <c r="H2564" s="12">
        <v>19989.738327347361</v>
      </c>
      <c r="I2564" s="23" t="s">
        <v>52</v>
      </c>
      <c r="J2564" s="23" t="s">
        <v>61</v>
      </c>
      <c r="K2564" s="24" t="s">
        <v>177</v>
      </c>
      <c r="L2564" s="24">
        <v>118</v>
      </c>
      <c r="M2564" s="12">
        <v>16798.099434745684</v>
      </c>
      <c r="N2564" s="12">
        <v>16798.099434745684</v>
      </c>
      <c r="O2564" s="12">
        <v>3191.6388926016771</v>
      </c>
      <c r="P2564" s="13"/>
      <c r="Q2564" s="14">
        <v>2025</v>
      </c>
      <c r="R2564" s="15">
        <v>45352</v>
      </c>
      <c r="S2564" s="11" t="s">
        <v>366</v>
      </c>
      <c r="T2564" s="16">
        <v>0</v>
      </c>
      <c r="U2564" s="17"/>
      <c r="V2564" s="12">
        <v>3702.3011154179476</v>
      </c>
      <c r="W2564" s="12">
        <v>3702.3011154179476</v>
      </c>
      <c r="X2564" s="12">
        <v>0</v>
      </c>
      <c r="Y2564" s="18">
        <v>45733</v>
      </c>
      <c r="Z2564" s="13" t="s">
        <v>497</v>
      </c>
      <c r="AA2564" s="19" t="str">
        <f>VLOOKUP(D2564,Clientes!$A$2:$J$486,9,FALSE)</f>
        <v>Ocacional</v>
      </c>
      <c r="AB2564" s="13" t="str">
        <f>VLOOKUP(D2564,Clientes!$A$2:$K$486,11,FALSE)</f>
        <v>Persona Natural</v>
      </c>
      <c r="AC2564" s="13" t="str">
        <f>VLOOKUP(D2564,Clientes!$A$2:$B$486,2,FALSE)</f>
        <v>Walker Martinez</v>
      </c>
      <c r="AD2564" s="20"/>
      <c r="AE2564" s="20"/>
      <c r="AF2564" s="13" t="s">
        <v>40</v>
      </c>
      <c r="AG2564" s="15">
        <v>45352</v>
      </c>
      <c r="AH2564" s="13" t="s">
        <v>41</v>
      </c>
      <c r="AI2564" s="13" t="s">
        <v>53</v>
      </c>
      <c r="AJ2564" s="13" t="str">
        <f>VLOOKUP(E2564,Precios!Z$2:AA$941,2,FALSE)</f>
        <v>Papel Higienico ELITE 50 metros</v>
      </c>
      <c r="AK2564" s="14">
        <f>VLOOKUP(E2564,Precios!Z$2:BB$941,3,FALSE)*F2564</f>
        <v>-8</v>
      </c>
      <c r="AL2564" s="17"/>
      <c r="AM2564" s="17"/>
      <c r="AN2564" s="17"/>
      <c r="AO2564" s="17"/>
      <c r="AP2564" s="17"/>
      <c r="AQ2564" s="17"/>
      <c r="AR2564" s="17"/>
      <c r="AS2564" s="17"/>
      <c r="AT2564" s="17"/>
      <c r="AU2564" s="17"/>
      <c r="AV2564" s="17"/>
    </row>
    <row r="2565" spans="1:48" ht="15.75" customHeight="1">
      <c r="A2565" s="14" t="s">
        <v>43</v>
      </c>
      <c r="B2565" s="23" t="s">
        <v>1692</v>
      </c>
      <c r="C2565" s="25">
        <v>45739</v>
      </c>
      <c r="D2565" s="23" t="s">
        <v>622</v>
      </c>
      <c r="E2565" s="13" t="s">
        <v>45</v>
      </c>
      <c r="F2565" s="14">
        <v>1</v>
      </c>
      <c r="G2565" s="12">
        <v>8299.7854333055202</v>
      </c>
      <c r="H2565" s="12">
        <v>8299.7854333055202</v>
      </c>
      <c r="I2565" s="23" t="s">
        <v>52</v>
      </c>
      <c r="J2565" s="23" t="s">
        <v>61</v>
      </c>
      <c r="K2565" s="24" t="s">
        <v>177</v>
      </c>
      <c r="L2565" s="24">
        <v>118</v>
      </c>
      <c r="M2565" s="12">
        <v>6974.6096078197652</v>
      </c>
      <c r="N2565" s="12">
        <v>6974.6096078197652</v>
      </c>
      <c r="O2565" s="12">
        <v>1325.175825485755</v>
      </c>
      <c r="P2565" s="13"/>
      <c r="Q2565" s="14">
        <v>2025</v>
      </c>
      <c r="R2565" s="15">
        <v>45352</v>
      </c>
      <c r="S2565" s="11" t="s">
        <v>355</v>
      </c>
      <c r="T2565" s="16">
        <v>0</v>
      </c>
      <c r="U2565" s="17"/>
      <c r="V2565" s="12">
        <v>1123.6096078197643</v>
      </c>
      <c r="W2565" s="12">
        <v>1123.6096078197643</v>
      </c>
      <c r="X2565" s="12">
        <v>0</v>
      </c>
      <c r="Y2565" s="18">
        <v>45733</v>
      </c>
      <c r="Z2565" s="13" t="s">
        <v>497</v>
      </c>
      <c r="AA2565" s="19" t="str">
        <f>VLOOKUP(D2565,Clientes!$A$2:$J$486,9,FALSE)</f>
        <v>Ocacional</v>
      </c>
      <c r="AB2565" s="13" t="str">
        <f>VLOOKUP(D2565,Clientes!$A$2:$K$486,11,FALSE)</f>
        <v>Persona Natural</v>
      </c>
      <c r="AC2565" s="13" t="str">
        <f>VLOOKUP(D2565,Clientes!$A$2:$B$486,2,FALSE)</f>
        <v>Domo</v>
      </c>
      <c r="AD2565" s="20"/>
      <c r="AE2565" s="20"/>
      <c r="AF2565" s="13" t="s">
        <v>40</v>
      </c>
      <c r="AG2565" s="15">
        <v>45352</v>
      </c>
      <c r="AH2565" s="13" t="s">
        <v>41</v>
      </c>
      <c r="AI2565" s="13" t="s">
        <v>43</v>
      </c>
      <c r="AJ2565" s="13" t="str">
        <f>VLOOKUP(E2565,Precios!Z$2:AA$941,2,FALSE)</f>
        <v>Bandeja Huevos EXTRA</v>
      </c>
      <c r="AK2565" s="14">
        <f>VLOOKUP(E2565,Precios!Z$2:BB$941,3,FALSE)*F2565</f>
        <v>-1</v>
      </c>
      <c r="AL2565" s="17"/>
      <c r="AM2565" s="17"/>
      <c r="AN2565" s="17"/>
      <c r="AO2565" s="17"/>
      <c r="AP2565" s="17"/>
      <c r="AQ2565" s="17"/>
      <c r="AR2565" s="17"/>
      <c r="AS2565" s="17"/>
      <c r="AT2565" s="17"/>
      <c r="AU2565" s="17"/>
      <c r="AV2565" s="17"/>
    </row>
    <row r="2566" spans="1:48" ht="15.75" customHeight="1">
      <c r="A2566" s="14" t="s">
        <v>43</v>
      </c>
      <c r="B2566" s="23" t="s">
        <v>1692</v>
      </c>
      <c r="C2566" s="25">
        <v>45739</v>
      </c>
      <c r="D2566" s="23" t="s">
        <v>391</v>
      </c>
      <c r="E2566" s="13" t="s">
        <v>45</v>
      </c>
      <c r="F2566" s="14">
        <v>1</v>
      </c>
      <c r="G2566" s="12">
        <v>8299.7854333055202</v>
      </c>
      <c r="H2566" s="12">
        <v>8299.7854333055202</v>
      </c>
      <c r="I2566" s="23" t="s">
        <v>52</v>
      </c>
      <c r="J2566" s="23" t="s">
        <v>61</v>
      </c>
      <c r="K2566" s="24" t="s">
        <v>177</v>
      </c>
      <c r="L2566" s="24">
        <v>118</v>
      </c>
      <c r="M2566" s="12">
        <v>6974.6096078197652</v>
      </c>
      <c r="N2566" s="12">
        <v>6974.6096078197652</v>
      </c>
      <c r="O2566" s="12">
        <v>1325.175825485755</v>
      </c>
      <c r="P2566" s="13"/>
      <c r="Q2566" s="14">
        <v>2025</v>
      </c>
      <c r="R2566" s="15">
        <v>45352</v>
      </c>
      <c r="S2566" s="11" t="s">
        <v>355</v>
      </c>
      <c r="T2566" s="16">
        <v>0</v>
      </c>
      <c r="U2566" s="17"/>
      <c r="V2566" s="12">
        <v>1123.6096078197643</v>
      </c>
      <c r="W2566" s="12">
        <v>1123.6096078197643</v>
      </c>
      <c r="X2566" s="12">
        <v>0</v>
      </c>
      <c r="Y2566" s="18">
        <v>45733</v>
      </c>
      <c r="Z2566" s="13" t="s">
        <v>497</v>
      </c>
      <c r="AA2566" s="19" t="str">
        <f>VLOOKUP(D2566,Clientes!$A$2:$J$486,9,FALSE)</f>
        <v>Ocacional</v>
      </c>
      <c r="AB2566" s="13" t="str">
        <f>VLOOKUP(D2566,Clientes!$A$2:$K$486,11,FALSE)</f>
        <v>Persona Natural</v>
      </c>
      <c r="AC2566" s="13" t="str">
        <f>VLOOKUP(D2566,Clientes!$A$2:$B$486,2,FALSE)</f>
        <v>Santa Ines</v>
      </c>
      <c r="AD2566" s="20"/>
      <c r="AE2566" s="20"/>
      <c r="AF2566" s="13" t="s">
        <v>40</v>
      </c>
      <c r="AG2566" s="15">
        <v>45352</v>
      </c>
      <c r="AH2566" s="13" t="s">
        <v>41</v>
      </c>
      <c r="AI2566" s="13" t="s">
        <v>43</v>
      </c>
      <c r="AJ2566" s="13" t="str">
        <f>VLOOKUP(E2566,Precios!Z$2:AA$941,2,FALSE)</f>
        <v>Bandeja Huevos EXTRA</v>
      </c>
      <c r="AK2566" s="14">
        <f>VLOOKUP(E2566,Precios!Z$2:BB$941,3,FALSE)*F2566</f>
        <v>-1</v>
      </c>
      <c r="AL2566" s="17"/>
      <c r="AM2566" s="17"/>
      <c r="AN2566" s="17"/>
      <c r="AO2566" s="17"/>
      <c r="AP2566" s="17"/>
      <c r="AQ2566" s="17"/>
      <c r="AR2566" s="17"/>
      <c r="AS2566" s="17"/>
      <c r="AT2566" s="17"/>
      <c r="AU2566" s="17"/>
      <c r="AV2566" s="17"/>
    </row>
    <row r="2567" spans="1:48" ht="15.75" customHeight="1">
      <c r="A2567" s="21" t="s">
        <v>43</v>
      </c>
      <c r="B2567" s="23" t="s">
        <v>1692</v>
      </c>
      <c r="C2567" s="22">
        <v>45739</v>
      </c>
      <c r="D2567" s="23" t="s">
        <v>718</v>
      </c>
      <c r="E2567" s="23" t="s">
        <v>45</v>
      </c>
      <c r="F2567" s="21">
        <v>1</v>
      </c>
      <c r="G2567" s="12">
        <v>8299.7854333055202</v>
      </c>
      <c r="H2567" s="12">
        <v>8299.7854333055202</v>
      </c>
      <c r="I2567" s="23" t="s">
        <v>52</v>
      </c>
      <c r="J2567" s="23" t="s">
        <v>61</v>
      </c>
      <c r="K2567" s="24" t="s">
        <v>177</v>
      </c>
      <c r="L2567" s="24">
        <v>118</v>
      </c>
      <c r="M2567" s="12">
        <v>6974.6096078197652</v>
      </c>
      <c r="N2567" s="12">
        <v>6974.6096078197652</v>
      </c>
      <c r="O2567" s="12">
        <v>1325.175825485755</v>
      </c>
      <c r="P2567" s="13"/>
      <c r="Q2567" s="14">
        <v>2025</v>
      </c>
      <c r="R2567" s="15">
        <v>45352</v>
      </c>
      <c r="S2567" s="11" t="s">
        <v>355</v>
      </c>
      <c r="T2567" s="16">
        <v>0</v>
      </c>
      <c r="U2567" s="17"/>
      <c r="V2567" s="12">
        <v>1123.6096078197643</v>
      </c>
      <c r="W2567" s="12">
        <v>1123.6096078197643</v>
      </c>
      <c r="X2567" s="12">
        <v>0</v>
      </c>
      <c r="Y2567" s="18">
        <v>45733</v>
      </c>
      <c r="Z2567" s="13" t="s">
        <v>497</v>
      </c>
      <c r="AA2567" s="19" t="str">
        <f>VLOOKUP(D2567,Clientes!$A$2:$J$486,9,FALSE)</f>
        <v>Ocacional</v>
      </c>
      <c r="AB2567" s="13" t="str">
        <f>VLOOKUP(D2567,Clientes!$A$2:$K$486,11,FALSE)</f>
        <v>Persona Natural</v>
      </c>
      <c r="AC2567" s="13" t="str">
        <f>VLOOKUP(D2567,Clientes!$A$2:$B$486,2,FALSE)</f>
        <v>Colombia</v>
      </c>
      <c r="AD2567" s="20"/>
      <c r="AE2567" s="20"/>
      <c r="AF2567" s="13" t="s">
        <v>40</v>
      </c>
      <c r="AG2567" s="15">
        <v>45352</v>
      </c>
      <c r="AH2567" s="13" t="s">
        <v>41</v>
      </c>
      <c r="AI2567" s="13" t="s">
        <v>43</v>
      </c>
      <c r="AJ2567" s="13" t="str">
        <f>VLOOKUP(E2567,Precios!Z$2:AA$941,2,FALSE)</f>
        <v>Bandeja Huevos EXTRA</v>
      </c>
      <c r="AK2567" s="14">
        <f>VLOOKUP(E2567,Precios!Z$2:BB$941,3,FALSE)*F2567</f>
        <v>-1</v>
      </c>
      <c r="AL2567" s="17"/>
      <c r="AM2567" s="17"/>
      <c r="AN2567" s="17"/>
      <c r="AO2567" s="17"/>
      <c r="AP2567" s="17"/>
      <c r="AQ2567" s="17"/>
      <c r="AR2567" s="17"/>
      <c r="AS2567" s="17"/>
      <c r="AT2567" s="17"/>
      <c r="AU2567" s="17"/>
      <c r="AV2567" s="17"/>
    </row>
    <row r="2568" spans="1:48" ht="15.75" customHeight="1">
      <c r="A2568" s="21" t="s">
        <v>35</v>
      </c>
      <c r="B2568" s="23" t="s">
        <v>1692</v>
      </c>
      <c r="C2568" s="22">
        <v>45739</v>
      </c>
      <c r="D2568" s="23" t="s">
        <v>718</v>
      </c>
      <c r="E2568" s="23" t="s">
        <v>37</v>
      </c>
      <c r="F2568" s="21">
        <v>1</v>
      </c>
      <c r="G2568" s="12">
        <v>10500</v>
      </c>
      <c r="H2568" s="12">
        <v>10500</v>
      </c>
      <c r="I2568" s="23" t="s">
        <v>52</v>
      </c>
      <c r="J2568" s="23" t="s">
        <v>61</v>
      </c>
      <c r="K2568" s="24" t="s">
        <v>177</v>
      </c>
      <c r="L2568" s="24">
        <v>118</v>
      </c>
      <c r="M2568" s="12">
        <v>8823.5294117647063</v>
      </c>
      <c r="N2568" s="12">
        <v>8823.5294117647063</v>
      </c>
      <c r="O2568" s="12">
        <v>1676.4705882352937</v>
      </c>
      <c r="P2568" s="13"/>
      <c r="Q2568" s="14">
        <v>2025</v>
      </c>
      <c r="R2568" s="15">
        <v>45352</v>
      </c>
      <c r="S2568" s="11" t="s">
        <v>364</v>
      </c>
      <c r="T2568" s="16">
        <v>1000</v>
      </c>
      <c r="U2568" s="17"/>
      <c r="V2568" s="12">
        <v>2385.7142857142853</v>
      </c>
      <c r="W2568" s="12">
        <v>2385.7142857142853</v>
      </c>
      <c r="X2568" s="12">
        <v>0</v>
      </c>
      <c r="Y2568" s="18">
        <v>45733</v>
      </c>
      <c r="Z2568" s="13" t="s">
        <v>497</v>
      </c>
      <c r="AA2568" s="19" t="str">
        <f>VLOOKUP(D2568,Clientes!$A$2:$J$486,9,FALSE)</f>
        <v>Ocacional</v>
      </c>
      <c r="AB2568" s="13" t="str">
        <f>VLOOKUP(D2568,Clientes!$A$2:$K$486,11,FALSE)</f>
        <v>Persona Natural</v>
      </c>
      <c r="AC2568" s="13" t="str">
        <f>VLOOKUP(D2568,Clientes!$A$2:$B$486,2,FALSE)</f>
        <v>Colombia</v>
      </c>
      <c r="AD2568" s="20"/>
      <c r="AE2568" s="20"/>
      <c r="AF2568" s="13" t="s">
        <v>40</v>
      </c>
      <c r="AG2568" s="15">
        <v>45352</v>
      </c>
      <c r="AH2568" s="13" t="s">
        <v>41</v>
      </c>
      <c r="AI2568" s="13" t="s">
        <v>35</v>
      </c>
      <c r="AJ2568" s="13" t="str">
        <f>VLOOKUP(E2568,Precios!Z$2:AA$941,2,FALSE)</f>
        <v>Queso RUNCA Mantecoso</v>
      </c>
      <c r="AK2568" s="14">
        <f>VLOOKUP(E2568,Precios!Z$2:BB$941,3,FALSE)*F2568</f>
        <v>-1</v>
      </c>
      <c r="AL2568" s="17"/>
      <c r="AM2568" s="17"/>
      <c r="AN2568" s="17"/>
      <c r="AO2568" s="17"/>
      <c r="AP2568" s="17"/>
      <c r="AQ2568" s="17"/>
      <c r="AR2568" s="17"/>
      <c r="AS2568" s="17"/>
      <c r="AT2568" s="17"/>
      <c r="AU2568" s="17"/>
      <c r="AV2568" s="17"/>
    </row>
    <row r="2569" spans="1:48" ht="15.75" customHeight="1">
      <c r="A2569" s="21" t="s">
        <v>43</v>
      </c>
      <c r="B2569" s="23" t="s">
        <v>1692</v>
      </c>
      <c r="C2569" s="22">
        <v>45738</v>
      </c>
      <c r="D2569" s="23" t="s">
        <v>124</v>
      </c>
      <c r="E2569" s="23" t="s">
        <v>45</v>
      </c>
      <c r="F2569" s="21">
        <v>1</v>
      </c>
      <c r="G2569" s="12">
        <v>8299.7854333055202</v>
      </c>
      <c r="H2569" s="12">
        <v>8299.7854333055202</v>
      </c>
      <c r="I2569" s="23" t="s">
        <v>52</v>
      </c>
      <c r="J2569" s="23" t="s">
        <v>61</v>
      </c>
      <c r="K2569" s="24" t="s">
        <v>177</v>
      </c>
      <c r="L2569" s="24">
        <v>118</v>
      </c>
      <c r="M2569" s="12">
        <v>6974.6096078197652</v>
      </c>
      <c r="N2569" s="12">
        <v>6974.6096078197652</v>
      </c>
      <c r="O2569" s="12">
        <v>1325.175825485755</v>
      </c>
      <c r="P2569" s="13"/>
      <c r="Q2569" s="14">
        <v>2025</v>
      </c>
      <c r="R2569" s="15">
        <v>45352</v>
      </c>
      <c r="S2569" s="11" t="s">
        <v>355</v>
      </c>
      <c r="T2569" s="16">
        <v>0</v>
      </c>
      <c r="U2569" s="17"/>
      <c r="V2569" s="12">
        <v>1123.6096078197643</v>
      </c>
      <c r="W2569" s="12">
        <v>1123.6096078197643</v>
      </c>
      <c r="X2569" s="12">
        <v>0</v>
      </c>
      <c r="Y2569" s="18">
        <v>45733</v>
      </c>
      <c r="Z2569" s="13" t="s">
        <v>501</v>
      </c>
      <c r="AA2569" s="19" t="str">
        <f>VLOOKUP(D2569,Clientes!$A$2:$J$486,9,FALSE)</f>
        <v>Regular</v>
      </c>
      <c r="AB2569" s="13" t="str">
        <f>VLOOKUP(D2569,Clientes!$A$2:$K$486,11,FALSE)</f>
        <v>Persona Natural</v>
      </c>
      <c r="AC2569" s="13" t="str">
        <f>VLOOKUP(D2569,Clientes!$A$2:$B$486,2,FALSE)</f>
        <v>Jardines de la viña</v>
      </c>
      <c r="AD2569" s="20"/>
      <c r="AE2569" s="20"/>
      <c r="AF2569" s="13" t="s">
        <v>40</v>
      </c>
      <c r="AG2569" s="15">
        <v>45352</v>
      </c>
      <c r="AH2569" s="13" t="s">
        <v>41</v>
      </c>
      <c r="AI2569" s="13" t="s">
        <v>43</v>
      </c>
      <c r="AJ2569" s="13" t="str">
        <f>VLOOKUP(E2569,Precios!Z$2:AA$941,2,FALSE)</f>
        <v>Bandeja Huevos EXTRA</v>
      </c>
      <c r="AK2569" s="14">
        <f>VLOOKUP(E2569,Precios!Z$2:BB$941,3,FALSE)*F2569</f>
        <v>-1</v>
      </c>
      <c r="AL2569" s="17"/>
      <c r="AM2569" s="17"/>
      <c r="AN2569" s="17"/>
      <c r="AO2569" s="17"/>
      <c r="AP2569" s="17"/>
      <c r="AQ2569" s="17"/>
      <c r="AR2569" s="17"/>
      <c r="AS2569" s="17"/>
      <c r="AT2569" s="17"/>
      <c r="AU2569" s="17"/>
      <c r="AV2569" s="17"/>
    </row>
    <row r="2570" spans="1:48" ht="15.75" customHeight="1">
      <c r="A2570" s="21" t="s">
        <v>64</v>
      </c>
      <c r="B2570" s="23" t="s">
        <v>1692</v>
      </c>
      <c r="C2570" s="22">
        <v>45738</v>
      </c>
      <c r="D2570" s="23" t="s">
        <v>124</v>
      </c>
      <c r="E2570" s="23" t="s">
        <v>65</v>
      </c>
      <c r="F2570" s="21">
        <v>1</v>
      </c>
      <c r="G2570" s="12">
        <v>8199.8794599807134</v>
      </c>
      <c r="H2570" s="12">
        <v>8199.8794599807134</v>
      </c>
      <c r="I2570" s="23" t="s">
        <v>52</v>
      </c>
      <c r="J2570" s="23" t="s">
        <v>61</v>
      </c>
      <c r="K2570" s="24" t="s">
        <v>177</v>
      </c>
      <c r="L2570" s="24">
        <v>118</v>
      </c>
      <c r="M2570" s="12">
        <v>6890.6550083871543</v>
      </c>
      <c r="N2570" s="12">
        <v>6890.6550083871543</v>
      </c>
      <c r="O2570" s="12">
        <v>1309.224451593559</v>
      </c>
      <c r="P2570" s="13"/>
      <c r="Q2570" s="14">
        <v>2025</v>
      </c>
      <c r="R2570" s="15">
        <v>45352</v>
      </c>
      <c r="S2570" s="11" t="s">
        <v>64</v>
      </c>
      <c r="T2570" s="16">
        <v>1</v>
      </c>
      <c r="U2570" s="17"/>
      <c r="V2570" s="12">
        <v>1174.1676134291711</v>
      </c>
      <c r="W2570" s="12">
        <v>1174.1676134291711</v>
      </c>
      <c r="X2570" s="12">
        <v>0</v>
      </c>
      <c r="Y2570" s="18">
        <v>45733</v>
      </c>
      <c r="Z2570" s="13" t="s">
        <v>501</v>
      </c>
      <c r="AA2570" s="19" t="str">
        <f>VLOOKUP(D2570,Clientes!$A$2:$J$486,9,FALSE)</f>
        <v>Regular</v>
      </c>
      <c r="AB2570" s="13" t="str">
        <f>VLOOKUP(D2570,Clientes!$A$2:$K$486,11,FALSE)</f>
        <v>Persona Natural</v>
      </c>
      <c r="AC2570" s="13" t="str">
        <f>VLOOKUP(D2570,Clientes!$A$2:$B$486,2,FALSE)</f>
        <v>Jardines de la viña</v>
      </c>
      <c r="AD2570" s="20"/>
      <c r="AE2570" s="20"/>
      <c r="AF2570" s="13" t="s">
        <v>40</v>
      </c>
      <c r="AG2570" s="15">
        <v>45352</v>
      </c>
      <c r="AH2570" s="13" t="s">
        <v>41</v>
      </c>
      <c r="AI2570" s="13" t="s">
        <v>64</v>
      </c>
      <c r="AJ2570" s="13" t="str">
        <f>VLOOKUP(E2570,Precios!Z$2:AA$941,2,FALSE)</f>
        <v>Longanizas VILLABLANCA</v>
      </c>
      <c r="AK2570" s="14">
        <f>VLOOKUP(E2570,Precios!Z$2:BB$941,3,FALSE)*F2570</f>
        <v>-1</v>
      </c>
      <c r="AL2570" s="17"/>
      <c r="AM2570" s="17"/>
      <c r="AN2570" s="17"/>
      <c r="AO2570" s="17"/>
      <c r="AP2570" s="17"/>
      <c r="AQ2570" s="17"/>
      <c r="AR2570" s="17"/>
      <c r="AS2570" s="17"/>
      <c r="AT2570" s="17"/>
      <c r="AU2570" s="17"/>
      <c r="AV2570" s="17"/>
    </row>
    <row r="2571" spans="1:48" ht="15.75" customHeight="1">
      <c r="A2571" s="21" t="s">
        <v>53</v>
      </c>
      <c r="B2571" s="23" t="s">
        <v>1692</v>
      </c>
      <c r="C2571" s="22">
        <v>45738</v>
      </c>
      <c r="D2571" s="23" t="s">
        <v>189</v>
      </c>
      <c r="E2571" s="23" t="s">
        <v>69</v>
      </c>
      <c r="F2571" s="21">
        <v>2</v>
      </c>
      <c r="G2571" s="12">
        <v>2999.9553810458683</v>
      </c>
      <c r="H2571" s="12">
        <v>5999.9107620917366</v>
      </c>
      <c r="I2571" s="13" t="s">
        <v>52</v>
      </c>
      <c r="J2571" s="23" t="s">
        <v>61</v>
      </c>
      <c r="K2571" s="24" t="s">
        <v>177</v>
      </c>
      <c r="L2571" s="24">
        <v>118</v>
      </c>
      <c r="M2571" s="12">
        <v>2520.9709084419064</v>
      </c>
      <c r="N2571" s="12">
        <v>5041.9418168838129</v>
      </c>
      <c r="O2571" s="12">
        <v>957.96894520792375</v>
      </c>
      <c r="P2571" s="13"/>
      <c r="Q2571" s="14">
        <v>2025</v>
      </c>
      <c r="R2571" s="15">
        <v>45352</v>
      </c>
      <c r="S2571" s="11" t="s">
        <v>376</v>
      </c>
      <c r="T2571" s="16">
        <v>0</v>
      </c>
      <c r="U2571" s="17"/>
      <c r="V2571" s="12">
        <v>1651.941816883812</v>
      </c>
      <c r="W2571" s="12">
        <v>1651.941816883812</v>
      </c>
      <c r="X2571" s="12">
        <v>0</v>
      </c>
      <c r="Y2571" s="18">
        <v>45733</v>
      </c>
      <c r="Z2571" s="13" t="s">
        <v>501</v>
      </c>
      <c r="AA2571" s="19" t="str">
        <f>VLOOKUP(D2571,Clientes!$A$2:$J$486,9,FALSE)</f>
        <v>Frecuente</v>
      </c>
      <c r="AB2571" s="13" t="str">
        <f>VLOOKUP(D2571,Clientes!$A$2:$K$486,11,FALSE)</f>
        <v>Persona Natural</v>
      </c>
      <c r="AC2571" s="13" t="str">
        <f>VLOOKUP(D2571,Clientes!$A$2:$B$486,2,FALSE)</f>
        <v>Jardines de la Viña</v>
      </c>
      <c r="AD2571" s="20"/>
      <c r="AE2571" s="20"/>
      <c r="AF2571" s="13" t="s">
        <v>40</v>
      </c>
      <c r="AG2571" s="15">
        <v>45352</v>
      </c>
      <c r="AH2571" s="13" t="s">
        <v>41</v>
      </c>
      <c r="AI2571" s="13" t="s">
        <v>53</v>
      </c>
      <c r="AJ2571" s="13" t="str">
        <f>VLOOKUP(E2571,Precios!Z$2:AA$941,2,FALSE)</f>
        <v>Toalla Papel NOVA 70 metros</v>
      </c>
      <c r="AK2571" s="14">
        <f>VLOOKUP(E2571,Precios!Z$2:BB$941,3,FALSE)*F2571</f>
        <v>-2</v>
      </c>
      <c r="AL2571" s="17"/>
      <c r="AM2571" s="17"/>
      <c r="AN2571" s="17"/>
      <c r="AO2571" s="17"/>
      <c r="AP2571" s="17"/>
      <c r="AQ2571" s="17"/>
      <c r="AR2571" s="17"/>
      <c r="AS2571" s="17"/>
      <c r="AT2571" s="17"/>
      <c r="AU2571" s="17"/>
      <c r="AV2571" s="17"/>
    </row>
    <row r="2572" spans="1:48" ht="15.75" customHeight="1">
      <c r="A2572" s="21" t="s">
        <v>53</v>
      </c>
      <c r="B2572" s="23" t="s">
        <v>1692</v>
      </c>
      <c r="C2572" s="22">
        <v>45738</v>
      </c>
      <c r="D2572" s="23" t="s">
        <v>189</v>
      </c>
      <c r="E2572" s="23" t="s">
        <v>150</v>
      </c>
      <c r="F2572" s="21">
        <v>1</v>
      </c>
      <c r="G2572" s="12">
        <v>1799.8965445892823</v>
      </c>
      <c r="H2572" s="12">
        <v>1799.8965445892823</v>
      </c>
      <c r="I2572" s="13" t="s">
        <v>52</v>
      </c>
      <c r="J2572" s="23" t="s">
        <v>61</v>
      </c>
      <c r="K2572" s="24" t="s">
        <v>177</v>
      </c>
      <c r="L2572" s="24">
        <v>118</v>
      </c>
      <c r="M2572" s="12">
        <v>1512.518104696876</v>
      </c>
      <c r="N2572" s="12">
        <v>1512.518104696876</v>
      </c>
      <c r="O2572" s="12">
        <v>287.37843989240628</v>
      </c>
      <c r="P2572" s="13"/>
      <c r="Q2572" s="14">
        <v>2025</v>
      </c>
      <c r="R2572" s="15">
        <v>45352</v>
      </c>
      <c r="S2572" s="11" t="s">
        <v>381</v>
      </c>
      <c r="T2572" s="16">
        <v>300</v>
      </c>
      <c r="U2572" s="17"/>
      <c r="V2572" s="12">
        <v>781.51810469687575</v>
      </c>
      <c r="W2572" s="12">
        <v>781.51810469687575</v>
      </c>
      <c r="X2572" s="12">
        <v>0</v>
      </c>
      <c r="Y2572" s="18">
        <v>45733</v>
      </c>
      <c r="Z2572" s="13" t="s">
        <v>501</v>
      </c>
      <c r="AA2572" s="19" t="str">
        <f>VLOOKUP(D2572,Clientes!$A$2:$J$486,9,FALSE)</f>
        <v>Frecuente</v>
      </c>
      <c r="AB2572" s="13" t="str">
        <f>VLOOKUP(D2572,Clientes!$A$2:$K$486,11,FALSE)</f>
        <v>Persona Natural</v>
      </c>
      <c r="AC2572" s="13" t="str">
        <f>VLOOKUP(D2572,Clientes!$A$2:$B$486,2,FALSE)</f>
        <v>Jardines de la Viña</v>
      </c>
      <c r="AD2572" s="20"/>
      <c r="AE2572" s="20"/>
      <c r="AF2572" s="13" t="s">
        <v>40</v>
      </c>
      <c r="AG2572" s="15">
        <v>45352</v>
      </c>
      <c r="AH2572" s="13" t="s">
        <v>41</v>
      </c>
      <c r="AI2572" s="13" t="s">
        <v>53</v>
      </c>
      <c r="AJ2572" s="13" t="str">
        <f>VLOOKUP(E2572,Precios!Z$2:AA$941,2,FALSE)</f>
        <v>Servilletas SOFTQUALITY 300 unidades</v>
      </c>
      <c r="AK2572" s="14">
        <f>VLOOKUP(E2572,Precios!Z$2:BB$941,3,FALSE)*F2572</f>
        <v>-1</v>
      </c>
      <c r="AL2572" s="17"/>
      <c r="AM2572" s="17"/>
      <c r="AN2572" s="17"/>
      <c r="AO2572" s="17"/>
      <c r="AP2572" s="17"/>
      <c r="AQ2572" s="17"/>
      <c r="AR2572" s="17"/>
      <c r="AS2572" s="17"/>
      <c r="AT2572" s="17"/>
      <c r="AU2572" s="17"/>
      <c r="AV2572" s="17"/>
    </row>
    <row r="2573" spans="1:48" ht="15.75" customHeight="1">
      <c r="A2573" s="21" t="s">
        <v>56</v>
      </c>
      <c r="B2573" s="23" t="s">
        <v>1692</v>
      </c>
      <c r="C2573" s="22">
        <v>45738</v>
      </c>
      <c r="D2573" s="23" t="s">
        <v>189</v>
      </c>
      <c r="E2573" s="23" t="s">
        <v>190</v>
      </c>
      <c r="F2573" s="21">
        <v>2</v>
      </c>
      <c r="G2573" s="12">
        <v>2500</v>
      </c>
      <c r="H2573" s="12">
        <v>5000</v>
      </c>
      <c r="I2573" s="13" t="s">
        <v>52</v>
      </c>
      <c r="J2573" s="23" t="s">
        <v>61</v>
      </c>
      <c r="K2573" s="24" t="s">
        <v>177</v>
      </c>
      <c r="L2573" s="24">
        <v>118</v>
      </c>
      <c r="M2573" s="12">
        <v>2100.840336134454</v>
      </c>
      <c r="N2573" s="12">
        <v>4201.680672268908</v>
      </c>
      <c r="O2573" s="12">
        <v>798.31932773109202</v>
      </c>
      <c r="P2573" s="13"/>
      <c r="Q2573" s="14">
        <v>2025</v>
      </c>
      <c r="R2573" s="15">
        <v>45352</v>
      </c>
      <c r="S2573" s="11" t="s">
        <v>492</v>
      </c>
      <c r="T2573" s="16">
        <v>400</v>
      </c>
      <c r="U2573" s="17"/>
      <c r="V2573" s="12">
        <v>1263.8655462184875</v>
      </c>
      <c r="W2573" s="12">
        <v>1263.8655462184875</v>
      </c>
      <c r="X2573" s="12">
        <v>0</v>
      </c>
      <c r="Y2573" s="18">
        <v>45733</v>
      </c>
      <c r="Z2573" s="13" t="s">
        <v>501</v>
      </c>
      <c r="AA2573" s="19" t="str">
        <f>VLOOKUP(D2573,Clientes!$A$2:$J$486,9,FALSE)</f>
        <v>Frecuente</v>
      </c>
      <c r="AB2573" s="13" t="str">
        <f>VLOOKUP(D2573,Clientes!$A$2:$K$486,11,FALSE)</f>
        <v>Persona Natural</v>
      </c>
      <c r="AC2573" s="13" t="str">
        <f>VLOOKUP(D2573,Clientes!$A$2:$B$486,2,FALSE)</f>
        <v>Jardines de la Viña</v>
      </c>
      <c r="AD2573" s="20"/>
      <c r="AE2573" s="20"/>
      <c r="AF2573" s="13" t="s">
        <v>40</v>
      </c>
      <c r="AG2573" s="15">
        <v>45352</v>
      </c>
      <c r="AH2573" s="13" t="s">
        <v>41</v>
      </c>
      <c r="AI2573" s="13" t="s">
        <v>56</v>
      </c>
      <c r="AJ2573" s="13" t="str">
        <f>VLOOKUP(E2573,Precios!Z$2:AA$941,2,FALSE)</f>
        <v>Mantequilla RUMAY</v>
      </c>
      <c r="AK2573" s="14">
        <f>VLOOKUP(E2573,Precios!Z$2:BB$941,3,FALSE)*F2573</f>
        <v>-2</v>
      </c>
      <c r="AL2573" s="17"/>
      <c r="AM2573" s="17"/>
      <c r="AN2573" s="17"/>
      <c r="AO2573" s="17"/>
      <c r="AP2573" s="17"/>
      <c r="AQ2573" s="17"/>
      <c r="AR2573" s="17"/>
      <c r="AS2573" s="17"/>
      <c r="AT2573" s="17"/>
      <c r="AU2573" s="17"/>
      <c r="AV2573" s="17"/>
    </row>
    <row r="2574" spans="1:48" ht="15.75" customHeight="1">
      <c r="A2574" s="21" t="s">
        <v>35</v>
      </c>
      <c r="B2574" s="23" t="s">
        <v>1692</v>
      </c>
      <c r="C2574" s="22">
        <v>45738</v>
      </c>
      <c r="D2574" s="23" t="s">
        <v>240</v>
      </c>
      <c r="E2574" s="23" t="s">
        <v>37</v>
      </c>
      <c r="F2574" s="21">
        <v>1</v>
      </c>
      <c r="G2574" s="12">
        <v>10500</v>
      </c>
      <c r="H2574" s="12">
        <v>10500</v>
      </c>
      <c r="I2574" s="13" t="s">
        <v>52</v>
      </c>
      <c r="J2574" s="23" t="s">
        <v>61</v>
      </c>
      <c r="K2574" s="24" t="s">
        <v>177</v>
      </c>
      <c r="L2574" s="24">
        <v>118</v>
      </c>
      <c r="M2574" s="12">
        <v>8823.5294117647063</v>
      </c>
      <c r="N2574" s="12">
        <v>8823.5294117647063</v>
      </c>
      <c r="O2574" s="12">
        <v>1676.4705882352937</v>
      </c>
      <c r="P2574" s="13"/>
      <c r="Q2574" s="14">
        <v>2025</v>
      </c>
      <c r="R2574" s="15">
        <v>45352</v>
      </c>
      <c r="S2574" s="11" t="s">
        <v>364</v>
      </c>
      <c r="T2574" s="16">
        <v>1000</v>
      </c>
      <c r="U2574" s="17"/>
      <c r="V2574" s="12">
        <v>2385.7142857142853</v>
      </c>
      <c r="W2574" s="12">
        <v>2385.7142857142853</v>
      </c>
      <c r="X2574" s="12">
        <v>0</v>
      </c>
      <c r="Y2574" s="18">
        <v>45733</v>
      </c>
      <c r="Z2574" s="13" t="s">
        <v>501</v>
      </c>
      <c r="AA2574" s="19" t="str">
        <f>VLOOKUP(D2574,Clientes!$A$2:$J$486,9,FALSE)</f>
        <v>Ocacional</v>
      </c>
      <c r="AB2574" s="13" t="str">
        <f>VLOOKUP(D2574,Clientes!$A$2:$K$486,11,FALSE)</f>
        <v>Persona Natural</v>
      </c>
      <c r="AC2574" s="13" t="str">
        <f>VLOOKUP(D2574,Clientes!$A$2:$B$486,2,FALSE)</f>
        <v>Jardines de la viña</v>
      </c>
      <c r="AD2574" s="20"/>
      <c r="AE2574" s="20"/>
      <c r="AF2574" s="13" t="s">
        <v>40</v>
      </c>
      <c r="AG2574" s="15">
        <v>45352</v>
      </c>
      <c r="AH2574" s="13" t="s">
        <v>41</v>
      </c>
      <c r="AI2574" s="13" t="s">
        <v>35</v>
      </c>
      <c r="AJ2574" s="13" t="str">
        <f>VLOOKUP(E2574,Precios!Z$2:AA$941,2,FALSE)</f>
        <v>Queso RUNCA Mantecoso</v>
      </c>
      <c r="AK2574" s="14">
        <f>VLOOKUP(E2574,Precios!Z$2:BB$941,3,FALSE)*F2574</f>
        <v>-1</v>
      </c>
      <c r="AL2574" s="17"/>
      <c r="AM2574" s="17"/>
      <c r="AN2574" s="17"/>
      <c r="AO2574" s="17"/>
      <c r="AP2574" s="17"/>
      <c r="AQ2574" s="17"/>
      <c r="AR2574" s="17"/>
      <c r="AS2574" s="17"/>
      <c r="AT2574" s="17"/>
      <c r="AU2574" s="17"/>
      <c r="AV2574" s="17"/>
    </row>
    <row r="2575" spans="1:48" ht="15.75" customHeight="1">
      <c r="A2575" s="21" t="s">
        <v>43</v>
      </c>
      <c r="B2575" s="23" t="s">
        <v>1692</v>
      </c>
      <c r="C2575" s="22">
        <v>45737</v>
      </c>
      <c r="D2575" s="23" t="s">
        <v>141</v>
      </c>
      <c r="E2575" s="23" t="s">
        <v>45</v>
      </c>
      <c r="F2575" s="21">
        <v>2</v>
      </c>
      <c r="G2575" s="12">
        <v>8299.7854333055202</v>
      </c>
      <c r="H2575" s="12">
        <v>16599.57086661104</v>
      </c>
      <c r="I2575" s="23" t="s">
        <v>52</v>
      </c>
      <c r="J2575" s="23" t="s">
        <v>61</v>
      </c>
      <c r="K2575" s="24" t="s">
        <v>177</v>
      </c>
      <c r="L2575" s="24">
        <v>117</v>
      </c>
      <c r="M2575" s="12">
        <v>6974.6096078197652</v>
      </c>
      <c r="N2575" s="12">
        <v>13949.21921563953</v>
      </c>
      <c r="O2575" s="12">
        <v>2650.35165097151</v>
      </c>
      <c r="P2575" s="13"/>
      <c r="Q2575" s="14">
        <v>2025</v>
      </c>
      <c r="R2575" s="15">
        <v>45352</v>
      </c>
      <c r="S2575" s="11" t="s">
        <v>355</v>
      </c>
      <c r="T2575" s="16">
        <v>0</v>
      </c>
      <c r="U2575" s="17"/>
      <c r="V2575" s="12">
        <v>2247.2192156395286</v>
      </c>
      <c r="W2575" s="12">
        <v>2247.2192156395286</v>
      </c>
      <c r="X2575" s="12">
        <v>0</v>
      </c>
      <c r="Y2575" s="18">
        <v>45733</v>
      </c>
      <c r="Z2575" s="13" t="s">
        <v>503</v>
      </c>
      <c r="AA2575" s="19" t="str">
        <f>VLOOKUP(D2575,Clientes!$A$2:$J$486,9,FALSE)</f>
        <v>Familiar</v>
      </c>
      <c r="AB2575" s="13" t="str">
        <f>VLOOKUP(D2575,Clientes!$A$2:$K$486,11,FALSE)</f>
        <v>Persona Natural</v>
      </c>
      <c r="AC2575" s="13" t="str">
        <f>VLOOKUP(D2575,Clientes!$A$2:$B$486,2,FALSE)</f>
        <v>Familiar</v>
      </c>
      <c r="AD2575" s="20"/>
      <c r="AE2575" s="20"/>
      <c r="AF2575" s="13" t="s">
        <v>40</v>
      </c>
      <c r="AG2575" s="15">
        <v>45352</v>
      </c>
      <c r="AH2575" s="13" t="s">
        <v>41</v>
      </c>
      <c r="AI2575" s="13" t="s">
        <v>43</v>
      </c>
      <c r="AJ2575" s="13" t="str">
        <f>VLOOKUP(E2575,Precios!Z$2:AA$941,2,FALSE)</f>
        <v>Bandeja Huevos EXTRA</v>
      </c>
      <c r="AK2575" s="14">
        <f>VLOOKUP(E2575,Precios!Z$2:BB$941,3,FALSE)*F2575</f>
        <v>-2</v>
      </c>
      <c r="AL2575" s="17"/>
      <c r="AM2575" s="17"/>
      <c r="AN2575" s="17"/>
      <c r="AO2575" s="17"/>
      <c r="AP2575" s="17"/>
      <c r="AQ2575" s="17"/>
      <c r="AR2575" s="17"/>
      <c r="AS2575" s="17"/>
      <c r="AT2575" s="17"/>
      <c r="AU2575" s="17"/>
      <c r="AV2575" s="17"/>
    </row>
    <row r="2576" spans="1:48" ht="15.75" customHeight="1">
      <c r="A2576" s="21" t="s">
        <v>35</v>
      </c>
      <c r="B2576" s="23" t="s">
        <v>1692</v>
      </c>
      <c r="C2576" s="22">
        <v>45737</v>
      </c>
      <c r="D2576" s="23" t="s">
        <v>572</v>
      </c>
      <c r="E2576" s="23" t="s">
        <v>650</v>
      </c>
      <c r="F2576" s="14">
        <v>1</v>
      </c>
      <c r="G2576" s="12">
        <v>9999.944524213548</v>
      </c>
      <c r="H2576" s="12">
        <v>9999.944524213548</v>
      </c>
      <c r="I2576" s="23" t="s">
        <v>52</v>
      </c>
      <c r="J2576" s="23" t="s">
        <v>61</v>
      </c>
      <c r="K2576" s="24" t="s">
        <v>177</v>
      </c>
      <c r="L2576" s="24">
        <v>117</v>
      </c>
      <c r="M2576" s="12">
        <v>8403.3147262298735</v>
      </c>
      <c r="N2576" s="12">
        <v>8403.3147262298735</v>
      </c>
      <c r="O2576" s="12">
        <v>1596.6297979836745</v>
      </c>
      <c r="P2576" s="13"/>
      <c r="Q2576" s="14">
        <v>2025</v>
      </c>
      <c r="R2576" s="15">
        <v>45352</v>
      </c>
      <c r="S2576" s="11" t="s">
        <v>364</v>
      </c>
      <c r="T2576" s="16">
        <v>950</v>
      </c>
      <c r="U2576" s="17"/>
      <c r="V2576" s="12">
        <v>2272.0962388349135</v>
      </c>
      <c r="W2576" s="12">
        <v>2272.0962388349135</v>
      </c>
      <c r="X2576" s="12">
        <v>0</v>
      </c>
      <c r="Y2576" s="18">
        <v>45733</v>
      </c>
      <c r="Z2576" s="13" t="s">
        <v>503</v>
      </c>
      <c r="AA2576" s="19" t="str">
        <f>VLOOKUP(D2576,Clientes!$A$2:$J$486,9,FALSE)</f>
        <v>Ocacional</v>
      </c>
      <c r="AB2576" s="13" t="str">
        <f>VLOOKUP(D2576,Clientes!$A$2:$K$486,11,FALSE)</f>
        <v>Persona Natural</v>
      </c>
      <c r="AC2576" s="13" t="str">
        <f>VLOOKUP(D2576,Clientes!$A$2:$B$486,2,FALSE)</f>
        <v>Marcela Paz</v>
      </c>
      <c r="AD2576" s="20"/>
      <c r="AE2576" s="20"/>
      <c r="AF2576" s="13" t="s">
        <v>40</v>
      </c>
      <c r="AG2576" s="15">
        <v>45352</v>
      </c>
      <c r="AH2576" s="13" t="s">
        <v>41</v>
      </c>
      <c r="AI2576" s="13" t="s">
        <v>35</v>
      </c>
      <c r="AJ2576" s="13" t="str">
        <f>VLOOKUP(E2576,Precios!Z$2:AA$941,2,FALSE)</f>
        <v>Queso RUNCA Mantecoso</v>
      </c>
      <c r="AK2576" s="14">
        <f>VLOOKUP(E2576,Precios!Z$2:BB$941,3,FALSE)*F2576</f>
        <v>-0.95</v>
      </c>
      <c r="AL2576" s="17"/>
      <c r="AM2576" s="17"/>
      <c r="AN2576" s="17"/>
      <c r="AO2576" s="17"/>
      <c r="AP2576" s="17"/>
      <c r="AQ2576" s="17"/>
      <c r="AR2576" s="17"/>
      <c r="AS2576" s="17"/>
      <c r="AT2576" s="17"/>
      <c r="AU2576" s="17"/>
      <c r="AV2576" s="17"/>
    </row>
    <row r="2577" spans="1:48" ht="15.75" customHeight="1">
      <c r="A2577" s="21" t="s">
        <v>35</v>
      </c>
      <c r="B2577" s="23" t="s">
        <v>1692</v>
      </c>
      <c r="C2577" s="22">
        <v>45737</v>
      </c>
      <c r="D2577" s="23" t="s">
        <v>572</v>
      </c>
      <c r="E2577" s="23" t="s">
        <v>160</v>
      </c>
      <c r="F2577" s="14">
        <v>1</v>
      </c>
      <c r="G2577" s="26">
        <v>-200</v>
      </c>
      <c r="H2577" s="12">
        <v>-200</v>
      </c>
      <c r="I2577" s="23" t="s">
        <v>52</v>
      </c>
      <c r="J2577" s="23" t="s">
        <v>61</v>
      </c>
      <c r="K2577" s="24" t="s">
        <v>177</v>
      </c>
      <c r="L2577" s="24">
        <v>117</v>
      </c>
      <c r="M2577" s="12">
        <v>-168.0672268907563</v>
      </c>
      <c r="N2577" s="12">
        <v>-168.0672268907563</v>
      </c>
      <c r="O2577" s="12">
        <v>-31.932773109243698</v>
      </c>
      <c r="P2577" s="13"/>
      <c r="Q2577" s="14">
        <v>2025</v>
      </c>
      <c r="R2577" s="15">
        <v>45352</v>
      </c>
      <c r="S2577" s="11" t="s">
        <v>160</v>
      </c>
      <c r="T2577" s="16">
        <v>1000</v>
      </c>
      <c r="U2577" s="17"/>
      <c r="V2577" s="26">
        <v>-200</v>
      </c>
      <c r="W2577" s="12">
        <v>-200</v>
      </c>
      <c r="X2577" s="12">
        <v>0</v>
      </c>
      <c r="Y2577" s="18">
        <v>45733</v>
      </c>
      <c r="Z2577" s="13" t="s">
        <v>503</v>
      </c>
      <c r="AA2577" s="19" t="str">
        <f>VLOOKUP(D2577,Clientes!$A$2:$J$486,9,FALSE)</f>
        <v>Ocacional</v>
      </c>
      <c r="AB2577" s="13" t="str">
        <f>VLOOKUP(D2577,Clientes!$A$2:$K$486,11,FALSE)</f>
        <v>Persona Natural</v>
      </c>
      <c r="AC2577" s="13" t="str">
        <f>VLOOKUP(D2577,Clientes!$A$2:$B$486,2,FALSE)</f>
        <v>Marcela Paz</v>
      </c>
      <c r="AD2577" s="20"/>
      <c r="AE2577" s="20"/>
      <c r="AF2577" s="13" t="s">
        <v>40</v>
      </c>
      <c r="AG2577" s="15">
        <v>45352</v>
      </c>
      <c r="AH2577" s="13" t="s">
        <v>41</v>
      </c>
      <c r="AI2577" s="13" t="s">
        <v>35</v>
      </c>
      <c r="AJ2577" s="13" t="str">
        <f>VLOOKUP(E2577,Precios!Z$2:AA$941,2,FALSE)</f>
        <v>Descuentos</v>
      </c>
      <c r="AK2577" s="14">
        <f>VLOOKUP(E2577,Precios!Z$2:BB$941,3,FALSE)*F2577</f>
        <v>-1</v>
      </c>
      <c r="AL2577" s="17"/>
      <c r="AM2577" s="17"/>
      <c r="AN2577" s="17"/>
      <c r="AO2577" s="17"/>
      <c r="AP2577" s="17"/>
      <c r="AQ2577" s="17"/>
      <c r="AR2577" s="17"/>
      <c r="AS2577" s="17"/>
      <c r="AT2577" s="17"/>
      <c r="AU2577" s="17"/>
      <c r="AV2577" s="17"/>
    </row>
    <row r="2578" spans="1:48" ht="15.75" customHeight="1">
      <c r="A2578" s="21" t="s">
        <v>35</v>
      </c>
      <c r="B2578" s="23" t="s">
        <v>1692</v>
      </c>
      <c r="C2578" s="22">
        <v>45737</v>
      </c>
      <c r="D2578" s="23" t="s">
        <v>235</v>
      </c>
      <c r="E2578" s="23" t="s">
        <v>46</v>
      </c>
      <c r="F2578" s="14">
        <v>1</v>
      </c>
      <c r="G2578" s="12">
        <v>5500</v>
      </c>
      <c r="H2578" s="12">
        <v>5500</v>
      </c>
      <c r="I2578" s="23" t="s">
        <v>52</v>
      </c>
      <c r="J2578" s="23" t="s">
        <v>61</v>
      </c>
      <c r="K2578" s="24" t="s">
        <v>177</v>
      </c>
      <c r="L2578" s="24">
        <v>117</v>
      </c>
      <c r="M2578" s="12">
        <v>4621.8487394957983</v>
      </c>
      <c r="N2578" s="12">
        <v>4621.8487394957983</v>
      </c>
      <c r="O2578" s="12">
        <v>878.15126050420167</v>
      </c>
      <c r="P2578" s="13"/>
      <c r="Q2578" s="14">
        <v>2025</v>
      </c>
      <c r="R2578" s="15">
        <v>45352</v>
      </c>
      <c r="S2578" s="11" t="s">
        <v>364</v>
      </c>
      <c r="T2578" s="16">
        <v>500</v>
      </c>
      <c r="U2578" s="17"/>
      <c r="V2578" s="12">
        <v>1365.1260504201678</v>
      </c>
      <c r="W2578" s="12">
        <v>1365.1260504201678</v>
      </c>
      <c r="X2578" s="12">
        <v>0</v>
      </c>
      <c r="Y2578" s="18">
        <v>45733</v>
      </c>
      <c r="Z2578" s="13" t="s">
        <v>503</v>
      </c>
      <c r="AA2578" s="19" t="str">
        <f>VLOOKUP(D2578,Clientes!$A$2:$J$486,9,FALSE)</f>
        <v>Familiar</v>
      </c>
      <c r="AB2578" s="13" t="str">
        <f>VLOOKUP(D2578,Clientes!$A$2:$K$486,11,FALSE)</f>
        <v>Persona Natural</v>
      </c>
      <c r="AC2578" s="13" t="str">
        <f>VLOOKUP(D2578,Clientes!$A$2:$B$486,2,FALSE)</f>
        <v>Familiar</v>
      </c>
      <c r="AD2578" s="20"/>
      <c r="AE2578" s="20"/>
      <c r="AF2578" s="13" t="s">
        <v>40</v>
      </c>
      <c r="AG2578" s="15">
        <v>45352</v>
      </c>
      <c r="AH2578" s="13" t="s">
        <v>41</v>
      </c>
      <c r="AI2578" s="13" t="s">
        <v>35</v>
      </c>
      <c r="AJ2578" s="13" t="str">
        <f>VLOOKUP(E2578,Precios!Z$2:AA$941,2,FALSE)</f>
        <v>Queso RUNCA Mantecoso</v>
      </c>
      <c r="AK2578" s="14">
        <f>VLOOKUP(E2578,Precios!Z$2:BB$941,3,FALSE)*F2578</f>
        <v>-0.5</v>
      </c>
      <c r="AL2578" s="17"/>
      <c r="AM2578" s="17"/>
      <c r="AN2578" s="17"/>
      <c r="AO2578" s="17"/>
      <c r="AP2578" s="17"/>
      <c r="AQ2578" s="17"/>
      <c r="AR2578" s="17"/>
      <c r="AS2578" s="17"/>
      <c r="AT2578" s="17"/>
      <c r="AU2578" s="17"/>
      <c r="AV2578" s="17"/>
    </row>
    <row r="2579" spans="1:48" ht="15.75" customHeight="1">
      <c r="A2579" s="21" t="s">
        <v>35</v>
      </c>
      <c r="B2579" s="23" t="s">
        <v>1692</v>
      </c>
      <c r="C2579" s="22">
        <v>45737</v>
      </c>
      <c r="D2579" s="23" t="s">
        <v>235</v>
      </c>
      <c r="E2579" s="23" t="s">
        <v>311</v>
      </c>
      <c r="F2579" s="14">
        <v>1</v>
      </c>
      <c r="G2579" s="12">
        <v>3000.0000000000005</v>
      </c>
      <c r="H2579" s="12">
        <v>3000.0000000000005</v>
      </c>
      <c r="I2579" s="23" t="s">
        <v>52</v>
      </c>
      <c r="J2579" s="23" t="s">
        <v>61</v>
      </c>
      <c r="K2579" s="24" t="s">
        <v>177</v>
      </c>
      <c r="L2579" s="24">
        <v>117</v>
      </c>
      <c r="M2579" s="12">
        <v>2521.0084033613452</v>
      </c>
      <c r="N2579" s="12">
        <v>2521.0084033613452</v>
      </c>
      <c r="O2579" s="12">
        <v>478.99159663865521</v>
      </c>
      <c r="P2579" s="13"/>
      <c r="Q2579" s="14">
        <v>2025</v>
      </c>
      <c r="R2579" s="15">
        <v>45352</v>
      </c>
      <c r="S2579" s="11" t="s">
        <v>364</v>
      </c>
      <c r="T2579" s="16">
        <v>250</v>
      </c>
      <c r="U2579" s="17"/>
      <c r="V2579" s="12">
        <v>837.18487394957992</v>
      </c>
      <c r="W2579" s="12">
        <v>837.18487394957992</v>
      </c>
      <c r="X2579" s="12">
        <v>0</v>
      </c>
      <c r="Y2579" s="18">
        <v>45733</v>
      </c>
      <c r="Z2579" s="13" t="s">
        <v>503</v>
      </c>
      <c r="AA2579" s="19" t="str">
        <f>VLOOKUP(D2579,Clientes!$A$2:$J$486,9,FALSE)</f>
        <v>Familiar</v>
      </c>
      <c r="AB2579" s="13" t="str">
        <f>VLOOKUP(D2579,Clientes!$A$2:$K$486,11,FALSE)</f>
        <v>Persona Natural</v>
      </c>
      <c r="AC2579" s="13" t="str">
        <f>VLOOKUP(D2579,Clientes!$A$2:$B$486,2,FALSE)</f>
        <v>Familiar</v>
      </c>
      <c r="AD2579" s="20"/>
      <c r="AE2579" s="20"/>
      <c r="AF2579" s="13" t="s">
        <v>40</v>
      </c>
      <c r="AG2579" s="15">
        <v>45352</v>
      </c>
      <c r="AH2579" s="13" t="s">
        <v>41</v>
      </c>
      <c r="AI2579" s="13" t="s">
        <v>35</v>
      </c>
      <c r="AJ2579" s="13" t="str">
        <f>VLOOKUP(E2579,Precios!Z$2:AA$941,2,FALSE)</f>
        <v>Queso RUNCA Mantecoso</v>
      </c>
      <c r="AK2579" s="14">
        <f>VLOOKUP(E2579,Precios!Z$2:BB$941,3,FALSE)*F2579</f>
        <v>-0.25</v>
      </c>
      <c r="AL2579" s="17"/>
      <c r="AM2579" s="17"/>
      <c r="AN2579" s="17"/>
      <c r="AO2579" s="17"/>
      <c r="AP2579" s="17"/>
      <c r="AQ2579" s="17"/>
      <c r="AR2579" s="17"/>
      <c r="AS2579" s="17"/>
      <c r="AT2579" s="17"/>
      <c r="AU2579" s="17"/>
      <c r="AV2579" s="17"/>
    </row>
    <row r="2580" spans="1:48" ht="15.75" customHeight="1">
      <c r="A2580" s="21" t="s">
        <v>35</v>
      </c>
      <c r="B2580" s="23" t="s">
        <v>1692</v>
      </c>
      <c r="C2580" s="22">
        <v>45737</v>
      </c>
      <c r="D2580" s="23" t="s">
        <v>235</v>
      </c>
      <c r="E2580" s="23" t="s">
        <v>160</v>
      </c>
      <c r="F2580" s="14">
        <v>1</v>
      </c>
      <c r="G2580" s="26">
        <v>-500</v>
      </c>
      <c r="H2580" s="12">
        <v>-500</v>
      </c>
      <c r="I2580" s="23" t="s">
        <v>52</v>
      </c>
      <c r="J2580" s="23" t="s">
        <v>61</v>
      </c>
      <c r="K2580" s="24" t="s">
        <v>177</v>
      </c>
      <c r="L2580" s="24">
        <v>117</v>
      </c>
      <c r="M2580" s="12">
        <v>-420.1680672268908</v>
      </c>
      <c r="N2580" s="12">
        <v>-420.1680672268908</v>
      </c>
      <c r="O2580" s="12">
        <v>-79.831932773109202</v>
      </c>
      <c r="P2580" s="13"/>
      <c r="Q2580" s="14">
        <v>2025</v>
      </c>
      <c r="R2580" s="15">
        <v>45352</v>
      </c>
      <c r="S2580" s="11" t="s">
        <v>160</v>
      </c>
      <c r="T2580" s="16">
        <v>1000</v>
      </c>
      <c r="U2580" s="17"/>
      <c r="V2580" s="26">
        <v>-500</v>
      </c>
      <c r="W2580" s="12">
        <v>-500</v>
      </c>
      <c r="X2580" s="12">
        <v>0</v>
      </c>
      <c r="Y2580" s="18">
        <v>45733</v>
      </c>
      <c r="Z2580" s="13" t="s">
        <v>503</v>
      </c>
      <c r="AA2580" s="19" t="str">
        <f>VLOOKUP(D2580,Clientes!$A$2:$J$486,9,FALSE)</f>
        <v>Familiar</v>
      </c>
      <c r="AB2580" s="13" t="str">
        <f>VLOOKUP(D2580,Clientes!$A$2:$K$486,11,FALSE)</f>
        <v>Persona Natural</v>
      </c>
      <c r="AC2580" s="13" t="str">
        <f>VLOOKUP(D2580,Clientes!$A$2:$B$486,2,FALSE)</f>
        <v>Familiar</v>
      </c>
      <c r="AD2580" s="20"/>
      <c r="AE2580" s="20"/>
      <c r="AF2580" s="13" t="s">
        <v>40</v>
      </c>
      <c r="AG2580" s="15">
        <v>45352</v>
      </c>
      <c r="AH2580" s="13" t="s">
        <v>41</v>
      </c>
      <c r="AI2580" s="13" t="s">
        <v>35</v>
      </c>
      <c r="AJ2580" s="13" t="str">
        <f>VLOOKUP(E2580,Precios!Z$2:AA$941,2,FALSE)</f>
        <v>Descuentos</v>
      </c>
      <c r="AK2580" s="14">
        <f>VLOOKUP(E2580,Precios!Z$2:BB$941,3,FALSE)*F2580</f>
        <v>-1</v>
      </c>
      <c r="AL2580" s="17"/>
      <c r="AM2580" s="17"/>
      <c r="AN2580" s="17"/>
      <c r="AO2580" s="17"/>
      <c r="AP2580" s="17"/>
      <c r="AQ2580" s="17"/>
      <c r="AR2580" s="17"/>
      <c r="AS2580" s="17"/>
      <c r="AT2580" s="17"/>
      <c r="AU2580" s="17"/>
      <c r="AV2580" s="17"/>
    </row>
    <row r="2581" spans="1:48" ht="15.75" customHeight="1">
      <c r="A2581" s="21" t="s">
        <v>56</v>
      </c>
      <c r="B2581" s="23" t="s">
        <v>1692</v>
      </c>
      <c r="C2581" s="22">
        <v>45737</v>
      </c>
      <c r="D2581" s="23" t="s">
        <v>235</v>
      </c>
      <c r="E2581" s="23" t="s">
        <v>524</v>
      </c>
      <c r="F2581" s="14">
        <v>1</v>
      </c>
      <c r="G2581" s="12">
        <v>4300</v>
      </c>
      <c r="H2581" s="12">
        <v>4300</v>
      </c>
      <c r="I2581" s="23" t="s">
        <v>52</v>
      </c>
      <c r="J2581" s="23" t="s">
        <v>61</v>
      </c>
      <c r="K2581" s="24" t="s">
        <v>177</v>
      </c>
      <c r="L2581" s="24">
        <v>117</v>
      </c>
      <c r="M2581" s="12">
        <v>3613.4453781512607</v>
      </c>
      <c r="N2581" s="12">
        <v>3613.4453781512607</v>
      </c>
      <c r="O2581" s="12">
        <v>686.55462184873932</v>
      </c>
      <c r="P2581" s="13"/>
      <c r="Q2581" s="14">
        <v>2025</v>
      </c>
      <c r="R2581" s="15">
        <v>45352</v>
      </c>
      <c r="S2581" s="11" t="s">
        <v>429</v>
      </c>
      <c r="T2581" s="16">
        <v>200</v>
      </c>
      <c r="U2581" s="17"/>
      <c r="V2581" s="12">
        <v>1135.294117647059</v>
      </c>
      <c r="W2581" s="12">
        <v>1135.294117647059</v>
      </c>
      <c r="X2581" s="12">
        <v>0</v>
      </c>
      <c r="Y2581" s="18">
        <v>45733</v>
      </c>
      <c r="Z2581" s="13" t="s">
        <v>503</v>
      </c>
      <c r="AA2581" s="19" t="str">
        <f>VLOOKUP(D2581,Clientes!$A$2:$J$486,9,FALSE)</f>
        <v>Familiar</v>
      </c>
      <c r="AB2581" s="13" t="str">
        <f>VLOOKUP(D2581,Clientes!$A$2:$K$486,11,FALSE)</f>
        <v>Persona Natural</v>
      </c>
      <c r="AC2581" s="13" t="str">
        <f>VLOOKUP(D2581,Clientes!$A$2:$B$486,2,FALSE)</f>
        <v>Familiar</v>
      </c>
      <c r="AD2581" s="20"/>
      <c r="AE2581" s="20"/>
      <c r="AF2581" s="13" t="s">
        <v>40</v>
      </c>
      <c r="AG2581" s="15">
        <v>45352</v>
      </c>
      <c r="AH2581" s="13" t="s">
        <v>41</v>
      </c>
      <c r="AI2581" s="13" t="s">
        <v>56</v>
      </c>
      <c r="AJ2581" s="13" t="str">
        <f>VLOOKUP(E2581,Precios!Z$2:AA$941,2,FALSE)</f>
        <v>Queso Cabra</v>
      </c>
      <c r="AK2581" s="14">
        <f>VLOOKUP(E2581,Precios!Z$2:BB$941,3,FALSE)*F2581</f>
        <v>-1</v>
      </c>
      <c r="AL2581" s="17"/>
      <c r="AM2581" s="17"/>
      <c r="AN2581" s="17"/>
      <c r="AO2581" s="17"/>
      <c r="AP2581" s="17"/>
      <c r="AQ2581" s="17"/>
      <c r="AR2581" s="17"/>
      <c r="AS2581" s="17"/>
      <c r="AT2581" s="17"/>
      <c r="AU2581" s="17"/>
      <c r="AV2581" s="17"/>
    </row>
    <row r="2582" spans="1:48" ht="15.75" customHeight="1">
      <c r="A2582" s="21" t="s">
        <v>139</v>
      </c>
      <c r="B2582" s="23" t="s">
        <v>1692</v>
      </c>
      <c r="C2582" s="22">
        <v>45737</v>
      </c>
      <c r="D2582" s="23" t="s">
        <v>236</v>
      </c>
      <c r="E2582" s="23" t="s">
        <v>720</v>
      </c>
      <c r="F2582" s="14">
        <v>1</v>
      </c>
      <c r="G2582" s="12">
        <v>2200</v>
      </c>
      <c r="H2582" s="12">
        <v>2200</v>
      </c>
      <c r="I2582" s="23" t="s">
        <v>52</v>
      </c>
      <c r="J2582" s="23" t="s">
        <v>61</v>
      </c>
      <c r="K2582" s="24" t="s">
        <v>177</v>
      </c>
      <c r="L2582" s="24">
        <v>117</v>
      </c>
      <c r="M2582" s="12">
        <v>1848.7394957983195</v>
      </c>
      <c r="N2582" s="12">
        <v>1848.7394957983195</v>
      </c>
      <c r="O2582" s="12">
        <v>351.26050420168053</v>
      </c>
      <c r="P2582" s="13"/>
      <c r="Q2582" s="14">
        <v>2025</v>
      </c>
      <c r="R2582" s="15">
        <v>45352</v>
      </c>
      <c r="S2582" s="11" t="s">
        <v>721</v>
      </c>
      <c r="T2582" s="16">
        <v>1000</v>
      </c>
      <c r="U2582" s="17"/>
      <c r="V2582" s="12">
        <v>768.06722689075627</v>
      </c>
      <c r="W2582" s="12">
        <v>768.06722689075627</v>
      </c>
      <c r="X2582" s="12">
        <v>0</v>
      </c>
      <c r="Y2582" s="18">
        <v>45733</v>
      </c>
      <c r="Z2582" s="13" t="s">
        <v>503</v>
      </c>
      <c r="AA2582" s="19" t="str">
        <f>VLOOKUP(D2582,Clientes!$A$2:$J$486,9,FALSE)</f>
        <v>Familiar</v>
      </c>
      <c r="AB2582" s="13" t="str">
        <f>VLOOKUP(D2582,Clientes!$A$2:$K$486,11,FALSE)</f>
        <v>Persona Natural</v>
      </c>
      <c r="AC2582" s="13" t="str">
        <f>VLOOKUP(D2582,Clientes!$A$2:$B$486,2,FALSE)</f>
        <v>Familiar</v>
      </c>
      <c r="AD2582" s="20"/>
      <c r="AE2582" s="20"/>
      <c r="AF2582" s="13" t="s">
        <v>40</v>
      </c>
      <c r="AG2582" s="15">
        <v>45352</v>
      </c>
      <c r="AH2582" s="13" t="s">
        <v>41</v>
      </c>
      <c r="AI2582" s="13" t="s">
        <v>139</v>
      </c>
      <c r="AJ2582" s="13">
        <f>VLOOKUP(E2582,Precios!Z$2:AA$941,2,FALSE)</f>
        <v>0</v>
      </c>
      <c r="AK2582" s="14">
        <f>VLOOKUP(E2582,Precios!Z$2:BB$941,3,FALSE)*F2582</f>
        <v>0</v>
      </c>
      <c r="AL2582" s="17"/>
      <c r="AM2582" s="17"/>
      <c r="AN2582" s="17"/>
      <c r="AO2582" s="17"/>
      <c r="AP2582" s="17"/>
      <c r="AQ2582" s="17"/>
      <c r="AR2582" s="17"/>
      <c r="AS2582" s="17"/>
      <c r="AT2582" s="17"/>
      <c r="AU2582" s="17"/>
      <c r="AV2582" s="17"/>
    </row>
    <row r="2583" spans="1:48" ht="15.75" customHeight="1">
      <c r="A2583" s="21" t="s">
        <v>139</v>
      </c>
      <c r="B2583" s="23" t="s">
        <v>1692</v>
      </c>
      <c r="C2583" s="22">
        <v>45737</v>
      </c>
      <c r="D2583" s="23" t="s">
        <v>236</v>
      </c>
      <c r="E2583" s="23" t="s">
        <v>160</v>
      </c>
      <c r="F2583" s="14">
        <v>1</v>
      </c>
      <c r="G2583" s="26">
        <v>-200</v>
      </c>
      <c r="H2583" s="12">
        <v>-200</v>
      </c>
      <c r="I2583" s="23" t="s">
        <v>52</v>
      </c>
      <c r="J2583" s="23" t="s">
        <v>61</v>
      </c>
      <c r="K2583" s="24" t="s">
        <v>177</v>
      </c>
      <c r="L2583" s="24">
        <v>117</v>
      </c>
      <c r="M2583" s="12">
        <v>-168.0672268907563</v>
      </c>
      <c r="N2583" s="12">
        <v>-168.0672268907563</v>
      </c>
      <c r="O2583" s="12">
        <v>-31.932773109243698</v>
      </c>
      <c r="P2583" s="13"/>
      <c r="Q2583" s="14">
        <v>2025</v>
      </c>
      <c r="R2583" s="15">
        <v>45352</v>
      </c>
      <c r="S2583" s="11" t="s">
        <v>160</v>
      </c>
      <c r="T2583" s="16">
        <v>1000</v>
      </c>
      <c r="U2583" s="17"/>
      <c r="V2583" s="26">
        <v>-200</v>
      </c>
      <c r="W2583" s="12">
        <v>-200</v>
      </c>
      <c r="X2583" s="12">
        <v>0</v>
      </c>
      <c r="Y2583" s="18">
        <v>45733</v>
      </c>
      <c r="Z2583" s="13" t="s">
        <v>503</v>
      </c>
      <c r="AA2583" s="19" t="str">
        <f>VLOOKUP(D2583,Clientes!$A$2:$J$486,9,FALSE)</f>
        <v>Familiar</v>
      </c>
      <c r="AB2583" s="13" t="str">
        <f>VLOOKUP(D2583,Clientes!$A$2:$K$486,11,FALSE)</f>
        <v>Persona Natural</v>
      </c>
      <c r="AC2583" s="13" t="str">
        <f>VLOOKUP(D2583,Clientes!$A$2:$B$486,2,FALSE)</f>
        <v>Familiar</v>
      </c>
      <c r="AD2583" s="20"/>
      <c r="AE2583" s="20"/>
      <c r="AF2583" s="13" t="s">
        <v>40</v>
      </c>
      <c r="AG2583" s="15">
        <v>45352</v>
      </c>
      <c r="AH2583" s="13" t="s">
        <v>41</v>
      </c>
      <c r="AI2583" s="13" t="s">
        <v>139</v>
      </c>
      <c r="AJ2583" s="13" t="str">
        <f>VLOOKUP(E2583,Precios!Z$2:AA$941,2,FALSE)</f>
        <v>Descuentos</v>
      </c>
      <c r="AK2583" s="14">
        <f>VLOOKUP(E2583,Precios!Z$2:BB$941,3,FALSE)*F2583</f>
        <v>-1</v>
      </c>
      <c r="AL2583" s="17"/>
      <c r="AM2583" s="17"/>
      <c r="AN2583" s="17"/>
      <c r="AO2583" s="17"/>
      <c r="AP2583" s="17"/>
      <c r="AQ2583" s="17"/>
      <c r="AR2583" s="17"/>
      <c r="AS2583" s="17"/>
      <c r="AT2583" s="17"/>
      <c r="AU2583" s="17"/>
      <c r="AV2583" s="17"/>
    </row>
    <row r="2584" spans="1:48" ht="15.75" customHeight="1">
      <c r="A2584" s="21" t="s">
        <v>53</v>
      </c>
      <c r="B2584" s="23" t="s">
        <v>1692</v>
      </c>
      <c r="C2584" s="22">
        <v>45737</v>
      </c>
      <c r="D2584" s="23" t="s">
        <v>236</v>
      </c>
      <c r="E2584" s="23" t="s">
        <v>192</v>
      </c>
      <c r="F2584" s="14">
        <v>1</v>
      </c>
      <c r="G2584" s="12">
        <v>15990.211345939933</v>
      </c>
      <c r="H2584" s="12">
        <v>15990.211345939933</v>
      </c>
      <c r="I2584" s="23" t="s">
        <v>52</v>
      </c>
      <c r="J2584" s="23" t="s">
        <v>61</v>
      </c>
      <c r="K2584" s="24" t="s">
        <v>177</v>
      </c>
      <c r="L2584" s="24">
        <v>117</v>
      </c>
      <c r="M2584" s="12">
        <v>13437.152391546164</v>
      </c>
      <c r="N2584" s="12">
        <v>13437.152391546164</v>
      </c>
      <c r="O2584" s="12">
        <v>2553.0589543937695</v>
      </c>
      <c r="P2584" s="13"/>
      <c r="Q2584" s="14">
        <v>2025</v>
      </c>
      <c r="R2584" s="15">
        <v>45352</v>
      </c>
      <c r="S2584" s="11" t="s">
        <v>435</v>
      </c>
      <c r="T2584" s="16">
        <v>0</v>
      </c>
      <c r="U2584" s="17"/>
      <c r="V2584" s="12">
        <v>3773.1523915461621</v>
      </c>
      <c r="W2584" s="12">
        <v>3773.1523915461621</v>
      </c>
      <c r="X2584" s="12">
        <v>0</v>
      </c>
      <c r="Y2584" s="18">
        <v>45733</v>
      </c>
      <c r="Z2584" s="13" t="s">
        <v>503</v>
      </c>
      <c r="AA2584" s="19" t="str">
        <f>VLOOKUP(D2584,Clientes!$A$2:$J$486,9,FALSE)</f>
        <v>Familiar</v>
      </c>
      <c r="AB2584" s="13" t="str">
        <f>VLOOKUP(D2584,Clientes!$A$2:$K$486,11,FALSE)</f>
        <v>Persona Natural</v>
      </c>
      <c r="AC2584" s="13" t="str">
        <f>VLOOKUP(D2584,Clientes!$A$2:$B$486,2,FALSE)</f>
        <v>Familiar</v>
      </c>
      <c r="AD2584" s="20"/>
      <c r="AE2584" s="20"/>
      <c r="AF2584" s="13" t="s">
        <v>40</v>
      </c>
      <c r="AG2584" s="15">
        <v>45352</v>
      </c>
      <c r="AH2584" s="13" t="s">
        <v>41</v>
      </c>
      <c r="AI2584" s="13" t="s">
        <v>53</v>
      </c>
      <c r="AJ2584" s="13" t="str">
        <f>VLOOKUP(E2584,Precios!Z$2:AA$941,2,FALSE)</f>
        <v>Papel Higienico SWAN 400 hojas</v>
      </c>
      <c r="AK2584" s="14">
        <f>VLOOKUP(E2584,Precios!Z$2:BB$941,3,FALSE)*F2584</f>
        <v>-8</v>
      </c>
      <c r="AL2584" s="17"/>
      <c r="AM2584" s="17"/>
      <c r="AN2584" s="17"/>
      <c r="AO2584" s="17"/>
      <c r="AP2584" s="17"/>
      <c r="AQ2584" s="17"/>
      <c r="AR2584" s="17"/>
      <c r="AS2584" s="17"/>
      <c r="AT2584" s="17"/>
      <c r="AU2584" s="17"/>
      <c r="AV2584" s="17"/>
    </row>
    <row r="2585" spans="1:48" ht="15.75" customHeight="1">
      <c r="A2585" s="21" t="s">
        <v>43</v>
      </c>
      <c r="B2585" s="23" t="s">
        <v>1692</v>
      </c>
      <c r="C2585" s="22">
        <v>45737</v>
      </c>
      <c r="D2585" s="23" t="s">
        <v>126</v>
      </c>
      <c r="E2585" s="23" t="s">
        <v>45</v>
      </c>
      <c r="F2585" s="14">
        <v>1</v>
      </c>
      <c r="G2585" s="12">
        <v>8299.7854333055202</v>
      </c>
      <c r="H2585" s="12">
        <v>8299.7854333055202</v>
      </c>
      <c r="I2585" s="23" t="s">
        <v>52</v>
      </c>
      <c r="J2585" s="23" t="s">
        <v>61</v>
      </c>
      <c r="K2585" s="24" t="s">
        <v>177</v>
      </c>
      <c r="L2585" s="24">
        <v>117</v>
      </c>
      <c r="M2585" s="12">
        <v>6974.6096078197652</v>
      </c>
      <c r="N2585" s="12">
        <v>6974.6096078197652</v>
      </c>
      <c r="O2585" s="12">
        <v>1325.175825485755</v>
      </c>
      <c r="P2585" s="13"/>
      <c r="Q2585" s="14">
        <v>2025</v>
      </c>
      <c r="R2585" s="15">
        <v>45352</v>
      </c>
      <c r="S2585" s="11" t="s">
        <v>355</v>
      </c>
      <c r="T2585" s="16">
        <v>0</v>
      </c>
      <c r="U2585" s="17"/>
      <c r="V2585" s="12">
        <v>1123.6096078197643</v>
      </c>
      <c r="W2585" s="12">
        <v>1123.6096078197643</v>
      </c>
      <c r="X2585" s="12">
        <v>0</v>
      </c>
      <c r="Y2585" s="18">
        <v>45733</v>
      </c>
      <c r="Z2585" s="13" t="s">
        <v>503</v>
      </c>
      <c r="AA2585" s="19" t="str">
        <f>VLOOKUP(D2585,Clientes!$A$2:$J$486,9,FALSE)</f>
        <v>Frecuente</v>
      </c>
      <c r="AB2585" s="13" t="str">
        <f>VLOOKUP(D2585,Clientes!$A$2:$K$486,11,FALSE)</f>
        <v>Persona Natural</v>
      </c>
      <c r="AC2585" s="13" t="str">
        <f>VLOOKUP(D2585,Clientes!$A$2:$B$486,2,FALSE)</f>
        <v>Jardines de la Viña</v>
      </c>
      <c r="AD2585" s="20"/>
      <c r="AE2585" s="20"/>
      <c r="AF2585" s="13" t="s">
        <v>40</v>
      </c>
      <c r="AG2585" s="15">
        <v>45352</v>
      </c>
      <c r="AH2585" s="13" t="s">
        <v>41</v>
      </c>
      <c r="AI2585" s="13" t="s">
        <v>43</v>
      </c>
      <c r="AJ2585" s="13" t="str">
        <f>VLOOKUP(E2585,Precios!Z$2:AA$941,2,FALSE)</f>
        <v>Bandeja Huevos EXTRA</v>
      </c>
      <c r="AK2585" s="14">
        <f>VLOOKUP(E2585,Precios!Z$2:BB$941,3,FALSE)*F2585</f>
        <v>-1</v>
      </c>
      <c r="AL2585" s="17"/>
      <c r="AM2585" s="17"/>
      <c r="AN2585" s="17"/>
      <c r="AO2585" s="17"/>
      <c r="AP2585" s="17"/>
      <c r="AQ2585" s="17"/>
      <c r="AR2585" s="17"/>
      <c r="AS2585" s="17"/>
      <c r="AT2585" s="17"/>
      <c r="AU2585" s="17"/>
      <c r="AV2585" s="17"/>
    </row>
    <row r="2586" spans="1:48" ht="15.75" customHeight="1">
      <c r="A2586" s="21" t="s">
        <v>53</v>
      </c>
      <c r="B2586" s="23" t="s">
        <v>1692</v>
      </c>
      <c r="C2586" s="22">
        <v>45737</v>
      </c>
      <c r="D2586" s="23" t="s">
        <v>126</v>
      </c>
      <c r="E2586" s="23" t="s">
        <v>69</v>
      </c>
      <c r="F2586" s="14">
        <v>1</v>
      </c>
      <c r="G2586" s="12">
        <v>2999.9553810458683</v>
      </c>
      <c r="H2586" s="12">
        <v>2999.9553810458683</v>
      </c>
      <c r="I2586" s="23" t="s">
        <v>52</v>
      </c>
      <c r="J2586" s="23" t="s">
        <v>61</v>
      </c>
      <c r="K2586" s="24" t="s">
        <v>177</v>
      </c>
      <c r="L2586" s="24">
        <v>117</v>
      </c>
      <c r="M2586" s="12">
        <v>2520.9709084419064</v>
      </c>
      <c r="N2586" s="12">
        <v>2520.9709084419064</v>
      </c>
      <c r="O2586" s="12">
        <v>478.98447260396188</v>
      </c>
      <c r="P2586" s="13"/>
      <c r="Q2586" s="14">
        <v>2025</v>
      </c>
      <c r="R2586" s="15">
        <v>45352</v>
      </c>
      <c r="S2586" s="11" t="s">
        <v>376</v>
      </c>
      <c r="T2586" s="16">
        <v>0</v>
      </c>
      <c r="U2586" s="17"/>
      <c r="V2586" s="12">
        <v>825.97090844190598</v>
      </c>
      <c r="W2586" s="12">
        <v>825.97090844190598</v>
      </c>
      <c r="X2586" s="12">
        <v>0</v>
      </c>
      <c r="Y2586" s="18">
        <v>45733</v>
      </c>
      <c r="Z2586" s="13" t="s">
        <v>503</v>
      </c>
      <c r="AA2586" s="19" t="str">
        <f>VLOOKUP(D2586,Clientes!$A$2:$J$486,9,FALSE)</f>
        <v>Frecuente</v>
      </c>
      <c r="AB2586" s="13" t="str">
        <f>VLOOKUP(D2586,Clientes!$A$2:$K$486,11,FALSE)</f>
        <v>Persona Natural</v>
      </c>
      <c r="AC2586" s="13" t="str">
        <f>VLOOKUP(D2586,Clientes!$A$2:$B$486,2,FALSE)</f>
        <v>Jardines de la Viña</v>
      </c>
      <c r="AD2586" s="20"/>
      <c r="AE2586" s="20"/>
      <c r="AF2586" s="13" t="s">
        <v>40</v>
      </c>
      <c r="AG2586" s="15">
        <v>45352</v>
      </c>
      <c r="AH2586" s="13" t="s">
        <v>41</v>
      </c>
      <c r="AI2586" s="13" t="s">
        <v>53</v>
      </c>
      <c r="AJ2586" s="13" t="str">
        <f>VLOOKUP(E2586,Precios!Z$2:AA$941,2,FALSE)</f>
        <v>Toalla Papel NOVA 70 metros</v>
      </c>
      <c r="AK2586" s="14">
        <f>VLOOKUP(E2586,Precios!Z$2:BB$941,3,FALSE)*F2586</f>
        <v>-1</v>
      </c>
      <c r="AL2586" s="17"/>
      <c r="AM2586" s="17"/>
      <c r="AN2586" s="17"/>
      <c r="AO2586" s="17"/>
      <c r="AP2586" s="17"/>
      <c r="AQ2586" s="17"/>
      <c r="AR2586" s="17"/>
      <c r="AS2586" s="17"/>
      <c r="AT2586" s="17"/>
      <c r="AU2586" s="17"/>
      <c r="AV2586" s="17"/>
    </row>
    <row r="2587" spans="1:48" ht="15.75" customHeight="1">
      <c r="A2587" s="21" t="s">
        <v>76</v>
      </c>
      <c r="B2587" s="23" t="s">
        <v>1692</v>
      </c>
      <c r="C2587" s="22">
        <v>45737</v>
      </c>
      <c r="D2587" s="23" t="s">
        <v>126</v>
      </c>
      <c r="E2587" s="23" t="s">
        <v>252</v>
      </c>
      <c r="F2587" s="14">
        <v>1</v>
      </c>
      <c r="G2587" s="12">
        <v>1599.969512195122</v>
      </c>
      <c r="H2587" s="12">
        <v>1599.969512195122</v>
      </c>
      <c r="I2587" s="23" t="s">
        <v>52</v>
      </c>
      <c r="J2587" s="23" t="s">
        <v>61</v>
      </c>
      <c r="K2587" s="24" t="s">
        <v>177</v>
      </c>
      <c r="L2587" s="24">
        <v>117</v>
      </c>
      <c r="M2587" s="12">
        <v>1344.5121951219512</v>
      </c>
      <c r="N2587" s="12">
        <v>1344.5121951219512</v>
      </c>
      <c r="O2587" s="12">
        <v>255.45731707317077</v>
      </c>
      <c r="P2587" s="13"/>
      <c r="Q2587" s="14">
        <v>2025</v>
      </c>
      <c r="R2587" s="15">
        <v>45352</v>
      </c>
      <c r="S2587" s="11" t="s">
        <v>252</v>
      </c>
      <c r="T2587" s="16">
        <v>0</v>
      </c>
      <c r="U2587" s="17"/>
      <c r="V2587" s="12">
        <v>462.51219512195121</v>
      </c>
      <c r="W2587" s="12">
        <v>462.51219512195121</v>
      </c>
      <c r="X2587" s="12">
        <v>0</v>
      </c>
      <c r="Y2587" s="18">
        <v>45733</v>
      </c>
      <c r="Z2587" s="13" t="s">
        <v>503</v>
      </c>
      <c r="AA2587" s="19" t="str">
        <f>VLOOKUP(D2587,Clientes!$A$2:$J$486,9,FALSE)</f>
        <v>Frecuente</v>
      </c>
      <c r="AB2587" s="13" t="str">
        <f>VLOOKUP(D2587,Clientes!$A$2:$K$486,11,FALSE)</f>
        <v>Persona Natural</v>
      </c>
      <c r="AC2587" s="13" t="str">
        <f>VLOOKUP(D2587,Clientes!$A$2:$B$486,2,FALSE)</f>
        <v>Jardines de la Viña</v>
      </c>
      <c r="AD2587" s="20"/>
      <c r="AE2587" s="20"/>
      <c r="AF2587" s="13" t="s">
        <v>40</v>
      </c>
      <c r="AG2587" s="15">
        <v>45352</v>
      </c>
      <c r="AH2587" s="13" t="s">
        <v>41</v>
      </c>
      <c r="AI2587" s="13" t="s">
        <v>76</v>
      </c>
      <c r="AJ2587" s="13" t="str">
        <f>VLOOKUP(E2587,Precios!Z$2:AA$941,2,FALSE)</f>
        <v>Limpiapiso POETT 900 ml</v>
      </c>
      <c r="AK2587" s="14">
        <f>VLOOKUP(E2587,Precios!Z$2:BB$941,3,FALSE)*F2587</f>
        <v>-1</v>
      </c>
      <c r="AL2587" s="17"/>
      <c r="AM2587" s="17"/>
      <c r="AN2587" s="17"/>
      <c r="AO2587" s="17"/>
      <c r="AP2587" s="17"/>
      <c r="AQ2587" s="17"/>
      <c r="AR2587" s="17"/>
      <c r="AS2587" s="17"/>
      <c r="AT2587" s="17"/>
      <c r="AU2587" s="17"/>
      <c r="AV2587" s="17"/>
    </row>
    <row r="2588" spans="1:48" ht="15.75" customHeight="1">
      <c r="A2588" s="21" t="s">
        <v>35</v>
      </c>
      <c r="B2588" s="23" t="s">
        <v>1692</v>
      </c>
      <c r="C2588" s="22">
        <v>45737</v>
      </c>
      <c r="D2588" s="23" t="s">
        <v>132</v>
      </c>
      <c r="E2588" s="23" t="s">
        <v>46</v>
      </c>
      <c r="F2588" s="14">
        <v>1</v>
      </c>
      <c r="G2588" s="12">
        <v>5500</v>
      </c>
      <c r="H2588" s="12">
        <v>5500</v>
      </c>
      <c r="I2588" s="23" t="s">
        <v>52</v>
      </c>
      <c r="J2588" s="23" t="s">
        <v>61</v>
      </c>
      <c r="K2588" s="24" t="s">
        <v>177</v>
      </c>
      <c r="L2588" s="24">
        <v>117</v>
      </c>
      <c r="M2588" s="12">
        <v>4621.8487394957983</v>
      </c>
      <c r="N2588" s="12">
        <v>4621.8487394957983</v>
      </c>
      <c r="O2588" s="12">
        <v>878.15126050420167</v>
      </c>
      <c r="P2588" s="13"/>
      <c r="Q2588" s="14">
        <v>2025</v>
      </c>
      <c r="R2588" s="15">
        <v>45352</v>
      </c>
      <c r="S2588" s="11" t="s">
        <v>364</v>
      </c>
      <c r="T2588" s="16">
        <v>500</v>
      </c>
      <c r="U2588" s="17"/>
      <c r="V2588" s="12">
        <v>1365.1260504201678</v>
      </c>
      <c r="W2588" s="12">
        <v>1365.1260504201678</v>
      </c>
      <c r="X2588" s="12">
        <v>0</v>
      </c>
      <c r="Y2588" s="18">
        <v>45733</v>
      </c>
      <c r="Z2588" s="13" t="s">
        <v>503</v>
      </c>
      <c r="AA2588" s="19" t="str">
        <f>VLOOKUP(D2588,Clientes!$A$2:$J$486,9,FALSE)</f>
        <v>Ocacional</v>
      </c>
      <c r="AB2588" s="13" t="str">
        <f>VLOOKUP(D2588,Clientes!$A$2:$K$486,11,FALSE)</f>
        <v>Persona Natural</v>
      </c>
      <c r="AC2588" s="13" t="str">
        <f>VLOOKUP(D2588,Clientes!$A$2:$B$486,2,FALSE)</f>
        <v>Walker Martinez</v>
      </c>
      <c r="AD2588" s="20"/>
      <c r="AE2588" s="20"/>
      <c r="AF2588" s="13" t="s">
        <v>40</v>
      </c>
      <c r="AG2588" s="15">
        <v>45352</v>
      </c>
      <c r="AH2588" s="13" t="s">
        <v>41</v>
      </c>
      <c r="AI2588" s="13" t="s">
        <v>35</v>
      </c>
      <c r="AJ2588" s="13" t="str">
        <f>VLOOKUP(E2588,Precios!Z$2:AA$941,2,FALSE)</f>
        <v>Queso RUNCA Mantecoso</v>
      </c>
      <c r="AK2588" s="14">
        <f>VLOOKUP(E2588,Precios!Z$2:BB$941,3,FALSE)*F2588</f>
        <v>-0.5</v>
      </c>
      <c r="AL2588" s="17"/>
      <c r="AM2588" s="17"/>
      <c r="AN2588" s="17"/>
      <c r="AO2588" s="17"/>
      <c r="AP2588" s="17"/>
      <c r="AQ2588" s="17"/>
      <c r="AR2588" s="17"/>
      <c r="AS2588" s="17"/>
      <c r="AT2588" s="17"/>
      <c r="AU2588" s="17"/>
      <c r="AV2588" s="17"/>
    </row>
    <row r="2589" spans="1:48" ht="15.75" customHeight="1">
      <c r="A2589" s="21" t="s">
        <v>56</v>
      </c>
      <c r="B2589" s="23" t="s">
        <v>1692</v>
      </c>
      <c r="C2589" s="22">
        <v>45737</v>
      </c>
      <c r="D2589" s="23" t="s">
        <v>722</v>
      </c>
      <c r="E2589" s="23" t="s">
        <v>112</v>
      </c>
      <c r="F2589" s="14">
        <v>1</v>
      </c>
      <c r="G2589" s="12">
        <v>7999.6031746031749</v>
      </c>
      <c r="H2589" s="12">
        <v>7999.6031746031749</v>
      </c>
      <c r="I2589" s="23" t="s">
        <v>52</v>
      </c>
      <c r="J2589" s="23" t="s">
        <v>61</v>
      </c>
      <c r="K2589" s="24" t="s">
        <v>177</v>
      </c>
      <c r="L2589" s="24">
        <v>117</v>
      </c>
      <c r="M2589" s="12">
        <v>6722.3556089102312</v>
      </c>
      <c r="N2589" s="12">
        <v>6722.3556089102312</v>
      </c>
      <c r="O2589" s="12">
        <v>1277.2475656929437</v>
      </c>
      <c r="P2589" s="13"/>
      <c r="Q2589" s="14">
        <v>2025</v>
      </c>
      <c r="R2589" s="15">
        <v>45352</v>
      </c>
      <c r="S2589" s="11" t="s">
        <v>427</v>
      </c>
      <c r="T2589" s="16">
        <v>135</v>
      </c>
      <c r="U2589" s="17"/>
      <c r="V2589" s="12">
        <v>2317.868213952248</v>
      </c>
      <c r="W2589" s="12">
        <v>2317.868213952248</v>
      </c>
      <c r="X2589" s="12">
        <v>0</v>
      </c>
      <c r="Y2589" s="18">
        <v>45733</v>
      </c>
      <c r="Z2589" s="13" t="s">
        <v>503</v>
      </c>
      <c r="AA2589" s="19" t="str">
        <f>VLOOKUP(D2589,Clientes!$A$2:$J$486,9,FALSE)</f>
        <v>Ocacional</v>
      </c>
      <c r="AB2589" s="13" t="str">
        <f>VLOOKUP(D2589,Clientes!$A$2:$K$486,11,FALSE)</f>
        <v>Persona Natural</v>
      </c>
      <c r="AC2589" s="13" t="str">
        <f>VLOOKUP(D2589,Clientes!$A$2:$B$486,2,FALSE)</f>
        <v>Jardin del eden</v>
      </c>
      <c r="AD2589" s="20"/>
      <c r="AE2589" s="20"/>
      <c r="AF2589" s="13" t="s">
        <v>40</v>
      </c>
      <c r="AG2589" s="15">
        <v>45352</v>
      </c>
      <c r="AH2589" s="13" t="s">
        <v>41</v>
      </c>
      <c r="AI2589" s="13" t="s">
        <v>56</v>
      </c>
      <c r="AJ2589" s="13" t="str">
        <f>VLOOKUP(E2589,Precios!Z$2:AA$941,2,FALSE)</f>
        <v>Provoleta Parrillera</v>
      </c>
      <c r="AK2589" s="14">
        <f>VLOOKUP(E2589,Precios!Z$2:BB$941,3,FALSE)*F2589</f>
        <v>-3</v>
      </c>
      <c r="AL2589" s="17"/>
      <c r="AM2589" s="17"/>
      <c r="AN2589" s="17"/>
      <c r="AO2589" s="17"/>
      <c r="AP2589" s="17"/>
      <c r="AQ2589" s="17"/>
      <c r="AR2589" s="17"/>
      <c r="AS2589" s="17"/>
      <c r="AT2589" s="17"/>
      <c r="AU2589" s="17"/>
      <c r="AV2589" s="17"/>
    </row>
    <row r="2590" spans="1:48" ht="15.75" customHeight="1">
      <c r="A2590" s="21" t="s">
        <v>73</v>
      </c>
      <c r="B2590" s="23" t="s">
        <v>1692</v>
      </c>
      <c r="C2590" s="22">
        <v>45737</v>
      </c>
      <c r="D2590" s="23" t="s">
        <v>262</v>
      </c>
      <c r="E2590" s="23" t="s">
        <v>161</v>
      </c>
      <c r="F2590" s="14">
        <v>1</v>
      </c>
      <c r="G2590" s="12">
        <v>4199.9020019599611</v>
      </c>
      <c r="H2590" s="12">
        <v>4199.9020019599611</v>
      </c>
      <c r="I2590" s="23" t="s">
        <v>52</v>
      </c>
      <c r="J2590" s="23" t="s">
        <v>61</v>
      </c>
      <c r="K2590" s="24" t="s">
        <v>177</v>
      </c>
      <c r="L2590" s="24">
        <v>117</v>
      </c>
      <c r="M2590" s="12">
        <v>3529.3294134117323</v>
      </c>
      <c r="N2590" s="12">
        <v>3529.3294134117323</v>
      </c>
      <c r="O2590" s="12">
        <v>670.57258854822885</v>
      </c>
      <c r="P2590" s="13"/>
      <c r="Q2590" s="14">
        <v>2025</v>
      </c>
      <c r="R2590" s="15">
        <v>45352</v>
      </c>
      <c r="S2590" s="11" t="s">
        <v>424</v>
      </c>
      <c r="T2590" s="16">
        <v>0</v>
      </c>
      <c r="U2590" s="17"/>
      <c r="V2590" s="12">
        <v>1008.3294134117323</v>
      </c>
      <c r="W2590" s="12">
        <v>1008.3294134117323</v>
      </c>
      <c r="X2590" s="12">
        <v>0</v>
      </c>
      <c r="Y2590" s="18">
        <v>45733</v>
      </c>
      <c r="Z2590" s="13" t="s">
        <v>503</v>
      </c>
      <c r="AA2590" s="19" t="str">
        <f>VLOOKUP(D2590,Clientes!$A$2:$J$486,9,FALSE)</f>
        <v>Frecuente</v>
      </c>
      <c r="AB2590" s="13" t="str">
        <f>VLOOKUP(D2590,Clientes!$A$2:$K$486,11,FALSE)</f>
        <v>Persona Natural</v>
      </c>
      <c r="AC2590" s="13" t="str">
        <f>VLOOKUP(D2590,Clientes!$A$2:$B$486,2,FALSE)</f>
        <v>Jardines de la Viña</v>
      </c>
      <c r="AD2590" s="20"/>
      <c r="AE2590" s="20"/>
      <c r="AF2590" s="13" t="s">
        <v>40</v>
      </c>
      <c r="AG2590" s="15">
        <v>45352</v>
      </c>
      <c r="AH2590" s="13" t="s">
        <v>41</v>
      </c>
      <c r="AI2590" s="13" t="s">
        <v>47</v>
      </c>
      <c r="AJ2590" s="13" t="str">
        <f>VLOOKUP(E2590,Precios!Z$2:AA$941,2,FALSE)</f>
        <v>Guante NITRILO Talla L</v>
      </c>
      <c r="AK2590" s="14">
        <f>VLOOKUP(E2590,Precios!Z$2:BB$941,3,FALSE)*F2590</f>
        <v>-1</v>
      </c>
      <c r="AL2590" s="17"/>
      <c r="AM2590" s="17"/>
      <c r="AN2590" s="17"/>
      <c r="AO2590" s="17"/>
      <c r="AP2590" s="17"/>
      <c r="AQ2590" s="17"/>
      <c r="AR2590" s="17"/>
      <c r="AS2590" s="17"/>
      <c r="AT2590" s="17"/>
      <c r="AU2590" s="17"/>
      <c r="AV2590" s="17"/>
    </row>
    <row r="2591" spans="1:48" ht="15.75" customHeight="1">
      <c r="A2591" s="21" t="s">
        <v>147</v>
      </c>
      <c r="B2591" s="23" t="s">
        <v>1692</v>
      </c>
      <c r="C2591" s="22">
        <v>45737</v>
      </c>
      <c r="D2591" s="23" t="s">
        <v>262</v>
      </c>
      <c r="E2591" s="23" t="s">
        <v>248</v>
      </c>
      <c r="F2591" s="14">
        <v>1</v>
      </c>
      <c r="G2591" s="12">
        <v>9000</v>
      </c>
      <c r="H2591" s="12">
        <v>9000</v>
      </c>
      <c r="I2591" s="23" t="s">
        <v>52</v>
      </c>
      <c r="J2591" s="23" t="s">
        <v>61</v>
      </c>
      <c r="K2591" s="24" t="s">
        <v>177</v>
      </c>
      <c r="L2591" s="24">
        <v>117</v>
      </c>
      <c r="M2591" s="12">
        <v>7563.0252100840344</v>
      </c>
      <c r="N2591" s="12">
        <v>7563.0252100840344</v>
      </c>
      <c r="O2591" s="12">
        <v>1436.9747899159656</v>
      </c>
      <c r="P2591" s="13"/>
      <c r="Q2591" s="14">
        <v>2025</v>
      </c>
      <c r="R2591" s="15">
        <v>45352</v>
      </c>
      <c r="S2591" s="11" t="s">
        <v>412</v>
      </c>
      <c r="T2591" s="16">
        <v>0</v>
      </c>
      <c r="U2591" s="17"/>
      <c r="V2591" s="12">
        <v>2773.1092436974795</v>
      </c>
      <c r="W2591" s="12">
        <v>2773.1092436974795</v>
      </c>
      <c r="X2591" s="12">
        <v>0</v>
      </c>
      <c r="Y2591" s="18">
        <v>45733</v>
      </c>
      <c r="Z2591" s="13" t="s">
        <v>503</v>
      </c>
      <c r="AA2591" s="19" t="str">
        <f>VLOOKUP(D2591,Clientes!$A$2:$J$486,9,FALSE)</f>
        <v>Frecuente</v>
      </c>
      <c r="AB2591" s="13" t="str">
        <f>VLOOKUP(D2591,Clientes!$A$2:$K$486,11,FALSE)</f>
        <v>Persona Natural</v>
      </c>
      <c r="AC2591" s="13" t="str">
        <f>VLOOKUP(D2591,Clientes!$A$2:$B$486,2,FALSE)</f>
        <v>Jardines de la Viña</v>
      </c>
      <c r="AD2591" s="20"/>
      <c r="AE2591" s="20"/>
      <c r="AF2591" s="13" t="s">
        <v>40</v>
      </c>
      <c r="AG2591" s="15">
        <v>45352</v>
      </c>
      <c r="AH2591" s="13" t="s">
        <v>41</v>
      </c>
      <c r="AI2591" s="13" t="s">
        <v>147</v>
      </c>
      <c r="AJ2591" s="13" t="str">
        <f>VLOOKUP(E2591,Precios!Z$2:AA$941,2,FALSE)</f>
        <v>Film Plástico 300 metros</v>
      </c>
      <c r="AK2591" s="14">
        <f>VLOOKUP(E2591,Precios!Z$2:BB$941,3,FALSE)*F2591</f>
        <v>-1</v>
      </c>
      <c r="AL2591" s="17"/>
      <c r="AM2591" s="17"/>
      <c r="AN2591" s="17"/>
      <c r="AO2591" s="17"/>
      <c r="AP2591" s="17"/>
      <c r="AQ2591" s="17"/>
      <c r="AR2591" s="17"/>
      <c r="AS2591" s="17"/>
      <c r="AT2591" s="17"/>
      <c r="AU2591" s="17"/>
      <c r="AV2591" s="17"/>
    </row>
    <row r="2592" spans="1:48" ht="15.75" customHeight="1">
      <c r="A2592" s="21" t="s">
        <v>35</v>
      </c>
      <c r="B2592" s="23" t="s">
        <v>1692</v>
      </c>
      <c r="C2592" s="22">
        <v>45737</v>
      </c>
      <c r="D2592" s="23" t="s">
        <v>340</v>
      </c>
      <c r="E2592" s="23" t="s">
        <v>46</v>
      </c>
      <c r="F2592" s="14">
        <v>1</v>
      </c>
      <c r="G2592" s="12">
        <v>5500</v>
      </c>
      <c r="H2592" s="12">
        <v>5500</v>
      </c>
      <c r="I2592" s="23" t="s">
        <v>52</v>
      </c>
      <c r="J2592" s="23" t="s">
        <v>61</v>
      </c>
      <c r="K2592" s="24" t="s">
        <v>177</v>
      </c>
      <c r="L2592" s="24">
        <v>117</v>
      </c>
      <c r="M2592" s="12">
        <v>4621.8487394957983</v>
      </c>
      <c r="N2592" s="12">
        <v>4621.8487394957983</v>
      </c>
      <c r="O2592" s="12">
        <v>878.15126050420167</v>
      </c>
      <c r="P2592" s="13"/>
      <c r="Q2592" s="14">
        <v>2025</v>
      </c>
      <c r="R2592" s="15">
        <v>45352</v>
      </c>
      <c r="S2592" s="11" t="s">
        <v>364</v>
      </c>
      <c r="T2592" s="16">
        <v>500</v>
      </c>
      <c r="U2592" s="17"/>
      <c r="V2592" s="12">
        <v>1365.1260504201678</v>
      </c>
      <c r="W2592" s="12">
        <v>1365.1260504201678</v>
      </c>
      <c r="X2592" s="12">
        <v>0</v>
      </c>
      <c r="Y2592" s="18">
        <v>45733</v>
      </c>
      <c r="Z2592" s="13" t="s">
        <v>503</v>
      </c>
      <c r="AA2592" s="19" t="str">
        <f>VLOOKUP(D2592,Clientes!$A$2:$J$486,9,FALSE)</f>
        <v>Ocacional</v>
      </c>
      <c r="AB2592" s="13" t="str">
        <f>VLOOKUP(D2592,Clientes!$A$2:$K$486,11,FALSE)</f>
        <v>Persona Natural</v>
      </c>
      <c r="AC2592" s="13" t="str">
        <f>VLOOKUP(D2592,Clientes!$A$2:$B$486,2,FALSE)</f>
        <v>Sector Santa Delia</v>
      </c>
      <c r="AD2592" s="20"/>
      <c r="AE2592" s="20"/>
      <c r="AF2592" s="13" t="s">
        <v>40</v>
      </c>
      <c r="AG2592" s="15">
        <v>45352</v>
      </c>
      <c r="AH2592" s="13" t="s">
        <v>41</v>
      </c>
      <c r="AI2592" s="13" t="s">
        <v>35</v>
      </c>
      <c r="AJ2592" s="13" t="str">
        <f>VLOOKUP(E2592,Precios!Z$2:AA$941,2,FALSE)</f>
        <v>Queso RUNCA Mantecoso</v>
      </c>
      <c r="AK2592" s="14">
        <f>VLOOKUP(E2592,Precios!Z$2:BB$941,3,FALSE)*F2592</f>
        <v>-0.5</v>
      </c>
      <c r="AL2592" s="17"/>
      <c r="AM2592" s="17"/>
      <c r="AN2592" s="17"/>
      <c r="AO2592" s="17"/>
      <c r="AP2592" s="17"/>
      <c r="AQ2592" s="17"/>
      <c r="AR2592" s="17"/>
      <c r="AS2592" s="17"/>
      <c r="AT2592" s="17"/>
      <c r="AU2592" s="17"/>
      <c r="AV2592" s="17"/>
    </row>
    <row r="2593" spans="1:48" ht="15.75" customHeight="1">
      <c r="A2593" s="14" t="s">
        <v>43</v>
      </c>
      <c r="B2593" s="23" t="s">
        <v>1692</v>
      </c>
      <c r="C2593" s="22">
        <v>45737</v>
      </c>
      <c r="D2593" s="23" t="s">
        <v>189</v>
      </c>
      <c r="E2593" s="13" t="s">
        <v>45</v>
      </c>
      <c r="F2593" s="14">
        <v>1</v>
      </c>
      <c r="G2593" s="12">
        <v>8299.7854333055202</v>
      </c>
      <c r="H2593" s="12">
        <v>8299.7854333055202</v>
      </c>
      <c r="I2593" s="23" t="s">
        <v>52</v>
      </c>
      <c r="J2593" s="23" t="s">
        <v>61</v>
      </c>
      <c r="K2593" s="24" t="s">
        <v>177</v>
      </c>
      <c r="L2593" s="24">
        <v>117</v>
      </c>
      <c r="M2593" s="12">
        <v>6974.6096078197652</v>
      </c>
      <c r="N2593" s="12">
        <v>6974.6096078197652</v>
      </c>
      <c r="O2593" s="12">
        <v>1325.175825485755</v>
      </c>
      <c r="P2593" s="13"/>
      <c r="Q2593" s="14">
        <v>2025</v>
      </c>
      <c r="R2593" s="15">
        <v>45352</v>
      </c>
      <c r="S2593" s="11" t="s">
        <v>355</v>
      </c>
      <c r="T2593" s="16">
        <v>0</v>
      </c>
      <c r="U2593" s="17"/>
      <c r="V2593" s="12">
        <v>1123.6096078197643</v>
      </c>
      <c r="W2593" s="12">
        <v>1123.6096078197643</v>
      </c>
      <c r="X2593" s="12">
        <v>0</v>
      </c>
      <c r="Y2593" s="18">
        <v>45733</v>
      </c>
      <c r="Z2593" s="13" t="s">
        <v>503</v>
      </c>
      <c r="AA2593" s="19" t="str">
        <f>VLOOKUP(D2593,Clientes!$A$2:$J$486,9,FALSE)</f>
        <v>Frecuente</v>
      </c>
      <c r="AB2593" s="13" t="str">
        <f>VLOOKUP(D2593,Clientes!$A$2:$K$486,11,FALSE)</f>
        <v>Persona Natural</v>
      </c>
      <c r="AC2593" s="13" t="str">
        <f>VLOOKUP(D2593,Clientes!$A$2:$B$486,2,FALSE)</f>
        <v>Jardines de la Viña</v>
      </c>
      <c r="AD2593" s="20"/>
      <c r="AE2593" s="20"/>
      <c r="AF2593" s="13" t="s">
        <v>40</v>
      </c>
      <c r="AG2593" s="15">
        <v>45352</v>
      </c>
      <c r="AH2593" s="13" t="s">
        <v>41</v>
      </c>
      <c r="AI2593" s="13" t="s">
        <v>43</v>
      </c>
      <c r="AJ2593" s="13" t="str">
        <f>VLOOKUP(E2593,Precios!Z$2:AA$941,2,FALSE)</f>
        <v>Bandeja Huevos EXTRA</v>
      </c>
      <c r="AK2593" s="14">
        <f>VLOOKUP(E2593,Precios!Z$2:BB$941,3,FALSE)*F2593</f>
        <v>-1</v>
      </c>
      <c r="AL2593" s="17"/>
      <c r="AM2593" s="17"/>
      <c r="AN2593" s="17"/>
      <c r="AO2593" s="17"/>
      <c r="AP2593" s="17"/>
      <c r="AQ2593" s="17"/>
      <c r="AR2593" s="17"/>
      <c r="AS2593" s="17"/>
      <c r="AT2593" s="17"/>
      <c r="AU2593" s="17"/>
      <c r="AV2593" s="17"/>
    </row>
    <row r="2594" spans="1:48" ht="15.75" customHeight="1">
      <c r="A2594" s="14" t="s">
        <v>43</v>
      </c>
      <c r="B2594" s="23" t="s">
        <v>1692</v>
      </c>
      <c r="C2594" s="25">
        <v>45736</v>
      </c>
      <c r="D2594" s="23" t="s">
        <v>115</v>
      </c>
      <c r="E2594" s="13" t="s">
        <v>45</v>
      </c>
      <c r="F2594" s="14">
        <v>1</v>
      </c>
      <c r="G2594" s="12">
        <v>8299.7854333055202</v>
      </c>
      <c r="H2594" s="12">
        <v>8299.7854333055202</v>
      </c>
      <c r="I2594" s="13" t="s">
        <v>52</v>
      </c>
      <c r="J2594" s="23" t="s">
        <v>61</v>
      </c>
      <c r="K2594" s="24" t="s">
        <v>177</v>
      </c>
      <c r="L2594" s="24">
        <v>117</v>
      </c>
      <c r="M2594" s="12">
        <v>6974.6096078197652</v>
      </c>
      <c r="N2594" s="12">
        <v>6974.6096078197652</v>
      </c>
      <c r="O2594" s="12">
        <v>1325.175825485755</v>
      </c>
      <c r="P2594" s="13"/>
      <c r="Q2594" s="14">
        <v>2025</v>
      </c>
      <c r="R2594" s="15">
        <v>45352</v>
      </c>
      <c r="S2594" s="11" t="s">
        <v>355</v>
      </c>
      <c r="T2594" s="16">
        <v>0</v>
      </c>
      <c r="U2594" s="17"/>
      <c r="V2594" s="12">
        <v>1123.6096078197643</v>
      </c>
      <c r="W2594" s="12">
        <v>1123.6096078197643</v>
      </c>
      <c r="X2594" s="12">
        <v>0</v>
      </c>
      <c r="Y2594" s="18">
        <v>45733</v>
      </c>
      <c r="Z2594" s="13" t="s">
        <v>505</v>
      </c>
      <c r="AA2594" s="19" t="str">
        <f>VLOOKUP(D2594,Clientes!$A$2:$J$486,9,FALSE)</f>
        <v>Ocacional</v>
      </c>
      <c r="AB2594" s="13" t="str">
        <f>VLOOKUP(D2594,Clientes!$A$2:$K$486,11,FALSE)</f>
        <v>Persona Natural</v>
      </c>
      <c r="AC2594" s="13" t="str">
        <f>VLOOKUP(D2594,Clientes!$A$2:$B$486,2,FALSE)</f>
        <v>Jardines de la viña</v>
      </c>
      <c r="AD2594" s="20"/>
      <c r="AE2594" s="20"/>
      <c r="AF2594" s="13" t="s">
        <v>40</v>
      </c>
      <c r="AG2594" s="15">
        <v>45352</v>
      </c>
      <c r="AH2594" s="13" t="s">
        <v>41</v>
      </c>
      <c r="AI2594" s="13" t="s">
        <v>43</v>
      </c>
      <c r="AJ2594" s="13" t="str">
        <f>VLOOKUP(E2594,Precios!Z$2:AA$941,2,FALSE)</f>
        <v>Bandeja Huevos EXTRA</v>
      </c>
      <c r="AK2594" s="14">
        <f>VLOOKUP(E2594,Precios!Z$2:BB$941,3,FALSE)*F2594</f>
        <v>-1</v>
      </c>
      <c r="AL2594" s="17"/>
      <c r="AM2594" s="17"/>
      <c r="AN2594" s="17"/>
      <c r="AO2594" s="17"/>
      <c r="AP2594" s="17"/>
      <c r="AQ2594" s="17"/>
      <c r="AR2594" s="17"/>
      <c r="AS2594" s="17"/>
      <c r="AT2594" s="17"/>
      <c r="AU2594" s="17"/>
      <c r="AV2594" s="17"/>
    </row>
    <row r="2595" spans="1:48" ht="15.75" customHeight="1">
      <c r="A2595" s="21" t="s">
        <v>47</v>
      </c>
      <c r="B2595" s="23" t="s">
        <v>1692</v>
      </c>
      <c r="C2595" s="22">
        <v>45736</v>
      </c>
      <c r="D2595" s="23" t="s">
        <v>191</v>
      </c>
      <c r="E2595" s="23" t="s">
        <v>48</v>
      </c>
      <c r="F2595" s="21">
        <v>1</v>
      </c>
      <c r="G2595" s="12">
        <v>1000</v>
      </c>
      <c r="H2595" s="12">
        <v>1000</v>
      </c>
      <c r="I2595" s="23" t="s">
        <v>52</v>
      </c>
      <c r="J2595" s="23" t="s">
        <v>61</v>
      </c>
      <c r="K2595" s="24" t="s">
        <v>177</v>
      </c>
      <c r="L2595" s="24">
        <v>117</v>
      </c>
      <c r="M2595" s="12">
        <v>840.3361344537816</v>
      </c>
      <c r="N2595" s="12">
        <v>840.3361344537816</v>
      </c>
      <c r="O2595" s="12">
        <v>159.6638655462184</v>
      </c>
      <c r="P2595" s="13"/>
      <c r="Q2595" s="14">
        <v>2025</v>
      </c>
      <c r="R2595" s="15">
        <v>45352</v>
      </c>
      <c r="S2595" s="11" t="s">
        <v>416</v>
      </c>
      <c r="T2595" s="16">
        <v>0</v>
      </c>
      <c r="U2595" s="17"/>
      <c r="V2595" s="12">
        <v>330.33613445378148</v>
      </c>
      <c r="W2595" s="12">
        <v>330.33613445378148</v>
      </c>
      <c r="X2595" s="12">
        <v>0</v>
      </c>
      <c r="Y2595" s="18">
        <v>45733</v>
      </c>
      <c r="Z2595" s="13" t="s">
        <v>505</v>
      </c>
      <c r="AA2595" s="19" t="str">
        <f>VLOOKUP(D2595,Clientes!$A$2:$J$486,9,FALSE)</f>
        <v>Ocacional</v>
      </c>
      <c r="AB2595" s="13" t="str">
        <f>VLOOKUP(D2595,Clientes!$A$2:$K$486,11,FALSE)</f>
        <v>Persona Natural</v>
      </c>
      <c r="AC2595" s="13" t="str">
        <f>VLOOKUP(D2595,Clientes!$A$2:$B$486,2,FALSE)</f>
        <v>Jardin del Eden</v>
      </c>
      <c r="AD2595" s="20"/>
      <c r="AE2595" s="20"/>
      <c r="AF2595" s="13" t="s">
        <v>40</v>
      </c>
      <c r="AG2595" s="15">
        <v>45352</v>
      </c>
      <c r="AH2595" s="13" t="s">
        <v>41</v>
      </c>
      <c r="AI2595" s="13" t="s">
        <v>47</v>
      </c>
      <c r="AJ2595" s="13" t="str">
        <f>VLOOKUP(E2595,Precios!Z$2:AA$941,2,FALSE)</f>
        <v>Esponja Acanalada TEDDY</v>
      </c>
      <c r="AK2595" s="14">
        <f>VLOOKUP(E2595,Precios!Z$2:BB$941,3,FALSE)*F2595</f>
        <v>-5</v>
      </c>
      <c r="AL2595" s="17"/>
      <c r="AM2595" s="17"/>
      <c r="AN2595" s="17"/>
      <c r="AO2595" s="17"/>
      <c r="AP2595" s="17"/>
      <c r="AQ2595" s="17"/>
      <c r="AR2595" s="17"/>
      <c r="AS2595" s="17"/>
      <c r="AT2595" s="17"/>
      <c r="AU2595" s="17"/>
      <c r="AV2595" s="17"/>
    </row>
    <row r="2596" spans="1:48" ht="15.75" customHeight="1">
      <c r="A2596" s="21" t="s">
        <v>76</v>
      </c>
      <c r="B2596" s="23" t="s">
        <v>1692</v>
      </c>
      <c r="C2596" s="22">
        <v>45736</v>
      </c>
      <c r="D2596" s="23" t="s">
        <v>191</v>
      </c>
      <c r="E2596" s="23" t="s">
        <v>218</v>
      </c>
      <c r="F2596" s="21">
        <v>1</v>
      </c>
      <c r="G2596" s="12">
        <v>1500.0000000000002</v>
      </c>
      <c r="H2596" s="12">
        <v>1500.0000000000002</v>
      </c>
      <c r="I2596" s="23" t="s">
        <v>52</v>
      </c>
      <c r="J2596" s="23" t="s">
        <v>61</v>
      </c>
      <c r="K2596" s="24" t="s">
        <v>177</v>
      </c>
      <c r="L2596" s="24">
        <v>117</v>
      </c>
      <c r="M2596" s="12">
        <v>1260.5042016806726</v>
      </c>
      <c r="N2596" s="12">
        <v>1260.5042016806726</v>
      </c>
      <c r="O2596" s="12">
        <v>239.4957983193276</v>
      </c>
      <c r="P2596" s="13"/>
      <c r="Q2596" s="14">
        <v>2025</v>
      </c>
      <c r="R2596" s="15">
        <v>45352</v>
      </c>
      <c r="S2596" s="11" t="s">
        <v>444</v>
      </c>
      <c r="T2596" s="16">
        <v>500</v>
      </c>
      <c r="U2596" s="17"/>
      <c r="V2596" s="12">
        <v>504.20168067226905</v>
      </c>
      <c r="W2596" s="12">
        <v>504.20168067226905</v>
      </c>
      <c r="X2596" s="12">
        <v>0</v>
      </c>
      <c r="Y2596" s="18">
        <v>45733</v>
      </c>
      <c r="Z2596" s="13" t="s">
        <v>505</v>
      </c>
      <c r="AA2596" s="19" t="str">
        <f>VLOOKUP(D2596,Clientes!$A$2:$J$486,9,FALSE)</f>
        <v>Ocacional</v>
      </c>
      <c r="AB2596" s="13" t="str">
        <f>VLOOKUP(D2596,Clientes!$A$2:$K$486,11,FALSE)</f>
        <v>Persona Natural</v>
      </c>
      <c r="AC2596" s="13" t="str">
        <f>VLOOKUP(D2596,Clientes!$A$2:$B$486,2,FALSE)</f>
        <v>Jardin del Eden</v>
      </c>
      <c r="AD2596" s="20"/>
      <c r="AE2596" s="20"/>
      <c r="AF2596" s="13" t="s">
        <v>40</v>
      </c>
      <c r="AG2596" s="15">
        <v>45352</v>
      </c>
      <c r="AH2596" s="13" t="s">
        <v>41</v>
      </c>
      <c r="AI2596" s="13" t="s">
        <v>76</v>
      </c>
      <c r="AJ2596" s="13" t="str">
        <f>VLOOKUP(E2596,Precios!Z$2:AA$941,2,FALSE)</f>
        <v>Limpia Vidrio SPUM 500 ml</v>
      </c>
      <c r="AK2596" s="14">
        <f>VLOOKUP(E2596,Precios!Z$2:BB$941,3,FALSE)*F2596</f>
        <v>-1</v>
      </c>
      <c r="AL2596" s="17"/>
      <c r="AM2596" s="17"/>
      <c r="AN2596" s="17"/>
      <c r="AO2596" s="17"/>
      <c r="AP2596" s="17"/>
      <c r="AQ2596" s="17"/>
      <c r="AR2596" s="17"/>
      <c r="AS2596" s="17"/>
      <c r="AT2596" s="17"/>
      <c r="AU2596" s="17"/>
      <c r="AV2596" s="17"/>
    </row>
    <row r="2597" spans="1:48" ht="15.75" customHeight="1">
      <c r="A2597" s="21" t="s">
        <v>53</v>
      </c>
      <c r="B2597" s="23" t="s">
        <v>1692</v>
      </c>
      <c r="C2597" s="22">
        <v>45736</v>
      </c>
      <c r="D2597" s="23" t="s">
        <v>80</v>
      </c>
      <c r="E2597" s="23" t="s">
        <v>55</v>
      </c>
      <c r="F2597" s="21">
        <v>1</v>
      </c>
      <c r="G2597" s="12">
        <v>19989.738327347361</v>
      </c>
      <c r="H2597" s="12">
        <v>19989.738327347361</v>
      </c>
      <c r="I2597" s="23" t="s">
        <v>52</v>
      </c>
      <c r="J2597" s="23" t="s">
        <v>61</v>
      </c>
      <c r="K2597" s="24" t="s">
        <v>177</v>
      </c>
      <c r="L2597" s="24">
        <v>117</v>
      </c>
      <c r="M2597" s="12">
        <v>16798.099434745684</v>
      </c>
      <c r="N2597" s="12">
        <v>16798.099434745684</v>
      </c>
      <c r="O2597" s="12">
        <v>3191.6388926016771</v>
      </c>
      <c r="P2597" s="13"/>
      <c r="Q2597" s="14">
        <v>2025</v>
      </c>
      <c r="R2597" s="15">
        <v>45352</v>
      </c>
      <c r="S2597" s="11" t="s">
        <v>366</v>
      </c>
      <c r="T2597" s="16">
        <v>0</v>
      </c>
      <c r="U2597" s="17"/>
      <c r="V2597" s="12">
        <v>3702.3011154179476</v>
      </c>
      <c r="W2597" s="12">
        <v>3702.3011154179476</v>
      </c>
      <c r="X2597" s="12">
        <v>0</v>
      </c>
      <c r="Y2597" s="18">
        <v>45733</v>
      </c>
      <c r="Z2597" s="13" t="s">
        <v>505</v>
      </c>
      <c r="AA2597" s="19" t="str">
        <f>VLOOKUP(D2597,Clientes!$A$2:$J$486,9,FALSE)</f>
        <v>Frecuente</v>
      </c>
      <c r="AB2597" s="13" t="str">
        <f>VLOOKUP(D2597,Clientes!$A$2:$K$486,11,FALSE)</f>
        <v>Persona Natural</v>
      </c>
      <c r="AC2597" s="13" t="str">
        <f>VLOOKUP(D2597,Clientes!$A$2:$B$486,2,FALSE)</f>
        <v>Jardines de la Viña</v>
      </c>
      <c r="AD2597" s="20"/>
      <c r="AE2597" s="20"/>
      <c r="AF2597" s="13" t="s">
        <v>40</v>
      </c>
      <c r="AG2597" s="15">
        <v>45352</v>
      </c>
      <c r="AH2597" s="13" t="s">
        <v>41</v>
      </c>
      <c r="AI2597" s="13" t="s">
        <v>53</v>
      </c>
      <c r="AJ2597" s="13" t="str">
        <f>VLOOKUP(E2597,Precios!Z$2:AA$941,2,FALSE)</f>
        <v>Papel Higienico ELITE 50 metros</v>
      </c>
      <c r="AK2597" s="14">
        <f>VLOOKUP(E2597,Precios!Z$2:BB$941,3,FALSE)*F2597</f>
        <v>-8</v>
      </c>
      <c r="AL2597" s="17"/>
      <c r="AM2597" s="17"/>
      <c r="AN2597" s="17"/>
      <c r="AO2597" s="17"/>
      <c r="AP2597" s="17"/>
      <c r="AQ2597" s="17"/>
      <c r="AR2597" s="17"/>
      <c r="AS2597" s="17"/>
      <c r="AT2597" s="17"/>
      <c r="AU2597" s="17"/>
      <c r="AV2597" s="17"/>
    </row>
    <row r="2598" spans="1:48" ht="15.75" customHeight="1">
      <c r="A2598" s="21" t="s">
        <v>53</v>
      </c>
      <c r="B2598" s="23" t="s">
        <v>1692</v>
      </c>
      <c r="C2598" s="22">
        <v>45736</v>
      </c>
      <c r="D2598" s="23" t="s">
        <v>80</v>
      </c>
      <c r="E2598" s="23" t="s">
        <v>69</v>
      </c>
      <c r="F2598" s="21">
        <v>1</v>
      </c>
      <c r="G2598" s="12">
        <v>2999.9553810458683</v>
      </c>
      <c r="H2598" s="12">
        <v>2999.9553810458683</v>
      </c>
      <c r="I2598" s="23" t="s">
        <v>52</v>
      </c>
      <c r="J2598" s="23" t="s">
        <v>61</v>
      </c>
      <c r="K2598" s="24" t="s">
        <v>177</v>
      </c>
      <c r="L2598" s="24">
        <v>117</v>
      </c>
      <c r="M2598" s="12">
        <v>2520.9709084419064</v>
      </c>
      <c r="N2598" s="12">
        <v>2520.9709084419064</v>
      </c>
      <c r="O2598" s="12">
        <v>478.98447260396188</v>
      </c>
      <c r="P2598" s="13"/>
      <c r="Q2598" s="14">
        <v>2025</v>
      </c>
      <c r="R2598" s="15">
        <v>45352</v>
      </c>
      <c r="S2598" s="11" t="s">
        <v>376</v>
      </c>
      <c r="T2598" s="16">
        <v>0</v>
      </c>
      <c r="U2598" s="17"/>
      <c r="V2598" s="12">
        <v>825.97090844190598</v>
      </c>
      <c r="W2598" s="12">
        <v>825.97090844190598</v>
      </c>
      <c r="X2598" s="12">
        <v>0</v>
      </c>
      <c r="Y2598" s="18">
        <v>45733</v>
      </c>
      <c r="Z2598" s="13" t="s">
        <v>505</v>
      </c>
      <c r="AA2598" s="19" t="str">
        <f>VLOOKUP(D2598,Clientes!$A$2:$J$486,9,FALSE)</f>
        <v>Frecuente</v>
      </c>
      <c r="AB2598" s="13" t="str">
        <f>VLOOKUP(D2598,Clientes!$A$2:$K$486,11,FALSE)</f>
        <v>Persona Natural</v>
      </c>
      <c r="AC2598" s="13" t="str">
        <f>VLOOKUP(D2598,Clientes!$A$2:$B$486,2,FALSE)</f>
        <v>Jardines de la Viña</v>
      </c>
      <c r="AD2598" s="20"/>
      <c r="AE2598" s="20"/>
      <c r="AF2598" s="13" t="s">
        <v>40</v>
      </c>
      <c r="AG2598" s="15">
        <v>45352</v>
      </c>
      <c r="AH2598" s="13" t="s">
        <v>41</v>
      </c>
      <c r="AI2598" s="13" t="s">
        <v>53</v>
      </c>
      <c r="AJ2598" s="13" t="str">
        <f>VLOOKUP(E2598,Precios!Z$2:AA$941,2,FALSE)</f>
        <v>Toalla Papel NOVA 70 metros</v>
      </c>
      <c r="AK2598" s="14">
        <f>VLOOKUP(E2598,Precios!Z$2:BB$941,3,FALSE)*F2598</f>
        <v>-1</v>
      </c>
      <c r="AL2598" s="17"/>
      <c r="AM2598" s="17"/>
      <c r="AN2598" s="17"/>
      <c r="AO2598" s="17"/>
      <c r="AP2598" s="17"/>
      <c r="AQ2598" s="17"/>
      <c r="AR2598" s="17"/>
      <c r="AS2598" s="17"/>
      <c r="AT2598" s="17"/>
      <c r="AU2598" s="17"/>
      <c r="AV2598" s="17"/>
    </row>
    <row r="2599" spans="1:48" ht="15.75" customHeight="1">
      <c r="A2599" s="21" t="s">
        <v>43</v>
      </c>
      <c r="B2599" s="23" t="s">
        <v>1692</v>
      </c>
      <c r="C2599" s="22">
        <v>45736</v>
      </c>
      <c r="D2599" s="23" t="s">
        <v>291</v>
      </c>
      <c r="E2599" s="23" t="s">
        <v>45</v>
      </c>
      <c r="F2599" s="21">
        <v>1</v>
      </c>
      <c r="G2599" s="12">
        <v>8299.7854333055202</v>
      </c>
      <c r="H2599" s="12">
        <v>8299.7854333055202</v>
      </c>
      <c r="I2599" s="23" t="s">
        <v>52</v>
      </c>
      <c r="J2599" s="23" t="s">
        <v>61</v>
      </c>
      <c r="K2599" s="24" t="s">
        <v>177</v>
      </c>
      <c r="L2599" s="24">
        <v>117</v>
      </c>
      <c r="M2599" s="12">
        <v>6974.6096078197652</v>
      </c>
      <c r="N2599" s="12">
        <v>6974.6096078197652</v>
      </c>
      <c r="O2599" s="12">
        <v>1325.175825485755</v>
      </c>
      <c r="P2599" s="13"/>
      <c r="Q2599" s="14">
        <v>2025</v>
      </c>
      <c r="R2599" s="15">
        <v>45352</v>
      </c>
      <c r="S2599" s="11" t="s">
        <v>355</v>
      </c>
      <c r="T2599" s="16">
        <v>0</v>
      </c>
      <c r="U2599" s="17"/>
      <c r="V2599" s="12">
        <v>1123.6096078197643</v>
      </c>
      <c r="W2599" s="12">
        <v>1123.6096078197643</v>
      </c>
      <c r="X2599" s="12">
        <v>0</v>
      </c>
      <c r="Y2599" s="18">
        <v>45733</v>
      </c>
      <c r="Z2599" s="13" t="s">
        <v>505</v>
      </c>
      <c r="AA2599" s="19" t="str">
        <f>VLOOKUP(D2599,Clientes!$A$2:$J$486,9,FALSE)</f>
        <v>Ocacional</v>
      </c>
      <c r="AB2599" s="13" t="str">
        <f>VLOOKUP(D2599,Clientes!$A$2:$K$486,11,FALSE)</f>
        <v>Persona Natural</v>
      </c>
      <c r="AC2599" s="13" t="str">
        <f>VLOOKUP(D2599,Clientes!$A$2:$B$486,2,FALSE)</f>
        <v>Jardin del eden</v>
      </c>
      <c r="AD2599" s="20"/>
      <c r="AE2599" s="20"/>
      <c r="AF2599" s="13" t="s">
        <v>40</v>
      </c>
      <c r="AG2599" s="15">
        <v>45352</v>
      </c>
      <c r="AH2599" s="13" t="s">
        <v>41</v>
      </c>
      <c r="AI2599" s="13" t="s">
        <v>43</v>
      </c>
      <c r="AJ2599" s="13" t="str">
        <f>VLOOKUP(E2599,Precios!Z$2:AA$941,2,FALSE)</f>
        <v>Bandeja Huevos EXTRA</v>
      </c>
      <c r="AK2599" s="14">
        <f>VLOOKUP(E2599,Precios!Z$2:BB$941,3,FALSE)*F2599</f>
        <v>-1</v>
      </c>
      <c r="AL2599" s="17"/>
      <c r="AM2599" s="17"/>
      <c r="AN2599" s="17"/>
      <c r="AO2599" s="17"/>
      <c r="AP2599" s="17"/>
      <c r="AQ2599" s="17"/>
      <c r="AR2599" s="17"/>
      <c r="AS2599" s="17"/>
      <c r="AT2599" s="17"/>
      <c r="AU2599" s="17"/>
      <c r="AV2599" s="17"/>
    </row>
    <row r="2600" spans="1:48" ht="15.75" customHeight="1">
      <c r="A2600" s="21" t="s">
        <v>53</v>
      </c>
      <c r="B2600" s="23" t="s">
        <v>1692</v>
      </c>
      <c r="C2600" s="22">
        <v>45736</v>
      </c>
      <c r="D2600" s="23" t="s">
        <v>135</v>
      </c>
      <c r="E2600" s="23" t="s">
        <v>97</v>
      </c>
      <c r="F2600" s="21">
        <v>1</v>
      </c>
      <c r="G2600" s="12">
        <v>15500.298388701016</v>
      </c>
      <c r="H2600" s="12">
        <v>15500.298388701016</v>
      </c>
      <c r="I2600" s="23" t="s">
        <v>52</v>
      </c>
      <c r="J2600" s="23" t="s">
        <v>61</v>
      </c>
      <c r="K2600" s="24" t="s">
        <v>177</v>
      </c>
      <c r="L2600" s="24">
        <v>117</v>
      </c>
      <c r="M2600" s="12">
        <v>13025.46083084119</v>
      </c>
      <c r="N2600" s="12">
        <v>13025.46083084119</v>
      </c>
      <c r="O2600" s="12">
        <v>2474.8375578598261</v>
      </c>
      <c r="P2600" s="13"/>
      <c r="Q2600" s="14">
        <v>2025</v>
      </c>
      <c r="R2600" s="15">
        <v>45352</v>
      </c>
      <c r="S2600" s="11" t="s">
        <v>366</v>
      </c>
      <c r="T2600" s="16">
        <v>0</v>
      </c>
      <c r="U2600" s="17"/>
      <c r="V2600" s="12">
        <v>3203.6120913453906</v>
      </c>
      <c r="W2600" s="12">
        <v>3203.6120913453906</v>
      </c>
      <c r="X2600" s="12">
        <v>0</v>
      </c>
      <c r="Y2600" s="18">
        <v>45733</v>
      </c>
      <c r="Z2600" s="13" t="s">
        <v>505</v>
      </c>
      <c r="AA2600" s="19" t="str">
        <f>VLOOKUP(D2600,Clientes!$A$2:$J$486,9,FALSE)</f>
        <v>Frecuente</v>
      </c>
      <c r="AB2600" s="13" t="str">
        <f>VLOOKUP(D2600,Clientes!$A$2:$K$486,11,FALSE)</f>
        <v>Persona Natural</v>
      </c>
      <c r="AC2600" s="13" t="str">
        <f>VLOOKUP(D2600,Clientes!$A$2:$B$486,2,FALSE)</f>
        <v>Ex 4to Antilhue</v>
      </c>
      <c r="AD2600" s="20"/>
      <c r="AE2600" s="20"/>
      <c r="AF2600" s="13" t="s">
        <v>40</v>
      </c>
      <c r="AG2600" s="15">
        <v>45352</v>
      </c>
      <c r="AH2600" s="13" t="s">
        <v>41</v>
      </c>
      <c r="AI2600" s="13" t="s">
        <v>53</v>
      </c>
      <c r="AJ2600" s="13" t="str">
        <f>VLOOKUP(E2600,Precios!Z$2:AA$941,2,FALSE)</f>
        <v>Papel Higienico ELITE 50 metros</v>
      </c>
      <c r="AK2600" s="14">
        <f>VLOOKUP(E2600,Precios!Z$2:BB$941,3,FALSE)*F2600</f>
        <v>-6</v>
      </c>
      <c r="AL2600" s="17"/>
      <c r="AM2600" s="17"/>
      <c r="AN2600" s="17"/>
      <c r="AO2600" s="17"/>
      <c r="AP2600" s="17"/>
      <c r="AQ2600" s="17"/>
      <c r="AR2600" s="17"/>
      <c r="AS2600" s="17"/>
      <c r="AT2600" s="17"/>
      <c r="AU2600" s="17"/>
      <c r="AV2600" s="17"/>
    </row>
    <row r="2601" spans="1:48" ht="15.75" customHeight="1">
      <c r="A2601" s="21" t="s">
        <v>53</v>
      </c>
      <c r="B2601" s="23" t="s">
        <v>1692</v>
      </c>
      <c r="C2601" s="22">
        <v>45736</v>
      </c>
      <c r="D2601" s="23" t="s">
        <v>135</v>
      </c>
      <c r="E2601" s="23" t="s">
        <v>69</v>
      </c>
      <c r="F2601" s="21">
        <v>1</v>
      </c>
      <c r="G2601" s="12">
        <v>2999.9553810458683</v>
      </c>
      <c r="H2601" s="12">
        <v>2999.9553810458683</v>
      </c>
      <c r="I2601" s="23" t="s">
        <v>52</v>
      </c>
      <c r="J2601" s="23" t="s">
        <v>61</v>
      </c>
      <c r="K2601" s="24" t="s">
        <v>177</v>
      </c>
      <c r="L2601" s="24">
        <v>117</v>
      </c>
      <c r="M2601" s="12">
        <v>2520.9709084419064</v>
      </c>
      <c r="N2601" s="12">
        <v>2520.9709084419064</v>
      </c>
      <c r="O2601" s="12">
        <v>478.98447260396188</v>
      </c>
      <c r="P2601" s="13"/>
      <c r="Q2601" s="14">
        <v>2025</v>
      </c>
      <c r="R2601" s="15">
        <v>45352</v>
      </c>
      <c r="S2601" s="11" t="s">
        <v>376</v>
      </c>
      <c r="T2601" s="16">
        <v>0</v>
      </c>
      <c r="U2601" s="17"/>
      <c r="V2601" s="12">
        <v>825.97090844190598</v>
      </c>
      <c r="W2601" s="12">
        <v>825.97090844190598</v>
      </c>
      <c r="X2601" s="12">
        <v>0</v>
      </c>
      <c r="Y2601" s="18">
        <v>45733</v>
      </c>
      <c r="Z2601" s="13" t="s">
        <v>505</v>
      </c>
      <c r="AA2601" s="19" t="str">
        <f>VLOOKUP(D2601,Clientes!$A$2:$J$486,9,FALSE)</f>
        <v>Frecuente</v>
      </c>
      <c r="AB2601" s="13" t="str">
        <f>VLOOKUP(D2601,Clientes!$A$2:$K$486,11,FALSE)</f>
        <v>Persona Natural</v>
      </c>
      <c r="AC2601" s="13" t="str">
        <f>VLOOKUP(D2601,Clientes!$A$2:$B$486,2,FALSE)</f>
        <v>Ex 4to Antilhue</v>
      </c>
      <c r="AD2601" s="20"/>
      <c r="AE2601" s="20"/>
      <c r="AF2601" s="13" t="s">
        <v>40</v>
      </c>
      <c r="AG2601" s="15">
        <v>45352</v>
      </c>
      <c r="AH2601" s="13" t="s">
        <v>41</v>
      </c>
      <c r="AI2601" s="13" t="s">
        <v>53</v>
      </c>
      <c r="AJ2601" s="13" t="str">
        <f>VLOOKUP(E2601,Precios!Z$2:AA$941,2,FALSE)</f>
        <v>Toalla Papel NOVA 70 metros</v>
      </c>
      <c r="AK2601" s="14">
        <f>VLOOKUP(E2601,Precios!Z$2:BB$941,3,FALSE)*F2601</f>
        <v>-1</v>
      </c>
      <c r="AL2601" s="17"/>
      <c r="AM2601" s="17"/>
      <c r="AN2601" s="17"/>
      <c r="AO2601" s="17"/>
      <c r="AP2601" s="17"/>
      <c r="AQ2601" s="17"/>
      <c r="AR2601" s="17"/>
      <c r="AS2601" s="17"/>
      <c r="AT2601" s="17"/>
      <c r="AU2601" s="17"/>
      <c r="AV2601" s="17"/>
    </row>
    <row r="2602" spans="1:48" ht="15.75" customHeight="1">
      <c r="A2602" s="21" t="s">
        <v>76</v>
      </c>
      <c r="B2602" s="23" t="s">
        <v>1692</v>
      </c>
      <c r="C2602" s="22">
        <v>45736</v>
      </c>
      <c r="D2602" s="23" t="s">
        <v>135</v>
      </c>
      <c r="E2602" s="23" t="s">
        <v>82</v>
      </c>
      <c r="F2602" s="21">
        <v>2</v>
      </c>
      <c r="G2602" s="12">
        <v>2000.0000000000002</v>
      </c>
      <c r="H2602" s="12">
        <v>4000.0000000000005</v>
      </c>
      <c r="I2602" s="23" t="s">
        <v>52</v>
      </c>
      <c r="J2602" s="23" t="s">
        <v>61</v>
      </c>
      <c r="K2602" s="24" t="s">
        <v>177</v>
      </c>
      <c r="L2602" s="24">
        <v>117</v>
      </c>
      <c r="M2602" s="12">
        <v>1680.6722689075632</v>
      </c>
      <c r="N2602" s="12">
        <v>3361.3445378151264</v>
      </c>
      <c r="O2602" s="12">
        <v>638.65546218487407</v>
      </c>
      <c r="P2602" s="13"/>
      <c r="Q2602" s="14">
        <v>2025</v>
      </c>
      <c r="R2602" s="15">
        <v>45352</v>
      </c>
      <c r="S2602" s="11" t="s">
        <v>463</v>
      </c>
      <c r="T2602" s="16">
        <v>10</v>
      </c>
      <c r="U2602" s="17"/>
      <c r="V2602" s="12">
        <v>1361.3445378151264</v>
      </c>
      <c r="W2602" s="12">
        <v>1361.3445378151264</v>
      </c>
      <c r="X2602" s="12">
        <v>0</v>
      </c>
      <c r="Y2602" s="18">
        <v>45733</v>
      </c>
      <c r="Z2602" s="13" t="s">
        <v>505</v>
      </c>
      <c r="AA2602" s="19" t="str">
        <f>VLOOKUP(D2602,Clientes!$A$2:$J$486,9,FALSE)</f>
        <v>Frecuente</v>
      </c>
      <c r="AB2602" s="13" t="str">
        <f>VLOOKUP(D2602,Clientes!$A$2:$K$486,11,FALSE)</f>
        <v>Persona Natural</v>
      </c>
      <c r="AC2602" s="13" t="str">
        <f>VLOOKUP(D2602,Clientes!$A$2:$B$486,2,FALSE)</f>
        <v>Ex 4to Antilhue</v>
      </c>
      <c r="AD2602" s="20"/>
      <c r="AE2602" s="20"/>
      <c r="AF2602" s="13" t="s">
        <v>40</v>
      </c>
      <c r="AG2602" s="15">
        <v>45352</v>
      </c>
      <c r="AH2602" s="13" t="s">
        <v>41</v>
      </c>
      <c r="AI2602" s="13" t="s">
        <v>76</v>
      </c>
      <c r="AJ2602" s="13" t="str">
        <f>VLOOKUP(E2602,Precios!Z$2:AA$941,2,FALSE)</f>
        <v>Limpiapiso SPUM 5 Litros</v>
      </c>
      <c r="AK2602" s="14">
        <f>VLOOKUP(E2602,Precios!Z$2:BB$941,3,FALSE)*F2602</f>
        <v>-2</v>
      </c>
      <c r="AL2602" s="17"/>
      <c r="AM2602" s="17"/>
      <c r="AN2602" s="17"/>
      <c r="AO2602" s="17"/>
      <c r="AP2602" s="17"/>
      <c r="AQ2602" s="17"/>
      <c r="AR2602" s="17"/>
      <c r="AS2602" s="17"/>
      <c r="AT2602" s="17"/>
      <c r="AU2602" s="17"/>
      <c r="AV2602" s="17"/>
    </row>
    <row r="2603" spans="1:48" ht="15.75" customHeight="1">
      <c r="A2603" s="21" t="s">
        <v>43</v>
      </c>
      <c r="B2603" s="23" t="s">
        <v>1692</v>
      </c>
      <c r="C2603" s="22">
        <v>45736</v>
      </c>
      <c r="D2603" s="23" t="s">
        <v>241</v>
      </c>
      <c r="E2603" s="23" t="s">
        <v>45</v>
      </c>
      <c r="F2603" s="21">
        <v>1</v>
      </c>
      <c r="G2603" s="12">
        <v>8299.7854333055202</v>
      </c>
      <c r="H2603" s="12">
        <v>8299.7854333055202</v>
      </c>
      <c r="I2603" s="23" t="s">
        <v>52</v>
      </c>
      <c r="J2603" s="23" t="s">
        <v>61</v>
      </c>
      <c r="K2603" s="24" t="s">
        <v>177</v>
      </c>
      <c r="L2603" s="24">
        <v>117</v>
      </c>
      <c r="M2603" s="12">
        <v>6974.6096078197652</v>
      </c>
      <c r="N2603" s="12">
        <v>6974.6096078197652</v>
      </c>
      <c r="O2603" s="12">
        <v>1325.175825485755</v>
      </c>
      <c r="P2603" s="13"/>
      <c r="Q2603" s="14">
        <v>2025</v>
      </c>
      <c r="R2603" s="15">
        <v>45352</v>
      </c>
      <c r="S2603" s="11" t="s">
        <v>355</v>
      </c>
      <c r="T2603" s="16">
        <v>0</v>
      </c>
      <c r="U2603" s="17"/>
      <c r="V2603" s="12">
        <v>1123.6096078197643</v>
      </c>
      <c r="W2603" s="12">
        <v>1123.6096078197643</v>
      </c>
      <c r="X2603" s="12">
        <v>0</v>
      </c>
      <c r="Y2603" s="18">
        <v>45733</v>
      </c>
      <c r="Z2603" s="13" t="s">
        <v>505</v>
      </c>
      <c r="AA2603" s="19" t="str">
        <f>VLOOKUP(D2603,Clientes!$A$2:$J$486,9,FALSE)</f>
        <v>Ocacional</v>
      </c>
      <c r="AB2603" s="13" t="str">
        <f>VLOOKUP(D2603,Clientes!$A$2:$K$486,11,FALSE)</f>
        <v>Persona Natural</v>
      </c>
      <c r="AC2603" s="13" t="str">
        <f>VLOOKUP(D2603,Clientes!$A$2:$B$486,2,FALSE)</f>
        <v>Colombia</v>
      </c>
      <c r="AD2603" s="20"/>
      <c r="AE2603" s="20"/>
      <c r="AF2603" s="13" t="s">
        <v>40</v>
      </c>
      <c r="AG2603" s="15">
        <v>45352</v>
      </c>
      <c r="AH2603" s="13" t="s">
        <v>41</v>
      </c>
      <c r="AI2603" s="13" t="s">
        <v>43</v>
      </c>
      <c r="AJ2603" s="13" t="str">
        <f>VLOOKUP(E2603,Precios!Z$2:AA$941,2,FALSE)</f>
        <v>Bandeja Huevos EXTRA</v>
      </c>
      <c r="AK2603" s="14">
        <f>VLOOKUP(E2603,Precios!Z$2:BB$941,3,FALSE)*F2603</f>
        <v>-1</v>
      </c>
      <c r="AL2603" s="17"/>
      <c r="AM2603" s="17"/>
      <c r="AN2603" s="17"/>
      <c r="AO2603" s="17"/>
      <c r="AP2603" s="17"/>
      <c r="AQ2603" s="17"/>
      <c r="AR2603" s="17"/>
      <c r="AS2603" s="17"/>
      <c r="AT2603" s="17"/>
      <c r="AU2603" s="17"/>
      <c r="AV2603" s="17"/>
    </row>
    <row r="2604" spans="1:48" ht="15.75" customHeight="1">
      <c r="A2604" s="21" t="s">
        <v>43</v>
      </c>
      <c r="B2604" s="23" t="s">
        <v>1692</v>
      </c>
      <c r="C2604" s="22">
        <v>45736</v>
      </c>
      <c r="D2604" s="23" t="s">
        <v>120</v>
      </c>
      <c r="E2604" s="23" t="s">
        <v>45</v>
      </c>
      <c r="F2604" s="21">
        <v>1</v>
      </c>
      <c r="G2604" s="12">
        <v>8299.7854333055202</v>
      </c>
      <c r="H2604" s="12">
        <v>8299.7854333055202</v>
      </c>
      <c r="I2604" s="23" t="s">
        <v>52</v>
      </c>
      <c r="J2604" s="23" t="s">
        <v>61</v>
      </c>
      <c r="K2604" s="24" t="s">
        <v>177</v>
      </c>
      <c r="L2604" s="24">
        <v>117</v>
      </c>
      <c r="M2604" s="12">
        <v>6974.6096078197652</v>
      </c>
      <c r="N2604" s="12">
        <v>6974.6096078197652</v>
      </c>
      <c r="O2604" s="12">
        <v>1325.175825485755</v>
      </c>
      <c r="P2604" s="13"/>
      <c r="Q2604" s="14">
        <v>2025</v>
      </c>
      <c r="R2604" s="15">
        <v>45352</v>
      </c>
      <c r="S2604" s="11" t="s">
        <v>355</v>
      </c>
      <c r="T2604" s="16">
        <v>0</v>
      </c>
      <c r="U2604" s="17"/>
      <c r="V2604" s="12">
        <v>1123.6096078197643</v>
      </c>
      <c r="W2604" s="12">
        <v>1123.6096078197643</v>
      </c>
      <c r="X2604" s="12">
        <v>0</v>
      </c>
      <c r="Y2604" s="18">
        <v>45733</v>
      </c>
      <c r="Z2604" s="13" t="s">
        <v>505</v>
      </c>
      <c r="AA2604" s="19" t="str">
        <f>VLOOKUP(D2604,Clientes!$A$2:$J$486,9,FALSE)</f>
        <v>Ocacional</v>
      </c>
      <c r="AB2604" s="13" t="str">
        <f>VLOOKUP(D2604,Clientes!$A$2:$K$486,11,FALSE)</f>
        <v>Persona Natural</v>
      </c>
      <c r="AC2604" s="13" t="str">
        <f>VLOOKUP(D2604,Clientes!$A$2:$B$486,2,FALSE)</f>
        <v>Jardines de la viña</v>
      </c>
      <c r="AD2604" s="20"/>
      <c r="AE2604" s="20"/>
      <c r="AF2604" s="13" t="s">
        <v>40</v>
      </c>
      <c r="AG2604" s="15">
        <v>45352</v>
      </c>
      <c r="AH2604" s="13" t="s">
        <v>41</v>
      </c>
      <c r="AI2604" s="13" t="s">
        <v>43</v>
      </c>
      <c r="AJ2604" s="13" t="str">
        <f>VLOOKUP(E2604,Precios!Z$2:AA$941,2,FALSE)</f>
        <v>Bandeja Huevos EXTRA</v>
      </c>
      <c r="AK2604" s="14">
        <f>VLOOKUP(E2604,Precios!Z$2:BB$941,3,FALSE)*F2604</f>
        <v>-1</v>
      </c>
      <c r="AL2604" s="17"/>
      <c r="AM2604" s="17"/>
      <c r="AN2604" s="17"/>
      <c r="AO2604" s="17"/>
      <c r="AP2604" s="17"/>
      <c r="AQ2604" s="17"/>
      <c r="AR2604" s="17"/>
      <c r="AS2604" s="17"/>
      <c r="AT2604" s="17"/>
      <c r="AU2604" s="17"/>
      <c r="AV2604" s="17"/>
    </row>
    <row r="2605" spans="1:48" ht="15.75" customHeight="1">
      <c r="A2605" s="21" t="s">
        <v>35</v>
      </c>
      <c r="B2605" s="23" t="s">
        <v>1692</v>
      </c>
      <c r="C2605" s="22">
        <v>45735</v>
      </c>
      <c r="D2605" s="23" t="s">
        <v>659</v>
      </c>
      <c r="E2605" s="23" t="s">
        <v>46</v>
      </c>
      <c r="F2605" s="21">
        <v>1</v>
      </c>
      <c r="G2605" s="12">
        <v>5500</v>
      </c>
      <c r="H2605" s="12">
        <v>5500</v>
      </c>
      <c r="I2605" s="23" t="s">
        <v>52</v>
      </c>
      <c r="J2605" s="23" t="s">
        <v>61</v>
      </c>
      <c r="K2605" s="24" t="s">
        <v>177</v>
      </c>
      <c r="L2605" s="24">
        <v>117</v>
      </c>
      <c r="M2605" s="12">
        <v>4621.8487394957983</v>
      </c>
      <c r="N2605" s="12">
        <v>4621.8487394957983</v>
      </c>
      <c r="O2605" s="12">
        <v>878.15126050420167</v>
      </c>
      <c r="P2605" s="13"/>
      <c r="Q2605" s="14">
        <v>2025</v>
      </c>
      <c r="R2605" s="15">
        <v>45352</v>
      </c>
      <c r="S2605" s="11" t="s">
        <v>364</v>
      </c>
      <c r="T2605" s="16">
        <v>500</v>
      </c>
      <c r="U2605" s="17"/>
      <c r="V2605" s="12">
        <v>1365.1260504201678</v>
      </c>
      <c r="W2605" s="12">
        <v>1365.1260504201678</v>
      </c>
      <c r="X2605" s="12">
        <v>0</v>
      </c>
      <c r="Y2605" s="18">
        <v>45733</v>
      </c>
      <c r="Z2605" s="13" t="s">
        <v>515</v>
      </c>
      <c r="AA2605" s="19" t="str">
        <f>VLOOKUP(D2605,Clientes!$A$2:$J$486,9,FALSE)</f>
        <v>Regular</v>
      </c>
      <c r="AB2605" s="13" t="str">
        <f>VLOOKUP(D2605,Clientes!$A$2:$K$486,11,FALSE)</f>
        <v>Persona Natural</v>
      </c>
      <c r="AC2605" s="13" t="str">
        <f>VLOOKUP(D2605,Clientes!$A$2:$B$486,2,FALSE)</f>
        <v>Jardines de la viña</v>
      </c>
      <c r="AD2605" s="20"/>
      <c r="AE2605" s="20"/>
      <c r="AF2605" s="13" t="s">
        <v>40</v>
      </c>
      <c r="AG2605" s="15">
        <v>45352</v>
      </c>
      <c r="AH2605" s="13" t="s">
        <v>41</v>
      </c>
      <c r="AI2605" s="13" t="s">
        <v>35</v>
      </c>
      <c r="AJ2605" s="13" t="str">
        <f>VLOOKUP(E2605,Precios!Z$2:AA$941,2,FALSE)</f>
        <v>Queso RUNCA Mantecoso</v>
      </c>
      <c r="AK2605" s="14">
        <f>VLOOKUP(E2605,Precios!Z$2:BB$941,3,FALSE)*F2605</f>
        <v>-0.5</v>
      </c>
      <c r="AL2605" s="17"/>
      <c r="AM2605" s="17"/>
      <c r="AN2605" s="17"/>
      <c r="AO2605" s="17"/>
      <c r="AP2605" s="17"/>
      <c r="AQ2605" s="17"/>
      <c r="AR2605" s="17"/>
      <c r="AS2605" s="17"/>
      <c r="AT2605" s="17"/>
      <c r="AU2605" s="17"/>
      <c r="AV2605" s="17"/>
    </row>
    <row r="2606" spans="1:48" ht="15.75" customHeight="1">
      <c r="A2606" s="21" t="s">
        <v>64</v>
      </c>
      <c r="B2606" s="23" t="s">
        <v>1692</v>
      </c>
      <c r="C2606" s="22">
        <v>45735</v>
      </c>
      <c r="D2606" s="23" t="s">
        <v>266</v>
      </c>
      <c r="E2606" s="23" t="s">
        <v>65</v>
      </c>
      <c r="F2606" s="21">
        <v>1</v>
      </c>
      <c r="G2606" s="12">
        <v>8199.8794599807134</v>
      </c>
      <c r="H2606" s="12">
        <v>8199.8794599807134</v>
      </c>
      <c r="I2606" s="23" t="s">
        <v>52</v>
      </c>
      <c r="J2606" s="23" t="s">
        <v>61</v>
      </c>
      <c r="K2606" s="24" t="s">
        <v>177</v>
      </c>
      <c r="L2606" s="24">
        <v>117</v>
      </c>
      <c r="M2606" s="12">
        <v>6890.6550083871543</v>
      </c>
      <c r="N2606" s="12">
        <v>6890.6550083871543</v>
      </c>
      <c r="O2606" s="12">
        <v>1309.224451593559</v>
      </c>
      <c r="P2606" s="13"/>
      <c r="Q2606" s="14">
        <v>2025</v>
      </c>
      <c r="R2606" s="15">
        <v>45352</v>
      </c>
      <c r="S2606" s="11" t="s">
        <v>64</v>
      </c>
      <c r="T2606" s="16">
        <v>1</v>
      </c>
      <c r="U2606" s="17"/>
      <c r="V2606" s="12">
        <v>1174.1676134291711</v>
      </c>
      <c r="W2606" s="12">
        <v>1174.1676134291711</v>
      </c>
      <c r="X2606" s="12">
        <v>0</v>
      </c>
      <c r="Y2606" s="18">
        <v>45733</v>
      </c>
      <c r="Z2606" s="13" t="s">
        <v>515</v>
      </c>
      <c r="AA2606" s="19" t="str">
        <f>VLOOKUP(D2606,Clientes!$A$2:$J$486,9,FALSE)</f>
        <v>Regular</v>
      </c>
      <c r="AB2606" s="13" t="str">
        <f>VLOOKUP(D2606,Clientes!$A$2:$K$486,11,FALSE)</f>
        <v>Persona Natural</v>
      </c>
      <c r="AC2606" s="13" t="str">
        <f>VLOOKUP(D2606,Clientes!$A$2:$B$486,2,FALSE)</f>
        <v>Sector Santa Delia</v>
      </c>
      <c r="AD2606" s="20"/>
      <c r="AE2606" s="20"/>
      <c r="AF2606" s="13" t="s">
        <v>40</v>
      </c>
      <c r="AG2606" s="15">
        <v>45352</v>
      </c>
      <c r="AH2606" s="13" t="s">
        <v>41</v>
      </c>
      <c r="AI2606" s="13" t="s">
        <v>64</v>
      </c>
      <c r="AJ2606" s="13" t="str">
        <f>VLOOKUP(E2606,Precios!Z$2:AA$941,2,FALSE)</f>
        <v>Longanizas VILLABLANCA</v>
      </c>
      <c r="AK2606" s="14">
        <f>VLOOKUP(E2606,Precios!Z$2:BB$941,3,FALSE)*F2606</f>
        <v>-1</v>
      </c>
      <c r="AL2606" s="17"/>
      <c r="AM2606" s="17"/>
      <c r="AN2606" s="17"/>
      <c r="AO2606" s="17"/>
      <c r="AP2606" s="17"/>
      <c r="AQ2606" s="17"/>
      <c r="AR2606" s="17"/>
      <c r="AS2606" s="17"/>
      <c r="AT2606" s="17"/>
      <c r="AU2606" s="17"/>
      <c r="AV2606" s="17"/>
    </row>
    <row r="2607" spans="1:48" ht="15.75" customHeight="1">
      <c r="A2607" s="21" t="s">
        <v>35</v>
      </c>
      <c r="B2607" s="23" t="s">
        <v>1692</v>
      </c>
      <c r="C2607" s="22">
        <v>45735</v>
      </c>
      <c r="D2607" s="23" t="s">
        <v>266</v>
      </c>
      <c r="E2607" s="23" t="s">
        <v>46</v>
      </c>
      <c r="F2607" s="21">
        <v>1</v>
      </c>
      <c r="G2607" s="12">
        <v>5500</v>
      </c>
      <c r="H2607" s="12">
        <v>5500</v>
      </c>
      <c r="I2607" s="23" t="s">
        <v>52</v>
      </c>
      <c r="J2607" s="23" t="s">
        <v>61</v>
      </c>
      <c r="K2607" s="24" t="s">
        <v>177</v>
      </c>
      <c r="L2607" s="24">
        <v>117</v>
      </c>
      <c r="M2607" s="12">
        <v>4621.8487394957983</v>
      </c>
      <c r="N2607" s="12">
        <v>4621.8487394957983</v>
      </c>
      <c r="O2607" s="12">
        <v>878.15126050420167</v>
      </c>
      <c r="P2607" s="13"/>
      <c r="Q2607" s="14">
        <v>2025</v>
      </c>
      <c r="R2607" s="15">
        <v>45352</v>
      </c>
      <c r="S2607" s="11" t="s">
        <v>364</v>
      </c>
      <c r="T2607" s="16">
        <v>500</v>
      </c>
      <c r="U2607" s="17"/>
      <c r="V2607" s="12">
        <v>1365.1260504201678</v>
      </c>
      <c r="W2607" s="12">
        <v>1365.1260504201678</v>
      </c>
      <c r="X2607" s="12">
        <v>0</v>
      </c>
      <c r="Y2607" s="18">
        <v>45733</v>
      </c>
      <c r="Z2607" s="13" t="s">
        <v>515</v>
      </c>
      <c r="AA2607" s="19" t="str">
        <f>VLOOKUP(D2607,Clientes!$A$2:$J$486,9,FALSE)</f>
        <v>Regular</v>
      </c>
      <c r="AB2607" s="13" t="str">
        <f>VLOOKUP(D2607,Clientes!$A$2:$K$486,11,FALSE)</f>
        <v>Persona Natural</v>
      </c>
      <c r="AC2607" s="13" t="str">
        <f>VLOOKUP(D2607,Clientes!$A$2:$B$486,2,FALSE)</f>
        <v>Sector Santa Delia</v>
      </c>
      <c r="AD2607" s="20"/>
      <c r="AE2607" s="20"/>
      <c r="AF2607" s="13" t="s">
        <v>40</v>
      </c>
      <c r="AG2607" s="15">
        <v>45352</v>
      </c>
      <c r="AH2607" s="13" t="s">
        <v>41</v>
      </c>
      <c r="AI2607" s="13" t="s">
        <v>35</v>
      </c>
      <c r="AJ2607" s="13" t="str">
        <f>VLOOKUP(E2607,Precios!Z$2:AA$941,2,FALSE)</f>
        <v>Queso RUNCA Mantecoso</v>
      </c>
      <c r="AK2607" s="14">
        <f>VLOOKUP(E2607,Precios!Z$2:BB$941,3,FALSE)*F2607</f>
        <v>-0.5</v>
      </c>
      <c r="AL2607" s="17"/>
      <c r="AM2607" s="17"/>
      <c r="AN2607" s="17"/>
      <c r="AO2607" s="17"/>
      <c r="AP2607" s="17"/>
      <c r="AQ2607" s="17"/>
      <c r="AR2607" s="17"/>
      <c r="AS2607" s="17"/>
      <c r="AT2607" s="17"/>
      <c r="AU2607" s="17"/>
      <c r="AV2607" s="17"/>
    </row>
    <row r="2608" spans="1:48" ht="15.75" customHeight="1">
      <c r="A2608" s="21" t="s">
        <v>53</v>
      </c>
      <c r="B2608" s="23" t="s">
        <v>1692</v>
      </c>
      <c r="C2608" s="22">
        <v>45735</v>
      </c>
      <c r="D2608" s="23" t="s">
        <v>309</v>
      </c>
      <c r="E2608" s="23" t="s">
        <v>192</v>
      </c>
      <c r="F2608" s="21">
        <v>2</v>
      </c>
      <c r="G2608" s="12">
        <v>15990.211345939933</v>
      </c>
      <c r="H2608" s="12">
        <v>31980.422691879867</v>
      </c>
      <c r="I2608" s="23" t="s">
        <v>52</v>
      </c>
      <c r="J2608" s="23" t="s">
        <v>61</v>
      </c>
      <c r="K2608" s="24" t="s">
        <v>177</v>
      </c>
      <c r="L2608" s="24">
        <v>117</v>
      </c>
      <c r="M2608" s="12">
        <v>13437.152391546164</v>
      </c>
      <c r="N2608" s="12">
        <v>26874.304783092328</v>
      </c>
      <c r="O2608" s="12">
        <v>5106.1179087875389</v>
      </c>
      <c r="P2608" s="13"/>
      <c r="Q2608" s="14">
        <v>2025</v>
      </c>
      <c r="R2608" s="15">
        <v>45352</v>
      </c>
      <c r="S2608" s="11" t="s">
        <v>435</v>
      </c>
      <c r="T2608" s="16">
        <v>0</v>
      </c>
      <c r="U2608" s="17"/>
      <c r="V2608" s="12">
        <v>7546.3047830923242</v>
      </c>
      <c r="W2608" s="12">
        <v>7546.3047830923242</v>
      </c>
      <c r="X2608" s="12">
        <v>0</v>
      </c>
      <c r="Y2608" s="18">
        <v>45733</v>
      </c>
      <c r="Z2608" s="13" t="s">
        <v>515</v>
      </c>
      <c r="AA2608" s="19" t="str">
        <f>VLOOKUP(D2608,Clientes!$A$2:$J$486,9,FALSE)</f>
        <v>Ocacional</v>
      </c>
      <c r="AB2608" s="13" t="str">
        <f>VLOOKUP(D2608,Clientes!$A$2:$K$486,11,FALSE)</f>
        <v>Persona Natural</v>
      </c>
      <c r="AC2608" s="13" t="str">
        <f>VLOOKUP(D2608,Clientes!$A$2:$B$486,2,FALSE)</f>
        <v>Jardines de la Viña</v>
      </c>
      <c r="AD2608" s="20"/>
      <c r="AE2608" s="20"/>
      <c r="AF2608" s="13" t="s">
        <v>40</v>
      </c>
      <c r="AG2608" s="15">
        <v>45352</v>
      </c>
      <c r="AH2608" s="13" t="s">
        <v>41</v>
      </c>
      <c r="AI2608" s="13" t="s">
        <v>53</v>
      </c>
      <c r="AJ2608" s="13" t="str">
        <f>VLOOKUP(E2608,Precios!Z$2:AA$941,2,FALSE)</f>
        <v>Papel Higienico SWAN 400 hojas</v>
      </c>
      <c r="AK2608" s="14">
        <f>VLOOKUP(E2608,Precios!Z$2:BB$941,3,FALSE)*F2608</f>
        <v>-16</v>
      </c>
      <c r="AL2608" s="17"/>
      <c r="AM2608" s="17"/>
      <c r="AN2608" s="17"/>
      <c r="AO2608" s="17"/>
      <c r="AP2608" s="17"/>
      <c r="AQ2608" s="17"/>
      <c r="AR2608" s="17"/>
      <c r="AS2608" s="17"/>
      <c r="AT2608" s="17"/>
      <c r="AU2608" s="17"/>
      <c r="AV2608" s="17"/>
    </row>
    <row r="2609" spans="1:48" ht="15.75" customHeight="1">
      <c r="A2609" s="21" t="s">
        <v>76</v>
      </c>
      <c r="B2609" s="23" t="s">
        <v>1692</v>
      </c>
      <c r="C2609" s="22">
        <v>45735</v>
      </c>
      <c r="D2609" s="23" t="s">
        <v>309</v>
      </c>
      <c r="E2609" s="23" t="s">
        <v>110</v>
      </c>
      <c r="F2609" s="21">
        <v>2</v>
      </c>
      <c r="G2609" s="12">
        <v>2000.0000000000005</v>
      </c>
      <c r="H2609" s="12">
        <v>4000.0000000000009</v>
      </c>
      <c r="I2609" s="23" t="s">
        <v>52</v>
      </c>
      <c r="J2609" s="23" t="s">
        <v>61</v>
      </c>
      <c r="K2609" s="24" t="s">
        <v>177</v>
      </c>
      <c r="L2609" s="24">
        <v>117</v>
      </c>
      <c r="M2609" s="12">
        <v>1680.6722689075634</v>
      </c>
      <c r="N2609" s="12">
        <v>3361.3445378151268</v>
      </c>
      <c r="O2609" s="12">
        <v>638.65546218487407</v>
      </c>
      <c r="P2609" s="13"/>
      <c r="Q2609" s="14">
        <v>2025</v>
      </c>
      <c r="R2609" s="15">
        <v>45352</v>
      </c>
      <c r="S2609" s="11" t="s">
        <v>378</v>
      </c>
      <c r="T2609" s="16">
        <v>10</v>
      </c>
      <c r="U2609" s="17"/>
      <c r="V2609" s="12">
        <v>1512.6050420168074</v>
      </c>
      <c r="W2609" s="12">
        <v>1512.6050420168074</v>
      </c>
      <c r="X2609" s="12">
        <v>0</v>
      </c>
      <c r="Y2609" s="18">
        <v>45733</v>
      </c>
      <c r="Z2609" s="13" t="s">
        <v>515</v>
      </c>
      <c r="AA2609" s="19" t="str">
        <f>VLOOKUP(D2609,Clientes!$A$2:$J$486,9,FALSE)</f>
        <v>Ocacional</v>
      </c>
      <c r="AB2609" s="13" t="str">
        <f>VLOOKUP(D2609,Clientes!$A$2:$K$486,11,FALSE)</f>
        <v>Persona Natural</v>
      </c>
      <c r="AC2609" s="13" t="str">
        <f>VLOOKUP(D2609,Clientes!$A$2:$B$486,2,FALSE)</f>
        <v>Jardines de la Viña</v>
      </c>
      <c r="AD2609" s="20"/>
      <c r="AE2609" s="20"/>
      <c r="AF2609" s="13" t="s">
        <v>40</v>
      </c>
      <c r="AG2609" s="15">
        <v>45352</v>
      </c>
      <c r="AH2609" s="13" t="s">
        <v>41</v>
      </c>
      <c r="AI2609" s="13" t="s">
        <v>76</v>
      </c>
      <c r="AJ2609" s="13" t="str">
        <f>VLOOKUP(E2609,Precios!Z$2:AA$941,2,FALSE)</f>
        <v>Cloro SPUM 5 Litros</v>
      </c>
      <c r="AK2609" s="14">
        <f>VLOOKUP(E2609,Precios!Z$2:BB$941,3,FALSE)*F2609</f>
        <v>-2</v>
      </c>
      <c r="AL2609" s="17"/>
      <c r="AM2609" s="17"/>
      <c r="AN2609" s="17"/>
      <c r="AO2609" s="17"/>
      <c r="AP2609" s="17"/>
      <c r="AQ2609" s="17"/>
      <c r="AR2609" s="17"/>
      <c r="AS2609" s="17"/>
      <c r="AT2609" s="17"/>
      <c r="AU2609" s="17"/>
      <c r="AV2609" s="17"/>
    </row>
    <row r="2610" spans="1:48" ht="15.75" customHeight="1">
      <c r="A2610" s="21" t="s">
        <v>56</v>
      </c>
      <c r="B2610" s="23" t="s">
        <v>1692</v>
      </c>
      <c r="C2610" s="22">
        <v>45735</v>
      </c>
      <c r="D2610" s="23" t="s">
        <v>309</v>
      </c>
      <c r="E2610" s="23" t="s">
        <v>60</v>
      </c>
      <c r="F2610" s="21">
        <v>1</v>
      </c>
      <c r="G2610" s="12">
        <v>7000.0000000000018</v>
      </c>
      <c r="H2610" s="12">
        <v>7000.0000000000018</v>
      </c>
      <c r="I2610" s="23" t="s">
        <v>52</v>
      </c>
      <c r="J2610" s="23" t="s">
        <v>61</v>
      </c>
      <c r="K2610" s="24" t="s">
        <v>177</v>
      </c>
      <c r="L2610" s="24">
        <v>117</v>
      </c>
      <c r="M2610" s="12">
        <v>5882.3529411764721</v>
      </c>
      <c r="N2610" s="12">
        <v>5882.3529411764721</v>
      </c>
      <c r="O2610" s="12">
        <v>1117.6470588235297</v>
      </c>
      <c r="P2610" s="13"/>
      <c r="Q2610" s="14">
        <v>2025</v>
      </c>
      <c r="R2610" s="15">
        <v>45352</v>
      </c>
      <c r="S2610" s="11" t="s">
        <v>429</v>
      </c>
      <c r="T2610" s="16">
        <v>200</v>
      </c>
      <c r="U2610" s="17"/>
      <c r="V2610" s="12">
        <v>2080.6722689075641</v>
      </c>
      <c r="W2610" s="12">
        <v>2080.6722689075641</v>
      </c>
      <c r="X2610" s="12">
        <v>0</v>
      </c>
      <c r="Y2610" s="18">
        <v>45733</v>
      </c>
      <c r="Z2610" s="13" t="s">
        <v>515</v>
      </c>
      <c r="AA2610" s="19" t="str">
        <f>VLOOKUP(D2610,Clientes!$A$2:$J$486,9,FALSE)</f>
        <v>Ocacional</v>
      </c>
      <c r="AB2610" s="13" t="str">
        <f>VLOOKUP(D2610,Clientes!$A$2:$K$486,11,FALSE)</f>
        <v>Persona Natural</v>
      </c>
      <c r="AC2610" s="13" t="str">
        <f>VLOOKUP(D2610,Clientes!$A$2:$B$486,2,FALSE)</f>
        <v>Jardines de la Viña</v>
      </c>
      <c r="AD2610" s="20"/>
      <c r="AE2610" s="20"/>
      <c r="AF2610" s="13" t="s">
        <v>40</v>
      </c>
      <c r="AG2610" s="15">
        <v>45352</v>
      </c>
      <c r="AH2610" s="13" t="s">
        <v>41</v>
      </c>
      <c r="AI2610" s="13" t="s">
        <v>56</v>
      </c>
      <c r="AJ2610" s="13" t="str">
        <f>VLOOKUP(E2610,Precios!Z$2:AA$941,2,FALSE)</f>
        <v>Queso Sabores</v>
      </c>
      <c r="AK2610" s="14">
        <f>VLOOKUP(E2610,Precios!Z$2:BB$941,3,FALSE)*F2610</f>
        <v>-2</v>
      </c>
      <c r="AL2610" s="17"/>
      <c r="AM2610" s="17"/>
      <c r="AN2610" s="17"/>
      <c r="AO2610" s="17"/>
      <c r="AP2610" s="17"/>
      <c r="AQ2610" s="17"/>
      <c r="AR2610" s="17"/>
      <c r="AS2610" s="17"/>
      <c r="AT2610" s="17"/>
      <c r="AU2610" s="17"/>
      <c r="AV2610" s="17"/>
    </row>
    <row r="2611" spans="1:48" ht="15.75" customHeight="1">
      <c r="A2611" s="21" t="s">
        <v>73</v>
      </c>
      <c r="B2611" s="23" t="s">
        <v>1692</v>
      </c>
      <c r="C2611" s="22">
        <v>45735</v>
      </c>
      <c r="D2611" s="23" t="s">
        <v>309</v>
      </c>
      <c r="E2611" s="23" t="s">
        <v>161</v>
      </c>
      <c r="F2611" s="21">
        <v>1</v>
      </c>
      <c r="G2611" s="12">
        <v>4199.9020019599611</v>
      </c>
      <c r="H2611" s="12">
        <v>4199.9020019599611</v>
      </c>
      <c r="I2611" s="23" t="s">
        <v>52</v>
      </c>
      <c r="J2611" s="23" t="s">
        <v>61</v>
      </c>
      <c r="K2611" s="24" t="s">
        <v>177</v>
      </c>
      <c r="L2611" s="24">
        <v>117</v>
      </c>
      <c r="M2611" s="12">
        <v>3529.3294134117323</v>
      </c>
      <c r="N2611" s="12">
        <v>3529.3294134117323</v>
      </c>
      <c r="O2611" s="12">
        <v>670.57258854822885</v>
      </c>
      <c r="P2611" s="13"/>
      <c r="Q2611" s="14">
        <v>2025</v>
      </c>
      <c r="R2611" s="15">
        <v>45352</v>
      </c>
      <c r="S2611" s="11" t="s">
        <v>424</v>
      </c>
      <c r="T2611" s="16">
        <v>0</v>
      </c>
      <c r="U2611" s="17"/>
      <c r="V2611" s="12">
        <v>1008.3294134117323</v>
      </c>
      <c r="W2611" s="12">
        <v>1008.3294134117323</v>
      </c>
      <c r="X2611" s="12">
        <v>0</v>
      </c>
      <c r="Y2611" s="18">
        <v>45733</v>
      </c>
      <c r="Z2611" s="13" t="s">
        <v>515</v>
      </c>
      <c r="AA2611" s="19" t="str">
        <f>VLOOKUP(D2611,Clientes!$A$2:$J$486,9,FALSE)</f>
        <v>Ocacional</v>
      </c>
      <c r="AB2611" s="13" t="str">
        <f>VLOOKUP(D2611,Clientes!$A$2:$K$486,11,FALSE)</f>
        <v>Persona Natural</v>
      </c>
      <c r="AC2611" s="13" t="str">
        <f>VLOOKUP(D2611,Clientes!$A$2:$B$486,2,FALSE)</f>
        <v>Jardines de la Viña</v>
      </c>
      <c r="AD2611" s="20"/>
      <c r="AE2611" s="20"/>
      <c r="AF2611" s="13" t="s">
        <v>40</v>
      </c>
      <c r="AG2611" s="15">
        <v>45352</v>
      </c>
      <c r="AH2611" s="13" t="s">
        <v>41</v>
      </c>
      <c r="AI2611" s="13" t="s">
        <v>47</v>
      </c>
      <c r="AJ2611" s="13" t="str">
        <f>VLOOKUP(E2611,Precios!Z$2:AA$941,2,FALSE)</f>
        <v>Guante NITRILO Talla L</v>
      </c>
      <c r="AK2611" s="14">
        <f>VLOOKUP(E2611,Precios!Z$2:BB$941,3,FALSE)*F2611</f>
        <v>-1</v>
      </c>
      <c r="AL2611" s="17"/>
      <c r="AM2611" s="17"/>
      <c r="AN2611" s="17"/>
      <c r="AO2611" s="17"/>
      <c r="AP2611" s="17"/>
      <c r="AQ2611" s="17"/>
      <c r="AR2611" s="17"/>
      <c r="AS2611" s="17"/>
      <c r="AT2611" s="17"/>
      <c r="AU2611" s="17"/>
      <c r="AV2611" s="17"/>
    </row>
    <row r="2612" spans="1:48" ht="15.75" customHeight="1">
      <c r="A2612" s="21" t="s">
        <v>147</v>
      </c>
      <c r="B2612" s="23" t="s">
        <v>1692</v>
      </c>
      <c r="C2612" s="22">
        <v>45735</v>
      </c>
      <c r="D2612" s="23" t="s">
        <v>297</v>
      </c>
      <c r="E2612" s="23" t="s">
        <v>257</v>
      </c>
      <c r="F2612" s="21">
        <v>1</v>
      </c>
      <c r="G2612" s="12">
        <v>4000.0000000000005</v>
      </c>
      <c r="H2612" s="12">
        <v>4000.0000000000005</v>
      </c>
      <c r="I2612" s="23" t="s">
        <v>52</v>
      </c>
      <c r="J2612" s="23" t="s">
        <v>61</v>
      </c>
      <c r="K2612" s="24" t="s">
        <v>177</v>
      </c>
      <c r="L2612" s="24">
        <v>117</v>
      </c>
      <c r="M2612" s="12">
        <v>3361.3445378151264</v>
      </c>
      <c r="N2612" s="12">
        <v>3361.3445378151264</v>
      </c>
      <c r="O2612" s="12">
        <v>638.65546218487407</v>
      </c>
      <c r="P2612" s="13"/>
      <c r="Q2612" s="14">
        <v>2025</v>
      </c>
      <c r="R2612" s="15">
        <v>45352</v>
      </c>
      <c r="S2612" s="11" t="s">
        <v>412</v>
      </c>
      <c r="T2612" s="16">
        <v>0</v>
      </c>
      <c r="U2612" s="17"/>
      <c r="V2612" s="12">
        <v>1680.6722689075632</v>
      </c>
      <c r="W2612" s="12">
        <v>1680.6722689075632</v>
      </c>
      <c r="X2612" s="12">
        <v>0</v>
      </c>
      <c r="Y2612" s="18">
        <v>45733</v>
      </c>
      <c r="Z2612" s="13" t="s">
        <v>515</v>
      </c>
      <c r="AA2612" s="19" t="str">
        <f>VLOOKUP(D2612,Clientes!$A$2:$J$486,9,FALSE)</f>
        <v>Ocacional</v>
      </c>
      <c r="AB2612" s="13" t="str">
        <f>VLOOKUP(D2612,Clientes!$A$2:$K$486,11,FALSE)</f>
        <v>Persona Natural</v>
      </c>
      <c r="AC2612" s="13" t="str">
        <f>VLOOKUP(D2612,Clientes!$A$2:$B$486,2,FALSE)</f>
        <v>Jardines de la viña</v>
      </c>
      <c r="AD2612" s="20"/>
      <c r="AE2612" s="20"/>
      <c r="AF2612" s="13" t="s">
        <v>40</v>
      </c>
      <c r="AG2612" s="15">
        <v>45352</v>
      </c>
      <c r="AH2612" s="13" t="s">
        <v>41</v>
      </c>
      <c r="AI2612" s="13" t="s">
        <v>147</v>
      </c>
      <c r="AJ2612" s="13" t="str">
        <f>VLOOKUP(E2612,Precios!Z$2:AA$941,2,FALSE)</f>
        <v>Film Plástico 100 metros</v>
      </c>
      <c r="AK2612" s="14">
        <f>VLOOKUP(E2612,Precios!Z$2:BB$941,3,FALSE)*F2612</f>
        <v>-1</v>
      </c>
      <c r="AL2612" s="17"/>
      <c r="AM2612" s="17"/>
      <c r="AN2612" s="17"/>
      <c r="AO2612" s="17"/>
      <c r="AP2612" s="17"/>
      <c r="AQ2612" s="17"/>
      <c r="AR2612" s="17"/>
      <c r="AS2612" s="17"/>
      <c r="AT2612" s="17"/>
      <c r="AU2612" s="17"/>
      <c r="AV2612" s="17"/>
    </row>
    <row r="2613" spans="1:48" ht="15.75" customHeight="1">
      <c r="A2613" s="21" t="s">
        <v>35</v>
      </c>
      <c r="B2613" s="23" t="s">
        <v>1692</v>
      </c>
      <c r="C2613" s="22">
        <v>45735</v>
      </c>
      <c r="D2613" s="23" t="s">
        <v>348</v>
      </c>
      <c r="E2613" s="23" t="s">
        <v>46</v>
      </c>
      <c r="F2613" s="21">
        <v>1</v>
      </c>
      <c r="G2613" s="12">
        <v>5500</v>
      </c>
      <c r="H2613" s="12">
        <v>5500</v>
      </c>
      <c r="I2613" s="23" t="s">
        <v>52</v>
      </c>
      <c r="J2613" s="23" t="s">
        <v>61</v>
      </c>
      <c r="K2613" s="24" t="s">
        <v>177</v>
      </c>
      <c r="L2613" s="24">
        <v>117</v>
      </c>
      <c r="M2613" s="12">
        <v>4621.8487394957983</v>
      </c>
      <c r="N2613" s="12">
        <v>4621.8487394957983</v>
      </c>
      <c r="O2613" s="12">
        <v>878.15126050420167</v>
      </c>
      <c r="P2613" s="13"/>
      <c r="Q2613" s="14">
        <v>2025</v>
      </c>
      <c r="R2613" s="15">
        <v>45352</v>
      </c>
      <c r="S2613" s="11" t="s">
        <v>364</v>
      </c>
      <c r="T2613" s="16">
        <v>500</v>
      </c>
      <c r="U2613" s="17"/>
      <c r="V2613" s="12">
        <v>1365.1260504201678</v>
      </c>
      <c r="W2613" s="12">
        <v>1365.1260504201678</v>
      </c>
      <c r="X2613" s="12">
        <v>0</v>
      </c>
      <c r="Y2613" s="18">
        <v>45733</v>
      </c>
      <c r="Z2613" s="13" t="s">
        <v>515</v>
      </c>
      <c r="AA2613" s="19" t="str">
        <f>VLOOKUP(D2613,Clientes!$A$2:$J$486,9,FALSE)</f>
        <v>Regular</v>
      </c>
      <c r="AB2613" s="13" t="str">
        <f>VLOOKUP(D2613,Clientes!$A$2:$K$486,11,FALSE)</f>
        <v>Persona Natural</v>
      </c>
      <c r="AC2613" s="13" t="str">
        <f>VLOOKUP(D2613,Clientes!$A$2:$B$486,2,FALSE)</f>
        <v>Jardines de la Viña</v>
      </c>
      <c r="AD2613" s="20"/>
      <c r="AE2613" s="20"/>
      <c r="AF2613" s="13" t="s">
        <v>40</v>
      </c>
      <c r="AG2613" s="15">
        <v>45352</v>
      </c>
      <c r="AH2613" s="13" t="s">
        <v>41</v>
      </c>
      <c r="AI2613" s="13" t="s">
        <v>35</v>
      </c>
      <c r="AJ2613" s="13" t="str">
        <f>VLOOKUP(E2613,Precios!Z$2:AA$941,2,FALSE)</f>
        <v>Queso RUNCA Mantecoso</v>
      </c>
      <c r="AK2613" s="14">
        <f>VLOOKUP(E2613,Precios!Z$2:BB$941,3,FALSE)*F2613</f>
        <v>-0.5</v>
      </c>
      <c r="AL2613" s="17"/>
      <c r="AM2613" s="17"/>
      <c r="AN2613" s="17"/>
      <c r="AO2613" s="17"/>
      <c r="AP2613" s="17"/>
      <c r="AQ2613" s="17"/>
      <c r="AR2613" s="17"/>
      <c r="AS2613" s="17"/>
      <c r="AT2613" s="17"/>
      <c r="AU2613" s="17"/>
      <c r="AV2613" s="17"/>
    </row>
    <row r="2614" spans="1:48" ht="15.75" customHeight="1">
      <c r="A2614" s="21" t="s">
        <v>43</v>
      </c>
      <c r="B2614" s="23" t="s">
        <v>1692</v>
      </c>
      <c r="C2614" s="22">
        <v>45735</v>
      </c>
      <c r="D2614" s="23" t="s">
        <v>348</v>
      </c>
      <c r="E2614" s="23" t="s">
        <v>45</v>
      </c>
      <c r="F2614" s="21">
        <v>1</v>
      </c>
      <c r="G2614" s="12">
        <v>8299.7854333055202</v>
      </c>
      <c r="H2614" s="12">
        <v>8299.7854333055202</v>
      </c>
      <c r="I2614" s="23" t="s">
        <v>52</v>
      </c>
      <c r="J2614" s="23" t="s">
        <v>61</v>
      </c>
      <c r="K2614" s="24" t="s">
        <v>177</v>
      </c>
      <c r="L2614" s="24">
        <v>117</v>
      </c>
      <c r="M2614" s="12">
        <v>6974.6096078197652</v>
      </c>
      <c r="N2614" s="12">
        <v>6974.6096078197652</v>
      </c>
      <c r="O2614" s="12">
        <v>1325.175825485755</v>
      </c>
      <c r="P2614" s="13"/>
      <c r="Q2614" s="14">
        <v>2025</v>
      </c>
      <c r="R2614" s="15">
        <v>45352</v>
      </c>
      <c r="S2614" s="11" t="s">
        <v>355</v>
      </c>
      <c r="T2614" s="16">
        <v>0</v>
      </c>
      <c r="U2614" s="17"/>
      <c r="V2614" s="12">
        <v>1123.6096078197643</v>
      </c>
      <c r="W2614" s="12">
        <v>1123.6096078197643</v>
      </c>
      <c r="X2614" s="12">
        <v>0</v>
      </c>
      <c r="Y2614" s="18">
        <v>45733</v>
      </c>
      <c r="Z2614" s="13" t="s">
        <v>515</v>
      </c>
      <c r="AA2614" s="19" t="str">
        <f>VLOOKUP(D2614,Clientes!$A$2:$J$486,9,FALSE)</f>
        <v>Regular</v>
      </c>
      <c r="AB2614" s="13" t="str">
        <f>VLOOKUP(D2614,Clientes!$A$2:$K$486,11,FALSE)</f>
        <v>Persona Natural</v>
      </c>
      <c r="AC2614" s="13" t="str">
        <f>VLOOKUP(D2614,Clientes!$A$2:$B$486,2,FALSE)</f>
        <v>Jardines de la Viña</v>
      </c>
      <c r="AD2614" s="20"/>
      <c r="AE2614" s="20"/>
      <c r="AF2614" s="13" t="s">
        <v>40</v>
      </c>
      <c r="AG2614" s="15">
        <v>45352</v>
      </c>
      <c r="AH2614" s="13" t="s">
        <v>41</v>
      </c>
      <c r="AI2614" s="13" t="s">
        <v>43</v>
      </c>
      <c r="AJ2614" s="13" t="str">
        <f>VLOOKUP(E2614,Precios!Z$2:AA$941,2,FALSE)</f>
        <v>Bandeja Huevos EXTRA</v>
      </c>
      <c r="AK2614" s="14">
        <f>VLOOKUP(E2614,Precios!Z$2:BB$941,3,FALSE)*F2614</f>
        <v>-1</v>
      </c>
      <c r="AL2614" s="17"/>
      <c r="AM2614" s="17"/>
      <c r="AN2614" s="17"/>
      <c r="AO2614" s="17"/>
      <c r="AP2614" s="17"/>
      <c r="AQ2614" s="17"/>
      <c r="AR2614" s="17"/>
      <c r="AS2614" s="17"/>
      <c r="AT2614" s="17"/>
      <c r="AU2614" s="17"/>
      <c r="AV2614" s="17"/>
    </row>
    <row r="2615" spans="1:48" ht="15.75" customHeight="1">
      <c r="A2615" s="21" t="s">
        <v>56</v>
      </c>
      <c r="B2615" s="23" t="s">
        <v>1692</v>
      </c>
      <c r="C2615" s="22">
        <v>45735</v>
      </c>
      <c r="D2615" s="23" t="s">
        <v>915</v>
      </c>
      <c r="E2615" s="23" t="s">
        <v>524</v>
      </c>
      <c r="F2615" s="21">
        <v>1</v>
      </c>
      <c r="G2615" s="12">
        <v>4300</v>
      </c>
      <c r="H2615" s="34">
        <v>4300</v>
      </c>
      <c r="I2615" s="23" t="s">
        <v>52</v>
      </c>
      <c r="J2615" s="23" t="s">
        <v>61</v>
      </c>
      <c r="K2615" s="24" t="s">
        <v>177</v>
      </c>
      <c r="L2615" s="24">
        <v>117</v>
      </c>
      <c r="M2615" s="12">
        <v>3613.4453781512607</v>
      </c>
      <c r="N2615" s="12">
        <v>3613.4453781512607</v>
      </c>
      <c r="O2615" s="12">
        <v>686.55462184873932</v>
      </c>
      <c r="P2615" s="13"/>
      <c r="Q2615" s="14">
        <v>2025</v>
      </c>
      <c r="R2615" s="15">
        <v>45352</v>
      </c>
      <c r="S2615" s="11" t="s">
        <v>429</v>
      </c>
      <c r="T2615" s="16">
        <v>200</v>
      </c>
      <c r="U2615" s="17"/>
      <c r="V2615" s="12">
        <v>1135.294117647059</v>
      </c>
      <c r="W2615" s="12">
        <v>1135.294117647059</v>
      </c>
      <c r="X2615" s="12">
        <v>0</v>
      </c>
      <c r="Y2615" s="18">
        <v>45733</v>
      </c>
      <c r="Z2615" s="13" t="s">
        <v>515</v>
      </c>
      <c r="AA2615" s="19" t="str">
        <f>VLOOKUP(D2615,Clientes!$A$2:$J$486,9,FALSE)</f>
        <v>Regular</v>
      </c>
      <c r="AB2615" s="13" t="str">
        <f>VLOOKUP(D2615,Clientes!$A$2:$K$486,11,FALSE)</f>
        <v>Persona Natural</v>
      </c>
      <c r="AC2615" s="13" t="str">
        <f>VLOOKUP(D2615,Clientes!$A$2:$B$486,2,FALSE)</f>
        <v>Jardin del Eden</v>
      </c>
      <c r="AD2615" s="20"/>
      <c r="AE2615" s="20"/>
      <c r="AF2615" s="13" t="s">
        <v>40</v>
      </c>
      <c r="AG2615" s="15">
        <v>45352</v>
      </c>
      <c r="AH2615" s="13" t="s">
        <v>41</v>
      </c>
      <c r="AI2615" s="13" t="s">
        <v>56</v>
      </c>
      <c r="AJ2615" s="13" t="str">
        <f>VLOOKUP(E2615,Precios!Z$2:AA$941,2,FALSE)</f>
        <v>Queso Cabra</v>
      </c>
      <c r="AK2615" s="14">
        <f>VLOOKUP(E2615,Precios!Z$2:BB$941,3,FALSE)*F2615</f>
        <v>-1</v>
      </c>
      <c r="AL2615" s="17"/>
      <c r="AM2615" s="17"/>
      <c r="AN2615" s="17"/>
      <c r="AO2615" s="17"/>
      <c r="AP2615" s="17"/>
      <c r="AQ2615" s="17"/>
      <c r="AR2615" s="17"/>
      <c r="AS2615" s="17"/>
      <c r="AT2615" s="17"/>
      <c r="AU2615" s="17"/>
      <c r="AV2615" s="17"/>
    </row>
    <row r="2616" spans="1:48" ht="15.75" customHeight="1">
      <c r="A2616" s="21" t="s">
        <v>53</v>
      </c>
      <c r="B2616" s="23" t="s">
        <v>1692</v>
      </c>
      <c r="C2616" s="22">
        <v>45735</v>
      </c>
      <c r="D2616" s="23" t="s">
        <v>915</v>
      </c>
      <c r="E2616" s="23" t="s">
        <v>69</v>
      </c>
      <c r="F2616" s="21">
        <v>1</v>
      </c>
      <c r="G2616" s="12">
        <v>2999.9553810458683</v>
      </c>
      <c r="H2616" s="34">
        <v>2999.9553810458683</v>
      </c>
      <c r="I2616" s="23" t="s">
        <v>52</v>
      </c>
      <c r="J2616" s="23" t="s">
        <v>61</v>
      </c>
      <c r="K2616" s="24" t="s">
        <v>177</v>
      </c>
      <c r="L2616" s="24">
        <v>117</v>
      </c>
      <c r="M2616" s="12">
        <v>2520.9709084419064</v>
      </c>
      <c r="N2616" s="12">
        <v>2520.9709084419064</v>
      </c>
      <c r="O2616" s="12">
        <v>478.98447260396188</v>
      </c>
      <c r="P2616" s="13"/>
      <c r="Q2616" s="14">
        <v>2025</v>
      </c>
      <c r="R2616" s="15">
        <v>45352</v>
      </c>
      <c r="S2616" s="11" t="s">
        <v>376</v>
      </c>
      <c r="T2616" s="16">
        <v>0</v>
      </c>
      <c r="U2616" s="17"/>
      <c r="V2616" s="12">
        <v>825.97090844190598</v>
      </c>
      <c r="W2616" s="12">
        <v>825.97090844190598</v>
      </c>
      <c r="X2616" s="12">
        <v>0</v>
      </c>
      <c r="Y2616" s="18">
        <v>45733</v>
      </c>
      <c r="Z2616" s="13" t="s">
        <v>515</v>
      </c>
      <c r="AA2616" s="19" t="str">
        <f>VLOOKUP(D2616,Clientes!$A$2:$J$486,9,FALSE)</f>
        <v>Regular</v>
      </c>
      <c r="AB2616" s="13" t="str">
        <f>VLOOKUP(D2616,Clientes!$A$2:$K$486,11,FALSE)</f>
        <v>Persona Natural</v>
      </c>
      <c r="AC2616" s="13" t="str">
        <f>VLOOKUP(D2616,Clientes!$A$2:$B$486,2,FALSE)</f>
        <v>Jardin del Eden</v>
      </c>
      <c r="AD2616" s="20"/>
      <c r="AE2616" s="20"/>
      <c r="AF2616" s="13" t="s">
        <v>40</v>
      </c>
      <c r="AG2616" s="15">
        <v>45352</v>
      </c>
      <c r="AH2616" s="13" t="s">
        <v>41</v>
      </c>
      <c r="AI2616" s="13" t="s">
        <v>53</v>
      </c>
      <c r="AJ2616" s="13" t="str">
        <f>VLOOKUP(E2616,Precios!Z$2:AA$941,2,FALSE)</f>
        <v>Toalla Papel NOVA 70 metros</v>
      </c>
      <c r="AK2616" s="14">
        <f>VLOOKUP(E2616,Precios!Z$2:BB$941,3,FALSE)*F2616</f>
        <v>-1</v>
      </c>
      <c r="AL2616" s="17"/>
      <c r="AM2616" s="17"/>
      <c r="AN2616" s="17"/>
      <c r="AO2616" s="17"/>
      <c r="AP2616" s="17"/>
      <c r="AQ2616" s="17"/>
      <c r="AR2616" s="17"/>
      <c r="AS2616" s="17"/>
      <c r="AT2616" s="17"/>
      <c r="AU2616" s="17"/>
      <c r="AV2616" s="17"/>
    </row>
    <row r="2617" spans="1:48" ht="15.75" customHeight="1">
      <c r="A2617" s="21" t="s">
        <v>43</v>
      </c>
      <c r="B2617" s="23" t="s">
        <v>1692</v>
      </c>
      <c r="C2617" s="22">
        <v>45735</v>
      </c>
      <c r="D2617" s="23" t="s">
        <v>350</v>
      </c>
      <c r="E2617" s="23" t="s">
        <v>45</v>
      </c>
      <c r="F2617" s="21">
        <v>2</v>
      </c>
      <c r="G2617" s="12">
        <v>8299.7854333055202</v>
      </c>
      <c r="H2617" s="12">
        <v>16599.57086661104</v>
      </c>
      <c r="I2617" s="23" t="s">
        <v>52</v>
      </c>
      <c r="J2617" s="23" t="s">
        <v>61</v>
      </c>
      <c r="K2617" s="24" t="s">
        <v>177</v>
      </c>
      <c r="L2617" s="24">
        <v>117</v>
      </c>
      <c r="M2617" s="12">
        <v>6974.6096078197652</v>
      </c>
      <c r="N2617" s="12">
        <v>13949.21921563953</v>
      </c>
      <c r="O2617" s="12">
        <v>2650.35165097151</v>
      </c>
      <c r="P2617" s="13"/>
      <c r="Q2617" s="14">
        <v>2025</v>
      </c>
      <c r="R2617" s="15">
        <v>45352</v>
      </c>
      <c r="S2617" s="11" t="s">
        <v>355</v>
      </c>
      <c r="T2617" s="16">
        <v>0</v>
      </c>
      <c r="U2617" s="17"/>
      <c r="V2617" s="12">
        <v>2247.2192156395286</v>
      </c>
      <c r="W2617" s="12">
        <v>2247.2192156395286</v>
      </c>
      <c r="X2617" s="12">
        <v>0</v>
      </c>
      <c r="Y2617" s="18">
        <v>45733</v>
      </c>
      <c r="Z2617" s="13" t="s">
        <v>515</v>
      </c>
      <c r="AA2617" s="19" t="str">
        <f>VLOOKUP(D2617,Clientes!$A$2:$J$486,9,FALSE)</f>
        <v>Ocacional</v>
      </c>
      <c r="AB2617" s="13" t="str">
        <f>VLOOKUP(D2617,Clientes!$A$2:$K$486,11,FALSE)</f>
        <v>Persona Natural</v>
      </c>
      <c r="AC2617" s="13" t="str">
        <f>VLOOKUP(D2617,Clientes!$A$2:$B$486,2,FALSE)</f>
        <v>Walker Martinez</v>
      </c>
      <c r="AD2617" s="20"/>
      <c r="AE2617" s="20"/>
      <c r="AF2617" s="13" t="s">
        <v>40</v>
      </c>
      <c r="AG2617" s="15">
        <v>45352</v>
      </c>
      <c r="AH2617" s="13" t="s">
        <v>41</v>
      </c>
      <c r="AI2617" s="13" t="s">
        <v>43</v>
      </c>
      <c r="AJ2617" s="13" t="str">
        <f>VLOOKUP(E2617,Precios!Z$2:AA$941,2,FALSE)</f>
        <v>Bandeja Huevos EXTRA</v>
      </c>
      <c r="AK2617" s="14">
        <f>VLOOKUP(E2617,Precios!Z$2:BB$941,3,FALSE)*F2617</f>
        <v>-2</v>
      </c>
      <c r="AL2617" s="17"/>
      <c r="AM2617" s="17"/>
      <c r="AN2617" s="17"/>
      <c r="AO2617" s="17"/>
      <c r="AP2617" s="17"/>
      <c r="AQ2617" s="17"/>
      <c r="AR2617" s="17"/>
      <c r="AS2617" s="17"/>
      <c r="AT2617" s="17"/>
      <c r="AU2617" s="17"/>
      <c r="AV2617" s="17"/>
    </row>
    <row r="2618" spans="1:48" ht="15.75" customHeight="1">
      <c r="A2618" s="21" t="s">
        <v>35</v>
      </c>
      <c r="B2618" s="23" t="s">
        <v>1692</v>
      </c>
      <c r="C2618" s="22">
        <v>45734</v>
      </c>
      <c r="D2618" s="23" t="s">
        <v>618</v>
      </c>
      <c r="E2618" s="23" t="s">
        <v>37</v>
      </c>
      <c r="F2618" s="21">
        <v>1</v>
      </c>
      <c r="G2618" s="12">
        <v>10500</v>
      </c>
      <c r="H2618" s="12">
        <v>10500</v>
      </c>
      <c r="I2618" s="23" t="s">
        <v>52</v>
      </c>
      <c r="J2618" s="23" t="s">
        <v>61</v>
      </c>
      <c r="K2618" s="24" t="s">
        <v>177</v>
      </c>
      <c r="L2618" s="24">
        <v>116</v>
      </c>
      <c r="M2618" s="12">
        <v>8823.5294117647063</v>
      </c>
      <c r="N2618" s="12">
        <v>8823.5294117647063</v>
      </c>
      <c r="O2618" s="12">
        <v>1676.4705882352937</v>
      </c>
      <c r="P2618" s="13"/>
      <c r="Q2618" s="14">
        <v>2025</v>
      </c>
      <c r="R2618" s="15">
        <v>45352</v>
      </c>
      <c r="S2618" s="11" t="s">
        <v>364</v>
      </c>
      <c r="T2618" s="16">
        <v>1000</v>
      </c>
      <c r="U2618" s="17"/>
      <c r="V2618" s="12">
        <v>2385.7142857142853</v>
      </c>
      <c r="W2618" s="12">
        <v>2385.7142857142853</v>
      </c>
      <c r="X2618" s="12">
        <v>0</v>
      </c>
      <c r="Y2618" s="18">
        <v>45733</v>
      </c>
      <c r="Z2618" s="13" t="s">
        <v>516</v>
      </c>
      <c r="AA2618" s="19" t="str">
        <f>VLOOKUP(D2618,Clientes!$A$2:$J$486,9,FALSE)</f>
        <v>Regular</v>
      </c>
      <c r="AB2618" s="13" t="str">
        <f>VLOOKUP(D2618,Clientes!$A$2:$K$486,11,FALSE)</f>
        <v>Persona Natural</v>
      </c>
      <c r="AC2618" s="13" t="str">
        <f>VLOOKUP(D2618,Clientes!$A$2:$B$486,2,FALSE)</f>
        <v>Sector Diego Portales</v>
      </c>
      <c r="AD2618" s="20"/>
      <c r="AE2618" s="20"/>
      <c r="AF2618" s="13" t="s">
        <v>40</v>
      </c>
      <c r="AG2618" s="15">
        <v>45352</v>
      </c>
      <c r="AH2618" s="13" t="s">
        <v>41</v>
      </c>
      <c r="AI2618" s="13" t="s">
        <v>35</v>
      </c>
      <c r="AJ2618" s="13" t="str">
        <f>VLOOKUP(E2618,Precios!Z$2:AA$941,2,FALSE)</f>
        <v>Queso RUNCA Mantecoso</v>
      </c>
      <c r="AK2618" s="14">
        <f>VLOOKUP(E2618,Precios!Z$2:BB$941,3,FALSE)*F2618</f>
        <v>-1</v>
      </c>
      <c r="AL2618" s="17"/>
      <c r="AM2618" s="17"/>
      <c r="AN2618" s="17"/>
      <c r="AO2618" s="17"/>
      <c r="AP2618" s="17"/>
      <c r="AQ2618" s="17"/>
      <c r="AR2618" s="17"/>
      <c r="AS2618" s="17"/>
      <c r="AT2618" s="17"/>
      <c r="AU2618" s="17"/>
      <c r="AV2618" s="17"/>
    </row>
    <row r="2619" spans="1:48" ht="15.75" customHeight="1">
      <c r="A2619" s="21" t="s">
        <v>35</v>
      </c>
      <c r="B2619" s="23" t="s">
        <v>1692</v>
      </c>
      <c r="C2619" s="22">
        <v>45734</v>
      </c>
      <c r="D2619" s="23" t="s">
        <v>618</v>
      </c>
      <c r="E2619" s="23" t="s">
        <v>311</v>
      </c>
      <c r="F2619" s="21">
        <v>1</v>
      </c>
      <c r="G2619" s="12">
        <v>3000.0000000000005</v>
      </c>
      <c r="H2619" s="12">
        <v>3000.0000000000005</v>
      </c>
      <c r="I2619" s="23" t="s">
        <v>52</v>
      </c>
      <c r="J2619" s="23" t="s">
        <v>61</v>
      </c>
      <c r="K2619" s="24" t="s">
        <v>177</v>
      </c>
      <c r="L2619" s="24">
        <v>116</v>
      </c>
      <c r="M2619" s="12">
        <v>2521.0084033613452</v>
      </c>
      <c r="N2619" s="12">
        <v>2521.0084033613452</v>
      </c>
      <c r="O2619" s="12">
        <v>478.99159663865521</v>
      </c>
      <c r="P2619" s="13"/>
      <c r="Q2619" s="14">
        <v>2025</v>
      </c>
      <c r="R2619" s="15">
        <v>45352</v>
      </c>
      <c r="S2619" s="11" t="s">
        <v>364</v>
      </c>
      <c r="T2619" s="16">
        <v>250</v>
      </c>
      <c r="U2619" s="17"/>
      <c r="V2619" s="12">
        <v>837.18487394957992</v>
      </c>
      <c r="W2619" s="12">
        <v>837.18487394957992</v>
      </c>
      <c r="X2619" s="12">
        <v>0</v>
      </c>
      <c r="Y2619" s="18">
        <v>45733</v>
      </c>
      <c r="Z2619" s="13" t="s">
        <v>516</v>
      </c>
      <c r="AA2619" s="19" t="str">
        <f>VLOOKUP(D2619,Clientes!$A$2:$J$486,9,FALSE)</f>
        <v>Regular</v>
      </c>
      <c r="AB2619" s="13" t="str">
        <f>VLOOKUP(D2619,Clientes!$A$2:$K$486,11,FALSE)</f>
        <v>Persona Natural</v>
      </c>
      <c r="AC2619" s="13" t="str">
        <f>VLOOKUP(D2619,Clientes!$A$2:$B$486,2,FALSE)</f>
        <v>Sector Diego Portales</v>
      </c>
      <c r="AD2619" s="20"/>
      <c r="AE2619" s="20"/>
      <c r="AF2619" s="13" t="s">
        <v>40</v>
      </c>
      <c r="AG2619" s="15">
        <v>45352</v>
      </c>
      <c r="AH2619" s="13" t="s">
        <v>41</v>
      </c>
      <c r="AI2619" s="13" t="s">
        <v>35</v>
      </c>
      <c r="AJ2619" s="13" t="str">
        <f>VLOOKUP(E2619,Precios!Z$2:AA$941,2,FALSE)</f>
        <v>Queso RUNCA Mantecoso</v>
      </c>
      <c r="AK2619" s="14">
        <f>VLOOKUP(E2619,Precios!Z$2:BB$941,3,FALSE)*F2619</f>
        <v>-0.25</v>
      </c>
      <c r="AL2619" s="17"/>
      <c r="AM2619" s="17"/>
      <c r="AN2619" s="17"/>
      <c r="AO2619" s="17"/>
      <c r="AP2619" s="17"/>
      <c r="AQ2619" s="17"/>
      <c r="AR2619" s="17"/>
      <c r="AS2619" s="17"/>
      <c r="AT2619" s="17"/>
      <c r="AU2619" s="17"/>
      <c r="AV2619" s="17"/>
    </row>
    <row r="2620" spans="1:48" ht="15.75" customHeight="1">
      <c r="A2620" s="21" t="s">
        <v>56</v>
      </c>
      <c r="B2620" s="23" t="s">
        <v>1692</v>
      </c>
      <c r="C2620" s="22">
        <v>45734</v>
      </c>
      <c r="D2620" s="23" t="s">
        <v>618</v>
      </c>
      <c r="E2620" s="23" t="s">
        <v>190</v>
      </c>
      <c r="F2620" s="21">
        <v>4</v>
      </c>
      <c r="G2620" s="12">
        <v>2500</v>
      </c>
      <c r="H2620" s="12">
        <v>10000</v>
      </c>
      <c r="I2620" s="23" t="s">
        <v>52</v>
      </c>
      <c r="J2620" s="23" t="s">
        <v>61</v>
      </c>
      <c r="K2620" s="24" t="s">
        <v>177</v>
      </c>
      <c r="L2620" s="24">
        <v>116</v>
      </c>
      <c r="M2620" s="12">
        <v>2100.840336134454</v>
      </c>
      <c r="N2620" s="12">
        <v>8403.361344537816</v>
      </c>
      <c r="O2620" s="12">
        <v>1596.638655462184</v>
      </c>
      <c r="P2620" s="13"/>
      <c r="Q2620" s="14">
        <v>2025</v>
      </c>
      <c r="R2620" s="15">
        <v>45352</v>
      </c>
      <c r="S2620" s="11" t="s">
        <v>492</v>
      </c>
      <c r="T2620" s="16">
        <v>800</v>
      </c>
      <c r="U2620" s="17"/>
      <c r="V2620" s="12">
        <v>2527.7310924369749</v>
      </c>
      <c r="W2620" s="12">
        <v>2527.7310924369749</v>
      </c>
      <c r="X2620" s="12">
        <v>0</v>
      </c>
      <c r="Y2620" s="18">
        <v>45733</v>
      </c>
      <c r="Z2620" s="13" t="s">
        <v>516</v>
      </c>
      <c r="AA2620" s="19" t="str">
        <f>VLOOKUP(D2620,Clientes!$A$2:$J$486,9,FALSE)</f>
        <v>Regular</v>
      </c>
      <c r="AB2620" s="13" t="str">
        <f>VLOOKUP(D2620,Clientes!$A$2:$K$486,11,FALSE)</f>
        <v>Persona Natural</v>
      </c>
      <c r="AC2620" s="13" t="str">
        <f>VLOOKUP(D2620,Clientes!$A$2:$B$486,2,FALSE)</f>
        <v>Sector Diego Portales</v>
      </c>
      <c r="AD2620" s="20"/>
      <c r="AE2620" s="20"/>
      <c r="AF2620" s="13" t="s">
        <v>40</v>
      </c>
      <c r="AG2620" s="15">
        <v>45352</v>
      </c>
      <c r="AH2620" s="13" t="s">
        <v>41</v>
      </c>
      <c r="AI2620" s="13" t="s">
        <v>56</v>
      </c>
      <c r="AJ2620" s="13" t="str">
        <f>VLOOKUP(E2620,Precios!Z$2:AA$941,2,FALSE)</f>
        <v>Mantequilla RUMAY</v>
      </c>
      <c r="AK2620" s="14">
        <f>VLOOKUP(E2620,Precios!Z$2:BB$941,3,FALSE)*F2620</f>
        <v>-4</v>
      </c>
      <c r="AL2620" s="17"/>
      <c r="AM2620" s="17"/>
      <c r="AN2620" s="17"/>
      <c r="AO2620" s="17"/>
      <c r="AP2620" s="17"/>
      <c r="AQ2620" s="17"/>
      <c r="AR2620" s="17"/>
      <c r="AS2620" s="17"/>
      <c r="AT2620" s="17"/>
      <c r="AU2620" s="17"/>
      <c r="AV2620" s="17"/>
    </row>
    <row r="2621" spans="1:48" ht="15.75" customHeight="1">
      <c r="A2621" s="21" t="s">
        <v>35</v>
      </c>
      <c r="B2621" s="23" t="s">
        <v>1692</v>
      </c>
      <c r="C2621" s="22">
        <v>45734</v>
      </c>
      <c r="D2621" s="23" t="s">
        <v>42</v>
      </c>
      <c r="E2621" s="23" t="s">
        <v>37</v>
      </c>
      <c r="F2621" s="21">
        <v>1</v>
      </c>
      <c r="G2621" s="12">
        <v>10500</v>
      </c>
      <c r="H2621" s="12">
        <v>10500</v>
      </c>
      <c r="I2621" s="23" t="s">
        <v>52</v>
      </c>
      <c r="J2621" s="23" t="s">
        <v>61</v>
      </c>
      <c r="K2621" s="24" t="s">
        <v>177</v>
      </c>
      <c r="L2621" s="24">
        <v>116</v>
      </c>
      <c r="M2621" s="12">
        <v>8823.5294117647063</v>
      </c>
      <c r="N2621" s="12">
        <v>8823.5294117647063</v>
      </c>
      <c r="O2621" s="12">
        <v>1676.4705882352937</v>
      </c>
      <c r="P2621" s="13"/>
      <c r="Q2621" s="14">
        <v>2025</v>
      </c>
      <c r="R2621" s="15">
        <v>45352</v>
      </c>
      <c r="S2621" s="11" t="s">
        <v>364</v>
      </c>
      <c r="T2621" s="16">
        <v>1000</v>
      </c>
      <c r="U2621" s="17"/>
      <c r="V2621" s="12">
        <v>2385.7142857142853</v>
      </c>
      <c r="W2621" s="12">
        <v>2385.7142857142853</v>
      </c>
      <c r="X2621" s="12">
        <v>0</v>
      </c>
      <c r="Y2621" s="18">
        <v>45733</v>
      </c>
      <c r="Z2621" s="13" t="s">
        <v>516</v>
      </c>
      <c r="AA2621" s="19" t="str">
        <f>VLOOKUP(D2621,Clientes!$A$2:$J$486,9,FALSE)</f>
        <v>Frecuente</v>
      </c>
      <c r="AB2621" s="13" t="str">
        <f>VLOOKUP(D2621,Clientes!$A$2:$K$486,11,FALSE)</f>
        <v>Persona Natural</v>
      </c>
      <c r="AC2621" s="13" t="str">
        <f>VLOOKUP(D2621,Clientes!$A$2:$B$486,2,FALSE)</f>
        <v>Sector Diego Portales</v>
      </c>
      <c r="AD2621" s="20"/>
      <c r="AE2621" s="20"/>
      <c r="AF2621" s="13" t="s">
        <v>40</v>
      </c>
      <c r="AG2621" s="15">
        <v>45352</v>
      </c>
      <c r="AH2621" s="13" t="s">
        <v>41</v>
      </c>
      <c r="AI2621" s="13" t="s">
        <v>35</v>
      </c>
      <c r="AJ2621" s="13" t="str">
        <f>VLOOKUP(E2621,Precios!Z$2:AA$941,2,FALSE)</f>
        <v>Queso RUNCA Mantecoso</v>
      </c>
      <c r="AK2621" s="14">
        <f>VLOOKUP(E2621,Precios!Z$2:BB$941,3,FALSE)*F2621</f>
        <v>-1</v>
      </c>
      <c r="AL2621" s="17"/>
      <c r="AM2621" s="17"/>
      <c r="AN2621" s="17"/>
      <c r="AO2621" s="17"/>
      <c r="AP2621" s="17"/>
      <c r="AQ2621" s="17"/>
      <c r="AR2621" s="17"/>
      <c r="AS2621" s="17"/>
      <c r="AT2621" s="17"/>
      <c r="AU2621" s="17"/>
      <c r="AV2621" s="17"/>
    </row>
    <row r="2622" spans="1:48" ht="15.75" customHeight="1">
      <c r="A2622" s="21" t="s">
        <v>56</v>
      </c>
      <c r="B2622" s="23" t="s">
        <v>1692</v>
      </c>
      <c r="C2622" s="22">
        <v>45734</v>
      </c>
      <c r="D2622" s="23" t="s">
        <v>42</v>
      </c>
      <c r="E2622" s="23" t="s">
        <v>67</v>
      </c>
      <c r="F2622" s="21">
        <v>1</v>
      </c>
      <c r="G2622" s="12">
        <v>7000.0000000000009</v>
      </c>
      <c r="H2622" s="12">
        <v>7000.0000000000009</v>
      </c>
      <c r="I2622" s="23" t="s">
        <v>52</v>
      </c>
      <c r="J2622" s="23" t="s">
        <v>61</v>
      </c>
      <c r="K2622" s="24" t="s">
        <v>177</v>
      </c>
      <c r="L2622" s="24">
        <v>116</v>
      </c>
      <c r="M2622" s="12">
        <v>5882.3529411764712</v>
      </c>
      <c r="N2622" s="12">
        <v>5882.3529411764712</v>
      </c>
      <c r="O2622" s="12">
        <v>1117.6470588235297</v>
      </c>
      <c r="P2622" s="13"/>
      <c r="Q2622" s="14">
        <v>2025</v>
      </c>
      <c r="R2622" s="15">
        <v>45352</v>
      </c>
      <c r="S2622" s="11" t="s">
        <v>492</v>
      </c>
      <c r="T2622" s="16">
        <v>200</v>
      </c>
      <c r="U2622" s="17"/>
      <c r="V2622" s="12">
        <v>1512.6050420168067</v>
      </c>
      <c r="W2622" s="12">
        <v>1512.6050420168067</v>
      </c>
      <c r="X2622" s="12">
        <v>0</v>
      </c>
      <c r="Y2622" s="18">
        <v>45733</v>
      </c>
      <c r="Z2622" s="13" t="s">
        <v>516</v>
      </c>
      <c r="AA2622" s="19" t="str">
        <f>VLOOKUP(D2622,Clientes!$A$2:$J$486,9,FALSE)</f>
        <v>Frecuente</v>
      </c>
      <c r="AB2622" s="13" t="str">
        <f>VLOOKUP(D2622,Clientes!$A$2:$K$486,11,FALSE)</f>
        <v>Persona Natural</v>
      </c>
      <c r="AC2622" s="13" t="str">
        <f>VLOOKUP(D2622,Clientes!$A$2:$B$486,2,FALSE)</f>
        <v>Sector Diego Portales</v>
      </c>
      <c r="AD2622" s="20"/>
      <c r="AE2622" s="20"/>
      <c r="AF2622" s="13" t="s">
        <v>40</v>
      </c>
      <c r="AG2622" s="15">
        <v>45352</v>
      </c>
      <c r="AH2622" s="13" t="s">
        <v>41</v>
      </c>
      <c r="AI2622" s="13" t="s">
        <v>56</v>
      </c>
      <c r="AJ2622" s="13" t="str">
        <f>VLOOKUP(E2622,Precios!Z$2:AA$941,2,FALSE)</f>
        <v>Mantequilla RUMAY</v>
      </c>
      <c r="AK2622" s="14">
        <f>VLOOKUP(E2622,Precios!Z$2:BB$941,3,FALSE)*F2622</f>
        <v>-3</v>
      </c>
      <c r="AL2622" s="17"/>
      <c r="AM2622" s="17"/>
      <c r="AN2622" s="17"/>
      <c r="AO2622" s="17"/>
      <c r="AP2622" s="17"/>
      <c r="AQ2622" s="17"/>
      <c r="AR2622" s="17"/>
      <c r="AS2622" s="17"/>
      <c r="AT2622" s="17"/>
      <c r="AU2622" s="17"/>
      <c r="AV2622" s="17"/>
    </row>
    <row r="2623" spans="1:48" ht="15.75" customHeight="1">
      <c r="A2623" s="21" t="s">
        <v>53</v>
      </c>
      <c r="B2623" s="23" t="s">
        <v>1692</v>
      </c>
      <c r="C2623" s="22">
        <v>45734</v>
      </c>
      <c r="D2623" s="23" t="s">
        <v>329</v>
      </c>
      <c r="E2623" s="23" t="s">
        <v>55</v>
      </c>
      <c r="F2623" s="21">
        <v>1</v>
      </c>
      <c r="G2623" s="12">
        <v>19989.738327347361</v>
      </c>
      <c r="H2623" s="12">
        <v>19989.738327347361</v>
      </c>
      <c r="I2623" s="23" t="s">
        <v>52</v>
      </c>
      <c r="J2623" s="23" t="s">
        <v>61</v>
      </c>
      <c r="K2623" s="24" t="s">
        <v>177</v>
      </c>
      <c r="L2623" s="24">
        <v>116</v>
      </c>
      <c r="M2623" s="12">
        <v>16798.099434745684</v>
      </c>
      <c r="N2623" s="12">
        <v>16798.099434745684</v>
      </c>
      <c r="O2623" s="12">
        <v>3191.6388926016771</v>
      </c>
      <c r="P2623" s="13"/>
      <c r="Q2623" s="14">
        <v>2025</v>
      </c>
      <c r="R2623" s="15">
        <v>45352</v>
      </c>
      <c r="S2623" s="11" t="s">
        <v>366</v>
      </c>
      <c r="T2623" s="16">
        <v>0</v>
      </c>
      <c r="U2623" s="17"/>
      <c r="V2623" s="12">
        <v>3702.3011154179476</v>
      </c>
      <c r="W2623" s="12">
        <v>3702.3011154179476</v>
      </c>
      <c r="X2623" s="12">
        <v>0</v>
      </c>
      <c r="Y2623" s="18">
        <v>45733</v>
      </c>
      <c r="Z2623" s="13" t="s">
        <v>516</v>
      </c>
      <c r="AA2623" s="19" t="str">
        <f>VLOOKUP(D2623,Clientes!$A$2:$J$486,9,FALSE)</f>
        <v>Ocacional</v>
      </c>
      <c r="AB2623" s="13" t="str">
        <f>VLOOKUP(D2623,Clientes!$A$2:$K$486,11,FALSE)</f>
        <v>Persona Natural</v>
      </c>
      <c r="AC2623" s="13" t="str">
        <f>VLOOKUP(D2623,Clientes!$A$2:$B$486,2,FALSE)</f>
        <v>Sector Enrique Olivares</v>
      </c>
      <c r="AD2623" s="20"/>
      <c r="AE2623" s="20"/>
      <c r="AF2623" s="13" t="s">
        <v>40</v>
      </c>
      <c r="AG2623" s="15">
        <v>45352</v>
      </c>
      <c r="AH2623" s="13" t="s">
        <v>41</v>
      </c>
      <c r="AI2623" s="13" t="s">
        <v>53</v>
      </c>
      <c r="AJ2623" s="13" t="str">
        <f>VLOOKUP(E2623,Precios!Z$2:AA$941,2,FALSE)</f>
        <v>Papel Higienico ELITE 50 metros</v>
      </c>
      <c r="AK2623" s="14">
        <f>VLOOKUP(E2623,Precios!Z$2:BB$941,3,FALSE)*F2623</f>
        <v>-8</v>
      </c>
      <c r="AL2623" s="17"/>
      <c r="AM2623" s="17"/>
      <c r="AN2623" s="17"/>
      <c r="AO2623" s="17"/>
      <c r="AP2623" s="17"/>
      <c r="AQ2623" s="17"/>
      <c r="AR2623" s="17"/>
      <c r="AS2623" s="17"/>
      <c r="AT2623" s="17"/>
      <c r="AU2623" s="17"/>
      <c r="AV2623" s="17"/>
    </row>
    <row r="2624" spans="1:48" ht="15.75" customHeight="1">
      <c r="A2624" s="21" t="s">
        <v>53</v>
      </c>
      <c r="B2624" s="23" t="s">
        <v>1692</v>
      </c>
      <c r="C2624" s="22">
        <v>45734</v>
      </c>
      <c r="D2624" s="23" t="s">
        <v>125</v>
      </c>
      <c r="E2624" s="23" t="s">
        <v>69</v>
      </c>
      <c r="F2624" s="21">
        <v>1</v>
      </c>
      <c r="G2624" s="12">
        <v>2999.9553810458683</v>
      </c>
      <c r="H2624" s="12">
        <v>2999.9553810458683</v>
      </c>
      <c r="I2624" s="23" t="s">
        <v>52</v>
      </c>
      <c r="J2624" s="23" t="s">
        <v>61</v>
      </c>
      <c r="K2624" s="24" t="s">
        <v>177</v>
      </c>
      <c r="L2624" s="24">
        <v>116</v>
      </c>
      <c r="M2624" s="12">
        <v>2520.9709084419064</v>
      </c>
      <c r="N2624" s="12">
        <v>2520.9709084419064</v>
      </c>
      <c r="O2624" s="12">
        <v>478.98447260396188</v>
      </c>
      <c r="P2624" s="13"/>
      <c r="Q2624" s="14">
        <v>2025</v>
      </c>
      <c r="R2624" s="15">
        <v>45352</v>
      </c>
      <c r="S2624" s="11" t="s">
        <v>376</v>
      </c>
      <c r="T2624" s="16">
        <v>0</v>
      </c>
      <c r="U2624" s="17"/>
      <c r="V2624" s="12">
        <v>825.97090844190598</v>
      </c>
      <c r="W2624" s="12">
        <v>825.97090844190598</v>
      </c>
      <c r="X2624" s="12">
        <v>0</v>
      </c>
      <c r="Y2624" s="18">
        <v>45733</v>
      </c>
      <c r="Z2624" s="13" t="s">
        <v>516</v>
      </c>
      <c r="AA2624" s="19" t="str">
        <f>VLOOKUP(D2624,Clientes!$A$2:$J$486,9,FALSE)</f>
        <v>Frecuente</v>
      </c>
      <c r="AB2624" s="13" t="str">
        <f>VLOOKUP(D2624,Clientes!$A$2:$K$486,11,FALSE)</f>
        <v>Persona Natural</v>
      </c>
      <c r="AC2624" s="13" t="str">
        <f>VLOOKUP(D2624,Clientes!$A$2:$B$486,2,FALSE)</f>
        <v>Jardines de la Viña</v>
      </c>
      <c r="AD2624" s="20"/>
      <c r="AE2624" s="20"/>
      <c r="AF2624" s="13" t="s">
        <v>40</v>
      </c>
      <c r="AG2624" s="15">
        <v>45352</v>
      </c>
      <c r="AH2624" s="13" t="s">
        <v>41</v>
      </c>
      <c r="AI2624" s="13" t="s">
        <v>53</v>
      </c>
      <c r="AJ2624" s="13" t="str">
        <f>VLOOKUP(E2624,Precios!Z$2:AA$941,2,FALSE)</f>
        <v>Toalla Papel NOVA 70 metros</v>
      </c>
      <c r="AK2624" s="14">
        <f>VLOOKUP(E2624,Precios!Z$2:BB$941,3,FALSE)*F2624</f>
        <v>-1</v>
      </c>
      <c r="AL2624" s="17"/>
      <c r="AM2624" s="17"/>
      <c r="AN2624" s="17"/>
      <c r="AO2624" s="17"/>
      <c r="AP2624" s="17"/>
      <c r="AQ2624" s="17"/>
      <c r="AR2624" s="17"/>
      <c r="AS2624" s="17"/>
      <c r="AT2624" s="17"/>
      <c r="AU2624" s="17"/>
      <c r="AV2624" s="17"/>
    </row>
    <row r="2625" spans="1:48" ht="15.75" customHeight="1">
      <c r="A2625" s="21" t="s">
        <v>47</v>
      </c>
      <c r="B2625" s="23" t="s">
        <v>1692</v>
      </c>
      <c r="C2625" s="22">
        <v>45734</v>
      </c>
      <c r="D2625" s="23" t="s">
        <v>125</v>
      </c>
      <c r="E2625" s="23" t="s">
        <v>693</v>
      </c>
      <c r="F2625" s="21">
        <v>1</v>
      </c>
      <c r="G2625" s="12">
        <v>3600</v>
      </c>
      <c r="H2625" s="12">
        <v>3600</v>
      </c>
      <c r="I2625" s="23" t="s">
        <v>52</v>
      </c>
      <c r="J2625" s="23" t="s">
        <v>61</v>
      </c>
      <c r="K2625" s="24" t="s">
        <v>177</v>
      </c>
      <c r="L2625" s="24">
        <v>116</v>
      </c>
      <c r="M2625" s="12">
        <v>3025.2100840336134</v>
      </c>
      <c r="N2625" s="12">
        <v>3025.2100840336134</v>
      </c>
      <c r="O2625" s="12">
        <v>574.78991596638662</v>
      </c>
      <c r="P2625" s="13"/>
      <c r="Q2625" s="14">
        <v>2025</v>
      </c>
      <c r="R2625" s="15">
        <v>45352</v>
      </c>
      <c r="S2625" s="11" t="s">
        <v>694</v>
      </c>
      <c r="T2625" s="16">
        <v>0</v>
      </c>
      <c r="U2625" s="17"/>
      <c r="V2625" s="12">
        <v>898.31932773109247</v>
      </c>
      <c r="W2625" s="12">
        <v>898.31932773109247</v>
      </c>
      <c r="X2625" s="12">
        <v>0</v>
      </c>
      <c r="Y2625" s="18">
        <v>45733</v>
      </c>
      <c r="Z2625" s="13" t="s">
        <v>516</v>
      </c>
      <c r="AA2625" s="19" t="str">
        <f>VLOOKUP(D2625,Clientes!$A$2:$J$486,9,FALSE)</f>
        <v>Frecuente</v>
      </c>
      <c r="AB2625" s="13" t="str">
        <f>VLOOKUP(D2625,Clientes!$A$2:$K$486,11,FALSE)</f>
        <v>Persona Natural</v>
      </c>
      <c r="AC2625" s="13" t="str">
        <f>VLOOKUP(D2625,Clientes!$A$2:$B$486,2,FALSE)</f>
        <v>Jardines de la Viña</v>
      </c>
      <c r="AD2625" s="20"/>
      <c r="AE2625" s="20"/>
      <c r="AF2625" s="13" t="s">
        <v>40</v>
      </c>
      <c r="AG2625" s="15">
        <v>45352</v>
      </c>
      <c r="AH2625" s="13" t="s">
        <v>41</v>
      </c>
      <c r="AI2625" s="13" t="s">
        <v>47</v>
      </c>
      <c r="AJ2625" s="13" t="str">
        <f>VLOOKUP(E2625,Precios!Z$2:AA$941,2,FALSE)</f>
        <v>Lysoform 420 cc</v>
      </c>
      <c r="AK2625" s="14">
        <f>VLOOKUP(E2625,Precios!Z$2:BB$941,3,FALSE)*F2625</f>
        <v>-1</v>
      </c>
      <c r="AL2625" s="17"/>
      <c r="AM2625" s="17"/>
      <c r="AN2625" s="17"/>
      <c r="AO2625" s="17"/>
      <c r="AP2625" s="17"/>
      <c r="AQ2625" s="17"/>
      <c r="AR2625" s="17"/>
      <c r="AS2625" s="17"/>
      <c r="AT2625" s="17"/>
      <c r="AU2625" s="17"/>
      <c r="AV2625" s="17"/>
    </row>
    <row r="2626" spans="1:48" ht="15.75" customHeight="1">
      <c r="A2626" s="21" t="s">
        <v>43</v>
      </c>
      <c r="B2626" s="23" t="s">
        <v>1692</v>
      </c>
      <c r="C2626" s="22">
        <v>45734</v>
      </c>
      <c r="D2626" s="23" t="s">
        <v>670</v>
      </c>
      <c r="E2626" s="23" t="s">
        <v>45</v>
      </c>
      <c r="F2626" s="21">
        <v>1</v>
      </c>
      <c r="G2626" s="12">
        <v>8299.7854333055202</v>
      </c>
      <c r="H2626" s="12">
        <v>8299.7854333055202</v>
      </c>
      <c r="I2626" s="23" t="s">
        <v>52</v>
      </c>
      <c r="J2626" s="23" t="s">
        <v>61</v>
      </c>
      <c r="K2626" s="24" t="s">
        <v>177</v>
      </c>
      <c r="L2626" s="24">
        <v>116</v>
      </c>
      <c r="M2626" s="12">
        <v>6974.6096078197652</v>
      </c>
      <c r="N2626" s="12">
        <v>6974.6096078197652</v>
      </c>
      <c r="O2626" s="12">
        <v>1325.175825485755</v>
      </c>
      <c r="P2626" s="13"/>
      <c r="Q2626" s="14">
        <v>2025</v>
      </c>
      <c r="R2626" s="15">
        <v>45352</v>
      </c>
      <c r="S2626" s="11" t="s">
        <v>355</v>
      </c>
      <c r="T2626" s="16">
        <v>0</v>
      </c>
      <c r="U2626" s="17"/>
      <c r="V2626" s="12">
        <v>1123.6096078197643</v>
      </c>
      <c r="W2626" s="12">
        <v>1123.6096078197643</v>
      </c>
      <c r="X2626" s="12">
        <v>0</v>
      </c>
      <c r="Y2626" s="18">
        <v>45733</v>
      </c>
      <c r="Z2626" s="13" t="s">
        <v>516</v>
      </c>
      <c r="AA2626" s="19" t="str">
        <f>VLOOKUP(D2626,Clientes!$A$2:$J$486,9,FALSE)</f>
        <v>Ocacional</v>
      </c>
      <c r="AB2626" s="13" t="str">
        <f>VLOOKUP(D2626,Clientes!$A$2:$K$486,11,FALSE)</f>
        <v>Persona Natural</v>
      </c>
      <c r="AC2626" s="13" t="str">
        <f>VLOOKUP(D2626,Clientes!$A$2:$B$486,2,FALSE)</f>
        <v>Jardines de la viña</v>
      </c>
      <c r="AD2626" s="20"/>
      <c r="AE2626" s="20"/>
      <c r="AF2626" s="13" t="s">
        <v>40</v>
      </c>
      <c r="AG2626" s="15">
        <v>45352</v>
      </c>
      <c r="AH2626" s="13" t="s">
        <v>41</v>
      </c>
      <c r="AI2626" s="13" t="s">
        <v>43</v>
      </c>
      <c r="AJ2626" s="13" t="str">
        <f>VLOOKUP(E2626,Precios!Z$2:AA$941,2,FALSE)</f>
        <v>Bandeja Huevos EXTRA</v>
      </c>
      <c r="AK2626" s="14">
        <f>VLOOKUP(E2626,Precios!Z$2:BB$941,3,FALSE)*F2626</f>
        <v>-1</v>
      </c>
      <c r="AL2626" s="17"/>
      <c r="AM2626" s="17"/>
      <c r="AN2626" s="17"/>
      <c r="AO2626" s="17"/>
      <c r="AP2626" s="17"/>
      <c r="AQ2626" s="17"/>
      <c r="AR2626" s="17"/>
      <c r="AS2626" s="17"/>
      <c r="AT2626" s="17"/>
      <c r="AU2626" s="17"/>
      <c r="AV2626" s="17"/>
    </row>
    <row r="2627" spans="1:48" ht="15.75" customHeight="1">
      <c r="A2627" s="21" t="s">
        <v>43</v>
      </c>
      <c r="B2627" s="23" t="s">
        <v>1692</v>
      </c>
      <c r="C2627" s="22">
        <v>45734</v>
      </c>
      <c r="D2627" s="23" t="s">
        <v>179</v>
      </c>
      <c r="E2627" s="23" t="s">
        <v>45</v>
      </c>
      <c r="F2627" s="21">
        <v>1</v>
      </c>
      <c r="G2627" s="12">
        <v>8299.7854333055202</v>
      </c>
      <c r="H2627" s="12">
        <v>8299.7854333055202</v>
      </c>
      <c r="I2627" s="23" t="s">
        <v>52</v>
      </c>
      <c r="J2627" s="23" t="s">
        <v>61</v>
      </c>
      <c r="K2627" s="24" t="s">
        <v>177</v>
      </c>
      <c r="L2627" s="24">
        <v>116</v>
      </c>
      <c r="M2627" s="12">
        <v>6974.6096078197652</v>
      </c>
      <c r="N2627" s="12">
        <v>6974.6096078197652</v>
      </c>
      <c r="O2627" s="12">
        <v>1325.175825485755</v>
      </c>
      <c r="P2627" s="13"/>
      <c r="Q2627" s="14">
        <v>2025</v>
      </c>
      <c r="R2627" s="15">
        <v>45352</v>
      </c>
      <c r="S2627" s="11" t="s">
        <v>355</v>
      </c>
      <c r="T2627" s="16">
        <v>0</v>
      </c>
      <c r="U2627" s="17"/>
      <c r="V2627" s="12">
        <v>1123.6096078197643</v>
      </c>
      <c r="W2627" s="12">
        <v>1123.6096078197643</v>
      </c>
      <c r="X2627" s="12">
        <v>0</v>
      </c>
      <c r="Y2627" s="18">
        <v>45733</v>
      </c>
      <c r="Z2627" s="13" t="s">
        <v>516</v>
      </c>
      <c r="AA2627" s="19" t="str">
        <f>VLOOKUP(D2627,Clientes!$A$2:$J$486,9,FALSE)</f>
        <v>Frecuente</v>
      </c>
      <c r="AB2627" s="13" t="str">
        <f>VLOOKUP(D2627,Clientes!$A$2:$K$486,11,FALSE)</f>
        <v>Persona Natural</v>
      </c>
      <c r="AC2627" s="13" t="str">
        <f>VLOOKUP(D2627,Clientes!$A$2:$B$486,2,FALSE)</f>
        <v>Araucania</v>
      </c>
      <c r="AD2627" s="20"/>
      <c r="AE2627" s="20"/>
      <c r="AF2627" s="13" t="s">
        <v>40</v>
      </c>
      <c r="AG2627" s="15">
        <v>45352</v>
      </c>
      <c r="AH2627" s="13" t="s">
        <v>41</v>
      </c>
      <c r="AI2627" s="13" t="s">
        <v>43</v>
      </c>
      <c r="AJ2627" s="13" t="str">
        <f>VLOOKUP(E2627,Precios!Z$2:AA$941,2,FALSE)</f>
        <v>Bandeja Huevos EXTRA</v>
      </c>
      <c r="AK2627" s="14">
        <f>VLOOKUP(E2627,Precios!Z$2:BB$941,3,FALSE)*F2627</f>
        <v>-1</v>
      </c>
      <c r="AL2627" s="17"/>
      <c r="AM2627" s="17"/>
      <c r="AN2627" s="17"/>
      <c r="AO2627" s="17"/>
      <c r="AP2627" s="17"/>
      <c r="AQ2627" s="17"/>
      <c r="AR2627" s="17"/>
      <c r="AS2627" s="17"/>
      <c r="AT2627" s="17"/>
      <c r="AU2627" s="17"/>
      <c r="AV2627" s="17"/>
    </row>
    <row r="2628" spans="1:48" ht="15.75" customHeight="1">
      <c r="A2628" s="21" t="s">
        <v>43</v>
      </c>
      <c r="B2628" s="23" t="s">
        <v>1692</v>
      </c>
      <c r="C2628" s="22">
        <v>45734</v>
      </c>
      <c r="D2628" s="23" t="s">
        <v>653</v>
      </c>
      <c r="E2628" s="23" t="s">
        <v>45</v>
      </c>
      <c r="F2628" s="21">
        <v>2</v>
      </c>
      <c r="G2628" s="12">
        <v>8299.7854333055202</v>
      </c>
      <c r="H2628" s="12">
        <v>16599.57086661104</v>
      </c>
      <c r="I2628" s="23" t="s">
        <v>52</v>
      </c>
      <c r="J2628" s="23" t="s">
        <v>61</v>
      </c>
      <c r="K2628" s="24" t="s">
        <v>177</v>
      </c>
      <c r="L2628" s="24">
        <v>116</v>
      </c>
      <c r="M2628" s="12">
        <v>6974.6096078197652</v>
      </c>
      <c r="N2628" s="12">
        <v>13949.21921563953</v>
      </c>
      <c r="O2628" s="12">
        <v>2650.35165097151</v>
      </c>
      <c r="P2628" s="13"/>
      <c r="Q2628" s="14">
        <v>2025</v>
      </c>
      <c r="R2628" s="15">
        <v>45352</v>
      </c>
      <c r="S2628" s="11" t="s">
        <v>355</v>
      </c>
      <c r="T2628" s="16">
        <v>0</v>
      </c>
      <c r="U2628" s="17"/>
      <c r="V2628" s="12">
        <v>2247.2192156395286</v>
      </c>
      <c r="W2628" s="12">
        <v>2247.2192156395286</v>
      </c>
      <c r="X2628" s="12">
        <v>0</v>
      </c>
      <c r="Y2628" s="18">
        <v>45733</v>
      </c>
      <c r="Z2628" s="13" t="s">
        <v>516</v>
      </c>
      <c r="AA2628" s="19" t="str">
        <f>VLOOKUP(D2628,Clientes!$A$2:$J$486,9,FALSE)</f>
        <v>Ocacional</v>
      </c>
      <c r="AB2628" s="13" t="str">
        <f>VLOOKUP(D2628,Clientes!$A$2:$K$486,11,FALSE)</f>
        <v>Persona Natural</v>
      </c>
      <c r="AC2628" s="13" t="str">
        <f>VLOOKUP(D2628,Clientes!$A$2:$B$486,2,FALSE)</f>
        <v>Cumbres de la Viña</v>
      </c>
      <c r="AD2628" s="20"/>
      <c r="AE2628" s="20"/>
      <c r="AF2628" s="13" t="s">
        <v>40</v>
      </c>
      <c r="AG2628" s="15">
        <v>45352</v>
      </c>
      <c r="AH2628" s="13" t="s">
        <v>41</v>
      </c>
      <c r="AI2628" s="13" t="s">
        <v>43</v>
      </c>
      <c r="AJ2628" s="13" t="str">
        <f>VLOOKUP(E2628,Precios!Z$2:AA$941,2,FALSE)</f>
        <v>Bandeja Huevos EXTRA</v>
      </c>
      <c r="AK2628" s="14">
        <f>VLOOKUP(E2628,Precios!Z$2:BB$941,3,FALSE)*F2628</f>
        <v>-2</v>
      </c>
      <c r="AL2628" s="17"/>
      <c r="AM2628" s="17"/>
      <c r="AN2628" s="17"/>
      <c r="AO2628" s="17"/>
      <c r="AP2628" s="17"/>
      <c r="AQ2628" s="17"/>
      <c r="AR2628" s="17"/>
      <c r="AS2628" s="17"/>
      <c r="AT2628" s="17"/>
      <c r="AU2628" s="17"/>
      <c r="AV2628" s="17"/>
    </row>
    <row r="2629" spans="1:48" ht="15.75" customHeight="1">
      <c r="A2629" s="21" t="s">
        <v>43</v>
      </c>
      <c r="B2629" s="23" t="s">
        <v>1692</v>
      </c>
      <c r="C2629" s="22">
        <v>45734</v>
      </c>
      <c r="D2629" s="23" t="s">
        <v>113</v>
      </c>
      <c r="E2629" s="23" t="s">
        <v>45</v>
      </c>
      <c r="F2629" s="21">
        <v>1</v>
      </c>
      <c r="G2629" s="12">
        <v>8299.7854333055202</v>
      </c>
      <c r="H2629" s="12">
        <v>8299.7854333055202</v>
      </c>
      <c r="I2629" s="23" t="s">
        <v>52</v>
      </c>
      <c r="J2629" s="23" t="s">
        <v>61</v>
      </c>
      <c r="K2629" s="24" t="s">
        <v>177</v>
      </c>
      <c r="L2629" s="24">
        <v>116</v>
      </c>
      <c r="M2629" s="12">
        <v>6974.6096078197652</v>
      </c>
      <c r="N2629" s="12">
        <v>6974.6096078197652</v>
      </c>
      <c r="O2629" s="12">
        <v>1325.175825485755</v>
      </c>
      <c r="P2629" s="13"/>
      <c r="Q2629" s="14">
        <v>2025</v>
      </c>
      <c r="R2629" s="15">
        <v>45352</v>
      </c>
      <c r="S2629" s="11" t="s">
        <v>355</v>
      </c>
      <c r="T2629" s="16">
        <v>0</v>
      </c>
      <c r="U2629" s="17"/>
      <c r="V2629" s="12">
        <v>1123.6096078197643</v>
      </c>
      <c r="W2629" s="12">
        <v>1123.6096078197643</v>
      </c>
      <c r="X2629" s="12">
        <v>0</v>
      </c>
      <c r="Y2629" s="18">
        <v>45733</v>
      </c>
      <c r="Z2629" s="13" t="s">
        <v>516</v>
      </c>
      <c r="AA2629" s="19" t="str">
        <f>VLOOKUP(D2629,Clientes!$A$2:$J$486,9,FALSE)</f>
        <v>Ocacional</v>
      </c>
      <c r="AB2629" s="13" t="str">
        <f>VLOOKUP(D2629,Clientes!$A$2:$K$486,11,FALSE)</f>
        <v>Persona Natural</v>
      </c>
      <c r="AC2629" s="13" t="str">
        <f>VLOOKUP(D2629,Clientes!$A$2:$B$486,2,FALSE)</f>
        <v>Jardines de la viña</v>
      </c>
      <c r="AD2629" s="20"/>
      <c r="AE2629" s="20"/>
      <c r="AF2629" s="13" t="s">
        <v>40</v>
      </c>
      <c r="AG2629" s="15">
        <v>45352</v>
      </c>
      <c r="AH2629" s="13" t="s">
        <v>41</v>
      </c>
      <c r="AI2629" s="13" t="s">
        <v>43</v>
      </c>
      <c r="AJ2629" s="13" t="str">
        <f>VLOOKUP(E2629,Precios!Z$2:AA$941,2,FALSE)</f>
        <v>Bandeja Huevos EXTRA</v>
      </c>
      <c r="AK2629" s="14">
        <f>VLOOKUP(E2629,Precios!Z$2:BB$941,3,FALSE)*F2629</f>
        <v>-1</v>
      </c>
      <c r="AL2629" s="17"/>
      <c r="AM2629" s="17"/>
      <c r="AN2629" s="17"/>
      <c r="AO2629" s="17"/>
      <c r="AP2629" s="17"/>
      <c r="AQ2629" s="17"/>
      <c r="AR2629" s="17"/>
      <c r="AS2629" s="17"/>
      <c r="AT2629" s="17"/>
      <c r="AU2629" s="17"/>
      <c r="AV2629" s="17"/>
    </row>
    <row r="2630" spans="1:48" ht="15.75" customHeight="1">
      <c r="A2630" s="21" t="s">
        <v>43</v>
      </c>
      <c r="B2630" s="23" t="s">
        <v>1692</v>
      </c>
      <c r="C2630" s="22">
        <v>45734</v>
      </c>
      <c r="D2630" s="23" t="s">
        <v>113</v>
      </c>
      <c r="E2630" s="23" t="s">
        <v>45</v>
      </c>
      <c r="F2630" s="21">
        <v>1</v>
      </c>
      <c r="G2630" s="12">
        <v>8000.2951245425575</v>
      </c>
      <c r="H2630" s="12">
        <v>8000.2951245425575</v>
      </c>
      <c r="I2630" s="23" t="s">
        <v>52</v>
      </c>
      <c r="J2630" s="23" t="s">
        <v>61</v>
      </c>
      <c r="K2630" s="24" t="s">
        <v>177</v>
      </c>
      <c r="L2630" s="24">
        <v>116</v>
      </c>
      <c r="M2630" s="12">
        <v>6722.9370794475271</v>
      </c>
      <c r="N2630" s="12">
        <v>6722.9370794475271</v>
      </c>
      <c r="O2630" s="12">
        <v>1277.3580450950303</v>
      </c>
      <c r="P2630" s="13"/>
      <c r="Q2630" s="14">
        <v>2025</v>
      </c>
      <c r="R2630" s="15">
        <v>45352</v>
      </c>
      <c r="S2630" s="11" t="s">
        <v>355</v>
      </c>
      <c r="T2630" s="16">
        <v>0</v>
      </c>
      <c r="U2630" s="17"/>
      <c r="V2630" s="12">
        <v>1027.9370794475271</v>
      </c>
      <c r="W2630" s="12">
        <v>1027.9370794475271</v>
      </c>
      <c r="X2630" s="12">
        <v>0</v>
      </c>
      <c r="Y2630" s="18">
        <v>45733</v>
      </c>
      <c r="Z2630" s="13" t="s">
        <v>516</v>
      </c>
      <c r="AA2630" s="19" t="str">
        <f>VLOOKUP(D2630,Clientes!$A$2:$J$486,9,FALSE)</f>
        <v>Ocacional</v>
      </c>
      <c r="AB2630" s="13" t="str">
        <f>VLOOKUP(D2630,Clientes!$A$2:$K$486,11,FALSE)</f>
        <v>Persona Natural</v>
      </c>
      <c r="AC2630" s="13" t="str">
        <f>VLOOKUP(D2630,Clientes!$A$2:$B$486,2,FALSE)</f>
        <v>Jardines de la viña</v>
      </c>
      <c r="AD2630" s="20"/>
      <c r="AE2630" s="20"/>
      <c r="AF2630" s="13" t="s">
        <v>40</v>
      </c>
      <c r="AG2630" s="15">
        <v>45352</v>
      </c>
      <c r="AH2630" s="13" t="s">
        <v>41</v>
      </c>
      <c r="AI2630" s="13" t="s">
        <v>43</v>
      </c>
      <c r="AJ2630" s="13" t="str">
        <f>VLOOKUP(E2630,Precios!Z$2:AA$941,2,FALSE)</f>
        <v>Bandeja Huevos EXTRA</v>
      </c>
      <c r="AK2630" s="14">
        <f>VLOOKUP(E2630,Precios!Z$2:BB$941,3,FALSE)*F2630</f>
        <v>-1</v>
      </c>
      <c r="AL2630" s="17"/>
      <c r="AM2630" s="17"/>
      <c r="AN2630" s="17"/>
      <c r="AO2630" s="17"/>
      <c r="AP2630" s="17"/>
      <c r="AQ2630" s="17"/>
      <c r="AR2630" s="17"/>
      <c r="AS2630" s="17"/>
      <c r="AT2630" s="17"/>
      <c r="AU2630" s="17"/>
      <c r="AV2630" s="17"/>
    </row>
    <row r="2631" spans="1:48" ht="15.75" customHeight="1">
      <c r="A2631" s="21" t="s">
        <v>53</v>
      </c>
      <c r="B2631" s="23" t="s">
        <v>1692</v>
      </c>
      <c r="C2631" s="22">
        <v>45734</v>
      </c>
      <c r="D2631" s="23" t="s">
        <v>116</v>
      </c>
      <c r="E2631" s="23" t="s">
        <v>69</v>
      </c>
      <c r="F2631" s="21">
        <v>2</v>
      </c>
      <c r="G2631" s="12">
        <v>2999.9553810458683</v>
      </c>
      <c r="H2631" s="12">
        <v>5999.9107620917366</v>
      </c>
      <c r="I2631" s="23" t="s">
        <v>52</v>
      </c>
      <c r="J2631" s="23" t="s">
        <v>61</v>
      </c>
      <c r="K2631" s="24" t="s">
        <v>177</v>
      </c>
      <c r="L2631" s="24">
        <v>116</v>
      </c>
      <c r="M2631" s="12">
        <v>2520.9709084419064</v>
      </c>
      <c r="N2631" s="12">
        <v>5041.9418168838129</v>
      </c>
      <c r="O2631" s="12">
        <v>957.96894520792375</v>
      </c>
      <c r="P2631" s="13"/>
      <c r="Q2631" s="14">
        <v>2025</v>
      </c>
      <c r="R2631" s="15">
        <v>45352</v>
      </c>
      <c r="S2631" s="11" t="s">
        <v>376</v>
      </c>
      <c r="T2631" s="16">
        <v>0</v>
      </c>
      <c r="U2631" s="17"/>
      <c r="V2631" s="12">
        <v>1651.941816883812</v>
      </c>
      <c r="W2631" s="12">
        <v>1651.941816883812</v>
      </c>
      <c r="X2631" s="12">
        <v>0</v>
      </c>
      <c r="Y2631" s="18">
        <v>45733</v>
      </c>
      <c r="Z2631" s="13" t="s">
        <v>516</v>
      </c>
      <c r="AA2631" s="19" t="str">
        <f>VLOOKUP(D2631,Clientes!$A$2:$J$486,9,FALSE)</f>
        <v>Ocacional</v>
      </c>
      <c r="AB2631" s="13" t="str">
        <f>VLOOKUP(D2631,Clientes!$A$2:$K$486,11,FALSE)</f>
        <v>Persona Natural</v>
      </c>
      <c r="AC2631" s="13">
        <f>VLOOKUP(D2631,Clientes!$A$2:$B$486,2,FALSE)</f>
        <v>0</v>
      </c>
      <c r="AD2631" s="20"/>
      <c r="AE2631" s="20"/>
      <c r="AF2631" s="13" t="s">
        <v>40</v>
      </c>
      <c r="AG2631" s="15">
        <v>45352</v>
      </c>
      <c r="AH2631" s="13" t="s">
        <v>41</v>
      </c>
      <c r="AI2631" s="13" t="s">
        <v>53</v>
      </c>
      <c r="AJ2631" s="13" t="str">
        <f>VLOOKUP(E2631,Precios!Z$2:AA$941,2,FALSE)</f>
        <v>Toalla Papel NOVA 70 metros</v>
      </c>
      <c r="AK2631" s="14">
        <f>VLOOKUP(E2631,Precios!Z$2:BB$941,3,FALSE)*F2631</f>
        <v>-2</v>
      </c>
      <c r="AL2631" s="17"/>
      <c r="AM2631" s="17"/>
      <c r="AN2631" s="17"/>
      <c r="AO2631" s="17"/>
      <c r="AP2631" s="17"/>
      <c r="AQ2631" s="17"/>
      <c r="AR2631" s="17"/>
      <c r="AS2631" s="17"/>
      <c r="AT2631" s="17"/>
      <c r="AU2631" s="17"/>
      <c r="AV2631" s="17"/>
    </row>
    <row r="2632" spans="1:48" ht="15.75" customHeight="1">
      <c r="A2632" s="21" t="s">
        <v>47</v>
      </c>
      <c r="B2632" s="23" t="s">
        <v>1692</v>
      </c>
      <c r="C2632" s="22">
        <v>45734</v>
      </c>
      <c r="D2632" s="23" t="s">
        <v>116</v>
      </c>
      <c r="E2632" s="23" t="s">
        <v>344</v>
      </c>
      <c r="F2632" s="21">
        <v>1</v>
      </c>
      <c r="G2632" s="12">
        <v>2400.1353637901861</v>
      </c>
      <c r="H2632" s="12">
        <v>2400.1353637901861</v>
      </c>
      <c r="I2632" s="23" t="s">
        <v>52</v>
      </c>
      <c r="J2632" s="23" t="s">
        <v>61</v>
      </c>
      <c r="K2632" s="24" t="s">
        <v>177</v>
      </c>
      <c r="L2632" s="24">
        <v>116</v>
      </c>
      <c r="M2632" s="12">
        <v>2016.9204737732657</v>
      </c>
      <c r="N2632" s="12">
        <v>2016.9204737732657</v>
      </c>
      <c r="O2632" s="12">
        <v>383.21489001692044</v>
      </c>
      <c r="P2632" s="13"/>
      <c r="Q2632" s="14">
        <v>2025</v>
      </c>
      <c r="R2632" s="15">
        <v>45352</v>
      </c>
      <c r="S2632" s="11" t="s">
        <v>372</v>
      </c>
      <c r="T2632" s="16">
        <v>0</v>
      </c>
      <c r="U2632" s="17"/>
      <c r="V2632" s="12">
        <v>824.92047377326571</v>
      </c>
      <c r="W2632" s="12">
        <v>824.92047377326571</v>
      </c>
      <c r="X2632" s="12">
        <v>0</v>
      </c>
      <c r="Y2632" s="18">
        <v>45733</v>
      </c>
      <c r="Z2632" s="13" t="s">
        <v>516</v>
      </c>
      <c r="AA2632" s="19" t="str">
        <f>VLOOKUP(D2632,Clientes!$A$2:$J$486,9,FALSE)</f>
        <v>Ocacional</v>
      </c>
      <c r="AB2632" s="13" t="str">
        <f>VLOOKUP(D2632,Clientes!$A$2:$K$486,11,FALSE)</f>
        <v>Persona Natural</v>
      </c>
      <c r="AC2632" s="13">
        <f>VLOOKUP(D2632,Clientes!$A$2:$B$486,2,FALSE)</f>
        <v>0</v>
      </c>
      <c r="AD2632" s="20"/>
      <c r="AE2632" s="20"/>
      <c r="AF2632" s="13" t="s">
        <v>40</v>
      </c>
      <c r="AG2632" s="15">
        <v>45352</v>
      </c>
      <c r="AH2632" s="13" t="s">
        <v>41</v>
      </c>
      <c r="AI2632" s="13" t="s">
        <v>47</v>
      </c>
      <c r="AJ2632" s="13" t="str">
        <f>VLOOKUP(E2632,Precios!Z$2:AA$941,2,FALSE)</f>
        <v>Traperos Humedos TEDDY</v>
      </c>
      <c r="AK2632" s="14">
        <f>VLOOKUP(E2632,Precios!Z$2:BB$941,3,FALSE)*F2632</f>
        <v>-1</v>
      </c>
      <c r="AL2632" s="17"/>
      <c r="AM2632" s="17"/>
      <c r="AN2632" s="17"/>
      <c r="AO2632" s="17"/>
      <c r="AP2632" s="17"/>
      <c r="AQ2632" s="17"/>
      <c r="AR2632" s="17"/>
      <c r="AS2632" s="17"/>
      <c r="AT2632" s="17"/>
      <c r="AU2632" s="17"/>
      <c r="AV2632" s="17"/>
    </row>
    <row r="2633" spans="1:48" ht="15.75" customHeight="1">
      <c r="A2633" s="21" t="s">
        <v>56</v>
      </c>
      <c r="B2633" s="23" t="s">
        <v>1692</v>
      </c>
      <c r="C2633" s="22">
        <v>45734</v>
      </c>
      <c r="D2633" s="23" t="s">
        <v>116</v>
      </c>
      <c r="E2633" s="23" t="s">
        <v>190</v>
      </c>
      <c r="F2633" s="21">
        <v>1</v>
      </c>
      <c r="G2633" s="12">
        <v>2500</v>
      </c>
      <c r="H2633" s="12">
        <v>2500</v>
      </c>
      <c r="I2633" s="23" t="s">
        <v>52</v>
      </c>
      <c r="J2633" s="23" t="s">
        <v>61</v>
      </c>
      <c r="K2633" s="24" t="s">
        <v>177</v>
      </c>
      <c r="L2633" s="24">
        <v>116</v>
      </c>
      <c r="M2633" s="12">
        <v>2100.840336134454</v>
      </c>
      <c r="N2633" s="12">
        <v>2100.840336134454</v>
      </c>
      <c r="O2633" s="12">
        <v>399.15966386554601</v>
      </c>
      <c r="P2633" s="13"/>
      <c r="Q2633" s="14">
        <v>2025</v>
      </c>
      <c r="R2633" s="15">
        <v>45352</v>
      </c>
      <c r="S2633" s="11" t="s">
        <v>492</v>
      </c>
      <c r="T2633" s="16">
        <v>200</v>
      </c>
      <c r="U2633" s="17"/>
      <c r="V2633" s="12">
        <v>631.93277310924373</v>
      </c>
      <c r="W2633" s="12">
        <v>631.93277310924373</v>
      </c>
      <c r="X2633" s="12">
        <v>0</v>
      </c>
      <c r="Y2633" s="18">
        <v>45733</v>
      </c>
      <c r="Z2633" s="13" t="s">
        <v>516</v>
      </c>
      <c r="AA2633" s="19" t="str">
        <f>VLOOKUP(D2633,Clientes!$A$2:$J$486,9,FALSE)</f>
        <v>Ocacional</v>
      </c>
      <c r="AB2633" s="13" t="str">
        <f>VLOOKUP(D2633,Clientes!$A$2:$K$486,11,FALSE)</f>
        <v>Persona Natural</v>
      </c>
      <c r="AC2633" s="13">
        <f>VLOOKUP(D2633,Clientes!$A$2:$B$486,2,FALSE)</f>
        <v>0</v>
      </c>
      <c r="AD2633" s="20"/>
      <c r="AE2633" s="20"/>
      <c r="AF2633" s="13" t="s">
        <v>40</v>
      </c>
      <c r="AG2633" s="15">
        <v>45352</v>
      </c>
      <c r="AH2633" s="13" t="s">
        <v>41</v>
      </c>
      <c r="AI2633" s="13" t="s">
        <v>56</v>
      </c>
      <c r="AJ2633" s="13" t="str">
        <f>VLOOKUP(E2633,Precios!Z$2:AA$941,2,FALSE)</f>
        <v>Mantequilla RUMAY</v>
      </c>
      <c r="AK2633" s="14">
        <f>VLOOKUP(E2633,Precios!Z$2:BB$941,3,FALSE)*F2633</f>
        <v>-1</v>
      </c>
      <c r="AL2633" s="17"/>
      <c r="AM2633" s="17"/>
      <c r="AN2633" s="17"/>
      <c r="AO2633" s="17"/>
      <c r="AP2633" s="17"/>
      <c r="AQ2633" s="17"/>
      <c r="AR2633" s="17"/>
      <c r="AS2633" s="17"/>
      <c r="AT2633" s="17"/>
      <c r="AU2633" s="17"/>
      <c r="AV2633" s="17"/>
    </row>
    <row r="2634" spans="1:48" ht="15.75" customHeight="1">
      <c r="A2634" s="21" t="s">
        <v>53</v>
      </c>
      <c r="B2634" s="23" t="s">
        <v>1692</v>
      </c>
      <c r="C2634" s="22">
        <v>45734</v>
      </c>
      <c r="D2634" s="23" t="s">
        <v>683</v>
      </c>
      <c r="E2634" s="23" t="s">
        <v>97</v>
      </c>
      <c r="F2634" s="21">
        <v>1</v>
      </c>
      <c r="G2634" s="12">
        <v>15500.298388701016</v>
      </c>
      <c r="H2634" s="12">
        <v>15500.298388701016</v>
      </c>
      <c r="I2634" s="23" t="s">
        <v>52</v>
      </c>
      <c r="J2634" s="23" t="s">
        <v>61</v>
      </c>
      <c r="K2634" s="24" t="s">
        <v>177</v>
      </c>
      <c r="L2634" s="24">
        <v>116</v>
      </c>
      <c r="M2634" s="12">
        <v>13025.46083084119</v>
      </c>
      <c r="N2634" s="12">
        <v>13025.46083084119</v>
      </c>
      <c r="O2634" s="12">
        <v>2474.8375578598261</v>
      </c>
      <c r="P2634" s="13"/>
      <c r="Q2634" s="14">
        <v>2025</v>
      </c>
      <c r="R2634" s="15">
        <v>45352</v>
      </c>
      <c r="S2634" s="11" t="s">
        <v>366</v>
      </c>
      <c r="T2634" s="16">
        <v>0</v>
      </c>
      <c r="U2634" s="17"/>
      <c r="V2634" s="12">
        <v>3203.6120913453906</v>
      </c>
      <c r="W2634" s="12">
        <v>3203.6120913453906</v>
      </c>
      <c r="X2634" s="12">
        <v>0</v>
      </c>
      <c r="Y2634" s="18">
        <v>45733</v>
      </c>
      <c r="Z2634" s="13" t="s">
        <v>516</v>
      </c>
      <c r="AA2634" s="19" t="str">
        <f>VLOOKUP(D2634,Clientes!$A$2:$J$486,9,FALSE)</f>
        <v>Ocacional</v>
      </c>
      <c r="AB2634" s="13" t="str">
        <f>VLOOKUP(D2634,Clientes!$A$2:$K$486,11,FALSE)</f>
        <v>Persona Natural</v>
      </c>
      <c r="AC2634" s="13" t="str">
        <f>VLOOKUP(D2634,Clientes!$A$2:$B$486,2,FALSE)</f>
        <v>Voz de arauco</v>
      </c>
      <c r="AD2634" s="20"/>
      <c r="AE2634" s="20"/>
      <c r="AF2634" s="13" t="s">
        <v>40</v>
      </c>
      <c r="AG2634" s="15">
        <v>45352</v>
      </c>
      <c r="AH2634" s="13" t="s">
        <v>41</v>
      </c>
      <c r="AI2634" s="13" t="s">
        <v>53</v>
      </c>
      <c r="AJ2634" s="13" t="str">
        <f>VLOOKUP(E2634,Precios!Z$2:AA$941,2,FALSE)</f>
        <v>Papel Higienico ELITE 50 metros</v>
      </c>
      <c r="AK2634" s="14">
        <f>VLOOKUP(E2634,Precios!Z$2:BB$941,3,FALSE)*F2634</f>
        <v>-6</v>
      </c>
      <c r="AL2634" s="17"/>
      <c r="AM2634" s="17"/>
      <c r="AN2634" s="17"/>
      <c r="AO2634" s="17"/>
      <c r="AP2634" s="17"/>
      <c r="AQ2634" s="17"/>
      <c r="AR2634" s="17"/>
      <c r="AS2634" s="17"/>
      <c r="AT2634" s="17"/>
      <c r="AU2634" s="17"/>
      <c r="AV2634" s="17"/>
    </row>
    <row r="2635" spans="1:48" ht="15.75" customHeight="1">
      <c r="A2635" s="21" t="s">
        <v>43</v>
      </c>
      <c r="B2635" s="23" t="s">
        <v>1692</v>
      </c>
      <c r="C2635" s="22">
        <v>45734</v>
      </c>
      <c r="D2635" s="23" t="s">
        <v>113</v>
      </c>
      <c r="E2635" s="23" t="s">
        <v>45</v>
      </c>
      <c r="F2635" s="21">
        <v>1</v>
      </c>
      <c r="G2635" s="12">
        <v>8000.2951245425575</v>
      </c>
      <c r="H2635" s="12">
        <v>8000.2951245425575</v>
      </c>
      <c r="I2635" s="23" t="s">
        <v>52</v>
      </c>
      <c r="J2635" s="23" t="s">
        <v>61</v>
      </c>
      <c r="K2635" s="24" t="s">
        <v>177</v>
      </c>
      <c r="L2635" s="24">
        <v>116</v>
      </c>
      <c r="M2635" s="12">
        <v>6722.9370794475271</v>
      </c>
      <c r="N2635" s="12">
        <v>6722.9370794475271</v>
      </c>
      <c r="O2635" s="12">
        <v>1277.3580450950303</v>
      </c>
      <c r="P2635" s="13"/>
      <c r="Q2635" s="14">
        <v>2025</v>
      </c>
      <c r="R2635" s="15">
        <v>45352</v>
      </c>
      <c r="S2635" s="11" t="s">
        <v>355</v>
      </c>
      <c r="T2635" s="16">
        <v>0</v>
      </c>
      <c r="U2635" s="17"/>
      <c r="V2635" s="12">
        <v>1027.9370794475271</v>
      </c>
      <c r="W2635" s="12">
        <v>1027.9370794475271</v>
      </c>
      <c r="X2635" s="12">
        <v>0</v>
      </c>
      <c r="Y2635" s="18">
        <v>45733</v>
      </c>
      <c r="Z2635" s="13" t="s">
        <v>516</v>
      </c>
      <c r="AA2635" s="19" t="str">
        <f>VLOOKUP(D2635,Clientes!$A$2:$J$486,9,FALSE)</f>
        <v>Ocacional</v>
      </c>
      <c r="AB2635" s="13" t="str">
        <f>VLOOKUP(D2635,Clientes!$A$2:$K$486,11,FALSE)</f>
        <v>Persona Natural</v>
      </c>
      <c r="AC2635" s="13" t="str">
        <f>VLOOKUP(D2635,Clientes!$A$2:$B$486,2,FALSE)</f>
        <v>Jardines de la viña</v>
      </c>
      <c r="AD2635" s="20"/>
      <c r="AE2635" s="20"/>
      <c r="AF2635" s="13" t="s">
        <v>40</v>
      </c>
      <c r="AG2635" s="15">
        <v>45352</v>
      </c>
      <c r="AH2635" s="13" t="s">
        <v>41</v>
      </c>
      <c r="AI2635" s="13" t="s">
        <v>43</v>
      </c>
      <c r="AJ2635" s="13" t="str">
        <f>VLOOKUP(E2635,Precios!Z$2:AA$941,2,FALSE)</f>
        <v>Bandeja Huevos EXTRA</v>
      </c>
      <c r="AK2635" s="14">
        <f>VLOOKUP(E2635,Precios!Z$2:BB$941,3,FALSE)*F2635</f>
        <v>-1</v>
      </c>
      <c r="AL2635" s="17"/>
      <c r="AM2635" s="17"/>
      <c r="AN2635" s="17"/>
      <c r="AO2635" s="17"/>
      <c r="AP2635" s="17"/>
      <c r="AQ2635" s="17"/>
      <c r="AR2635" s="17"/>
      <c r="AS2635" s="17"/>
      <c r="AT2635" s="17"/>
      <c r="AU2635" s="17"/>
      <c r="AV2635" s="17"/>
    </row>
    <row r="2636" spans="1:48" ht="15.75" customHeight="1">
      <c r="A2636" s="21" t="s">
        <v>53</v>
      </c>
      <c r="B2636" s="23" t="s">
        <v>1692</v>
      </c>
      <c r="C2636" s="22">
        <v>45734</v>
      </c>
      <c r="D2636" s="23" t="s">
        <v>113</v>
      </c>
      <c r="E2636" s="23" t="s">
        <v>136</v>
      </c>
      <c r="F2636" s="21">
        <v>1</v>
      </c>
      <c r="G2636" s="12">
        <v>14900.292682926829</v>
      </c>
      <c r="H2636" s="12">
        <v>14900.292682926829</v>
      </c>
      <c r="I2636" s="23" t="s">
        <v>52</v>
      </c>
      <c r="J2636" s="23" t="s">
        <v>61</v>
      </c>
      <c r="K2636" s="24" t="s">
        <v>177</v>
      </c>
      <c r="L2636" s="24">
        <v>116</v>
      </c>
      <c r="M2636" s="12">
        <v>12521.254355400697</v>
      </c>
      <c r="N2636" s="12">
        <v>12521.254355400697</v>
      </c>
      <c r="O2636" s="12">
        <v>2379.038327526132</v>
      </c>
      <c r="P2636" s="13"/>
      <c r="Q2636" s="14">
        <v>2025</v>
      </c>
      <c r="R2636" s="15">
        <v>45352</v>
      </c>
      <c r="S2636" s="11" t="s">
        <v>410</v>
      </c>
      <c r="T2636" s="16">
        <v>0</v>
      </c>
      <c r="U2636" s="17"/>
      <c r="V2636" s="12">
        <v>3537.254355400697</v>
      </c>
      <c r="W2636" s="12">
        <v>3537.254355400697</v>
      </c>
      <c r="X2636" s="12">
        <v>0</v>
      </c>
      <c r="Y2636" s="18">
        <v>45733</v>
      </c>
      <c r="Z2636" s="13" t="s">
        <v>516</v>
      </c>
      <c r="AA2636" s="19" t="str">
        <f>VLOOKUP(D2636,Clientes!$A$2:$J$486,9,FALSE)</f>
        <v>Ocacional</v>
      </c>
      <c r="AB2636" s="13" t="str">
        <f>VLOOKUP(D2636,Clientes!$A$2:$K$486,11,FALSE)</f>
        <v>Persona Natural</v>
      </c>
      <c r="AC2636" s="13" t="str">
        <f>VLOOKUP(D2636,Clientes!$A$2:$B$486,2,FALSE)</f>
        <v>Jardines de la viña</v>
      </c>
      <c r="AD2636" s="20"/>
      <c r="AE2636" s="20"/>
      <c r="AF2636" s="13" t="s">
        <v>40</v>
      </c>
      <c r="AG2636" s="15">
        <v>45352</v>
      </c>
      <c r="AH2636" s="13" t="s">
        <v>41</v>
      </c>
      <c r="AI2636" s="13" t="s">
        <v>53</v>
      </c>
      <c r="AJ2636" s="13" t="str">
        <f>VLOOKUP(E2636,Precios!Z$2:AA$941,2,FALSE)</f>
        <v>Toalla Papel NOVA 26 metros</v>
      </c>
      <c r="AK2636" s="14">
        <f>VLOOKUP(E2636,Precios!Z$2:BB$941,3,FALSE)*F2636</f>
        <v>-8</v>
      </c>
      <c r="AL2636" s="17"/>
      <c r="AM2636" s="17"/>
      <c r="AN2636" s="17"/>
      <c r="AO2636" s="17"/>
      <c r="AP2636" s="17"/>
      <c r="AQ2636" s="17"/>
      <c r="AR2636" s="17"/>
      <c r="AS2636" s="17"/>
      <c r="AT2636" s="17"/>
      <c r="AU2636" s="17"/>
      <c r="AV2636" s="17"/>
    </row>
    <row r="2637" spans="1:48" ht="15.75" customHeight="1">
      <c r="A2637" s="21" t="s">
        <v>53</v>
      </c>
      <c r="B2637" s="23" t="s">
        <v>1692</v>
      </c>
      <c r="C2637" s="22">
        <v>45733</v>
      </c>
      <c r="D2637" s="23" t="s">
        <v>104</v>
      </c>
      <c r="E2637" s="23" t="s">
        <v>157</v>
      </c>
      <c r="F2637" s="21">
        <v>1</v>
      </c>
      <c r="G2637" s="12">
        <v>11499.714937286204</v>
      </c>
      <c r="H2637" s="12">
        <v>11499.714937286204</v>
      </c>
      <c r="I2637" s="23" t="s">
        <v>52</v>
      </c>
      <c r="J2637" s="23" t="s">
        <v>61</v>
      </c>
      <c r="K2637" s="24" t="s">
        <v>177</v>
      </c>
      <c r="L2637" s="24">
        <v>116</v>
      </c>
      <c r="M2637" s="12">
        <v>9663.6259977195004</v>
      </c>
      <c r="N2637" s="12">
        <v>9663.6259977195004</v>
      </c>
      <c r="O2637" s="12">
        <v>1836.0889395667036</v>
      </c>
      <c r="P2637" s="13"/>
      <c r="Q2637" s="14">
        <v>2025</v>
      </c>
      <c r="R2637" s="15">
        <v>45352</v>
      </c>
      <c r="S2637" s="11" t="s">
        <v>376</v>
      </c>
      <c r="T2637" s="16">
        <v>0</v>
      </c>
      <c r="U2637" s="17"/>
      <c r="V2637" s="12">
        <v>2883.6259977194986</v>
      </c>
      <c r="W2637" s="12">
        <v>2883.6259977194986</v>
      </c>
      <c r="X2637" s="12">
        <v>0</v>
      </c>
      <c r="Y2637" s="18">
        <v>45733</v>
      </c>
      <c r="Z2637" s="13" t="s">
        <v>523</v>
      </c>
      <c r="AA2637" s="19" t="str">
        <f>VLOOKUP(D2637,Clientes!$A$2:$J$486,9,FALSE)</f>
        <v>Ocacional</v>
      </c>
      <c r="AB2637" s="13" t="str">
        <f>VLOOKUP(D2637,Clientes!$A$2:$K$486,11,FALSE)</f>
        <v>Persona Natural</v>
      </c>
      <c r="AC2637" s="13" t="str">
        <f>VLOOKUP(D2637,Clientes!$A$2:$B$486,2,FALSE)</f>
        <v>Jardines de la viña</v>
      </c>
      <c r="AD2637" s="20"/>
      <c r="AE2637" s="20"/>
      <c r="AF2637" s="13" t="s">
        <v>40</v>
      </c>
      <c r="AG2637" s="15">
        <v>45352</v>
      </c>
      <c r="AH2637" s="13" t="s">
        <v>41</v>
      </c>
      <c r="AI2637" s="13" t="s">
        <v>53</v>
      </c>
      <c r="AJ2637" s="13" t="str">
        <f>VLOOKUP(E2637,Precios!Z$2:AA$941,2,FALSE)</f>
        <v>Toalla Papel NOVA 70 metros</v>
      </c>
      <c r="AK2637" s="14">
        <f>VLOOKUP(E2637,Precios!Z$2:BB$941,3,FALSE)*F2637</f>
        <v>-4</v>
      </c>
      <c r="AL2637" s="17"/>
      <c r="AM2637" s="17"/>
      <c r="AN2637" s="17"/>
      <c r="AO2637" s="17"/>
      <c r="AP2637" s="17"/>
      <c r="AQ2637" s="17"/>
      <c r="AR2637" s="17"/>
      <c r="AS2637" s="17"/>
      <c r="AT2637" s="17"/>
      <c r="AU2637" s="17"/>
      <c r="AV2637" s="17"/>
    </row>
    <row r="2638" spans="1:48" ht="15.75" customHeight="1">
      <c r="A2638" s="21" t="s">
        <v>43</v>
      </c>
      <c r="B2638" s="23" t="s">
        <v>1692</v>
      </c>
      <c r="C2638" s="22">
        <v>45733</v>
      </c>
      <c r="D2638" s="23" t="s">
        <v>104</v>
      </c>
      <c r="E2638" s="23" t="s">
        <v>45</v>
      </c>
      <c r="F2638" s="21">
        <v>1</v>
      </c>
      <c r="G2638" s="12">
        <v>8000.2951245425575</v>
      </c>
      <c r="H2638" s="12">
        <v>8000.2951245425575</v>
      </c>
      <c r="I2638" s="23" t="s">
        <v>52</v>
      </c>
      <c r="J2638" s="23" t="s">
        <v>61</v>
      </c>
      <c r="K2638" s="24" t="s">
        <v>177</v>
      </c>
      <c r="L2638" s="24">
        <v>116</v>
      </c>
      <c r="M2638" s="12">
        <v>6722.9370794475271</v>
      </c>
      <c r="N2638" s="12">
        <v>6722.9370794475271</v>
      </c>
      <c r="O2638" s="12">
        <v>1277.3580450950303</v>
      </c>
      <c r="P2638" s="13"/>
      <c r="Q2638" s="14">
        <v>2025</v>
      </c>
      <c r="R2638" s="15">
        <v>45352</v>
      </c>
      <c r="S2638" s="11" t="s">
        <v>355</v>
      </c>
      <c r="T2638" s="16">
        <v>0</v>
      </c>
      <c r="U2638" s="17"/>
      <c r="V2638" s="12">
        <v>1027.9370794475271</v>
      </c>
      <c r="W2638" s="12">
        <v>1027.9370794475271</v>
      </c>
      <c r="X2638" s="12">
        <v>0</v>
      </c>
      <c r="Y2638" s="18">
        <v>45733</v>
      </c>
      <c r="Z2638" s="13" t="s">
        <v>523</v>
      </c>
      <c r="AA2638" s="19" t="str">
        <f>VLOOKUP(D2638,Clientes!$A$2:$J$486,9,FALSE)</f>
        <v>Ocacional</v>
      </c>
      <c r="AB2638" s="13" t="str">
        <f>VLOOKUP(D2638,Clientes!$A$2:$K$486,11,FALSE)</f>
        <v>Persona Natural</v>
      </c>
      <c r="AC2638" s="13" t="str">
        <f>VLOOKUP(D2638,Clientes!$A$2:$B$486,2,FALSE)</f>
        <v>Jardines de la viña</v>
      </c>
      <c r="AD2638" s="20"/>
      <c r="AE2638" s="20"/>
      <c r="AF2638" s="13" t="s">
        <v>40</v>
      </c>
      <c r="AG2638" s="15">
        <v>45352</v>
      </c>
      <c r="AH2638" s="13" t="s">
        <v>41</v>
      </c>
      <c r="AI2638" s="13" t="s">
        <v>43</v>
      </c>
      <c r="AJ2638" s="13" t="str">
        <f>VLOOKUP(E2638,Precios!Z$2:AA$941,2,FALSE)</f>
        <v>Bandeja Huevos EXTRA</v>
      </c>
      <c r="AK2638" s="14">
        <f>VLOOKUP(E2638,Precios!Z$2:BB$941,3,FALSE)*F2638</f>
        <v>-1</v>
      </c>
      <c r="AL2638" s="17"/>
      <c r="AM2638" s="17"/>
      <c r="AN2638" s="17"/>
      <c r="AO2638" s="17"/>
      <c r="AP2638" s="17"/>
      <c r="AQ2638" s="17"/>
      <c r="AR2638" s="17"/>
      <c r="AS2638" s="17"/>
      <c r="AT2638" s="17"/>
      <c r="AU2638" s="17"/>
      <c r="AV2638" s="17"/>
    </row>
    <row r="2639" spans="1:48" ht="15.75" customHeight="1">
      <c r="A2639" s="21" t="s">
        <v>76</v>
      </c>
      <c r="B2639" s="23" t="s">
        <v>1692</v>
      </c>
      <c r="C2639" s="22">
        <v>45733</v>
      </c>
      <c r="D2639" s="23" t="s">
        <v>68</v>
      </c>
      <c r="E2639" s="23" t="s">
        <v>81</v>
      </c>
      <c r="F2639" s="21">
        <v>1</v>
      </c>
      <c r="G2639" s="12">
        <v>3500.0000000000005</v>
      </c>
      <c r="H2639" s="12">
        <v>3500.0000000000005</v>
      </c>
      <c r="I2639" s="23" t="s">
        <v>52</v>
      </c>
      <c r="J2639" s="23" t="s">
        <v>61</v>
      </c>
      <c r="K2639" s="24" t="s">
        <v>86</v>
      </c>
      <c r="L2639" s="24">
        <v>68</v>
      </c>
      <c r="M2639" s="12">
        <v>2941.1764705882356</v>
      </c>
      <c r="N2639" s="12">
        <v>2941.1764705882356</v>
      </c>
      <c r="O2639" s="12">
        <v>558.82352941176487</v>
      </c>
      <c r="P2639" s="13"/>
      <c r="Q2639" s="14">
        <v>2025</v>
      </c>
      <c r="R2639" s="15">
        <v>45352</v>
      </c>
      <c r="S2639" s="11" t="s">
        <v>397</v>
      </c>
      <c r="T2639" s="16">
        <v>5</v>
      </c>
      <c r="U2639" s="17"/>
      <c r="V2639" s="12">
        <v>764.70588235294144</v>
      </c>
      <c r="W2639" s="12">
        <v>764.70588235294144</v>
      </c>
      <c r="X2639" s="12">
        <v>0</v>
      </c>
      <c r="Y2639" s="18">
        <v>45733</v>
      </c>
      <c r="Z2639" s="13" t="s">
        <v>523</v>
      </c>
      <c r="AA2639" s="19" t="str">
        <f>VLOOKUP(D2639,Clientes!$A$2:$J$486,9,FALSE)</f>
        <v>Frecuente</v>
      </c>
      <c r="AB2639" s="13" t="str">
        <f>VLOOKUP(D2639,Clientes!$A$2:$K$486,11,FALSE)</f>
        <v>Empresa</v>
      </c>
      <c r="AC2639" s="13" t="str">
        <f>VLOOKUP(D2639,Clientes!$A$2:$B$486,2,FALSE)</f>
        <v>Jardines de la viña</v>
      </c>
      <c r="AD2639" s="20"/>
      <c r="AE2639" s="20"/>
      <c r="AF2639" s="13" t="s">
        <v>40</v>
      </c>
      <c r="AG2639" s="15">
        <v>45352</v>
      </c>
      <c r="AH2639" s="13" t="s">
        <v>41</v>
      </c>
      <c r="AI2639" s="13" t="s">
        <v>76</v>
      </c>
      <c r="AJ2639" s="13" t="str">
        <f>VLOOKUP(E2639,Precios!Z$2:AA$941,2,FALSE)</f>
        <v>Detergente SPUM 5 Litros (Verde)</v>
      </c>
      <c r="AK2639" s="14">
        <f>VLOOKUP(E2639,Precios!Z$2:BB$941,3,FALSE)*F2639</f>
        <v>-1</v>
      </c>
      <c r="AL2639" s="17"/>
      <c r="AM2639" s="17"/>
      <c r="AN2639" s="17"/>
      <c r="AO2639" s="17"/>
      <c r="AP2639" s="17"/>
      <c r="AQ2639" s="17"/>
      <c r="AR2639" s="17"/>
      <c r="AS2639" s="17"/>
      <c r="AT2639" s="17"/>
      <c r="AU2639" s="17"/>
      <c r="AV2639" s="17"/>
    </row>
    <row r="2640" spans="1:48" ht="15.75" customHeight="1">
      <c r="A2640" s="21" t="s">
        <v>43</v>
      </c>
      <c r="B2640" s="23" t="s">
        <v>1692</v>
      </c>
      <c r="C2640" s="22">
        <v>45732</v>
      </c>
      <c r="D2640" s="23" t="s">
        <v>697</v>
      </c>
      <c r="E2640" s="23" t="s">
        <v>45</v>
      </c>
      <c r="F2640" s="21">
        <v>1</v>
      </c>
      <c r="G2640" s="12">
        <v>8000.2951245425575</v>
      </c>
      <c r="H2640" s="12">
        <v>8000.2951245425575</v>
      </c>
      <c r="I2640" s="23" t="s">
        <v>52</v>
      </c>
      <c r="J2640" s="23" t="s">
        <v>61</v>
      </c>
      <c r="K2640" s="24" t="s">
        <v>177</v>
      </c>
      <c r="L2640" s="24">
        <v>116</v>
      </c>
      <c r="M2640" s="12">
        <v>6722.9370794475271</v>
      </c>
      <c r="N2640" s="12">
        <v>6722.9370794475271</v>
      </c>
      <c r="O2640" s="12">
        <v>1277.3580450950303</v>
      </c>
      <c r="P2640" s="13"/>
      <c r="Q2640" s="14">
        <v>2025</v>
      </c>
      <c r="R2640" s="15">
        <v>45352</v>
      </c>
      <c r="S2640" s="11" t="s">
        <v>355</v>
      </c>
      <c r="T2640" s="16">
        <v>0</v>
      </c>
      <c r="U2640" s="17"/>
      <c r="V2640" s="12">
        <v>1027.9370794475271</v>
      </c>
      <c r="W2640" s="12">
        <v>1027.9370794475271</v>
      </c>
      <c r="X2640" s="12">
        <v>0</v>
      </c>
      <c r="Y2640" s="18">
        <v>45726</v>
      </c>
      <c r="Z2640" s="13" t="s">
        <v>497</v>
      </c>
      <c r="AA2640" s="19" t="str">
        <f>VLOOKUP(D2640,Clientes!$A$2:$J$486,9,FALSE)</f>
        <v>Ocacional</v>
      </c>
      <c r="AB2640" s="13" t="str">
        <f>VLOOKUP(D2640,Clientes!$A$2:$K$486,11,FALSE)</f>
        <v>Persona Natural</v>
      </c>
      <c r="AC2640" s="13" t="str">
        <f>VLOOKUP(D2640,Clientes!$A$2:$B$486,2,FALSE)</f>
        <v>Sector Jardin Alto</v>
      </c>
      <c r="AD2640" s="20"/>
      <c r="AE2640" s="20"/>
      <c r="AF2640" s="13" t="s">
        <v>40</v>
      </c>
      <c r="AG2640" s="15">
        <v>45352</v>
      </c>
      <c r="AH2640" s="13" t="s">
        <v>41</v>
      </c>
      <c r="AI2640" s="13" t="s">
        <v>43</v>
      </c>
      <c r="AJ2640" s="13" t="str">
        <f>VLOOKUP(E2640,Precios!Z$2:AA$941,2,FALSE)</f>
        <v>Bandeja Huevos EXTRA</v>
      </c>
      <c r="AK2640" s="14">
        <f>VLOOKUP(E2640,Precios!Z$2:BB$941,3,FALSE)*F2640</f>
        <v>-1</v>
      </c>
      <c r="AL2640" s="17"/>
      <c r="AM2640" s="17"/>
      <c r="AN2640" s="17"/>
      <c r="AO2640" s="17"/>
      <c r="AP2640" s="17"/>
      <c r="AQ2640" s="17"/>
      <c r="AR2640" s="17"/>
      <c r="AS2640" s="17"/>
      <c r="AT2640" s="17"/>
      <c r="AU2640" s="17"/>
      <c r="AV2640" s="17"/>
    </row>
    <row r="2641" spans="1:48" ht="15.75" customHeight="1">
      <c r="A2641" s="21" t="s">
        <v>47</v>
      </c>
      <c r="B2641" s="23" t="s">
        <v>1692</v>
      </c>
      <c r="C2641" s="22">
        <v>45732</v>
      </c>
      <c r="D2641" s="23" t="s">
        <v>184</v>
      </c>
      <c r="E2641" s="23" t="s">
        <v>153</v>
      </c>
      <c r="F2641" s="21">
        <v>1</v>
      </c>
      <c r="G2641" s="12">
        <v>1700</v>
      </c>
      <c r="H2641" s="12">
        <v>1700</v>
      </c>
      <c r="I2641" s="23" t="s">
        <v>52</v>
      </c>
      <c r="J2641" s="23" t="s">
        <v>61</v>
      </c>
      <c r="K2641" s="24" t="s">
        <v>177</v>
      </c>
      <c r="L2641" s="24">
        <v>116</v>
      </c>
      <c r="M2641" s="12">
        <v>1428.5714285714287</v>
      </c>
      <c r="N2641" s="12">
        <v>1428.5714285714287</v>
      </c>
      <c r="O2641" s="12">
        <v>271.42857142857133</v>
      </c>
      <c r="P2641" s="13"/>
      <c r="Q2641" s="14">
        <v>2025</v>
      </c>
      <c r="R2641" s="15">
        <v>45352</v>
      </c>
      <c r="S2641" s="11" t="s">
        <v>153</v>
      </c>
      <c r="T2641" s="16">
        <v>0</v>
      </c>
      <c r="U2641" s="17"/>
      <c r="V2641" s="12">
        <v>589.57142857142867</v>
      </c>
      <c r="W2641" s="12">
        <v>589.57142857142867</v>
      </c>
      <c r="X2641" s="12">
        <v>0</v>
      </c>
      <c r="Y2641" s="18">
        <v>45726</v>
      </c>
      <c r="Z2641" s="13" t="s">
        <v>497</v>
      </c>
      <c r="AA2641" s="19" t="str">
        <f>VLOOKUP(D2641,Clientes!$A$2:$J$486,9,FALSE)</f>
        <v>Frecuente</v>
      </c>
      <c r="AB2641" s="13" t="str">
        <f>VLOOKUP(D2641,Clientes!$A$2:$K$486,11,FALSE)</f>
        <v>Persona Natural</v>
      </c>
      <c r="AC2641" s="13" t="str">
        <f>VLOOKUP(D2641,Clientes!$A$2:$B$486,2,FALSE)</f>
        <v>Jardin del Eden</v>
      </c>
      <c r="AD2641" s="20"/>
      <c r="AE2641" s="20"/>
      <c r="AF2641" s="13" t="s">
        <v>40</v>
      </c>
      <c r="AG2641" s="15">
        <v>45352</v>
      </c>
      <c r="AH2641" s="13" t="s">
        <v>41</v>
      </c>
      <c r="AI2641" s="13" t="s">
        <v>47</v>
      </c>
      <c r="AJ2641" s="13" t="str">
        <f>VLOOKUP(E2641,Precios!Z$2:AA$941,2,FALSE)</f>
        <v>Escobillon TEDDY</v>
      </c>
      <c r="AK2641" s="14">
        <f>VLOOKUP(E2641,Precios!Z$2:BB$941,3,FALSE)*F2641</f>
        <v>-1</v>
      </c>
      <c r="AL2641" s="17"/>
      <c r="AM2641" s="17"/>
      <c r="AN2641" s="17"/>
      <c r="AO2641" s="17"/>
      <c r="AP2641" s="17"/>
      <c r="AQ2641" s="17"/>
      <c r="AR2641" s="17"/>
      <c r="AS2641" s="17"/>
      <c r="AT2641" s="17"/>
      <c r="AU2641" s="17"/>
      <c r="AV2641" s="17"/>
    </row>
    <row r="2642" spans="1:48" ht="15.75" customHeight="1">
      <c r="A2642" s="21" t="s">
        <v>43</v>
      </c>
      <c r="B2642" s="23" t="s">
        <v>1692</v>
      </c>
      <c r="C2642" s="22">
        <v>45732</v>
      </c>
      <c r="D2642" s="23" t="s">
        <v>184</v>
      </c>
      <c r="E2642" s="23" t="s">
        <v>45</v>
      </c>
      <c r="F2642" s="21">
        <v>1</v>
      </c>
      <c r="G2642" s="12">
        <v>8000.2951245425575</v>
      </c>
      <c r="H2642" s="12">
        <v>8000.2951245425575</v>
      </c>
      <c r="I2642" s="23" t="s">
        <v>52</v>
      </c>
      <c r="J2642" s="23" t="s">
        <v>61</v>
      </c>
      <c r="K2642" s="24" t="s">
        <v>177</v>
      </c>
      <c r="L2642" s="24">
        <v>116</v>
      </c>
      <c r="M2642" s="12">
        <v>6722.9370794475271</v>
      </c>
      <c r="N2642" s="12">
        <v>6722.9370794475271</v>
      </c>
      <c r="O2642" s="12">
        <v>1277.3580450950303</v>
      </c>
      <c r="P2642" s="13"/>
      <c r="Q2642" s="14">
        <v>2025</v>
      </c>
      <c r="R2642" s="15">
        <v>45352</v>
      </c>
      <c r="S2642" s="11" t="s">
        <v>355</v>
      </c>
      <c r="T2642" s="16">
        <v>0</v>
      </c>
      <c r="U2642" s="17"/>
      <c r="V2642" s="12">
        <v>1027.9370794475271</v>
      </c>
      <c r="W2642" s="12">
        <v>1027.9370794475271</v>
      </c>
      <c r="X2642" s="12">
        <v>0</v>
      </c>
      <c r="Y2642" s="18">
        <v>45726</v>
      </c>
      <c r="Z2642" s="13" t="s">
        <v>497</v>
      </c>
      <c r="AA2642" s="19" t="str">
        <f>VLOOKUP(D2642,Clientes!$A$2:$J$486,9,FALSE)</f>
        <v>Frecuente</v>
      </c>
      <c r="AB2642" s="13" t="str">
        <f>VLOOKUP(D2642,Clientes!$A$2:$K$486,11,FALSE)</f>
        <v>Persona Natural</v>
      </c>
      <c r="AC2642" s="13" t="str">
        <f>VLOOKUP(D2642,Clientes!$A$2:$B$486,2,FALSE)</f>
        <v>Jardin del Eden</v>
      </c>
      <c r="AD2642" s="20"/>
      <c r="AE2642" s="20"/>
      <c r="AF2642" s="13" t="s">
        <v>40</v>
      </c>
      <c r="AG2642" s="15">
        <v>45352</v>
      </c>
      <c r="AH2642" s="13" t="s">
        <v>41</v>
      </c>
      <c r="AI2642" s="13" t="s">
        <v>43</v>
      </c>
      <c r="AJ2642" s="13" t="str">
        <f>VLOOKUP(E2642,Precios!Z$2:AA$941,2,FALSE)</f>
        <v>Bandeja Huevos EXTRA</v>
      </c>
      <c r="AK2642" s="14">
        <f>VLOOKUP(E2642,Precios!Z$2:BB$941,3,FALSE)*F2642</f>
        <v>-1</v>
      </c>
      <c r="AL2642" s="17"/>
      <c r="AM2642" s="17"/>
      <c r="AN2642" s="17"/>
      <c r="AO2642" s="17"/>
      <c r="AP2642" s="17"/>
      <c r="AQ2642" s="17"/>
      <c r="AR2642" s="17"/>
      <c r="AS2642" s="17"/>
      <c r="AT2642" s="17"/>
      <c r="AU2642" s="17"/>
      <c r="AV2642" s="17"/>
    </row>
    <row r="2643" spans="1:48" ht="15.75" customHeight="1">
      <c r="A2643" s="21" t="s">
        <v>76</v>
      </c>
      <c r="B2643" s="23" t="s">
        <v>1692</v>
      </c>
      <c r="C2643" s="22">
        <v>45732</v>
      </c>
      <c r="D2643" s="23" t="s">
        <v>184</v>
      </c>
      <c r="E2643" s="23" t="s">
        <v>137</v>
      </c>
      <c r="F2643" s="21">
        <v>2</v>
      </c>
      <c r="G2643" s="12">
        <v>3500.0000000000005</v>
      </c>
      <c r="H2643" s="12">
        <v>7000.0000000000009</v>
      </c>
      <c r="I2643" s="23" t="s">
        <v>52</v>
      </c>
      <c r="J2643" s="23" t="s">
        <v>61</v>
      </c>
      <c r="K2643" s="24" t="s">
        <v>177</v>
      </c>
      <c r="L2643" s="24">
        <v>116</v>
      </c>
      <c r="M2643" s="12">
        <v>2941.1764705882356</v>
      </c>
      <c r="N2643" s="12">
        <v>5882.3529411764712</v>
      </c>
      <c r="O2643" s="12">
        <v>1117.6470588235297</v>
      </c>
      <c r="P2643" s="13"/>
      <c r="Q2643" s="14">
        <v>2025</v>
      </c>
      <c r="R2643" s="15">
        <v>45352</v>
      </c>
      <c r="S2643" s="11" t="s">
        <v>406</v>
      </c>
      <c r="T2643" s="16">
        <v>10</v>
      </c>
      <c r="U2643" s="17"/>
      <c r="V2643" s="12">
        <v>1697.4789915966394</v>
      </c>
      <c r="W2643" s="12">
        <v>1697.4789915966394</v>
      </c>
      <c r="X2643" s="12">
        <v>0</v>
      </c>
      <c r="Y2643" s="18">
        <v>45726</v>
      </c>
      <c r="Z2643" s="13" t="s">
        <v>497</v>
      </c>
      <c r="AA2643" s="19" t="str">
        <f>VLOOKUP(D2643,Clientes!$A$2:$J$486,9,FALSE)</f>
        <v>Frecuente</v>
      </c>
      <c r="AB2643" s="13" t="str">
        <f>VLOOKUP(D2643,Clientes!$A$2:$K$486,11,FALSE)</f>
        <v>Persona Natural</v>
      </c>
      <c r="AC2643" s="13" t="str">
        <f>VLOOKUP(D2643,Clientes!$A$2:$B$486,2,FALSE)</f>
        <v>Jardin del Eden</v>
      </c>
      <c r="AD2643" s="20"/>
      <c r="AE2643" s="20"/>
      <c r="AF2643" s="13" t="s">
        <v>40</v>
      </c>
      <c r="AG2643" s="15">
        <v>45352</v>
      </c>
      <c r="AH2643" s="13" t="s">
        <v>41</v>
      </c>
      <c r="AI2643" s="13" t="s">
        <v>76</v>
      </c>
      <c r="AJ2643" s="13" t="str">
        <f>VLOOKUP(E2643,Precios!Z$2:AA$941,2,FALSE)</f>
        <v>Detergente SPUM 5 Litros (Blanco)</v>
      </c>
      <c r="AK2643" s="14">
        <f>VLOOKUP(E2643,Precios!Z$2:BB$941,3,FALSE)*F2643</f>
        <v>-2</v>
      </c>
      <c r="AL2643" s="17"/>
      <c r="AM2643" s="17"/>
      <c r="AN2643" s="17"/>
      <c r="AO2643" s="17"/>
      <c r="AP2643" s="17"/>
      <c r="AQ2643" s="17"/>
      <c r="AR2643" s="17"/>
      <c r="AS2643" s="17"/>
      <c r="AT2643" s="17"/>
      <c r="AU2643" s="17"/>
      <c r="AV2643" s="17"/>
    </row>
    <row r="2644" spans="1:48" ht="15.75" customHeight="1">
      <c r="A2644" s="21" t="s">
        <v>53</v>
      </c>
      <c r="B2644" s="23" t="s">
        <v>1692</v>
      </c>
      <c r="C2644" s="22">
        <v>45732</v>
      </c>
      <c r="D2644" s="23" t="s">
        <v>184</v>
      </c>
      <c r="E2644" s="23" t="s">
        <v>587</v>
      </c>
      <c r="F2644" s="21">
        <v>2</v>
      </c>
      <c r="G2644" s="12">
        <v>3499.8985330782161</v>
      </c>
      <c r="H2644" s="12">
        <v>6999.7970661564323</v>
      </c>
      <c r="I2644" s="23" t="s">
        <v>52</v>
      </c>
      <c r="J2644" s="23" t="s">
        <v>61</v>
      </c>
      <c r="K2644" s="24" t="s">
        <v>177</v>
      </c>
      <c r="L2644" s="24">
        <v>116</v>
      </c>
      <c r="M2644" s="12">
        <v>2941.0912042674086</v>
      </c>
      <c r="N2644" s="12">
        <v>5882.1824085348171</v>
      </c>
      <c r="O2644" s="12">
        <v>1117.6146576216152</v>
      </c>
      <c r="P2644" s="13"/>
      <c r="Q2644" s="14">
        <v>2025</v>
      </c>
      <c r="R2644" s="15">
        <v>45352</v>
      </c>
      <c r="S2644" s="11" t="s">
        <v>408</v>
      </c>
      <c r="T2644" s="16">
        <v>0</v>
      </c>
      <c r="U2644" s="17"/>
      <c r="V2644" s="12">
        <v>1824.1824085348171</v>
      </c>
      <c r="W2644" s="12">
        <v>1824.1824085348171</v>
      </c>
      <c r="X2644" s="12">
        <v>0</v>
      </c>
      <c r="Y2644" s="18">
        <v>45726</v>
      </c>
      <c r="Z2644" s="13" t="s">
        <v>497</v>
      </c>
      <c r="AA2644" s="19" t="str">
        <f>VLOOKUP(D2644,Clientes!$A$2:$J$486,9,FALSE)</f>
        <v>Frecuente</v>
      </c>
      <c r="AB2644" s="13" t="str">
        <f>VLOOKUP(D2644,Clientes!$A$2:$K$486,11,FALSE)</f>
        <v>Persona Natural</v>
      </c>
      <c r="AC2644" s="13" t="str">
        <f>VLOOKUP(D2644,Clientes!$A$2:$B$486,2,FALSE)</f>
        <v>Jardin del Eden</v>
      </c>
      <c r="AD2644" s="20"/>
      <c r="AE2644" s="20"/>
      <c r="AF2644" s="13" t="s">
        <v>40</v>
      </c>
      <c r="AG2644" s="15">
        <v>45352</v>
      </c>
      <c r="AH2644" s="13" t="s">
        <v>41</v>
      </c>
      <c r="AI2644" s="13" t="s">
        <v>53</v>
      </c>
      <c r="AJ2644" s="13" t="str">
        <f>VLOOKUP(E2644,Precios!Z$2:AA$941,2,FALSE)</f>
        <v>Toalla Papel SWAN D/H AZUL 100 metros</v>
      </c>
      <c r="AK2644" s="14">
        <f>VLOOKUP(E2644,Precios!Z$2:BB$941,3,FALSE)*F2644</f>
        <v>-2</v>
      </c>
      <c r="AL2644" s="17"/>
      <c r="AM2644" s="17"/>
      <c r="AN2644" s="17"/>
      <c r="AO2644" s="17"/>
      <c r="AP2644" s="17"/>
      <c r="AQ2644" s="17"/>
      <c r="AR2644" s="17"/>
      <c r="AS2644" s="17"/>
      <c r="AT2644" s="17"/>
      <c r="AU2644" s="17"/>
      <c r="AV2644" s="17"/>
    </row>
    <row r="2645" spans="1:48" ht="15.75" customHeight="1">
      <c r="A2645" s="21" t="s">
        <v>47</v>
      </c>
      <c r="B2645" s="23" t="s">
        <v>1692</v>
      </c>
      <c r="C2645" s="22">
        <v>45732</v>
      </c>
      <c r="D2645" s="23" t="s">
        <v>184</v>
      </c>
      <c r="E2645" s="23" t="s">
        <v>521</v>
      </c>
      <c r="F2645" s="21">
        <v>1</v>
      </c>
      <c r="G2645" s="12">
        <v>600.32200357781755</v>
      </c>
      <c r="H2645" s="12">
        <v>600.32200357781755</v>
      </c>
      <c r="I2645" s="23" t="s">
        <v>52</v>
      </c>
      <c r="J2645" s="23" t="s">
        <v>61</v>
      </c>
      <c r="K2645" s="24" t="s">
        <v>177</v>
      </c>
      <c r="L2645" s="24">
        <v>116</v>
      </c>
      <c r="M2645" s="12">
        <v>504.47227191413242</v>
      </c>
      <c r="N2645" s="12">
        <v>504.47227191413242</v>
      </c>
      <c r="O2645" s="12">
        <v>95.849731663685134</v>
      </c>
      <c r="P2645" s="13"/>
      <c r="Q2645" s="14">
        <v>2025</v>
      </c>
      <c r="R2645" s="15">
        <v>45352</v>
      </c>
      <c r="S2645" s="11" t="s">
        <v>453</v>
      </c>
      <c r="T2645" s="16">
        <v>0</v>
      </c>
      <c r="U2645" s="17"/>
      <c r="V2645" s="12">
        <v>222.47227191413242</v>
      </c>
      <c r="W2645" s="12">
        <v>222.47227191413242</v>
      </c>
      <c r="X2645" s="12">
        <v>0</v>
      </c>
      <c r="Y2645" s="18">
        <v>45726</v>
      </c>
      <c r="Z2645" s="13" t="s">
        <v>497</v>
      </c>
      <c r="AA2645" s="19" t="str">
        <f>VLOOKUP(D2645,Clientes!$A$2:$J$486,9,FALSE)</f>
        <v>Frecuente</v>
      </c>
      <c r="AB2645" s="13" t="str">
        <f>VLOOKUP(D2645,Clientes!$A$2:$K$486,11,FALSE)</f>
        <v>Persona Natural</v>
      </c>
      <c r="AC2645" s="13" t="str">
        <f>VLOOKUP(D2645,Clientes!$A$2:$B$486,2,FALSE)</f>
        <v>Jardin del Eden</v>
      </c>
      <c r="AD2645" s="20"/>
      <c r="AE2645" s="20"/>
      <c r="AF2645" s="13" t="s">
        <v>40</v>
      </c>
      <c r="AG2645" s="15">
        <v>45352</v>
      </c>
      <c r="AH2645" s="13" t="s">
        <v>41</v>
      </c>
      <c r="AI2645" s="13" t="s">
        <v>47</v>
      </c>
      <c r="AJ2645" s="13" t="str">
        <f>VLOOKUP(E2645,Precios!Z$2:AA$941,2,FALSE)</f>
        <v xml:space="preserve">Bolsas Basura TEDDY 45x55 con Asas </v>
      </c>
      <c r="AK2645" s="14">
        <f>VLOOKUP(E2645,Precios!Z$2:BB$941,3,FALSE)*F2645</f>
        <v>-1</v>
      </c>
      <c r="AL2645" s="17"/>
      <c r="AM2645" s="17"/>
      <c r="AN2645" s="17"/>
      <c r="AO2645" s="17"/>
      <c r="AP2645" s="17"/>
      <c r="AQ2645" s="17"/>
      <c r="AR2645" s="17"/>
      <c r="AS2645" s="17"/>
      <c r="AT2645" s="17"/>
      <c r="AU2645" s="17"/>
      <c r="AV2645" s="17"/>
    </row>
    <row r="2646" spans="1:48" ht="15.75" customHeight="1">
      <c r="A2646" s="21" t="s">
        <v>47</v>
      </c>
      <c r="B2646" s="23" t="s">
        <v>1692</v>
      </c>
      <c r="C2646" s="22">
        <v>45732</v>
      </c>
      <c r="D2646" s="23" t="s">
        <v>184</v>
      </c>
      <c r="E2646" s="23" t="s">
        <v>100</v>
      </c>
      <c r="F2646" s="21">
        <v>1</v>
      </c>
      <c r="G2646" s="12">
        <v>650.00000000000011</v>
      </c>
      <c r="H2646" s="12">
        <v>650.00000000000011</v>
      </c>
      <c r="I2646" s="23" t="s">
        <v>52</v>
      </c>
      <c r="J2646" s="23" t="s">
        <v>61</v>
      </c>
      <c r="K2646" s="24" t="s">
        <v>177</v>
      </c>
      <c r="L2646" s="24">
        <v>116</v>
      </c>
      <c r="M2646" s="12">
        <v>546.21848739495806</v>
      </c>
      <c r="N2646" s="12">
        <v>546.21848739495806</v>
      </c>
      <c r="O2646" s="12">
        <v>103.78151260504205</v>
      </c>
      <c r="P2646" s="13"/>
      <c r="Q2646" s="14">
        <v>2025</v>
      </c>
      <c r="R2646" s="15">
        <v>45352</v>
      </c>
      <c r="S2646" s="11" t="s">
        <v>453</v>
      </c>
      <c r="T2646" s="16">
        <v>0</v>
      </c>
      <c r="U2646" s="17"/>
      <c r="V2646" s="12">
        <v>231.09243697478996</v>
      </c>
      <c r="W2646" s="12">
        <v>231.09243697478996</v>
      </c>
      <c r="X2646" s="12">
        <v>0</v>
      </c>
      <c r="Y2646" s="18">
        <v>45726</v>
      </c>
      <c r="Z2646" s="13" t="s">
        <v>497</v>
      </c>
      <c r="AA2646" s="19" t="str">
        <f>VLOOKUP(D2646,Clientes!$A$2:$J$486,9,FALSE)</f>
        <v>Frecuente</v>
      </c>
      <c r="AB2646" s="13" t="str">
        <f>VLOOKUP(D2646,Clientes!$A$2:$K$486,11,FALSE)</f>
        <v>Persona Natural</v>
      </c>
      <c r="AC2646" s="13" t="str">
        <f>VLOOKUP(D2646,Clientes!$A$2:$B$486,2,FALSE)</f>
        <v>Jardin del Eden</v>
      </c>
      <c r="AD2646" s="20"/>
      <c r="AE2646" s="20"/>
      <c r="AF2646" s="13" t="s">
        <v>40</v>
      </c>
      <c r="AG2646" s="15">
        <v>45352</v>
      </c>
      <c r="AH2646" s="13" t="s">
        <v>41</v>
      </c>
      <c r="AI2646" s="13" t="s">
        <v>47</v>
      </c>
      <c r="AJ2646" s="13" t="str">
        <f>VLOOKUP(E2646,Precios!Z$2:AA$941,2,FALSE)</f>
        <v xml:space="preserve">Bolsas Basura TEDDY 50x70 </v>
      </c>
      <c r="AK2646" s="14">
        <f>VLOOKUP(E2646,Precios!Z$2:BB$941,3,FALSE)*F2646</f>
        <v>-1</v>
      </c>
      <c r="AL2646" s="17"/>
      <c r="AM2646" s="17"/>
      <c r="AN2646" s="17"/>
      <c r="AO2646" s="17"/>
      <c r="AP2646" s="17"/>
      <c r="AQ2646" s="17"/>
      <c r="AR2646" s="17"/>
      <c r="AS2646" s="17"/>
      <c r="AT2646" s="17"/>
      <c r="AU2646" s="17"/>
      <c r="AV2646" s="17"/>
    </row>
    <row r="2647" spans="1:48" ht="15.75" customHeight="1">
      <c r="A2647" s="21" t="s">
        <v>47</v>
      </c>
      <c r="B2647" s="23" t="s">
        <v>1692</v>
      </c>
      <c r="C2647" s="22">
        <v>45732</v>
      </c>
      <c r="D2647" s="23" t="s">
        <v>184</v>
      </c>
      <c r="E2647" s="23" t="s">
        <v>99</v>
      </c>
      <c r="F2647" s="21">
        <v>1</v>
      </c>
      <c r="G2647" s="12">
        <v>1100</v>
      </c>
      <c r="H2647" s="12">
        <v>1100</v>
      </c>
      <c r="I2647" s="23" t="s">
        <v>52</v>
      </c>
      <c r="J2647" s="23" t="s">
        <v>61</v>
      </c>
      <c r="K2647" s="24" t="s">
        <v>177</v>
      </c>
      <c r="L2647" s="24">
        <v>116</v>
      </c>
      <c r="M2647" s="12">
        <v>924.36974789915973</v>
      </c>
      <c r="N2647" s="12">
        <v>924.36974789915973</v>
      </c>
      <c r="O2647" s="12">
        <v>175.63025210084027</v>
      </c>
      <c r="P2647" s="13"/>
      <c r="Q2647" s="14">
        <v>2025</v>
      </c>
      <c r="R2647" s="15">
        <v>45352</v>
      </c>
      <c r="S2647" s="11" t="s">
        <v>453</v>
      </c>
      <c r="T2647" s="16">
        <v>0</v>
      </c>
      <c r="U2647" s="17"/>
      <c r="V2647" s="12">
        <v>354.62184873949582</v>
      </c>
      <c r="W2647" s="12">
        <v>354.62184873949582</v>
      </c>
      <c r="X2647" s="12">
        <v>0</v>
      </c>
      <c r="Y2647" s="18">
        <v>45726</v>
      </c>
      <c r="Z2647" s="13" t="s">
        <v>497</v>
      </c>
      <c r="AA2647" s="19" t="str">
        <f>VLOOKUP(D2647,Clientes!$A$2:$J$486,9,FALSE)</f>
        <v>Frecuente</v>
      </c>
      <c r="AB2647" s="13" t="str">
        <f>VLOOKUP(D2647,Clientes!$A$2:$K$486,11,FALSE)</f>
        <v>Persona Natural</v>
      </c>
      <c r="AC2647" s="13" t="str">
        <f>VLOOKUP(D2647,Clientes!$A$2:$B$486,2,FALSE)</f>
        <v>Jardin del Eden</v>
      </c>
      <c r="AD2647" s="20"/>
      <c r="AE2647" s="20"/>
      <c r="AF2647" s="13" t="s">
        <v>40</v>
      </c>
      <c r="AG2647" s="15">
        <v>45352</v>
      </c>
      <c r="AH2647" s="13" t="s">
        <v>41</v>
      </c>
      <c r="AI2647" s="13" t="s">
        <v>47</v>
      </c>
      <c r="AJ2647" s="13" t="str">
        <f>VLOOKUP(E2647,Precios!Z$2:AA$941,2,FALSE)</f>
        <v xml:space="preserve">Bolsas Basura TEDDY 70x90 </v>
      </c>
      <c r="AK2647" s="14">
        <f>VLOOKUP(E2647,Precios!Z$2:BB$941,3,FALSE)*F2647</f>
        <v>-1</v>
      </c>
      <c r="AL2647" s="17"/>
      <c r="AM2647" s="17"/>
      <c r="AN2647" s="17"/>
      <c r="AO2647" s="17"/>
      <c r="AP2647" s="17"/>
      <c r="AQ2647" s="17"/>
      <c r="AR2647" s="17"/>
      <c r="AS2647" s="17"/>
      <c r="AT2647" s="17"/>
      <c r="AU2647" s="17"/>
      <c r="AV2647" s="17"/>
    </row>
    <row r="2648" spans="1:48" ht="15.75" customHeight="1">
      <c r="A2648" s="21" t="s">
        <v>47</v>
      </c>
      <c r="B2648" s="23" t="s">
        <v>1692</v>
      </c>
      <c r="C2648" s="22">
        <v>45732</v>
      </c>
      <c r="D2648" s="23" t="s">
        <v>184</v>
      </c>
      <c r="E2648" s="23" t="s">
        <v>107</v>
      </c>
      <c r="F2648" s="21">
        <v>1</v>
      </c>
      <c r="G2648" s="12">
        <v>3000.0000000000005</v>
      </c>
      <c r="H2648" s="12">
        <v>3000.0000000000005</v>
      </c>
      <c r="I2648" s="23" t="s">
        <v>52</v>
      </c>
      <c r="J2648" s="23" t="s">
        <v>61</v>
      </c>
      <c r="K2648" s="24" t="s">
        <v>177</v>
      </c>
      <c r="L2648" s="24">
        <v>116</v>
      </c>
      <c r="M2648" s="12">
        <v>2521.0084033613452</v>
      </c>
      <c r="N2648" s="12">
        <v>2521.0084033613452</v>
      </c>
      <c r="O2648" s="12">
        <v>478.99159663865521</v>
      </c>
      <c r="P2648" s="13"/>
      <c r="Q2648" s="14">
        <v>2025</v>
      </c>
      <c r="R2648" s="15">
        <v>45352</v>
      </c>
      <c r="S2648" s="11" t="s">
        <v>453</v>
      </c>
      <c r="T2648" s="16">
        <v>0</v>
      </c>
      <c r="U2648" s="17"/>
      <c r="V2648" s="12">
        <v>758.82352941176487</v>
      </c>
      <c r="W2648" s="12">
        <v>758.82352941176487</v>
      </c>
      <c r="X2648" s="12">
        <v>0</v>
      </c>
      <c r="Y2648" s="18">
        <v>45726</v>
      </c>
      <c r="Z2648" s="13" t="s">
        <v>497</v>
      </c>
      <c r="AA2648" s="19" t="str">
        <f>VLOOKUP(D2648,Clientes!$A$2:$J$486,9,FALSE)</f>
        <v>Frecuente</v>
      </c>
      <c r="AB2648" s="13" t="str">
        <f>VLOOKUP(D2648,Clientes!$A$2:$K$486,11,FALSE)</f>
        <v>Persona Natural</v>
      </c>
      <c r="AC2648" s="13" t="str">
        <f>VLOOKUP(D2648,Clientes!$A$2:$B$486,2,FALSE)</f>
        <v>Jardin del Eden</v>
      </c>
      <c r="AD2648" s="20"/>
      <c r="AE2648" s="20"/>
      <c r="AF2648" s="13" t="s">
        <v>40</v>
      </c>
      <c r="AG2648" s="15">
        <v>45352</v>
      </c>
      <c r="AH2648" s="13" t="s">
        <v>41</v>
      </c>
      <c r="AI2648" s="13" t="s">
        <v>47</v>
      </c>
      <c r="AJ2648" s="13" t="str">
        <f>VLOOKUP(E2648,Precios!Z$2:AA$941,2,FALSE)</f>
        <v xml:space="preserve">Bolsas Basura TEDDY 90x120 </v>
      </c>
      <c r="AK2648" s="14">
        <f>VLOOKUP(E2648,Precios!Z$2:BB$941,3,FALSE)*F2648</f>
        <v>-1</v>
      </c>
      <c r="AL2648" s="17"/>
      <c r="AM2648" s="17"/>
      <c r="AN2648" s="17"/>
      <c r="AO2648" s="17"/>
      <c r="AP2648" s="17"/>
      <c r="AQ2648" s="17"/>
      <c r="AR2648" s="17"/>
      <c r="AS2648" s="17"/>
      <c r="AT2648" s="17"/>
      <c r="AU2648" s="17"/>
      <c r="AV2648" s="17"/>
    </row>
    <row r="2649" spans="1:48" ht="15.75" customHeight="1">
      <c r="A2649" s="21" t="s">
        <v>43</v>
      </c>
      <c r="B2649" s="23" t="s">
        <v>1692</v>
      </c>
      <c r="C2649" s="22">
        <v>45732</v>
      </c>
      <c r="D2649" s="23" t="s">
        <v>219</v>
      </c>
      <c r="E2649" s="23" t="s">
        <v>45</v>
      </c>
      <c r="F2649" s="21">
        <v>1</v>
      </c>
      <c r="G2649" s="12">
        <v>8000.2951245425575</v>
      </c>
      <c r="H2649" s="12">
        <v>8000.2951245425575</v>
      </c>
      <c r="I2649" s="23" t="s">
        <v>52</v>
      </c>
      <c r="J2649" s="23" t="s">
        <v>61</v>
      </c>
      <c r="K2649" s="24" t="s">
        <v>177</v>
      </c>
      <c r="L2649" s="24">
        <v>116</v>
      </c>
      <c r="M2649" s="12">
        <v>6722.9370794475271</v>
      </c>
      <c r="N2649" s="12">
        <v>6722.9370794475271</v>
      </c>
      <c r="O2649" s="12">
        <v>1277.3580450950303</v>
      </c>
      <c r="P2649" s="13"/>
      <c r="Q2649" s="14">
        <v>2025</v>
      </c>
      <c r="R2649" s="15">
        <v>45352</v>
      </c>
      <c r="S2649" s="11" t="s">
        <v>355</v>
      </c>
      <c r="T2649" s="16">
        <v>0</v>
      </c>
      <c r="U2649" s="17"/>
      <c r="V2649" s="12">
        <v>1027.9370794475271</v>
      </c>
      <c r="W2649" s="12">
        <v>1027.9370794475271</v>
      </c>
      <c r="X2649" s="12">
        <v>0</v>
      </c>
      <c r="Y2649" s="18">
        <v>45726</v>
      </c>
      <c r="Z2649" s="13" t="s">
        <v>497</v>
      </c>
      <c r="AA2649" s="19" t="str">
        <f>VLOOKUP(D2649,Clientes!$A$2:$J$486,9,FALSE)</f>
        <v>Ocacional</v>
      </c>
      <c r="AB2649" s="13" t="str">
        <f>VLOOKUP(D2649,Clientes!$A$2:$K$486,11,FALSE)</f>
        <v>Persona Natural</v>
      </c>
      <c r="AC2649" s="13" t="str">
        <f>VLOOKUP(D2649,Clientes!$A$2:$B$486,2,FALSE)</f>
        <v>Jardines de la Viña</v>
      </c>
      <c r="AD2649" s="20"/>
      <c r="AE2649" s="20"/>
      <c r="AF2649" s="13" t="s">
        <v>40</v>
      </c>
      <c r="AG2649" s="15">
        <v>45352</v>
      </c>
      <c r="AH2649" s="13" t="s">
        <v>41</v>
      </c>
      <c r="AI2649" s="13" t="s">
        <v>43</v>
      </c>
      <c r="AJ2649" s="13" t="str">
        <f>VLOOKUP(E2649,Precios!Z$2:AA$941,2,FALSE)</f>
        <v>Bandeja Huevos EXTRA</v>
      </c>
      <c r="AK2649" s="14">
        <f>VLOOKUP(E2649,Precios!Z$2:BB$941,3,FALSE)*F2649</f>
        <v>-1</v>
      </c>
      <c r="AL2649" s="17"/>
      <c r="AM2649" s="17"/>
      <c r="AN2649" s="17"/>
      <c r="AO2649" s="17"/>
      <c r="AP2649" s="17"/>
      <c r="AQ2649" s="17"/>
      <c r="AR2649" s="17"/>
      <c r="AS2649" s="17"/>
      <c r="AT2649" s="17"/>
      <c r="AU2649" s="17"/>
      <c r="AV2649" s="17"/>
    </row>
    <row r="2650" spans="1:48" ht="15.75" customHeight="1">
      <c r="A2650" s="21" t="s">
        <v>43</v>
      </c>
      <c r="B2650" s="23" t="s">
        <v>1692</v>
      </c>
      <c r="C2650" s="22">
        <v>45732</v>
      </c>
      <c r="D2650" s="23" t="s">
        <v>723</v>
      </c>
      <c r="E2650" s="23" t="s">
        <v>45</v>
      </c>
      <c r="F2650" s="21">
        <v>1</v>
      </c>
      <c r="G2650" s="12">
        <v>8000.2951245425575</v>
      </c>
      <c r="H2650" s="12">
        <v>8000.2951245425575</v>
      </c>
      <c r="I2650" s="23" t="s">
        <v>52</v>
      </c>
      <c r="J2650" s="23" t="s">
        <v>61</v>
      </c>
      <c r="K2650" s="24" t="s">
        <v>177</v>
      </c>
      <c r="L2650" s="24">
        <v>116</v>
      </c>
      <c r="M2650" s="12">
        <v>6722.9370794475271</v>
      </c>
      <c r="N2650" s="12">
        <v>6722.9370794475271</v>
      </c>
      <c r="O2650" s="12">
        <v>1277.3580450950303</v>
      </c>
      <c r="P2650" s="13"/>
      <c r="Q2650" s="14">
        <v>2025</v>
      </c>
      <c r="R2650" s="15">
        <v>45352</v>
      </c>
      <c r="S2650" s="11" t="s">
        <v>355</v>
      </c>
      <c r="T2650" s="16">
        <v>0</v>
      </c>
      <c r="U2650" s="17"/>
      <c r="V2650" s="12">
        <v>1027.9370794475271</v>
      </c>
      <c r="W2650" s="12">
        <v>1027.9370794475271</v>
      </c>
      <c r="X2650" s="12">
        <v>0</v>
      </c>
      <c r="Y2650" s="18">
        <v>45726</v>
      </c>
      <c r="Z2650" s="13" t="s">
        <v>497</v>
      </c>
      <c r="AA2650" s="19" t="str">
        <f>VLOOKUP(D2650,Clientes!$A$2:$J$486,9,FALSE)</f>
        <v>Ocacional</v>
      </c>
      <c r="AB2650" s="13" t="str">
        <f>VLOOKUP(D2650,Clientes!$A$2:$K$486,11,FALSE)</f>
        <v>Persona Natural</v>
      </c>
      <c r="AC2650" s="13" t="str">
        <f>VLOOKUP(D2650,Clientes!$A$2:$B$486,2,FALSE)</f>
        <v xml:space="preserve">Sector Santa Delia </v>
      </c>
      <c r="AD2650" s="20"/>
      <c r="AE2650" s="20"/>
      <c r="AF2650" s="13" t="s">
        <v>40</v>
      </c>
      <c r="AG2650" s="15">
        <v>45352</v>
      </c>
      <c r="AH2650" s="13" t="s">
        <v>41</v>
      </c>
      <c r="AI2650" s="13" t="s">
        <v>43</v>
      </c>
      <c r="AJ2650" s="13" t="str">
        <f>VLOOKUP(E2650,Precios!Z$2:AA$941,2,FALSE)</f>
        <v>Bandeja Huevos EXTRA</v>
      </c>
      <c r="AK2650" s="14">
        <f>VLOOKUP(E2650,Precios!Z$2:BB$941,3,FALSE)*F2650</f>
        <v>-1</v>
      </c>
      <c r="AL2650" s="17"/>
      <c r="AM2650" s="17"/>
      <c r="AN2650" s="17"/>
      <c r="AO2650" s="17"/>
      <c r="AP2650" s="17"/>
      <c r="AQ2650" s="17"/>
      <c r="AR2650" s="17"/>
      <c r="AS2650" s="17"/>
      <c r="AT2650" s="17"/>
      <c r="AU2650" s="17"/>
      <c r="AV2650" s="17"/>
    </row>
    <row r="2651" spans="1:48" ht="15.75" customHeight="1">
      <c r="A2651" s="21" t="s">
        <v>35</v>
      </c>
      <c r="B2651" s="23" t="s">
        <v>1692</v>
      </c>
      <c r="C2651" s="22">
        <v>45732</v>
      </c>
      <c r="D2651" s="23" t="s">
        <v>266</v>
      </c>
      <c r="E2651" s="23" t="s">
        <v>46</v>
      </c>
      <c r="F2651" s="21">
        <v>1</v>
      </c>
      <c r="G2651" s="12">
        <v>5500</v>
      </c>
      <c r="H2651" s="12">
        <v>5500</v>
      </c>
      <c r="I2651" s="23" t="s">
        <v>52</v>
      </c>
      <c r="J2651" s="23" t="s">
        <v>61</v>
      </c>
      <c r="K2651" s="24" t="s">
        <v>177</v>
      </c>
      <c r="L2651" s="24">
        <v>116</v>
      </c>
      <c r="M2651" s="12">
        <v>4621.8487394957983</v>
      </c>
      <c r="N2651" s="12">
        <v>4621.8487394957983</v>
      </c>
      <c r="O2651" s="12">
        <v>878.15126050420167</v>
      </c>
      <c r="P2651" s="13"/>
      <c r="Q2651" s="14">
        <v>2025</v>
      </c>
      <c r="R2651" s="15">
        <v>45352</v>
      </c>
      <c r="S2651" s="11" t="s">
        <v>364</v>
      </c>
      <c r="T2651" s="16">
        <v>500</v>
      </c>
      <c r="U2651" s="17"/>
      <c r="V2651" s="12">
        <v>1365.1260504201678</v>
      </c>
      <c r="W2651" s="12">
        <v>1365.1260504201678</v>
      </c>
      <c r="X2651" s="12">
        <v>0</v>
      </c>
      <c r="Y2651" s="18">
        <v>45726</v>
      </c>
      <c r="Z2651" s="13" t="s">
        <v>497</v>
      </c>
      <c r="AA2651" s="19" t="str">
        <f>VLOOKUP(D2651,Clientes!$A$2:$J$486,9,FALSE)</f>
        <v>Regular</v>
      </c>
      <c r="AB2651" s="13" t="str">
        <f>VLOOKUP(D2651,Clientes!$A$2:$K$486,11,FALSE)</f>
        <v>Persona Natural</v>
      </c>
      <c r="AC2651" s="13" t="str">
        <f>VLOOKUP(D2651,Clientes!$A$2:$B$486,2,FALSE)</f>
        <v>Sector Santa Delia</v>
      </c>
      <c r="AD2651" s="20"/>
      <c r="AE2651" s="20"/>
      <c r="AF2651" s="13" t="s">
        <v>40</v>
      </c>
      <c r="AG2651" s="15">
        <v>45352</v>
      </c>
      <c r="AH2651" s="13" t="s">
        <v>41</v>
      </c>
      <c r="AI2651" s="13" t="s">
        <v>35</v>
      </c>
      <c r="AJ2651" s="13" t="str">
        <f>VLOOKUP(E2651,Precios!Z$2:AA$941,2,FALSE)</f>
        <v>Queso RUNCA Mantecoso</v>
      </c>
      <c r="AK2651" s="14">
        <f>VLOOKUP(E2651,Precios!Z$2:BB$941,3,FALSE)*F2651</f>
        <v>-0.5</v>
      </c>
      <c r="AL2651" s="17"/>
      <c r="AM2651" s="17"/>
      <c r="AN2651" s="17"/>
      <c r="AO2651" s="17"/>
      <c r="AP2651" s="17"/>
      <c r="AQ2651" s="17"/>
      <c r="AR2651" s="17"/>
      <c r="AS2651" s="17"/>
      <c r="AT2651" s="17"/>
      <c r="AU2651" s="17"/>
      <c r="AV2651" s="17"/>
    </row>
    <row r="2652" spans="1:48" ht="15.75" customHeight="1">
      <c r="A2652" s="21" t="s">
        <v>76</v>
      </c>
      <c r="B2652" s="23" t="s">
        <v>1692</v>
      </c>
      <c r="C2652" s="22">
        <v>45732</v>
      </c>
      <c r="D2652" s="23" t="s">
        <v>266</v>
      </c>
      <c r="E2652" s="23" t="s">
        <v>166</v>
      </c>
      <c r="F2652" s="21">
        <v>1</v>
      </c>
      <c r="G2652" s="12">
        <v>3500.0000000000005</v>
      </c>
      <c r="H2652" s="12">
        <v>3500.0000000000005</v>
      </c>
      <c r="I2652" s="23" t="s">
        <v>52</v>
      </c>
      <c r="J2652" s="23" t="s">
        <v>61</v>
      </c>
      <c r="K2652" s="24" t="s">
        <v>177</v>
      </c>
      <c r="L2652" s="24">
        <v>116</v>
      </c>
      <c r="M2652" s="12">
        <v>2941.1764705882356</v>
      </c>
      <c r="N2652" s="12">
        <v>2941.1764705882356</v>
      </c>
      <c r="O2652" s="12">
        <v>558.82352941176487</v>
      </c>
      <c r="P2652" s="13"/>
      <c r="Q2652" s="14">
        <v>2025</v>
      </c>
      <c r="R2652" s="15">
        <v>45352</v>
      </c>
      <c r="S2652" s="11" t="s">
        <v>448</v>
      </c>
      <c r="T2652" s="16">
        <v>5</v>
      </c>
      <c r="U2652" s="17"/>
      <c r="V2652" s="12">
        <v>1016.8067226890757</v>
      </c>
      <c r="W2652" s="12">
        <v>1016.8067226890757</v>
      </c>
      <c r="X2652" s="12">
        <v>0</v>
      </c>
      <c r="Y2652" s="18">
        <v>45726</v>
      </c>
      <c r="Z2652" s="13" t="s">
        <v>497</v>
      </c>
      <c r="AA2652" s="19" t="str">
        <f>VLOOKUP(D2652,Clientes!$A$2:$J$486,9,FALSE)</f>
        <v>Regular</v>
      </c>
      <c r="AB2652" s="13" t="str">
        <f>VLOOKUP(D2652,Clientes!$A$2:$K$486,11,FALSE)</f>
        <v>Persona Natural</v>
      </c>
      <c r="AC2652" s="13" t="str">
        <f>VLOOKUP(D2652,Clientes!$A$2:$B$486,2,FALSE)</f>
        <v>Sector Santa Delia</v>
      </c>
      <c r="AD2652" s="20"/>
      <c r="AE2652" s="20"/>
      <c r="AF2652" s="13" t="s">
        <v>40</v>
      </c>
      <c r="AG2652" s="15">
        <v>45352</v>
      </c>
      <c r="AH2652" s="13" t="s">
        <v>41</v>
      </c>
      <c r="AI2652" s="13" t="s">
        <v>76</v>
      </c>
      <c r="AJ2652" s="13" t="str">
        <f>VLOOKUP(E2652,Precios!Z$2:AA$941,2,FALSE)</f>
        <v>Cloro GEL SPUM 5 Litros</v>
      </c>
      <c r="AK2652" s="14">
        <f>VLOOKUP(E2652,Precios!Z$2:BB$941,3,FALSE)*F2652</f>
        <v>-1</v>
      </c>
      <c r="AL2652" s="17"/>
      <c r="AM2652" s="17"/>
      <c r="AN2652" s="17"/>
      <c r="AO2652" s="17"/>
      <c r="AP2652" s="17"/>
      <c r="AQ2652" s="17"/>
      <c r="AR2652" s="17"/>
      <c r="AS2652" s="17"/>
      <c r="AT2652" s="17"/>
      <c r="AU2652" s="17"/>
      <c r="AV2652" s="17"/>
    </row>
    <row r="2653" spans="1:48" ht="15.75" customHeight="1">
      <c r="A2653" s="21" t="s">
        <v>43</v>
      </c>
      <c r="B2653" s="23" t="s">
        <v>1692</v>
      </c>
      <c r="C2653" s="22">
        <v>45732</v>
      </c>
      <c r="D2653" s="23" t="s">
        <v>108</v>
      </c>
      <c r="E2653" s="23" t="s">
        <v>45</v>
      </c>
      <c r="F2653" s="21">
        <v>1</v>
      </c>
      <c r="G2653" s="12">
        <v>8000.2951245425575</v>
      </c>
      <c r="H2653" s="12">
        <v>8000.2951245425575</v>
      </c>
      <c r="I2653" s="23" t="s">
        <v>52</v>
      </c>
      <c r="J2653" s="23" t="s">
        <v>61</v>
      </c>
      <c r="K2653" s="24" t="s">
        <v>177</v>
      </c>
      <c r="L2653" s="24">
        <v>116</v>
      </c>
      <c r="M2653" s="12">
        <v>6722.9370794475271</v>
      </c>
      <c r="N2653" s="12">
        <v>6722.9370794475271</v>
      </c>
      <c r="O2653" s="12">
        <v>1277.3580450950303</v>
      </c>
      <c r="P2653" s="13"/>
      <c r="Q2653" s="14">
        <v>2025</v>
      </c>
      <c r="R2653" s="15">
        <v>45352</v>
      </c>
      <c r="S2653" s="11" t="s">
        <v>355</v>
      </c>
      <c r="T2653" s="16">
        <v>0</v>
      </c>
      <c r="U2653" s="17"/>
      <c r="V2653" s="12">
        <v>1027.9370794475271</v>
      </c>
      <c r="W2653" s="12">
        <v>1027.9370794475271</v>
      </c>
      <c r="X2653" s="12">
        <v>0</v>
      </c>
      <c r="Y2653" s="18">
        <v>45726</v>
      </c>
      <c r="Z2653" s="13" t="s">
        <v>497</v>
      </c>
      <c r="AA2653" s="19" t="str">
        <f>VLOOKUP(D2653,Clientes!$A$2:$J$486,9,FALSE)</f>
        <v>Frecuente</v>
      </c>
      <c r="AB2653" s="13" t="str">
        <f>VLOOKUP(D2653,Clientes!$A$2:$K$486,11,FALSE)</f>
        <v>Persona Natural</v>
      </c>
      <c r="AC2653" s="13" t="str">
        <f>VLOOKUP(D2653,Clientes!$A$2:$B$486,2,FALSE)</f>
        <v>Jardines de la Viña</v>
      </c>
      <c r="AD2653" s="20"/>
      <c r="AE2653" s="20"/>
      <c r="AF2653" s="13" t="s">
        <v>40</v>
      </c>
      <c r="AG2653" s="15">
        <v>45352</v>
      </c>
      <c r="AH2653" s="13" t="s">
        <v>41</v>
      </c>
      <c r="AI2653" s="13" t="s">
        <v>43</v>
      </c>
      <c r="AJ2653" s="13" t="str">
        <f>VLOOKUP(E2653,Precios!Z$2:AA$941,2,FALSE)</f>
        <v>Bandeja Huevos EXTRA</v>
      </c>
      <c r="AK2653" s="14">
        <f>VLOOKUP(E2653,Precios!Z$2:BB$941,3,FALSE)*F2653</f>
        <v>-1</v>
      </c>
      <c r="AL2653" s="17"/>
      <c r="AM2653" s="17"/>
      <c r="AN2653" s="17"/>
      <c r="AO2653" s="17"/>
      <c r="AP2653" s="17"/>
      <c r="AQ2653" s="17"/>
      <c r="AR2653" s="17"/>
      <c r="AS2653" s="17"/>
      <c r="AT2653" s="17"/>
      <c r="AU2653" s="17"/>
      <c r="AV2653" s="17"/>
    </row>
    <row r="2654" spans="1:48" ht="15.75" customHeight="1">
      <c r="A2654" s="21" t="s">
        <v>53</v>
      </c>
      <c r="B2654" s="23" t="s">
        <v>1692</v>
      </c>
      <c r="C2654" s="22">
        <v>45732</v>
      </c>
      <c r="D2654" s="23" t="s">
        <v>168</v>
      </c>
      <c r="E2654" s="23" t="s">
        <v>55</v>
      </c>
      <c r="F2654" s="21">
        <v>1</v>
      </c>
      <c r="G2654" s="12">
        <v>19989.738327347361</v>
      </c>
      <c r="H2654" s="12">
        <v>19989.738327347361</v>
      </c>
      <c r="I2654" s="23" t="s">
        <v>52</v>
      </c>
      <c r="J2654" s="23" t="s">
        <v>61</v>
      </c>
      <c r="K2654" s="24" t="s">
        <v>177</v>
      </c>
      <c r="L2654" s="24">
        <v>116</v>
      </c>
      <c r="M2654" s="12">
        <v>16798.099434745684</v>
      </c>
      <c r="N2654" s="12">
        <v>16798.099434745684</v>
      </c>
      <c r="O2654" s="12">
        <v>3191.6388926016771</v>
      </c>
      <c r="P2654" s="13"/>
      <c r="Q2654" s="14">
        <v>2025</v>
      </c>
      <c r="R2654" s="15">
        <v>45352</v>
      </c>
      <c r="S2654" s="11" t="s">
        <v>366</v>
      </c>
      <c r="T2654" s="16">
        <v>0</v>
      </c>
      <c r="U2654" s="17"/>
      <c r="V2654" s="12">
        <v>3702.3011154179476</v>
      </c>
      <c r="W2654" s="12">
        <v>3702.3011154179476</v>
      </c>
      <c r="X2654" s="12">
        <v>0</v>
      </c>
      <c r="Y2654" s="18">
        <v>45726</v>
      </c>
      <c r="Z2654" s="13" t="s">
        <v>497</v>
      </c>
      <c r="AA2654" s="19" t="str">
        <f>VLOOKUP(D2654,Clientes!$A$2:$J$486,9,FALSE)</f>
        <v>Frecuente</v>
      </c>
      <c r="AB2654" s="13" t="str">
        <f>VLOOKUP(D2654,Clientes!$A$2:$K$486,11,FALSE)</f>
        <v>Persona Natural</v>
      </c>
      <c r="AC2654" s="13" t="str">
        <f>VLOOKUP(D2654,Clientes!$A$2:$B$486,2,FALSE)</f>
        <v>Jardin del Eden</v>
      </c>
      <c r="AD2654" s="20"/>
      <c r="AE2654" s="20"/>
      <c r="AF2654" s="13" t="s">
        <v>40</v>
      </c>
      <c r="AG2654" s="15">
        <v>45352</v>
      </c>
      <c r="AH2654" s="13" t="s">
        <v>41</v>
      </c>
      <c r="AI2654" s="13" t="s">
        <v>53</v>
      </c>
      <c r="AJ2654" s="13" t="str">
        <f>VLOOKUP(E2654,Precios!Z$2:AA$941,2,FALSE)</f>
        <v>Papel Higienico ELITE 50 metros</v>
      </c>
      <c r="AK2654" s="14">
        <f>VLOOKUP(E2654,Precios!Z$2:BB$941,3,FALSE)*F2654</f>
        <v>-8</v>
      </c>
      <c r="AL2654" s="17"/>
      <c r="AM2654" s="17"/>
      <c r="AN2654" s="17"/>
      <c r="AO2654" s="17"/>
      <c r="AP2654" s="17"/>
      <c r="AQ2654" s="17"/>
      <c r="AR2654" s="17"/>
      <c r="AS2654" s="17"/>
      <c r="AT2654" s="17"/>
      <c r="AU2654" s="17"/>
      <c r="AV2654" s="17"/>
    </row>
    <row r="2655" spans="1:48" ht="15.75" customHeight="1">
      <c r="A2655" s="21" t="s">
        <v>53</v>
      </c>
      <c r="B2655" s="23" t="s">
        <v>1692</v>
      </c>
      <c r="C2655" s="22">
        <v>45732</v>
      </c>
      <c r="D2655" s="23" t="s">
        <v>168</v>
      </c>
      <c r="E2655" s="23" t="s">
        <v>280</v>
      </c>
      <c r="F2655" s="21">
        <v>1</v>
      </c>
      <c r="G2655" s="12">
        <v>13500.442251291839</v>
      </c>
      <c r="H2655" s="12">
        <v>13500.442251291839</v>
      </c>
      <c r="I2655" s="23" t="s">
        <v>52</v>
      </c>
      <c r="J2655" s="23" t="s">
        <v>61</v>
      </c>
      <c r="K2655" s="24" t="s">
        <v>177</v>
      </c>
      <c r="L2655" s="24">
        <v>116</v>
      </c>
      <c r="M2655" s="12">
        <v>11344.909454867093</v>
      </c>
      <c r="N2655" s="12">
        <v>11344.909454867093</v>
      </c>
      <c r="O2655" s="12">
        <v>2155.5327964247463</v>
      </c>
      <c r="P2655" s="13"/>
      <c r="Q2655" s="14">
        <v>2025</v>
      </c>
      <c r="R2655" s="15">
        <v>45352</v>
      </c>
      <c r="S2655" s="11" t="s">
        <v>381</v>
      </c>
      <c r="T2655" s="16">
        <v>300</v>
      </c>
      <c r="U2655" s="17"/>
      <c r="V2655" s="12">
        <v>4033.909454867091</v>
      </c>
      <c r="W2655" s="12">
        <v>4033.909454867091</v>
      </c>
      <c r="X2655" s="12">
        <v>0</v>
      </c>
      <c r="Y2655" s="18">
        <v>45726</v>
      </c>
      <c r="Z2655" s="13" t="s">
        <v>497</v>
      </c>
      <c r="AA2655" s="19" t="str">
        <f>VLOOKUP(D2655,Clientes!$A$2:$J$486,9,FALSE)</f>
        <v>Frecuente</v>
      </c>
      <c r="AB2655" s="13" t="str">
        <f>VLOOKUP(D2655,Clientes!$A$2:$K$486,11,FALSE)</f>
        <v>Persona Natural</v>
      </c>
      <c r="AC2655" s="13" t="str">
        <f>VLOOKUP(D2655,Clientes!$A$2:$B$486,2,FALSE)</f>
        <v>Jardin del Eden</v>
      </c>
      <c r="AD2655" s="20"/>
      <c r="AE2655" s="20"/>
      <c r="AF2655" s="13" t="s">
        <v>40</v>
      </c>
      <c r="AG2655" s="15">
        <v>45352</v>
      </c>
      <c r="AH2655" s="13" t="s">
        <v>41</v>
      </c>
      <c r="AI2655" s="13" t="s">
        <v>53</v>
      </c>
      <c r="AJ2655" s="13" t="str">
        <f>VLOOKUP(E2655,Precios!Z$2:AA$941,2,FALSE)</f>
        <v>Servilletas SOFTQUALITY 300 unidades</v>
      </c>
      <c r="AK2655" s="14">
        <f>VLOOKUP(E2655,Precios!Z$2:BB$941,3,FALSE)*F2655</f>
        <v>-10</v>
      </c>
      <c r="AL2655" s="17"/>
      <c r="AM2655" s="17"/>
      <c r="AN2655" s="17"/>
      <c r="AO2655" s="17"/>
      <c r="AP2655" s="17"/>
      <c r="AQ2655" s="17"/>
      <c r="AR2655" s="17"/>
      <c r="AS2655" s="17"/>
      <c r="AT2655" s="17"/>
      <c r="AU2655" s="17"/>
      <c r="AV2655" s="17"/>
    </row>
    <row r="2656" spans="1:48" ht="15.75" customHeight="1">
      <c r="A2656" s="21" t="s">
        <v>53</v>
      </c>
      <c r="B2656" s="23" t="s">
        <v>1692</v>
      </c>
      <c r="C2656" s="22">
        <v>45732</v>
      </c>
      <c r="D2656" s="23" t="s">
        <v>168</v>
      </c>
      <c r="E2656" s="23" t="s">
        <v>274</v>
      </c>
      <c r="F2656" s="21">
        <v>1</v>
      </c>
      <c r="G2656" s="12">
        <v>22500.104577715188</v>
      </c>
      <c r="H2656" s="12">
        <v>22500.104577715188</v>
      </c>
      <c r="I2656" s="23" t="s">
        <v>52</v>
      </c>
      <c r="J2656" s="23" t="s">
        <v>61</v>
      </c>
      <c r="K2656" s="24" t="s">
        <v>177</v>
      </c>
      <c r="L2656" s="24">
        <v>116</v>
      </c>
      <c r="M2656" s="12">
        <v>18907.650905643015</v>
      </c>
      <c r="N2656" s="12">
        <v>18907.650905643015</v>
      </c>
      <c r="O2656" s="12">
        <v>3592.4536720721735</v>
      </c>
      <c r="P2656" s="13"/>
      <c r="Q2656" s="14">
        <v>2025</v>
      </c>
      <c r="R2656" s="15">
        <v>45352</v>
      </c>
      <c r="S2656" s="11" t="s">
        <v>376</v>
      </c>
      <c r="T2656" s="16">
        <v>0</v>
      </c>
      <c r="U2656" s="17"/>
      <c r="V2656" s="12">
        <v>5347.650905643015</v>
      </c>
      <c r="W2656" s="12">
        <v>5347.650905643015</v>
      </c>
      <c r="X2656" s="12">
        <v>0</v>
      </c>
      <c r="Y2656" s="18">
        <v>45726</v>
      </c>
      <c r="Z2656" s="13" t="s">
        <v>497</v>
      </c>
      <c r="AA2656" s="19" t="str">
        <f>VLOOKUP(D2656,Clientes!$A$2:$J$486,9,FALSE)</f>
        <v>Frecuente</v>
      </c>
      <c r="AB2656" s="13" t="str">
        <f>VLOOKUP(D2656,Clientes!$A$2:$K$486,11,FALSE)</f>
        <v>Persona Natural</v>
      </c>
      <c r="AC2656" s="13" t="str">
        <f>VLOOKUP(D2656,Clientes!$A$2:$B$486,2,FALSE)</f>
        <v>Jardin del Eden</v>
      </c>
      <c r="AD2656" s="20"/>
      <c r="AE2656" s="20"/>
      <c r="AF2656" s="13" t="s">
        <v>40</v>
      </c>
      <c r="AG2656" s="15">
        <v>45352</v>
      </c>
      <c r="AH2656" s="13" t="s">
        <v>41</v>
      </c>
      <c r="AI2656" s="13" t="s">
        <v>53</v>
      </c>
      <c r="AJ2656" s="13" t="str">
        <f>VLOOKUP(E2656,Precios!Z$2:AA$941,2,FALSE)</f>
        <v>Toalla Papel NOVA 70 metros</v>
      </c>
      <c r="AK2656" s="14">
        <f>VLOOKUP(E2656,Precios!Z$2:BB$941,3,FALSE)*F2656</f>
        <v>-8</v>
      </c>
      <c r="AL2656" s="17"/>
      <c r="AM2656" s="17"/>
      <c r="AN2656" s="17"/>
      <c r="AO2656" s="17"/>
      <c r="AP2656" s="17"/>
      <c r="AQ2656" s="17"/>
      <c r="AR2656" s="17"/>
      <c r="AS2656" s="17"/>
      <c r="AT2656" s="17"/>
      <c r="AU2656" s="17"/>
      <c r="AV2656" s="17"/>
    </row>
    <row r="2657" spans="1:48" ht="15.75" customHeight="1">
      <c r="A2657" s="21" t="s">
        <v>47</v>
      </c>
      <c r="B2657" s="23" t="s">
        <v>1692</v>
      </c>
      <c r="C2657" s="22">
        <v>45732</v>
      </c>
      <c r="D2657" s="23" t="s">
        <v>168</v>
      </c>
      <c r="E2657" s="23" t="s">
        <v>295</v>
      </c>
      <c r="F2657" s="21">
        <v>1</v>
      </c>
      <c r="G2657" s="12">
        <v>2599.7755362977696</v>
      </c>
      <c r="H2657" s="12">
        <v>2599.7755362977696</v>
      </c>
      <c r="I2657" s="23" t="s">
        <v>52</v>
      </c>
      <c r="J2657" s="23" t="s">
        <v>61</v>
      </c>
      <c r="K2657" s="24" t="s">
        <v>177</v>
      </c>
      <c r="L2657" s="24">
        <v>116</v>
      </c>
      <c r="M2657" s="12">
        <v>2184.6853246199744</v>
      </c>
      <c r="N2657" s="12">
        <v>2184.6853246199744</v>
      </c>
      <c r="O2657" s="12">
        <v>415.0902116777952</v>
      </c>
      <c r="P2657" s="13"/>
      <c r="Q2657" s="14">
        <v>2025</v>
      </c>
      <c r="R2657" s="15">
        <v>45352</v>
      </c>
      <c r="S2657" s="11" t="s">
        <v>372</v>
      </c>
      <c r="T2657" s="16">
        <v>0</v>
      </c>
      <c r="U2657" s="17"/>
      <c r="V2657" s="12">
        <v>646.88532461997443</v>
      </c>
      <c r="W2657" s="12">
        <v>646.88532461997443</v>
      </c>
      <c r="X2657" s="12">
        <v>0</v>
      </c>
      <c r="Y2657" s="18">
        <v>45726</v>
      </c>
      <c r="Z2657" s="13" t="s">
        <v>497</v>
      </c>
      <c r="AA2657" s="19" t="str">
        <f>VLOOKUP(D2657,Clientes!$A$2:$J$486,9,FALSE)</f>
        <v>Frecuente</v>
      </c>
      <c r="AB2657" s="13" t="str">
        <f>VLOOKUP(D2657,Clientes!$A$2:$K$486,11,FALSE)</f>
        <v>Persona Natural</v>
      </c>
      <c r="AC2657" s="13" t="str">
        <f>VLOOKUP(D2657,Clientes!$A$2:$B$486,2,FALSE)</f>
        <v>Jardin del Eden</v>
      </c>
      <c r="AD2657" s="20"/>
      <c r="AE2657" s="20"/>
      <c r="AF2657" s="13" t="s">
        <v>40</v>
      </c>
      <c r="AG2657" s="15">
        <v>45352</v>
      </c>
      <c r="AH2657" s="13" t="s">
        <v>41</v>
      </c>
      <c r="AI2657" s="13" t="s">
        <v>47</v>
      </c>
      <c r="AJ2657" s="13" t="str">
        <f>VLOOKUP(E2657,Precios!Z$2:AA$941,2,FALSE)</f>
        <v>Traperos Humedos EXCELL</v>
      </c>
      <c r="AK2657" s="14">
        <f>VLOOKUP(E2657,Precios!Z$2:BB$941,3,FALSE)*F2657</f>
        <v>-1</v>
      </c>
      <c r="AL2657" s="17"/>
      <c r="AM2657" s="17"/>
      <c r="AN2657" s="17"/>
      <c r="AO2657" s="17"/>
      <c r="AP2657" s="17"/>
      <c r="AQ2657" s="17"/>
      <c r="AR2657" s="17"/>
      <c r="AS2657" s="17"/>
      <c r="AT2657" s="17"/>
      <c r="AU2657" s="17"/>
      <c r="AV2657" s="17"/>
    </row>
    <row r="2658" spans="1:48" ht="15.75" customHeight="1">
      <c r="A2658" s="21" t="s">
        <v>53</v>
      </c>
      <c r="B2658" s="23" t="s">
        <v>1692</v>
      </c>
      <c r="C2658" s="22">
        <v>45732</v>
      </c>
      <c r="D2658" s="23" t="s">
        <v>168</v>
      </c>
      <c r="E2658" s="23" t="s">
        <v>648</v>
      </c>
      <c r="F2658" s="21">
        <v>1</v>
      </c>
      <c r="G2658" s="12">
        <v>3200</v>
      </c>
      <c r="H2658" s="12">
        <v>3200</v>
      </c>
      <c r="I2658" s="23" t="s">
        <v>52</v>
      </c>
      <c r="J2658" s="23" t="s">
        <v>61</v>
      </c>
      <c r="K2658" s="24" t="s">
        <v>177</v>
      </c>
      <c r="L2658" s="24">
        <v>116</v>
      </c>
      <c r="M2658" s="12">
        <v>2689.0756302521008</v>
      </c>
      <c r="N2658" s="12">
        <v>2689.0756302521008</v>
      </c>
      <c r="O2658" s="12">
        <v>510.92436974789916</v>
      </c>
      <c r="P2658" s="13"/>
      <c r="Q2658" s="14">
        <v>2025</v>
      </c>
      <c r="R2658" s="15">
        <v>45352</v>
      </c>
      <c r="S2658" s="11" t="s">
        <v>435</v>
      </c>
      <c r="T2658" s="16">
        <v>0</v>
      </c>
      <c r="U2658" s="17"/>
      <c r="V2658" s="12">
        <v>1208.4033613445376</v>
      </c>
      <c r="W2658" s="12">
        <v>1208.4033613445376</v>
      </c>
      <c r="X2658" s="12">
        <v>0</v>
      </c>
      <c r="Y2658" s="18">
        <v>45726</v>
      </c>
      <c r="Z2658" s="13" t="s">
        <v>497</v>
      </c>
      <c r="AA2658" s="19" t="str">
        <f>VLOOKUP(D2658,Clientes!$A$2:$J$486,9,FALSE)</f>
        <v>Frecuente</v>
      </c>
      <c r="AB2658" s="13" t="str">
        <f>VLOOKUP(D2658,Clientes!$A$2:$K$486,11,FALSE)</f>
        <v>Persona Natural</v>
      </c>
      <c r="AC2658" s="13" t="str">
        <f>VLOOKUP(D2658,Clientes!$A$2:$B$486,2,FALSE)</f>
        <v>Jardin del Eden</v>
      </c>
      <c r="AD2658" s="20"/>
      <c r="AE2658" s="20"/>
      <c r="AF2658" s="13" t="s">
        <v>40</v>
      </c>
      <c r="AG2658" s="15">
        <v>45352</v>
      </c>
      <c r="AH2658" s="13" t="s">
        <v>41</v>
      </c>
      <c r="AI2658" s="13" t="s">
        <v>53</v>
      </c>
      <c r="AJ2658" s="13" t="str">
        <f>VLOOKUP(E2658,Precios!Z$2:AA$941,2,FALSE)</f>
        <v>Papel Higienico SWAN 50 metros</v>
      </c>
      <c r="AK2658" s="14">
        <f>VLOOKUP(E2658,Precios!Z$2:BB$941,3,FALSE)*F2658</f>
        <v>-1</v>
      </c>
      <c r="AL2658" s="17"/>
      <c r="AM2658" s="17"/>
      <c r="AN2658" s="17"/>
      <c r="AO2658" s="17"/>
      <c r="AP2658" s="17"/>
      <c r="AQ2658" s="17"/>
      <c r="AR2658" s="17"/>
      <c r="AS2658" s="17"/>
      <c r="AT2658" s="17"/>
      <c r="AU2658" s="17"/>
      <c r="AV2658" s="17"/>
    </row>
    <row r="2659" spans="1:48" ht="15.75" customHeight="1">
      <c r="A2659" s="21" t="s">
        <v>43</v>
      </c>
      <c r="B2659" s="23" t="s">
        <v>1692</v>
      </c>
      <c r="C2659" s="22">
        <v>45731</v>
      </c>
      <c r="D2659" s="23" t="s">
        <v>915</v>
      </c>
      <c r="E2659" s="23" t="s">
        <v>45</v>
      </c>
      <c r="F2659" s="21">
        <v>1</v>
      </c>
      <c r="G2659" s="12">
        <v>8000.2951245425575</v>
      </c>
      <c r="H2659" s="34">
        <v>8000.2951245425575</v>
      </c>
      <c r="I2659" s="23" t="s">
        <v>52</v>
      </c>
      <c r="J2659" s="23" t="s">
        <v>61</v>
      </c>
      <c r="K2659" s="24" t="s">
        <v>177</v>
      </c>
      <c r="L2659" s="24">
        <v>115</v>
      </c>
      <c r="M2659" s="12">
        <v>6722.9370794475271</v>
      </c>
      <c r="N2659" s="12">
        <v>6722.9370794475271</v>
      </c>
      <c r="O2659" s="12">
        <v>1277.3580450950303</v>
      </c>
      <c r="P2659" s="13"/>
      <c r="Q2659" s="14">
        <v>2025</v>
      </c>
      <c r="R2659" s="15">
        <v>45352</v>
      </c>
      <c r="S2659" s="11" t="s">
        <v>355</v>
      </c>
      <c r="T2659" s="16">
        <v>0</v>
      </c>
      <c r="U2659" s="17"/>
      <c r="V2659" s="12">
        <v>1027.9370794475271</v>
      </c>
      <c r="W2659" s="12">
        <v>1027.9370794475271</v>
      </c>
      <c r="X2659" s="12">
        <v>0</v>
      </c>
      <c r="Y2659" s="18">
        <v>45726</v>
      </c>
      <c r="Z2659" s="13" t="s">
        <v>501</v>
      </c>
      <c r="AA2659" s="19" t="str">
        <f>VLOOKUP(D2659,Clientes!$A$2:$J$486,9,FALSE)</f>
        <v>Regular</v>
      </c>
      <c r="AB2659" s="13" t="str">
        <f>VLOOKUP(D2659,Clientes!$A$2:$K$486,11,FALSE)</f>
        <v>Persona Natural</v>
      </c>
      <c r="AC2659" s="13" t="str">
        <f>VLOOKUP(D2659,Clientes!$A$2:$B$486,2,FALSE)</f>
        <v>Jardin del Eden</v>
      </c>
      <c r="AD2659" s="20"/>
      <c r="AE2659" s="20"/>
      <c r="AF2659" s="13" t="s">
        <v>40</v>
      </c>
      <c r="AG2659" s="15">
        <v>45352</v>
      </c>
      <c r="AH2659" s="13" t="s">
        <v>41</v>
      </c>
      <c r="AI2659" s="13" t="s">
        <v>43</v>
      </c>
      <c r="AJ2659" s="13" t="str">
        <f>VLOOKUP(E2659,Precios!Z$2:AA$941,2,FALSE)</f>
        <v>Bandeja Huevos EXTRA</v>
      </c>
      <c r="AK2659" s="14">
        <f>VLOOKUP(E2659,Precios!Z$2:BB$941,3,FALSE)*F2659</f>
        <v>-1</v>
      </c>
      <c r="AL2659" s="17"/>
      <c r="AM2659" s="17"/>
      <c r="AN2659" s="17"/>
      <c r="AO2659" s="17"/>
      <c r="AP2659" s="17"/>
      <c r="AQ2659" s="17"/>
      <c r="AR2659" s="17"/>
      <c r="AS2659" s="17"/>
      <c r="AT2659" s="17"/>
      <c r="AU2659" s="17"/>
      <c r="AV2659" s="17"/>
    </row>
    <row r="2660" spans="1:48" ht="15.75" customHeight="1">
      <c r="A2660" s="21" t="s">
        <v>35</v>
      </c>
      <c r="B2660" s="23" t="s">
        <v>1692</v>
      </c>
      <c r="C2660" s="22">
        <v>45731</v>
      </c>
      <c r="D2660" s="23" t="s">
        <v>122</v>
      </c>
      <c r="E2660" s="23" t="s">
        <v>37</v>
      </c>
      <c r="F2660" s="21">
        <v>1</v>
      </c>
      <c r="G2660" s="12">
        <v>10500</v>
      </c>
      <c r="H2660" s="12">
        <v>10500</v>
      </c>
      <c r="I2660" s="23" t="s">
        <v>52</v>
      </c>
      <c r="J2660" s="23" t="s">
        <v>61</v>
      </c>
      <c r="K2660" s="24" t="s">
        <v>177</v>
      </c>
      <c r="L2660" s="24">
        <v>115</v>
      </c>
      <c r="M2660" s="12">
        <v>8823.5294117647063</v>
      </c>
      <c r="N2660" s="12">
        <v>8823.5294117647063</v>
      </c>
      <c r="O2660" s="12">
        <v>1676.4705882352937</v>
      </c>
      <c r="P2660" s="13"/>
      <c r="Q2660" s="14">
        <v>2025</v>
      </c>
      <c r="R2660" s="15">
        <v>45352</v>
      </c>
      <c r="S2660" s="11" t="s">
        <v>364</v>
      </c>
      <c r="T2660" s="16">
        <v>1000</v>
      </c>
      <c r="U2660" s="17"/>
      <c r="V2660" s="12">
        <v>2385.7142857142853</v>
      </c>
      <c r="W2660" s="12">
        <v>2385.7142857142853</v>
      </c>
      <c r="X2660" s="12">
        <v>0</v>
      </c>
      <c r="Y2660" s="18">
        <v>45726</v>
      </c>
      <c r="Z2660" s="13" t="s">
        <v>501</v>
      </c>
      <c r="AA2660" s="19" t="str">
        <f>VLOOKUP(D2660,Clientes!$A$2:$J$486,9,FALSE)</f>
        <v>Frecuente</v>
      </c>
      <c r="AB2660" s="13" t="str">
        <f>VLOOKUP(D2660,Clientes!$A$2:$K$486,11,FALSE)</f>
        <v>Persona Natural</v>
      </c>
      <c r="AC2660" s="13" t="str">
        <f>VLOOKUP(D2660,Clientes!$A$2:$B$486,2,FALSE)</f>
        <v>Jardines de la Viña</v>
      </c>
      <c r="AD2660" s="20"/>
      <c r="AE2660" s="20"/>
      <c r="AF2660" s="13" t="s">
        <v>40</v>
      </c>
      <c r="AG2660" s="15">
        <v>45352</v>
      </c>
      <c r="AH2660" s="13" t="s">
        <v>41</v>
      </c>
      <c r="AI2660" s="13" t="s">
        <v>35</v>
      </c>
      <c r="AJ2660" s="13" t="str">
        <f>VLOOKUP(E2660,Precios!Z$2:AA$941,2,FALSE)</f>
        <v>Queso RUNCA Mantecoso</v>
      </c>
      <c r="AK2660" s="14">
        <f>VLOOKUP(E2660,Precios!Z$2:BB$941,3,FALSE)*F2660</f>
        <v>-1</v>
      </c>
      <c r="AL2660" s="17"/>
      <c r="AM2660" s="17"/>
      <c r="AN2660" s="17"/>
      <c r="AO2660" s="17"/>
      <c r="AP2660" s="17"/>
      <c r="AQ2660" s="17"/>
      <c r="AR2660" s="17"/>
      <c r="AS2660" s="17"/>
      <c r="AT2660" s="17"/>
      <c r="AU2660" s="17"/>
      <c r="AV2660" s="17"/>
    </row>
    <row r="2661" spans="1:48" ht="15.75" customHeight="1">
      <c r="A2661" s="21" t="s">
        <v>76</v>
      </c>
      <c r="B2661" s="23" t="s">
        <v>1692</v>
      </c>
      <c r="C2661" s="22">
        <v>45731</v>
      </c>
      <c r="D2661" s="23" t="s">
        <v>80</v>
      </c>
      <c r="E2661" s="23" t="s">
        <v>81</v>
      </c>
      <c r="F2661" s="21">
        <v>1</v>
      </c>
      <c r="G2661" s="12">
        <v>3500.0000000000005</v>
      </c>
      <c r="H2661" s="12">
        <v>3500.0000000000005</v>
      </c>
      <c r="I2661" s="23" t="s">
        <v>52</v>
      </c>
      <c r="J2661" s="23" t="s">
        <v>61</v>
      </c>
      <c r="K2661" s="24" t="s">
        <v>177</v>
      </c>
      <c r="L2661" s="24">
        <v>115</v>
      </c>
      <c r="M2661" s="12">
        <v>2941.1764705882356</v>
      </c>
      <c r="N2661" s="12">
        <v>2941.1764705882356</v>
      </c>
      <c r="O2661" s="12">
        <v>558.82352941176487</v>
      </c>
      <c r="P2661" s="13"/>
      <c r="Q2661" s="14">
        <v>2025</v>
      </c>
      <c r="R2661" s="15">
        <v>45352</v>
      </c>
      <c r="S2661" s="11" t="s">
        <v>397</v>
      </c>
      <c r="T2661" s="16">
        <v>5</v>
      </c>
      <c r="U2661" s="17"/>
      <c r="V2661" s="12">
        <v>764.70588235294144</v>
      </c>
      <c r="W2661" s="12">
        <v>764.70588235294144</v>
      </c>
      <c r="X2661" s="12">
        <v>0</v>
      </c>
      <c r="Y2661" s="18">
        <v>45726</v>
      </c>
      <c r="Z2661" s="13" t="s">
        <v>501</v>
      </c>
      <c r="AA2661" s="19" t="str">
        <f>VLOOKUP(D2661,Clientes!$A$2:$J$486,9,FALSE)</f>
        <v>Frecuente</v>
      </c>
      <c r="AB2661" s="13" t="str">
        <f>VLOOKUP(D2661,Clientes!$A$2:$K$486,11,FALSE)</f>
        <v>Persona Natural</v>
      </c>
      <c r="AC2661" s="13" t="str">
        <f>VLOOKUP(D2661,Clientes!$A$2:$B$486,2,FALSE)</f>
        <v>Jardines de la Viña</v>
      </c>
      <c r="AD2661" s="20"/>
      <c r="AE2661" s="20"/>
      <c r="AF2661" s="13" t="s">
        <v>40</v>
      </c>
      <c r="AG2661" s="15">
        <v>45352</v>
      </c>
      <c r="AH2661" s="13" t="s">
        <v>41</v>
      </c>
      <c r="AI2661" s="13" t="s">
        <v>76</v>
      </c>
      <c r="AJ2661" s="13" t="str">
        <f>VLOOKUP(E2661,Precios!Z$2:AA$941,2,FALSE)</f>
        <v>Detergente SPUM 5 Litros (Verde)</v>
      </c>
      <c r="AK2661" s="14">
        <f>VLOOKUP(E2661,Precios!Z$2:BB$941,3,FALSE)*F2661</f>
        <v>-1</v>
      </c>
      <c r="AL2661" s="17"/>
      <c r="AM2661" s="17"/>
      <c r="AN2661" s="17"/>
      <c r="AO2661" s="17"/>
      <c r="AP2661" s="17"/>
      <c r="AQ2661" s="17"/>
      <c r="AR2661" s="17"/>
      <c r="AS2661" s="17"/>
      <c r="AT2661" s="17"/>
      <c r="AU2661" s="17"/>
      <c r="AV2661" s="17"/>
    </row>
    <row r="2662" spans="1:48" ht="15.75" customHeight="1">
      <c r="A2662" s="21" t="s">
        <v>43</v>
      </c>
      <c r="B2662" s="23" t="s">
        <v>1692</v>
      </c>
      <c r="C2662" s="22">
        <v>45731</v>
      </c>
      <c r="D2662" s="23" t="s">
        <v>80</v>
      </c>
      <c r="E2662" s="23" t="s">
        <v>45</v>
      </c>
      <c r="F2662" s="21">
        <v>1</v>
      </c>
      <c r="G2662" s="12">
        <v>8000.2951245425575</v>
      </c>
      <c r="H2662" s="12">
        <v>8000.2951245425575</v>
      </c>
      <c r="I2662" s="23" t="s">
        <v>52</v>
      </c>
      <c r="J2662" s="23" t="s">
        <v>61</v>
      </c>
      <c r="K2662" s="24" t="s">
        <v>177</v>
      </c>
      <c r="L2662" s="24">
        <v>115</v>
      </c>
      <c r="M2662" s="12">
        <v>6722.9370794475271</v>
      </c>
      <c r="N2662" s="12">
        <v>6722.9370794475271</v>
      </c>
      <c r="O2662" s="12">
        <v>1277.3580450950303</v>
      </c>
      <c r="P2662" s="13"/>
      <c r="Q2662" s="14">
        <v>2025</v>
      </c>
      <c r="R2662" s="15">
        <v>45352</v>
      </c>
      <c r="S2662" s="11" t="s">
        <v>355</v>
      </c>
      <c r="T2662" s="16">
        <v>0</v>
      </c>
      <c r="U2662" s="17"/>
      <c r="V2662" s="12">
        <v>1027.9370794475271</v>
      </c>
      <c r="W2662" s="12">
        <v>1027.9370794475271</v>
      </c>
      <c r="X2662" s="12">
        <v>0</v>
      </c>
      <c r="Y2662" s="18">
        <v>45726</v>
      </c>
      <c r="Z2662" s="13" t="s">
        <v>501</v>
      </c>
      <c r="AA2662" s="19" t="str">
        <f>VLOOKUP(D2662,Clientes!$A$2:$J$486,9,FALSE)</f>
        <v>Frecuente</v>
      </c>
      <c r="AB2662" s="13" t="str">
        <f>VLOOKUP(D2662,Clientes!$A$2:$K$486,11,FALSE)</f>
        <v>Persona Natural</v>
      </c>
      <c r="AC2662" s="13" t="str">
        <f>VLOOKUP(D2662,Clientes!$A$2:$B$486,2,FALSE)</f>
        <v>Jardines de la Viña</v>
      </c>
      <c r="AD2662" s="20"/>
      <c r="AE2662" s="20"/>
      <c r="AF2662" s="13" t="s">
        <v>40</v>
      </c>
      <c r="AG2662" s="15">
        <v>45352</v>
      </c>
      <c r="AH2662" s="13" t="s">
        <v>41</v>
      </c>
      <c r="AI2662" s="13" t="s">
        <v>43</v>
      </c>
      <c r="AJ2662" s="13" t="str">
        <f>VLOOKUP(E2662,Precios!Z$2:AA$941,2,FALSE)</f>
        <v>Bandeja Huevos EXTRA</v>
      </c>
      <c r="AK2662" s="14">
        <f>VLOOKUP(E2662,Precios!Z$2:BB$941,3,FALSE)*F2662</f>
        <v>-1</v>
      </c>
      <c r="AL2662" s="17"/>
      <c r="AM2662" s="17"/>
      <c r="AN2662" s="17"/>
      <c r="AO2662" s="17"/>
      <c r="AP2662" s="17"/>
      <c r="AQ2662" s="17"/>
      <c r="AR2662" s="17"/>
      <c r="AS2662" s="17"/>
      <c r="AT2662" s="17"/>
      <c r="AU2662" s="17"/>
      <c r="AV2662" s="17"/>
    </row>
    <row r="2663" spans="1:48" ht="15.75" customHeight="1">
      <c r="A2663" s="21" t="s">
        <v>47</v>
      </c>
      <c r="B2663" s="23" t="s">
        <v>1692</v>
      </c>
      <c r="C2663" s="22">
        <v>45731</v>
      </c>
      <c r="D2663" s="23" t="s">
        <v>80</v>
      </c>
      <c r="E2663" s="23" t="s">
        <v>344</v>
      </c>
      <c r="F2663" s="21">
        <v>1</v>
      </c>
      <c r="G2663" s="12">
        <v>2400.1353637901861</v>
      </c>
      <c r="H2663" s="12">
        <v>2400.1353637901861</v>
      </c>
      <c r="I2663" s="23" t="s">
        <v>52</v>
      </c>
      <c r="J2663" s="23" t="s">
        <v>61</v>
      </c>
      <c r="K2663" s="24" t="s">
        <v>177</v>
      </c>
      <c r="L2663" s="24">
        <v>115</v>
      </c>
      <c r="M2663" s="12">
        <v>2016.9204737732657</v>
      </c>
      <c r="N2663" s="12">
        <v>2016.9204737732657</v>
      </c>
      <c r="O2663" s="12">
        <v>383.21489001692044</v>
      </c>
      <c r="P2663" s="13"/>
      <c r="Q2663" s="14">
        <v>2025</v>
      </c>
      <c r="R2663" s="15">
        <v>45352</v>
      </c>
      <c r="S2663" s="11" t="s">
        <v>372</v>
      </c>
      <c r="T2663" s="16">
        <v>0</v>
      </c>
      <c r="U2663" s="17"/>
      <c r="V2663" s="12">
        <v>824.92047377326571</v>
      </c>
      <c r="W2663" s="12">
        <v>824.92047377326571</v>
      </c>
      <c r="X2663" s="12">
        <v>0</v>
      </c>
      <c r="Y2663" s="18">
        <v>45726</v>
      </c>
      <c r="Z2663" s="13" t="s">
        <v>501</v>
      </c>
      <c r="AA2663" s="19" t="str">
        <f>VLOOKUP(D2663,Clientes!$A$2:$J$486,9,FALSE)</f>
        <v>Frecuente</v>
      </c>
      <c r="AB2663" s="13" t="str">
        <f>VLOOKUP(D2663,Clientes!$A$2:$K$486,11,FALSE)</f>
        <v>Persona Natural</v>
      </c>
      <c r="AC2663" s="13" t="str">
        <f>VLOOKUP(D2663,Clientes!$A$2:$B$486,2,FALSE)</f>
        <v>Jardines de la Viña</v>
      </c>
      <c r="AD2663" s="20"/>
      <c r="AE2663" s="20"/>
      <c r="AF2663" s="13" t="s">
        <v>40</v>
      </c>
      <c r="AG2663" s="15">
        <v>45352</v>
      </c>
      <c r="AH2663" s="13" t="s">
        <v>41</v>
      </c>
      <c r="AI2663" s="13" t="s">
        <v>47</v>
      </c>
      <c r="AJ2663" s="13" t="str">
        <f>VLOOKUP(E2663,Precios!Z$2:AA$941,2,FALSE)</f>
        <v>Traperos Humedos TEDDY</v>
      </c>
      <c r="AK2663" s="14">
        <f>VLOOKUP(E2663,Precios!Z$2:BB$941,3,FALSE)*F2663</f>
        <v>-1</v>
      </c>
      <c r="AL2663" s="17"/>
      <c r="AM2663" s="17"/>
      <c r="AN2663" s="17"/>
      <c r="AO2663" s="17"/>
      <c r="AP2663" s="17"/>
      <c r="AQ2663" s="17"/>
      <c r="AR2663" s="17"/>
      <c r="AS2663" s="17"/>
      <c r="AT2663" s="17"/>
      <c r="AU2663" s="17"/>
      <c r="AV2663" s="17"/>
    </row>
    <row r="2664" spans="1:48" ht="15.75" customHeight="1">
      <c r="A2664" s="21" t="s">
        <v>35</v>
      </c>
      <c r="B2664" s="23" t="s">
        <v>1692</v>
      </c>
      <c r="C2664" s="22">
        <v>45730</v>
      </c>
      <c r="D2664" s="23" t="s">
        <v>310</v>
      </c>
      <c r="E2664" s="23" t="s">
        <v>37</v>
      </c>
      <c r="F2664" s="21">
        <v>1</v>
      </c>
      <c r="G2664" s="12">
        <v>10500</v>
      </c>
      <c r="H2664" s="12">
        <v>10500</v>
      </c>
      <c r="I2664" s="23" t="s">
        <v>52</v>
      </c>
      <c r="J2664" s="23" t="s">
        <v>61</v>
      </c>
      <c r="K2664" s="24" t="s">
        <v>177</v>
      </c>
      <c r="L2664" s="24">
        <v>115</v>
      </c>
      <c r="M2664" s="12">
        <v>8823.5294117647063</v>
      </c>
      <c r="N2664" s="12">
        <v>8823.5294117647063</v>
      </c>
      <c r="O2664" s="12">
        <v>1676.4705882352937</v>
      </c>
      <c r="P2664" s="13"/>
      <c r="Q2664" s="14">
        <v>2025</v>
      </c>
      <c r="R2664" s="15">
        <v>45352</v>
      </c>
      <c r="S2664" s="11" t="s">
        <v>364</v>
      </c>
      <c r="T2664" s="16">
        <v>1000</v>
      </c>
      <c r="U2664" s="17"/>
      <c r="V2664" s="12">
        <v>2385.7142857142853</v>
      </c>
      <c r="W2664" s="12">
        <v>2385.7142857142853</v>
      </c>
      <c r="X2664" s="12">
        <v>0</v>
      </c>
      <c r="Y2664" s="18">
        <v>45726</v>
      </c>
      <c r="Z2664" s="13" t="s">
        <v>503</v>
      </c>
      <c r="AA2664" s="19" t="str">
        <f>VLOOKUP(D2664,Clientes!$A$2:$J$486,9,FALSE)</f>
        <v>Familiar</v>
      </c>
      <c r="AB2664" s="13" t="str">
        <f>VLOOKUP(D2664,Clientes!$A$2:$K$486,11,FALSE)</f>
        <v>Persona Natural</v>
      </c>
      <c r="AC2664" s="13" t="str">
        <f>VLOOKUP(D2664,Clientes!$A$2:$B$486,2,FALSE)</f>
        <v>Familiar</v>
      </c>
      <c r="AD2664" s="20"/>
      <c r="AE2664" s="20"/>
      <c r="AF2664" s="13" t="s">
        <v>40</v>
      </c>
      <c r="AG2664" s="15">
        <v>45352</v>
      </c>
      <c r="AH2664" s="13" t="s">
        <v>41</v>
      </c>
      <c r="AI2664" s="13" t="s">
        <v>35</v>
      </c>
      <c r="AJ2664" s="13" t="str">
        <f>VLOOKUP(E2664,Precios!Z$2:AA$941,2,FALSE)</f>
        <v>Queso RUNCA Mantecoso</v>
      </c>
      <c r="AK2664" s="14">
        <f>VLOOKUP(E2664,Precios!Z$2:BB$941,3,FALSE)*F2664</f>
        <v>-1</v>
      </c>
      <c r="AL2664" s="17"/>
      <c r="AM2664" s="17"/>
      <c r="AN2664" s="17"/>
      <c r="AO2664" s="17"/>
      <c r="AP2664" s="17"/>
      <c r="AQ2664" s="17"/>
      <c r="AR2664" s="17"/>
      <c r="AS2664" s="17"/>
      <c r="AT2664" s="17"/>
      <c r="AU2664" s="17"/>
      <c r="AV2664" s="17"/>
    </row>
    <row r="2665" spans="1:48" ht="15.75" customHeight="1">
      <c r="A2665" s="21" t="s">
        <v>35</v>
      </c>
      <c r="B2665" s="23" t="s">
        <v>1692</v>
      </c>
      <c r="C2665" s="22">
        <v>45730</v>
      </c>
      <c r="D2665" s="23" t="s">
        <v>915</v>
      </c>
      <c r="E2665" s="23" t="s">
        <v>46</v>
      </c>
      <c r="F2665" s="21">
        <v>1</v>
      </c>
      <c r="G2665" s="12">
        <v>5500</v>
      </c>
      <c r="H2665" s="34">
        <v>5500</v>
      </c>
      <c r="I2665" s="23" t="s">
        <v>52</v>
      </c>
      <c r="J2665" s="23" t="s">
        <v>61</v>
      </c>
      <c r="K2665" s="24" t="s">
        <v>177</v>
      </c>
      <c r="L2665" s="24">
        <v>115</v>
      </c>
      <c r="M2665" s="12">
        <v>4621.8487394957983</v>
      </c>
      <c r="N2665" s="12">
        <v>4621.8487394957983</v>
      </c>
      <c r="O2665" s="12">
        <v>878.15126050420167</v>
      </c>
      <c r="P2665" s="13"/>
      <c r="Q2665" s="14">
        <v>2025</v>
      </c>
      <c r="R2665" s="15">
        <v>45352</v>
      </c>
      <c r="S2665" s="11" t="s">
        <v>364</v>
      </c>
      <c r="T2665" s="16">
        <v>500</v>
      </c>
      <c r="U2665" s="17"/>
      <c r="V2665" s="12">
        <v>1365.1260504201678</v>
      </c>
      <c r="W2665" s="12">
        <v>1365.1260504201678</v>
      </c>
      <c r="X2665" s="12">
        <v>0</v>
      </c>
      <c r="Y2665" s="18">
        <v>45726</v>
      </c>
      <c r="Z2665" s="13" t="s">
        <v>503</v>
      </c>
      <c r="AA2665" s="19" t="str">
        <f>VLOOKUP(D2665,Clientes!$A$2:$J$486,9,FALSE)</f>
        <v>Regular</v>
      </c>
      <c r="AB2665" s="13" t="str">
        <f>VLOOKUP(D2665,Clientes!$A$2:$K$486,11,FALSE)</f>
        <v>Persona Natural</v>
      </c>
      <c r="AC2665" s="13" t="str">
        <f>VLOOKUP(D2665,Clientes!$A$2:$B$486,2,FALSE)</f>
        <v>Jardin del Eden</v>
      </c>
      <c r="AD2665" s="20"/>
      <c r="AE2665" s="20"/>
      <c r="AF2665" s="13" t="s">
        <v>40</v>
      </c>
      <c r="AG2665" s="15">
        <v>45352</v>
      </c>
      <c r="AH2665" s="13" t="s">
        <v>41</v>
      </c>
      <c r="AI2665" s="13" t="s">
        <v>35</v>
      </c>
      <c r="AJ2665" s="13" t="str">
        <f>VLOOKUP(E2665,Precios!Z$2:AA$941,2,FALSE)</f>
        <v>Queso RUNCA Mantecoso</v>
      </c>
      <c r="AK2665" s="14">
        <f>VLOOKUP(E2665,Precios!Z$2:BB$941,3,FALSE)*F2665</f>
        <v>-0.5</v>
      </c>
      <c r="AL2665" s="17"/>
      <c r="AM2665" s="17"/>
      <c r="AN2665" s="17"/>
      <c r="AO2665" s="17"/>
      <c r="AP2665" s="17"/>
      <c r="AQ2665" s="17"/>
      <c r="AR2665" s="17"/>
      <c r="AS2665" s="17"/>
      <c r="AT2665" s="17"/>
      <c r="AU2665" s="17"/>
      <c r="AV2665" s="17"/>
    </row>
    <row r="2666" spans="1:48" ht="15.75" customHeight="1">
      <c r="A2666" s="21" t="s">
        <v>47</v>
      </c>
      <c r="B2666" s="23" t="s">
        <v>1692</v>
      </c>
      <c r="C2666" s="22">
        <v>45730</v>
      </c>
      <c r="D2666" s="23" t="s">
        <v>193</v>
      </c>
      <c r="E2666" s="23" t="s">
        <v>99</v>
      </c>
      <c r="F2666" s="21">
        <v>1</v>
      </c>
      <c r="G2666" s="12">
        <v>1100</v>
      </c>
      <c r="H2666" s="12">
        <v>1100</v>
      </c>
      <c r="I2666" s="23" t="s">
        <v>52</v>
      </c>
      <c r="J2666" s="23" t="s">
        <v>61</v>
      </c>
      <c r="K2666" s="24" t="s">
        <v>177</v>
      </c>
      <c r="L2666" s="24">
        <v>115</v>
      </c>
      <c r="M2666" s="12">
        <v>924.36974789915973</v>
      </c>
      <c r="N2666" s="12">
        <v>924.36974789915973</v>
      </c>
      <c r="O2666" s="12">
        <v>175.63025210084027</v>
      </c>
      <c r="P2666" s="13"/>
      <c r="Q2666" s="14">
        <v>2025</v>
      </c>
      <c r="R2666" s="15">
        <v>45352</v>
      </c>
      <c r="S2666" s="11" t="s">
        <v>453</v>
      </c>
      <c r="T2666" s="16">
        <v>0</v>
      </c>
      <c r="U2666" s="17"/>
      <c r="V2666" s="12">
        <v>354.62184873949582</v>
      </c>
      <c r="W2666" s="12">
        <v>354.62184873949582</v>
      </c>
      <c r="X2666" s="12">
        <v>0</v>
      </c>
      <c r="Y2666" s="18">
        <v>45726</v>
      </c>
      <c r="Z2666" s="13" t="s">
        <v>503</v>
      </c>
      <c r="AA2666" s="19" t="str">
        <f>VLOOKUP(D2666,Clientes!$A$2:$J$486,9,FALSE)</f>
        <v>Ocacional</v>
      </c>
      <c r="AB2666" s="13" t="str">
        <f>VLOOKUP(D2666,Clientes!$A$2:$K$486,11,FALSE)</f>
        <v>Persona Natural</v>
      </c>
      <c r="AC2666" s="13" t="str">
        <f>VLOOKUP(D2666,Clientes!$A$2:$B$486,2,FALSE)</f>
        <v>Jardines de la viña</v>
      </c>
      <c r="AD2666" s="20"/>
      <c r="AE2666" s="20"/>
      <c r="AF2666" s="13" t="s">
        <v>40</v>
      </c>
      <c r="AG2666" s="15">
        <v>45352</v>
      </c>
      <c r="AH2666" s="13" t="s">
        <v>41</v>
      </c>
      <c r="AI2666" s="13" t="s">
        <v>47</v>
      </c>
      <c r="AJ2666" s="13" t="str">
        <f>VLOOKUP(E2666,Precios!Z$2:AA$941,2,FALSE)</f>
        <v xml:space="preserve">Bolsas Basura TEDDY 70x90 </v>
      </c>
      <c r="AK2666" s="14">
        <f>VLOOKUP(E2666,Precios!Z$2:BB$941,3,FALSE)*F2666</f>
        <v>-1</v>
      </c>
      <c r="AL2666" s="17"/>
      <c r="AM2666" s="17"/>
      <c r="AN2666" s="17"/>
      <c r="AO2666" s="17"/>
      <c r="AP2666" s="17"/>
      <c r="AQ2666" s="17"/>
      <c r="AR2666" s="17"/>
      <c r="AS2666" s="17"/>
      <c r="AT2666" s="17"/>
      <c r="AU2666" s="17"/>
      <c r="AV2666" s="17"/>
    </row>
    <row r="2667" spans="1:48" ht="15.75" customHeight="1">
      <c r="A2667" s="21" t="s">
        <v>76</v>
      </c>
      <c r="B2667" s="23" t="s">
        <v>1692</v>
      </c>
      <c r="C2667" s="22">
        <v>45730</v>
      </c>
      <c r="D2667" s="23" t="s">
        <v>193</v>
      </c>
      <c r="E2667" s="23" t="s">
        <v>77</v>
      </c>
      <c r="F2667" s="21">
        <v>1</v>
      </c>
      <c r="G2667" s="12">
        <v>1500.0000000000002</v>
      </c>
      <c r="H2667" s="12">
        <v>1500.0000000000002</v>
      </c>
      <c r="I2667" s="23" t="s">
        <v>52</v>
      </c>
      <c r="J2667" s="23" t="s">
        <v>61</v>
      </c>
      <c r="K2667" s="24" t="s">
        <v>177</v>
      </c>
      <c r="L2667" s="24">
        <v>115</v>
      </c>
      <c r="M2667" s="12">
        <v>1260.5042016806726</v>
      </c>
      <c r="N2667" s="12">
        <v>1260.5042016806726</v>
      </c>
      <c r="O2667" s="12">
        <v>239.4957983193276</v>
      </c>
      <c r="P2667" s="13"/>
      <c r="Q2667" s="14">
        <v>2025</v>
      </c>
      <c r="R2667" s="15">
        <v>45352</v>
      </c>
      <c r="S2667" s="11" t="s">
        <v>448</v>
      </c>
      <c r="T2667" s="16">
        <v>0</v>
      </c>
      <c r="U2667" s="17"/>
      <c r="V2667" s="12">
        <v>421.00840336134468</v>
      </c>
      <c r="W2667" s="12">
        <v>421.00840336134468</v>
      </c>
      <c r="X2667" s="12">
        <v>0</v>
      </c>
      <c r="Y2667" s="18">
        <v>45726</v>
      </c>
      <c r="Z2667" s="13" t="s">
        <v>503</v>
      </c>
      <c r="AA2667" s="19" t="str">
        <f>VLOOKUP(D2667,Clientes!$A$2:$J$486,9,FALSE)</f>
        <v>Ocacional</v>
      </c>
      <c r="AB2667" s="13" t="str">
        <f>VLOOKUP(D2667,Clientes!$A$2:$K$486,11,FALSE)</f>
        <v>Persona Natural</v>
      </c>
      <c r="AC2667" s="13" t="str">
        <f>VLOOKUP(D2667,Clientes!$A$2:$B$486,2,FALSE)</f>
        <v>Jardines de la viña</v>
      </c>
      <c r="AD2667" s="20"/>
      <c r="AE2667" s="20"/>
      <c r="AF2667" s="13" t="s">
        <v>40</v>
      </c>
      <c r="AG2667" s="15">
        <v>45352</v>
      </c>
      <c r="AH2667" s="13" t="s">
        <v>41</v>
      </c>
      <c r="AI2667" s="13" t="s">
        <v>76</v>
      </c>
      <c r="AJ2667" s="13" t="str">
        <f>VLOOKUP(E2667,Precios!Z$2:AA$941,2,FALSE)</f>
        <v>Cloro GEL IGENIX 900ml</v>
      </c>
      <c r="AK2667" s="14">
        <f>VLOOKUP(E2667,Precios!Z$2:BB$941,3,FALSE)*F2667</f>
        <v>-1</v>
      </c>
      <c r="AL2667" s="17"/>
      <c r="AM2667" s="17"/>
      <c r="AN2667" s="17"/>
      <c r="AO2667" s="17"/>
      <c r="AP2667" s="17"/>
      <c r="AQ2667" s="17"/>
      <c r="AR2667" s="17"/>
      <c r="AS2667" s="17"/>
      <c r="AT2667" s="17"/>
      <c r="AU2667" s="17"/>
      <c r="AV2667" s="17"/>
    </row>
    <row r="2668" spans="1:48" ht="15.75" customHeight="1">
      <c r="A2668" s="21" t="s">
        <v>76</v>
      </c>
      <c r="B2668" s="23" t="s">
        <v>1692</v>
      </c>
      <c r="C2668" s="22">
        <v>45730</v>
      </c>
      <c r="D2668" s="23" t="s">
        <v>193</v>
      </c>
      <c r="E2668" s="23" t="s">
        <v>82</v>
      </c>
      <c r="F2668" s="21">
        <v>1</v>
      </c>
      <c r="G2668" s="12">
        <v>2000.0000000000002</v>
      </c>
      <c r="H2668" s="12">
        <v>2000.0000000000002</v>
      </c>
      <c r="I2668" s="23" t="s">
        <v>52</v>
      </c>
      <c r="J2668" s="23" t="s">
        <v>61</v>
      </c>
      <c r="K2668" s="24" t="s">
        <v>177</v>
      </c>
      <c r="L2668" s="24">
        <v>115</v>
      </c>
      <c r="M2668" s="12">
        <v>1680.6722689075632</v>
      </c>
      <c r="N2668" s="12">
        <v>1680.6722689075632</v>
      </c>
      <c r="O2668" s="12">
        <v>319.32773109243703</v>
      </c>
      <c r="P2668" s="13"/>
      <c r="Q2668" s="14">
        <v>2025</v>
      </c>
      <c r="R2668" s="15">
        <v>45352</v>
      </c>
      <c r="S2668" s="11" t="s">
        <v>463</v>
      </c>
      <c r="T2668" s="16">
        <v>5</v>
      </c>
      <c r="U2668" s="17"/>
      <c r="V2668" s="12">
        <v>680.67226890756319</v>
      </c>
      <c r="W2668" s="12">
        <v>680.67226890756319</v>
      </c>
      <c r="X2668" s="12">
        <v>0</v>
      </c>
      <c r="Y2668" s="18">
        <v>45726</v>
      </c>
      <c r="Z2668" s="13" t="s">
        <v>503</v>
      </c>
      <c r="AA2668" s="19" t="str">
        <f>VLOOKUP(D2668,Clientes!$A$2:$J$486,9,FALSE)</f>
        <v>Ocacional</v>
      </c>
      <c r="AB2668" s="13" t="str">
        <f>VLOOKUP(D2668,Clientes!$A$2:$K$486,11,FALSE)</f>
        <v>Persona Natural</v>
      </c>
      <c r="AC2668" s="13" t="str">
        <f>VLOOKUP(D2668,Clientes!$A$2:$B$486,2,FALSE)</f>
        <v>Jardines de la viña</v>
      </c>
      <c r="AD2668" s="20"/>
      <c r="AE2668" s="20"/>
      <c r="AF2668" s="13" t="s">
        <v>40</v>
      </c>
      <c r="AG2668" s="15">
        <v>45352</v>
      </c>
      <c r="AH2668" s="13" t="s">
        <v>41</v>
      </c>
      <c r="AI2668" s="13" t="s">
        <v>76</v>
      </c>
      <c r="AJ2668" s="13" t="str">
        <f>VLOOKUP(E2668,Precios!Z$2:AA$941,2,FALSE)</f>
        <v>Limpiapiso SPUM 5 Litros</v>
      </c>
      <c r="AK2668" s="14">
        <f>VLOOKUP(E2668,Precios!Z$2:BB$941,3,FALSE)*F2668</f>
        <v>-1</v>
      </c>
      <c r="AL2668" s="17"/>
      <c r="AM2668" s="17"/>
      <c r="AN2668" s="17"/>
      <c r="AO2668" s="17"/>
      <c r="AP2668" s="17"/>
      <c r="AQ2668" s="17"/>
      <c r="AR2668" s="17"/>
      <c r="AS2668" s="17"/>
      <c r="AT2668" s="17"/>
      <c r="AU2668" s="17"/>
      <c r="AV2668" s="17"/>
    </row>
    <row r="2669" spans="1:48" ht="15.75" customHeight="1">
      <c r="A2669" s="21" t="s">
        <v>47</v>
      </c>
      <c r="B2669" s="23" t="s">
        <v>1692</v>
      </c>
      <c r="C2669" s="22">
        <v>45730</v>
      </c>
      <c r="D2669" s="23" t="s">
        <v>193</v>
      </c>
      <c r="E2669" s="23" t="s">
        <v>724</v>
      </c>
      <c r="F2669" s="21">
        <v>1</v>
      </c>
      <c r="G2669" s="12">
        <v>4199.9016948855005</v>
      </c>
      <c r="H2669" s="12">
        <v>4199.9016948855005</v>
      </c>
      <c r="I2669" s="23" t="s">
        <v>52</v>
      </c>
      <c r="J2669" s="23" t="s">
        <v>61</v>
      </c>
      <c r="K2669" s="24" t="s">
        <v>177</v>
      </c>
      <c r="L2669" s="24">
        <v>115</v>
      </c>
      <c r="M2669" s="12">
        <v>3529.3291553659669</v>
      </c>
      <c r="N2669" s="12">
        <v>3529.3291553659669</v>
      </c>
      <c r="O2669" s="12">
        <v>670.57253951953362</v>
      </c>
      <c r="P2669" s="13"/>
      <c r="Q2669" s="14">
        <v>2025</v>
      </c>
      <c r="R2669" s="15">
        <v>45352</v>
      </c>
      <c r="S2669" s="11" t="s">
        <v>621</v>
      </c>
      <c r="T2669" s="16">
        <v>0</v>
      </c>
      <c r="U2669" s="17"/>
      <c r="V2669" s="12">
        <v>848.66248869930041</v>
      </c>
      <c r="W2669" s="12">
        <v>848.66248869930041</v>
      </c>
      <c r="X2669" s="12">
        <v>0</v>
      </c>
      <c r="Y2669" s="18">
        <v>45726</v>
      </c>
      <c r="Z2669" s="13" t="s">
        <v>503</v>
      </c>
      <c r="AA2669" s="19" t="str">
        <f>VLOOKUP(D2669,Clientes!$A$2:$J$486,9,FALSE)</f>
        <v>Ocacional</v>
      </c>
      <c r="AB2669" s="13" t="str">
        <f>VLOOKUP(D2669,Clientes!$A$2:$K$486,11,FALSE)</f>
        <v>Persona Natural</v>
      </c>
      <c r="AC2669" s="13" t="str">
        <f>VLOOKUP(D2669,Clientes!$A$2:$B$486,2,FALSE)</f>
        <v>Jardines de la viña</v>
      </c>
      <c r="AD2669" s="20"/>
      <c r="AE2669" s="20"/>
      <c r="AF2669" s="13" t="s">
        <v>40</v>
      </c>
      <c r="AG2669" s="15">
        <v>45352</v>
      </c>
      <c r="AH2669" s="13" t="s">
        <v>41</v>
      </c>
      <c r="AI2669" s="13" t="s">
        <v>47</v>
      </c>
      <c r="AJ2669" s="13" t="str">
        <f>VLOOKUP(E2669,Precios!Z$2:AA$941,2,FALSE)</f>
        <v>Insecticida RAID 360 cc Mata en 10 seg (Azul)</v>
      </c>
      <c r="AK2669" s="14">
        <f>VLOOKUP(E2669,Precios!Z$2:BB$941,3,FALSE)*F2669</f>
        <v>-1</v>
      </c>
      <c r="AL2669" s="17"/>
      <c r="AM2669" s="17"/>
      <c r="AN2669" s="17"/>
      <c r="AO2669" s="17"/>
      <c r="AP2669" s="17"/>
      <c r="AQ2669" s="17"/>
      <c r="AR2669" s="17"/>
      <c r="AS2669" s="17"/>
      <c r="AT2669" s="17"/>
      <c r="AU2669" s="17"/>
      <c r="AV2669" s="17"/>
    </row>
    <row r="2670" spans="1:48" ht="15.75" customHeight="1">
      <c r="A2670" s="21" t="s">
        <v>76</v>
      </c>
      <c r="B2670" s="23" t="s">
        <v>1692</v>
      </c>
      <c r="C2670" s="22">
        <v>45730</v>
      </c>
      <c r="D2670" s="23" t="s">
        <v>142</v>
      </c>
      <c r="E2670" s="23" t="s">
        <v>82</v>
      </c>
      <c r="F2670" s="21">
        <v>1</v>
      </c>
      <c r="G2670" s="12">
        <v>2000.0000000000002</v>
      </c>
      <c r="H2670" s="12">
        <v>2000.0000000000002</v>
      </c>
      <c r="I2670" s="23" t="s">
        <v>52</v>
      </c>
      <c r="J2670" s="23" t="s">
        <v>61</v>
      </c>
      <c r="K2670" s="24" t="s">
        <v>177</v>
      </c>
      <c r="L2670" s="24">
        <v>115</v>
      </c>
      <c r="M2670" s="12">
        <v>1680.6722689075632</v>
      </c>
      <c r="N2670" s="12">
        <v>1680.6722689075632</v>
      </c>
      <c r="O2670" s="12">
        <v>319.32773109243703</v>
      </c>
      <c r="P2670" s="13"/>
      <c r="Q2670" s="14">
        <v>2025</v>
      </c>
      <c r="R2670" s="15">
        <v>45352</v>
      </c>
      <c r="S2670" s="11" t="s">
        <v>463</v>
      </c>
      <c r="T2670" s="16">
        <v>5</v>
      </c>
      <c r="U2670" s="17"/>
      <c r="V2670" s="12">
        <v>680.67226890756319</v>
      </c>
      <c r="W2670" s="12">
        <v>680.67226890756319</v>
      </c>
      <c r="X2670" s="12">
        <v>0</v>
      </c>
      <c r="Y2670" s="18">
        <v>45726</v>
      </c>
      <c r="Z2670" s="13" t="s">
        <v>503</v>
      </c>
      <c r="AA2670" s="19" t="str">
        <f>VLOOKUP(D2670,Clientes!$A$2:$J$486,9,FALSE)</f>
        <v>Frecuente</v>
      </c>
      <c r="AB2670" s="13" t="str">
        <f>VLOOKUP(D2670,Clientes!$A$2:$K$486,11,FALSE)</f>
        <v>Persona Natural</v>
      </c>
      <c r="AC2670" s="13" t="str">
        <f>VLOOKUP(D2670,Clientes!$A$2:$B$486,2,FALSE)</f>
        <v>Curso Amalia</v>
      </c>
      <c r="AD2670" s="20"/>
      <c r="AE2670" s="20"/>
      <c r="AF2670" s="13" t="s">
        <v>40</v>
      </c>
      <c r="AG2670" s="15">
        <v>45352</v>
      </c>
      <c r="AH2670" s="13" t="s">
        <v>41</v>
      </c>
      <c r="AI2670" s="13" t="s">
        <v>76</v>
      </c>
      <c r="AJ2670" s="13" t="str">
        <f>VLOOKUP(E2670,Precios!Z$2:AA$941,2,FALSE)</f>
        <v>Limpiapiso SPUM 5 Litros</v>
      </c>
      <c r="AK2670" s="14">
        <f>VLOOKUP(E2670,Precios!Z$2:BB$941,3,FALSE)*F2670</f>
        <v>-1</v>
      </c>
      <c r="AL2670" s="17"/>
      <c r="AM2670" s="17"/>
      <c r="AN2670" s="17"/>
      <c r="AO2670" s="17"/>
      <c r="AP2670" s="17"/>
      <c r="AQ2670" s="17"/>
      <c r="AR2670" s="17"/>
      <c r="AS2670" s="17"/>
      <c r="AT2670" s="17"/>
      <c r="AU2670" s="17"/>
      <c r="AV2670" s="17"/>
    </row>
    <row r="2671" spans="1:48" ht="15.75" customHeight="1">
      <c r="A2671" s="21" t="s">
        <v>76</v>
      </c>
      <c r="B2671" s="23" t="s">
        <v>1692</v>
      </c>
      <c r="C2671" s="22">
        <v>45730</v>
      </c>
      <c r="D2671" s="23" t="s">
        <v>142</v>
      </c>
      <c r="E2671" s="23" t="s">
        <v>77</v>
      </c>
      <c r="F2671" s="21">
        <v>1</v>
      </c>
      <c r="G2671" s="12">
        <v>1500.0000000000002</v>
      </c>
      <c r="H2671" s="12">
        <v>1500.0000000000002</v>
      </c>
      <c r="I2671" s="23" t="s">
        <v>52</v>
      </c>
      <c r="J2671" s="23" t="s">
        <v>61</v>
      </c>
      <c r="K2671" s="24" t="s">
        <v>177</v>
      </c>
      <c r="L2671" s="24">
        <v>115</v>
      </c>
      <c r="M2671" s="12">
        <v>1260.5042016806726</v>
      </c>
      <c r="N2671" s="12">
        <v>1260.5042016806726</v>
      </c>
      <c r="O2671" s="12">
        <v>239.4957983193276</v>
      </c>
      <c r="P2671" s="13"/>
      <c r="Q2671" s="14">
        <v>2025</v>
      </c>
      <c r="R2671" s="15">
        <v>45352</v>
      </c>
      <c r="S2671" s="11" t="s">
        <v>448</v>
      </c>
      <c r="T2671" s="16">
        <v>0</v>
      </c>
      <c r="U2671" s="17"/>
      <c r="V2671" s="12">
        <v>421.00840336134468</v>
      </c>
      <c r="W2671" s="12">
        <v>421.00840336134468</v>
      </c>
      <c r="X2671" s="12">
        <v>0</v>
      </c>
      <c r="Y2671" s="18">
        <v>45726</v>
      </c>
      <c r="Z2671" s="13" t="s">
        <v>503</v>
      </c>
      <c r="AA2671" s="19" t="str">
        <f>VLOOKUP(D2671,Clientes!$A$2:$J$486,9,FALSE)</f>
        <v>Frecuente</v>
      </c>
      <c r="AB2671" s="13" t="str">
        <f>VLOOKUP(D2671,Clientes!$A$2:$K$486,11,FALSE)</f>
        <v>Persona Natural</v>
      </c>
      <c r="AC2671" s="13" t="str">
        <f>VLOOKUP(D2671,Clientes!$A$2:$B$486,2,FALSE)</f>
        <v>Curso Amalia</v>
      </c>
      <c r="AD2671" s="20"/>
      <c r="AE2671" s="20"/>
      <c r="AF2671" s="13" t="s">
        <v>40</v>
      </c>
      <c r="AG2671" s="15">
        <v>45352</v>
      </c>
      <c r="AH2671" s="13" t="s">
        <v>41</v>
      </c>
      <c r="AI2671" s="13" t="s">
        <v>76</v>
      </c>
      <c r="AJ2671" s="13" t="str">
        <f>VLOOKUP(E2671,Precios!Z$2:AA$941,2,FALSE)</f>
        <v>Cloro GEL IGENIX 900ml</v>
      </c>
      <c r="AK2671" s="14">
        <f>VLOOKUP(E2671,Precios!Z$2:BB$941,3,FALSE)*F2671</f>
        <v>-1</v>
      </c>
      <c r="AL2671" s="17"/>
      <c r="AM2671" s="17"/>
      <c r="AN2671" s="17"/>
      <c r="AO2671" s="17"/>
      <c r="AP2671" s="17"/>
      <c r="AQ2671" s="17"/>
      <c r="AR2671" s="17"/>
      <c r="AS2671" s="17"/>
      <c r="AT2671" s="17"/>
      <c r="AU2671" s="17"/>
      <c r="AV2671" s="17"/>
    </row>
    <row r="2672" spans="1:48" ht="15.75" customHeight="1">
      <c r="A2672" s="21" t="s">
        <v>76</v>
      </c>
      <c r="B2672" s="23" t="s">
        <v>1692</v>
      </c>
      <c r="C2672" s="22">
        <v>45730</v>
      </c>
      <c r="D2672" s="23" t="s">
        <v>142</v>
      </c>
      <c r="E2672" s="23" t="s">
        <v>137</v>
      </c>
      <c r="F2672" s="21">
        <v>1</v>
      </c>
      <c r="G2672" s="12">
        <v>3500.0000000000005</v>
      </c>
      <c r="H2672" s="12">
        <v>3500.0000000000005</v>
      </c>
      <c r="I2672" s="23" t="s">
        <v>52</v>
      </c>
      <c r="J2672" s="23" t="s">
        <v>61</v>
      </c>
      <c r="K2672" s="24" t="s">
        <v>177</v>
      </c>
      <c r="L2672" s="24">
        <v>115</v>
      </c>
      <c r="M2672" s="12">
        <v>2941.1764705882356</v>
      </c>
      <c r="N2672" s="12">
        <v>2941.1764705882356</v>
      </c>
      <c r="O2672" s="12">
        <v>558.82352941176487</v>
      </c>
      <c r="P2672" s="13"/>
      <c r="Q2672" s="14">
        <v>2025</v>
      </c>
      <c r="R2672" s="15">
        <v>45352</v>
      </c>
      <c r="S2672" s="11" t="s">
        <v>406</v>
      </c>
      <c r="T2672" s="16">
        <v>5</v>
      </c>
      <c r="U2672" s="17"/>
      <c r="V2672" s="12">
        <v>848.73949579831969</v>
      </c>
      <c r="W2672" s="12">
        <v>848.73949579831969</v>
      </c>
      <c r="X2672" s="12">
        <v>0</v>
      </c>
      <c r="Y2672" s="18">
        <v>45726</v>
      </c>
      <c r="Z2672" s="13" t="s">
        <v>503</v>
      </c>
      <c r="AA2672" s="19" t="str">
        <f>VLOOKUP(D2672,Clientes!$A$2:$J$486,9,FALSE)</f>
        <v>Frecuente</v>
      </c>
      <c r="AB2672" s="13" t="str">
        <f>VLOOKUP(D2672,Clientes!$A$2:$K$486,11,FALSE)</f>
        <v>Persona Natural</v>
      </c>
      <c r="AC2672" s="13" t="str">
        <f>VLOOKUP(D2672,Clientes!$A$2:$B$486,2,FALSE)</f>
        <v>Curso Amalia</v>
      </c>
      <c r="AD2672" s="20"/>
      <c r="AE2672" s="20"/>
      <c r="AF2672" s="13" t="s">
        <v>40</v>
      </c>
      <c r="AG2672" s="15">
        <v>45352</v>
      </c>
      <c r="AH2672" s="13" t="s">
        <v>41</v>
      </c>
      <c r="AI2672" s="13" t="s">
        <v>76</v>
      </c>
      <c r="AJ2672" s="13" t="str">
        <f>VLOOKUP(E2672,Precios!Z$2:AA$941,2,FALSE)</f>
        <v>Detergente SPUM 5 Litros (Blanco)</v>
      </c>
      <c r="AK2672" s="14">
        <f>VLOOKUP(E2672,Precios!Z$2:BB$941,3,FALSE)*F2672</f>
        <v>-1</v>
      </c>
      <c r="AL2672" s="17"/>
      <c r="AM2672" s="17"/>
      <c r="AN2672" s="17"/>
      <c r="AO2672" s="17"/>
      <c r="AP2672" s="17"/>
      <c r="AQ2672" s="17"/>
      <c r="AR2672" s="17"/>
      <c r="AS2672" s="17"/>
      <c r="AT2672" s="17"/>
      <c r="AU2672" s="17"/>
      <c r="AV2672" s="17"/>
    </row>
    <row r="2673" spans="1:48" ht="15.75" customHeight="1">
      <c r="A2673" s="21" t="s">
        <v>76</v>
      </c>
      <c r="B2673" s="23" t="s">
        <v>1692</v>
      </c>
      <c r="C2673" s="22">
        <v>45730</v>
      </c>
      <c r="D2673" s="23" t="s">
        <v>142</v>
      </c>
      <c r="E2673" s="23" t="s">
        <v>98</v>
      </c>
      <c r="F2673" s="21">
        <v>1</v>
      </c>
      <c r="G2673" s="12">
        <v>2600.0000000000005</v>
      </c>
      <c r="H2673" s="12">
        <v>2600.0000000000005</v>
      </c>
      <c r="I2673" s="23" t="s">
        <v>52</v>
      </c>
      <c r="J2673" s="23" t="s">
        <v>61</v>
      </c>
      <c r="K2673" s="24" t="s">
        <v>177</v>
      </c>
      <c r="L2673" s="24">
        <v>115</v>
      </c>
      <c r="M2673" s="12">
        <v>2184.8739495798322</v>
      </c>
      <c r="N2673" s="12">
        <v>2184.8739495798322</v>
      </c>
      <c r="O2673" s="12">
        <v>415.12605042016821</v>
      </c>
      <c r="P2673" s="13"/>
      <c r="Q2673" s="14">
        <v>2025</v>
      </c>
      <c r="R2673" s="15">
        <v>45352</v>
      </c>
      <c r="S2673" s="11" t="s">
        <v>479</v>
      </c>
      <c r="T2673" s="16">
        <v>0</v>
      </c>
      <c r="U2673" s="17"/>
      <c r="V2673" s="12">
        <v>1052.1008403361348</v>
      </c>
      <c r="W2673" s="12">
        <v>1052.1008403361348</v>
      </c>
      <c r="X2673" s="12">
        <v>0</v>
      </c>
      <c r="Y2673" s="18">
        <v>45726</v>
      </c>
      <c r="Z2673" s="13" t="s">
        <v>503</v>
      </c>
      <c r="AA2673" s="19" t="str">
        <f>VLOOKUP(D2673,Clientes!$A$2:$J$486,9,FALSE)</f>
        <v>Frecuente</v>
      </c>
      <c r="AB2673" s="13" t="str">
        <f>VLOOKUP(D2673,Clientes!$A$2:$K$486,11,FALSE)</f>
        <v>Persona Natural</v>
      </c>
      <c r="AC2673" s="13" t="str">
        <f>VLOOKUP(D2673,Clientes!$A$2:$B$486,2,FALSE)</f>
        <v>Curso Amalia</v>
      </c>
      <c r="AD2673" s="20"/>
      <c r="AE2673" s="20"/>
      <c r="AF2673" s="13" t="s">
        <v>40</v>
      </c>
      <c r="AG2673" s="15">
        <v>45352</v>
      </c>
      <c r="AH2673" s="13" t="s">
        <v>41</v>
      </c>
      <c r="AI2673" s="13" t="s">
        <v>76</v>
      </c>
      <c r="AJ2673" s="13" t="str">
        <f>VLOOKUP(E2673,Precios!Z$2:AA$941,2,FALSE)</f>
        <v>Lavaloza QUIX 750 cc</v>
      </c>
      <c r="AK2673" s="14">
        <f>VLOOKUP(E2673,Precios!Z$2:BB$941,3,FALSE)*F2673</f>
        <v>-1</v>
      </c>
      <c r="AL2673" s="17"/>
      <c r="AM2673" s="17"/>
      <c r="AN2673" s="17"/>
      <c r="AO2673" s="17"/>
      <c r="AP2673" s="17"/>
      <c r="AQ2673" s="17"/>
      <c r="AR2673" s="17"/>
      <c r="AS2673" s="17"/>
      <c r="AT2673" s="17"/>
      <c r="AU2673" s="17"/>
      <c r="AV2673" s="17"/>
    </row>
    <row r="2674" spans="1:48" ht="15.75" customHeight="1">
      <c r="A2674" s="21" t="s">
        <v>35</v>
      </c>
      <c r="B2674" s="23" t="s">
        <v>1692</v>
      </c>
      <c r="C2674" s="22">
        <v>45730</v>
      </c>
      <c r="D2674" s="23" t="s">
        <v>142</v>
      </c>
      <c r="E2674" s="23" t="s">
        <v>37</v>
      </c>
      <c r="F2674" s="21">
        <v>1</v>
      </c>
      <c r="G2674" s="12">
        <v>10500</v>
      </c>
      <c r="H2674" s="12">
        <v>10500</v>
      </c>
      <c r="I2674" s="23" t="s">
        <v>52</v>
      </c>
      <c r="J2674" s="23" t="s">
        <v>61</v>
      </c>
      <c r="K2674" s="24" t="s">
        <v>177</v>
      </c>
      <c r="L2674" s="24">
        <v>115</v>
      </c>
      <c r="M2674" s="12">
        <v>8823.5294117647063</v>
      </c>
      <c r="N2674" s="12">
        <v>8823.5294117647063</v>
      </c>
      <c r="O2674" s="12">
        <v>1676.4705882352937</v>
      </c>
      <c r="P2674" s="13"/>
      <c r="Q2674" s="14">
        <v>2025</v>
      </c>
      <c r="R2674" s="15">
        <v>45352</v>
      </c>
      <c r="S2674" s="11" t="s">
        <v>364</v>
      </c>
      <c r="T2674" s="16">
        <v>1000</v>
      </c>
      <c r="U2674" s="17"/>
      <c r="V2674" s="12">
        <v>2385.7142857142853</v>
      </c>
      <c r="W2674" s="12">
        <v>2385.7142857142853</v>
      </c>
      <c r="X2674" s="12">
        <v>0</v>
      </c>
      <c r="Y2674" s="18">
        <v>45726</v>
      </c>
      <c r="Z2674" s="13" t="s">
        <v>503</v>
      </c>
      <c r="AA2674" s="19" t="str">
        <f>VLOOKUP(D2674,Clientes!$A$2:$J$486,9,FALSE)</f>
        <v>Frecuente</v>
      </c>
      <c r="AB2674" s="13" t="str">
        <f>VLOOKUP(D2674,Clientes!$A$2:$K$486,11,FALSE)</f>
        <v>Persona Natural</v>
      </c>
      <c r="AC2674" s="13" t="str">
        <f>VLOOKUP(D2674,Clientes!$A$2:$B$486,2,FALSE)</f>
        <v>Curso Amalia</v>
      </c>
      <c r="AD2674" s="20"/>
      <c r="AE2674" s="20"/>
      <c r="AF2674" s="13" t="s">
        <v>40</v>
      </c>
      <c r="AG2674" s="15">
        <v>45352</v>
      </c>
      <c r="AH2674" s="13" t="s">
        <v>41</v>
      </c>
      <c r="AI2674" s="13" t="s">
        <v>35</v>
      </c>
      <c r="AJ2674" s="13" t="str">
        <f>VLOOKUP(E2674,Precios!Z$2:AA$941,2,FALSE)</f>
        <v>Queso RUNCA Mantecoso</v>
      </c>
      <c r="AK2674" s="14">
        <f>VLOOKUP(E2674,Precios!Z$2:BB$941,3,FALSE)*F2674</f>
        <v>-1</v>
      </c>
      <c r="AL2674" s="17"/>
      <c r="AM2674" s="17"/>
      <c r="AN2674" s="17"/>
      <c r="AO2674" s="17"/>
      <c r="AP2674" s="17"/>
      <c r="AQ2674" s="17"/>
      <c r="AR2674" s="17"/>
      <c r="AS2674" s="17"/>
      <c r="AT2674" s="17"/>
      <c r="AU2674" s="17"/>
      <c r="AV2674" s="17"/>
    </row>
    <row r="2675" spans="1:48" ht="15.75" customHeight="1">
      <c r="A2675" s="21" t="s">
        <v>56</v>
      </c>
      <c r="B2675" s="23" t="s">
        <v>1692</v>
      </c>
      <c r="C2675" s="22">
        <v>45730</v>
      </c>
      <c r="D2675" s="23" t="s">
        <v>142</v>
      </c>
      <c r="E2675" s="23" t="s">
        <v>60</v>
      </c>
      <c r="F2675" s="21">
        <v>1</v>
      </c>
      <c r="G2675" s="12">
        <v>7000.0000000000018</v>
      </c>
      <c r="H2675" s="12">
        <v>7000.0000000000018</v>
      </c>
      <c r="I2675" s="23" t="s">
        <v>52</v>
      </c>
      <c r="J2675" s="23" t="s">
        <v>61</v>
      </c>
      <c r="K2675" s="24" t="s">
        <v>177</v>
      </c>
      <c r="L2675" s="24">
        <v>115</v>
      </c>
      <c r="M2675" s="12">
        <v>5882.3529411764721</v>
      </c>
      <c r="N2675" s="12">
        <v>5882.3529411764721</v>
      </c>
      <c r="O2675" s="12">
        <v>1117.6470588235297</v>
      </c>
      <c r="P2675" s="13"/>
      <c r="Q2675" s="14">
        <v>2025</v>
      </c>
      <c r="R2675" s="15">
        <v>45352</v>
      </c>
      <c r="S2675" s="11" t="s">
        <v>429</v>
      </c>
      <c r="T2675" s="16">
        <v>200</v>
      </c>
      <c r="U2675" s="17"/>
      <c r="V2675" s="12">
        <v>2080.6722689075641</v>
      </c>
      <c r="W2675" s="12">
        <v>2080.6722689075641</v>
      </c>
      <c r="X2675" s="12">
        <v>0</v>
      </c>
      <c r="Y2675" s="18">
        <v>45726</v>
      </c>
      <c r="Z2675" s="13" t="s">
        <v>503</v>
      </c>
      <c r="AA2675" s="19" t="str">
        <f>VLOOKUP(D2675,Clientes!$A$2:$J$486,9,FALSE)</f>
        <v>Frecuente</v>
      </c>
      <c r="AB2675" s="13" t="str">
        <f>VLOOKUP(D2675,Clientes!$A$2:$K$486,11,FALSE)</f>
        <v>Persona Natural</v>
      </c>
      <c r="AC2675" s="13" t="str">
        <f>VLOOKUP(D2675,Clientes!$A$2:$B$486,2,FALSE)</f>
        <v>Curso Amalia</v>
      </c>
      <c r="AD2675" s="20"/>
      <c r="AE2675" s="20"/>
      <c r="AF2675" s="13" t="s">
        <v>40</v>
      </c>
      <c r="AG2675" s="15">
        <v>45352</v>
      </c>
      <c r="AH2675" s="13" t="s">
        <v>41</v>
      </c>
      <c r="AI2675" s="13" t="s">
        <v>56</v>
      </c>
      <c r="AJ2675" s="13" t="str">
        <f>VLOOKUP(E2675,Precios!Z$2:AA$941,2,FALSE)</f>
        <v>Queso Sabores</v>
      </c>
      <c r="AK2675" s="14">
        <f>VLOOKUP(E2675,Precios!Z$2:BB$941,3,FALSE)*F2675</f>
        <v>-2</v>
      </c>
      <c r="AL2675" s="17"/>
      <c r="AM2675" s="17"/>
      <c r="AN2675" s="17"/>
      <c r="AO2675" s="17"/>
      <c r="AP2675" s="17"/>
      <c r="AQ2675" s="17"/>
      <c r="AR2675" s="17"/>
      <c r="AS2675" s="17"/>
      <c r="AT2675" s="17"/>
      <c r="AU2675" s="17"/>
      <c r="AV2675" s="17"/>
    </row>
    <row r="2676" spans="1:48" ht="15.75" customHeight="1">
      <c r="A2676" s="21" t="s">
        <v>47</v>
      </c>
      <c r="B2676" s="23" t="s">
        <v>1692</v>
      </c>
      <c r="C2676" s="22">
        <v>45730</v>
      </c>
      <c r="D2676" s="23" t="s">
        <v>142</v>
      </c>
      <c r="E2676" s="23" t="s">
        <v>143</v>
      </c>
      <c r="F2676" s="21">
        <v>1</v>
      </c>
      <c r="G2676" s="12">
        <v>2999.9379074821477</v>
      </c>
      <c r="H2676" s="12">
        <v>2999.9379074821477</v>
      </c>
      <c r="I2676" s="23" t="s">
        <v>52</v>
      </c>
      <c r="J2676" s="23" t="s">
        <v>61</v>
      </c>
      <c r="K2676" s="24" t="s">
        <v>177</v>
      </c>
      <c r="L2676" s="24">
        <v>115</v>
      </c>
      <c r="M2676" s="12">
        <v>2520.9562247749141</v>
      </c>
      <c r="N2676" s="12">
        <v>2520.9562247749141</v>
      </c>
      <c r="O2676" s="12">
        <v>478.98168270723363</v>
      </c>
      <c r="P2676" s="13"/>
      <c r="Q2676" s="14">
        <v>2025</v>
      </c>
      <c r="R2676" s="15">
        <v>45352</v>
      </c>
      <c r="S2676" s="11" t="s">
        <v>414</v>
      </c>
      <c r="T2676" s="16">
        <v>0</v>
      </c>
      <c r="U2676" s="17"/>
      <c r="V2676" s="12">
        <v>1708.9562247749141</v>
      </c>
      <c r="W2676" s="12">
        <v>1708.9562247749141</v>
      </c>
      <c r="X2676" s="12">
        <v>0</v>
      </c>
      <c r="Y2676" s="18">
        <v>45726</v>
      </c>
      <c r="Z2676" s="13" t="s">
        <v>503</v>
      </c>
      <c r="AA2676" s="19" t="str">
        <f>VLOOKUP(D2676,Clientes!$A$2:$J$486,9,FALSE)</f>
        <v>Frecuente</v>
      </c>
      <c r="AB2676" s="13" t="str">
        <f>VLOOKUP(D2676,Clientes!$A$2:$K$486,11,FALSE)</f>
        <v>Persona Natural</v>
      </c>
      <c r="AC2676" s="13" t="str">
        <f>VLOOKUP(D2676,Clientes!$A$2:$B$486,2,FALSE)</f>
        <v>Curso Amalia</v>
      </c>
      <c r="AD2676" s="20"/>
      <c r="AE2676" s="20"/>
      <c r="AF2676" s="13" t="s">
        <v>40</v>
      </c>
      <c r="AG2676" s="15">
        <v>45352</v>
      </c>
      <c r="AH2676" s="13" t="s">
        <v>41</v>
      </c>
      <c r="AI2676" s="13" t="s">
        <v>47</v>
      </c>
      <c r="AJ2676" s="13" t="str">
        <f>VLOOKUP(E2676,Precios!Z$2:AA$941,2,FALSE)</f>
        <v>Toalla desinfectante TEDDY 80 unidades</v>
      </c>
      <c r="AK2676" s="14">
        <f>VLOOKUP(E2676,Precios!Z$2:BB$941,3,FALSE)*F2676</f>
        <v>-1</v>
      </c>
      <c r="AL2676" s="17"/>
      <c r="AM2676" s="17"/>
      <c r="AN2676" s="17"/>
      <c r="AO2676" s="17"/>
      <c r="AP2676" s="17"/>
      <c r="AQ2676" s="17"/>
      <c r="AR2676" s="17"/>
      <c r="AS2676" s="17"/>
      <c r="AT2676" s="17"/>
      <c r="AU2676" s="17"/>
      <c r="AV2676" s="17"/>
    </row>
    <row r="2677" spans="1:48" ht="15.75" customHeight="1">
      <c r="A2677" s="21" t="s">
        <v>47</v>
      </c>
      <c r="B2677" s="23" t="s">
        <v>1692</v>
      </c>
      <c r="C2677" s="22">
        <v>45730</v>
      </c>
      <c r="D2677" s="23" t="s">
        <v>915</v>
      </c>
      <c r="E2677" s="23" t="s">
        <v>217</v>
      </c>
      <c r="F2677" s="21">
        <v>1</v>
      </c>
      <c r="G2677" s="12">
        <v>1500.1443464314357</v>
      </c>
      <c r="H2677" s="34">
        <v>1500.1443464314357</v>
      </c>
      <c r="I2677" s="23" t="s">
        <v>52</v>
      </c>
      <c r="J2677" s="23" t="s">
        <v>61</v>
      </c>
      <c r="K2677" s="24" t="s">
        <v>177</v>
      </c>
      <c r="L2677" s="24">
        <v>115</v>
      </c>
      <c r="M2677" s="12">
        <v>1260.6255012028871</v>
      </c>
      <c r="N2677" s="12">
        <v>1260.6255012028871</v>
      </c>
      <c r="O2677" s="12">
        <v>239.51884522854857</v>
      </c>
      <c r="P2677" s="13"/>
      <c r="Q2677" s="14">
        <v>2025</v>
      </c>
      <c r="R2677" s="15">
        <v>45352</v>
      </c>
      <c r="S2677" s="11" t="s">
        <v>544</v>
      </c>
      <c r="T2677" s="16">
        <v>0</v>
      </c>
      <c r="U2677" s="17"/>
      <c r="V2677" s="12">
        <v>474.62550120288711</v>
      </c>
      <c r="W2677" s="12">
        <v>474.62550120288711</v>
      </c>
      <c r="X2677" s="12">
        <v>0</v>
      </c>
      <c r="Y2677" s="18">
        <v>45726</v>
      </c>
      <c r="Z2677" s="13" t="s">
        <v>503</v>
      </c>
      <c r="AA2677" s="19" t="str">
        <f>VLOOKUP(D2677,Clientes!$A$2:$J$486,9,FALSE)</f>
        <v>Regular</v>
      </c>
      <c r="AB2677" s="13" t="str">
        <f>VLOOKUP(D2677,Clientes!$A$2:$K$486,11,FALSE)</f>
        <v>Persona Natural</v>
      </c>
      <c r="AC2677" s="13" t="str">
        <f>VLOOKUP(D2677,Clientes!$A$2:$B$486,2,FALSE)</f>
        <v>Jardin del Eden</v>
      </c>
      <c r="AD2677" s="20"/>
      <c r="AE2677" s="20"/>
      <c r="AF2677" s="13" t="s">
        <v>40</v>
      </c>
      <c r="AG2677" s="15">
        <v>45352</v>
      </c>
      <c r="AH2677" s="13" t="s">
        <v>41</v>
      </c>
      <c r="AI2677" s="13" t="s">
        <v>47</v>
      </c>
      <c r="AJ2677" s="13" t="str">
        <f>VLOOKUP(E2677,Precios!Z$2:AA$941,2,FALSE)</f>
        <v>Lustra Mueble TEDDY</v>
      </c>
      <c r="AK2677" s="14">
        <f>VLOOKUP(E2677,Precios!Z$2:BB$941,3,FALSE)*F2677</f>
        <v>-1</v>
      </c>
      <c r="AL2677" s="17"/>
      <c r="AM2677" s="17"/>
      <c r="AN2677" s="17"/>
      <c r="AO2677" s="17"/>
      <c r="AP2677" s="17"/>
      <c r="AQ2677" s="17"/>
      <c r="AR2677" s="17"/>
      <c r="AS2677" s="17"/>
      <c r="AT2677" s="17"/>
      <c r="AU2677" s="17"/>
      <c r="AV2677" s="17"/>
    </row>
    <row r="2678" spans="1:48" ht="15.75" customHeight="1">
      <c r="A2678" s="21" t="s">
        <v>43</v>
      </c>
      <c r="B2678" s="23" t="s">
        <v>1692</v>
      </c>
      <c r="C2678" s="22">
        <v>45730</v>
      </c>
      <c r="D2678" s="23" t="s">
        <v>915</v>
      </c>
      <c r="E2678" s="23" t="s">
        <v>45</v>
      </c>
      <c r="F2678" s="21">
        <v>1</v>
      </c>
      <c r="G2678" s="12">
        <v>8000.2951245425575</v>
      </c>
      <c r="H2678" s="34">
        <v>8000.2951245425575</v>
      </c>
      <c r="I2678" s="23" t="s">
        <v>52</v>
      </c>
      <c r="J2678" s="23" t="s">
        <v>61</v>
      </c>
      <c r="K2678" s="24" t="s">
        <v>177</v>
      </c>
      <c r="L2678" s="24">
        <v>115</v>
      </c>
      <c r="M2678" s="12">
        <v>6722.9370794475271</v>
      </c>
      <c r="N2678" s="12">
        <v>6722.9370794475271</v>
      </c>
      <c r="O2678" s="12">
        <v>1277.3580450950303</v>
      </c>
      <c r="P2678" s="13"/>
      <c r="Q2678" s="14">
        <v>2025</v>
      </c>
      <c r="R2678" s="15">
        <v>45352</v>
      </c>
      <c r="S2678" s="11" t="s">
        <v>355</v>
      </c>
      <c r="T2678" s="16">
        <v>0</v>
      </c>
      <c r="U2678" s="17"/>
      <c r="V2678" s="12">
        <v>1027.9370794475271</v>
      </c>
      <c r="W2678" s="12">
        <v>1027.9370794475271</v>
      </c>
      <c r="X2678" s="12">
        <v>0</v>
      </c>
      <c r="Y2678" s="18">
        <v>45726</v>
      </c>
      <c r="Z2678" s="13" t="s">
        <v>503</v>
      </c>
      <c r="AA2678" s="19" t="str">
        <f>VLOOKUP(D2678,Clientes!$A$2:$J$486,9,FALSE)</f>
        <v>Regular</v>
      </c>
      <c r="AB2678" s="13" t="str">
        <f>VLOOKUP(D2678,Clientes!$A$2:$K$486,11,FALSE)</f>
        <v>Persona Natural</v>
      </c>
      <c r="AC2678" s="13" t="str">
        <f>VLOOKUP(D2678,Clientes!$A$2:$B$486,2,FALSE)</f>
        <v>Jardin del Eden</v>
      </c>
      <c r="AD2678" s="20"/>
      <c r="AE2678" s="20"/>
      <c r="AF2678" s="13" t="s">
        <v>40</v>
      </c>
      <c r="AG2678" s="15">
        <v>45352</v>
      </c>
      <c r="AH2678" s="13" t="s">
        <v>41</v>
      </c>
      <c r="AI2678" s="13" t="s">
        <v>43</v>
      </c>
      <c r="AJ2678" s="13" t="str">
        <f>VLOOKUP(E2678,Precios!Z$2:AA$941,2,FALSE)</f>
        <v>Bandeja Huevos EXTRA</v>
      </c>
      <c r="AK2678" s="14">
        <f>VLOOKUP(E2678,Precios!Z$2:BB$941,3,FALSE)*F2678</f>
        <v>-1</v>
      </c>
      <c r="AL2678" s="17"/>
      <c r="AM2678" s="17"/>
      <c r="AN2678" s="17"/>
      <c r="AO2678" s="17"/>
      <c r="AP2678" s="17"/>
      <c r="AQ2678" s="17"/>
      <c r="AR2678" s="17"/>
      <c r="AS2678" s="17"/>
      <c r="AT2678" s="17"/>
      <c r="AU2678" s="17"/>
      <c r="AV2678" s="17"/>
    </row>
    <row r="2679" spans="1:48" ht="15.75" customHeight="1">
      <c r="A2679" s="21" t="s">
        <v>76</v>
      </c>
      <c r="B2679" s="23" t="s">
        <v>1692</v>
      </c>
      <c r="C2679" s="22">
        <v>45730</v>
      </c>
      <c r="D2679" s="23" t="s">
        <v>915</v>
      </c>
      <c r="E2679" s="23" t="s">
        <v>82</v>
      </c>
      <c r="F2679" s="21">
        <v>1</v>
      </c>
      <c r="G2679" s="12">
        <v>2000.0000000000002</v>
      </c>
      <c r="H2679" s="34">
        <v>2000.0000000000002</v>
      </c>
      <c r="I2679" s="23" t="s">
        <v>52</v>
      </c>
      <c r="J2679" s="23" t="s">
        <v>61</v>
      </c>
      <c r="K2679" s="24" t="s">
        <v>177</v>
      </c>
      <c r="L2679" s="24">
        <v>115</v>
      </c>
      <c r="M2679" s="12">
        <v>1680.6722689075632</v>
      </c>
      <c r="N2679" s="12">
        <v>1680.6722689075632</v>
      </c>
      <c r="O2679" s="12">
        <v>319.32773109243703</v>
      </c>
      <c r="P2679" s="13"/>
      <c r="Q2679" s="14">
        <v>2025</v>
      </c>
      <c r="R2679" s="15">
        <v>45352</v>
      </c>
      <c r="S2679" s="11" t="s">
        <v>463</v>
      </c>
      <c r="T2679" s="16">
        <v>5</v>
      </c>
      <c r="U2679" s="17"/>
      <c r="V2679" s="12">
        <v>680.67226890756319</v>
      </c>
      <c r="W2679" s="12">
        <v>680.67226890756319</v>
      </c>
      <c r="X2679" s="12">
        <v>0</v>
      </c>
      <c r="Y2679" s="18">
        <v>45726</v>
      </c>
      <c r="Z2679" s="13" t="s">
        <v>503</v>
      </c>
      <c r="AA2679" s="19" t="str">
        <f>VLOOKUP(D2679,Clientes!$A$2:$J$486,9,FALSE)</f>
        <v>Regular</v>
      </c>
      <c r="AB2679" s="13" t="str">
        <f>VLOOKUP(D2679,Clientes!$A$2:$K$486,11,FALSE)</f>
        <v>Persona Natural</v>
      </c>
      <c r="AC2679" s="13" t="str">
        <f>VLOOKUP(D2679,Clientes!$A$2:$B$486,2,FALSE)</f>
        <v>Jardin del Eden</v>
      </c>
      <c r="AD2679" s="20"/>
      <c r="AE2679" s="20"/>
      <c r="AF2679" s="13" t="s">
        <v>40</v>
      </c>
      <c r="AG2679" s="15">
        <v>45352</v>
      </c>
      <c r="AH2679" s="13" t="s">
        <v>41</v>
      </c>
      <c r="AI2679" s="13" t="s">
        <v>76</v>
      </c>
      <c r="AJ2679" s="13" t="str">
        <f>VLOOKUP(E2679,Precios!Z$2:AA$941,2,FALSE)</f>
        <v>Limpiapiso SPUM 5 Litros</v>
      </c>
      <c r="AK2679" s="14">
        <f>VLOOKUP(E2679,Precios!Z$2:BB$941,3,FALSE)*F2679</f>
        <v>-1</v>
      </c>
      <c r="AL2679" s="17"/>
      <c r="AM2679" s="17"/>
      <c r="AN2679" s="17"/>
      <c r="AO2679" s="17"/>
      <c r="AP2679" s="17"/>
      <c r="AQ2679" s="17"/>
      <c r="AR2679" s="17"/>
      <c r="AS2679" s="17"/>
      <c r="AT2679" s="17"/>
      <c r="AU2679" s="17"/>
      <c r="AV2679" s="17"/>
    </row>
    <row r="2680" spans="1:48" ht="15.75" customHeight="1">
      <c r="A2680" s="21" t="s">
        <v>147</v>
      </c>
      <c r="B2680" s="23" t="s">
        <v>1692</v>
      </c>
      <c r="C2680" s="22">
        <v>45730</v>
      </c>
      <c r="D2680" s="23" t="s">
        <v>340</v>
      </c>
      <c r="E2680" s="23" t="s">
        <v>257</v>
      </c>
      <c r="F2680" s="21">
        <v>1</v>
      </c>
      <c r="G2680" s="12">
        <v>4000.0000000000005</v>
      </c>
      <c r="H2680" s="12">
        <v>4000.0000000000005</v>
      </c>
      <c r="I2680" s="23" t="s">
        <v>52</v>
      </c>
      <c r="J2680" s="23" t="s">
        <v>61</v>
      </c>
      <c r="K2680" s="24" t="s">
        <v>177</v>
      </c>
      <c r="L2680" s="24">
        <v>115</v>
      </c>
      <c r="M2680" s="12">
        <v>3361.3445378151264</v>
      </c>
      <c r="N2680" s="12">
        <v>3361.3445378151264</v>
      </c>
      <c r="O2680" s="12">
        <v>638.65546218487407</v>
      </c>
      <c r="P2680" s="13"/>
      <c r="Q2680" s="14">
        <v>2025</v>
      </c>
      <c r="R2680" s="15">
        <v>45352</v>
      </c>
      <c r="S2680" s="11" t="s">
        <v>412</v>
      </c>
      <c r="T2680" s="16">
        <v>0</v>
      </c>
      <c r="U2680" s="17"/>
      <c r="V2680" s="12">
        <v>1680.6722689075632</v>
      </c>
      <c r="W2680" s="12">
        <v>1680.6722689075632</v>
      </c>
      <c r="X2680" s="12">
        <v>0</v>
      </c>
      <c r="Y2680" s="18">
        <v>45726</v>
      </c>
      <c r="Z2680" s="13" t="s">
        <v>503</v>
      </c>
      <c r="AA2680" s="19" t="str">
        <f>VLOOKUP(D2680,Clientes!$A$2:$J$486,9,FALSE)</f>
        <v>Ocacional</v>
      </c>
      <c r="AB2680" s="13" t="str">
        <f>VLOOKUP(D2680,Clientes!$A$2:$K$486,11,FALSE)</f>
        <v>Persona Natural</v>
      </c>
      <c r="AC2680" s="13" t="str">
        <f>VLOOKUP(D2680,Clientes!$A$2:$B$486,2,FALSE)</f>
        <v>Sector Santa Delia</v>
      </c>
      <c r="AD2680" s="20"/>
      <c r="AE2680" s="20"/>
      <c r="AF2680" s="13" t="s">
        <v>40</v>
      </c>
      <c r="AG2680" s="15">
        <v>45352</v>
      </c>
      <c r="AH2680" s="13" t="s">
        <v>41</v>
      </c>
      <c r="AI2680" s="13" t="s">
        <v>147</v>
      </c>
      <c r="AJ2680" s="13" t="str">
        <f>VLOOKUP(E2680,Precios!Z$2:AA$941,2,FALSE)</f>
        <v>Film Plástico 100 metros</v>
      </c>
      <c r="AK2680" s="14">
        <f>VLOOKUP(E2680,Precios!Z$2:BB$941,3,FALSE)*F2680</f>
        <v>-1</v>
      </c>
      <c r="AL2680" s="17"/>
      <c r="AM2680" s="17"/>
      <c r="AN2680" s="17"/>
      <c r="AO2680" s="17"/>
      <c r="AP2680" s="17"/>
      <c r="AQ2680" s="17"/>
      <c r="AR2680" s="17"/>
      <c r="AS2680" s="17"/>
      <c r="AT2680" s="17"/>
      <c r="AU2680" s="17"/>
      <c r="AV2680" s="17"/>
    </row>
    <row r="2681" spans="1:48" ht="15.75" customHeight="1">
      <c r="A2681" s="21" t="s">
        <v>35</v>
      </c>
      <c r="B2681" s="23" t="s">
        <v>1692</v>
      </c>
      <c r="C2681" s="22">
        <v>45730</v>
      </c>
      <c r="D2681" s="23" t="s">
        <v>340</v>
      </c>
      <c r="E2681" s="23" t="s">
        <v>46</v>
      </c>
      <c r="F2681" s="21">
        <v>1</v>
      </c>
      <c r="G2681" s="12">
        <v>5500</v>
      </c>
      <c r="H2681" s="12">
        <v>5500</v>
      </c>
      <c r="I2681" s="23" t="s">
        <v>52</v>
      </c>
      <c r="J2681" s="23" t="s">
        <v>61</v>
      </c>
      <c r="K2681" s="24" t="s">
        <v>177</v>
      </c>
      <c r="L2681" s="24">
        <v>115</v>
      </c>
      <c r="M2681" s="12">
        <v>4621.8487394957983</v>
      </c>
      <c r="N2681" s="12">
        <v>4621.8487394957983</v>
      </c>
      <c r="O2681" s="12">
        <v>878.15126050420167</v>
      </c>
      <c r="P2681" s="13"/>
      <c r="Q2681" s="14">
        <v>2025</v>
      </c>
      <c r="R2681" s="15">
        <v>45352</v>
      </c>
      <c r="S2681" s="11" t="s">
        <v>364</v>
      </c>
      <c r="T2681" s="16">
        <v>500</v>
      </c>
      <c r="U2681" s="17"/>
      <c r="V2681" s="12">
        <v>1365.1260504201678</v>
      </c>
      <c r="W2681" s="12">
        <v>1365.1260504201678</v>
      </c>
      <c r="X2681" s="12">
        <v>0</v>
      </c>
      <c r="Y2681" s="18">
        <v>45726</v>
      </c>
      <c r="Z2681" s="13" t="s">
        <v>503</v>
      </c>
      <c r="AA2681" s="19" t="str">
        <f>VLOOKUP(D2681,Clientes!$A$2:$J$486,9,FALSE)</f>
        <v>Ocacional</v>
      </c>
      <c r="AB2681" s="13" t="str">
        <f>VLOOKUP(D2681,Clientes!$A$2:$K$486,11,FALSE)</f>
        <v>Persona Natural</v>
      </c>
      <c r="AC2681" s="13" t="str">
        <f>VLOOKUP(D2681,Clientes!$A$2:$B$486,2,FALSE)</f>
        <v>Sector Santa Delia</v>
      </c>
      <c r="AD2681" s="20"/>
      <c r="AE2681" s="20"/>
      <c r="AF2681" s="13" t="s">
        <v>40</v>
      </c>
      <c r="AG2681" s="15">
        <v>45352</v>
      </c>
      <c r="AH2681" s="13" t="s">
        <v>41</v>
      </c>
      <c r="AI2681" s="13" t="s">
        <v>35</v>
      </c>
      <c r="AJ2681" s="13" t="str">
        <f>VLOOKUP(E2681,Precios!Z$2:AA$941,2,FALSE)</f>
        <v>Queso RUNCA Mantecoso</v>
      </c>
      <c r="AK2681" s="14">
        <f>VLOOKUP(E2681,Precios!Z$2:BB$941,3,FALSE)*F2681</f>
        <v>-0.5</v>
      </c>
      <c r="AL2681" s="17"/>
      <c r="AM2681" s="17"/>
      <c r="AN2681" s="17"/>
      <c r="AO2681" s="17"/>
      <c r="AP2681" s="17"/>
      <c r="AQ2681" s="17"/>
      <c r="AR2681" s="17"/>
      <c r="AS2681" s="17"/>
      <c r="AT2681" s="17"/>
      <c r="AU2681" s="17"/>
      <c r="AV2681" s="17"/>
    </row>
    <row r="2682" spans="1:48" ht="15.75" customHeight="1">
      <c r="A2682" s="21" t="s">
        <v>35</v>
      </c>
      <c r="B2682" s="23" t="s">
        <v>1692</v>
      </c>
      <c r="C2682" s="22">
        <v>45730</v>
      </c>
      <c r="D2682" s="23" t="s">
        <v>340</v>
      </c>
      <c r="E2682" s="23" t="s">
        <v>311</v>
      </c>
      <c r="F2682" s="21">
        <v>1</v>
      </c>
      <c r="G2682" s="12">
        <v>3000.0000000000005</v>
      </c>
      <c r="H2682" s="12">
        <v>3000.0000000000005</v>
      </c>
      <c r="I2682" s="23" t="s">
        <v>52</v>
      </c>
      <c r="J2682" s="23" t="s">
        <v>61</v>
      </c>
      <c r="K2682" s="24" t="s">
        <v>177</v>
      </c>
      <c r="L2682" s="24">
        <v>115</v>
      </c>
      <c r="M2682" s="12">
        <v>2521.0084033613452</v>
      </c>
      <c r="N2682" s="12">
        <v>2521.0084033613452</v>
      </c>
      <c r="O2682" s="12">
        <v>478.99159663865521</v>
      </c>
      <c r="P2682" s="13"/>
      <c r="Q2682" s="14">
        <v>2025</v>
      </c>
      <c r="R2682" s="15">
        <v>45352</v>
      </c>
      <c r="S2682" s="11" t="s">
        <v>364</v>
      </c>
      <c r="T2682" s="16">
        <v>250</v>
      </c>
      <c r="U2682" s="17"/>
      <c r="V2682" s="12">
        <v>837.18487394957992</v>
      </c>
      <c r="W2682" s="12">
        <v>837.18487394957992</v>
      </c>
      <c r="X2682" s="12">
        <v>0</v>
      </c>
      <c r="Y2682" s="18">
        <v>45726</v>
      </c>
      <c r="Z2682" s="13" t="s">
        <v>503</v>
      </c>
      <c r="AA2682" s="19" t="str">
        <f>VLOOKUP(D2682,Clientes!$A$2:$J$486,9,FALSE)</f>
        <v>Ocacional</v>
      </c>
      <c r="AB2682" s="13" t="str">
        <f>VLOOKUP(D2682,Clientes!$A$2:$K$486,11,FALSE)</f>
        <v>Persona Natural</v>
      </c>
      <c r="AC2682" s="13" t="str">
        <f>VLOOKUP(D2682,Clientes!$A$2:$B$486,2,FALSE)</f>
        <v>Sector Santa Delia</v>
      </c>
      <c r="AD2682" s="20"/>
      <c r="AE2682" s="20"/>
      <c r="AF2682" s="13" t="s">
        <v>40</v>
      </c>
      <c r="AG2682" s="15">
        <v>45352</v>
      </c>
      <c r="AH2682" s="13" t="s">
        <v>41</v>
      </c>
      <c r="AI2682" s="13" t="s">
        <v>35</v>
      </c>
      <c r="AJ2682" s="13" t="str">
        <f>VLOOKUP(E2682,Precios!Z$2:AA$941,2,FALSE)</f>
        <v>Queso RUNCA Mantecoso</v>
      </c>
      <c r="AK2682" s="14">
        <f>VLOOKUP(E2682,Precios!Z$2:BB$941,3,FALSE)*F2682</f>
        <v>-0.25</v>
      </c>
      <c r="AL2682" s="17"/>
      <c r="AM2682" s="17"/>
      <c r="AN2682" s="17"/>
      <c r="AO2682" s="17"/>
      <c r="AP2682" s="17"/>
      <c r="AQ2682" s="17"/>
      <c r="AR2682" s="17"/>
      <c r="AS2682" s="17"/>
      <c r="AT2682" s="17"/>
      <c r="AU2682" s="17"/>
      <c r="AV2682" s="17"/>
    </row>
    <row r="2683" spans="1:48" ht="15.75" customHeight="1">
      <c r="A2683" s="21" t="s">
        <v>35</v>
      </c>
      <c r="B2683" s="23" t="s">
        <v>1692</v>
      </c>
      <c r="C2683" s="22">
        <v>45730</v>
      </c>
      <c r="D2683" s="23" t="s">
        <v>340</v>
      </c>
      <c r="E2683" s="23" t="s">
        <v>160</v>
      </c>
      <c r="F2683" s="21">
        <v>1</v>
      </c>
      <c r="G2683" s="26">
        <v>-500</v>
      </c>
      <c r="H2683" s="12">
        <v>-500</v>
      </c>
      <c r="I2683" s="23" t="s">
        <v>52</v>
      </c>
      <c r="J2683" s="23" t="s">
        <v>61</v>
      </c>
      <c r="K2683" s="24" t="s">
        <v>177</v>
      </c>
      <c r="L2683" s="24">
        <v>115</v>
      </c>
      <c r="M2683" s="12">
        <v>-420.1680672268908</v>
      </c>
      <c r="N2683" s="12">
        <v>-420.1680672268908</v>
      </c>
      <c r="O2683" s="12">
        <v>-79.831932773109202</v>
      </c>
      <c r="P2683" s="13"/>
      <c r="Q2683" s="14">
        <v>2025</v>
      </c>
      <c r="R2683" s="15">
        <v>45352</v>
      </c>
      <c r="S2683" s="11" t="s">
        <v>160</v>
      </c>
      <c r="T2683" s="16">
        <v>1000</v>
      </c>
      <c r="U2683" s="17"/>
      <c r="V2683" s="26">
        <v>-500</v>
      </c>
      <c r="W2683" s="12">
        <v>-500</v>
      </c>
      <c r="X2683" s="12">
        <v>0</v>
      </c>
      <c r="Y2683" s="18">
        <v>45726</v>
      </c>
      <c r="Z2683" s="13" t="s">
        <v>503</v>
      </c>
      <c r="AA2683" s="19" t="str">
        <f>VLOOKUP(D2683,Clientes!$A$2:$J$486,9,FALSE)</f>
        <v>Ocacional</v>
      </c>
      <c r="AB2683" s="13" t="str">
        <f>VLOOKUP(D2683,Clientes!$A$2:$K$486,11,FALSE)</f>
        <v>Persona Natural</v>
      </c>
      <c r="AC2683" s="13" t="str">
        <f>VLOOKUP(D2683,Clientes!$A$2:$B$486,2,FALSE)</f>
        <v>Sector Santa Delia</v>
      </c>
      <c r="AD2683" s="20"/>
      <c r="AE2683" s="20"/>
      <c r="AF2683" s="13" t="s">
        <v>40</v>
      </c>
      <c r="AG2683" s="15">
        <v>45352</v>
      </c>
      <c r="AH2683" s="13" t="s">
        <v>41</v>
      </c>
      <c r="AI2683" s="13" t="s">
        <v>35</v>
      </c>
      <c r="AJ2683" s="13" t="str">
        <f>VLOOKUP(E2683,Precios!Z$2:AA$941,2,FALSE)</f>
        <v>Descuentos</v>
      </c>
      <c r="AK2683" s="14">
        <f>VLOOKUP(E2683,Precios!Z$2:BB$941,3,FALSE)*F2683</f>
        <v>-1</v>
      </c>
      <c r="AL2683" s="17"/>
      <c r="AM2683" s="17"/>
      <c r="AN2683" s="17"/>
      <c r="AO2683" s="17"/>
      <c r="AP2683" s="17"/>
      <c r="AQ2683" s="17"/>
      <c r="AR2683" s="17"/>
      <c r="AS2683" s="17"/>
      <c r="AT2683" s="17"/>
      <c r="AU2683" s="17"/>
      <c r="AV2683" s="17"/>
    </row>
    <row r="2684" spans="1:48" ht="15.75" customHeight="1">
      <c r="A2684" s="21" t="s">
        <v>43</v>
      </c>
      <c r="B2684" s="23" t="s">
        <v>1692</v>
      </c>
      <c r="C2684" s="22">
        <v>45730</v>
      </c>
      <c r="D2684" s="23" t="s">
        <v>276</v>
      </c>
      <c r="E2684" s="23" t="s">
        <v>45</v>
      </c>
      <c r="F2684" s="21">
        <v>2</v>
      </c>
      <c r="G2684" s="12">
        <v>8000.2951245425575</v>
      </c>
      <c r="H2684" s="12">
        <v>16000.590249085115</v>
      </c>
      <c r="I2684" s="23" t="s">
        <v>52</v>
      </c>
      <c r="J2684" s="23" t="s">
        <v>61</v>
      </c>
      <c r="K2684" s="24" t="s">
        <v>177</v>
      </c>
      <c r="L2684" s="24">
        <v>115</v>
      </c>
      <c r="M2684" s="12">
        <v>6722.9370794475271</v>
      </c>
      <c r="N2684" s="12">
        <v>13445.874158895054</v>
      </c>
      <c r="O2684" s="12">
        <v>2554.7160901900606</v>
      </c>
      <c r="P2684" s="13"/>
      <c r="Q2684" s="14">
        <v>2025</v>
      </c>
      <c r="R2684" s="15">
        <v>45352</v>
      </c>
      <c r="S2684" s="11" t="s">
        <v>355</v>
      </c>
      <c r="T2684" s="16">
        <v>0</v>
      </c>
      <c r="U2684" s="17"/>
      <c r="V2684" s="12">
        <v>2055.8741588950543</v>
      </c>
      <c r="W2684" s="12">
        <v>2055.8741588950543</v>
      </c>
      <c r="X2684" s="12">
        <v>0</v>
      </c>
      <c r="Y2684" s="18">
        <v>45726</v>
      </c>
      <c r="Z2684" s="13" t="s">
        <v>503</v>
      </c>
      <c r="AA2684" s="19" t="str">
        <f>VLOOKUP(D2684,Clientes!$A$2:$J$486,9,FALSE)</f>
        <v>Ocacional</v>
      </c>
      <c r="AB2684" s="13" t="str">
        <f>VLOOKUP(D2684,Clientes!$A$2:$K$486,11,FALSE)</f>
        <v>Persona Natural</v>
      </c>
      <c r="AC2684" s="13" t="str">
        <f>VLOOKUP(D2684,Clientes!$A$2:$B$486,2,FALSE)</f>
        <v>Jardin del eden</v>
      </c>
      <c r="AD2684" s="20"/>
      <c r="AE2684" s="20"/>
      <c r="AF2684" s="13" t="s">
        <v>40</v>
      </c>
      <c r="AG2684" s="15">
        <v>45352</v>
      </c>
      <c r="AH2684" s="13" t="s">
        <v>41</v>
      </c>
      <c r="AI2684" s="13" t="s">
        <v>43</v>
      </c>
      <c r="AJ2684" s="13" t="str">
        <f>VLOOKUP(E2684,Precios!Z$2:AA$941,2,FALSE)</f>
        <v>Bandeja Huevos EXTRA</v>
      </c>
      <c r="AK2684" s="14">
        <f>VLOOKUP(E2684,Precios!Z$2:BB$941,3,FALSE)*F2684</f>
        <v>-2</v>
      </c>
      <c r="AL2684" s="17"/>
      <c r="AM2684" s="17"/>
      <c r="AN2684" s="17"/>
      <c r="AO2684" s="17"/>
      <c r="AP2684" s="17"/>
      <c r="AQ2684" s="17"/>
      <c r="AR2684" s="17"/>
      <c r="AS2684" s="17"/>
      <c r="AT2684" s="17"/>
      <c r="AU2684" s="17"/>
      <c r="AV2684" s="17"/>
    </row>
    <row r="2685" spans="1:48" ht="15.75" customHeight="1">
      <c r="A2685" s="21" t="s">
        <v>56</v>
      </c>
      <c r="B2685" s="23" t="s">
        <v>1692</v>
      </c>
      <c r="C2685" s="22">
        <v>45729</v>
      </c>
      <c r="D2685" s="23" t="s">
        <v>68</v>
      </c>
      <c r="E2685" s="23" t="s">
        <v>67</v>
      </c>
      <c r="F2685" s="21">
        <v>1</v>
      </c>
      <c r="G2685" s="12">
        <v>7000.0000000000009</v>
      </c>
      <c r="H2685" s="12">
        <v>7000.0000000000009</v>
      </c>
      <c r="I2685" s="23" t="s">
        <v>52</v>
      </c>
      <c r="J2685" s="23" t="s">
        <v>61</v>
      </c>
      <c r="K2685" s="24" t="s">
        <v>86</v>
      </c>
      <c r="L2685" s="24">
        <v>66</v>
      </c>
      <c r="M2685" s="12">
        <v>5882.3529411764712</v>
      </c>
      <c r="N2685" s="12">
        <v>5882.3529411764712</v>
      </c>
      <c r="O2685" s="12">
        <v>1117.6470588235297</v>
      </c>
      <c r="P2685" s="13"/>
      <c r="Q2685" s="14">
        <v>2025</v>
      </c>
      <c r="R2685" s="15">
        <v>45352</v>
      </c>
      <c r="S2685" s="11" t="s">
        <v>492</v>
      </c>
      <c r="T2685" s="16">
        <v>200</v>
      </c>
      <c r="U2685" s="17"/>
      <c r="V2685" s="12">
        <v>1512.6050420168067</v>
      </c>
      <c r="W2685" s="12">
        <v>1512.6050420168067</v>
      </c>
      <c r="X2685" s="12">
        <v>0</v>
      </c>
      <c r="Y2685" s="18">
        <v>45726</v>
      </c>
      <c r="Z2685" s="13" t="s">
        <v>505</v>
      </c>
      <c r="AA2685" s="19" t="str">
        <f>VLOOKUP(D2685,Clientes!$A$2:$J$486,9,FALSE)</f>
        <v>Frecuente</v>
      </c>
      <c r="AB2685" s="13" t="str">
        <f>VLOOKUP(D2685,Clientes!$A$2:$K$486,11,FALSE)</f>
        <v>Empresa</v>
      </c>
      <c r="AC2685" s="13" t="str">
        <f>VLOOKUP(D2685,Clientes!$A$2:$B$486,2,FALSE)</f>
        <v>Jardines de la viña</v>
      </c>
      <c r="AD2685" s="20"/>
      <c r="AE2685" s="20"/>
      <c r="AF2685" s="13" t="s">
        <v>40</v>
      </c>
      <c r="AG2685" s="15">
        <v>45352</v>
      </c>
      <c r="AH2685" s="13" t="s">
        <v>41</v>
      </c>
      <c r="AI2685" s="13" t="s">
        <v>56</v>
      </c>
      <c r="AJ2685" s="13" t="str">
        <f>VLOOKUP(E2685,Precios!Z$2:AA$941,2,FALSE)</f>
        <v>Mantequilla RUMAY</v>
      </c>
      <c r="AK2685" s="14">
        <f>VLOOKUP(E2685,Precios!Z$2:BB$941,3,FALSE)*F2685</f>
        <v>-3</v>
      </c>
      <c r="AL2685" s="17"/>
      <c r="AM2685" s="17"/>
      <c r="AN2685" s="17"/>
      <c r="AO2685" s="17"/>
      <c r="AP2685" s="17"/>
      <c r="AQ2685" s="17"/>
      <c r="AR2685" s="17"/>
      <c r="AS2685" s="17"/>
      <c r="AT2685" s="17"/>
      <c r="AU2685" s="17"/>
      <c r="AV2685" s="17"/>
    </row>
    <row r="2686" spans="1:48" ht="15.75" customHeight="1">
      <c r="A2686" s="21" t="s">
        <v>147</v>
      </c>
      <c r="B2686" s="23" t="s">
        <v>1692</v>
      </c>
      <c r="C2686" s="22">
        <v>45729</v>
      </c>
      <c r="D2686" s="23" t="s">
        <v>725</v>
      </c>
      <c r="E2686" s="23" t="s">
        <v>257</v>
      </c>
      <c r="F2686" s="21">
        <v>1</v>
      </c>
      <c r="G2686" s="12">
        <v>4000.0000000000005</v>
      </c>
      <c r="H2686" s="12">
        <v>4000.0000000000005</v>
      </c>
      <c r="I2686" s="23" t="s">
        <v>52</v>
      </c>
      <c r="J2686" s="23" t="s">
        <v>61</v>
      </c>
      <c r="K2686" s="24" t="s">
        <v>177</v>
      </c>
      <c r="L2686" s="24">
        <v>115</v>
      </c>
      <c r="M2686" s="12">
        <v>3361.3445378151264</v>
      </c>
      <c r="N2686" s="12">
        <v>3361.3445378151264</v>
      </c>
      <c r="O2686" s="12">
        <v>638.65546218487407</v>
      </c>
      <c r="P2686" s="13"/>
      <c r="Q2686" s="14">
        <v>2025</v>
      </c>
      <c r="R2686" s="15">
        <v>45352</v>
      </c>
      <c r="S2686" s="11" t="s">
        <v>412</v>
      </c>
      <c r="T2686" s="16">
        <v>0</v>
      </c>
      <c r="U2686" s="17"/>
      <c r="V2686" s="12">
        <v>1680.6722689075632</v>
      </c>
      <c r="W2686" s="12">
        <v>1680.6722689075632</v>
      </c>
      <c r="X2686" s="12">
        <v>0</v>
      </c>
      <c r="Y2686" s="18">
        <v>45726</v>
      </c>
      <c r="Z2686" s="13" t="s">
        <v>505</v>
      </c>
      <c r="AA2686" s="19" t="str">
        <f>VLOOKUP(D2686,Clientes!$A$2:$J$486,9,FALSE)</f>
        <v>Ocacional</v>
      </c>
      <c r="AB2686" s="13" t="str">
        <f>VLOOKUP(D2686,Clientes!$A$2:$K$486,11,FALSE)</f>
        <v>Persona Natural</v>
      </c>
      <c r="AC2686" s="13" t="str">
        <f>VLOOKUP(D2686,Clientes!$A$2:$B$486,2,FALSE)</f>
        <v>Vicente Valdes</v>
      </c>
      <c r="AD2686" s="20"/>
      <c r="AE2686" s="20"/>
      <c r="AF2686" s="13" t="s">
        <v>40</v>
      </c>
      <c r="AG2686" s="15">
        <v>45352</v>
      </c>
      <c r="AH2686" s="13" t="s">
        <v>41</v>
      </c>
      <c r="AI2686" s="13" t="s">
        <v>147</v>
      </c>
      <c r="AJ2686" s="13" t="str">
        <f>VLOOKUP(E2686,Precios!Z$2:AA$941,2,FALSE)</f>
        <v>Film Plástico 100 metros</v>
      </c>
      <c r="AK2686" s="14">
        <f>VLOOKUP(E2686,Precios!Z$2:BB$941,3,FALSE)*F2686</f>
        <v>-1</v>
      </c>
      <c r="AL2686" s="17"/>
      <c r="AM2686" s="17"/>
      <c r="AN2686" s="17"/>
      <c r="AO2686" s="17"/>
      <c r="AP2686" s="17"/>
      <c r="AQ2686" s="17"/>
      <c r="AR2686" s="17"/>
      <c r="AS2686" s="17"/>
      <c r="AT2686" s="17"/>
      <c r="AU2686" s="17"/>
      <c r="AV2686" s="17"/>
    </row>
    <row r="2687" spans="1:48" ht="15.75" customHeight="1">
      <c r="A2687" s="21" t="s">
        <v>147</v>
      </c>
      <c r="B2687" s="23" t="s">
        <v>1692</v>
      </c>
      <c r="C2687" s="22">
        <v>45729</v>
      </c>
      <c r="D2687" s="23" t="s">
        <v>725</v>
      </c>
      <c r="E2687" s="23" t="s">
        <v>249</v>
      </c>
      <c r="F2687" s="21">
        <v>1</v>
      </c>
      <c r="G2687" s="12">
        <v>8000.4228329809721</v>
      </c>
      <c r="H2687" s="12">
        <v>8000.4228329809721</v>
      </c>
      <c r="I2687" s="23" t="s">
        <v>52</v>
      </c>
      <c r="J2687" s="23" t="s">
        <v>61</v>
      </c>
      <c r="K2687" s="24" t="s">
        <v>177</v>
      </c>
      <c r="L2687" s="24">
        <v>115</v>
      </c>
      <c r="M2687" s="12">
        <v>6723.0443974630025</v>
      </c>
      <c r="N2687" s="12">
        <v>6723.0443974630025</v>
      </c>
      <c r="O2687" s="12">
        <v>1277.3784355179696</v>
      </c>
      <c r="P2687" s="13"/>
      <c r="Q2687" s="14">
        <v>2025</v>
      </c>
      <c r="R2687" s="15">
        <v>45352</v>
      </c>
      <c r="S2687" s="11" t="s">
        <v>360</v>
      </c>
      <c r="T2687" s="16">
        <v>0</v>
      </c>
      <c r="U2687" s="17"/>
      <c r="V2687" s="12">
        <v>2271.0443974630016</v>
      </c>
      <c r="W2687" s="12">
        <v>2271.0443974630016</v>
      </c>
      <c r="X2687" s="12">
        <v>0</v>
      </c>
      <c r="Y2687" s="18">
        <v>45726</v>
      </c>
      <c r="Z2687" s="13" t="s">
        <v>505</v>
      </c>
      <c r="AA2687" s="19" t="str">
        <f>VLOOKUP(D2687,Clientes!$A$2:$J$486,9,FALSE)</f>
        <v>Ocacional</v>
      </c>
      <c r="AB2687" s="13" t="str">
        <f>VLOOKUP(D2687,Clientes!$A$2:$K$486,11,FALSE)</f>
        <v>Persona Natural</v>
      </c>
      <c r="AC2687" s="13" t="str">
        <f>VLOOKUP(D2687,Clientes!$A$2:$B$486,2,FALSE)</f>
        <v>Vicente Valdes</v>
      </c>
      <c r="AD2687" s="20"/>
      <c r="AE2687" s="20"/>
      <c r="AF2687" s="13" t="s">
        <v>40</v>
      </c>
      <c r="AG2687" s="15">
        <v>45352</v>
      </c>
      <c r="AH2687" s="13" t="s">
        <v>41</v>
      </c>
      <c r="AI2687" s="13" t="s">
        <v>147</v>
      </c>
      <c r="AJ2687" s="13" t="str">
        <f>VLOOKUP(E2687,Precios!Z$2:AA$941,2,FALSE)</f>
        <v>Papel Aluminio 100 metros</v>
      </c>
      <c r="AK2687" s="14">
        <f>VLOOKUP(E2687,Precios!Z$2:BB$941,3,FALSE)*F2687</f>
        <v>-1</v>
      </c>
      <c r="AL2687" s="17"/>
      <c r="AM2687" s="17"/>
      <c r="AN2687" s="17"/>
      <c r="AO2687" s="17"/>
      <c r="AP2687" s="17"/>
      <c r="AQ2687" s="17"/>
      <c r="AR2687" s="17"/>
      <c r="AS2687" s="17"/>
      <c r="AT2687" s="17"/>
      <c r="AU2687" s="17"/>
      <c r="AV2687" s="17"/>
    </row>
    <row r="2688" spans="1:48" ht="15.75" customHeight="1">
      <c r="A2688" s="21" t="s">
        <v>53</v>
      </c>
      <c r="B2688" s="23" t="s">
        <v>1692</v>
      </c>
      <c r="C2688" s="22">
        <v>45729</v>
      </c>
      <c r="D2688" s="23" t="s">
        <v>307</v>
      </c>
      <c r="E2688" s="23" t="s">
        <v>704</v>
      </c>
      <c r="F2688" s="21">
        <v>1</v>
      </c>
      <c r="G2688" s="12">
        <v>9000</v>
      </c>
      <c r="H2688" s="12">
        <v>9000</v>
      </c>
      <c r="I2688" s="23" t="s">
        <v>52</v>
      </c>
      <c r="J2688" s="23" t="s">
        <v>61</v>
      </c>
      <c r="K2688" s="24" t="s">
        <v>177</v>
      </c>
      <c r="L2688" s="24">
        <v>115</v>
      </c>
      <c r="M2688" s="12">
        <v>7563.0252100840344</v>
      </c>
      <c r="N2688" s="12">
        <v>7563.0252100840344</v>
      </c>
      <c r="O2688" s="12">
        <v>1436.9747899159656</v>
      </c>
      <c r="P2688" s="13"/>
      <c r="Q2688" s="14">
        <v>2025</v>
      </c>
      <c r="R2688" s="15">
        <v>45352</v>
      </c>
      <c r="S2688" s="11" t="s">
        <v>435</v>
      </c>
      <c r="T2688" s="16">
        <v>0</v>
      </c>
      <c r="U2688" s="17"/>
      <c r="V2688" s="12">
        <v>3121.0084033613448</v>
      </c>
      <c r="W2688" s="12">
        <v>3121.0084033613448</v>
      </c>
      <c r="X2688" s="12">
        <v>0</v>
      </c>
      <c r="Y2688" s="18">
        <v>45726</v>
      </c>
      <c r="Z2688" s="13" t="s">
        <v>505</v>
      </c>
      <c r="AA2688" s="19" t="str">
        <f>VLOOKUP(D2688,Clientes!$A$2:$J$486,9,FALSE)</f>
        <v>regular</v>
      </c>
      <c r="AB2688" s="13" t="str">
        <f>VLOOKUP(D2688,Clientes!$A$2:$K$486,11,FALSE)</f>
        <v>Empresa</v>
      </c>
      <c r="AC2688" s="13" t="str">
        <f>VLOOKUP(D2688,Clientes!$A$2:$B$486,2,FALSE)</f>
        <v>Jardines de la viña</v>
      </c>
      <c r="AD2688" s="20"/>
      <c r="AE2688" s="20"/>
      <c r="AF2688" s="13" t="s">
        <v>40</v>
      </c>
      <c r="AG2688" s="15">
        <v>45352</v>
      </c>
      <c r="AH2688" s="13" t="s">
        <v>41</v>
      </c>
      <c r="AI2688" s="13" t="s">
        <v>53</v>
      </c>
      <c r="AJ2688" s="13" t="str">
        <f>VLOOKUP(E2688,Precios!Z$2:AA$941,2,FALSE)</f>
        <v>Papel Higienico SWAN 50 metros</v>
      </c>
      <c r="AK2688" s="14">
        <f>VLOOKUP(E2688,Precios!Z$2:BB$941,3,FALSE)*F2688</f>
        <v>-3</v>
      </c>
      <c r="AL2688" s="17"/>
      <c r="AM2688" s="17"/>
      <c r="AN2688" s="17"/>
      <c r="AO2688" s="17"/>
      <c r="AP2688" s="17"/>
      <c r="AQ2688" s="17"/>
      <c r="AR2688" s="17"/>
      <c r="AS2688" s="17"/>
      <c r="AT2688" s="17"/>
      <c r="AU2688" s="17"/>
      <c r="AV2688" s="17"/>
    </row>
    <row r="2689" spans="1:48" ht="15.75" customHeight="1">
      <c r="A2689" s="21" t="s">
        <v>76</v>
      </c>
      <c r="B2689" s="23" t="s">
        <v>1692</v>
      </c>
      <c r="C2689" s="22">
        <v>45729</v>
      </c>
      <c r="D2689" s="23" t="s">
        <v>307</v>
      </c>
      <c r="E2689" s="23" t="s">
        <v>166</v>
      </c>
      <c r="F2689" s="21">
        <v>1</v>
      </c>
      <c r="G2689" s="12">
        <v>3500.0000000000005</v>
      </c>
      <c r="H2689" s="12">
        <v>3500.0000000000005</v>
      </c>
      <c r="I2689" s="23" t="s">
        <v>52</v>
      </c>
      <c r="J2689" s="23" t="s">
        <v>61</v>
      </c>
      <c r="K2689" s="24" t="s">
        <v>177</v>
      </c>
      <c r="L2689" s="24">
        <v>115</v>
      </c>
      <c r="M2689" s="12">
        <v>2941.1764705882356</v>
      </c>
      <c r="N2689" s="12">
        <v>2941.1764705882356</v>
      </c>
      <c r="O2689" s="12">
        <v>558.82352941176487</v>
      </c>
      <c r="P2689" s="13"/>
      <c r="Q2689" s="14">
        <v>2025</v>
      </c>
      <c r="R2689" s="15">
        <v>45352</v>
      </c>
      <c r="S2689" s="11" t="s">
        <v>448</v>
      </c>
      <c r="T2689" s="16">
        <v>5</v>
      </c>
      <c r="U2689" s="17"/>
      <c r="V2689" s="12">
        <v>1016.8067226890757</v>
      </c>
      <c r="W2689" s="12">
        <v>1016.8067226890757</v>
      </c>
      <c r="X2689" s="12">
        <v>0</v>
      </c>
      <c r="Y2689" s="18">
        <v>45726</v>
      </c>
      <c r="Z2689" s="13" t="s">
        <v>505</v>
      </c>
      <c r="AA2689" s="19" t="str">
        <f>VLOOKUP(D2689,Clientes!$A$2:$J$486,9,FALSE)</f>
        <v>regular</v>
      </c>
      <c r="AB2689" s="13" t="str">
        <f>VLOOKUP(D2689,Clientes!$A$2:$K$486,11,FALSE)</f>
        <v>Empresa</v>
      </c>
      <c r="AC2689" s="13" t="str">
        <f>VLOOKUP(D2689,Clientes!$A$2:$B$486,2,FALSE)</f>
        <v>Jardines de la viña</v>
      </c>
      <c r="AD2689" s="20"/>
      <c r="AE2689" s="20"/>
      <c r="AF2689" s="13" t="s">
        <v>40</v>
      </c>
      <c r="AG2689" s="15">
        <v>45352</v>
      </c>
      <c r="AH2689" s="13" t="s">
        <v>41</v>
      </c>
      <c r="AI2689" s="13" t="s">
        <v>76</v>
      </c>
      <c r="AJ2689" s="13" t="str">
        <f>VLOOKUP(E2689,Precios!Z$2:AA$941,2,FALSE)</f>
        <v>Cloro GEL SPUM 5 Litros</v>
      </c>
      <c r="AK2689" s="14">
        <f>VLOOKUP(E2689,Precios!Z$2:BB$941,3,FALSE)*F2689</f>
        <v>-1</v>
      </c>
      <c r="AL2689" s="17"/>
      <c r="AM2689" s="17"/>
      <c r="AN2689" s="17"/>
      <c r="AO2689" s="17"/>
      <c r="AP2689" s="17"/>
      <c r="AQ2689" s="17"/>
      <c r="AR2689" s="17"/>
      <c r="AS2689" s="17"/>
      <c r="AT2689" s="17"/>
      <c r="AU2689" s="17"/>
      <c r="AV2689" s="17"/>
    </row>
    <row r="2690" spans="1:48" ht="15.75" customHeight="1">
      <c r="A2690" s="21" t="s">
        <v>76</v>
      </c>
      <c r="B2690" s="23" t="s">
        <v>1692</v>
      </c>
      <c r="C2690" s="22">
        <v>45729</v>
      </c>
      <c r="D2690" s="23" t="s">
        <v>307</v>
      </c>
      <c r="E2690" s="23" t="s">
        <v>82</v>
      </c>
      <c r="F2690" s="21">
        <v>1</v>
      </c>
      <c r="G2690" s="12">
        <v>2000.0000000000002</v>
      </c>
      <c r="H2690" s="12">
        <v>2000.0000000000002</v>
      </c>
      <c r="I2690" s="23" t="s">
        <v>52</v>
      </c>
      <c r="J2690" s="23" t="s">
        <v>61</v>
      </c>
      <c r="K2690" s="24" t="s">
        <v>177</v>
      </c>
      <c r="L2690" s="24">
        <v>115</v>
      </c>
      <c r="M2690" s="12">
        <v>1680.6722689075632</v>
      </c>
      <c r="N2690" s="12">
        <v>1680.6722689075632</v>
      </c>
      <c r="O2690" s="12">
        <v>319.32773109243703</v>
      </c>
      <c r="P2690" s="13"/>
      <c r="Q2690" s="14">
        <v>2025</v>
      </c>
      <c r="R2690" s="15">
        <v>45352</v>
      </c>
      <c r="S2690" s="11" t="s">
        <v>463</v>
      </c>
      <c r="T2690" s="16">
        <v>5</v>
      </c>
      <c r="U2690" s="17"/>
      <c r="V2690" s="12">
        <v>680.67226890756319</v>
      </c>
      <c r="W2690" s="12">
        <v>680.67226890756319</v>
      </c>
      <c r="X2690" s="12">
        <v>0</v>
      </c>
      <c r="Y2690" s="18">
        <v>45726</v>
      </c>
      <c r="Z2690" s="13" t="s">
        <v>505</v>
      </c>
      <c r="AA2690" s="19" t="str">
        <f>VLOOKUP(D2690,Clientes!$A$2:$J$486,9,FALSE)</f>
        <v>regular</v>
      </c>
      <c r="AB2690" s="13" t="str">
        <f>VLOOKUP(D2690,Clientes!$A$2:$K$486,11,FALSE)</f>
        <v>Empresa</v>
      </c>
      <c r="AC2690" s="13" t="str">
        <f>VLOOKUP(D2690,Clientes!$A$2:$B$486,2,FALSE)</f>
        <v>Jardines de la viña</v>
      </c>
      <c r="AD2690" s="20"/>
      <c r="AE2690" s="20"/>
      <c r="AF2690" s="13" t="s">
        <v>40</v>
      </c>
      <c r="AG2690" s="15">
        <v>45352</v>
      </c>
      <c r="AH2690" s="13" t="s">
        <v>41</v>
      </c>
      <c r="AI2690" s="13" t="s">
        <v>76</v>
      </c>
      <c r="AJ2690" s="13" t="str">
        <f>VLOOKUP(E2690,Precios!Z$2:AA$941,2,FALSE)</f>
        <v>Limpiapiso SPUM 5 Litros</v>
      </c>
      <c r="AK2690" s="14">
        <f>VLOOKUP(E2690,Precios!Z$2:BB$941,3,FALSE)*F2690</f>
        <v>-1</v>
      </c>
      <c r="AL2690" s="17"/>
      <c r="AM2690" s="17"/>
      <c r="AN2690" s="17"/>
      <c r="AO2690" s="17"/>
      <c r="AP2690" s="17"/>
      <c r="AQ2690" s="17"/>
      <c r="AR2690" s="17"/>
      <c r="AS2690" s="17"/>
      <c r="AT2690" s="17"/>
      <c r="AU2690" s="17"/>
      <c r="AV2690" s="17"/>
    </row>
    <row r="2691" spans="1:48" ht="15.75" customHeight="1">
      <c r="A2691" s="21" t="s">
        <v>47</v>
      </c>
      <c r="B2691" s="23" t="s">
        <v>1692</v>
      </c>
      <c r="C2691" s="22">
        <v>45729</v>
      </c>
      <c r="D2691" s="23" t="s">
        <v>307</v>
      </c>
      <c r="E2691" s="23" t="s">
        <v>204</v>
      </c>
      <c r="F2691" s="21">
        <v>2</v>
      </c>
      <c r="G2691" s="12">
        <v>1200.1927194860814</v>
      </c>
      <c r="H2691" s="12">
        <v>2400.3854389721628</v>
      </c>
      <c r="I2691" s="23" t="s">
        <v>52</v>
      </c>
      <c r="J2691" s="23" t="s">
        <v>61</v>
      </c>
      <c r="K2691" s="24" t="s">
        <v>177</v>
      </c>
      <c r="L2691" s="24">
        <v>115</v>
      </c>
      <c r="M2691" s="12">
        <v>1008.5653104925054</v>
      </c>
      <c r="N2691" s="12">
        <v>2017.1306209850109</v>
      </c>
      <c r="O2691" s="12">
        <v>383.25481798715191</v>
      </c>
      <c r="P2691" s="13"/>
      <c r="Q2691" s="14">
        <v>2025</v>
      </c>
      <c r="R2691" s="15">
        <v>45352</v>
      </c>
      <c r="S2691" s="11" t="s">
        <v>400</v>
      </c>
      <c r="T2691" s="16">
        <v>0</v>
      </c>
      <c r="U2691" s="17"/>
      <c r="V2691" s="12">
        <v>1075.1306209850109</v>
      </c>
      <c r="W2691" s="12">
        <v>1075.1306209850109</v>
      </c>
      <c r="X2691" s="12">
        <v>0</v>
      </c>
      <c r="Y2691" s="18">
        <v>45726</v>
      </c>
      <c r="Z2691" s="13" t="s">
        <v>505</v>
      </c>
      <c r="AA2691" s="19" t="str">
        <f>VLOOKUP(D2691,Clientes!$A$2:$J$486,9,FALSE)</f>
        <v>regular</v>
      </c>
      <c r="AB2691" s="13" t="str">
        <f>VLOOKUP(D2691,Clientes!$A$2:$K$486,11,FALSE)</f>
        <v>Empresa</v>
      </c>
      <c r="AC2691" s="13" t="str">
        <f>VLOOKUP(D2691,Clientes!$A$2:$B$486,2,FALSE)</f>
        <v>Jardines de la viña</v>
      </c>
      <c r="AD2691" s="20"/>
      <c r="AE2691" s="20"/>
      <c r="AF2691" s="13" t="s">
        <v>40</v>
      </c>
      <c r="AG2691" s="15">
        <v>45352</v>
      </c>
      <c r="AH2691" s="13" t="s">
        <v>41</v>
      </c>
      <c r="AI2691" s="13" t="s">
        <v>47</v>
      </c>
      <c r="AJ2691" s="13" t="str">
        <f>VLOOKUP(E2691,Precios!Z$2:AA$941,2,FALSE)</f>
        <v>Trapero Algodón TEDDY</v>
      </c>
      <c r="AK2691" s="14">
        <f>VLOOKUP(E2691,Precios!Z$2:BB$941,3,FALSE)*F2691</f>
        <v>-2</v>
      </c>
      <c r="AL2691" s="17"/>
      <c r="AM2691" s="17"/>
      <c r="AN2691" s="17"/>
      <c r="AO2691" s="17"/>
      <c r="AP2691" s="17"/>
      <c r="AQ2691" s="17"/>
      <c r="AR2691" s="17"/>
      <c r="AS2691" s="17"/>
      <c r="AT2691" s="17"/>
      <c r="AU2691" s="17"/>
      <c r="AV2691" s="17"/>
    </row>
    <row r="2692" spans="1:48" ht="15.75" customHeight="1">
      <c r="A2692" s="21" t="s">
        <v>47</v>
      </c>
      <c r="B2692" s="23" t="s">
        <v>1692</v>
      </c>
      <c r="C2692" s="22">
        <v>45729</v>
      </c>
      <c r="D2692" s="23" t="s">
        <v>307</v>
      </c>
      <c r="E2692" s="23" t="s">
        <v>155</v>
      </c>
      <c r="F2692" s="21">
        <v>1</v>
      </c>
      <c r="G2692" s="12">
        <v>3400</v>
      </c>
      <c r="H2692" s="12">
        <v>3400</v>
      </c>
      <c r="I2692" s="23" t="s">
        <v>52</v>
      </c>
      <c r="J2692" s="23" t="s">
        <v>61</v>
      </c>
      <c r="K2692" s="24" t="s">
        <v>177</v>
      </c>
      <c r="L2692" s="24">
        <v>115</v>
      </c>
      <c r="M2692" s="12">
        <v>2857.1428571428573</v>
      </c>
      <c r="N2692" s="12">
        <v>2857.1428571428573</v>
      </c>
      <c r="O2692" s="12">
        <v>542.85714285714266</v>
      </c>
      <c r="P2692" s="13"/>
      <c r="Q2692" s="14">
        <v>2025</v>
      </c>
      <c r="R2692" s="15">
        <v>45352</v>
      </c>
      <c r="S2692" s="11" t="s">
        <v>453</v>
      </c>
      <c r="T2692" s="16">
        <v>0</v>
      </c>
      <c r="U2692" s="17"/>
      <c r="V2692" s="12">
        <v>1255.1428571428573</v>
      </c>
      <c r="W2692" s="12">
        <v>1255.1428571428573</v>
      </c>
      <c r="X2692" s="12">
        <v>0</v>
      </c>
      <c r="Y2692" s="18">
        <v>45726</v>
      </c>
      <c r="Z2692" s="13" t="s">
        <v>505</v>
      </c>
      <c r="AA2692" s="19" t="str">
        <f>VLOOKUP(D2692,Clientes!$A$2:$J$486,9,FALSE)</f>
        <v>regular</v>
      </c>
      <c r="AB2692" s="13" t="str">
        <f>VLOOKUP(D2692,Clientes!$A$2:$K$486,11,FALSE)</f>
        <v>Empresa</v>
      </c>
      <c r="AC2692" s="13" t="str">
        <f>VLOOKUP(D2692,Clientes!$A$2:$B$486,2,FALSE)</f>
        <v>Jardines de la viña</v>
      </c>
      <c r="AD2692" s="20"/>
      <c r="AE2692" s="20"/>
      <c r="AF2692" s="13" t="s">
        <v>40</v>
      </c>
      <c r="AG2692" s="15">
        <v>45352</v>
      </c>
      <c r="AH2692" s="13" t="s">
        <v>41</v>
      </c>
      <c r="AI2692" s="13" t="s">
        <v>47</v>
      </c>
      <c r="AJ2692" s="13" t="str">
        <f>VLOOKUP(E2692,Precios!Z$2:AA$941,2,FALSE)</f>
        <v xml:space="preserve">Bolsas Basura TEDDY 50x70 </v>
      </c>
      <c r="AK2692" s="14">
        <f>VLOOKUP(E2692,Precios!Z$2:BB$941,3,FALSE)*F2692</f>
        <v>-6</v>
      </c>
      <c r="AL2692" s="17"/>
      <c r="AM2692" s="17"/>
      <c r="AN2692" s="17"/>
      <c r="AO2692" s="17"/>
      <c r="AP2692" s="17"/>
      <c r="AQ2692" s="17"/>
      <c r="AR2692" s="17"/>
      <c r="AS2692" s="17"/>
      <c r="AT2692" s="17"/>
      <c r="AU2692" s="17"/>
      <c r="AV2692" s="17"/>
    </row>
    <row r="2693" spans="1:48" ht="15.75" customHeight="1">
      <c r="A2693" s="21" t="s">
        <v>47</v>
      </c>
      <c r="B2693" s="23" t="s">
        <v>1692</v>
      </c>
      <c r="C2693" s="22">
        <v>45729</v>
      </c>
      <c r="D2693" s="23" t="s">
        <v>307</v>
      </c>
      <c r="E2693" s="23" t="s">
        <v>531</v>
      </c>
      <c r="F2693" s="21">
        <v>1</v>
      </c>
      <c r="G2693" s="12">
        <v>8699.5893440033688</v>
      </c>
      <c r="H2693" s="12">
        <v>8699.5893440033688</v>
      </c>
      <c r="I2693" s="23" t="s">
        <v>52</v>
      </c>
      <c r="J2693" s="23" t="s">
        <v>61</v>
      </c>
      <c r="K2693" s="24" t="s">
        <v>177</v>
      </c>
      <c r="L2693" s="24">
        <v>115</v>
      </c>
      <c r="M2693" s="12">
        <v>7310.5792806751006</v>
      </c>
      <c r="N2693" s="12">
        <v>7310.5792806751006</v>
      </c>
      <c r="O2693" s="12">
        <v>1389.0100633282682</v>
      </c>
      <c r="P2693" s="13"/>
      <c r="Q2693" s="14">
        <v>2025</v>
      </c>
      <c r="R2693" s="15">
        <v>45352</v>
      </c>
      <c r="S2693" s="11" t="s">
        <v>453</v>
      </c>
      <c r="T2693" s="16">
        <v>0</v>
      </c>
      <c r="U2693" s="17"/>
      <c r="V2693" s="12">
        <v>2450.5792806751006</v>
      </c>
      <c r="W2693" s="12">
        <v>2450.5792806751006</v>
      </c>
      <c r="X2693" s="12">
        <v>0</v>
      </c>
      <c r="Y2693" s="18">
        <v>45726</v>
      </c>
      <c r="Z2693" s="13" t="s">
        <v>505</v>
      </c>
      <c r="AA2693" s="19" t="str">
        <f>VLOOKUP(D2693,Clientes!$A$2:$J$486,9,FALSE)</f>
        <v>regular</v>
      </c>
      <c r="AB2693" s="13" t="str">
        <f>VLOOKUP(D2693,Clientes!$A$2:$K$486,11,FALSE)</f>
        <v>Empresa</v>
      </c>
      <c r="AC2693" s="13" t="str">
        <f>VLOOKUP(D2693,Clientes!$A$2:$B$486,2,FALSE)</f>
        <v>Jardines de la viña</v>
      </c>
      <c r="AD2693" s="20"/>
      <c r="AE2693" s="20"/>
      <c r="AF2693" s="13" t="s">
        <v>40</v>
      </c>
      <c r="AG2693" s="15">
        <v>45352</v>
      </c>
      <c r="AH2693" s="13" t="s">
        <v>41</v>
      </c>
      <c r="AI2693" s="13" t="s">
        <v>47</v>
      </c>
      <c r="AJ2693" s="13" t="str">
        <f>VLOOKUP(E2693,Precios!Z$2:AA$941,2,FALSE)</f>
        <v xml:space="preserve">Bolsas Basura TEDDY 90x120 </v>
      </c>
      <c r="AK2693" s="14">
        <f>VLOOKUP(E2693,Precios!Z$2:BB$941,3,FALSE)*F2693</f>
        <v>-3</v>
      </c>
      <c r="AL2693" s="17"/>
      <c r="AM2693" s="17"/>
      <c r="AN2693" s="17"/>
      <c r="AO2693" s="17"/>
      <c r="AP2693" s="17"/>
      <c r="AQ2693" s="17"/>
      <c r="AR2693" s="17"/>
      <c r="AS2693" s="17"/>
      <c r="AT2693" s="17"/>
      <c r="AU2693" s="17"/>
      <c r="AV2693" s="17"/>
    </row>
    <row r="2694" spans="1:48" ht="15.75" customHeight="1">
      <c r="A2694" s="21" t="s">
        <v>76</v>
      </c>
      <c r="B2694" s="23" t="s">
        <v>1692</v>
      </c>
      <c r="C2694" s="22">
        <v>45728</v>
      </c>
      <c r="D2694" s="23" t="s">
        <v>338</v>
      </c>
      <c r="E2694" s="23" t="s">
        <v>137</v>
      </c>
      <c r="F2694" s="21">
        <v>1</v>
      </c>
      <c r="G2694" s="12">
        <v>3500.0000000000005</v>
      </c>
      <c r="H2694" s="12">
        <v>3500.0000000000005</v>
      </c>
      <c r="I2694" s="23" t="s">
        <v>52</v>
      </c>
      <c r="J2694" s="23" t="s">
        <v>61</v>
      </c>
      <c r="K2694" s="24" t="s">
        <v>177</v>
      </c>
      <c r="L2694" s="24">
        <v>115</v>
      </c>
      <c r="M2694" s="12">
        <v>2941.1764705882356</v>
      </c>
      <c r="N2694" s="12">
        <v>2941.1764705882356</v>
      </c>
      <c r="O2694" s="12">
        <v>558.82352941176487</v>
      </c>
      <c r="P2694" s="13"/>
      <c r="Q2694" s="14">
        <v>2025</v>
      </c>
      <c r="R2694" s="15">
        <v>45352</v>
      </c>
      <c r="S2694" s="11" t="s">
        <v>406</v>
      </c>
      <c r="T2694" s="16">
        <v>5</v>
      </c>
      <c r="U2694" s="17"/>
      <c r="V2694" s="12">
        <v>848.73949579831969</v>
      </c>
      <c r="W2694" s="12">
        <v>848.73949579831969</v>
      </c>
      <c r="X2694" s="12">
        <v>0</v>
      </c>
      <c r="Y2694" s="18">
        <v>45726</v>
      </c>
      <c r="Z2694" s="13" t="s">
        <v>515</v>
      </c>
      <c r="AA2694" s="19" t="str">
        <f>VLOOKUP(D2694,Clientes!$A$2:$J$486,9,FALSE)</f>
        <v>Frecuente</v>
      </c>
      <c r="AB2694" s="13" t="str">
        <f>VLOOKUP(D2694,Clientes!$A$2:$K$486,11,FALSE)</f>
        <v>Persona Natural</v>
      </c>
      <c r="AC2694" s="13" t="str">
        <f>VLOOKUP(D2694,Clientes!$A$2:$B$486,2,FALSE)</f>
        <v>Sector Colombia</v>
      </c>
      <c r="AD2694" s="20"/>
      <c r="AE2694" s="20"/>
      <c r="AF2694" s="13" t="s">
        <v>40</v>
      </c>
      <c r="AG2694" s="15">
        <v>45352</v>
      </c>
      <c r="AH2694" s="13" t="s">
        <v>41</v>
      </c>
      <c r="AI2694" s="13" t="s">
        <v>76</v>
      </c>
      <c r="AJ2694" s="13" t="str">
        <f>VLOOKUP(E2694,Precios!Z$2:AA$941,2,FALSE)</f>
        <v>Detergente SPUM 5 Litros (Blanco)</v>
      </c>
      <c r="AK2694" s="14">
        <f>VLOOKUP(E2694,Precios!Z$2:BB$941,3,FALSE)*F2694</f>
        <v>-1</v>
      </c>
      <c r="AL2694" s="17"/>
      <c r="AM2694" s="17"/>
      <c r="AN2694" s="17"/>
      <c r="AO2694" s="17"/>
      <c r="AP2694" s="17"/>
      <c r="AQ2694" s="17"/>
      <c r="AR2694" s="17"/>
      <c r="AS2694" s="17"/>
      <c r="AT2694" s="17"/>
      <c r="AU2694" s="17"/>
      <c r="AV2694" s="17"/>
    </row>
    <row r="2695" spans="1:48" ht="15.75" customHeight="1">
      <c r="A2695" s="21" t="s">
        <v>43</v>
      </c>
      <c r="B2695" s="23" t="s">
        <v>1692</v>
      </c>
      <c r="C2695" s="22">
        <v>45728</v>
      </c>
      <c r="D2695" s="23" t="s">
        <v>653</v>
      </c>
      <c r="E2695" s="23" t="s">
        <v>45</v>
      </c>
      <c r="F2695" s="21">
        <v>1</v>
      </c>
      <c r="G2695" s="12">
        <v>8000.2951245425575</v>
      </c>
      <c r="H2695" s="12">
        <v>8000.2951245425575</v>
      </c>
      <c r="I2695" s="23" t="s">
        <v>52</v>
      </c>
      <c r="J2695" s="23" t="s">
        <v>61</v>
      </c>
      <c r="K2695" s="24" t="s">
        <v>177</v>
      </c>
      <c r="L2695" s="24">
        <v>115</v>
      </c>
      <c r="M2695" s="12">
        <v>6722.9370794475271</v>
      </c>
      <c r="N2695" s="12">
        <v>6722.9370794475271</v>
      </c>
      <c r="O2695" s="12">
        <v>1277.3580450950303</v>
      </c>
      <c r="P2695" s="13"/>
      <c r="Q2695" s="14">
        <v>2025</v>
      </c>
      <c r="R2695" s="15">
        <v>45352</v>
      </c>
      <c r="S2695" s="11" t="s">
        <v>355</v>
      </c>
      <c r="T2695" s="16">
        <v>0</v>
      </c>
      <c r="U2695" s="17"/>
      <c r="V2695" s="12">
        <v>1027.9370794475271</v>
      </c>
      <c r="W2695" s="12">
        <v>1027.9370794475271</v>
      </c>
      <c r="X2695" s="12">
        <v>0</v>
      </c>
      <c r="Y2695" s="18">
        <v>45726</v>
      </c>
      <c r="Z2695" s="13" t="s">
        <v>515</v>
      </c>
      <c r="AA2695" s="19" t="str">
        <f>VLOOKUP(D2695,Clientes!$A$2:$J$486,9,FALSE)</f>
        <v>Ocacional</v>
      </c>
      <c r="AB2695" s="13" t="str">
        <f>VLOOKUP(D2695,Clientes!$A$2:$K$486,11,FALSE)</f>
        <v>Persona Natural</v>
      </c>
      <c r="AC2695" s="13" t="str">
        <f>VLOOKUP(D2695,Clientes!$A$2:$B$486,2,FALSE)</f>
        <v>Cumbres de la Viña</v>
      </c>
      <c r="AD2695" s="20"/>
      <c r="AE2695" s="20"/>
      <c r="AF2695" s="13" t="s">
        <v>40</v>
      </c>
      <c r="AG2695" s="15">
        <v>45352</v>
      </c>
      <c r="AH2695" s="13" t="s">
        <v>41</v>
      </c>
      <c r="AI2695" s="13" t="s">
        <v>43</v>
      </c>
      <c r="AJ2695" s="13" t="str">
        <f>VLOOKUP(E2695,Precios!Z$2:AA$941,2,FALSE)</f>
        <v>Bandeja Huevos EXTRA</v>
      </c>
      <c r="AK2695" s="14">
        <f>VLOOKUP(E2695,Precios!Z$2:BB$941,3,FALSE)*F2695</f>
        <v>-1</v>
      </c>
      <c r="AL2695" s="17"/>
      <c r="AM2695" s="17"/>
      <c r="AN2695" s="17"/>
      <c r="AO2695" s="17"/>
      <c r="AP2695" s="17"/>
      <c r="AQ2695" s="17"/>
      <c r="AR2695" s="17"/>
      <c r="AS2695" s="17"/>
      <c r="AT2695" s="17"/>
      <c r="AU2695" s="17"/>
      <c r="AV2695" s="17"/>
    </row>
    <row r="2696" spans="1:48" ht="15.75" customHeight="1">
      <c r="A2696" s="21" t="s">
        <v>43</v>
      </c>
      <c r="B2696" s="23" t="s">
        <v>1692</v>
      </c>
      <c r="C2696" s="22">
        <v>45728</v>
      </c>
      <c r="D2696" s="23" t="s">
        <v>113</v>
      </c>
      <c r="E2696" s="23" t="s">
        <v>45</v>
      </c>
      <c r="F2696" s="21">
        <v>1</v>
      </c>
      <c r="G2696" s="12">
        <v>8000.2951245425575</v>
      </c>
      <c r="H2696" s="12">
        <v>8000.2951245425575</v>
      </c>
      <c r="I2696" s="23" t="s">
        <v>52</v>
      </c>
      <c r="J2696" s="23" t="s">
        <v>61</v>
      </c>
      <c r="K2696" s="24" t="s">
        <v>177</v>
      </c>
      <c r="L2696" s="24">
        <v>115</v>
      </c>
      <c r="M2696" s="12">
        <v>6722.9370794475271</v>
      </c>
      <c r="N2696" s="12">
        <v>6722.9370794475271</v>
      </c>
      <c r="O2696" s="12">
        <v>1277.3580450950303</v>
      </c>
      <c r="P2696" s="13"/>
      <c r="Q2696" s="14">
        <v>2025</v>
      </c>
      <c r="R2696" s="15">
        <v>45352</v>
      </c>
      <c r="S2696" s="11" t="s">
        <v>355</v>
      </c>
      <c r="T2696" s="16">
        <v>0</v>
      </c>
      <c r="U2696" s="17"/>
      <c r="V2696" s="12">
        <v>1027.9370794475271</v>
      </c>
      <c r="W2696" s="12">
        <v>1027.9370794475271</v>
      </c>
      <c r="X2696" s="12">
        <v>0</v>
      </c>
      <c r="Y2696" s="18">
        <v>45726</v>
      </c>
      <c r="Z2696" s="13" t="s">
        <v>515</v>
      </c>
      <c r="AA2696" s="19" t="str">
        <f>VLOOKUP(D2696,Clientes!$A$2:$J$486,9,FALSE)</f>
        <v>Ocacional</v>
      </c>
      <c r="AB2696" s="13" t="str">
        <f>VLOOKUP(D2696,Clientes!$A$2:$K$486,11,FALSE)</f>
        <v>Persona Natural</v>
      </c>
      <c r="AC2696" s="13" t="str">
        <f>VLOOKUP(D2696,Clientes!$A$2:$B$486,2,FALSE)</f>
        <v>Jardines de la viña</v>
      </c>
      <c r="AD2696" s="20"/>
      <c r="AE2696" s="20"/>
      <c r="AF2696" s="13" t="s">
        <v>40</v>
      </c>
      <c r="AG2696" s="15">
        <v>45352</v>
      </c>
      <c r="AH2696" s="13" t="s">
        <v>41</v>
      </c>
      <c r="AI2696" s="13" t="s">
        <v>43</v>
      </c>
      <c r="AJ2696" s="13" t="str">
        <f>VLOOKUP(E2696,Precios!Z$2:AA$941,2,FALSE)</f>
        <v>Bandeja Huevos EXTRA</v>
      </c>
      <c r="AK2696" s="14">
        <f>VLOOKUP(E2696,Precios!Z$2:BB$941,3,FALSE)*F2696</f>
        <v>-1</v>
      </c>
      <c r="AL2696" s="17"/>
      <c r="AM2696" s="17"/>
      <c r="AN2696" s="17"/>
      <c r="AO2696" s="17"/>
      <c r="AP2696" s="17"/>
      <c r="AQ2696" s="17"/>
      <c r="AR2696" s="17"/>
      <c r="AS2696" s="17"/>
      <c r="AT2696" s="17"/>
      <c r="AU2696" s="17"/>
      <c r="AV2696" s="17"/>
    </row>
    <row r="2697" spans="1:48" ht="15.75" customHeight="1">
      <c r="A2697" s="21" t="s">
        <v>53</v>
      </c>
      <c r="B2697" s="23" t="s">
        <v>1692</v>
      </c>
      <c r="C2697" s="22">
        <v>45728</v>
      </c>
      <c r="D2697" s="23" t="s">
        <v>113</v>
      </c>
      <c r="E2697" s="23" t="s">
        <v>55</v>
      </c>
      <c r="F2697" s="21">
        <v>1</v>
      </c>
      <c r="G2697" s="12">
        <v>19989.738327347361</v>
      </c>
      <c r="H2697" s="12">
        <v>19989.738327347361</v>
      </c>
      <c r="I2697" s="23" t="s">
        <v>52</v>
      </c>
      <c r="J2697" s="23" t="s">
        <v>61</v>
      </c>
      <c r="K2697" s="24" t="s">
        <v>177</v>
      </c>
      <c r="L2697" s="24">
        <v>115</v>
      </c>
      <c r="M2697" s="12">
        <v>16798.099434745684</v>
      </c>
      <c r="N2697" s="12">
        <v>16798.099434745684</v>
      </c>
      <c r="O2697" s="12">
        <v>3191.6388926016771</v>
      </c>
      <c r="P2697" s="13"/>
      <c r="Q2697" s="14">
        <v>2025</v>
      </c>
      <c r="R2697" s="15">
        <v>45352</v>
      </c>
      <c r="S2697" s="11" t="s">
        <v>366</v>
      </c>
      <c r="T2697" s="16">
        <v>0</v>
      </c>
      <c r="U2697" s="17"/>
      <c r="V2697" s="12">
        <v>3702.3011154179476</v>
      </c>
      <c r="W2697" s="12">
        <v>3702.3011154179476</v>
      </c>
      <c r="X2697" s="12">
        <v>0</v>
      </c>
      <c r="Y2697" s="18">
        <v>45726</v>
      </c>
      <c r="Z2697" s="13" t="s">
        <v>515</v>
      </c>
      <c r="AA2697" s="19" t="str">
        <f>VLOOKUP(D2697,Clientes!$A$2:$J$486,9,FALSE)</f>
        <v>Ocacional</v>
      </c>
      <c r="AB2697" s="13" t="str">
        <f>VLOOKUP(D2697,Clientes!$A$2:$K$486,11,FALSE)</f>
        <v>Persona Natural</v>
      </c>
      <c r="AC2697" s="13" t="str">
        <f>VLOOKUP(D2697,Clientes!$A$2:$B$486,2,FALSE)</f>
        <v>Jardines de la viña</v>
      </c>
      <c r="AD2697" s="20"/>
      <c r="AE2697" s="20"/>
      <c r="AF2697" s="13" t="s">
        <v>40</v>
      </c>
      <c r="AG2697" s="15">
        <v>45352</v>
      </c>
      <c r="AH2697" s="13" t="s">
        <v>41</v>
      </c>
      <c r="AI2697" s="13" t="s">
        <v>53</v>
      </c>
      <c r="AJ2697" s="13" t="str">
        <f>VLOOKUP(E2697,Precios!Z$2:AA$941,2,FALSE)</f>
        <v>Papel Higienico ELITE 50 metros</v>
      </c>
      <c r="AK2697" s="14">
        <f>VLOOKUP(E2697,Precios!Z$2:BB$941,3,FALSE)*F2697</f>
        <v>-8</v>
      </c>
      <c r="AL2697" s="17"/>
      <c r="AM2697" s="17"/>
      <c r="AN2697" s="17"/>
      <c r="AO2697" s="17"/>
      <c r="AP2697" s="17"/>
      <c r="AQ2697" s="17"/>
      <c r="AR2697" s="17"/>
      <c r="AS2697" s="17"/>
      <c r="AT2697" s="17"/>
      <c r="AU2697" s="17"/>
      <c r="AV2697" s="17"/>
    </row>
    <row r="2698" spans="1:48" ht="15.75" customHeight="1">
      <c r="A2698" s="21" t="s">
        <v>43</v>
      </c>
      <c r="B2698" s="23" t="s">
        <v>1692</v>
      </c>
      <c r="C2698" s="22">
        <v>45728</v>
      </c>
      <c r="D2698" s="23" t="s">
        <v>131</v>
      </c>
      <c r="E2698" s="23" t="s">
        <v>45</v>
      </c>
      <c r="F2698" s="21">
        <v>1</v>
      </c>
      <c r="G2698" s="12">
        <v>8000.2951245425575</v>
      </c>
      <c r="H2698" s="12">
        <v>8000.2951245425575</v>
      </c>
      <c r="I2698" s="23" t="s">
        <v>52</v>
      </c>
      <c r="J2698" s="23" t="s">
        <v>61</v>
      </c>
      <c r="K2698" s="24" t="s">
        <v>177</v>
      </c>
      <c r="L2698" s="24">
        <v>115</v>
      </c>
      <c r="M2698" s="12">
        <v>6722.9370794475271</v>
      </c>
      <c r="N2698" s="12">
        <v>6722.9370794475271</v>
      </c>
      <c r="O2698" s="12">
        <v>1277.3580450950303</v>
      </c>
      <c r="P2698" s="13"/>
      <c r="Q2698" s="14">
        <v>2025</v>
      </c>
      <c r="R2698" s="15">
        <v>45352</v>
      </c>
      <c r="S2698" s="11" t="s">
        <v>355</v>
      </c>
      <c r="T2698" s="16">
        <v>0</v>
      </c>
      <c r="U2698" s="17"/>
      <c r="V2698" s="12">
        <v>1027.9370794475271</v>
      </c>
      <c r="W2698" s="12">
        <v>1027.9370794475271</v>
      </c>
      <c r="X2698" s="12">
        <v>0</v>
      </c>
      <c r="Y2698" s="18">
        <v>45726</v>
      </c>
      <c r="Z2698" s="13" t="s">
        <v>515</v>
      </c>
      <c r="AA2698" s="19" t="str">
        <f>VLOOKUP(D2698,Clientes!$A$2:$J$486,9,FALSE)</f>
        <v>Frecuente</v>
      </c>
      <c r="AB2698" s="13" t="str">
        <f>VLOOKUP(D2698,Clientes!$A$2:$K$486,11,FALSE)</f>
        <v>Persona Natural</v>
      </c>
      <c r="AC2698" s="13" t="str">
        <f>VLOOKUP(D2698,Clientes!$A$2:$B$486,2,FALSE)</f>
        <v>Jardines de la viña</v>
      </c>
      <c r="AD2698" s="20"/>
      <c r="AE2698" s="20"/>
      <c r="AF2698" s="13" t="s">
        <v>40</v>
      </c>
      <c r="AG2698" s="15">
        <v>45352</v>
      </c>
      <c r="AH2698" s="13" t="s">
        <v>41</v>
      </c>
      <c r="AI2698" s="13" t="s">
        <v>43</v>
      </c>
      <c r="AJ2698" s="13" t="str">
        <f>VLOOKUP(E2698,Precios!Z$2:AA$941,2,FALSE)</f>
        <v>Bandeja Huevos EXTRA</v>
      </c>
      <c r="AK2698" s="14">
        <f>VLOOKUP(E2698,Precios!Z$2:BB$941,3,FALSE)*F2698</f>
        <v>-1</v>
      </c>
      <c r="AL2698" s="17"/>
      <c r="AM2698" s="17"/>
      <c r="AN2698" s="17"/>
      <c r="AO2698" s="17"/>
      <c r="AP2698" s="17"/>
      <c r="AQ2698" s="17"/>
      <c r="AR2698" s="17"/>
      <c r="AS2698" s="17"/>
      <c r="AT2698" s="17"/>
      <c r="AU2698" s="17"/>
      <c r="AV2698" s="17"/>
    </row>
    <row r="2699" spans="1:48" ht="15.75" customHeight="1">
      <c r="A2699" s="21" t="s">
        <v>43</v>
      </c>
      <c r="B2699" s="23" t="s">
        <v>1692</v>
      </c>
      <c r="C2699" s="22">
        <v>45728</v>
      </c>
      <c r="D2699" s="23" t="s">
        <v>241</v>
      </c>
      <c r="E2699" s="23" t="s">
        <v>45</v>
      </c>
      <c r="F2699" s="21">
        <v>1</v>
      </c>
      <c r="G2699" s="12">
        <v>8000.2951245425575</v>
      </c>
      <c r="H2699" s="12">
        <v>8000.2951245425575</v>
      </c>
      <c r="I2699" s="23" t="s">
        <v>52</v>
      </c>
      <c r="J2699" s="23" t="s">
        <v>61</v>
      </c>
      <c r="K2699" s="24" t="s">
        <v>177</v>
      </c>
      <c r="L2699" s="24">
        <v>115</v>
      </c>
      <c r="M2699" s="12">
        <v>6722.9370794475271</v>
      </c>
      <c r="N2699" s="12">
        <v>6722.9370794475271</v>
      </c>
      <c r="O2699" s="12">
        <v>1277.3580450950303</v>
      </c>
      <c r="P2699" s="13"/>
      <c r="Q2699" s="14">
        <v>2025</v>
      </c>
      <c r="R2699" s="15">
        <v>45352</v>
      </c>
      <c r="S2699" s="11" t="s">
        <v>355</v>
      </c>
      <c r="T2699" s="16">
        <v>0</v>
      </c>
      <c r="U2699" s="17"/>
      <c r="V2699" s="12">
        <v>1027.9370794475271</v>
      </c>
      <c r="W2699" s="12">
        <v>1027.9370794475271</v>
      </c>
      <c r="X2699" s="12">
        <v>0</v>
      </c>
      <c r="Y2699" s="18">
        <v>45726</v>
      </c>
      <c r="Z2699" s="13" t="s">
        <v>515</v>
      </c>
      <c r="AA2699" s="19" t="str">
        <f>VLOOKUP(D2699,Clientes!$A$2:$J$486,9,FALSE)</f>
        <v>Ocacional</v>
      </c>
      <c r="AB2699" s="13" t="str">
        <f>VLOOKUP(D2699,Clientes!$A$2:$K$486,11,FALSE)</f>
        <v>Persona Natural</v>
      </c>
      <c r="AC2699" s="13" t="str">
        <f>VLOOKUP(D2699,Clientes!$A$2:$B$486,2,FALSE)</f>
        <v>Colombia</v>
      </c>
      <c r="AD2699" s="20"/>
      <c r="AE2699" s="20"/>
      <c r="AF2699" s="13" t="s">
        <v>40</v>
      </c>
      <c r="AG2699" s="15">
        <v>45352</v>
      </c>
      <c r="AH2699" s="13" t="s">
        <v>41</v>
      </c>
      <c r="AI2699" s="13" t="s">
        <v>43</v>
      </c>
      <c r="AJ2699" s="13" t="str">
        <f>VLOOKUP(E2699,Precios!Z$2:AA$941,2,FALSE)</f>
        <v>Bandeja Huevos EXTRA</v>
      </c>
      <c r="AK2699" s="14">
        <f>VLOOKUP(E2699,Precios!Z$2:BB$941,3,FALSE)*F2699</f>
        <v>-1</v>
      </c>
      <c r="AL2699" s="17"/>
      <c r="AM2699" s="17"/>
      <c r="AN2699" s="17"/>
      <c r="AO2699" s="17"/>
      <c r="AP2699" s="17"/>
      <c r="AQ2699" s="17"/>
      <c r="AR2699" s="17"/>
      <c r="AS2699" s="17"/>
      <c r="AT2699" s="17"/>
      <c r="AU2699" s="17"/>
      <c r="AV2699" s="17"/>
    </row>
    <row r="2700" spans="1:48" ht="15.75" customHeight="1">
      <c r="A2700" s="21" t="s">
        <v>43</v>
      </c>
      <c r="B2700" s="23" t="s">
        <v>1692</v>
      </c>
      <c r="C2700" s="22">
        <v>45728</v>
      </c>
      <c r="D2700" s="23" t="s">
        <v>239</v>
      </c>
      <c r="E2700" s="23" t="s">
        <v>45</v>
      </c>
      <c r="F2700" s="21">
        <v>2</v>
      </c>
      <c r="G2700" s="12">
        <v>8000.2951245425575</v>
      </c>
      <c r="H2700" s="12">
        <v>16000.590249085115</v>
      </c>
      <c r="I2700" s="23" t="s">
        <v>52</v>
      </c>
      <c r="J2700" s="23" t="s">
        <v>61</v>
      </c>
      <c r="K2700" s="24" t="s">
        <v>177</v>
      </c>
      <c r="L2700" s="24">
        <v>115</v>
      </c>
      <c r="M2700" s="12">
        <v>6722.9370794475271</v>
      </c>
      <c r="N2700" s="12">
        <v>13445.874158895054</v>
      </c>
      <c r="O2700" s="12">
        <v>2554.7160901900606</v>
      </c>
      <c r="P2700" s="13"/>
      <c r="Q2700" s="14">
        <v>2025</v>
      </c>
      <c r="R2700" s="15">
        <v>45352</v>
      </c>
      <c r="S2700" s="11" t="s">
        <v>355</v>
      </c>
      <c r="T2700" s="16">
        <v>0</v>
      </c>
      <c r="U2700" s="17"/>
      <c r="V2700" s="12">
        <v>2055.8741588950543</v>
      </c>
      <c r="W2700" s="12">
        <v>2055.8741588950543</v>
      </c>
      <c r="X2700" s="12">
        <v>0</v>
      </c>
      <c r="Y2700" s="18">
        <v>45726</v>
      </c>
      <c r="Z2700" s="13" t="s">
        <v>515</v>
      </c>
      <c r="AA2700" s="19" t="str">
        <f>VLOOKUP(D2700,Clientes!$A$2:$J$486,9,FALSE)</f>
        <v>Ocacional</v>
      </c>
      <c r="AB2700" s="13" t="str">
        <f>VLOOKUP(D2700,Clientes!$A$2:$K$486,11,FALSE)</f>
        <v>Persona Natural</v>
      </c>
      <c r="AC2700" s="13" t="str">
        <f>VLOOKUP(D2700,Clientes!$A$2:$B$486,2,FALSE)</f>
        <v>Alicachue</v>
      </c>
      <c r="AD2700" s="20"/>
      <c r="AE2700" s="20"/>
      <c r="AF2700" s="13" t="s">
        <v>40</v>
      </c>
      <c r="AG2700" s="15">
        <v>45352</v>
      </c>
      <c r="AH2700" s="13" t="s">
        <v>41</v>
      </c>
      <c r="AI2700" s="13" t="s">
        <v>43</v>
      </c>
      <c r="AJ2700" s="13" t="str">
        <f>VLOOKUP(E2700,Precios!Z$2:AA$941,2,FALSE)</f>
        <v>Bandeja Huevos EXTRA</v>
      </c>
      <c r="AK2700" s="14">
        <f>VLOOKUP(E2700,Precios!Z$2:BB$941,3,FALSE)*F2700</f>
        <v>-2</v>
      </c>
      <c r="AL2700" s="17"/>
      <c r="AM2700" s="17"/>
      <c r="AN2700" s="17"/>
      <c r="AO2700" s="17"/>
      <c r="AP2700" s="17"/>
      <c r="AQ2700" s="17"/>
      <c r="AR2700" s="17"/>
      <c r="AS2700" s="17"/>
      <c r="AT2700" s="17"/>
      <c r="AU2700" s="17"/>
      <c r="AV2700" s="17"/>
    </row>
    <row r="2701" spans="1:48" ht="15.75" customHeight="1">
      <c r="A2701" s="21" t="s">
        <v>147</v>
      </c>
      <c r="B2701" s="23" t="s">
        <v>1692</v>
      </c>
      <c r="C2701" s="22">
        <v>45728</v>
      </c>
      <c r="D2701" s="23" t="s">
        <v>459</v>
      </c>
      <c r="E2701" s="23" t="s">
        <v>149</v>
      </c>
      <c r="F2701" s="21">
        <v>1</v>
      </c>
      <c r="G2701" s="12">
        <v>1700</v>
      </c>
      <c r="H2701" s="12">
        <v>1700</v>
      </c>
      <c r="I2701" s="23" t="s">
        <v>52</v>
      </c>
      <c r="J2701" s="23" t="s">
        <v>61</v>
      </c>
      <c r="K2701" s="24" t="s">
        <v>177</v>
      </c>
      <c r="L2701" s="24">
        <v>115</v>
      </c>
      <c r="M2701" s="12">
        <v>1428.5714285714287</v>
      </c>
      <c r="N2701" s="12">
        <v>1428.5714285714287</v>
      </c>
      <c r="O2701" s="12">
        <v>271.42857142857133</v>
      </c>
      <c r="P2701" s="13"/>
      <c r="Q2701" s="14">
        <v>2025</v>
      </c>
      <c r="R2701" s="15">
        <v>45352</v>
      </c>
      <c r="S2701" s="11" t="s">
        <v>412</v>
      </c>
      <c r="T2701" s="16">
        <v>0</v>
      </c>
      <c r="U2701" s="17"/>
      <c r="V2701" s="12">
        <v>774.78991596638662</v>
      </c>
      <c r="W2701" s="12">
        <v>774.78991596638662</v>
      </c>
      <c r="X2701" s="12">
        <v>0</v>
      </c>
      <c r="Y2701" s="18">
        <v>45726</v>
      </c>
      <c r="Z2701" s="13" t="s">
        <v>515</v>
      </c>
      <c r="AA2701" s="19" t="str">
        <f>VLOOKUP(D2701,Clientes!$A$2:$J$486,9,FALSE)</f>
        <v>Ocacional</v>
      </c>
      <c r="AB2701" s="13" t="str">
        <f>VLOOKUP(D2701,Clientes!$A$2:$K$486,11,FALSE)</f>
        <v>Persona Natural</v>
      </c>
      <c r="AC2701" s="13" t="str">
        <f>VLOOKUP(D2701,Clientes!$A$2:$B$486,2,FALSE)</f>
        <v>Jardines de la viña</v>
      </c>
      <c r="AD2701" s="20"/>
      <c r="AE2701" s="20"/>
      <c r="AF2701" s="13" t="s">
        <v>40</v>
      </c>
      <c r="AG2701" s="15">
        <v>45352</v>
      </c>
      <c r="AH2701" s="13" t="s">
        <v>41</v>
      </c>
      <c r="AI2701" s="13" t="s">
        <v>147</v>
      </c>
      <c r="AJ2701" s="13" t="str">
        <f>VLOOKUP(E2701,Precios!Z$2:AA$941,2,FALSE)</f>
        <v>Film Plástico 30 metros</v>
      </c>
      <c r="AK2701" s="14">
        <f>VLOOKUP(E2701,Precios!Z$2:BB$941,3,FALSE)*F2701</f>
        <v>-1</v>
      </c>
      <c r="AL2701" s="17"/>
      <c r="AM2701" s="17"/>
      <c r="AN2701" s="17"/>
      <c r="AO2701" s="17"/>
      <c r="AP2701" s="17"/>
      <c r="AQ2701" s="17"/>
      <c r="AR2701" s="17"/>
      <c r="AS2701" s="17"/>
      <c r="AT2701" s="17"/>
      <c r="AU2701" s="17"/>
      <c r="AV2701" s="17"/>
    </row>
    <row r="2702" spans="1:48" ht="15.75" customHeight="1">
      <c r="A2702" s="21" t="s">
        <v>47</v>
      </c>
      <c r="B2702" s="23" t="s">
        <v>1692</v>
      </c>
      <c r="C2702" s="22">
        <v>45728</v>
      </c>
      <c r="D2702" s="23" t="s">
        <v>459</v>
      </c>
      <c r="E2702" s="23" t="s">
        <v>344</v>
      </c>
      <c r="F2702" s="21">
        <v>1</v>
      </c>
      <c r="G2702" s="12">
        <v>2400.1353637901861</v>
      </c>
      <c r="H2702" s="12">
        <v>2400.1353637901861</v>
      </c>
      <c r="I2702" s="23" t="s">
        <v>52</v>
      </c>
      <c r="J2702" s="23" t="s">
        <v>61</v>
      </c>
      <c r="K2702" s="24" t="s">
        <v>177</v>
      </c>
      <c r="L2702" s="24">
        <v>115</v>
      </c>
      <c r="M2702" s="12">
        <v>2016.9204737732657</v>
      </c>
      <c r="N2702" s="12">
        <v>2016.9204737732657</v>
      </c>
      <c r="O2702" s="12">
        <v>383.21489001692044</v>
      </c>
      <c r="P2702" s="13"/>
      <c r="Q2702" s="14">
        <v>2025</v>
      </c>
      <c r="R2702" s="15">
        <v>45352</v>
      </c>
      <c r="S2702" s="11" t="s">
        <v>372</v>
      </c>
      <c r="T2702" s="16">
        <v>0</v>
      </c>
      <c r="U2702" s="17"/>
      <c r="V2702" s="12">
        <v>824.92047377326571</v>
      </c>
      <c r="W2702" s="12">
        <v>824.92047377326571</v>
      </c>
      <c r="X2702" s="12">
        <v>0</v>
      </c>
      <c r="Y2702" s="18">
        <v>45726</v>
      </c>
      <c r="Z2702" s="13" t="s">
        <v>515</v>
      </c>
      <c r="AA2702" s="19" t="str">
        <f>VLOOKUP(D2702,Clientes!$A$2:$J$486,9,FALSE)</f>
        <v>Ocacional</v>
      </c>
      <c r="AB2702" s="13" t="str">
        <f>VLOOKUP(D2702,Clientes!$A$2:$K$486,11,FALSE)</f>
        <v>Persona Natural</v>
      </c>
      <c r="AC2702" s="13" t="str">
        <f>VLOOKUP(D2702,Clientes!$A$2:$B$486,2,FALSE)</f>
        <v>Jardines de la viña</v>
      </c>
      <c r="AD2702" s="20"/>
      <c r="AE2702" s="20"/>
      <c r="AF2702" s="13" t="s">
        <v>40</v>
      </c>
      <c r="AG2702" s="15">
        <v>45352</v>
      </c>
      <c r="AH2702" s="13" t="s">
        <v>41</v>
      </c>
      <c r="AI2702" s="13" t="s">
        <v>47</v>
      </c>
      <c r="AJ2702" s="13" t="str">
        <f>VLOOKUP(E2702,Precios!Z$2:AA$941,2,FALSE)</f>
        <v>Traperos Humedos TEDDY</v>
      </c>
      <c r="AK2702" s="14">
        <f>VLOOKUP(E2702,Precios!Z$2:BB$941,3,FALSE)*F2702</f>
        <v>-1</v>
      </c>
      <c r="AL2702" s="17"/>
      <c r="AM2702" s="17"/>
      <c r="AN2702" s="17"/>
      <c r="AO2702" s="17"/>
      <c r="AP2702" s="17"/>
      <c r="AQ2702" s="17"/>
      <c r="AR2702" s="17"/>
      <c r="AS2702" s="17"/>
      <c r="AT2702" s="17"/>
      <c r="AU2702" s="17"/>
      <c r="AV2702" s="17"/>
    </row>
    <row r="2703" spans="1:48" ht="15.75" customHeight="1">
      <c r="A2703" s="21" t="s">
        <v>47</v>
      </c>
      <c r="B2703" s="23" t="s">
        <v>1692</v>
      </c>
      <c r="C2703" s="22">
        <v>45728</v>
      </c>
      <c r="D2703" s="23" t="s">
        <v>459</v>
      </c>
      <c r="E2703" s="23" t="s">
        <v>107</v>
      </c>
      <c r="F2703" s="21">
        <v>1</v>
      </c>
      <c r="G2703" s="12">
        <v>3000.0000000000005</v>
      </c>
      <c r="H2703" s="12">
        <v>3000.0000000000005</v>
      </c>
      <c r="I2703" s="23" t="s">
        <v>52</v>
      </c>
      <c r="J2703" s="23" t="s">
        <v>61</v>
      </c>
      <c r="K2703" s="24" t="s">
        <v>177</v>
      </c>
      <c r="L2703" s="24">
        <v>115</v>
      </c>
      <c r="M2703" s="12">
        <v>2521.0084033613452</v>
      </c>
      <c r="N2703" s="12">
        <v>2521.0084033613452</v>
      </c>
      <c r="O2703" s="12">
        <v>478.99159663865521</v>
      </c>
      <c r="P2703" s="13"/>
      <c r="Q2703" s="14">
        <v>2025</v>
      </c>
      <c r="R2703" s="15">
        <v>45352</v>
      </c>
      <c r="S2703" s="11" t="s">
        <v>453</v>
      </c>
      <c r="T2703" s="16">
        <v>0</v>
      </c>
      <c r="U2703" s="17"/>
      <c r="V2703" s="12">
        <v>758.82352941176487</v>
      </c>
      <c r="W2703" s="12">
        <v>758.82352941176487</v>
      </c>
      <c r="X2703" s="12">
        <v>0</v>
      </c>
      <c r="Y2703" s="18">
        <v>45726</v>
      </c>
      <c r="Z2703" s="13" t="s">
        <v>515</v>
      </c>
      <c r="AA2703" s="19" t="str">
        <f>VLOOKUP(D2703,Clientes!$A$2:$J$486,9,FALSE)</f>
        <v>Ocacional</v>
      </c>
      <c r="AB2703" s="13" t="str">
        <f>VLOOKUP(D2703,Clientes!$A$2:$K$486,11,FALSE)</f>
        <v>Persona Natural</v>
      </c>
      <c r="AC2703" s="13" t="str">
        <f>VLOOKUP(D2703,Clientes!$A$2:$B$486,2,FALSE)</f>
        <v>Jardines de la viña</v>
      </c>
      <c r="AD2703" s="20"/>
      <c r="AE2703" s="20"/>
      <c r="AF2703" s="13" t="s">
        <v>40</v>
      </c>
      <c r="AG2703" s="15">
        <v>45352</v>
      </c>
      <c r="AH2703" s="13" t="s">
        <v>41</v>
      </c>
      <c r="AI2703" s="13" t="s">
        <v>47</v>
      </c>
      <c r="AJ2703" s="13" t="str">
        <f>VLOOKUP(E2703,Precios!Z$2:AA$941,2,FALSE)</f>
        <v xml:space="preserve">Bolsas Basura TEDDY 90x120 </v>
      </c>
      <c r="AK2703" s="14">
        <f>VLOOKUP(E2703,Precios!Z$2:BB$941,3,FALSE)*F2703</f>
        <v>-1</v>
      </c>
      <c r="AL2703" s="17"/>
      <c r="AM2703" s="17"/>
      <c r="AN2703" s="17"/>
      <c r="AO2703" s="17"/>
      <c r="AP2703" s="17"/>
      <c r="AQ2703" s="17"/>
      <c r="AR2703" s="17"/>
      <c r="AS2703" s="17"/>
      <c r="AT2703" s="17"/>
      <c r="AU2703" s="17"/>
      <c r="AV2703" s="17"/>
    </row>
    <row r="2704" spans="1:48" ht="15.75" customHeight="1">
      <c r="A2704" s="21" t="s">
        <v>35</v>
      </c>
      <c r="B2704" s="23" t="s">
        <v>1692</v>
      </c>
      <c r="C2704" s="22">
        <v>45728</v>
      </c>
      <c r="D2704" s="23" t="s">
        <v>915</v>
      </c>
      <c r="E2704" s="23" t="s">
        <v>37</v>
      </c>
      <c r="F2704" s="21">
        <v>1</v>
      </c>
      <c r="G2704" s="12">
        <v>10500</v>
      </c>
      <c r="H2704" s="34">
        <v>10500</v>
      </c>
      <c r="I2704" s="23" t="s">
        <v>52</v>
      </c>
      <c r="J2704" s="23" t="s">
        <v>61</v>
      </c>
      <c r="K2704" s="24" t="s">
        <v>177</v>
      </c>
      <c r="L2704" s="24">
        <v>115</v>
      </c>
      <c r="M2704" s="12">
        <v>8823.5294117647063</v>
      </c>
      <c r="N2704" s="12">
        <v>8823.5294117647063</v>
      </c>
      <c r="O2704" s="12">
        <v>1676.4705882352937</v>
      </c>
      <c r="P2704" s="13"/>
      <c r="Q2704" s="14">
        <v>2025</v>
      </c>
      <c r="R2704" s="15">
        <v>45352</v>
      </c>
      <c r="S2704" s="11" t="s">
        <v>364</v>
      </c>
      <c r="T2704" s="16">
        <v>1000</v>
      </c>
      <c r="U2704" s="17"/>
      <c r="V2704" s="12">
        <v>2385.7142857142853</v>
      </c>
      <c r="W2704" s="12">
        <v>2385.7142857142853</v>
      </c>
      <c r="X2704" s="12">
        <v>0</v>
      </c>
      <c r="Y2704" s="18">
        <v>45726</v>
      </c>
      <c r="Z2704" s="13" t="s">
        <v>515</v>
      </c>
      <c r="AA2704" s="19" t="str">
        <f>VLOOKUP(D2704,Clientes!$A$2:$J$486,9,FALSE)</f>
        <v>Regular</v>
      </c>
      <c r="AB2704" s="13" t="str">
        <f>VLOOKUP(D2704,Clientes!$A$2:$K$486,11,FALSE)</f>
        <v>Persona Natural</v>
      </c>
      <c r="AC2704" s="13" t="str">
        <f>VLOOKUP(D2704,Clientes!$A$2:$B$486,2,FALSE)</f>
        <v>Jardin del Eden</v>
      </c>
      <c r="AD2704" s="20"/>
      <c r="AE2704" s="20"/>
      <c r="AF2704" s="13" t="s">
        <v>40</v>
      </c>
      <c r="AG2704" s="15">
        <v>45352</v>
      </c>
      <c r="AH2704" s="13" t="s">
        <v>41</v>
      </c>
      <c r="AI2704" s="13" t="s">
        <v>35</v>
      </c>
      <c r="AJ2704" s="13" t="str">
        <f>VLOOKUP(E2704,Precios!Z$2:AA$941,2,FALSE)</f>
        <v>Queso RUNCA Mantecoso</v>
      </c>
      <c r="AK2704" s="14">
        <f>VLOOKUP(E2704,Precios!Z$2:BB$941,3,FALSE)*F2704</f>
        <v>-1</v>
      </c>
      <c r="AL2704" s="17"/>
      <c r="AM2704" s="17"/>
      <c r="AN2704" s="17"/>
      <c r="AO2704" s="17"/>
      <c r="AP2704" s="17"/>
      <c r="AQ2704" s="17"/>
      <c r="AR2704" s="17"/>
      <c r="AS2704" s="17"/>
      <c r="AT2704" s="17"/>
      <c r="AU2704" s="17"/>
      <c r="AV2704" s="17"/>
    </row>
    <row r="2705" spans="1:48" ht="15.75" customHeight="1">
      <c r="A2705" s="21" t="s">
        <v>47</v>
      </c>
      <c r="B2705" s="23" t="s">
        <v>1692</v>
      </c>
      <c r="C2705" s="22">
        <v>45728</v>
      </c>
      <c r="D2705" s="23" t="s">
        <v>915</v>
      </c>
      <c r="E2705" s="23" t="s">
        <v>255</v>
      </c>
      <c r="F2705" s="21">
        <v>1</v>
      </c>
      <c r="G2705" s="12">
        <v>1800</v>
      </c>
      <c r="H2705" s="34">
        <v>1800</v>
      </c>
      <c r="I2705" s="23" t="s">
        <v>52</v>
      </c>
      <c r="J2705" s="23" t="s">
        <v>61</v>
      </c>
      <c r="K2705" s="24" t="s">
        <v>177</v>
      </c>
      <c r="L2705" s="24">
        <v>115</v>
      </c>
      <c r="M2705" s="12">
        <v>1512.6050420168067</v>
      </c>
      <c r="N2705" s="12">
        <v>1512.6050420168067</v>
      </c>
      <c r="O2705" s="12">
        <v>287.39495798319331</v>
      </c>
      <c r="P2705" s="13"/>
      <c r="Q2705" s="14">
        <v>2025</v>
      </c>
      <c r="R2705" s="15">
        <v>45352</v>
      </c>
      <c r="S2705" s="11" t="s">
        <v>414</v>
      </c>
      <c r="T2705" s="16">
        <v>0</v>
      </c>
      <c r="U2705" s="17"/>
      <c r="V2705" s="12">
        <v>531.09243697478985</v>
      </c>
      <c r="W2705" s="12">
        <v>531.09243697478985</v>
      </c>
      <c r="X2705" s="12">
        <v>0</v>
      </c>
      <c r="Y2705" s="18">
        <v>45726</v>
      </c>
      <c r="Z2705" s="13" t="s">
        <v>515</v>
      </c>
      <c r="AA2705" s="19" t="str">
        <f>VLOOKUP(D2705,Clientes!$A$2:$J$486,9,FALSE)</f>
        <v>Regular</v>
      </c>
      <c r="AB2705" s="13" t="str">
        <f>VLOOKUP(D2705,Clientes!$A$2:$K$486,11,FALSE)</f>
        <v>Persona Natural</v>
      </c>
      <c r="AC2705" s="13" t="str">
        <f>VLOOKUP(D2705,Clientes!$A$2:$B$486,2,FALSE)</f>
        <v>Jardin del Eden</v>
      </c>
      <c r="AD2705" s="20"/>
      <c r="AE2705" s="20"/>
      <c r="AF2705" s="13" t="s">
        <v>40</v>
      </c>
      <c r="AG2705" s="15">
        <v>45352</v>
      </c>
      <c r="AH2705" s="13" t="s">
        <v>41</v>
      </c>
      <c r="AI2705" s="13" t="s">
        <v>47</v>
      </c>
      <c r="AJ2705" s="13" t="str">
        <f>VLOOKUP(E2705,Precios!Z$2:AA$941,2,FALSE)</f>
        <v>Toalla desinfectante VIRUTEX 30 unidades</v>
      </c>
      <c r="AK2705" s="14">
        <f>VLOOKUP(E2705,Precios!Z$2:BB$941,3,FALSE)*F2705</f>
        <v>-1</v>
      </c>
      <c r="AL2705" s="17"/>
      <c r="AM2705" s="17"/>
      <c r="AN2705" s="17"/>
      <c r="AO2705" s="17"/>
      <c r="AP2705" s="17"/>
      <c r="AQ2705" s="17"/>
      <c r="AR2705" s="17"/>
      <c r="AS2705" s="17"/>
      <c r="AT2705" s="17"/>
      <c r="AU2705" s="17"/>
      <c r="AV2705" s="17"/>
    </row>
    <row r="2706" spans="1:48" ht="15.75" customHeight="1">
      <c r="A2706" s="21" t="s">
        <v>53</v>
      </c>
      <c r="B2706" s="23" t="s">
        <v>1692</v>
      </c>
      <c r="C2706" s="22">
        <v>45728</v>
      </c>
      <c r="D2706" s="23" t="s">
        <v>915</v>
      </c>
      <c r="E2706" s="23" t="s">
        <v>726</v>
      </c>
      <c r="F2706" s="21">
        <v>1</v>
      </c>
      <c r="G2706" s="12">
        <v>1300.0000000000002</v>
      </c>
      <c r="H2706" s="34">
        <v>1300.0000000000002</v>
      </c>
      <c r="I2706" s="23" t="s">
        <v>52</v>
      </c>
      <c r="J2706" s="23" t="s">
        <v>61</v>
      </c>
      <c r="K2706" s="24" t="s">
        <v>177</v>
      </c>
      <c r="L2706" s="24">
        <v>115</v>
      </c>
      <c r="M2706" s="12">
        <v>1092.4369747899161</v>
      </c>
      <c r="N2706" s="12">
        <v>1092.4369747899161</v>
      </c>
      <c r="O2706" s="12">
        <v>207.56302521008411</v>
      </c>
      <c r="P2706" s="13"/>
      <c r="Q2706" s="14">
        <v>2025</v>
      </c>
      <c r="R2706" s="15">
        <v>45352</v>
      </c>
      <c r="S2706" s="11" t="s">
        <v>727</v>
      </c>
      <c r="T2706" s="16">
        <v>0</v>
      </c>
      <c r="U2706" s="17"/>
      <c r="V2706" s="12">
        <v>450.420168067227</v>
      </c>
      <c r="W2706" s="12">
        <v>450.420168067227</v>
      </c>
      <c r="X2706" s="12">
        <v>0</v>
      </c>
      <c r="Y2706" s="18">
        <v>45726</v>
      </c>
      <c r="Z2706" s="13" t="s">
        <v>515</v>
      </c>
      <c r="AA2706" s="19" t="str">
        <f>VLOOKUP(D2706,Clientes!$A$2:$J$486,9,FALSE)</f>
        <v>Regular</v>
      </c>
      <c r="AB2706" s="13" t="str">
        <f>VLOOKUP(D2706,Clientes!$A$2:$K$486,11,FALSE)</f>
        <v>Persona Natural</v>
      </c>
      <c r="AC2706" s="13" t="str">
        <f>VLOOKUP(D2706,Clientes!$A$2:$B$486,2,FALSE)</f>
        <v>Jardin del Eden</v>
      </c>
      <c r="AD2706" s="20"/>
      <c r="AE2706" s="20"/>
      <c r="AF2706" s="13" t="s">
        <v>40</v>
      </c>
      <c r="AG2706" s="15">
        <v>45352</v>
      </c>
      <c r="AH2706" s="13" t="s">
        <v>41</v>
      </c>
      <c r="AI2706" s="13" t="s">
        <v>53</v>
      </c>
      <c r="AJ2706" s="13" t="str">
        <f>VLOOKUP(E2706,Precios!Z$2:AA$941,2,FALSE)</f>
        <v>Toalla Papel SWAN 12 metros</v>
      </c>
      <c r="AK2706" s="14">
        <f>VLOOKUP(E2706,Precios!Z$2:BB$941,3,FALSE)*F2706</f>
        <v>-1</v>
      </c>
      <c r="AL2706" s="17"/>
      <c r="AM2706" s="17"/>
      <c r="AN2706" s="17"/>
      <c r="AO2706" s="17"/>
      <c r="AP2706" s="17"/>
      <c r="AQ2706" s="17"/>
      <c r="AR2706" s="17"/>
      <c r="AS2706" s="17"/>
      <c r="AT2706" s="17"/>
      <c r="AU2706" s="17"/>
      <c r="AV2706" s="17"/>
    </row>
    <row r="2707" spans="1:48" ht="15.75" customHeight="1">
      <c r="A2707" s="21" t="s">
        <v>43</v>
      </c>
      <c r="B2707" s="23" t="s">
        <v>1692</v>
      </c>
      <c r="C2707" s="22">
        <v>45728</v>
      </c>
      <c r="D2707" s="23" t="s">
        <v>728</v>
      </c>
      <c r="E2707" s="23" t="s">
        <v>45</v>
      </c>
      <c r="F2707" s="21">
        <v>1</v>
      </c>
      <c r="G2707" s="12">
        <v>8000.2951245425575</v>
      </c>
      <c r="H2707" s="12">
        <v>8000.2951245425575</v>
      </c>
      <c r="I2707" s="23" t="s">
        <v>52</v>
      </c>
      <c r="J2707" s="23" t="s">
        <v>61</v>
      </c>
      <c r="K2707" s="24" t="s">
        <v>177</v>
      </c>
      <c r="L2707" s="24">
        <v>115</v>
      </c>
      <c r="M2707" s="12">
        <v>6722.9370794475271</v>
      </c>
      <c r="N2707" s="12">
        <v>6722.9370794475271</v>
      </c>
      <c r="O2707" s="12">
        <v>1277.3580450950303</v>
      </c>
      <c r="P2707" s="13"/>
      <c r="Q2707" s="14">
        <v>2025</v>
      </c>
      <c r="R2707" s="15">
        <v>45352</v>
      </c>
      <c r="S2707" s="11" t="s">
        <v>355</v>
      </c>
      <c r="T2707" s="16">
        <v>0</v>
      </c>
      <c r="U2707" s="17"/>
      <c r="V2707" s="12">
        <v>1027.9370794475271</v>
      </c>
      <c r="W2707" s="12">
        <v>1027.9370794475271</v>
      </c>
      <c r="X2707" s="12">
        <v>0</v>
      </c>
      <c r="Y2707" s="18">
        <v>45726</v>
      </c>
      <c r="Z2707" s="13" t="s">
        <v>515</v>
      </c>
      <c r="AA2707" s="19" t="str">
        <f>VLOOKUP(D2707,Clientes!$A$2:$J$486,9,FALSE)</f>
        <v>Ocacional</v>
      </c>
      <c r="AB2707" s="13" t="str">
        <f>VLOOKUP(D2707,Clientes!$A$2:$K$486,11,FALSE)</f>
        <v>Persona Natural</v>
      </c>
      <c r="AC2707" s="13" t="str">
        <f>VLOOKUP(D2707,Clientes!$A$2:$B$486,2,FALSE)</f>
        <v>Geronimo Alderete</v>
      </c>
      <c r="AD2707" s="20"/>
      <c r="AE2707" s="20"/>
      <c r="AF2707" s="13" t="s">
        <v>40</v>
      </c>
      <c r="AG2707" s="15">
        <v>45352</v>
      </c>
      <c r="AH2707" s="13" t="s">
        <v>41</v>
      </c>
      <c r="AI2707" s="13" t="s">
        <v>43</v>
      </c>
      <c r="AJ2707" s="13" t="str">
        <f>VLOOKUP(E2707,Precios!Z$2:AA$941,2,FALSE)</f>
        <v>Bandeja Huevos EXTRA</v>
      </c>
      <c r="AK2707" s="14">
        <f>VLOOKUP(E2707,Precios!Z$2:BB$941,3,FALSE)*F2707</f>
        <v>-1</v>
      </c>
      <c r="AL2707" s="17"/>
      <c r="AM2707" s="17"/>
      <c r="AN2707" s="17"/>
      <c r="AO2707" s="17"/>
      <c r="AP2707" s="17"/>
      <c r="AQ2707" s="17"/>
      <c r="AR2707" s="17"/>
      <c r="AS2707" s="17"/>
      <c r="AT2707" s="17"/>
      <c r="AU2707" s="17"/>
      <c r="AV2707" s="17"/>
    </row>
    <row r="2708" spans="1:48" ht="15.75" customHeight="1">
      <c r="A2708" s="21" t="s">
        <v>43</v>
      </c>
      <c r="B2708" s="23" t="s">
        <v>1692</v>
      </c>
      <c r="C2708" s="22">
        <v>45728</v>
      </c>
      <c r="D2708" s="23" t="s">
        <v>718</v>
      </c>
      <c r="E2708" s="23" t="s">
        <v>45</v>
      </c>
      <c r="F2708" s="21">
        <v>1</v>
      </c>
      <c r="G2708" s="12">
        <v>8000.2951245425575</v>
      </c>
      <c r="H2708" s="12">
        <v>8000.2951245425575</v>
      </c>
      <c r="I2708" s="23" t="s">
        <v>52</v>
      </c>
      <c r="J2708" s="23" t="s">
        <v>61</v>
      </c>
      <c r="K2708" s="24" t="s">
        <v>177</v>
      </c>
      <c r="L2708" s="24">
        <v>115</v>
      </c>
      <c r="M2708" s="12">
        <v>6722.9370794475271</v>
      </c>
      <c r="N2708" s="12">
        <v>6722.9370794475271</v>
      </c>
      <c r="O2708" s="12">
        <v>1277.3580450950303</v>
      </c>
      <c r="P2708" s="13"/>
      <c r="Q2708" s="14">
        <v>2025</v>
      </c>
      <c r="R2708" s="15">
        <v>45352</v>
      </c>
      <c r="S2708" s="11" t="s">
        <v>355</v>
      </c>
      <c r="T2708" s="16">
        <v>0</v>
      </c>
      <c r="U2708" s="17"/>
      <c r="V2708" s="12">
        <v>1027.9370794475271</v>
      </c>
      <c r="W2708" s="12">
        <v>1027.9370794475271</v>
      </c>
      <c r="X2708" s="12">
        <v>0</v>
      </c>
      <c r="Y2708" s="18">
        <v>45726</v>
      </c>
      <c r="Z2708" s="13" t="s">
        <v>515</v>
      </c>
      <c r="AA2708" s="19" t="str">
        <f>VLOOKUP(D2708,Clientes!$A$2:$J$486,9,FALSE)</f>
        <v>Ocacional</v>
      </c>
      <c r="AB2708" s="13" t="str">
        <f>VLOOKUP(D2708,Clientes!$A$2:$K$486,11,FALSE)</f>
        <v>Persona Natural</v>
      </c>
      <c r="AC2708" s="13" t="str">
        <f>VLOOKUP(D2708,Clientes!$A$2:$B$486,2,FALSE)</f>
        <v>Colombia</v>
      </c>
      <c r="AD2708" s="20"/>
      <c r="AE2708" s="20"/>
      <c r="AF2708" s="13" t="s">
        <v>40</v>
      </c>
      <c r="AG2708" s="15">
        <v>45352</v>
      </c>
      <c r="AH2708" s="13" t="s">
        <v>41</v>
      </c>
      <c r="AI2708" s="13" t="s">
        <v>43</v>
      </c>
      <c r="AJ2708" s="13" t="str">
        <f>VLOOKUP(E2708,Precios!Z$2:AA$941,2,FALSE)</f>
        <v>Bandeja Huevos EXTRA</v>
      </c>
      <c r="AK2708" s="14">
        <f>VLOOKUP(E2708,Precios!Z$2:BB$941,3,FALSE)*F2708</f>
        <v>-1</v>
      </c>
      <c r="AL2708" s="17"/>
      <c r="AM2708" s="17"/>
      <c r="AN2708" s="17"/>
      <c r="AO2708" s="17"/>
      <c r="AP2708" s="17"/>
      <c r="AQ2708" s="17"/>
      <c r="AR2708" s="17"/>
      <c r="AS2708" s="17"/>
      <c r="AT2708" s="17"/>
      <c r="AU2708" s="17"/>
      <c r="AV2708" s="17"/>
    </row>
    <row r="2709" spans="1:48" ht="15.75" customHeight="1">
      <c r="A2709" s="21" t="s">
        <v>35</v>
      </c>
      <c r="B2709" s="23" t="s">
        <v>1692</v>
      </c>
      <c r="C2709" s="22">
        <v>45728</v>
      </c>
      <c r="D2709" s="23" t="s">
        <v>718</v>
      </c>
      <c r="E2709" s="23" t="s">
        <v>46</v>
      </c>
      <c r="F2709" s="21">
        <v>1</v>
      </c>
      <c r="G2709" s="12">
        <v>5500</v>
      </c>
      <c r="H2709" s="12">
        <v>5500</v>
      </c>
      <c r="I2709" s="23" t="s">
        <v>52</v>
      </c>
      <c r="J2709" s="23" t="s">
        <v>61</v>
      </c>
      <c r="K2709" s="24" t="s">
        <v>177</v>
      </c>
      <c r="L2709" s="24">
        <v>115</v>
      </c>
      <c r="M2709" s="12">
        <v>4621.8487394957983</v>
      </c>
      <c r="N2709" s="12">
        <v>4621.8487394957983</v>
      </c>
      <c r="O2709" s="12">
        <v>878.15126050420167</v>
      </c>
      <c r="P2709" s="13"/>
      <c r="Q2709" s="14">
        <v>2025</v>
      </c>
      <c r="R2709" s="15">
        <v>45352</v>
      </c>
      <c r="S2709" s="11" t="s">
        <v>364</v>
      </c>
      <c r="T2709" s="16">
        <v>500</v>
      </c>
      <c r="U2709" s="17"/>
      <c r="V2709" s="12">
        <v>1365.1260504201678</v>
      </c>
      <c r="W2709" s="12">
        <v>1365.1260504201678</v>
      </c>
      <c r="X2709" s="12">
        <v>0</v>
      </c>
      <c r="Y2709" s="18">
        <v>45726</v>
      </c>
      <c r="Z2709" s="13" t="s">
        <v>515</v>
      </c>
      <c r="AA2709" s="19" t="str">
        <f>VLOOKUP(D2709,Clientes!$A$2:$J$486,9,FALSE)</f>
        <v>Ocacional</v>
      </c>
      <c r="AB2709" s="13" t="str">
        <f>VLOOKUP(D2709,Clientes!$A$2:$K$486,11,FALSE)</f>
        <v>Persona Natural</v>
      </c>
      <c r="AC2709" s="13" t="str">
        <f>VLOOKUP(D2709,Clientes!$A$2:$B$486,2,FALSE)</f>
        <v>Colombia</v>
      </c>
      <c r="AD2709" s="20"/>
      <c r="AE2709" s="20"/>
      <c r="AF2709" s="13" t="s">
        <v>40</v>
      </c>
      <c r="AG2709" s="15">
        <v>45352</v>
      </c>
      <c r="AH2709" s="13" t="s">
        <v>41</v>
      </c>
      <c r="AI2709" s="13" t="s">
        <v>35</v>
      </c>
      <c r="AJ2709" s="13" t="str">
        <f>VLOOKUP(E2709,Precios!Z$2:AA$941,2,FALSE)</f>
        <v>Queso RUNCA Mantecoso</v>
      </c>
      <c r="AK2709" s="14">
        <f>VLOOKUP(E2709,Precios!Z$2:BB$941,3,FALSE)*F2709</f>
        <v>-0.5</v>
      </c>
      <c r="AL2709" s="17"/>
      <c r="AM2709" s="17"/>
      <c r="AN2709" s="17"/>
      <c r="AO2709" s="17"/>
      <c r="AP2709" s="17"/>
      <c r="AQ2709" s="17"/>
      <c r="AR2709" s="17"/>
      <c r="AS2709" s="17"/>
      <c r="AT2709" s="17"/>
      <c r="AU2709" s="17"/>
      <c r="AV2709" s="17"/>
    </row>
    <row r="2710" spans="1:48" ht="15.75" customHeight="1">
      <c r="A2710" s="21" t="s">
        <v>43</v>
      </c>
      <c r="B2710" s="23" t="s">
        <v>1692</v>
      </c>
      <c r="C2710" s="22">
        <v>45728</v>
      </c>
      <c r="D2710" s="23" t="s">
        <v>106</v>
      </c>
      <c r="E2710" s="23" t="s">
        <v>45</v>
      </c>
      <c r="F2710" s="21">
        <v>1</v>
      </c>
      <c r="G2710" s="12">
        <v>8000.2951245425575</v>
      </c>
      <c r="H2710" s="12">
        <v>8000.2951245425575</v>
      </c>
      <c r="I2710" s="23" t="s">
        <v>52</v>
      </c>
      <c r="J2710" s="23" t="s">
        <v>61</v>
      </c>
      <c r="K2710" s="24" t="s">
        <v>177</v>
      </c>
      <c r="L2710" s="24">
        <v>115</v>
      </c>
      <c r="M2710" s="12">
        <v>6722.9370794475271</v>
      </c>
      <c r="N2710" s="12">
        <v>6722.9370794475271</v>
      </c>
      <c r="O2710" s="12">
        <v>1277.3580450950303</v>
      </c>
      <c r="P2710" s="13"/>
      <c r="Q2710" s="14">
        <v>2025</v>
      </c>
      <c r="R2710" s="15">
        <v>45352</v>
      </c>
      <c r="S2710" s="11" t="s">
        <v>355</v>
      </c>
      <c r="T2710" s="16">
        <v>0</v>
      </c>
      <c r="U2710" s="17"/>
      <c r="V2710" s="12">
        <v>1027.9370794475271</v>
      </c>
      <c r="W2710" s="12">
        <v>1027.9370794475271</v>
      </c>
      <c r="X2710" s="12">
        <v>0</v>
      </c>
      <c r="Y2710" s="18">
        <v>45726</v>
      </c>
      <c r="Z2710" s="13" t="s">
        <v>515</v>
      </c>
      <c r="AA2710" s="19" t="str">
        <f>VLOOKUP(D2710,Clientes!$A$2:$J$486,9,FALSE)</f>
        <v>Frecuente</v>
      </c>
      <c r="AB2710" s="13" t="str">
        <f>VLOOKUP(D2710,Clientes!$A$2:$K$486,11,FALSE)</f>
        <v>Persona Natural</v>
      </c>
      <c r="AC2710" s="13" t="str">
        <f>VLOOKUP(D2710,Clientes!$A$2:$B$486,2,FALSE)</f>
        <v>Jardines de la viña</v>
      </c>
      <c r="AD2710" s="20"/>
      <c r="AE2710" s="20"/>
      <c r="AF2710" s="13" t="s">
        <v>40</v>
      </c>
      <c r="AG2710" s="15">
        <v>45352</v>
      </c>
      <c r="AH2710" s="13" t="s">
        <v>41</v>
      </c>
      <c r="AI2710" s="13" t="s">
        <v>43</v>
      </c>
      <c r="AJ2710" s="13" t="str">
        <f>VLOOKUP(E2710,Precios!Z$2:AA$941,2,FALSE)</f>
        <v>Bandeja Huevos EXTRA</v>
      </c>
      <c r="AK2710" s="14">
        <f>VLOOKUP(E2710,Precios!Z$2:BB$941,3,FALSE)*F2710</f>
        <v>-1</v>
      </c>
      <c r="AL2710" s="17"/>
      <c r="AM2710" s="17"/>
      <c r="AN2710" s="17"/>
      <c r="AO2710" s="17"/>
      <c r="AP2710" s="17"/>
      <c r="AQ2710" s="17"/>
      <c r="AR2710" s="17"/>
      <c r="AS2710" s="17"/>
      <c r="AT2710" s="17"/>
      <c r="AU2710" s="17"/>
      <c r="AV2710" s="17"/>
    </row>
    <row r="2711" spans="1:48" ht="15.75" customHeight="1">
      <c r="A2711" s="21" t="s">
        <v>43</v>
      </c>
      <c r="B2711" s="23" t="s">
        <v>1692</v>
      </c>
      <c r="C2711" s="22">
        <v>45728</v>
      </c>
      <c r="D2711" s="23" t="s">
        <v>291</v>
      </c>
      <c r="E2711" s="23" t="s">
        <v>45</v>
      </c>
      <c r="F2711" s="21">
        <v>1</v>
      </c>
      <c r="G2711" s="12">
        <v>8000.2951245425575</v>
      </c>
      <c r="H2711" s="12">
        <v>8000.2951245425575</v>
      </c>
      <c r="I2711" s="23" t="s">
        <v>52</v>
      </c>
      <c r="J2711" s="23" t="s">
        <v>61</v>
      </c>
      <c r="K2711" s="24" t="s">
        <v>177</v>
      </c>
      <c r="L2711" s="24">
        <v>115</v>
      </c>
      <c r="M2711" s="12">
        <v>6722.9370794475271</v>
      </c>
      <c r="N2711" s="12">
        <v>6722.9370794475271</v>
      </c>
      <c r="O2711" s="12">
        <v>1277.3580450950303</v>
      </c>
      <c r="P2711" s="13"/>
      <c r="Q2711" s="14">
        <v>2025</v>
      </c>
      <c r="R2711" s="15">
        <v>45352</v>
      </c>
      <c r="S2711" s="11" t="s">
        <v>355</v>
      </c>
      <c r="T2711" s="16">
        <v>0</v>
      </c>
      <c r="U2711" s="17"/>
      <c r="V2711" s="12">
        <v>1027.9370794475271</v>
      </c>
      <c r="W2711" s="12">
        <v>1027.9370794475271</v>
      </c>
      <c r="X2711" s="12">
        <v>0</v>
      </c>
      <c r="Y2711" s="18">
        <v>45726</v>
      </c>
      <c r="Z2711" s="13" t="s">
        <v>515</v>
      </c>
      <c r="AA2711" s="19" t="str">
        <f>VLOOKUP(D2711,Clientes!$A$2:$J$486,9,FALSE)</f>
        <v>Ocacional</v>
      </c>
      <c r="AB2711" s="13" t="str">
        <f>VLOOKUP(D2711,Clientes!$A$2:$K$486,11,FALSE)</f>
        <v>Persona Natural</v>
      </c>
      <c r="AC2711" s="13" t="str">
        <f>VLOOKUP(D2711,Clientes!$A$2:$B$486,2,FALSE)</f>
        <v>Jardin del eden</v>
      </c>
      <c r="AD2711" s="20"/>
      <c r="AE2711" s="20"/>
      <c r="AF2711" s="13" t="s">
        <v>40</v>
      </c>
      <c r="AG2711" s="15">
        <v>45352</v>
      </c>
      <c r="AH2711" s="13" t="s">
        <v>41</v>
      </c>
      <c r="AI2711" s="13" t="s">
        <v>43</v>
      </c>
      <c r="AJ2711" s="13" t="str">
        <f>VLOOKUP(E2711,Precios!Z$2:AA$941,2,FALSE)</f>
        <v>Bandeja Huevos EXTRA</v>
      </c>
      <c r="AK2711" s="14">
        <f>VLOOKUP(E2711,Precios!Z$2:BB$941,3,FALSE)*F2711</f>
        <v>-1</v>
      </c>
      <c r="AL2711" s="17"/>
      <c r="AM2711" s="17"/>
      <c r="AN2711" s="17"/>
      <c r="AO2711" s="17"/>
      <c r="AP2711" s="17"/>
      <c r="AQ2711" s="17"/>
      <c r="AR2711" s="17"/>
      <c r="AS2711" s="17"/>
      <c r="AT2711" s="17"/>
      <c r="AU2711" s="17"/>
      <c r="AV2711" s="17"/>
    </row>
    <row r="2712" spans="1:48" ht="15.75" customHeight="1">
      <c r="A2712" s="21" t="s">
        <v>43</v>
      </c>
      <c r="B2712" s="23" t="s">
        <v>1692</v>
      </c>
      <c r="C2712" s="22">
        <v>45728</v>
      </c>
      <c r="D2712" s="23" t="s">
        <v>179</v>
      </c>
      <c r="E2712" s="23" t="s">
        <v>45</v>
      </c>
      <c r="F2712" s="21">
        <v>1</v>
      </c>
      <c r="G2712" s="12">
        <v>8000.2951245425575</v>
      </c>
      <c r="H2712" s="12">
        <v>8000.2951245425575</v>
      </c>
      <c r="I2712" s="23" t="s">
        <v>52</v>
      </c>
      <c r="J2712" s="23" t="s">
        <v>61</v>
      </c>
      <c r="K2712" s="24" t="s">
        <v>177</v>
      </c>
      <c r="L2712" s="24">
        <v>115</v>
      </c>
      <c r="M2712" s="12">
        <v>6722.9370794475271</v>
      </c>
      <c r="N2712" s="12">
        <v>6722.9370794475271</v>
      </c>
      <c r="O2712" s="12">
        <v>1277.3580450950303</v>
      </c>
      <c r="P2712" s="13"/>
      <c r="Q2712" s="14">
        <v>2025</v>
      </c>
      <c r="R2712" s="15">
        <v>45352</v>
      </c>
      <c r="S2712" s="11" t="s">
        <v>355</v>
      </c>
      <c r="T2712" s="16">
        <v>0</v>
      </c>
      <c r="U2712" s="17"/>
      <c r="V2712" s="12">
        <v>1027.9370794475271</v>
      </c>
      <c r="W2712" s="12">
        <v>1027.9370794475271</v>
      </c>
      <c r="X2712" s="12">
        <v>0</v>
      </c>
      <c r="Y2712" s="18">
        <v>45726</v>
      </c>
      <c r="Z2712" s="13" t="s">
        <v>515</v>
      </c>
      <c r="AA2712" s="19" t="str">
        <f>VLOOKUP(D2712,Clientes!$A$2:$J$486,9,FALSE)</f>
        <v>Frecuente</v>
      </c>
      <c r="AB2712" s="13" t="str">
        <f>VLOOKUP(D2712,Clientes!$A$2:$K$486,11,FALSE)</f>
        <v>Persona Natural</v>
      </c>
      <c r="AC2712" s="13" t="str">
        <f>VLOOKUP(D2712,Clientes!$A$2:$B$486,2,FALSE)</f>
        <v>Araucania</v>
      </c>
      <c r="AD2712" s="20"/>
      <c r="AE2712" s="20"/>
      <c r="AF2712" s="13" t="s">
        <v>40</v>
      </c>
      <c r="AG2712" s="15">
        <v>45352</v>
      </c>
      <c r="AH2712" s="13" t="s">
        <v>41</v>
      </c>
      <c r="AI2712" s="13" t="s">
        <v>43</v>
      </c>
      <c r="AJ2712" s="13" t="str">
        <f>VLOOKUP(E2712,Precios!Z$2:AA$941,2,FALSE)</f>
        <v>Bandeja Huevos EXTRA</v>
      </c>
      <c r="AK2712" s="14">
        <f>VLOOKUP(E2712,Precios!Z$2:BB$941,3,FALSE)*F2712</f>
        <v>-1</v>
      </c>
      <c r="AL2712" s="17"/>
      <c r="AM2712" s="17"/>
      <c r="AN2712" s="17"/>
      <c r="AO2712" s="17"/>
      <c r="AP2712" s="17"/>
      <c r="AQ2712" s="17"/>
      <c r="AR2712" s="17"/>
      <c r="AS2712" s="17"/>
      <c r="AT2712" s="17"/>
      <c r="AU2712" s="17"/>
      <c r="AV2712" s="17"/>
    </row>
    <row r="2713" spans="1:48" ht="15.75" customHeight="1">
      <c r="A2713" s="21" t="s">
        <v>43</v>
      </c>
      <c r="B2713" s="23" t="s">
        <v>1692</v>
      </c>
      <c r="C2713" s="22">
        <v>45727</v>
      </c>
      <c r="D2713" s="23" t="s">
        <v>142</v>
      </c>
      <c r="E2713" s="23" t="s">
        <v>45</v>
      </c>
      <c r="F2713" s="21">
        <v>1</v>
      </c>
      <c r="G2713" s="12">
        <v>8000.2951245425575</v>
      </c>
      <c r="H2713" s="12">
        <v>8000.2951245425575</v>
      </c>
      <c r="I2713" s="23" t="s">
        <v>52</v>
      </c>
      <c r="J2713" s="23" t="s">
        <v>61</v>
      </c>
      <c r="K2713" s="24" t="s">
        <v>177</v>
      </c>
      <c r="L2713" s="24">
        <v>115</v>
      </c>
      <c r="M2713" s="12">
        <v>6722.9370794475271</v>
      </c>
      <c r="N2713" s="12">
        <v>6722.9370794475271</v>
      </c>
      <c r="O2713" s="12">
        <v>1277.3580450950303</v>
      </c>
      <c r="P2713" s="13"/>
      <c r="Q2713" s="14">
        <v>2025</v>
      </c>
      <c r="R2713" s="15">
        <v>45352</v>
      </c>
      <c r="S2713" s="11" t="s">
        <v>355</v>
      </c>
      <c r="T2713" s="16">
        <v>0</v>
      </c>
      <c r="U2713" s="17"/>
      <c r="V2713" s="12">
        <v>1027.9370794475271</v>
      </c>
      <c r="W2713" s="12">
        <v>1027.9370794475271</v>
      </c>
      <c r="X2713" s="12">
        <v>0</v>
      </c>
      <c r="Y2713" s="18">
        <v>45726</v>
      </c>
      <c r="Z2713" s="13" t="s">
        <v>516</v>
      </c>
      <c r="AA2713" s="19" t="str">
        <f>VLOOKUP(D2713,Clientes!$A$2:$J$486,9,FALSE)</f>
        <v>Frecuente</v>
      </c>
      <c r="AB2713" s="13" t="str">
        <f>VLOOKUP(D2713,Clientes!$A$2:$K$486,11,FALSE)</f>
        <v>Persona Natural</v>
      </c>
      <c r="AC2713" s="13" t="str">
        <f>VLOOKUP(D2713,Clientes!$A$2:$B$486,2,FALSE)</f>
        <v>Curso Amalia</v>
      </c>
      <c r="AD2713" s="20"/>
      <c r="AE2713" s="20"/>
      <c r="AF2713" s="13" t="s">
        <v>40</v>
      </c>
      <c r="AG2713" s="15">
        <v>45352</v>
      </c>
      <c r="AH2713" s="13" t="s">
        <v>41</v>
      </c>
      <c r="AI2713" s="13" t="s">
        <v>43</v>
      </c>
      <c r="AJ2713" s="13" t="str">
        <f>VLOOKUP(E2713,Precios!Z$2:AA$941,2,FALSE)</f>
        <v>Bandeja Huevos EXTRA</v>
      </c>
      <c r="AK2713" s="14">
        <f>VLOOKUP(E2713,Precios!Z$2:BB$941,3,FALSE)*F2713</f>
        <v>-1</v>
      </c>
      <c r="AL2713" s="17"/>
      <c r="AM2713" s="17"/>
      <c r="AN2713" s="17"/>
      <c r="AO2713" s="17"/>
      <c r="AP2713" s="17"/>
      <c r="AQ2713" s="17"/>
      <c r="AR2713" s="17"/>
      <c r="AS2713" s="17"/>
      <c r="AT2713" s="17"/>
      <c r="AU2713" s="17"/>
      <c r="AV2713" s="17"/>
    </row>
    <row r="2714" spans="1:48" ht="15.75" customHeight="1">
      <c r="A2714" s="21" t="s">
        <v>35</v>
      </c>
      <c r="B2714" s="23" t="s">
        <v>1692</v>
      </c>
      <c r="C2714" s="22">
        <v>45727</v>
      </c>
      <c r="D2714" s="23" t="s">
        <v>198</v>
      </c>
      <c r="E2714" s="23" t="s">
        <v>37</v>
      </c>
      <c r="F2714" s="21">
        <v>2</v>
      </c>
      <c r="G2714" s="12">
        <v>10500</v>
      </c>
      <c r="H2714" s="12">
        <v>21000</v>
      </c>
      <c r="I2714" s="23" t="s">
        <v>52</v>
      </c>
      <c r="J2714" s="23" t="s">
        <v>61</v>
      </c>
      <c r="K2714" s="24" t="s">
        <v>177</v>
      </c>
      <c r="L2714" s="24">
        <v>115</v>
      </c>
      <c r="M2714" s="12">
        <v>8823.5294117647063</v>
      </c>
      <c r="N2714" s="12">
        <v>17647.058823529413</v>
      </c>
      <c r="O2714" s="12">
        <v>3352.9411764705874</v>
      </c>
      <c r="P2714" s="13"/>
      <c r="Q2714" s="14">
        <v>2025</v>
      </c>
      <c r="R2714" s="15">
        <v>45352</v>
      </c>
      <c r="S2714" s="11" t="s">
        <v>364</v>
      </c>
      <c r="T2714" s="16">
        <v>2000</v>
      </c>
      <c r="U2714" s="17"/>
      <c r="V2714" s="12">
        <v>4771.4285714285706</v>
      </c>
      <c r="W2714" s="12">
        <v>4771.4285714285706</v>
      </c>
      <c r="X2714" s="12">
        <v>0</v>
      </c>
      <c r="Y2714" s="18">
        <v>45726</v>
      </c>
      <c r="Z2714" s="13" t="s">
        <v>516</v>
      </c>
      <c r="AA2714" s="19" t="str">
        <f>VLOOKUP(D2714,Clientes!$A$2:$J$486,9,FALSE)</f>
        <v>Frecuente</v>
      </c>
      <c r="AB2714" s="13" t="str">
        <f>VLOOKUP(D2714,Clientes!$A$2:$K$486,11,FALSE)</f>
        <v>Persona Natural</v>
      </c>
      <c r="AC2714" s="13" t="str">
        <f>VLOOKUP(D2714,Clientes!$A$2:$B$486,2,FALSE)</f>
        <v>Curso Amalia</v>
      </c>
      <c r="AD2714" s="20"/>
      <c r="AE2714" s="20"/>
      <c r="AF2714" s="13" t="s">
        <v>40</v>
      </c>
      <c r="AG2714" s="15">
        <v>45352</v>
      </c>
      <c r="AH2714" s="13" t="s">
        <v>41</v>
      </c>
      <c r="AI2714" s="13" t="s">
        <v>35</v>
      </c>
      <c r="AJ2714" s="13" t="str">
        <f>VLOOKUP(E2714,Precios!Z$2:AA$941,2,FALSE)</f>
        <v>Queso RUNCA Mantecoso</v>
      </c>
      <c r="AK2714" s="14">
        <f>VLOOKUP(E2714,Precios!Z$2:BB$941,3,FALSE)*F2714</f>
        <v>-2</v>
      </c>
      <c r="AL2714" s="17"/>
      <c r="AM2714" s="17"/>
      <c r="AN2714" s="17"/>
      <c r="AO2714" s="17"/>
      <c r="AP2714" s="17"/>
      <c r="AQ2714" s="17"/>
      <c r="AR2714" s="17"/>
      <c r="AS2714" s="17"/>
      <c r="AT2714" s="17"/>
      <c r="AU2714" s="17"/>
      <c r="AV2714" s="17"/>
    </row>
    <row r="2715" spans="1:48" ht="15.75" customHeight="1">
      <c r="A2715" s="21" t="s">
        <v>56</v>
      </c>
      <c r="B2715" s="23" t="s">
        <v>1692</v>
      </c>
      <c r="C2715" s="22">
        <v>45727</v>
      </c>
      <c r="D2715" s="23" t="s">
        <v>198</v>
      </c>
      <c r="E2715" s="23" t="s">
        <v>60</v>
      </c>
      <c r="F2715" s="21">
        <v>1</v>
      </c>
      <c r="G2715" s="12">
        <v>7000.0000000000018</v>
      </c>
      <c r="H2715" s="12">
        <v>7000.0000000000018</v>
      </c>
      <c r="I2715" s="23" t="s">
        <v>52</v>
      </c>
      <c r="J2715" s="23" t="s">
        <v>61</v>
      </c>
      <c r="K2715" s="24" t="s">
        <v>177</v>
      </c>
      <c r="L2715" s="24">
        <v>115</v>
      </c>
      <c r="M2715" s="12">
        <v>5882.3529411764721</v>
      </c>
      <c r="N2715" s="12">
        <v>5882.3529411764721</v>
      </c>
      <c r="O2715" s="12">
        <v>1117.6470588235297</v>
      </c>
      <c r="P2715" s="13"/>
      <c r="Q2715" s="14">
        <v>2025</v>
      </c>
      <c r="R2715" s="15">
        <v>45352</v>
      </c>
      <c r="S2715" s="11" t="s">
        <v>429</v>
      </c>
      <c r="T2715" s="16">
        <v>200</v>
      </c>
      <c r="U2715" s="17"/>
      <c r="V2715" s="12">
        <v>2080.6722689075641</v>
      </c>
      <c r="W2715" s="12">
        <v>2080.6722689075641</v>
      </c>
      <c r="X2715" s="12">
        <v>0</v>
      </c>
      <c r="Y2715" s="18">
        <v>45726</v>
      </c>
      <c r="Z2715" s="13" t="s">
        <v>516</v>
      </c>
      <c r="AA2715" s="19" t="str">
        <f>VLOOKUP(D2715,Clientes!$A$2:$J$486,9,FALSE)</f>
        <v>Frecuente</v>
      </c>
      <c r="AB2715" s="13" t="str">
        <f>VLOOKUP(D2715,Clientes!$A$2:$K$486,11,FALSE)</f>
        <v>Persona Natural</v>
      </c>
      <c r="AC2715" s="13" t="str">
        <f>VLOOKUP(D2715,Clientes!$A$2:$B$486,2,FALSE)</f>
        <v>Curso Amalia</v>
      </c>
      <c r="AD2715" s="20"/>
      <c r="AE2715" s="20"/>
      <c r="AF2715" s="13" t="s">
        <v>40</v>
      </c>
      <c r="AG2715" s="15">
        <v>45352</v>
      </c>
      <c r="AH2715" s="13" t="s">
        <v>41</v>
      </c>
      <c r="AI2715" s="13" t="s">
        <v>56</v>
      </c>
      <c r="AJ2715" s="13" t="str">
        <f>VLOOKUP(E2715,Precios!Z$2:AA$941,2,FALSE)</f>
        <v>Queso Sabores</v>
      </c>
      <c r="AK2715" s="14">
        <f>VLOOKUP(E2715,Precios!Z$2:BB$941,3,FALSE)*F2715</f>
        <v>-2</v>
      </c>
      <c r="AL2715" s="17"/>
      <c r="AM2715" s="17"/>
      <c r="AN2715" s="17"/>
      <c r="AO2715" s="17"/>
      <c r="AP2715" s="17"/>
      <c r="AQ2715" s="17"/>
      <c r="AR2715" s="17"/>
      <c r="AS2715" s="17"/>
      <c r="AT2715" s="17"/>
      <c r="AU2715" s="17"/>
      <c r="AV2715" s="17"/>
    </row>
    <row r="2716" spans="1:48" ht="15.75" customHeight="1">
      <c r="A2716" s="21" t="s">
        <v>56</v>
      </c>
      <c r="B2716" s="23" t="s">
        <v>1692</v>
      </c>
      <c r="C2716" s="22">
        <v>45727</v>
      </c>
      <c r="D2716" s="23" t="s">
        <v>198</v>
      </c>
      <c r="E2716" s="23" t="s">
        <v>112</v>
      </c>
      <c r="F2716" s="21">
        <v>1</v>
      </c>
      <c r="G2716" s="12">
        <v>7999.6031746031749</v>
      </c>
      <c r="H2716" s="12">
        <v>7999.6031746031749</v>
      </c>
      <c r="I2716" s="23" t="s">
        <v>52</v>
      </c>
      <c r="J2716" s="23" t="s">
        <v>61</v>
      </c>
      <c r="K2716" s="24" t="s">
        <v>177</v>
      </c>
      <c r="L2716" s="24">
        <v>115</v>
      </c>
      <c r="M2716" s="12">
        <v>6722.3556089102312</v>
      </c>
      <c r="N2716" s="12">
        <v>6722.3556089102312</v>
      </c>
      <c r="O2716" s="12">
        <v>1277.2475656929437</v>
      </c>
      <c r="P2716" s="13"/>
      <c r="Q2716" s="14">
        <v>2025</v>
      </c>
      <c r="R2716" s="15">
        <v>45352</v>
      </c>
      <c r="S2716" s="11" t="s">
        <v>427</v>
      </c>
      <c r="T2716" s="16">
        <v>135</v>
      </c>
      <c r="U2716" s="17"/>
      <c r="V2716" s="12">
        <v>2317.868213952248</v>
      </c>
      <c r="W2716" s="12">
        <v>2317.868213952248</v>
      </c>
      <c r="X2716" s="12">
        <v>0</v>
      </c>
      <c r="Y2716" s="18">
        <v>45726</v>
      </c>
      <c r="Z2716" s="13" t="s">
        <v>516</v>
      </c>
      <c r="AA2716" s="19" t="str">
        <f>VLOOKUP(D2716,Clientes!$A$2:$J$486,9,FALSE)</f>
        <v>Frecuente</v>
      </c>
      <c r="AB2716" s="13" t="str">
        <f>VLOOKUP(D2716,Clientes!$A$2:$K$486,11,FALSE)</f>
        <v>Persona Natural</v>
      </c>
      <c r="AC2716" s="13" t="str">
        <f>VLOOKUP(D2716,Clientes!$A$2:$B$486,2,FALSE)</f>
        <v>Curso Amalia</v>
      </c>
      <c r="AD2716" s="20"/>
      <c r="AE2716" s="20"/>
      <c r="AF2716" s="13" t="s">
        <v>40</v>
      </c>
      <c r="AG2716" s="15">
        <v>45352</v>
      </c>
      <c r="AH2716" s="13" t="s">
        <v>41</v>
      </c>
      <c r="AI2716" s="13" t="s">
        <v>56</v>
      </c>
      <c r="AJ2716" s="13" t="str">
        <f>VLOOKUP(E2716,Precios!Z$2:AA$941,2,FALSE)</f>
        <v>Provoleta Parrillera</v>
      </c>
      <c r="AK2716" s="14">
        <f>VLOOKUP(E2716,Precios!Z$2:BB$941,3,FALSE)*F2716</f>
        <v>-3</v>
      </c>
      <c r="AL2716" s="17"/>
      <c r="AM2716" s="17"/>
      <c r="AN2716" s="17"/>
      <c r="AO2716" s="17"/>
      <c r="AP2716" s="17"/>
      <c r="AQ2716" s="17"/>
      <c r="AR2716" s="17"/>
      <c r="AS2716" s="17"/>
      <c r="AT2716" s="17"/>
      <c r="AU2716" s="17"/>
      <c r="AV2716" s="17"/>
    </row>
    <row r="2717" spans="1:48" ht="15.75" customHeight="1">
      <c r="A2717" s="21" t="s">
        <v>56</v>
      </c>
      <c r="B2717" s="23" t="s">
        <v>1692</v>
      </c>
      <c r="C2717" s="22">
        <v>45727</v>
      </c>
      <c r="D2717" s="23" t="s">
        <v>915</v>
      </c>
      <c r="E2717" s="23" t="s">
        <v>190</v>
      </c>
      <c r="F2717" s="21">
        <v>1</v>
      </c>
      <c r="G2717" s="12">
        <v>2500</v>
      </c>
      <c r="H2717" s="34">
        <v>2500</v>
      </c>
      <c r="I2717" s="23" t="s">
        <v>52</v>
      </c>
      <c r="J2717" s="23" t="s">
        <v>61</v>
      </c>
      <c r="K2717" s="24" t="s">
        <v>177</v>
      </c>
      <c r="L2717" s="24">
        <v>115</v>
      </c>
      <c r="M2717" s="12">
        <v>2100.840336134454</v>
      </c>
      <c r="N2717" s="12">
        <v>2100.840336134454</v>
      </c>
      <c r="O2717" s="12">
        <v>399.15966386554601</v>
      </c>
      <c r="P2717" s="13"/>
      <c r="Q2717" s="14">
        <v>2025</v>
      </c>
      <c r="R2717" s="15">
        <v>45352</v>
      </c>
      <c r="S2717" s="11" t="s">
        <v>492</v>
      </c>
      <c r="T2717" s="16">
        <v>200</v>
      </c>
      <c r="U2717" s="17"/>
      <c r="V2717" s="12">
        <v>631.93277310924373</v>
      </c>
      <c r="W2717" s="12">
        <v>631.93277310924373</v>
      </c>
      <c r="X2717" s="12">
        <v>0</v>
      </c>
      <c r="Y2717" s="18">
        <v>45726</v>
      </c>
      <c r="Z2717" s="13" t="s">
        <v>516</v>
      </c>
      <c r="AA2717" s="19" t="str">
        <f>VLOOKUP(D2717,Clientes!$A$2:$J$486,9,FALSE)</f>
        <v>Regular</v>
      </c>
      <c r="AB2717" s="13" t="str">
        <f>VLOOKUP(D2717,Clientes!$A$2:$K$486,11,FALSE)</f>
        <v>Persona Natural</v>
      </c>
      <c r="AC2717" s="13" t="str">
        <f>VLOOKUP(D2717,Clientes!$A$2:$B$486,2,FALSE)</f>
        <v>Jardin del Eden</v>
      </c>
      <c r="AD2717" s="20"/>
      <c r="AE2717" s="20"/>
      <c r="AF2717" s="13" t="s">
        <v>40</v>
      </c>
      <c r="AG2717" s="15">
        <v>45352</v>
      </c>
      <c r="AH2717" s="13" t="s">
        <v>41</v>
      </c>
      <c r="AI2717" s="13" t="s">
        <v>56</v>
      </c>
      <c r="AJ2717" s="13" t="str">
        <f>VLOOKUP(E2717,Precios!Z$2:AA$941,2,FALSE)</f>
        <v>Mantequilla RUMAY</v>
      </c>
      <c r="AK2717" s="14">
        <f>VLOOKUP(E2717,Precios!Z$2:BB$941,3,FALSE)*F2717</f>
        <v>-1</v>
      </c>
      <c r="AL2717" s="17"/>
      <c r="AM2717" s="17"/>
      <c r="AN2717" s="17"/>
      <c r="AO2717" s="17"/>
      <c r="AP2717" s="17"/>
      <c r="AQ2717" s="17"/>
      <c r="AR2717" s="17"/>
      <c r="AS2717" s="17"/>
      <c r="AT2717" s="17"/>
      <c r="AU2717" s="17"/>
      <c r="AV2717" s="17"/>
    </row>
    <row r="2718" spans="1:48" ht="15.75" customHeight="1">
      <c r="A2718" s="21" t="s">
        <v>47</v>
      </c>
      <c r="B2718" s="23" t="s">
        <v>1692</v>
      </c>
      <c r="C2718" s="22">
        <v>45727</v>
      </c>
      <c r="D2718" s="23" t="s">
        <v>915</v>
      </c>
      <c r="E2718" s="23" t="s">
        <v>565</v>
      </c>
      <c r="F2718" s="21">
        <v>1</v>
      </c>
      <c r="G2718" s="12">
        <v>6900.2286325825753</v>
      </c>
      <c r="H2718" s="34">
        <v>6900.2286325825753</v>
      </c>
      <c r="I2718" s="23" t="s">
        <v>52</v>
      </c>
      <c r="J2718" s="23" t="s">
        <v>61</v>
      </c>
      <c r="K2718" s="24" t="s">
        <v>177</v>
      </c>
      <c r="L2718" s="24">
        <v>115</v>
      </c>
      <c r="M2718" s="12">
        <v>5798.5114559517442</v>
      </c>
      <c r="N2718" s="12">
        <v>5798.5114559517442</v>
      </c>
      <c r="O2718" s="12">
        <v>1101.7171766308311</v>
      </c>
      <c r="P2718" s="13"/>
      <c r="Q2718" s="14">
        <v>2025</v>
      </c>
      <c r="R2718" s="15">
        <v>45352</v>
      </c>
      <c r="S2718" s="11" t="s">
        <v>372</v>
      </c>
      <c r="T2718" s="16">
        <v>0</v>
      </c>
      <c r="U2718" s="17"/>
      <c r="V2718" s="12">
        <v>2222.5114559517442</v>
      </c>
      <c r="W2718" s="12">
        <v>2222.5114559517442</v>
      </c>
      <c r="X2718" s="12">
        <v>0</v>
      </c>
      <c r="Y2718" s="18">
        <v>45726</v>
      </c>
      <c r="Z2718" s="13" t="s">
        <v>516</v>
      </c>
      <c r="AA2718" s="19" t="str">
        <f>VLOOKUP(D2718,Clientes!$A$2:$J$486,9,FALSE)</f>
        <v>Regular</v>
      </c>
      <c r="AB2718" s="13" t="str">
        <f>VLOOKUP(D2718,Clientes!$A$2:$K$486,11,FALSE)</f>
        <v>Persona Natural</v>
      </c>
      <c r="AC2718" s="13" t="str">
        <f>VLOOKUP(D2718,Clientes!$A$2:$B$486,2,FALSE)</f>
        <v>Jardin del Eden</v>
      </c>
      <c r="AD2718" s="20"/>
      <c r="AE2718" s="20"/>
      <c r="AF2718" s="13" t="s">
        <v>40</v>
      </c>
      <c r="AG2718" s="15">
        <v>45352</v>
      </c>
      <c r="AH2718" s="13" t="s">
        <v>41</v>
      </c>
      <c r="AI2718" s="13" t="s">
        <v>47</v>
      </c>
      <c r="AJ2718" s="13" t="str">
        <f>VLOOKUP(E2718,Precios!Z$2:AA$941,2,FALSE)</f>
        <v>Traperos Humedos TEDDY</v>
      </c>
      <c r="AK2718" s="14">
        <f>VLOOKUP(E2718,Precios!Z$2:BB$941,3,FALSE)*F2718</f>
        <v>-3</v>
      </c>
      <c r="AL2718" s="17"/>
      <c r="AM2718" s="17"/>
      <c r="AN2718" s="17"/>
      <c r="AO2718" s="17"/>
      <c r="AP2718" s="17"/>
      <c r="AQ2718" s="17"/>
      <c r="AR2718" s="17"/>
      <c r="AS2718" s="17"/>
      <c r="AT2718" s="17"/>
      <c r="AU2718" s="17"/>
      <c r="AV2718" s="17"/>
    </row>
    <row r="2719" spans="1:48" ht="15.75" customHeight="1">
      <c r="A2719" s="21" t="s">
        <v>76</v>
      </c>
      <c r="B2719" s="23" t="s">
        <v>1692</v>
      </c>
      <c r="C2719" s="22">
        <v>45727</v>
      </c>
      <c r="D2719" s="23" t="s">
        <v>68</v>
      </c>
      <c r="E2719" s="23" t="s">
        <v>252</v>
      </c>
      <c r="F2719" s="21">
        <v>2</v>
      </c>
      <c r="G2719" s="12">
        <v>1599.969512195122</v>
      </c>
      <c r="H2719" s="12">
        <v>3199.939024390244</v>
      </c>
      <c r="I2719" s="23" t="s">
        <v>52</v>
      </c>
      <c r="J2719" s="23" t="s">
        <v>61</v>
      </c>
      <c r="K2719" s="24" t="s">
        <v>86</v>
      </c>
      <c r="L2719" s="24">
        <v>66</v>
      </c>
      <c r="M2719" s="12">
        <v>1344.5121951219512</v>
      </c>
      <c r="N2719" s="12">
        <v>2689.0243902439024</v>
      </c>
      <c r="O2719" s="12">
        <v>510.91463414634154</v>
      </c>
      <c r="P2719" s="13"/>
      <c r="Q2719" s="14">
        <v>2025</v>
      </c>
      <c r="R2719" s="15">
        <v>45352</v>
      </c>
      <c r="S2719" s="11" t="s">
        <v>252</v>
      </c>
      <c r="T2719" s="16">
        <v>0</v>
      </c>
      <c r="U2719" s="17"/>
      <c r="V2719" s="12">
        <v>925.02439024390242</v>
      </c>
      <c r="W2719" s="12">
        <v>925.02439024390242</v>
      </c>
      <c r="X2719" s="12">
        <v>0</v>
      </c>
      <c r="Y2719" s="18">
        <v>45726</v>
      </c>
      <c r="Z2719" s="13" t="s">
        <v>516</v>
      </c>
      <c r="AA2719" s="19" t="str">
        <f>VLOOKUP(D2719,Clientes!$A$2:$J$486,9,FALSE)</f>
        <v>Frecuente</v>
      </c>
      <c r="AB2719" s="13" t="str">
        <f>VLOOKUP(D2719,Clientes!$A$2:$K$486,11,FALSE)</f>
        <v>Empresa</v>
      </c>
      <c r="AC2719" s="13" t="str">
        <f>VLOOKUP(D2719,Clientes!$A$2:$B$486,2,FALSE)</f>
        <v>Jardines de la viña</v>
      </c>
      <c r="AD2719" s="20"/>
      <c r="AE2719" s="20"/>
      <c r="AF2719" s="13" t="s">
        <v>40</v>
      </c>
      <c r="AG2719" s="15">
        <v>45352</v>
      </c>
      <c r="AH2719" s="13" t="s">
        <v>41</v>
      </c>
      <c r="AI2719" s="13" t="s">
        <v>76</v>
      </c>
      <c r="AJ2719" s="13" t="str">
        <f>VLOOKUP(E2719,Precios!Z$2:AA$941,2,FALSE)</f>
        <v>Limpiapiso POETT 900 ml</v>
      </c>
      <c r="AK2719" s="14">
        <f>VLOOKUP(E2719,Precios!Z$2:BB$941,3,FALSE)*F2719</f>
        <v>-2</v>
      </c>
      <c r="AL2719" s="17"/>
      <c r="AM2719" s="17"/>
      <c r="AN2719" s="17"/>
      <c r="AO2719" s="17"/>
      <c r="AP2719" s="17"/>
      <c r="AQ2719" s="17"/>
      <c r="AR2719" s="17"/>
      <c r="AS2719" s="17"/>
      <c r="AT2719" s="17"/>
      <c r="AU2719" s="17"/>
      <c r="AV2719" s="17"/>
    </row>
    <row r="2720" spans="1:48" ht="15.75" customHeight="1">
      <c r="A2720" s="21" t="s">
        <v>76</v>
      </c>
      <c r="B2720" s="23" t="s">
        <v>1692</v>
      </c>
      <c r="C2720" s="22">
        <v>45727</v>
      </c>
      <c r="D2720" s="23" t="s">
        <v>68</v>
      </c>
      <c r="E2720" s="23" t="s">
        <v>194</v>
      </c>
      <c r="F2720" s="21">
        <v>1</v>
      </c>
      <c r="G2720" s="12">
        <v>2400</v>
      </c>
      <c r="H2720" s="12">
        <v>2400</v>
      </c>
      <c r="I2720" s="23" t="s">
        <v>52</v>
      </c>
      <c r="J2720" s="23" t="s">
        <v>61</v>
      </c>
      <c r="K2720" s="24" t="s">
        <v>86</v>
      </c>
      <c r="L2720" s="24">
        <v>66</v>
      </c>
      <c r="M2720" s="12">
        <v>2016.8067226890757</v>
      </c>
      <c r="N2720" s="12">
        <v>2016.8067226890757</v>
      </c>
      <c r="O2720" s="12">
        <v>383.19327731092426</v>
      </c>
      <c r="P2720" s="13"/>
      <c r="Q2720" s="14">
        <v>2025</v>
      </c>
      <c r="R2720" s="15">
        <v>45352</v>
      </c>
      <c r="S2720" s="11" t="s">
        <v>442</v>
      </c>
      <c r="T2720" s="16">
        <v>0</v>
      </c>
      <c r="U2720" s="17"/>
      <c r="V2720" s="12">
        <v>959.6638655462184</v>
      </c>
      <c r="W2720" s="12">
        <v>959.6638655462184</v>
      </c>
      <c r="X2720" s="12">
        <v>0</v>
      </c>
      <c r="Y2720" s="18">
        <v>45726</v>
      </c>
      <c r="Z2720" s="13" t="s">
        <v>516</v>
      </c>
      <c r="AA2720" s="19" t="str">
        <f>VLOOKUP(D2720,Clientes!$A$2:$J$486,9,FALSE)</f>
        <v>Frecuente</v>
      </c>
      <c r="AB2720" s="13" t="str">
        <f>VLOOKUP(D2720,Clientes!$A$2:$K$486,11,FALSE)</f>
        <v>Empresa</v>
      </c>
      <c r="AC2720" s="13" t="str">
        <f>VLOOKUP(D2720,Clientes!$A$2:$B$486,2,FALSE)</f>
        <v>Jardines de la viña</v>
      </c>
      <c r="AD2720" s="20"/>
      <c r="AE2720" s="20"/>
      <c r="AF2720" s="13" t="s">
        <v>40</v>
      </c>
      <c r="AG2720" s="15">
        <v>45352</v>
      </c>
      <c r="AH2720" s="13" t="s">
        <v>41</v>
      </c>
      <c r="AI2720" s="13" t="s">
        <v>76</v>
      </c>
      <c r="AJ2720" s="13" t="str">
        <f>VLOOKUP(E2720,Precios!Z$2:AA$941,2,FALSE)</f>
        <v>CIF 750 cc</v>
      </c>
      <c r="AK2720" s="14">
        <f>VLOOKUP(E2720,Precios!Z$2:BB$941,3,FALSE)*F2720</f>
        <v>-1</v>
      </c>
      <c r="AL2720" s="17"/>
      <c r="AM2720" s="17"/>
      <c r="AN2720" s="17"/>
      <c r="AO2720" s="17"/>
      <c r="AP2720" s="17"/>
      <c r="AQ2720" s="17"/>
      <c r="AR2720" s="17"/>
      <c r="AS2720" s="17"/>
      <c r="AT2720" s="17"/>
      <c r="AU2720" s="17"/>
      <c r="AV2720" s="17"/>
    </row>
    <row r="2721" spans="1:48" ht="15.75" customHeight="1">
      <c r="A2721" s="21" t="s">
        <v>47</v>
      </c>
      <c r="B2721" s="23" t="s">
        <v>1692</v>
      </c>
      <c r="C2721" s="22">
        <v>45727</v>
      </c>
      <c r="D2721" s="23" t="s">
        <v>68</v>
      </c>
      <c r="E2721" s="23" t="s">
        <v>306</v>
      </c>
      <c r="F2721" s="21">
        <v>1</v>
      </c>
      <c r="G2721" s="12">
        <v>8000.0000000000009</v>
      </c>
      <c r="H2721" s="12">
        <v>8000.0000000000009</v>
      </c>
      <c r="I2721" s="23" t="s">
        <v>52</v>
      </c>
      <c r="J2721" s="23" t="s">
        <v>61</v>
      </c>
      <c r="K2721" s="24" t="s">
        <v>86</v>
      </c>
      <c r="L2721" s="24">
        <v>66</v>
      </c>
      <c r="M2721" s="12">
        <v>6722.6890756302528</v>
      </c>
      <c r="N2721" s="12">
        <v>6722.6890756302528</v>
      </c>
      <c r="O2721" s="12">
        <v>1277.3109243697481</v>
      </c>
      <c r="P2721" s="13"/>
      <c r="Q2721" s="14">
        <v>2025</v>
      </c>
      <c r="R2721" s="15">
        <v>45352</v>
      </c>
      <c r="S2721" s="11" t="s">
        <v>372</v>
      </c>
      <c r="T2721" s="16">
        <v>0</v>
      </c>
      <c r="U2721" s="17"/>
      <c r="V2721" s="12">
        <v>1781.5126050420176</v>
      </c>
      <c r="W2721" s="12">
        <v>1781.5126050420176</v>
      </c>
      <c r="X2721" s="12">
        <v>0</v>
      </c>
      <c r="Y2721" s="18">
        <v>45726</v>
      </c>
      <c r="Z2721" s="13" t="s">
        <v>516</v>
      </c>
      <c r="AA2721" s="19" t="str">
        <f>VLOOKUP(D2721,Clientes!$A$2:$J$486,9,FALSE)</f>
        <v>Frecuente</v>
      </c>
      <c r="AB2721" s="13" t="str">
        <f>VLOOKUP(D2721,Clientes!$A$2:$K$486,11,FALSE)</f>
        <v>Empresa</v>
      </c>
      <c r="AC2721" s="13" t="str">
        <f>VLOOKUP(D2721,Clientes!$A$2:$B$486,2,FALSE)</f>
        <v>Jardines de la viña</v>
      </c>
      <c r="AD2721" s="20"/>
      <c r="AE2721" s="20"/>
      <c r="AF2721" s="13" t="s">
        <v>40</v>
      </c>
      <c r="AG2721" s="15">
        <v>45352</v>
      </c>
      <c r="AH2721" s="13" t="s">
        <v>41</v>
      </c>
      <c r="AI2721" s="13" t="s">
        <v>47</v>
      </c>
      <c r="AJ2721" s="13" t="str">
        <f>VLOOKUP(E2721,Precios!Z$2:AA$941,2,FALSE)</f>
        <v>Traperos Humedos VIRGINIA</v>
      </c>
      <c r="AK2721" s="14">
        <f>VLOOKUP(E2721,Precios!Z$2:BB$941,3,FALSE)*F2721</f>
        <v>-3</v>
      </c>
      <c r="AL2721" s="17"/>
      <c r="AM2721" s="17"/>
      <c r="AN2721" s="17"/>
      <c r="AO2721" s="17"/>
      <c r="AP2721" s="17"/>
      <c r="AQ2721" s="17"/>
      <c r="AR2721" s="17"/>
      <c r="AS2721" s="17"/>
      <c r="AT2721" s="17"/>
      <c r="AU2721" s="17"/>
      <c r="AV2721" s="17"/>
    </row>
    <row r="2722" spans="1:48" ht="15.75" customHeight="1">
      <c r="A2722" s="21" t="s">
        <v>35</v>
      </c>
      <c r="B2722" s="23" t="s">
        <v>1692</v>
      </c>
      <c r="C2722" s="22">
        <v>45726</v>
      </c>
      <c r="D2722" s="23" t="s">
        <v>348</v>
      </c>
      <c r="E2722" s="23" t="s">
        <v>46</v>
      </c>
      <c r="F2722" s="21">
        <v>1</v>
      </c>
      <c r="G2722" s="12">
        <v>5500</v>
      </c>
      <c r="H2722" s="12">
        <v>5500</v>
      </c>
      <c r="I2722" s="23" t="s">
        <v>52</v>
      </c>
      <c r="J2722" s="23" t="s">
        <v>61</v>
      </c>
      <c r="K2722" s="24" t="s">
        <v>177</v>
      </c>
      <c r="L2722" s="24">
        <v>114</v>
      </c>
      <c r="M2722" s="12">
        <v>4621.8487394957983</v>
      </c>
      <c r="N2722" s="12">
        <v>4621.8487394957983</v>
      </c>
      <c r="O2722" s="12">
        <v>878.15126050420167</v>
      </c>
      <c r="P2722" s="13"/>
      <c r="Q2722" s="14">
        <v>2025</v>
      </c>
      <c r="R2722" s="15">
        <v>45352</v>
      </c>
      <c r="S2722" s="11" t="s">
        <v>364</v>
      </c>
      <c r="T2722" s="16">
        <v>500</v>
      </c>
      <c r="U2722" s="17"/>
      <c r="V2722" s="12">
        <v>1365.1260504201678</v>
      </c>
      <c r="W2722" s="12">
        <v>1365.1260504201678</v>
      </c>
      <c r="X2722" s="12">
        <v>0</v>
      </c>
      <c r="Y2722" s="18">
        <v>45726</v>
      </c>
      <c r="Z2722" s="13" t="s">
        <v>523</v>
      </c>
      <c r="AA2722" s="19" t="str">
        <f>VLOOKUP(D2722,Clientes!$A$2:$J$486,9,FALSE)</f>
        <v>Regular</v>
      </c>
      <c r="AB2722" s="13" t="str">
        <f>VLOOKUP(D2722,Clientes!$A$2:$K$486,11,FALSE)</f>
        <v>Persona Natural</v>
      </c>
      <c r="AC2722" s="13" t="str">
        <f>VLOOKUP(D2722,Clientes!$A$2:$B$486,2,FALSE)</f>
        <v>Jardines de la Viña</v>
      </c>
      <c r="AD2722" s="20"/>
      <c r="AE2722" s="20"/>
      <c r="AF2722" s="13" t="s">
        <v>40</v>
      </c>
      <c r="AG2722" s="15">
        <v>45352</v>
      </c>
      <c r="AH2722" s="13" t="s">
        <v>41</v>
      </c>
      <c r="AI2722" s="13" t="s">
        <v>35</v>
      </c>
      <c r="AJ2722" s="13" t="str">
        <f>VLOOKUP(E2722,Precios!Z$2:AA$941,2,FALSE)</f>
        <v>Queso RUNCA Mantecoso</v>
      </c>
      <c r="AK2722" s="14">
        <f>VLOOKUP(E2722,Precios!Z$2:BB$941,3,FALSE)*F2722</f>
        <v>-0.5</v>
      </c>
      <c r="AL2722" s="17"/>
      <c r="AM2722" s="17"/>
      <c r="AN2722" s="17"/>
      <c r="AO2722" s="17"/>
      <c r="AP2722" s="17"/>
      <c r="AQ2722" s="17"/>
      <c r="AR2722" s="17"/>
      <c r="AS2722" s="17"/>
      <c r="AT2722" s="17"/>
      <c r="AU2722" s="17"/>
      <c r="AV2722" s="17"/>
    </row>
    <row r="2723" spans="1:48" ht="15.75" customHeight="1">
      <c r="A2723" s="21" t="s">
        <v>56</v>
      </c>
      <c r="B2723" s="23" t="s">
        <v>1692</v>
      </c>
      <c r="C2723" s="22">
        <v>45726</v>
      </c>
      <c r="D2723" s="23" t="s">
        <v>348</v>
      </c>
      <c r="E2723" s="23" t="s">
        <v>190</v>
      </c>
      <c r="F2723" s="21">
        <v>1</v>
      </c>
      <c r="G2723" s="12">
        <v>2500</v>
      </c>
      <c r="H2723" s="12">
        <v>2500</v>
      </c>
      <c r="I2723" s="23" t="s">
        <v>52</v>
      </c>
      <c r="J2723" s="23" t="s">
        <v>61</v>
      </c>
      <c r="K2723" s="24" t="s">
        <v>177</v>
      </c>
      <c r="L2723" s="24">
        <v>114</v>
      </c>
      <c r="M2723" s="12">
        <v>2100.840336134454</v>
      </c>
      <c r="N2723" s="12">
        <v>2100.840336134454</v>
      </c>
      <c r="O2723" s="12">
        <v>399.15966386554601</v>
      </c>
      <c r="P2723" s="13"/>
      <c r="Q2723" s="14">
        <v>2025</v>
      </c>
      <c r="R2723" s="15">
        <v>45352</v>
      </c>
      <c r="S2723" s="11" t="s">
        <v>492</v>
      </c>
      <c r="T2723" s="16">
        <v>200</v>
      </c>
      <c r="U2723" s="17"/>
      <c r="V2723" s="12">
        <v>631.93277310924373</v>
      </c>
      <c r="W2723" s="12">
        <v>631.93277310924373</v>
      </c>
      <c r="X2723" s="12">
        <v>0</v>
      </c>
      <c r="Y2723" s="18">
        <v>45726</v>
      </c>
      <c r="Z2723" s="13" t="s">
        <v>523</v>
      </c>
      <c r="AA2723" s="19" t="str">
        <f>VLOOKUP(D2723,Clientes!$A$2:$J$486,9,FALSE)</f>
        <v>Regular</v>
      </c>
      <c r="AB2723" s="13" t="str">
        <f>VLOOKUP(D2723,Clientes!$A$2:$K$486,11,FALSE)</f>
        <v>Persona Natural</v>
      </c>
      <c r="AC2723" s="13" t="str">
        <f>VLOOKUP(D2723,Clientes!$A$2:$B$486,2,FALSE)</f>
        <v>Jardines de la Viña</v>
      </c>
      <c r="AD2723" s="20"/>
      <c r="AE2723" s="20"/>
      <c r="AF2723" s="13" t="s">
        <v>40</v>
      </c>
      <c r="AG2723" s="15">
        <v>45352</v>
      </c>
      <c r="AH2723" s="13" t="s">
        <v>41</v>
      </c>
      <c r="AI2723" s="13" t="s">
        <v>56</v>
      </c>
      <c r="AJ2723" s="13" t="str">
        <f>VLOOKUP(E2723,Precios!Z$2:AA$941,2,FALSE)</f>
        <v>Mantequilla RUMAY</v>
      </c>
      <c r="AK2723" s="14">
        <f>VLOOKUP(E2723,Precios!Z$2:BB$941,3,FALSE)*F2723</f>
        <v>-1</v>
      </c>
      <c r="AL2723" s="17"/>
      <c r="AM2723" s="17"/>
      <c r="AN2723" s="17"/>
      <c r="AO2723" s="17"/>
      <c r="AP2723" s="17"/>
      <c r="AQ2723" s="17"/>
      <c r="AR2723" s="17"/>
      <c r="AS2723" s="17"/>
      <c r="AT2723" s="17"/>
      <c r="AU2723" s="17"/>
      <c r="AV2723" s="17"/>
    </row>
    <row r="2724" spans="1:48" ht="15.75" customHeight="1">
      <c r="A2724" s="21" t="s">
        <v>43</v>
      </c>
      <c r="B2724" s="23" t="s">
        <v>1692</v>
      </c>
      <c r="C2724" s="22">
        <v>45726</v>
      </c>
      <c r="D2724" s="23" t="s">
        <v>348</v>
      </c>
      <c r="E2724" s="23" t="s">
        <v>673</v>
      </c>
      <c r="F2724" s="21">
        <v>1</v>
      </c>
      <c r="G2724" s="12">
        <v>3500.4879408894462</v>
      </c>
      <c r="H2724" s="12">
        <v>3500.4879408894462</v>
      </c>
      <c r="I2724" s="23" t="s">
        <v>52</v>
      </c>
      <c r="J2724" s="23" t="s">
        <v>61</v>
      </c>
      <c r="K2724" s="24" t="s">
        <v>177</v>
      </c>
      <c r="L2724" s="24">
        <v>114</v>
      </c>
      <c r="M2724" s="12">
        <v>2941.5865049491144</v>
      </c>
      <c r="N2724" s="12">
        <v>2941.5865049491144</v>
      </c>
      <c r="O2724" s="12">
        <v>558.90143594033179</v>
      </c>
      <c r="P2724" s="13"/>
      <c r="Q2724" s="14">
        <v>2025</v>
      </c>
      <c r="R2724" s="15">
        <v>45352</v>
      </c>
      <c r="S2724" s="11" t="s">
        <v>355</v>
      </c>
      <c r="T2724" s="16">
        <v>0</v>
      </c>
      <c r="U2724" s="17"/>
      <c r="V2724" s="12">
        <v>831.58650494911444</v>
      </c>
      <c r="W2724" s="12">
        <v>831.58650494911444</v>
      </c>
      <c r="X2724" s="12">
        <v>0</v>
      </c>
      <c r="Y2724" s="18">
        <v>45726</v>
      </c>
      <c r="Z2724" s="13" t="s">
        <v>523</v>
      </c>
      <c r="AA2724" s="19" t="str">
        <f>VLOOKUP(D2724,Clientes!$A$2:$J$486,9,FALSE)</f>
        <v>Regular</v>
      </c>
      <c r="AB2724" s="13" t="str">
        <f>VLOOKUP(D2724,Clientes!$A$2:$K$486,11,FALSE)</f>
        <v>Persona Natural</v>
      </c>
      <c r="AC2724" s="13" t="str">
        <f>VLOOKUP(D2724,Clientes!$A$2:$B$486,2,FALSE)</f>
        <v>Jardines de la Viña</v>
      </c>
      <c r="AD2724" s="20"/>
      <c r="AE2724" s="20"/>
      <c r="AF2724" s="13" t="s">
        <v>40</v>
      </c>
      <c r="AG2724" s="15">
        <v>45352</v>
      </c>
      <c r="AH2724" s="13" t="s">
        <v>41</v>
      </c>
      <c r="AI2724" s="13" t="s">
        <v>43</v>
      </c>
      <c r="AJ2724" s="13" t="str">
        <f>VLOOKUP(E2724,Precios!Z$2:AA$941,2,FALSE)</f>
        <v>Bandeja Huevos EXTRA</v>
      </c>
      <c r="AK2724" s="14">
        <f>VLOOKUP(E2724,Precios!Z$2:BB$941,3,FALSE)*F2724</f>
        <v>-0.4</v>
      </c>
      <c r="AL2724" s="17"/>
      <c r="AM2724" s="17"/>
      <c r="AN2724" s="17"/>
      <c r="AO2724" s="17"/>
      <c r="AP2724" s="17"/>
      <c r="AQ2724" s="17"/>
      <c r="AR2724" s="17"/>
      <c r="AS2724" s="17"/>
      <c r="AT2724" s="17"/>
      <c r="AU2724" s="17"/>
      <c r="AV2724" s="17"/>
    </row>
    <row r="2725" spans="1:48" ht="15.75" customHeight="1">
      <c r="A2725" s="21" t="s">
        <v>53</v>
      </c>
      <c r="B2725" s="23" t="s">
        <v>1692</v>
      </c>
      <c r="C2725" s="22">
        <v>45726</v>
      </c>
      <c r="D2725" s="23" t="s">
        <v>348</v>
      </c>
      <c r="E2725" s="23" t="s">
        <v>587</v>
      </c>
      <c r="F2725" s="21">
        <v>1</v>
      </c>
      <c r="G2725" s="12">
        <v>3499.8985330782161</v>
      </c>
      <c r="H2725" s="12">
        <v>3499.8985330782161</v>
      </c>
      <c r="I2725" s="23" t="s">
        <v>52</v>
      </c>
      <c r="J2725" s="23" t="s">
        <v>61</v>
      </c>
      <c r="K2725" s="24" t="s">
        <v>177</v>
      </c>
      <c r="L2725" s="24">
        <v>114</v>
      </c>
      <c r="M2725" s="12">
        <v>2941.0912042674086</v>
      </c>
      <c r="N2725" s="12">
        <v>2941.0912042674086</v>
      </c>
      <c r="O2725" s="12">
        <v>558.80732881080758</v>
      </c>
      <c r="P2725" s="13"/>
      <c r="Q2725" s="14">
        <v>2025</v>
      </c>
      <c r="R2725" s="15">
        <v>45352</v>
      </c>
      <c r="S2725" s="11" t="s">
        <v>408</v>
      </c>
      <c r="T2725" s="16">
        <v>0</v>
      </c>
      <c r="U2725" s="17"/>
      <c r="V2725" s="12">
        <v>912.09120426740856</v>
      </c>
      <c r="W2725" s="12">
        <v>912.09120426740856</v>
      </c>
      <c r="X2725" s="12">
        <v>0</v>
      </c>
      <c r="Y2725" s="18">
        <v>45726</v>
      </c>
      <c r="Z2725" s="13" t="s">
        <v>523</v>
      </c>
      <c r="AA2725" s="19" t="str">
        <f>VLOOKUP(D2725,Clientes!$A$2:$J$486,9,FALSE)</f>
        <v>Regular</v>
      </c>
      <c r="AB2725" s="13" t="str">
        <f>VLOOKUP(D2725,Clientes!$A$2:$K$486,11,FALSE)</f>
        <v>Persona Natural</v>
      </c>
      <c r="AC2725" s="13" t="str">
        <f>VLOOKUP(D2725,Clientes!$A$2:$B$486,2,FALSE)</f>
        <v>Jardines de la Viña</v>
      </c>
      <c r="AD2725" s="20"/>
      <c r="AE2725" s="20"/>
      <c r="AF2725" s="13" t="s">
        <v>40</v>
      </c>
      <c r="AG2725" s="15">
        <v>45352</v>
      </c>
      <c r="AH2725" s="13" t="s">
        <v>41</v>
      </c>
      <c r="AI2725" s="13" t="s">
        <v>53</v>
      </c>
      <c r="AJ2725" s="13" t="str">
        <f>VLOOKUP(E2725,Precios!Z$2:AA$941,2,FALSE)</f>
        <v>Toalla Papel SWAN D/H AZUL 100 metros</v>
      </c>
      <c r="AK2725" s="14">
        <f>VLOOKUP(E2725,Precios!Z$2:BB$941,3,FALSE)*F2725</f>
        <v>-1</v>
      </c>
      <c r="AL2725" s="17"/>
      <c r="AM2725" s="17"/>
      <c r="AN2725" s="17"/>
      <c r="AO2725" s="17"/>
      <c r="AP2725" s="17"/>
      <c r="AQ2725" s="17"/>
      <c r="AR2725" s="17"/>
      <c r="AS2725" s="17"/>
      <c r="AT2725" s="17"/>
      <c r="AU2725" s="17"/>
      <c r="AV2725" s="17"/>
    </row>
    <row r="2726" spans="1:48" ht="15.75" customHeight="1">
      <c r="A2726" s="21" t="s">
        <v>47</v>
      </c>
      <c r="B2726" s="23" t="s">
        <v>1692</v>
      </c>
      <c r="C2726" s="22">
        <v>45726</v>
      </c>
      <c r="D2726" s="23" t="s">
        <v>348</v>
      </c>
      <c r="E2726" s="23" t="s">
        <v>475</v>
      </c>
      <c r="F2726" s="21">
        <v>1</v>
      </c>
      <c r="G2726" s="12">
        <v>1500.121212121212</v>
      </c>
      <c r="H2726" s="12">
        <v>1500.121212121212</v>
      </c>
      <c r="I2726" s="23" t="s">
        <v>52</v>
      </c>
      <c r="J2726" s="23" t="s">
        <v>61</v>
      </c>
      <c r="K2726" s="24" t="s">
        <v>177</v>
      </c>
      <c r="L2726" s="24">
        <v>114</v>
      </c>
      <c r="M2726" s="12">
        <v>1260.6060606060605</v>
      </c>
      <c r="N2726" s="12">
        <v>1260.6060606060605</v>
      </c>
      <c r="O2726" s="12">
        <v>239.5151515151515</v>
      </c>
      <c r="P2726" s="13"/>
      <c r="Q2726" s="14">
        <v>2025</v>
      </c>
      <c r="R2726" s="15">
        <v>45352</v>
      </c>
      <c r="S2726" s="11" t="s">
        <v>476</v>
      </c>
      <c r="T2726" s="16">
        <v>0</v>
      </c>
      <c r="U2726" s="17"/>
      <c r="V2726" s="12">
        <v>532.60606060606051</v>
      </c>
      <c r="W2726" s="12">
        <v>532.60606060606051</v>
      </c>
      <c r="X2726" s="12">
        <v>0</v>
      </c>
      <c r="Y2726" s="18">
        <v>45726</v>
      </c>
      <c r="Z2726" s="13" t="s">
        <v>523</v>
      </c>
      <c r="AA2726" s="19" t="str">
        <f>VLOOKUP(D2726,Clientes!$A$2:$J$486,9,FALSE)</f>
        <v>Regular</v>
      </c>
      <c r="AB2726" s="13" t="str">
        <f>VLOOKUP(D2726,Clientes!$A$2:$K$486,11,FALSE)</f>
        <v>Persona Natural</v>
      </c>
      <c r="AC2726" s="13" t="str">
        <f>VLOOKUP(D2726,Clientes!$A$2:$B$486,2,FALSE)</f>
        <v>Jardines de la Viña</v>
      </c>
      <c r="AD2726" s="20"/>
      <c r="AE2726" s="20"/>
      <c r="AF2726" s="13" t="s">
        <v>40</v>
      </c>
      <c r="AG2726" s="15">
        <v>45352</v>
      </c>
      <c r="AH2726" s="13" t="s">
        <v>41</v>
      </c>
      <c r="AI2726" s="13" t="s">
        <v>47</v>
      </c>
      <c r="AJ2726" s="13" t="str">
        <f>VLOOKUP(E2726,Precios!Z$2:AA$941,2,FALSE)</f>
        <v>Ambiental Tubo TEDDY</v>
      </c>
      <c r="AK2726" s="14">
        <f>VLOOKUP(E2726,Precios!Z$2:BB$941,3,FALSE)*F2726</f>
        <v>-1</v>
      </c>
      <c r="AL2726" s="17"/>
      <c r="AM2726" s="17"/>
      <c r="AN2726" s="17"/>
      <c r="AO2726" s="17"/>
      <c r="AP2726" s="17"/>
      <c r="AQ2726" s="17"/>
      <c r="AR2726" s="17"/>
      <c r="AS2726" s="17"/>
      <c r="AT2726" s="17"/>
      <c r="AU2726" s="17"/>
      <c r="AV2726" s="17"/>
    </row>
    <row r="2727" spans="1:48" ht="15.75" customHeight="1">
      <c r="A2727" s="21" t="s">
        <v>43</v>
      </c>
      <c r="B2727" s="23" t="s">
        <v>1692</v>
      </c>
      <c r="C2727" s="22">
        <v>45726</v>
      </c>
      <c r="D2727" s="23" t="s">
        <v>729</v>
      </c>
      <c r="E2727" s="23" t="s">
        <v>45</v>
      </c>
      <c r="F2727" s="21">
        <v>1</v>
      </c>
      <c r="G2727" s="12">
        <v>7600.0975431323541</v>
      </c>
      <c r="H2727" s="12">
        <v>7600.0975431323541</v>
      </c>
      <c r="I2727" s="23" t="s">
        <v>52</v>
      </c>
      <c r="J2727" s="23" t="s">
        <v>61</v>
      </c>
      <c r="K2727" s="24" t="s">
        <v>177</v>
      </c>
      <c r="L2727" s="24">
        <v>114</v>
      </c>
      <c r="M2727" s="12">
        <v>6386.6365908675243</v>
      </c>
      <c r="N2727" s="12">
        <v>6386.6365908675243</v>
      </c>
      <c r="O2727" s="12">
        <v>1213.4609522648298</v>
      </c>
      <c r="P2727" s="13"/>
      <c r="Q2727" s="14">
        <v>2025</v>
      </c>
      <c r="R2727" s="15">
        <v>45352</v>
      </c>
      <c r="S2727" s="11" t="s">
        <v>355</v>
      </c>
      <c r="T2727" s="16">
        <v>0</v>
      </c>
      <c r="U2727" s="17"/>
      <c r="V2727" s="12">
        <v>1148.6365908675243</v>
      </c>
      <c r="W2727" s="12">
        <v>1148.6365908675243</v>
      </c>
      <c r="X2727" s="12">
        <v>0</v>
      </c>
      <c r="Y2727" s="18">
        <v>45726</v>
      </c>
      <c r="Z2727" s="13" t="s">
        <v>523</v>
      </c>
      <c r="AA2727" s="19" t="str">
        <f>VLOOKUP(D2727,Clientes!$A$2:$J$486,9,FALSE)</f>
        <v>Ocacional</v>
      </c>
      <c r="AB2727" s="13" t="str">
        <f>VLOOKUP(D2727,Clientes!$A$2:$K$486,11,FALSE)</f>
        <v>Persona Natural</v>
      </c>
      <c r="AC2727" s="13" t="str">
        <f>VLOOKUP(D2727,Clientes!$A$2:$B$486,2,FALSE)</f>
        <v>Araucania</v>
      </c>
      <c r="AD2727" s="20"/>
      <c r="AE2727" s="20"/>
      <c r="AF2727" s="13" t="s">
        <v>40</v>
      </c>
      <c r="AG2727" s="15">
        <v>45352</v>
      </c>
      <c r="AH2727" s="13" t="s">
        <v>41</v>
      </c>
      <c r="AI2727" s="13" t="s">
        <v>43</v>
      </c>
      <c r="AJ2727" s="13" t="str">
        <f>VLOOKUP(E2727,Precios!Z$2:AA$941,2,FALSE)</f>
        <v>Bandeja Huevos EXTRA</v>
      </c>
      <c r="AK2727" s="14">
        <f>VLOOKUP(E2727,Precios!Z$2:BB$941,3,FALSE)*F2727</f>
        <v>-1</v>
      </c>
      <c r="AL2727" s="17"/>
      <c r="AM2727" s="17"/>
      <c r="AN2727" s="17"/>
      <c r="AO2727" s="17"/>
      <c r="AP2727" s="17"/>
      <c r="AQ2727" s="17"/>
      <c r="AR2727" s="17"/>
      <c r="AS2727" s="17"/>
      <c r="AT2727" s="17"/>
      <c r="AU2727" s="17"/>
      <c r="AV2727" s="17"/>
    </row>
    <row r="2728" spans="1:48" ht="15.75" customHeight="1">
      <c r="A2728" s="21" t="s">
        <v>76</v>
      </c>
      <c r="B2728" s="23" t="s">
        <v>1692</v>
      </c>
      <c r="C2728" s="22">
        <v>45726</v>
      </c>
      <c r="D2728" s="23" t="s">
        <v>729</v>
      </c>
      <c r="E2728" s="23" t="s">
        <v>137</v>
      </c>
      <c r="F2728" s="21">
        <v>1</v>
      </c>
      <c r="G2728" s="12">
        <v>3500.0000000000005</v>
      </c>
      <c r="H2728" s="12">
        <v>3500.0000000000005</v>
      </c>
      <c r="I2728" s="23" t="s">
        <v>52</v>
      </c>
      <c r="J2728" s="23" t="s">
        <v>61</v>
      </c>
      <c r="K2728" s="24" t="s">
        <v>177</v>
      </c>
      <c r="L2728" s="24">
        <v>114</v>
      </c>
      <c r="M2728" s="12">
        <v>2941.1764705882356</v>
      </c>
      <c r="N2728" s="12">
        <v>2941.1764705882356</v>
      </c>
      <c r="O2728" s="12">
        <v>558.82352941176487</v>
      </c>
      <c r="P2728" s="13"/>
      <c r="Q2728" s="14">
        <v>2025</v>
      </c>
      <c r="R2728" s="15">
        <v>45352</v>
      </c>
      <c r="S2728" s="11" t="s">
        <v>406</v>
      </c>
      <c r="T2728" s="16">
        <v>5</v>
      </c>
      <c r="U2728" s="17"/>
      <c r="V2728" s="12">
        <v>848.73949579831969</v>
      </c>
      <c r="W2728" s="12">
        <v>848.73949579831969</v>
      </c>
      <c r="X2728" s="12">
        <v>0</v>
      </c>
      <c r="Y2728" s="18">
        <v>45726</v>
      </c>
      <c r="Z2728" s="13" t="s">
        <v>523</v>
      </c>
      <c r="AA2728" s="19" t="str">
        <f>VLOOKUP(D2728,Clientes!$A$2:$J$486,9,FALSE)</f>
        <v>Ocacional</v>
      </c>
      <c r="AB2728" s="13" t="str">
        <f>VLOOKUP(D2728,Clientes!$A$2:$K$486,11,FALSE)</f>
        <v>Persona Natural</v>
      </c>
      <c r="AC2728" s="13" t="str">
        <f>VLOOKUP(D2728,Clientes!$A$2:$B$486,2,FALSE)</f>
        <v>Araucania</v>
      </c>
      <c r="AD2728" s="20"/>
      <c r="AE2728" s="20"/>
      <c r="AF2728" s="13" t="s">
        <v>40</v>
      </c>
      <c r="AG2728" s="15">
        <v>45352</v>
      </c>
      <c r="AH2728" s="13" t="s">
        <v>41</v>
      </c>
      <c r="AI2728" s="13" t="s">
        <v>76</v>
      </c>
      <c r="AJ2728" s="13" t="str">
        <f>VLOOKUP(E2728,Precios!Z$2:AA$941,2,FALSE)</f>
        <v>Detergente SPUM 5 Litros (Blanco)</v>
      </c>
      <c r="AK2728" s="14">
        <f>VLOOKUP(E2728,Precios!Z$2:BB$941,3,FALSE)*F2728</f>
        <v>-1</v>
      </c>
      <c r="AL2728" s="17"/>
      <c r="AM2728" s="17"/>
      <c r="AN2728" s="17"/>
      <c r="AO2728" s="17"/>
      <c r="AP2728" s="17"/>
      <c r="AQ2728" s="17"/>
      <c r="AR2728" s="17"/>
      <c r="AS2728" s="17"/>
      <c r="AT2728" s="17"/>
      <c r="AU2728" s="17"/>
      <c r="AV2728" s="17"/>
    </row>
    <row r="2729" spans="1:48" ht="15.75" customHeight="1">
      <c r="A2729" s="21" t="s">
        <v>76</v>
      </c>
      <c r="B2729" s="23" t="s">
        <v>1692</v>
      </c>
      <c r="C2729" s="22">
        <v>45726</v>
      </c>
      <c r="D2729" s="23" t="s">
        <v>228</v>
      </c>
      <c r="E2729" s="23" t="s">
        <v>81</v>
      </c>
      <c r="F2729" s="21">
        <v>1</v>
      </c>
      <c r="G2729" s="12">
        <v>3500.0000000000005</v>
      </c>
      <c r="H2729" s="12">
        <v>3500.0000000000005</v>
      </c>
      <c r="I2729" s="23" t="s">
        <v>52</v>
      </c>
      <c r="J2729" s="23" t="s">
        <v>61</v>
      </c>
      <c r="K2729" s="24" t="s">
        <v>177</v>
      </c>
      <c r="L2729" s="24">
        <v>114</v>
      </c>
      <c r="M2729" s="12">
        <v>2941.1764705882356</v>
      </c>
      <c r="N2729" s="12">
        <v>2941.1764705882356</v>
      </c>
      <c r="O2729" s="12">
        <v>558.82352941176487</v>
      </c>
      <c r="P2729" s="13"/>
      <c r="Q2729" s="14">
        <v>2025</v>
      </c>
      <c r="R2729" s="15">
        <v>45352</v>
      </c>
      <c r="S2729" s="11" t="s">
        <v>397</v>
      </c>
      <c r="T2729" s="16">
        <v>5</v>
      </c>
      <c r="U2729" s="17"/>
      <c r="V2729" s="12">
        <v>764.70588235294144</v>
      </c>
      <c r="W2729" s="12">
        <v>764.70588235294144</v>
      </c>
      <c r="X2729" s="12">
        <v>0</v>
      </c>
      <c r="Y2729" s="18">
        <v>45726</v>
      </c>
      <c r="Z2729" s="13" t="s">
        <v>523</v>
      </c>
      <c r="AA2729" s="19" t="str">
        <f>VLOOKUP(D2729,Clientes!$A$2:$J$486,9,FALSE)</f>
        <v>Ocacional</v>
      </c>
      <c r="AB2729" s="13" t="str">
        <f>VLOOKUP(D2729,Clientes!$A$2:$K$486,11,FALSE)</f>
        <v>Persona Natural</v>
      </c>
      <c r="AC2729" s="13" t="str">
        <f>VLOOKUP(D2729,Clientes!$A$2:$B$486,2,FALSE)</f>
        <v>Santa Julia</v>
      </c>
      <c r="AD2729" s="20"/>
      <c r="AE2729" s="20"/>
      <c r="AF2729" s="13" t="s">
        <v>40</v>
      </c>
      <c r="AG2729" s="15">
        <v>45352</v>
      </c>
      <c r="AH2729" s="13" t="s">
        <v>41</v>
      </c>
      <c r="AI2729" s="13" t="s">
        <v>76</v>
      </c>
      <c r="AJ2729" s="13" t="str">
        <f>VLOOKUP(E2729,Precios!Z$2:AA$941,2,FALSE)</f>
        <v>Detergente SPUM 5 Litros (Verde)</v>
      </c>
      <c r="AK2729" s="14">
        <f>VLOOKUP(E2729,Precios!Z$2:BB$941,3,FALSE)*F2729</f>
        <v>-1</v>
      </c>
      <c r="AL2729" s="17"/>
      <c r="AM2729" s="17"/>
      <c r="AN2729" s="17"/>
      <c r="AO2729" s="17"/>
      <c r="AP2729" s="17"/>
      <c r="AQ2729" s="17"/>
      <c r="AR2729" s="17"/>
      <c r="AS2729" s="17"/>
      <c r="AT2729" s="17"/>
      <c r="AU2729" s="17"/>
      <c r="AV2729" s="17"/>
    </row>
    <row r="2730" spans="1:48" ht="15.75" customHeight="1">
      <c r="A2730" s="21" t="s">
        <v>47</v>
      </c>
      <c r="B2730" s="23" t="s">
        <v>1692</v>
      </c>
      <c r="C2730" s="22">
        <v>45726</v>
      </c>
      <c r="D2730" s="23" t="s">
        <v>228</v>
      </c>
      <c r="E2730" s="23" t="s">
        <v>153</v>
      </c>
      <c r="F2730" s="21">
        <v>1</v>
      </c>
      <c r="G2730" s="12">
        <v>1700</v>
      </c>
      <c r="H2730" s="12">
        <v>1700</v>
      </c>
      <c r="I2730" s="23" t="s">
        <v>52</v>
      </c>
      <c r="J2730" s="23" t="s">
        <v>61</v>
      </c>
      <c r="K2730" s="24" t="s">
        <v>177</v>
      </c>
      <c r="L2730" s="24">
        <v>114</v>
      </c>
      <c r="M2730" s="12">
        <v>1428.5714285714287</v>
      </c>
      <c r="N2730" s="12">
        <v>1428.5714285714287</v>
      </c>
      <c r="O2730" s="12">
        <v>271.42857142857133</v>
      </c>
      <c r="P2730" s="13"/>
      <c r="Q2730" s="14">
        <v>2025</v>
      </c>
      <c r="R2730" s="15">
        <v>45352</v>
      </c>
      <c r="S2730" s="11" t="s">
        <v>153</v>
      </c>
      <c r="T2730" s="16">
        <v>0</v>
      </c>
      <c r="U2730" s="17"/>
      <c r="V2730" s="12">
        <v>589.57142857142867</v>
      </c>
      <c r="W2730" s="12">
        <v>589.57142857142867</v>
      </c>
      <c r="X2730" s="12">
        <v>0</v>
      </c>
      <c r="Y2730" s="18">
        <v>45726</v>
      </c>
      <c r="Z2730" s="13" t="s">
        <v>523</v>
      </c>
      <c r="AA2730" s="19" t="str">
        <f>VLOOKUP(D2730,Clientes!$A$2:$J$486,9,FALSE)</f>
        <v>Ocacional</v>
      </c>
      <c r="AB2730" s="13" t="str">
        <f>VLOOKUP(D2730,Clientes!$A$2:$K$486,11,FALSE)</f>
        <v>Persona Natural</v>
      </c>
      <c r="AC2730" s="13" t="str">
        <f>VLOOKUP(D2730,Clientes!$A$2:$B$486,2,FALSE)</f>
        <v>Santa Julia</v>
      </c>
      <c r="AD2730" s="20"/>
      <c r="AE2730" s="20"/>
      <c r="AF2730" s="13" t="s">
        <v>40</v>
      </c>
      <c r="AG2730" s="15">
        <v>45352</v>
      </c>
      <c r="AH2730" s="13" t="s">
        <v>41</v>
      </c>
      <c r="AI2730" s="13" t="s">
        <v>47</v>
      </c>
      <c r="AJ2730" s="13" t="str">
        <f>VLOOKUP(E2730,Precios!Z$2:AA$941,2,FALSE)</f>
        <v>Escobillon TEDDY</v>
      </c>
      <c r="AK2730" s="14">
        <f>VLOOKUP(E2730,Precios!Z$2:BB$941,3,FALSE)*F2730</f>
        <v>-1</v>
      </c>
      <c r="AL2730" s="17"/>
      <c r="AM2730" s="17"/>
      <c r="AN2730" s="17"/>
      <c r="AO2730" s="17"/>
      <c r="AP2730" s="17"/>
      <c r="AQ2730" s="17"/>
      <c r="AR2730" s="17"/>
      <c r="AS2730" s="17"/>
      <c r="AT2730" s="17"/>
      <c r="AU2730" s="17"/>
      <c r="AV2730" s="17"/>
    </row>
    <row r="2731" spans="1:48" ht="15.75" customHeight="1">
      <c r="A2731" s="21" t="s">
        <v>47</v>
      </c>
      <c r="B2731" s="23" t="s">
        <v>1692</v>
      </c>
      <c r="C2731" s="22">
        <v>45726</v>
      </c>
      <c r="D2731" s="23" t="s">
        <v>228</v>
      </c>
      <c r="E2731" s="23" t="s">
        <v>521</v>
      </c>
      <c r="F2731" s="21">
        <v>1</v>
      </c>
      <c r="G2731" s="12">
        <v>600.32200357781755</v>
      </c>
      <c r="H2731" s="12">
        <v>600.32200357781755</v>
      </c>
      <c r="I2731" s="23" t="s">
        <v>52</v>
      </c>
      <c r="J2731" s="23" t="s">
        <v>61</v>
      </c>
      <c r="K2731" s="24" t="s">
        <v>177</v>
      </c>
      <c r="L2731" s="24">
        <v>114</v>
      </c>
      <c r="M2731" s="12">
        <v>504.47227191413242</v>
      </c>
      <c r="N2731" s="12">
        <v>504.47227191413242</v>
      </c>
      <c r="O2731" s="12">
        <v>95.849731663685134</v>
      </c>
      <c r="P2731" s="13"/>
      <c r="Q2731" s="14">
        <v>2025</v>
      </c>
      <c r="R2731" s="15">
        <v>45352</v>
      </c>
      <c r="S2731" s="11" t="s">
        <v>453</v>
      </c>
      <c r="T2731" s="16">
        <v>0</v>
      </c>
      <c r="U2731" s="17"/>
      <c r="V2731" s="12">
        <v>222.47227191413242</v>
      </c>
      <c r="W2731" s="12">
        <v>222.47227191413242</v>
      </c>
      <c r="X2731" s="12">
        <v>0</v>
      </c>
      <c r="Y2731" s="18">
        <v>45726</v>
      </c>
      <c r="Z2731" s="13" t="s">
        <v>523</v>
      </c>
      <c r="AA2731" s="19" t="str">
        <f>VLOOKUP(D2731,Clientes!$A$2:$J$486,9,FALSE)</f>
        <v>Ocacional</v>
      </c>
      <c r="AB2731" s="13" t="str">
        <f>VLOOKUP(D2731,Clientes!$A$2:$K$486,11,FALSE)</f>
        <v>Persona Natural</v>
      </c>
      <c r="AC2731" s="13" t="str">
        <f>VLOOKUP(D2731,Clientes!$A$2:$B$486,2,FALSE)</f>
        <v>Santa Julia</v>
      </c>
      <c r="AD2731" s="20"/>
      <c r="AE2731" s="20"/>
      <c r="AF2731" s="13" t="s">
        <v>40</v>
      </c>
      <c r="AG2731" s="15">
        <v>45352</v>
      </c>
      <c r="AH2731" s="13" t="s">
        <v>41</v>
      </c>
      <c r="AI2731" s="13" t="s">
        <v>47</v>
      </c>
      <c r="AJ2731" s="13" t="str">
        <f>VLOOKUP(E2731,Precios!Z$2:AA$941,2,FALSE)</f>
        <v xml:space="preserve">Bolsas Basura TEDDY 45x55 con Asas </v>
      </c>
      <c r="AK2731" s="14">
        <f>VLOOKUP(E2731,Precios!Z$2:BB$941,3,FALSE)*F2731</f>
        <v>-1</v>
      </c>
      <c r="AL2731" s="17"/>
      <c r="AM2731" s="17"/>
      <c r="AN2731" s="17"/>
      <c r="AO2731" s="17"/>
      <c r="AP2731" s="17"/>
      <c r="AQ2731" s="17"/>
      <c r="AR2731" s="17"/>
      <c r="AS2731" s="17"/>
      <c r="AT2731" s="17"/>
      <c r="AU2731" s="17"/>
      <c r="AV2731" s="17"/>
    </row>
    <row r="2732" spans="1:48" ht="15.75" customHeight="1">
      <c r="A2732" s="21" t="s">
        <v>47</v>
      </c>
      <c r="B2732" s="23" t="s">
        <v>1692</v>
      </c>
      <c r="C2732" s="22">
        <v>45726</v>
      </c>
      <c r="D2732" s="23" t="s">
        <v>228</v>
      </c>
      <c r="E2732" s="23" t="s">
        <v>100</v>
      </c>
      <c r="F2732" s="21">
        <v>1</v>
      </c>
      <c r="G2732" s="12">
        <v>650.00000000000011</v>
      </c>
      <c r="H2732" s="12">
        <v>650.00000000000011</v>
      </c>
      <c r="I2732" s="23" t="s">
        <v>52</v>
      </c>
      <c r="J2732" s="23" t="s">
        <v>61</v>
      </c>
      <c r="K2732" s="24" t="s">
        <v>177</v>
      </c>
      <c r="L2732" s="24">
        <v>114</v>
      </c>
      <c r="M2732" s="12">
        <v>546.21848739495806</v>
      </c>
      <c r="N2732" s="12">
        <v>546.21848739495806</v>
      </c>
      <c r="O2732" s="12">
        <v>103.78151260504205</v>
      </c>
      <c r="P2732" s="13"/>
      <c r="Q2732" s="14">
        <v>2025</v>
      </c>
      <c r="R2732" s="15">
        <v>45352</v>
      </c>
      <c r="S2732" s="11" t="s">
        <v>453</v>
      </c>
      <c r="T2732" s="16">
        <v>0</v>
      </c>
      <c r="U2732" s="17"/>
      <c r="V2732" s="12">
        <v>231.09243697478996</v>
      </c>
      <c r="W2732" s="12">
        <v>231.09243697478996</v>
      </c>
      <c r="X2732" s="12">
        <v>0</v>
      </c>
      <c r="Y2732" s="18">
        <v>45726</v>
      </c>
      <c r="Z2732" s="13" t="s">
        <v>523</v>
      </c>
      <c r="AA2732" s="19" t="str">
        <f>VLOOKUP(D2732,Clientes!$A$2:$J$486,9,FALSE)</f>
        <v>Ocacional</v>
      </c>
      <c r="AB2732" s="13" t="str">
        <f>VLOOKUP(D2732,Clientes!$A$2:$K$486,11,FALSE)</f>
        <v>Persona Natural</v>
      </c>
      <c r="AC2732" s="13" t="str">
        <f>VLOOKUP(D2732,Clientes!$A$2:$B$486,2,FALSE)</f>
        <v>Santa Julia</v>
      </c>
      <c r="AD2732" s="20"/>
      <c r="AE2732" s="20"/>
      <c r="AF2732" s="13" t="s">
        <v>40</v>
      </c>
      <c r="AG2732" s="15">
        <v>45352</v>
      </c>
      <c r="AH2732" s="13" t="s">
        <v>41</v>
      </c>
      <c r="AI2732" s="13" t="s">
        <v>47</v>
      </c>
      <c r="AJ2732" s="13" t="str">
        <f>VLOOKUP(E2732,Precios!Z$2:AA$941,2,FALSE)</f>
        <v xml:space="preserve">Bolsas Basura TEDDY 50x70 </v>
      </c>
      <c r="AK2732" s="14">
        <f>VLOOKUP(E2732,Precios!Z$2:BB$941,3,FALSE)*F2732</f>
        <v>-1</v>
      </c>
      <c r="AL2732" s="17"/>
      <c r="AM2732" s="17"/>
      <c r="AN2732" s="17"/>
      <c r="AO2732" s="17"/>
      <c r="AP2732" s="17"/>
      <c r="AQ2732" s="17"/>
      <c r="AR2732" s="17"/>
      <c r="AS2732" s="17"/>
      <c r="AT2732" s="17"/>
      <c r="AU2732" s="17"/>
      <c r="AV2732" s="17"/>
    </row>
    <row r="2733" spans="1:48" ht="15.75" customHeight="1">
      <c r="A2733" s="21" t="s">
        <v>76</v>
      </c>
      <c r="B2733" s="23" t="s">
        <v>1692</v>
      </c>
      <c r="C2733" s="22">
        <v>45726</v>
      </c>
      <c r="D2733" s="23" t="s">
        <v>228</v>
      </c>
      <c r="E2733" s="23" t="s">
        <v>349</v>
      </c>
      <c r="F2733" s="21">
        <v>1</v>
      </c>
      <c r="G2733" s="12">
        <v>3999.8127946357149</v>
      </c>
      <c r="H2733" s="12">
        <v>3999.8127946357149</v>
      </c>
      <c r="I2733" s="23" t="s">
        <v>52</v>
      </c>
      <c r="J2733" s="23" t="s">
        <v>61</v>
      </c>
      <c r="K2733" s="24" t="s">
        <v>177</v>
      </c>
      <c r="L2733" s="24">
        <v>114</v>
      </c>
      <c r="M2733" s="12">
        <v>3361.1872223829537</v>
      </c>
      <c r="N2733" s="12">
        <v>3361.1872223829537</v>
      </c>
      <c r="O2733" s="12">
        <v>638.62557225276123</v>
      </c>
      <c r="P2733" s="13"/>
      <c r="Q2733" s="14">
        <v>2025</v>
      </c>
      <c r="R2733" s="15">
        <v>45352</v>
      </c>
      <c r="S2733" s="11" t="s">
        <v>550</v>
      </c>
      <c r="T2733" s="16">
        <v>5</v>
      </c>
      <c r="U2733" s="17"/>
      <c r="V2733" s="12">
        <v>1386.1872223829537</v>
      </c>
      <c r="W2733" s="12">
        <v>1386.1872223829537</v>
      </c>
      <c r="X2733" s="12">
        <v>0</v>
      </c>
      <c r="Y2733" s="18">
        <v>45726</v>
      </c>
      <c r="Z2733" s="13" t="s">
        <v>523</v>
      </c>
      <c r="AA2733" s="19" t="str">
        <f>VLOOKUP(D2733,Clientes!$A$2:$J$486,9,FALSE)</f>
        <v>Ocacional</v>
      </c>
      <c r="AB2733" s="13" t="str">
        <f>VLOOKUP(D2733,Clientes!$A$2:$K$486,11,FALSE)</f>
        <v>Persona Natural</v>
      </c>
      <c r="AC2733" s="13" t="str">
        <f>VLOOKUP(D2733,Clientes!$A$2:$B$486,2,FALSE)</f>
        <v>Santa Julia</v>
      </c>
      <c r="AD2733" s="20"/>
      <c r="AE2733" s="20"/>
      <c r="AF2733" s="13" t="s">
        <v>40</v>
      </c>
      <c r="AG2733" s="15">
        <v>45352</v>
      </c>
      <c r="AH2733" s="13" t="s">
        <v>41</v>
      </c>
      <c r="AI2733" s="13" t="s">
        <v>76</v>
      </c>
      <c r="AJ2733" s="13" t="str">
        <f>VLOOKUP(E2733,Precios!Z$2:AA$941,2,FALSE)</f>
        <v>Antigrasa SPUM 5 Litros</v>
      </c>
      <c r="AK2733" s="14">
        <f>VLOOKUP(E2733,Precios!Z$2:BB$941,3,FALSE)*F2733</f>
        <v>-1</v>
      </c>
      <c r="AL2733" s="17"/>
      <c r="AM2733" s="17"/>
      <c r="AN2733" s="17"/>
      <c r="AO2733" s="17"/>
      <c r="AP2733" s="17"/>
      <c r="AQ2733" s="17"/>
      <c r="AR2733" s="17"/>
      <c r="AS2733" s="17"/>
      <c r="AT2733" s="17"/>
      <c r="AU2733" s="17"/>
      <c r="AV2733" s="17"/>
    </row>
    <row r="2734" spans="1:48" ht="15.75" customHeight="1">
      <c r="A2734" s="21" t="s">
        <v>47</v>
      </c>
      <c r="B2734" s="23" t="s">
        <v>1692</v>
      </c>
      <c r="C2734" s="22">
        <v>45726</v>
      </c>
      <c r="D2734" s="23" t="s">
        <v>84</v>
      </c>
      <c r="E2734" s="23" t="s">
        <v>48</v>
      </c>
      <c r="F2734" s="21">
        <v>4</v>
      </c>
      <c r="G2734" s="12">
        <v>1000</v>
      </c>
      <c r="H2734" s="12">
        <v>4000</v>
      </c>
      <c r="I2734" s="23" t="s">
        <v>52</v>
      </c>
      <c r="J2734" s="23" t="s">
        <v>61</v>
      </c>
      <c r="K2734" s="24" t="s">
        <v>86</v>
      </c>
      <c r="L2734" s="24">
        <v>65</v>
      </c>
      <c r="M2734" s="12">
        <v>840.3361344537816</v>
      </c>
      <c r="N2734" s="12">
        <v>3361.3445378151264</v>
      </c>
      <c r="O2734" s="12">
        <v>638.65546218487361</v>
      </c>
      <c r="P2734" s="13"/>
      <c r="Q2734" s="14">
        <v>2025</v>
      </c>
      <c r="R2734" s="15">
        <v>45352</v>
      </c>
      <c r="S2734" s="11" t="s">
        <v>416</v>
      </c>
      <c r="T2734" s="16">
        <v>0</v>
      </c>
      <c r="U2734" s="17"/>
      <c r="V2734" s="12">
        <v>1321.3445378151259</v>
      </c>
      <c r="W2734" s="12">
        <v>1321.3445378151259</v>
      </c>
      <c r="X2734" s="12">
        <v>0</v>
      </c>
      <c r="Y2734" s="18">
        <v>45726</v>
      </c>
      <c r="Z2734" s="13" t="s">
        <v>523</v>
      </c>
      <c r="AA2734" s="19" t="str">
        <f>VLOOKUP(D2734,Clientes!$A$2:$J$486,9,FALSE)</f>
        <v>regular</v>
      </c>
      <c r="AB2734" s="13" t="str">
        <f>VLOOKUP(D2734,Clientes!$A$2:$K$486,11,FALSE)</f>
        <v>Empresa</v>
      </c>
      <c r="AC2734" s="13" t="str">
        <f>VLOOKUP(D2734,Clientes!$A$2:$B$486,2,FALSE)</f>
        <v>Araucania</v>
      </c>
      <c r="AD2734" s="20"/>
      <c r="AE2734" s="20"/>
      <c r="AF2734" s="13" t="s">
        <v>40</v>
      </c>
      <c r="AG2734" s="15">
        <v>45352</v>
      </c>
      <c r="AH2734" s="13" t="s">
        <v>41</v>
      </c>
      <c r="AI2734" s="13" t="s">
        <v>47</v>
      </c>
      <c r="AJ2734" s="13" t="str">
        <f>VLOOKUP(E2734,Precios!Z$2:AA$941,2,FALSE)</f>
        <v>Esponja Acanalada TEDDY</v>
      </c>
      <c r="AK2734" s="14">
        <f>VLOOKUP(E2734,Precios!Z$2:BB$941,3,FALSE)*F2734</f>
        <v>-20</v>
      </c>
      <c r="AL2734" s="17"/>
      <c r="AM2734" s="17"/>
      <c r="AN2734" s="17"/>
      <c r="AO2734" s="17"/>
      <c r="AP2734" s="17"/>
      <c r="AQ2734" s="17"/>
      <c r="AR2734" s="17"/>
      <c r="AS2734" s="17"/>
      <c r="AT2734" s="17"/>
      <c r="AU2734" s="17"/>
      <c r="AV2734" s="17"/>
    </row>
    <row r="2735" spans="1:48" ht="15.75" customHeight="1">
      <c r="A2735" s="21" t="s">
        <v>47</v>
      </c>
      <c r="B2735" s="23" t="s">
        <v>1692</v>
      </c>
      <c r="C2735" s="22">
        <v>45726</v>
      </c>
      <c r="D2735" s="23" t="s">
        <v>84</v>
      </c>
      <c r="E2735" s="23" t="s">
        <v>565</v>
      </c>
      <c r="F2735" s="21">
        <v>1</v>
      </c>
      <c r="G2735" s="12">
        <v>6900.2286325825753</v>
      </c>
      <c r="H2735" s="12">
        <v>6900.2286325825753</v>
      </c>
      <c r="I2735" s="23" t="s">
        <v>52</v>
      </c>
      <c r="J2735" s="23" t="s">
        <v>61</v>
      </c>
      <c r="K2735" s="24" t="s">
        <v>86</v>
      </c>
      <c r="L2735" s="24">
        <v>65</v>
      </c>
      <c r="M2735" s="12">
        <v>5798.5114559517442</v>
      </c>
      <c r="N2735" s="12">
        <v>5798.5114559517442</v>
      </c>
      <c r="O2735" s="12">
        <v>1101.7171766308311</v>
      </c>
      <c r="P2735" s="13"/>
      <c r="Q2735" s="14">
        <v>2025</v>
      </c>
      <c r="R2735" s="15">
        <v>45352</v>
      </c>
      <c r="S2735" s="11" t="s">
        <v>372</v>
      </c>
      <c r="T2735" s="16">
        <v>0</v>
      </c>
      <c r="U2735" s="17"/>
      <c r="V2735" s="12">
        <v>2222.5114559517442</v>
      </c>
      <c r="W2735" s="12">
        <v>2222.5114559517442</v>
      </c>
      <c r="X2735" s="12">
        <v>0</v>
      </c>
      <c r="Y2735" s="18">
        <v>45726</v>
      </c>
      <c r="Z2735" s="13" t="s">
        <v>523</v>
      </c>
      <c r="AA2735" s="19" t="str">
        <f>VLOOKUP(D2735,Clientes!$A$2:$J$486,9,FALSE)</f>
        <v>regular</v>
      </c>
      <c r="AB2735" s="13" t="str">
        <f>VLOOKUP(D2735,Clientes!$A$2:$K$486,11,FALSE)</f>
        <v>Empresa</v>
      </c>
      <c r="AC2735" s="13" t="str">
        <f>VLOOKUP(D2735,Clientes!$A$2:$B$486,2,FALSE)</f>
        <v>Araucania</v>
      </c>
      <c r="AD2735" s="20"/>
      <c r="AE2735" s="20"/>
      <c r="AF2735" s="13" t="s">
        <v>40</v>
      </c>
      <c r="AG2735" s="15">
        <v>45352</v>
      </c>
      <c r="AH2735" s="13" t="s">
        <v>41</v>
      </c>
      <c r="AI2735" s="13" t="s">
        <v>47</v>
      </c>
      <c r="AJ2735" s="13" t="str">
        <f>VLOOKUP(E2735,Precios!Z$2:AA$941,2,FALSE)</f>
        <v>Traperos Humedos TEDDY</v>
      </c>
      <c r="AK2735" s="14">
        <f>VLOOKUP(E2735,Precios!Z$2:BB$941,3,FALSE)*F2735</f>
        <v>-3</v>
      </c>
      <c r="AL2735" s="17"/>
      <c r="AM2735" s="17"/>
      <c r="AN2735" s="17"/>
      <c r="AO2735" s="17"/>
      <c r="AP2735" s="17"/>
      <c r="AQ2735" s="17"/>
      <c r="AR2735" s="17"/>
      <c r="AS2735" s="17"/>
      <c r="AT2735" s="17"/>
      <c r="AU2735" s="17"/>
      <c r="AV2735" s="17"/>
    </row>
    <row r="2736" spans="1:48" ht="15.75" customHeight="1">
      <c r="A2736" s="21" t="s">
        <v>47</v>
      </c>
      <c r="B2736" s="23" t="s">
        <v>1692</v>
      </c>
      <c r="C2736" s="22">
        <v>45726</v>
      </c>
      <c r="D2736" s="23" t="s">
        <v>84</v>
      </c>
      <c r="E2736" s="23" t="s">
        <v>85</v>
      </c>
      <c r="F2736" s="21">
        <v>1</v>
      </c>
      <c r="G2736" s="12">
        <v>3000.268216361198</v>
      </c>
      <c r="H2736" s="12">
        <v>3000.268216361198</v>
      </c>
      <c r="I2736" s="23" t="s">
        <v>52</v>
      </c>
      <c r="J2736" s="23" t="s">
        <v>61</v>
      </c>
      <c r="K2736" s="24" t="s">
        <v>86</v>
      </c>
      <c r="L2736" s="24">
        <v>65</v>
      </c>
      <c r="M2736" s="12">
        <v>2521.2337952615112</v>
      </c>
      <c r="N2736" s="12">
        <v>2521.2337952615112</v>
      </c>
      <c r="O2736" s="12">
        <v>479.03442109968682</v>
      </c>
      <c r="P2736" s="13"/>
      <c r="Q2736" s="14">
        <v>2025</v>
      </c>
      <c r="R2736" s="15">
        <v>45352</v>
      </c>
      <c r="S2736" s="11" t="s">
        <v>453</v>
      </c>
      <c r="T2736" s="16">
        <v>0</v>
      </c>
      <c r="U2736" s="17"/>
      <c r="V2736" s="12">
        <v>829.23379526151075</v>
      </c>
      <c r="W2736" s="12">
        <v>829.23379526151075</v>
      </c>
      <c r="X2736" s="12">
        <v>0</v>
      </c>
      <c r="Y2736" s="18">
        <v>45726</v>
      </c>
      <c r="Z2736" s="13" t="s">
        <v>523</v>
      </c>
      <c r="AA2736" s="19" t="str">
        <f>VLOOKUP(D2736,Clientes!$A$2:$J$486,9,FALSE)</f>
        <v>regular</v>
      </c>
      <c r="AB2736" s="13" t="str">
        <f>VLOOKUP(D2736,Clientes!$A$2:$K$486,11,FALSE)</f>
        <v>Empresa</v>
      </c>
      <c r="AC2736" s="13" t="str">
        <f>VLOOKUP(D2736,Clientes!$A$2:$B$486,2,FALSE)</f>
        <v>Araucania</v>
      </c>
      <c r="AD2736" s="20"/>
      <c r="AE2736" s="20"/>
      <c r="AF2736" s="13" t="s">
        <v>40</v>
      </c>
      <c r="AG2736" s="15">
        <v>45352</v>
      </c>
      <c r="AH2736" s="13" t="s">
        <v>41</v>
      </c>
      <c r="AI2736" s="13" t="s">
        <v>47</v>
      </c>
      <c r="AJ2736" s="13" t="str">
        <f>VLOOKUP(E2736,Precios!Z$2:AA$941,2,FALSE)</f>
        <v xml:space="preserve">Bolsas Basura TEDDY 45x55 con Asas </v>
      </c>
      <c r="AK2736" s="14">
        <f>VLOOKUP(E2736,Precios!Z$2:BB$941,3,FALSE)*F2736</f>
        <v>-6</v>
      </c>
      <c r="AL2736" s="17"/>
      <c r="AM2736" s="17"/>
      <c r="AN2736" s="17"/>
      <c r="AO2736" s="17"/>
      <c r="AP2736" s="17"/>
      <c r="AQ2736" s="17"/>
      <c r="AR2736" s="17"/>
      <c r="AS2736" s="17"/>
      <c r="AT2736" s="17"/>
      <c r="AU2736" s="17"/>
      <c r="AV2736" s="17"/>
    </row>
    <row r="2737" spans="1:48" ht="15.75" customHeight="1">
      <c r="A2737" s="21" t="s">
        <v>53</v>
      </c>
      <c r="B2737" s="23" t="s">
        <v>1692</v>
      </c>
      <c r="C2737" s="22">
        <v>45726</v>
      </c>
      <c r="D2737" s="23" t="s">
        <v>84</v>
      </c>
      <c r="E2737" s="23" t="s">
        <v>274</v>
      </c>
      <c r="F2737" s="21">
        <v>1</v>
      </c>
      <c r="G2737" s="12">
        <v>22500.104577715188</v>
      </c>
      <c r="H2737" s="12">
        <v>22500.104577715188</v>
      </c>
      <c r="I2737" s="23" t="s">
        <v>52</v>
      </c>
      <c r="J2737" s="23" t="s">
        <v>61</v>
      </c>
      <c r="K2737" s="24" t="s">
        <v>86</v>
      </c>
      <c r="L2737" s="24">
        <v>65</v>
      </c>
      <c r="M2737" s="12">
        <v>18907.650905643015</v>
      </c>
      <c r="N2737" s="12">
        <v>18907.650905643015</v>
      </c>
      <c r="O2737" s="12">
        <v>3592.4536720721735</v>
      </c>
      <c r="P2737" s="13"/>
      <c r="Q2737" s="14">
        <v>2025</v>
      </c>
      <c r="R2737" s="15">
        <v>45352</v>
      </c>
      <c r="S2737" s="11" t="s">
        <v>376</v>
      </c>
      <c r="T2737" s="16">
        <v>0</v>
      </c>
      <c r="U2737" s="17"/>
      <c r="V2737" s="12">
        <v>5347.650905643015</v>
      </c>
      <c r="W2737" s="12">
        <v>5347.650905643015</v>
      </c>
      <c r="X2737" s="12">
        <v>0</v>
      </c>
      <c r="Y2737" s="18">
        <v>45726</v>
      </c>
      <c r="Z2737" s="13" t="s">
        <v>523</v>
      </c>
      <c r="AA2737" s="19" t="str">
        <f>VLOOKUP(D2737,Clientes!$A$2:$J$486,9,FALSE)</f>
        <v>regular</v>
      </c>
      <c r="AB2737" s="13" t="str">
        <f>VLOOKUP(D2737,Clientes!$A$2:$K$486,11,FALSE)</f>
        <v>Empresa</v>
      </c>
      <c r="AC2737" s="13" t="str">
        <f>VLOOKUP(D2737,Clientes!$A$2:$B$486,2,FALSE)</f>
        <v>Araucania</v>
      </c>
      <c r="AD2737" s="20"/>
      <c r="AE2737" s="20"/>
      <c r="AF2737" s="13" t="s">
        <v>40</v>
      </c>
      <c r="AG2737" s="15">
        <v>45352</v>
      </c>
      <c r="AH2737" s="13" t="s">
        <v>41</v>
      </c>
      <c r="AI2737" s="13" t="s">
        <v>53</v>
      </c>
      <c r="AJ2737" s="13" t="str">
        <f>VLOOKUP(E2737,Precios!Z$2:AA$941,2,FALSE)</f>
        <v>Toalla Papel NOVA 70 metros</v>
      </c>
      <c r="AK2737" s="14">
        <f>VLOOKUP(E2737,Precios!Z$2:BB$941,3,FALSE)*F2737</f>
        <v>-8</v>
      </c>
      <c r="AL2737" s="17"/>
      <c r="AM2737" s="17"/>
      <c r="AN2737" s="17"/>
      <c r="AO2737" s="17"/>
      <c r="AP2737" s="17"/>
      <c r="AQ2737" s="17"/>
      <c r="AR2737" s="17"/>
      <c r="AS2737" s="17"/>
      <c r="AT2737" s="17"/>
      <c r="AU2737" s="17"/>
      <c r="AV2737" s="17"/>
    </row>
    <row r="2738" spans="1:48" ht="15.75" customHeight="1">
      <c r="A2738" s="21" t="s">
        <v>53</v>
      </c>
      <c r="B2738" s="23" t="s">
        <v>1692</v>
      </c>
      <c r="C2738" s="22">
        <v>45726</v>
      </c>
      <c r="D2738" s="23" t="s">
        <v>84</v>
      </c>
      <c r="E2738" s="23" t="s">
        <v>97</v>
      </c>
      <c r="F2738" s="21">
        <v>1</v>
      </c>
      <c r="G2738" s="12">
        <v>15500.298388701016</v>
      </c>
      <c r="H2738" s="12">
        <v>15500.298388701016</v>
      </c>
      <c r="I2738" s="23" t="s">
        <v>52</v>
      </c>
      <c r="J2738" s="23" t="s">
        <v>61</v>
      </c>
      <c r="K2738" s="24" t="s">
        <v>86</v>
      </c>
      <c r="L2738" s="24">
        <v>65</v>
      </c>
      <c r="M2738" s="12">
        <v>13025.46083084119</v>
      </c>
      <c r="N2738" s="12">
        <v>13025.46083084119</v>
      </c>
      <c r="O2738" s="12">
        <v>2474.8375578598261</v>
      </c>
      <c r="P2738" s="13"/>
      <c r="Q2738" s="14">
        <v>2025</v>
      </c>
      <c r="R2738" s="15">
        <v>45352</v>
      </c>
      <c r="S2738" s="11" t="s">
        <v>366</v>
      </c>
      <c r="T2738" s="16">
        <v>0</v>
      </c>
      <c r="U2738" s="17"/>
      <c r="V2738" s="12">
        <v>3203.6120913453906</v>
      </c>
      <c r="W2738" s="12">
        <v>3203.6120913453906</v>
      </c>
      <c r="X2738" s="12">
        <v>0</v>
      </c>
      <c r="Y2738" s="18">
        <v>45726</v>
      </c>
      <c r="Z2738" s="13" t="s">
        <v>523</v>
      </c>
      <c r="AA2738" s="19" t="str">
        <f>VLOOKUP(D2738,Clientes!$A$2:$J$486,9,FALSE)</f>
        <v>regular</v>
      </c>
      <c r="AB2738" s="13" t="str">
        <f>VLOOKUP(D2738,Clientes!$A$2:$K$486,11,FALSE)</f>
        <v>Empresa</v>
      </c>
      <c r="AC2738" s="13" t="str">
        <f>VLOOKUP(D2738,Clientes!$A$2:$B$486,2,FALSE)</f>
        <v>Araucania</v>
      </c>
      <c r="AD2738" s="20"/>
      <c r="AE2738" s="20"/>
      <c r="AF2738" s="13" t="s">
        <v>40</v>
      </c>
      <c r="AG2738" s="15">
        <v>45352</v>
      </c>
      <c r="AH2738" s="13" t="s">
        <v>41</v>
      </c>
      <c r="AI2738" s="13" t="s">
        <v>53</v>
      </c>
      <c r="AJ2738" s="13" t="str">
        <f>VLOOKUP(E2738,Precios!Z$2:AA$941,2,FALSE)</f>
        <v>Papel Higienico ELITE 50 metros</v>
      </c>
      <c r="AK2738" s="14">
        <f>VLOOKUP(E2738,Precios!Z$2:BB$941,3,FALSE)*F2738</f>
        <v>-6</v>
      </c>
      <c r="AL2738" s="17"/>
      <c r="AM2738" s="17"/>
      <c r="AN2738" s="17"/>
      <c r="AO2738" s="17"/>
      <c r="AP2738" s="17"/>
      <c r="AQ2738" s="17"/>
      <c r="AR2738" s="17"/>
      <c r="AS2738" s="17"/>
      <c r="AT2738" s="17"/>
      <c r="AU2738" s="17"/>
      <c r="AV2738" s="17"/>
    </row>
    <row r="2739" spans="1:48" ht="15.75" customHeight="1">
      <c r="A2739" s="21" t="s">
        <v>147</v>
      </c>
      <c r="B2739" s="23" t="s">
        <v>1692</v>
      </c>
      <c r="C2739" s="22">
        <v>45726</v>
      </c>
      <c r="D2739" s="23" t="s">
        <v>730</v>
      </c>
      <c r="E2739" s="23" t="s">
        <v>249</v>
      </c>
      <c r="F2739" s="21">
        <v>1</v>
      </c>
      <c r="G2739" s="12">
        <v>8000.4228329809721</v>
      </c>
      <c r="H2739" s="12">
        <v>8000.4228329809721</v>
      </c>
      <c r="I2739" s="23" t="s">
        <v>52</v>
      </c>
      <c r="J2739" s="23" t="s">
        <v>38</v>
      </c>
      <c r="K2739" s="24" t="s">
        <v>177</v>
      </c>
      <c r="L2739" s="24">
        <v>114</v>
      </c>
      <c r="M2739" s="12">
        <v>6723.0443974630025</v>
      </c>
      <c r="N2739" s="12">
        <v>6723.0443974630025</v>
      </c>
      <c r="O2739" s="12">
        <v>1277.3784355179696</v>
      </c>
      <c r="P2739" s="13"/>
      <c r="Q2739" s="14">
        <v>2025</v>
      </c>
      <c r="R2739" s="15">
        <v>45352</v>
      </c>
      <c r="S2739" s="11" t="s">
        <v>360</v>
      </c>
      <c r="T2739" s="16">
        <v>0</v>
      </c>
      <c r="U2739" s="17"/>
      <c r="V2739" s="12">
        <v>2271.0443974630016</v>
      </c>
      <c r="W2739" s="12">
        <v>2271.0443974630016</v>
      </c>
      <c r="X2739" s="12">
        <v>0</v>
      </c>
      <c r="Y2739" s="18">
        <v>45726</v>
      </c>
      <c r="Z2739" s="13" t="s">
        <v>523</v>
      </c>
      <c r="AA2739" s="19" t="str">
        <f>VLOOKUP(D2739,Clientes!$A$2:$J$486,9,FALSE)</f>
        <v>Ocacional</v>
      </c>
      <c r="AB2739" s="13" t="str">
        <f>VLOOKUP(D2739,Clientes!$A$2:$K$486,11,FALSE)</f>
        <v>Persona Natural</v>
      </c>
      <c r="AC2739" s="13" t="str">
        <f>VLOOKUP(D2739,Clientes!$A$2:$B$486,2,FALSE)</f>
        <v>14 Vicuña</v>
      </c>
      <c r="AD2739" s="20"/>
      <c r="AE2739" s="20"/>
      <c r="AF2739" s="13" t="s">
        <v>40</v>
      </c>
      <c r="AG2739" s="15">
        <v>45352</v>
      </c>
      <c r="AH2739" s="13" t="s">
        <v>41</v>
      </c>
      <c r="AI2739" s="13" t="s">
        <v>147</v>
      </c>
      <c r="AJ2739" s="13" t="str">
        <f>VLOOKUP(E2739,Precios!Z$2:AA$941,2,FALSE)</f>
        <v>Papel Aluminio 100 metros</v>
      </c>
      <c r="AK2739" s="14">
        <f>VLOOKUP(E2739,Precios!Z$2:BB$941,3,FALSE)*F2739</f>
        <v>-1</v>
      </c>
      <c r="AL2739" s="17"/>
      <c r="AM2739" s="17"/>
      <c r="AN2739" s="17"/>
      <c r="AO2739" s="17"/>
      <c r="AP2739" s="17"/>
      <c r="AQ2739" s="17"/>
      <c r="AR2739" s="17"/>
      <c r="AS2739" s="17"/>
      <c r="AT2739" s="17"/>
      <c r="AU2739" s="17"/>
      <c r="AV2739" s="17"/>
    </row>
    <row r="2740" spans="1:48" ht="15.75" customHeight="1">
      <c r="A2740" s="21" t="s">
        <v>73</v>
      </c>
      <c r="B2740" s="23" t="s">
        <v>1692</v>
      </c>
      <c r="C2740" s="22">
        <v>45726</v>
      </c>
      <c r="D2740" s="23" t="s">
        <v>730</v>
      </c>
      <c r="E2740" s="23" t="s">
        <v>161</v>
      </c>
      <c r="F2740" s="21">
        <v>1</v>
      </c>
      <c r="G2740" s="12">
        <v>4199.9020019599611</v>
      </c>
      <c r="H2740" s="12">
        <v>4199.9020019599611</v>
      </c>
      <c r="I2740" s="23" t="s">
        <v>52</v>
      </c>
      <c r="J2740" s="23" t="s">
        <v>38</v>
      </c>
      <c r="K2740" s="24" t="s">
        <v>177</v>
      </c>
      <c r="L2740" s="24">
        <v>114</v>
      </c>
      <c r="M2740" s="12">
        <v>3529.3294134117323</v>
      </c>
      <c r="N2740" s="12">
        <v>3529.3294134117323</v>
      </c>
      <c r="O2740" s="12">
        <v>670.57258854822885</v>
      </c>
      <c r="P2740" s="13"/>
      <c r="Q2740" s="14">
        <v>2025</v>
      </c>
      <c r="R2740" s="15">
        <v>45352</v>
      </c>
      <c r="S2740" s="11" t="s">
        <v>424</v>
      </c>
      <c r="T2740" s="16">
        <v>0</v>
      </c>
      <c r="U2740" s="17"/>
      <c r="V2740" s="12">
        <v>1008.3294134117323</v>
      </c>
      <c r="W2740" s="12">
        <v>1008.3294134117323</v>
      </c>
      <c r="X2740" s="12">
        <v>0</v>
      </c>
      <c r="Y2740" s="18">
        <v>45726</v>
      </c>
      <c r="Z2740" s="13" t="s">
        <v>523</v>
      </c>
      <c r="AA2740" s="19" t="str">
        <f>VLOOKUP(D2740,Clientes!$A$2:$J$486,9,FALSE)</f>
        <v>Ocacional</v>
      </c>
      <c r="AB2740" s="13" t="str">
        <f>VLOOKUP(D2740,Clientes!$A$2:$K$486,11,FALSE)</f>
        <v>Persona Natural</v>
      </c>
      <c r="AC2740" s="13" t="str">
        <f>VLOOKUP(D2740,Clientes!$A$2:$B$486,2,FALSE)</f>
        <v>14 Vicuña</v>
      </c>
      <c r="AD2740" s="20"/>
      <c r="AE2740" s="20"/>
      <c r="AF2740" s="13" t="s">
        <v>40</v>
      </c>
      <c r="AG2740" s="15">
        <v>45352</v>
      </c>
      <c r="AH2740" s="13" t="s">
        <v>41</v>
      </c>
      <c r="AI2740" s="13" t="s">
        <v>47</v>
      </c>
      <c r="AJ2740" s="13" t="str">
        <f>VLOOKUP(E2740,Precios!Z$2:AA$941,2,FALSE)</f>
        <v>Guante NITRILO Talla L</v>
      </c>
      <c r="AK2740" s="14">
        <f>VLOOKUP(E2740,Precios!Z$2:BB$941,3,FALSE)*F2740</f>
        <v>-1</v>
      </c>
      <c r="AL2740" s="17"/>
      <c r="AM2740" s="17"/>
      <c r="AN2740" s="17"/>
      <c r="AO2740" s="17"/>
      <c r="AP2740" s="17"/>
      <c r="AQ2740" s="17"/>
      <c r="AR2740" s="17"/>
      <c r="AS2740" s="17"/>
      <c r="AT2740" s="17"/>
      <c r="AU2740" s="17"/>
      <c r="AV2740" s="17"/>
    </row>
    <row r="2741" spans="1:48" ht="15.75" customHeight="1">
      <c r="A2741" s="21" t="s">
        <v>43</v>
      </c>
      <c r="B2741" s="23" t="s">
        <v>1692</v>
      </c>
      <c r="C2741" s="22">
        <v>45725</v>
      </c>
      <c r="D2741" s="23" t="s">
        <v>104</v>
      </c>
      <c r="E2741" s="23" t="s">
        <v>45</v>
      </c>
      <c r="F2741" s="21">
        <v>1</v>
      </c>
      <c r="G2741" s="12">
        <v>7600.0975431323541</v>
      </c>
      <c r="H2741" s="12">
        <v>7600.0975431323541</v>
      </c>
      <c r="I2741" s="23" t="s">
        <v>52</v>
      </c>
      <c r="J2741" s="23" t="s">
        <v>61</v>
      </c>
      <c r="K2741" s="24" t="s">
        <v>177</v>
      </c>
      <c r="L2741" s="24">
        <v>113</v>
      </c>
      <c r="M2741" s="12">
        <v>6386.6365908675243</v>
      </c>
      <c r="N2741" s="12">
        <v>6386.6365908675243</v>
      </c>
      <c r="O2741" s="12">
        <v>1213.4609522648298</v>
      </c>
      <c r="P2741" s="13"/>
      <c r="Q2741" s="14">
        <v>2025</v>
      </c>
      <c r="R2741" s="15">
        <v>45352</v>
      </c>
      <c r="S2741" s="11" t="s">
        <v>355</v>
      </c>
      <c r="T2741" s="16">
        <v>0</v>
      </c>
      <c r="U2741" s="17"/>
      <c r="V2741" s="12">
        <v>1148.6365908675243</v>
      </c>
      <c r="W2741" s="12">
        <v>1148.6365908675243</v>
      </c>
      <c r="X2741" s="12">
        <v>0</v>
      </c>
      <c r="Y2741" s="18">
        <v>45719</v>
      </c>
      <c r="Z2741" s="13" t="s">
        <v>497</v>
      </c>
      <c r="AA2741" s="19" t="str">
        <f>VLOOKUP(D2741,Clientes!$A$2:$J$486,9,FALSE)</f>
        <v>Ocacional</v>
      </c>
      <c r="AB2741" s="13" t="str">
        <f>VLOOKUP(D2741,Clientes!$A$2:$K$486,11,FALSE)</f>
        <v>Persona Natural</v>
      </c>
      <c r="AC2741" s="13" t="str">
        <f>VLOOKUP(D2741,Clientes!$A$2:$B$486,2,FALSE)</f>
        <v>Jardines de la viña</v>
      </c>
      <c r="AD2741" s="20"/>
      <c r="AE2741" s="20"/>
      <c r="AF2741" s="13" t="s">
        <v>40</v>
      </c>
      <c r="AG2741" s="15">
        <v>45352</v>
      </c>
      <c r="AH2741" s="13" t="s">
        <v>41</v>
      </c>
      <c r="AI2741" s="13" t="s">
        <v>43</v>
      </c>
      <c r="AJ2741" s="13" t="str">
        <f>VLOOKUP(E2741,Precios!Z$2:AA$941,2,FALSE)</f>
        <v>Bandeja Huevos EXTRA</v>
      </c>
      <c r="AK2741" s="14">
        <f>VLOOKUP(E2741,Precios!Z$2:BB$941,3,FALSE)*F2741</f>
        <v>-1</v>
      </c>
      <c r="AL2741" s="17"/>
      <c r="AM2741" s="17"/>
      <c r="AN2741" s="17"/>
      <c r="AO2741" s="17"/>
      <c r="AP2741" s="17"/>
      <c r="AQ2741" s="17"/>
      <c r="AR2741" s="17"/>
      <c r="AS2741" s="17"/>
      <c r="AT2741" s="17"/>
      <c r="AU2741" s="17"/>
      <c r="AV2741" s="17"/>
    </row>
    <row r="2742" spans="1:48" ht="15.75" customHeight="1">
      <c r="A2742" s="21" t="s">
        <v>35</v>
      </c>
      <c r="B2742" s="23" t="s">
        <v>1692</v>
      </c>
      <c r="C2742" s="22">
        <v>45725</v>
      </c>
      <c r="D2742" s="23" t="s">
        <v>132</v>
      </c>
      <c r="E2742" s="23" t="s">
        <v>37</v>
      </c>
      <c r="F2742" s="21">
        <v>1</v>
      </c>
      <c r="G2742" s="12">
        <v>10500</v>
      </c>
      <c r="H2742" s="12">
        <v>10500</v>
      </c>
      <c r="I2742" s="23" t="s">
        <v>52</v>
      </c>
      <c r="J2742" s="23" t="s">
        <v>61</v>
      </c>
      <c r="K2742" s="24" t="s">
        <v>177</v>
      </c>
      <c r="L2742" s="24">
        <v>113</v>
      </c>
      <c r="M2742" s="12">
        <v>8823.5294117647063</v>
      </c>
      <c r="N2742" s="12">
        <v>8823.5294117647063</v>
      </c>
      <c r="O2742" s="12">
        <v>1676.4705882352937</v>
      </c>
      <c r="P2742" s="13"/>
      <c r="Q2742" s="14">
        <v>2025</v>
      </c>
      <c r="R2742" s="15">
        <v>45352</v>
      </c>
      <c r="S2742" s="11" t="s">
        <v>364</v>
      </c>
      <c r="T2742" s="16">
        <v>1000</v>
      </c>
      <c r="U2742" s="17"/>
      <c r="V2742" s="12">
        <v>2385.7142857142853</v>
      </c>
      <c r="W2742" s="12">
        <v>2385.7142857142853</v>
      </c>
      <c r="X2742" s="12">
        <v>0</v>
      </c>
      <c r="Y2742" s="18">
        <v>45719</v>
      </c>
      <c r="Z2742" s="13" t="s">
        <v>497</v>
      </c>
      <c r="AA2742" s="19" t="str">
        <f>VLOOKUP(D2742,Clientes!$A$2:$J$486,9,FALSE)</f>
        <v>Ocacional</v>
      </c>
      <c r="AB2742" s="13" t="str">
        <f>VLOOKUP(D2742,Clientes!$A$2:$K$486,11,FALSE)</f>
        <v>Persona Natural</v>
      </c>
      <c r="AC2742" s="13" t="str">
        <f>VLOOKUP(D2742,Clientes!$A$2:$B$486,2,FALSE)</f>
        <v>Walker Martinez</v>
      </c>
      <c r="AD2742" s="20"/>
      <c r="AE2742" s="20"/>
      <c r="AF2742" s="13" t="s">
        <v>40</v>
      </c>
      <c r="AG2742" s="15">
        <v>45352</v>
      </c>
      <c r="AH2742" s="13" t="s">
        <v>41</v>
      </c>
      <c r="AI2742" s="13" t="s">
        <v>35</v>
      </c>
      <c r="AJ2742" s="13" t="str">
        <f>VLOOKUP(E2742,Precios!Z$2:AA$941,2,FALSE)</f>
        <v>Queso RUNCA Mantecoso</v>
      </c>
      <c r="AK2742" s="14">
        <f>VLOOKUP(E2742,Precios!Z$2:BB$941,3,FALSE)*F2742</f>
        <v>-1</v>
      </c>
      <c r="AL2742" s="17"/>
      <c r="AM2742" s="17"/>
      <c r="AN2742" s="17"/>
      <c r="AO2742" s="17"/>
      <c r="AP2742" s="17"/>
      <c r="AQ2742" s="17"/>
      <c r="AR2742" s="17"/>
      <c r="AS2742" s="17"/>
      <c r="AT2742" s="17"/>
      <c r="AU2742" s="17"/>
      <c r="AV2742" s="17"/>
    </row>
    <row r="2743" spans="1:48" ht="15.75" customHeight="1">
      <c r="A2743" s="21" t="s">
        <v>53</v>
      </c>
      <c r="B2743" s="23" t="s">
        <v>1692</v>
      </c>
      <c r="C2743" s="22">
        <v>45725</v>
      </c>
      <c r="D2743" s="23" t="s">
        <v>106</v>
      </c>
      <c r="E2743" s="23" t="s">
        <v>97</v>
      </c>
      <c r="F2743" s="21">
        <v>1</v>
      </c>
      <c r="G2743" s="12">
        <v>15500.298388701016</v>
      </c>
      <c r="H2743" s="12">
        <v>15500.298388701016</v>
      </c>
      <c r="I2743" s="23" t="s">
        <v>52</v>
      </c>
      <c r="J2743" s="23" t="s">
        <v>61</v>
      </c>
      <c r="K2743" s="24" t="s">
        <v>177</v>
      </c>
      <c r="L2743" s="24">
        <v>113</v>
      </c>
      <c r="M2743" s="12">
        <v>13025.46083084119</v>
      </c>
      <c r="N2743" s="12">
        <v>13025.46083084119</v>
      </c>
      <c r="O2743" s="12">
        <v>2474.8375578598261</v>
      </c>
      <c r="P2743" s="13"/>
      <c r="Q2743" s="14">
        <v>2025</v>
      </c>
      <c r="R2743" s="15">
        <v>45352</v>
      </c>
      <c r="S2743" s="11" t="s">
        <v>366</v>
      </c>
      <c r="T2743" s="16">
        <v>0</v>
      </c>
      <c r="U2743" s="17"/>
      <c r="V2743" s="12">
        <v>3203.6120913453906</v>
      </c>
      <c r="W2743" s="12">
        <v>3203.6120913453906</v>
      </c>
      <c r="X2743" s="12">
        <v>0</v>
      </c>
      <c r="Y2743" s="18">
        <v>45719</v>
      </c>
      <c r="Z2743" s="13" t="s">
        <v>497</v>
      </c>
      <c r="AA2743" s="19" t="str">
        <f>VLOOKUP(D2743,Clientes!$A$2:$J$486,9,FALSE)</f>
        <v>Frecuente</v>
      </c>
      <c r="AB2743" s="13" t="str">
        <f>VLOOKUP(D2743,Clientes!$A$2:$K$486,11,FALSE)</f>
        <v>Persona Natural</v>
      </c>
      <c r="AC2743" s="13" t="str">
        <f>VLOOKUP(D2743,Clientes!$A$2:$B$486,2,FALSE)</f>
        <v>Jardines de la viña</v>
      </c>
      <c r="AD2743" s="20"/>
      <c r="AE2743" s="20"/>
      <c r="AF2743" s="13" t="s">
        <v>40</v>
      </c>
      <c r="AG2743" s="15">
        <v>45352</v>
      </c>
      <c r="AH2743" s="13" t="s">
        <v>41</v>
      </c>
      <c r="AI2743" s="13" t="s">
        <v>53</v>
      </c>
      <c r="AJ2743" s="13" t="str">
        <f>VLOOKUP(E2743,Precios!Z$2:AA$941,2,FALSE)</f>
        <v>Papel Higienico ELITE 50 metros</v>
      </c>
      <c r="AK2743" s="14">
        <f>VLOOKUP(E2743,Precios!Z$2:BB$941,3,FALSE)*F2743</f>
        <v>-6</v>
      </c>
      <c r="AL2743" s="17"/>
      <c r="AM2743" s="17"/>
      <c r="AN2743" s="17"/>
      <c r="AO2743" s="17"/>
      <c r="AP2743" s="17"/>
      <c r="AQ2743" s="17"/>
      <c r="AR2743" s="17"/>
      <c r="AS2743" s="17"/>
      <c r="AT2743" s="17"/>
      <c r="AU2743" s="17"/>
      <c r="AV2743" s="17"/>
    </row>
    <row r="2744" spans="1:48" ht="15.75" customHeight="1">
      <c r="A2744" s="21" t="s">
        <v>53</v>
      </c>
      <c r="B2744" s="23" t="s">
        <v>1692</v>
      </c>
      <c r="C2744" s="22">
        <v>45725</v>
      </c>
      <c r="D2744" s="23" t="s">
        <v>106</v>
      </c>
      <c r="E2744" s="23" t="s">
        <v>162</v>
      </c>
      <c r="F2744" s="21">
        <v>1</v>
      </c>
      <c r="G2744" s="12">
        <v>9500.0304006809747</v>
      </c>
      <c r="H2744" s="12">
        <v>9500.0304006809747</v>
      </c>
      <c r="I2744" s="23" t="s">
        <v>52</v>
      </c>
      <c r="J2744" s="23" t="s">
        <v>61</v>
      </c>
      <c r="K2744" s="24" t="s">
        <v>177</v>
      </c>
      <c r="L2744" s="24">
        <v>113</v>
      </c>
      <c r="M2744" s="12">
        <v>7983.2188241016602</v>
      </c>
      <c r="N2744" s="12">
        <v>7983.2188241016602</v>
      </c>
      <c r="O2744" s="12">
        <v>1516.8115765793145</v>
      </c>
      <c r="P2744" s="13"/>
      <c r="Q2744" s="14">
        <v>2025</v>
      </c>
      <c r="R2744" s="15">
        <v>45352</v>
      </c>
      <c r="S2744" s="11" t="s">
        <v>437</v>
      </c>
      <c r="T2744" s="16">
        <v>0</v>
      </c>
      <c r="U2744" s="17"/>
      <c r="V2744" s="12">
        <v>2731.2188241016593</v>
      </c>
      <c r="W2744" s="12">
        <v>2731.2188241016593</v>
      </c>
      <c r="X2744" s="12">
        <v>0</v>
      </c>
      <c r="Y2744" s="18">
        <v>45719</v>
      </c>
      <c r="Z2744" s="13" t="s">
        <v>497</v>
      </c>
      <c r="AA2744" s="19" t="str">
        <f>VLOOKUP(D2744,Clientes!$A$2:$J$486,9,FALSE)</f>
        <v>Frecuente</v>
      </c>
      <c r="AB2744" s="13" t="str">
        <f>VLOOKUP(D2744,Clientes!$A$2:$K$486,11,FALSE)</f>
        <v>Persona Natural</v>
      </c>
      <c r="AC2744" s="13" t="str">
        <f>VLOOKUP(D2744,Clientes!$A$2:$B$486,2,FALSE)</f>
        <v>Jardines de la viña</v>
      </c>
      <c r="AD2744" s="20"/>
      <c r="AE2744" s="20"/>
      <c r="AF2744" s="13" t="s">
        <v>40</v>
      </c>
      <c r="AG2744" s="15">
        <v>45352</v>
      </c>
      <c r="AH2744" s="13" t="s">
        <v>41</v>
      </c>
      <c r="AI2744" s="13" t="s">
        <v>53</v>
      </c>
      <c r="AJ2744" s="13" t="str">
        <f>VLOOKUP(E2744,Precios!Z$2:AA$941,2,FALSE)</f>
        <v>Toalla Papel 250 metros dipensador</v>
      </c>
      <c r="AK2744" s="14">
        <f>VLOOKUP(E2744,Precios!Z$2:BB$941,3,FALSE)*F2744</f>
        <v>-1</v>
      </c>
      <c r="AL2744" s="17"/>
      <c r="AM2744" s="17"/>
      <c r="AN2744" s="17"/>
      <c r="AO2744" s="17"/>
      <c r="AP2744" s="17"/>
      <c r="AQ2744" s="17"/>
      <c r="AR2744" s="17"/>
      <c r="AS2744" s="17"/>
      <c r="AT2744" s="17"/>
      <c r="AU2744" s="17"/>
      <c r="AV2744" s="17"/>
    </row>
    <row r="2745" spans="1:48" ht="15.75" customHeight="1">
      <c r="A2745" s="21" t="s">
        <v>76</v>
      </c>
      <c r="B2745" s="23" t="s">
        <v>1692</v>
      </c>
      <c r="C2745" s="22">
        <v>45725</v>
      </c>
      <c r="D2745" s="23" t="s">
        <v>189</v>
      </c>
      <c r="E2745" s="23" t="s">
        <v>81</v>
      </c>
      <c r="F2745" s="21">
        <v>1</v>
      </c>
      <c r="G2745" s="12">
        <v>3500.0000000000005</v>
      </c>
      <c r="H2745" s="12">
        <v>3500.0000000000005</v>
      </c>
      <c r="I2745" s="23" t="s">
        <v>52</v>
      </c>
      <c r="J2745" s="23" t="s">
        <v>61</v>
      </c>
      <c r="K2745" s="24" t="s">
        <v>177</v>
      </c>
      <c r="L2745" s="24">
        <v>113</v>
      </c>
      <c r="M2745" s="12">
        <v>2941.1764705882356</v>
      </c>
      <c r="N2745" s="12">
        <v>2941.1764705882356</v>
      </c>
      <c r="O2745" s="12">
        <v>558.82352941176487</v>
      </c>
      <c r="P2745" s="13"/>
      <c r="Q2745" s="14">
        <v>2025</v>
      </c>
      <c r="R2745" s="15">
        <v>45352</v>
      </c>
      <c r="S2745" s="11" t="s">
        <v>397</v>
      </c>
      <c r="T2745" s="16">
        <v>5</v>
      </c>
      <c r="U2745" s="17"/>
      <c r="V2745" s="12">
        <v>764.70588235294144</v>
      </c>
      <c r="W2745" s="12">
        <v>764.70588235294144</v>
      </c>
      <c r="X2745" s="12">
        <v>0</v>
      </c>
      <c r="Y2745" s="18">
        <v>45719</v>
      </c>
      <c r="Z2745" s="13" t="s">
        <v>497</v>
      </c>
      <c r="AA2745" s="19" t="str">
        <f>VLOOKUP(D2745,Clientes!$A$2:$J$486,9,FALSE)</f>
        <v>Frecuente</v>
      </c>
      <c r="AB2745" s="13" t="str">
        <f>VLOOKUP(D2745,Clientes!$A$2:$K$486,11,FALSE)</f>
        <v>Persona Natural</v>
      </c>
      <c r="AC2745" s="13" t="str">
        <f>VLOOKUP(D2745,Clientes!$A$2:$B$486,2,FALSE)</f>
        <v>Jardines de la Viña</v>
      </c>
      <c r="AD2745" s="20"/>
      <c r="AE2745" s="20"/>
      <c r="AF2745" s="13" t="s">
        <v>40</v>
      </c>
      <c r="AG2745" s="15">
        <v>45352</v>
      </c>
      <c r="AH2745" s="13" t="s">
        <v>41</v>
      </c>
      <c r="AI2745" s="13" t="s">
        <v>76</v>
      </c>
      <c r="AJ2745" s="13" t="str">
        <f>VLOOKUP(E2745,Precios!Z$2:AA$941,2,FALSE)</f>
        <v>Detergente SPUM 5 Litros (Verde)</v>
      </c>
      <c r="AK2745" s="14">
        <f>VLOOKUP(E2745,Precios!Z$2:BB$941,3,FALSE)*F2745</f>
        <v>-1</v>
      </c>
      <c r="AL2745" s="17"/>
      <c r="AM2745" s="17"/>
      <c r="AN2745" s="17"/>
      <c r="AO2745" s="17"/>
      <c r="AP2745" s="17"/>
      <c r="AQ2745" s="17"/>
      <c r="AR2745" s="17"/>
      <c r="AS2745" s="17"/>
      <c r="AT2745" s="17"/>
      <c r="AU2745" s="17"/>
      <c r="AV2745" s="17"/>
    </row>
    <row r="2746" spans="1:48" ht="15.75" customHeight="1">
      <c r="A2746" s="21" t="s">
        <v>76</v>
      </c>
      <c r="B2746" s="23" t="s">
        <v>1692</v>
      </c>
      <c r="C2746" s="22">
        <v>45725</v>
      </c>
      <c r="D2746" s="23" t="s">
        <v>189</v>
      </c>
      <c r="E2746" s="23" t="s">
        <v>137</v>
      </c>
      <c r="F2746" s="21">
        <v>1</v>
      </c>
      <c r="G2746" s="12">
        <v>3500.0000000000005</v>
      </c>
      <c r="H2746" s="12">
        <v>3500.0000000000005</v>
      </c>
      <c r="I2746" s="23" t="s">
        <v>52</v>
      </c>
      <c r="J2746" s="23" t="s">
        <v>61</v>
      </c>
      <c r="K2746" s="24" t="s">
        <v>177</v>
      </c>
      <c r="L2746" s="24">
        <v>113</v>
      </c>
      <c r="M2746" s="12">
        <v>2941.1764705882356</v>
      </c>
      <c r="N2746" s="12">
        <v>2941.1764705882356</v>
      </c>
      <c r="O2746" s="12">
        <v>558.82352941176487</v>
      </c>
      <c r="P2746" s="13"/>
      <c r="Q2746" s="14">
        <v>2025</v>
      </c>
      <c r="R2746" s="15">
        <v>45352</v>
      </c>
      <c r="S2746" s="11" t="s">
        <v>406</v>
      </c>
      <c r="T2746" s="16">
        <v>5</v>
      </c>
      <c r="U2746" s="17"/>
      <c r="V2746" s="12">
        <v>848.73949579831969</v>
      </c>
      <c r="W2746" s="12">
        <v>848.73949579831969</v>
      </c>
      <c r="X2746" s="12">
        <v>0</v>
      </c>
      <c r="Y2746" s="18">
        <v>45719</v>
      </c>
      <c r="Z2746" s="13" t="s">
        <v>497</v>
      </c>
      <c r="AA2746" s="19" t="str">
        <f>VLOOKUP(D2746,Clientes!$A$2:$J$486,9,FALSE)</f>
        <v>Frecuente</v>
      </c>
      <c r="AB2746" s="13" t="str">
        <f>VLOOKUP(D2746,Clientes!$A$2:$K$486,11,FALSE)</f>
        <v>Persona Natural</v>
      </c>
      <c r="AC2746" s="13" t="str">
        <f>VLOOKUP(D2746,Clientes!$A$2:$B$486,2,FALSE)</f>
        <v>Jardines de la Viña</v>
      </c>
      <c r="AD2746" s="20"/>
      <c r="AE2746" s="20"/>
      <c r="AF2746" s="13" t="s">
        <v>40</v>
      </c>
      <c r="AG2746" s="15">
        <v>45352</v>
      </c>
      <c r="AH2746" s="13" t="s">
        <v>41</v>
      </c>
      <c r="AI2746" s="13" t="s">
        <v>76</v>
      </c>
      <c r="AJ2746" s="13" t="str">
        <f>VLOOKUP(E2746,Precios!Z$2:AA$941,2,FALSE)</f>
        <v>Detergente SPUM 5 Litros (Blanco)</v>
      </c>
      <c r="AK2746" s="14">
        <f>VLOOKUP(E2746,Precios!Z$2:BB$941,3,FALSE)*F2746</f>
        <v>-1</v>
      </c>
      <c r="AL2746" s="17"/>
      <c r="AM2746" s="17"/>
      <c r="AN2746" s="17"/>
      <c r="AO2746" s="17"/>
      <c r="AP2746" s="17"/>
      <c r="AQ2746" s="17"/>
      <c r="AR2746" s="17"/>
      <c r="AS2746" s="17"/>
      <c r="AT2746" s="17"/>
      <c r="AU2746" s="17"/>
      <c r="AV2746" s="17"/>
    </row>
    <row r="2747" spans="1:48" ht="15.75" customHeight="1">
      <c r="A2747" s="21" t="s">
        <v>53</v>
      </c>
      <c r="B2747" s="23" t="s">
        <v>1692</v>
      </c>
      <c r="C2747" s="22">
        <v>45725</v>
      </c>
      <c r="D2747" s="23" t="s">
        <v>189</v>
      </c>
      <c r="E2747" s="23" t="s">
        <v>69</v>
      </c>
      <c r="F2747" s="21">
        <v>1</v>
      </c>
      <c r="G2747" s="12">
        <v>2999.9553810458683</v>
      </c>
      <c r="H2747" s="12">
        <v>2999.9553810458683</v>
      </c>
      <c r="I2747" s="23" t="s">
        <v>52</v>
      </c>
      <c r="J2747" s="23" t="s">
        <v>61</v>
      </c>
      <c r="K2747" s="24" t="s">
        <v>177</v>
      </c>
      <c r="L2747" s="24">
        <v>113</v>
      </c>
      <c r="M2747" s="12">
        <v>2520.9709084419064</v>
      </c>
      <c r="N2747" s="12">
        <v>2520.9709084419064</v>
      </c>
      <c r="O2747" s="12">
        <v>478.98447260396188</v>
      </c>
      <c r="P2747" s="13"/>
      <c r="Q2747" s="14">
        <v>2025</v>
      </c>
      <c r="R2747" s="15">
        <v>45352</v>
      </c>
      <c r="S2747" s="11" t="s">
        <v>376</v>
      </c>
      <c r="T2747" s="16">
        <v>0</v>
      </c>
      <c r="U2747" s="17"/>
      <c r="V2747" s="12">
        <v>825.97090844190598</v>
      </c>
      <c r="W2747" s="12">
        <v>825.97090844190598</v>
      </c>
      <c r="X2747" s="12">
        <v>0</v>
      </c>
      <c r="Y2747" s="18">
        <v>45719</v>
      </c>
      <c r="Z2747" s="13" t="s">
        <v>497</v>
      </c>
      <c r="AA2747" s="19" t="str">
        <f>VLOOKUP(D2747,Clientes!$A$2:$J$486,9,FALSE)</f>
        <v>Frecuente</v>
      </c>
      <c r="AB2747" s="13" t="str">
        <f>VLOOKUP(D2747,Clientes!$A$2:$K$486,11,FALSE)</f>
        <v>Persona Natural</v>
      </c>
      <c r="AC2747" s="13" t="str">
        <f>VLOOKUP(D2747,Clientes!$A$2:$B$486,2,FALSE)</f>
        <v>Jardines de la Viña</v>
      </c>
      <c r="AD2747" s="20"/>
      <c r="AE2747" s="20"/>
      <c r="AF2747" s="13" t="s">
        <v>40</v>
      </c>
      <c r="AG2747" s="15">
        <v>45352</v>
      </c>
      <c r="AH2747" s="13" t="s">
        <v>41</v>
      </c>
      <c r="AI2747" s="13" t="s">
        <v>53</v>
      </c>
      <c r="AJ2747" s="13" t="str">
        <f>VLOOKUP(E2747,Precios!Z$2:AA$941,2,FALSE)</f>
        <v>Toalla Papel NOVA 70 metros</v>
      </c>
      <c r="AK2747" s="14">
        <f>VLOOKUP(E2747,Precios!Z$2:BB$941,3,FALSE)*F2747</f>
        <v>-1</v>
      </c>
      <c r="AL2747" s="17"/>
      <c r="AM2747" s="17"/>
      <c r="AN2747" s="17"/>
      <c r="AO2747" s="17"/>
      <c r="AP2747" s="17"/>
      <c r="AQ2747" s="17"/>
      <c r="AR2747" s="17"/>
      <c r="AS2747" s="17"/>
      <c r="AT2747" s="17"/>
      <c r="AU2747" s="17"/>
      <c r="AV2747" s="17"/>
    </row>
    <row r="2748" spans="1:48" ht="15.75" customHeight="1">
      <c r="A2748" s="21" t="s">
        <v>53</v>
      </c>
      <c r="B2748" s="23" t="s">
        <v>1692</v>
      </c>
      <c r="C2748" s="22">
        <v>45725</v>
      </c>
      <c r="D2748" s="23" t="s">
        <v>189</v>
      </c>
      <c r="E2748" s="23" t="s">
        <v>97</v>
      </c>
      <c r="F2748" s="21">
        <v>1</v>
      </c>
      <c r="G2748" s="12">
        <v>15500.298388701016</v>
      </c>
      <c r="H2748" s="12">
        <v>15500.298388701016</v>
      </c>
      <c r="I2748" s="23" t="s">
        <v>52</v>
      </c>
      <c r="J2748" s="23" t="s">
        <v>61</v>
      </c>
      <c r="K2748" s="24" t="s">
        <v>177</v>
      </c>
      <c r="L2748" s="24">
        <v>113</v>
      </c>
      <c r="M2748" s="12">
        <v>13025.46083084119</v>
      </c>
      <c r="N2748" s="12">
        <v>13025.46083084119</v>
      </c>
      <c r="O2748" s="12">
        <v>2474.8375578598261</v>
      </c>
      <c r="P2748" s="13"/>
      <c r="Q2748" s="14">
        <v>2025</v>
      </c>
      <c r="R2748" s="15">
        <v>45352</v>
      </c>
      <c r="S2748" s="11" t="s">
        <v>366</v>
      </c>
      <c r="T2748" s="16">
        <v>0</v>
      </c>
      <c r="U2748" s="17"/>
      <c r="V2748" s="12">
        <v>3203.6120913453906</v>
      </c>
      <c r="W2748" s="12">
        <v>3203.6120913453906</v>
      </c>
      <c r="X2748" s="12">
        <v>0</v>
      </c>
      <c r="Y2748" s="18">
        <v>45719</v>
      </c>
      <c r="Z2748" s="13" t="s">
        <v>497</v>
      </c>
      <c r="AA2748" s="19" t="str">
        <f>VLOOKUP(D2748,Clientes!$A$2:$J$486,9,FALSE)</f>
        <v>Frecuente</v>
      </c>
      <c r="AB2748" s="13" t="str">
        <f>VLOOKUP(D2748,Clientes!$A$2:$K$486,11,FALSE)</f>
        <v>Persona Natural</v>
      </c>
      <c r="AC2748" s="13" t="str">
        <f>VLOOKUP(D2748,Clientes!$A$2:$B$486,2,FALSE)</f>
        <v>Jardines de la Viña</v>
      </c>
      <c r="AD2748" s="20"/>
      <c r="AE2748" s="20"/>
      <c r="AF2748" s="13" t="s">
        <v>40</v>
      </c>
      <c r="AG2748" s="15">
        <v>45352</v>
      </c>
      <c r="AH2748" s="13" t="s">
        <v>41</v>
      </c>
      <c r="AI2748" s="13" t="s">
        <v>53</v>
      </c>
      <c r="AJ2748" s="13" t="str">
        <f>VLOOKUP(E2748,Precios!Z$2:AA$941,2,FALSE)</f>
        <v>Papel Higienico ELITE 50 metros</v>
      </c>
      <c r="AK2748" s="14">
        <f>VLOOKUP(E2748,Precios!Z$2:BB$941,3,FALSE)*F2748</f>
        <v>-6</v>
      </c>
      <c r="AL2748" s="17"/>
      <c r="AM2748" s="17"/>
      <c r="AN2748" s="17"/>
      <c r="AO2748" s="17"/>
      <c r="AP2748" s="17"/>
      <c r="AQ2748" s="17"/>
      <c r="AR2748" s="17"/>
      <c r="AS2748" s="17"/>
      <c r="AT2748" s="17"/>
      <c r="AU2748" s="17"/>
      <c r="AV2748" s="17"/>
    </row>
    <row r="2749" spans="1:48" ht="15.75" customHeight="1">
      <c r="A2749" s="21" t="s">
        <v>147</v>
      </c>
      <c r="B2749" s="23" t="s">
        <v>1692</v>
      </c>
      <c r="C2749" s="22">
        <v>45725</v>
      </c>
      <c r="D2749" s="23" t="s">
        <v>189</v>
      </c>
      <c r="E2749" s="23" t="s">
        <v>149</v>
      </c>
      <c r="F2749" s="21">
        <v>1</v>
      </c>
      <c r="G2749" s="12">
        <v>1700</v>
      </c>
      <c r="H2749" s="12">
        <v>1700</v>
      </c>
      <c r="I2749" s="23" t="s">
        <v>52</v>
      </c>
      <c r="J2749" s="23" t="s">
        <v>61</v>
      </c>
      <c r="K2749" s="24" t="s">
        <v>177</v>
      </c>
      <c r="L2749" s="24">
        <v>113</v>
      </c>
      <c r="M2749" s="12">
        <v>1428.5714285714287</v>
      </c>
      <c r="N2749" s="12">
        <v>1428.5714285714287</v>
      </c>
      <c r="O2749" s="12">
        <v>271.42857142857133</v>
      </c>
      <c r="P2749" s="13"/>
      <c r="Q2749" s="14">
        <v>2025</v>
      </c>
      <c r="R2749" s="15">
        <v>45352</v>
      </c>
      <c r="S2749" s="11" t="s">
        <v>412</v>
      </c>
      <c r="T2749" s="16">
        <v>0</v>
      </c>
      <c r="U2749" s="17"/>
      <c r="V2749" s="12">
        <v>774.78991596638662</v>
      </c>
      <c r="W2749" s="12">
        <v>774.78991596638662</v>
      </c>
      <c r="X2749" s="12">
        <v>0</v>
      </c>
      <c r="Y2749" s="18">
        <v>45719</v>
      </c>
      <c r="Z2749" s="13" t="s">
        <v>497</v>
      </c>
      <c r="AA2749" s="19" t="str">
        <f>VLOOKUP(D2749,Clientes!$A$2:$J$486,9,FALSE)</f>
        <v>Frecuente</v>
      </c>
      <c r="AB2749" s="13" t="str">
        <f>VLOOKUP(D2749,Clientes!$A$2:$K$486,11,FALSE)</f>
        <v>Persona Natural</v>
      </c>
      <c r="AC2749" s="13" t="str">
        <f>VLOOKUP(D2749,Clientes!$A$2:$B$486,2,FALSE)</f>
        <v>Jardines de la Viña</v>
      </c>
      <c r="AD2749" s="20"/>
      <c r="AE2749" s="20"/>
      <c r="AF2749" s="13" t="s">
        <v>40</v>
      </c>
      <c r="AG2749" s="15">
        <v>45352</v>
      </c>
      <c r="AH2749" s="13" t="s">
        <v>41</v>
      </c>
      <c r="AI2749" s="13" t="s">
        <v>147</v>
      </c>
      <c r="AJ2749" s="13" t="str">
        <f>VLOOKUP(E2749,Precios!Z$2:AA$941,2,FALSE)</f>
        <v>Film Plástico 30 metros</v>
      </c>
      <c r="AK2749" s="14">
        <f>VLOOKUP(E2749,Precios!Z$2:BB$941,3,FALSE)*F2749</f>
        <v>-1</v>
      </c>
      <c r="AL2749" s="17"/>
      <c r="AM2749" s="17"/>
      <c r="AN2749" s="17"/>
      <c r="AO2749" s="17"/>
      <c r="AP2749" s="17"/>
      <c r="AQ2749" s="17"/>
      <c r="AR2749" s="17"/>
      <c r="AS2749" s="17"/>
      <c r="AT2749" s="17"/>
      <c r="AU2749" s="17"/>
      <c r="AV2749" s="17"/>
    </row>
    <row r="2750" spans="1:48" ht="15.75" customHeight="1">
      <c r="A2750" s="21" t="s">
        <v>147</v>
      </c>
      <c r="B2750" s="23" t="s">
        <v>1692</v>
      </c>
      <c r="C2750" s="22">
        <v>45725</v>
      </c>
      <c r="D2750" s="23" t="s">
        <v>189</v>
      </c>
      <c r="E2750" s="23" t="s">
        <v>148</v>
      </c>
      <c r="F2750" s="21">
        <v>1</v>
      </c>
      <c r="G2750" s="12">
        <v>1200.0000000000002</v>
      </c>
      <c r="H2750" s="12">
        <v>1200.0000000000002</v>
      </c>
      <c r="I2750" s="23" t="s">
        <v>52</v>
      </c>
      <c r="J2750" s="23" t="s">
        <v>61</v>
      </c>
      <c r="K2750" s="24" t="s">
        <v>177</v>
      </c>
      <c r="L2750" s="24">
        <v>113</v>
      </c>
      <c r="M2750" s="12">
        <v>1008.4033613445381</v>
      </c>
      <c r="N2750" s="12">
        <v>1008.4033613445381</v>
      </c>
      <c r="O2750" s="12">
        <v>191.59663865546213</v>
      </c>
      <c r="P2750" s="13"/>
      <c r="Q2750" s="14">
        <v>2025</v>
      </c>
      <c r="R2750" s="15">
        <v>45352</v>
      </c>
      <c r="S2750" s="11" t="s">
        <v>360</v>
      </c>
      <c r="T2750" s="16">
        <v>0</v>
      </c>
      <c r="U2750" s="17"/>
      <c r="V2750" s="12">
        <v>357.9831932773111</v>
      </c>
      <c r="W2750" s="12">
        <v>357.9831932773111</v>
      </c>
      <c r="X2750" s="12">
        <v>0</v>
      </c>
      <c r="Y2750" s="18">
        <v>45719</v>
      </c>
      <c r="Z2750" s="13" t="s">
        <v>497</v>
      </c>
      <c r="AA2750" s="19" t="str">
        <f>VLOOKUP(D2750,Clientes!$A$2:$J$486,9,FALSE)</f>
        <v>Frecuente</v>
      </c>
      <c r="AB2750" s="13" t="str">
        <f>VLOOKUP(D2750,Clientes!$A$2:$K$486,11,FALSE)</f>
        <v>Persona Natural</v>
      </c>
      <c r="AC2750" s="13" t="str">
        <f>VLOOKUP(D2750,Clientes!$A$2:$B$486,2,FALSE)</f>
        <v>Jardines de la Viña</v>
      </c>
      <c r="AD2750" s="20"/>
      <c r="AE2750" s="20"/>
      <c r="AF2750" s="13" t="s">
        <v>40</v>
      </c>
      <c r="AG2750" s="15">
        <v>45352</v>
      </c>
      <c r="AH2750" s="13" t="s">
        <v>41</v>
      </c>
      <c r="AI2750" s="13" t="s">
        <v>147</v>
      </c>
      <c r="AJ2750" s="13" t="str">
        <f>VLOOKUP(E2750,Precios!Z$2:AA$941,2,FALSE)</f>
        <v>Papel Aluminio 7.5 metros</v>
      </c>
      <c r="AK2750" s="14">
        <f>VLOOKUP(E2750,Precios!Z$2:BB$941,3,FALSE)*F2750</f>
        <v>-1</v>
      </c>
      <c r="AL2750" s="17"/>
      <c r="AM2750" s="17"/>
      <c r="AN2750" s="17"/>
      <c r="AO2750" s="17"/>
      <c r="AP2750" s="17"/>
      <c r="AQ2750" s="17"/>
      <c r="AR2750" s="17"/>
      <c r="AS2750" s="17"/>
      <c r="AT2750" s="17"/>
      <c r="AU2750" s="17"/>
      <c r="AV2750" s="17"/>
    </row>
    <row r="2751" spans="1:48" ht="15.75" customHeight="1">
      <c r="A2751" s="21" t="s">
        <v>47</v>
      </c>
      <c r="B2751" s="23" t="s">
        <v>1692</v>
      </c>
      <c r="C2751" s="22">
        <v>45725</v>
      </c>
      <c r="D2751" s="23" t="s">
        <v>189</v>
      </c>
      <c r="E2751" s="23" t="s">
        <v>99</v>
      </c>
      <c r="F2751" s="21">
        <v>2</v>
      </c>
      <c r="G2751" s="12">
        <v>1100</v>
      </c>
      <c r="H2751" s="12">
        <v>2200</v>
      </c>
      <c r="I2751" s="23" t="s">
        <v>52</v>
      </c>
      <c r="J2751" s="23" t="s">
        <v>61</v>
      </c>
      <c r="K2751" s="24" t="s">
        <v>177</v>
      </c>
      <c r="L2751" s="24">
        <v>113</v>
      </c>
      <c r="M2751" s="12">
        <v>924.36974789915973</v>
      </c>
      <c r="N2751" s="12">
        <v>1848.7394957983195</v>
      </c>
      <c r="O2751" s="12">
        <v>351.26050420168053</v>
      </c>
      <c r="P2751" s="13"/>
      <c r="Q2751" s="14">
        <v>2025</v>
      </c>
      <c r="R2751" s="15">
        <v>45352</v>
      </c>
      <c r="S2751" s="11" t="s">
        <v>453</v>
      </c>
      <c r="T2751" s="16">
        <v>0</v>
      </c>
      <c r="U2751" s="17"/>
      <c r="V2751" s="12">
        <v>709.24369747899163</v>
      </c>
      <c r="W2751" s="12">
        <v>709.24369747899163</v>
      </c>
      <c r="X2751" s="12">
        <v>0</v>
      </c>
      <c r="Y2751" s="18">
        <v>45719</v>
      </c>
      <c r="Z2751" s="13" t="s">
        <v>497</v>
      </c>
      <c r="AA2751" s="19" t="str">
        <f>VLOOKUP(D2751,Clientes!$A$2:$J$486,9,FALSE)</f>
        <v>Frecuente</v>
      </c>
      <c r="AB2751" s="13" t="str">
        <f>VLOOKUP(D2751,Clientes!$A$2:$K$486,11,FALSE)</f>
        <v>Persona Natural</v>
      </c>
      <c r="AC2751" s="13" t="str">
        <f>VLOOKUP(D2751,Clientes!$A$2:$B$486,2,FALSE)</f>
        <v>Jardines de la Viña</v>
      </c>
      <c r="AD2751" s="20"/>
      <c r="AE2751" s="20"/>
      <c r="AF2751" s="13" t="s">
        <v>40</v>
      </c>
      <c r="AG2751" s="15">
        <v>45352</v>
      </c>
      <c r="AH2751" s="13" t="s">
        <v>41</v>
      </c>
      <c r="AI2751" s="13" t="s">
        <v>47</v>
      </c>
      <c r="AJ2751" s="13" t="str">
        <f>VLOOKUP(E2751,Precios!Z$2:AA$941,2,FALSE)</f>
        <v xml:space="preserve">Bolsas Basura TEDDY 70x90 </v>
      </c>
      <c r="AK2751" s="14">
        <f>VLOOKUP(E2751,Precios!Z$2:BB$941,3,FALSE)*F2751</f>
        <v>-2</v>
      </c>
      <c r="AL2751" s="17"/>
      <c r="AM2751" s="17"/>
      <c r="AN2751" s="17"/>
      <c r="AO2751" s="17"/>
      <c r="AP2751" s="17"/>
      <c r="AQ2751" s="17"/>
      <c r="AR2751" s="17"/>
      <c r="AS2751" s="17"/>
      <c r="AT2751" s="17"/>
      <c r="AU2751" s="17"/>
      <c r="AV2751" s="17"/>
    </row>
    <row r="2752" spans="1:48" ht="15.75" customHeight="1">
      <c r="A2752" s="21" t="s">
        <v>53</v>
      </c>
      <c r="B2752" s="23" t="s">
        <v>1692</v>
      </c>
      <c r="C2752" s="22">
        <v>45725</v>
      </c>
      <c r="D2752" s="23" t="s">
        <v>346</v>
      </c>
      <c r="E2752" s="23" t="s">
        <v>55</v>
      </c>
      <c r="F2752" s="21">
        <v>1</v>
      </c>
      <c r="G2752" s="12">
        <v>19989.738327347361</v>
      </c>
      <c r="H2752" s="12">
        <v>19989.738327347361</v>
      </c>
      <c r="I2752" s="23" t="s">
        <v>52</v>
      </c>
      <c r="J2752" s="23" t="s">
        <v>61</v>
      </c>
      <c r="K2752" s="24" t="s">
        <v>177</v>
      </c>
      <c r="L2752" s="24">
        <v>113</v>
      </c>
      <c r="M2752" s="12">
        <v>16798.099434745684</v>
      </c>
      <c r="N2752" s="12">
        <v>16798.099434745684</v>
      </c>
      <c r="O2752" s="12">
        <v>3191.6388926016771</v>
      </c>
      <c r="P2752" s="13"/>
      <c r="Q2752" s="14">
        <v>2025</v>
      </c>
      <c r="R2752" s="15">
        <v>45352</v>
      </c>
      <c r="S2752" s="11" t="s">
        <v>366</v>
      </c>
      <c r="T2752" s="16">
        <v>0</v>
      </c>
      <c r="U2752" s="17"/>
      <c r="V2752" s="12">
        <v>3702.3011154179476</v>
      </c>
      <c r="W2752" s="12">
        <v>3702.3011154179476</v>
      </c>
      <c r="X2752" s="12">
        <v>0</v>
      </c>
      <c r="Y2752" s="18">
        <v>45719</v>
      </c>
      <c r="Z2752" s="13" t="s">
        <v>497</v>
      </c>
      <c r="AA2752" s="19" t="str">
        <f>VLOOKUP(D2752,Clientes!$A$2:$J$486,9,FALSE)</f>
        <v>Ocacional</v>
      </c>
      <c r="AB2752" s="13" t="str">
        <f>VLOOKUP(D2752,Clientes!$A$2:$K$486,11,FALSE)</f>
        <v>Persona Natural</v>
      </c>
      <c r="AC2752" s="13" t="str">
        <f>VLOOKUP(D2752,Clientes!$A$2:$B$486,2,FALSE)</f>
        <v>Sector Delia</v>
      </c>
      <c r="AD2752" s="20"/>
      <c r="AE2752" s="20"/>
      <c r="AF2752" s="13" t="s">
        <v>40</v>
      </c>
      <c r="AG2752" s="15">
        <v>45352</v>
      </c>
      <c r="AH2752" s="13" t="s">
        <v>41</v>
      </c>
      <c r="AI2752" s="13" t="s">
        <v>53</v>
      </c>
      <c r="AJ2752" s="13" t="str">
        <f>VLOOKUP(E2752,Precios!Z$2:AA$941,2,FALSE)</f>
        <v>Papel Higienico ELITE 50 metros</v>
      </c>
      <c r="AK2752" s="14">
        <f>VLOOKUP(E2752,Precios!Z$2:BB$941,3,FALSE)*F2752</f>
        <v>-8</v>
      </c>
      <c r="AL2752" s="17"/>
      <c r="AM2752" s="17"/>
      <c r="AN2752" s="17"/>
      <c r="AO2752" s="17"/>
      <c r="AP2752" s="17"/>
      <c r="AQ2752" s="17"/>
      <c r="AR2752" s="17"/>
      <c r="AS2752" s="17"/>
      <c r="AT2752" s="17"/>
      <c r="AU2752" s="17"/>
      <c r="AV2752" s="17"/>
    </row>
    <row r="2753" spans="1:48" ht="15.75" customHeight="1">
      <c r="A2753" s="21" t="s">
        <v>53</v>
      </c>
      <c r="B2753" s="23" t="s">
        <v>1692</v>
      </c>
      <c r="C2753" s="22">
        <v>45725</v>
      </c>
      <c r="D2753" s="23" t="s">
        <v>346</v>
      </c>
      <c r="E2753" s="23" t="s">
        <v>88</v>
      </c>
      <c r="F2753" s="21">
        <v>2</v>
      </c>
      <c r="G2753" s="12">
        <v>1999.9551032624961</v>
      </c>
      <c r="H2753" s="12">
        <v>3999.9102065249922</v>
      </c>
      <c r="I2753" s="23" t="s">
        <v>52</v>
      </c>
      <c r="J2753" s="23" t="s">
        <v>61</v>
      </c>
      <c r="K2753" s="24" t="s">
        <v>177</v>
      </c>
      <c r="L2753" s="24">
        <v>113</v>
      </c>
      <c r="M2753" s="12">
        <v>1680.6345405567195</v>
      </c>
      <c r="N2753" s="12">
        <v>3361.2690811134389</v>
      </c>
      <c r="O2753" s="12">
        <v>638.64112541155328</v>
      </c>
      <c r="P2753" s="13"/>
      <c r="Q2753" s="14">
        <v>2025</v>
      </c>
      <c r="R2753" s="15">
        <v>45352</v>
      </c>
      <c r="S2753" s="11" t="s">
        <v>410</v>
      </c>
      <c r="T2753" s="16">
        <v>0</v>
      </c>
      <c r="U2753" s="17"/>
      <c r="V2753" s="12">
        <v>1115.2690811134389</v>
      </c>
      <c r="W2753" s="12">
        <v>1115.2690811134389</v>
      </c>
      <c r="X2753" s="12">
        <v>0</v>
      </c>
      <c r="Y2753" s="18">
        <v>45719</v>
      </c>
      <c r="Z2753" s="13" t="s">
        <v>497</v>
      </c>
      <c r="AA2753" s="19" t="str">
        <f>VLOOKUP(D2753,Clientes!$A$2:$J$486,9,FALSE)</f>
        <v>Ocacional</v>
      </c>
      <c r="AB2753" s="13" t="str">
        <f>VLOOKUP(D2753,Clientes!$A$2:$K$486,11,FALSE)</f>
        <v>Persona Natural</v>
      </c>
      <c r="AC2753" s="13" t="str">
        <f>VLOOKUP(D2753,Clientes!$A$2:$B$486,2,FALSE)</f>
        <v>Sector Delia</v>
      </c>
      <c r="AD2753" s="20"/>
      <c r="AE2753" s="20"/>
      <c r="AF2753" s="13" t="s">
        <v>40</v>
      </c>
      <c r="AG2753" s="15">
        <v>45352</v>
      </c>
      <c r="AH2753" s="13" t="s">
        <v>41</v>
      </c>
      <c r="AI2753" s="13" t="s">
        <v>53</v>
      </c>
      <c r="AJ2753" s="13" t="str">
        <f>VLOOKUP(E2753,Precios!Z$2:AA$941,2,FALSE)</f>
        <v>Toalla Papel NOVA 26 metros</v>
      </c>
      <c r="AK2753" s="14">
        <f>VLOOKUP(E2753,Precios!Z$2:BB$941,3,FALSE)*F2753</f>
        <v>-2</v>
      </c>
      <c r="AL2753" s="17"/>
      <c r="AM2753" s="17"/>
      <c r="AN2753" s="17"/>
      <c r="AO2753" s="17"/>
      <c r="AP2753" s="17"/>
      <c r="AQ2753" s="17"/>
      <c r="AR2753" s="17"/>
      <c r="AS2753" s="17"/>
      <c r="AT2753" s="17"/>
      <c r="AU2753" s="17"/>
      <c r="AV2753" s="17"/>
    </row>
    <row r="2754" spans="1:48" ht="15.75" customHeight="1">
      <c r="A2754" s="21" t="s">
        <v>35</v>
      </c>
      <c r="B2754" s="23" t="s">
        <v>1692</v>
      </c>
      <c r="C2754" s="22">
        <v>45725</v>
      </c>
      <c r="D2754" s="23" t="s">
        <v>915</v>
      </c>
      <c r="E2754" s="23" t="s">
        <v>37</v>
      </c>
      <c r="F2754" s="21">
        <v>1</v>
      </c>
      <c r="G2754" s="12">
        <v>10500</v>
      </c>
      <c r="H2754" s="34">
        <v>10500</v>
      </c>
      <c r="I2754" s="23" t="s">
        <v>52</v>
      </c>
      <c r="J2754" s="23" t="s">
        <v>61</v>
      </c>
      <c r="K2754" s="24" t="s">
        <v>177</v>
      </c>
      <c r="L2754" s="24">
        <v>113</v>
      </c>
      <c r="M2754" s="12">
        <v>8823.5294117647063</v>
      </c>
      <c r="N2754" s="12">
        <v>8823.5294117647063</v>
      </c>
      <c r="O2754" s="12">
        <v>1676.4705882352937</v>
      </c>
      <c r="P2754" s="13"/>
      <c r="Q2754" s="14">
        <v>2025</v>
      </c>
      <c r="R2754" s="15">
        <v>45352</v>
      </c>
      <c r="S2754" s="11" t="s">
        <v>364</v>
      </c>
      <c r="T2754" s="16">
        <v>1000</v>
      </c>
      <c r="U2754" s="17"/>
      <c r="V2754" s="12">
        <v>2385.7142857142853</v>
      </c>
      <c r="W2754" s="12">
        <v>2385.7142857142853</v>
      </c>
      <c r="X2754" s="12">
        <v>0</v>
      </c>
      <c r="Y2754" s="18">
        <v>45719</v>
      </c>
      <c r="Z2754" s="13" t="s">
        <v>497</v>
      </c>
      <c r="AA2754" s="19" t="str">
        <f>VLOOKUP(D2754,Clientes!$A$2:$J$486,9,FALSE)</f>
        <v>Regular</v>
      </c>
      <c r="AB2754" s="13" t="str">
        <f>VLOOKUP(D2754,Clientes!$A$2:$K$486,11,FALSE)</f>
        <v>Persona Natural</v>
      </c>
      <c r="AC2754" s="13" t="str">
        <f>VLOOKUP(D2754,Clientes!$A$2:$B$486,2,FALSE)</f>
        <v>Jardin del Eden</v>
      </c>
      <c r="AD2754" s="20"/>
      <c r="AE2754" s="20"/>
      <c r="AF2754" s="13" t="s">
        <v>40</v>
      </c>
      <c r="AG2754" s="15">
        <v>45352</v>
      </c>
      <c r="AH2754" s="13" t="s">
        <v>41</v>
      </c>
      <c r="AI2754" s="13" t="s">
        <v>35</v>
      </c>
      <c r="AJ2754" s="13" t="str">
        <f>VLOOKUP(E2754,Precios!Z$2:AA$941,2,FALSE)</f>
        <v>Queso RUNCA Mantecoso</v>
      </c>
      <c r="AK2754" s="14">
        <f>VLOOKUP(E2754,Precios!Z$2:BB$941,3,FALSE)*F2754</f>
        <v>-1</v>
      </c>
      <c r="AL2754" s="17"/>
      <c r="AM2754" s="17"/>
      <c r="AN2754" s="17"/>
      <c r="AO2754" s="17"/>
      <c r="AP2754" s="17"/>
      <c r="AQ2754" s="17"/>
      <c r="AR2754" s="17"/>
      <c r="AS2754" s="17"/>
      <c r="AT2754" s="17"/>
      <c r="AU2754" s="17"/>
      <c r="AV2754" s="17"/>
    </row>
    <row r="2755" spans="1:48" ht="15.75" customHeight="1">
      <c r="A2755" s="21" t="s">
        <v>35</v>
      </c>
      <c r="B2755" s="23" t="s">
        <v>1692</v>
      </c>
      <c r="C2755" s="22">
        <v>45724</v>
      </c>
      <c r="D2755" s="23" t="s">
        <v>240</v>
      </c>
      <c r="E2755" s="23" t="s">
        <v>37</v>
      </c>
      <c r="F2755" s="21">
        <v>1</v>
      </c>
      <c r="G2755" s="12">
        <v>10500</v>
      </c>
      <c r="H2755" s="12">
        <v>10500</v>
      </c>
      <c r="I2755" s="23" t="s">
        <v>52</v>
      </c>
      <c r="J2755" s="23" t="s">
        <v>61</v>
      </c>
      <c r="K2755" s="24" t="s">
        <v>177</v>
      </c>
      <c r="L2755" s="24">
        <v>112</v>
      </c>
      <c r="M2755" s="12">
        <v>8823.5294117647063</v>
      </c>
      <c r="N2755" s="12">
        <v>8823.5294117647063</v>
      </c>
      <c r="O2755" s="12">
        <v>1676.4705882352937</v>
      </c>
      <c r="P2755" s="13"/>
      <c r="Q2755" s="14">
        <v>2025</v>
      </c>
      <c r="R2755" s="15">
        <v>45352</v>
      </c>
      <c r="S2755" s="11" t="s">
        <v>364</v>
      </c>
      <c r="T2755" s="16">
        <v>1000</v>
      </c>
      <c r="U2755" s="17"/>
      <c r="V2755" s="12">
        <v>2385.7142857142853</v>
      </c>
      <c r="W2755" s="12">
        <v>2385.7142857142853</v>
      </c>
      <c r="X2755" s="12">
        <v>0</v>
      </c>
      <c r="Y2755" s="18">
        <v>45719</v>
      </c>
      <c r="Z2755" s="13" t="s">
        <v>501</v>
      </c>
      <c r="AA2755" s="19" t="str">
        <f>VLOOKUP(D2755,Clientes!$A$2:$J$486,9,FALSE)</f>
        <v>Ocacional</v>
      </c>
      <c r="AB2755" s="13" t="str">
        <f>VLOOKUP(D2755,Clientes!$A$2:$K$486,11,FALSE)</f>
        <v>Persona Natural</v>
      </c>
      <c r="AC2755" s="13" t="str">
        <f>VLOOKUP(D2755,Clientes!$A$2:$B$486,2,FALSE)</f>
        <v>Jardines de la viña</v>
      </c>
      <c r="AD2755" s="20"/>
      <c r="AE2755" s="20"/>
      <c r="AF2755" s="13" t="s">
        <v>40</v>
      </c>
      <c r="AG2755" s="15">
        <v>45352</v>
      </c>
      <c r="AH2755" s="13" t="s">
        <v>41</v>
      </c>
      <c r="AI2755" s="13" t="s">
        <v>35</v>
      </c>
      <c r="AJ2755" s="13" t="str">
        <f>VLOOKUP(E2755,Precios!Z$2:AA$941,2,FALSE)</f>
        <v>Queso RUNCA Mantecoso</v>
      </c>
      <c r="AK2755" s="14">
        <f>VLOOKUP(E2755,Precios!Z$2:BB$941,3,FALSE)*F2755</f>
        <v>-1</v>
      </c>
      <c r="AL2755" s="17"/>
      <c r="AM2755" s="17"/>
      <c r="AN2755" s="17"/>
      <c r="AO2755" s="17"/>
      <c r="AP2755" s="17"/>
      <c r="AQ2755" s="17"/>
      <c r="AR2755" s="17"/>
      <c r="AS2755" s="17"/>
      <c r="AT2755" s="17"/>
      <c r="AU2755" s="17"/>
      <c r="AV2755" s="17"/>
    </row>
    <row r="2756" spans="1:48" ht="15.75" customHeight="1">
      <c r="A2756" s="21" t="s">
        <v>35</v>
      </c>
      <c r="B2756" s="23" t="s">
        <v>1692</v>
      </c>
      <c r="C2756" s="22">
        <v>45724</v>
      </c>
      <c r="D2756" s="23" t="s">
        <v>132</v>
      </c>
      <c r="E2756" s="23" t="s">
        <v>46</v>
      </c>
      <c r="F2756" s="21">
        <v>1</v>
      </c>
      <c r="G2756" s="12">
        <v>5500</v>
      </c>
      <c r="H2756" s="12">
        <v>5500</v>
      </c>
      <c r="I2756" s="23" t="s">
        <v>52</v>
      </c>
      <c r="J2756" s="23" t="s">
        <v>61</v>
      </c>
      <c r="K2756" s="24" t="s">
        <v>177</v>
      </c>
      <c r="L2756" s="24">
        <v>112</v>
      </c>
      <c r="M2756" s="12">
        <v>4621.8487394957983</v>
      </c>
      <c r="N2756" s="12">
        <v>4621.8487394957983</v>
      </c>
      <c r="O2756" s="12">
        <v>878.15126050420167</v>
      </c>
      <c r="P2756" s="13"/>
      <c r="Q2756" s="14">
        <v>2025</v>
      </c>
      <c r="R2756" s="15">
        <v>45352</v>
      </c>
      <c r="S2756" s="11" t="s">
        <v>364</v>
      </c>
      <c r="T2756" s="16">
        <v>500</v>
      </c>
      <c r="U2756" s="17"/>
      <c r="V2756" s="12">
        <v>1365.1260504201678</v>
      </c>
      <c r="W2756" s="12">
        <v>1365.1260504201678</v>
      </c>
      <c r="X2756" s="12">
        <v>0</v>
      </c>
      <c r="Y2756" s="18">
        <v>45719</v>
      </c>
      <c r="Z2756" s="13" t="s">
        <v>501</v>
      </c>
      <c r="AA2756" s="19" t="str">
        <f>VLOOKUP(D2756,Clientes!$A$2:$J$486,9,FALSE)</f>
        <v>Ocacional</v>
      </c>
      <c r="AB2756" s="13" t="str">
        <f>VLOOKUP(D2756,Clientes!$A$2:$K$486,11,FALSE)</f>
        <v>Persona Natural</v>
      </c>
      <c r="AC2756" s="13" t="str">
        <f>VLOOKUP(D2756,Clientes!$A$2:$B$486,2,FALSE)</f>
        <v>Walker Martinez</v>
      </c>
      <c r="AD2756" s="20"/>
      <c r="AE2756" s="20"/>
      <c r="AF2756" s="13" t="s">
        <v>40</v>
      </c>
      <c r="AG2756" s="15">
        <v>45352</v>
      </c>
      <c r="AH2756" s="13" t="s">
        <v>41</v>
      </c>
      <c r="AI2756" s="13" t="s">
        <v>35</v>
      </c>
      <c r="AJ2756" s="13" t="str">
        <f>VLOOKUP(E2756,Precios!Z$2:AA$941,2,FALSE)</f>
        <v>Queso RUNCA Mantecoso</v>
      </c>
      <c r="AK2756" s="14">
        <f>VLOOKUP(E2756,Precios!Z$2:BB$941,3,FALSE)*F2756</f>
        <v>-0.5</v>
      </c>
      <c r="AL2756" s="17"/>
      <c r="AM2756" s="17"/>
      <c r="AN2756" s="17"/>
      <c r="AO2756" s="17"/>
      <c r="AP2756" s="17"/>
      <c r="AQ2756" s="17"/>
      <c r="AR2756" s="17"/>
      <c r="AS2756" s="17"/>
      <c r="AT2756" s="17"/>
      <c r="AU2756" s="17"/>
      <c r="AV2756" s="17"/>
    </row>
    <row r="2757" spans="1:48" ht="15.75" customHeight="1">
      <c r="A2757" s="21" t="s">
        <v>35</v>
      </c>
      <c r="B2757" s="23" t="s">
        <v>1692</v>
      </c>
      <c r="C2757" s="22">
        <v>45724</v>
      </c>
      <c r="D2757" s="23" t="s">
        <v>119</v>
      </c>
      <c r="E2757" s="23" t="s">
        <v>37</v>
      </c>
      <c r="F2757" s="21">
        <v>1</v>
      </c>
      <c r="G2757" s="12">
        <v>10500</v>
      </c>
      <c r="H2757" s="12">
        <v>10500</v>
      </c>
      <c r="I2757" s="23" t="s">
        <v>52</v>
      </c>
      <c r="J2757" s="23" t="s">
        <v>61</v>
      </c>
      <c r="K2757" s="24" t="s">
        <v>177</v>
      </c>
      <c r="L2757" s="24">
        <v>112</v>
      </c>
      <c r="M2757" s="12">
        <v>8823.5294117647063</v>
      </c>
      <c r="N2757" s="12">
        <v>8823.5294117647063</v>
      </c>
      <c r="O2757" s="12">
        <v>1676.4705882352937</v>
      </c>
      <c r="P2757" s="13"/>
      <c r="Q2757" s="14">
        <v>2025</v>
      </c>
      <c r="R2757" s="15">
        <v>45352</v>
      </c>
      <c r="S2757" s="11" t="s">
        <v>364</v>
      </c>
      <c r="T2757" s="16">
        <v>1000</v>
      </c>
      <c r="U2757" s="17"/>
      <c r="V2757" s="12">
        <v>2385.7142857142853</v>
      </c>
      <c r="W2757" s="12">
        <v>2385.7142857142853</v>
      </c>
      <c r="X2757" s="12">
        <v>0</v>
      </c>
      <c r="Y2757" s="18">
        <v>45719</v>
      </c>
      <c r="Z2757" s="13" t="s">
        <v>501</v>
      </c>
      <c r="AA2757" s="19" t="str">
        <f>VLOOKUP(D2757,Clientes!$A$2:$J$486,9,FALSE)</f>
        <v>Ocacional</v>
      </c>
      <c r="AB2757" s="13" t="str">
        <f>VLOOKUP(D2757,Clientes!$A$2:$K$486,11,FALSE)</f>
        <v>Persona Natural</v>
      </c>
      <c r="AC2757" s="13" t="str">
        <f>VLOOKUP(D2757,Clientes!$A$2:$B$486,2,FALSE)</f>
        <v>Conjunto Ingles</v>
      </c>
      <c r="AD2757" s="20"/>
      <c r="AE2757" s="20"/>
      <c r="AF2757" s="13" t="s">
        <v>40</v>
      </c>
      <c r="AG2757" s="15">
        <v>45352</v>
      </c>
      <c r="AH2757" s="13" t="s">
        <v>41</v>
      </c>
      <c r="AI2757" s="13" t="s">
        <v>35</v>
      </c>
      <c r="AJ2757" s="13" t="str">
        <f>VLOOKUP(E2757,Precios!Z$2:AA$941,2,FALSE)</f>
        <v>Queso RUNCA Mantecoso</v>
      </c>
      <c r="AK2757" s="14">
        <f>VLOOKUP(E2757,Precios!Z$2:BB$941,3,FALSE)*F2757</f>
        <v>-1</v>
      </c>
      <c r="AL2757" s="17"/>
      <c r="AM2757" s="17"/>
      <c r="AN2757" s="17"/>
      <c r="AO2757" s="17"/>
      <c r="AP2757" s="17"/>
      <c r="AQ2757" s="17"/>
      <c r="AR2757" s="17"/>
      <c r="AS2757" s="17"/>
      <c r="AT2757" s="17"/>
      <c r="AU2757" s="17"/>
      <c r="AV2757" s="17"/>
    </row>
    <row r="2758" spans="1:48" ht="15.75" customHeight="1">
      <c r="A2758" s="21" t="s">
        <v>35</v>
      </c>
      <c r="B2758" s="23" t="s">
        <v>1692</v>
      </c>
      <c r="C2758" s="22">
        <v>45724</v>
      </c>
      <c r="D2758" s="23" t="s">
        <v>58</v>
      </c>
      <c r="E2758" s="23" t="s">
        <v>37</v>
      </c>
      <c r="F2758" s="21">
        <v>1</v>
      </c>
      <c r="G2758" s="12">
        <v>10500</v>
      </c>
      <c r="H2758" s="12">
        <v>10500</v>
      </c>
      <c r="I2758" s="23" t="s">
        <v>52</v>
      </c>
      <c r="J2758" s="23" t="s">
        <v>61</v>
      </c>
      <c r="K2758" s="24" t="s">
        <v>177</v>
      </c>
      <c r="L2758" s="24">
        <v>112</v>
      </c>
      <c r="M2758" s="12">
        <v>8823.5294117647063</v>
      </c>
      <c r="N2758" s="12">
        <v>8823.5294117647063</v>
      </c>
      <c r="O2758" s="12">
        <v>1676.4705882352937</v>
      </c>
      <c r="P2758" s="13"/>
      <c r="Q2758" s="14">
        <v>2025</v>
      </c>
      <c r="R2758" s="15">
        <v>45352</v>
      </c>
      <c r="S2758" s="11" t="s">
        <v>364</v>
      </c>
      <c r="T2758" s="16">
        <v>1000</v>
      </c>
      <c r="U2758" s="17"/>
      <c r="V2758" s="12">
        <v>2385.7142857142853</v>
      </c>
      <c r="W2758" s="12">
        <v>2385.7142857142853</v>
      </c>
      <c r="X2758" s="12">
        <v>0</v>
      </c>
      <c r="Y2758" s="18">
        <v>45719</v>
      </c>
      <c r="Z2758" s="13" t="s">
        <v>501</v>
      </c>
      <c r="AA2758" s="19" t="str">
        <f>VLOOKUP(D2758,Clientes!$A$2:$J$486,9,FALSE)</f>
        <v>Regular</v>
      </c>
      <c r="AB2758" s="13" t="str">
        <f>VLOOKUP(D2758,Clientes!$A$2:$K$486,11,FALSE)</f>
        <v>Persona Natural</v>
      </c>
      <c r="AC2758" s="13" t="str">
        <f>VLOOKUP(D2758,Clientes!$A$2:$B$486,2,FALSE)</f>
        <v>Jardines de la Viña</v>
      </c>
      <c r="AD2758" s="20"/>
      <c r="AE2758" s="20"/>
      <c r="AF2758" s="13" t="s">
        <v>40</v>
      </c>
      <c r="AG2758" s="15">
        <v>45352</v>
      </c>
      <c r="AH2758" s="13" t="s">
        <v>41</v>
      </c>
      <c r="AI2758" s="13" t="s">
        <v>35</v>
      </c>
      <c r="AJ2758" s="13" t="str">
        <f>VLOOKUP(E2758,Precios!Z$2:AA$941,2,FALSE)</f>
        <v>Queso RUNCA Mantecoso</v>
      </c>
      <c r="AK2758" s="14">
        <f>VLOOKUP(E2758,Precios!Z$2:BB$941,3,FALSE)*F2758</f>
        <v>-1</v>
      </c>
      <c r="AL2758" s="17"/>
      <c r="AM2758" s="17"/>
      <c r="AN2758" s="17"/>
      <c r="AO2758" s="17"/>
      <c r="AP2758" s="17"/>
      <c r="AQ2758" s="17"/>
      <c r="AR2758" s="17"/>
      <c r="AS2758" s="17"/>
      <c r="AT2758" s="17"/>
      <c r="AU2758" s="17"/>
      <c r="AV2758" s="17"/>
    </row>
    <row r="2759" spans="1:48" ht="15.75" customHeight="1">
      <c r="A2759" s="21" t="s">
        <v>35</v>
      </c>
      <c r="B2759" s="23" t="s">
        <v>1692</v>
      </c>
      <c r="C2759" s="22">
        <v>45724</v>
      </c>
      <c r="D2759" s="23" t="s">
        <v>570</v>
      </c>
      <c r="E2759" s="23" t="s">
        <v>46</v>
      </c>
      <c r="F2759" s="21">
        <v>1</v>
      </c>
      <c r="G2759" s="12">
        <v>5500</v>
      </c>
      <c r="H2759" s="12">
        <v>5500</v>
      </c>
      <c r="I2759" s="23" t="s">
        <v>52</v>
      </c>
      <c r="J2759" s="23" t="s">
        <v>61</v>
      </c>
      <c r="K2759" s="24" t="s">
        <v>177</v>
      </c>
      <c r="L2759" s="24">
        <v>112</v>
      </c>
      <c r="M2759" s="12">
        <v>4621.8487394957983</v>
      </c>
      <c r="N2759" s="12">
        <v>4621.8487394957983</v>
      </c>
      <c r="O2759" s="12">
        <v>878.15126050420167</v>
      </c>
      <c r="P2759" s="13"/>
      <c r="Q2759" s="14">
        <v>2025</v>
      </c>
      <c r="R2759" s="15">
        <v>45352</v>
      </c>
      <c r="S2759" s="11" t="s">
        <v>364</v>
      </c>
      <c r="T2759" s="16">
        <v>500</v>
      </c>
      <c r="U2759" s="17"/>
      <c r="V2759" s="12">
        <v>1365.1260504201678</v>
      </c>
      <c r="W2759" s="12">
        <v>1365.1260504201678</v>
      </c>
      <c r="X2759" s="12">
        <v>0</v>
      </c>
      <c r="Y2759" s="18">
        <v>45719</v>
      </c>
      <c r="Z2759" s="13" t="s">
        <v>501</v>
      </c>
      <c r="AA2759" s="19" t="str">
        <f>VLOOKUP(D2759,Clientes!$A$2:$J$486,9,FALSE)</f>
        <v>Ocacional</v>
      </c>
      <c r="AB2759" s="13" t="str">
        <f>VLOOKUP(D2759,Clientes!$A$2:$K$486,11,FALSE)</f>
        <v>Persona Natural</v>
      </c>
      <c r="AC2759" s="13" t="str">
        <f>VLOOKUP(D2759,Clientes!$A$2:$B$486,2,FALSE)</f>
        <v>Amigos Claudia Herrera</v>
      </c>
      <c r="AD2759" s="20"/>
      <c r="AE2759" s="20"/>
      <c r="AF2759" s="13" t="s">
        <v>40</v>
      </c>
      <c r="AG2759" s="15">
        <v>45352</v>
      </c>
      <c r="AH2759" s="13" t="s">
        <v>41</v>
      </c>
      <c r="AI2759" s="13" t="s">
        <v>35</v>
      </c>
      <c r="AJ2759" s="13" t="str">
        <f>VLOOKUP(E2759,Precios!Z$2:AA$941,2,FALSE)</f>
        <v>Queso RUNCA Mantecoso</v>
      </c>
      <c r="AK2759" s="14">
        <f>VLOOKUP(E2759,Precios!Z$2:BB$941,3,FALSE)*F2759</f>
        <v>-0.5</v>
      </c>
      <c r="AL2759" s="17"/>
      <c r="AM2759" s="17"/>
      <c r="AN2759" s="17"/>
      <c r="AO2759" s="17"/>
      <c r="AP2759" s="17"/>
      <c r="AQ2759" s="17"/>
      <c r="AR2759" s="17"/>
      <c r="AS2759" s="17"/>
      <c r="AT2759" s="17"/>
      <c r="AU2759" s="17"/>
      <c r="AV2759" s="17"/>
    </row>
    <row r="2760" spans="1:48" ht="15.75" customHeight="1">
      <c r="A2760" s="21" t="s">
        <v>147</v>
      </c>
      <c r="B2760" s="23" t="s">
        <v>1692</v>
      </c>
      <c r="C2760" s="22">
        <v>45724</v>
      </c>
      <c r="D2760" s="23" t="s">
        <v>186</v>
      </c>
      <c r="E2760" s="23" t="s">
        <v>149</v>
      </c>
      <c r="F2760" s="21">
        <v>1</v>
      </c>
      <c r="G2760" s="12">
        <v>1700</v>
      </c>
      <c r="H2760" s="12">
        <v>1700</v>
      </c>
      <c r="I2760" s="23" t="s">
        <v>52</v>
      </c>
      <c r="J2760" s="23" t="s">
        <v>61</v>
      </c>
      <c r="K2760" s="24" t="s">
        <v>177</v>
      </c>
      <c r="L2760" s="24">
        <v>112</v>
      </c>
      <c r="M2760" s="12">
        <v>1428.5714285714287</v>
      </c>
      <c r="N2760" s="12">
        <v>1428.5714285714287</v>
      </c>
      <c r="O2760" s="12">
        <v>271.42857142857133</v>
      </c>
      <c r="P2760" s="13"/>
      <c r="Q2760" s="14">
        <v>2025</v>
      </c>
      <c r="R2760" s="15">
        <v>45352</v>
      </c>
      <c r="S2760" s="11" t="s">
        <v>412</v>
      </c>
      <c r="T2760" s="16">
        <v>0</v>
      </c>
      <c r="U2760" s="17"/>
      <c r="V2760" s="12">
        <v>774.78991596638662</v>
      </c>
      <c r="W2760" s="12">
        <v>774.78991596638662</v>
      </c>
      <c r="X2760" s="12">
        <v>0</v>
      </c>
      <c r="Y2760" s="18">
        <v>45719</v>
      </c>
      <c r="Z2760" s="13" t="s">
        <v>501</v>
      </c>
      <c r="AA2760" s="19" t="str">
        <f>VLOOKUP(D2760,Clientes!$A$2:$J$486,9,FALSE)</f>
        <v>Ocacional</v>
      </c>
      <c r="AB2760" s="13" t="str">
        <f>VLOOKUP(D2760,Clientes!$A$2:$K$486,11,FALSE)</f>
        <v>Persona Natural</v>
      </c>
      <c r="AC2760" s="13" t="str">
        <f>VLOOKUP(D2760,Clientes!$A$2:$B$486,2,FALSE)</f>
        <v>Palena</v>
      </c>
      <c r="AD2760" s="20"/>
      <c r="AE2760" s="20"/>
      <c r="AF2760" s="13" t="s">
        <v>40</v>
      </c>
      <c r="AG2760" s="15">
        <v>45352</v>
      </c>
      <c r="AH2760" s="13" t="s">
        <v>41</v>
      </c>
      <c r="AI2760" s="13" t="s">
        <v>147</v>
      </c>
      <c r="AJ2760" s="13" t="str">
        <f>VLOOKUP(E2760,Precios!Z$2:AA$941,2,FALSE)</f>
        <v>Film Plástico 30 metros</v>
      </c>
      <c r="AK2760" s="14">
        <f>VLOOKUP(E2760,Precios!Z$2:BB$941,3,FALSE)*F2760</f>
        <v>-1</v>
      </c>
      <c r="AL2760" s="17"/>
      <c r="AM2760" s="17"/>
      <c r="AN2760" s="17"/>
      <c r="AO2760" s="17"/>
      <c r="AP2760" s="17"/>
      <c r="AQ2760" s="17"/>
      <c r="AR2760" s="17"/>
      <c r="AS2760" s="17"/>
      <c r="AT2760" s="17"/>
      <c r="AU2760" s="17"/>
      <c r="AV2760" s="17"/>
    </row>
    <row r="2761" spans="1:48" ht="15.75" customHeight="1">
      <c r="A2761" s="21" t="s">
        <v>53</v>
      </c>
      <c r="B2761" s="23" t="s">
        <v>1692</v>
      </c>
      <c r="C2761" s="22">
        <v>45724</v>
      </c>
      <c r="D2761" s="23" t="s">
        <v>186</v>
      </c>
      <c r="E2761" s="23" t="s">
        <v>97</v>
      </c>
      <c r="F2761" s="21">
        <v>1</v>
      </c>
      <c r="G2761" s="12">
        <v>15500.298388701016</v>
      </c>
      <c r="H2761" s="12">
        <v>15500.298388701016</v>
      </c>
      <c r="I2761" s="23" t="s">
        <v>52</v>
      </c>
      <c r="J2761" s="23" t="s">
        <v>61</v>
      </c>
      <c r="K2761" s="24" t="s">
        <v>177</v>
      </c>
      <c r="L2761" s="24">
        <v>112</v>
      </c>
      <c r="M2761" s="12">
        <v>13025.46083084119</v>
      </c>
      <c r="N2761" s="12">
        <v>13025.46083084119</v>
      </c>
      <c r="O2761" s="12">
        <v>2474.8375578598261</v>
      </c>
      <c r="P2761" s="13"/>
      <c r="Q2761" s="14">
        <v>2025</v>
      </c>
      <c r="R2761" s="15">
        <v>45352</v>
      </c>
      <c r="S2761" s="11" t="s">
        <v>366</v>
      </c>
      <c r="T2761" s="16">
        <v>0</v>
      </c>
      <c r="U2761" s="17"/>
      <c r="V2761" s="12">
        <v>3203.6120913453906</v>
      </c>
      <c r="W2761" s="12">
        <v>3203.6120913453906</v>
      </c>
      <c r="X2761" s="12">
        <v>0</v>
      </c>
      <c r="Y2761" s="18">
        <v>45719</v>
      </c>
      <c r="Z2761" s="13" t="s">
        <v>501</v>
      </c>
      <c r="AA2761" s="19" t="str">
        <f>VLOOKUP(D2761,Clientes!$A$2:$J$486,9,FALSE)</f>
        <v>Ocacional</v>
      </c>
      <c r="AB2761" s="13" t="str">
        <f>VLOOKUP(D2761,Clientes!$A$2:$K$486,11,FALSE)</f>
        <v>Persona Natural</v>
      </c>
      <c r="AC2761" s="13" t="str">
        <f>VLOOKUP(D2761,Clientes!$A$2:$B$486,2,FALSE)</f>
        <v>Palena</v>
      </c>
      <c r="AD2761" s="20"/>
      <c r="AE2761" s="20"/>
      <c r="AF2761" s="13" t="s">
        <v>40</v>
      </c>
      <c r="AG2761" s="15">
        <v>45352</v>
      </c>
      <c r="AH2761" s="13" t="s">
        <v>41</v>
      </c>
      <c r="AI2761" s="13" t="s">
        <v>53</v>
      </c>
      <c r="AJ2761" s="13" t="str">
        <f>VLOOKUP(E2761,Precios!Z$2:AA$941,2,FALSE)</f>
        <v>Papel Higienico ELITE 50 metros</v>
      </c>
      <c r="AK2761" s="14">
        <f>VLOOKUP(E2761,Precios!Z$2:BB$941,3,FALSE)*F2761</f>
        <v>-6</v>
      </c>
      <c r="AL2761" s="17"/>
      <c r="AM2761" s="17"/>
      <c r="AN2761" s="17"/>
      <c r="AO2761" s="17"/>
      <c r="AP2761" s="17"/>
      <c r="AQ2761" s="17"/>
      <c r="AR2761" s="17"/>
      <c r="AS2761" s="17"/>
      <c r="AT2761" s="17"/>
      <c r="AU2761" s="17"/>
      <c r="AV2761" s="17"/>
    </row>
    <row r="2762" spans="1:48" ht="15.75" customHeight="1">
      <c r="A2762" s="21" t="s">
        <v>43</v>
      </c>
      <c r="B2762" s="23" t="s">
        <v>1692</v>
      </c>
      <c r="C2762" s="22">
        <v>45724</v>
      </c>
      <c r="D2762" s="23" t="s">
        <v>186</v>
      </c>
      <c r="E2762" s="23" t="s">
        <v>45</v>
      </c>
      <c r="F2762" s="21">
        <v>1</v>
      </c>
      <c r="G2762" s="12">
        <v>7600.0975431323541</v>
      </c>
      <c r="H2762" s="12">
        <v>7600.0975431323541</v>
      </c>
      <c r="I2762" s="23" t="s">
        <v>52</v>
      </c>
      <c r="J2762" s="23" t="s">
        <v>61</v>
      </c>
      <c r="K2762" s="24" t="s">
        <v>177</v>
      </c>
      <c r="L2762" s="24">
        <v>112</v>
      </c>
      <c r="M2762" s="12">
        <v>6386.6365908675243</v>
      </c>
      <c r="N2762" s="12">
        <v>6386.6365908675243</v>
      </c>
      <c r="O2762" s="12">
        <v>1213.4609522648298</v>
      </c>
      <c r="P2762" s="13"/>
      <c r="Q2762" s="14">
        <v>2025</v>
      </c>
      <c r="R2762" s="15">
        <v>45352</v>
      </c>
      <c r="S2762" s="11" t="s">
        <v>355</v>
      </c>
      <c r="T2762" s="16">
        <v>0</v>
      </c>
      <c r="U2762" s="17"/>
      <c r="V2762" s="12">
        <v>1148.6365908675243</v>
      </c>
      <c r="W2762" s="12">
        <v>1148.6365908675243</v>
      </c>
      <c r="X2762" s="12">
        <v>0</v>
      </c>
      <c r="Y2762" s="18">
        <v>45719</v>
      </c>
      <c r="Z2762" s="13" t="s">
        <v>501</v>
      </c>
      <c r="AA2762" s="19" t="str">
        <f>VLOOKUP(D2762,Clientes!$A$2:$J$486,9,FALSE)</f>
        <v>Ocacional</v>
      </c>
      <c r="AB2762" s="13" t="str">
        <f>VLOOKUP(D2762,Clientes!$A$2:$K$486,11,FALSE)</f>
        <v>Persona Natural</v>
      </c>
      <c r="AC2762" s="13" t="str">
        <f>VLOOKUP(D2762,Clientes!$A$2:$B$486,2,FALSE)</f>
        <v>Palena</v>
      </c>
      <c r="AD2762" s="20"/>
      <c r="AE2762" s="20"/>
      <c r="AF2762" s="13" t="s">
        <v>40</v>
      </c>
      <c r="AG2762" s="15">
        <v>45352</v>
      </c>
      <c r="AH2762" s="13" t="s">
        <v>41</v>
      </c>
      <c r="AI2762" s="13" t="s">
        <v>43</v>
      </c>
      <c r="AJ2762" s="13" t="str">
        <f>VLOOKUP(E2762,Precios!Z$2:AA$941,2,FALSE)</f>
        <v>Bandeja Huevos EXTRA</v>
      </c>
      <c r="AK2762" s="14">
        <f>VLOOKUP(E2762,Precios!Z$2:BB$941,3,FALSE)*F2762</f>
        <v>-1</v>
      </c>
      <c r="AL2762" s="17"/>
      <c r="AM2762" s="17"/>
      <c r="AN2762" s="17"/>
      <c r="AO2762" s="17"/>
      <c r="AP2762" s="17"/>
      <c r="AQ2762" s="17"/>
      <c r="AR2762" s="17"/>
      <c r="AS2762" s="17"/>
      <c r="AT2762" s="17"/>
      <c r="AU2762" s="17"/>
      <c r="AV2762" s="17"/>
    </row>
    <row r="2763" spans="1:48" ht="15.75" customHeight="1">
      <c r="A2763" s="21" t="s">
        <v>76</v>
      </c>
      <c r="B2763" s="23" t="s">
        <v>1692</v>
      </c>
      <c r="C2763" s="22">
        <v>45724</v>
      </c>
      <c r="D2763" s="23" t="s">
        <v>68</v>
      </c>
      <c r="E2763" s="23" t="s">
        <v>218</v>
      </c>
      <c r="F2763" s="21">
        <v>1</v>
      </c>
      <c r="G2763" s="12">
        <v>1500.0000000000002</v>
      </c>
      <c r="H2763" s="12">
        <v>1500.0000000000002</v>
      </c>
      <c r="I2763" s="23" t="s">
        <v>52</v>
      </c>
      <c r="J2763" s="23" t="s">
        <v>61</v>
      </c>
      <c r="K2763" s="24" t="s">
        <v>86</v>
      </c>
      <c r="L2763" s="24">
        <v>66</v>
      </c>
      <c r="M2763" s="12">
        <v>1260.5042016806726</v>
      </c>
      <c r="N2763" s="12">
        <v>1260.5042016806726</v>
      </c>
      <c r="O2763" s="12">
        <v>239.4957983193276</v>
      </c>
      <c r="P2763" s="13"/>
      <c r="Q2763" s="14">
        <v>2025</v>
      </c>
      <c r="R2763" s="15">
        <v>45352</v>
      </c>
      <c r="S2763" s="11" t="s">
        <v>444</v>
      </c>
      <c r="T2763" s="16">
        <v>500</v>
      </c>
      <c r="U2763" s="17"/>
      <c r="V2763" s="12">
        <v>504.20168067226905</v>
      </c>
      <c r="W2763" s="12">
        <v>504.20168067226905</v>
      </c>
      <c r="X2763" s="12">
        <v>0</v>
      </c>
      <c r="Y2763" s="18">
        <v>45719</v>
      </c>
      <c r="Z2763" s="13" t="s">
        <v>501</v>
      </c>
      <c r="AA2763" s="19" t="str">
        <f>VLOOKUP(D2763,Clientes!$A$2:$J$486,9,FALSE)</f>
        <v>Frecuente</v>
      </c>
      <c r="AB2763" s="13" t="str">
        <f>VLOOKUP(D2763,Clientes!$A$2:$K$486,11,FALSE)</f>
        <v>Empresa</v>
      </c>
      <c r="AC2763" s="13" t="str">
        <f>VLOOKUP(D2763,Clientes!$A$2:$B$486,2,FALSE)</f>
        <v>Jardines de la viña</v>
      </c>
      <c r="AD2763" s="20"/>
      <c r="AE2763" s="20"/>
      <c r="AF2763" s="13" t="s">
        <v>40</v>
      </c>
      <c r="AG2763" s="15">
        <v>45352</v>
      </c>
      <c r="AH2763" s="13" t="s">
        <v>41</v>
      </c>
      <c r="AI2763" s="13" t="s">
        <v>76</v>
      </c>
      <c r="AJ2763" s="13" t="str">
        <f>VLOOKUP(E2763,Precios!Z$2:AA$941,2,FALSE)</f>
        <v>Limpia Vidrio SPUM 500 ml</v>
      </c>
      <c r="AK2763" s="14">
        <f>VLOOKUP(E2763,Precios!Z$2:BB$941,3,FALSE)*F2763</f>
        <v>-1</v>
      </c>
      <c r="AL2763" s="17"/>
      <c r="AM2763" s="17"/>
      <c r="AN2763" s="17"/>
      <c r="AO2763" s="17"/>
      <c r="AP2763" s="17"/>
      <c r="AQ2763" s="17"/>
      <c r="AR2763" s="17"/>
      <c r="AS2763" s="17"/>
      <c r="AT2763" s="17"/>
      <c r="AU2763" s="17"/>
      <c r="AV2763" s="17"/>
    </row>
    <row r="2764" spans="1:48" ht="15.75" customHeight="1">
      <c r="A2764" s="21" t="s">
        <v>47</v>
      </c>
      <c r="B2764" s="23" t="s">
        <v>1692</v>
      </c>
      <c r="C2764" s="22">
        <v>45724</v>
      </c>
      <c r="D2764" s="23" t="s">
        <v>180</v>
      </c>
      <c r="E2764" s="23" t="s">
        <v>264</v>
      </c>
      <c r="F2764" s="21">
        <v>1</v>
      </c>
      <c r="G2764" s="12">
        <v>1599.7931747673217</v>
      </c>
      <c r="H2764" s="12">
        <v>1599.7931747673217</v>
      </c>
      <c r="I2764" s="23" t="s">
        <v>52</v>
      </c>
      <c r="J2764" s="23" t="s">
        <v>61</v>
      </c>
      <c r="K2764" s="24" t="s">
        <v>177</v>
      </c>
      <c r="L2764" s="24">
        <v>112</v>
      </c>
      <c r="M2764" s="12">
        <v>1344.3640124095141</v>
      </c>
      <c r="N2764" s="12">
        <v>1344.3640124095141</v>
      </c>
      <c r="O2764" s="12">
        <v>255.42916235780763</v>
      </c>
      <c r="P2764" s="13"/>
      <c r="Q2764" s="14">
        <v>2025</v>
      </c>
      <c r="R2764" s="15">
        <v>45352</v>
      </c>
      <c r="S2764" s="11" t="s">
        <v>495</v>
      </c>
      <c r="T2764" s="16">
        <v>0</v>
      </c>
      <c r="U2764" s="17"/>
      <c r="V2764" s="12">
        <v>369.36401240951409</v>
      </c>
      <c r="W2764" s="12">
        <v>369.36401240951409</v>
      </c>
      <c r="X2764" s="12">
        <v>0</v>
      </c>
      <c r="Y2764" s="18">
        <v>45719</v>
      </c>
      <c r="Z2764" s="13" t="s">
        <v>501</v>
      </c>
      <c r="AA2764" s="19" t="str">
        <f>VLOOKUP(D2764,Clientes!$A$2:$J$486,9,FALSE)</f>
        <v>Familiar</v>
      </c>
      <c r="AB2764" s="13" t="str">
        <f>VLOOKUP(D2764,Clientes!$A$2:$K$486,11,FALSE)</f>
        <v>Persona Natural</v>
      </c>
      <c r="AC2764" s="13" t="str">
        <f>VLOOKUP(D2764,Clientes!$A$2:$B$486,2,FALSE)</f>
        <v>Familiar</v>
      </c>
      <c r="AD2764" s="20"/>
      <c r="AE2764" s="20"/>
      <c r="AF2764" s="13" t="s">
        <v>40</v>
      </c>
      <c r="AG2764" s="15">
        <v>45352</v>
      </c>
      <c r="AH2764" s="13" t="s">
        <v>41</v>
      </c>
      <c r="AI2764" s="13" t="s">
        <v>47</v>
      </c>
      <c r="AJ2764" s="13" t="str">
        <f>VLOOKUP(E2764,Precios!Z$2:AA$941,2,FALSE)</f>
        <v>Cera Roja Brillina</v>
      </c>
      <c r="AK2764" s="14">
        <f>VLOOKUP(E2764,Precios!Z$2:BB$941,3,FALSE)*F2764</f>
        <v>-1</v>
      </c>
      <c r="AL2764" s="17"/>
      <c r="AM2764" s="17"/>
      <c r="AN2764" s="17"/>
      <c r="AO2764" s="17"/>
      <c r="AP2764" s="17"/>
      <c r="AQ2764" s="17"/>
      <c r="AR2764" s="17"/>
      <c r="AS2764" s="17"/>
      <c r="AT2764" s="17"/>
      <c r="AU2764" s="17"/>
      <c r="AV2764" s="17"/>
    </row>
    <row r="2765" spans="1:48" ht="15.75" customHeight="1">
      <c r="A2765" s="21" t="s">
        <v>56</v>
      </c>
      <c r="B2765" s="23" t="s">
        <v>1692</v>
      </c>
      <c r="C2765" s="22">
        <v>45724</v>
      </c>
      <c r="D2765" s="23" t="s">
        <v>180</v>
      </c>
      <c r="E2765" s="23" t="s">
        <v>67</v>
      </c>
      <c r="F2765" s="21">
        <v>1</v>
      </c>
      <c r="G2765" s="12">
        <v>7000.0000000000009</v>
      </c>
      <c r="H2765" s="12">
        <v>7000.0000000000009</v>
      </c>
      <c r="I2765" s="23" t="s">
        <v>52</v>
      </c>
      <c r="J2765" s="23" t="s">
        <v>61</v>
      </c>
      <c r="K2765" s="24" t="s">
        <v>177</v>
      </c>
      <c r="L2765" s="24">
        <v>112</v>
      </c>
      <c r="M2765" s="12">
        <v>5882.3529411764712</v>
      </c>
      <c r="N2765" s="12">
        <v>5882.3529411764712</v>
      </c>
      <c r="O2765" s="12">
        <v>1117.6470588235297</v>
      </c>
      <c r="P2765" s="13"/>
      <c r="Q2765" s="14">
        <v>2025</v>
      </c>
      <c r="R2765" s="15">
        <v>45352</v>
      </c>
      <c r="S2765" s="11" t="s">
        <v>492</v>
      </c>
      <c r="T2765" s="16">
        <v>200</v>
      </c>
      <c r="U2765" s="17"/>
      <c r="V2765" s="12">
        <v>1512.6050420168067</v>
      </c>
      <c r="W2765" s="12">
        <v>1512.6050420168067</v>
      </c>
      <c r="X2765" s="12">
        <v>0</v>
      </c>
      <c r="Y2765" s="18">
        <v>45719</v>
      </c>
      <c r="Z2765" s="13" t="s">
        <v>501</v>
      </c>
      <c r="AA2765" s="19" t="str">
        <f>VLOOKUP(D2765,Clientes!$A$2:$J$486,9,FALSE)</f>
        <v>Familiar</v>
      </c>
      <c r="AB2765" s="13" t="str">
        <f>VLOOKUP(D2765,Clientes!$A$2:$K$486,11,FALSE)</f>
        <v>Persona Natural</v>
      </c>
      <c r="AC2765" s="13" t="str">
        <f>VLOOKUP(D2765,Clientes!$A$2:$B$486,2,FALSE)</f>
        <v>Familiar</v>
      </c>
      <c r="AD2765" s="20"/>
      <c r="AE2765" s="20"/>
      <c r="AF2765" s="13" t="s">
        <v>40</v>
      </c>
      <c r="AG2765" s="15">
        <v>45352</v>
      </c>
      <c r="AH2765" s="13" t="s">
        <v>41</v>
      </c>
      <c r="AI2765" s="13" t="s">
        <v>56</v>
      </c>
      <c r="AJ2765" s="13" t="str">
        <f>VLOOKUP(E2765,Precios!Z$2:AA$941,2,FALSE)</f>
        <v>Mantequilla RUMAY</v>
      </c>
      <c r="AK2765" s="14">
        <f>VLOOKUP(E2765,Precios!Z$2:BB$941,3,FALSE)*F2765</f>
        <v>-3</v>
      </c>
      <c r="AL2765" s="17"/>
      <c r="AM2765" s="17"/>
      <c r="AN2765" s="17"/>
      <c r="AO2765" s="17"/>
      <c r="AP2765" s="17"/>
      <c r="AQ2765" s="17"/>
      <c r="AR2765" s="17"/>
      <c r="AS2765" s="17"/>
      <c r="AT2765" s="17"/>
      <c r="AU2765" s="17"/>
      <c r="AV2765" s="17"/>
    </row>
    <row r="2766" spans="1:48" ht="15.75" customHeight="1">
      <c r="A2766" s="21" t="s">
        <v>47</v>
      </c>
      <c r="B2766" s="23" t="s">
        <v>1692</v>
      </c>
      <c r="C2766" s="22">
        <v>45724</v>
      </c>
      <c r="D2766" s="23" t="s">
        <v>180</v>
      </c>
      <c r="E2766" s="23" t="s">
        <v>306</v>
      </c>
      <c r="F2766" s="21">
        <v>1</v>
      </c>
      <c r="G2766" s="12">
        <v>8000.0000000000009</v>
      </c>
      <c r="H2766" s="12">
        <v>8000.0000000000009</v>
      </c>
      <c r="I2766" s="23" t="s">
        <v>52</v>
      </c>
      <c r="J2766" s="23" t="s">
        <v>61</v>
      </c>
      <c r="K2766" s="24" t="s">
        <v>177</v>
      </c>
      <c r="L2766" s="24">
        <v>112</v>
      </c>
      <c r="M2766" s="12">
        <v>6722.6890756302528</v>
      </c>
      <c r="N2766" s="12">
        <v>6722.6890756302528</v>
      </c>
      <c r="O2766" s="12">
        <v>1277.3109243697481</v>
      </c>
      <c r="P2766" s="13"/>
      <c r="Q2766" s="14">
        <v>2025</v>
      </c>
      <c r="R2766" s="15">
        <v>45352</v>
      </c>
      <c r="S2766" s="11" t="s">
        <v>372</v>
      </c>
      <c r="T2766" s="16">
        <v>0</v>
      </c>
      <c r="U2766" s="17"/>
      <c r="V2766" s="12">
        <v>1781.5126050420176</v>
      </c>
      <c r="W2766" s="12">
        <v>1781.5126050420176</v>
      </c>
      <c r="X2766" s="12">
        <v>0</v>
      </c>
      <c r="Y2766" s="18">
        <v>45719</v>
      </c>
      <c r="Z2766" s="13" t="s">
        <v>501</v>
      </c>
      <c r="AA2766" s="19" t="str">
        <f>VLOOKUP(D2766,Clientes!$A$2:$J$486,9,FALSE)</f>
        <v>Familiar</v>
      </c>
      <c r="AB2766" s="13" t="str">
        <f>VLOOKUP(D2766,Clientes!$A$2:$K$486,11,FALSE)</f>
        <v>Persona Natural</v>
      </c>
      <c r="AC2766" s="13" t="str">
        <f>VLOOKUP(D2766,Clientes!$A$2:$B$486,2,FALSE)</f>
        <v>Familiar</v>
      </c>
      <c r="AD2766" s="20"/>
      <c r="AE2766" s="20"/>
      <c r="AF2766" s="13" t="s">
        <v>40</v>
      </c>
      <c r="AG2766" s="15">
        <v>45352</v>
      </c>
      <c r="AH2766" s="13" t="s">
        <v>41</v>
      </c>
      <c r="AI2766" s="13" t="s">
        <v>47</v>
      </c>
      <c r="AJ2766" s="13" t="str">
        <f>VLOOKUP(E2766,Precios!Z$2:AA$941,2,FALSE)</f>
        <v>Traperos Humedos VIRGINIA</v>
      </c>
      <c r="AK2766" s="14">
        <f>VLOOKUP(E2766,Precios!Z$2:BB$941,3,FALSE)*F2766</f>
        <v>-3</v>
      </c>
      <c r="AL2766" s="17"/>
      <c r="AM2766" s="17"/>
      <c r="AN2766" s="17"/>
      <c r="AO2766" s="17"/>
      <c r="AP2766" s="17"/>
      <c r="AQ2766" s="17"/>
      <c r="AR2766" s="17"/>
      <c r="AS2766" s="17"/>
      <c r="AT2766" s="17"/>
      <c r="AU2766" s="17"/>
      <c r="AV2766" s="17"/>
    </row>
    <row r="2767" spans="1:48" ht="15.75" customHeight="1">
      <c r="A2767" s="21" t="s">
        <v>47</v>
      </c>
      <c r="B2767" s="23" t="s">
        <v>1692</v>
      </c>
      <c r="C2767" s="22">
        <v>45724</v>
      </c>
      <c r="D2767" s="23" t="s">
        <v>180</v>
      </c>
      <c r="E2767" s="23" t="s">
        <v>204</v>
      </c>
      <c r="F2767" s="21">
        <v>1</v>
      </c>
      <c r="G2767" s="12">
        <v>1200.1927194860814</v>
      </c>
      <c r="H2767" s="12">
        <v>1200.1927194860814</v>
      </c>
      <c r="I2767" s="23" t="s">
        <v>52</v>
      </c>
      <c r="J2767" s="23" t="s">
        <v>61</v>
      </c>
      <c r="K2767" s="24" t="s">
        <v>177</v>
      </c>
      <c r="L2767" s="24">
        <v>112</v>
      </c>
      <c r="M2767" s="12">
        <v>1008.5653104925054</v>
      </c>
      <c r="N2767" s="12">
        <v>1008.5653104925054</v>
      </c>
      <c r="O2767" s="12">
        <v>191.62740899357595</v>
      </c>
      <c r="P2767" s="13"/>
      <c r="Q2767" s="14">
        <v>2025</v>
      </c>
      <c r="R2767" s="15">
        <v>45352</v>
      </c>
      <c r="S2767" s="11" t="s">
        <v>400</v>
      </c>
      <c r="T2767" s="16">
        <v>0</v>
      </c>
      <c r="U2767" s="17"/>
      <c r="V2767" s="12">
        <v>537.56531049250543</v>
      </c>
      <c r="W2767" s="12">
        <v>537.56531049250543</v>
      </c>
      <c r="X2767" s="12">
        <v>0</v>
      </c>
      <c r="Y2767" s="18">
        <v>45719</v>
      </c>
      <c r="Z2767" s="13" t="s">
        <v>501</v>
      </c>
      <c r="AA2767" s="19" t="str">
        <f>VLOOKUP(D2767,Clientes!$A$2:$J$486,9,FALSE)</f>
        <v>Familiar</v>
      </c>
      <c r="AB2767" s="13" t="str">
        <f>VLOOKUP(D2767,Clientes!$A$2:$K$486,11,FALSE)</f>
        <v>Persona Natural</v>
      </c>
      <c r="AC2767" s="13" t="str">
        <f>VLOOKUP(D2767,Clientes!$A$2:$B$486,2,FALSE)</f>
        <v>Familiar</v>
      </c>
      <c r="AD2767" s="20"/>
      <c r="AE2767" s="20"/>
      <c r="AF2767" s="13" t="s">
        <v>40</v>
      </c>
      <c r="AG2767" s="15">
        <v>45352</v>
      </c>
      <c r="AH2767" s="13" t="s">
        <v>41</v>
      </c>
      <c r="AI2767" s="13" t="s">
        <v>47</v>
      </c>
      <c r="AJ2767" s="13" t="str">
        <f>VLOOKUP(E2767,Precios!Z$2:AA$941,2,FALSE)</f>
        <v>Trapero Algodón TEDDY</v>
      </c>
      <c r="AK2767" s="14">
        <f>VLOOKUP(E2767,Precios!Z$2:BB$941,3,FALSE)*F2767</f>
        <v>-1</v>
      </c>
      <c r="AL2767" s="17"/>
      <c r="AM2767" s="17"/>
      <c r="AN2767" s="17"/>
      <c r="AO2767" s="17"/>
      <c r="AP2767" s="17"/>
      <c r="AQ2767" s="17"/>
      <c r="AR2767" s="17"/>
      <c r="AS2767" s="17"/>
      <c r="AT2767" s="17"/>
      <c r="AU2767" s="17"/>
      <c r="AV2767" s="17"/>
    </row>
    <row r="2768" spans="1:48" ht="15.75" customHeight="1">
      <c r="A2768" s="21" t="s">
        <v>76</v>
      </c>
      <c r="B2768" s="23" t="s">
        <v>1692</v>
      </c>
      <c r="C2768" s="22">
        <v>45724</v>
      </c>
      <c r="D2768" s="23" t="s">
        <v>180</v>
      </c>
      <c r="E2768" s="23" t="s">
        <v>322</v>
      </c>
      <c r="F2768" s="21">
        <v>1</v>
      </c>
      <c r="G2768" s="12">
        <v>4500.0000000000009</v>
      </c>
      <c r="H2768" s="12">
        <v>4500.0000000000009</v>
      </c>
      <c r="I2768" s="23" t="s">
        <v>52</v>
      </c>
      <c r="J2768" s="23" t="s">
        <v>61</v>
      </c>
      <c r="K2768" s="24" t="s">
        <v>177</v>
      </c>
      <c r="L2768" s="24">
        <v>112</v>
      </c>
      <c r="M2768" s="12">
        <v>3781.5126050420176</v>
      </c>
      <c r="N2768" s="12">
        <v>3781.5126050420176</v>
      </c>
      <c r="O2768" s="12">
        <v>718.48739495798327</v>
      </c>
      <c r="P2768" s="13"/>
      <c r="Q2768" s="14">
        <v>2025</v>
      </c>
      <c r="R2768" s="15">
        <v>45352</v>
      </c>
      <c r="S2768" s="11" t="s">
        <v>442</v>
      </c>
      <c r="T2768" s="16">
        <v>0</v>
      </c>
      <c r="U2768" s="17"/>
      <c r="V2768" s="12">
        <v>1667.2268907563034</v>
      </c>
      <c r="W2768" s="12">
        <v>1667.2268907563034</v>
      </c>
      <c r="X2768" s="12">
        <v>0</v>
      </c>
      <c r="Y2768" s="18">
        <v>45719</v>
      </c>
      <c r="Z2768" s="13" t="s">
        <v>501</v>
      </c>
      <c r="AA2768" s="19" t="str">
        <f>VLOOKUP(D2768,Clientes!$A$2:$J$486,9,FALSE)</f>
        <v>Familiar</v>
      </c>
      <c r="AB2768" s="13" t="str">
        <f>VLOOKUP(D2768,Clientes!$A$2:$K$486,11,FALSE)</f>
        <v>Persona Natural</v>
      </c>
      <c r="AC2768" s="13" t="str">
        <f>VLOOKUP(D2768,Clientes!$A$2:$B$486,2,FALSE)</f>
        <v>Familiar</v>
      </c>
      <c r="AD2768" s="20"/>
      <c r="AE2768" s="20"/>
      <c r="AF2768" s="13" t="s">
        <v>40</v>
      </c>
      <c r="AG2768" s="15">
        <v>45352</v>
      </c>
      <c r="AH2768" s="13" t="s">
        <v>41</v>
      </c>
      <c r="AI2768" s="13" t="s">
        <v>76</v>
      </c>
      <c r="AJ2768" s="13" t="str">
        <f>VLOOKUP(E2768,Precios!Z$2:AA$941,2,FALSE)</f>
        <v>CIF 750 cc</v>
      </c>
      <c r="AK2768" s="14">
        <f>VLOOKUP(E2768,Precios!Z$2:BB$941,3,FALSE)*F2768</f>
        <v>-2</v>
      </c>
      <c r="AL2768" s="17"/>
      <c r="AM2768" s="17"/>
      <c r="AN2768" s="17"/>
      <c r="AO2768" s="17"/>
      <c r="AP2768" s="17"/>
      <c r="AQ2768" s="17"/>
      <c r="AR2768" s="17"/>
      <c r="AS2768" s="17"/>
      <c r="AT2768" s="17"/>
      <c r="AU2768" s="17"/>
      <c r="AV2768" s="17"/>
    </row>
    <row r="2769" spans="1:48" ht="15.75" customHeight="1">
      <c r="A2769" s="21" t="s">
        <v>43</v>
      </c>
      <c r="B2769" s="23" t="s">
        <v>1692</v>
      </c>
      <c r="C2769" s="22">
        <v>45724</v>
      </c>
      <c r="D2769" s="23" t="s">
        <v>180</v>
      </c>
      <c r="E2769" s="23" t="s">
        <v>45</v>
      </c>
      <c r="F2769" s="21">
        <v>1</v>
      </c>
      <c r="G2769" s="12">
        <v>7600.0975431323541</v>
      </c>
      <c r="H2769" s="12">
        <v>7600.0975431323541</v>
      </c>
      <c r="I2769" s="23" t="s">
        <v>52</v>
      </c>
      <c r="J2769" s="23" t="s">
        <v>61</v>
      </c>
      <c r="K2769" s="24" t="s">
        <v>177</v>
      </c>
      <c r="L2769" s="24">
        <v>112</v>
      </c>
      <c r="M2769" s="12">
        <v>6386.6365908675243</v>
      </c>
      <c r="N2769" s="12">
        <v>6386.6365908675243</v>
      </c>
      <c r="O2769" s="12">
        <v>1213.4609522648298</v>
      </c>
      <c r="P2769" s="13"/>
      <c r="Q2769" s="14">
        <v>2025</v>
      </c>
      <c r="R2769" s="15">
        <v>45352</v>
      </c>
      <c r="S2769" s="11" t="s">
        <v>355</v>
      </c>
      <c r="T2769" s="16">
        <v>0</v>
      </c>
      <c r="U2769" s="17"/>
      <c r="V2769" s="12">
        <v>1148.6365908675243</v>
      </c>
      <c r="W2769" s="12">
        <v>1148.6365908675243</v>
      </c>
      <c r="X2769" s="12">
        <v>0</v>
      </c>
      <c r="Y2769" s="18">
        <v>45719</v>
      </c>
      <c r="Z2769" s="13" t="s">
        <v>501</v>
      </c>
      <c r="AA2769" s="19" t="str">
        <f>VLOOKUP(D2769,Clientes!$A$2:$J$486,9,FALSE)</f>
        <v>Familiar</v>
      </c>
      <c r="AB2769" s="13" t="str">
        <f>VLOOKUP(D2769,Clientes!$A$2:$K$486,11,FALSE)</f>
        <v>Persona Natural</v>
      </c>
      <c r="AC2769" s="13" t="str">
        <f>VLOOKUP(D2769,Clientes!$A$2:$B$486,2,FALSE)</f>
        <v>Familiar</v>
      </c>
      <c r="AD2769" s="20"/>
      <c r="AE2769" s="20"/>
      <c r="AF2769" s="13" t="s">
        <v>40</v>
      </c>
      <c r="AG2769" s="15">
        <v>45352</v>
      </c>
      <c r="AH2769" s="13" t="s">
        <v>41</v>
      </c>
      <c r="AI2769" s="13" t="s">
        <v>43</v>
      </c>
      <c r="AJ2769" s="13" t="str">
        <f>VLOOKUP(E2769,Precios!Z$2:AA$941,2,FALSE)</f>
        <v>Bandeja Huevos EXTRA</v>
      </c>
      <c r="AK2769" s="14">
        <f>VLOOKUP(E2769,Precios!Z$2:BB$941,3,FALSE)*F2769</f>
        <v>-1</v>
      </c>
      <c r="AL2769" s="17"/>
      <c r="AM2769" s="17"/>
      <c r="AN2769" s="17"/>
      <c r="AO2769" s="17"/>
      <c r="AP2769" s="17"/>
      <c r="AQ2769" s="17"/>
      <c r="AR2769" s="17"/>
      <c r="AS2769" s="17"/>
      <c r="AT2769" s="17"/>
      <c r="AU2769" s="17"/>
      <c r="AV2769" s="17"/>
    </row>
    <row r="2770" spans="1:48" ht="15.75" customHeight="1">
      <c r="A2770" s="21" t="s">
        <v>35</v>
      </c>
      <c r="B2770" s="23" t="s">
        <v>1692</v>
      </c>
      <c r="C2770" s="22">
        <v>45724</v>
      </c>
      <c r="D2770" s="23" t="s">
        <v>236</v>
      </c>
      <c r="E2770" s="23" t="s">
        <v>37</v>
      </c>
      <c r="F2770" s="21">
        <v>1</v>
      </c>
      <c r="G2770" s="12">
        <v>10500</v>
      </c>
      <c r="H2770" s="12">
        <v>10500</v>
      </c>
      <c r="I2770" s="23" t="s">
        <v>52</v>
      </c>
      <c r="J2770" s="23" t="s">
        <v>61</v>
      </c>
      <c r="K2770" s="24" t="s">
        <v>177</v>
      </c>
      <c r="L2770" s="24">
        <v>112</v>
      </c>
      <c r="M2770" s="12">
        <v>8823.5294117647063</v>
      </c>
      <c r="N2770" s="12">
        <v>8823.5294117647063</v>
      </c>
      <c r="O2770" s="12">
        <v>1676.4705882352937</v>
      </c>
      <c r="P2770" s="13"/>
      <c r="Q2770" s="14">
        <v>2025</v>
      </c>
      <c r="R2770" s="15">
        <v>45352</v>
      </c>
      <c r="S2770" s="11" t="s">
        <v>364</v>
      </c>
      <c r="T2770" s="16">
        <v>1000</v>
      </c>
      <c r="U2770" s="17"/>
      <c r="V2770" s="12">
        <v>2385.7142857142853</v>
      </c>
      <c r="W2770" s="12">
        <v>2385.7142857142853</v>
      </c>
      <c r="X2770" s="12">
        <v>0</v>
      </c>
      <c r="Y2770" s="18">
        <v>45719</v>
      </c>
      <c r="Z2770" s="13" t="s">
        <v>501</v>
      </c>
      <c r="AA2770" s="19" t="str">
        <f>VLOOKUP(D2770,Clientes!$A$2:$J$486,9,FALSE)</f>
        <v>Familiar</v>
      </c>
      <c r="AB2770" s="13" t="str">
        <f>VLOOKUP(D2770,Clientes!$A$2:$K$486,11,FALSE)</f>
        <v>Persona Natural</v>
      </c>
      <c r="AC2770" s="13" t="str">
        <f>VLOOKUP(D2770,Clientes!$A$2:$B$486,2,FALSE)</f>
        <v>Familiar</v>
      </c>
      <c r="AD2770" s="20"/>
      <c r="AE2770" s="20"/>
      <c r="AF2770" s="13" t="s">
        <v>40</v>
      </c>
      <c r="AG2770" s="15">
        <v>45352</v>
      </c>
      <c r="AH2770" s="13" t="s">
        <v>41</v>
      </c>
      <c r="AI2770" s="13" t="s">
        <v>35</v>
      </c>
      <c r="AJ2770" s="13" t="str">
        <f>VLOOKUP(E2770,Precios!Z$2:AA$941,2,FALSE)</f>
        <v>Queso RUNCA Mantecoso</v>
      </c>
      <c r="AK2770" s="14">
        <f>VLOOKUP(E2770,Precios!Z$2:BB$941,3,FALSE)*F2770</f>
        <v>-1</v>
      </c>
      <c r="AL2770" s="17"/>
      <c r="AM2770" s="17"/>
      <c r="AN2770" s="17"/>
      <c r="AO2770" s="17"/>
      <c r="AP2770" s="17"/>
      <c r="AQ2770" s="17"/>
      <c r="AR2770" s="17"/>
      <c r="AS2770" s="17"/>
      <c r="AT2770" s="17"/>
      <c r="AU2770" s="17"/>
      <c r="AV2770" s="17"/>
    </row>
    <row r="2771" spans="1:48" ht="15.75" customHeight="1">
      <c r="A2771" s="21" t="s">
        <v>47</v>
      </c>
      <c r="B2771" s="23" t="s">
        <v>1692</v>
      </c>
      <c r="C2771" s="22">
        <v>45724</v>
      </c>
      <c r="D2771" s="23" t="s">
        <v>236</v>
      </c>
      <c r="E2771" s="23" t="s">
        <v>306</v>
      </c>
      <c r="F2771" s="21">
        <v>1</v>
      </c>
      <c r="G2771" s="12">
        <v>8000.0000000000009</v>
      </c>
      <c r="H2771" s="12">
        <v>8000.0000000000009</v>
      </c>
      <c r="I2771" s="23" t="s">
        <v>52</v>
      </c>
      <c r="J2771" s="23" t="s">
        <v>61</v>
      </c>
      <c r="K2771" s="24" t="s">
        <v>177</v>
      </c>
      <c r="L2771" s="24">
        <v>112</v>
      </c>
      <c r="M2771" s="12">
        <v>6722.6890756302528</v>
      </c>
      <c r="N2771" s="12">
        <v>6722.6890756302528</v>
      </c>
      <c r="O2771" s="12">
        <v>1277.3109243697481</v>
      </c>
      <c r="P2771" s="13"/>
      <c r="Q2771" s="14">
        <v>2025</v>
      </c>
      <c r="R2771" s="15">
        <v>45352</v>
      </c>
      <c r="S2771" s="11" t="s">
        <v>372</v>
      </c>
      <c r="T2771" s="16">
        <v>0</v>
      </c>
      <c r="U2771" s="17"/>
      <c r="V2771" s="12">
        <v>1781.5126050420176</v>
      </c>
      <c r="W2771" s="12">
        <v>1781.5126050420176</v>
      </c>
      <c r="X2771" s="12">
        <v>0</v>
      </c>
      <c r="Y2771" s="18">
        <v>45719</v>
      </c>
      <c r="Z2771" s="13" t="s">
        <v>501</v>
      </c>
      <c r="AA2771" s="19" t="str">
        <f>VLOOKUP(D2771,Clientes!$A$2:$J$486,9,FALSE)</f>
        <v>Familiar</v>
      </c>
      <c r="AB2771" s="13" t="str">
        <f>VLOOKUP(D2771,Clientes!$A$2:$K$486,11,FALSE)</f>
        <v>Persona Natural</v>
      </c>
      <c r="AC2771" s="13" t="str">
        <f>VLOOKUP(D2771,Clientes!$A$2:$B$486,2,FALSE)</f>
        <v>Familiar</v>
      </c>
      <c r="AD2771" s="20"/>
      <c r="AE2771" s="20"/>
      <c r="AF2771" s="13" t="s">
        <v>40</v>
      </c>
      <c r="AG2771" s="15">
        <v>45352</v>
      </c>
      <c r="AH2771" s="13" t="s">
        <v>41</v>
      </c>
      <c r="AI2771" s="13" t="s">
        <v>47</v>
      </c>
      <c r="AJ2771" s="13" t="str">
        <f>VLOOKUP(E2771,Precios!Z$2:AA$941,2,FALSE)</f>
        <v>Traperos Humedos VIRGINIA</v>
      </c>
      <c r="AK2771" s="14">
        <f>VLOOKUP(E2771,Precios!Z$2:BB$941,3,FALSE)*F2771</f>
        <v>-3</v>
      </c>
      <c r="AL2771" s="17"/>
      <c r="AM2771" s="17"/>
      <c r="AN2771" s="17"/>
      <c r="AO2771" s="17"/>
      <c r="AP2771" s="17"/>
      <c r="AQ2771" s="17"/>
      <c r="AR2771" s="17"/>
      <c r="AS2771" s="17"/>
      <c r="AT2771" s="17"/>
      <c r="AU2771" s="17"/>
      <c r="AV2771" s="17"/>
    </row>
    <row r="2772" spans="1:48" ht="15.75" customHeight="1">
      <c r="A2772" s="21" t="s">
        <v>47</v>
      </c>
      <c r="B2772" s="23" t="s">
        <v>1692</v>
      </c>
      <c r="C2772" s="22">
        <v>45724</v>
      </c>
      <c r="D2772" s="23" t="s">
        <v>236</v>
      </c>
      <c r="E2772" s="23" t="s">
        <v>92</v>
      </c>
      <c r="F2772" s="21">
        <v>1</v>
      </c>
      <c r="G2772" s="12">
        <v>3400.2970989164628</v>
      </c>
      <c r="H2772" s="12">
        <v>3400.2970989164628</v>
      </c>
      <c r="I2772" s="23" t="s">
        <v>52</v>
      </c>
      <c r="J2772" s="23" t="s">
        <v>61</v>
      </c>
      <c r="K2772" s="24" t="s">
        <v>177</v>
      </c>
      <c r="L2772" s="24">
        <v>112</v>
      </c>
      <c r="M2772" s="12">
        <v>2857.3925200978679</v>
      </c>
      <c r="N2772" s="12">
        <v>2857.3925200978679</v>
      </c>
      <c r="O2772" s="12">
        <v>542.90457881859493</v>
      </c>
      <c r="P2772" s="13"/>
      <c r="Q2772" s="14">
        <v>2025</v>
      </c>
      <c r="R2772" s="15">
        <v>45352</v>
      </c>
      <c r="S2772" s="11" t="s">
        <v>453</v>
      </c>
      <c r="T2772" s="16">
        <v>0</v>
      </c>
      <c r="U2772" s="17"/>
      <c r="V2772" s="12">
        <v>1222.3925200978679</v>
      </c>
      <c r="W2772" s="12">
        <v>1222.3925200978679</v>
      </c>
      <c r="X2772" s="12">
        <v>0</v>
      </c>
      <c r="Y2772" s="18">
        <v>45719</v>
      </c>
      <c r="Z2772" s="13" t="s">
        <v>501</v>
      </c>
      <c r="AA2772" s="19" t="str">
        <f>VLOOKUP(D2772,Clientes!$A$2:$J$486,9,FALSE)</f>
        <v>Familiar</v>
      </c>
      <c r="AB2772" s="13" t="str">
        <f>VLOOKUP(D2772,Clientes!$A$2:$K$486,11,FALSE)</f>
        <v>Persona Natural</v>
      </c>
      <c r="AC2772" s="13" t="str">
        <f>VLOOKUP(D2772,Clientes!$A$2:$B$486,2,FALSE)</f>
        <v>Familiar</v>
      </c>
      <c r="AD2772" s="20"/>
      <c r="AE2772" s="20"/>
      <c r="AF2772" s="13" t="s">
        <v>40</v>
      </c>
      <c r="AG2772" s="15">
        <v>45352</v>
      </c>
      <c r="AH2772" s="13" t="s">
        <v>41</v>
      </c>
      <c r="AI2772" s="13" t="s">
        <v>47</v>
      </c>
      <c r="AJ2772" s="13" t="str">
        <f>VLOOKUP(E2772,Precios!Z$2:AA$941,2,FALSE)</f>
        <v xml:space="preserve">Bolsas Basura TEDDY 70x90 </v>
      </c>
      <c r="AK2772" s="14">
        <f>VLOOKUP(E2772,Precios!Z$2:BB$941,3,FALSE)*F2772</f>
        <v>-3</v>
      </c>
      <c r="AL2772" s="17"/>
      <c r="AM2772" s="17"/>
      <c r="AN2772" s="17"/>
      <c r="AO2772" s="17"/>
      <c r="AP2772" s="17"/>
      <c r="AQ2772" s="17"/>
      <c r="AR2772" s="17"/>
      <c r="AS2772" s="17"/>
      <c r="AT2772" s="17"/>
      <c r="AU2772" s="17"/>
      <c r="AV2772" s="17"/>
    </row>
    <row r="2773" spans="1:48" ht="15.75" customHeight="1">
      <c r="A2773" s="21" t="s">
        <v>47</v>
      </c>
      <c r="B2773" s="23" t="s">
        <v>1692</v>
      </c>
      <c r="C2773" s="22">
        <v>45724</v>
      </c>
      <c r="D2773" s="23" t="s">
        <v>236</v>
      </c>
      <c r="E2773" s="23" t="s">
        <v>336</v>
      </c>
      <c r="F2773" s="21">
        <v>1</v>
      </c>
      <c r="G2773" s="12">
        <v>2800</v>
      </c>
      <c r="H2773" s="12">
        <v>2800</v>
      </c>
      <c r="I2773" s="23" t="s">
        <v>52</v>
      </c>
      <c r="J2773" s="23" t="s">
        <v>61</v>
      </c>
      <c r="K2773" s="24" t="s">
        <v>177</v>
      </c>
      <c r="L2773" s="24">
        <v>112</v>
      </c>
      <c r="M2773" s="12">
        <v>2352.9411764705883</v>
      </c>
      <c r="N2773" s="12">
        <v>2352.9411764705883</v>
      </c>
      <c r="O2773" s="12">
        <v>447.05882352941171</v>
      </c>
      <c r="P2773" s="13"/>
      <c r="Q2773" s="14">
        <v>2025</v>
      </c>
      <c r="R2773" s="15">
        <v>45352</v>
      </c>
      <c r="S2773" s="11" t="s">
        <v>476</v>
      </c>
      <c r="T2773" s="16">
        <v>0</v>
      </c>
      <c r="U2773" s="17"/>
      <c r="V2773" s="12">
        <v>896.94117647058829</v>
      </c>
      <c r="W2773" s="12">
        <v>896.94117647058829</v>
      </c>
      <c r="X2773" s="12">
        <v>0</v>
      </c>
      <c r="Y2773" s="18">
        <v>45719</v>
      </c>
      <c r="Z2773" s="13" t="s">
        <v>501</v>
      </c>
      <c r="AA2773" s="19" t="str">
        <f>VLOOKUP(D2773,Clientes!$A$2:$J$486,9,FALSE)</f>
        <v>Familiar</v>
      </c>
      <c r="AB2773" s="13" t="str">
        <f>VLOOKUP(D2773,Clientes!$A$2:$K$486,11,FALSE)</f>
        <v>Persona Natural</v>
      </c>
      <c r="AC2773" s="13" t="str">
        <f>VLOOKUP(D2773,Clientes!$A$2:$B$486,2,FALSE)</f>
        <v>Familiar</v>
      </c>
      <c r="AD2773" s="20"/>
      <c r="AE2773" s="20"/>
      <c r="AF2773" s="13" t="s">
        <v>40</v>
      </c>
      <c r="AG2773" s="15">
        <v>45352</v>
      </c>
      <c r="AH2773" s="13" t="s">
        <v>41</v>
      </c>
      <c r="AI2773" s="13" t="s">
        <v>47</v>
      </c>
      <c r="AJ2773" s="13" t="str">
        <f>VLOOKUP(E2773,Precios!Z$2:AA$941,2,FALSE)</f>
        <v>Ambiental Tubo TEDDY</v>
      </c>
      <c r="AK2773" s="14">
        <f>VLOOKUP(E2773,Precios!Z$2:BB$941,3,FALSE)*F2773</f>
        <v>-2</v>
      </c>
      <c r="AL2773" s="17"/>
      <c r="AM2773" s="17"/>
      <c r="AN2773" s="17"/>
      <c r="AO2773" s="17"/>
      <c r="AP2773" s="17"/>
      <c r="AQ2773" s="17"/>
      <c r="AR2773" s="17"/>
      <c r="AS2773" s="17"/>
      <c r="AT2773" s="17"/>
      <c r="AU2773" s="17"/>
      <c r="AV2773" s="17"/>
    </row>
    <row r="2774" spans="1:48" ht="15.75" customHeight="1">
      <c r="A2774" s="21" t="s">
        <v>47</v>
      </c>
      <c r="B2774" s="23" t="s">
        <v>1692</v>
      </c>
      <c r="C2774" s="22">
        <v>45724</v>
      </c>
      <c r="D2774" s="23" t="s">
        <v>236</v>
      </c>
      <c r="E2774" s="23" t="s">
        <v>494</v>
      </c>
      <c r="F2774" s="21">
        <v>1</v>
      </c>
      <c r="G2774" s="12">
        <v>1599.7931747673217</v>
      </c>
      <c r="H2774" s="12">
        <v>1599.7931747673217</v>
      </c>
      <c r="I2774" s="23" t="s">
        <v>52</v>
      </c>
      <c r="J2774" s="23" t="s">
        <v>61</v>
      </c>
      <c r="K2774" s="24" t="s">
        <v>177</v>
      </c>
      <c r="L2774" s="24">
        <v>112</v>
      </c>
      <c r="M2774" s="12">
        <v>1344.3640124095141</v>
      </c>
      <c r="N2774" s="12">
        <v>1344.3640124095141</v>
      </c>
      <c r="O2774" s="12">
        <v>255.42916235780763</v>
      </c>
      <c r="P2774" s="13"/>
      <c r="Q2774" s="14">
        <v>2025</v>
      </c>
      <c r="R2774" s="15">
        <v>45352</v>
      </c>
      <c r="S2774" s="11" t="s">
        <v>495</v>
      </c>
      <c r="T2774" s="16">
        <v>0</v>
      </c>
      <c r="U2774" s="17"/>
      <c r="V2774" s="12">
        <v>369.36401240951409</v>
      </c>
      <c r="W2774" s="12">
        <v>369.36401240951409</v>
      </c>
      <c r="X2774" s="12">
        <v>0</v>
      </c>
      <c r="Y2774" s="18">
        <v>45719</v>
      </c>
      <c r="Z2774" s="13" t="s">
        <v>501</v>
      </c>
      <c r="AA2774" s="19" t="str">
        <f>VLOOKUP(D2774,Clientes!$A$2:$J$486,9,FALSE)</f>
        <v>Familiar</v>
      </c>
      <c r="AB2774" s="13" t="str">
        <f>VLOOKUP(D2774,Clientes!$A$2:$K$486,11,FALSE)</f>
        <v>Persona Natural</v>
      </c>
      <c r="AC2774" s="13" t="str">
        <f>VLOOKUP(D2774,Clientes!$A$2:$B$486,2,FALSE)</f>
        <v>Familiar</v>
      </c>
      <c r="AD2774" s="20"/>
      <c r="AE2774" s="20"/>
      <c r="AF2774" s="13" t="s">
        <v>40</v>
      </c>
      <c r="AG2774" s="15">
        <v>45352</v>
      </c>
      <c r="AH2774" s="13" t="s">
        <v>41</v>
      </c>
      <c r="AI2774" s="13" t="s">
        <v>47</v>
      </c>
      <c r="AJ2774" s="13" t="str">
        <f>VLOOKUP(E2774,Precios!Z$2:AA$941,2,FALSE)</f>
        <v>Cera Incolora Brillina</v>
      </c>
      <c r="AK2774" s="14">
        <f>VLOOKUP(E2774,Precios!Z$2:BB$941,3,FALSE)*F2774</f>
        <v>-1</v>
      </c>
      <c r="AL2774" s="17"/>
      <c r="AM2774" s="17"/>
      <c r="AN2774" s="17"/>
      <c r="AO2774" s="17"/>
      <c r="AP2774" s="17"/>
      <c r="AQ2774" s="17"/>
      <c r="AR2774" s="17"/>
      <c r="AS2774" s="17"/>
      <c r="AT2774" s="17"/>
      <c r="AU2774" s="17"/>
      <c r="AV2774" s="17"/>
    </row>
    <row r="2775" spans="1:48" ht="15.75" customHeight="1">
      <c r="A2775" s="21" t="s">
        <v>47</v>
      </c>
      <c r="B2775" s="23" t="s">
        <v>1692</v>
      </c>
      <c r="C2775" s="22">
        <v>45724</v>
      </c>
      <c r="D2775" s="23" t="s">
        <v>236</v>
      </c>
      <c r="E2775" s="23" t="s">
        <v>264</v>
      </c>
      <c r="F2775" s="21">
        <v>1</v>
      </c>
      <c r="G2775" s="12">
        <v>1599.7931747673217</v>
      </c>
      <c r="H2775" s="12">
        <v>1599.7931747673217</v>
      </c>
      <c r="I2775" s="23" t="s">
        <v>52</v>
      </c>
      <c r="J2775" s="23" t="s">
        <v>61</v>
      </c>
      <c r="K2775" s="24" t="s">
        <v>177</v>
      </c>
      <c r="L2775" s="24">
        <v>112</v>
      </c>
      <c r="M2775" s="12">
        <v>1344.3640124095141</v>
      </c>
      <c r="N2775" s="12">
        <v>1344.3640124095141</v>
      </c>
      <c r="O2775" s="12">
        <v>255.42916235780763</v>
      </c>
      <c r="P2775" s="13"/>
      <c r="Q2775" s="14">
        <v>2025</v>
      </c>
      <c r="R2775" s="15">
        <v>45352</v>
      </c>
      <c r="S2775" s="11" t="s">
        <v>495</v>
      </c>
      <c r="T2775" s="16">
        <v>0</v>
      </c>
      <c r="U2775" s="17"/>
      <c r="V2775" s="12">
        <v>369.36401240951409</v>
      </c>
      <c r="W2775" s="12">
        <v>369.36401240951409</v>
      </c>
      <c r="X2775" s="12">
        <v>0</v>
      </c>
      <c r="Y2775" s="18">
        <v>45719</v>
      </c>
      <c r="Z2775" s="13" t="s">
        <v>501</v>
      </c>
      <c r="AA2775" s="19" t="str">
        <f>VLOOKUP(D2775,Clientes!$A$2:$J$486,9,FALSE)</f>
        <v>Familiar</v>
      </c>
      <c r="AB2775" s="13" t="str">
        <f>VLOOKUP(D2775,Clientes!$A$2:$K$486,11,FALSE)</f>
        <v>Persona Natural</v>
      </c>
      <c r="AC2775" s="13" t="str">
        <f>VLOOKUP(D2775,Clientes!$A$2:$B$486,2,FALSE)</f>
        <v>Familiar</v>
      </c>
      <c r="AD2775" s="20"/>
      <c r="AE2775" s="20"/>
      <c r="AF2775" s="13" t="s">
        <v>40</v>
      </c>
      <c r="AG2775" s="15">
        <v>45352</v>
      </c>
      <c r="AH2775" s="13" t="s">
        <v>41</v>
      </c>
      <c r="AI2775" s="13" t="s">
        <v>47</v>
      </c>
      <c r="AJ2775" s="13" t="str">
        <f>VLOOKUP(E2775,Precios!Z$2:AA$941,2,FALSE)</f>
        <v>Cera Roja Brillina</v>
      </c>
      <c r="AK2775" s="14">
        <f>VLOOKUP(E2775,Precios!Z$2:BB$941,3,FALSE)*F2775</f>
        <v>-1</v>
      </c>
      <c r="AL2775" s="17"/>
      <c r="AM2775" s="17"/>
      <c r="AN2775" s="17"/>
      <c r="AO2775" s="17"/>
      <c r="AP2775" s="17"/>
      <c r="AQ2775" s="17"/>
      <c r="AR2775" s="17"/>
      <c r="AS2775" s="17"/>
      <c r="AT2775" s="17"/>
      <c r="AU2775" s="17"/>
      <c r="AV2775" s="17"/>
    </row>
    <row r="2776" spans="1:48" ht="15.75" customHeight="1">
      <c r="A2776" s="21" t="s">
        <v>47</v>
      </c>
      <c r="B2776" s="23" t="s">
        <v>1692</v>
      </c>
      <c r="C2776" s="22">
        <v>45724</v>
      </c>
      <c r="D2776" s="23" t="s">
        <v>236</v>
      </c>
      <c r="E2776" s="23" t="s">
        <v>204</v>
      </c>
      <c r="F2776" s="21">
        <v>2</v>
      </c>
      <c r="G2776" s="12">
        <v>1200.1927194860814</v>
      </c>
      <c r="H2776" s="12">
        <v>2400.3854389721628</v>
      </c>
      <c r="I2776" s="23" t="s">
        <v>52</v>
      </c>
      <c r="J2776" s="23" t="s">
        <v>61</v>
      </c>
      <c r="K2776" s="24" t="s">
        <v>177</v>
      </c>
      <c r="L2776" s="24">
        <v>112</v>
      </c>
      <c r="M2776" s="12">
        <v>1008.5653104925054</v>
      </c>
      <c r="N2776" s="12">
        <v>2017.1306209850109</v>
      </c>
      <c r="O2776" s="12">
        <v>383.25481798715191</v>
      </c>
      <c r="P2776" s="13"/>
      <c r="Q2776" s="14">
        <v>2025</v>
      </c>
      <c r="R2776" s="15">
        <v>45352</v>
      </c>
      <c r="S2776" s="11" t="s">
        <v>400</v>
      </c>
      <c r="T2776" s="16">
        <v>0</v>
      </c>
      <c r="U2776" s="17"/>
      <c r="V2776" s="12">
        <v>1075.1306209850109</v>
      </c>
      <c r="W2776" s="12">
        <v>1075.1306209850109</v>
      </c>
      <c r="X2776" s="12">
        <v>0</v>
      </c>
      <c r="Y2776" s="18">
        <v>45719</v>
      </c>
      <c r="Z2776" s="13" t="s">
        <v>501</v>
      </c>
      <c r="AA2776" s="19" t="str">
        <f>VLOOKUP(D2776,Clientes!$A$2:$J$486,9,FALSE)</f>
        <v>Familiar</v>
      </c>
      <c r="AB2776" s="13" t="str">
        <f>VLOOKUP(D2776,Clientes!$A$2:$K$486,11,FALSE)</f>
        <v>Persona Natural</v>
      </c>
      <c r="AC2776" s="13" t="str">
        <f>VLOOKUP(D2776,Clientes!$A$2:$B$486,2,FALSE)</f>
        <v>Familiar</v>
      </c>
      <c r="AD2776" s="20"/>
      <c r="AE2776" s="20"/>
      <c r="AF2776" s="13" t="s">
        <v>40</v>
      </c>
      <c r="AG2776" s="15">
        <v>45352</v>
      </c>
      <c r="AH2776" s="13" t="s">
        <v>41</v>
      </c>
      <c r="AI2776" s="13" t="s">
        <v>47</v>
      </c>
      <c r="AJ2776" s="13" t="str">
        <f>VLOOKUP(E2776,Precios!Z$2:AA$941,2,FALSE)</f>
        <v>Trapero Algodón TEDDY</v>
      </c>
      <c r="AK2776" s="14">
        <f>VLOOKUP(E2776,Precios!Z$2:BB$941,3,FALSE)*F2776</f>
        <v>-2</v>
      </c>
      <c r="AL2776" s="17"/>
      <c r="AM2776" s="17"/>
      <c r="AN2776" s="17"/>
      <c r="AO2776" s="17"/>
      <c r="AP2776" s="17"/>
      <c r="AQ2776" s="17"/>
      <c r="AR2776" s="17"/>
      <c r="AS2776" s="17"/>
      <c r="AT2776" s="17"/>
      <c r="AU2776" s="17"/>
      <c r="AV2776" s="17"/>
    </row>
    <row r="2777" spans="1:48" ht="15.75" customHeight="1">
      <c r="A2777" s="21" t="s">
        <v>76</v>
      </c>
      <c r="B2777" s="23" t="s">
        <v>1692</v>
      </c>
      <c r="C2777" s="22">
        <v>45724</v>
      </c>
      <c r="D2777" s="23" t="s">
        <v>236</v>
      </c>
      <c r="E2777" s="23" t="s">
        <v>481</v>
      </c>
      <c r="F2777" s="21">
        <v>1</v>
      </c>
      <c r="G2777" s="12">
        <v>1599.969512195122</v>
      </c>
      <c r="H2777" s="12">
        <v>1599.969512195122</v>
      </c>
      <c r="I2777" s="23" t="s">
        <v>52</v>
      </c>
      <c r="J2777" s="23" t="s">
        <v>61</v>
      </c>
      <c r="K2777" s="24" t="s">
        <v>177</v>
      </c>
      <c r="L2777" s="24">
        <v>112</v>
      </c>
      <c r="M2777" s="12">
        <v>1344.5121951219512</v>
      </c>
      <c r="N2777" s="12">
        <v>1344.5121951219512</v>
      </c>
      <c r="O2777" s="12">
        <v>255.45731707317077</v>
      </c>
      <c r="P2777" s="13"/>
      <c r="Q2777" s="14">
        <v>2025</v>
      </c>
      <c r="R2777" s="15">
        <v>45352</v>
      </c>
      <c r="S2777" s="11" t="s">
        <v>482</v>
      </c>
      <c r="T2777" s="16">
        <v>800</v>
      </c>
      <c r="U2777" s="17"/>
      <c r="V2777" s="12">
        <v>462.51219512195121</v>
      </c>
      <c r="W2777" s="12">
        <v>462.51219512195121</v>
      </c>
      <c r="X2777" s="12">
        <v>0</v>
      </c>
      <c r="Y2777" s="18">
        <v>45719</v>
      </c>
      <c r="Z2777" s="13" t="s">
        <v>501</v>
      </c>
      <c r="AA2777" s="19" t="str">
        <f>VLOOKUP(D2777,Clientes!$A$2:$J$486,9,FALSE)</f>
        <v>Familiar</v>
      </c>
      <c r="AB2777" s="13" t="str">
        <f>VLOOKUP(D2777,Clientes!$A$2:$K$486,11,FALSE)</f>
        <v>Persona Natural</v>
      </c>
      <c r="AC2777" s="13" t="str">
        <f>VLOOKUP(D2777,Clientes!$A$2:$B$486,2,FALSE)</f>
        <v>Familiar</v>
      </c>
      <c r="AD2777" s="20"/>
      <c r="AE2777" s="20"/>
      <c r="AF2777" s="13" t="s">
        <v>40</v>
      </c>
      <c r="AG2777" s="15">
        <v>45352</v>
      </c>
      <c r="AH2777" s="13" t="s">
        <v>41</v>
      </c>
      <c r="AI2777" s="13" t="s">
        <v>76</v>
      </c>
      <c r="AJ2777" s="13" t="str">
        <f>VLOOKUP(E2777,Precios!Z$2:AA$941,2,FALSE)</f>
        <v>Detergente BIO FRESCURA Bosque Nativo (Verde)</v>
      </c>
      <c r="AK2777" s="14">
        <f>VLOOKUP(E2777,Precios!Z$2:BB$941,3,FALSE)*F2777</f>
        <v>-1</v>
      </c>
      <c r="AL2777" s="17"/>
      <c r="AM2777" s="17"/>
      <c r="AN2777" s="17"/>
      <c r="AO2777" s="17"/>
      <c r="AP2777" s="17"/>
      <c r="AQ2777" s="17"/>
      <c r="AR2777" s="17"/>
      <c r="AS2777" s="17"/>
      <c r="AT2777" s="17"/>
      <c r="AU2777" s="17"/>
      <c r="AV2777" s="17"/>
    </row>
    <row r="2778" spans="1:48" ht="15.75" customHeight="1">
      <c r="A2778" s="21" t="s">
        <v>76</v>
      </c>
      <c r="B2778" s="23" t="s">
        <v>1692</v>
      </c>
      <c r="C2778" s="22">
        <v>45724</v>
      </c>
      <c r="D2778" s="23" t="s">
        <v>236</v>
      </c>
      <c r="E2778" s="23" t="s">
        <v>202</v>
      </c>
      <c r="F2778" s="21">
        <v>1</v>
      </c>
      <c r="G2778" s="12">
        <v>1500.2338716794634</v>
      </c>
      <c r="H2778" s="12">
        <v>1500.2338716794634</v>
      </c>
      <c r="I2778" s="23" t="s">
        <v>52</v>
      </c>
      <c r="J2778" s="23" t="s">
        <v>61</v>
      </c>
      <c r="K2778" s="24" t="s">
        <v>177</v>
      </c>
      <c r="L2778" s="24">
        <v>112</v>
      </c>
      <c r="M2778" s="12">
        <v>1260.7007325037507</v>
      </c>
      <c r="N2778" s="12">
        <v>1260.7007325037507</v>
      </c>
      <c r="O2778" s="12">
        <v>239.53313917571268</v>
      </c>
      <c r="P2778" s="13"/>
      <c r="Q2778" s="14">
        <v>2025</v>
      </c>
      <c r="R2778" s="15">
        <v>45352</v>
      </c>
      <c r="S2778" s="11" t="s">
        <v>448</v>
      </c>
      <c r="T2778" s="16">
        <v>0</v>
      </c>
      <c r="U2778" s="17"/>
      <c r="V2778" s="12">
        <v>546.45073250375071</v>
      </c>
      <c r="W2778" s="12">
        <v>546.45073250375071</v>
      </c>
      <c r="X2778" s="12">
        <v>0</v>
      </c>
      <c r="Y2778" s="18">
        <v>45719</v>
      </c>
      <c r="Z2778" s="13" t="s">
        <v>501</v>
      </c>
      <c r="AA2778" s="19" t="str">
        <f>VLOOKUP(D2778,Clientes!$A$2:$J$486,9,FALSE)</f>
        <v>Familiar</v>
      </c>
      <c r="AB2778" s="13" t="str">
        <f>VLOOKUP(D2778,Clientes!$A$2:$K$486,11,FALSE)</f>
        <v>Persona Natural</v>
      </c>
      <c r="AC2778" s="13" t="str">
        <f>VLOOKUP(D2778,Clientes!$A$2:$B$486,2,FALSE)</f>
        <v>Familiar</v>
      </c>
      <c r="AD2778" s="20"/>
      <c r="AE2778" s="20"/>
      <c r="AF2778" s="13" t="s">
        <v>40</v>
      </c>
      <c r="AG2778" s="15">
        <v>45352</v>
      </c>
      <c r="AH2778" s="13" t="s">
        <v>41</v>
      </c>
      <c r="AI2778" s="13" t="s">
        <v>76</v>
      </c>
      <c r="AJ2778" s="13" t="str">
        <f>VLOOKUP(E2778,Precios!Z$2:AA$941,2,FALSE)</f>
        <v>Cloro GEL EXCELL 900ml</v>
      </c>
      <c r="AK2778" s="14">
        <f>VLOOKUP(E2778,Precios!Z$2:BB$941,3,FALSE)*F2778</f>
        <v>-1</v>
      </c>
      <c r="AL2778" s="17"/>
      <c r="AM2778" s="17"/>
      <c r="AN2778" s="17"/>
      <c r="AO2778" s="17"/>
      <c r="AP2778" s="17"/>
      <c r="AQ2778" s="17"/>
      <c r="AR2778" s="17"/>
      <c r="AS2778" s="17"/>
      <c r="AT2778" s="17"/>
      <c r="AU2778" s="17"/>
      <c r="AV2778" s="17"/>
    </row>
    <row r="2779" spans="1:48" ht="15.75" customHeight="1">
      <c r="A2779" s="21" t="s">
        <v>43</v>
      </c>
      <c r="B2779" s="23" t="s">
        <v>1692</v>
      </c>
      <c r="C2779" s="25">
        <v>45723</v>
      </c>
      <c r="D2779" s="23" t="s">
        <v>115</v>
      </c>
      <c r="E2779" s="23" t="s">
        <v>45</v>
      </c>
      <c r="F2779" s="21">
        <v>1</v>
      </c>
      <c r="G2779" s="12">
        <v>7600.0975431323541</v>
      </c>
      <c r="H2779" s="12">
        <v>7600.0975431323541</v>
      </c>
      <c r="I2779" s="23" t="s">
        <v>52</v>
      </c>
      <c r="J2779" s="23" t="s">
        <v>61</v>
      </c>
      <c r="K2779" s="24" t="s">
        <v>177</v>
      </c>
      <c r="L2779" s="35">
        <v>111</v>
      </c>
      <c r="M2779" s="12">
        <v>6386.6365908675243</v>
      </c>
      <c r="N2779" s="12">
        <v>6386.6365908675243</v>
      </c>
      <c r="O2779" s="12">
        <v>1213.4609522648298</v>
      </c>
      <c r="P2779" s="13"/>
      <c r="Q2779" s="14">
        <v>2025</v>
      </c>
      <c r="R2779" s="15">
        <v>45352</v>
      </c>
      <c r="S2779" s="11" t="s">
        <v>355</v>
      </c>
      <c r="T2779" s="16">
        <v>0</v>
      </c>
      <c r="U2779" s="17"/>
      <c r="V2779" s="12">
        <v>1148.6365908675243</v>
      </c>
      <c r="W2779" s="12">
        <v>1148.6365908675243</v>
      </c>
      <c r="X2779" s="12">
        <v>0</v>
      </c>
      <c r="Y2779" s="18">
        <v>45719</v>
      </c>
      <c r="Z2779" s="13" t="s">
        <v>503</v>
      </c>
      <c r="AA2779" s="19" t="str">
        <f>VLOOKUP(D2779,Clientes!$A$2:$J$486,9,FALSE)</f>
        <v>Ocacional</v>
      </c>
      <c r="AB2779" s="13" t="str">
        <f>VLOOKUP(D2779,Clientes!$A$2:$K$486,11,FALSE)</f>
        <v>Persona Natural</v>
      </c>
      <c r="AC2779" s="13" t="str">
        <f>VLOOKUP(D2779,Clientes!$A$2:$B$486,2,FALSE)</f>
        <v>Jardines de la viña</v>
      </c>
      <c r="AD2779" s="20"/>
      <c r="AE2779" s="20"/>
      <c r="AF2779" s="13" t="s">
        <v>40</v>
      </c>
      <c r="AG2779" s="15">
        <v>45352</v>
      </c>
      <c r="AH2779" s="13" t="s">
        <v>41</v>
      </c>
      <c r="AI2779" s="13" t="s">
        <v>43</v>
      </c>
      <c r="AJ2779" s="13" t="str">
        <f>VLOOKUP(E2779,Precios!Z$2:AA$941,2,FALSE)</f>
        <v>Bandeja Huevos EXTRA</v>
      </c>
      <c r="AK2779" s="14">
        <f>VLOOKUP(E2779,Precios!Z$2:BB$941,3,FALSE)*F2779</f>
        <v>-1</v>
      </c>
      <c r="AL2779" s="17"/>
      <c r="AM2779" s="17"/>
      <c r="AN2779" s="17"/>
      <c r="AO2779" s="17"/>
      <c r="AP2779" s="17"/>
      <c r="AQ2779" s="17"/>
      <c r="AR2779" s="17"/>
      <c r="AS2779" s="17"/>
      <c r="AT2779" s="17"/>
      <c r="AU2779" s="17"/>
      <c r="AV2779" s="17"/>
    </row>
    <row r="2780" spans="1:48" ht="15.75" customHeight="1">
      <c r="A2780" s="21" t="s">
        <v>50</v>
      </c>
      <c r="B2780" s="23" t="s">
        <v>1692</v>
      </c>
      <c r="C2780" s="25">
        <v>45723</v>
      </c>
      <c r="D2780" s="23" t="s">
        <v>224</v>
      </c>
      <c r="E2780" s="23" t="s">
        <v>51</v>
      </c>
      <c r="F2780" s="21">
        <v>3</v>
      </c>
      <c r="G2780" s="12">
        <v>1000</v>
      </c>
      <c r="H2780" s="12">
        <v>3000</v>
      </c>
      <c r="I2780" s="23" t="s">
        <v>52</v>
      </c>
      <c r="J2780" s="23" t="s">
        <v>61</v>
      </c>
      <c r="K2780" s="24" t="s">
        <v>177</v>
      </c>
      <c r="L2780" s="24">
        <v>111</v>
      </c>
      <c r="M2780" s="12">
        <v>840.3361344537816</v>
      </c>
      <c r="N2780" s="12">
        <v>2521.0084033613448</v>
      </c>
      <c r="O2780" s="12">
        <v>478.99159663865521</v>
      </c>
      <c r="P2780" s="13"/>
      <c r="Q2780" s="14">
        <v>2025</v>
      </c>
      <c r="R2780" s="15">
        <v>45352</v>
      </c>
      <c r="S2780" s="11" t="s">
        <v>51</v>
      </c>
      <c r="T2780" s="16">
        <v>0</v>
      </c>
      <c r="U2780" s="17"/>
      <c r="V2780" s="12">
        <v>1449.579831932773</v>
      </c>
      <c r="W2780" s="12">
        <v>1449.579831932773</v>
      </c>
      <c r="X2780" s="12">
        <v>0</v>
      </c>
      <c r="Y2780" s="18">
        <v>45719</v>
      </c>
      <c r="Z2780" s="13" t="s">
        <v>503</v>
      </c>
      <c r="AA2780" s="19" t="str">
        <f>VLOOKUP(D2780,Clientes!$A$2:$J$486,9,FALSE)</f>
        <v>Ocacional</v>
      </c>
      <c r="AB2780" s="13" t="str">
        <f>VLOOKUP(D2780,Clientes!$A$2:$K$486,11,FALSE)</f>
        <v>Persona Natural</v>
      </c>
      <c r="AC2780" s="13" t="str">
        <f>VLOOKUP(D2780,Clientes!$A$2:$B$486,2,FALSE)</f>
        <v>Jardines de la Viña</v>
      </c>
      <c r="AD2780" s="20"/>
      <c r="AE2780" s="20"/>
      <c r="AF2780" s="13" t="s">
        <v>40</v>
      </c>
      <c r="AG2780" s="15">
        <v>45352</v>
      </c>
      <c r="AH2780" s="13" t="s">
        <v>41</v>
      </c>
      <c r="AI2780" s="13" t="s">
        <v>50</v>
      </c>
      <c r="AJ2780" s="13" t="str">
        <f>VLOOKUP(E2780,Precios!Z$2:AA$941,2,FALSE)</f>
        <v>Hielo 1 Kilo</v>
      </c>
      <c r="AK2780" s="14">
        <f>VLOOKUP(E2780,Precios!Z$2:BB$941,3,FALSE)*F2780</f>
        <v>-3</v>
      </c>
      <c r="AL2780" s="17"/>
      <c r="AM2780" s="17"/>
      <c r="AN2780" s="17"/>
      <c r="AO2780" s="17"/>
      <c r="AP2780" s="17"/>
      <c r="AQ2780" s="17"/>
      <c r="AR2780" s="17"/>
      <c r="AS2780" s="17"/>
      <c r="AT2780" s="17"/>
      <c r="AU2780" s="17"/>
      <c r="AV2780" s="17"/>
    </row>
    <row r="2781" spans="1:48" ht="15.75" customHeight="1">
      <c r="A2781" s="21" t="s">
        <v>53</v>
      </c>
      <c r="B2781" s="23" t="s">
        <v>1692</v>
      </c>
      <c r="C2781" s="25">
        <v>45723</v>
      </c>
      <c r="D2781" s="23" t="s">
        <v>152</v>
      </c>
      <c r="E2781" s="23" t="s">
        <v>280</v>
      </c>
      <c r="F2781" s="14">
        <v>1</v>
      </c>
      <c r="G2781" s="12">
        <v>13500.442251291839</v>
      </c>
      <c r="H2781" s="12">
        <v>13500.442251291839</v>
      </c>
      <c r="I2781" s="23" t="s">
        <v>52</v>
      </c>
      <c r="J2781" s="23" t="s">
        <v>61</v>
      </c>
      <c r="K2781" s="24" t="s">
        <v>177</v>
      </c>
      <c r="L2781" s="24">
        <v>111</v>
      </c>
      <c r="M2781" s="12">
        <v>11344.909454867093</v>
      </c>
      <c r="N2781" s="12">
        <v>11344.909454867093</v>
      </c>
      <c r="O2781" s="12">
        <v>2155.5327964247463</v>
      </c>
      <c r="P2781" s="13"/>
      <c r="Q2781" s="14">
        <v>2025</v>
      </c>
      <c r="R2781" s="15">
        <v>45352</v>
      </c>
      <c r="S2781" s="11" t="s">
        <v>381</v>
      </c>
      <c r="T2781" s="16">
        <v>300</v>
      </c>
      <c r="U2781" s="17"/>
      <c r="V2781" s="12">
        <v>4033.909454867091</v>
      </c>
      <c r="W2781" s="12">
        <v>4033.909454867091</v>
      </c>
      <c r="X2781" s="12">
        <v>0</v>
      </c>
      <c r="Y2781" s="18">
        <v>45719</v>
      </c>
      <c r="Z2781" s="13" t="s">
        <v>503</v>
      </c>
      <c r="AA2781" s="19" t="str">
        <f>VLOOKUP(D2781,Clientes!$A$2:$J$486,9,FALSE)</f>
        <v>Ocacional</v>
      </c>
      <c r="AB2781" s="13" t="str">
        <f>VLOOKUP(D2781,Clientes!$A$2:$K$486,11,FALSE)</f>
        <v>Persona Natural</v>
      </c>
      <c r="AC2781" s="13" t="str">
        <f>VLOOKUP(D2781,Clientes!$A$2:$B$486,2,FALSE)</f>
        <v>Jardines de la viña</v>
      </c>
      <c r="AD2781" s="20"/>
      <c r="AE2781" s="20"/>
      <c r="AF2781" s="13" t="s">
        <v>40</v>
      </c>
      <c r="AG2781" s="15">
        <v>45352</v>
      </c>
      <c r="AH2781" s="13" t="s">
        <v>41</v>
      </c>
      <c r="AI2781" s="13" t="s">
        <v>53</v>
      </c>
      <c r="AJ2781" s="13" t="str">
        <f>VLOOKUP(E2781,Precios!Z$2:AA$941,2,FALSE)</f>
        <v>Servilletas SOFTQUALITY 300 unidades</v>
      </c>
      <c r="AK2781" s="14">
        <f>VLOOKUP(E2781,Precios!Z$2:BB$941,3,FALSE)*F2781</f>
        <v>-10</v>
      </c>
      <c r="AL2781" s="17"/>
      <c r="AM2781" s="17"/>
      <c r="AN2781" s="17"/>
      <c r="AO2781" s="17"/>
      <c r="AP2781" s="17"/>
      <c r="AQ2781" s="17"/>
      <c r="AR2781" s="17"/>
      <c r="AS2781" s="17"/>
      <c r="AT2781" s="17"/>
      <c r="AU2781" s="17"/>
      <c r="AV2781" s="17"/>
    </row>
    <row r="2782" spans="1:48" ht="15.75" customHeight="1">
      <c r="A2782" s="21" t="s">
        <v>35</v>
      </c>
      <c r="B2782" s="23" t="s">
        <v>1692</v>
      </c>
      <c r="C2782" s="22">
        <v>45723</v>
      </c>
      <c r="D2782" s="23" t="s">
        <v>122</v>
      </c>
      <c r="E2782" s="23" t="s">
        <v>37</v>
      </c>
      <c r="F2782" s="21">
        <v>1</v>
      </c>
      <c r="G2782" s="12">
        <v>10500</v>
      </c>
      <c r="H2782" s="12">
        <v>10500</v>
      </c>
      <c r="I2782" s="23" t="s">
        <v>52</v>
      </c>
      <c r="J2782" s="23" t="s">
        <v>61</v>
      </c>
      <c r="K2782" s="24" t="s">
        <v>177</v>
      </c>
      <c r="L2782" s="24">
        <v>111</v>
      </c>
      <c r="M2782" s="12">
        <v>8823.5294117647063</v>
      </c>
      <c r="N2782" s="12">
        <v>8823.5294117647063</v>
      </c>
      <c r="O2782" s="12">
        <v>1676.4705882352937</v>
      </c>
      <c r="P2782" s="13"/>
      <c r="Q2782" s="14">
        <v>2025</v>
      </c>
      <c r="R2782" s="15">
        <v>45352</v>
      </c>
      <c r="S2782" s="11" t="s">
        <v>364</v>
      </c>
      <c r="T2782" s="16">
        <v>1000</v>
      </c>
      <c r="U2782" s="17"/>
      <c r="V2782" s="12">
        <v>2385.7142857142853</v>
      </c>
      <c r="W2782" s="12">
        <v>2385.7142857142853</v>
      </c>
      <c r="X2782" s="12">
        <v>0</v>
      </c>
      <c r="Y2782" s="18">
        <v>45719</v>
      </c>
      <c r="Z2782" s="13" t="s">
        <v>503</v>
      </c>
      <c r="AA2782" s="19" t="str">
        <f>VLOOKUP(D2782,Clientes!$A$2:$J$486,9,FALSE)</f>
        <v>Frecuente</v>
      </c>
      <c r="AB2782" s="13" t="str">
        <f>VLOOKUP(D2782,Clientes!$A$2:$K$486,11,FALSE)</f>
        <v>Persona Natural</v>
      </c>
      <c r="AC2782" s="13" t="str">
        <f>VLOOKUP(D2782,Clientes!$A$2:$B$486,2,FALSE)</f>
        <v>Jardines de la Viña</v>
      </c>
      <c r="AD2782" s="20"/>
      <c r="AE2782" s="20"/>
      <c r="AF2782" s="13" t="s">
        <v>40</v>
      </c>
      <c r="AG2782" s="15">
        <v>45352</v>
      </c>
      <c r="AH2782" s="13" t="s">
        <v>41</v>
      </c>
      <c r="AI2782" s="13" t="s">
        <v>35</v>
      </c>
      <c r="AJ2782" s="13" t="str">
        <f>VLOOKUP(E2782,Precios!Z$2:AA$941,2,FALSE)</f>
        <v>Queso RUNCA Mantecoso</v>
      </c>
      <c r="AK2782" s="14">
        <f>VLOOKUP(E2782,Precios!Z$2:BB$941,3,FALSE)*F2782</f>
        <v>-1</v>
      </c>
      <c r="AL2782" s="17"/>
      <c r="AM2782" s="17"/>
      <c r="AN2782" s="17"/>
      <c r="AO2782" s="17"/>
      <c r="AP2782" s="17"/>
      <c r="AQ2782" s="17"/>
      <c r="AR2782" s="17"/>
      <c r="AS2782" s="17"/>
      <c r="AT2782" s="17"/>
      <c r="AU2782" s="17"/>
      <c r="AV2782" s="17"/>
    </row>
    <row r="2783" spans="1:48" ht="15.75" customHeight="1">
      <c r="A2783" s="21" t="s">
        <v>35</v>
      </c>
      <c r="B2783" s="23" t="s">
        <v>1692</v>
      </c>
      <c r="C2783" s="22">
        <v>45723</v>
      </c>
      <c r="D2783" s="23" t="s">
        <v>180</v>
      </c>
      <c r="E2783" s="23" t="s">
        <v>37</v>
      </c>
      <c r="F2783" s="21">
        <v>1</v>
      </c>
      <c r="G2783" s="12">
        <v>10500</v>
      </c>
      <c r="H2783" s="12">
        <v>10500</v>
      </c>
      <c r="I2783" s="23" t="s">
        <v>52</v>
      </c>
      <c r="J2783" s="23" t="s">
        <v>61</v>
      </c>
      <c r="K2783" s="24" t="s">
        <v>177</v>
      </c>
      <c r="L2783" s="24">
        <v>111</v>
      </c>
      <c r="M2783" s="12">
        <v>8823.5294117647063</v>
      </c>
      <c r="N2783" s="12">
        <v>8823.5294117647063</v>
      </c>
      <c r="O2783" s="12">
        <v>1676.4705882352937</v>
      </c>
      <c r="P2783" s="13"/>
      <c r="Q2783" s="14">
        <v>2025</v>
      </c>
      <c r="R2783" s="15">
        <v>45352</v>
      </c>
      <c r="S2783" s="11" t="s">
        <v>364</v>
      </c>
      <c r="T2783" s="16">
        <v>1000</v>
      </c>
      <c r="U2783" s="17"/>
      <c r="V2783" s="12">
        <v>2385.7142857142853</v>
      </c>
      <c r="W2783" s="12">
        <v>2385.7142857142853</v>
      </c>
      <c r="X2783" s="12">
        <v>0</v>
      </c>
      <c r="Y2783" s="18">
        <v>45719</v>
      </c>
      <c r="Z2783" s="13" t="s">
        <v>503</v>
      </c>
      <c r="AA2783" s="19" t="str">
        <f>VLOOKUP(D2783,Clientes!$A$2:$J$486,9,FALSE)</f>
        <v>Familiar</v>
      </c>
      <c r="AB2783" s="13" t="str">
        <f>VLOOKUP(D2783,Clientes!$A$2:$K$486,11,FALSE)</f>
        <v>Persona Natural</v>
      </c>
      <c r="AC2783" s="13" t="str">
        <f>VLOOKUP(D2783,Clientes!$A$2:$B$486,2,FALSE)</f>
        <v>Familiar</v>
      </c>
      <c r="AD2783" s="20"/>
      <c r="AE2783" s="20"/>
      <c r="AF2783" s="13" t="s">
        <v>40</v>
      </c>
      <c r="AG2783" s="15">
        <v>45352</v>
      </c>
      <c r="AH2783" s="13" t="s">
        <v>41</v>
      </c>
      <c r="AI2783" s="13" t="s">
        <v>35</v>
      </c>
      <c r="AJ2783" s="13" t="str">
        <f>VLOOKUP(E2783,Precios!Z$2:AA$941,2,FALSE)</f>
        <v>Queso RUNCA Mantecoso</v>
      </c>
      <c r="AK2783" s="14">
        <f>VLOOKUP(E2783,Precios!Z$2:BB$941,3,FALSE)*F2783</f>
        <v>-1</v>
      </c>
      <c r="AL2783" s="17"/>
      <c r="AM2783" s="17"/>
      <c r="AN2783" s="17"/>
      <c r="AO2783" s="17"/>
      <c r="AP2783" s="17"/>
      <c r="AQ2783" s="17"/>
      <c r="AR2783" s="17"/>
      <c r="AS2783" s="17"/>
      <c r="AT2783" s="17"/>
      <c r="AU2783" s="17"/>
      <c r="AV2783" s="17"/>
    </row>
    <row r="2784" spans="1:48" ht="15.75" customHeight="1">
      <c r="A2784" s="21" t="s">
        <v>53</v>
      </c>
      <c r="B2784" s="23" t="s">
        <v>1692</v>
      </c>
      <c r="C2784" s="22">
        <v>45723</v>
      </c>
      <c r="D2784" s="23" t="s">
        <v>731</v>
      </c>
      <c r="E2784" s="23" t="s">
        <v>192</v>
      </c>
      <c r="F2784" s="21">
        <v>1</v>
      </c>
      <c r="G2784" s="12">
        <v>15990.211345939933</v>
      </c>
      <c r="H2784" s="12">
        <v>15990.211345939933</v>
      </c>
      <c r="I2784" s="23" t="s">
        <v>52</v>
      </c>
      <c r="J2784" s="23" t="s">
        <v>61</v>
      </c>
      <c r="K2784" s="24" t="s">
        <v>177</v>
      </c>
      <c r="L2784" s="24">
        <v>111</v>
      </c>
      <c r="M2784" s="12">
        <v>13437.152391546164</v>
      </c>
      <c r="N2784" s="12">
        <v>13437.152391546164</v>
      </c>
      <c r="O2784" s="12">
        <v>2553.0589543937695</v>
      </c>
      <c r="P2784" s="13"/>
      <c r="Q2784" s="14">
        <v>2025</v>
      </c>
      <c r="R2784" s="15">
        <v>45352</v>
      </c>
      <c r="S2784" s="11" t="s">
        <v>435</v>
      </c>
      <c r="T2784" s="16">
        <v>0</v>
      </c>
      <c r="U2784" s="17"/>
      <c r="V2784" s="12">
        <v>3773.1523915461621</v>
      </c>
      <c r="W2784" s="12">
        <v>3773.1523915461621</v>
      </c>
      <c r="X2784" s="12">
        <v>0</v>
      </c>
      <c r="Y2784" s="18">
        <v>45719</v>
      </c>
      <c r="Z2784" s="13" t="s">
        <v>503</v>
      </c>
      <c r="AA2784" s="19" t="str">
        <f>VLOOKUP(D2784,Clientes!$A$2:$J$486,9,FALSE)</f>
        <v>Ocacional</v>
      </c>
      <c r="AB2784" s="13" t="str">
        <f>VLOOKUP(D2784,Clientes!$A$2:$K$486,11,FALSE)</f>
        <v>Persona Natural</v>
      </c>
      <c r="AC2784" s="13" t="str">
        <f>VLOOKUP(D2784,Clientes!$A$2:$B$486,2,FALSE)</f>
        <v>Jardin Alto</v>
      </c>
      <c r="AD2784" s="20"/>
      <c r="AE2784" s="20"/>
      <c r="AF2784" s="13" t="s">
        <v>40</v>
      </c>
      <c r="AG2784" s="15">
        <v>45352</v>
      </c>
      <c r="AH2784" s="13" t="s">
        <v>41</v>
      </c>
      <c r="AI2784" s="13" t="s">
        <v>53</v>
      </c>
      <c r="AJ2784" s="13" t="str">
        <f>VLOOKUP(E2784,Precios!Z$2:AA$941,2,FALSE)</f>
        <v>Papel Higienico SWAN 400 hojas</v>
      </c>
      <c r="AK2784" s="14">
        <f>VLOOKUP(E2784,Precios!Z$2:BB$941,3,FALSE)*F2784</f>
        <v>-8</v>
      </c>
      <c r="AL2784" s="17"/>
      <c r="AM2784" s="17"/>
      <c r="AN2784" s="17"/>
      <c r="AO2784" s="17"/>
      <c r="AP2784" s="17"/>
      <c r="AQ2784" s="17"/>
      <c r="AR2784" s="17"/>
      <c r="AS2784" s="17"/>
      <c r="AT2784" s="17"/>
      <c r="AU2784" s="17"/>
      <c r="AV2784" s="17"/>
    </row>
    <row r="2785" spans="1:48" ht="15.75" customHeight="1">
      <c r="A2785" s="21" t="s">
        <v>53</v>
      </c>
      <c r="B2785" s="23" t="s">
        <v>1692</v>
      </c>
      <c r="C2785" s="22">
        <v>45723</v>
      </c>
      <c r="D2785" s="23" t="s">
        <v>731</v>
      </c>
      <c r="E2785" s="23" t="s">
        <v>114</v>
      </c>
      <c r="F2785" s="21">
        <v>1</v>
      </c>
      <c r="G2785" s="12">
        <v>10500</v>
      </c>
      <c r="H2785" s="12">
        <v>10500</v>
      </c>
      <c r="I2785" s="23" t="s">
        <v>52</v>
      </c>
      <c r="J2785" s="23" t="s">
        <v>61</v>
      </c>
      <c r="K2785" s="24" t="s">
        <v>177</v>
      </c>
      <c r="L2785" s="24">
        <v>111</v>
      </c>
      <c r="M2785" s="12">
        <v>8823.5294117647063</v>
      </c>
      <c r="N2785" s="12">
        <v>8823.5294117647063</v>
      </c>
      <c r="O2785" s="12">
        <v>1676.4705882352937</v>
      </c>
      <c r="P2785" s="13"/>
      <c r="Q2785" s="14">
        <v>2025</v>
      </c>
      <c r="R2785" s="15">
        <v>45352</v>
      </c>
      <c r="S2785" s="11" t="s">
        <v>369</v>
      </c>
      <c r="T2785" s="16">
        <v>0</v>
      </c>
      <c r="U2785" s="17"/>
      <c r="V2785" s="12">
        <v>2403.3613445378151</v>
      </c>
      <c r="W2785" s="12">
        <v>2403.3613445378151</v>
      </c>
      <c r="X2785" s="12">
        <v>0</v>
      </c>
      <c r="Y2785" s="18">
        <v>45719</v>
      </c>
      <c r="Z2785" s="13" t="s">
        <v>503</v>
      </c>
      <c r="AA2785" s="19" t="str">
        <f>VLOOKUP(D2785,Clientes!$A$2:$J$486,9,FALSE)</f>
        <v>Ocacional</v>
      </c>
      <c r="AB2785" s="13" t="str">
        <f>VLOOKUP(D2785,Clientes!$A$2:$K$486,11,FALSE)</f>
        <v>Persona Natural</v>
      </c>
      <c r="AC2785" s="13" t="str">
        <f>VLOOKUP(D2785,Clientes!$A$2:$B$486,2,FALSE)</f>
        <v>Jardin Alto</v>
      </c>
      <c r="AD2785" s="20"/>
      <c r="AE2785" s="20"/>
      <c r="AF2785" s="13" t="s">
        <v>40</v>
      </c>
      <c r="AG2785" s="15">
        <v>45352</v>
      </c>
      <c r="AH2785" s="13" t="s">
        <v>41</v>
      </c>
      <c r="AI2785" s="13" t="s">
        <v>53</v>
      </c>
      <c r="AJ2785" s="13" t="str">
        <f>VLOOKUP(E2785,Precios!Z$2:AA$941,2,FALSE)</f>
        <v>Toalla Papel NOVA 12 metros</v>
      </c>
      <c r="AK2785" s="14">
        <f>VLOOKUP(E2785,Precios!Z$2:BB$941,3,FALSE)*F2785</f>
        <v>-8</v>
      </c>
      <c r="AL2785" s="17"/>
      <c r="AM2785" s="17"/>
      <c r="AN2785" s="17"/>
      <c r="AO2785" s="17"/>
      <c r="AP2785" s="17"/>
      <c r="AQ2785" s="17"/>
      <c r="AR2785" s="17"/>
      <c r="AS2785" s="17"/>
      <c r="AT2785" s="17"/>
      <c r="AU2785" s="17"/>
      <c r="AV2785" s="17"/>
    </row>
    <row r="2786" spans="1:48" ht="15.75" customHeight="1">
      <c r="A2786" s="21" t="s">
        <v>53</v>
      </c>
      <c r="B2786" s="23" t="s">
        <v>1692</v>
      </c>
      <c r="C2786" s="22">
        <v>45723</v>
      </c>
      <c r="D2786" s="23" t="s">
        <v>731</v>
      </c>
      <c r="E2786" s="23" t="s">
        <v>70</v>
      </c>
      <c r="F2786" s="21">
        <v>1</v>
      </c>
      <c r="G2786" s="12">
        <v>5000.3257328990221</v>
      </c>
      <c r="H2786" s="12">
        <v>5000.3257328990221</v>
      </c>
      <c r="I2786" s="23" t="s">
        <v>52</v>
      </c>
      <c r="J2786" s="23" t="s">
        <v>61</v>
      </c>
      <c r="K2786" s="24" t="s">
        <v>177</v>
      </c>
      <c r="L2786" s="24">
        <v>111</v>
      </c>
      <c r="M2786" s="12">
        <v>4201.9543973941363</v>
      </c>
      <c r="N2786" s="12">
        <v>4201.9543973941363</v>
      </c>
      <c r="O2786" s="12">
        <v>798.37133550488579</v>
      </c>
      <c r="P2786" s="13"/>
      <c r="Q2786" s="14">
        <v>2025</v>
      </c>
      <c r="R2786" s="15">
        <v>45352</v>
      </c>
      <c r="S2786" s="11" t="s">
        <v>381</v>
      </c>
      <c r="T2786" s="16">
        <v>300</v>
      </c>
      <c r="U2786" s="17"/>
      <c r="V2786" s="12">
        <v>2008.9543973941363</v>
      </c>
      <c r="W2786" s="12">
        <v>2008.9543973941363</v>
      </c>
      <c r="X2786" s="12">
        <v>0</v>
      </c>
      <c r="Y2786" s="18">
        <v>45719</v>
      </c>
      <c r="Z2786" s="13" t="s">
        <v>503</v>
      </c>
      <c r="AA2786" s="19" t="str">
        <f>VLOOKUP(D2786,Clientes!$A$2:$J$486,9,FALSE)</f>
        <v>Ocacional</v>
      </c>
      <c r="AB2786" s="13" t="str">
        <f>VLOOKUP(D2786,Clientes!$A$2:$K$486,11,FALSE)</f>
        <v>Persona Natural</v>
      </c>
      <c r="AC2786" s="13" t="str">
        <f>VLOOKUP(D2786,Clientes!$A$2:$B$486,2,FALSE)</f>
        <v>Jardin Alto</v>
      </c>
      <c r="AD2786" s="20"/>
      <c r="AE2786" s="20"/>
      <c r="AF2786" s="13" t="s">
        <v>40</v>
      </c>
      <c r="AG2786" s="15">
        <v>45352</v>
      </c>
      <c r="AH2786" s="13" t="s">
        <v>41</v>
      </c>
      <c r="AI2786" s="13" t="s">
        <v>53</v>
      </c>
      <c r="AJ2786" s="13" t="str">
        <f>VLOOKUP(E2786,Precios!Z$2:AA$941,2,FALSE)</f>
        <v>Servilletas SOFTQUALITY 300 unidades</v>
      </c>
      <c r="AK2786" s="14">
        <f>VLOOKUP(E2786,Precios!Z$2:BB$941,3,FALSE)*F2786</f>
        <v>-3</v>
      </c>
      <c r="AL2786" s="17"/>
      <c r="AM2786" s="17"/>
      <c r="AN2786" s="17"/>
      <c r="AO2786" s="17"/>
      <c r="AP2786" s="17"/>
      <c r="AQ2786" s="17"/>
      <c r="AR2786" s="17"/>
      <c r="AS2786" s="17"/>
      <c r="AT2786" s="17"/>
      <c r="AU2786" s="17"/>
      <c r="AV2786" s="17"/>
    </row>
    <row r="2787" spans="1:48" ht="15.75" customHeight="1">
      <c r="A2787" s="21" t="s">
        <v>76</v>
      </c>
      <c r="B2787" s="23" t="s">
        <v>1692</v>
      </c>
      <c r="C2787" s="22">
        <v>45723</v>
      </c>
      <c r="D2787" s="23" t="s">
        <v>731</v>
      </c>
      <c r="E2787" s="23" t="s">
        <v>212</v>
      </c>
      <c r="F2787" s="21">
        <v>2</v>
      </c>
      <c r="G2787" s="12">
        <v>3000.0000000000005</v>
      </c>
      <c r="H2787" s="12">
        <v>6000.0000000000009</v>
      </c>
      <c r="I2787" s="23" t="s">
        <v>52</v>
      </c>
      <c r="J2787" s="23" t="s">
        <v>61</v>
      </c>
      <c r="K2787" s="24" t="s">
        <v>177</v>
      </c>
      <c r="L2787" s="24">
        <v>111</v>
      </c>
      <c r="M2787" s="12">
        <v>2521.0084033613452</v>
      </c>
      <c r="N2787" s="12">
        <v>5042.0168067226905</v>
      </c>
      <c r="O2787" s="12">
        <v>957.98319327731042</v>
      </c>
      <c r="P2787" s="13"/>
      <c r="Q2787" s="14">
        <v>2025</v>
      </c>
      <c r="R2787" s="15">
        <v>45352</v>
      </c>
      <c r="S2787" s="11" t="s">
        <v>446</v>
      </c>
      <c r="T2787" s="16">
        <v>10</v>
      </c>
      <c r="U2787" s="17"/>
      <c r="V2787" s="12">
        <v>1529.4117647058829</v>
      </c>
      <c r="W2787" s="12">
        <v>1529.4117647058829</v>
      </c>
      <c r="X2787" s="12">
        <v>0</v>
      </c>
      <c r="Y2787" s="18">
        <v>45719</v>
      </c>
      <c r="Z2787" s="13" t="s">
        <v>503</v>
      </c>
      <c r="AA2787" s="19" t="str">
        <f>VLOOKUP(D2787,Clientes!$A$2:$J$486,9,FALSE)</f>
        <v>Ocacional</v>
      </c>
      <c r="AB2787" s="13" t="str">
        <f>VLOOKUP(D2787,Clientes!$A$2:$K$486,11,FALSE)</f>
        <v>Persona Natural</v>
      </c>
      <c r="AC2787" s="13" t="str">
        <f>VLOOKUP(D2787,Clientes!$A$2:$B$486,2,FALSE)</f>
        <v>Jardin Alto</v>
      </c>
      <c r="AD2787" s="20"/>
      <c r="AE2787" s="20"/>
      <c r="AF2787" s="13" t="s">
        <v>40</v>
      </c>
      <c r="AG2787" s="15">
        <v>45352</v>
      </c>
      <c r="AH2787" s="13" t="s">
        <v>41</v>
      </c>
      <c r="AI2787" s="13" t="s">
        <v>76</v>
      </c>
      <c r="AJ2787" s="13" t="str">
        <f>VLOOKUP(E2787,Precios!Z$2:AA$941,2,FALSE)</f>
        <v>Suavizante SPUM 5 Litros</v>
      </c>
      <c r="AK2787" s="14">
        <f>VLOOKUP(E2787,Precios!Z$2:BB$941,3,FALSE)*F2787</f>
        <v>-2</v>
      </c>
      <c r="AL2787" s="17"/>
      <c r="AM2787" s="17"/>
      <c r="AN2787" s="17"/>
      <c r="AO2787" s="17"/>
      <c r="AP2787" s="17"/>
      <c r="AQ2787" s="17"/>
      <c r="AR2787" s="17"/>
      <c r="AS2787" s="17"/>
      <c r="AT2787" s="17"/>
      <c r="AU2787" s="17"/>
      <c r="AV2787" s="17"/>
    </row>
    <row r="2788" spans="1:48" ht="15.75" customHeight="1">
      <c r="A2788" s="21" t="s">
        <v>47</v>
      </c>
      <c r="B2788" s="23" t="s">
        <v>1692</v>
      </c>
      <c r="C2788" s="22">
        <v>45723</v>
      </c>
      <c r="D2788" s="23" t="s">
        <v>731</v>
      </c>
      <c r="E2788" s="23" t="s">
        <v>143</v>
      </c>
      <c r="F2788" s="21">
        <v>2</v>
      </c>
      <c r="G2788" s="12">
        <v>2999.9379074821477</v>
      </c>
      <c r="H2788" s="12">
        <v>5999.8758149642954</v>
      </c>
      <c r="I2788" s="23" t="s">
        <v>52</v>
      </c>
      <c r="J2788" s="23" t="s">
        <v>61</v>
      </c>
      <c r="K2788" s="24" t="s">
        <v>177</v>
      </c>
      <c r="L2788" s="24">
        <v>111</v>
      </c>
      <c r="M2788" s="12">
        <v>2520.9562247749141</v>
      </c>
      <c r="N2788" s="12">
        <v>5041.9124495498281</v>
      </c>
      <c r="O2788" s="12">
        <v>957.96336541446726</v>
      </c>
      <c r="P2788" s="13"/>
      <c r="Q2788" s="14">
        <v>2025</v>
      </c>
      <c r="R2788" s="15">
        <v>45352</v>
      </c>
      <c r="S2788" s="11" t="s">
        <v>414</v>
      </c>
      <c r="T2788" s="16">
        <v>0</v>
      </c>
      <c r="U2788" s="17"/>
      <c r="V2788" s="12">
        <v>3417.9124495498281</v>
      </c>
      <c r="W2788" s="12">
        <v>3417.9124495498281</v>
      </c>
      <c r="X2788" s="12">
        <v>0</v>
      </c>
      <c r="Y2788" s="18">
        <v>45719</v>
      </c>
      <c r="Z2788" s="13" t="s">
        <v>503</v>
      </c>
      <c r="AA2788" s="19" t="str">
        <f>VLOOKUP(D2788,Clientes!$A$2:$J$486,9,FALSE)</f>
        <v>Ocacional</v>
      </c>
      <c r="AB2788" s="13" t="str">
        <f>VLOOKUP(D2788,Clientes!$A$2:$K$486,11,FALSE)</f>
        <v>Persona Natural</v>
      </c>
      <c r="AC2788" s="13" t="str">
        <f>VLOOKUP(D2788,Clientes!$A$2:$B$486,2,FALSE)</f>
        <v>Jardin Alto</v>
      </c>
      <c r="AD2788" s="20"/>
      <c r="AE2788" s="20"/>
      <c r="AF2788" s="13" t="s">
        <v>40</v>
      </c>
      <c r="AG2788" s="15">
        <v>45352</v>
      </c>
      <c r="AH2788" s="13" t="s">
        <v>41</v>
      </c>
      <c r="AI2788" s="13" t="s">
        <v>47</v>
      </c>
      <c r="AJ2788" s="13" t="str">
        <f>VLOOKUP(E2788,Precios!Z$2:AA$941,2,FALSE)</f>
        <v>Toalla desinfectante TEDDY 80 unidades</v>
      </c>
      <c r="AK2788" s="14">
        <f>VLOOKUP(E2788,Precios!Z$2:BB$941,3,FALSE)*F2788</f>
        <v>-2</v>
      </c>
      <c r="AL2788" s="17"/>
      <c r="AM2788" s="17"/>
      <c r="AN2788" s="17"/>
      <c r="AO2788" s="17"/>
      <c r="AP2788" s="17"/>
      <c r="AQ2788" s="17"/>
      <c r="AR2788" s="17"/>
      <c r="AS2788" s="17"/>
      <c r="AT2788" s="17"/>
      <c r="AU2788" s="17"/>
      <c r="AV2788" s="17"/>
    </row>
    <row r="2789" spans="1:48" ht="15.75" customHeight="1">
      <c r="A2789" s="21" t="s">
        <v>47</v>
      </c>
      <c r="B2789" s="23" t="s">
        <v>1692</v>
      </c>
      <c r="C2789" s="22">
        <v>45723</v>
      </c>
      <c r="D2789" s="23" t="s">
        <v>731</v>
      </c>
      <c r="E2789" s="23" t="s">
        <v>48</v>
      </c>
      <c r="F2789" s="21">
        <v>2</v>
      </c>
      <c r="G2789" s="12">
        <v>1000</v>
      </c>
      <c r="H2789" s="12">
        <v>2000</v>
      </c>
      <c r="I2789" s="23" t="s">
        <v>52</v>
      </c>
      <c r="J2789" s="23" t="s">
        <v>61</v>
      </c>
      <c r="K2789" s="24" t="s">
        <v>177</v>
      </c>
      <c r="L2789" s="24">
        <v>111</v>
      </c>
      <c r="M2789" s="12">
        <v>840.3361344537816</v>
      </c>
      <c r="N2789" s="12">
        <v>1680.6722689075632</v>
      </c>
      <c r="O2789" s="12">
        <v>319.32773109243681</v>
      </c>
      <c r="P2789" s="13"/>
      <c r="Q2789" s="14">
        <v>2025</v>
      </c>
      <c r="R2789" s="15">
        <v>45352</v>
      </c>
      <c r="S2789" s="11" t="s">
        <v>416</v>
      </c>
      <c r="T2789" s="16">
        <v>0</v>
      </c>
      <c r="U2789" s="17"/>
      <c r="V2789" s="12">
        <v>660.67226890756297</v>
      </c>
      <c r="W2789" s="12">
        <v>660.67226890756297</v>
      </c>
      <c r="X2789" s="12">
        <v>0</v>
      </c>
      <c r="Y2789" s="18">
        <v>45719</v>
      </c>
      <c r="Z2789" s="13" t="s">
        <v>503</v>
      </c>
      <c r="AA2789" s="19" t="str">
        <f>VLOOKUP(D2789,Clientes!$A$2:$J$486,9,FALSE)</f>
        <v>Ocacional</v>
      </c>
      <c r="AB2789" s="13" t="str">
        <f>VLOOKUP(D2789,Clientes!$A$2:$K$486,11,FALSE)</f>
        <v>Persona Natural</v>
      </c>
      <c r="AC2789" s="13" t="str">
        <f>VLOOKUP(D2789,Clientes!$A$2:$B$486,2,FALSE)</f>
        <v>Jardin Alto</v>
      </c>
      <c r="AD2789" s="20"/>
      <c r="AE2789" s="20"/>
      <c r="AF2789" s="13" t="s">
        <v>40</v>
      </c>
      <c r="AG2789" s="15">
        <v>45352</v>
      </c>
      <c r="AH2789" s="13" t="s">
        <v>41</v>
      </c>
      <c r="AI2789" s="13" t="s">
        <v>47</v>
      </c>
      <c r="AJ2789" s="13" t="str">
        <f>VLOOKUP(E2789,Precios!Z$2:AA$941,2,FALSE)</f>
        <v>Esponja Acanalada TEDDY</v>
      </c>
      <c r="AK2789" s="14">
        <f>VLOOKUP(E2789,Precios!Z$2:BB$941,3,FALSE)*F2789</f>
        <v>-10</v>
      </c>
      <c r="AL2789" s="17"/>
      <c r="AM2789" s="17"/>
      <c r="AN2789" s="17"/>
      <c r="AO2789" s="17"/>
      <c r="AP2789" s="17"/>
      <c r="AQ2789" s="17"/>
      <c r="AR2789" s="17"/>
      <c r="AS2789" s="17"/>
      <c r="AT2789" s="17"/>
      <c r="AU2789" s="17"/>
      <c r="AV2789" s="17"/>
    </row>
    <row r="2790" spans="1:48" ht="15.75" customHeight="1">
      <c r="A2790" s="21" t="s">
        <v>147</v>
      </c>
      <c r="B2790" s="23" t="s">
        <v>1692</v>
      </c>
      <c r="C2790" s="22">
        <v>45723</v>
      </c>
      <c r="D2790" s="23" t="s">
        <v>731</v>
      </c>
      <c r="E2790" s="23" t="s">
        <v>257</v>
      </c>
      <c r="F2790" s="21">
        <v>1</v>
      </c>
      <c r="G2790" s="12">
        <v>4000.0000000000005</v>
      </c>
      <c r="H2790" s="12">
        <v>4000.0000000000005</v>
      </c>
      <c r="I2790" s="23" t="s">
        <v>52</v>
      </c>
      <c r="J2790" s="23" t="s">
        <v>61</v>
      </c>
      <c r="K2790" s="24" t="s">
        <v>177</v>
      </c>
      <c r="L2790" s="24">
        <v>111</v>
      </c>
      <c r="M2790" s="12">
        <v>3361.3445378151264</v>
      </c>
      <c r="N2790" s="12">
        <v>3361.3445378151264</v>
      </c>
      <c r="O2790" s="12">
        <v>638.65546218487407</v>
      </c>
      <c r="P2790" s="13"/>
      <c r="Q2790" s="14">
        <v>2025</v>
      </c>
      <c r="R2790" s="15">
        <v>45352</v>
      </c>
      <c r="S2790" s="11" t="s">
        <v>412</v>
      </c>
      <c r="T2790" s="16">
        <v>0</v>
      </c>
      <c r="U2790" s="17"/>
      <c r="V2790" s="12">
        <v>1680.6722689075632</v>
      </c>
      <c r="W2790" s="12">
        <v>1680.6722689075632</v>
      </c>
      <c r="X2790" s="12">
        <v>0</v>
      </c>
      <c r="Y2790" s="18">
        <v>45719</v>
      </c>
      <c r="Z2790" s="13" t="s">
        <v>503</v>
      </c>
      <c r="AA2790" s="19" t="str">
        <f>VLOOKUP(D2790,Clientes!$A$2:$J$486,9,FALSE)</f>
        <v>Ocacional</v>
      </c>
      <c r="AB2790" s="13" t="str">
        <f>VLOOKUP(D2790,Clientes!$A$2:$K$486,11,FALSE)</f>
        <v>Persona Natural</v>
      </c>
      <c r="AC2790" s="13" t="str">
        <f>VLOOKUP(D2790,Clientes!$A$2:$B$486,2,FALSE)</f>
        <v>Jardin Alto</v>
      </c>
      <c r="AD2790" s="20"/>
      <c r="AE2790" s="20"/>
      <c r="AF2790" s="13" t="s">
        <v>40</v>
      </c>
      <c r="AG2790" s="15">
        <v>45352</v>
      </c>
      <c r="AH2790" s="13" t="s">
        <v>41</v>
      </c>
      <c r="AI2790" s="13" t="s">
        <v>147</v>
      </c>
      <c r="AJ2790" s="13" t="str">
        <f>VLOOKUP(E2790,Precios!Z$2:AA$941,2,FALSE)</f>
        <v>Film Plástico 100 metros</v>
      </c>
      <c r="AK2790" s="14">
        <f>VLOOKUP(E2790,Precios!Z$2:BB$941,3,FALSE)*F2790</f>
        <v>-1</v>
      </c>
      <c r="AL2790" s="17"/>
      <c r="AM2790" s="17"/>
      <c r="AN2790" s="17"/>
      <c r="AO2790" s="17"/>
      <c r="AP2790" s="17"/>
      <c r="AQ2790" s="17"/>
      <c r="AR2790" s="17"/>
      <c r="AS2790" s="17"/>
      <c r="AT2790" s="17"/>
      <c r="AU2790" s="17"/>
      <c r="AV2790" s="17"/>
    </row>
    <row r="2791" spans="1:48" ht="15.75" customHeight="1">
      <c r="A2791" s="21" t="s">
        <v>76</v>
      </c>
      <c r="B2791" s="23" t="s">
        <v>1692</v>
      </c>
      <c r="C2791" s="22">
        <v>45723</v>
      </c>
      <c r="D2791" s="23" t="s">
        <v>108</v>
      </c>
      <c r="E2791" s="23" t="s">
        <v>82</v>
      </c>
      <c r="F2791" s="21">
        <v>1</v>
      </c>
      <c r="G2791" s="12">
        <v>2000.0000000000002</v>
      </c>
      <c r="H2791" s="12">
        <v>2000.0000000000002</v>
      </c>
      <c r="I2791" s="23" t="s">
        <v>52</v>
      </c>
      <c r="J2791" s="23" t="s">
        <v>61</v>
      </c>
      <c r="K2791" s="24" t="s">
        <v>177</v>
      </c>
      <c r="L2791" s="24">
        <v>111</v>
      </c>
      <c r="M2791" s="12">
        <v>1680.6722689075632</v>
      </c>
      <c r="N2791" s="12">
        <v>1680.6722689075632</v>
      </c>
      <c r="O2791" s="12">
        <v>319.32773109243703</v>
      </c>
      <c r="P2791" s="13"/>
      <c r="Q2791" s="14">
        <v>2025</v>
      </c>
      <c r="R2791" s="15">
        <v>45352</v>
      </c>
      <c r="S2791" s="11" t="s">
        <v>463</v>
      </c>
      <c r="T2791" s="16">
        <v>5</v>
      </c>
      <c r="U2791" s="17"/>
      <c r="V2791" s="12">
        <v>680.67226890756319</v>
      </c>
      <c r="W2791" s="12">
        <v>680.67226890756319</v>
      </c>
      <c r="X2791" s="12">
        <v>0</v>
      </c>
      <c r="Y2791" s="18">
        <v>45719</v>
      </c>
      <c r="Z2791" s="13" t="s">
        <v>503</v>
      </c>
      <c r="AA2791" s="19" t="str">
        <f>VLOOKUP(D2791,Clientes!$A$2:$J$486,9,FALSE)</f>
        <v>Frecuente</v>
      </c>
      <c r="AB2791" s="13" t="str">
        <f>VLOOKUP(D2791,Clientes!$A$2:$K$486,11,FALSE)</f>
        <v>Persona Natural</v>
      </c>
      <c r="AC2791" s="13" t="str">
        <f>VLOOKUP(D2791,Clientes!$A$2:$B$486,2,FALSE)</f>
        <v>Jardines de la Viña</v>
      </c>
      <c r="AD2791" s="20"/>
      <c r="AE2791" s="20"/>
      <c r="AF2791" s="13" t="s">
        <v>40</v>
      </c>
      <c r="AG2791" s="15">
        <v>45352</v>
      </c>
      <c r="AH2791" s="13" t="s">
        <v>41</v>
      </c>
      <c r="AI2791" s="13" t="s">
        <v>76</v>
      </c>
      <c r="AJ2791" s="13" t="str">
        <f>VLOOKUP(E2791,Precios!Z$2:AA$941,2,FALSE)</f>
        <v>Limpiapiso SPUM 5 Litros</v>
      </c>
      <c r="AK2791" s="14">
        <f>VLOOKUP(E2791,Precios!Z$2:BB$941,3,FALSE)*F2791</f>
        <v>-1</v>
      </c>
      <c r="AL2791" s="17"/>
      <c r="AM2791" s="17"/>
      <c r="AN2791" s="17"/>
      <c r="AO2791" s="17"/>
      <c r="AP2791" s="17"/>
      <c r="AQ2791" s="17"/>
      <c r="AR2791" s="17"/>
      <c r="AS2791" s="17"/>
      <c r="AT2791" s="17"/>
      <c r="AU2791" s="17"/>
      <c r="AV2791" s="17"/>
    </row>
    <row r="2792" spans="1:48" ht="15.75" customHeight="1">
      <c r="A2792" s="21" t="s">
        <v>53</v>
      </c>
      <c r="B2792" s="23" t="s">
        <v>1692</v>
      </c>
      <c r="C2792" s="22">
        <v>45723</v>
      </c>
      <c r="D2792" s="23" t="s">
        <v>108</v>
      </c>
      <c r="E2792" s="23" t="s">
        <v>109</v>
      </c>
      <c r="F2792" s="21">
        <v>1</v>
      </c>
      <c r="G2792" s="12">
        <v>10000</v>
      </c>
      <c r="H2792" s="12">
        <v>10000</v>
      </c>
      <c r="I2792" s="23" t="s">
        <v>52</v>
      </c>
      <c r="J2792" s="23" t="s">
        <v>61</v>
      </c>
      <c r="K2792" s="24" t="s">
        <v>177</v>
      </c>
      <c r="L2792" s="24">
        <v>111</v>
      </c>
      <c r="M2792" s="12">
        <v>8403.361344537816</v>
      </c>
      <c r="N2792" s="12">
        <v>8403.361344537816</v>
      </c>
      <c r="O2792" s="12">
        <v>1596.638655462184</v>
      </c>
      <c r="P2792" s="13"/>
      <c r="Q2792" s="14">
        <v>2025</v>
      </c>
      <c r="R2792" s="15">
        <v>45352</v>
      </c>
      <c r="S2792" s="11" t="s">
        <v>395</v>
      </c>
      <c r="T2792" s="16">
        <v>400</v>
      </c>
      <c r="U2792" s="17"/>
      <c r="V2792" s="12">
        <v>2100.8403361344544</v>
      </c>
      <c r="W2792" s="12">
        <v>2100.8403361344544</v>
      </c>
      <c r="X2792" s="12">
        <v>0</v>
      </c>
      <c r="Y2792" s="18">
        <v>45719</v>
      </c>
      <c r="Z2792" s="13" t="s">
        <v>503</v>
      </c>
      <c r="AA2792" s="19" t="str">
        <f>VLOOKUP(D2792,Clientes!$A$2:$J$486,9,FALSE)</f>
        <v>Frecuente</v>
      </c>
      <c r="AB2792" s="13" t="str">
        <f>VLOOKUP(D2792,Clientes!$A$2:$K$486,11,FALSE)</f>
        <v>Persona Natural</v>
      </c>
      <c r="AC2792" s="13" t="str">
        <f>VLOOKUP(D2792,Clientes!$A$2:$B$486,2,FALSE)</f>
        <v>Jardines de la Viña</v>
      </c>
      <c r="AD2792" s="20"/>
      <c r="AE2792" s="20"/>
      <c r="AF2792" s="13" t="s">
        <v>40</v>
      </c>
      <c r="AG2792" s="15">
        <v>45352</v>
      </c>
      <c r="AH2792" s="13" t="s">
        <v>41</v>
      </c>
      <c r="AI2792" s="13" t="s">
        <v>53</v>
      </c>
      <c r="AJ2792" s="13" t="str">
        <f>VLOOKUP(E2792,Precios!Z$2:AA$941,2,FALSE)</f>
        <v>Toalla Papel SPUM D/H 100 metros</v>
      </c>
      <c r="AK2792" s="14">
        <f>VLOOKUP(E2792,Precios!Z$2:BB$941,3,FALSE)*F2792</f>
        <v>-4</v>
      </c>
      <c r="AL2792" s="17"/>
      <c r="AM2792" s="17"/>
      <c r="AN2792" s="17"/>
      <c r="AO2792" s="17"/>
      <c r="AP2792" s="17"/>
      <c r="AQ2792" s="17"/>
      <c r="AR2792" s="17"/>
      <c r="AS2792" s="17"/>
      <c r="AT2792" s="17"/>
      <c r="AU2792" s="17"/>
      <c r="AV2792" s="17"/>
    </row>
    <row r="2793" spans="1:48" ht="15.75" customHeight="1">
      <c r="A2793" s="21" t="s">
        <v>47</v>
      </c>
      <c r="B2793" s="23" t="s">
        <v>1692</v>
      </c>
      <c r="C2793" s="22">
        <v>45723</v>
      </c>
      <c r="D2793" s="23" t="s">
        <v>108</v>
      </c>
      <c r="E2793" s="23" t="s">
        <v>48</v>
      </c>
      <c r="F2793" s="21">
        <v>2</v>
      </c>
      <c r="G2793" s="12">
        <v>1000</v>
      </c>
      <c r="H2793" s="12">
        <v>2000</v>
      </c>
      <c r="I2793" s="23" t="s">
        <v>52</v>
      </c>
      <c r="J2793" s="23" t="s">
        <v>61</v>
      </c>
      <c r="K2793" s="24" t="s">
        <v>177</v>
      </c>
      <c r="L2793" s="24">
        <v>111</v>
      </c>
      <c r="M2793" s="12">
        <v>840.3361344537816</v>
      </c>
      <c r="N2793" s="12">
        <v>1680.6722689075632</v>
      </c>
      <c r="O2793" s="12">
        <v>319.32773109243681</v>
      </c>
      <c r="P2793" s="13"/>
      <c r="Q2793" s="14">
        <v>2025</v>
      </c>
      <c r="R2793" s="15">
        <v>45352</v>
      </c>
      <c r="S2793" s="11" t="s">
        <v>416</v>
      </c>
      <c r="T2793" s="16">
        <v>0</v>
      </c>
      <c r="U2793" s="17"/>
      <c r="V2793" s="12">
        <v>660.67226890756297</v>
      </c>
      <c r="W2793" s="12">
        <v>660.67226890756297</v>
      </c>
      <c r="X2793" s="12">
        <v>0</v>
      </c>
      <c r="Y2793" s="18">
        <v>45719</v>
      </c>
      <c r="Z2793" s="13" t="s">
        <v>503</v>
      </c>
      <c r="AA2793" s="19" t="str">
        <f>VLOOKUP(D2793,Clientes!$A$2:$J$486,9,FALSE)</f>
        <v>Frecuente</v>
      </c>
      <c r="AB2793" s="13" t="str">
        <f>VLOOKUP(D2793,Clientes!$A$2:$K$486,11,FALSE)</f>
        <v>Persona Natural</v>
      </c>
      <c r="AC2793" s="13" t="str">
        <f>VLOOKUP(D2793,Clientes!$A$2:$B$486,2,FALSE)</f>
        <v>Jardines de la Viña</v>
      </c>
      <c r="AD2793" s="20"/>
      <c r="AE2793" s="20"/>
      <c r="AF2793" s="13" t="s">
        <v>40</v>
      </c>
      <c r="AG2793" s="15">
        <v>45352</v>
      </c>
      <c r="AH2793" s="13" t="s">
        <v>41</v>
      </c>
      <c r="AI2793" s="13" t="s">
        <v>47</v>
      </c>
      <c r="AJ2793" s="13" t="str">
        <f>VLOOKUP(E2793,Precios!Z$2:AA$941,2,FALSE)</f>
        <v>Esponja Acanalada TEDDY</v>
      </c>
      <c r="AK2793" s="14">
        <f>VLOOKUP(E2793,Precios!Z$2:BB$941,3,FALSE)*F2793</f>
        <v>-10</v>
      </c>
      <c r="AL2793" s="17"/>
      <c r="AM2793" s="17"/>
      <c r="AN2793" s="17"/>
      <c r="AO2793" s="17"/>
      <c r="AP2793" s="17"/>
      <c r="AQ2793" s="17"/>
      <c r="AR2793" s="17"/>
      <c r="AS2793" s="17"/>
      <c r="AT2793" s="17"/>
      <c r="AU2793" s="17"/>
      <c r="AV2793" s="17"/>
    </row>
    <row r="2794" spans="1:48" ht="15.75" customHeight="1">
      <c r="A2794" s="21" t="s">
        <v>43</v>
      </c>
      <c r="B2794" s="23" t="s">
        <v>1692</v>
      </c>
      <c r="C2794" s="22">
        <v>45723</v>
      </c>
      <c r="D2794" s="23" t="s">
        <v>113</v>
      </c>
      <c r="E2794" s="23" t="s">
        <v>45</v>
      </c>
      <c r="F2794" s="21">
        <v>1</v>
      </c>
      <c r="G2794" s="12">
        <v>7600.0975431323541</v>
      </c>
      <c r="H2794" s="12">
        <v>7600.0975431323541</v>
      </c>
      <c r="I2794" s="23" t="s">
        <v>52</v>
      </c>
      <c r="J2794" s="23" t="s">
        <v>61</v>
      </c>
      <c r="K2794" s="24" t="s">
        <v>177</v>
      </c>
      <c r="L2794" s="24">
        <v>111</v>
      </c>
      <c r="M2794" s="12">
        <v>6386.6365908675243</v>
      </c>
      <c r="N2794" s="12">
        <v>6386.6365908675243</v>
      </c>
      <c r="O2794" s="12">
        <v>1213.4609522648298</v>
      </c>
      <c r="P2794" s="13"/>
      <c r="Q2794" s="14">
        <v>2025</v>
      </c>
      <c r="R2794" s="15">
        <v>45352</v>
      </c>
      <c r="S2794" s="11" t="s">
        <v>355</v>
      </c>
      <c r="T2794" s="16">
        <v>0</v>
      </c>
      <c r="U2794" s="17"/>
      <c r="V2794" s="12">
        <v>1148.6365908675243</v>
      </c>
      <c r="W2794" s="12">
        <v>1148.6365908675243</v>
      </c>
      <c r="X2794" s="12">
        <v>0</v>
      </c>
      <c r="Y2794" s="18">
        <v>45719</v>
      </c>
      <c r="Z2794" s="13" t="s">
        <v>503</v>
      </c>
      <c r="AA2794" s="19" t="str">
        <f>VLOOKUP(D2794,Clientes!$A$2:$J$486,9,FALSE)</f>
        <v>Ocacional</v>
      </c>
      <c r="AB2794" s="13" t="str">
        <f>VLOOKUP(D2794,Clientes!$A$2:$K$486,11,FALSE)</f>
        <v>Persona Natural</v>
      </c>
      <c r="AC2794" s="13" t="str">
        <f>VLOOKUP(D2794,Clientes!$A$2:$B$486,2,FALSE)</f>
        <v>Jardines de la viña</v>
      </c>
      <c r="AD2794" s="20"/>
      <c r="AE2794" s="20"/>
      <c r="AF2794" s="13" t="s">
        <v>40</v>
      </c>
      <c r="AG2794" s="15">
        <v>45352</v>
      </c>
      <c r="AH2794" s="13" t="s">
        <v>41</v>
      </c>
      <c r="AI2794" s="13" t="s">
        <v>43</v>
      </c>
      <c r="AJ2794" s="13" t="str">
        <f>VLOOKUP(E2794,Precios!Z$2:AA$941,2,FALSE)</f>
        <v>Bandeja Huevos EXTRA</v>
      </c>
      <c r="AK2794" s="14">
        <f>VLOOKUP(E2794,Precios!Z$2:BB$941,3,FALSE)*F2794</f>
        <v>-1</v>
      </c>
      <c r="AL2794" s="17"/>
      <c r="AM2794" s="17"/>
      <c r="AN2794" s="17"/>
      <c r="AO2794" s="17"/>
      <c r="AP2794" s="17"/>
      <c r="AQ2794" s="17"/>
      <c r="AR2794" s="17"/>
      <c r="AS2794" s="17"/>
      <c r="AT2794" s="17"/>
      <c r="AU2794" s="17"/>
      <c r="AV2794" s="17"/>
    </row>
    <row r="2795" spans="1:48" ht="15.75" customHeight="1">
      <c r="A2795" s="21" t="s">
        <v>43</v>
      </c>
      <c r="B2795" s="23" t="s">
        <v>1692</v>
      </c>
      <c r="C2795" s="22">
        <v>45723</v>
      </c>
      <c r="D2795" s="23" t="s">
        <v>331</v>
      </c>
      <c r="E2795" s="23" t="s">
        <v>45</v>
      </c>
      <c r="F2795" s="21">
        <v>2</v>
      </c>
      <c r="G2795" s="12">
        <v>7600.0975431323541</v>
      </c>
      <c r="H2795" s="12">
        <v>15200.195086264708</v>
      </c>
      <c r="I2795" s="23" t="s">
        <v>52</v>
      </c>
      <c r="J2795" s="23" t="s">
        <v>61</v>
      </c>
      <c r="K2795" s="24" t="s">
        <v>177</v>
      </c>
      <c r="L2795" s="24">
        <v>111</v>
      </c>
      <c r="M2795" s="12">
        <v>6386.6365908675243</v>
      </c>
      <c r="N2795" s="12">
        <v>12773.273181735049</v>
      </c>
      <c r="O2795" s="12">
        <v>2426.9219045296595</v>
      </c>
      <c r="P2795" s="13"/>
      <c r="Q2795" s="14">
        <v>2025</v>
      </c>
      <c r="R2795" s="15">
        <v>45352</v>
      </c>
      <c r="S2795" s="11" t="s">
        <v>355</v>
      </c>
      <c r="T2795" s="16">
        <v>0</v>
      </c>
      <c r="U2795" s="17"/>
      <c r="V2795" s="12">
        <v>2297.2731817350486</v>
      </c>
      <c r="W2795" s="12">
        <v>2297.2731817350486</v>
      </c>
      <c r="X2795" s="12">
        <v>0</v>
      </c>
      <c r="Y2795" s="18">
        <v>45719</v>
      </c>
      <c r="Z2795" s="13" t="s">
        <v>503</v>
      </c>
      <c r="AA2795" s="19" t="str">
        <f>VLOOKUP(D2795,Clientes!$A$2:$J$486,9,FALSE)</f>
        <v>Frecuente</v>
      </c>
      <c r="AB2795" s="13" t="str">
        <f>VLOOKUP(D2795,Clientes!$A$2:$K$486,11,FALSE)</f>
        <v>Persona Natural</v>
      </c>
      <c r="AC2795" s="13" t="str">
        <f>VLOOKUP(D2795,Clientes!$A$2:$B$486,2,FALSE)</f>
        <v>Sector Palena</v>
      </c>
      <c r="AD2795" s="20"/>
      <c r="AE2795" s="20"/>
      <c r="AF2795" s="13" t="s">
        <v>40</v>
      </c>
      <c r="AG2795" s="15">
        <v>45352</v>
      </c>
      <c r="AH2795" s="13" t="s">
        <v>41</v>
      </c>
      <c r="AI2795" s="13" t="s">
        <v>43</v>
      </c>
      <c r="AJ2795" s="13" t="str">
        <f>VLOOKUP(E2795,Precios!Z$2:AA$941,2,FALSE)</f>
        <v>Bandeja Huevos EXTRA</v>
      </c>
      <c r="AK2795" s="14">
        <f>VLOOKUP(E2795,Precios!Z$2:BB$941,3,FALSE)*F2795</f>
        <v>-2</v>
      </c>
      <c r="AL2795" s="17"/>
      <c r="AM2795" s="17"/>
      <c r="AN2795" s="17"/>
      <c r="AO2795" s="17"/>
      <c r="AP2795" s="17"/>
      <c r="AQ2795" s="17"/>
      <c r="AR2795" s="17"/>
      <c r="AS2795" s="17"/>
      <c r="AT2795" s="17"/>
      <c r="AU2795" s="17"/>
      <c r="AV2795" s="17"/>
    </row>
    <row r="2796" spans="1:48" ht="15.75" customHeight="1">
      <c r="A2796" s="21" t="s">
        <v>147</v>
      </c>
      <c r="B2796" s="23" t="s">
        <v>1692</v>
      </c>
      <c r="C2796" s="22">
        <v>45723</v>
      </c>
      <c r="D2796" s="23" t="s">
        <v>730</v>
      </c>
      <c r="E2796" s="23" t="s">
        <v>248</v>
      </c>
      <c r="F2796" s="14">
        <v>1</v>
      </c>
      <c r="G2796" s="12">
        <v>9000</v>
      </c>
      <c r="H2796" s="12">
        <v>9000</v>
      </c>
      <c r="I2796" s="23" t="s">
        <v>52</v>
      </c>
      <c r="J2796" s="23" t="s">
        <v>61</v>
      </c>
      <c r="K2796" s="24" t="s">
        <v>177</v>
      </c>
      <c r="L2796" s="24">
        <v>111</v>
      </c>
      <c r="M2796" s="12">
        <v>7563.0252100840344</v>
      </c>
      <c r="N2796" s="12">
        <v>7563.0252100840344</v>
      </c>
      <c r="O2796" s="12">
        <v>1436.9747899159656</v>
      </c>
      <c r="P2796" s="13"/>
      <c r="Q2796" s="14">
        <v>2025</v>
      </c>
      <c r="R2796" s="15">
        <v>45352</v>
      </c>
      <c r="S2796" s="11" t="s">
        <v>412</v>
      </c>
      <c r="T2796" s="16">
        <v>0</v>
      </c>
      <c r="U2796" s="17"/>
      <c r="V2796" s="12">
        <v>2773.1092436974795</v>
      </c>
      <c r="W2796" s="12">
        <v>2773.1092436974795</v>
      </c>
      <c r="X2796" s="12">
        <v>0</v>
      </c>
      <c r="Y2796" s="18">
        <v>45719</v>
      </c>
      <c r="Z2796" s="13" t="s">
        <v>503</v>
      </c>
      <c r="AA2796" s="19" t="str">
        <f>VLOOKUP(D2796,Clientes!$A$2:$J$486,9,FALSE)</f>
        <v>Ocacional</v>
      </c>
      <c r="AB2796" s="13" t="str">
        <f>VLOOKUP(D2796,Clientes!$A$2:$K$486,11,FALSE)</f>
        <v>Persona Natural</v>
      </c>
      <c r="AC2796" s="13" t="str">
        <f>VLOOKUP(D2796,Clientes!$A$2:$B$486,2,FALSE)</f>
        <v>14 Vicuña</v>
      </c>
      <c r="AD2796" s="20"/>
      <c r="AE2796" s="20"/>
      <c r="AF2796" s="13" t="s">
        <v>40</v>
      </c>
      <c r="AG2796" s="15">
        <v>45352</v>
      </c>
      <c r="AH2796" s="13" t="s">
        <v>41</v>
      </c>
      <c r="AI2796" s="13" t="s">
        <v>147</v>
      </c>
      <c r="AJ2796" s="13" t="str">
        <f>VLOOKUP(E2796,Precios!Z$2:AA$941,2,FALSE)</f>
        <v>Film Plástico 300 metros</v>
      </c>
      <c r="AK2796" s="14">
        <f>VLOOKUP(E2796,Precios!Z$2:BB$941,3,FALSE)*F2796</f>
        <v>-1</v>
      </c>
      <c r="AL2796" s="17"/>
      <c r="AM2796" s="17"/>
      <c r="AN2796" s="17"/>
      <c r="AO2796" s="17"/>
      <c r="AP2796" s="17"/>
      <c r="AQ2796" s="17"/>
      <c r="AR2796" s="17"/>
      <c r="AS2796" s="17"/>
      <c r="AT2796" s="17"/>
      <c r="AU2796" s="17"/>
      <c r="AV2796" s="17"/>
    </row>
    <row r="2797" spans="1:48" ht="15.75" customHeight="1">
      <c r="A2797" s="21" t="s">
        <v>147</v>
      </c>
      <c r="B2797" s="23" t="s">
        <v>1692</v>
      </c>
      <c r="C2797" s="22">
        <v>45723</v>
      </c>
      <c r="D2797" s="23" t="s">
        <v>730</v>
      </c>
      <c r="E2797" s="23" t="s">
        <v>257</v>
      </c>
      <c r="F2797" s="14">
        <v>1</v>
      </c>
      <c r="G2797" s="12">
        <v>4000.0000000000005</v>
      </c>
      <c r="H2797" s="12">
        <v>4000.0000000000005</v>
      </c>
      <c r="I2797" s="23" t="s">
        <v>52</v>
      </c>
      <c r="J2797" s="23" t="s">
        <v>61</v>
      </c>
      <c r="K2797" s="24" t="s">
        <v>177</v>
      </c>
      <c r="L2797" s="24">
        <v>111</v>
      </c>
      <c r="M2797" s="12">
        <v>3361.3445378151264</v>
      </c>
      <c r="N2797" s="12">
        <v>3361.3445378151264</v>
      </c>
      <c r="O2797" s="12">
        <v>638.65546218487407</v>
      </c>
      <c r="P2797" s="13"/>
      <c r="Q2797" s="14">
        <v>2025</v>
      </c>
      <c r="R2797" s="15">
        <v>45352</v>
      </c>
      <c r="S2797" s="11" t="s">
        <v>412</v>
      </c>
      <c r="T2797" s="16">
        <v>0</v>
      </c>
      <c r="U2797" s="17"/>
      <c r="V2797" s="12">
        <v>1680.6722689075632</v>
      </c>
      <c r="W2797" s="12">
        <v>1680.6722689075632</v>
      </c>
      <c r="X2797" s="12">
        <v>0</v>
      </c>
      <c r="Y2797" s="18">
        <v>45719</v>
      </c>
      <c r="Z2797" s="13" t="s">
        <v>503</v>
      </c>
      <c r="AA2797" s="19" t="str">
        <f>VLOOKUP(D2797,Clientes!$A$2:$J$486,9,FALSE)</f>
        <v>Ocacional</v>
      </c>
      <c r="AB2797" s="13" t="str">
        <f>VLOOKUP(D2797,Clientes!$A$2:$K$486,11,FALSE)</f>
        <v>Persona Natural</v>
      </c>
      <c r="AC2797" s="13" t="str">
        <f>VLOOKUP(D2797,Clientes!$A$2:$B$486,2,FALSE)</f>
        <v>14 Vicuña</v>
      </c>
      <c r="AD2797" s="20"/>
      <c r="AE2797" s="20"/>
      <c r="AF2797" s="13" t="s">
        <v>40</v>
      </c>
      <c r="AG2797" s="15">
        <v>45352</v>
      </c>
      <c r="AH2797" s="13" t="s">
        <v>41</v>
      </c>
      <c r="AI2797" s="13" t="s">
        <v>147</v>
      </c>
      <c r="AJ2797" s="13" t="str">
        <f>VLOOKUP(E2797,Precios!Z$2:AA$941,2,FALSE)</f>
        <v>Film Plástico 100 metros</v>
      </c>
      <c r="AK2797" s="14">
        <f>VLOOKUP(E2797,Precios!Z$2:BB$941,3,FALSE)*F2797</f>
        <v>-1</v>
      </c>
      <c r="AL2797" s="17"/>
      <c r="AM2797" s="17"/>
      <c r="AN2797" s="17"/>
      <c r="AO2797" s="17"/>
      <c r="AP2797" s="17"/>
      <c r="AQ2797" s="17"/>
      <c r="AR2797" s="17"/>
      <c r="AS2797" s="17"/>
      <c r="AT2797" s="17"/>
      <c r="AU2797" s="17"/>
      <c r="AV2797" s="17"/>
    </row>
    <row r="2798" spans="1:48" ht="15.75" customHeight="1">
      <c r="A2798" s="21" t="s">
        <v>35</v>
      </c>
      <c r="B2798" s="23" t="s">
        <v>1692</v>
      </c>
      <c r="C2798" s="25">
        <v>45722</v>
      </c>
      <c r="D2798" s="23" t="s">
        <v>915</v>
      </c>
      <c r="E2798" s="23" t="s">
        <v>46</v>
      </c>
      <c r="F2798" s="14">
        <v>1</v>
      </c>
      <c r="G2798" s="12">
        <v>5500</v>
      </c>
      <c r="H2798" s="34">
        <v>5500</v>
      </c>
      <c r="I2798" s="13" t="s">
        <v>52</v>
      </c>
      <c r="J2798" s="23" t="s">
        <v>61</v>
      </c>
      <c r="K2798" s="24" t="s">
        <v>177</v>
      </c>
      <c r="L2798" s="24">
        <v>111</v>
      </c>
      <c r="M2798" s="12">
        <v>4621.8487394957983</v>
      </c>
      <c r="N2798" s="12">
        <v>4621.8487394957983</v>
      </c>
      <c r="O2798" s="12">
        <v>878.15126050420167</v>
      </c>
      <c r="P2798" s="13"/>
      <c r="Q2798" s="14">
        <v>2025</v>
      </c>
      <c r="R2798" s="15">
        <v>45352</v>
      </c>
      <c r="S2798" s="11" t="s">
        <v>364</v>
      </c>
      <c r="T2798" s="16">
        <v>500</v>
      </c>
      <c r="U2798" s="17"/>
      <c r="V2798" s="12">
        <v>1365.1260504201678</v>
      </c>
      <c r="W2798" s="12">
        <v>1365.1260504201678</v>
      </c>
      <c r="X2798" s="12">
        <v>0</v>
      </c>
      <c r="Y2798" s="18">
        <v>45719</v>
      </c>
      <c r="Z2798" s="13" t="s">
        <v>505</v>
      </c>
      <c r="AA2798" s="19" t="str">
        <f>VLOOKUP(D2798,Clientes!$A$2:$J$486,9,FALSE)</f>
        <v>Regular</v>
      </c>
      <c r="AB2798" s="13" t="str">
        <f>VLOOKUP(D2798,Clientes!$A$2:$K$486,11,FALSE)</f>
        <v>Persona Natural</v>
      </c>
      <c r="AC2798" s="13" t="str">
        <f>VLOOKUP(D2798,Clientes!$A$2:$B$486,2,FALSE)</f>
        <v>Jardin del Eden</v>
      </c>
      <c r="AD2798" s="20"/>
      <c r="AE2798" s="20"/>
      <c r="AF2798" s="13" t="s">
        <v>40</v>
      </c>
      <c r="AG2798" s="15">
        <v>45352</v>
      </c>
      <c r="AH2798" s="13" t="s">
        <v>41</v>
      </c>
      <c r="AI2798" s="13" t="s">
        <v>35</v>
      </c>
      <c r="AJ2798" s="13" t="str">
        <f>VLOOKUP(E2798,Precios!Z$2:AA$941,2,FALSE)</f>
        <v>Queso RUNCA Mantecoso</v>
      </c>
      <c r="AK2798" s="14">
        <f>VLOOKUP(E2798,Precios!Z$2:BB$941,3,FALSE)*F2798</f>
        <v>-0.5</v>
      </c>
      <c r="AL2798" s="17"/>
      <c r="AM2798" s="17"/>
      <c r="AN2798" s="17"/>
      <c r="AO2798" s="17"/>
      <c r="AP2798" s="17"/>
      <c r="AQ2798" s="17"/>
      <c r="AR2798" s="17"/>
      <c r="AS2798" s="17"/>
      <c r="AT2798" s="17"/>
      <c r="AU2798" s="17"/>
      <c r="AV2798" s="17"/>
    </row>
    <row r="2799" spans="1:48" ht="15.75" customHeight="1">
      <c r="A2799" s="21" t="s">
        <v>43</v>
      </c>
      <c r="B2799" s="23" t="s">
        <v>1692</v>
      </c>
      <c r="C2799" s="22">
        <v>45722</v>
      </c>
      <c r="D2799" s="23" t="s">
        <v>124</v>
      </c>
      <c r="E2799" s="23" t="s">
        <v>45</v>
      </c>
      <c r="F2799" s="21">
        <v>1</v>
      </c>
      <c r="G2799" s="12">
        <v>7600.0975431323541</v>
      </c>
      <c r="H2799" s="12">
        <v>7600.0975431323541</v>
      </c>
      <c r="I2799" s="23" t="s">
        <v>52</v>
      </c>
      <c r="J2799" s="23" t="s">
        <v>61</v>
      </c>
      <c r="K2799" s="24" t="s">
        <v>177</v>
      </c>
      <c r="L2799" s="24">
        <v>111</v>
      </c>
      <c r="M2799" s="12">
        <v>6386.6365908675243</v>
      </c>
      <c r="N2799" s="12">
        <v>6386.6365908675243</v>
      </c>
      <c r="O2799" s="12">
        <v>1213.4609522648298</v>
      </c>
      <c r="P2799" s="13"/>
      <c r="Q2799" s="14">
        <v>2025</v>
      </c>
      <c r="R2799" s="15">
        <v>45352</v>
      </c>
      <c r="S2799" s="11" t="s">
        <v>355</v>
      </c>
      <c r="T2799" s="16">
        <v>0</v>
      </c>
      <c r="U2799" s="17"/>
      <c r="V2799" s="12">
        <v>1148.6365908675243</v>
      </c>
      <c r="W2799" s="12">
        <v>1148.6365908675243</v>
      </c>
      <c r="X2799" s="12">
        <v>0</v>
      </c>
      <c r="Y2799" s="18">
        <v>45719</v>
      </c>
      <c r="Z2799" s="13" t="s">
        <v>505</v>
      </c>
      <c r="AA2799" s="19" t="str">
        <f>VLOOKUP(D2799,Clientes!$A$2:$J$486,9,FALSE)</f>
        <v>Regular</v>
      </c>
      <c r="AB2799" s="13" t="str">
        <f>VLOOKUP(D2799,Clientes!$A$2:$K$486,11,FALSE)</f>
        <v>Persona Natural</v>
      </c>
      <c r="AC2799" s="13" t="str">
        <f>VLOOKUP(D2799,Clientes!$A$2:$B$486,2,FALSE)</f>
        <v>Jardines de la viña</v>
      </c>
      <c r="AD2799" s="20"/>
      <c r="AE2799" s="20"/>
      <c r="AF2799" s="13" t="s">
        <v>40</v>
      </c>
      <c r="AG2799" s="15">
        <v>45352</v>
      </c>
      <c r="AH2799" s="13" t="s">
        <v>41</v>
      </c>
      <c r="AI2799" s="13" t="s">
        <v>43</v>
      </c>
      <c r="AJ2799" s="13" t="str">
        <f>VLOOKUP(E2799,Precios!Z$2:AA$941,2,FALSE)</f>
        <v>Bandeja Huevos EXTRA</v>
      </c>
      <c r="AK2799" s="14">
        <f>VLOOKUP(E2799,Precios!Z$2:BB$941,3,FALSE)*F2799</f>
        <v>-1</v>
      </c>
      <c r="AL2799" s="17"/>
      <c r="AM2799" s="17"/>
      <c r="AN2799" s="17"/>
      <c r="AO2799" s="17"/>
      <c r="AP2799" s="17"/>
      <c r="AQ2799" s="17"/>
      <c r="AR2799" s="17"/>
      <c r="AS2799" s="17"/>
      <c r="AT2799" s="17"/>
      <c r="AU2799" s="17"/>
      <c r="AV2799" s="17"/>
    </row>
    <row r="2800" spans="1:48" ht="15.75" customHeight="1">
      <c r="A2800" s="21" t="s">
        <v>53</v>
      </c>
      <c r="B2800" s="23" t="s">
        <v>1692</v>
      </c>
      <c r="C2800" s="22">
        <v>45722</v>
      </c>
      <c r="D2800" s="23" t="s">
        <v>68</v>
      </c>
      <c r="E2800" s="23" t="s">
        <v>55</v>
      </c>
      <c r="F2800" s="21">
        <v>1</v>
      </c>
      <c r="G2800" s="12">
        <v>19989.738327347361</v>
      </c>
      <c r="H2800" s="12">
        <v>19989.738327347361</v>
      </c>
      <c r="I2800" s="23" t="s">
        <v>52</v>
      </c>
      <c r="J2800" s="23" t="s">
        <v>61</v>
      </c>
      <c r="K2800" s="24" t="s">
        <v>86</v>
      </c>
      <c r="L2800" s="24">
        <v>64</v>
      </c>
      <c r="M2800" s="12">
        <v>16798.099434745684</v>
      </c>
      <c r="N2800" s="12">
        <v>16798.099434745684</v>
      </c>
      <c r="O2800" s="12">
        <v>3191.6388926016771</v>
      </c>
      <c r="P2800" s="13"/>
      <c r="Q2800" s="14">
        <v>2025</v>
      </c>
      <c r="R2800" s="15">
        <v>45352</v>
      </c>
      <c r="S2800" s="11" t="s">
        <v>366</v>
      </c>
      <c r="T2800" s="16">
        <v>0</v>
      </c>
      <c r="U2800" s="17"/>
      <c r="V2800" s="12">
        <v>3702.3011154179476</v>
      </c>
      <c r="W2800" s="12">
        <v>3702.3011154179476</v>
      </c>
      <c r="X2800" s="12">
        <v>0</v>
      </c>
      <c r="Y2800" s="18">
        <v>45719</v>
      </c>
      <c r="Z2800" s="13" t="s">
        <v>505</v>
      </c>
      <c r="AA2800" s="19" t="str">
        <f>VLOOKUP(D2800,Clientes!$A$2:$J$486,9,FALSE)</f>
        <v>Frecuente</v>
      </c>
      <c r="AB2800" s="13" t="str">
        <f>VLOOKUP(D2800,Clientes!$A$2:$K$486,11,FALSE)</f>
        <v>Empresa</v>
      </c>
      <c r="AC2800" s="13" t="str">
        <f>VLOOKUP(D2800,Clientes!$A$2:$B$486,2,FALSE)</f>
        <v>Jardines de la viña</v>
      </c>
      <c r="AD2800" s="20"/>
      <c r="AE2800" s="20"/>
      <c r="AF2800" s="13" t="s">
        <v>40</v>
      </c>
      <c r="AG2800" s="15">
        <v>45352</v>
      </c>
      <c r="AH2800" s="13" t="s">
        <v>41</v>
      </c>
      <c r="AI2800" s="13" t="s">
        <v>53</v>
      </c>
      <c r="AJ2800" s="13" t="str">
        <f>VLOOKUP(E2800,Precios!Z$2:AA$941,2,FALSE)</f>
        <v>Papel Higienico ELITE 50 metros</v>
      </c>
      <c r="AK2800" s="14">
        <f>VLOOKUP(E2800,Precios!Z$2:BB$941,3,FALSE)*F2800</f>
        <v>-8</v>
      </c>
      <c r="AL2800" s="17"/>
      <c r="AM2800" s="17"/>
      <c r="AN2800" s="17"/>
      <c r="AO2800" s="17"/>
      <c r="AP2800" s="17"/>
      <c r="AQ2800" s="17"/>
      <c r="AR2800" s="17"/>
      <c r="AS2800" s="17"/>
      <c r="AT2800" s="17"/>
      <c r="AU2800" s="17"/>
      <c r="AV2800" s="17"/>
    </row>
    <row r="2801" spans="1:48" ht="15.75" customHeight="1">
      <c r="A2801" s="21" t="s">
        <v>53</v>
      </c>
      <c r="B2801" s="23" t="s">
        <v>1692</v>
      </c>
      <c r="C2801" s="22">
        <v>45722</v>
      </c>
      <c r="D2801" s="23" t="s">
        <v>68</v>
      </c>
      <c r="E2801" s="23" t="s">
        <v>109</v>
      </c>
      <c r="F2801" s="21">
        <v>1</v>
      </c>
      <c r="G2801" s="12">
        <v>10000</v>
      </c>
      <c r="H2801" s="12">
        <v>10000</v>
      </c>
      <c r="I2801" s="23" t="s">
        <v>52</v>
      </c>
      <c r="J2801" s="23" t="s">
        <v>61</v>
      </c>
      <c r="K2801" s="24" t="s">
        <v>86</v>
      </c>
      <c r="L2801" s="24">
        <v>64</v>
      </c>
      <c r="M2801" s="12">
        <v>8403.361344537816</v>
      </c>
      <c r="N2801" s="12">
        <v>8403.361344537816</v>
      </c>
      <c r="O2801" s="12">
        <v>1596.638655462184</v>
      </c>
      <c r="P2801" s="13"/>
      <c r="Q2801" s="14">
        <v>2025</v>
      </c>
      <c r="R2801" s="15">
        <v>45352</v>
      </c>
      <c r="S2801" s="11" t="s">
        <v>395</v>
      </c>
      <c r="T2801" s="16">
        <v>400</v>
      </c>
      <c r="U2801" s="17"/>
      <c r="V2801" s="12">
        <v>2100.8403361344544</v>
      </c>
      <c r="W2801" s="12">
        <v>2100.8403361344544</v>
      </c>
      <c r="X2801" s="12">
        <v>0</v>
      </c>
      <c r="Y2801" s="18">
        <v>45719</v>
      </c>
      <c r="Z2801" s="13" t="s">
        <v>505</v>
      </c>
      <c r="AA2801" s="19" t="str">
        <f>VLOOKUP(D2801,Clientes!$A$2:$J$486,9,FALSE)</f>
        <v>Frecuente</v>
      </c>
      <c r="AB2801" s="13" t="str">
        <f>VLOOKUP(D2801,Clientes!$A$2:$K$486,11,FALSE)</f>
        <v>Empresa</v>
      </c>
      <c r="AC2801" s="13" t="str">
        <f>VLOOKUP(D2801,Clientes!$A$2:$B$486,2,FALSE)</f>
        <v>Jardines de la viña</v>
      </c>
      <c r="AD2801" s="20"/>
      <c r="AE2801" s="20"/>
      <c r="AF2801" s="13" t="s">
        <v>40</v>
      </c>
      <c r="AG2801" s="15">
        <v>45352</v>
      </c>
      <c r="AH2801" s="13" t="s">
        <v>41</v>
      </c>
      <c r="AI2801" s="13" t="s">
        <v>53</v>
      </c>
      <c r="AJ2801" s="13" t="str">
        <f>VLOOKUP(E2801,Precios!Z$2:AA$941,2,FALSE)</f>
        <v>Toalla Papel SPUM D/H 100 metros</v>
      </c>
      <c r="AK2801" s="14">
        <f>VLOOKUP(E2801,Precios!Z$2:BB$941,3,FALSE)*F2801</f>
        <v>-4</v>
      </c>
      <c r="AL2801" s="17"/>
      <c r="AM2801" s="17"/>
      <c r="AN2801" s="17"/>
      <c r="AO2801" s="17"/>
      <c r="AP2801" s="17"/>
      <c r="AQ2801" s="17"/>
      <c r="AR2801" s="17"/>
      <c r="AS2801" s="17"/>
      <c r="AT2801" s="17"/>
      <c r="AU2801" s="17"/>
      <c r="AV2801" s="17"/>
    </row>
    <row r="2802" spans="1:48" ht="15.75" customHeight="1">
      <c r="A2802" s="21" t="s">
        <v>47</v>
      </c>
      <c r="B2802" s="23" t="s">
        <v>1692</v>
      </c>
      <c r="C2802" s="22">
        <v>45722</v>
      </c>
      <c r="D2802" s="23" t="s">
        <v>68</v>
      </c>
      <c r="E2802" s="23" t="s">
        <v>71</v>
      </c>
      <c r="F2802" s="21">
        <v>2</v>
      </c>
      <c r="G2802" s="12">
        <v>2500</v>
      </c>
      <c r="H2802" s="12">
        <v>5000</v>
      </c>
      <c r="I2802" s="23" t="s">
        <v>52</v>
      </c>
      <c r="J2802" s="23" t="s">
        <v>61</v>
      </c>
      <c r="K2802" s="24" t="s">
        <v>86</v>
      </c>
      <c r="L2802" s="24">
        <v>64</v>
      </c>
      <c r="M2802" s="12">
        <v>2100.840336134454</v>
      </c>
      <c r="N2802" s="12">
        <v>4201.680672268908</v>
      </c>
      <c r="O2802" s="12">
        <v>798.31932773109202</v>
      </c>
      <c r="P2802" s="13"/>
      <c r="Q2802" s="14">
        <v>2025</v>
      </c>
      <c r="R2802" s="15">
        <v>45352</v>
      </c>
      <c r="S2802" s="11" t="s">
        <v>414</v>
      </c>
      <c r="T2802" s="16">
        <v>0</v>
      </c>
      <c r="U2802" s="17"/>
      <c r="V2802" s="12">
        <v>1243.6974789915971</v>
      </c>
      <c r="W2802" s="12">
        <v>1243.6974789915971</v>
      </c>
      <c r="X2802" s="12">
        <v>0</v>
      </c>
      <c r="Y2802" s="18">
        <v>45719</v>
      </c>
      <c r="Z2802" s="13" t="s">
        <v>505</v>
      </c>
      <c r="AA2802" s="19" t="str">
        <f>VLOOKUP(D2802,Clientes!$A$2:$J$486,9,FALSE)</f>
        <v>Frecuente</v>
      </c>
      <c r="AB2802" s="13" t="str">
        <f>VLOOKUP(D2802,Clientes!$A$2:$K$486,11,FALSE)</f>
        <v>Empresa</v>
      </c>
      <c r="AC2802" s="13" t="str">
        <f>VLOOKUP(D2802,Clientes!$A$2:$B$486,2,FALSE)</f>
        <v>Jardines de la viña</v>
      </c>
      <c r="AD2802" s="20"/>
      <c r="AE2802" s="20"/>
      <c r="AF2802" s="13" t="s">
        <v>40</v>
      </c>
      <c r="AG2802" s="15">
        <v>45352</v>
      </c>
      <c r="AH2802" s="13" t="s">
        <v>41</v>
      </c>
      <c r="AI2802" s="13" t="s">
        <v>47</v>
      </c>
      <c r="AJ2802" s="13" t="str">
        <f>VLOOKUP(E2802,Precios!Z$2:AA$941,2,FALSE)</f>
        <v>Toalla desinfectante IGENIX 50 unidades</v>
      </c>
      <c r="AK2802" s="14">
        <f>VLOOKUP(E2802,Precios!Z$2:BB$941,3,FALSE)*F2802</f>
        <v>-2</v>
      </c>
      <c r="AL2802" s="17"/>
      <c r="AM2802" s="17"/>
      <c r="AN2802" s="17"/>
      <c r="AO2802" s="17"/>
      <c r="AP2802" s="17"/>
      <c r="AQ2802" s="17"/>
      <c r="AR2802" s="17"/>
      <c r="AS2802" s="17"/>
      <c r="AT2802" s="17"/>
      <c r="AU2802" s="17"/>
      <c r="AV2802" s="17"/>
    </row>
    <row r="2803" spans="1:48" ht="15.75" customHeight="1">
      <c r="A2803" s="21" t="s">
        <v>147</v>
      </c>
      <c r="B2803" s="23" t="s">
        <v>1692</v>
      </c>
      <c r="C2803" s="22">
        <v>45722</v>
      </c>
      <c r="D2803" s="23" t="s">
        <v>732</v>
      </c>
      <c r="E2803" s="23" t="s">
        <v>148</v>
      </c>
      <c r="F2803" s="21">
        <v>1</v>
      </c>
      <c r="G2803" s="12">
        <v>1200.0000000000002</v>
      </c>
      <c r="H2803" s="12">
        <v>1200.0000000000002</v>
      </c>
      <c r="I2803" s="23" t="s">
        <v>52</v>
      </c>
      <c r="J2803" s="23" t="s">
        <v>61</v>
      </c>
      <c r="K2803" s="24" t="s">
        <v>177</v>
      </c>
      <c r="L2803" s="24">
        <v>111</v>
      </c>
      <c r="M2803" s="12">
        <v>1008.4033613445381</v>
      </c>
      <c r="N2803" s="12">
        <v>1008.4033613445381</v>
      </c>
      <c r="O2803" s="12">
        <v>191.59663865546213</v>
      </c>
      <c r="P2803" s="13"/>
      <c r="Q2803" s="14">
        <v>2025</v>
      </c>
      <c r="R2803" s="15">
        <v>45352</v>
      </c>
      <c r="S2803" s="11" t="s">
        <v>360</v>
      </c>
      <c r="T2803" s="16">
        <v>0</v>
      </c>
      <c r="U2803" s="17"/>
      <c r="V2803" s="12">
        <v>357.9831932773111</v>
      </c>
      <c r="W2803" s="12">
        <v>357.9831932773111</v>
      </c>
      <c r="X2803" s="12">
        <v>0</v>
      </c>
      <c r="Y2803" s="18">
        <v>45719</v>
      </c>
      <c r="Z2803" s="13" t="s">
        <v>505</v>
      </c>
      <c r="AA2803" s="19" t="str">
        <f>VLOOKUP(D2803,Clientes!$A$2:$J$486,9,FALSE)</f>
        <v>Ocacional</v>
      </c>
      <c r="AB2803" s="13" t="str">
        <f>VLOOKUP(D2803,Clientes!$A$2:$K$486,11,FALSE)</f>
        <v>Persona Natural</v>
      </c>
      <c r="AC2803" s="13" t="str">
        <f>VLOOKUP(D2803,Clientes!$A$2:$B$486,2,FALSE)</f>
        <v>Jardin del eden</v>
      </c>
      <c r="AD2803" s="20"/>
      <c r="AE2803" s="20"/>
      <c r="AF2803" s="13" t="s">
        <v>40</v>
      </c>
      <c r="AG2803" s="15">
        <v>45352</v>
      </c>
      <c r="AH2803" s="13" t="s">
        <v>41</v>
      </c>
      <c r="AI2803" s="13" t="s">
        <v>147</v>
      </c>
      <c r="AJ2803" s="13" t="str">
        <f>VLOOKUP(E2803,Precios!Z$2:AA$941,2,FALSE)</f>
        <v>Papel Aluminio 7.5 metros</v>
      </c>
      <c r="AK2803" s="14">
        <f>VLOOKUP(E2803,Precios!Z$2:BB$941,3,FALSE)*F2803</f>
        <v>-1</v>
      </c>
      <c r="AL2803" s="17"/>
      <c r="AM2803" s="17"/>
      <c r="AN2803" s="17"/>
      <c r="AO2803" s="17"/>
      <c r="AP2803" s="17"/>
      <c r="AQ2803" s="17"/>
      <c r="AR2803" s="17"/>
      <c r="AS2803" s="17"/>
      <c r="AT2803" s="17"/>
      <c r="AU2803" s="17"/>
      <c r="AV2803" s="17"/>
    </row>
    <row r="2804" spans="1:48" ht="15.75" customHeight="1">
      <c r="A2804" s="21" t="s">
        <v>147</v>
      </c>
      <c r="B2804" s="23" t="s">
        <v>1692</v>
      </c>
      <c r="C2804" s="22">
        <v>45722</v>
      </c>
      <c r="D2804" s="23" t="s">
        <v>732</v>
      </c>
      <c r="E2804" s="23" t="s">
        <v>257</v>
      </c>
      <c r="F2804" s="21">
        <v>1</v>
      </c>
      <c r="G2804" s="12">
        <v>4000.0000000000005</v>
      </c>
      <c r="H2804" s="12">
        <v>4000.0000000000005</v>
      </c>
      <c r="I2804" s="23" t="s">
        <v>52</v>
      </c>
      <c r="J2804" s="23" t="s">
        <v>61</v>
      </c>
      <c r="K2804" s="24" t="s">
        <v>177</v>
      </c>
      <c r="L2804" s="24">
        <v>111</v>
      </c>
      <c r="M2804" s="12">
        <v>3361.3445378151264</v>
      </c>
      <c r="N2804" s="12">
        <v>3361.3445378151264</v>
      </c>
      <c r="O2804" s="12">
        <v>638.65546218487407</v>
      </c>
      <c r="P2804" s="13"/>
      <c r="Q2804" s="14">
        <v>2025</v>
      </c>
      <c r="R2804" s="15">
        <v>45352</v>
      </c>
      <c r="S2804" s="11" t="s">
        <v>412</v>
      </c>
      <c r="T2804" s="16">
        <v>0</v>
      </c>
      <c r="U2804" s="17"/>
      <c r="V2804" s="12">
        <v>1680.6722689075632</v>
      </c>
      <c r="W2804" s="12">
        <v>1680.6722689075632</v>
      </c>
      <c r="X2804" s="12">
        <v>0</v>
      </c>
      <c r="Y2804" s="18">
        <v>45719</v>
      </c>
      <c r="Z2804" s="13" t="s">
        <v>505</v>
      </c>
      <c r="AA2804" s="19" t="str">
        <f>VLOOKUP(D2804,Clientes!$A$2:$J$486,9,FALSE)</f>
        <v>Ocacional</v>
      </c>
      <c r="AB2804" s="13" t="str">
        <f>VLOOKUP(D2804,Clientes!$A$2:$K$486,11,FALSE)</f>
        <v>Persona Natural</v>
      </c>
      <c r="AC2804" s="13" t="str">
        <f>VLOOKUP(D2804,Clientes!$A$2:$B$486,2,FALSE)</f>
        <v>Jardin del eden</v>
      </c>
      <c r="AD2804" s="20"/>
      <c r="AE2804" s="20"/>
      <c r="AF2804" s="13" t="s">
        <v>40</v>
      </c>
      <c r="AG2804" s="15">
        <v>45352</v>
      </c>
      <c r="AH2804" s="13" t="s">
        <v>41</v>
      </c>
      <c r="AI2804" s="13" t="s">
        <v>147</v>
      </c>
      <c r="AJ2804" s="13" t="str">
        <f>VLOOKUP(E2804,Precios!Z$2:AA$941,2,FALSE)</f>
        <v>Film Plástico 100 metros</v>
      </c>
      <c r="AK2804" s="14">
        <f>VLOOKUP(E2804,Precios!Z$2:BB$941,3,FALSE)*F2804</f>
        <v>-1</v>
      </c>
      <c r="AL2804" s="17"/>
      <c r="AM2804" s="17"/>
      <c r="AN2804" s="17"/>
      <c r="AO2804" s="17"/>
      <c r="AP2804" s="17"/>
      <c r="AQ2804" s="17"/>
      <c r="AR2804" s="17"/>
      <c r="AS2804" s="17"/>
      <c r="AT2804" s="17"/>
      <c r="AU2804" s="17"/>
      <c r="AV2804" s="17"/>
    </row>
    <row r="2805" spans="1:48" ht="15.75" customHeight="1">
      <c r="A2805" s="21" t="s">
        <v>43</v>
      </c>
      <c r="B2805" s="23" t="s">
        <v>1692</v>
      </c>
      <c r="C2805" s="22">
        <v>45722</v>
      </c>
      <c r="D2805" s="23" t="s">
        <v>682</v>
      </c>
      <c r="E2805" s="23" t="s">
        <v>45</v>
      </c>
      <c r="F2805" s="21">
        <v>1</v>
      </c>
      <c r="G2805" s="12">
        <v>7600.0975431323541</v>
      </c>
      <c r="H2805" s="12">
        <v>7600.0975431323541</v>
      </c>
      <c r="I2805" s="23" t="s">
        <v>52</v>
      </c>
      <c r="J2805" s="23" t="s">
        <v>61</v>
      </c>
      <c r="K2805" s="24" t="s">
        <v>177</v>
      </c>
      <c r="L2805" s="24">
        <v>111</v>
      </c>
      <c r="M2805" s="12">
        <v>6386.6365908675243</v>
      </c>
      <c r="N2805" s="12">
        <v>6386.6365908675243</v>
      </c>
      <c r="O2805" s="12">
        <v>1213.4609522648298</v>
      </c>
      <c r="P2805" s="13"/>
      <c r="Q2805" s="14">
        <v>2025</v>
      </c>
      <c r="R2805" s="15">
        <v>45352</v>
      </c>
      <c r="S2805" s="11" t="s">
        <v>355</v>
      </c>
      <c r="T2805" s="16">
        <v>0</v>
      </c>
      <c r="U2805" s="17"/>
      <c r="V2805" s="12">
        <v>1148.6365908675243</v>
      </c>
      <c r="W2805" s="12">
        <v>1148.6365908675243</v>
      </c>
      <c r="X2805" s="12">
        <v>0</v>
      </c>
      <c r="Y2805" s="18">
        <v>45719</v>
      </c>
      <c r="Z2805" s="13" t="s">
        <v>505</v>
      </c>
      <c r="AA2805" s="19" t="str">
        <f>VLOOKUP(D2805,Clientes!$A$2:$J$486,9,FALSE)</f>
        <v>Ocacional</v>
      </c>
      <c r="AB2805" s="13" t="str">
        <f>VLOOKUP(D2805,Clientes!$A$2:$K$486,11,FALSE)</f>
        <v>Persona Natural</v>
      </c>
      <c r="AC2805" s="13" t="str">
        <f>VLOOKUP(D2805,Clientes!$A$2:$B$486,2,FALSE)</f>
        <v>Jardines de la viña</v>
      </c>
      <c r="AD2805" s="20"/>
      <c r="AE2805" s="20"/>
      <c r="AF2805" s="13" t="s">
        <v>40</v>
      </c>
      <c r="AG2805" s="15">
        <v>45352</v>
      </c>
      <c r="AH2805" s="13" t="s">
        <v>41</v>
      </c>
      <c r="AI2805" s="13" t="s">
        <v>43</v>
      </c>
      <c r="AJ2805" s="13" t="str">
        <f>VLOOKUP(E2805,Precios!Z$2:AA$941,2,FALSE)</f>
        <v>Bandeja Huevos EXTRA</v>
      </c>
      <c r="AK2805" s="14">
        <f>VLOOKUP(E2805,Precios!Z$2:BB$941,3,FALSE)*F2805</f>
        <v>-1</v>
      </c>
      <c r="AL2805" s="17"/>
      <c r="AM2805" s="17"/>
      <c r="AN2805" s="17"/>
      <c r="AO2805" s="17"/>
      <c r="AP2805" s="17"/>
      <c r="AQ2805" s="17"/>
      <c r="AR2805" s="17"/>
      <c r="AS2805" s="17"/>
      <c r="AT2805" s="17"/>
      <c r="AU2805" s="17"/>
      <c r="AV2805" s="17"/>
    </row>
    <row r="2806" spans="1:48" ht="15.75" customHeight="1">
      <c r="A2806" s="21" t="s">
        <v>43</v>
      </c>
      <c r="B2806" s="23" t="s">
        <v>1692</v>
      </c>
      <c r="C2806" s="22">
        <v>45722</v>
      </c>
      <c r="D2806" s="23" t="s">
        <v>609</v>
      </c>
      <c r="E2806" s="23" t="s">
        <v>45</v>
      </c>
      <c r="F2806" s="21">
        <v>1</v>
      </c>
      <c r="G2806" s="12">
        <v>7600.0975431323541</v>
      </c>
      <c r="H2806" s="12">
        <v>7600.0975431323541</v>
      </c>
      <c r="I2806" s="23" t="s">
        <v>52</v>
      </c>
      <c r="J2806" s="23" t="s">
        <v>61</v>
      </c>
      <c r="K2806" s="24" t="s">
        <v>177</v>
      </c>
      <c r="L2806" s="24">
        <v>111</v>
      </c>
      <c r="M2806" s="12">
        <v>6386.6365908675243</v>
      </c>
      <c r="N2806" s="12">
        <v>6386.6365908675243</v>
      </c>
      <c r="O2806" s="12">
        <v>1213.4609522648298</v>
      </c>
      <c r="P2806" s="13"/>
      <c r="Q2806" s="14">
        <v>2025</v>
      </c>
      <c r="R2806" s="15">
        <v>45352</v>
      </c>
      <c r="S2806" s="11" t="s">
        <v>355</v>
      </c>
      <c r="T2806" s="16">
        <v>0</v>
      </c>
      <c r="U2806" s="17"/>
      <c r="V2806" s="12">
        <v>1148.6365908675243</v>
      </c>
      <c r="W2806" s="12">
        <v>1148.6365908675243</v>
      </c>
      <c r="X2806" s="12">
        <v>0</v>
      </c>
      <c r="Y2806" s="18">
        <v>45719</v>
      </c>
      <c r="Z2806" s="13" t="s">
        <v>505</v>
      </c>
      <c r="AA2806" s="19" t="str">
        <f>VLOOKUP(D2806,Clientes!$A$2:$J$486,9,FALSE)</f>
        <v>Ocacional</v>
      </c>
      <c r="AB2806" s="13" t="str">
        <f>VLOOKUP(D2806,Clientes!$A$2:$K$486,11,FALSE)</f>
        <v>Persona Natural</v>
      </c>
      <c r="AC2806" s="13" t="str">
        <f>VLOOKUP(D2806,Clientes!$A$2:$B$486,2,FALSE)</f>
        <v>Jardin Alto</v>
      </c>
      <c r="AD2806" s="20"/>
      <c r="AE2806" s="20"/>
      <c r="AF2806" s="13" t="s">
        <v>40</v>
      </c>
      <c r="AG2806" s="15">
        <v>45352</v>
      </c>
      <c r="AH2806" s="13" t="s">
        <v>41</v>
      </c>
      <c r="AI2806" s="13" t="s">
        <v>43</v>
      </c>
      <c r="AJ2806" s="13" t="str">
        <f>VLOOKUP(E2806,Precios!Z$2:AA$941,2,FALSE)</f>
        <v>Bandeja Huevos EXTRA</v>
      </c>
      <c r="AK2806" s="14">
        <f>VLOOKUP(E2806,Precios!Z$2:BB$941,3,FALSE)*F2806</f>
        <v>-1</v>
      </c>
      <c r="AL2806" s="17"/>
      <c r="AM2806" s="17"/>
      <c r="AN2806" s="17"/>
      <c r="AO2806" s="17"/>
      <c r="AP2806" s="17"/>
      <c r="AQ2806" s="17"/>
      <c r="AR2806" s="17"/>
      <c r="AS2806" s="17"/>
      <c r="AT2806" s="17"/>
      <c r="AU2806" s="17"/>
      <c r="AV2806" s="17"/>
    </row>
    <row r="2807" spans="1:48" ht="15.75" customHeight="1">
      <c r="A2807" s="21" t="s">
        <v>43</v>
      </c>
      <c r="B2807" s="23" t="s">
        <v>1692</v>
      </c>
      <c r="C2807" s="22">
        <v>45722</v>
      </c>
      <c r="D2807" s="23" t="s">
        <v>44</v>
      </c>
      <c r="E2807" s="23" t="s">
        <v>673</v>
      </c>
      <c r="F2807" s="21">
        <v>1</v>
      </c>
      <c r="G2807" s="12">
        <v>3500.4879408894462</v>
      </c>
      <c r="H2807" s="12">
        <v>3500.4879408894462</v>
      </c>
      <c r="I2807" s="23" t="s">
        <v>52</v>
      </c>
      <c r="J2807" s="23" t="s">
        <v>61</v>
      </c>
      <c r="K2807" s="24" t="s">
        <v>177</v>
      </c>
      <c r="L2807" s="24">
        <v>111</v>
      </c>
      <c r="M2807" s="12">
        <v>2941.5865049491144</v>
      </c>
      <c r="N2807" s="12">
        <v>2941.5865049491144</v>
      </c>
      <c r="O2807" s="12">
        <v>558.90143594033179</v>
      </c>
      <c r="P2807" s="13"/>
      <c r="Q2807" s="14">
        <v>2025</v>
      </c>
      <c r="R2807" s="15">
        <v>45352</v>
      </c>
      <c r="S2807" s="11" t="s">
        <v>355</v>
      </c>
      <c r="T2807" s="16">
        <v>0</v>
      </c>
      <c r="U2807" s="17"/>
      <c r="V2807" s="12">
        <v>831.58650494911444</v>
      </c>
      <c r="W2807" s="12">
        <v>831.58650494911444</v>
      </c>
      <c r="X2807" s="12">
        <v>0</v>
      </c>
      <c r="Y2807" s="18">
        <v>45719</v>
      </c>
      <c r="Z2807" s="13" t="s">
        <v>505</v>
      </c>
      <c r="AA2807" s="19" t="str">
        <f>VLOOKUP(D2807,Clientes!$A$2:$J$486,9,FALSE)</f>
        <v>Frecuente</v>
      </c>
      <c r="AB2807" s="13" t="str">
        <f>VLOOKUP(D2807,Clientes!$A$2:$K$486,11,FALSE)</f>
        <v>Persona Natural</v>
      </c>
      <c r="AC2807" s="13" t="str">
        <f>VLOOKUP(D2807,Clientes!$A$2:$B$486,2,FALSE)</f>
        <v>Sector Colombia</v>
      </c>
      <c r="AD2807" s="20"/>
      <c r="AE2807" s="20"/>
      <c r="AF2807" s="13" t="s">
        <v>40</v>
      </c>
      <c r="AG2807" s="15">
        <v>45352</v>
      </c>
      <c r="AH2807" s="13" t="s">
        <v>41</v>
      </c>
      <c r="AI2807" s="13" t="s">
        <v>43</v>
      </c>
      <c r="AJ2807" s="13" t="str">
        <f>VLOOKUP(E2807,Precios!Z$2:AA$941,2,FALSE)</f>
        <v>Bandeja Huevos EXTRA</v>
      </c>
      <c r="AK2807" s="14">
        <f>VLOOKUP(E2807,Precios!Z$2:BB$941,3,FALSE)*F2807</f>
        <v>-0.4</v>
      </c>
      <c r="AL2807" s="17"/>
      <c r="AM2807" s="17"/>
      <c r="AN2807" s="17"/>
      <c r="AO2807" s="17"/>
      <c r="AP2807" s="17"/>
      <c r="AQ2807" s="17"/>
      <c r="AR2807" s="17"/>
      <c r="AS2807" s="17"/>
      <c r="AT2807" s="17"/>
      <c r="AU2807" s="17"/>
      <c r="AV2807" s="17"/>
    </row>
    <row r="2808" spans="1:48" ht="15.75" customHeight="1">
      <c r="A2808" s="21" t="s">
        <v>43</v>
      </c>
      <c r="B2808" s="23" t="s">
        <v>1692</v>
      </c>
      <c r="C2808" s="22">
        <v>45722</v>
      </c>
      <c r="D2808" s="23" t="s">
        <v>733</v>
      </c>
      <c r="E2808" s="23" t="s">
        <v>45</v>
      </c>
      <c r="F2808" s="21">
        <v>1</v>
      </c>
      <c r="G2808" s="12">
        <v>7600.0975431323541</v>
      </c>
      <c r="H2808" s="12">
        <v>7600.0975431323541</v>
      </c>
      <c r="I2808" s="23" t="s">
        <v>52</v>
      </c>
      <c r="J2808" s="23" t="s">
        <v>61</v>
      </c>
      <c r="K2808" s="24" t="s">
        <v>177</v>
      </c>
      <c r="L2808" s="24">
        <v>111</v>
      </c>
      <c r="M2808" s="12">
        <v>6386.6365908675243</v>
      </c>
      <c r="N2808" s="12">
        <v>6386.6365908675243</v>
      </c>
      <c r="O2808" s="12">
        <v>1213.4609522648298</v>
      </c>
      <c r="P2808" s="13"/>
      <c r="Q2808" s="14">
        <v>2025</v>
      </c>
      <c r="R2808" s="15">
        <v>45352</v>
      </c>
      <c r="S2808" s="11" t="s">
        <v>355</v>
      </c>
      <c r="T2808" s="16">
        <v>0</v>
      </c>
      <c r="U2808" s="17"/>
      <c r="V2808" s="12">
        <v>1148.6365908675243</v>
      </c>
      <c r="W2808" s="12">
        <v>1148.6365908675243</v>
      </c>
      <c r="X2808" s="12">
        <v>0</v>
      </c>
      <c r="Y2808" s="18">
        <v>45719</v>
      </c>
      <c r="Z2808" s="13" t="s">
        <v>505</v>
      </c>
      <c r="AA2808" s="19" t="str">
        <f>VLOOKUP(D2808,Clientes!$A$2:$J$486,9,FALSE)</f>
        <v>Ocacional</v>
      </c>
      <c r="AB2808" s="13" t="str">
        <f>VLOOKUP(D2808,Clientes!$A$2:$K$486,11,FALSE)</f>
        <v>Persona Natural</v>
      </c>
      <c r="AC2808" s="13" t="str">
        <f>VLOOKUP(D2808,Clientes!$A$2:$B$486,2,FALSE)</f>
        <v>Vicente Valdez</v>
      </c>
      <c r="AD2808" s="20"/>
      <c r="AE2808" s="20"/>
      <c r="AF2808" s="13" t="s">
        <v>40</v>
      </c>
      <c r="AG2808" s="15">
        <v>45352</v>
      </c>
      <c r="AH2808" s="13" t="s">
        <v>41</v>
      </c>
      <c r="AI2808" s="13" t="s">
        <v>43</v>
      </c>
      <c r="AJ2808" s="13" t="str">
        <f>VLOOKUP(E2808,Precios!Z$2:AA$941,2,FALSE)</f>
        <v>Bandeja Huevos EXTRA</v>
      </c>
      <c r="AK2808" s="14">
        <f>VLOOKUP(E2808,Precios!Z$2:BB$941,3,FALSE)*F2808</f>
        <v>-1</v>
      </c>
      <c r="AL2808" s="17"/>
      <c r="AM2808" s="17"/>
      <c r="AN2808" s="17"/>
      <c r="AO2808" s="17"/>
      <c r="AP2808" s="17"/>
      <c r="AQ2808" s="17"/>
      <c r="AR2808" s="17"/>
      <c r="AS2808" s="17"/>
      <c r="AT2808" s="17"/>
      <c r="AU2808" s="17"/>
      <c r="AV2808" s="17"/>
    </row>
    <row r="2809" spans="1:48" ht="15.75" customHeight="1">
      <c r="A2809" s="21" t="s">
        <v>47</v>
      </c>
      <c r="B2809" s="23" t="s">
        <v>1692</v>
      </c>
      <c r="C2809" s="22">
        <v>45721</v>
      </c>
      <c r="D2809" s="23" t="s">
        <v>324</v>
      </c>
      <c r="E2809" s="23" t="s">
        <v>306</v>
      </c>
      <c r="F2809" s="21">
        <v>3</v>
      </c>
      <c r="G2809" s="12">
        <v>8000.0000000000009</v>
      </c>
      <c r="H2809" s="12">
        <v>24000.000000000004</v>
      </c>
      <c r="I2809" s="23" t="s">
        <v>52</v>
      </c>
      <c r="J2809" s="23" t="s">
        <v>61</v>
      </c>
      <c r="K2809" s="24" t="s">
        <v>86</v>
      </c>
      <c r="L2809" s="24">
        <v>63</v>
      </c>
      <c r="M2809" s="12">
        <v>6722.6890756302528</v>
      </c>
      <c r="N2809" s="12">
        <v>20168.067226890762</v>
      </c>
      <c r="O2809" s="12">
        <v>3831.9327731092417</v>
      </c>
      <c r="P2809" s="13"/>
      <c r="Q2809" s="14">
        <v>2025</v>
      </c>
      <c r="R2809" s="15">
        <v>45352</v>
      </c>
      <c r="S2809" s="11" t="s">
        <v>372</v>
      </c>
      <c r="T2809" s="16">
        <v>0</v>
      </c>
      <c r="U2809" s="17"/>
      <c r="V2809" s="12">
        <v>5344.5378151260529</v>
      </c>
      <c r="W2809" s="12">
        <v>5344.5378151260529</v>
      </c>
      <c r="X2809" s="12">
        <v>0</v>
      </c>
      <c r="Y2809" s="18">
        <v>45719</v>
      </c>
      <c r="Z2809" s="13" t="s">
        <v>515</v>
      </c>
      <c r="AA2809" s="19" t="str">
        <f>VLOOKUP(D2809,Clientes!$A$2:$J$486,9,FALSE)</f>
        <v>Frecuente</v>
      </c>
      <c r="AB2809" s="13" t="str">
        <f>VLOOKUP(D2809,Clientes!$A$2:$K$486,11,FALSE)</f>
        <v>Empresa</v>
      </c>
      <c r="AC2809" s="13" t="str">
        <f>VLOOKUP(D2809,Clientes!$A$2:$B$486,2,FALSE)</f>
        <v>Jardin de la viña</v>
      </c>
      <c r="AD2809" s="20"/>
      <c r="AE2809" s="20"/>
      <c r="AF2809" s="13" t="s">
        <v>40</v>
      </c>
      <c r="AG2809" s="15">
        <v>45352</v>
      </c>
      <c r="AH2809" s="13" t="s">
        <v>41</v>
      </c>
      <c r="AI2809" s="13" t="s">
        <v>47</v>
      </c>
      <c r="AJ2809" s="13" t="str">
        <f>VLOOKUP(E2809,Precios!Z$2:AA$941,2,FALSE)</f>
        <v>Traperos Humedos VIRGINIA</v>
      </c>
      <c r="AK2809" s="14">
        <f>VLOOKUP(E2809,Precios!Z$2:BB$941,3,FALSE)*F2809</f>
        <v>-9</v>
      </c>
      <c r="AL2809" s="17"/>
      <c r="AM2809" s="17"/>
      <c r="AN2809" s="17"/>
      <c r="AO2809" s="17"/>
      <c r="AP2809" s="17"/>
      <c r="AQ2809" s="17"/>
      <c r="AR2809" s="17"/>
      <c r="AS2809" s="17"/>
      <c r="AT2809" s="17"/>
      <c r="AU2809" s="17"/>
      <c r="AV2809" s="17"/>
    </row>
    <row r="2810" spans="1:48" ht="15.75" customHeight="1">
      <c r="A2810" s="21" t="s">
        <v>53</v>
      </c>
      <c r="B2810" s="23" t="s">
        <v>1692</v>
      </c>
      <c r="C2810" s="22">
        <v>45721</v>
      </c>
      <c r="D2810" s="23" t="s">
        <v>324</v>
      </c>
      <c r="E2810" s="23" t="s">
        <v>203</v>
      </c>
      <c r="F2810" s="21">
        <v>1</v>
      </c>
      <c r="G2810" s="12">
        <v>9500</v>
      </c>
      <c r="H2810" s="12">
        <v>9500</v>
      </c>
      <c r="I2810" s="23" t="s">
        <v>52</v>
      </c>
      <c r="J2810" s="23" t="s">
        <v>61</v>
      </c>
      <c r="K2810" s="24" t="s">
        <v>86</v>
      </c>
      <c r="L2810" s="24">
        <v>63</v>
      </c>
      <c r="M2810" s="12">
        <v>7983.1932773109247</v>
      </c>
      <c r="N2810" s="12">
        <v>7983.1932773109247</v>
      </c>
      <c r="O2810" s="12">
        <v>1516.8067226890753</v>
      </c>
      <c r="P2810" s="13"/>
      <c r="Q2810" s="14">
        <v>2025</v>
      </c>
      <c r="R2810" s="15">
        <v>45352</v>
      </c>
      <c r="S2810" s="11" t="s">
        <v>366</v>
      </c>
      <c r="T2810" s="16">
        <v>0</v>
      </c>
      <c r="U2810" s="17"/>
      <c r="V2810" s="12">
        <v>3072.2689075630251</v>
      </c>
      <c r="W2810" s="12">
        <v>3072.2689075630251</v>
      </c>
      <c r="X2810" s="12">
        <v>0</v>
      </c>
      <c r="Y2810" s="18">
        <v>45719</v>
      </c>
      <c r="Z2810" s="13" t="s">
        <v>515</v>
      </c>
      <c r="AA2810" s="19" t="str">
        <f>VLOOKUP(D2810,Clientes!$A$2:$J$486,9,FALSE)</f>
        <v>Frecuente</v>
      </c>
      <c r="AB2810" s="13" t="str">
        <f>VLOOKUP(D2810,Clientes!$A$2:$K$486,11,FALSE)</f>
        <v>Empresa</v>
      </c>
      <c r="AC2810" s="13" t="str">
        <f>VLOOKUP(D2810,Clientes!$A$2:$B$486,2,FALSE)</f>
        <v>Jardin de la viña</v>
      </c>
      <c r="AD2810" s="20"/>
      <c r="AE2810" s="20"/>
      <c r="AF2810" s="13" t="s">
        <v>40</v>
      </c>
      <c r="AG2810" s="15">
        <v>45352</v>
      </c>
      <c r="AH2810" s="13" t="s">
        <v>41</v>
      </c>
      <c r="AI2810" s="13" t="s">
        <v>53</v>
      </c>
      <c r="AJ2810" s="13" t="str">
        <f>VLOOKUP(E2810,Precios!Z$2:AA$941,2,FALSE)</f>
        <v>Papel Higienico ELITE 50 metros</v>
      </c>
      <c r="AK2810" s="14">
        <f>VLOOKUP(E2810,Precios!Z$2:BB$941,3,FALSE)*F2810</f>
        <v>-3</v>
      </c>
      <c r="AL2810" s="17"/>
      <c r="AM2810" s="17"/>
      <c r="AN2810" s="17"/>
      <c r="AO2810" s="17"/>
      <c r="AP2810" s="17"/>
      <c r="AQ2810" s="17"/>
      <c r="AR2810" s="17"/>
      <c r="AS2810" s="17"/>
      <c r="AT2810" s="17"/>
      <c r="AU2810" s="17"/>
      <c r="AV2810" s="17"/>
    </row>
    <row r="2811" spans="1:48" ht="15.75" customHeight="1">
      <c r="A2811" s="21" t="s">
        <v>53</v>
      </c>
      <c r="B2811" s="23" t="s">
        <v>1692</v>
      </c>
      <c r="C2811" s="22">
        <v>45721</v>
      </c>
      <c r="D2811" s="23" t="s">
        <v>324</v>
      </c>
      <c r="E2811" s="23" t="s">
        <v>157</v>
      </c>
      <c r="F2811" s="21">
        <v>1</v>
      </c>
      <c r="G2811" s="12">
        <v>11499.714937286204</v>
      </c>
      <c r="H2811" s="12">
        <v>11499.714937286204</v>
      </c>
      <c r="I2811" s="23" t="s">
        <v>52</v>
      </c>
      <c r="J2811" s="23" t="s">
        <v>61</v>
      </c>
      <c r="K2811" s="24" t="s">
        <v>86</v>
      </c>
      <c r="L2811" s="24">
        <v>63</v>
      </c>
      <c r="M2811" s="12">
        <v>9663.6259977195004</v>
      </c>
      <c r="N2811" s="12">
        <v>9663.6259977195004</v>
      </c>
      <c r="O2811" s="12">
        <v>1836.0889395667036</v>
      </c>
      <c r="P2811" s="13"/>
      <c r="Q2811" s="14">
        <v>2025</v>
      </c>
      <c r="R2811" s="15">
        <v>45352</v>
      </c>
      <c r="S2811" s="11" t="s">
        <v>376</v>
      </c>
      <c r="T2811" s="16">
        <v>0</v>
      </c>
      <c r="U2811" s="17"/>
      <c r="V2811" s="12">
        <v>2883.6259977194986</v>
      </c>
      <c r="W2811" s="12">
        <v>2883.6259977194986</v>
      </c>
      <c r="X2811" s="12">
        <v>0</v>
      </c>
      <c r="Y2811" s="18">
        <v>45719</v>
      </c>
      <c r="Z2811" s="13" t="s">
        <v>515</v>
      </c>
      <c r="AA2811" s="19" t="str">
        <f>VLOOKUP(D2811,Clientes!$A$2:$J$486,9,FALSE)</f>
        <v>Frecuente</v>
      </c>
      <c r="AB2811" s="13" t="str">
        <f>VLOOKUP(D2811,Clientes!$A$2:$K$486,11,FALSE)</f>
        <v>Empresa</v>
      </c>
      <c r="AC2811" s="13" t="str">
        <f>VLOOKUP(D2811,Clientes!$A$2:$B$486,2,FALSE)</f>
        <v>Jardin de la viña</v>
      </c>
      <c r="AD2811" s="20"/>
      <c r="AE2811" s="20"/>
      <c r="AF2811" s="13" t="s">
        <v>40</v>
      </c>
      <c r="AG2811" s="15">
        <v>45352</v>
      </c>
      <c r="AH2811" s="13" t="s">
        <v>41</v>
      </c>
      <c r="AI2811" s="13" t="s">
        <v>53</v>
      </c>
      <c r="AJ2811" s="13" t="str">
        <f>VLOOKUP(E2811,Precios!Z$2:AA$941,2,FALSE)</f>
        <v>Toalla Papel NOVA 70 metros</v>
      </c>
      <c r="AK2811" s="14">
        <f>VLOOKUP(E2811,Precios!Z$2:BB$941,3,FALSE)*F2811</f>
        <v>-4</v>
      </c>
      <c r="AL2811" s="17"/>
      <c r="AM2811" s="17"/>
      <c r="AN2811" s="17"/>
      <c r="AO2811" s="17"/>
      <c r="AP2811" s="17"/>
      <c r="AQ2811" s="17"/>
      <c r="AR2811" s="17"/>
      <c r="AS2811" s="17"/>
      <c r="AT2811" s="17"/>
      <c r="AU2811" s="17"/>
      <c r="AV2811" s="17"/>
    </row>
    <row r="2812" spans="1:48" ht="15.75" customHeight="1">
      <c r="A2812" s="21" t="s">
        <v>53</v>
      </c>
      <c r="B2812" s="23" t="s">
        <v>1692</v>
      </c>
      <c r="C2812" s="22">
        <v>45721</v>
      </c>
      <c r="D2812" s="23" t="s">
        <v>324</v>
      </c>
      <c r="E2812" s="23" t="s">
        <v>136</v>
      </c>
      <c r="F2812" s="21">
        <v>1</v>
      </c>
      <c r="G2812" s="12">
        <v>14900.292682926829</v>
      </c>
      <c r="H2812" s="12">
        <v>14900.292682926829</v>
      </c>
      <c r="I2812" s="23" t="s">
        <v>52</v>
      </c>
      <c r="J2812" s="23" t="s">
        <v>61</v>
      </c>
      <c r="K2812" s="24" t="s">
        <v>86</v>
      </c>
      <c r="L2812" s="24">
        <v>63</v>
      </c>
      <c r="M2812" s="12">
        <v>12521.254355400697</v>
      </c>
      <c r="N2812" s="12">
        <v>12521.254355400697</v>
      </c>
      <c r="O2812" s="12">
        <v>2379.038327526132</v>
      </c>
      <c r="P2812" s="13"/>
      <c r="Q2812" s="14">
        <v>2025</v>
      </c>
      <c r="R2812" s="15">
        <v>45352</v>
      </c>
      <c r="S2812" s="11" t="s">
        <v>410</v>
      </c>
      <c r="T2812" s="16">
        <v>0</v>
      </c>
      <c r="U2812" s="17"/>
      <c r="V2812" s="12">
        <v>3537.254355400697</v>
      </c>
      <c r="W2812" s="12">
        <v>3537.254355400697</v>
      </c>
      <c r="X2812" s="12">
        <v>0</v>
      </c>
      <c r="Y2812" s="18">
        <v>45719</v>
      </c>
      <c r="Z2812" s="13" t="s">
        <v>515</v>
      </c>
      <c r="AA2812" s="19" t="str">
        <f>VLOOKUP(D2812,Clientes!$A$2:$J$486,9,FALSE)</f>
        <v>Frecuente</v>
      </c>
      <c r="AB2812" s="13" t="str">
        <f>VLOOKUP(D2812,Clientes!$A$2:$K$486,11,FALSE)</f>
        <v>Empresa</v>
      </c>
      <c r="AC2812" s="13" t="str">
        <f>VLOOKUP(D2812,Clientes!$A$2:$B$486,2,FALSE)</f>
        <v>Jardin de la viña</v>
      </c>
      <c r="AD2812" s="20"/>
      <c r="AE2812" s="20"/>
      <c r="AF2812" s="13" t="s">
        <v>40</v>
      </c>
      <c r="AG2812" s="15">
        <v>45352</v>
      </c>
      <c r="AH2812" s="13" t="s">
        <v>41</v>
      </c>
      <c r="AI2812" s="13" t="s">
        <v>53</v>
      </c>
      <c r="AJ2812" s="13" t="str">
        <f>VLOOKUP(E2812,Precios!Z$2:AA$941,2,FALSE)</f>
        <v>Toalla Papel NOVA 26 metros</v>
      </c>
      <c r="AK2812" s="14">
        <f>VLOOKUP(E2812,Precios!Z$2:BB$941,3,FALSE)*F2812</f>
        <v>-8</v>
      </c>
      <c r="AL2812" s="17"/>
      <c r="AM2812" s="17"/>
      <c r="AN2812" s="17"/>
      <c r="AO2812" s="17"/>
      <c r="AP2812" s="17"/>
      <c r="AQ2812" s="17"/>
      <c r="AR2812" s="17"/>
      <c r="AS2812" s="17"/>
      <c r="AT2812" s="17"/>
      <c r="AU2812" s="17"/>
      <c r="AV2812" s="17"/>
    </row>
    <row r="2813" spans="1:48" ht="15.75" customHeight="1">
      <c r="A2813" s="21" t="s">
        <v>47</v>
      </c>
      <c r="B2813" s="23" t="s">
        <v>1692</v>
      </c>
      <c r="C2813" s="22">
        <v>45721</v>
      </c>
      <c r="D2813" s="23" t="s">
        <v>324</v>
      </c>
      <c r="E2813" s="23" t="s">
        <v>155</v>
      </c>
      <c r="F2813" s="21">
        <v>1</v>
      </c>
      <c r="G2813" s="12">
        <v>3400</v>
      </c>
      <c r="H2813" s="12">
        <v>3400</v>
      </c>
      <c r="I2813" s="23" t="s">
        <v>52</v>
      </c>
      <c r="J2813" s="23" t="s">
        <v>61</v>
      </c>
      <c r="K2813" s="24" t="s">
        <v>86</v>
      </c>
      <c r="L2813" s="24">
        <v>63</v>
      </c>
      <c r="M2813" s="12">
        <v>2857.1428571428573</v>
      </c>
      <c r="N2813" s="12">
        <v>2857.1428571428573</v>
      </c>
      <c r="O2813" s="12">
        <v>542.85714285714266</v>
      </c>
      <c r="P2813" s="13"/>
      <c r="Q2813" s="14">
        <v>2025</v>
      </c>
      <c r="R2813" s="15">
        <v>45352</v>
      </c>
      <c r="S2813" s="11" t="s">
        <v>453</v>
      </c>
      <c r="T2813" s="16">
        <v>0</v>
      </c>
      <c r="U2813" s="17"/>
      <c r="V2813" s="12">
        <v>1255.1428571428573</v>
      </c>
      <c r="W2813" s="12">
        <v>1255.1428571428573</v>
      </c>
      <c r="X2813" s="12">
        <v>0</v>
      </c>
      <c r="Y2813" s="18">
        <v>45719</v>
      </c>
      <c r="Z2813" s="13" t="s">
        <v>515</v>
      </c>
      <c r="AA2813" s="19" t="str">
        <f>VLOOKUP(D2813,Clientes!$A$2:$J$486,9,FALSE)</f>
        <v>Frecuente</v>
      </c>
      <c r="AB2813" s="13" t="str">
        <f>VLOOKUP(D2813,Clientes!$A$2:$K$486,11,FALSE)</f>
        <v>Empresa</v>
      </c>
      <c r="AC2813" s="13" t="str">
        <f>VLOOKUP(D2813,Clientes!$A$2:$B$486,2,FALSE)</f>
        <v>Jardin de la viña</v>
      </c>
      <c r="AD2813" s="20"/>
      <c r="AE2813" s="20"/>
      <c r="AF2813" s="13" t="s">
        <v>40</v>
      </c>
      <c r="AG2813" s="15">
        <v>45352</v>
      </c>
      <c r="AH2813" s="13" t="s">
        <v>41</v>
      </c>
      <c r="AI2813" s="13" t="s">
        <v>47</v>
      </c>
      <c r="AJ2813" s="13" t="str">
        <f>VLOOKUP(E2813,Precios!Z$2:AA$941,2,FALSE)</f>
        <v xml:space="preserve">Bolsas Basura TEDDY 50x70 </v>
      </c>
      <c r="AK2813" s="14">
        <f>VLOOKUP(E2813,Precios!Z$2:BB$941,3,FALSE)*F2813</f>
        <v>-6</v>
      </c>
      <c r="AL2813" s="17"/>
      <c r="AM2813" s="17"/>
      <c r="AN2813" s="17"/>
      <c r="AO2813" s="17"/>
      <c r="AP2813" s="17"/>
      <c r="AQ2813" s="17"/>
      <c r="AR2813" s="17"/>
      <c r="AS2813" s="17"/>
      <c r="AT2813" s="17"/>
      <c r="AU2813" s="17"/>
      <c r="AV2813" s="17"/>
    </row>
    <row r="2814" spans="1:48" ht="15.75" customHeight="1">
      <c r="A2814" s="21" t="s">
        <v>47</v>
      </c>
      <c r="B2814" s="23" t="s">
        <v>1692</v>
      </c>
      <c r="C2814" s="22">
        <v>45721</v>
      </c>
      <c r="D2814" s="23" t="s">
        <v>324</v>
      </c>
      <c r="E2814" s="23" t="s">
        <v>181</v>
      </c>
      <c r="F2814" s="21">
        <v>1</v>
      </c>
      <c r="G2814" s="12">
        <v>2999.8783639957433</v>
      </c>
      <c r="H2814" s="12">
        <v>2999.8783639957433</v>
      </c>
      <c r="I2814" s="23" t="s">
        <v>52</v>
      </c>
      <c r="J2814" s="23" t="s">
        <v>61</v>
      </c>
      <c r="K2814" s="24" t="s">
        <v>86</v>
      </c>
      <c r="L2814" s="24">
        <v>63</v>
      </c>
      <c r="M2814" s="12">
        <v>2520.9061882317174</v>
      </c>
      <c r="N2814" s="12">
        <v>2520.9061882317174</v>
      </c>
      <c r="O2814" s="12">
        <v>478.97217576402591</v>
      </c>
      <c r="P2814" s="13"/>
      <c r="Q2814" s="14">
        <v>2025</v>
      </c>
      <c r="R2814" s="15">
        <v>45352</v>
      </c>
      <c r="S2814" s="11" t="s">
        <v>620</v>
      </c>
      <c r="T2814" s="16">
        <v>0</v>
      </c>
      <c r="U2814" s="17"/>
      <c r="V2814" s="12">
        <v>862.9061882317169</v>
      </c>
      <c r="W2814" s="12">
        <v>862.9061882317169</v>
      </c>
      <c r="X2814" s="12">
        <v>0</v>
      </c>
      <c r="Y2814" s="18">
        <v>45719</v>
      </c>
      <c r="Z2814" s="13" t="s">
        <v>515</v>
      </c>
      <c r="AA2814" s="19" t="str">
        <f>VLOOKUP(D2814,Clientes!$A$2:$J$486,9,FALSE)</f>
        <v>Frecuente</v>
      </c>
      <c r="AB2814" s="13" t="str">
        <f>VLOOKUP(D2814,Clientes!$A$2:$K$486,11,FALSE)</f>
        <v>Empresa</v>
      </c>
      <c r="AC2814" s="13" t="str">
        <f>VLOOKUP(D2814,Clientes!$A$2:$B$486,2,FALSE)</f>
        <v>Jardin de la viña</v>
      </c>
      <c r="AD2814" s="20"/>
      <c r="AE2814" s="20"/>
      <c r="AF2814" s="13" t="s">
        <v>40</v>
      </c>
      <c r="AG2814" s="15">
        <v>45352</v>
      </c>
      <c r="AH2814" s="13" t="s">
        <v>41</v>
      </c>
      <c r="AI2814" s="13" t="s">
        <v>47</v>
      </c>
      <c r="AJ2814" s="13" t="str">
        <f>VLOOKUP(E2814,Precios!Z$2:AA$941,2,FALSE)</f>
        <v>Aromatizante Cono TEDDY Gel LAVANDA</v>
      </c>
      <c r="AK2814" s="14">
        <f>VLOOKUP(E2814,Precios!Z$2:BB$941,3,FALSE)*F2814</f>
        <v>-2</v>
      </c>
      <c r="AL2814" s="17"/>
      <c r="AM2814" s="17"/>
      <c r="AN2814" s="17"/>
      <c r="AO2814" s="17"/>
      <c r="AP2814" s="17"/>
      <c r="AQ2814" s="17"/>
      <c r="AR2814" s="17"/>
      <c r="AS2814" s="17"/>
      <c r="AT2814" s="17"/>
      <c r="AU2814" s="17"/>
      <c r="AV2814" s="17"/>
    </row>
    <row r="2815" spans="1:48" ht="15.75" customHeight="1">
      <c r="A2815" s="21" t="s">
        <v>56</v>
      </c>
      <c r="B2815" s="23" t="s">
        <v>1692</v>
      </c>
      <c r="C2815" s="22">
        <v>45721</v>
      </c>
      <c r="D2815" s="23" t="s">
        <v>116</v>
      </c>
      <c r="E2815" s="23" t="s">
        <v>190</v>
      </c>
      <c r="F2815" s="21">
        <v>2</v>
      </c>
      <c r="G2815" s="12">
        <v>2500</v>
      </c>
      <c r="H2815" s="12">
        <v>5000</v>
      </c>
      <c r="I2815" s="23" t="s">
        <v>52</v>
      </c>
      <c r="J2815" s="23" t="s">
        <v>61</v>
      </c>
      <c r="K2815" s="24" t="s">
        <v>177</v>
      </c>
      <c r="L2815" s="24">
        <v>111</v>
      </c>
      <c r="M2815" s="12">
        <v>2100.840336134454</v>
      </c>
      <c r="N2815" s="12">
        <v>4201.680672268908</v>
      </c>
      <c r="O2815" s="12">
        <v>798.31932773109202</v>
      </c>
      <c r="P2815" s="13"/>
      <c r="Q2815" s="14">
        <v>2025</v>
      </c>
      <c r="R2815" s="15">
        <v>45352</v>
      </c>
      <c r="S2815" s="11" t="s">
        <v>492</v>
      </c>
      <c r="T2815" s="16">
        <v>400</v>
      </c>
      <c r="U2815" s="17"/>
      <c r="V2815" s="12">
        <v>1263.8655462184875</v>
      </c>
      <c r="W2815" s="12">
        <v>1263.8655462184875</v>
      </c>
      <c r="X2815" s="12">
        <v>0</v>
      </c>
      <c r="Y2815" s="18">
        <v>45719</v>
      </c>
      <c r="Z2815" s="13" t="s">
        <v>515</v>
      </c>
      <c r="AA2815" s="19" t="str">
        <f>VLOOKUP(D2815,Clientes!$A$2:$J$486,9,FALSE)</f>
        <v>Ocacional</v>
      </c>
      <c r="AB2815" s="13" t="str">
        <f>VLOOKUP(D2815,Clientes!$A$2:$K$486,11,FALSE)</f>
        <v>Persona Natural</v>
      </c>
      <c r="AC2815" s="13">
        <f>VLOOKUP(D2815,Clientes!$A$2:$B$486,2,FALSE)</f>
        <v>0</v>
      </c>
      <c r="AD2815" s="20"/>
      <c r="AE2815" s="20"/>
      <c r="AF2815" s="13" t="s">
        <v>40</v>
      </c>
      <c r="AG2815" s="15">
        <v>45352</v>
      </c>
      <c r="AH2815" s="13" t="s">
        <v>41</v>
      </c>
      <c r="AI2815" s="13" t="s">
        <v>56</v>
      </c>
      <c r="AJ2815" s="13" t="str">
        <f>VLOOKUP(E2815,Precios!Z$2:AA$941,2,FALSE)</f>
        <v>Mantequilla RUMAY</v>
      </c>
      <c r="AK2815" s="14">
        <f>VLOOKUP(E2815,Precios!Z$2:BB$941,3,FALSE)*F2815</f>
        <v>-2</v>
      </c>
      <c r="AL2815" s="17"/>
      <c r="AM2815" s="17"/>
      <c r="AN2815" s="17"/>
      <c r="AO2815" s="17"/>
      <c r="AP2815" s="17"/>
      <c r="AQ2815" s="17"/>
      <c r="AR2815" s="17"/>
      <c r="AS2815" s="17"/>
      <c r="AT2815" s="17"/>
      <c r="AU2815" s="17"/>
      <c r="AV2815" s="17"/>
    </row>
    <row r="2816" spans="1:48" ht="15.75" customHeight="1">
      <c r="A2816" s="21" t="s">
        <v>53</v>
      </c>
      <c r="B2816" s="23" t="s">
        <v>1692</v>
      </c>
      <c r="C2816" s="22">
        <v>45721</v>
      </c>
      <c r="D2816" s="23" t="s">
        <v>133</v>
      </c>
      <c r="E2816" s="23" t="s">
        <v>97</v>
      </c>
      <c r="F2816" s="21">
        <v>1</v>
      </c>
      <c r="G2816" s="12">
        <v>15500.298388701016</v>
      </c>
      <c r="H2816" s="12">
        <v>15500.298388701016</v>
      </c>
      <c r="I2816" s="23" t="s">
        <v>52</v>
      </c>
      <c r="J2816" s="23" t="s">
        <v>61</v>
      </c>
      <c r="K2816" s="24" t="s">
        <v>177</v>
      </c>
      <c r="L2816" s="24">
        <v>111</v>
      </c>
      <c r="M2816" s="12">
        <v>13025.46083084119</v>
      </c>
      <c r="N2816" s="12">
        <v>13025.46083084119</v>
      </c>
      <c r="O2816" s="12">
        <v>2474.8375578598261</v>
      </c>
      <c r="P2816" s="13"/>
      <c r="Q2816" s="14">
        <v>2025</v>
      </c>
      <c r="R2816" s="15">
        <v>45352</v>
      </c>
      <c r="S2816" s="11" t="s">
        <v>366</v>
      </c>
      <c r="T2816" s="16">
        <v>0</v>
      </c>
      <c r="U2816" s="17"/>
      <c r="V2816" s="12">
        <v>3203.6120913453906</v>
      </c>
      <c r="W2816" s="12">
        <v>3203.6120913453906</v>
      </c>
      <c r="X2816" s="12">
        <v>0</v>
      </c>
      <c r="Y2816" s="18">
        <v>45719</v>
      </c>
      <c r="Z2816" s="13" t="s">
        <v>515</v>
      </c>
      <c r="AA2816" s="19" t="str">
        <f>VLOOKUP(D2816,Clientes!$A$2:$J$486,9,FALSE)</f>
        <v>Frecuente</v>
      </c>
      <c r="AB2816" s="13" t="str">
        <f>VLOOKUP(D2816,Clientes!$A$2:$K$486,11,FALSE)</f>
        <v>Persona Natural</v>
      </c>
      <c r="AC2816" s="13" t="str">
        <f>VLOOKUP(D2816,Clientes!$A$2:$B$486,2,FALSE)</f>
        <v>Jardines de la Viña</v>
      </c>
      <c r="AD2816" s="20"/>
      <c r="AE2816" s="20"/>
      <c r="AF2816" s="13" t="s">
        <v>40</v>
      </c>
      <c r="AG2816" s="15">
        <v>45352</v>
      </c>
      <c r="AH2816" s="13" t="s">
        <v>41</v>
      </c>
      <c r="AI2816" s="13" t="s">
        <v>53</v>
      </c>
      <c r="AJ2816" s="13" t="str">
        <f>VLOOKUP(E2816,Precios!Z$2:AA$941,2,FALSE)</f>
        <v>Papel Higienico ELITE 50 metros</v>
      </c>
      <c r="AK2816" s="14">
        <f>VLOOKUP(E2816,Precios!Z$2:BB$941,3,FALSE)*F2816</f>
        <v>-6</v>
      </c>
      <c r="AL2816" s="17"/>
      <c r="AM2816" s="17"/>
      <c r="AN2816" s="17"/>
      <c r="AO2816" s="17"/>
      <c r="AP2816" s="17"/>
      <c r="AQ2816" s="17"/>
      <c r="AR2816" s="17"/>
      <c r="AS2816" s="17"/>
      <c r="AT2816" s="17"/>
      <c r="AU2816" s="17"/>
      <c r="AV2816" s="17"/>
    </row>
    <row r="2817" spans="1:48" ht="15.75" customHeight="1">
      <c r="A2817" s="21" t="s">
        <v>53</v>
      </c>
      <c r="B2817" s="23" t="s">
        <v>1692</v>
      </c>
      <c r="C2817" s="22">
        <v>45721</v>
      </c>
      <c r="D2817" s="23" t="s">
        <v>225</v>
      </c>
      <c r="E2817" s="23" t="s">
        <v>162</v>
      </c>
      <c r="F2817" s="21">
        <v>1</v>
      </c>
      <c r="G2817" s="12">
        <v>9500.0304006809747</v>
      </c>
      <c r="H2817" s="12">
        <v>9500.0304006809747</v>
      </c>
      <c r="I2817" s="23" t="s">
        <v>52</v>
      </c>
      <c r="J2817" s="23" t="s">
        <v>61</v>
      </c>
      <c r="K2817" s="24" t="s">
        <v>177</v>
      </c>
      <c r="L2817" s="24">
        <v>111</v>
      </c>
      <c r="M2817" s="12">
        <v>7983.2188241016602</v>
      </c>
      <c r="N2817" s="12">
        <v>7983.2188241016602</v>
      </c>
      <c r="O2817" s="12">
        <v>1516.8115765793145</v>
      </c>
      <c r="P2817" s="13"/>
      <c r="Q2817" s="14">
        <v>2025</v>
      </c>
      <c r="R2817" s="15">
        <v>45352</v>
      </c>
      <c r="S2817" s="11" t="s">
        <v>437</v>
      </c>
      <c r="T2817" s="16">
        <v>0</v>
      </c>
      <c r="U2817" s="17"/>
      <c r="V2817" s="12">
        <v>2731.2188241016593</v>
      </c>
      <c r="W2817" s="12">
        <v>2731.2188241016593</v>
      </c>
      <c r="X2817" s="12">
        <v>0</v>
      </c>
      <c r="Y2817" s="18">
        <v>45719</v>
      </c>
      <c r="Z2817" s="13" t="s">
        <v>515</v>
      </c>
      <c r="AA2817" s="19" t="str">
        <f>VLOOKUP(D2817,Clientes!$A$2:$J$486,9,FALSE)</f>
        <v>Ocacional</v>
      </c>
      <c r="AB2817" s="13" t="str">
        <f>VLOOKUP(D2817,Clientes!$A$2:$K$486,11,FALSE)</f>
        <v>Persona Natural</v>
      </c>
      <c r="AC2817" s="13" t="str">
        <f>VLOOKUP(D2817,Clientes!$A$2:$B$486,2,FALSE)</f>
        <v>Geronimo</v>
      </c>
      <c r="AD2817" s="20"/>
      <c r="AE2817" s="20"/>
      <c r="AF2817" s="13" t="s">
        <v>40</v>
      </c>
      <c r="AG2817" s="15">
        <v>45352</v>
      </c>
      <c r="AH2817" s="13" t="s">
        <v>41</v>
      </c>
      <c r="AI2817" s="13" t="s">
        <v>53</v>
      </c>
      <c r="AJ2817" s="13" t="str">
        <f>VLOOKUP(E2817,Precios!Z$2:AA$941,2,FALSE)</f>
        <v>Toalla Papel 250 metros dipensador</v>
      </c>
      <c r="AK2817" s="14">
        <f>VLOOKUP(E2817,Precios!Z$2:BB$941,3,FALSE)*F2817</f>
        <v>-1</v>
      </c>
      <c r="AL2817" s="17"/>
      <c r="AM2817" s="17"/>
      <c r="AN2817" s="17"/>
      <c r="AO2817" s="17"/>
      <c r="AP2817" s="17"/>
      <c r="AQ2817" s="17"/>
      <c r="AR2817" s="17"/>
      <c r="AS2817" s="17"/>
      <c r="AT2817" s="17"/>
      <c r="AU2817" s="17"/>
      <c r="AV2817" s="17"/>
    </row>
    <row r="2818" spans="1:48" ht="15.75" customHeight="1">
      <c r="A2818" s="21" t="s">
        <v>53</v>
      </c>
      <c r="B2818" s="23" t="s">
        <v>1692</v>
      </c>
      <c r="C2818" s="22">
        <v>45721</v>
      </c>
      <c r="D2818" s="23" t="s">
        <v>225</v>
      </c>
      <c r="E2818" s="23" t="s">
        <v>192</v>
      </c>
      <c r="F2818" s="21">
        <v>1</v>
      </c>
      <c r="G2818" s="12">
        <v>15990.211345939933</v>
      </c>
      <c r="H2818" s="12">
        <v>15990.211345939933</v>
      </c>
      <c r="I2818" s="23" t="s">
        <v>52</v>
      </c>
      <c r="J2818" s="23" t="s">
        <v>61</v>
      </c>
      <c r="K2818" s="24" t="s">
        <v>177</v>
      </c>
      <c r="L2818" s="24">
        <v>111</v>
      </c>
      <c r="M2818" s="12">
        <v>13437.152391546164</v>
      </c>
      <c r="N2818" s="12">
        <v>13437.152391546164</v>
      </c>
      <c r="O2818" s="12">
        <v>2553.0589543937695</v>
      </c>
      <c r="P2818" s="13"/>
      <c r="Q2818" s="14">
        <v>2025</v>
      </c>
      <c r="R2818" s="15">
        <v>45352</v>
      </c>
      <c r="S2818" s="11" t="s">
        <v>435</v>
      </c>
      <c r="T2818" s="16">
        <v>0</v>
      </c>
      <c r="U2818" s="17"/>
      <c r="V2818" s="12">
        <v>3773.1523915461621</v>
      </c>
      <c r="W2818" s="12">
        <v>3773.1523915461621</v>
      </c>
      <c r="X2818" s="12">
        <v>0</v>
      </c>
      <c r="Y2818" s="18">
        <v>45719</v>
      </c>
      <c r="Z2818" s="13" t="s">
        <v>515</v>
      </c>
      <c r="AA2818" s="19" t="str">
        <f>VLOOKUP(D2818,Clientes!$A$2:$J$486,9,FALSE)</f>
        <v>Ocacional</v>
      </c>
      <c r="AB2818" s="13" t="str">
        <f>VLOOKUP(D2818,Clientes!$A$2:$K$486,11,FALSE)</f>
        <v>Persona Natural</v>
      </c>
      <c r="AC2818" s="13" t="str">
        <f>VLOOKUP(D2818,Clientes!$A$2:$B$486,2,FALSE)</f>
        <v>Geronimo</v>
      </c>
      <c r="AD2818" s="20"/>
      <c r="AE2818" s="20"/>
      <c r="AF2818" s="13" t="s">
        <v>40</v>
      </c>
      <c r="AG2818" s="15">
        <v>45352</v>
      </c>
      <c r="AH2818" s="13" t="s">
        <v>41</v>
      </c>
      <c r="AI2818" s="13" t="s">
        <v>53</v>
      </c>
      <c r="AJ2818" s="13" t="str">
        <f>VLOOKUP(E2818,Precios!Z$2:AA$941,2,FALSE)</f>
        <v>Papel Higienico SWAN 400 hojas</v>
      </c>
      <c r="AK2818" s="14">
        <f>VLOOKUP(E2818,Precios!Z$2:BB$941,3,FALSE)*F2818</f>
        <v>-8</v>
      </c>
      <c r="AL2818" s="17"/>
      <c r="AM2818" s="17"/>
      <c r="AN2818" s="17"/>
      <c r="AO2818" s="17"/>
      <c r="AP2818" s="17"/>
      <c r="AQ2818" s="17"/>
      <c r="AR2818" s="17"/>
      <c r="AS2818" s="17"/>
      <c r="AT2818" s="17"/>
      <c r="AU2818" s="17"/>
      <c r="AV2818" s="17"/>
    </row>
    <row r="2819" spans="1:48" ht="15.75" customHeight="1">
      <c r="A2819" s="21" t="s">
        <v>147</v>
      </c>
      <c r="B2819" s="23" t="s">
        <v>1692</v>
      </c>
      <c r="C2819" s="22">
        <v>45721</v>
      </c>
      <c r="D2819" s="23" t="s">
        <v>734</v>
      </c>
      <c r="E2819" s="23" t="s">
        <v>248</v>
      </c>
      <c r="F2819" s="21">
        <v>2</v>
      </c>
      <c r="G2819" s="12">
        <v>9000</v>
      </c>
      <c r="H2819" s="12">
        <v>18000</v>
      </c>
      <c r="I2819" s="23" t="s">
        <v>52</v>
      </c>
      <c r="J2819" s="23" t="s">
        <v>61</v>
      </c>
      <c r="K2819" s="24" t="s">
        <v>177</v>
      </c>
      <c r="L2819" s="24">
        <v>111</v>
      </c>
      <c r="M2819" s="12">
        <v>7563.0252100840344</v>
      </c>
      <c r="N2819" s="12">
        <v>15126.050420168069</v>
      </c>
      <c r="O2819" s="12">
        <v>2873.9495798319313</v>
      </c>
      <c r="P2819" s="13"/>
      <c r="Q2819" s="14">
        <v>2025</v>
      </c>
      <c r="R2819" s="15">
        <v>45352</v>
      </c>
      <c r="S2819" s="11" t="s">
        <v>412</v>
      </c>
      <c r="T2819" s="16">
        <v>0</v>
      </c>
      <c r="U2819" s="17"/>
      <c r="V2819" s="12">
        <v>5546.2184873949591</v>
      </c>
      <c r="W2819" s="12">
        <v>5546.2184873949591</v>
      </c>
      <c r="X2819" s="12">
        <v>0</v>
      </c>
      <c r="Y2819" s="18">
        <v>45719</v>
      </c>
      <c r="Z2819" s="13" t="s">
        <v>515</v>
      </c>
      <c r="AA2819" s="19" t="str">
        <f>VLOOKUP(D2819,Clientes!$A$2:$J$486,9,FALSE)</f>
        <v>Ocacional</v>
      </c>
      <c r="AB2819" s="13" t="str">
        <f>VLOOKUP(D2819,Clientes!$A$2:$K$486,11,FALSE)</f>
        <v>Persona Natural</v>
      </c>
      <c r="AC2819" s="13" t="str">
        <f>VLOOKUP(D2819,Clientes!$A$2:$B$486,2,FALSE)</f>
        <v>Geronimo</v>
      </c>
      <c r="AD2819" s="20"/>
      <c r="AE2819" s="20"/>
      <c r="AF2819" s="13" t="s">
        <v>40</v>
      </c>
      <c r="AG2819" s="15">
        <v>45352</v>
      </c>
      <c r="AH2819" s="13" t="s">
        <v>41</v>
      </c>
      <c r="AI2819" s="13" t="s">
        <v>147</v>
      </c>
      <c r="AJ2819" s="13" t="str">
        <f>VLOOKUP(E2819,Precios!Z$2:AA$941,2,FALSE)</f>
        <v>Film Plástico 300 metros</v>
      </c>
      <c r="AK2819" s="14">
        <f>VLOOKUP(E2819,Precios!Z$2:BB$941,3,FALSE)*F2819</f>
        <v>-2</v>
      </c>
      <c r="AL2819" s="17"/>
      <c r="AM2819" s="17"/>
      <c r="AN2819" s="17"/>
      <c r="AO2819" s="17"/>
      <c r="AP2819" s="17"/>
      <c r="AQ2819" s="17"/>
      <c r="AR2819" s="17"/>
      <c r="AS2819" s="17"/>
      <c r="AT2819" s="17"/>
      <c r="AU2819" s="17"/>
      <c r="AV2819" s="17"/>
    </row>
    <row r="2820" spans="1:48" ht="15.75" customHeight="1">
      <c r="A2820" s="21" t="s">
        <v>76</v>
      </c>
      <c r="B2820" s="23" t="s">
        <v>1692</v>
      </c>
      <c r="C2820" s="22">
        <v>45720</v>
      </c>
      <c r="D2820" s="23" t="s">
        <v>915</v>
      </c>
      <c r="E2820" s="23" t="s">
        <v>137</v>
      </c>
      <c r="F2820" s="21">
        <v>1</v>
      </c>
      <c r="G2820" s="12">
        <v>3500.0000000000005</v>
      </c>
      <c r="H2820" s="34">
        <v>3500.0000000000005</v>
      </c>
      <c r="I2820" s="23" t="s">
        <v>52</v>
      </c>
      <c r="J2820" s="23" t="s">
        <v>61</v>
      </c>
      <c r="K2820" s="24" t="s">
        <v>177</v>
      </c>
      <c r="L2820" s="24">
        <v>110</v>
      </c>
      <c r="M2820" s="12">
        <v>2941.1764705882356</v>
      </c>
      <c r="N2820" s="12">
        <v>2941.1764705882356</v>
      </c>
      <c r="O2820" s="12">
        <v>558.82352941176487</v>
      </c>
      <c r="P2820" s="13"/>
      <c r="Q2820" s="14">
        <v>2025</v>
      </c>
      <c r="R2820" s="15">
        <v>45352</v>
      </c>
      <c r="S2820" s="11" t="s">
        <v>406</v>
      </c>
      <c r="T2820" s="16">
        <v>5</v>
      </c>
      <c r="U2820" s="17"/>
      <c r="V2820" s="12">
        <v>848.73949579831969</v>
      </c>
      <c r="W2820" s="12">
        <v>848.73949579831969</v>
      </c>
      <c r="X2820" s="12">
        <v>0</v>
      </c>
      <c r="Y2820" s="18">
        <v>45719</v>
      </c>
      <c r="Z2820" s="13" t="s">
        <v>516</v>
      </c>
      <c r="AA2820" s="19" t="str">
        <f>VLOOKUP(D2820,Clientes!$A$2:$J$486,9,FALSE)</f>
        <v>Regular</v>
      </c>
      <c r="AB2820" s="13" t="str">
        <f>VLOOKUP(D2820,Clientes!$A$2:$K$486,11,FALSE)</f>
        <v>Persona Natural</v>
      </c>
      <c r="AC2820" s="13" t="str">
        <f>VLOOKUP(D2820,Clientes!$A$2:$B$486,2,FALSE)</f>
        <v>Jardin del Eden</v>
      </c>
      <c r="AD2820" s="20"/>
      <c r="AE2820" s="20"/>
      <c r="AF2820" s="13" t="s">
        <v>40</v>
      </c>
      <c r="AG2820" s="15">
        <v>45352</v>
      </c>
      <c r="AH2820" s="13" t="s">
        <v>41</v>
      </c>
      <c r="AI2820" s="13" t="s">
        <v>76</v>
      </c>
      <c r="AJ2820" s="13" t="str">
        <f>VLOOKUP(E2820,Precios!Z$2:AA$941,2,FALSE)</f>
        <v>Detergente SPUM 5 Litros (Blanco)</v>
      </c>
      <c r="AK2820" s="14">
        <f>VLOOKUP(E2820,Precios!Z$2:BB$941,3,FALSE)*F2820</f>
        <v>-1</v>
      </c>
      <c r="AL2820" s="17"/>
      <c r="AM2820" s="17"/>
      <c r="AN2820" s="17"/>
      <c r="AO2820" s="17"/>
      <c r="AP2820" s="17"/>
      <c r="AQ2820" s="17"/>
      <c r="AR2820" s="17"/>
      <c r="AS2820" s="17"/>
      <c r="AT2820" s="17"/>
      <c r="AU2820" s="17"/>
      <c r="AV2820" s="17"/>
    </row>
    <row r="2821" spans="1:48" ht="15.75" customHeight="1">
      <c r="A2821" s="21" t="s">
        <v>43</v>
      </c>
      <c r="B2821" s="23" t="s">
        <v>1692</v>
      </c>
      <c r="C2821" s="22">
        <v>45720</v>
      </c>
      <c r="D2821" s="23" t="s">
        <v>507</v>
      </c>
      <c r="E2821" s="23" t="s">
        <v>45</v>
      </c>
      <c r="F2821" s="21">
        <v>1</v>
      </c>
      <c r="G2821" s="12">
        <v>7600.0975431323541</v>
      </c>
      <c r="H2821" s="12">
        <v>7600.0975431323541</v>
      </c>
      <c r="I2821" s="23" t="s">
        <v>52</v>
      </c>
      <c r="J2821" s="23" t="s">
        <v>61</v>
      </c>
      <c r="K2821" s="24" t="s">
        <v>177</v>
      </c>
      <c r="L2821" s="24">
        <v>110</v>
      </c>
      <c r="M2821" s="12">
        <v>6386.6365908675243</v>
      </c>
      <c r="N2821" s="12">
        <v>6386.6365908675243</v>
      </c>
      <c r="O2821" s="12">
        <v>1213.4609522648298</v>
      </c>
      <c r="P2821" s="13"/>
      <c r="Q2821" s="14">
        <v>2025</v>
      </c>
      <c r="R2821" s="15">
        <v>45352</v>
      </c>
      <c r="S2821" s="11" t="s">
        <v>355</v>
      </c>
      <c r="T2821" s="16">
        <v>0</v>
      </c>
      <c r="U2821" s="17"/>
      <c r="V2821" s="12">
        <v>1148.6365908675243</v>
      </c>
      <c r="W2821" s="12">
        <v>1148.6365908675243</v>
      </c>
      <c r="X2821" s="12">
        <v>0</v>
      </c>
      <c r="Y2821" s="18">
        <v>45719</v>
      </c>
      <c r="Z2821" s="13" t="s">
        <v>516</v>
      </c>
      <c r="AA2821" s="19" t="str">
        <f>VLOOKUP(D2821,Clientes!$A$2:$J$486,9,FALSE)</f>
        <v>Ocacional</v>
      </c>
      <c r="AB2821" s="13" t="str">
        <f>VLOOKUP(D2821,Clientes!$A$2:$K$486,11,FALSE)</f>
        <v>Persona Natural</v>
      </c>
      <c r="AC2821" s="13" t="str">
        <f>VLOOKUP(D2821,Clientes!$A$2:$B$486,2,FALSE)</f>
        <v>Jardines de la viña</v>
      </c>
      <c r="AD2821" s="20"/>
      <c r="AE2821" s="20"/>
      <c r="AF2821" s="13" t="s">
        <v>40</v>
      </c>
      <c r="AG2821" s="15">
        <v>45352</v>
      </c>
      <c r="AH2821" s="13" t="s">
        <v>41</v>
      </c>
      <c r="AI2821" s="13" t="s">
        <v>43</v>
      </c>
      <c r="AJ2821" s="13" t="str">
        <f>VLOOKUP(E2821,Precios!Z$2:AA$941,2,FALSE)</f>
        <v>Bandeja Huevos EXTRA</v>
      </c>
      <c r="AK2821" s="14">
        <f>VLOOKUP(E2821,Precios!Z$2:BB$941,3,FALSE)*F2821</f>
        <v>-1</v>
      </c>
      <c r="AL2821" s="17"/>
      <c r="AM2821" s="17"/>
      <c r="AN2821" s="17"/>
      <c r="AO2821" s="17"/>
      <c r="AP2821" s="17"/>
      <c r="AQ2821" s="17"/>
      <c r="AR2821" s="17"/>
      <c r="AS2821" s="17"/>
      <c r="AT2821" s="17"/>
      <c r="AU2821" s="17"/>
      <c r="AV2821" s="17"/>
    </row>
    <row r="2822" spans="1:48" ht="15.75" customHeight="1">
      <c r="A2822" s="21" t="s">
        <v>43</v>
      </c>
      <c r="B2822" s="23" t="s">
        <v>1692</v>
      </c>
      <c r="C2822" s="22">
        <v>45720</v>
      </c>
      <c r="D2822" s="23" t="s">
        <v>126</v>
      </c>
      <c r="E2822" s="23" t="s">
        <v>45</v>
      </c>
      <c r="F2822" s="21">
        <v>1</v>
      </c>
      <c r="G2822" s="12">
        <v>7600.0975431323541</v>
      </c>
      <c r="H2822" s="12">
        <v>7600.0975431323541</v>
      </c>
      <c r="I2822" s="23" t="s">
        <v>52</v>
      </c>
      <c r="J2822" s="23" t="s">
        <v>61</v>
      </c>
      <c r="K2822" s="24" t="s">
        <v>177</v>
      </c>
      <c r="L2822" s="24">
        <v>110</v>
      </c>
      <c r="M2822" s="12">
        <v>6386.6365908675243</v>
      </c>
      <c r="N2822" s="12">
        <v>6386.6365908675243</v>
      </c>
      <c r="O2822" s="12">
        <v>1213.4609522648298</v>
      </c>
      <c r="P2822" s="13"/>
      <c r="Q2822" s="14">
        <v>2025</v>
      </c>
      <c r="R2822" s="15">
        <v>45352</v>
      </c>
      <c r="S2822" s="11" t="s">
        <v>355</v>
      </c>
      <c r="T2822" s="16">
        <v>0</v>
      </c>
      <c r="U2822" s="17"/>
      <c r="V2822" s="12">
        <v>1148.6365908675243</v>
      </c>
      <c r="W2822" s="12">
        <v>1148.6365908675243</v>
      </c>
      <c r="X2822" s="12">
        <v>0</v>
      </c>
      <c r="Y2822" s="18">
        <v>45719</v>
      </c>
      <c r="Z2822" s="13" t="s">
        <v>516</v>
      </c>
      <c r="AA2822" s="19" t="str">
        <f>VLOOKUP(D2822,Clientes!$A$2:$J$486,9,FALSE)</f>
        <v>Frecuente</v>
      </c>
      <c r="AB2822" s="13" t="str">
        <f>VLOOKUP(D2822,Clientes!$A$2:$K$486,11,FALSE)</f>
        <v>Persona Natural</v>
      </c>
      <c r="AC2822" s="13" t="str">
        <f>VLOOKUP(D2822,Clientes!$A$2:$B$486,2,FALSE)</f>
        <v>Jardines de la Viña</v>
      </c>
      <c r="AD2822" s="20"/>
      <c r="AE2822" s="20"/>
      <c r="AF2822" s="13" t="s">
        <v>40</v>
      </c>
      <c r="AG2822" s="15">
        <v>45352</v>
      </c>
      <c r="AH2822" s="13" t="s">
        <v>41</v>
      </c>
      <c r="AI2822" s="13" t="s">
        <v>43</v>
      </c>
      <c r="AJ2822" s="13" t="str">
        <f>VLOOKUP(E2822,Precios!Z$2:AA$941,2,FALSE)</f>
        <v>Bandeja Huevos EXTRA</v>
      </c>
      <c r="AK2822" s="14">
        <f>VLOOKUP(E2822,Precios!Z$2:BB$941,3,FALSE)*F2822</f>
        <v>-1</v>
      </c>
      <c r="AL2822" s="17"/>
      <c r="AM2822" s="17"/>
      <c r="AN2822" s="17"/>
      <c r="AO2822" s="17"/>
      <c r="AP2822" s="17"/>
      <c r="AQ2822" s="17"/>
      <c r="AR2822" s="17"/>
      <c r="AS2822" s="17"/>
      <c r="AT2822" s="17"/>
      <c r="AU2822" s="17"/>
      <c r="AV2822" s="17"/>
    </row>
    <row r="2823" spans="1:48" ht="15.75" customHeight="1">
      <c r="A2823" s="21" t="s">
        <v>76</v>
      </c>
      <c r="B2823" s="23" t="s">
        <v>1692</v>
      </c>
      <c r="C2823" s="22">
        <v>45720</v>
      </c>
      <c r="D2823" s="23" t="s">
        <v>301</v>
      </c>
      <c r="E2823" s="23" t="s">
        <v>166</v>
      </c>
      <c r="F2823" s="21">
        <v>1</v>
      </c>
      <c r="G2823" s="12">
        <v>3500.0000000000005</v>
      </c>
      <c r="H2823" s="12">
        <v>3500.0000000000005</v>
      </c>
      <c r="I2823" s="23" t="s">
        <v>52</v>
      </c>
      <c r="J2823" s="23" t="s">
        <v>61</v>
      </c>
      <c r="K2823" s="24" t="s">
        <v>177</v>
      </c>
      <c r="L2823" s="24">
        <v>110</v>
      </c>
      <c r="M2823" s="12">
        <v>2941.1764705882356</v>
      </c>
      <c r="N2823" s="12">
        <v>2941.1764705882356</v>
      </c>
      <c r="O2823" s="12">
        <v>558.82352941176487</v>
      </c>
      <c r="P2823" s="13"/>
      <c r="Q2823" s="14">
        <v>2025</v>
      </c>
      <c r="R2823" s="15">
        <v>45352</v>
      </c>
      <c r="S2823" s="11" t="s">
        <v>448</v>
      </c>
      <c r="T2823" s="16">
        <v>5</v>
      </c>
      <c r="U2823" s="17"/>
      <c r="V2823" s="12">
        <v>1016.8067226890757</v>
      </c>
      <c r="W2823" s="12">
        <v>1016.8067226890757</v>
      </c>
      <c r="X2823" s="12">
        <v>0</v>
      </c>
      <c r="Y2823" s="18">
        <v>45719</v>
      </c>
      <c r="Z2823" s="13" t="s">
        <v>516</v>
      </c>
      <c r="AA2823" s="19" t="str">
        <f>VLOOKUP(D2823,Clientes!$A$2:$J$486,9,FALSE)</f>
        <v>Regular</v>
      </c>
      <c r="AB2823" s="13" t="str">
        <f>VLOOKUP(D2823,Clientes!$A$2:$K$486,11,FALSE)</f>
        <v>Persona Natural</v>
      </c>
      <c r="AC2823" s="13" t="str">
        <f>VLOOKUP(D2823,Clientes!$A$2:$B$486,2,FALSE)</f>
        <v>Sector Chilcas</v>
      </c>
      <c r="AD2823" s="20"/>
      <c r="AE2823" s="20"/>
      <c r="AF2823" s="13" t="s">
        <v>40</v>
      </c>
      <c r="AG2823" s="15">
        <v>45352</v>
      </c>
      <c r="AH2823" s="13" t="s">
        <v>41</v>
      </c>
      <c r="AI2823" s="13" t="s">
        <v>76</v>
      </c>
      <c r="AJ2823" s="13" t="str">
        <f>VLOOKUP(E2823,Precios!Z$2:AA$941,2,FALSE)</f>
        <v>Cloro GEL SPUM 5 Litros</v>
      </c>
      <c r="AK2823" s="14">
        <f>VLOOKUP(E2823,Precios!Z$2:BB$941,3,FALSE)*F2823</f>
        <v>-1</v>
      </c>
      <c r="AL2823" s="17"/>
      <c r="AM2823" s="17"/>
      <c r="AN2823" s="17"/>
      <c r="AO2823" s="17"/>
      <c r="AP2823" s="17"/>
      <c r="AQ2823" s="17"/>
      <c r="AR2823" s="17"/>
      <c r="AS2823" s="17"/>
      <c r="AT2823" s="17"/>
      <c r="AU2823" s="17"/>
      <c r="AV2823" s="17"/>
    </row>
    <row r="2824" spans="1:48" ht="15.75" customHeight="1">
      <c r="A2824" s="21" t="s">
        <v>53</v>
      </c>
      <c r="B2824" s="23" t="s">
        <v>1692</v>
      </c>
      <c r="C2824" s="22">
        <v>45720</v>
      </c>
      <c r="D2824" s="23" t="s">
        <v>227</v>
      </c>
      <c r="E2824" s="23" t="s">
        <v>55</v>
      </c>
      <c r="F2824" s="21">
        <v>1</v>
      </c>
      <c r="G2824" s="12">
        <v>19989.738327347361</v>
      </c>
      <c r="H2824" s="12">
        <v>19989.738327347361</v>
      </c>
      <c r="I2824" s="23" t="s">
        <v>52</v>
      </c>
      <c r="J2824" s="23" t="s">
        <v>61</v>
      </c>
      <c r="K2824" s="24" t="s">
        <v>177</v>
      </c>
      <c r="L2824" s="24">
        <v>110</v>
      </c>
      <c r="M2824" s="12">
        <v>16798.099434745684</v>
      </c>
      <c r="N2824" s="12">
        <v>16798.099434745684</v>
      </c>
      <c r="O2824" s="12">
        <v>3191.6388926016771</v>
      </c>
      <c r="P2824" s="13"/>
      <c r="Q2824" s="14">
        <v>2025</v>
      </c>
      <c r="R2824" s="15">
        <v>45352</v>
      </c>
      <c r="S2824" s="11" t="s">
        <v>366</v>
      </c>
      <c r="T2824" s="16">
        <v>0</v>
      </c>
      <c r="U2824" s="17"/>
      <c r="V2824" s="12">
        <v>3702.3011154179476</v>
      </c>
      <c r="W2824" s="12">
        <v>3702.3011154179476</v>
      </c>
      <c r="X2824" s="12">
        <v>0</v>
      </c>
      <c r="Y2824" s="18">
        <v>45719</v>
      </c>
      <c r="Z2824" s="13" t="s">
        <v>516</v>
      </c>
      <c r="AA2824" s="19" t="str">
        <f>VLOOKUP(D2824,Clientes!$A$2:$J$486,9,FALSE)</f>
        <v>Frecuente</v>
      </c>
      <c r="AB2824" s="13" t="str">
        <f>VLOOKUP(D2824,Clientes!$A$2:$K$486,11,FALSE)</f>
        <v>Persona Natural</v>
      </c>
      <c r="AC2824" s="13" t="str">
        <f>VLOOKUP(D2824,Clientes!$A$2:$B$486,2,FALSE)</f>
        <v>Sector Santa Amalia</v>
      </c>
      <c r="AD2824" s="20"/>
      <c r="AE2824" s="20"/>
      <c r="AF2824" s="13" t="s">
        <v>40</v>
      </c>
      <c r="AG2824" s="15">
        <v>45352</v>
      </c>
      <c r="AH2824" s="13" t="s">
        <v>41</v>
      </c>
      <c r="AI2824" s="13" t="s">
        <v>53</v>
      </c>
      <c r="AJ2824" s="13" t="str">
        <f>VLOOKUP(E2824,Precios!Z$2:AA$941,2,FALSE)</f>
        <v>Papel Higienico ELITE 50 metros</v>
      </c>
      <c r="AK2824" s="14">
        <f>VLOOKUP(E2824,Precios!Z$2:BB$941,3,FALSE)*F2824</f>
        <v>-8</v>
      </c>
      <c r="AL2824" s="17"/>
      <c r="AM2824" s="17"/>
      <c r="AN2824" s="17"/>
      <c r="AO2824" s="17"/>
      <c r="AP2824" s="17"/>
      <c r="AQ2824" s="17"/>
      <c r="AR2824" s="17"/>
      <c r="AS2824" s="17"/>
      <c r="AT2824" s="17"/>
      <c r="AU2824" s="17"/>
      <c r="AV2824" s="17"/>
    </row>
    <row r="2825" spans="1:48" ht="15.75" customHeight="1">
      <c r="A2825" s="21" t="s">
        <v>50</v>
      </c>
      <c r="B2825" s="23" t="s">
        <v>1692</v>
      </c>
      <c r="C2825" s="22">
        <v>45719</v>
      </c>
      <c r="D2825" s="23" t="s">
        <v>124</v>
      </c>
      <c r="E2825" s="23" t="s">
        <v>51</v>
      </c>
      <c r="F2825" s="21">
        <v>2</v>
      </c>
      <c r="G2825" s="12">
        <v>1000</v>
      </c>
      <c r="H2825" s="12">
        <v>2000</v>
      </c>
      <c r="I2825" s="23" t="s">
        <v>52</v>
      </c>
      <c r="J2825" s="23" t="s">
        <v>61</v>
      </c>
      <c r="K2825" s="24" t="s">
        <v>177</v>
      </c>
      <c r="L2825" s="24">
        <v>110</v>
      </c>
      <c r="M2825" s="12">
        <v>840.3361344537816</v>
      </c>
      <c r="N2825" s="12">
        <v>1680.6722689075632</v>
      </c>
      <c r="O2825" s="12">
        <v>319.32773109243681</v>
      </c>
      <c r="P2825" s="13"/>
      <c r="Q2825" s="14">
        <v>2025</v>
      </c>
      <c r="R2825" s="15">
        <v>45352</v>
      </c>
      <c r="S2825" s="11" t="s">
        <v>51</v>
      </c>
      <c r="T2825" s="16">
        <v>0</v>
      </c>
      <c r="U2825" s="17"/>
      <c r="V2825" s="12">
        <v>966.38655462184863</v>
      </c>
      <c r="W2825" s="12">
        <v>966.38655462184863</v>
      </c>
      <c r="X2825" s="12">
        <v>0</v>
      </c>
      <c r="Y2825" s="18">
        <v>45719</v>
      </c>
      <c r="Z2825" s="13" t="s">
        <v>523</v>
      </c>
      <c r="AA2825" s="19" t="str">
        <f>VLOOKUP(D2825,Clientes!$A$2:$J$486,9,FALSE)</f>
        <v>Regular</v>
      </c>
      <c r="AB2825" s="13" t="str">
        <f>VLOOKUP(D2825,Clientes!$A$2:$K$486,11,FALSE)</f>
        <v>Persona Natural</v>
      </c>
      <c r="AC2825" s="13" t="str">
        <f>VLOOKUP(D2825,Clientes!$A$2:$B$486,2,FALSE)</f>
        <v>Jardines de la viña</v>
      </c>
      <c r="AD2825" s="20"/>
      <c r="AE2825" s="20"/>
      <c r="AF2825" s="13" t="s">
        <v>40</v>
      </c>
      <c r="AG2825" s="15">
        <v>45352</v>
      </c>
      <c r="AH2825" s="13" t="s">
        <v>41</v>
      </c>
      <c r="AI2825" s="13" t="s">
        <v>50</v>
      </c>
      <c r="AJ2825" s="13" t="str">
        <f>VLOOKUP(E2825,Precios!Z$2:AA$941,2,FALSE)</f>
        <v>Hielo 1 Kilo</v>
      </c>
      <c r="AK2825" s="14">
        <f>VLOOKUP(E2825,Precios!Z$2:BB$941,3,FALSE)*F2825</f>
        <v>-2</v>
      </c>
      <c r="AL2825" s="17"/>
      <c r="AM2825" s="17"/>
      <c r="AN2825" s="17"/>
      <c r="AO2825" s="17"/>
      <c r="AP2825" s="17"/>
      <c r="AQ2825" s="17"/>
      <c r="AR2825" s="17"/>
      <c r="AS2825" s="17"/>
      <c r="AT2825" s="17"/>
      <c r="AU2825" s="17"/>
      <c r="AV2825" s="17"/>
    </row>
    <row r="2826" spans="1:48" ht="15.75" customHeight="1">
      <c r="A2826" s="21" t="s">
        <v>43</v>
      </c>
      <c r="B2826" s="23" t="s">
        <v>1692</v>
      </c>
      <c r="C2826" s="22">
        <v>45719</v>
      </c>
      <c r="D2826" s="23" t="s">
        <v>120</v>
      </c>
      <c r="E2826" s="23" t="s">
        <v>45</v>
      </c>
      <c r="F2826" s="21">
        <v>1</v>
      </c>
      <c r="G2826" s="12">
        <v>7600.0975431323541</v>
      </c>
      <c r="H2826" s="12">
        <v>7600.0975431323541</v>
      </c>
      <c r="I2826" s="23" t="s">
        <v>52</v>
      </c>
      <c r="J2826" s="23" t="s">
        <v>61</v>
      </c>
      <c r="K2826" s="24" t="s">
        <v>177</v>
      </c>
      <c r="L2826" s="24">
        <v>110</v>
      </c>
      <c r="M2826" s="12">
        <v>6386.6365908675243</v>
      </c>
      <c r="N2826" s="12">
        <v>6386.6365908675243</v>
      </c>
      <c r="O2826" s="12">
        <v>1213.4609522648298</v>
      </c>
      <c r="P2826" s="13"/>
      <c r="Q2826" s="14">
        <v>2025</v>
      </c>
      <c r="R2826" s="15">
        <v>45352</v>
      </c>
      <c r="S2826" s="11" t="s">
        <v>355</v>
      </c>
      <c r="T2826" s="16">
        <v>0</v>
      </c>
      <c r="U2826" s="17"/>
      <c r="V2826" s="12">
        <v>1148.6365908675243</v>
      </c>
      <c r="W2826" s="12">
        <v>1148.6365908675243</v>
      </c>
      <c r="X2826" s="12">
        <v>0</v>
      </c>
      <c r="Y2826" s="18">
        <v>45719</v>
      </c>
      <c r="Z2826" s="13" t="s">
        <v>523</v>
      </c>
      <c r="AA2826" s="19" t="str">
        <f>VLOOKUP(D2826,Clientes!$A$2:$J$486,9,FALSE)</f>
        <v>Ocacional</v>
      </c>
      <c r="AB2826" s="13" t="str">
        <f>VLOOKUP(D2826,Clientes!$A$2:$K$486,11,FALSE)</f>
        <v>Persona Natural</v>
      </c>
      <c r="AC2826" s="13" t="str">
        <f>VLOOKUP(D2826,Clientes!$A$2:$B$486,2,FALSE)</f>
        <v>Jardines de la viña</v>
      </c>
      <c r="AD2826" s="20"/>
      <c r="AE2826" s="20"/>
      <c r="AF2826" s="13" t="s">
        <v>40</v>
      </c>
      <c r="AG2826" s="15">
        <v>45352</v>
      </c>
      <c r="AH2826" s="13" t="s">
        <v>41</v>
      </c>
      <c r="AI2826" s="13" t="s">
        <v>43</v>
      </c>
      <c r="AJ2826" s="13" t="str">
        <f>VLOOKUP(E2826,Precios!Z$2:AA$941,2,FALSE)</f>
        <v>Bandeja Huevos EXTRA</v>
      </c>
      <c r="AK2826" s="14">
        <f>VLOOKUP(E2826,Precios!Z$2:BB$941,3,FALSE)*F2826</f>
        <v>-1</v>
      </c>
      <c r="AL2826" s="17"/>
      <c r="AM2826" s="17"/>
      <c r="AN2826" s="17"/>
      <c r="AO2826" s="17"/>
      <c r="AP2826" s="17"/>
      <c r="AQ2826" s="17"/>
      <c r="AR2826" s="17"/>
      <c r="AS2826" s="17"/>
      <c r="AT2826" s="17"/>
      <c r="AU2826" s="17"/>
      <c r="AV2826" s="17"/>
    </row>
    <row r="2827" spans="1:48" ht="15.75" customHeight="1">
      <c r="A2827" s="21" t="s">
        <v>76</v>
      </c>
      <c r="B2827" s="23" t="s">
        <v>1692</v>
      </c>
      <c r="C2827" s="22">
        <v>45719</v>
      </c>
      <c r="D2827" s="23" t="s">
        <v>333</v>
      </c>
      <c r="E2827" s="23" t="s">
        <v>137</v>
      </c>
      <c r="F2827" s="21">
        <v>2</v>
      </c>
      <c r="G2827" s="12">
        <v>3500.0000000000005</v>
      </c>
      <c r="H2827" s="12">
        <v>7000.0000000000009</v>
      </c>
      <c r="I2827" s="23" t="s">
        <v>52</v>
      </c>
      <c r="J2827" s="23" t="s">
        <v>61</v>
      </c>
      <c r="K2827" s="24" t="s">
        <v>177</v>
      </c>
      <c r="L2827" s="24">
        <v>110</v>
      </c>
      <c r="M2827" s="12">
        <v>2941.1764705882356</v>
      </c>
      <c r="N2827" s="12">
        <v>5882.3529411764712</v>
      </c>
      <c r="O2827" s="12">
        <v>1117.6470588235297</v>
      </c>
      <c r="P2827" s="13"/>
      <c r="Q2827" s="14">
        <v>2025</v>
      </c>
      <c r="R2827" s="15">
        <v>45352</v>
      </c>
      <c r="S2827" s="11" t="s">
        <v>406</v>
      </c>
      <c r="T2827" s="16">
        <v>10</v>
      </c>
      <c r="U2827" s="17"/>
      <c r="V2827" s="12">
        <v>1697.4789915966394</v>
      </c>
      <c r="W2827" s="12">
        <v>1697.4789915966394</v>
      </c>
      <c r="X2827" s="12">
        <v>0</v>
      </c>
      <c r="Y2827" s="18">
        <v>45719</v>
      </c>
      <c r="Z2827" s="13" t="s">
        <v>523</v>
      </c>
      <c r="AA2827" s="19" t="str">
        <f>VLOOKUP(D2827,Clientes!$A$2:$J$486,9,FALSE)</f>
        <v>Ocacional</v>
      </c>
      <c r="AB2827" s="13" t="str">
        <f>VLOOKUP(D2827,Clientes!$A$2:$K$486,11,FALSE)</f>
        <v>Persona Natural</v>
      </c>
      <c r="AC2827" s="13" t="str">
        <f>VLOOKUP(D2827,Clientes!$A$2:$B$486,2,FALSE)</f>
        <v>Curso Amalia</v>
      </c>
      <c r="AD2827" s="20"/>
      <c r="AE2827" s="20"/>
      <c r="AF2827" s="13" t="s">
        <v>40</v>
      </c>
      <c r="AG2827" s="15">
        <v>45352</v>
      </c>
      <c r="AH2827" s="13" t="s">
        <v>41</v>
      </c>
      <c r="AI2827" s="13" t="s">
        <v>76</v>
      </c>
      <c r="AJ2827" s="13" t="str">
        <f>VLOOKUP(E2827,Precios!Z$2:AA$941,2,FALSE)</f>
        <v>Detergente SPUM 5 Litros (Blanco)</v>
      </c>
      <c r="AK2827" s="14">
        <f>VLOOKUP(E2827,Precios!Z$2:BB$941,3,FALSE)*F2827</f>
        <v>-2</v>
      </c>
      <c r="AL2827" s="17"/>
      <c r="AM2827" s="17"/>
      <c r="AN2827" s="17"/>
      <c r="AO2827" s="17"/>
      <c r="AP2827" s="17"/>
      <c r="AQ2827" s="17"/>
      <c r="AR2827" s="17"/>
      <c r="AS2827" s="17"/>
      <c r="AT2827" s="17"/>
      <c r="AU2827" s="17"/>
      <c r="AV2827" s="17"/>
    </row>
    <row r="2828" spans="1:48" ht="15.75" customHeight="1">
      <c r="A2828" s="21" t="s">
        <v>76</v>
      </c>
      <c r="B2828" s="23" t="s">
        <v>1692</v>
      </c>
      <c r="C2828" s="22">
        <v>45719</v>
      </c>
      <c r="D2828" s="23" t="s">
        <v>333</v>
      </c>
      <c r="E2828" s="23" t="s">
        <v>349</v>
      </c>
      <c r="F2828" s="21">
        <v>1</v>
      </c>
      <c r="G2828" s="12">
        <v>3999.8127946357149</v>
      </c>
      <c r="H2828" s="12">
        <v>3999.8127946357149</v>
      </c>
      <c r="I2828" s="23" t="s">
        <v>52</v>
      </c>
      <c r="J2828" s="23" t="s">
        <v>61</v>
      </c>
      <c r="K2828" s="24" t="s">
        <v>177</v>
      </c>
      <c r="L2828" s="24">
        <v>110</v>
      </c>
      <c r="M2828" s="12">
        <v>3361.1872223829537</v>
      </c>
      <c r="N2828" s="12">
        <v>3361.1872223829537</v>
      </c>
      <c r="O2828" s="12">
        <v>638.62557225276123</v>
      </c>
      <c r="P2828" s="13"/>
      <c r="Q2828" s="14">
        <v>2025</v>
      </c>
      <c r="R2828" s="15">
        <v>45352</v>
      </c>
      <c r="S2828" s="11" t="s">
        <v>550</v>
      </c>
      <c r="T2828" s="16">
        <v>5</v>
      </c>
      <c r="U2828" s="17"/>
      <c r="V2828" s="12">
        <v>1386.1872223829537</v>
      </c>
      <c r="W2828" s="12">
        <v>1386.1872223829537</v>
      </c>
      <c r="X2828" s="12">
        <v>0</v>
      </c>
      <c r="Y2828" s="18">
        <v>45719</v>
      </c>
      <c r="Z2828" s="13" t="s">
        <v>523</v>
      </c>
      <c r="AA2828" s="19" t="str">
        <f>VLOOKUP(D2828,Clientes!$A$2:$J$486,9,FALSE)</f>
        <v>Ocacional</v>
      </c>
      <c r="AB2828" s="13" t="str">
        <f>VLOOKUP(D2828,Clientes!$A$2:$K$486,11,FALSE)</f>
        <v>Persona Natural</v>
      </c>
      <c r="AC2828" s="13" t="str">
        <f>VLOOKUP(D2828,Clientes!$A$2:$B$486,2,FALSE)</f>
        <v>Curso Amalia</v>
      </c>
      <c r="AD2828" s="20"/>
      <c r="AE2828" s="20"/>
      <c r="AF2828" s="13" t="s">
        <v>40</v>
      </c>
      <c r="AG2828" s="15">
        <v>45352</v>
      </c>
      <c r="AH2828" s="13" t="s">
        <v>41</v>
      </c>
      <c r="AI2828" s="13" t="s">
        <v>76</v>
      </c>
      <c r="AJ2828" s="13" t="str">
        <f>VLOOKUP(E2828,Precios!Z$2:AA$941,2,FALSE)</f>
        <v>Antigrasa SPUM 5 Litros</v>
      </c>
      <c r="AK2828" s="14">
        <f>VLOOKUP(E2828,Precios!Z$2:BB$941,3,FALSE)*F2828</f>
        <v>-1</v>
      </c>
      <c r="AL2828" s="17"/>
      <c r="AM2828" s="17"/>
      <c r="AN2828" s="17"/>
      <c r="AO2828" s="17"/>
      <c r="AP2828" s="17"/>
      <c r="AQ2828" s="17"/>
      <c r="AR2828" s="17"/>
      <c r="AS2828" s="17"/>
      <c r="AT2828" s="17"/>
      <c r="AU2828" s="17"/>
      <c r="AV2828" s="17"/>
    </row>
    <row r="2829" spans="1:48" ht="15.75" customHeight="1">
      <c r="A2829" s="21" t="s">
        <v>43</v>
      </c>
      <c r="B2829" s="23" t="s">
        <v>1692</v>
      </c>
      <c r="C2829" s="22">
        <v>45719</v>
      </c>
      <c r="D2829" s="23" t="s">
        <v>131</v>
      </c>
      <c r="E2829" s="23" t="s">
        <v>45</v>
      </c>
      <c r="F2829" s="21">
        <v>1</v>
      </c>
      <c r="G2829" s="12">
        <v>7600.0975431323541</v>
      </c>
      <c r="H2829" s="12">
        <v>7600.0975431323541</v>
      </c>
      <c r="I2829" s="23" t="s">
        <v>52</v>
      </c>
      <c r="J2829" s="23" t="s">
        <v>61</v>
      </c>
      <c r="K2829" s="24" t="s">
        <v>177</v>
      </c>
      <c r="L2829" s="24">
        <v>110</v>
      </c>
      <c r="M2829" s="12">
        <v>6386.6365908675243</v>
      </c>
      <c r="N2829" s="12">
        <v>6386.6365908675243</v>
      </c>
      <c r="O2829" s="12">
        <v>1213.4609522648298</v>
      </c>
      <c r="P2829" s="13"/>
      <c r="Q2829" s="14">
        <v>2025</v>
      </c>
      <c r="R2829" s="15">
        <v>45352</v>
      </c>
      <c r="S2829" s="11" t="s">
        <v>355</v>
      </c>
      <c r="T2829" s="16">
        <v>0</v>
      </c>
      <c r="U2829" s="17"/>
      <c r="V2829" s="12">
        <v>1148.6365908675243</v>
      </c>
      <c r="W2829" s="12">
        <v>1148.6365908675243</v>
      </c>
      <c r="X2829" s="12">
        <v>0</v>
      </c>
      <c r="Y2829" s="18">
        <v>45719</v>
      </c>
      <c r="Z2829" s="13" t="s">
        <v>523</v>
      </c>
      <c r="AA2829" s="19" t="str">
        <f>VLOOKUP(D2829,Clientes!$A$2:$J$486,9,FALSE)</f>
        <v>Frecuente</v>
      </c>
      <c r="AB2829" s="13" t="str">
        <f>VLOOKUP(D2829,Clientes!$A$2:$K$486,11,FALSE)</f>
        <v>Persona Natural</v>
      </c>
      <c r="AC2829" s="13" t="str">
        <f>VLOOKUP(D2829,Clientes!$A$2:$B$486,2,FALSE)</f>
        <v>Jardines de la viña</v>
      </c>
      <c r="AD2829" s="20"/>
      <c r="AE2829" s="20"/>
      <c r="AF2829" s="13" t="s">
        <v>40</v>
      </c>
      <c r="AG2829" s="15">
        <v>45352</v>
      </c>
      <c r="AH2829" s="13" t="s">
        <v>41</v>
      </c>
      <c r="AI2829" s="13" t="s">
        <v>43</v>
      </c>
      <c r="AJ2829" s="13" t="str">
        <f>VLOOKUP(E2829,Precios!Z$2:AA$941,2,FALSE)</f>
        <v>Bandeja Huevos EXTRA</v>
      </c>
      <c r="AK2829" s="14">
        <f>VLOOKUP(E2829,Precios!Z$2:BB$941,3,FALSE)*F2829</f>
        <v>-1</v>
      </c>
      <c r="AL2829" s="17"/>
      <c r="AM2829" s="17"/>
      <c r="AN2829" s="17"/>
      <c r="AO2829" s="17"/>
      <c r="AP2829" s="17"/>
      <c r="AQ2829" s="17"/>
      <c r="AR2829" s="17"/>
      <c r="AS2829" s="17"/>
      <c r="AT2829" s="17"/>
      <c r="AU2829" s="17"/>
      <c r="AV2829" s="17"/>
    </row>
    <row r="2830" spans="1:48" ht="15.75" customHeight="1">
      <c r="A2830" s="21" t="s">
        <v>43</v>
      </c>
      <c r="B2830" s="23" t="s">
        <v>1692</v>
      </c>
      <c r="C2830" s="22">
        <v>45719</v>
      </c>
      <c r="D2830" s="23" t="s">
        <v>189</v>
      </c>
      <c r="E2830" s="23" t="s">
        <v>45</v>
      </c>
      <c r="F2830" s="21">
        <v>1</v>
      </c>
      <c r="G2830" s="12">
        <v>7600.0975431323541</v>
      </c>
      <c r="H2830" s="12">
        <v>7600.0975431323541</v>
      </c>
      <c r="I2830" s="23" t="s">
        <v>52</v>
      </c>
      <c r="J2830" s="23" t="s">
        <v>61</v>
      </c>
      <c r="K2830" s="24" t="s">
        <v>177</v>
      </c>
      <c r="L2830" s="24">
        <v>110</v>
      </c>
      <c r="M2830" s="12">
        <v>6386.6365908675243</v>
      </c>
      <c r="N2830" s="12">
        <v>6386.6365908675243</v>
      </c>
      <c r="O2830" s="12">
        <v>1213.4609522648298</v>
      </c>
      <c r="P2830" s="13"/>
      <c r="Q2830" s="14">
        <v>2025</v>
      </c>
      <c r="R2830" s="15">
        <v>45352</v>
      </c>
      <c r="S2830" s="11" t="s">
        <v>355</v>
      </c>
      <c r="T2830" s="16">
        <v>0</v>
      </c>
      <c r="U2830" s="17"/>
      <c r="V2830" s="12">
        <v>1148.6365908675243</v>
      </c>
      <c r="W2830" s="12">
        <v>1148.6365908675243</v>
      </c>
      <c r="X2830" s="12">
        <v>0</v>
      </c>
      <c r="Y2830" s="18">
        <v>45719</v>
      </c>
      <c r="Z2830" s="13" t="s">
        <v>523</v>
      </c>
      <c r="AA2830" s="19" t="str">
        <f>VLOOKUP(D2830,Clientes!$A$2:$J$486,9,FALSE)</f>
        <v>Frecuente</v>
      </c>
      <c r="AB2830" s="13" t="str">
        <f>VLOOKUP(D2830,Clientes!$A$2:$K$486,11,FALSE)</f>
        <v>Persona Natural</v>
      </c>
      <c r="AC2830" s="13" t="str">
        <f>VLOOKUP(D2830,Clientes!$A$2:$B$486,2,FALSE)</f>
        <v>Jardines de la Viña</v>
      </c>
      <c r="AD2830" s="20"/>
      <c r="AE2830" s="20"/>
      <c r="AF2830" s="13" t="s">
        <v>40</v>
      </c>
      <c r="AG2830" s="15">
        <v>45352</v>
      </c>
      <c r="AH2830" s="13" t="s">
        <v>41</v>
      </c>
      <c r="AI2830" s="13" t="s">
        <v>43</v>
      </c>
      <c r="AJ2830" s="13" t="str">
        <f>VLOOKUP(E2830,Precios!Z$2:AA$941,2,FALSE)</f>
        <v>Bandeja Huevos EXTRA</v>
      </c>
      <c r="AK2830" s="14">
        <f>VLOOKUP(E2830,Precios!Z$2:BB$941,3,FALSE)*F2830</f>
        <v>-1</v>
      </c>
      <c r="AL2830" s="17"/>
      <c r="AM2830" s="17"/>
      <c r="AN2830" s="17"/>
      <c r="AO2830" s="17"/>
      <c r="AP2830" s="17"/>
      <c r="AQ2830" s="17"/>
      <c r="AR2830" s="17"/>
      <c r="AS2830" s="17"/>
      <c r="AT2830" s="17"/>
      <c r="AU2830" s="17"/>
      <c r="AV2830" s="17"/>
    </row>
    <row r="2831" spans="1:48" ht="15.75" customHeight="1">
      <c r="A2831" s="21" t="s">
        <v>53</v>
      </c>
      <c r="B2831" s="23" t="s">
        <v>1692</v>
      </c>
      <c r="C2831" s="22">
        <v>45719</v>
      </c>
      <c r="D2831" s="23" t="s">
        <v>189</v>
      </c>
      <c r="E2831" s="23" t="s">
        <v>69</v>
      </c>
      <c r="F2831" s="21">
        <v>1</v>
      </c>
      <c r="G2831" s="12">
        <v>2999.9553810458683</v>
      </c>
      <c r="H2831" s="12">
        <v>2999.9553810458683</v>
      </c>
      <c r="I2831" s="23" t="s">
        <v>52</v>
      </c>
      <c r="J2831" s="23" t="s">
        <v>61</v>
      </c>
      <c r="K2831" s="24" t="s">
        <v>177</v>
      </c>
      <c r="L2831" s="24">
        <v>110</v>
      </c>
      <c r="M2831" s="12">
        <v>2520.9709084419064</v>
      </c>
      <c r="N2831" s="12">
        <v>2520.9709084419064</v>
      </c>
      <c r="O2831" s="12">
        <v>478.98447260396188</v>
      </c>
      <c r="P2831" s="13"/>
      <c r="Q2831" s="14">
        <v>2025</v>
      </c>
      <c r="R2831" s="15">
        <v>45352</v>
      </c>
      <c r="S2831" s="11" t="s">
        <v>376</v>
      </c>
      <c r="T2831" s="16">
        <v>0</v>
      </c>
      <c r="U2831" s="17"/>
      <c r="V2831" s="12">
        <v>825.97090844190598</v>
      </c>
      <c r="W2831" s="12">
        <v>825.97090844190598</v>
      </c>
      <c r="X2831" s="12">
        <v>0</v>
      </c>
      <c r="Y2831" s="18">
        <v>45719</v>
      </c>
      <c r="Z2831" s="13" t="s">
        <v>523</v>
      </c>
      <c r="AA2831" s="19" t="str">
        <f>VLOOKUP(D2831,Clientes!$A$2:$J$486,9,FALSE)</f>
        <v>Frecuente</v>
      </c>
      <c r="AB2831" s="13" t="str">
        <f>VLOOKUP(D2831,Clientes!$A$2:$K$486,11,FALSE)</f>
        <v>Persona Natural</v>
      </c>
      <c r="AC2831" s="13" t="str">
        <f>VLOOKUP(D2831,Clientes!$A$2:$B$486,2,FALSE)</f>
        <v>Jardines de la Viña</v>
      </c>
      <c r="AD2831" s="20"/>
      <c r="AE2831" s="20"/>
      <c r="AF2831" s="13" t="s">
        <v>40</v>
      </c>
      <c r="AG2831" s="15">
        <v>45352</v>
      </c>
      <c r="AH2831" s="13" t="s">
        <v>41</v>
      </c>
      <c r="AI2831" s="13" t="s">
        <v>53</v>
      </c>
      <c r="AJ2831" s="13" t="str">
        <f>VLOOKUP(E2831,Precios!Z$2:AA$941,2,FALSE)</f>
        <v>Toalla Papel NOVA 70 metros</v>
      </c>
      <c r="AK2831" s="14">
        <f>VLOOKUP(E2831,Precios!Z$2:BB$941,3,FALSE)*F2831</f>
        <v>-1</v>
      </c>
      <c r="AL2831" s="17"/>
      <c r="AM2831" s="17"/>
      <c r="AN2831" s="17"/>
      <c r="AO2831" s="17"/>
      <c r="AP2831" s="17"/>
      <c r="AQ2831" s="17"/>
      <c r="AR2831" s="17"/>
      <c r="AS2831" s="17"/>
      <c r="AT2831" s="17"/>
      <c r="AU2831" s="17"/>
      <c r="AV2831" s="17"/>
    </row>
    <row r="2832" spans="1:48" ht="15.75" customHeight="1">
      <c r="A2832" s="21" t="s">
        <v>43</v>
      </c>
      <c r="B2832" s="23" t="s">
        <v>1692</v>
      </c>
      <c r="C2832" s="22">
        <v>45719</v>
      </c>
      <c r="D2832" s="23" t="s">
        <v>291</v>
      </c>
      <c r="E2832" s="23" t="s">
        <v>45</v>
      </c>
      <c r="F2832" s="21">
        <v>1</v>
      </c>
      <c r="G2832" s="12">
        <v>7600.0975431323541</v>
      </c>
      <c r="H2832" s="12">
        <v>7600.0975431323541</v>
      </c>
      <c r="I2832" s="23" t="s">
        <v>52</v>
      </c>
      <c r="J2832" s="23" t="s">
        <v>61</v>
      </c>
      <c r="K2832" s="24" t="s">
        <v>177</v>
      </c>
      <c r="L2832" s="24">
        <v>110</v>
      </c>
      <c r="M2832" s="12">
        <v>6386.6365908675243</v>
      </c>
      <c r="N2832" s="12">
        <v>6386.6365908675243</v>
      </c>
      <c r="O2832" s="12">
        <v>1213.4609522648298</v>
      </c>
      <c r="P2832" s="13"/>
      <c r="Q2832" s="14">
        <v>2025</v>
      </c>
      <c r="R2832" s="15">
        <v>45352</v>
      </c>
      <c r="S2832" s="11" t="s">
        <v>355</v>
      </c>
      <c r="T2832" s="16">
        <v>0</v>
      </c>
      <c r="U2832" s="17"/>
      <c r="V2832" s="12">
        <v>1148.6365908675243</v>
      </c>
      <c r="W2832" s="12">
        <v>1148.6365908675243</v>
      </c>
      <c r="X2832" s="12">
        <v>0</v>
      </c>
      <c r="Y2832" s="18">
        <v>45719</v>
      </c>
      <c r="Z2832" s="13" t="s">
        <v>523</v>
      </c>
      <c r="AA2832" s="19" t="str">
        <f>VLOOKUP(D2832,Clientes!$A$2:$J$486,9,FALSE)</f>
        <v>Ocacional</v>
      </c>
      <c r="AB2832" s="13" t="str">
        <f>VLOOKUP(D2832,Clientes!$A$2:$K$486,11,FALSE)</f>
        <v>Persona Natural</v>
      </c>
      <c r="AC2832" s="13" t="str">
        <f>VLOOKUP(D2832,Clientes!$A$2:$B$486,2,FALSE)</f>
        <v>Jardin del eden</v>
      </c>
      <c r="AD2832" s="20"/>
      <c r="AE2832" s="20"/>
      <c r="AF2832" s="13" t="s">
        <v>40</v>
      </c>
      <c r="AG2832" s="15">
        <v>45352</v>
      </c>
      <c r="AH2832" s="13" t="s">
        <v>41</v>
      </c>
      <c r="AI2832" s="13" t="s">
        <v>43</v>
      </c>
      <c r="AJ2832" s="13" t="str">
        <f>VLOOKUP(E2832,Precios!Z$2:AA$941,2,FALSE)</f>
        <v>Bandeja Huevos EXTRA</v>
      </c>
      <c r="AK2832" s="14">
        <f>VLOOKUP(E2832,Precios!Z$2:BB$941,3,FALSE)*F2832</f>
        <v>-1</v>
      </c>
      <c r="AL2832" s="17"/>
      <c r="AM2832" s="17"/>
      <c r="AN2832" s="17"/>
      <c r="AO2832" s="17"/>
      <c r="AP2832" s="17"/>
      <c r="AQ2832" s="17"/>
      <c r="AR2832" s="17"/>
      <c r="AS2832" s="17"/>
      <c r="AT2832" s="17"/>
      <c r="AU2832" s="17"/>
      <c r="AV2832" s="17"/>
    </row>
    <row r="2833" spans="1:48" ht="15.75" customHeight="1">
      <c r="A2833" s="21" t="s">
        <v>147</v>
      </c>
      <c r="B2833" s="23" t="s">
        <v>1692</v>
      </c>
      <c r="C2833" s="22">
        <v>45719</v>
      </c>
      <c r="D2833" s="23" t="s">
        <v>158</v>
      </c>
      <c r="E2833" s="23" t="s">
        <v>159</v>
      </c>
      <c r="F2833" s="21">
        <v>1</v>
      </c>
      <c r="G2833" s="12">
        <v>24000.000000000004</v>
      </c>
      <c r="H2833" s="12">
        <v>24000.000000000004</v>
      </c>
      <c r="I2833" s="23" t="s">
        <v>52</v>
      </c>
      <c r="J2833" s="23" t="s">
        <v>61</v>
      </c>
      <c r="K2833" s="24" t="s">
        <v>86</v>
      </c>
      <c r="L2833" s="24">
        <v>62</v>
      </c>
      <c r="M2833" s="12">
        <v>20168.067226890762</v>
      </c>
      <c r="N2833" s="12">
        <v>20168.067226890762</v>
      </c>
      <c r="O2833" s="12">
        <v>3831.9327731092417</v>
      </c>
      <c r="P2833" s="13"/>
      <c r="Q2833" s="14">
        <v>2025</v>
      </c>
      <c r="R2833" s="15">
        <v>45352</v>
      </c>
      <c r="S2833" s="11" t="s">
        <v>412</v>
      </c>
      <c r="T2833" s="16">
        <v>0</v>
      </c>
      <c r="U2833" s="17"/>
      <c r="V2833" s="12">
        <v>6861.3445378151282</v>
      </c>
      <c r="W2833" s="12">
        <v>6861.3445378151282</v>
      </c>
      <c r="X2833" s="12">
        <v>0</v>
      </c>
      <c r="Y2833" s="18">
        <v>45719</v>
      </c>
      <c r="Z2833" s="13" t="s">
        <v>523</v>
      </c>
      <c r="AA2833" s="19" t="str">
        <f>VLOOKUP(D2833,Clientes!$A$2:$J$486,9,FALSE)</f>
        <v>Frecuente</v>
      </c>
      <c r="AB2833" s="13" t="str">
        <f>VLOOKUP(D2833,Clientes!$A$2:$K$486,11,FALSE)</f>
        <v>Empresa</v>
      </c>
      <c r="AC2833" s="13" t="str">
        <f>VLOOKUP(D2833,Clientes!$A$2:$B$486,2,FALSE)</f>
        <v>Departamental</v>
      </c>
      <c r="AD2833" s="20"/>
      <c r="AE2833" s="20"/>
      <c r="AF2833" s="13" t="s">
        <v>40</v>
      </c>
      <c r="AG2833" s="15">
        <v>45352</v>
      </c>
      <c r="AH2833" s="13" t="s">
        <v>41</v>
      </c>
      <c r="AI2833" s="13" t="s">
        <v>147</v>
      </c>
      <c r="AJ2833" s="13" t="str">
        <f>VLOOKUP(E2833,Precios!Z$2:AA$941,2,FALSE)</f>
        <v>Film Plástico 1400 metros</v>
      </c>
      <c r="AK2833" s="14">
        <f>VLOOKUP(E2833,Precios!Z$2:BB$941,3,FALSE)*F2833</f>
        <v>-1</v>
      </c>
      <c r="AL2833" s="17"/>
      <c r="AM2833" s="17"/>
      <c r="AN2833" s="17"/>
      <c r="AO2833" s="17"/>
      <c r="AP2833" s="17"/>
      <c r="AQ2833" s="17"/>
      <c r="AR2833" s="17"/>
      <c r="AS2833" s="17"/>
      <c r="AT2833" s="17"/>
      <c r="AU2833" s="17"/>
      <c r="AV2833" s="17"/>
    </row>
    <row r="2834" spans="1:48" ht="15.75" customHeight="1">
      <c r="A2834" s="21" t="s">
        <v>147</v>
      </c>
      <c r="B2834" s="23" t="s">
        <v>1692</v>
      </c>
      <c r="C2834" s="22">
        <v>45719</v>
      </c>
      <c r="D2834" s="23" t="s">
        <v>158</v>
      </c>
      <c r="E2834" s="23" t="s">
        <v>160</v>
      </c>
      <c r="F2834" s="21">
        <v>1</v>
      </c>
      <c r="G2834" s="26">
        <v>-500</v>
      </c>
      <c r="H2834" s="12">
        <v>-500</v>
      </c>
      <c r="I2834" s="23" t="s">
        <v>52</v>
      </c>
      <c r="J2834" s="23" t="s">
        <v>61</v>
      </c>
      <c r="K2834" s="24" t="s">
        <v>86</v>
      </c>
      <c r="L2834" s="24">
        <v>62</v>
      </c>
      <c r="M2834" s="12">
        <v>-420.1680672268908</v>
      </c>
      <c r="N2834" s="12">
        <v>-420.1680672268908</v>
      </c>
      <c r="O2834" s="12">
        <v>-79.831932773109202</v>
      </c>
      <c r="P2834" s="13"/>
      <c r="Q2834" s="14">
        <v>2025</v>
      </c>
      <c r="R2834" s="15">
        <v>45352</v>
      </c>
      <c r="S2834" s="11" t="s">
        <v>160</v>
      </c>
      <c r="T2834" s="16">
        <v>1000</v>
      </c>
      <c r="U2834" s="17"/>
      <c r="V2834" s="26">
        <v>-500</v>
      </c>
      <c r="W2834" s="12">
        <v>-500</v>
      </c>
      <c r="X2834" s="12">
        <v>0</v>
      </c>
      <c r="Y2834" s="18">
        <v>45719</v>
      </c>
      <c r="Z2834" s="13" t="s">
        <v>523</v>
      </c>
      <c r="AA2834" s="19" t="str">
        <f>VLOOKUP(D2834,Clientes!$A$2:$J$486,9,FALSE)</f>
        <v>Frecuente</v>
      </c>
      <c r="AB2834" s="13" t="str">
        <f>VLOOKUP(D2834,Clientes!$A$2:$K$486,11,FALSE)</f>
        <v>Empresa</v>
      </c>
      <c r="AC2834" s="13" t="str">
        <f>VLOOKUP(D2834,Clientes!$A$2:$B$486,2,FALSE)</f>
        <v>Departamental</v>
      </c>
      <c r="AD2834" s="20"/>
      <c r="AE2834" s="20"/>
      <c r="AF2834" s="13" t="s">
        <v>40</v>
      </c>
      <c r="AG2834" s="15">
        <v>45352</v>
      </c>
      <c r="AH2834" s="13" t="s">
        <v>41</v>
      </c>
      <c r="AI2834" s="13" t="s">
        <v>147</v>
      </c>
      <c r="AJ2834" s="13" t="str">
        <f>VLOOKUP(E2834,Precios!Z$2:AA$941,2,FALSE)</f>
        <v>Descuentos</v>
      </c>
      <c r="AK2834" s="14">
        <f>VLOOKUP(E2834,Precios!Z$2:BB$941,3,FALSE)*F2834</f>
        <v>-1</v>
      </c>
      <c r="AL2834" s="17"/>
      <c r="AM2834" s="17"/>
      <c r="AN2834" s="17"/>
      <c r="AO2834" s="17"/>
      <c r="AP2834" s="17"/>
      <c r="AQ2834" s="17"/>
      <c r="AR2834" s="17"/>
      <c r="AS2834" s="17"/>
      <c r="AT2834" s="17"/>
      <c r="AU2834" s="17"/>
      <c r="AV2834" s="17"/>
    </row>
    <row r="2835" spans="1:48" ht="15.75" customHeight="1">
      <c r="A2835" s="21" t="s">
        <v>53</v>
      </c>
      <c r="B2835" s="23" t="s">
        <v>1692</v>
      </c>
      <c r="C2835" s="22">
        <v>45719</v>
      </c>
      <c r="D2835" s="23" t="s">
        <v>158</v>
      </c>
      <c r="E2835" s="23" t="s">
        <v>580</v>
      </c>
      <c r="F2835" s="21">
        <v>1</v>
      </c>
      <c r="G2835" s="12">
        <v>11499.993390876765</v>
      </c>
      <c r="H2835" s="12">
        <v>11499.993390876765</v>
      </c>
      <c r="I2835" s="23" t="s">
        <v>52</v>
      </c>
      <c r="J2835" s="23" t="s">
        <v>61</v>
      </c>
      <c r="K2835" s="24" t="s">
        <v>86</v>
      </c>
      <c r="L2835" s="24">
        <v>62</v>
      </c>
      <c r="M2835" s="12">
        <v>9663.8599923334168</v>
      </c>
      <c r="N2835" s="12">
        <v>9663.8599923334168</v>
      </c>
      <c r="O2835" s="12">
        <v>1836.1333985433484</v>
      </c>
      <c r="P2835" s="13"/>
      <c r="Q2835" s="14">
        <v>2025</v>
      </c>
      <c r="R2835" s="15">
        <v>45352</v>
      </c>
      <c r="S2835" s="11" t="s">
        <v>381</v>
      </c>
      <c r="T2835" s="16">
        <v>300</v>
      </c>
      <c r="U2835" s="17"/>
      <c r="V2835" s="12">
        <v>2352.8599923334168</v>
      </c>
      <c r="W2835" s="12">
        <v>2352.8599923334168</v>
      </c>
      <c r="X2835" s="12">
        <v>0</v>
      </c>
      <c r="Y2835" s="18">
        <v>45719</v>
      </c>
      <c r="Z2835" s="13" t="s">
        <v>523</v>
      </c>
      <c r="AA2835" s="19" t="str">
        <f>VLOOKUP(D2835,Clientes!$A$2:$J$486,9,FALSE)</f>
        <v>Frecuente</v>
      </c>
      <c r="AB2835" s="13" t="str">
        <f>VLOOKUP(D2835,Clientes!$A$2:$K$486,11,FALSE)</f>
        <v>Empresa</v>
      </c>
      <c r="AC2835" s="13" t="str">
        <f>VLOOKUP(D2835,Clientes!$A$2:$B$486,2,FALSE)</f>
        <v>Departamental</v>
      </c>
      <c r="AD2835" s="20"/>
      <c r="AE2835" s="20"/>
      <c r="AF2835" s="13" t="s">
        <v>40</v>
      </c>
      <c r="AG2835" s="15">
        <v>45352</v>
      </c>
      <c r="AH2835" s="13" t="s">
        <v>41</v>
      </c>
      <c r="AI2835" s="13" t="s">
        <v>53</v>
      </c>
      <c r="AJ2835" s="13" t="str">
        <f>VLOOKUP(E2835,Precios!Z$2:AA$941,2,FALSE)</f>
        <v>Servilletas SOFTQUALITY 300 unidades</v>
      </c>
      <c r="AK2835" s="14">
        <f>VLOOKUP(E2835,Precios!Z$2:BB$941,3,FALSE)*F2835</f>
        <v>-10</v>
      </c>
      <c r="AL2835" s="17"/>
      <c r="AM2835" s="17"/>
      <c r="AN2835" s="17"/>
      <c r="AO2835" s="17"/>
      <c r="AP2835" s="17"/>
      <c r="AQ2835" s="17"/>
      <c r="AR2835" s="17"/>
      <c r="AS2835" s="17"/>
      <c r="AT2835" s="17"/>
      <c r="AU2835" s="17"/>
      <c r="AV2835" s="17"/>
    </row>
    <row r="2836" spans="1:48" ht="15.75" customHeight="1">
      <c r="A2836" s="21" t="s">
        <v>53</v>
      </c>
      <c r="B2836" s="23" t="s">
        <v>1692</v>
      </c>
      <c r="C2836" s="22">
        <v>45719</v>
      </c>
      <c r="D2836" s="23" t="s">
        <v>158</v>
      </c>
      <c r="E2836" s="23" t="s">
        <v>162</v>
      </c>
      <c r="F2836" s="21">
        <v>1</v>
      </c>
      <c r="G2836" s="12">
        <v>9500.0304006809747</v>
      </c>
      <c r="H2836" s="12">
        <v>9500.0304006809747</v>
      </c>
      <c r="I2836" s="23" t="s">
        <v>52</v>
      </c>
      <c r="J2836" s="23" t="s">
        <v>61</v>
      </c>
      <c r="K2836" s="24" t="s">
        <v>86</v>
      </c>
      <c r="L2836" s="24">
        <v>62</v>
      </c>
      <c r="M2836" s="12">
        <v>7983.2188241016602</v>
      </c>
      <c r="N2836" s="12">
        <v>7983.2188241016602</v>
      </c>
      <c r="O2836" s="12">
        <v>1516.8115765793145</v>
      </c>
      <c r="P2836" s="13"/>
      <c r="Q2836" s="14">
        <v>2025</v>
      </c>
      <c r="R2836" s="15">
        <v>45352</v>
      </c>
      <c r="S2836" s="11" t="s">
        <v>437</v>
      </c>
      <c r="T2836" s="16">
        <v>0</v>
      </c>
      <c r="U2836" s="17"/>
      <c r="V2836" s="12">
        <v>2731.2188241016593</v>
      </c>
      <c r="W2836" s="12">
        <v>2731.2188241016593</v>
      </c>
      <c r="X2836" s="12">
        <v>0</v>
      </c>
      <c r="Y2836" s="18">
        <v>45719</v>
      </c>
      <c r="Z2836" s="13" t="s">
        <v>523</v>
      </c>
      <c r="AA2836" s="19" t="str">
        <f>VLOOKUP(D2836,Clientes!$A$2:$J$486,9,FALSE)</f>
        <v>Frecuente</v>
      </c>
      <c r="AB2836" s="13" t="str">
        <f>VLOOKUP(D2836,Clientes!$A$2:$K$486,11,FALSE)</f>
        <v>Empresa</v>
      </c>
      <c r="AC2836" s="13" t="str">
        <f>VLOOKUP(D2836,Clientes!$A$2:$B$486,2,FALSE)</f>
        <v>Departamental</v>
      </c>
      <c r="AD2836" s="20"/>
      <c r="AE2836" s="20"/>
      <c r="AF2836" s="13" t="s">
        <v>40</v>
      </c>
      <c r="AG2836" s="15">
        <v>45352</v>
      </c>
      <c r="AH2836" s="13" t="s">
        <v>41</v>
      </c>
      <c r="AI2836" s="13" t="s">
        <v>53</v>
      </c>
      <c r="AJ2836" s="13" t="str">
        <f>VLOOKUP(E2836,Precios!Z$2:AA$941,2,FALSE)</f>
        <v>Toalla Papel 250 metros dipensador</v>
      </c>
      <c r="AK2836" s="14">
        <f>VLOOKUP(E2836,Precios!Z$2:BB$941,3,FALSE)*F2836</f>
        <v>-1</v>
      </c>
      <c r="AL2836" s="17"/>
      <c r="AM2836" s="17"/>
      <c r="AN2836" s="17"/>
      <c r="AO2836" s="17"/>
      <c r="AP2836" s="17"/>
      <c r="AQ2836" s="17"/>
      <c r="AR2836" s="17"/>
      <c r="AS2836" s="17"/>
      <c r="AT2836" s="17"/>
      <c r="AU2836" s="17"/>
      <c r="AV2836" s="17"/>
    </row>
    <row r="2837" spans="1:48" ht="15.75" customHeight="1">
      <c r="A2837" s="21" t="s">
        <v>53</v>
      </c>
      <c r="B2837" s="23" t="s">
        <v>1692</v>
      </c>
      <c r="C2837" s="22">
        <v>45719</v>
      </c>
      <c r="D2837" s="23" t="s">
        <v>158</v>
      </c>
      <c r="E2837" s="23" t="s">
        <v>163</v>
      </c>
      <c r="F2837" s="21">
        <v>1</v>
      </c>
      <c r="G2837" s="12">
        <v>18990</v>
      </c>
      <c r="H2837" s="12">
        <v>18990</v>
      </c>
      <c r="I2837" s="23" t="s">
        <v>52</v>
      </c>
      <c r="J2837" s="23" t="s">
        <v>61</v>
      </c>
      <c r="K2837" s="24" t="s">
        <v>86</v>
      </c>
      <c r="L2837" s="24">
        <v>62</v>
      </c>
      <c r="M2837" s="12">
        <v>15957.983193277312</v>
      </c>
      <c r="N2837" s="12">
        <v>15957.983193277312</v>
      </c>
      <c r="O2837" s="12">
        <v>3032.0168067226878</v>
      </c>
      <c r="P2837" s="13"/>
      <c r="Q2837" s="14">
        <v>2025</v>
      </c>
      <c r="R2837" s="15">
        <v>45352</v>
      </c>
      <c r="S2837" s="11" t="s">
        <v>435</v>
      </c>
      <c r="T2837" s="16">
        <v>0</v>
      </c>
      <c r="U2837" s="17"/>
      <c r="V2837" s="12">
        <v>4112.6050420168067</v>
      </c>
      <c r="W2837" s="12">
        <v>4112.6050420168067</v>
      </c>
      <c r="X2837" s="12">
        <v>0</v>
      </c>
      <c r="Y2837" s="18">
        <v>45719</v>
      </c>
      <c r="Z2837" s="13" t="s">
        <v>523</v>
      </c>
      <c r="AA2837" s="19" t="str">
        <f>VLOOKUP(D2837,Clientes!$A$2:$J$486,9,FALSE)</f>
        <v>Frecuente</v>
      </c>
      <c r="AB2837" s="13" t="str">
        <f>VLOOKUP(D2837,Clientes!$A$2:$K$486,11,FALSE)</f>
        <v>Empresa</v>
      </c>
      <c r="AC2837" s="13" t="str">
        <f>VLOOKUP(D2837,Clientes!$A$2:$B$486,2,FALSE)</f>
        <v>Departamental</v>
      </c>
      <c r="AD2837" s="20"/>
      <c r="AE2837" s="20"/>
      <c r="AF2837" s="13" t="s">
        <v>40</v>
      </c>
      <c r="AG2837" s="15">
        <v>45352</v>
      </c>
      <c r="AH2837" s="13" t="s">
        <v>41</v>
      </c>
      <c r="AI2837" s="13" t="s">
        <v>53</v>
      </c>
      <c r="AJ2837" s="13" t="str">
        <f>VLOOKUP(E2837,Precios!Z$2:AA$941,2,FALSE)</f>
        <v>Papel Higienico SWAN 50 metros</v>
      </c>
      <c r="AK2837" s="14">
        <f>VLOOKUP(E2837,Precios!Z$2:BB$941,3,FALSE)*F2837</f>
        <v>-8</v>
      </c>
      <c r="AL2837" s="17"/>
      <c r="AM2837" s="17"/>
      <c r="AN2837" s="17"/>
      <c r="AO2837" s="17"/>
      <c r="AP2837" s="17"/>
      <c r="AQ2837" s="17"/>
      <c r="AR2837" s="17"/>
      <c r="AS2837" s="17"/>
      <c r="AT2837" s="17"/>
      <c r="AU2837" s="17"/>
      <c r="AV2837" s="17"/>
    </row>
    <row r="2838" spans="1:48" ht="15.75" customHeight="1">
      <c r="A2838" s="21" t="s">
        <v>64</v>
      </c>
      <c r="B2838" s="23" t="s">
        <v>1692</v>
      </c>
      <c r="C2838" s="22">
        <v>45719</v>
      </c>
      <c r="D2838" s="23" t="s">
        <v>236</v>
      </c>
      <c r="E2838" s="23" t="s">
        <v>65</v>
      </c>
      <c r="F2838" s="21">
        <v>1</v>
      </c>
      <c r="G2838" s="12">
        <v>8199.8671738211688</v>
      </c>
      <c r="H2838" s="12">
        <v>8199.8671738211688</v>
      </c>
      <c r="I2838" s="23" t="s">
        <v>52</v>
      </c>
      <c r="J2838" s="23" t="s">
        <v>61</v>
      </c>
      <c r="K2838" s="24" t="s">
        <v>177</v>
      </c>
      <c r="L2838" s="24">
        <v>110</v>
      </c>
      <c r="M2838" s="12">
        <v>6890.6446838833353</v>
      </c>
      <c r="N2838" s="12">
        <v>6890.6446838833353</v>
      </c>
      <c r="O2838" s="12">
        <v>1309.2224899378334</v>
      </c>
      <c r="P2838" s="13"/>
      <c r="Q2838" s="14">
        <v>2025</v>
      </c>
      <c r="R2838" s="15">
        <v>45352</v>
      </c>
      <c r="S2838" s="11" t="s">
        <v>64</v>
      </c>
      <c r="T2838" s="16">
        <v>1</v>
      </c>
      <c r="U2838" s="17"/>
      <c r="V2838" s="12">
        <v>1184.1572889253512</v>
      </c>
      <c r="W2838" s="12">
        <v>1184.1572889253512</v>
      </c>
      <c r="X2838" s="12">
        <v>0</v>
      </c>
      <c r="Y2838" s="18">
        <v>45719</v>
      </c>
      <c r="Z2838" s="13" t="s">
        <v>523</v>
      </c>
      <c r="AA2838" s="19" t="str">
        <f>VLOOKUP(D2838,Clientes!$A$2:$J$486,9,FALSE)</f>
        <v>Familiar</v>
      </c>
      <c r="AB2838" s="13" t="str">
        <f>VLOOKUP(D2838,Clientes!$A$2:$K$486,11,FALSE)</f>
        <v>Persona Natural</v>
      </c>
      <c r="AC2838" s="13" t="str">
        <f>VLOOKUP(D2838,Clientes!$A$2:$B$486,2,FALSE)</f>
        <v>Familiar</v>
      </c>
      <c r="AD2838" s="20"/>
      <c r="AE2838" s="20"/>
      <c r="AF2838" s="13" t="s">
        <v>40</v>
      </c>
      <c r="AG2838" s="15">
        <v>45352</v>
      </c>
      <c r="AH2838" s="13" t="s">
        <v>41</v>
      </c>
      <c r="AI2838" s="13" t="s">
        <v>64</v>
      </c>
      <c r="AJ2838" s="13" t="str">
        <f>VLOOKUP(E2838,Precios!Z$2:AA$941,2,FALSE)</f>
        <v>Longanizas VILLABLANCA</v>
      </c>
      <c r="AK2838" s="14">
        <f>VLOOKUP(E2838,Precios!Z$2:BB$941,3,FALSE)*F2838</f>
        <v>-1</v>
      </c>
      <c r="AL2838" s="17"/>
      <c r="AM2838" s="17"/>
      <c r="AN2838" s="17"/>
      <c r="AO2838" s="17"/>
      <c r="AP2838" s="17"/>
      <c r="AQ2838" s="17"/>
      <c r="AR2838" s="17"/>
      <c r="AS2838" s="17"/>
      <c r="AT2838" s="17"/>
      <c r="AU2838" s="17"/>
      <c r="AV2838" s="17"/>
    </row>
    <row r="2839" spans="1:48" ht="15.75" customHeight="1">
      <c r="A2839" s="21" t="s">
        <v>53</v>
      </c>
      <c r="B2839" s="23" t="s">
        <v>1692</v>
      </c>
      <c r="C2839" s="22">
        <v>45719</v>
      </c>
      <c r="D2839" s="23" t="s">
        <v>229</v>
      </c>
      <c r="E2839" s="23" t="s">
        <v>97</v>
      </c>
      <c r="F2839" s="21">
        <v>1</v>
      </c>
      <c r="G2839" s="12">
        <v>15500.298388701016</v>
      </c>
      <c r="H2839" s="12">
        <v>15500.298388701016</v>
      </c>
      <c r="I2839" s="23" t="s">
        <v>52</v>
      </c>
      <c r="J2839" s="23" t="s">
        <v>61</v>
      </c>
      <c r="K2839" s="24" t="s">
        <v>177</v>
      </c>
      <c r="L2839" s="24">
        <v>110</v>
      </c>
      <c r="M2839" s="12">
        <v>13025.46083084119</v>
      </c>
      <c r="N2839" s="12">
        <v>13025.46083084119</v>
      </c>
      <c r="O2839" s="12">
        <v>2474.8375578598261</v>
      </c>
      <c r="P2839" s="13"/>
      <c r="Q2839" s="14">
        <v>2025</v>
      </c>
      <c r="R2839" s="15">
        <v>45352</v>
      </c>
      <c r="S2839" s="11" t="s">
        <v>366</v>
      </c>
      <c r="T2839" s="16">
        <v>0</v>
      </c>
      <c r="U2839" s="17"/>
      <c r="V2839" s="12">
        <v>3203.6120913453906</v>
      </c>
      <c r="W2839" s="12">
        <v>3203.6120913453906</v>
      </c>
      <c r="X2839" s="12">
        <v>0</v>
      </c>
      <c r="Y2839" s="18">
        <v>45719</v>
      </c>
      <c r="Z2839" s="13" t="s">
        <v>523</v>
      </c>
      <c r="AA2839" s="19" t="str">
        <f>VLOOKUP(D2839,Clientes!$A$2:$J$486,9,FALSE)</f>
        <v>Frecuente</v>
      </c>
      <c r="AB2839" s="13" t="str">
        <f>VLOOKUP(D2839,Clientes!$A$2:$K$486,11,FALSE)</f>
        <v>Persona Natural</v>
      </c>
      <c r="AC2839" s="13" t="str">
        <f>VLOOKUP(D2839,Clientes!$A$2:$B$486,2,FALSE)</f>
        <v>Sector Santa Delia</v>
      </c>
      <c r="AD2839" s="20"/>
      <c r="AE2839" s="20"/>
      <c r="AF2839" s="13" t="s">
        <v>40</v>
      </c>
      <c r="AG2839" s="15">
        <v>45352</v>
      </c>
      <c r="AH2839" s="13" t="s">
        <v>41</v>
      </c>
      <c r="AI2839" s="13" t="s">
        <v>53</v>
      </c>
      <c r="AJ2839" s="13" t="str">
        <f>VLOOKUP(E2839,Precios!Z$2:AA$941,2,FALSE)</f>
        <v>Papel Higienico ELITE 50 metros</v>
      </c>
      <c r="AK2839" s="14">
        <f>VLOOKUP(E2839,Precios!Z$2:BB$941,3,FALSE)*F2839</f>
        <v>-6</v>
      </c>
      <c r="AL2839" s="17"/>
      <c r="AM2839" s="17"/>
      <c r="AN2839" s="17"/>
      <c r="AO2839" s="17"/>
      <c r="AP2839" s="17"/>
      <c r="AQ2839" s="17"/>
      <c r="AR2839" s="17"/>
      <c r="AS2839" s="17"/>
      <c r="AT2839" s="17"/>
      <c r="AU2839" s="17"/>
      <c r="AV2839" s="17"/>
    </row>
    <row r="2840" spans="1:48" ht="15.75" customHeight="1">
      <c r="A2840" s="21" t="s">
        <v>76</v>
      </c>
      <c r="B2840" s="23" t="s">
        <v>1692</v>
      </c>
      <c r="C2840" s="22">
        <v>45719</v>
      </c>
      <c r="D2840" s="23" t="s">
        <v>229</v>
      </c>
      <c r="E2840" s="23" t="s">
        <v>81</v>
      </c>
      <c r="F2840" s="21">
        <v>1</v>
      </c>
      <c r="G2840" s="12">
        <v>3500.0000000000005</v>
      </c>
      <c r="H2840" s="12">
        <v>3500.0000000000005</v>
      </c>
      <c r="I2840" s="23" t="s">
        <v>52</v>
      </c>
      <c r="J2840" s="23" t="s">
        <v>61</v>
      </c>
      <c r="K2840" s="24" t="s">
        <v>177</v>
      </c>
      <c r="L2840" s="24">
        <v>110</v>
      </c>
      <c r="M2840" s="12">
        <v>2941.1764705882356</v>
      </c>
      <c r="N2840" s="12">
        <v>2941.1764705882356</v>
      </c>
      <c r="O2840" s="12">
        <v>558.82352941176487</v>
      </c>
      <c r="P2840" s="13"/>
      <c r="Q2840" s="14">
        <v>2025</v>
      </c>
      <c r="R2840" s="15">
        <v>45352</v>
      </c>
      <c r="S2840" s="11" t="s">
        <v>397</v>
      </c>
      <c r="T2840" s="16">
        <v>5</v>
      </c>
      <c r="U2840" s="17"/>
      <c r="V2840" s="12">
        <v>764.70588235294144</v>
      </c>
      <c r="W2840" s="12">
        <v>764.70588235294144</v>
      </c>
      <c r="X2840" s="12">
        <v>0</v>
      </c>
      <c r="Y2840" s="18">
        <v>45719</v>
      </c>
      <c r="Z2840" s="13" t="s">
        <v>523</v>
      </c>
      <c r="AA2840" s="19" t="str">
        <f>VLOOKUP(D2840,Clientes!$A$2:$J$486,9,FALSE)</f>
        <v>Frecuente</v>
      </c>
      <c r="AB2840" s="13" t="str">
        <f>VLOOKUP(D2840,Clientes!$A$2:$K$486,11,FALSE)</f>
        <v>Persona Natural</v>
      </c>
      <c r="AC2840" s="13" t="str">
        <f>VLOOKUP(D2840,Clientes!$A$2:$B$486,2,FALSE)</f>
        <v>Sector Santa Delia</v>
      </c>
      <c r="AD2840" s="20"/>
      <c r="AE2840" s="20"/>
      <c r="AF2840" s="13" t="s">
        <v>40</v>
      </c>
      <c r="AG2840" s="15">
        <v>45352</v>
      </c>
      <c r="AH2840" s="13" t="s">
        <v>41</v>
      </c>
      <c r="AI2840" s="13" t="s">
        <v>76</v>
      </c>
      <c r="AJ2840" s="13" t="str">
        <f>VLOOKUP(E2840,Precios!Z$2:AA$941,2,FALSE)</f>
        <v>Detergente SPUM 5 Litros (Verde)</v>
      </c>
      <c r="AK2840" s="14">
        <f>VLOOKUP(E2840,Precios!Z$2:BB$941,3,FALSE)*F2840</f>
        <v>-1</v>
      </c>
      <c r="AL2840" s="17"/>
      <c r="AM2840" s="17"/>
      <c r="AN2840" s="17"/>
      <c r="AO2840" s="17"/>
      <c r="AP2840" s="17"/>
      <c r="AQ2840" s="17"/>
      <c r="AR2840" s="17"/>
      <c r="AS2840" s="17"/>
      <c r="AT2840" s="17"/>
      <c r="AU2840" s="17"/>
      <c r="AV2840" s="17"/>
    </row>
    <row r="2841" spans="1:48" ht="15.75" customHeight="1">
      <c r="A2841" s="21" t="s">
        <v>76</v>
      </c>
      <c r="B2841" s="23" t="s">
        <v>1692</v>
      </c>
      <c r="C2841" s="22">
        <v>45718</v>
      </c>
      <c r="D2841" s="23" t="s">
        <v>80</v>
      </c>
      <c r="E2841" s="23" t="s">
        <v>81</v>
      </c>
      <c r="F2841" s="21">
        <v>1</v>
      </c>
      <c r="G2841" s="12">
        <v>3500.0000000000005</v>
      </c>
      <c r="H2841" s="12">
        <v>3500.0000000000005</v>
      </c>
      <c r="I2841" s="23" t="s">
        <v>52</v>
      </c>
      <c r="J2841" s="23" t="s">
        <v>61</v>
      </c>
      <c r="K2841" s="24" t="s">
        <v>177</v>
      </c>
      <c r="L2841" s="24">
        <v>109</v>
      </c>
      <c r="M2841" s="12">
        <v>2941.1764705882356</v>
      </c>
      <c r="N2841" s="12">
        <v>2941.1764705882356</v>
      </c>
      <c r="O2841" s="12">
        <v>558.82352941176487</v>
      </c>
      <c r="P2841" s="13"/>
      <c r="Q2841" s="14">
        <v>2025</v>
      </c>
      <c r="R2841" s="15">
        <v>45352</v>
      </c>
      <c r="S2841" s="11" t="s">
        <v>397</v>
      </c>
      <c r="T2841" s="16">
        <v>5</v>
      </c>
      <c r="U2841" s="17"/>
      <c r="V2841" s="12">
        <v>764.70588235294144</v>
      </c>
      <c r="W2841" s="12">
        <v>764.70588235294144</v>
      </c>
      <c r="X2841" s="12">
        <v>0</v>
      </c>
      <c r="Y2841" s="18">
        <v>45712</v>
      </c>
      <c r="Z2841" s="13" t="s">
        <v>497</v>
      </c>
      <c r="AA2841" s="19" t="str">
        <f>VLOOKUP(D2841,Clientes!$A$2:$J$486,9,FALSE)</f>
        <v>Frecuente</v>
      </c>
      <c r="AB2841" s="13" t="str">
        <f>VLOOKUP(D2841,Clientes!$A$2:$K$486,11,FALSE)</f>
        <v>Persona Natural</v>
      </c>
      <c r="AC2841" s="13" t="str">
        <f>VLOOKUP(D2841,Clientes!$A$2:$B$486,2,FALSE)</f>
        <v>Jardines de la Viña</v>
      </c>
      <c r="AD2841" s="20"/>
      <c r="AE2841" s="20"/>
      <c r="AF2841" s="13" t="s">
        <v>40</v>
      </c>
      <c r="AG2841" s="15">
        <v>45352</v>
      </c>
      <c r="AH2841" s="13" t="s">
        <v>41</v>
      </c>
      <c r="AI2841" s="13" t="s">
        <v>76</v>
      </c>
      <c r="AJ2841" s="13" t="str">
        <f>VLOOKUP(E2841,Precios!Z$2:AA$941,2,FALSE)</f>
        <v>Detergente SPUM 5 Litros (Verde)</v>
      </c>
      <c r="AK2841" s="14">
        <f>VLOOKUP(E2841,Precios!Z$2:BB$941,3,FALSE)*F2841</f>
        <v>-1</v>
      </c>
      <c r="AL2841" s="17"/>
      <c r="AM2841" s="17"/>
      <c r="AN2841" s="17"/>
      <c r="AO2841" s="17"/>
      <c r="AP2841" s="17"/>
      <c r="AQ2841" s="17"/>
      <c r="AR2841" s="17"/>
      <c r="AS2841" s="17"/>
      <c r="AT2841" s="17"/>
      <c r="AU2841" s="17"/>
      <c r="AV2841" s="17"/>
    </row>
    <row r="2842" spans="1:48" ht="15.75" customHeight="1">
      <c r="A2842" s="21" t="s">
        <v>53</v>
      </c>
      <c r="B2842" s="23" t="s">
        <v>1692</v>
      </c>
      <c r="C2842" s="22">
        <v>45718</v>
      </c>
      <c r="D2842" s="23" t="s">
        <v>80</v>
      </c>
      <c r="E2842" s="23" t="s">
        <v>69</v>
      </c>
      <c r="F2842" s="21">
        <v>1</v>
      </c>
      <c r="G2842" s="12">
        <v>2999.9553810458683</v>
      </c>
      <c r="H2842" s="12">
        <v>2999.9553810458683</v>
      </c>
      <c r="I2842" s="23" t="s">
        <v>52</v>
      </c>
      <c r="J2842" s="23" t="s">
        <v>61</v>
      </c>
      <c r="K2842" s="24" t="s">
        <v>177</v>
      </c>
      <c r="L2842" s="24">
        <v>109</v>
      </c>
      <c r="M2842" s="12">
        <v>2520.9709084419064</v>
      </c>
      <c r="N2842" s="12">
        <v>2520.9709084419064</v>
      </c>
      <c r="O2842" s="12">
        <v>478.98447260396188</v>
      </c>
      <c r="P2842" s="13"/>
      <c r="Q2842" s="14">
        <v>2025</v>
      </c>
      <c r="R2842" s="15">
        <v>45352</v>
      </c>
      <c r="S2842" s="11" t="s">
        <v>376</v>
      </c>
      <c r="T2842" s="16">
        <v>0</v>
      </c>
      <c r="U2842" s="17"/>
      <c r="V2842" s="12">
        <v>825.97090844190598</v>
      </c>
      <c r="W2842" s="12">
        <v>825.97090844190598</v>
      </c>
      <c r="X2842" s="12">
        <v>0</v>
      </c>
      <c r="Y2842" s="18">
        <v>45712</v>
      </c>
      <c r="Z2842" s="13" t="s">
        <v>497</v>
      </c>
      <c r="AA2842" s="19" t="str">
        <f>VLOOKUP(D2842,Clientes!$A$2:$J$486,9,FALSE)</f>
        <v>Frecuente</v>
      </c>
      <c r="AB2842" s="13" t="str">
        <f>VLOOKUP(D2842,Clientes!$A$2:$K$486,11,FALSE)</f>
        <v>Persona Natural</v>
      </c>
      <c r="AC2842" s="13" t="str">
        <f>VLOOKUP(D2842,Clientes!$A$2:$B$486,2,FALSE)</f>
        <v>Jardines de la Viña</v>
      </c>
      <c r="AD2842" s="20"/>
      <c r="AE2842" s="20"/>
      <c r="AF2842" s="13" t="s">
        <v>40</v>
      </c>
      <c r="AG2842" s="15">
        <v>45352</v>
      </c>
      <c r="AH2842" s="13" t="s">
        <v>41</v>
      </c>
      <c r="AI2842" s="13" t="s">
        <v>53</v>
      </c>
      <c r="AJ2842" s="13" t="str">
        <f>VLOOKUP(E2842,Precios!Z$2:AA$941,2,FALSE)</f>
        <v>Toalla Papel NOVA 70 metros</v>
      </c>
      <c r="AK2842" s="14">
        <f>VLOOKUP(E2842,Precios!Z$2:BB$941,3,FALSE)*F2842</f>
        <v>-1</v>
      </c>
      <c r="AL2842" s="17"/>
      <c r="AM2842" s="17"/>
      <c r="AN2842" s="17"/>
      <c r="AO2842" s="17"/>
      <c r="AP2842" s="17"/>
      <c r="AQ2842" s="17"/>
      <c r="AR2842" s="17"/>
      <c r="AS2842" s="17"/>
      <c r="AT2842" s="17"/>
      <c r="AU2842" s="17"/>
      <c r="AV2842" s="17"/>
    </row>
    <row r="2843" spans="1:48" ht="15.75" customHeight="1">
      <c r="A2843" s="21" t="s">
        <v>76</v>
      </c>
      <c r="B2843" s="23" t="s">
        <v>1692</v>
      </c>
      <c r="C2843" s="22">
        <v>45718</v>
      </c>
      <c r="D2843" s="23" t="s">
        <v>141</v>
      </c>
      <c r="E2843" s="23" t="s">
        <v>212</v>
      </c>
      <c r="F2843" s="21">
        <v>1</v>
      </c>
      <c r="G2843" s="12">
        <v>3000.0000000000005</v>
      </c>
      <c r="H2843" s="12">
        <v>3000.0000000000005</v>
      </c>
      <c r="I2843" s="23" t="s">
        <v>52</v>
      </c>
      <c r="J2843" s="23" t="s">
        <v>61</v>
      </c>
      <c r="K2843" s="24" t="s">
        <v>177</v>
      </c>
      <c r="L2843" s="24">
        <v>109</v>
      </c>
      <c r="M2843" s="12">
        <v>2521.0084033613452</v>
      </c>
      <c r="N2843" s="12">
        <v>2521.0084033613452</v>
      </c>
      <c r="O2843" s="12">
        <v>478.99159663865521</v>
      </c>
      <c r="P2843" s="13"/>
      <c r="Q2843" s="14">
        <v>2025</v>
      </c>
      <c r="R2843" s="15">
        <v>45352</v>
      </c>
      <c r="S2843" s="11" t="s">
        <v>446</v>
      </c>
      <c r="T2843" s="16">
        <v>5</v>
      </c>
      <c r="U2843" s="17"/>
      <c r="V2843" s="12">
        <v>764.70588235294144</v>
      </c>
      <c r="W2843" s="12">
        <v>764.70588235294144</v>
      </c>
      <c r="X2843" s="12">
        <v>0</v>
      </c>
      <c r="Y2843" s="18">
        <v>45712</v>
      </c>
      <c r="Z2843" s="13" t="s">
        <v>497</v>
      </c>
      <c r="AA2843" s="19" t="str">
        <f>VLOOKUP(D2843,Clientes!$A$2:$J$486,9,FALSE)</f>
        <v>Familiar</v>
      </c>
      <c r="AB2843" s="13" t="str">
        <f>VLOOKUP(D2843,Clientes!$A$2:$K$486,11,FALSE)</f>
        <v>Persona Natural</v>
      </c>
      <c r="AC2843" s="13" t="str">
        <f>VLOOKUP(D2843,Clientes!$A$2:$B$486,2,FALSE)</f>
        <v>Familiar</v>
      </c>
      <c r="AD2843" s="20"/>
      <c r="AE2843" s="20"/>
      <c r="AF2843" s="13" t="s">
        <v>40</v>
      </c>
      <c r="AG2843" s="15">
        <v>45352</v>
      </c>
      <c r="AH2843" s="13" t="s">
        <v>41</v>
      </c>
      <c r="AI2843" s="13" t="s">
        <v>76</v>
      </c>
      <c r="AJ2843" s="13" t="str">
        <f>VLOOKUP(E2843,Precios!Z$2:AA$941,2,FALSE)</f>
        <v>Suavizante SPUM 5 Litros</v>
      </c>
      <c r="AK2843" s="14">
        <f>VLOOKUP(E2843,Precios!Z$2:BB$941,3,FALSE)*F2843</f>
        <v>-1</v>
      </c>
      <c r="AL2843" s="17"/>
      <c r="AM2843" s="17"/>
      <c r="AN2843" s="17"/>
      <c r="AO2843" s="17"/>
      <c r="AP2843" s="17"/>
      <c r="AQ2843" s="17"/>
      <c r="AR2843" s="17"/>
      <c r="AS2843" s="17"/>
      <c r="AT2843" s="17"/>
      <c r="AU2843" s="17"/>
      <c r="AV2843" s="17"/>
    </row>
    <row r="2844" spans="1:48" ht="15.75" customHeight="1">
      <c r="A2844" s="21" t="s">
        <v>53</v>
      </c>
      <c r="B2844" s="23" t="s">
        <v>1692</v>
      </c>
      <c r="C2844" s="22">
        <v>45718</v>
      </c>
      <c r="D2844" s="23" t="s">
        <v>321</v>
      </c>
      <c r="E2844" s="23" t="s">
        <v>97</v>
      </c>
      <c r="F2844" s="21">
        <v>1</v>
      </c>
      <c r="G2844" s="12">
        <v>15500.298388701016</v>
      </c>
      <c r="H2844" s="12">
        <v>15500.298388701016</v>
      </c>
      <c r="I2844" s="23" t="s">
        <v>52</v>
      </c>
      <c r="J2844" s="23" t="s">
        <v>61</v>
      </c>
      <c r="K2844" s="24" t="s">
        <v>177</v>
      </c>
      <c r="L2844" s="24">
        <v>109</v>
      </c>
      <c r="M2844" s="12">
        <v>13025.46083084119</v>
      </c>
      <c r="N2844" s="12">
        <v>13025.46083084119</v>
      </c>
      <c r="O2844" s="12">
        <v>2474.8375578598261</v>
      </c>
      <c r="P2844" s="13"/>
      <c r="Q2844" s="14">
        <v>2025</v>
      </c>
      <c r="R2844" s="15">
        <v>45352</v>
      </c>
      <c r="S2844" s="11" t="s">
        <v>366</v>
      </c>
      <c r="T2844" s="16">
        <v>0</v>
      </c>
      <c r="U2844" s="17"/>
      <c r="V2844" s="12">
        <v>3203.6120913453906</v>
      </c>
      <c r="W2844" s="12">
        <v>3203.6120913453906</v>
      </c>
      <c r="X2844" s="12">
        <v>0</v>
      </c>
      <c r="Y2844" s="18">
        <v>45712</v>
      </c>
      <c r="Z2844" s="13" t="s">
        <v>497</v>
      </c>
      <c r="AA2844" s="19" t="str">
        <f>VLOOKUP(D2844,Clientes!$A$2:$J$486,9,FALSE)</f>
        <v>Frecuente</v>
      </c>
      <c r="AB2844" s="13" t="str">
        <f>VLOOKUP(D2844,Clientes!$A$2:$K$486,11,FALSE)</f>
        <v>Persona Natural</v>
      </c>
      <c r="AC2844" s="13" t="str">
        <f>VLOOKUP(D2844,Clientes!$A$2:$B$486,2,FALSE)</f>
        <v>Colegio Antilhue</v>
      </c>
      <c r="AD2844" s="20"/>
      <c r="AE2844" s="20"/>
      <c r="AF2844" s="13" t="s">
        <v>40</v>
      </c>
      <c r="AG2844" s="15">
        <v>45352</v>
      </c>
      <c r="AH2844" s="13" t="s">
        <v>41</v>
      </c>
      <c r="AI2844" s="13" t="s">
        <v>53</v>
      </c>
      <c r="AJ2844" s="13" t="str">
        <f>VLOOKUP(E2844,Precios!Z$2:AA$941,2,FALSE)</f>
        <v>Papel Higienico ELITE 50 metros</v>
      </c>
      <c r="AK2844" s="14">
        <f>VLOOKUP(E2844,Precios!Z$2:BB$941,3,FALSE)*F2844</f>
        <v>-6</v>
      </c>
      <c r="AL2844" s="17"/>
      <c r="AM2844" s="17"/>
      <c r="AN2844" s="17"/>
      <c r="AO2844" s="17"/>
      <c r="AP2844" s="17"/>
      <c r="AQ2844" s="17"/>
      <c r="AR2844" s="17"/>
      <c r="AS2844" s="17"/>
      <c r="AT2844" s="17"/>
      <c r="AU2844" s="17"/>
      <c r="AV2844" s="17"/>
    </row>
    <row r="2845" spans="1:48" ht="15.75" customHeight="1">
      <c r="A2845" s="21" t="s">
        <v>53</v>
      </c>
      <c r="B2845" s="23" t="s">
        <v>1692</v>
      </c>
      <c r="C2845" s="22">
        <v>45718</v>
      </c>
      <c r="D2845" s="23" t="s">
        <v>321</v>
      </c>
      <c r="E2845" s="23" t="s">
        <v>114</v>
      </c>
      <c r="F2845" s="21">
        <v>1</v>
      </c>
      <c r="G2845" s="12">
        <v>10500</v>
      </c>
      <c r="H2845" s="12">
        <v>10500</v>
      </c>
      <c r="I2845" s="23" t="s">
        <v>52</v>
      </c>
      <c r="J2845" s="23" t="s">
        <v>61</v>
      </c>
      <c r="K2845" s="24" t="s">
        <v>177</v>
      </c>
      <c r="L2845" s="24">
        <v>109</v>
      </c>
      <c r="M2845" s="12">
        <v>8823.5294117647063</v>
      </c>
      <c r="N2845" s="12">
        <v>8823.5294117647063</v>
      </c>
      <c r="O2845" s="12">
        <v>1676.4705882352937</v>
      </c>
      <c r="P2845" s="13"/>
      <c r="Q2845" s="14">
        <v>2025</v>
      </c>
      <c r="R2845" s="15">
        <v>45352</v>
      </c>
      <c r="S2845" s="11" t="s">
        <v>369</v>
      </c>
      <c r="T2845" s="16">
        <v>0</v>
      </c>
      <c r="U2845" s="17"/>
      <c r="V2845" s="12">
        <v>2403.3613445378151</v>
      </c>
      <c r="W2845" s="12">
        <v>2403.3613445378151</v>
      </c>
      <c r="X2845" s="12">
        <v>0</v>
      </c>
      <c r="Y2845" s="18">
        <v>45712</v>
      </c>
      <c r="Z2845" s="13" t="s">
        <v>497</v>
      </c>
      <c r="AA2845" s="19" t="str">
        <f>VLOOKUP(D2845,Clientes!$A$2:$J$486,9,FALSE)</f>
        <v>Frecuente</v>
      </c>
      <c r="AB2845" s="13" t="str">
        <f>VLOOKUP(D2845,Clientes!$A$2:$K$486,11,FALSE)</f>
        <v>Persona Natural</v>
      </c>
      <c r="AC2845" s="13" t="str">
        <f>VLOOKUP(D2845,Clientes!$A$2:$B$486,2,FALSE)</f>
        <v>Colegio Antilhue</v>
      </c>
      <c r="AD2845" s="20"/>
      <c r="AE2845" s="20"/>
      <c r="AF2845" s="13" t="s">
        <v>40</v>
      </c>
      <c r="AG2845" s="15">
        <v>45352</v>
      </c>
      <c r="AH2845" s="13" t="s">
        <v>41</v>
      </c>
      <c r="AI2845" s="13" t="s">
        <v>53</v>
      </c>
      <c r="AJ2845" s="13" t="str">
        <f>VLOOKUP(E2845,Precios!Z$2:AA$941,2,FALSE)</f>
        <v>Toalla Papel NOVA 12 metros</v>
      </c>
      <c r="AK2845" s="14">
        <f>VLOOKUP(E2845,Precios!Z$2:BB$941,3,FALSE)*F2845</f>
        <v>-8</v>
      </c>
      <c r="AL2845" s="17"/>
      <c r="AM2845" s="17"/>
      <c r="AN2845" s="17"/>
      <c r="AO2845" s="17"/>
      <c r="AP2845" s="17"/>
      <c r="AQ2845" s="17"/>
      <c r="AR2845" s="17"/>
      <c r="AS2845" s="17"/>
      <c r="AT2845" s="17"/>
      <c r="AU2845" s="17"/>
      <c r="AV2845" s="17"/>
    </row>
    <row r="2846" spans="1:48" ht="15.75" customHeight="1">
      <c r="A2846" s="21" t="s">
        <v>76</v>
      </c>
      <c r="B2846" s="23" t="s">
        <v>1692</v>
      </c>
      <c r="C2846" s="22">
        <v>45718</v>
      </c>
      <c r="D2846" s="23" t="s">
        <v>321</v>
      </c>
      <c r="E2846" s="23" t="s">
        <v>81</v>
      </c>
      <c r="F2846" s="21">
        <v>1</v>
      </c>
      <c r="G2846" s="12">
        <v>3500.0000000000005</v>
      </c>
      <c r="H2846" s="12">
        <v>3500.0000000000005</v>
      </c>
      <c r="I2846" s="23" t="s">
        <v>52</v>
      </c>
      <c r="J2846" s="23" t="s">
        <v>61</v>
      </c>
      <c r="K2846" s="24" t="s">
        <v>177</v>
      </c>
      <c r="L2846" s="24">
        <v>109</v>
      </c>
      <c r="M2846" s="12">
        <v>2941.1764705882356</v>
      </c>
      <c r="N2846" s="12">
        <v>2941.1764705882356</v>
      </c>
      <c r="O2846" s="12">
        <v>558.82352941176487</v>
      </c>
      <c r="P2846" s="13"/>
      <c r="Q2846" s="14">
        <v>2025</v>
      </c>
      <c r="R2846" s="15">
        <v>45352</v>
      </c>
      <c r="S2846" s="11" t="s">
        <v>397</v>
      </c>
      <c r="T2846" s="16">
        <v>5</v>
      </c>
      <c r="U2846" s="17"/>
      <c r="V2846" s="12">
        <v>764.70588235294144</v>
      </c>
      <c r="W2846" s="12">
        <v>764.70588235294144</v>
      </c>
      <c r="X2846" s="12">
        <v>0</v>
      </c>
      <c r="Y2846" s="18">
        <v>45712</v>
      </c>
      <c r="Z2846" s="13" t="s">
        <v>497</v>
      </c>
      <c r="AA2846" s="19" t="str">
        <f>VLOOKUP(D2846,Clientes!$A$2:$J$486,9,FALSE)</f>
        <v>Frecuente</v>
      </c>
      <c r="AB2846" s="13" t="str">
        <f>VLOOKUP(D2846,Clientes!$A$2:$K$486,11,FALSE)</f>
        <v>Persona Natural</v>
      </c>
      <c r="AC2846" s="13" t="str">
        <f>VLOOKUP(D2846,Clientes!$A$2:$B$486,2,FALSE)</f>
        <v>Colegio Antilhue</v>
      </c>
      <c r="AD2846" s="20"/>
      <c r="AE2846" s="20"/>
      <c r="AF2846" s="13" t="s">
        <v>40</v>
      </c>
      <c r="AG2846" s="15">
        <v>45352</v>
      </c>
      <c r="AH2846" s="13" t="s">
        <v>41</v>
      </c>
      <c r="AI2846" s="13" t="s">
        <v>76</v>
      </c>
      <c r="AJ2846" s="13" t="str">
        <f>VLOOKUP(E2846,Precios!Z$2:AA$941,2,FALSE)</f>
        <v>Detergente SPUM 5 Litros (Verde)</v>
      </c>
      <c r="AK2846" s="14">
        <f>VLOOKUP(E2846,Precios!Z$2:BB$941,3,FALSE)*F2846</f>
        <v>-1</v>
      </c>
      <c r="AL2846" s="17"/>
      <c r="AM2846" s="17"/>
      <c r="AN2846" s="17"/>
      <c r="AO2846" s="17"/>
      <c r="AP2846" s="17"/>
      <c r="AQ2846" s="17"/>
      <c r="AR2846" s="17"/>
      <c r="AS2846" s="17"/>
      <c r="AT2846" s="17"/>
      <c r="AU2846" s="17"/>
      <c r="AV2846" s="17"/>
    </row>
    <row r="2847" spans="1:48" ht="15.75" customHeight="1">
      <c r="A2847" s="21" t="s">
        <v>47</v>
      </c>
      <c r="B2847" s="23" t="s">
        <v>1692</v>
      </c>
      <c r="C2847" s="22">
        <v>45718</v>
      </c>
      <c r="D2847" s="23" t="s">
        <v>321</v>
      </c>
      <c r="E2847" s="23" t="s">
        <v>170</v>
      </c>
      <c r="F2847" s="21">
        <v>1</v>
      </c>
      <c r="G2847" s="12">
        <v>1800.1699716713879</v>
      </c>
      <c r="H2847" s="12">
        <v>1800.1699716713879</v>
      </c>
      <c r="I2847" s="23" t="s">
        <v>52</v>
      </c>
      <c r="J2847" s="23" t="s">
        <v>61</v>
      </c>
      <c r="K2847" s="24" t="s">
        <v>177</v>
      </c>
      <c r="L2847" s="24">
        <v>109</v>
      </c>
      <c r="M2847" s="12">
        <v>1512.7478753541075</v>
      </c>
      <c r="N2847" s="12">
        <v>1512.7478753541075</v>
      </c>
      <c r="O2847" s="12">
        <v>287.42209631728042</v>
      </c>
      <c r="P2847" s="13"/>
      <c r="Q2847" s="14">
        <v>2025</v>
      </c>
      <c r="R2847" s="15">
        <v>45352</v>
      </c>
      <c r="S2847" s="11" t="s">
        <v>453</v>
      </c>
      <c r="T2847" s="16">
        <v>0</v>
      </c>
      <c r="U2847" s="17"/>
      <c r="V2847" s="12">
        <v>711.74787535410746</v>
      </c>
      <c r="W2847" s="12">
        <v>711.74787535410746</v>
      </c>
      <c r="X2847" s="12">
        <v>0</v>
      </c>
      <c r="Y2847" s="18">
        <v>45712</v>
      </c>
      <c r="Z2847" s="13" t="s">
        <v>497</v>
      </c>
      <c r="AA2847" s="19" t="str">
        <f>VLOOKUP(D2847,Clientes!$A$2:$J$486,9,FALSE)</f>
        <v>Frecuente</v>
      </c>
      <c r="AB2847" s="13" t="str">
        <f>VLOOKUP(D2847,Clientes!$A$2:$K$486,11,FALSE)</f>
        <v>Persona Natural</v>
      </c>
      <c r="AC2847" s="13" t="str">
        <f>VLOOKUP(D2847,Clientes!$A$2:$B$486,2,FALSE)</f>
        <v>Colegio Antilhue</v>
      </c>
      <c r="AD2847" s="20"/>
      <c r="AE2847" s="20"/>
      <c r="AF2847" s="13" t="s">
        <v>40</v>
      </c>
      <c r="AG2847" s="15">
        <v>45352</v>
      </c>
      <c r="AH2847" s="13" t="s">
        <v>41</v>
      </c>
      <c r="AI2847" s="13" t="s">
        <v>47</v>
      </c>
      <c r="AJ2847" s="13" t="str">
        <f>VLOOKUP(E2847,Precios!Z$2:AA$941,2,FALSE)</f>
        <v xml:space="preserve">Bolsas Basura TEDDY 50x70 </v>
      </c>
      <c r="AK2847" s="14">
        <f>VLOOKUP(E2847,Precios!Z$2:BB$941,3,FALSE)*F2847</f>
        <v>-3</v>
      </c>
      <c r="AL2847" s="17"/>
      <c r="AM2847" s="17"/>
      <c r="AN2847" s="17"/>
      <c r="AO2847" s="17"/>
      <c r="AP2847" s="17"/>
      <c r="AQ2847" s="17"/>
      <c r="AR2847" s="17"/>
      <c r="AS2847" s="17"/>
      <c r="AT2847" s="17"/>
      <c r="AU2847" s="17"/>
      <c r="AV2847" s="17"/>
    </row>
    <row r="2848" spans="1:48" ht="15.75" customHeight="1">
      <c r="A2848" s="21" t="s">
        <v>47</v>
      </c>
      <c r="B2848" s="23" t="s">
        <v>1692</v>
      </c>
      <c r="C2848" s="22">
        <v>45717</v>
      </c>
      <c r="D2848" s="23" t="s">
        <v>125</v>
      </c>
      <c r="E2848" s="23" t="s">
        <v>107</v>
      </c>
      <c r="F2848" s="21">
        <v>1</v>
      </c>
      <c r="G2848" s="12">
        <v>3000.0000000000005</v>
      </c>
      <c r="H2848" s="12">
        <v>3000.0000000000005</v>
      </c>
      <c r="I2848" s="23" t="s">
        <v>52</v>
      </c>
      <c r="J2848" s="23" t="s">
        <v>61</v>
      </c>
      <c r="K2848" s="24" t="s">
        <v>177</v>
      </c>
      <c r="L2848" s="24">
        <v>109</v>
      </c>
      <c r="M2848" s="12">
        <v>2521.0084033613452</v>
      </c>
      <c r="N2848" s="12">
        <v>2521.0084033613452</v>
      </c>
      <c r="O2848" s="12">
        <v>478.99159663865521</v>
      </c>
      <c r="P2848" s="13"/>
      <c r="Q2848" s="14">
        <v>2025</v>
      </c>
      <c r="R2848" s="15">
        <v>45352</v>
      </c>
      <c r="S2848" s="11" t="s">
        <v>453</v>
      </c>
      <c r="T2848" s="16">
        <v>0</v>
      </c>
      <c r="U2848" s="17"/>
      <c r="V2848" s="12">
        <v>758.82352941176487</v>
      </c>
      <c r="W2848" s="12">
        <v>758.82352941176487</v>
      </c>
      <c r="X2848" s="12">
        <v>0</v>
      </c>
      <c r="Y2848" s="18">
        <v>45712</v>
      </c>
      <c r="Z2848" s="13" t="s">
        <v>501</v>
      </c>
      <c r="AA2848" s="19" t="str">
        <f>VLOOKUP(D2848,Clientes!$A$2:$J$486,9,FALSE)</f>
        <v>Frecuente</v>
      </c>
      <c r="AB2848" s="13" t="str">
        <f>VLOOKUP(D2848,Clientes!$A$2:$K$486,11,FALSE)</f>
        <v>Persona Natural</v>
      </c>
      <c r="AC2848" s="13" t="str">
        <f>VLOOKUP(D2848,Clientes!$A$2:$B$486,2,FALSE)</f>
        <v>Jardines de la Viña</v>
      </c>
      <c r="AD2848" s="20"/>
      <c r="AE2848" s="20"/>
      <c r="AF2848" s="13" t="s">
        <v>40</v>
      </c>
      <c r="AG2848" s="15">
        <v>45352</v>
      </c>
      <c r="AH2848" s="13" t="s">
        <v>41</v>
      </c>
      <c r="AI2848" s="13" t="s">
        <v>47</v>
      </c>
      <c r="AJ2848" s="13" t="str">
        <f>VLOOKUP(E2848,Precios!Z$2:AA$941,2,FALSE)</f>
        <v xml:space="preserve">Bolsas Basura TEDDY 90x120 </v>
      </c>
      <c r="AK2848" s="14">
        <f>VLOOKUP(E2848,Precios!Z$2:BB$941,3,FALSE)*F2848</f>
        <v>-1</v>
      </c>
      <c r="AL2848" s="17"/>
      <c r="AM2848" s="17"/>
      <c r="AN2848" s="17"/>
      <c r="AO2848" s="17"/>
      <c r="AP2848" s="17"/>
      <c r="AQ2848" s="17"/>
      <c r="AR2848" s="17"/>
      <c r="AS2848" s="17"/>
      <c r="AT2848" s="17"/>
      <c r="AU2848" s="17"/>
      <c r="AV2848" s="17"/>
    </row>
    <row r="2849" spans="1:48" ht="15.75" customHeight="1">
      <c r="A2849" s="21" t="s">
        <v>35</v>
      </c>
      <c r="B2849" s="23" t="s">
        <v>1692</v>
      </c>
      <c r="C2849" s="22">
        <v>45717</v>
      </c>
      <c r="D2849" s="23" t="s">
        <v>80</v>
      </c>
      <c r="E2849" s="23" t="s">
        <v>46</v>
      </c>
      <c r="F2849" s="21">
        <v>1</v>
      </c>
      <c r="G2849" s="12">
        <v>5500</v>
      </c>
      <c r="H2849" s="12">
        <v>5500</v>
      </c>
      <c r="I2849" s="23" t="s">
        <v>52</v>
      </c>
      <c r="J2849" s="23" t="s">
        <v>61</v>
      </c>
      <c r="K2849" s="24" t="s">
        <v>177</v>
      </c>
      <c r="L2849" s="24">
        <v>109</v>
      </c>
      <c r="M2849" s="12">
        <v>4621.8487394957983</v>
      </c>
      <c r="N2849" s="12">
        <v>4621.8487394957983</v>
      </c>
      <c r="O2849" s="12">
        <v>878.15126050420167</v>
      </c>
      <c r="P2849" s="13"/>
      <c r="Q2849" s="14">
        <v>2025</v>
      </c>
      <c r="R2849" s="15">
        <v>45352</v>
      </c>
      <c r="S2849" s="11" t="s">
        <v>364</v>
      </c>
      <c r="T2849" s="16">
        <v>500</v>
      </c>
      <c r="U2849" s="17"/>
      <c r="V2849" s="12">
        <v>1365.1260504201678</v>
      </c>
      <c r="W2849" s="12">
        <v>1365.1260504201678</v>
      </c>
      <c r="X2849" s="12">
        <v>0</v>
      </c>
      <c r="Y2849" s="18">
        <v>45712</v>
      </c>
      <c r="Z2849" s="13" t="s">
        <v>501</v>
      </c>
      <c r="AA2849" s="19" t="str">
        <f>VLOOKUP(D2849,Clientes!$A$2:$J$486,9,FALSE)</f>
        <v>Frecuente</v>
      </c>
      <c r="AB2849" s="13" t="str">
        <f>VLOOKUP(D2849,Clientes!$A$2:$K$486,11,FALSE)</f>
        <v>Persona Natural</v>
      </c>
      <c r="AC2849" s="13" t="str">
        <f>VLOOKUP(D2849,Clientes!$A$2:$B$486,2,FALSE)</f>
        <v>Jardines de la Viña</v>
      </c>
      <c r="AD2849" s="20"/>
      <c r="AE2849" s="20"/>
      <c r="AF2849" s="13" t="s">
        <v>40</v>
      </c>
      <c r="AG2849" s="15">
        <v>45352</v>
      </c>
      <c r="AH2849" s="13" t="s">
        <v>41</v>
      </c>
      <c r="AI2849" s="13" t="s">
        <v>35</v>
      </c>
      <c r="AJ2849" s="13" t="str">
        <f>VLOOKUP(E2849,Precios!Z$2:AA$941,2,FALSE)</f>
        <v>Queso RUNCA Mantecoso</v>
      </c>
      <c r="AK2849" s="14">
        <f>VLOOKUP(E2849,Precios!Z$2:BB$941,3,FALSE)*F2849</f>
        <v>-0.5</v>
      </c>
      <c r="AL2849" s="17"/>
      <c r="AM2849" s="17"/>
      <c r="AN2849" s="17"/>
      <c r="AO2849" s="17"/>
      <c r="AP2849" s="17"/>
      <c r="AQ2849" s="17"/>
      <c r="AR2849" s="17"/>
      <c r="AS2849" s="17"/>
      <c r="AT2849" s="17"/>
      <c r="AU2849" s="17"/>
      <c r="AV2849" s="17"/>
    </row>
    <row r="2850" spans="1:48" ht="15.75" customHeight="1">
      <c r="A2850" s="21" t="s">
        <v>47</v>
      </c>
      <c r="B2850" s="23" t="s">
        <v>1692</v>
      </c>
      <c r="C2850" s="22">
        <v>45717</v>
      </c>
      <c r="D2850" s="23" t="s">
        <v>236</v>
      </c>
      <c r="E2850" s="23" t="s">
        <v>48</v>
      </c>
      <c r="F2850" s="21">
        <v>1</v>
      </c>
      <c r="G2850" s="12">
        <v>1000</v>
      </c>
      <c r="H2850" s="12">
        <v>1000</v>
      </c>
      <c r="I2850" s="23" t="s">
        <v>52</v>
      </c>
      <c r="J2850" s="23" t="s">
        <v>61</v>
      </c>
      <c r="K2850" s="24" t="s">
        <v>177</v>
      </c>
      <c r="L2850" s="24">
        <v>109</v>
      </c>
      <c r="M2850" s="12">
        <v>840.3361344537816</v>
      </c>
      <c r="N2850" s="12">
        <v>840.3361344537816</v>
      </c>
      <c r="O2850" s="12">
        <v>159.6638655462184</v>
      </c>
      <c r="P2850" s="13"/>
      <c r="Q2850" s="14">
        <v>2025</v>
      </c>
      <c r="R2850" s="15">
        <v>45352</v>
      </c>
      <c r="S2850" s="11" t="s">
        <v>416</v>
      </c>
      <c r="T2850" s="16">
        <v>0</v>
      </c>
      <c r="U2850" s="17"/>
      <c r="V2850" s="12">
        <v>330.33613445378148</v>
      </c>
      <c r="W2850" s="12">
        <v>330.33613445378148</v>
      </c>
      <c r="X2850" s="12">
        <v>0</v>
      </c>
      <c r="Y2850" s="18">
        <v>45712</v>
      </c>
      <c r="Z2850" s="13" t="s">
        <v>501</v>
      </c>
      <c r="AA2850" s="19" t="str">
        <f>VLOOKUP(D2850,Clientes!$A$2:$J$486,9,FALSE)</f>
        <v>Familiar</v>
      </c>
      <c r="AB2850" s="13" t="str">
        <f>VLOOKUP(D2850,Clientes!$A$2:$K$486,11,FALSE)</f>
        <v>Persona Natural</v>
      </c>
      <c r="AC2850" s="13" t="str">
        <f>VLOOKUP(D2850,Clientes!$A$2:$B$486,2,FALSE)</f>
        <v>Familiar</v>
      </c>
      <c r="AD2850" s="20"/>
      <c r="AE2850" s="20"/>
      <c r="AF2850" s="13" t="s">
        <v>40</v>
      </c>
      <c r="AG2850" s="15">
        <v>45352</v>
      </c>
      <c r="AH2850" s="13" t="s">
        <v>41</v>
      </c>
      <c r="AI2850" s="13" t="s">
        <v>47</v>
      </c>
      <c r="AJ2850" s="13" t="str">
        <f>VLOOKUP(E2850,Precios!Z$2:AA$941,2,FALSE)</f>
        <v>Esponja Acanalada TEDDY</v>
      </c>
      <c r="AK2850" s="14">
        <f>VLOOKUP(E2850,Precios!Z$2:BB$941,3,FALSE)*F2850</f>
        <v>-5</v>
      </c>
      <c r="AL2850" s="17"/>
      <c r="AM2850" s="17"/>
      <c r="AN2850" s="17"/>
      <c r="AO2850" s="17"/>
      <c r="AP2850" s="17"/>
      <c r="AQ2850" s="17"/>
      <c r="AR2850" s="17"/>
      <c r="AS2850" s="17"/>
      <c r="AT2850" s="17"/>
      <c r="AU2850" s="17"/>
      <c r="AV2850" s="17"/>
    </row>
    <row r="2851" spans="1:48" ht="15.75" customHeight="1">
      <c r="A2851" s="21" t="s">
        <v>43</v>
      </c>
      <c r="B2851" s="23" t="s">
        <v>1692</v>
      </c>
      <c r="C2851" s="22">
        <v>45717</v>
      </c>
      <c r="D2851" s="23" t="s">
        <v>622</v>
      </c>
      <c r="E2851" s="23" t="s">
        <v>45</v>
      </c>
      <c r="F2851" s="21">
        <v>1</v>
      </c>
      <c r="G2851" s="12">
        <v>7600.0975431323541</v>
      </c>
      <c r="H2851" s="12">
        <v>7600.0975431323541</v>
      </c>
      <c r="I2851" s="23" t="s">
        <v>52</v>
      </c>
      <c r="J2851" s="23" t="s">
        <v>61</v>
      </c>
      <c r="K2851" s="24" t="s">
        <v>177</v>
      </c>
      <c r="L2851" s="24">
        <v>109</v>
      </c>
      <c r="M2851" s="12">
        <v>6386.6365908675243</v>
      </c>
      <c r="N2851" s="12">
        <v>6386.6365908675243</v>
      </c>
      <c r="O2851" s="12">
        <v>1213.4609522648298</v>
      </c>
      <c r="P2851" s="13"/>
      <c r="Q2851" s="14">
        <v>2025</v>
      </c>
      <c r="R2851" s="15">
        <v>45352</v>
      </c>
      <c r="S2851" s="11" t="s">
        <v>355</v>
      </c>
      <c r="T2851" s="16">
        <v>0</v>
      </c>
      <c r="U2851" s="17"/>
      <c r="V2851" s="12">
        <v>1148.6365908675243</v>
      </c>
      <c r="W2851" s="12">
        <v>1148.6365908675243</v>
      </c>
      <c r="X2851" s="12">
        <v>0</v>
      </c>
      <c r="Y2851" s="18">
        <v>45712</v>
      </c>
      <c r="Z2851" s="13" t="s">
        <v>501</v>
      </c>
      <c r="AA2851" s="19" t="str">
        <f>VLOOKUP(D2851,Clientes!$A$2:$J$486,9,FALSE)</f>
        <v>Ocacional</v>
      </c>
      <c r="AB2851" s="13" t="str">
        <f>VLOOKUP(D2851,Clientes!$A$2:$K$486,11,FALSE)</f>
        <v>Persona Natural</v>
      </c>
      <c r="AC2851" s="13" t="str">
        <f>VLOOKUP(D2851,Clientes!$A$2:$B$486,2,FALSE)</f>
        <v>Domo</v>
      </c>
      <c r="AD2851" s="20"/>
      <c r="AE2851" s="20"/>
      <c r="AF2851" s="13" t="s">
        <v>40</v>
      </c>
      <c r="AG2851" s="15">
        <v>45352</v>
      </c>
      <c r="AH2851" s="13" t="s">
        <v>41</v>
      </c>
      <c r="AI2851" s="13" t="s">
        <v>43</v>
      </c>
      <c r="AJ2851" s="13" t="str">
        <f>VLOOKUP(E2851,Precios!Z$2:AA$941,2,FALSE)</f>
        <v>Bandeja Huevos EXTRA</v>
      </c>
      <c r="AK2851" s="14">
        <f>VLOOKUP(E2851,Precios!Z$2:BB$941,3,FALSE)*F2851</f>
        <v>-1</v>
      </c>
      <c r="AL2851" s="17"/>
      <c r="AM2851" s="17"/>
      <c r="AN2851" s="17"/>
      <c r="AO2851" s="17"/>
      <c r="AP2851" s="17"/>
      <c r="AQ2851" s="17"/>
      <c r="AR2851" s="17"/>
      <c r="AS2851" s="17"/>
      <c r="AT2851" s="17"/>
      <c r="AU2851" s="17"/>
      <c r="AV2851" s="17"/>
    </row>
    <row r="2852" spans="1:48" ht="15.75" customHeight="1">
      <c r="A2852" s="21" t="s">
        <v>76</v>
      </c>
      <c r="B2852" s="23" t="s">
        <v>1692</v>
      </c>
      <c r="C2852" s="22">
        <v>45717</v>
      </c>
      <c r="D2852" s="23" t="s">
        <v>301</v>
      </c>
      <c r="E2852" s="23" t="s">
        <v>82</v>
      </c>
      <c r="F2852" s="21">
        <v>1</v>
      </c>
      <c r="G2852" s="12">
        <v>2000.0000000000002</v>
      </c>
      <c r="H2852" s="12">
        <v>2000.0000000000002</v>
      </c>
      <c r="I2852" s="23" t="s">
        <v>52</v>
      </c>
      <c r="J2852" s="23" t="s">
        <v>61</v>
      </c>
      <c r="K2852" s="24" t="s">
        <v>177</v>
      </c>
      <c r="L2852" s="24">
        <v>109</v>
      </c>
      <c r="M2852" s="12">
        <v>1680.6722689075632</v>
      </c>
      <c r="N2852" s="12">
        <v>1680.6722689075632</v>
      </c>
      <c r="O2852" s="12">
        <v>319.32773109243703</v>
      </c>
      <c r="P2852" s="13"/>
      <c r="Q2852" s="14">
        <v>2025</v>
      </c>
      <c r="R2852" s="15">
        <v>45352</v>
      </c>
      <c r="S2852" s="11" t="s">
        <v>463</v>
      </c>
      <c r="T2852" s="16">
        <v>5</v>
      </c>
      <c r="U2852" s="17"/>
      <c r="V2852" s="12">
        <v>680.67226890756319</v>
      </c>
      <c r="W2852" s="12">
        <v>680.67226890756319</v>
      </c>
      <c r="X2852" s="12">
        <v>0</v>
      </c>
      <c r="Y2852" s="18">
        <v>45712</v>
      </c>
      <c r="Z2852" s="13" t="s">
        <v>501</v>
      </c>
      <c r="AA2852" s="19" t="str">
        <f>VLOOKUP(D2852,Clientes!$A$2:$J$486,9,FALSE)</f>
        <v>Regular</v>
      </c>
      <c r="AB2852" s="13" t="str">
        <f>VLOOKUP(D2852,Clientes!$A$2:$K$486,11,FALSE)</f>
        <v>Persona Natural</v>
      </c>
      <c r="AC2852" s="13" t="str">
        <f>VLOOKUP(D2852,Clientes!$A$2:$B$486,2,FALSE)</f>
        <v>Sector Chilcas</v>
      </c>
      <c r="AD2852" s="20"/>
      <c r="AE2852" s="20"/>
      <c r="AF2852" s="13" t="s">
        <v>40</v>
      </c>
      <c r="AG2852" s="15">
        <v>45352</v>
      </c>
      <c r="AH2852" s="13" t="s">
        <v>41</v>
      </c>
      <c r="AI2852" s="13" t="s">
        <v>76</v>
      </c>
      <c r="AJ2852" s="13" t="str">
        <f>VLOOKUP(E2852,Precios!Z$2:AA$941,2,FALSE)</f>
        <v>Limpiapiso SPUM 5 Litros</v>
      </c>
      <c r="AK2852" s="14">
        <f>VLOOKUP(E2852,Precios!Z$2:BB$941,3,FALSE)*F2852</f>
        <v>-1</v>
      </c>
      <c r="AL2852" s="17"/>
      <c r="AM2852" s="17"/>
      <c r="AN2852" s="17"/>
      <c r="AO2852" s="17"/>
      <c r="AP2852" s="17"/>
      <c r="AQ2852" s="17"/>
      <c r="AR2852" s="17"/>
      <c r="AS2852" s="17"/>
      <c r="AT2852" s="17"/>
      <c r="AU2852" s="17"/>
      <c r="AV2852" s="17"/>
    </row>
    <row r="2853" spans="1:48" ht="15.75" customHeight="1">
      <c r="A2853" s="21" t="s">
        <v>76</v>
      </c>
      <c r="B2853" s="23" t="s">
        <v>1692</v>
      </c>
      <c r="C2853" s="22">
        <v>45717</v>
      </c>
      <c r="D2853" s="23" t="s">
        <v>108</v>
      </c>
      <c r="E2853" s="23" t="s">
        <v>81</v>
      </c>
      <c r="F2853" s="21">
        <v>1</v>
      </c>
      <c r="G2853" s="12">
        <v>3500.0000000000005</v>
      </c>
      <c r="H2853" s="12">
        <v>3500.0000000000005</v>
      </c>
      <c r="I2853" s="23" t="s">
        <v>52</v>
      </c>
      <c r="J2853" s="23" t="s">
        <v>61</v>
      </c>
      <c r="K2853" s="24" t="s">
        <v>177</v>
      </c>
      <c r="L2853" s="24">
        <v>109</v>
      </c>
      <c r="M2853" s="12">
        <v>2941.1764705882356</v>
      </c>
      <c r="N2853" s="12">
        <v>2941.1764705882356</v>
      </c>
      <c r="O2853" s="12">
        <v>558.82352941176487</v>
      </c>
      <c r="P2853" s="13"/>
      <c r="Q2853" s="14">
        <v>2025</v>
      </c>
      <c r="R2853" s="15">
        <v>45352</v>
      </c>
      <c r="S2853" s="11" t="s">
        <v>397</v>
      </c>
      <c r="T2853" s="16">
        <v>5</v>
      </c>
      <c r="U2853" s="17"/>
      <c r="V2853" s="12">
        <v>764.70588235294144</v>
      </c>
      <c r="W2853" s="12">
        <v>764.70588235294144</v>
      </c>
      <c r="X2853" s="12">
        <v>0</v>
      </c>
      <c r="Y2853" s="18">
        <v>45712</v>
      </c>
      <c r="Z2853" s="13" t="s">
        <v>501</v>
      </c>
      <c r="AA2853" s="19" t="str">
        <f>VLOOKUP(D2853,Clientes!$A$2:$J$486,9,FALSE)</f>
        <v>Frecuente</v>
      </c>
      <c r="AB2853" s="13" t="str">
        <f>VLOOKUP(D2853,Clientes!$A$2:$K$486,11,FALSE)</f>
        <v>Persona Natural</v>
      </c>
      <c r="AC2853" s="13" t="str">
        <f>VLOOKUP(D2853,Clientes!$A$2:$B$486,2,FALSE)</f>
        <v>Jardines de la Viña</v>
      </c>
      <c r="AD2853" s="20"/>
      <c r="AE2853" s="20"/>
      <c r="AF2853" s="13" t="s">
        <v>40</v>
      </c>
      <c r="AG2853" s="15">
        <v>45352</v>
      </c>
      <c r="AH2853" s="13" t="s">
        <v>41</v>
      </c>
      <c r="AI2853" s="13" t="s">
        <v>76</v>
      </c>
      <c r="AJ2853" s="13" t="str">
        <f>VLOOKUP(E2853,Precios!Z$2:AA$941,2,FALSE)</f>
        <v>Detergente SPUM 5 Litros (Verde)</v>
      </c>
      <c r="AK2853" s="14">
        <f>VLOOKUP(E2853,Precios!Z$2:BB$941,3,FALSE)*F2853</f>
        <v>-1</v>
      </c>
      <c r="AL2853" s="17"/>
      <c r="AM2853" s="17"/>
      <c r="AN2853" s="17"/>
      <c r="AO2853" s="17"/>
      <c r="AP2853" s="17"/>
      <c r="AQ2853" s="17"/>
      <c r="AR2853" s="17"/>
      <c r="AS2853" s="17"/>
      <c r="AT2853" s="17"/>
      <c r="AU2853" s="17"/>
      <c r="AV2853" s="17"/>
    </row>
    <row r="2854" spans="1:48" ht="15.75" customHeight="1">
      <c r="A2854" s="21" t="s">
        <v>76</v>
      </c>
      <c r="B2854" s="23" t="s">
        <v>1692</v>
      </c>
      <c r="C2854" s="22">
        <v>45717</v>
      </c>
      <c r="D2854" s="23" t="s">
        <v>108</v>
      </c>
      <c r="E2854" s="23" t="s">
        <v>110</v>
      </c>
      <c r="F2854" s="21">
        <v>1</v>
      </c>
      <c r="G2854" s="12">
        <v>2000.0000000000005</v>
      </c>
      <c r="H2854" s="12">
        <v>2000.0000000000005</v>
      </c>
      <c r="I2854" s="23" t="s">
        <v>52</v>
      </c>
      <c r="J2854" s="23" t="s">
        <v>61</v>
      </c>
      <c r="K2854" s="24" t="s">
        <v>177</v>
      </c>
      <c r="L2854" s="24">
        <v>109</v>
      </c>
      <c r="M2854" s="12">
        <v>1680.6722689075634</v>
      </c>
      <c r="N2854" s="12">
        <v>1680.6722689075634</v>
      </c>
      <c r="O2854" s="12">
        <v>319.32773109243703</v>
      </c>
      <c r="P2854" s="13"/>
      <c r="Q2854" s="14">
        <v>2025</v>
      </c>
      <c r="R2854" s="15">
        <v>45352</v>
      </c>
      <c r="S2854" s="11" t="s">
        <v>378</v>
      </c>
      <c r="T2854" s="16">
        <v>5</v>
      </c>
      <c r="U2854" s="17"/>
      <c r="V2854" s="12">
        <v>756.30252100840369</v>
      </c>
      <c r="W2854" s="12">
        <v>756.30252100840369</v>
      </c>
      <c r="X2854" s="12">
        <v>0</v>
      </c>
      <c r="Y2854" s="18">
        <v>45712</v>
      </c>
      <c r="Z2854" s="13" t="s">
        <v>501</v>
      </c>
      <c r="AA2854" s="19" t="str">
        <f>VLOOKUP(D2854,Clientes!$A$2:$J$486,9,FALSE)</f>
        <v>Frecuente</v>
      </c>
      <c r="AB2854" s="13" t="str">
        <f>VLOOKUP(D2854,Clientes!$A$2:$K$486,11,FALSE)</f>
        <v>Persona Natural</v>
      </c>
      <c r="AC2854" s="13" t="str">
        <f>VLOOKUP(D2854,Clientes!$A$2:$B$486,2,FALSE)</f>
        <v>Jardines de la Viña</v>
      </c>
      <c r="AD2854" s="20"/>
      <c r="AE2854" s="20"/>
      <c r="AF2854" s="13" t="s">
        <v>40</v>
      </c>
      <c r="AG2854" s="15">
        <v>45352</v>
      </c>
      <c r="AH2854" s="13" t="s">
        <v>41</v>
      </c>
      <c r="AI2854" s="13" t="s">
        <v>76</v>
      </c>
      <c r="AJ2854" s="13" t="str">
        <f>VLOOKUP(E2854,Precios!Z$2:AA$941,2,FALSE)</f>
        <v>Cloro SPUM 5 Litros</v>
      </c>
      <c r="AK2854" s="14">
        <f>VLOOKUP(E2854,Precios!Z$2:BB$941,3,FALSE)*F2854</f>
        <v>-1</v>
      </c>
      <c r="AL2854" s="17"/>
      <c r="AM2854" s="17"/>
      <c r="AN2854" s="17"/>
      <c r="AO2854" s="17"/>
      <c r="AP2854" s="17"/>
      <c r="AQ2854" s="17"/>
      <c r="AR2854" s="17"/>
      <c r="AS2854" s="17"/>
      <c r="AT2854" s="17"/>
      <c r="AU2854" s="17"/>
      <c r="AV2854" s="17"/>
    </row>
    <row r="2855" spans="1:48" ht="15.75" customHeight="1">
      <c r="A2855" s="21" t="s">
        <v>35</v>
      </c>
      <c r="B2855" s="23" t="s">
        <v>1692</v>
      </c>
      <c r="C2855" s="22">
        <v>45717</v>
      </c>
      <c r="D2855" s="23" t="s">
        <v>108</v>
      </c>
      <c r="E2855" s="23" t="s">
        <v>46</v>
      </c>
      <c r="F2855" s="21">
        <v>1</v>
      </c>
      <c r="G2855" s="12">
        <v>5500</v>
      </c>
      <c r="H2855" s="12">
        <v>5500</v>
      </c>
      <c r="I2855" s="23" t="s">
        <v>52</v>
      </c>
      <c r="J2855" s="23" t="s">
        <v>61</v>
      </c>
      <c r="K2855" s="24" t="s">
        <v>177</v>
      </c>
      <c r="L2855" s="24">
        <v>109</v>
      </c>
      <c r="M2855" s="12">
        <v>4621.8487394957983</v>
      </c>
      <c r="N2855" s="12">
        <v>4621.8487394957983</v>
      </c>
      <c r="O2855" s="12">
        <v>878.15126050420167</v>
      </c>
      <c r="P2855" s="13"/>
      <c r="Q2855" s="14">
        <v>2025</v>
      </c>
      <c r="R2855" s="15">
        <v>45352</v>
      </c>
      <c r="S2855" s="11" t="s">
        <v>364</v>
      </c>
      <c r="T2855" s="16">
        <v>500</v>
      </c>
      <c r="U2855" s="17"/>
      <c r="V2855" s="12">
        <v>1365.1260504201678</v>
      </c>
      <c r="W2855" s="12">
        <v>1365.1260504201678</v>
      </c>
      <c r="X2855" s="12">
        <v>0</v>
      </c>
      <c r="Y2855" s="18">
        <v>45712</v>
      </c>
      <c r="Z2855" s="13" t="s">
        <v>501</v>
      </c>
      <c r="AA2855" s="19" t="str">
        <f>VLOOKUP(D2855,Clientes!$A$2:$J$486,9,FALSE)</f>
        <v>Frecuente</v>
      </c>
      <c r="AB2855" s="13" t="str">
        <f>VLOOKUP(D2855,Clientes!$A$2:$K$486,11,FALSE)</f>
        <v>Persona Natural</v>
      </c>
      <c r="AC2855" s="13" t="str">
        <f>VLOOKUP(D2855,Clientes!$A$2:$B$486,2,FALSE)</f>
        <v>Jardines de la Viña</v>
      </c>
      <c r="AD2855" s="20"/>
      <c r="AE2855" s="20"/>
      <c r="AF2855" s="13" t="s">
        <v>40</v>
      </c>
      <c r="AG2855" s="15">
        <v>45352</v>
      </c>
      <c r="AH2855" s="13" t="s">
        <v>41</v>
      </c>
      <c r="AI2855" s="13" t="s">
        <v>35</v>
      </c>
      <c r="AJ2855" s="13" t="str">
        <f>VLOOKUP(E2855,Precios!Z$2:AA$941,2,FALSE)</f>
        <v>Queso RUNCA Mantecoso</v>
      </c>
      <c r="AK2855" s="14">
        <f>VLOOKUP(E2855,Precios!Z$2:BB$941,3,FALSE)*F2855</f>
        <v>-0.5</v>
      </c>
      <c r="AL2855" s="17"/>
      <c r="AM2855" s="17"/>
      <c r="AN2855" s="17"/>
      <c r="AO2855" s="17"/>
      <c r="AP2855" s="17"/>
      <c r="AQ2855" s="17"/>
      <c r="AR2855" s="17"/>
      <c r="AS2855" s="17"/>
      <c r="AT2855" s="17"/>
      <c r="AU2855" s="17"/>
      <c r="AV2855" s="17"/>
    </row>
    <row r="2856" spans="1:48" ht="15.75" customHeight="1">
      <c r="A2856" s="21" t="s">
        <v>47</v>
      </c>
      <c r="B2856" s="23" t="s">
        <v>1692</v>
      </c>
      <c r="C2856" s="22">
        <v>45717</v>
      </c>
      <c r="D2856" s="23" t="s">
        <v>108</v>
      </c>
      <c r="E2856" s="23" t="s">
        <v>336</v>
      </c>
      <c r="F2856" s="21">
        <v>1</v>
      </c>
      <c r="G2856" s="12">
        <v>2800</v>
      </c>
      <c r="H2856" s="12">
        <v>2800</v>
      </c>
      <c r="I2856" s="23" t="s">
        <v>52</v>
      </c>
      <c r="J2856" s="23" t="s">
        <v>61</v>
      </c>
      <c r="K2856" s="24" t="s">
        <v>177</v>
      </c>
      <c r="L2856" s="24">
        <v>109</v>
      </c>
      <c r="M2856" s="12">
        <v>2352.9411764705883</v>
      </c>
      <c r="N2856" s="12">
        <v>2352.9411764705883</v>
      </c>
      <c r="O2856" s="12">
        <v>447.05882352941171</v>
      </c>
      <c r="P2856" s="13"/>
      <c r="Q2856" s="14">
        <v>2025</v>
      </c>
      <c r="R2856" s="15">
        <v>45352</v>
      </c>
      <c r="S2856" s="11" t="s">
        <v>476</v>
      </c>
      <c r="T2856" s="16">
        <v>0</v>
      </c>
      <c r="U2856" s="17"/>
      <c r="V2856" s="12">
        <v>896.94117647058829</v>
      </c>
      <c r="W2856" s="12">
        <v>896.94117647058829</v>
      </c>
      <c r="X2856" s="12">
        <v>0</v>
      </c>
      <c r="Y2856" s="18">
        <v>45712</v>
      </c>
      <c r="Z2856" s="13" t="s">
        <v>501</v>
      </c>
      <c r="AA2856" s="19" t="str">
        <f>VLOOKUP(D2856,Clientes!$A$2:$J$486,9,FALSE)</f>
        <v>Frecuente</v>
      </c>
      <c r="AB2856" s="13" t="str">
        <f>VLOOKUP(D2856,Clientes!$A$2:$K$486,11,FALSE)</f>
        <v>Persona Natural</v>
      </c>
      <c r="AC2856" s="13" t="str">
        <f>VLOOKUP(D2856,Clientes!$A$2:$B$486,2,FALSE)</f>
        <v>Jardines de la Viña</v>
      </c>
      <c r="AD2856" s="20"/>
      <c r="AE2856" s="20"/>
      <c r="AF2856" s="13" t="s">
        <v>40</v>
      </c>
      <c r="AG2856" s="15">
        <v>45352</v>
      </c>
      <c r="AH2856" s="13" t="s">
        <v>41</v>
      </c>
      <c r="AI2856" s="13" t="s">
        <v>47</v>
      </c>
      <c r="AJ2856" s="13" t="str">
        <f>VLOOKUP(E2856,Precios!Z$2:AA$941,2,FALSE)</f>
        <v>Ambiental Tubo TEDDY</v>
      </c>
      <c r="AK2856" s="14">
        <f>VLOOKUP(E2856,Precios!Z$2:BB$941,3,FALSE)*F2856</f>
        <v>-2</v>
      </c>
      <c r="AL2856" s="17"/>
      <c r="AM2856" s="17"/>
      <c r="AN2856" s="17"/>
      <c r="AO2856" s="17"/>
      <c r="AP2856" s="17"/>
      <c r="AQ2856" s="17"/>
      <c r="AR2856" s="17"/>
      <c r="AS2856" s="17"/>
      <c r="AT2856" s="17"/>
      <c r="AU2856" s="17"/>
      <c r="AV2856" s="17"/>
    </row>
    <row r="2857" spans="1:48" ht="15.75" customHeight="1">
      <c r="A2857" s="21" t="s">
        <v>47</v>
      </c>
      <c r="B2857" s="23" t="s">
        <v>1692</v>
      </c>
      <c r="C2857" s="22">
        <v>45717</v>
      </c>
      <c r="D2857" s="23" t="s">
        <v>108</v>
      </c>
      <c r="E2857" s="23" t="s">
        <v>49</v>
      </c>
      <c r="F2857" s="21">
        <v>1</v>
      </c>
      <c r="G2857" s="12">
        <v>4500.0000000000009</v>
      </c>
      <c r="H2857" s="12">
        <v>4500.0000000000009</v>
      </c>
      <c r="I2857" s="23" t="s">
        <v>52</v>
      </c>
      <c r="J2857" s="23" t="s">
        <v>61</v>
      </c>
      <c r="K2857" s="24" t="s">
        <v>177</v>
      </c>
      <c r="L2857" s="24">
        <v>109</v>
      </c>
      <c r="M2857" s="12">
        <v>3781.5126050420176</v>
      </c>
      <c r="N2857" s="12">
        <v>3781.5126050420176</v>
      </c>
      <c r="O2857" s="12">
        <v>718.48739495798327</v>
      </c>
      <c r="P2857" s="13"/>
      <c r="Q2857" s="14">
        <v>2025</v>
      </c>
      <c r="R2857" s="15">
        <v>45352</v>
      </c>
      <c r="S2857" s="11" t="s">
        <v>384</v>
      </c>
      <c r="T2857" s="16">
        <v>0</v>
      </c>
      <c r="U2857" s="17"/>
      <c r="V2857" s="12">
        <v>988.23529411764775</v>
      </c>
      <c r="W2857" s="12">
        <v>988.23529411764775</v>
      </c>
      <c r="X2857" s="12">
        <v>0</v>
      </c>
      <c r="Y2857" s="18">
        <v>45712</v>
      </c>
      <c r="Z2857" s="13" t="s">
        <v>501</v>
      </c>
      <c r="AA2857" s="19" t="str">
        <f>VLOOKUP(D2857,Clientes!$A$2:$J$486,9,FALSE)</f>
        <v>Frecuente</v>
      </c>
      <c r="AB2857" s="13" t="str">
        <f>VLOOKUP(D2857,Clientes!$A$2:$K$486,11,FALSE)</f>
        <v>Persona Natural</v>
      </c>
      <c r="AC2857" s="13" t="str">
        <f>VLOOKUP(D2857,Clientes!$A$2:$B$486,2,FALSE)</f>
        <v>Jardines de la Viña</v>
      </c>
      <c r="AD2857" s="20"/>
      <c r="AE2857" s="20"/>
      <c r="AF2857" s="13" t="s">
        <v>40</v>
      </c>
      <c r="AG2857" s="15">
        <v>45352</v>
      </c>
      <c r="AH2857" s="13" t="s">
        <v>41</v>
      </c>
      <c r="AI2857" s="13" t="s">
        <v>47</v>
      </c>
      <c r="AJ2857" s="13" t="str">
        <f>VLOOKUP(E2857,Precios!Z$2:AA$941,2,FALSE)</f>
        <v>Jabón Lìquido BALLERINA</v>
      </c>
      <c r="AK2857" s="14">
        <f>VLOOKUP(E2857,Precios!Z$2:BB$941,3,FALSE)*F2857</f>
        <v>-3</v>
      </c>
      <c r="AL2857" s="17"/>
      <c r="AM2857" s="17"/>
      <c r="AN2857" s="17"/>
      <c r="AO2857" s="17"/>
      <c r="AP2857" s="17"/>
      <c r="AQ2857" s="17"/>
      <c r="AR2857" s="17"/>
      <c r="AS2857" s="17"/>
      <c r="AT2857" s="17"/>
      <c r="AU2857" s="17"/>
      <c r="AV2857" s="17"/>
    </row>
    <row r="2858" spans="1:48" ht="15.75" customHeight="1">
      <c r="A2858" s="21" t="s">
        <v>53</v>
      </c>
      <c r="B2858" s="23" t="s">
        <v>1692</v>
      </c>
      <c r="C2858" s="22">
        <v>45717</v>
      </c>
      <c r="D2858" s="23" t="s">
        <v>245</v>
      </c>
      <c r="E2858" s="23" t="s">
        <v>97</v>
      </c>
      <c r="F2858" s="21">
        <v>1</v>
      </c>
      <c r="G2858" s="12">
        <v>15500.298388701016</v>
      </c>
      <c r="H2858" s="12">
        <v>15500.298388701016</v>
      </c>
      <c r="I2858" s="23" t="s">
        <v>52</v>
      </c>
      <c r="J2858" s="23" t="s">
        <v>61</v>
      </c>
      <c r="K2858" s="24" t="s">
        <v>177</v>
      </c>
      <c r="L2858" s="24">
        <v>109</v>
      </c>
      <c r="M2858" s="12">
        <v>13025.46083084119</v>
      </c>
      <c r="N2858" s="12">
        <v>13025.46083084119</v>
      </c>
      <c r="O2858" s="12">
        <v>2474.8375578598261</v>
      </c>
      <c r="P2858" s="13"/>
      <c r="Q2858" s="14">
        <v>2025</v>
      </c>
      <c r="R2858" s="15">
        <v>45352</v>
      </c>
      <c r="S2858" s="11" t="s">
        <v>366</v>
      </c>
      <c r="T2858" s="16">
        <v>0</v>
      </c>
      <c r="U2858" s="17"/>
      <c r="V2858" s="12">
        <v>3203.6120913453906</v>
      </c>
      <c r="W2858" s="12">
        <v>3203.6120913453906</v>
      </c>
      <c r="X2858" s="12">
        <v>0</v>
      </c>
      <c r="Y2858" s="18">
        <v>45712</v>
      </c>
      <c r="Z2858" s="13" t="s">
        <v>501</v>
      </c>
      <c r="AA2858" s="19" t="str">
        <f>VLOOKUP(D2858,Clientes!$A$2:$J$486,9,FALSE)</f>
        <v>Ocacional</v>
      </c>
      <c r="AB2858" s="13" t="str">
        <f>VLOOKUP(D2858,Clientes!$A$2:$K$486,11,FALSE)</f>
        <v>Persona Natural</v>
      </c>
      <c r="AC2858" s="13" t="str">
        <f>VLOOKUP(D2858,Clientes!$A$2:$B$486,2,FALSE)</f>
        <v>Curso Amalia</v>
      </c>
      <c r="AD2858" s="20"/>
      <c r="AE2858" s="20"/>
      <c r="AF2858" s="13" t="s">
        <v>40</v>
      </c>
      <c r="AG2858" s="15">
        <v>45352</v>
      </c>
      <c r="AH2858" s="13" t="s">
        <v>41</v>
      </c>
      <c r="AI2858" s="13" t="s">
        <v>53</v>
      </c>
      <c r="AJ2858" s="13" t="str">
        <f>VLOOKUP(E2858,Precios!Z$2:AA$941,2,FALSE)</f>
        <v>Papel Higienico ELITE 50 metros</v>
      </c>
      <c r="AK2858" s="14">
        <f>VLOOKUP(E2858,Precios!Z$2:BB$941,3,FALSE)*F2858</f>
        <v>-6</v>
      </c>
      <c r="AL2858" s="17"/>
      <c r="AM2858" s="17"/>
      <c r="AN2858" s="17"/>
      <c r="AO2858" s="17"/>
      <c r="AP2858" s="17"/>
      <c r="AQ2858" s="17"/>
      <c r="AR2858" s="17"/>
      <c r="AS2858" s="17"/>
      <c r="AT2858" s="17"/>
      <c r="AU2858" s="17"/>
      <c r="AV2858" s="17"/>
    </row>
    <row r="2859" spans="1:48" ht="15.75" customHeight="1">
      <c r="A2859" s="21" t="s">
        <v>76</v>
      </c>
      <c r="B2859" s="23" t="s">
        <v>1692</v>
      </c>
      <c r="C2859" s="22">
        <v>45717</v>
      </c>
      <c r="D2859" s="23" t="s">
        <v>245</v>
      </c>
      <c r="E2859" s="23" t="s">
        <v>82</v>
      </c>
      <c r="F2859" s="21">
        <v>1</v>
      </c>
      <c r="G2859" s="12">
        <v>2000.0000000000002</v>
      </c>
      <c r="H2859" s="12">
        <v>2000.0000000000002</v>
      </c>
      <c r="I2859" s="23" t="s">
        <v>52</v>
      </c>
      <c r="J2859" s="23" t="s">
        <v>61</v>
      </c>
      <c r="K2859" s="24" t="s">
        <v>177</v>
      </c>
      <c r="L2859" s="24">
        <v>109</v>
      </c>
      <c r="M2859" s="12">
        <v>1680.6722689075632</v>
      </c>
      <c r="N2859" s="12">
        <v>1680.6722689075632</v>
      </c>
      <c r="O2859" s="12">
        <v>319.32773109243703</v>
      </c>
      <c r="P2859" s="13"/>
      <c r="Q2859" s="14">
        <v>2025</v>
      </c>
      <c r="R2859" s="15">
        <v>45352</v>
      </c>
      <c r="S2859" s="11" t="s">
        <v>463</v>
      </c>
      <c r="T2859" s="16">
        <v>5</v>
      </c>
      <c r="U2859" s="17"/>
      <c r="V2859" s="12">
        <v>680.67226890756319</v>
      </c>
      <c r="W2859" s="12">
        <v>680.67226890756319</v>
      </c>
      <c r="X2859" s="12">
        <v>0</v>
      </c>
      <c r="Y2859" s="18">
        <v>45712</v>
      </c>
      <c r="Z2859" s="13" t="s">
        <v>501</v>
      </c>
      <c r="AA2859" s="19" t="str">
        <f>VLOOKUP(D2859,Clientes!$A$2:$J$486,9,FALSE)</f>
        <v>Ocacional</v>
      </c>
      <c r="AB2859" s="13" t="str">
        <f>VLOOKUP(D2859,Clientes!$A$2:$K$486,11,FALSE)</f>
        <v>Persona Natural</v>
      </c>
      <c r="AC2859" s="13" t="str">
        <f>VLOOKUP(D2859,Clientes!$A$2:$B$486,2,FALSE)</f>
        <v>Curso Amalia</v>
      </c>
      <c r="AD2859" s="20"/>
      <c r="AE2859" s="20"/>
      <c r="AF2859" s="13" t="s">
        <v>40</v>
      </c>
      <c r="AG2859" s="15">
        <v>45352</v>
      </c>
      <c r="AH2859" s="13" t="s">
        <v>41</v>
      </c>
      <c r="AI2859" s="13" t="s">
        <v>76</v>
      </c>
      <c r="AJ2859" s="13" t="str">
        <f>VLOOKUP(E2859,Precios!Z$2:AA$941,2,FALSE)</f>
        <v>Limpiapiso SPUM 5 Litros</v>
      </c>
      <c r="AK2859" s="14">
        <f>VLOOKUP(E2859,Precios!Z$2:BB$941,3,FALSE)*F2859</f>
        <v>-1</v>
      </c>
      <c r="AL2859" s="17"/>
      <c r="AM2859" s="17"/>
      <c r="AN2859" s="17"/>
      <c r="AO2859" s="17"/>
      <c r="AP2859" s="17"/>
      <c r="AQ2859" s="17"/>
      <c r="AR2859" s="17"/>
      <c r="AS2859" s="17"/>
      <c r="AT2859" s="17"/>
      <c r="AU2859" s="17"/>
      <c r="AV2859" s="17"/>
    </row>
    <row r="2860" spans="1:48" ht="15.75" customHeight="1">
      <c r="A2860" s="21" t="s">
        <v>53</v>
      </c>
      <c r="B2860" s="23" t="s">
        <v>1692</v>
      </c>
      <c r="C2860" s="22">
        <v>45717</v>
      </c>
      <c r="D2860" s="23" t="s">
        <v>151</v>
      </c>
      <c r="E2860" s="23" t="s">
        <v>55</v>
      </c>
      <c r="F2860" s="21">
        <v>1</v>
      </c>
      <c r="G2860" s="12">
        <v>19989.738327347361</v>
      </c>
      <c r="H2860" s="12">
        <v>19989.738327347361</v>
      </c>
      <c r="I2860" s="23" t="s">
        <v>52</v>
      </c>
      <c r="J2860" s="23" t="s">
        <v>61</v>
      </c>
      <c r="K2860" s="24" t="s">
        <v>177</v>
      </c>
      <c r="L2860" s="24">
        <v>109</v>
      </c>
      <c r="M2860" s="12">
        <v>16798.099434745684</v>
      </c>
      <c r="N2860" s="12">
        <v>16798.099434745684</v>
      </c>
      <c r="O2860" s="12">
        <v>3191.6388926016771</v>
      </c>
      <c r="P2860" s="13"/>
      <c r="Q2860" s="14">
        <v>2025</v>
      </c>
      <c r="R2860" s="15">
        <v>45352</v>
      </c>
      <c r="S2860" s="11" t="s">
        <v>366</v>
      </c>
      <c r="T2860" s="16">
        <v>0</v>
      </c>
      <c r="U2860" s="17"/>
      <c r="V2860" s="12">
        <v>3702.3011154179476</v>
      </c>
      <c r="W2860" s="12">
        <v>3702.3011154179476</v>
      </c>
      <c r="X2860" s="12">
        <v>0</v>
      </c>
      <c r="Y2860" s="18">
        <v>45712</v>
      </c>
      <c r="Z2860" s="13" t="s">
        <v>501</v>
      </c>
      <c r="AA2860" s="19" t="str">
        <f>VLOOKUP(D2860,Clientes!$A$2:$J$486,9,FALSE)</f>
        <v>Ocacional</v>
      </c>
      <c r="AB2860" s="13" t="str">
        <f>VLOOKUP(D2860,Clientes!$A$2:$K$486,11,FALSE)</f>
        <v>Persona Natural</v>
      </c>
      <c r="AC2860" s="13" t="str">
        <f>VLOOKUP(D2860,Clientes!$A$2:$B$486,2,FALSE)</f>
        <v>El Domo</v>
      </c>
      <c r="AD2860" s="20"/>
      <c r="AE2860" s="20"/>
      <c r="AF2860" s="13" t="s">
        <v>40</v>
      </c>
      <c r="AG2860" s="15">
        <v>45352</v>
      </c>
      <c r="AH2860" s="13" t="s">
        <v>41</v>
      </c>
      <c r="AI2860" s="13" t="s">
        <v>53</v>
      </c>
      <c r="AJ2860" s="13" t="str">
        <f>VLOOKUP(E2860,Precios!Z$2:AA$941,2,FALSE)</f>
        <v>Papel Higienico ELITE 50 metros</v>
      </c>
      <c r="AK2860" s="14">
        <f>VLOOKUP(E2860,Precios!Z$2:BB$941,3,FALSE)*F2860</f>
        <v>-8</v>
      </c>
      <c r="AL2860" s="17"/>
      <c r="AM2860" s="17"/>
      <c r="AN2860" s="17"/>
      <c r="AO2860" s="17"/>
      <c r="AP2860" s="17"/>
      <c r="AQ2860" s="17"/>
      <c r="AR2860" s="17"/>
      <c r="AS2860" s="17"/>
      <c r="AT2860" s="17"/>
      <c r="AU2860" s="17"/>
      <c r="AV2860" s="17"/>
    </row>
    <row r="2861" spans="1:48" ht="15.75" customHeight="1">
      <c r="A2861" s="21" t="s">
        <v>53</v>
      </c>
      <c r="B2861" s="23" t="s">
        <v>1692</v>
      </c>
      <c r="C2861" s="22">
        <v>45717</v>
      </c>
      <c r="D2861" s="23" t="s">
        <v>151</v>
      </c>
      <c r="E2861" s="23" t="s">
        <v>136</v>
      </c>
      <c r="F2861" s="21">
        <v>1</v>
      </c>
      <c r="G2861" s="12">
        <v>14900.292682926829</v>
      </c>
      <c r="H2861" s="12">
        <v>14900.292682926829</v>
      </c>
      <c r="I2861" s="23" t="s">
        <v>52</v>
      </c>
      <c r="J2861" s="23" t="s">
        <v>61</v>
      </c>
      <c r="K2861" s="24" t="s">
        <v>177</v>
      </c>
      <c r="L2861" s="24">
        <v>109</v>
      </c>
      <c r="M2861" s="12">
        <v>12521.254355400697</v>
      </c>
      <c r="N2861" s="12">
        <v>12521.254355400697</v>
      </c>
      <c r="O2861" s="12">
        <v>2379.038327526132</v>
      </c>
      <c r="P2861" s="13"/>
      <c r="Q2861" s="14">
        <v>2025</v>
      </c>
      <c r="R2861" s="15">
        <v>45352</v>
      </c>
      <c r="S2861" s="11" t="s">
        <v>410</v>
      </c>
      <c r="T2861" s="16">
        <v>0</v>
      </c>
      <c r="U2861" s="17"/>
      <c r="V2861" s="12">
        <v>3537.254355400697</v>
      </c>
      <c r="W2861" s="12">
        <v>3537.254355400697</v>
      </c>
      <c r="X2861" s="12">
        <v>0</v>
      </c>
      <c r="Y2861" s="18">
        <v>45712</v>
      </c>
      <c r="Z2861" s="13" t="s">
        <v>501</v>
      </c>
      <c r="AA2861" s="19" t="str">
        <f>VLOOKUP(D2861,Clientes!$A$2:$J$486,9,FALSE)</f>
        <v>Ocacional</v>
      </c>
      <c r="AB2861" s="13" t="str">
        <f>VLOOKUP(D2861,Clientes!$A$2:$K$486,11,FALSE)</f>
        <v>Persona Natural</v>
      </c>
      <c r="AC2861" s="13" t="str">
        <f>VLOOKUP(D2861,Clientes!$A$2:$B$486,2,FALSE)</f>
        <v>El Domo</v>
      </c>
      <c r="AD2861" s="20"/>
      <c r="AE2861" s="20"/>
      <c r="AF2861" s="13" t="s">
        <v>40</v>
      </c>
      <c r="AG2861" s="15">
        <v>45352</v>
      </c>
      <c r="AH2861" s="13" t="s">
        <v>41</v>
      </c>
      <c r="AI2861" s="13" t="s">
        <v>53</v>
      </c>
      <c r="AJ2861" s="13" t="str">
        <f>VLOOKUP(E2861,Precios!Z$2:AA$941,2,FALSE)</f>
        <v>Toalla Papel NOVA 26 metros</v>
      </c>
      <c r="AK2861" s="14">
        <f>VLOOKUP(E2861,Precios!Z$2:BB$941,3,FALSE)*F2861</f>
        <v>-8</v>
      </c>
      <c r="AL2861" s="17"/>
      <c r="AM2861" s="17"/>
      <c r="AN2861" s="17"/>
      <c r="AO2861" s="17"/>
      <c r="AP2861" s="17"/>
      <c r="AQ2861" s="17"/>
      <c r="AR2861" s="17"/>
      <c r="AS2861" s="17"/>
      <c r="AT2861" s="17"/>
      <c r="AU2861" s="17"/>
      <c r="AV2861" s="17"/>
    </row>
    <row r="2862" spans="1:48" ht="15.75" customHeight="1">
      <c r="A2862" s="21" t="s">
        <v>53</v>
      </c>
      <c r="B2862" s="23" t="s">
        <v>1692</v>
      </c>
      <c r="C2862" s="22">
        <v>45717</v>
      </c>
      <c r="D2862" s="23" t="s">
        <v>151</v>
      </c>
      <c r="E2862" s="23" t="s">
        <v>280</v>
      </c>
      <c r="F2862" s="21">
        <v>1</v>
      </c>
      <c r="G2862" s="12">
        <v>13500.442251291839</v>
      </c>
      <c r="H2862" s="12">
        <v>13500.442251291839</v>
      </c>
      <c r="I2862" s="23" t="s">
        <v>52</v>
      </c>
      <c r="J2862" s="23" t="s">
        <v>61</v>
      </c>
      <c r="K2862" s="24" t="s">
        <v>177</v>
      </c>
      <c r="L2862" s="24">
        <v>109</v>
      </c>
      <c r="M2862" s="12">
        <v>11344.909454867093</v>
      </c>
      <c r="N2862" s="12">
        <v>11344.909454867093</v>
      </c>
      <c r="O2862" s="12">
        <v>2155.5327964247463</v>
      </c>
      <c r="P2862" s="13"/>
      <c r="Q2862" s="14">
        <v>2025</v>
      </c>
      <c r="R2862" s="15">
        <v>45352</v>
      </c>
      <c r="S2862" s="11" t="s">
        <v>381</v>
      </c>
      <c r="T2862" s="16">
        <v>300</v>
      </c>
      <c r="U2862" s="17"/>
      <c r="V2862" s="12">
        <v>4033.909454867091</v>
      </c>
      <c r="W2862" s="12">
        <v>4033.909454867091</v>
      </c>
      <c r="X2862" s="12">
        <v>0</v>
      </c>
      <c r="Y2862" s="18">
        <v>45712</v>
      </c>
      <c r="Z2862" s="13" t="s">
        <v>501</v>
      </c>
      <c r="AA2862" s="19" t="str">
        <f>VLOOKUP(D2862,Clientes!$A$2:$J$486,9,FALSE)</f>
        <v>Ocacional</v>
      </c>
      <c r="AB2862" s="13" t="str">
        <f>VLOOKUP(D2862,Clientes!$A$2:$K$486,11,FALSE)</f>
        <v>Persona Natural</v>
      </c>
      <c r="AC2862" s="13" t="str">
        <f>VLOOKUP(D2862,Clientes!$A$2:$B$486,2,FALSE)</f>
        <v>El Domo</v>
      </c>
      <c r="AD2862" s="20"/>
      <c r="AE2862" s="20"/>
      <c r="AF2862" s="13" t="s">
        <v>40</v>
      </c>
      <c r="AG2862" s="15">
        <v>45352</v>
      </c>
      <c r="AH2862" s="13" t="s">
        <v>41</v>
      </c>
      <c r="AI2862" s="13" t="s">
        <v>53</v>
      </c>
      <c r="AJ2862" s="13" t="str">
        <f>VLOOKUP(E2862,Precios!Z$2:AA$941,2,FALSE)</f>
        <v>Servilletas SOFTQUALITY 300 unidades</v>
      </c>
      <c r="AK2862" s="14">
        <f>VLOOKUP(E2862,Precios!Z$2:BB$941,3,FALSE)*F2862</f>
        <v>-10</v>
      </c>
      <c r="AL2862" s="17"/>
      <c r="AM2862" s="17"/>
      <c r="AN2862" s="17"/>
      <c r="AO2862" s="17"/>
      <c r="AP2862" s="17"/>
      <c r="AQ2862" s="17"/>
      <c r="AR2862" s="17"/>
      <c r="AS2862" s="17"/>
      <c r="AT2862" s="17"/>
      <c r="AU2862" s="17"/>
      <c r="AV2862" s="17"/>
    </row>
    <row r="2863" spans="1:48" ht="15.75" customHeight="1">
      <c r="A2863" s="21" t="s">
        <v>35</v>
      </c>
      <c r="B2863" s="23" t="s">
        <v>1692</v>
      </c>
      <c r="C2863" s="22">
        <v>45717</v>
      </c>
      <c r="D2863" s="23" t="s">
        <v>58</v>
      </c>
      <c r="E2863" s="23" t="s">
        <v>46</v>
      </c>
      <c r="F2863" s="21">
        <v>1</v>
      </c>
      <c r="G2863" s="12">
        <v>5500</v>
      </c>
      <c r="H2863" s="12">
        <v>5500</v>
      </c>
      <c r="I2863" s="23" t="s">
        <v>52</v>
      </c>
      <c r="J2863" s="23" t="s">
        <v>61</v>
      </c>
      <c r="K2863" s="24" t="s">
        <v>177</v>
      </c>
      <c r="L2863" s="24">
        <v>109</v>
      </c>
      <c r="M2863" s="12">
        <v>4621.8487394957983</v>
      </c>
      <c r="N2863" s="12">
        <v>4621.8487394957983</v>
      </c>
      <c r="O2863" s="12">
        <v>878.15126050420167</v>
      </c>
      <c r="P2863" s="13"/>
      <c r="Q2863" s="14">
        <v>2025</v>
      </c>
      <c r="R2863" s="15">
        <v>45352</v>
      </c>
      <c r="S2863" s="11" t="s">
        <v>364</v>
      </c>
      <c r="T2863" s="16">
        <v>500</v>
      </c>
      <c r="U2863" s="17"/>
      <c r="V2863" s="12">
        <v>1365.1260504201678</v>
      </c>
      <c r="W2863" s="12">
        <v>1365.1260504201678</v>
      </c>
      <c r="X2863" s="12">
        <v>0</v>
      </c>
      <c r="Y2863" s="18">
        <v>45712</v>
      </c>
      <c r="Z2863" s="13" t="s">
        <v>501</v>
      </c>
      <c r="AA2863" s="19" t="str">
        <f>VLOOKUP(D2863,Clientes!$A$2:$J$486,9,FALSE)</f>
        <v>Regular</v>
      </c>
      <c r="AB2863" s="13" t="str">
        <f>VLOOKUP(D2863,Clientes!$A$2:$K$486,11,FALSE)</f>
        <v>Persona Natural</v>
      </c>
      <c r="AC2863" s="13" t="str">
        <f>VLOOKUP(D2863,Clientes!$A$2:$B$486,2,FALSE)</f>
        <v>Jardines de la Viña</v>
      </c>
      <c r="AD2863" s="20"/>
      <c r="AE2863" s="20"/>
      <c r="AF2863" s="13" t="s">
        <v>40</v>
      </c>
      <c r="AG2863" s="15">
        <v>45352</v>
      </c>
      <c r="AH2863" s="13" t="s">
        <v>41</v>
      </c>
      <c r="AI2863" s="13" t="s">
        <v>35</v>
      </c>
      <c r="AJ2863" s="13" t="str">
        <f>VLOOKUP(E2863,Precios!Z$2:AA$941,2,FALSE)</f>
        <v>Queso RUNCA Mantecoso</v>
      </c>
      <c r="AK2863" s="14">
        <f>VLOOKUP(E2863,Precios!Z$2:BB$941,3,FALSE)*F2863</f>
        <v>-0.5</v>
      </c>
      <c r="AL2863" s="17"/>
      <c r="AM2863" s="17"/>
      <c r="AN2863" s="17"/>
      <c r="AO2863" s="17"/>
      <c r="AP2863" s="17"/>
      <c r="AQ2863" s="17"/>
      <c r="AR2863" s="17"/>
      <c r="AS2863" s="17"/>
      <c r="AT2863" s="17"/>
      <c r="AU2863" s="17"/>
      <c r="AV2863" s="17"/>
    </row>
    <row r="2864" spans="1:48" ht="15.75" customHeight="1">
      <c r="A2864" s="21" t="s">
        <v>35</v>
      </c>
      <c r="B2864" s="23" t="s">
        <v>1692</v>
      </c>
      <c r="C2864" s="22">
        <v>45717</v>
      </c>
      <c r="D2864" s="23" t="s">
        <v>125</v>
      </c>
      <c r="E2864" s="23" t="s">
        <v>46</v>
      </c>
      <c r="F2864" s="21">
        <v>1</v>
      </c>
      <c r="G2864" s="12">
        <v>5500</v>
      </c>
      <c r="H2864" s="12">
        <v>5500</v>
      </c>
      <c r="I2864" s="23" t="s">
        <v>52</v>
      </c>
      <c r="J2864" s="23" t="s">
        <v>61</v>
      </c>
      <c r="K2864" s="24" t="s">
        <v>177</v>
      </c>
      <c r="L2864" s="24">
        <v>109</v>
      </c>
      <c r="M2864" s="12">
        <v>4621.8487394957983</v>
      </c>
      <c r="N2864" s="12">
        <v>4621.8487394957983</v>
      </c>
      <c r="O2864" s="12">
        <v>878.15126050420167</v>
      </c>
      <c r="P2864" s="13"/>
      <c r="Q2864" s="14">
        <v>2025</v>
      </c>
      <c r="R2864" s="15">
        <v>45352</v>
      </c>
      <c r="S2864" s="11" t="s">
        <v>364</v>
      </c>
      <c r="T2864" s="16">
        <v>500</v>
      </c>
      <c r="U2864" s="17"/>
      <c r="V2864" s="12">
        <v>1365.1260504201678</v>
      </c>
      <c r="W2864" s="12">
        <v>1365.1260504201678</v>
      </c>
      <c r="X2864" s="12">
        <v>0</v>
      </c>
      <c r="Y2864" s="18">
        <v>45712</v>
      </c>
      <c r="Z2864" s="13" t="s">
        <v>501</v>
      </c>
      <c r="AA2864" s="19" t="str">
        <f>VLOOKUP(D2864,Clientes!$A$2:$J$486,9,FALSE)</f>
        <v>Frecuente</v>
      </c>
      <c r="AB2864" s="13" t="str">
        <f>VLOOKUP(D2864,Clientes!$A$2:$K$486,11,FALSE)</f>
        <v>Persona Natural</v>
      </c>
      <c r="AC2864" s="13" t="str">
        <f>VLOOKUP(D2864,Clientes!$A$2:$B$486,2,FALSE)</f>
        <v>Jardines de la Viña</v>
      </c>
      <c r="AD2864" s="20"/>
      <c r="AE2864" s="20"/>
      <c r="AF2864" s="13" t="s">
        <v>40</v>
      </c>
      <c r="AG2864" s="15">
        <v>45352</v>
      </c>
      <c r="AH2864" s="13" t="s">
        <v>41</v>
      </c>
      <c r="AI2864" s="13" t="s">
        <v>35</v>
      </c>
      <c r="AJ2864" s="13" t="str">
        <f>VLOOKUP(E2864,Precios!Z$2:AA$941,2,FALSE)</f>
        <v>Queso RUNCA Mantecoso</v>
      </c>
      <c r="AK2864" s="14">
        <f>VLOOKUP(E2864,Precios!Z$2:BB$941,3,FALSE)*F2864</f>
        <v>-0.5</v>
      </c>
      <c r="AL2864" s="17"/>
      <c r="AM2864" s="17"/>
      <c r="AN2864" s="17"/>
      <c r="AO2864" s="17"/>
      <c r="AP2864" s="17"/>
      <c r="AQ2864" s="17"/>
      <c r="AR2864" s="17"/>
      <c r="AS2864" s="17"/>
      <c r="AT2864" s="17"/>
      <c r="AU2864" s="17"/>
      <c r="AV2864" s="17"/>
    </row>
    <row r="2865" spans="1:48" ht="15.75" customHeight="1">
      <c r="A2865" s="21" t="s">
        <v>35</v>
      </c>
      <c r="B2865" s="23" t="s">
        <v>1692</v>
      </c>
      <c r="C2865" s="22">
        <v>45717</v>
      </c>
      <c r="D2865" s="23" t="s">
        <v>915</v>
      </c>
      <c r="E2865" s="23" t="s">
        <v>46</v>
      </c>
      <c r="F2865" s="21">
        <v>1</v>
      </c>
      <c r="G2865" s="12">
        <v>5500</v>
      </c>
      <c r="H2865" s="34">
        <v>5500</v>
      </c>
      <c r="I2865" s="23" t="s">
        <v>52</v>
      </c>
      <c r="J2865" s="23" t="s">
        <v>61</v>
      </c>
      <c r="K2865" s="24" t="s">
        <v>177</v>
      </c>
      <c r="L2865" s="24">
        <v>109</v>
      </c>
      <c r="M2865" s="12">
        <v>4621.8487394957983</v>
      </c>
      <c r="N2865" s="12">
        <v>4621.8487394957983</v>
      </c>
      <c r="O2865" s="12">
        <v>878.15126050420167</v>
      </c>
      <c r="P2865" s="13"/>
      <c r="Q2865" s="14">
        <v>2025</v>
      </c>
      <c r="R2865" s="15">
        <v>45352</v>
      </c>
      <c r="S2865" s="11" t="s">
        <v>364</v>
      </c>
      <c r="T2865" s="16">
        <v>500</v>
      </c>
      <c r="U2865" s="17"/>
      <c r="V2865" s="12">
        <v>1365.1260504201678</v>
      </c>
      <c r="W2865" s="12">
        <v>1365.1260504201678</v>
      </c>
      <c r="X2865" s="12">
        <v>0</v>
      </c>
      <c r="Y2865" s="18">
        <v>45712</v>
      </c>
      <c r="Z2865" s="13" t="s">
        <v>501</v>
      </c>
      <c r="AA2865" s="19" t="str">
        <f>VLOOKUP(D2865,Clientes!$A$2:$J$486,9,FALSE)</f>
        <v>Regular</v>
      </c>
      <c r="AB2865" s="13" t="str">
        <f>VLOOKUP(D2865,Clientes!$A$2:$K$486,11,FALSE)</f>
        <v>Persona Natural</v>
      </c>
      <c r="AC2865" s="13" t="str">
        <f>VLOOKUP(D2865,Clientes!$A$2:$B$486,2,FALSE)</f>
        <v>Jardin del Eden</v>
      </c>
      <c r="AD2865" s="20"/>
      <c r="AE2865" s="20"/>
      <c r="AF2865" s="13" t="s">
        <v>40</v>
      </c>
      <c r="AG2865" s="15">
        <v>45352</v>
      </c>
      <c r="AH2865" s="13" t="s">
        <v>41</v>
      </c>
      <c r="AI2865" s="13" t="s">
        <v>35</v>
      </c>
      <c r="AJ2865" s="13" t="str">
        <f>VLOOKUP(E2865,Precios!Z$2:AA$941,2,FALSE)</f>
        <v>Queso RUNCA Mantecoso</v>
      </c>
      <c r="AK2865" s="14">
        <f>VLOOKUP(E2865,Precios!Z$2:BB$941,3,FALSE)*F2865</f>
        <v>-0.5</v>
      </c>
      <c r="AL2865" s="17"/>
      <c r="AM2865" s="17"/>
      <c r="AN2865" s="17"/>
      <c r="AO2865" s="17"/>
      <c r="AP2865" s="17"/>
      <c r="AQ2865" s="17"/>
      <c r="AR2865" s="17"/>
      <c r="AS2865" s="17"/>
      <c r="AT2865" s="17"/>
      <c r="AU2865" s="17"/>
      <c r="AV2865" s="17"/>
    </row>
    <row r="2866" spans="1:48" ht="15.75" customHeight="1">
      <c r="A2866" s="21" t="s">
        <v>43</v>
      </c>
      <c r="B2866" s="23" t="s">
        <v>1692</v>
      </c>
      <c r="C2866" s="22">
        <v>45717</v>
      </c>
      <c r="D2866" s="23" t="s">
        <v>184</v>
      </c>
      <c r="E2866" s="23" t="s">
        <v>45</v>
      </c>
      <c r="F2866" s="21">
        <v>1</v>
      </c>
      <c r="G2866" s="12">
        <v>7600.0975431323541</v>
      </c>
      <c r="H2866" s="12">
        <v>7600.0975431323541</v>
      </c>
      <c r="I2866" s="23" t="s">
        <v>52</v>
      </c>
      <c r="J2866" s="23" t="s">
        <v>61</v>
      </c>
      <c r="K2866" s="24" t="s">
        <v>177</v>
      </c>
      <c r="L2866" s="24">
        <v>109</v>
      </c>
      <c r="M2866" s="12">
        <v>6386.6365908675243</v>
      </c>
      <c r="N2866" s="12">
        <v>6386.6365908675243</v>
      </c>
      <c r="O2866" s="12">
        <v>1213.4609522648298</v>
      </c>
      <c r="P2866" s="13"/>
      <c r="Q2866" s="14">
        <v>2025</v>
      </c>
      <c r="R2866" s="15">
        <v>45352</v>
      </c>
      <c r="S2866" s="11" t="s">
        <v>355</v>
      </c>
      <c r="T2866" s="16">
        <v>0</v>
      </c>
      <c r="U2866" s="17"/>
      <c r="V2866" s="12">
        <v>1148.6365908675243</v>
      </c>
      <c r="W2866" s="12">
        <v>1148.6365908675243</v>
      </c>
      <c r="X2866" s="12">
        <v>0</v>
      </c>
      <c r="Y2866" s="18">
        <v>45712</v>
      </c>
      <c r="Z2866" s="13" t="s">
        <v>501</v>
      </c>
      <c r="AA2866" s="19" t="str">
        <f>VLOOKUP(D2866,Clientes!$A$2:$J$486,9,FALSE)</f>
        <v>Frecuente</v>
      </c>
      <c r="AB2866" s="13" t="str">
        <f>VLOOKUP(D2866,Clientes!$A$2:$K$486,11,FALSE)</f>
        <v>Persona Natural</v>
      </c>
      <c r="AC2866" s="13" t="str">
        <f>VLOOKUP(D2866,Clientes!$A$2:$B$486,2,FALSE)</f>
        <v>Jardin del Eden</v>
      </c>
      <c r="AD2866" s="20"/>
      <c r="AE2866" s="20"/>
      <c r="AF2866" s="13" t="s">
        <v>40</v>
      </c>
      <c r="AG2866" s="15">
        <v>45352</v>
      </c>
      <c r="AH2866" s="13" t="s">
        <v>41</v>
      </c>
      <c r="AI2866" s="13" t="s">
        <v>43</v>
      </c>
      <c r="AJ2866" s="13" t="str">
        <f>VLOOKUP(E2866,Precios!Z$2:AA$941,2,FALSE)</f>
        <v>Bandeja Huevos EXTRA</v>
      </c>
      <c r="AK2866" s="14">
        <f>VLOOKUP(E2866,Precios!Z$2:BB$941,3,FALSE)*F2866</f>
        <v>-1</v>
      </c>
      <c r="AL2866" s="17"/>
      <c r="AM2866" s="17"/>
      <c r="AN2866" s="17"/>
      <c r="AO2866" s="17"/>
      <c r="AP2866" s="17"/>
      <c r="AQ2866" s="17"/>
      <c r="AR2866" s="17"/>
      <c r="AS2866" s="17"/>
      <c r="AT2866" s="17"/>
      <c r="AU2866" s="17"/>
      <c r="AV2866" s="17"/>
    </row>
    <row r="2867" spans="1:48" ht="15.75" customHeight="1">
      <c r="A2867" s="21" t="s">
        <v>76</v>
      </c>
      <c r="B2867" s="23" t="s">
        <v>1692</v>
      </c>
      <c r="C2867" s="22">
        <v>45717</v>
      </c>
      <c r="D2867" s="23" t="s">
        <v>184</v>
      </c>
      <c r="E2867" s="23" t="s">
        <v>185</v>
      </c>
      <c r="F2867" s="21">
        <v>1</v>
      </c>
      <c r="G2867" s="12">
        <v>3200.1383843625663</v>
      </c>
      <c r="H2867" s="12">
        <v>3200.1383843625663</v>
      </c>
      <c r="I2867" s="23" t="s">
        <v>52</v>
      </c>
      <c r="J2867" s="23" t="s">
        <v>61</v>
      </c>
      <c r="K2867" s="24" t="s">
        <v>177</v>
      </c>
      <c r="L2867" s="24">
        <v>109</v>
      </c>
      <c r="M2867" s="12">
        <v>2689.1919196324088</v>
      </c>
      <c r="N2867" s="12">
        <v>2689.1919196324088</v>
      </c>
      <c r="O2867" s="12">
        <v>510.94646473015746</v>
      </c>
      <c r="P2867" s="13"/>
      <c r="Q2867" s="14">
        <v>2025</v>
      </c>
      <c r="R2867" s="15">
        <v>45352</v>
      </c>
      <c r="S2867" s="11" t="s">
        <v>444</v>
      </c>
      <c r="T2867" s="16">
        <v>5</v>
      </c>
      <c r="U2867" s="17"/>
      <c r="V2867" s="12">
        <v>1134.570070892913</v>
      </c>
      <c r="W2867" s="12">
        <v>1134.570070892913</v>
      </c>
      <c r="X2867" s="12">
        <v>0</v>
      </c>
      <c r="Y2867" s="18">
        <v>45712</v>
      </c>
      <c r="Z2867" s="13" t="s">
        <v>501</v>
      </c>
      <c r="AA2867" s="19" t="str">
        <f>VLOOKUP(D2867,Clientes!$A$2:$J$486,9,FALSE)</f>
        <v>Frecuente</v>
      </c>
      <c r="AB2867" s="13" t="str">
        <f>VLOOKUP(D2867,Clientes!$A$2:$K$486,11,FALSE)</f>
        <v>Persona Natural</v>
      </c>
      <c r="AC2867" s="13" t="str">
        <f>VLOOKUP(D2867,Clientes!$A$2:$B$486,2,FALSE)</f>
        <v>Jardin del Eden</v>
      </c>
      <c r="AD2867" s="20"/>
      <c r="AE2867" s="20"/>
      <c r="AF2867" s="13" t="s">
        <v>40</v>
      </c>
      <c r="AG2867" s="15">
        <v>45352</v>
      </c>
      <c r="AH2867" s="13" t="s">
        <v>41</v>
      </c>
      <c r="AI2867" s="13" t="s">
        <v>76</v>
      </c>
      <c r="AJ2867" s="13" t="str">
        <f>VLOOKUP(E2867,Precios!Z$2:AA$941,2,FALSE)</f>
        <v>Limpia Vidrio SPUM 5 litros</v>
      </c>
      <c r="AK2867" s="14">
        <f>VLOOKUP(E2867,Precios!Z$2:BB$941,3,FALSE)*F2867</f>
        <v>-1</v>
      </c>
      <c r="AL2867" s="17"/>
      <c r="AM2867" s="17"/>
      <c r="AN2867" s="17"/>
      <c r="AO2867" s="17"/>
      <c r="AP2867" s="17"/>
      <c r="AQ2867" s="17"/>
      <c r="AR2867" s="17"/>
      <c r="AS2867" s="17"/>
      <c r="AT2867" s="17"/>
      <c r="AU2867" s="17"/>
      <c r="AV2867" s="17"/>
    </row>
    <row r="2868" spans="1:48" ht="15.75" customHeight="1">
      <c r="A2868" s="21" t="s">
        <v>76</v>
      </c>
      <c r="B2868" s="23" t="s">
        <v>1692</v>
      </c>
      <c r="C2868" s="22">
        <v>45717</v>
      </c>
      <c r="D2868" s="23" t="s">
        <v>184</v>
      </c>
      <c r="E2868" s="23" t="s">
        <v>110</v>
      </c>
      <c r="F2868" s="21">
        <v>1</v>
      </c>
      <c r="G2868" s="12">
        <v>2000.0000000000005</v>
      </c>
      <c r="H2868" s="12">
        <v>2000.0000000000005</v>
      </c>
      <c r="I2868" s="23" t="s">
        <v>52</v>
      </c>
      <c r="J2868" s="23" t="s">
        <v>61</v>
      </c>
      <c r="K2868" s="24" t="s">
        <v>177</v>
      </c>
      <c r="L2868" s="24">
        <v>107</v>
      </c>
      <c r="M2868" s="12">
        <v>1680.6722689075634</v>
      </c>
      <c r="N2868" s="12">
        <v>1680.6722689075634</v>
      </c>
      <c r="O2868" s="12">
        <v>319.32773109243703</v>
      </c>
      <c r="P2868" s="13"/>
      <c r="Q2868" s="14">
        <v>2025</v>
      </c>
      <c r="R2868" s="15">
        <v>45352</v>
      </c>
      <c r="S2868" s="11" t="s">
        <v>378</v>
      </c>
      <c r="T2868" s="16">
        <v>5</v>
      </c>
      <c r="U2868" s="17"/>
      <c r="V2868" s="12">
        <v>756.30252100840369</v>
      </c>
      <c r="W2868" s="12">
        <v>756.30252100840369</v>
      </c>
      <c r="X2868" s="12">
        <v>0</v>
      </c>
      <c r="Y2868" s="18">
        <v>45712</v>
      </c>
      <c r="Z2868" s="13" t="s">
        <v>501</v>
      </c>
      <c r="AA2868" s="19" t="str">
        <f>VLOOKUP(D2868,Clientes!$A$2:$J$486,9,FALSE)</f>
        <v>Frecuente</v>
      </c>
      <c r="AB2868" s="13" t="str">
        <f>VLOOKUP(D2868,Clientes!$A$2:$K$486,11,FALSE)</f>
        <v>Persona Natural</v>
      </c>
      <c r="AC2868" s="13" t="str">
        <f>VLOOKUP(D2868,Clientes!$A$2:$B$486,2,FALSE)</f>
        <v>Jardin del Eden</v>
      </c>
      <c r="AD2868" s="20"/>
      <c r="AE2868" s="20"/>
      <c r="AF2868" s="13" t="s">
        <v>40</v>
      </c>
      <c r="AG2868" s="15">
        <v>45352</v>
      </c>
      <c r="AH2868" s="13" t="s">
        <v>41</v>
      </c>
      <c r="AI2868" s="13" t="s">
        <v>76</v>
      </c>
      <c r="AJ2868" s="13" t="str">
        <f>VLOOKUP(E2868,Precios!Z$2:AA$941,2,FALSE)</f>
        <v>Cloro SPUM 5 Litros</v>
      </c>
      <c r="AK2868" s="14">
        <f>VLOOKUP(E2868,Precios!Z$2:BB$941,3,FALSE)*F2868</f>
        <v>-1</v>
      </c>
      <c r="AL2868" s="17"/>
      <c r="AM2868" s="17"/>
      <c r="AN2868" s="17"/>
      <c r="AO2868" s="17"/>
      <c r="AP2868" s="17"/>
      <c r="AQ2868" s="17"/>
      <c r="AR2868" s="17"/>
      <c r="AS2868" s="17"/>
      <c r="AT2868" s="17"/>
      <c r="AU2868" s="17"/>
      <c r="AV2868" s="17"/>
    </row>
    <row r="2869" spans="1:48" ht="15.75" customHeight="1">
      <c r="A2869" s="21" t="s">
        <v>76</v>
      </c>
      <c r="B2869" s="23" t="s">
        <v>1692</v>
      </c>
      <c r="C2869" s="22">
        <v>45717</v>
      </c>
      <c r="D2869" s="23" t="s">
        <v>184</v>
      </c>
      <c r="E2869" s="23" t="s">
        <v>137</v>
      </c>
      <c r="F2869" s="21">
        <v>2</v>
      </c>
      <c r="G2869" s="12">
        <v>3500.0000000000005</v>
      </c>
      <c r="H2869" s="12">
        <v>7000.0000000000009</v>
      </c>
      <c r="I2869" s="23" t="s">
        <v>52</v>
      </c>
      <c r="J2869" s="23" t="s">
        <v>61</v>
      </c>
      <c r="K2869" s="24" t="s">
        <v>177</v>
      </c>
      <c r="L2869" s="24">
        <v>109</v>
      </c>
      <c r="M2869" s="12">
        <v>2941.1764705882356</v>
      </c>
      <c r="N2869" s="12">
        <v>5882.3529411764712</v>
      </c>
      <c r="O2869" s="12">
        <v>1117.6470588235297</v>
      </c>
      <c r="P2869" s="13"/>
      <c r="Q2869" s="14">
        <v>2025</v>
      </c>
      <c r="R2869" s="15">
        <v>45352</v>
      </c>
      <c r="S2869" s="11" t="s">
        <v>406</v>
      </c>
      <c r="T2869" s="16">
        <v>10</v>
      </c>
      <c r="U2869" s="17"/>
      <c r="V2869" s="12">
        <v>1697.4789915966394</v>
      </c>
      <c r="W2869" s="12">
        <v>1697.4789915966394</v>
      </c>
      <c r="X2869" s="12">
        <v>0</v>
      </c>
      <c r="Y2869" s="18">
        <v>45712</v>
      </c>
      <c r="Z2869" s="13" t="s">
        <v>501</v>
      </c>
      <c r="AA2869" s="19" t="str">
        <f>VLOOKUP(D2869,Clientes!$A$2:$J$486,9,FALSE)</f>
        <v>Frecuente</v>
      </c>
      <c r="AB2869" s="13" t="str">
        <f>VLOOKUP(D2869,Clientes!$A$2:$K$486,11,FALSE)</f>
        <v>Persona Natural</v>
      </c>
      <c r="AC2869" s="13" t="str">
        <f>VLOOKUP(D2869,Clientes!$A$2:$B$486,2,FALSE)</f>
        <v>Jardin del Eden</v>
      </c>
      <c r="AD2869" s="20"/>
      <c r="AE2869" s="20"/>
      <c r="AF2869" s="13" t="s">
        <v>40</v>
      </c>
      <c r="AG2869" s="15">
        <v>45352</v>
      </c>
      <c r="AH2869" s="13" t="s">
        <v>41</v>
      </c>
      <c r="AI2869" s="13" t="s">
        <v>76</v>
      </c>
      <c r="AJ2869" s="13" t="str">
        <f>VLOOKUP(E2869,Precios!Z$2:AA$941,2,FALSE)</f>
        <v>Detergente SPUM 5 Litros (Blanco)</v>
      </c>
      <c r="AK2869" s="14">
        <f>VLOOKUP(E2869,Precios!Z$2:BB$941,3,FALSE)*F2869</f>
        <v>-2</v>
      </c>
      <c r="AL2869" s="17"/>
      <c r="AM2869" s="17"/>
      <c r="AN2869" s="17"/>
      <c r="AO2869" s="17"/>
      <c r="AP2869" s="17"/>
      <c r="AQ2869" s="17"/>
      <c r="AR2869" s="17"/>
      <c r="AS2869" s="17"/>
      <c r="AT2869" s="17"/>
      <c r="AU2869" s="17"/>
      <c r="AV2869" s="17"/>
    </row>
    <row r="2870" spans="1:48" ht="15.75" customHeight="1">
      <c r="A2870" s="21" t="s">
        <v>47</v>
      </c>
      <c r="B2870" s="23" t="s">
        <v>1692</v>
      </c>
      <c r="C2870" s="22">
        <v>45717</v>
      </c>
      <c r="D2870" s="23" t="s">
        <v>184</v>
      </c>
      <c r="E2870" s="23" t="s">
        <v>521</v>
      </c>
      <c r="F2870" s="21">
        <v>1</v>
      </c>
      <c r="G2870" s="12">
        <v>600.32200357781755</v>
      </c>
      <c r="H2870" s="12">
        <v>600.32200357781755</v>
      </c>
      <c r="I2870" s="23" t="s">
        <v>52</v>
      </c>
      <c r="J2870" s="23" t="s">
        <v>61</v>
      </c>
      <c r="K2870" s="24" t="s">
        <v>177</v>
      </c>
      <c r="L2870" s="24">
        <v>109</v>
      </c>
      <c r="M2870" s="12">
        <v>504.47227191413242</v>
      </c>
      <c r="N2870" s="12">
        <v>504.47227191413242</v>
      </c>
      <c r="O2870" s="12">
        <v>95.849731663685134</v>
      </c>
      <c r="P2870" s="13"/>
      <c r="Q2870" s="14">
        <v>2025</v>
      </c>
      <c r="R2870" s="15">
        <v>45352</v>
      </c>
      <c r="S2870" s="11" t="s">
        <v>453</v>
      </c>
      <c r="T2870" s="16">
        <v>0</v>
      </c>
      <c r="U2870" s="17"/>
      <c r="V2870" s="12">
        <v>222.47227191413242</v>
      </c>
      <c r="W2870" s="12">
        <v>222.47227191413242</v>
      </c>
      <c r="X2870" s="12">
        <v>0</v>
      </c>
      <c r="Y2870" s="18">
        <v>45712</v>
      </c>
      <c r="Z2870" s="13" t="s">
        <v>501</v>
      </c>
      <c r="AA2870" s="19" t="str">
        <f>VLOOKUP(D2870,Clientes!$A$2:$J$486,9,FALSE)</f>
        <v>Frecuente</v>
      </c>
      <c r="AB2870" s="13" t="str">
        <f>VLOOKUP(D2870,Clientes!$A$2:$K$486,11,FALSE)</f>
        <v>Persona Natural</v>
      </c>
      <c r="AC2870" s="13" t="str">
        <f>VLOOKUP(D2870,Clientes!$A$2:$B$486,2,FALSE)</f>
        <v>Jardin del Eden</v>
      </c>
      <c r="AD2870" s="20"/>
      <c r="AE2870" s="20"/>
      <c r="AF2870" s="13" t="s">
        <v>40</v>
      </c>
      <c r="AG2870" s="15">
        <v>45352</v>
      </c>
      <c r="AH2870" s="13" t="s">
        <v>41</v>
      </c>
      <c r="AI2870" s="13" t="s">
        <v>47</v>
      </c>
      <c r="AJ2870" s="13" t="str">
        <f>VLOOKUP(E2870,Precios!Z$2:AA$941,2,FALSE)</f>
        <v xml:space="preserve">Bolsas Basura TEDDY 45x55 con Asas </v>
      </c>
      <c r="AK2870" s="14">
        <f>VLOOKUP(E2870,Precios!Z$2:BB$941,3,FALSE)*F2870</f>
        <v>-1</v>
      </c>
      <c r="AL2870" s="17"/>
      <c r="AM2870" s="17"/>
      <c r="AN2870" s="17"/>
      <c r="AO2870" s="17"/>
      <c r="AP2870" s="17"/>
      <c r="AQ2870" s="17"/>
      <c r="AR2870" s="17"/>
      <c r="AS2870" s="17"/>
      <c r="AT2870" s="17"/>
      <c r="AU2870" s="17"/>
      <c r="AV2870" s="17"/>
    </row>
    <row r="2871" spans="1:48" ht="15.75" customHeight="1">
      <c r="A2871" s="21" t="s">
        <v>47</v>
      </c>
      <c r="B2871" s="23" t="s">
        <v>1692</v>
      </c>
      <c r="C2871" s="22">
        <v>45717</v>
      </c>
      <c r="D2871" s="23" t="s">
        <v>184</v>
      </c>
      <c r="E2871" s="23" t="s">
        <v>100</v>
      </c>
      <c r="F2871" s="21">
        <v>1</v>
      </c>
      <c r="G2871" s="12">
        <v>650.00000000000011</v>
      </c>
      <c r="H2871" s="12">
        <v>650.00000000000011</v>
      </c>
      <c r="I2871" s="23" t="s">
        <v>52</v>
      </c>
      <c r="J2871" s="23" t="s">
        <v>61</v>
      </c>
      <c r="K2871" s="24" t="s">
        <v>177</v>
      </c>
      <c r="L2871" s="24">
        <v>109</v>
      </c>
      <c r="M2871" s="12">
        <v>546.21848739495806</v>
      </c>
      <c r="N2871" s="12">
        <v>546.21848739495806</v>
      </c>
      <c r="O2871" s="12">
        <v>103.78151260504205</v>
      </c>
      <c r="P2871" s="13"/>
      <c r="Q2871" s="14">
        <v>2025</v>
      </c>
      <c r="R2871" s="15">
        <v>45352</v>
      </c>
      <c r="S2871" s="11" t="s">
        <v>453</v>
      </c>
      <c r="T2871" s="16">
        <v>0</v>
      </c>
      <c r="U2871" s="17"/>
      <c r="V2871" s="12">
        <v>231.09243697478996</v>
      </c>
      <c r="W2871" s="12">
        <v>231.09243697478996</v>
      </c>
      <c r="X2871" s="12">
        <v>0</v>
      </c>
      <c r="Y2871" s="18">
        <v>45712</v>
      </c>
      <c r="Z2871" s="13" t="s">
        <v>501</v>
      </c>
      <c r="AA2871" s="19" t="str">
        <f>VLOOKUP(D2871,Clientes!$A$2:$J$486,9,FALSE)</f>
        <v>Frecuente</v>
      </c>
      <c r="AB2871" s="13" t="str">
        <f>VLOOKUP(D2871,Clientes!$A$2:$K$486,11,FALSE)</f>
        <v>Persona Natural</v>
      </c>
      <c r="AC2871" s="13" t="str">
        <f>VLOOKUP(D2871,Clientes!$A$2:$B$486,2,FALSE)</f>
        <v>Jardin del Eden</v>
      </c>
      <c r="AD2871" s="20"/>
      <c r="AE2871" s="20"/>
      <c r="AF2871" s="13" t="s">
        <v>40</v>
      </c>
      <c r="AG2871" s="15">
        <v>45352</v>
      </c>
      <c r="AH2871" s="13" t="s">
        <v>41</v>
      </c>
      <c r="AI2871" s="13" t="s">
        <v>47</v>
      </c>
      <c r="AJ2871" s="13" t="str">
        <f>VLOOKUP(E2871,Precios!Z$2:AA$941,2,FALSE)</f>
        <v xml:space="preserve">Bolsas Basura TEDDY 50x70 </v>
      </c>
      <c r="AK2871" s="14">
        <f>VLOOKUP(E2871,Precios!Z$2:BB$941,3,FALSE)*F2871</f>
        <v>-1</v>
      </c>
      <c r="AL2871" s="17"/>
      <c r="AM2871" s="17"/>
      <c r="AN2871" s="17"/>
      <c r="AO2871" s="17"/>
      <c r="AP2871" s="17"/>
      <c r="AQ2871" s="17"/>
      <c r="AR2871" s="17"/>
      <c r="AS2871" s="17"/>
      <c r="AT2871" s="17"/>
      <c r="AU2871" s="17"/>
      <c r="AV2871" s="17"/>
    </row>
    <row r="2872" spans="1:48" ht="15.75" customHeight="1">
      <c r="A2872" s="21" t="s">
        <v>47</v>
      </c>
      <c r="B2872" s="23" t="s">
        <v>1692</v>
      </c>
      <c r="C2872" s="22">
        <v>45717</v>
      </c>
      <c r="D2872" s="23" t="s">
        <v>184</v>
      </c>
      <c r="E2872" s="23" t="s">
        <v>99</v>
      </c>
      <c r="F2872" s="21">
        <v>1</v>
      </c>
      <c r="G2872" s="12">
        <v>1200</v>
      </c>
      <c r="H2872" s="12">
        <v>1200</v>
      </c>
      <c r="I2872" s="23" t="s">
        <v>52</v>
      </c>
      <c r="J2872" s="23" t="s">
        <v>61</v>
      </c>
      <c r="K2872" s="24" t="s">
        <v>177</v>
      </c>
      <c r="L2872" s="24">
        <v>107</v>
      </c>
      <c r="M2872" s="12">
        <v>1008.4033613445379</v>
      </c>
      <c r="N2872" s="12">
        <v>1008.4033613445379</v>
      </c>
      <c r="O2872" s="12">
        <v>191.59663865546213</v>
      </c>
      <c r="P2872" s="13"/>
      <c r="Q2872" s="14">
        <v>2025</v>
      </c>
      <c r="R2872" s="15">
        <v>45352</v>
      </c>
      <c r="S2872" s="11" t="s">
        <v>453</v>
      </c>
      <c r="T2872" s="16">
        <v>0</v>
      </c>
      <c r="U2872" s="17"/>
      <c r="V2872" s="12">
        <v>294.11764705882354</v>
      </c>
      <c r="W2872" s="12">
        <v>294.11764705882354</v>
      </c>
      <c r="X2872" s="12">
        <v>0</v>
      </c>
      <c r="Y2872" s="18">
        <v>45712</v>
      </c>
      <c r="Z2872" s="13" t="s">
        <v>501</v>
      </c>
      <c r="AA2872" s="19" t="str">
        <f>VLOOKUP(D2872,Clientes!$A$2:$J$486,9,FALSE)</f>
        <v>Frecuente</v>
      </c>
      <c r="AB2872" s="13" t="str">
        <f>VLOOKUP(D2872,Clientes!$A$2:$K$486,11,FALSE)</f>
        <v>Persona Natural</v>
      </c>
      <c r="AC2872" s="13" t="str">
        <f>VLOOKUP(D2872,Clientes!$A$2:$B$486,2,FALSE)</f>
        <v>Jardin del Eden</v>
      </c>
      <c r="AD2872" s="20"/>
      <c r="AE2872" s="20"/>
      <c r="AF2872" s="13" t="s">
        <v>40</v>
      </c>
      <c r="AG2872" s="15">
        <v>45352</v>
      </c>
      <c r="AH2872" s="13" t="s">
        <v>41</v>
      </c>
      <c r="AI2872" s="13" t="s">
        <v>47</v>
      </c>
      <c r="AJ2872" s="13" t="str">
        <f>VLOOKUP(E2872,Precios!Z$2:AA$941,2,FALSE)</f>
        <v xml:space="preserve">Bolsas Basura TEDDY 70x90 </v>
      </c>
      <c r="AK2872" s="14">
        <f>VLOOKUP(E2872,Precios!Z$2:BB$941,3,FALSE)*F2872</f>
        <v>-1</v>
      </c>
      <c r="AL2872" s="17"/>
      <c r="AM2872" s="17"/>
      <c r="AN2872" s="17"/>
      <c r="AO2872" s="17"/>
      <c r="AP2872" s="17"/>
      <c r="AQ2872" s="17"/>
      <c r="AR2872" s="17"/>
      <c r="AS2872" s="17"/>
      <c r="AT2872" s="17"/>
      <c r="AU2872" s="17"/>
      <c r="AV2872" s="17"/>
    </row>
    <row r="2873" spans="1:48" ht="15.75" customHeight="1">
      <c r="A2873" s="21" t="s">
        <v>47</v>
      </c>
      <c r="B2873" s="23" t="s">
        <v>1692</v>
      </c>
      <c r="C2873" s="22">
        <v>45717</v>
      </c>
      <c r="D2873" s="23" t="s">
        <v>184</v>
      </c>
      <c r="E2873" s="23" t="s">
        <v>107</v>
      </c>
      <c r="F2873" s="21">
        <v>1</v>
      </c>
      <c r="G2873" s="12">
        <v>3000.0000000000005</v>
      </c>
      <c r="H2873" s="12">
        <v>3000.0000000000005</v>
      </c>
      <c r="I2873" s="23" t="s">
        <v>52</v>
      </c>
      <c r="J2873" s="23" t="s">
        <v>61</v>
      </c>
      <c r="K2873" s="24" t="s">
        <v>177</v>
      </c>
      <c r="L2873" s="24">
        <v>107</v>
      </c>
      <c r="M2873" s="12">
        <v>2521.0084033613452</v>
      </c>
      <c r="N2873" s="12">
        <v>2521.0084033613452</v>
      </c>
      <c r="O2873" s="12">
        <v>478.99159663865521</v>
      </c>
      <c r="P2873" s="13"/>
      <c r="Q2873" s="14">
        <v>2025</v>
      </c>
      <c r="R2873" s="15">
        <v>45352</v>
      </c>
      <c r="S2873" s="11" t="s">
        <v>453</v>
      </c>
      <c r="T2873" s="16">
        <v>0</v>
      </c>
      <c r="U2873" s="17"/>
      <c r="V2873" s="12">
        <v>758.82352941176487</v>
      </c>
      <c r="W2873" s="12">
        <v>758.82352941176487</v>
      </c>
      <c r="X2873" s="12">
        <v>0</v>
      </c>
      <c r="Y2873" s="18">
        <v>45712</v>
      </c>
      <c r="Z2873" s="13" t="s">
        <v>501</v>
      </c>
      <c r="AA2873" s="19" t="str">
        <f>VLOOKUP(D2873,Clientes!$A$2:$J$486,9,FALSE)</f>
        <v>Frecuente</v>
      </c>
      <c r="AB2873" s="13" t="str">
        <f>VLOOKUP(D2873,Clientes!$A$2:$K$486,11,FALSE)</f>
        <v>Persona Natural</v>
      </c>
      <c r="AC2873" s="13" t="str">
        <f>VLOOKUP(D2873,Clientes!$A$2:$B$486,2,FALSE)</f>
        <v>Jardin del Eden</v>
      </c>
      <c r="AD2873" s="20"/>
      <c r="AE2873" s="20"/>
      <c r="AF2873" s="13" t="s">
        <v>40</v>
      </c>
      <c r="AG2873" s="15">
        <v>45352</v>
      </c>
      <c r="AH2873" s="13" t="s">
        <v>41</v>
      </c>
      <c r="AI2873" s="13" t="s">
        <v>47</v>
      </c>
      <c r="AJ2873" s="13" t="str">
        <f>VLOOKUP(E2873,Precios!Z$2:AA$941,2,FALSE)</f>
        <v xml:space="preserve">Bolsas Basura TEDDY 90x120 </v>
      </c>
      <c r="AK2873" s="14">
        <f>VLOOKUP(E2873,Precios!Z$2:BB$941,3,FALSE)*F2873</f>
        <v>-1</v>
      </c>
      <c r="AL2873" s="17"/>
      <c r="AM2873" s="17"/>
      <c r="AN2873" s="17"/>
      <c r="AO2873" s="17"/>
      <c r="AP2873" s="17"/>
      <c r="AQ2873" s="17"/>
      <c r="AR2873" s="17"/>
      <c r="AS2873" s="17"/>
      <c r="AT2873" s="17"/>
      <c r="AU2873" s="17"/>
      <c r="AV2873" s="17"/>
    </row>
    <row r="2874" spans="1:48" ht="15.75" customHeight="1">
      <c r="A2874" s="21" t="s">
        <v>47</v>
      </c>
      <c r="B2874" s="23" t="s">
        <v>1692</v>
      </c>
      <c r="C2874" s="22">
        <v>45717</v>
      </c>
      <c r="D2874" s="23" t="s">
        <v>184</v>
      </c>
      <c r="E2874" s="23" t="s">
        <v>48</v>
      </c>
      <c r="F2874" s="21">
        <v>1</v>
      </c>
      <c r="G2874" s="12">
        <v>1000</v>
      </c>
      <c r="H2874" s="12">
        <v>1000</v>
      </c>
      <c r="I2874" s="23" t="s">
        <v>52</v>
      </c>
      <c r="J2874" s="23" t="s">
        <v>61</v>
      </c>
      <c r="K2874" s="24" t="s">
        <v>177</v>
      </c>
      <c r="L2874" s="24">
        <v>109</v>
      </c>
      <c r="M2874" s="12">
        <v>840.3361344537816</v>
      </c>
      <c r="N2874" s="12">
        <v>840.3361344537816</v>
      </c>
      <c r="O2874" s="12">
        <v>159.6638655462184</v>
      </c>
      <c r="P2874" s="13"/>
      <c r="Q2874" s="14">
        <v>2025</v>
      </c>
      <c r="R2874" s="15">
        <v>45352</v>
      </c>
      <c r="S2874" s="11" t="s">
        <v>416</v>
      </c>
      <c r="T2874" s="16">
        <v>0</v>
      </c>
      <c r="U2874" s="17"/>
      <c r="V2874" s="12">
        <v>330.33613445378148</v>
      </c>
      <c r="W2874" s="12">
        <v>330.33613445378148</v>
      </c>
      <c r="X2874" s="12">
        <v>0</v>
      </c>
      <c r="Y2874" s="18">
        <v>45712</v>
      </c>
      <c r="Z2874" s="13" t="s">
        <v>501</v>
      </c>
      <c r="AA2874" s="19" t="str">
        <f>VLOOKUP(D2874,Clientes!$A$2:$J$486,9,FALSE)</f>
        <v>Frecuente</v>
      </c>
      <c r="AB2874" s="13" t="str">
        <f>VLOOKUP(D2874,Clientes!$A$2:$K$486,11,FALSE)</f>
        <v>Persona Natural</v>
      </c>
      <c r="AC2874" s="13" t="str">
        <f>VLOOKUP(D2874,Clientes!$A$2:$B$486,2,FALSE)</f>
        <v>Jardin del Eden</v>
      </c>
      <c r="AD2874" s="20"/>
      <c r="AE2874" s="20"/>
      <c r="AF2874" s="13" t="s">
        <v>40</v>
      </c>
      <c r="AG2874" s="15">
        <v>45352</v>
      </c>
      <c r="AH2874" s="13" t="s">
        <v>41</v>
      </c>
      <c r="AI2874" s="13" t="s">
        <v>47</v>
      </c>
      <c r="AJ2874" s="13" t="str">
        <f>VLOOKUP(E2874,Precios!Z$2:AA$941,2,FALSE)</f>
        <v>Esponja Acanalada TEDDY</v>
      </c>
      <c r="AK2874" s="14">
        <f>VLOOKUP(E2874,Precios!Z$2:BB$941,3,FALSE)*F2874</f>
        <v>-5</v>
      </c>
      <c r="AL2874" s="17"/>
      <c r="AM2874" s="17"/>
      <c r="AN2874" s="17"/>
      <c r="AO2874" s="17"/>
      <c r="AP2874" s="17"/>
      <c r="AQ2874" s="17"/>
      <c r="AR2874" s="17"/>
      <c r="AS2874" s="17"/>
      <c r="AT2874" s="17"/>
      <c r="AU2874" s="17"/>
      <c r="AV2874" s="17"/>
    </row>
    <row r="2875" spans="1:48" ht="15.75" customHeight="1">
      <c r="A2875" s="21" t="s">
        <v>50</v>
      </c>
      <c r="B2875" s="23" t="s">
        <v>1692</v>
      </c>
      <c r="C2875" s="22">
        <v>45717</v>
      </c>
      <c r="D2875" s="23" t="s">
        <v>179</v>
      </c>
      <c r="E2875" s="23" t="s">
        <v>51</v>
      </c>
      <c r="F2875" s="21">
        <v>1</v>
      </c>
      <c r="G2875" s="12">
        <v>1000</v>
      </c>
      <c r="H2875" s="12">
        <v>1000</v>
      </c>
      <c r="I2875" s="23" t="s">
        <v>52</v>
      </c>
      <c r="J2875" s="23" t="s">
        <v>61</v>
      </c>
      <c r="K2875" s="24" t="s">
        <v>177</v>
      </c>
      <c r="L2875" s="24">
        <v>109</v>
      </c>
      <c r="M2875" s="12">
        <v>840.3361344537816</v>
      </c>
      <c r="N2875" s="12">
        <v>840.3361344537816</v>
      </c>
      <c r="O2875" s="12">
        <v>159.6638655462184</v>
      </c>
      <c r="P2875" s="13"/>
      <c r="Q2875" s="14">
        <v>2025</v>
      </c>
      <c r="R2875" s="15">
        <v>45352</v>
      </c>
      <c r="S2875" s="11" t="s">
        <v>51</v>
      </c>
      <c r="T2875" s="16">
        <v>0</v>
      </c>
      <c r="U2875" s="17"/>
      <c r="V2875" s="12">
        <v>483.19327731092432</v>
      </c>
      <c r="W2875" s="12">
        <v>483.19327731092432</v>
      </c>
      <c r="X2875" s="12">
        <v>0</v>
      </c>
      <c r="Y2875" s="18">
        <v>45712</v>
      </c>
      <c r="Z2875" s="13" t="s">
        <v>501</v>
      </c>
      <c r="AA2875" s="19" t="str">
        <f>VLOOKUP(D2875,Clientes!$A$2:$J$486,9,FALSE)</f>
        <v>Frecuente</v>
      </c>
      <c r="AB2875" s="13" t="str">
        <f>VLOOKUP(D2875,Clientes!$A$2:$K$486,11,FALSE)</f>
        <v>Persona Natural</v>
      </c>
      <c r="AC2875" s="13" t="str">
        <f>VLOOKUP(D2875,Clientes!$A$2:$B$486,2,FALSE)</f>
        <v>Araucania</v>
      </c>
      <c r="AD2875" s="20"/>
      <c r="AE2875" s="20"/>
      <c r="AF2875" s="13" t="s">
        <v>40</v>
      </c>
      <c r="AG2875" s="15">
        <v>45352</v>
      </c>
      <c r="AH2875" s="13" t="s">
        <v>41</v>
      </c>
      <c r="AI2875" s="13" t="s">
        <v>50</v>
      </c>
      <c r="AJ2875" s="13" t="str">
        <f>VLOOKUP(E2875,Precios!Z$2:AA$941,2,FALSE)</f>
        <v>Hielo 1 Kilo</v>
      </c>
      <c r="AK2875" s="14">
        <f>VLOOKUP(E2875,Precios!Z$2:BB$941,3,FALSE)*F2875</f>
        <v>-1</v>
      </c>
      <c r="AL2875" s="17"/>
      <c r="AM2875" s="17"/>
      <c r="AN2875" s="17"/>
      <c r="AO2875" s="17"/>
      <c r="AP2875" s="17"/>
      <c r="AQ2875" s="17"/>
      <c r="AR2875" s="17"/>
      <c r="AS2875" s="17"/>
      <c r="AT2875" s="17"/>
      <c r="AU2875" s="17"/>
      <c r="AV2875" s="17"/>
    </row>
    <row r="2876" spans="1:48" ht="15.75" customHeight="1">
      <c r="A2876" s="21" t="s">
        <v>50</v>
      </c>
      <c r="B2876" s="23" t="s">
        <v>1692</v>
      </c>
      <c r="C2876" s="22">
        <v>45717</v>
      </c>
      <c r="D2876" s="23" t="s">
        <v>179</v>
      </c>
      <c r="E2876" s="23" t="s">
        <v>528</v>
      </c>
      <c r="F2876" s="21">
        <v>1</v>
      </c>
      <c r="G2876" s="12">
        <v>4500.2224529141331</v>
      </c>
      <c r="H2876" s="12">
        <v>4500.2224529141331</v>
      </c>
      <c r="I2876" s="23" t="s">
        <v>52</v>
      </c>
      <c r="J2876" s="23" t="s">
        <v>61</v>
      </c>
      <c r="K2876" s="24" t="s">
        <v>177</v>
      </c>
      <c r="L2876" s="24">
        <v>109</v>
      </c>
      <c r="M2876" s="12">
        <v>3781.6995402639777</v>
      </c>
      <c r="N2876" s="12">
        <v>3781.6995402639777</v>
      </c>
      <c r="O2876" s="12">
        <v>718.52291265015538</v>
      </c>
      <c r="P2876" s="13"/>
      <c r="Q2876" s="14">
        <v>2025</v>
      </c>
      <c r="R2876" s="15">
        <v>45352</v>
      </c>
      <c r="S2876" s="11" t="s">
        <v>528</v>
      </c>
      <c r="T2876" s="16">
        <v>0</v>
      </c>
      <c r="U2876" s="17"/>
      <c r="V2876" s="12">
        <v>1996.6995402639773</v>
      </c>
      <c r="W2876" s="12">
        <v>1996.6995402639773</v>
      </c>
      <c r="X2876" s="12">
        <v>0</v>
      </c>
      <c r="Y2876" s="18">
        <v>45712</v>
      </c>
      <c r="Z2876" s="13" t="s">
        <v>501</v>
      </c>
      <c r="AA2876" s="19" t="str">
        <f>VLOOKUP(D2876,Clientes!$A$2:$J$486,9,FALSE)</f>
        <v>Frecuente</v>
      </c>
      <c r="AB2876" s="13" t="str">
        <f>VLOOKUP(D2876,Clientes!$A$2:$K$486,11,FALSE)</f>
        <v>Persona Natural</v>
      </c>
      <c r="AC2876" s="13" t="str">
        <f>VLOOKUP(D2876,Clientes!$A$2:$B$486,2,FALSE)</f>
        <v>Araucania</v>
      </c>
      <c r="AD2876" s="20"/>
      <c r="AE2876" s="20"/>
      <c r="AF2876" s="13" t="s">
        <v>40</v>
      </c>
      <c r="AG2876" s="15">
        <v>45352</v>
      </c>
      <c r="AH2876" s="13" t="s">
        <v>41</v>
      </c>
      <c r="AI2876" s="13" t="s">
        <v>50</v>
      </c>
      <c r="AJ2876" s="13" t="str">
        <f>VLOOKUP(E2876,Precios!Z$2:AA$941,2,FALSE)</f>
        <v>Hielo 1 Kilo</v>
      </c>
      <c r="AK2876" s="14">
        <f>VLOOKUP(E2876,Precios!Z$2:BB$941,3,FALSE)*F2876</f>
        <v>-5</v>
      </c>
      <c r="AL2876" s="17"/>
      <c r="AM2876" s="17"/>
      <c r="AN2876" s="17"/>
      <c r="AO2876" s="17"/>
      <c r="AP2876" s="17"/>
      <c r="AQ2876" s="17"/>
      <c r="AR2876" s="17"/>
      <c r="AS2876" s="17"/>
      <c r="AT2876" s="17"/>
      <c r="AU2876" s="17"/>
      <c r="AV2876" s="17"/>
    </row>
    <row r="2877" spans="1:48" ht="15.75" customHeight="1">
      <c r="A2877" s="21" t="s">
        <v>53</v>
      </c>
      <c r="B2877" s="23" t="s">
        <v>1692</v>
      </c>
      <c r="C2877" s="22">
        <v>45717</v>
      </c>
      <c r="D2877" s="23" t="s">
        <v>238</v>
      </c>
      <c r="E2877" s="23" t="s">
        <v>97</v>
      </c>
      <c r="F2877" s="21">
        <v>1</v>
      </c>
      <c r="G2877" s="12">
        <v>15500.298388701016</v>
      </c>
      <c r="H2877" s="12">
        <v>15500.298388701016</v>
      </c>
      <c r="I2877" s="23" t="s">
        <v>52</v>
      </c>
      <c r="J2877" s="23" t="s">
        <v>61</v>
      </c>
      <c r="K2877" s="24" t="s">
        <v>177</v>
      </c>
      <c r="L2877" s="24">
        <v>109</v>
      </c>
      <c r="M2877" s="12">
        <v>13025.46083084119</v>
      </c>
      <c r="N2877" s="12">
        <v>13025.46083084119</v>
      </c>
      <c r="O2877" s="12">
        <v>2474.8375578598261</v>
      </c>
      <c r="P2877" s="13"/>
      <c r="Q2877" s="14">
        <v>2025</v>
      </c>
      <c r="R2877" s="15">
        <v>45352</v>
      </c>
      <c r="S2877" s="11" t="s">
        <v>366</v>
      </c>
      <c r="T2877" s="16">
        <v>0</v>
      </c>
      <c r="U2877" s="17"/>
      <c r="V2877" s="12">
        <v>3203.6120913453906</v>
      </c>
      <c r="W2877" s="12">
        <v>3203.6120913453906</v>
      </c>
      <c r="X2877" s="12">
        <v>0</v>
      </c>
      <c r="Y2877" s="18">
        <v>45712</v>
      </c>
      <c r="Z2877" s="13" t="s">
        <v>501</v>
      </c>
      <c r="AA2877" s="19" t="str">
        <f>VLOOKUP(D2877,Clientes!$A$2:$J$486,9,FALSE)</f>
        <v>Ocacional</v>
      </c>
      <c r="AB2877" s="13" t="str">
        <f>VLOOKUP(D2877,Clientes!$A$2:$K$486,11,FALSE)</f>
        <v>Persona Natural</v>
      </c>
      <c r="AC2877" s="13" t="str">
        <f>VLOOKUP(D2877,Clientes!$A$2:$B$486,2,FALSE)</f>
        <v>Araucana</v>
      </c>
      <c r="AD2877" s="20"/>
      <c r="AE2877" s="20"/>
      <c r="AF2877" s="13" t="s">
        <v>40</v>
      </c>
      <c r="AG2877" s="15">
        <v>45352</v>
      </c>
      <c r="AH2877" s="13" t="s">
        <v>41</v>
      </c>
      <c r="AI2877" s="13" t="s">
        <v>53</v>
      </c>
      <c r="AJ2877" s="13" t="str">
        <f>VLOOKUP(E2877,Precios!Z$2:AA$941,2,FALSE)</f>
        <v>Papel Higienico ELITE 50 metros</v>
      </c>
      <c r="AK2877" s="14">
        <f>VLOOKUP(E2877,Precios!Z$2:BB$941,3,FALSE)*F2877</f>
        <v>-6</v>
      </c>
      <c r="AL2877" s="17"/>
      <c r="AM2877" s="17"/>
      <c r="AN2877" s="17"/>
      <c r="AO2877" s="17"/>
      <c r="AP2877" s="17"/>
      <c r="AQ2877" s="17"/>
      <c r="AR2877" s="17"/>
      <c r="AS2877" s="17"/>
      <c r="AT2877" s="17"/>
      <c r="AU2877" s="17"/>
      <c r="AV2877" s="17"/>
    </row>
    <row r="2878" spans="1:48" ht="15.75" customHeight="1">
      <c r="A2878" s="21" t="s">
        <v>35</v>
      </c>
      <c r="B2878" s="23" t="s">
        <v>1692</v>
      </c>
      <c r="C2878" s="22">
        <v>45717</v>
      </c>
      <c r="D2878" s="23" t="s">
        <v>238</v>
      </c>
      <c r="E2878" s="23" t="s">
        <v>46</v>
      </c>
      <c r="F2878" s="21">
        <v>1</v>
      </c>
      <c r="G2878" s="12">
        <v>5500</v>
      </c>
      <c r="H2878" s="12">
        <v>5500</v>
      </c>
      <c r="I2878" s="23" t="s">
        <v>52</v>
      </c>
      <c r="J2878" s="23" t="s">
        <v>61</v>
      </c>
      <c r="K2878" s="24" t="s">
        <v>177</v>
      </c>
      <c r="L2878" s="24">
        <v>109</v>
      </c>
      <c r="M2878" s="12">
        <v>4621.8487394957983</v>
      </c>
      <c r="N2878" s="12">
        <v>4621.8487394957983</v>
      </c>
      <c r="O2878" s="12">
        <v>878.15126050420167</v>
      </c>
      <c r="P2878" s="13"/>
      <c r="Q2878" s="14">
        <v>2025</v>
      </c>
      <c r="R2878" s="15">
        <v>45352</v>
      </c>
      <c r="S2878" s="11" t="s">
        <v>364</v>
      </c>
      <c r="T2878" s="16">
        <v>500</v>
      </c>
      <c r="U2878" s="17"/>
      <c r="V2878" s="12">
        <v>1365.1260504201678</v>
      </c>
      <c r="W2878" s="12">
        <v>1365.1260504201678</v>
      </c>
      <c r="X2878" s="12">
        <v>0</v>
      </c>
      <c r="Y2878" s="18">
        <v>45712</v>
      </c>
      <c r="Z2878" s="13" t="s">
        <v>501</v>
      </c>
      <c r="AA2878" s="19" t="str">
        <f>VLOOKUP(D2878,Clientes!$A$2:$J$486,9,FALSE)</f>
        <v>Ocacional</v>
      </c>
      <c r="AB2878" s="13" t="str">
        <f>VLOOKUP(D2878,Clientes!$A$2:$K$486,11,FALSE)</f>
        <v>Persona Natural</v>
      </c>
      <c r="AC2878" s="13" t="str">
        <f>VLOOKUP(D2878,Clientes!$A$2:$B$486,2,FALSE)</f>
        <v>Araucana</v>
      </c>
      <c r="AD2878" s="20"/>
      <c r="AE2878" s="20"/>
      <c r="AF2878" s="13" t="s">
        <v>40</v>
      </c>
      <c r="AG2878" s="15">
        <v>45352</v>
      </c>
      <c r="AH2878" s="13" t="s">
        <v>41</v>
      </c>
      <c r="AI2878" s="13" t="s">
        <v>35</v>
      </c>
      <c r="AJ2878" s="13" t="str">
        <f>VLOOKUP(E2878,Precios!Z$2:AA$941,2,FALSE)</f>
        <v>Queso RUNCA Mantecoso</v>
      </c>
      <c r="AK2878" s="14">
        <f>VLOOKUP(E2878,Precios!Z$2:BB$941,3,FALSE)*F2878</f>
        <v>-0.5</v>
      </c>
      <c r="AL2878" s="17"/>
      <c r="AM2878" s="17"/>
      <c r="AN2878" s="17"/>
      <c r="AO2878" s="17"/>
      <c r="AP2878" s="17"/>
      <c r="AQ2878" s="17"/>
      <c r="AR2878" s="17"/>
      <c r="AS2878" s="17"/>
      <c r="AT2878" s="17"/>
      <c r="AU2878" s="17"/>
      <c r="AV2878" s="17"/>
    </row>
    <row r="2879" spans="1:48" ht="15.75" customHeight="1">
      <c r="A2879" s="21" t="s">
        <v>35</v>
      </c>
      <c r="B2879" s="23" t="s">
        <v>1692</v>
      </c>
      <c r="C2879" s="25">
        <v>45716</v>
      </c>
      <c r="D2879" s="23" t="s">
        <v>570</v>
      </c>
      <c r="E2879" s="23" t="s">
        <v>46</v>
      </c>
      <c r="F2879" s="21">
        <v>1</v>
      </c>
      <c r="G2879" s="12">
        <v>5500</v>
      </c>
      <c r="H2879" s="12">
        <v>5500</v>
      </c>
      <c r="I2879" s="23" t="s">
        <v>52</v>
      </c>
      <c r="J2879" s="23" t="s">
        <v>61</v>
      </c>
      <c r="K2879" s="24" t="s">
        <v>177</v>
      </c>
      <c r="L2879" s="24">
        <v>108</v>
      </c>
      <c r="M2879" s="12">
        <v>4621.8487394957983</v>
      </c>
      <c r="N2879" s="12">
        <v>4621.8487394957983</v>
      </c>
      <c r="O2879" s="12">
        <v>878.15126050420167</v>
      </c>
      <c r="P2879" s="13"/>
      <c r="Q2879" s="14">
        <v>2025</v>
      </c>
      <c r="R2879" s="15">
        <v>45323</v>
      </c>
      <c r="S2879" s="11" t="s">
        <v>364</v>
      </c>
      <c r="T2879" s="16">
        <v>500</v>
      </c>
      <c r="U2879" s="17"/>
      <c r="V2879" s="12">
        <v>1365.1260504201678</v>
      </c>
      <c r="W2879" s="12">
        <v>1365.1260504201678</v>
      </c>
      <c r="X2879" s="12">
        <v>0</v>
      </c>
      <c r="Y2879" s="18">
        <v>45712</v>
      </c>
      <c r="Z2879" s="13" t="s">
        <v>503</v>
      </c>
      <c r="AA2879" s="19" t="str">
        <f>VLOOKUP(D2879,Clientes!$A$2:$J$486,9,FALSE)</f>
        <v>Ocacional</v>
      </c>
      <c r="AB2879" s="13" t="str">
        <f>VLOOKUP(D2879,Clientes!$A$2:$K$486,11,FALSE)</f>
        <v>Persona Natural</v>
      </c>
      <c r="AC2879" s="13" t="str">
        <f>VLOOKUP(D2879,Clientes!$A$2:$B$486,2,FALSE)</f>
        <v>Amigos Claudia Herrera</v>
      </c>
      <c r="AD2879" s="20"/>
      <c r="AE2879" s="20"/>
      <c r="AF2879" s="13" t="s">
        <v>40</v>
      </c>
      <c r="AG2879" s="15">
        <v>45323</v>
      </c>
      <c r="AH2879" s="13" t="s">
        <v>41</v>
      </c>
      <c r="AI2879" s="13" t="s">
        <v>35</v>
      </c>
      <c r="AJ2879" s="13" t="str">
        <f>VLOOKUP(E2879,Precios!Z$2:AA$941,2,FALSE)</f>
        <v>Queso RUNCA Mantecoso</v>
      </c>
      <c r="AK2879" s="14">
        <f>VLOOKUP(E2879,Precios!Z$2:BB$941,3,FALSE)*F2879</f>
        <v>-0.5</v>
      </c>
      <c r="AL2879" s="17"/>
      <c r="AM2879" s="17"/>
      <c r="AN2879" s="17"/>
      <c r="AO2879" s="17"/>
      <c r="AP2879" s="17"/>
      <c r="AQ2879" s="17"/>
      <c r="AR2879" s="17"/>
      <c r="AS2879" s="17"/>
      <c r="AT2879" s="17"/>
      <c r="AU2879" s="17"/>
      <c r="AV2879" s="17"/>
    </row>
    <row r="2880" spans="1:48" ht="15.75" customHeight="1">
      <c r="A2880" s="21" t="s">
        <v>53</v>
      </c>
      <c r="B2880" s="23" t="s">
        <v>1692</v>
      </c>
      <c r="C2880" s="25">
        <v>45716</v>
      </c>
      <c r="D2880" s="23" t="s">
        <v>63</v>
      </c>
      <c r="E2880" s="23" t="s">
        <v>587</v>
      </c>
      <c r="F2880" s="21">
        <v>1</v>
      </c>
      <c r="G2880" s="12">
        <v>3499.8985330782161</v>
      </c>
      <c r="H2880" s="12">
        <v>3499.8985330782161</v>
      </c>
      <c r="I2880" s="23" t="s">
        <v>52</v>
      </c>
      <c r="J2880" s="23" t="s">
        <v>61</v>
      </c>
      <c r="K2880" s="24" t="s">
        <v>177</v>
      </c>
      <c r="L2880" s="24">
        <v>108</v>
      </c>
      <c r="M2880" s="12">
        <v>2941.0912042674086</v>
      </c>
      <c r="N2880" s="12">
        <v>2941.0912042674086</v>
      </c>
      <c r="O2880" s="12">
        <v>558.80732881080758</v>
      </c>
      <c r="P2880" s="13"/>
      <c r="Q2880" s="14">
        <v>2025</v>
      </c>
      <c r="R2880" s="15">
        <v>45323</v>
      </c>
      <c r="S2880" s="11" t="s">
        <v>408</v>
      </c>
      <c r="T2880" s="16">
        <v>0</v>
      </c>
      <c r="U2880" s="17"/>
      <c r="V2880" s="12">
        <v>912.09120426740856</v>
      </c>
      <c r="W2880" s="12">
        <v>912.09120426740856</v>
      </c>
      <c r="X2880" s="12">
        <v>0</v>
      </c>
      <c r="Y2880" s="18">
        <v>45712</v>
      </c>
      <c r="Z2880" s="13" t="s">
        <v>503</v>
      </c>
      <c r="AA2880" s="19" t="str">
        <f>VLOOKUP(D2880,Clientes!$A$2:$J$486,9,FALSE)</f>
        <v>Ocacional</v>
      </c>
      <c r="AB2880" s="13" t="str">
        <f>VLOOKUP(D2880,Clientes!$A$2:$K$486,11,FALSE)</f>
        <v>Persona Natural</v>
      </c>
      <c r="AC2880" s="13" t="str">
        <f>VLOOKUP(D2880,Clientes!$A$2:$B$486,2,FALSE)</f>
        <v>Mexico con rojas magallanes</v>
      </c>
      <c r="AD2880" s="20"/>
      <c r="AE2880" s="20"/>
      <c r="AF2880" s="13" t="s">
        <v>40</v>
      </c>
      <c r="AG2880" s="15">
        <v>45323</v>
      </c>
      <c r="AH2880" s="13" t="s">
        <v>41</v>
      </c>
      <c r="AI2880" s="13" t="s">
        <v>53</v>
      </c>
      <c r="AJ2880" s="13" t="str">
        <f>VLOOKUP(E2880,Precios!Z$2:AA$941,2,FALSE)</f>
        <v>Toalla Papel SWAN D/H AZUL 100 metros</v>
      </c>
      <c r="AK2880" s="14">
        <f>VLOOKUP(E2880,Precios!Z$2:BB$941,3,FALSE)*F2880</f>
        <v>-1</v>
      </c>
      <c r="AL2880" s="17"/>
      <c r="AM2880" s="17"/>
      <c r="AN2880" s="17"/>
      <c r="AO2880" s="17"/>
      <c r="AP2880" s="17"/>
      <c r="AQ2880" s="17"/>
      <c r="AR2880" s="17"/>
      <c r="AS2880" s="17"/>
      <c r="AT2880" s="17"/>
      <c r="AU2880" s="17"/>
      <c r="AV2880" s="17"/>
    </row>
    <row r="2881" spans="1:48" ht="15.75" customHeight="1">
      <c r="A2881" s="21" t="s">
        <v>53</v>
      </c>
      <c r="B2881" s="23" t="s">
        <v>1692</v>
      </c>
      <c r="C2881" s="25">
        <v>45716</v>
      </c>
      <c r="D2881" s="23" t="s">
        <v>63</v>
      </c>
      <c r="E2881" s="23" t="s">
        <v>150</v>
      </c>
      <c r="F2881" s="21">
        <v>1</v>
      </c>
      <c r="G2881" s="12">
        <v>1799.8965445892823</v>
      </c>
      <c r="H2881" s="12">
        <v>1799.8965445892823</v>
      </c>
      <c r="I2881" s="23" t="s">
        <v>52</v>
      </c>
      <c r="J2881" s="23" t="s">
        <v>61</v>
      </c>
      <c r="K2881" s="24" t="s">
        <v>177</v>
      </c>
      <c r="L2881" s="24">
        <v>107</v>
      </c>
      <c r="M2881" s="12">
        <v>1512.518104696876</v>
      </c>
      <c r="N2881" s="12">
        <v>1512.518104696876</v>
      </c>
      <c r="O2881" s="12">
        <v>287.37843989240628</v>
      </c>
      <c r="P2881" s="13"/>
      <c r="Q2881" s="14">
        <v>2025</v>
      </c>
      <c r="R2881" s="15">
        <v>45323</v>
      </c>
      <c r="S2881" s="11" t="s">
        <v>381</v>
      </c>
      <c r="T2881" s="16">
        <v>300</v>
      </c>
      <c r="U2881" s="17"/>
      <c r="V2881" s="12">
        <v>781.51810469687575</v>
      </c>
      <c r="W2881" s="12">
        <v>781.51810469687575</v>
      </c>
      <c r="X2881" s="12">
        <v>0</v>
      </c>
      <c r="Y2881" s="18">
        <v>45712</v>
      </c>
      <c r="Z2881" s="13" t="s">
        <v>503</v>
      </c>
      <c r="AA2881" s="19" t="str">
        <f>VLOOKUP(D2881,Clientes!$A$2:$J$486,9,FALSE)</f>
        <v>Ocacional</v>
      </c>
      <c r="AB2881" s="13" t="str">
        <f>VLOOKUP(D2881,Clientes!$A$2:$K$486,11,FALSE)</f>
        <v>Persona Natural</v>
      </c>
      <c r="AC2881" s="13" t="str">
        <f>VLOOKUP(D2881,Clientes!$A$2:$B$486,2,FALSE)</f>
        <v>Mexico con rojas magallanes</v>
      </c>
      <c r="AD2881" s="20"/>
      <c r="AE2881" s="20"/>
      <c r="AF2881" s="13" t="s">
        <v>40</v>
      </c>
      <c r="AG2881" s="15">
        <v>45323</v>
      </c>
      <c r="AH2881" s="13" t="s">
        <v>41</v>
      </c>
      <c r="AI2881" s="13" t="s">
        <v>53</v>
      </c>
      <c r="AJ2881" s="13" t="str">
        <f>VLOOKUP(E2881,Precios!Z$2:AA$941,2,FALSE)</f>
        <v>Servilletas SOFTQUALITY 300 unidades</v>
      </c>
      <c r="AK2881" s="14">
        <f>VLOOKUP(E2881,Precios!Z$2:BB$941,3,FALSE)*F2881</f>
        <v>-1</v>
      </c>
      <c r="AL2881" s="17"/>
      <c r="AM2881" s="17"/>
      <c r="AN2881" s="17"/>
      <c r="AO2881" s="17"/>
      <c r="AP2881" s="17"/>
      <c r="AQ2881" s="17"/>
      <c r="AR2881" s="17"/>
      <c r="AS2881" s="17"/>
      <c r="AT2881" s="17"/>
      <c r="AU2881" s="17"/>
      <c r="AV2881" s="17"/>
    </row>
    <row r="2882" spans="1:48" ht="15.75" customHeight="1">
      <c r="A2882" s="21" t="s">
        <v>43</v>
      </c>
      <c r="B2882" s="23" t="s">
        <v>1692</v>
      </c>
      <c r="C2882" s="25">
        <v>45716</v>
      </c>
      <c r="D2882" s="23" t="s">
        <v>236</v>
      </c>
      <c r="E2882" s="23" t="s">
        <v>45</v>
      </c>
      <c r="F2882" s="21">
        <v>2</v>
      </c>
      <c r="G2882" s="12">
        <v>7600.0975431323541</v>
      </c>
      <c r="H2882" s="12">
        <v>15200.195086264708</v>
      </c>
      <c r="I2882" s="23" t="s">
        <v>52</v>
      </c>
      <c r="J2882" s="23" t="s">
        <v>61</v>
      </c>
      <c r="K2882" s="24" t="s">
        <v>177</v>
      </c>
      <c r="L2882" s="24">
        <v>108</v>
      </c>
      <c r="M2882" s="12">
        <v>6386.6365908675243</v>
      </c>
      <c r="N2882" s="12">
        <v>12773.273181735049</v>
      </c>
      <c r="O2882" s="12">
        <v>2426.9219045296595</v>
      </c>
      <c r="P2882" s="13"/>
      <c r="Q2882" s="14">
        <v>2025</v>
      </c>
      <c r="R2882" s="15">
        <v>45323</v>
      </c>
      <c r="S2882" s="11" t="s">
        <v>355</v>
      </c>
      <c r="T2882" s="16">
        <v>0</v>
      </c>
      <c r="U2882" s="17"/>
      <c r="V2882" s="12">
        <v>2297.2731817350486</v>
      </c>
      <c r="W2882" s="12">
        <v>2297.2731817350486</v>
      </c>
      <c r="X2882" s="12">
        <v>0</v>
      </c>
      <c r="Y2882" s="18">
        <v>45712</v>
      </c>
      <c r="Z2882" s="13" t="s">
        <v>503</v>
      </c>
      <c r="AA2882" s="19" t="str">
        <f>VLOOKUP(D2882,Clientes!$A$2:$J$486,9,FALSE)</f>
        <v>Familiar</v>
      </c>
      <c r="AB2882" s="13" t="str">
        <f>VLOOKUP(D2882,Clientes!$A$2:$K$486,11,FALSE)</f>
        <v>Persona Natural</v>
      </c>
      <c r="AC2882" s="13" t="str">
        <f>VLOOKUP(D2882,Clientes!$A$2:$B$486,2,FALSE)</f>
        <v>Familiar</v>
      </c>
      <c r="AD2882" s="20"/>
      <c r="AE2882" s="20"/>
      <c r="AF2882" s="13" t="s">
        <v>40</v>
      </c>
      <c r="AG2882" s="15">
        <v>45323</v>
      </c>
      <c r="AH2882" s="13" t="s">
        <v>41</v>
      </c>
      <c r="AI2882" s="13" t="s">
        <v>43</v>
      </c>
      <c r="AJ2882" s="13" t="str">
        <f>VLOOKUP(E2882,Precios!Z$2:AA$941,2,FALSE)</f>
        <v>Bandeja Huevos EXTRA</v>
      </c>
      <c r="AK2882" s="14">
        <f>VLOOKUP(E2882,Precios!Z$2:BB$941,3,FALSE)*F2882</f>
        <v>-2</v>
      </c>
      <c r="AL2882" s="17"/>
      <c r="AM2882" s="17"/>
      <c r="AN2882" s="17"/>
      <c r="AO2882" s="17"/>
      <c r="AP2882" s="17"/>
      <c r="AQ2882" s="17"/>
      <c r="AR2882" s="17"/>
      <c r="AS2882" s="17"/>
      <c r="AT2882" s="17"/>
      <c r="AU2882" s="17"/>
      <c r="AV2882" s="17"/>
    </row>
    <row r="2883" spans="1:48" ht="15.75" customHeight="1">
      <c r="A2883" s="21" t="s">
        <v>43</v>
      </c>
      <c r="B2883" s="23" t="s">
        <v>1692</v>
      </c>
      <c r="C2883" s="25">
        <v>45716</v>
      </c>
      <c r="D2883" s="23" t="s">
        <v>178</v>
      </c>
      <c r="E2883" s="23" t="s">
        <v>45</v>
      </c>
      <c r="F2883" s="14">
        <v>1</v>
      </c>
      <c r="G2883" s="12">
        <v>7499.8368883312432</v>
      </c>
      <c r="H2883" s="12">
        <v>7499.8368883312432</v>
      </c>
      <c r="I2883" s="23" t="s">
        <v>52</v>
      </c>
      <c r="J2883" s="23" t="s">
        <v>61</v>
      </c>
      <c r="K2883" s="24" t="s">
        <v>177</v>
      </c>
      <c r="L2883" s="24">
        <v>108</v>
      </c>
      <c r="M2883" s="12">
        <v>6302.383939774154</v>
      </c>
      <c r="N2883" s="12">
        <v>6302.383939774154</v>
      </c>
      <c r="O2883" s="12">
        <v>1197.4529485570893</v>
      </c>
      <c r="P2883" s="13"/>
      <c r="Q2883" s="14">
        <v>2025</v>
      </c>
      <c r="R2883" s="15">
        <v>45323</v>
      </c>
      <c r="S2883" s="11" t="s">
        <v>355</v>
      </c>
      <c r="T2883" s="16">
        <v>0</v>
      </c>
      <c r="U2883" s="17"/>
      <c r="V2883" s="12">
        <v>1279.383939774154</v>
      </c>
      <c r="W2883" s="12">
        <v>1279.383939774154</v>
      </c>
      <c r="X2883" s="12">
        <v>0</v>
      </c>
      <c r="Y2883" s="18">
        <v>45712</v>
      </c>
      <c r="Z2883" s="13" t="s">
        <v>503</v>
      </c>
      <c r="AA2883" s="19" t="str">
        <f>VLOOKUP(D2883,Clientes!$A$2:$J$486,9,FALSE)</f>
        <v>Ocacional</v>
      </c>
      <c r="AB2883" s="13" t="str">
        <f>VLOOKUP(D2883,Clientes!$A$2:$K$486,11,FALSE)</f>
        <v>Persona Natural</v>
      </c>
      <c r="AC2883" s="13" t="str">
        <f>VLOOKUP(D2883,Clientes!$A$2:$B$486,2,FALSE)</f>
        <v>Jardin del eden</v>
      </c>
      <c r="AD2883" s="20"/>
      <c r="AE2883" s="20"/>
      <c r="AF2883" s="13" t="s">
        <v>40</v>
      </c>
      <c r="AG2883" s="15">
        <v>45323</v>
      </c>
      <c r="AH2883" s="13" t="s">
        <v>41</v>
      </c>
      <c r="AI2883" s="13" t="s">
        <v>43</v>
      </c>
      <c r="AJ2883" s="13" t="str">
        <f>VLOOKUP(E2883,Precios!Z$2:AA$941,2,FALSE)</f>
        <v>Bandeja Huevos EXTRA</v>
      </c>
      <c r="AK2883" s="14">
        <f>VLOOKUP(E2883,Precios!Z$2:BB$941,3,FALSE)*F2883</f>
        <v>-1</v>
      </c>
      <c r="AL2883" s="17"/>
      <c r="AM2883" s="17"/>
      <c r="AN2883" s="17"/>
      <c r="AO2883" s="17"/>
      <c r="AP2883" s="17"/>
      <c r="AQ2883" s="17"/>
      <c r="AR2883" s="17"/>
      <c r="AS2883" s="17"/>
      <c r="AT2883" s="17"/>
      <c r="AU2883" s="17"/>
      <c r="AV2883" s="17"/>
    </row>
    <row r="2884" spans="1:48" ht="15.75" customHeight="1">
      <c r="A2884" s="21" t="s">
        <v>53</v>
      </c>
      <c r="B2884" s="23" t="s">
        <v>1692</v>
      </c>
      <c r="C2884" s="25">
        <v>45716</v>
      </c>
      <c r="D2884" s="23" t="s">
        <v>353</v>
      </c>
      <c r="E2884" s="23" t="s">
        <v>55</v>
      </c>
      <c r="F2884" s="14">
        <v>1</v>
      </c>
      <c r="G2884" s="12">
        <v>19989.738327347361</v>
      </c>
      <c r="H2884" s="12">
        <v>19989.738327347361</v>
      </c>
      <c r="I2884" s="23" t="s">
        <v>52</v>
      </c>
      <c r="J2884" s="23" t="s">
        <v>61</v>
      </c>
      <c r="K2884" s="24" t="s">
        <v>177</v>
      </c>
      <c r="L2884" s="24">
        <v>108</v>
      </c>
      <c r="M2884" s="12">
        <v>16798.099434745684</v>
      </c>
      <c r="N2884" s="12">
        <v>16798.099434745684</v>
      </c>
      <c r="O2884" s="12">
        <v>3191.6388926016771</v>
      </c>
      <c r="P2884" s="13"/>
      <c r="Q2884" s="14">
        <v>2025</v>
      </c>
      <c r="R2884" s="15">
        <v>45323</v>
      </c>
      <c r="S2884" s="11" t="s">
        <v>366</v>
      </c>
      <c r="T2884" s="16">
        <v>0</v>
      </c>
      <c r="U2884" s="17"/>
      <c r="V2884" s="12">
        <v>3702.3011154179476</v>
      </c>
      <c r="W2884" s="12">
        <v>3702.3011154179476</v>
      </c>
      <c r="X2884" s="12">
        <v>0</v>
      </c>
      <c r="Y2884" s="18">
        <v>45712</v>
      </c>
      <c r="Z2884" s="13" t="s">
        <v>503</v>
      </c>
      <c r="AA2884" s="19" t="str">
        <f>VLOOKUP(D2884,Clientes!$A$2:$J$486,9,FALSE)</f>
        <v>Ocacional</v>
      </c>
      <c r="AB2884" s="13" t="str">
        <f>VLOOKUP(D2884,Clientes!$A$2:$K$486,11,FALSE)</f>
        <v>Persona Natural</v>
      </c>
      <c r="AC2884" s="13" t="str">
        <f>VLOOKUP(D2884,Clientes!$A$2:$B$486,2,FALSE)</f>
        <v>Jardin del eden</v>
      </c>
      <c r="AD2884" s="20"/>
      <c r="AE2884" s="20"/>
      <c r="AF2884" s="13" t="s">
        <v>40</v>
      </c>
      <c r="AG2884" s="15">
        <v>45323</v>
      </c>
      <c r="AH2884" s="13" t="s">
        <v>41</v>
      </c>
      <c r="AI2884" s="13" t="s">
        <v>53</v>
      </c>
      <c r="AJ2884" s="13" t="str">
        <f>VLOOKUP(E2884,Precios!Z$2:AA$941,2,FALSE)</f>
        <v>Papel Higienico ELITE 50 metros</v>
      </c>
      <c r="AK2884" s="14">
        <f>VLOOKUP(E2884,Precios!Z$2:BB$941,3,FALSE)*F2884</f>
        <v>-8</v>
      </c>
      <c r="AL2884" s="17"/>
      <c r="AM2884" s="17"/>
      <c r="AN2884" s="17"/>
      <c r="AO2884" s="17"/>
      <c r="AP2884" s="17"/>
      <c r="AQ2884" s="17"/>
      <c r="AR2884" s="17"/>
      <c r="AS2884" s="17"/>
      <c r="AT2884" s="17"/>
      <c r="AU2884" s="17"/>
      <c r="AV2884" s="17"/>
    </row>
    <row r="2885" spans="1:48" ht="15.75" customHeight="1">
      <c r="A2885" s="21" t="s">
        <v>47</v>
      </c>
      <c r="B2885" s="23" t="s">
        <v>1692</v>
      </c>
      <c r="C2885" s="22">
        <v>45716</v>
      </c>
      <c r="D2885" s="23" t="s">
        <v>735</v>
      </c>
      <c r="E2885" s="23" t="s">
        <v>170</v>
      </c>
      <c r="F2885" s="21">
        <v>1</v>
      </c>
      <c r="G2885" s="12">
        <v>1800.1699716713879</v>
      </c>
      <c r="H2885" s="12">
        <v>1800.1699716713879</v>
      </c>
      <c r="I2885" s="23" t="s">
        <v>52</v>
      </c>
      <c r="J2885" s="23" t="s">
        <v>61</v>
      </c>
      <c r="K2885" s="24" t="s">
        <v>177</v>
      </c>
      <c r="L2885" s="24">
        <v>108</v>
      </c>
      <c r="M2885" s="12">
        <v>1512.7478753541075</v>
      </c>
      <c r="N2885" s="12">
        <v>1512.7478753541075</v>
      </c>
      <c r="O2885" s="12">
        <v>287.42209631728042</v>
      </c>
      <c r="P2885" s="13"/>
      <c r="Q2885" s="14">
        <v>2025</v>
      </c>
      <c r="R2885" s="15">
        <v>45323</v>
      </c>
      <c r="S2885" s="11" t="s">
        <v>453</v>
      </c>
      <c r="T2885" s="16">
        <v>0</v>
      </c>
      <c r="U2885" s="17"/>
      <c r="V2885" s="12">
        <v>711.74787535410746</v>
      </c>
      <c r="W2885" s="12">
        <v>711.74787535410746</v>
      </c>
      <c r="X2885" s="12">
        <v>0</v>
      </c>
      <c r="Y2885" s="18">
        <v>45712</v>
      </c>
      <c r="Z2885" s="13" t="s">
        <v>503</v>
      </c>
      <c r="AA2885" s="19" t="str">
        <f>VLOOKUP(D2885,Clientes!$A$2:$J$486,9,FALSE)</f>
        <v>Ocacional</v>
      </c>
      <c r="AB2885" s="13" t="str">
        <f>VLOOKUP(D2885,Clientes!$A$2:$K$486,11,FALSE)</f>
        <v>Persona Natural</v>
      </c>
      <c r="AC2885" s="13" t="str">
        <f>VLOOKUP(D2885,Clientes!$A$2:$B$486,2,FALSE)</f>
        <v>Jardines de la viña</v>
      </c>
      <c r="AD2885" s="20"/>
      <c r="AE2885" s="20"/>
      <c r="AF2885" s="13" t="s">
        <v>40</v>
      </c>
      <c r="AG2885" s="15">
        <v>45323</v>
      </c>
      <c r="AH2885" s="13" t="s">
        <v>41</v>
      </c>
      <c r="AI2885" s="13" t="s">
        <v>47</v>
      </c>
      <c r="AJ2885" s="13" t="str">
        <f>VLOOKUP(E2885,Precios!Z$2:AA$941,2,FALSE)</f>
        <v xml:space="preserve">Bolsas Basura TEDDY 50x70 </v>
      </c>
      <c r="AK2885" s="14">
        <f>VLOOKUP(E2885,Precios!Z$2:BB$941,3,FALSE)*F2885</f>
        <v>-3</v>
      </c>
      <c r="AL2885" s="17"/>
      <c r="AM2885" s="17"/>
      <c r="AN2885" s="17"/>
      <c r="AO2885" s="17"/>
      <c r="AP2885" s="17"/>
      <c r="AQ2885" s="17"/>
      <c r="AR2885" s="17"/>
      <c r="AS2885" s="17"/>
      <c r="AT2885" s="17"/>
      <c r="AU2885" s="17"/>
      <c r="AV2885" s="17"/>
    </row>
    <row r="2886" spans="1:48" ht="15.75" customHeight="1">
      <c r="A2886" s="21" t="s">
        <v>47</v>
      </c>
      <c r="B2886" s="23" t="s">
        <v>1692</v>
      </c>
      <c r="C2886" s="22">
        <v>45716</v>
      </c>
      <c r="D2886" s="23" t="s">
        <v>735</v>
      </c>
      <c r="E2886" s="23" t="s">
        <v>610</v>
      </c>
      <c r="F2886" s="21">
        <v>1</v>
      </c>
      <c r="G2886" s="12">
        <v>1600.2801610926285</v>
      </c>
      <c r="H2886" s="12">
        <v>1600.2801610926285</v>
      </c>
      <c r="I2886" s="23" t="s">
        <v>52</v>
      </c>
      <c r="J2886" s="23" t="s">
        <v>61</v>
      </c>
      <c r="K2886" s="24" t="s">
        <v>177</v>
      </c>
      <c r="L2886" s="24">
        <v>108</v>
      </c>
      <c r="M2886" s="12">
        <v>1344.7732446156542</v>
      </c>
      <c r="N2886" s="12">
        <v>1344.7732446156542</v>
      </c>
      <c r="O2886" s="12">
        <v>255.50691647697431</v>
      </c>
      <c r="P2886" s="13"/>
      <c r="Q2886" s="14">
        <v>2025</v>
      </c>
      <c r="R2886" s="15">
        <v>45323</v>
      </c>
      <c r="S2886" s="11" t="s">
        <v>600</v>
      </c>
      <c r="T2886" s="16">
        <v>0</v>
      </c>
      <c r="U2886" s="17"/>
      <c r="V2886" s="12">
        <v>576.77324461565422</v>
      </c>
      <c r="W2886" s="12">
        <v>576.77324461565422</v>
      </c>
      <c r="X2886" s="12">
        <v>0</v>
      </c>
      <c r="Y2886" s="18">
        <v>45712</v>
      </c>
      <c r="Z2886" s="13" t="s">
        <v>503</v>
      </c>
      <c r="AA2886" s="19" t="str">
        <f>VLOOKUP(D2886,Clientes!$A$2:$J$486,9,FALSE)</f>
        <v>Ocacional</v>
      </c>
      <c r="AB2886" s="13" t="str">
        <f>VLOOKUP(D2886,Clientes!$A$2:$K$486,11,FALSE)</f>
        <v>Persona Natural</v>
      </c>
      <c r="AC2886" s="13" t="str">
        <f>VLOOKUP(D2886,Clientes!$A$2:$B$486,2,FALSE)</f>
        <v>Jardines de la viña</v>
      </c>
      <c r="AD2886" s="20"/>
      <c r="AE2886" s="20"/>
      <c r="AF2886" s="13" t="s">
        <v>40</v>
      </c>
      <c r="AG2886" s="15">
        <v>45323</v>
      </c>
      <c r="AH2886" s="13" t="s">
        <v>41</v>
      </c>
      <c r="AI2886" s="13" t="s">
        <v>47</v>
      </c>
      <c r="AJ2886" s="13" t="str">
        <f>VLOOKUP(E2886,Precios!Z$2:AA$941,2,FALSE)</f>
        <v>Toallas Humedas Bebé TEDDY 80 unidades</v>
      </c>
      <c r="AK2886" s="14">
        <f>VLOOKUP(E2886,Precios!Z$2:BB$941,3,FALSE)*F2886</f>
        <v>-1</v>
      </c>
      <c r="AL2886" s="17"/>
      <c r="AM2886" s="17"/>
      <c r="AN2886" s="17"/>
      <c r="AO2886" s="17"/>
      <c r="AP2886" s="17"/>
      <c r="AQ2886" s="17"/>
      <c r="AR2886" s="17"/>
      <c r="AS2886" s="17"/>
      <c r="AT2886" s="17"/>
      <c r="AU2886" s="17"/>
      <c r="AV2886" s="17"/>
    </row>
    <row r="2887" spans="1:48" ht="15.75" customHeight="1">
      <c r="A2887" s="21" t="s">
        <v>47</v>
      </c>
      <c r="B2887" s="23" t="s">
        <v>1692</v>
      </c>
      <c r="C2887" s="22">
        <v>45716</v>
      </c>
      <c r="D2887" s="23" t="s">
        <v>735</v>
      </c>
      <c r="E2887" s="23" t="s">
        <v>105</v>
      </c>
      <c r="F2887" s="21">
        <v>1</v>
      </c>
      <c r="G2887" s="12">
        <v>1100.0000000000002</v>
      </c>
      <c r="H2887" s="12">
        <v>1100.0000000000002</v>
      </c>
      <c r="I2887" s="23" t="s">
        <v>52</v>
      </c>
      <c r="J2887" s="23" t="s">
        <v>61</v>
      </c>
      <c r="K2887" s="24" t="s">
        <v>177</v>
      </c>
      <c r="L2887" s="24">
        <v>108</v>
      </c>
      <c r="M2887" s="12">
        <v>924.36974789915985</v>
      </c>
      <c r="N2887" s="12">
        <v>924.36974789915985</v>
      </c>
      <c r="O2887" s="12">
        <v>175.63025210084038</v>
      </c>
      <c r="P2887" s="13"/>
      <c r="Q2887" s="14">
        <v>2025</v>
      </c>
      <c r="R2887" s="15">
        <v>45323</v>
      </c>
      <c r="S2887" s="11" t="s">
        <v>105</v>
      </c>
      <c r="T2887" s="16">
        <v>0</v>
      </c>
      <c r="U2887" s="17"/>
      <c r="V2887" s="12">
        <v>342.857142857143</v>
      </c>
      <c r="W2887" s="12">
        <v>342.857142857143</v>
      </c>
      <c r="X2887" s="12">
        <v>0</v>
      </c>
      <c r="Y2887" s="18">
        <v>45712</v>
      </c>
      <c r="Z2887" s="13" t="s">
        <v>503</v>
      </c>
      <c r="AA2887" s="19" t="str">
        <f>VLOOKUP(D2887,Clientes!$A$2:$J$486,9,FALSE)</f>
        <v>Ocacional</v>
      </c>
      <c r="AB2887" s="13" t="str">
        <f>VLOOKUP(D2887,Clientes!$A$2:$K$486,11,FALSE)</f>
        <v>Persona Natural</v>
      </c>
      <c r="AC2887" s="13" t="str">
        <f>VLOOKUP(D2887,Clientes!$A$2:$B$486,2,FALSE)</f>
        <v>Jardines de la viña</v>
      </c>
      <c r="AD2887" s="20"/>
      <c r="AE2887" s="20"/>
      <c r="AF2887" s="13" t="s">
        <v>40</v>
      </c>
      <c r="AG2887" s="15">
        <v>45323</v>
      </c>
      <c r="AH2887" s="13" t="s">
        <v>41</v>
      </c>
      <c r="AI2887" s="13" t="s">
        <v>47</v>
      </c>
      <c r="AJ2887" s="13" t="str">
        <f>VLOOKUP(E2887,Precios!Z$2:AA$941,2,FALSE)</f>
        <v>Paños Esponja TEDDY</v>
      </c>
      <c r="AK2887" s="14">
        <f>VLOOKUP(E2887,Precios!Z$2:BB$941,3,FALSE)*F2887</f>
        <v>-1</v>
      </c>
      <c r="AL2887" s="17"/>
      <c r="AM2887" s="17"/>
      <c r="AN2887" s="17"/>
      <c r="AO2887" s="17"/>
      <c r="AP2887" s="17"/>
      <c r="AQ2887" s="17"/>
      <c r="AR2887" s="17"/>
      <c r="AS2887" s="17"/>
      <c r="AT2887" s="17"/>
      <c r="AU2887" s="17"/>
      <c r="AV2887" s="17"/>
    </row>
    <row r="2888" spans="1:48" ht="15.75" customHeight="1">
      <c r="A2888" s="21" t="s">
        <v>47</v>
      </c>
      <c r="B2888" s="23" t="s">
        <v>1692</v>
      </c>
      <c r="C2888" s="22">
        <v>45716</v>
      </c>
      <c r="D2888" s="23" t="s">
        <v>735</v>
      </c>
      <c r="E2888" s="23" t="s">
        <v>204</v>
      </c>
      <c r="F2888" s="21">
        <v>2</v>
      </c>
      <c r="G2888" s="12">
        <v>1200.1927194860814</v>
      </c>
      <c r="H2888" s="12">
        <v>2400.3854389721628</v>
      </c>
      <c r="I2888" s="23" t="s">
        <v>52</v>
      </c>
      <c r="J2888" s="23" t="s">
        <v>61</v>
      </c>
      <c r="K2888" s="24" t="s">
        <v>177</v>
      </c>
      <c r="L2888" s="24">
        <v>108</v>
      </c>
      <c r="M2888" s="12">
        <v>1008.5653104925054</v>
      </c>
      <c r="N2888" s="12">
        <v>2017.1306209850109</v>
      </c>
      <c r="O2888" s="12">
        <v>383.25481798715191</v>
      </c>
      <c r="P2888" s="13"/>
      <c r="Q2888" s="14">
        <v>2025</v>
      </c>
      <c r="R2888" s="15">
        <v>45323</v>
      </c>
      <c r="S2888" s="11" t="s">
        <v>400</v>
      </c>
      <c r="T2888" s="16">
        <v>0</v>
      </c>
      <c r="U2888" s="17"/>
      <c r="V2888" s="12">
        <v>1075.1306209850109</v>
      </c>
      <c r="W2888" s="12">
        <v>1075.1306209850109</v>
      </c>
      <c r="X2888" s="12">
        <v>0</v>
      </c>
      <c r="Y2888" s="18">
        <v>45712</v>
      </c>
      <c r="Z2888" s="13" t="s">
        <v>503</v>
      </c>
      <c r="AA2888" s="19" t="str">
        <f>VLOOKUP(D2888,Clientes!$A$2:$J$486,9,FALSE)</f>
        <v>Ocacional</v>
      </c>
      <c r="AB2888" s="13" t="str">
        <f>VLOOKUP(D2888,Clientes!$A$2:$K$486,11,FALSE)</f>
        <v>Persona Natural</v>
      </c>
      <c r="AC2888" s="13" t="str">
        <f>VLOOKUP(D2888,Clientes!$A$2:$B$486,2,FALSE)</f>
        <v>Jardines de la viña</v>
      </c>
      <c r="AD2888" s="20"/>
      <c r="AE2888" s="20"/>
      <c r="AF2888" s="13" t="s">
        <v>40</v>
      </c>
      <c r="AG2888" s="15">
        <v>45323</v>
      </c>
      <c r="AH2888" s="13" t="s">
        <v>41</v>
      </c>
      <c r="AI2888" s="13" t="s">
        <v>47</v>
      </c>
      <c r="AJ2888" s="13" t="str">
        <f>VLOOKUP(E2888,Precios!Z$2:AA$941,2,FALSE)</f>
        <v>Trapero Algodón TEDDY</v>
      </c>
      <c r="AK2888" s="14">
        <f>VLOOKUP(E2888,Precios!Z$2:BB$941,3,FALSE)*F2888</f>
        <v>-2</v>
      </c>
      <c r="AL2888" s="17"/>
      <c r="AM2888" s="17"/>
      <c r="AN2888" s="17"/>
      <c r="AO2888" s="17"/>
      <c r="AP2888" s="17"/>
      <c r="AQ2888" s="17"/>
      <c r="AR2888" s="17"/>
      <c r="AS2888" s="17"/>
      <c r="AT2888" s="17"/>
      <c r="AU2888" s="17"/>
      <c r="AV2888" s="17"/>
    </row>
    <row r="2889" spans="1:48" ht="15.75" customHeight="1">
      <c r="A2889" s="21" t="s">
        <v>47</v>
      </c>
      <c r="B2889" s="23" t="s">
        <v>1692</v>
      </c>
      <c r="C2889" s="22">
        <v>45716</v>
      </c>
      <c r="D2889" s="23" t="s">
        <v>735</v>
      </c>
      <c r="E2889" s="23" t="s">
        <v>217</v>
      </c>
      <c r="F2889" s="21">
        <v>1</v>
      </c>
      <c r="G2889" s="12">
        <v>1500.1443464314357</v>
      </c>
      <c r="H2889" s="12">
        <v>1500.1443464314357</v>
      </c>
      <c r="I2889" s="23" t="s">
        <v>52</v>
      </c>
      <c r="J2889" s="23" t="s">
        <v>61</v>
      </c>
      <c r="K2889" s="24" t="s">
        <v>177</v>
      </c>
      <c r="L2889" s="24">
        <v>108</v>
      </c>
      <c r="M2889" s="12">
        <v>1260.6255012028871</v>
      </c>
      <c r="N2889" s="12">
        <v>1260.6255012028871</v>
      </c>
      <c r="O2889" s="12">
        <v>239.51884522854857</v>
      </c>
      <c r="P2889" s="13"/>
      <c r="Q2889" s="14">
        <v>2025</v>
      </c>
      <c r="R2889" s="15">
        <v>45323</v>
      </c>
      <c r="S2889" s="11" t="s">
        <v>544</v>
      </c>
      <c r="T2889" s="16">
        <v>0</v>
      </c>
      <c r="U2889" s="17"/>
      <c r="V2889" s="12">
        <v>474.62550120288711</v>
      </c>
      <c r="W2889" s="12">
        <v>474.62550120288711</v>
      </c>
      <c r="X2889" s="12">
        <v>0</v>
      </c>
      <c r="Y2889" s="18">
        <v>45712</v>
      </c>
      <c r="Z2889" s="13" t="s">
        <v>503</v>
      </c>
      <c r="AA2889" s="19" t="str">
        <f>VLOOKUP(D2889,Clientes!$A$2:$J$486,9,FALSE)</f>
        <v>Ocacional</v>
      </c>
      <c r="AB2889" s="13" t="str">
        <f>VLOOKUP(D2889,Clientes!$A$2:$K$486,11,FALSE)</f>
        <v>Persona Natural</v>
      </c>
      <c r="AC2889" s="13" t="str">
        <f>VLOOKUP(D2889,Clientes!$A$2:$B$486,2,FALSE)</f>
        <v>Jardines de la viña</v>
      </c>
      <c r="AD2889" s="20"/>
      <c r="AE2889" s="20"/>
      <c r="AF2889" s="13" t="s">
        <v>40</v>
      </c>
      <c r="AG2889" s="15">
        <v>45323</v>
      </c>
      <c r="AH2889" s="13" t="s">
        <v>41</v>
      </c>
      <c r="AI2889" s="13" t="s">
        <v>47</v>
      </c>
      <c r="AJ2889" s="13" t="str">
        <f>VLOOKUP(E2889,Precios!Z$2:AA$941,2,FALSE)</f>
        <v>Lustra Mueble TEDDY</v>
      </c>
      <c r="AK2889" s="14">
        <f>VLOOKUP(E2889,Precios!Z$2:BB$941,3,FALSE)*F2889</f>
        <v>-1</v>
      </c>
      <c r="AL2889" s="17"/>
      <c r="AM2889" s="17"/>
      <c r="AN2889" s="17"/>
      <c r="AO2889" s="17"/>
      <c r="AP2889" s="17"/>
      <c r="AQ2889" s="17"/>
      <c r="AR2889" s="17"/>
      <c r="AS2889" s="17"/>
      <c r="AT2889" s="17"/>
      <c r="AU2889" s="17"/>
      <c r="AV2889" s="17"/>
    </row>
    <row r="2890" spans="1:48" ht="15.75" customHeight="1">
      <c r="A2890" s="21" t="s">
        <v>47</v>
      </c>
      <c r="B2890" s="23" t="s">
        <v>1692</v>
      </c>
      <c r="C2890" s="22">
        <v>45716</v>
      </c>
      <c r="D2890" s="23" t="s">
        <v>735</v>
      </c>
      <c r="E2890" s="23" t="s">
        <v>182</v>
      </c>
      <c r="F2890" s="21">
        <v>1</v>
      </c>
      <c r="G2890" s="12">
        <v>1599.9189101524487</v>
      </c>
      <c r="H2890" s="12">
        <v>1599.9189101524487</v>
      </c>
      <c r="I2890" s="23" t="s">
        <v>52</v>
      </c>
      <c r="J2890" s="23" t="s">
        <v>61</v>
      </c>
      <c r="K2890" s="24" t="s">
        <v>177</v>
      </c>
      <c r="L2890" s="24">
        <v>108</v>
      </c>
      <c r="M2890" s="12">
        <v>1344.4696723970158</v>
      </c>
      <c r="N2890" s="12">
        <v>1344.4696723970158</v>
      </c>
      <c r="O2890" s="12">
        <v>255.44923775543293</v>
      </c>
      <c r="P2890" s="13"/>
      <c r="Q2890" s="14">
        <v>2025</v>
      </c>
      <c r="R2890" s="15">
        <v>45323</v>
      </c>
      <c r="S2890" s="11" t="s">
        <v>620</v>
      </c>
      <c r="T2890" s="16">
        <v>0</v>
      </c>
      <c r="U2890" s="17"/>
      <c r="V2890" s="12">
        <v>515.46967239701576</v>
      </c>
      <c r="W2890" s="12">
        <v>515.46967239701576</v>
      </c>
      <c r="X2890" s="12">
        <v>0</v>
      </c>
      <c r="Y2890" s="18">
        <v>45712</v>
      </c>
      <c r="Z2890" s="13" t="s">
        <v>503</v>
      </c>
      <c r="AA2890" s="19" t="str">
        <f>VLOOKUP(D2890,Clientes!$A$2:$J$486,9,FALSE)</f>
        <v>Ocacional</v>
      </c>
      <c r="AB2890" s="13" t="str">
        <f>VLOOKUP(D2890,Clientes!$A$2:$K$486,11,FALSE)</f>
        <v>Persona Natural</v>
      </c>
      <c r="AC2890" s="13" t="str">
        <f>VLOOKUP(D2890,Clientes!$A$2:$B$486,2,FALSE)</f>
        <v>Jardines de la viña</v>
      </c>
      <c r="AD2890" s="20"/>
      <c r="AE2890" s="20"/>
      <c r="AF2890" s="13" t="s">
        <v>40</v>
      </c>
      <c r="AG2890" s="15">
        <v>45323</v>
      </c>
      <c r="AH2890" s="13" t="s">
        <v>41</v>
      </c>
      <c r="AI2890" s="13" t="s">
        <v>47</v>
      </c>
      <c r="AJ2890" s="13" t="str">
        <f>VLOOKUP(E2890,Precios!Z$2:AA$941,2,FALSE)</f>
        <v>Aromatizante Cono TEDDY Gel LAVANDA</v>
      </c>
      <c r="AK2890" s="14">
        <f>VLOOKUP(E2890,Precios!Z$2:BB$941,3,FALSE)*F2890</f>
        <v>-1</v>
      </c>
      <c r="AL2890" s="17"/>
      <c r="AM2890" s="17"/>
      <c r="AN2890" s="17"/>
      <c r="AO2890" s="17"/>
      <c r="AP2890" s="17"/>
      <c r="AQ2890" s="17"/>
      <c r="AR2890" s="17"/>
      <c r="AS2890" s="17"/>
      <c r="AT2890" s="17"/>
      <c r="AU2890" s="17"/>
      <c r="AV2890" s="17"/>
    </row>
    <row r="2891" spans="1:48" ht="15.75" customHeight="1">
      <c r="A2891" s="21" t="s">
        <v>147</v>
      </c>
      <c r="B2891" s="23" t="s">
        <v>1692</v>
      </c>
      <c r="C2891" s="22">
        <v>45716</v>
      </c>
      <c r="D2891" s="23" t="s">
        <v>735</v>
      </c>
      <c r="E2891" s="23" t="s">
        <v>248</v>
      </c>
      <c r="F2891" s="21">
        <v>1</v>
      </c>
      <c r="G2891" s="12">
        <v>9000</v>
      </c>
      <c r="H2891" s="12">
        <v>9000</v>
      </c>
      <c r="I2891" s="23" t="s">
        <v>52</v>
      </c>
      <c r="J2891" s="23" t="s">
        <v>61</v>
      </c>
      <c r="K2891" s="24" t="s">
        <v>177</v>
      </c>
      <c r="L2891" s="24">
        <v>108</v>
      </c>
      <c r="M2891" s="12">
        <v>7563.0252100840344</v>
      </c>
      <c r="N2891" s="12">
        <v>7563.0252100840344</v>
      </c>
      <c r="O2891" s="12">
        <v>1436.9747899159656</v>
      </c>
      <c r="P2891" s="13"/>
      <c r="Q2891" s="14">
        <v>2025</v>
      </c>
      <c r="R2891" s="15">
        <v>45323</v>
      </c>
      <c r="S2891" s="11" t="s">
        <v>412</v>
      </c>
      <c r="T2891" s="16">
        <v>0</v>
      </c>
      <c r="U2891" s="17"/>
      <c r="V2891" s="12">
        <v>2773.1092436974795</v>
      </c>
      <c r="W2891" s="12">
        <v>2773.1092436974795</v>
      </c>
      <c r="X2891" s="12">
        <v>0</v>
      </c>
      <c r="Y2891" s="18">
        <v>45712</v>
      </c>
      <c r="Z2891" s="13" t="s">
        <v>503</v>
      </c>
      <c r="AA2891" s="19" t="str">
        <f>VLOOKUP(D2891,Clientes!$A$2:$J$486,9,FALSE)</f>
        <v>Ocacional</v>
      </c>
      <c r="AB2891" s="13" t="str">
        <f>VLOOKUP(D2891,Clientes!$A$2:$K$486,11,FALSE)</f>
        <v>Persona Natural</v>
      </c>
      <c r="AC2891" s="13" t="str">
        <f>VLOOKUP(D2891,Clientes!$A$2:$B$486,2,FALSE)</f>
        <v>Jardines de la viña</v>
      </c>
      <c r="AD2891" s="20"/>
      <c r="AE2891" s="20"/>
      <c r="AF2891" s="13" t="s">
        <v>40</v>
      </c>
      <c r="AG2891" s="15">
        <v>45323</v>
      </c>
      <c r="AH2891" s="13" t="s">
        <v>41</v>
      </c>
      <c r="AI2891" s="13" t="s">
        <v>147</v>
      </c>
      <c r="AJ2891" s="13" t="str">
        <f>VLOOKUP(E2891,Precios!Z$2:AA$941,2,FALSE)</f>
        <v>Film Plástico 300 metros</v>
      </c>
      <c r="AK2891" s="14">
        <f>VLOOKUP(E2891,Precios!Z$2:BB$941,3,FALSE)*F2891</f>
        <v>-1</v>
      </c>
      <c r="AL2891" s="17"/>
      <c r="AM2891" s="17"/>
      <c r="AN2891" s="17"/>
      <c r="AO2891" s="17"/>
      <c r="AP2891" s="17"/>
      <c r="AQ2891" s="17"/>
      <c r="AR2891" s="17"/>
      <c r="AS2891" s="17"/>
      <c r="AT2891" s="17"/>
      <c r="AU2891" s="17"/>
      <c r="AV2891" s="17"/>
    </row>
    <row r="2892" spans="1:48" ht="15.75" customHeight="1">
      <c r="A2892" s="21" t="s">
        <v>53</v>
      </c>
      <c r="B2892" s="23" t="s">
        <v>1692</v>
      </c>
      <c r="C2892" s="22">
        <v>45716</v>
      </c>
      <c r="D2892" s="23" t="s">
        <v>670</v>
      </c>
      <c r="E2892" s="23" t="s">
        <v>203</v>
      </c>
      <c r="F2892" s="21">
        <v>1</v>
      </c>
      <c r="G2892" s="12">
        <v>9500</v>
      </c>
      <c r="H2892" s="12">
        <v>9500</v>
      </c>
      <c r="I2892" s="23" t="s">
        <v>52</v>
      </c>
      <c r="J2892" s="23" t="s">
        <v>61</v>
      </c>
      <c r="K2892" s="24" t="s">
        <v>177</v>
      </c>
      <c r="L2892" s="24">
        <v>108</v>
      </c>
      <c r="M2892" s="12">
        <v>7983.1932773109247</v>
      </c>
      <c r="N2892" s="12">
        <v>7983.1932773109247</v>
      </c>
      <c r="O2892" s="12">
        <v>1516.8067226890753</v>
      </c>
      <c r="P2892" s="13"/>
      <c r="Q2892" s="14">
        <v>2025</v>
      </c>
      <c r="R2892" s="15">
        <v>45323</v>
      </c>
      <c r="S2892" s="11" t="s">
        <v>366</v>
      </c>
      <c r="T2892" s="16">
        <v>0</v>
      </c>
      <c r="U2892" s="17"/>
      <c r="V2892" s="12">
        <v>3072.2689075630251</v>
      </c>
      <c r="W2892" s="12">
        <v>3072.2689075630251</v>
      </c>
      <c r="X2892" s="12">
        <v>0</v>
      </c>
      <c r="Y2892" s="18">
        <v>45712</v>
      </c>
      <c r="Z2892" s="13" t="s">
        <v>503</v>
      </c>
      <c r="AA2892" s="19" t="str">
        <f>VLOOKUP(D2892,Clientes!$A$2:$J$486,9,FALSE)</f>
        <v>Ocacional</v>
      </c>
      <c r="AB2892" s="13" t="str">
        <f>VLOOKUP(D2892,Clientes!$A$2:$K$486,11,FALSE)</f>
        <v>Persona Natural</v>
      </c>
      <c r="AC2892" s="13" t="str">
        <f>VLOOKUP(D2892,Clientes!$A$2:$B$486,2,FALSE)</f>
        <v>Jardines de la viña</v>
      </c>
      <c r="AD2892" s="20"/>
      <c r="AE2892" s="20"/>
      <c r="AF2892" s="13" t="s">
        <v>40</v>
      </c>
      <c r="AG2892" s="15">
        <v>45323</v>
      </c>
      <c r="AH2892" s="13" t="s">
        <v>41</v>
      </c>
      <c r="AI2892" s="13" t="s">
        <v>53</v>
      </c>
      <c r="AJ2892" s="13" t="str">
        <f>VLOOKUP(E2892,Precios!Z$2:AA$941,2,FALSE)</f>
        <v>Papel Higienico ELITE 50 metros</v>
      </c>
      <c r="AK2892" s="14">
        <f>VLOOKUP(E2892,Precios!Z$2:BB$941,3,FALSE)*F2892</f>
        <v>-3</v>
      </c>
      <c r="AL2892" s="17"/>
      <c r="AM2892" s="17"/>
      <c r="AN2892" s="17"/>
      <c r="AO2892" s="17"/>
      <c r="AP2892" s="17"/>
      <c r="AQ2892" s="17"/>
      <c r="AR2892" s="17"/>
      <c r="AS2892" s="17"/>
      <c r="AT2892" s="17"/>
      <c r="AU2892" s="17"/>
      <c r="AV2892" s="17"/>
    </row>
    <row r="2893" spans="1:48" ht="15.75" customHeight="1">
      <c r="A2893" s="21" t="s">
        <v>47</v>
      </c>
      <c r="B2893" s="23" t="s">
        <v>1692</v>
      </c>
      <c r="C2893" s="22">
        <v>45715</v>
      </c>
      <c r="D2893" s="23" t="s">
        <v>915</v>
      </c>
      <c r="E2893" s="23" t="s">
        <v>182</v>
      </c>
      <c r="F2893" s="21">
        <v>1</v>
      </c>
      <c r="G2893" s="12">
        <v>1599.9189101524487</v>
      </c>
      <c r="H2893" s="34">
        <v>1599.9189101524487</v>
      </c>
      <c r="I2893" s="23" t="s">
        <v>52</v>
      </c>
      <c r="J2893" s="23" t="s">
        <v>61</v>
      </c>
      <c r="K2893" s="24" t="s">
        <v>177</v>
      </c>
      <c r="L2893" s="24">
        <v>107</v>
      </c>
      <c r="M2893" s="12">
        <v>1344.4696723970158</v>
      </c>
      <c r="N2893" s="12">
        <v>1344.4696723970158</v>
      </c>
      <c r="O2893" s="12">
        <v>255.44923775543293</v>
      </c>
      <c r="P2893" s="13"/>
      <c r="Q2893" s="14">
        <v>2025</v>
      </c>
      <c r="R2893" s="15">
        <v>45323</v>
      </c>
      <c r="S2893" s="11" t="s">
        <v>620</v>
      </c>
      <c r="T2893" s="16">
        <v>0</v>
      </c>
      <c r="U2893" s="17"/>
      <c r="V2893" s="12">
        <v>515.46967239701576</v>
      </c>
      <c r="W2893" s="12">
        <v>515.46967239701576</v>
      </c>
      <c r="X2893" s="12">
        <v>0</v>
      </c>
      <c r="Y2893" s="18">
        <v>45712</v>
      </c>
      <c r="Z2893" s="13" t="s">
        <v>505</v>
      </c>
      <c r="AA2893" s="19" t="str">
        <f>VLOOKUP(D2893,Clientes!$A$2:$J$486,9,FALSE)</f>
        <v>Regular</v>
      </c>
      <c r="AB2893" s="13" t="str">
        <f>VLOOKUP(D2893,Clientes!$A$2:$K$486,11,FALSE)</f>
        <v>Persona Natural</v>
      </c>
      <c r="AC2893" s="13" t="str">
        <f>VLOOKUP(D2893,Clientes!$A$2:$B$486,2,FALSE)</f>
        <v>Jardin del Eden</v>
      </c>
      <c r="AD2893" s="20"/>
      <c r="AE2893" s="20"/>
      <c r="AF2893" s="13" t="s">
        <v>40</v>
      </c>
      <c r="AG2893" s="15">
        <v>45323</v>
      </c>
      <c r="AH2893" s="13" t="s">
        <v>41</v>
      </c>
      <c r="AI2893" s="13" t="s">
        <v>47</v>
      </c>
      <c r="AJ2893" s="13" t="str">
        <f>VLOOKUP(E2893,Precios!Z$2:AA$941,2,FALSE)</f>
        <v>Aromatizante Cono TEDDY Gel LAVANDA</v>
      </c>
      <c r="AK2893" s="14">
        <f>VLOOKUP(E2893,Precios!Z$2:BB$941,3,FALSE)*F2893</f>
        <v>-1</v>
      </c>
      <c r="AL2893" s="17"/>
      <c r="AM2893" s="17"/>
      <c r="AN2893" s="17"/>
      <c r="AO2893" s="17"/>
      <c r="AP2893" s="17"/>
      <c r="AQ2893" s="17"/>
      <c r="AR2893" s="17"/>
      <c r="AS2893" s="17"/>
      <c r="AT2893" s="17"/>
      <c r="AU2893" s="17"/>
      <c r="AV2893" s="17"/>
    </row>
    <row r="2894" spans="1:48" ht="15.75" customHeight="1">
      <c r="A2894" s="14" t="s">
        <v>43</v>
      </c>
      <c r="B2894" s="23" t="s">
        <v>1692</v>
      </c>
      <c r="C2894" s="22">
        <v>45715</v>
      </c>
      <c r="D2894" s="23" t="s">
        <v>653</v>
      </c>
      <c r="E2894" s="13" t="s">
        <v>45</v>
      </c>
      <c r="F2894" s="21">
        <v>2</v>
      </c>
      <c r="G2894" s="12">
        <v>7499.8368883312432</v>
      </c>
      <c r="H2894" s="12">
        <v>14999.673776662486</v>
      </c>
      <c r="I2894" s="23" t="s">
        <v>52</v>
      </c>
      <c r="J2894" s="23" t="s">
        <v>61</v>
      </c>
      <c r="K2894" s="24" t="s">
        <v>177</v>
      </c>
      <c r="L2894" s="24">
        <v>107</v>
      </c>
      <c r="M2894" s="12">
        <v>6302.383939774154</v>
      </c>
      <c r="N2894" s="12">
        <v>12604.767879548308</v>
      </c>
      <c r="O2894" s="12">
        <v>2394.9058971141785</v>
      </c>
      <c r="P2894" s="13"/>
      <c r="Q2894" s="14">
        <v>2025</v>
      </c>
      <c r="R2894" s="15">
        <v>45323</v>
      </c>
      <c r="S2894" s="11" t="s">
        <v>355</v>
      </c>
      <c r="T2894" s="16">
        <v>0</v>
      </c>
      <c r="U2894" s="17"/>
      <c r="V2894" s="12">
        <v>2558.767879548308</v>
      </c>
      <c r="W2894" s="12">
        <v>2558.767879548308</v>
      </c>
      <c r="X2894" s="12">
        <v>0</v>
      </c>
      <c r="Y2894" s="18">
        <v>45712</v>
      </c>
      <c r="Z2894" s="13" t="s">
        <v>505</v>
      </c>
      <c r="AA2894" s="19" t="str">
        <f>VLOOKUP(D2894,Clientes!$A$2:$J$486,9,FALSE)</f>
        <v>Ocacional</v>
      </c>
      <c r="AB2894" s="13" t="str">
        <f>VLOOKUP(D2894,Clientes!$A$2:$K$486,11,FALSE)</f>
        <v>Persona Natural</v>
      </c>
      <c r="AC2894" s="13" t="str">
        <f>VLOOKUP(D2894,Clientes!$A$2:$B$486,2,FALSE)</f>
        <v>Cumbres de la Viña</v>
      </c>
      <c r="AD2894" s="20"/>
      <c r="AE2894" s="20"/>
      <c r="AF2894" s="13" t="s">
        <v>40</v>
      </c>
      <c r="AG2894" s="15">
        <v>45323</v>
      </c>
      <c r="AH2894" s="13" t="s">
        <v>41</v>
      </c>
      <c r="AI2894" s="13" t="s">
        <v>43</v>
      </c>
      <c r="AJ2894" s="13" t="str">
        <f>VLOOKUP(E2894,Precios!Z$2:AA$941,2,FALSE)</f>
        <v>Bandeja Huevos EXTRA</v>
      </c>
      <c r="AK2894" s="14">
        <f>VLOOKUP(E2894,Precios!Z$2:BB$941,3,FALSE)*F2894</f>
        <v>-2</v>
      </c>
      <c r="AL2894" s="17"/>
      <c r="AM2894" s="17"/>
      <c r="AN2894" s="17"/>
      <c r="AO2894" s="17"/>
      <c r="AP2894" s="17"/>
      <c r="AQ2894" s="17"/>
      <c r="AR2894" s="17"/>
      <c r="AS2894" s="17"/>
      <c r="AT2894" s="17"/>
      <c r="AU2894" s="17"/>
      <c r="AV2894" s="17"/>
    </row>
    <row r="2895" spans="1:48" ht="15.75" customHeight="1">
      <c r="A2895" s="21" t="s">
        <v>35</v>
      </c>
      <c r="B2895" s="23" t="s">
        <v>1692</v>
      </c>
      <c r="C2895" s="22">
        <v>45715</v>
      </c>
      <c r="D2895" s="23" t="s">
        <v>128</v>
      </c>
      <c r="E2895" s="23" t="s">
        <v>37</v>
      </c>
      <c r="F2895" s="14">
        <v>1</v>
      </c>
      <c r="G2895" s="12">
        <v>10500</v>
      </c>
      <c r="H2895" s="12">
        <v>10500</v>
      </c>
      <c r="I2895" s="23" t="s">
        <v>52</v>
      </c>
      <c r="J2895" s="23" t="s">
        <v>61</v>
      </c>
      <c r="K2895" s="24" t="s">
        <v>177</v>
      </c>
      <c r="L2895" s="24">
        <v>107</v>
      </c>
      <c r="M2895" s="12">
        <v>8823.5294117647063</v>
      </c>
      <c r="N2895" s="12">
        <v>8823.5294117647063</v>
      </c>
      <c r="O2895" s="12">
        <v>1676.4705882352937</v>
      </c>
      <c r="P2895" s="13"/>
      <c r="Q2895" s="14">
        <v>2025</v>
      </c>
      <c r="R2895" s="15">
        <v>45323</v>
      </c>
      <c r="S2895" s="11" t="s">
        <v>364</v>
      </c>
      <c r="T2895" s="16">
        <v>1000</v>
      </c>
      <c r="U2895" s="17"/>
      <c r="V2895" s="12">
        <v>2385.7142857142853</v>
      </c>
      <c r="W2895" s="12">
        <v>2385.7142857142853</v>
      </c>
      <c r="X2895" s="12">
        <v>0</v>
      </c>
      <c r="Y2895" s="18">
        <v>45712</v>
      </c>
      <c r="Z2895" s="13" t="s">
        <v>505</v>
      </c>
      <c r="AA2895" s="19" t="str">
        <f>VLOOKUP(D2895,Clientes!$A$2:$J$486,9,FALSE)</f>
        <v>Ocacional</v>
      </c>
      <c r="AB2895" s="13" t="str">
        <f>VLOOKUP(D2895,Clientes!$A$2:$K$486,11,FALSE)</f>
        <v>Persona Natural</v>
      </c>
      <c r="AC2895" s="13" t="str">
        <f>VLOOKUP(D2895,Clientes!$A$2:$B$486,2,FALSE)</f>
        <v>Jardin del Eden</v>
      </c>
      <c r="AD2895" s="20"/>
      <c r="AE2895" s="20"/>
      <c r="AF2895" s="13" t="s">
        <v>40</v>
      </c>
      <c r="AG2895" s="15">
        <v>45323</v>
      </c>
      <c r="AH2895" s="13" t="s">
        <v>41</v>
      </c>
      <c r="AI2895" s="13" t="s">
        <v>35</v>
      </c>
      <c r="AJ2895" s="13" t="str">
        <f>VLOOKUP(E2895,Precios!Z$2:AA$941,2,FALSE)</f>
        <v>Queso RUNCA Mantecoso</v>
      </c>
      <c r="AK2895" s="14">
        <f>VLOOKUP(E2895,Precios!Z$2:BB$941,3,FALSE)*F2895</f>
        <v>-1</v>
      </c>
      <c r="AL2895" s="17"/>
      <c r="AM2895" s="17"/>
      <c r="AN2895" s="17"/>
      <c r="AO2895" s="17"/>
      <c r="AP2895" s="17"/>
      <c r="AQ2895" s="17"/>
      <c r="AR2895" s="17"/>
      <c r="AS2895" s="17"/>
      <c r="AT2895" s="17"/>
      <c r="AU2895" s="17"/>
      <c r="AV2895" s="17"/>
    </row>
    <row r="2896" spans="1:48" ht="15.75" customHeight="1">
      <c r="A2896" s="14" t="s">
        <v>43</v>
      </c>
      <c r="B2896" s="23" t="s">
        <v>1692</v>
      </c>
      <c r="C2896" s="22">
        <v>45715</v>
      </c>
      <c r="D2896" s="23" t="s">
        <v>232</v>
      </c>
      <c r="E2896" s="13" t="s">
        <v>45</v>
      </c>
      <c r="F2896" s="14">
        <v>1</v>
      </c>
      <c r="G2896" s="12">
        <v>7499.8368883312432</v>
      </c>
      <c r="H2896" s="12">
        <v>7499.8368883312432</v>
      </c>
      <c r="I2896" s="23" t="s">
        <v>52</v>
      </c>
      <c r="J2896" s="23" t="s">
        <v>61</v>
      </c>
      <c r="K2896" s="24" t="s">
        <v>177</v>
      </c>
      <c r="L2896" s="24">
        <v>107</v>
      </c>
      <c r="M2896" s="12">
        <v>6302.383939774154</v>
      </c>
      <c r="N2896" s="12">
        <v>6302.383939774154</v>
      </c>
      <c r="O2896" s="12">
        <v>1197.4529485570893</v>
      </c>
      <c r="P2896" s="13"/>
      <c r="Q2896" s="14">
        <v>2025</v>
      </c>
      <c r="R2896" s="15">
        <v>45323</v>
      </c>
      <c r="S2896" s="11" t="s">
        <v>355</v>
      </c>
      <c r="T2896" s="16">
        <v>0</v>
      </c>
      <c r="U2896" s="17"/>
      <c r="V2896" s="12">
        <v>1279.383939774154</v>
      </c>
      <c r="W2896" s="12">
        <v>1279.383939774154</v>
      </c>
      <c r="X2896" s="12">
        <v>0</v>
      </c>
      <c r="Y2896" s="18">
        <v>45712</v>
      </c>
      <c r="Z2896" s="13" t="s">
        <v>505</v>
      </c>
      <c r="AA2896" s="19" t="str">
        <f>VLOOKUP(D2896,Clientes!$A$2:$J$486,9,FALSE)</f>
        <v>Regular</v>
      </c>
      <c r="AB2896" s="13" t="str">
        <f>VLOOKUP(D2896,Clientes!$A$2:$K$486,11,FALSE)</f>
        <v>Persona Natural</v>
      </c>
      <c r="AC2896" s="13" t="str">
        <f>VLOOKUP(D2896,Clientes!$A$2:$B$486,2,FALSE)</f>
        <v>Colegio Antilhue</v>
      </c>
      <c r="AD2896" s="20"/>
      <c r="AE2896" s="20"/>
      <c r="AF2896" s="13" t="s">
        <v>40</v>
      </c>
      <c r="AG2896" s="15">
        <v>45323</v>
      </c>
      <c r="AH2896" s="13" t="s">
        <v>41</v>
      </c>
      <c r="AI2896" s="13" t="s">
        <v>43</v>
      </c>
      <c r="AJ2896" s="13" t="str">
        <f>VLOOKUP(E2896,Precios!Z$2:AA$941,2,FALSE)</f>
        <v>Bandeja Huevos EXTRA</v>
      </c>
      <c r="AK2896" s="14">
        <f>VLOOKUP(E2896,Precios!Z$2:BB$941,3,FALSE)*F2896</f>
        <v>-1</v>
      </c>
      <c r="AL2896" s="17"/>
      <c r="AM2896" s="17"/>
      <c r="AN2896" s="17"/>
      <c r="AO2896" s="17"/>
      <c r="AP2896" s="17"/>
      <c r="AQ2896" s="17"/>
      <c r="AR2896" s="17"/>
      <c r="AS2896" s="17"/>
      <c r="AT2896" s="17"/>
      <c r="AU2896" s="17"/>
      <c r="AV2896" s="17"/>
    </row>
    <row r="2897" spans="1:48" ht="15.75" customHeight="1">
      <c r="A2897" s="21" t="s">
        <v>35</v>
      </c>
      <c r="B2897" s="23" t="s">
        <v>1692</v>
      </c>
      <c r="C2897" s="22">
        <v>45715</v>
      </c>
      <c r="D2897" s="23" t="s">
        <v>232</v>
      </c>
      <c r="E2897" s="23" t="s">
        <v>37</v>
      </c>
      <c r="F2897" s="14">
        <v>1</v>
      </c>
      <c r="G2897" s="12">
        <v>10500</v>
      </c>
      <c r="H2897" s="12">
        <v>10500</v>
      </c>
      <c r="I2897" s="23" t="s">
        <v>52</v>
      </c>
      <c r="J2897" s="23" t="s">
        <v>61</v>
      </c>
      <c r="K2897" s="24" t="s">
        <v>177</v>
      </c>
      <c r="L2897" s="24">
        <v>106</v>
      </c>
      <c r="M2897" s="12">
        <v>8823.5294117647063</v>
      </c>
      <c r="N2897" s="12">
        <v>8823.5294117647063</v>
      </c>
      <c r="O2897" s="12">
        <v>1676.4705882352937</v>
      </c>
      <c r="P2897" s="13"/>
      <c r="Q2897" s="14">
        <v>2025</v>
      </c>
      <c r="R2897" s="15">
        <v>45323</v>
      </c>
      <c r="S2897" s="11" t="s">
        <v>364</v>
      </c>
      <c r="T2897" s="16">
        <v>1000</v>
      </c>
      <c r="U2897" s="17"/>
      <c r="V2897" s="12">
        <v>2385.7142857142853</v>
      </c>
      <c r="W2897" s="12">
        <v>2385.7142857142853</v>
      </c>
      <c r="X2897" s="12">
        <v>0</v>
      </c>
      <c r="Y2897" s="18">
        <v>45712</v>
      </c>
      <c r="Z2897" s="13" t="s">
        <v>505</v>
      </c>
      <c r="AA2897" s="19" t="str">
        <f>VLOOKUP(D2897,Clientes!$A$2:$J$486,9,FALSE)</f>
        <v>Regular</v>
      </c>
      <c r="AB2897" s="13" t="str">
        <f>VLOOKUP(D2897,Clientes!$A$2:$K$486,11,FALSE)</f>
        <v>Persona Natural</v>
      </c>
      <c r="AC2897" s="13" t="str">
        <f>VLOOKUP(D2897,Clientes!$A$2:$B$486,2,FALSE)</f>
        <v>Colegio Antilhue</v>
      </c>
      <c r="AD2897" s="20"/>
      <c r="AE2897" s="20"/>
      <c r="AF2897" s="13" t="s">
        <v>40</v>
      </c>
      <c r="AG2897" s="15">
        <v>45323</v>
      </c>
      <c r="AH2897" s="13" t="s">
        <v>41</v>
      </c>
      <c r="AI2897" s="13" t="s">
        <v>35</v>
      </c>
      <c r="AJ2897" s="13" t="str">
        <f>VLOOKUP(E2897,Precios!Z$2:AA$941,2,FALSE)</f>
        <v>Queso RUNCA Mantecoso</v>
      </c>
      <c r="AK2897" s="14">
        <f>VLOOKUP(E2897,Precios!Z$2:BB$941,3,FALSE)*F2897</f>
        <v>-1</v>
      </c>
      <c r="AL2897" s="17"/>
      <c r="AM2897" s="17"/>
      <c r="AN2897" s="17"/>
      <c r="AO2897" s="17"/>
      <c r="AP2897" s="17"/>
      <c r="AQ2897" s="17"/>
      <c r="AR2897" s="17"/>
      <c r="AS2897" s="17"/>
      <c r="AT2897" s="17"/>
      <c r="AU2897" s="17"/>
      <c r="AV2897" s="17"/>
    </row>
    <row r="2898" spans="1:48" ht="15.75" customHeight="1">
      <c r="A2898" s="21" t="s">
        <v>43</v>
      </c>
      <c r="B2898" s="23" t="s">
        <v>1692</v>
      </c>
      <c r="C2898" s="25">
        <v>45714</v>
      </c>
      <c r="D2898" s="23" t="s">
        <v>108</v>
      </c>
      <c r="E2898" s="23" t="s">
        <v>45</v>
      </c>
      <c r="F2898" s="14">
        <v>1</v>
      </c>
      <c r="G2898" s="12">
        <v>7499.8368883312432</v>
      </c>
      <c r="H2898" s="12">
        <v>7499.8368883312432</v>
      </c>
      <c r="I2898" s="23" t="s">
        <v>52</v>
      </c>
      <c r="J2898" s="23" t="s">
        <v>61</v>
      </c>
      <c r="K2898" s="24" t="s">
        <v>177</v>
      </c>
      <c r="L2898" s="24">
        <v>107</v>
      </c>
      <c r="M2898" s="12">
        <v>6302.383939774154</v>
      </c>
      <c r="N2898" s="12">
        <v>6302.383939774154</v>
      </c>
      <c r="O2898" s="12">
        <v>1197.4529485570893</v>
      </c>
      <c r="P2898" s="13"/>
      <c r="Q2898" s="14">
        <v>2025</v>
      </c>
      <c r="R2898" s="15">
        <v>45323</v>
      </c>
      <c r="S2898" s="11" t="s">
        <v>355</v>
      </c>
      <c r="T2898" s="16">
        <v>0</v>
      </c>
      <c r="U2898" s="17"/>
      <c r="V2898" s="12">
        <v>1279.383939774154</v>
      </c>
      <c r="W2898" s="12">
        <v>1279.383939774154</v>
      </c>
      <c r="X2898" s="12">
        <v>0</v>
      </c>
      <c r="Y2898" s="18">
        <v>45712</v>
      </c>
      <c r="Z2898" s="13" t="s">
        <v>515</v>
      </c>
      <c r="AA2898" s="19" t="str">
        <f>VLOOKUP(D2898,Clientes!$A$2:$J$486,9,FALSE)</f>
        <v>Frecuente</v>
      </c>
      <c r="AB2898" s="13" t="str">
        <f>VLOOKUP(D2898,Clientes!$A$2:$K$486,11,FALSE)</f>
        <v>Persona Natural</v>
      </c>
      <c r="AC2898" s="13" t="str">
        <f>VLOOKUP(D2898,Clientes!$A$2:$B$486,2,FALSE)</f>
        <v>Jardines de la Viña</v>
      </c>
      <c r="AD2898" s="20"/>
      <c r="AE2898" s="20"/>
      <c r="AF2898" s="13" t="s">
        <v>40</v>
      </c>
      <c r="AG2898" s="15">
        <v>45323</v>
      </c>
      <c r="AH2898" s="13" t="s">
        <v>41</v>
      </c>
      <c r="AI2898" s="13" t="s">
        <v>43</v>
      </c>
      <c r="AJ2898" s="13" t="str">
        <f>VLOOKUP(E2898,Precios!Z$2:AA$941,2,FALSE)</f>
        <v>Bandeja Huevos EXTRA</v>
      </c>
      <c r="AK2898" s="14">
        <f>VLOOKUP(E2898,Precios!Z$2:BB$941,3,FALSE)*F2898</f>
        <v>-1</v>
      </c>
      <c r="AL2898" s="17"/>
      <c r="AM2898" s="17"/>
      <c r="AN2898" s="17"/>
      <c r="AO2898" s="17"/>
      <c r="AP2898" s="17"/>
      <c r="AQ2898" s="17"/>
      <c r="AR2898" s="17"/>
      <c r="AS2898" s="17"/>
      <c r="AT2898" s="17"/>
      <c r="AU2898" s="17"/>
      <c r="AV2898" s="17"/>
    </row>
    <row r="2899" spans="1:48" ht="15.75" customHeight="1">
      <c r="A2899" s="21" t="s">
        <v>76</v>
      </c>
      <c r="B2899" s="23" t="s">
        <v>1692</v>
      </c>
      <c r="C2899" s="25">
        <v>45714</v>
      </c>
      <c r="D2899" s="23" t="s">
        <v>152</v>
      </c>
      <c r="E2899" s="23" t="s">
        <v>81</v>
      </c>
      <c r="F2899" s="14">
        <v>1</v>
      </c>
      <c r="G2899" s="12">
        <v>3500.0000000000005</v>
      </c>
      <c r="H2899" s="12">
        <v>3500.0000000000005</v>
      </c>
      <c r="I2899" s="23" t="s">
        <v>52</v>
      </c>
      <c r="J2899" s="23" t="s">
        <v>61</v>
      </c>
      <c r="K2899" s="24" t="s">
        <v>177</v>
      </c>
      <c r="L2899" s="24">
        <v>107</v>
      </c>
      <c r="M2899" s="12">
        <v>2941.1764705882356</v>
      </c>
      <c r="N2899" s="12">
        <v>2941.1764705882356</v>
      </c>
      <c r="O2899" s="12">
        <v>558.82352941176487</v>
      </c>
      <c r="P2899" s="13"/>
      <c r="Q2899" s="14">
        <v>2025</v>
      </c>
      <c r="R2899" s="15">
        <v>45323</v>
      </c>
      <c r="S2899" s="11" t="s">
        <v>397</v>
      </c>
      <c r="T2899" s="16">
        <v>5</v>
      </c>
      <c r="U2899" s="17"/>
      <c r="V2899" s="12">
        <v>764.70588235294144</v>
      </c>
      <c r="W2899" s="12">
        <v>764.70588235294144</v>
      </c>
      <c r="X2899" s="12">
        <v>0</v>
      </c>
      <c r="Y2899" s="18">
        <v>45712</v>
      </c>
      <c r="Z2899" s="13" t="s">
        <v>515</v>
      </c>
      <c r="AA2899" s="19" t="str">
        <f>VLOOKUP(D2899,Clientes!$A$2:$J$486,9,FALSE)</f>
        <v>Ocacional</v>
      </c>
      <c r="AB2899" s="13" t="str">
        <f>VLOOKUP(D2899,Clientes!$A$2:$K$486,11,FALSE)</f>
        <v>Persona Natural</v>
      </c>
      <c r="AC2899" s="13" t="str">
        <f>VLOOKUP(D2899,Clientes!$A$2:$B$486,2,FALSE)</f>
        <v>Jardines de la viña</v>
      </c>
      <c r="AD2899" s="20"/>
      <c r="AE2899" s="20"/>
      <c r="AF2899" s="13" t="s">
        <v>40</v>
      </c>
      <c r="AG2899" s="15">
        <v>45323</v>
      </c>
      <c r="AH2899" s="13" t="s">
        <v>41</v>
      </c>
      <c r="AI2899" s="13" t="s">
        <v>76</v>
      </c>
      <c r="AJ2899" s="13" t="str">
        <f>VLOOKUP(E2899,Precios!Z$2:AA$941,2,FALSE)</f>
        <v>Detergente SPUM 5 Litros (Verde)</v>
      </c>
      <c r="AK2899" s="14">
        <f>VLOOKUP(E2899,Precios!Z$2:BB$941,3,FALSE)*F2899</f>
        <v>-1</v>
      </c>
      <c r="AL2899" s="17"/>
      <c r="AM2899" s="17"/>
      <c r="AN2899" s="17"/>
      <c r="AO2899" s="17"/>
      <c r="AP2899" s="17"/>
      <c r="AQ2899" s="17"/>
      <c r="AR2899" s="17"/>
      <c r="AS2899" s="17"/>
      <c r="AT2899" s="17"/>
      <c r="AU2899" s="17"/>
      <c r="AV2899" s="17"/>
    </row>
    <row r="2900" spans="1:48" ht="15.75" customHeight="1">
      <c r="A2900" s="21" t="s">
        <v>47</v>
      </c>
      <c r="B2900" s="23" t="s">
        <v>1692</v>
      </c>
      <c r="C2900" s="25">
        <v>45714</v>
      </c>
      <c r="D2900" s="23" t="s">
        <v>80</v>
      </c>
      <c r="E2900" s="23" t="s">
        <v>344</v>
      </c>
      <c r="F2900" s="14">
        <v>1</v>
      </c>
      <c r="G2900" s="12">
        <v>2400.1353637901861</v>
      </c>
      <c r="H2900" s="12">
        <v>2400.1353637901861</v>
      </c>
      <c r="I2900" s="23" t="s">
        <v>52</v>
      </c>
      <c r="J2900" s="23" t="s">
        <v>61</v>
      </c>
      <c r="K2900" s="24" t="s">
        <v>177</v>
      </c>
      <c r="L2900" s="24">
        <v>107</v>
      </c>
      <c r="M2900" s="12">
        <v>2016.9204737732657</v>
      </c>
      <c r="N2900" s="12">
        <v>2016.9204737732657</v>
      </c>
      <c r="O2900" s="12">
        <v>383.21489001692044</v>
      </c>
      <c r="P2900" s="13"/>
      <c r="Q2900" s="14">
        <v>2025</v>
      </c>
      <c r="R2900" s="15">
        <v>45323</v>
      </c>
      <c r="S2900" s="11" t="s">
        <v>372</v>
      </c>
      <c r="T2900" s="16">
        <v>0</v>
      </c>
      <c r="U2900" s="17"/>
      <c r="V2900" s="12">
        <v>824.92047377326571</v>
      </c>
      <c r="W2900" s="12">
        <v>824.92047377326571</v>
      </c>
      <c r="X2900" s="12">
        <v>0</v>
      </c>
      <c r="Y2900" s="18">
        <v>45712</v>
      </c>
      <c r="Z2900" s="13" t="s">
        <v>515</v>
      </c>
      <c r="AA2900" s="19" t="str">
        <f>VLOOKUP(D2900,Clientes!$A$2:$J$486,9,FALSE)</f>
        <v>Frecuente</v>
      </c>
      <c r="AB2900" s="13" t="str">
        <f>VLOOKUP(D2900,Clientes!$A$2:$K$486,11,FALSE)</f>
        <v>Persona Natural</v>
      </c>
      <c r="AC2900" s="13" t="str">
        <f>VLOOKUP(D2900,Clientes!$A$2:$B$486,2,FALSE)</f>
        <v>Jardines de la Viña</v>
      </c>
      <c r="AD2900" s="20"/>
      <c r="AE2900" s="20"/>
      <c r="AF2900" s="13" t="s">
        <v>40</v>
      </c>
      <c r="AG2900" s="15">
        <v>45323</v>
      </c>
      <c r="AH2900" s="13" t="s">
        <v>41</v>
      </c>
      <c r="AI2900" s="13" t="s">
        <v>47</v>
      </c>
      <c r="AJ2900" s="13" t="str">
        <f>VLOOKUP(E2900,Precios!Z$2:AA$941,2,FALSE)</f>
        <v>Traperos Humedos TEDDY</v>
      </c>
      <c r="AK2900" s="14">
        <f>VLOOKUP(E2900,Precios!Z$2:BB$941,3,FALSE)*F2900</f>
        <v>-1</v>
      </c>
      <c r="AL2900" s="17"/>
      <c r="AM2900" s="17"/>
      <c r="AN2900" s="17"/>
      <c r="AO2900" s="17"/>
      <c r="AP2900" s="17"/>
      <c r="AQ2900" s="17"/>
      <c r="AR2900" s="17"/>
      <c r="AS2900" s="17"/>
      <c r="AT2900" s="17"/>
      <c r="AU2900" s="17"/>
      <c r="AV2900" s="17"/>
    </row>
    <row r="2901" spans="1:48" ht="15.75" customHeight="1">
      <c r="A2901" s="21" t="s">
        <v>76</v>
      </c>
      <c r="B2901" s="23" t="s">
        <v>1692</v>
      </c>
      <c r="C2901" s="25">
        <v>45714</v>
      </c>
      <c r="D2901" s="23" t="s">
        <v>80</v>
      </c>
      <c r="E2901" s="23" t="s">
        <v>82</v>
      </c>
      <c r="F2901" s="14">
        <v>1</v>
      </c>
      <c r="G2901" s="12">
        <v>2000.0000000000002</v>
      </c>
      <c r="H2901" s="12">
        <v>2000.0000000000002</v>
      </c>
      <c r="I2901" s="23" t="s">
        <v>52</v>
      </c>
      <c r="J2901" s="23" t="s">
        <v>61</v>
      </c>
      <c r="K2901" s="24" t="s">
        <v>177</v>
      </c>
      <c r="L2901" s="24">
        <v>107</v>
      </c>
      <c r="M2901" s="12">
        <v>1680.6722689075632</v>
      </c>
      <c r="N2901" s="12">
        <v>1680.6722689075632</v>
      </c>
      <c r="O2901" s="12">
        <v>319.32773109243703</v>
      </c>
      <c r="P2901" s="13"/>
      <c r="Q2901" s="14">
        <v>2025</v>
      </c>
      <c r="R2901" s="15">
        <v>45323</v>
      </c>
      <c r="S2901" s="11" t="s">
        <v>463</v>
      </c>
      <c r="T2901" s="16">
        <v>5</v>
      </c>
      <c r="U2901" s="17"/>
      <c r="V2901" s="12">
        <v>680.67226890756319</v>
      </c>
      <c r="W2901" s="12">
        <v>680.67226890756319</v>
      </c>
      <c r="X2901" s="12">
        <v>0</v>
      </c>
      <c r="Y2901" s="18">
        <v>45712</v>
      </c>
      <c r="Z2901" s="13" t="s">
        <v>515</v>
      </c>
      <c r="AA2901" s="19" t="str">
        <f>VLOOKUP(D2901,Clientes!$A$2:$J$486,9,FALSE)</f>
        <v>Frecuente</v>
      </c>
      <c r="AB2901" s="13" t="str">
        <f>VLOOKUP(D2901,Clientes!$A$2:$K$486,11,FALSE)</f>
        <v>Persona Natural</v>
      </c>
      <c r="AC2901" s="13" t="str">
        <f>VLOOKUP(D2901,Clientes!$A$2:$B$486,2,FALSE)</f>
        <v>Jardines de la Viña</v>
      </c>
      <c r="AD2901" s="20"/>
      <c r="AE2901" s="20"/>
      <c r="AF2901" s="13" t="s">
        <v>40</v>
      </c>
      <c r="AG2901" s="15">
        <v>45323</v>
      </c>
      <c r="AH2901" s="13" t="s">
        <v>41</v>
      </c>
      <c r="AI2901" s="13" t="s">
        <v>76</v>
      </c>
      <c r="AJ2901" s="13" t="str">
        <f>VLOOKUP(E2901,Precios!Z$2:AA$941,2,FALSE)</f>
        <v>Limpiapiso SPUM 5 Litros</v>
      </c>
      <c r="AK2901" s="14">
        <f>VLOOKUP(E2901,Precios!Z$2:BB$941,3,FALSE)*F2901</f>
        <v>-1</v>
      </c>
      <c r="AL2901" s="17"/>
      <c r="AM2901" s="17"/>
      <c r="AN2901" s="17"/>
      <c r="AO2901" s="17"/>
      <c r="AP2901" s="17"/>
      <c r="AQ2901" s="17"/>
      <c r="AR2901" s="17"/>
      <c r="AS2901" s="17"/>
      <c r="AT2901" s="17"/>
      <c r="AU2901" s="17"/>
      <c r="AV2901" s="17"/>
    </row>
    <row r="2902" spans="1:48" ht="15.75" customHeight="1">
      <c r="A2902" s="21" t="s">
        <v>43</v>
      </c>
      <c r="B2902" s="23" t="s">
        <v>1692</v>
      </c>
      <c r="C2902" s="25">
        <v>45714</v>
      </c>
      <c r="D2902" s="23" t="s">
        <v>120</v>
      </c>
      <c r="E2902" s="23" t="s">
        <v>45</v>
      </c>
      <c r="F2902" s="14">
        <v>1</v>
      </c>
      <c r="G2902" s="12">
        <v>7499.8368883312432</v>
      </c>
      <c r="H2902" s="12">
        <v>7499.8368883312432</v>
      </c>
      <c r="I2902" s="23" t="s">
        <v>52</v>
      </c>
      <c r="J2902" s="23" t="s">
        <v>61</v>
      </c>
      <c r="K2902" s="24" t="s">
        <v>177</v>
      </c>
      <c r="L2902" s="24">
        <v>107</v>
      </c>
      <c r="M2902" s="12">
        <v>6302.383939774154</v>
      </c>
      <c r="N2902" s="12">
        <v>6302.383939774154</v>
      </c>
      <c r="O2902" s="12">
        <v>1197.4529485570893</v>
      </c>
      <c r="P2902" s="13"/>
      <c r="Q2902" s="14">
        <v>2025</v>
      </c>
      <c r="R2902" s="15">
        <v>45323</v>
      </c>
      <c r="S2902" s="11" t="s">
        <v>355</v>
      </c>
      <c r="T2902" s="16">
        <v>0</v>
      </c>
      <c r="U2902" s="17"/>
      <c r="V2902" s="12">
        <v>1279.383939774154</v>
      </c>
      <c r="W2902" s="12">
        <v>1279.383939774154</v>
      </c>
      <c r="X2902" s="12">
        <v>0</v>
      </c>
      <c r="Y2902" s="18">
        <v>45712</v>
      </c>
      <c r="Z2902" s="13" t="s">
        <v>515</v>
      </c>
      <c r="AA2902" s="19" t="str">
        <f>VLOOKUP(D2902,Clientes!$A$2:$J$486,9,FALSE)</f>
        <v>Ocacional</v>
      </c>
      <c r="AB2902" s="13" t="str">
        <f>VLOOKUP(D2902,Clientes!$A$2:$K$486,11,FALSE)</f>
        <v>Persona Natural</v>
      </c>
      <c r="AC2902" s="13" t="str">
        <f>VLOOKUP(D2902,Clientes!$A$2:$B$486,2,FALSE)</f>
        <v>Jardines de la viña</v>
      </c>
      <c r="AD2902" s="20"/>
      <c r="AE2902" s="20"/>
      <c r="AF2902" s="13" t="s">
        <v>40</v>
      </c>
      <c r="AG2902" s="15">
        <v>45323</v>
      </c>
      <c r="AH2902" s="13" t="s">
        <v>41</v>
      </c>
      <c r="AI2902" s="13" t="s">
        <v>43</v>
      </c>
      <c r="AJ2902" s="13" t="str">
        <f>VLOOKUP(E2902,Precios!Z$2:AA$941,2,FALSE)</f>
        <v>Bandeja Huevos EXTRA</v>
      </c>
      <c r="AK2902" s="14">
        <f>VLOOKUP(E2902,Precios!Z$2:BB$941,3,FALSE)*F2902</f>
        <v>-1</v>
      </c>
      <c r="AL2902" s="17"/>
      <c r="AM2902" s="17"/>
      <c r="AN2902" s="17"/>
      <c r="AO2902" s="17"/>
      <c r="AP2902" s="17"/>
      <c r="AQ2902" s="17"/>
      <c r="AR2902" s="17"/>
      <c r="AS2902" s="17"/>
      <c r="AT2902" s="17"/>
      <c r="AU2902" s="17"/>
      <c r="AV2902" s="17"/>
    </row>
    <row r="2903" spans="1:48" ht="15.75" customHeight="1">
      <c r="A2903" s="21" t="s">
        <v>76</v>
      </c>
      <c r="B2903" s="23" t="s">
        <v>1692</v>
      </c>
      <c r="C2903" s="25">
        <v>45714</v>
      </c>
      <c r="D2903" s="23" t="s">
        <v>172</v>
      </c>
      <c r="E2903" s="23" t="s">
        <v>137</v>
      </c>
      <c r="F2903" s="21">
        <v>4</v>
      </c>
      <c r="G2903" s="12">
        <v>3500.0000000000005</v>
      </c>
      <c r="H2903" s="12">
        <v>14000.000000000002</v>
      </c>
      <c r="I2903" s="23" t="s">
        <v>52</v>
      </c>
      <c r="J2903" s="23" t="s">
        <v>61</v>
      </c>
      <c r="K2903" s="24" t="s">
        <v>177</v>
      </c>
      <c r="L2903" s="24">
        <v>107</v>
      </c>
      <c r="M2903" s="12">
        <v>2941.1764705882356</v>
      </c>
      <c r="N2903" s="12">
        <v>11764.705882352942</v>
      </c>
      <c r="O2903" s="12">
        <v>2235.2941176470595</v>
      </c>
      <c r="P2903" s="13"/>
      <c r="Q2903" s="14">
        <v>2025</v>
      </c>
      <c r="R2903" s="15">
        <v>45323</v>
      </c>
      <c r="S2903" s="11" t="s">
        <v>406</v>
      </c>
      <c r="T2903" s="16">
        <v>20</v>
      </c>
      <c r="U2903" s="17"/>
      <c r="V2903" s="12">
        <v>3394.9579831932788</v>
      </c>
      <c r="W2903" s="12">
        <v>3394.9579831932788</v>
      </c>
      <c r="X2903" s="12">
        <v>0</v>
      </c>
      <c r="Y2903" s="18">
        <v>45712</v>
      </c>
      <c r="Z2903" s="13" t="s">
        <v>515</v>
      </c>
      <c r="AA2903" s="19" t="str">
        <f>VLOOKUP(D2903,Clientes!$A$2:$J$486,9,FALSE)</f>
        <v>Frecuente</v>
      </c>
      <c r="AB2903" s="13" t="str">
        <f>VLOOKUP(D2903,Clientes!$A$2:$K$486,11,FALSE)</f>
        <v>Persona Natural</v>
      </c>
      <c r="AC2903" s="13" t="str">
        <f>VLOOKUP(D2903,Clientes!$A$2:$B$486,2,FALSE)</f>
        <v>Jardin del Eden</v>
      </c>
      <c r="AD2903" s="20"/>
      <c r="AE2903" s="20"/>
      <c r="AF2903" s="13" t="s">
        <v>40</v>
      </c>
      <c r="AG2903" s="15">
        <v>45323</v>
      </c>
      <c r="AH2903" s="13" t="s">
        <v>41</v>
      </c>
      <c r="AI2903" s="13" t="s">
        <v>76</v>
      </c>
      <c r="AJ2903" s="13" t="str">
        <f>VLOOKUP(E2903,Precios!Z$2:AA$941,2,FALSE)</f>
        <v>Detergente SPUM 5 Litros (Blanco)</v>
      </c>
      <c r="AK2903" s="14">
        <f>VLOOKUP(E2903,Precios!Z$2:BB$941,3,FALSE)*F2903</f>
        <v>-4</v>
      </c>
      <c r="AL2903" s="17"/>
      <c r="AM2903" s="17"/>
      <c r="AN2903" s="17"/>
      <c r="AO2903" s="17"/>
      <c r="AP2903" s="17"/>
      <c r="AQ2903" s="17"/>
      <c r="AR2903" s="17"/>
      <c r="AS2903" s="17"/>
      <c r="AT2903" s="17"/>
      <c r="AU2903" s="17"/>
      <c r="AV2903" s="17"/>
    </row>
    <row r="2904" spans="1:48" ht="15.75" customHeight="1">
      <c r="A2904" s="21" t="s">
        <v>76</v>
      </c>
      <c r="B2904" s="23" t="s">
        <v>1692</v>
      </c>
      <c r="C2904" s="25">
        <v>45714</v>
      </c>
      <c r="D2904" s="23" t="s">
        <v>172</v>
      </c>
      <c r="E2904" s="23" t="s">
        <v>212</v>
      </c>
      <c r="F2904" s="21">
        <v>1</v>
      </c>
      <c r="G2904" s="12">
        <v>3000.0000000000005</v>
      </c>
      <c r="H2904" s="12">
        <v>3000.0000000000005</v>
      </c>
      <c r="I2904" s="23" t="s">
        <v>52</v>
      </c>
      <c r="J2904" s="23" t="s">
        <v>61</v>
      </c>
      <c r="K2904" s="24" t="s">
        <v>177</v>
      </c>
      <c r="L2904" s="24">
        <v>107</v>
      </c>
      <c r="M2904" s="12">
        <v>2521.0084033613452</v>
      </c>
      <c r="N2904" s="12">
        <v>2521.0084033613452</v>
      </c>
      <c r="O2904" s="12">
        <v>478.99159663865521</v>
      </c>
      <c r="P2904" s="13"/>
      <c r="Q2904" s="14">
        <v>2025</v>
      </c>
      <c r="R2904" s="15">
        <v>45323</v>
      </c>
      <c r="S2904" s="11" t="s">
        <v>446</v>
      </c>
      <c r="T2904" s="16">
        <v>5</v>
      </c>
      <c r="U2904" s="17"/>
      <c r="V2904" s="12">
        <v>764.70588235294144</v>
      </c>
      <c r="W2904" s="12">
        <v>764.70588235294144</v>
      </c>
      <c r="X2904" s="12">
        <v>0</v>
      </c>
      <c r="Y2904" s="18">
        <v>45712</v>
      </c>
      <c r="Z2904" s="13" t="s">
        <v>515</v>
      </c>
      <c r="AA2904" s="19" t="str">
        <f>VLOOKUP(D2904,Clientes!$A$2:$J$486,9,FALSE)</f>
        <v>Frecuente</v>
      </c>
      <c r="AB2904" s="13" t="str">
        <f>VLOOKUP(D2904,Clientes!$A$2:$K$486,11,FALSE)</f>
        <v>Persona Natural</v>
      </c>
      <c r="AC2904" s="13" t="str">
        <f>VLOOKUP(D2904,Clientes!$A$2:$B$486,2,FALSE)</f>
        <v>Jardin del Eden</v>
      </c>
      <c r="AD2904" s="20"/>
      <c r="AE2904" s="20"/>
      <c r="AF2904" s="13" t="s">
        <v>40</v>
      </c>
      <c r="AG2904" s="15">
        <v>45323</v>
      </c>
      <c r="AH2904" s="13" t="s">
        <v>41</v>
      </c>
      <c r="AI2904" s="13" t="s">
        <v>76</v>
      </c>
      <c r="AJ2904" s="13" t="str">
        <f>VLOOKUP(E2904,Precios!Z$2:AA$941,2,FALSE)</f>
        <v>Suavizante SPUM 5 Litros</v>
      </c>
      <c r="AK2904" s="14">
        <f>VLOOKUP(E2904,Precios!Z$2:BB$941,3,FALSE)*F2904</f>
        <v>-1</v>
      </c>
      <c r="AL2904" s="17"/>
      <c r="AM2904" s="17"/>
      <c r="AN2904" s="17"/>
      <c r="AO2904" s="17"/>
      <c r="AP2904" s="17"/>
      <c r="AQ2904" s="17"/>
      <c r="AR2904" s="17"/>
      <c r="AS2904" s="17"/>
      <c r="AT2904" s="17"/>
      <c r="AU2904" s="17"/>
      <c r="AV2904" s="17"/>
    </row>
    <row r="2905" spans="1:48" ht="15.75" customHeight="1">
      <c r="A2905" s="21" t="s">
        <v>76</v>
      </c>
      <c r="B2905" s="23" t="s">
        <v>1692</v>
      </c>
      <c r="C2905" s="25">
        <v>45714</v>
      </c>
      <c r="D2905" s="23" t="s">
        <v>172</v>
      </c>
      <c r="E2905" s="23" t="s">
        <v>110</v>
      </c>
      <c r="F2905" s="21">
        <v>1</v>
      </c>
      <c r="G2905" s="12">
        <v>2000.0000000000005</v>
      </c>
      <c r="H2905" s="12">
        <v>2000.0000000000005</v>
      </c>
      <c r="I2905" s="23" t="s">
        <v>52</v>
      </c>
      <c r="J2905" s="23" t="s">
        <v>61</v>
      </c>
      <c r="K2905" s="24" t="s">
        <v>177</v>
      </c>
      <c r="L2905" s="24">
        <v>107</v>
      </c>
      <c r="M2905" s="12">
        <v>1680.6722689075634</v>
      </c>
      <c r="N2905" s="12">
        <v>1680.6722689075634</v>
      </c>
      <c r="O2905" s="12">
        <v>319.32773109243703</v>
      </c>
      <c r="P2905" s="13"/>
      <c r="Q2905" s="14">
        <v>2025</v>
      </c>
      <c r="R2905" s="15">
        <v>45323</v>
      </c>
      <c r="S2905" s="11" t="s">
        <v>378</v>
      </c>
      <c r="T2905" s="16">
        <v>5</v>
      </c>
      <c r="U2905" s="17"/>
      <c r="V2905" s="12">
        <v>756.30252100840369</v>
      </c>
      <c r="W2905" s="12">
        <v>756.30252100840369</v>
      </c>
      <c r="X2905" s="12">
        <v>0</v>
      </c>
      <c r="Y2905" s="18">
        <v>45712</v>
      </c>
      <c r="Z2905" s="13" t="s">
        <v>515</v>
      </c>
      <c r="AA2905" s="19" t="str">
        <f>VLOOKUP(D2905,Clientes!$A$2:$J$486,9,FALSE)</f>
        <v>Frecuente</v>
      </c>
      <c r="AB2905" s="13" t="str">
        <f>VLOOKUP(D2905,Clientes!$A$2:$K$486,11,FALSE)</f>
        <v>Persona Natural</v>
      </c>
      <c r="AC2905" s="13" t="str">
        <f>VLOOKUP(D2905,Clientes!$A$2:$B$486,2,FALSE)</f>
        <v>Jardin del Eden</v>
      </c>
      <c r="AD2905" s="20"/>
      <c r="AE2905" s="20"/>
      <c r="AF2905" s="13" t="s">
        <v>40</v>
      </c>
      <c r="AG2905" s="15">
        <v>45323</v>
      </c>
      <c r="AH2905" s="13" t="s">
        <v>41</v>
      </c>
      <c r="AI2905" s="13" t="s">
        <v>76</v>
      </c>
      <c r="AJ2905" s="13" t="str">
        <f>VLOOKUP(E2905,Precios!Z$2:AA$941,2,FALSE)</f>
        <v>Cloro SPUM 5 Litros</v>
      </c>
      <c r="AK2905" s="14">
        <f>VLOOKUP(E2905,Precios!Z$2:BB$941,3,FALSE)*F2905</f>
        <v>-1</v>
      </c>
      <c r="AL2905" s="17"/>
      <c r="AM2905" s="17"/>
      <c r="AN2905" s="17"/>
      <c r="AO2905" s="17"/>
      <c r="AP2905" s="17"/>
      <c r="AQ2905" s="17"/>
      <c r="AR2905" s="17"/>
      <c r="AS2905" s="17"/>
      <c r="AT2905" s="17"/>
      <c r="AU2905" s="17"/>
      <c r="AV2905" s="17"/>
    </row>
    <row r="2906" spans="1:48" ht="15.75" customHeight="1">
      <c r="A2906" s="21" t="s">
        <v>76</v>
      </c>
      <c r="B2906" s="23" t="s">
        <v>1692</v>
      </c>
      <c r="C2906" s="25">
        <v>45714</v>
      </c>
      <c r="D2906" s="23" t="s">
        <v>172</v>
      </c>
      <c r="E2906" s="23" t="s">
        <v>337</v>
      </c>
      <c r="F2906" s="21">
        <v>2</v>
      </c>
      <c r="G2906" s="12">
        <v>1599.9448225124147</v>
      </c>
      <c r="H2906" s="12">
        <v>3199.8896450248294</v>
      </c>
      <c r="I2906" s="23" t="s">
        <v>52</v>
      </c>
      <c r="J2906" s="23" t="s">
        <v>61</v>
      </c>
      <c r="K2906" s="24" t="s">
        <v>177</v>
      </c>
      <c r="L2906" s="24">
        <v>107</v>
      </c>
      <c r="M2906" s="12">
        <v>1344.4914474894242</v>
      </c>
      <c r="N2906" s="12">
        <v>2688.9828949788484</v>
      </c>
      <c r="O2906" s="12">
        <v>510.90675004598097</v>
      </c>
      <c r="P2906" s="13"/>
      <c r="Q2906" s="14">
        <v>2025</v>
      </c>
      <c r="R2906" s="15">
        <v>45323</v>
      </c>
      <c r="S2906" s="11" t="s">
        <v>529</v>
      </c>
      <c r="T2906" s="16">
        <v>0</v>
      </c>
      <c r="U2906" s="17"/>
      <c r="V2906" s="12">
        <v>1226.9828949788484</v>
      </c>
      <c r="W2906" s="12">
        <v>1226.9828949788484</v>
      </c>
      <c r="X2906" s="12">
        <v>0</v>
      </c>
      <c r="Y2906" s="18">
        <v>45712</v>
      </c>
      <c r="Z2906" s="13" t="s">
        <v>515</v>
      </c>
      <c r="AA2906" s="19" t="str">
        <f>VLOOKUP(D2906,Clientes!$A$2:$J$486,9,FALSE)</f>
        <v>Frecuente</v>
      </c>
      <c r="AB2906" s="13" t="str">
        <f>VLOOKUP(D2906,Clientes!$A$2:$K$486,11,FALSE)</f>
        <v>Persona Natural</v>
      </c>
      <c r="AC2906" s="13" t="str">
        <f>VLOOKUP(D2906,Clientes!$A$2:$B$486,2,FALSE)</f>
        <v>Jardin del Eden</v>
      </c>
      <c r="AD2906" s="20"/>
      <c r="AE2906" s="20"/>
      <c r="AF2906" s="13" t="s">
        <v>40</v>
      </c>
      <c r="AG2906" s="15">
        <v>45323</v>
      </c>
      <c r="AH2906" s="13" t="s">
        <v>41</v>
      </c>
      <c r="AI2906" s="13" t="s">
        <v>76</v>
      </c>
      <c r="AJ2906" s="13" t="str">
        <f>VLOOKUP(E2906,Precios!Z$2:AA$941,2,FALSE)</f>
        <v>Limpia Inodoro TEDDY</v>
      </c>
      <c r="AK2906" s="14">
        <f>VLOOKUP(E2906,Precios!Z$2:BB$941,3,FALSE)*F2906</f>
        <v>-2</v>
      </c>
      <c r="AL2906" s="17"/>
      <c r="AM2906" s="17"/>
      <c r="AN2906" s="17"/>
      <c r="AO2906" s="17"/>
      <c r="AP2906" s="17"/>
      <c r="AQ2906" s="17"/>
      <c r="AR2906" s="17"/>
      <c r="AS2906" s="17"/>
      <c r="AT2906" s="17"/>
      <c r="AU2906" s="17"/>
      <c r="AV2906" s="17"/>
    </row>
    <row r="2907" spans="1:48" ht="15.75" customHeight="1">
      <c r="A2907" s="21" t="s">
        <v>53</v>
      </c>
      <c r="B2907" s="23" t="s">
        <v>1692</v>
      </c>
      <c r="C2907" s="25">
        <v>45714</v>
      </c>
      <c r="D2907" s="23" t="s">
        <v>172</v>
      </c>
      <c r="E2907" s="23" t="s">
        <v>69</v>
      </c>
      <c r="F2907" s="21">
        <v>3</v>
      </c>
      <c r="G2907" s="12">
        <v>2999.9553810458683</v>
      </c>
      <c r="H2907" s="12">
        <v>8999.8661431376058</v>
      </c>
      <c r="I2907" s="23" t="s">
        <v>52</v>
      </c>
      <c r="J2907" s="23" t="s">
        <v>61</v>
      </c>
      <c r="K2907" s="24" t="s">
        <v>177</v>
      </c>
      <c r="L2907" s="24">
        <v>107</v>
      </c>
      <c r="M2907" s="12">
        <v>2520.9709084419064</v>
      </c>
      <c r="N2907" s="12">
        <v>7562.9127253257193</v>
      </c>
      <c r="O2907" s="12">
        <v>1436.9534178118865</v>
      </c>
      <c r="P2907" s="13"/>
      <c r="Q2907" s="14">
        <v>2025</v>
      </c>
      <c r="R2907" s="15">
        <v>45323</v>
      </c>
      <c r="S2907" s="11" t="s">
        <v>376</v>
      </c>
      <c r="T2907" s="16">
        <v>0</v>
      </c>
      <c r="U2907" s="17"/>
      <c r="V2907" s="12">
        <v>2477.9127253257179</v>
      </c>
      <c r="W2907" s="12">
        <v>2477.9127253257179</v>
      </c>
      <c r="X2907" s="12">
        <v>0</v>
      </c>
      <c r="Y2907" s="18">
        <v>45712</v>
      </c>
      <c r="Z2907" s="13" t="s">
        <v>515</v>
      </c>
      <c r="AA2907" s="19" t="str">
        <f>VLOOKUP(D2907,Clientes!$A$2:$J$486,9,FALSE)</f>
        <v>Frecuente</v>
      </c>
      <c r="AB2907" s="13" t="str">
        <f>VLOOKUP(D2907,Clientes!$A$2:$K$486,11,FALSE)</f>
        <v>Persona Natural</v>
      </c>
      <c r="AC2907" s="13" t="str">
        <f>VLOOKUP(D2907,Clientes!$A$2:$B$486,2,FALSE)</f>
        <v>Jardin del Eden</v>
      </c>
      <c r="AD2907" s="20"/>
      <c r="AE2907" s="20"/>
      <c r="AF2907" s="13" t="s">
        <v>40</v>
      </c>
      <c r="AG2907" s="15">
        <v>45323</v>
      </c>
      <c r="AH2907" s="13" t="s">
        <v>41</v>
      </c>
      <c r="AI2907" s="13" t="s">
        <v>53</v>
      </c>
      <c r="AJ2907" s="13" t="str">
        <f>VLOOKUP(E2907,Precios!Z$2:AA$941,2,FALSE)</f>
        <v>Toalla Papel NOVA 70 metros</v>
      </c>
      <c r="AK2907" s="14">
        <f>VLOOKUP(E2907,Precios!Z$2:BB$941,3,FALSE)*F2907</f>
        <v>-3</v>
      </c>
      <c r="AL2907" s="17"/>
      <c r="AM2907" s="17"/>
      <c r="AN2907" s="17"/>
      <c r="AO2907" s="17"/>
      <c r="AP2907" s="17"/>
      <c r="AQ2907" s="17"/>
      <c r="AR2907" s="17"/>
      <c r="AS2907" s="17"/>
      <c r="AT2907" s="17"/>
      <c r="AU2907" s="17"/>
      <c r="AV2907" s="17"/>
    </row>
    <row r="2908" spans="1:48" ht="15.75" customHeight="1">
      <c r="A2908" s="21" t="s">
        <v>53</v>
      </c>
      <c r="B2908" s="23" t="s">
        <v>1692</v>
      </c>
      <c r="C2908" s="25">
        <v>45714</v>
      </c>
      <c r="D2908" s="23" t="s">
        <v>172</v>
      </c>
      <c r="E2908" s="23" t="s">
        <v>55</v>
      </c>
      <c r="F2908" s="21">
        <v>1</v>
      </c>
      <c r="G2908" s="12">
        <v>19989.738327347361</v>
      </c>
      <c r="H2908" s="12">
        <v>19989.738327347361</v>
      </c>
      <c r="I2908" s="23" t="s">
        <v>52</v>
      </c>
      <c r="J2908" s="23" t="s">
        <v>61</v>
      </c>
      <c r="K2908" s="24" t="s">
        <v>177</v>
      </c>
      <c r="L2908" s="24">
        <v>107</v>
      </c>
      <c r="M2908" s="12">
        <v>16798.099434745684</v>
      </c>
      <c r="N2908" s="12">
        <v>16798.099434745684</v>
      </c>
      <c r="O2908" s="12">
        <v>3191.6388926016771</v>
      </c>
      <c r="P2908" s="13"/>
      <c r="Q2908" s="14">
        <v>2025</v>
      </c>
      <c r="R2908" s="15">
        <v>45323</v>
      </c>
      <c r="S2908" s="11" t="s">
        <v>366</v>
      </c>
      <c r="T2908" s="16">
        <v>0</v>
      </c>
      <c r="U2908" s="17"/>
      <c r="V2908" s="12">
        <v>3702.3011154179476</v>
      </c>
      <c r="W2908" s="12">
        <v>3702.3011154179476</v>
      </c>
      <c r="X2908" s="12">
        <v>0</v>
      </c>
      <c r="Y2908" s="18">
        <v>45712</v>
      </c>
      <c r="Z2908" s="13" t="s">
        <v>515</v>
      </c>
      <c r="AA2908" s="19" t="str">
        <f>VLOOKUP(D2908,Clientes!$A$2:$J$486,9,FALSE)</f>
        <v>Frecuente</v>
      </c>
      <c r="AB2908" s="13" t="str">
        <f>VLOOKUP(D2908,Clientes!$A$2:$K$486,11,FALSE)</f>
        <v>Persona Natural</v>
      </c>
      <c r="AC2908" s="13" t="str">
        <f>VLOOKUP(D2908,Clientes!$A$2:$B$486,2,FALSE)</f>
        <v>Jardin del Eden</v>
      </c>
      <c r="AD2908" s="20"/>
      <c r="AE2908" s="20"/>
      <c r="AF2908" s="13" t="s">
        <v>40</v>
      </c>
      <c r="AG2908" s="15">
        <v>45323</v>
      </c>
      <c r="AH2908" s="13" t="s">
        <v>41</v>
      </c>
      <c r="AI2908" s="13" t="s">
        <v>53</v>
      </c>
      <c r="AJ2908" s="13" t="str">
        <f>VLOOKUP(E2908,Precios!Z$2:AA$941,2,FALSE)</f>
        <v>Papel Higienico ELITE 50 metros</v>
      </c>
      <c r="AK2908" s="14">
        <f>VLOOKUP(E2908,Precios!Z$2:BB$941,3,FALSE)*F2908</f>
        <v>-8</v>
      </c>
      <c r="AL2908" s="17"/>
      <c r="AM2908" s="17"/>
      <c r="AN2908" s="17"/>
      <c r="AO2908" s="17"/>
      <c r="AP2908" s="17"/>
      <c r="AQ2908" s="17"/>
      <c r="AR2908" s="17"/>
      <c r="AS2908" s="17"/>
      <c r="AT2908" s="17"/>
      <c r="AU2908" s="17"/>
      <c r="AV2908" s="17"/>
    </row>
    <row r="2909" spans="1:48" ht="15.75" customHeight="1">
      <c r="A2909" s="21" t="s">
        <v>47</v>
      </c>
      <c r="B2909" s="23" t="s">
        <v>1692</v>
      </c>
      <c r="C2909" s="25">
        <v>45714</v>
      </c>
      <c r="D2909" s="23" t="s">
        <v>172</v>
      </c>
      <c r="E2909" s="23" t="s">
        <v>107</v>
      </c>
      <c r="F2909" s="21">
        <v>1</v>
      </c>
      <c r="G2909" s="12">
        <v>3000.0000000000005</v>
      </c>
      <c r="H2909" s="12">
        <v>3000.0000000000005</v>
      </c>
      <c r="I2909" s="23" t="s">
        <v>52</v>
      </c>
      <c r="J2909" s="23" t="s">
        <v>61</v>
      </c>
      <c r="K2909" s="24" t="s">
        <v>177</v>
      </c>
      <c r="L2909" s="24">
        <v>107</v>
      </c>
      <c r="M2909" s="12">
        <v>2521.0084033613452</v>
      </c>
      <c r="N2909" s="12">
        <v>2521.0084033613452</v>
      </c>
      <c r="O2909" s="12">
        <v>478.99159663865521</v>
      </c>
      <c r="P2909" s="13"/>
      <c r="Q2909" s="14">
        <v>2025</v>
      </c>
      <c r="R2909" s="15">
        <v>45323</v>
      </c>
      <c r="S2909" s="11" t="s">
        <v>453</v>
      </c>
      <c r="T2909" s="16">
        <v>0</v>
      </c>
      <c r="U2909" s="17"/>
      <c r="V2909" s="12">
        <v>758.82352941176487</v>
      </c>
      <c r="W2909" s="12">
        <v>758.82352941176487</v>
      </c>
      <c r="X2909" s="12">
        <v>0</v>
      </c>
      <c r="Y2909" s="18">
        <v>45712</v>
      </c>
      <c r="Z2909" s="13" t="s">
        <v>515</v>
      </c>
      <c r="AA2909" s="19" t="str">
        <f>VLOOKUP(D2909,Clientes!$A$2:$J$486,9,FALSE)</f>
        <v>Frecuente</v>
      </c>
      <c r="AB2909" s="13" t="str">
        <f>VLOOKUP(D2909,Clientes!$A$2:$K$486,11,FALSE)</f>
        <v>Persona Natural</v>
      </c>
      <c r="AC2909" s="13" t="str">
        <f>VLOOKUP(D2909,Clientes!$A$2:$B$486,2,FALSE)</f>
        <v>Jardin del Eden</v>
      </c>
      <c r="AD2909" s="20"/>
      <c r="AE2909" s="20"/>
      <c r="AF2909" s="13" t="s">
        <v>40</v>
      </c>
      <c r="AG2909" s="15">
        <v>45323</v>
      </c>
      <c r="AH2909" s="13" t="s">
        <v>41</v>
      </c>
      <c r="AI2909" s="13" t="s">
        <v>47</v>
      </c>
      <c r="AJ2909" s="13" t="str">
        <f>VLOOKUP(E2909,Precios!Z$2:AA$941,2,FALSE)</f>
        <v xml:space="preserve">Bolsas Basura TEDDY 90x120 </v>
      </c>
      <c r="AK2909" s="14">
        <f>VLOOKUP(E2909,Precios!Z$2:BB$941,3,FALSE)*F2909</f>
        <v>-1</v>
      </c>
      <c r="AL2909" s="17"/>
      <c r="AM2909" s="17"/>
      <c r="AN2909" s="17"/>
      <c r="AO2909" s="17"/>
      <c r="AP2909" s="17"/>
      <c r="AQ2909" s="17"/>
      <c r="AR2909" s="17"/>
      <c r="AS2909" s="17"/>
      <c r="AT2909" s="17"/>
      <c r="AU2909" s="17"/>
      <c r="AV2909" s="17"/>
    </row>
    <row r="2910" spans="1:48" ht="15.75" customHeight="1">
      <c r="A2910" s="21" t="s">
        <v>47</v>
      </c>
      <c r="B2910" s="23" t="s">
        <v>1692</v>
      </c>
      <c r="C2910" s="25">
        <v>45714</v>
      </c>
      <c r="D2910" s="23" t="s">
        <v>172</v>
      </c>
      <c r="E2910" s="23" t="s">
        <v>100</v>
      </c>
      <c r="F2910" s="21">
        <v>1</v>
      </c>
      <c r="G2910" s="12">
        <v>650.00000000000011</v>
      </c>
      <c r="H2910" s="12">
        <v>650.00000000000011</v>
      </c>
      <c r="I2910" s="23" t="s">
        <v>52</v>
      </c>
      <c r="J2910" s="23" t="s">
        <v>61</v>
      </c>
      <c r="K2910" s="24" t="s">
        <v>177</v>
      </c>
      <c r="L2910" s="24">
        <v>107</v>
      </c>
      <c r="M2910" s="12">
        <v>546.21848739495806</v>
      </c>
      <c r="N2910" s="12">
        <v>546.21848739495806</v>
      </c>
      <c r="O2910" s="12">
        <v>103.78151260504205</v>
      </c>
      <c r="P2910" s="13"/>
      <c r="Q2910" s="14">
        <v>2025</v>
      </c>
      <c r="R2910" s="15">
        <v>45323</v>
      </c>
      <c r="S2910" s="11" t="s">
        <v>453</v>
      </c>
      <c r="T2910" s="16">
        <v>0</v>
      </c>
      <c r="U2910" s="17"/>
      <c r="V2910" s="12">
        <v>231.09243697478996</v>
      </c>
      <c r="W2910" s="12">
        <v>231.09243697478996</v>
      </c>
      <c r="X2910" s="12">
        <v>0</v>
      </c>
      <c r="Y2910" s="18">
        <v>45712</v>
      </c>
      <c r="Z2910" s="13" t="s">
        <v>515</v>
      </c>
      <c r="AA2910" s="19" t="str">
        <f>VLOOKUP(D2910,Clientes!$A$2:$J$486,9,FALSE)</f>
        <v>Frecuente</v>
      </c>
      <c r="AB2910" s="13" t="str">
        <f>VLOOKUP(D2910,Clientes!$A$2:$K$486,11,FALSE)</f>
        <v>Persona Natural</v>
      </c>
      <c r="AC2910" s="13" t="str">
        <f>VLOOKUP(D2910,Clientes!$A$2:$B$486,2,FALSE)</f>
        <v>Jardin del Eden</v>
      </c>
      <c r="AD2910" s="20"/>
      <c r="AE2910" s="20"/>
      <c r="AF2910" s="13" t="s">
        <v>40</v>
      </c>
      <c r="AG2910" s="15">
        <v>45323</v>
      </c>
      <c r="AH2910" s="13" t="s">
        <v>41</v>
      </c>
      <c r="AI2910" s="13" t="s">
        <v>47</v>
      </c>
      <c r="AJ2910" s="13" t="str">
        <f>VLOOKUP(E2910,Precios!Z$2:AA$941,2,FALSE)</f>
        <v xml:space="preserve">Bolsas Basura TEDDY 50x70 </v>
      </c>
      <c r="AK2910" s="14">
        <f>VLOOKUP(E2910,Precios!Z$2:BB$941,3,FALSE)*F2910</f>
        <v>-1</v>
      </c>
      <c r="AL2910" s="17"/>
      <c r="AM2910" s="17"/>
      <c r="AN2910" s="17"/>
      <c r="AO2910" s="17"/>
      <c r="AP2910" s="17"/>
      <c r="AQ2910" s="17"/>
      <c r="AR2910" s="17"/>
      <c r="AS2910" s="17"/>
      <c r="AT2910" s="17"/>
      <c r="AU2910" s="17"/>
      <c r="AV2910" s="17"/>
    </row>
    <row r="2911" spans="1:48" ht="15.75" customHeight="1">
      <c r="A2911" s="21" t="s">
        <v>76</v>
      </c>
      <c r="B2911" s="23" t="s">
        <v>1692</v>
      </c>
      <c r="C2911" s="25">
        <v>45714</v>
      </c>
      <c r="D2911" s="23" t="s">
        <v>172</v>
      </c>
      <c r="E2911" s="23" t="s">
        <v>187</v>
      </c>
      <c r="F2911" s="21">
        <v>2</v>
      </c>
      <c r="G2911" s="12">
        <v>2699.9280057595392</v>
      </c>
      <c r="H2911" s="12">
        <v>5399.8560115190785</v>
      </c>
      <c r="I2911" s="23" t="s">
        <v>52</v>
      </c>
      <c r="J2911" s="23" t="s">
        <v>61</v>
      </c>
      <c r="K2911" s="24" t="s">
        <v>177</v>
      </c>
      <c r="L2911" s="24">
        <v>107</v>
      </c>
      <c r="M2911" s="12">
        <v>2268.8470636634784</v>
      </c>
      <c r="N2911" s="12">
        <v>4537.6941273269567</v>
      </c>
      <c r="O2911" s="12">
        <v>862.16188419212176</v>
      </c>
      <c r="P2911" s="13"/>
      <c r="Q2911" s="14">
        <v>2025</v>
      </c>
      <c r="R2911" s="15">
        <v>45323</v>
      </c>
      <c r="S2911" s="11" t="s">
        <v>479</v>
      </c>
      <c r="T2911" s="16">
        <v>0</v>
      </c>
      <c r="U2911" s="17"/>
      <c r="V2911" s="12">
        <v>1596.3607939936232</v>
      </c>
      <c r="W2911" s="12">
        <v>1596.3607939936232</v>
      </c>
      <c r="X2911" s="12">
        <v>0</v>
      </c>
      <c r="Y2911" s="18">
        <v>45712</v>
      </c>
      <c r="Z2911" s="13" t="s">
        <v>515</v>
      </c>
      <c r="AA2911" s="19" t="str">
        <f>VLOOKUP(D2911,Clientes!$A$2:$J$486,9,FALSE)</f>
        <v>Frecuente</v>
      </c>
      <c r="AB2911" s="13" t="str">
        <f>VLOOKUP(D2911,Clientes!$A$2:$K$486,11,FALSE)</f>
        <v>Persona Natural</v>
      </c>
      <c r="AC2911" s="13" t="str">
        <f>VLOOKUP(D2911,Clientes!$A$2:$B$486,2,FALSE)</f>
        <v>Jardin del Eden</v>
      </c>
      <c r="AD2911" s="20"/>
      <c r="AE2911" s="20"/>
      <c r="AF2911" s="13" t="s">
        <v>40</v>
      </c>
      <c r="AG2911" s="15">
        <v>45323</v>
      </c>
      <c r="AH2911" s="13" t="s">
        <v>41</v>
      </c>
      <c r="AI2911" s="13" t="s">
        <v>76</v>
      </c>
      <c r="AJ2911" s="13" t="str">
        <f>VLOOKUP(E2911,Precios!Z$2:AA$941,2,FALSE)</f>
        <v>Lavaloza WYN 1.5 Litros (recarga)</v>
      </c>
      <c r="AK2911" s="14">
        <f>VLOOKUP(E2911,Precios!Z$2:BB$941,3,FALSE)*F2911</f>
        <v>-2</v>
      </c>
      <c r="AL2911" s="17"/>
      <c r="AM2911" s="17"/>
      <c r="AN2911" s="17"/>
      <c r="AO2911" s="17"/>
      <c r="AP2911" s="17"/>
      <c r="AQ2911" s="17"/>
      <c r="AR2911" s="17"/>
      <c r="AS2911" s="17"/>
      <c r="AT2911" s="17"/>
      <c r="AU2911" s="17"/>
      <c r="AV2911" s="17"/>
    </row>
    <row r="2912" spans="1:48" ht="15.75" customHeight="1">
      <c r="A2912" s="21" t="s">
        <v>47</v>
      </c>
      <c r="B2912" s="23" t="s">
        <v>1692</v>
      </c>
      <c r="C2912" s="25">
        <v>45714</v>
      </c>
      <c r="D2912" s="23" t="s">
        <v>68</v>
      </c>
      <c r="E2912" s="23" t="s">
        <v>306</v>
      </c>
      <c r="F2912" s="14">
        <v>1</v>
      </c>
      <c r="G2912" s="12">
        <v>8000.0000000000009</v>
      </c>
      <c r="H2912" s="12">
        <v>8000.0000000000009</v>
      </c>
      <c r="I2912" s="23" t="s">
        <v>52</v>
      </c>
      <c r="J2912" s="23" t="s">
        <v>61</v>
      </c>
      <c r="K2912" s="24" t="s">
        <v>86</v>
      </c>
      <c r="L2912" s="24">
        <v>64</v>
      </c>
      <c r="M2912" s="12">
        <v>6722.6890756302528</v>
      </c>
      <c r="N2912" s="12">
        <v>6722.6890756302528</v>
      </c>
      <c r="O2912" s="12">
        <v>1277.3109243697481</v>
      </c>
      <c r="P2912" s="13"/>
      <c r="Q2912" s="14">
        <v>2025</v>
      </c>
      <c r="R2912" s="15">
        <v>45323</v>
      </c>
      <c r="S2912" s="11" t="s">
        <v>372</v>
      </c>
      <c r="T2912" s="16">
        <v>0</v>
      </c>
      <c r="U2912" s="17"/>
      <c r="V2912" s="12">
        <v>1781.5126050420176</v>
      </c>
      <c r="W2912" s="12">
        <v>1781.5126050420176</v>
      </c>
      <c r="X2912" s="12">
        <v>0</v>
      </c>
      <c r="Y2912" s="18">
        <v>45712</v>
      </c>
      <c r="Z2912" s="13" t="s">
        <v>515</v>
      </c>
      <c r="AA2912" s="19" t="str">
        <f>VLOOKUP(D2912,Clientes!$A$2:$J$486,9,FALSE)</f>
        <v>Frecuente</v>
      </c>
      <c r="AB2912" s="13" t="str">
        <f>VLOOKUP(D2912,Clientes!$A$2:$K$486,11,FALSE)</f>
        <v>Empresa</v>
      </c>
      <c r="AC2912" s="13" t="str">
        <f>VLOOKUP(D2912,Clientes!$A$2:$B$486,2,FALSE)</f>
        <v>Jardines de la viña</v>
      </c>
      <c r="AD2912" s="20"/>
      <c r="AE2912" s="20"/>
      <c r="AF2912" s="13" t="s">
        <v>40</v>
      </c>
      <c r="AG2912" s="15">
        <v>45323</v>
      </c>
      <c r="AH2912" s="13" t="s">
        <v>41</v>
      </c>
      <c r="AI2912" s="13" t="s">
        <v>47</v>
      </c>
      <c r="AJ2912" s="13" t="str">
        <f>VLOOKUP(E2912,Precios!Z$2:AA$941,2,FALSE)</f>
        <v>Traperos Humedos VIRGINIA</v>
      </c>
      <c r="AK2912" s="14">
        <f>VLOOKUP(E2912,Precios!Z$2:BB$941,3,FALSE)*F2912</f>
        <v>-3</v>
      </c>
      <c r="AL2912" s="17"/>
      <c r="AM2912" s="17"/>
      <c r="AN2912" s="17"/>
      <c r="AO2912" s="17"/>
      <c r="AP2912" s="17"/>
      <c r="AQ2912" s="17"/>
      <c r="AR2912" s="17"/>
      <c r="AS2912" s="17"/>
      <c r="AT2912" s="17"/>
      <c r="AU2912" s="17"/>
      <c r="AV2912" s="17"/>
    </row>
    <row r="2913" spans="1:48" ht="15.75" customHeight="1">
      <c r="A2913" s="21" t="s">
        <v>43</v>
      </c>
      <c r="B2913" s="23" t="s">
        <v>1692</v>
      </c>
      <c r="C2913" s="25">
        <v>45714</v>
      </c>
      <c r="D2913" s="23" t="s">
        <v>736</v>
      </c>
      <c r="E2913" s="23" t="s">
        <v>45</v>
      </c>
      <c r="F2913" s="14">
        <v>1</v>
      </c>
      <c r="G2913" s="12">
        <v>7499.8368883312432</v>
      </c>
      <c r="H2913" s="12">
        <v>7499.8368883312432</v>
      </c>
      <c r="I2913" s="23" t="s">
        <v>52</v>
      </c>
      <c r="J2913" s="23" t="s">
        <v>61</v>
      </c>
      <c r="K2913" s="24" t="s">
        <v>177</v>
      </c>
      <c r="L2913" s="24">
        <v>107</v>
      </c>
      <c r="M2913" s="12">
        <v>6302.383939774154</v>
      </c>
      <c r="N2913" s="12">
        <v>6302.383939774154</v>
      </c>
      <c r="O2913" s="12">
        <v>1197.4529485570893</v>
      </c>
      <c r="P2913" s="13"/>
      <c r="Q2913" s="14">
        <v>2025</v>
      </c>
      <c r="R2913" s="15">
        <v>45323</v>
      </c>
      <c r="S2913" s="11" t="s">
        <v>355</v>
      </c>
      <c r="T2913" s="16">
        <v>0</v>
      </c>
      <c r="U2913" s="17"/>
      <c r="V2913" s="12">
        <v>1279.383939774154</v>
      </c>
      <c r="W2913" s="12">
        <v>1279.383939774154</v>
      </c>
      <c r="X2913" s="12">
        <v>0</v>
      </c>
      <c r="Y2913" s="18">
        <v>45712</v>
      </c>
      <c r="Z2913" s="13" t="s">
        <v>515</v>
      </c>
      <c r="AA2913" s="19" t="str">
        <f>VLOOKUP(D2913,Clientes!$A$2:$J$486,9,FALSE)</f>
        <v>Ocacional</v>
      </c>
      <c r="AB2913" s="13" t="str">
        <f>VLOOKUP(D2913,Clientes!$A$2:$K$486,11,FALSE)</f>
        <v>Persona Natural</v>
      </c>
      <c r="AC2913" s="13" t="str">
        <f>VLOOKUP(D2913,Clientes!$A$2:$B$486,2,FALSE)</f>
        <v>Departamental</v>
      </c>
      <c r="AD2913" s="20"/>
      <c r="AE2913" s="20"/>
      <c r="AF2913" s="13" t="s">
        <v>40</v>
      </c>
      <c r="AG2913" s="15">
        <v>45323</v>
      </c>
      <c r="AH2913" s="13" t="s">
        <v>41</v>
      </c>
      <c r="AI2913" s="13" t="s">
        <v>43</v>
      </c>
      <c r="AJ2913" s="13" t="str">
        <f>VLOOKUP(E2913,Precios!Z$2:AA$941,2,FALSE)</f>
        <v>Bandeja Huevos EXTRA</v>
      </c>
      <c r="AK2913" s="14">
        <f>VLOOKUP(E2913,Precios!Z$2:BB$941,3,FALSE)*F2913</f>
        <v>-1</v>
      </c>
      <c r="AL2913" s="17"/>
      <c r="AM2913" s="17"/>
      <c r="AN2913" s="17"/>
      <c r="AO2913" s="17"/>
      <c r="AP2913" s="17"/>
      <c r="AQ2913" s="17"/>
      <c r="AR2913" s="17"/>
      <c r="AS2913" s="17"/>
      <c r="AT2913" s="17"/>
      <c r="AU2913" s="17"/>
      <c r="AV2913" s="17"/>
    </row>
    <row r="2914" spans="1:48" ht="15.75" customHeight="1">
      <c r="A2914" s="21" t="s">
        <v>53</v>
      </c>
      <c r="B2914" s="23" t="s">
        <v>1692</v>
      </c>
      <c r="C2914" s="25">
        <v>45714</v>
      </c>
      <c r="D2914" s="23" t="s">
        <v>736</v>
      </c>
      <c r="E2914" s="23" t="s">
        <v>109</v>
      </c>
      <c r="F2914" s="14">
        <v>1</v>
      </c>
      <c r="G2914" s="12">
        <v>10000</v>
      </c>
      <c r="H2914" s="12">
        <v>10000</v>
      </c>
      <c r="I2914" s="23" t="s">
        <v>52</v>
      </c>
      <c r="J2914" s="23" t="s">
        <v>61</v>
      </c>
      <c r="K2914" s="24" t="s">
        <v>177</v>
      </c>
      <c r="L2914" s="24">
        <v>107</v>
      </c>
      <c r="M2914" s="12">
        <v>8403.361344537816</v>
      </c>
      <c r="N2914" s="12">
        <v>8403.361344537816</v>
      </c>
      <c r="O2914" s="12">
        <v>1596.638655462184</v>
      </c>
      <c r="P2914" s="13"/>
      <c r="Q2914" s="14">
        <v>2025</v>
      </c>
      <c r="R2914" s="15">
        <v>45323</v>
      </c>
      <c r="S2914" s="11" t="s">
        <v>395</v>
      </c>
      <c r="T2914" s="16">
        <v>400</v>
      </c>
      <c r="U2914" s="17"/>
      <c r="V2914" s="12">
        <v>2100.8403361344544</v>
      </c>
      <c r="W2914" s="12">
        <v>2100.8403361344544</v>
      </c>
      <c r="X2914" s="12">
        <v>0</v>
      </c>
      <c r="Y2914" s="18">
        <v>45712</v>
      </c>
      <c r="Z2914" s="13" t="s">
        <v>515</v>
      </c>
      <c r="AA2914" s="19" t="str">
        <f>VLOOKUP(D2914,Clientes!$A$2:$J$486,9,FALSE)</f>
        <v>Ocacional</v>
      </c>
      <c r="AB2914" s="13" t="str">
        <f>VLOOKUP(D2914,Clientes!$A$2:$K$486,11,FALSE)</f>
        <v>Persona Natural</v>
      </c>
      <c r="AC2914" s="13" t="str">
        <f>VLOOKUP(D2914,Clientes!$A$2:$B$486,2,FALSE)</f>
        <v>Departamental</v>
      </c>
      <c r="AD2914" s="20"/>
      <c r="AE2914" s="20"/>
      <c r="AF2914" s="13" t="s">
        <v>40</v>
      </c>
      <c r="AG2914" s="15">
        <v>45323</v>
      </c>
      <c r="AH2914" s="13" t="s">
        <v>41</v>
      </c>
      <c r="AI2914" s="13" t="s">
        <v>53</v>
      </c>
      <c r="AJ2914" s="13" t="str">
        <f>VLOOKUP(E2914,Precios!Z$2:AA$941,2,FALSE)</f>
        <v>Toalla Papel SPUM D/H 100 metros</v>
      </c>
      <c r="AK2914" s="14">
        <f>VLOOKUP(E2914,Precios!Z$2:BB$941,3,FALSE)*F2914</f>
        <v>-4</v>
      </c>
      <c r="AL2914" s="17"/>
      <c r="AM2914" s="17"/>
      <c r="AN2914" s="17"/>
      <c r="AO2914" s="17"/>
      <c r="AP2914" s="17"/>
      <c r="AQ2914" s="17"/>
      <c r="AR2914" s="17"/>
      <c r="AS2914" s="17"/>
      <c r="AT2914" s="17"/>
      <c r="AU2914" s="17"/>
      <c r="AV2914" s="17"/>
    </row>
    <row r="2915" spans="1:48" ht="15.75" customHeight="1">
      <c r="A2915" s="21" t="s">
        <v>53</v>
      </c>
      <c r="B2915" s="23" t="s">
        <v>1692</v>
      </c>
      <c r="C2915" s="25">
        <v>45714</v>
      </c>
      <c r="D2915" s="23" t="s">
        <v>736</v>
      </c>
      <c r="E2915" s="23" t="s">
        <v>163</v>
      </c>
      <c r="F2915" s="14">
        <v>1</v>
      </c>
      <c r="G2915" s="12">
        <v>18990</v>
      </c>
      <c r="H2915" s="12">
        <v>18990</v>
      </c>
      <c r="I2915" s="23" t="s">
        <v>52</v>
      </c>
      <c r="J2915" s="23" t="s">
        <v>61</v>
      </c>
      <c r="K2915" s="24" t="s">
        <v>177</v>
      </c>
      <c r="L2915" s="24">
        <v>107</v>
      </c>
      <c r="M2915" s="12">
        <v>15957.983193277312</v>
      </c>
      <c r="N2915" s="12">
        <v>15957.983193277312</v>
      </c>
      <c r="O2915" s="12">
        <v>3032.0168067226878</v>
      </c>
      <c r="P2915" s="13"/>
      <c r="Q2915" s="14">
        <v>2025</v>
      </c>
      <c r="R2915" s="15">
        <v>45323</v>
      </c>
      <c r="S2915" s="11" t="s">
        <v>435</v>
      </c>
      <c r="T2915" s="16">
        <v>0</v>
      </c>
      <c r="U2915" s="17"/>
      <c r="V2915" s="12">
        <v>4112.6050420168067</v>
      </c>
      <c r="W2915" s="12">
        <v>4112.6050420168067</v>
      </c>
      <c r="X2915" s="12">
        <v>0</v>
      </c>
      <c r="Y2915" s="18">
        <v>45712</v>
      </c>
      <c r="Z2915" s="13" t="s">
        <v>515</v>
      </c>
      <c r="AA2915" s="19" t="str">
        <f>VLOOKUP(D2915,Clientes!$A$2:$J$486,9,FALSE)</f>
        <v>Ocacional</v>
      </c>
      <c r="AB2915" s="13" t="str">
        <f>VLOOKUP(D2915,Clientes!$A$2:$K$486,11,FALSE)</f>
        <v>Persona Natural</v>
      </c>
      <c r="AC2915" s="13" t="str">
        <f>VLOOKUP(D2915,Clientes!$A$2:$B$486,2,FALSE)</f>
        <v>Departamental</v>
      </c>
      <c r="AD2915" s="20"/>
      <c r="AE2915" s="20"/>
      <c r="AF2915" s="13" t="s">
        <v>40</v>
      </c>
      <c r="AG2915" s="15">
        <v>45323</v>
      </c>
      <c r="AH2915" s="13" t="s">
        <v>41</v>
      </c>
      <c r="AI2915" s="13" t="s">
        <v>53</v>
      </c>
      <c r="AJ2915" s="13" t="str">
        <f>VLOOKUP(E2915,Precios!Z$2:AA$941,2,FALSE)</f>
        <v>Papel Higienico SWAN 50 metros</v>
      </c>
      <c r="AK2915" s="14">
        <f>VLOOKUP(E2915,Precios!Z$2:BB$941,3,FALSE)*F2915</f>
        <v>-8</v>
      </c>
      <c r="AL2915" s="17"/>
      <c r="AM2915" s="17"/>
      <c r="AN2915" s="17"/>
      <c r="AO2915" s="17"/>
      <c r="AP2915" s="17"/>
      <c r="AQ2915" s="17"/>
      <c r="AR2915" s="17"/>
      <c r="AS2915" s="17"/>
      <c r="AT2915" s="17"/>
      <c r="AU2915" s="17"/>
      <c r="AV2915" s="17"/>
    </row>
    <row r="2916" spans="1:48" ht="15.75" customHeight="1">
      <c r="A2916" s="21" t="s">
        <v>50</v>
      </c>
      <c r="B2916" s="23" t="s">
        <v>1692</v>
      </c>
      <c r="C2916" s="22">
        <v>45714</v>
      </c>
      <c r="D2916" s="23" t="s">
        <v>229</v>
      </c>
      <c r="E2916" s="23" t="s">
        <v>528</v>
      </c>
      <c r="F2916" s="21">
        <v>1</v>
      </c>
      <c r="G2916" s="12">
        <v>4500.2224529141331</v>
      </c>
      <c r="H2916" s="12">
        <v>4500.2224529141331</v>
      </c>
      <c r="I2916" s="23" t="s">
        <v>52</v>
      </c>
      <c r="J2916" s="23" t="s">
        <v>61</v>
      </c>
      <c r="K2916" s="24" t="s">
        <v>177</v>
      </c>
      <c r="L2916" s="24">
        <v>107</v>
      </c>
      <c r="M2916" s="12">
        <v>3781.6995402639777</v>
      </c>
      <c r="N2916" s="12">
        <v>3781.6995402639777</v>
      </c>
      <c r="O2916" s="12">
        <v>718.52291265015538</v>
      </c>
      <c r="P2916" s="13"/>
      <c r="Q2916" s="14">
        <v>2025</v>
      </c>
      <c r="R2916" s="15">
        <v>45323</v>
      </c>
      <c r="S2916" s="11" t="s">
        <v>528</v>
      </c>
      <c r="T2916" s="16">
        <v>0</v>
      </c>
      <c r="U2916" s="17"/>
      <c r="V2916" s="12">
        <v>1996.6995402639773</v>
      </c>
      <c r="W2916" s="12">
        <v>1996.6995402639773</v>
      </c>
      <c r="X2916" s="12">
        <v>0</v>
      </c>
      <c r="Y2916" s="18">
        <v>45712</v>
      </c>
      <c r="Z2916" s="13" t="s">
        <v>515</v>
      </c>
      <c r="AA2916" s="19" t="str">
        <f>VLOOKUP(D2916,Clientes!$A$2:$J$486,9,FALSE)</f>
        <v>Frecuente</v>
      </c>
      <c r="AB2916" s="13" t="str">
        <f>VLOOKUP(D2916,Clientes!$A$2:$K$486,11,FALSE)</f>
        <v>Persona Natural</v>
      </c>
      <c r="AC2916" s="13" t="str">
        <f>VLOOKUP(D2916,Clientes!$A$2:$B$486,2,FALSE)</f>
        <v>Sector Santa Delia</v>
      </c>
      <c r="AD2916" s="20"/>
      <c r="AE2916" s="20"/>
      <c r="AF2916" s="13" t="s">
        <v>40</v>
      </c>
      <c r="AG2916" s="15">
        <v>45323</v>
      </c>
      <c r="AH2916" s="13" t="s">
        <v>41</v>
      </c>
      <c r="AI2916" s="13" t="s">
        <v>50</v>
      </c>
      <c r="AJ2916" s="13" t="str">
        <f>VLOOKUP(E2916,Precios!Z$2:AA$941,2,FALSE)</f>
        <v>Hielo 1 Kilo</v>
      </c>
      <c r="AK2916" s="14">
        <f>VLOOKUP(E2916,Precios!Z$2:BB$941,3,FALSE)*F2916</f>
        <v>-5</v>
      </c>
      <c r="AL2916" s="17"/>
      <c r="AM2916" s="17"/>
      <c r="AN2916" s="17"/>
      <c r="AO2916" s="17"/>
      <c r="AP2916" s="17"/>
      <c r="AQ2916" s="17"/>
      <c r="AR2916" s="17"/>
      <c r="AS2916" s="17"/>
      <c r="AT2916" s="17"/>
      <c r="AU2916" s="17"/>
      <c r="AV2916" s="17"/>
    </row>
    <row r="2917" spans="1:48" ht="15.75" customHeight="1">
      <c r="A2917" s="21" t="s">
        <v>50</v>
      </c>
      <c r="B2917" s="23" t="s">
        <v>1692</v>
      </c>
      <c r="C2917" s="22">
        <v>45713</v>
      </c>
      <c r="D2917" s="23" t="s">
        <v>915</v>
      </c>
      <c r="E2917" s="23" t="s">
        <v>51</v>
      </c>
      <c r="F2917" s="21">
        <v>1</v>
      </c>
      <c r="G2917" s="12">
        <v>1000</v>
      </c>
      <c r="H2917" s="34">
        <v>1000</v>
      </c>
      <c r="I2917" s="23" t="s">
        <v>52</v>
      </c>
      <c r="J2917" s="23" t="s">
        <v>61</v>
      </c>
      <c r="K2917" s="24" t="s">
        <v>177</v>
      </c>
      <c r="L2917" s="24">
        <v>106</v>
      </c>
      <c r="M2917" s="12">
        <v>840.3361344537816</v>
      </c>
      <c r="N2917" s="12">
        <v>840.3361344537816</v>
      </c>
      <c r="O2917" s="12">
        <v>159.6638655462184</v>
      </c>
      <c r="P2917" s="13"/>
      <c r="Q2917" s="14">
        <v>2025</v>
      </c>
      <c r="R2917" s="15">
        <v>45323</v>
      </c>
      <c r="S2917" s="11" t="s">
        <v>51</v>
      </c>
      <c r="T2917" s="16">
        <v>0</v>
      </c>
      <c r="U2917" s="17"/>
      <c r="V2917" s="12">
        <v>483.19327731092432</v>
      </c>
      <c r="W2917" s="12">
        <v>483.19327731092432</v>
      </c>
      <c r="X2917" s="12">
        <v>0</v>
      </c>
      <c r="Y2917" s="18">
        <v>45712</v>
      </c>
      <c r="Z2917" s="13" t="s">
        <v>516</v>
      </c>
      <c r="AA2917" s="19" t="str">
        <f>VLOOKUP(D2917,Clientes!$A$2:$J$486,9,FALSE)</f>
        <v>Regular</v>
      </c>
      <c r="AB2917" s="13" t="str">
        <f>VLOOKUP(D2917,Clientes!$A$2:$K$486,11,FALSE)</f>
        <v>Persona Natural</v>
      </c>
      <c r="AC2917" s="13" t="str">
        <f>VLOOKUP(D2917,Clientes!$A$2:$B$486,2,FALSE)</f>
        <v>Jardin del Eden</v>
      </c>
      <c r="AD2917" s="20"/>
      <c r="AE2917" s="20"/>
      <c r="AF2917" s="13" t="s">
        <v>40</v>
      </c>
      <c r="AG2917" s="15">
        <v>45323</v>
      </c>
      <c r="AH2917" s="13" t="s">
        <v>41</v>
      </c>
      <c r="AI2917" s="13" t="s">
        <v>50</v>
      </c>
      <c r="AJ2917" s="13" t="str">
        <f>VLOOKUP(E2917,Precios!Z$2:AA$941,2,FALSE)</f>
        <v>Hielo 1 Kilo</v>
      </c>
      <c r="AK2917" s="14">
        <f>VLOOKUP(E2917,Precios!Z$2:BB$941,3,FALSE)*F2917</f>
        <v>-1</v>
      </c>
      <c r="AL2917" s="17"/>
      <c r="AM2917" s="17"/>
      <c r="AN2917" s="17"/>
      <c r="AO2917" s="17"/>
      <c r="AP2917" s="17"/>
      <c r="AQ2917" s="17"/>
      <c r="AR2917" s="17"/>
      <c r="AS2917" s="17"/>
      <c r="AT2917" s="17"/>
      <c r="AU2917" s="17"/>
      <c r="AV2917" s="17"/>
    </row>
    <row r="2918" spans="1:48" ht="15.75" customHeight="1">
      <c r="A2918" s="21" t="s">
        <v>76</v>
      </c>
      <c r="B2918" s="23" t="s">
        <v>1692</v>
      </c>
      <c r="C2918" s="22">
        <v>45713</v>
      </c>
      <c r="D2918" s="23" t="s">
        <v>915</v>
      </c>
      <c r="E2918" s="23" t="s">
        <v>81</v>
      </c>
      <c r="F2918" s="21">
        <v>1</v>
      </c>
      <c r="G2918" s="12">
        <v>3500.0000000000005</v>
      </c>
      <c r="H2918" s="34">
        <v>3500.0000000000005</v>
      </c>
      <c r="I2918" s="23" t="s">
        <v>52</v>
      </c>
      <c r="J2918" s="23" t="s">
        <v>61</v>
      </c>
      <c r="K2918" s="24" t="s">
        <v>177</v>
      </c>
      <c r="L2918" s="24">
        <v>106</v>
      </c>
      <c r="M2918" s="12">
        <v>2941.1764705882356</v>
      </c>
      <c r="N2918" s="12">
        <v>2941.1764705882356</v>
      </c>
      <c r="O2918" s="12">
        <v>558.82352941176487</v>
      </c>
      <c r="P2918" s="13"/>
      <c r="Q2918" s="14">
        <v>2025</v>
      </c>
      <c r="R2918" s="15">
        <v>45323</v>
      </c>
      <c r="S2918" s="11" t="s">
        <v>397</v>
      </c>
      <c r="T2918" s="16">
        <v>5</v>
      </c>
      <c r="U2918" s="17"/>
      <c r="V2918" s="12">
        <v>764.70588235294144</v>
      </c>
      <c r="W2918" s="12">
        <v>764.70588235294144</v>
      </c>
      <c r="X2918" s="12">
        <v>0</v>
      </c>
      <c r="Y2918" s="18">
        <v>45712</v>
      </c>
      <c r="Z2918" s="13" t="s">
        <v>516</v>
      </c>
      <c r="AA2918" s="19" t="str">
        <f>VLOOKUP(D2918,Clientes!$A$2:$J$486,9,FALSE)</f>
        <v>Regular</v>
      </c>
      <c r="AB2918" s="13" t="str">
        <f>VLOOKUP(D2918,Clientes!$A$2:$K$486,11,FALSE)</f>
        <v>Persona Natural</v>
      </c>
      <c r="AC2918" s="13" t="str">
        <f>VLOOKUP(D2918,Clientes!$A$2:$B$486,2,FALSE)</f>
        <v>Jardin del Eden</v>
      </c>
      <c r="AD2918" s="20"/>
      <c r="AE2918" s="20"/>
      <c r="AF2918" s="13" t="s">
        <v>40</v>
      </c>
      <c r="AG2918" s="15">
        <v>45323</v>
      </c>
      <c r="AH2918" s="13" t="s">
        <v>41</v>
      </c>
      <c r="AI2918" s="13" t="s">
        <v>76</v>
      </c>
      <c r="AJ2918" s="13" t="str">
        <f>VLOOKUP(E2918,Precios!Z$2:AA$941,2,FALSE)</f>
        <v>Detergente SPUM 5 Litros (Verde)</v>
      </c>
      <c r="AK2918" s="14">
        <f>VLOOKUP(E2918,Precios!Z$2:BB$941,3,FALSE)*F2918</f>
        <v>-1</v>
      </c>
      <c r="AL2918" s="17"/>
      <c r="AM2918" s="17"/>
      <c r="AN2918" s="17"/>
      <c r="AO2918" s="17"/>
      <c r="AP2918" s="17"/>
      <c r="AQ2918" s="17"/>
      <c r="AR2918" s="17"/>
      <c r="AS2918" s="17"/>
      <c r="AT2918" s="17"/>
      <c r="AU2918" s="17"/>
      <c r="AV2918" s="17"/>
    </row>
    <row r="2919" spans="1:48" ht="15.75" customHeight="1">
      <c r="A2919" s="21" t="s">
        <v>47</v>
      </c>
      <c r="B2919" s="23" t="s">
        <v>1692</v>
      </c>
      <c r="C2919" s="22">
        <v>45713</v>
      </c>
      <c r="D2919" s="23" t="s">
        <v>737</v>
      </c>
      <c r="E2919" s="23" t="s">
        <v>107</v>
      </c>
      <c r="F2919" s="21">
        <v>1</v>
      </c>
      <c r="G2919" s="12">
        <v>3000.0000000000005</v>
      </c>
      <c r="H2919" s="12">
        <v>3000.0000000000005</v>
      </c>
      <c r="I2919" s="23" t="s">
        <v>52</v>
      </c>
      <c r="J2919" s="23" t="s">
        <v>61</v>
      </c>
      <c r="K2919" s="24" t="s">
        <v>177</v>
      </c>
      <c r="L2919" s="24">
        <v>106</v>
      </c>
      <c r="M2919" s="12">
        <v>2521.0084033613452</v>
      </c>
      <c r="N2919" s="12">
        <v>2521.0084033613452</v>
      </c>
      <c r="O2919" s="12">
        <v>478.99159663865521</v>
      </c>
      <c r="P2919" s="13"/>
      <c r="Q2919" s="14">
        <v>2025</v>
      </c>
      <c r="R2919" s="15">
        <v>45323</v>
      </c>
      <c r="S2919" s="11" t="s">
        <v>453</v>
      </c>
      <c r="T2919" s="16">
        <v>0</v>
      </c>
      <c r="U2919" s="17"/>
      <c r="V2919" s="12">
        <v>758.82352941176487</v>
      </c>
      <c r="W2919" s="12">
        <v>758.82352941176487</v>
      </c>
      <c r="X2919" s="12">
        <v>0</v>
      </c>
      <c r="Y2919" s="18">
        <v>45712</v>
      </c>
      <c r="Z2919" s="13" t="s">
        <v>516</v>
      </c>
      <c r="AA2919" s="19" t="str">
        <f>VLOOKUP(D2919,Clientes!$A$2:$J$486,9,FALSE)</f>
        <v>Ocacional</v>
      </c>
      <c r="AB2919" s="13" t="str">
        <f>VLOOKUP(D2919,Clientes!$A$2:$K$486,11,FALSE)</f>
        <v>Persona Natural</v>
      </c>
      <c r="AC2919" s="13" t="str">
        <f>VLOOKUP(D2919,Clientes!$A$2:$B$486,2,FALSE)</f>
        <v>Jardin del eden</v>
      </c>
      <c r="AD2919" s="20"/>
      <c r="AE2919" s="20"/>
      <c r="AF2919" s="13" t="s">
        <v>40</v>
      </c>
      <c r="AG2919" s="15">
        <v>45323</v>
      </c>
      <c r="AH2919" s="13" t="s">
        <v>41</v>
      </c>
      <c r="AI2919" s="13" t="s">
        <v>47</v>
      </c>
      <c r="AJ2919" s="13" t="str">
        <f>VLOOKUP(E2919,Precios!Z$2:AA$941,2,FALSE)</f>
        <v xml:space="preserve">Bolsas Basura TEDDY 90x120 </v>
      </c>
      <c r="AK2919" s="14">
        <f>VLOOKUP(E2919,Precios!Z$2:BB$941,3,FALSE)*F2919</f>
        <v>-1</v>
      </c>
      <c r="AL2919" s="17"/>
      <c r="AM2919" s="17"/>
      <c r="AN2919" s="17"/>
      <c r="AO2919" s="17"/>
      <c r="AP2919" s="17"/>
      <c r="AQ2919" s="17"/>
      <c r="AR2919" s="17"/>
      <c r="AS2919" s="17"/>
      <c r="AT2919" s="17"/>
      <c r="AU2919" s="17"/>
      <c r="AV2919" s="17"/>
    </row>
    <row r="2920" spans="1:48" ht="15.75" customHeight="1">
      <c r="A2920" s="21" t="s">
        <v>47</v>
      </c>
      <c r="B2920" s="23" t="s">
        <v>1692</v>
      </c>
      <c r="C2920" s="22">
        <v>45713</v>
      </c>
      <c r="D2920" s="23" t="s">
        <v>737</v>
      </c>
      <c r="E2920" s="23" t="s">
        <v>94</v>
      </c>
      <c r="F2920" s="21">
        <v>1</v>
      </c>
      <c r="G2920" s="12">
        <v>1650.3649635036495</v>
      </c>
      <c r="H2920" s="12">
        <v>1650.3649635036495</v>
      </c>
      <c r="I2920" s="23" t="s">
        <v>52</v>
      </c>
      <c r="J2920" s="23" t="s">
        <v>61</v>
      </c>
      <c r="K2920" s="24" t="s">
        <v>177</v>
      </c>
      <c r="L2920" s="24">
        <v>106</v>
      </c>
      <c r="M2920" s="12">
        <v>1386.861313868613</v>
      </c>
      <c r="N2920" s="12">
        <v>1386.861313868613</v>
      </c>
      <c r="O2920" s="12">
        <v>263.50364963503648</v>
      </c>
      <c r="P2920" s="13"/>
      <c r="Q2920" s="14">
        <v>2025</v>
      </c>
      <c r="R2920" s="15">
        <v>45323</v>
      </c>
      <c r="S2920" s="11" t="s">
        <v>384</v>
      </c>
      <c r="T2920" s="16">
        <v>0</v>
      </c>
      <c r="U2920" s="17"/>
      <c r="V2920" s="12">
        <v>436.86131386861302</v>
      </c>
      <c r="W2920" s="12">
        <v>436.86131386861302</v>
      </c>
      <c r="X2920" s="12">
        <v>0</v>
      </c>
      <c r="Y2920" s="18">
        <v>45712</v>
      </c>
      <c r="Z2920" s="13" t="s">
        <v>516</v>
      </c>
      <c r="AA2920" s="19" t="str">
        <f>VLOOKUP(D2920,Clientes!$A$2:$J$486,9,FALSE)</f>
        <v>Ocacional</v>
      </c>
      <c r="AB2920" s="13" t="str">
        <f>VLOOKUP(D2920,Clientes!$A$2:$K$486,11,FALSE)</f>
        <v>Persona Natural</v>
      </c>
      <c r="AC2920" s="13" t="str">
        <f>VLOOKUP(D2920,Clientes!$A$2:$B$486,2,FALSE)</f>
        <v>Jardin del eden</v>
      </c>
      <c r="AD2920" s="20"/>
      <c r="AE2920" s="20"/>
      <c r="AF2920" s="13" t="s">
        <v>40</v>
      </c>
      <c r="AG2920" s="15">
        <v>45323</v>
      </c>
      <c r="AH2920" s="13" t="s">
        <v>41</v>
      </c>
      <c r="AI2920" s="13" t="s">
        <v>47</v>
      </c>
      <c r="AJ2920" s="13" t="str">
        <f>VLOOKUP(E2920,Precios!Z$2:AA$941,2,FALSE)</f>
        <v>Jabón Lìquido BALLERINA</v>
      </c>
      <c r="AK2920" s="14">
        <f>VLOOKUP(E2920,Precios!Z$2:BB$941,3,FALSE)*F2920</f>
        <v>-3</v>
      </c>
      <c r="AL2920" s="17"/>
      <c r="AM2920" s="17"/>
      <c r="AN2920" s="17"/>
      <c r="AO2920" s="17"/>
      <c r="AP2920" s="17"/>
      <c r="AQ2920" s="17"/>
      <c r="AR2920" s="17"/>
      <c r="AS2920" s="17"/>
      <c r="AT2920" s="17"/>
      <c r="AU2920" s="17"/>
      <c r="AV2920" s="17"/>
    </row>
    <row r="2921" spans="1:48" ht="15.75" customHeight="1">
      <c r="A2921" s="21" t="s">
        <v>50</v>
      </c>
      <c r="B2921" s="23" t="s">
        <v>1692</v>
      </c>
      <c r="C2921" s="22">
        <v>45713</v>
      </c>
      <c r="D2921" s="23" t="s">
        <v>233</v>
      </c>
      <c r="E2921" s="23" t="s">
        <v>528</v>
      </c>
      <c r="F2921" s="21">
        <v>2</v>
      </c>
      <c r="G2921" s="12">
        <v>4500.2224529141331</v>
      </c>
      <c r="H2921" s="12">
        <v>9000.4449058282662</v>
      </c>
      <c r="I2921" s="23" t="s">
        <v>52</v>
      </c>
      <c r="J2921" s="23" t="s">
        <v>61</v>
      </c>
      <c r="K2921" s="24" t="s">
        <v>177</v>
      </c>
      <c r="L2921" s="24">
        <v>106</v>
      </c>
      <c r="M2921" s="12">
        <v>3781.6995402639777</v>
      </c>
      <c r="N2921" s="12">
        <v>7563.3990805279554</v>
      </c>
      <c r="O2921" s="12">
        <v>1437.0458253003108</v>
      </c>
      <c r="P2921" s="13"/>
      <c r="Q2921" s="14">
        <v>2025</v>
      </c>
      <c r="R2921" s="15">
        <v>45323</v>
      </c>
      <c r="S2921" s="11" t="s">
        <v>528</v>
      </c>
      <c r="T2921" s="16">
        <v>0</v>
      </c>
      <c r="U2921" s="17"/>
      <c r="V2921" s="12">
        <v>3993.3990805279545</v>
      </c>
      <c r="W2921" s="12">
        <v>3993.3990805279545</v>
      </c>
      <c r="X2921" s="12">
        <v>0</v>
      </c>
      <c r="Y2921" s="18">
        <v>45712</v>
      </c>
      <c r="Z2921" s="13" t="s">
        <v>516</v>
      </c>
      <c r="AA2921" s="19" t="str">
        <f>VLOOKUP(D2921,Clientes!$A$2:$J$486,9,FALSE)</f>
        <v>Ocacional</v>
      </c>
      <c r="AB2921" s="13" t="str">
        <f>VLOOKUP(D2921,Clientes!$A$2:$K$486,11,FALSE)</f>
        <v>Persona Natural</v>
      </c>
      <c r="AC2921" s="13" t="str">
        <f>VLOOKUP(D2921,Clientes!$A$2:$B$486,2,FALSE)</f>
        <v>Jardines de la viña</v>
      </c>
      <c r="AD2921" s="20"/>
      <c r="AE2921" s="20"/>
      <c r="AF2921" s="13" t="s">
        <v>40</v>
      </c>
      <c r="AG2921" s="15">
        <v>45323</v>
      </c>
      <c r="AH2921" s="13" t="s">
        <v>41</v>
      </c>
      <c r="AI2921" s="13" t="s">
        <v>50</v>
      </c>
      <c r="AJ2921" s="13" t="str">
        <f>VLOOKUP(E2921,Precios!Z$2:AA$941,2,FALSE)</f>
        <v>Hielo 1 Kilo</v>
      </c>
      <c r="AK2921" s="14">
        <f>VLOOKUP(E2921,Precios!Z$2:BB$941,3,FALSE)*F2921</f>
        <v>-10</v>
      </c>
      <c r="AL2921" s="17"/>
      <c r="AM2921" s="17"/>
      <c r="AN2921" s="17"/>
      <c r="AO2921" s="17"/>
      <c r="AP2921" s="17"/>
      <c r="AQ2921" s="17"/>
      <c r="AR2921" s="17"/>
      <c r="AS2921" s="17"/>
      <c r="AT2921" s="17"/>
      <c r="AU2921" s="17"/>
      <c r="AV2921" s="17"/>
    </row>
    <row r="2922" spans="1:48" ht="15.75" customHeight="1">
      <c r="A2922" s="21" t="s">
        <v>43</v>
      </c>
      <c r="B2922" s="23" t="s">
        <v>1692</v>
      </c>
      <c r="C2922" s="22">
        <v>45713</v>
      </c>
      <c r="D2922" s="23" t="s">
        <v>241</v>
      </c>
      <c r="E2922" s="23" t="s">
        <v>45</v>
      </c>
      <c r="F2922" s="21">
        <v>1</v>
      </c>
      <c r="G2922" s="12">
        <v>7499.8368883312432</v>
      </c>
      <c r="H2922" s="12">
        <v>7499.8368883312432</v>
      </c>
      <c r="I2922" s="23" t="s">
        <v>52</v>
      </c>
      <c r="J2922" s="23" t="s">
        <v>61</v>
      </c>
      <c r="K2922" s="24" t="s">
        <v>177</v>
      </c>
      <c r="L2922" s="24">
        <v>106</v>
      </c>
      <c r="M2922" s="12">
        <v>6302.383939774154</v>
      </c>
      <c r="N2922" s="12">
        <v>6302.383939774154</v>
      </c>
      <c r="O2922" s="12">
        <v>1197.4529485570893</v>
      </c>
      <c r="P2922" s="13"/>
      <c r="Q2922" s="14">
        <v>2025</v>
      </c>
      <c r="R2922" s="15">
        <v>45323</v>
      </c>
      <c r="S2922" s="11" t="s">
        <v>355</v>
      </c>
      <c r="T2922" s="16">
        <v>0</v>
      </c>
      <c r="U2922" s="17"/>
      <c r="V2922" s="12">
        <v>1279.383939774154</v>
      </c>
      <c r="W2922" s="12">
        <v>1279.383939774154</v>
      </c>
      <c r="X2922" s="12">
        <v>0</v>
      </c>
      <c r="Y2922" s="18">
        <v>45712</v>
      </c>
      <c r="Z2922" s="13" t="s">
        <v>516</v>
      </c>
      <c r="AA2922" s="19" t="str">
        <f>VLOOKUP(D2922,Clientes!$A$2:$J$486,9,FALSE)</f>
        <v>Ocacional</v>
      </c>
      <c r="AB2922" s="13" t="str">
        <f>VLOOKUP(D2922,Clientes!$A$2:$K$486,11,FALSE)</f>
        <v>Persona Natural</v>
      </c>
      <c r="AC2922" s="13" t="str">
        <f>VLOOKUP(D2922,Clientes!$A$2:$B$486,2,FALSE)</f>
        <v>Colombia</v>
      </c>
      <c r="AD2922" s="20"/>
      <c r="AE2922" s="20"/>
      <c r="AF2922" s="13" t="s">
        <v>40</v>
      </c>
      <c r="AG2922" s="15">
        <v>45323</v>
      </c>
      <c r="AH2922" s="13" t="s">
        <v>41</v>
      </c>
      <c r="AI2922" s="13" t="s">
        <v>43</v>
      </c>
      <c r="AJ2922" s="13" t="str">
        <f>VLOOKUP(E2922,Precios!Z$2:AA$941,2,FALSE)</f>
        <v>Bandeja Huevos EXTRA</v>
      </c>
      <c r="AK2922" s="14">
        <f>VLOOKUP(E2922,Precios!Z$2:BB$941,3,FALSE)*F2922</f>
        <v>-1</v>
      </c>
      <c r="AL2922" s="17"/>
      <c r="AM2922" s="17"/>
      <c r="AN2922" s="17"/>
      <c r="AO2922" s="17"/>
      <c r="AP2922" s="17"/>
      <c r="AQ2922" s="17"/>
      <c r="AR2922" s="17"/>
      <c r="AS2922" s="17"/>
      <c r="AT2922" s="17"/>
      <c r="AU2922" s="17"/>
      <c r="AV2922" s="17"/>
    </row>
    <row r="2923" spans="1:48" ht="15.75" customHeight="1">
      <c r="A2923" s="21" t="s">
        <v>76</v>
      </c>
      <c r="B2923" s="23" t="s">
        <v>1692</v>
      </c>
      <c r="C2923" s="22">
        <v>45712</v>
      </c>
      <c r="D2923" s="23" t="s">
        <v>738</v>
      </c>
      <c r="E2923" s="23" t="s">
        <v>81</v>
      </c>
      <c r="F2923" s="21">
        <v>3</v>
      </c>
      <c r="G2923" s="12">
        <v>3500.0000000000005</v>
      </c>
      <c r="H2923" s="12">
        <v>10500.000000000002</v>
      </c>
      <c r="I2923" s="23" t="s">
        <v>52</v>
      </c>
      <c r="J2923" s="23" t="s">
        <v>61</v>
      </c>
      <c r="K2923" s="24" t="s">
        <v>86</v>
      </c>
      <c r="L2923" s="24">
        <v>61</v>
      </c>
      <c r="M2923" s="12">
        <v>2941.1764705882356</v>
      </c>
      <c r="N2923" s="12">
        <v>8823.5294117647081</v>
      </c>
      <c r="O2923" s="12">
        <v>1676.4705882352937</v>
      </c>
      <c r="P2923" s="13"/>
      <c r="Q2923" s="14">
        <v>2025</v>
      </c>
      <c r="R2923" s="15">
        <v>45323</v>
      </c>
      <c r="S2923" s="11" t="s">
        <v>397</v>
      </c>
      <c r="T2923" s="16">
        <v>15</v>
      </c>
      <c r="U2923" s="17"/>
      <c r="V2923" s="12">
        <v>2294.1176470588243</v>
      </c>
      <c r="W2923" s="12">
        <v>2294.1176470588243</v>
      </c>
      <c r="X2923" s="12">
        <v>0</v>
      </c>
      <c r="Y2923" s="18">
        <v>45712</v>
      </c>
      <c r="Z2923" s="13" t="s">
        <v>523</v>
      </c>
      <c r="AA2923" s="19" t="str">
        <f>VLOOKUP(D2923,Clientes!$A$2:$J$486,9,FALSE)</f>
        <v>Ocacional</v>
      </c>
      <c r="AB2923" s="13" t="str">
        <f>VLOOKUP(D2923,Clientes!$A$2:$K$486,11,FALSE)</f>
        <v>Empresa</v>
      </c>
      <c r="AC2923" s="13" t="str">
        <f>VLOOKUP(D2923,Clientes!$A$2:$B$486,2,FALSE)</f>
        <v>Rojas Magallanes</v>
      </c>
      <c r="AD2923" s="20"/>
      <c r="AE2923" s="20"/>
      <c r="AF2923" s="13" t="s">
        <v>40</v>
      </c>
      <c r="AG2923" s="15">
        <v>45323</v>
      </c>
      <c r="AH2923" s="13" t="s">
        <v>41</v>
      </c>
      <c r="AI2923" s="13" t="s">
        <v>76</v>
      </c>
      <c r="AJ2923" s="13" t="str">
        <f>VLOOKUP(E2923,Precios!Z$2:AA$941,2,FALSE)</f>
        <v>Detergente SPUM 5 Litros (Verde)</v>
      </c>
      <c r="AK2923" s="14">
        <f>VLOOKUP(E2923,Precios!Z$2:BB$941,3,FALSE)*F2923</f>
        <v>-3</v>
      </c>
      <c r="AL2923" s="17"/>
      <c r="AM2923" s="17"/>
      <c r="AN2923" s="17"/>
      <c r="AO2923" s="17"/>
      <c r="AP2923" s="17"/>
      <c r="AQ2923" s="17"/>
      <c r="AR2923" s="17"/>
      <c r="AS2923" s="17"/>
      <c r="AT2923" s="17"/>
      <c r="AU2923" s="17"/>
      <c r="AV2923" s="17"/>
    </row>
    <row r="2924" spans="1:48" ht="15.75" customHeight="1">
      <c r="A2924" s="21" t="s">
        <v>76</v>
      </c>
      <c r="B2924" s="23" t="s">
        <v>1692</v>
      </c>
      <c r="C2924" s="22">
        <v>45712</v>
      </c>
      <c r="D2924" s="23" t="s">
        <v>348</v>
      </c>
      <c r="E2924" s="23" t="s">
        <v>110</v>
      </c>
      <c r="F2924" s="21">
        <v>1</v>
      </c>
      <c r="G2924" s="12">
        <v>2000.0000000000005</v>
      </c>
      <c r="H2924" s="12">
        <v>2000.0000000000005</v>
      </c>
      <c r="I2924" s="23" t="s">
        <v>52</v>
      </c>
      <c r="J2924" s="23" t="s">
        <v>61</v>
      </c>
      <c r="K2924" s="24" t="s">
        <v>177</v>
      </c>
      <c r="L2924" s="24">
        <v>106</v>
      </c>
      <c r="M2924" s="12">
        <v>1680.6722689075634</v>
      </c>
      <c r="N2924" s="12">
        <v>1680.6722689075634</v>
      </c>
      <c r="O2924" s="12">
        <v>319.32773109243703</v>
      </c>
      <c r="P2924" s="13"/>
      <c r="Q2924" s="14">
        <v>2025</v>
      </c>
      <c r="R2924" s="15">
        <v>45323</v>
      </c>
      <c r="S2924" s="11" t="s">
        <v>378</v>
      </c>
      <c r="T2924" s="16">
        <v>5</v>
      </c>
      <c r="U2924" s="17"/>
      <c r="V2924" s="12">
        <v>756.30252100840369</v>
      </c>
      <c r="W2924" s="12">
        <v>756.30252100840369</v>
      </c>
      <c r="X2924" s="12">
        <v>0</v>
      </c>
      <c r="Y2924" s="18">
        <v>45712</v>
      </c>
      <c r="Z2924" s="13" t="s">
        <v>523</v>
      </c>
      <c r="AA2924" s="19" t="str">
        <f>VLOOKUP(D2924,Clientes!$A$2:$J$486,9,FALSE)</f>
        <v>Regular</v>
      </c>
      <c r="AB2924" s="13" t="str">
        <f>VLOOKUP(D2924,Clientes!$A$2:$K$486,11,FALSE)</f>
        <v>Persona Natural</v>
      </c>
      <c r="AC2924" s="13" t="str">
        <f>VLOOKUP(D2924,Clientes!$A$2:$B$486,2,FALSE)</f>
        <v>Jardines de la Viña</v>
      </c>
      <c r="AD2924" s="20"/>
      <c r="AE2924" s="20"/>
      <c r="AF2924" s="13" t="s">
        <v>40</v>
      </c>
      <c r="AG2924" s="15">
        <v>45323</v>
      </c>
      <c r="AH2924" s="13" t="s">
        <v>41</v>
      </c>
      <c r="AI2924" s="13" t="s">
        <v>76</v>
      </c>
      <c r="AJ2924" s="13" t="str">
        <f>VLOOKUP(E2924,Precios!Z$2:AA$941,2,FALSE)</f>
        <v>Cloro SPUM 5 Litros</v>
      </c>
      <c r="AK2924" s="14">
        <f>VLOOKUP(E2924,Precios!Z$2:BB$941,3,FALSE)*F2924</f>
        <v>-1</v>
      </c>
      <c r="AL2924" s="17"/>
      <c r="AM2924" s="17"/>
      <c r="AN2924" s="17"/>
      <c r="AO2924" s="17"/>
      <c r="AP2924" s="17"/>
      <c r="AQ2924" s="17"/>
      <c r="AR2924" s="17"/>
      <c r="AS2924" s="17"/>
      <c r="AT2924" s="17"/>
      <c r="AU2924" s="17"/>
      <c r="AV2924" s="17"/>
    </row>
    <row r="2925" spans="1:48" ht="15.75" customHeight="1">
      <c r="A2925" s="21" t="s">
        <v>76</v>
      </c>
      <c r="B2925" s="23" t="s">
        <v>1692</v>
      </c>
      <c r="C2925" s="22">
        <v>45712</v>
      </c>
      <c r="D2925" s="23" t="s">
        <v>348</v>
      </c>
      <c r="E2925" s="23" t="s">
        <v>194</v>
      </c>
      <c r="F2925" s="21">
        <v>1</v>
      </c>
      <c r="G2925" s="12">
        <v>2400</v>
      </c>
      <c r="H2925" s="12">
        <v>2400</v>
      </c>
      <c r="I2925" s="23" t="s">
        <v>52</v>
      </c>
      <c r="J2925" s="23" t="s">
        <v>61</v>
      </c>
      <c r="K2925" s="24" t="s">
        <v>177</v>
      </c>
      <c r="L2925" s="24">
        <v>106</v>
      </c>
      <c r="M2925" s="12">
        <v>2016.8067226890757</v>
      </c>
      <c r="N2925" s="12">
        <v>2016.8067226890757</v>
      </c>
      <c r="O2925" s="12">
        <v>383.19327731092426</v>
      </c>
      <c r="P2925" s="13"/>
      <c r="Q2925" s="14">
        <v>2025</v>
      </c>
      <c r="R2925" s="15">
        <v>45323</v>
      </c>
      <c r="S2925" s="11" t="s">
        <v>442</v>
      </c>
      <c r="T2925" s="16">
        <v>0</v>
      </c>
      <c r="U2925" s="17"/>
      <c r="V2925" s="12">
        <v>959.6638655462184</v>
      </c>
      <c r="W2925" s="12">
        <v>959.6638655462184</v>
      </c>
      <c r="X2925" s="12">
        <v>0</v>
      </c>
      <c r="Y2925" s="18">
        <v>45712</v>
      </c>
      <c r="Z2925" s="13" t="s">
        <v>523</v>
      </c>
      <c r="AA2925" s="19" t="str">
        <f>VLOOKUP(D2925,Clientes!$A$2:$J$486,9,FALSE)</f>
        <v>Regular</v>
      </c>
      <c r="AB2925" s="13" t="str">
        <f>VLOOKUP(D2925,Clientes!$A$2:$K$486,11,FALSE)</f>
        <v>Persona Natural</v>
      </c>
      <c r="AC2925" s="13" t="str">
        <f>VLOOKUP(D2925,Clientes!$A$2:$B$486,2,FALSE)</f>
        <v>Jardines de la Viña</v>
      </c>
      <c r="AD2925" s="20"/>
      <c r="AE2925" s="20"/>
      <c r="AF2925" s="13" t="s">
        <v>40</v>
      </c>
      <c r="AG2925" s="15">
        <v>45323</v>
      </c>
      <c r="AH2925" s="13" t="s">
        <v>41</v>
      </c>
      <c r="AI2925" s="13" t="s">
        <v>76</v>
      </c>
      <c r="AJ2925" s="13" t="str">
        <f>VLOOKUP(E2925,Precios!Z$2:AA$941,2,FALSE)</f>
        <v>CIF 750 cc</v>
      </c>
      <c r="AK2925" s="14">
        <f>VLOOKUP(E2925,Precios!Z$2:BB$941,3,FALSE)*F2925</f>
        <v>-1</v>
      </c>
      <c r="AL2925" s="17"/>
      <c r="AM2925" s="17"/>
      <c r="AN2925" s="17"/>
      <c r="AO2925" s="17"/>
      <c r="AP2925" s="17"/>
      <c r="AQ2925" s="17"/>
      <c r="AR2925" s="17"/>
      <c r="AS2925" s="17"/>
      <c r="AT2925" s="17"/>
      <c r="AU2925" s="17"/>
      <c r="AV2925" s="17"/>
    </row>
    <row r="2926" spans="1:48" ht="15.75" customHeight="1">
      <c r="A2926" s="21" t="s">
        <v>76</v>
      </c>
      <c r="B2926" s="23" t="s">
        <v>1692</v>
      </c>
      <c r="C2926" s="22">
        <v>45712</v>
      </c>
      <c r="D2926" s="23" t="s">
        <v>348</v>
      </c>
      <c r="E2926" s="23" t="s">
        <v>98</v>
      </c>
      <c r="F2926" s="21">
        <v>1</v>
      </c>
      <c r="G2926" s="12">
        <v>2600.0000000000005</v>
      </c>
      <c r="H2926" s="12">
        <v>2600.0000000000005</v>
      </c>
      <c r="I2926" s="23" t="s">
        <v>52</v>
      </c>
      <c r="J2926" s="23" t="s">
        <v>61</v>
      </c>
      <c r="K2926" s="24" t="s">
        <v>177</v>
      </c>
      <c r="L2926" s="24">
        <v>106</v>
      </c>
      <c r="M2926" s="12">
        <v>2184.8739495798322</v>
      </c>
      <c r="N2926" s="12">
        <v>2184.8739495798322</v>
      </c>
      <c r="O2926" s="12">
        <v>415.12605042016821</v>
      </c>
      <c r="P2926" s="13"/>
      <c r="Q2926" s="14">
        <v>2025</v>
      </c>
      <c r="R2926" s="15">
        <v>45323</v>
      </c>
      <c r="S2926" s="11" t="s">
        <v>479</v>
      </c>
      <c r="T2926" s="16">
        <v>0</v>
      </c>
      <c r="U2926" s="17"/>
      <c r="V2926" s="12">
        <v>1052.1008403361348</v>
      </c>
      <c r="W2926" s="12">
        <v>1052.1008403361348</v>
      </c>
      <c r="X2926" s="12">
        <v>0</v>
      </c>
      <c r="Y2926" s="18">
        <v>45712</v>
      </c>
      <c r="Z2926" s="13" t="s">
        <v>523</v>
      </c>
      <c r="AA2926" s="19" t="str">
        <f>VLOOKUP(D2926,Clientes!$A$2:$J$486,9,FALSE)</f>
        <v>Regular</v>
      </c>
      <c r="AB2926" s="13" t="str">
        <f>VLOOKUP(D2926,Clientes!$A$2:$K$486,11,FALSE)</f>
        <v>Persona Natural</v>
      </c>
      <c r="AC2926" s="13" t="str">
        <f>VLOOKUP(D2926,Clientes!$A$2:$B$486,2,FALSE)</f>
        <v>Jardines de la Viña</v>
      </c>
      <c r="AD2926" s="20"/>
      <c r="AE2926" s="20"/>
      <c r="AF2926" s="13" t="s">
        <v>40</v>
      </c>
      <c r="AG2926" s="15">
        <v>45323</v>
      </c>
      <c r="AH2926" s="13" t="s">
        <v>41</v>
      </c>
      <c r="AI2926" s="13" t="s">
        <v>76</v>
      </c>
      <c r="AJ2926" s="13" t="str">
        <f>VLOOKUP(E2926,Precios!Z$2:AA$941,2,FALSE)</f>
        <v>Lavaloza QUIX 750 cc</v>
      </c>
      <c r="AK2926" s="14">
        <f>VLOOKUP(E2926,Precios!Z$2:BB$941,3,FALSE)*F2926</f>
        <v>-1</v>
      </c>
      <c r="AL2926" s="17"/>
      <c r="AM2926" s="17"/>
      <c r="AN2926" s="17"/>
      <c r="AO2926" s="17"/>
      <c r="AP2926" s="17"/>
      <c r="AQ2926" s="17"/>
      <c r="AR2926" s="17"/>
      <c r="AS2926" s="17"/>
      <c r="AT2926" s="17"/>
      <c r="AU2926" s="17"/>
      <c r="AV2926" s="17"/>
    </row>
    <row r="2927" spans="1:48" ht="15.75" customHeight="1">
      <c r="A2927" s="21" t="s">
        <v>43</v>
      </c>
      <c r="B2927" s="23" t="s">
        <v>1692</v>
      </c>
      <c r="C2927" s="22">
        <v>45712</v>
      </c>
      <c r="D2927" s="23" t="s">
        <v>348</v>
      </c>
      <c r="E2927" s="23" t="s">
        <v>45</v>
      </c>
      <c r="F2927" s="21">
        <v>1</v>
      </c>
      <c r="G2927" s="12">
        <v>7499.8368883312432</v>
      </c>
      <c r="H2927" s="12">
        <v>7499.8368883312432</v>
      </c>
      <c r="I2927" s="23" t="s">
        <v>52</v>
      </c>
      <c r="J2927" s="23" t="s">
        <v>61</v>
      </c>
      <c r="K2927" s="24" t="s">
        <v>177</v>
      </c>
      <c r="L2927" s="24">
        <v>106</v>
      </c>
      <c r="M2927" s="12">
        <v>6302.383939774154</v>
      </c>
      <c r="N2927" s="12">
        <v>6302.383939774154</v>
      </c>
      <c r="O2927" s="12">
        <v>1197.4529485570893</v>
      </c>
      <c r="P2927" s="13"/>
      <c r="Q2927" s="14">
        <v>2025</v>
      </c>
      <c r="R2927" s="15">
        <v>45323</v>
      </c>
      <c r="S2927" s="11" t="s">
        <v>355</v>
      </c>
      <c r="T2927" s="16">
        <v>0</v>
      </c>
      <c r="U2927" s="17"/>
      <c r="V2927" s="12">
        <v>1279.383939774154</v>
      </c>
      <c r="W2927" s="12">
        <v>1279.383939774154</v>
      </c>
      <c r="X2927" s="12">
        <v>0</v>
      </c>
      <c r="Y2927" s="18">
        <v>45712</v>
      </c>
      <c r="Z2927" s="13" t="s">
        <v>523</v>
      </c>
      <c r="AA2927" s="19" t="str">
        <f>VLOOKUP(D2927,Clientes!$A$2:$J$486,9,FALSE)</f>
        <v>Regular</v>
      </c>
      <c r="AB2927" s="13" t="str">
        <f>VLOOKUP(D2927,Clientes!$A$2:$K$486,11,FALSE)</f>
        <v>Persona Natural</v>
      </c>
      <c r="AC2927" s="13" t="str">
        <f>VLOOKUP(D2927,Clientes!$A$2:$B$486,2,FALSE)</f>
        <v>Jardines de la Viña</v>
      </c>
      <c r="AD2927" s="20"/>
      <c r="AE2927" s="20"/>
      <c r="AF2927" s="13" t="s">
        <v>40</v>
      </c>
      <c r="AG2927" s="15">
        <v>45323</v>
      </c>
      <c r="AH2927" s="13" t="s">
        <v>41</v>
      </c>
      <c r="AI2927" s="13" t="s">
        <v>43</v>
      </c>
      <c r="AJ2927" s="13" t="str">
        <f>VLOOKUP(E2927,Precios!Z$2:AA$941,2,FALSE)</f>
        <v>Bandeja Huevos EXTRA</v>
      </c>
      <c r="AK2927" s="14">
        <f>VLOOKUP(E2927,Precios!Z$2:BB$941,3,FALSE)*F2927</f>
        <v>-1</v>
      </c>
      <c r="AL2927" s="17"/>
      <c r="AM2927" s="17"/>
      <c r="AN2927" s="17"/>
      <c r="AO2927" s="17"/>
      <c r="AP2927" s="17"/>
      <c r="AQ2927" s="17"/>
      <c r="AR2927" s="17"/>
      <c r="AS2927" s="17"/>
      <c r="AT2927" s="17"/>
      <c r="AU2927" s="17"/>
      <c r="AV2927" s="17"/>
    </row>
    <row r="2928" spans="1:48" ht="15.75" customHeight="1">
      <c r="A2928" s="21" t="s">
        <v>56</v>
      </c>
      <c r="B2928" s="23" t="s">
        <v>1692</v>
      </c>
      <c r="C2928" s="22">
        <v>45712</v>
      </c>
      <c r="D2928" s="23" t="s">
        <v>348</v>
      </c>
      <c r="E2928" s="23" t="s">
        <v>190</v>
      </c>
      <c r="F2928" s="21">
        <v>1</v>
      </c>
      <c r="G2928" s="12">
        <v>2500</v>
      </c>
      <c r="H2928" s="12">
        <v>2500</v>
      </c>
      <c r="I2928" s="23" t="s">
        <v>52</v>
      </c>
      <c r="J2928" s="23" t="s">
        <v>61</v>
      </c>
      <c r="K2928" s="24" t="s">
        <v>177</v>
      </c>
      <c r="L2928" s="24">
        <v>106</v>
      </c>
      <c r="M2928" s="12">
        <v>2100.840336134454</v>
      </c>
      <c r="N2928" s="12">
        <v>2100.840336134454</v>
      </c>
      <c r="O2928" s="12">
        <v>399.15966386554601</v>
      </c>
      <c r="P2928" s="13"/>
      <c r="Q2928" s="14">
        <v>2025</v>
      </c>
      <c r="R2928" s="15">
        <v>45323</v>
      </c>
      <c r="S2928" s="11" t="s">
        <v>492</v>
      </c>
      <c r="T2928" s="16">
        <v>200</v>
      </c>
      <c r="U2928" s="17"/>
      <c r="V2928" s="12">
        <v>631.93277310924373</v>
      </c>
      <c r="W2928" s="12">
        <v>631.93277310924373</v>
      </c>
      <c r="X2928" s="12">
        <v>0</v>
      </c>
      <c r="Y2928" s="18">
        <v>45712</v>
      </c>
      <c r="Z2928" s="13" t="s">
        <v>523</v>
      </c>
      <c r="AA2928" s="19" t="str">
        <f>VLOOKUP(D2928,Clientes!$A$2:$J$486,9,FALSE)</f>
        <v>Regular</v>
      </c>
      <c r="AB2928" s="13" t="str">
        <f>VLOOKUP(D2928,Clientes!$A$2:$K$486,11,FALSE)</f>
        <v>Persona Natural</v>
      </c>
      <c r="AC2928" s="13" t="str">
        <f>VLOOKUP(D2928,Clientes!$A$2:$B$486,2,FALSE)</f>
        <v>Jardines de la Viña</v>
      </c>
      <c r="AD2928" s="20"/>
      <c r="AE2928" s="20"/>
      <c r="AF2928" s="13" t="s">
        <v>40</v>
      </c>
      <c r="AG2928" s="15">
        <v>45323</v>
      </c>
      <c r="AH2928" s="13" t="s">
        <v>41</v>
      </c>
      <c r="AI2928" s="13" t="s">
        <v>56</v>
      </c>
      <c r="AJ2928" s="13" t="str">
        <f>VLOOKUP(E2928,Precios!Z$2:AA$941,2,FALSE)</f>
        <v>Mantequilla RUMAY</v>
      </c>
      <c r="AK2928" s="14">
        <f>VLOOKUP(E2928,Precios!Z$2:BB$941,3,FALSE)*F2928</f>
        <v>-1</v>
      </c>
      <c r="AL2928" s="17"/>
      <c r="AM2928" s="17"/>
      <c r="AN2928" s="17"/>
      <c r="AO2928" s="17"/>
      <c r="AP2928" s="17"/>
      <c r="AQ2928" s="17"/>
      <c r="AR2928" s="17"/>
      <c r="AS2928" s="17"/>
      <c r="AT2928" s="17"/>
      <c r="AU2928" s="17"/>
      <c r="AV2928" s="17"/>
    </row>
    <row r="2929" spans="1:48" ht="15.75" customHeight="1">
      <c r="A2929" s="21" t="s">
        <v>76</v>
      </c>
      <c r="B2929" s="23" t="s">
        <v>1692</v>
      </c>
      <c r="C2929" s="22">
        <v>45712</v>
      </c>
      <c r="D2929" s="23" t="s">
        <v>348</v>
      </c>
      <c r="E2929" s="23" t="s">
        <v>81</v>
      </c>
      <c r="F2929" s="21">
        <v>1</v>
      </c>
      <c r="G2929" s="12">
        <v>3500.0000000000005</v>
      </c>
      <c r="H2929" s="12">
        <v>3500.0000000000005</v>
      </c>
      <c r="I2929" s="23" t="s">
        <v>52</v>
      </c>
      <c r="J2929" s="23" t="s">
        <v>61</v>
      </c>
      <c r="K2929" s="24" t="s">
        <v>177</v>
      </c>
      <c r="L2929" s="24">
        <v>106</v>
      </c>
      <c r="M2929" s="12">
        <v>2941.1764705882356</v>
      </c>
      <c r="N2929" s="12">
        <v>2941.1764705882356</v>
      </c>
      <c r="O2929" s="12">
        <v>558.82352941176487</v>
      </c>
      <c r="P2929" s="13"/>
      <c r="Q2929" s="14">
        <v>2025</v>
      </c>
      <c r="R2929" s="15">
        <v>45323</v>
      </c>
      <c r="S2929" s="11" t="s">
        <v>397</v>
      </c>
      <c r="T2929" s="16">
        <v>5</v>
      </c>
      <c r="U2929" s="17"/>
      <c r="V2929" s="12">
        <v>764.70588235294144</v>
      </c>
      <c r="W2929" s="12">
        <v>764.70588235294144</v>
      </c>
      <c r="X2929" s="12">
        <v>0</v>
      </c>
      <c r="Y2929" s="18">
        <v>45712</v>
      </c>
      <c r="Z2929" s="13" t="s">
        <v>523</v>
      </c>
      <c r="AA2929" s="19" t="str">
        <f>VLOOKUP(D2929,Clientes!$A$2:$J$486,9,FALSE)</f>
        <v>Regular</v>
      </c>
      <c r="AB2929" s="13" t="str">
        <f>VLOOKUP(D2929,Clientes!$A$2:$K$486,11,FALSE)</f>
        <v>Persona Natural</v>
      </c>
      <c r="AC2929" s="13" t="str">
        <f>VLOOKUP(D2929,Clientes!$A$2:$B$486,2,FALSE)</f>
        <v>Jardines de la Viña</v>
      </c>
      <c r="AD2929" s="20"/>
      <c r="AE2929" s="20"/>
      <c r="AF2929" s="13" t="s">
        <v>40</v>
      </c>
      <c r="AG2929" s="15">
        <v>45323</v>
      </c>
      <c r="AH2929" s="13" t="s">
        <v>41</v>
      </c>
      <c r="AI2929" s="13" t="s">
        <v>76</v>
      </c>
      <c r="AJ2929" s="13" t="str">
        <f>VLOOKUP(E2929,Precios!Z$2:AA$941,2,FALSE)</f>
        <v>Detergente SPUM 5 Litros (Verde)</v>
      </c>
      <c r="AK2929" s="14">
        <f>VLOOKUP(E2929,Precios!Z$2:BB$941,3,FALSE)*F2929</f>
        <v>-1</v>
      </c>
      <c r="AL2929" s="17"/>
      <c r="AM2929" s="17"/>
      <c r="AN2929" s="17"/>
      <c r="AO2929" s="17"/>
      <c r="AP2929" s="17"/>
      <c r="AQ2929" s="17"/>
      <c r="AR2929" s="17"/>
      <c r="AS2929" s="17"/>
      <c r="AT2929" s="17"/>
      <c r="AU2929" s="17"/>
      <c r="AV2929" s="17"/>
    </row>
    <row r="2930" spans="1:48" ht="15.75" customHeight="1">
      <c r="A2930" s="21" t="s">
        <v>53</v>
      </c>
      <c r="B2930" s="23" t="s">
        <v>1692</v>
      </c>
      <c r="C2930" s="22">
        <v>45712</v>
      </c>
      <c r="D2930" s="23" t="s">
        <v>348</v>
      </c>
      <c r="E2930" s="23" t="s">
        <v>287</v>
      </c>
      <c r="F2930" s="21">
        <v>2</v>
      </c>
      <c r="G2930" s="12">
        <v>3500.0000000000005</v>
      </c>
      <c r="H2930" s="12">
        <v>7000.0000000000009</v>
      </c>
      <c r="I2930" s="23" t="s">
        <v>52</v>
      </c>
      <c r="J2930" s="23" t="s">
        <v>61</v>
      </c>
      <c r="K2930" s="24" t="s">
        <v>177</v>
      </c>
      <c r="L2930" s="24">
        <v>106</v>
      </c>
      <c r="M2930" s="12">
        <v>2941.1764705882356</v>
      </c>
      <c r="N2930" s="12">
        <v>5882.3529411764712</v>
      </c>
      <c r="O2930" s="12">
        <v>1117.6470588235297</v>
      </c>
      <c r="P2930" s="13"/>
      <c r="Q2930" s="14">
        <v>2025</v>
      </c>
      <c r="R2930" s="15">
        <v>45323</v>
      </c>
      <c r="S2930" s="11" t="s">
        <v>366</v>
      </c>
      <c r="T2930" s="16">
        <v>0</v>
      </c>
      <c r="U2930" s="17"/>
      <c r="V2930" s="12">
        <v>2608.4033613445381</v>
      </c>
      <c r="W2930" s="12">
        <v>2608.4033613445381</v>
      </c>
      <c r="X2930" s="12">
        <v>0</v>
      </c>
      <c r="Y2930" s="18">
        <v>45712</v>
      </c>
      <c r="Z2930" s="13" t="s">
        <v>523</v>
      </c>
      <c r="AA2930" s="19" t="str">
        <f>VLOOKUP(D2930,Clientes!$A$2:$J$486,9,FALSE)</f>
        <v>Regular</v>
      </c>
      <c r="AB2930" s="13" t="str">
        <f>VLOOKUP(D2930,Clientes!$A$2:$K$486,11,FALSE)</f>
        <v>Persona Natural</v>
      </c>
      <c r="AC2930" s="13" t="str">
        <f>VLOOKUP(D2930,Clientes!$A$2:$B$486,2,FALSE)</f>
        <v>Jardines de la Viña</v>
      </c>
      <c r="AD2930" s="20"/>
      <c r="AE2930" s="20"/>
      <c r="AF2930" s="13" t="s">
        <v>40</v>
      </c>
      <c r="AG2930" s="15">
        <v>45323</v>
      </c>
      <c r="AH2930" s="13" t="s">
        <v>41</v>
      </c>
      <c r="AI2930" s="13" t="s">
        <v>53</v>
      </c>
      <c r="AJ2930" s="13" t="str">
        <f>VLOOKUP(E2930,Precios!Z$2:AA$941,2,FALSE)</f>
        <v>Papel Higienico ELITE 50 metros</v>
      </c>
      <c r="AK2930" s="14">
        <f>VLOOKUP(E2930,Precios!Z$2:BB$941,3,FALSE)*F2930</f>
        <v>-2</v>
      </c>
      <c r="AL2930" s="17"/>
      <c r="AM2930" s="17"/>
      <c r="AN2930" s="17"/>
      <c r="AO2930" s="17"/>
      <c r="AP2930" s="17"/>
      <c r="AQ2930" s="17"/>
      <c r="AR2930" s="17"/>
      <c r="AS2930" s="17"/>
      <c r="AT2930" s="17"/>
      <c r="AU2930" s="17"/>
      <c r="AV2930" s="17"/>
    </row>
    <row r="2931" spans="1:48" ht="15.75" customHeight="1">
      <c r="A2931" s="21" t="s">
        <v>53</v>
      </c>
      <c r="B2931" s="23" t="s">
        <v>1692</v>
      </c>
      <c r="C2931" s="22">
        <v>45712</v>
      </c>
      <c r="D2931" s="23" t="s">
        <v>348</v>
      </c>
      <c r="E2931" s="23" t="s">
        <v>369</v>
      </c>
      <c r="F2931" s="21">
        <v>2</v>
      </c>
      <c r="G2931" s="12">
        <v>1500.0000000000002</v>
      </c>
      <c r="H2931" s="12">
        <v>3000.0000000000005</v>
      </c>
      <c r="I2931" s="23" t="s">
        <v>52</v>
      </c>
      <c r="J2931" s="23" t="s">
        <v>61</v>
      </c>
      <c r="K2931" s="24" t="s">
        <v>177</v>
      </c>
      <c r="L2931" s="24">
        <v>106</v>
      </c>
      <c r="M2931" s="12">
        <v>1260.5042016806726</v>
      </c>
      <c r="N2931" s="12">
        <v>2521.0084033613452</v>
      </c>
      <c r="O2931" s="12">
        <v>478.99159663865521</v>
      </c>
      <c r="P2931" s="13"/>
      <c r="Q2931" s="14">
        <v>2025</v>
      </c>
      <c r="R2931" s="15">
        <v>45323</v>
      </c>
      <c r="S2931" s="11" t="s">
        <v>369</v>
      </c>
      <c r="T2931" s="16">
        <v>0</v>
      </c>
      <c r="U2931" s="17"/>
      <c r="V2931" s="12">
        <v>915.96638655462198</v>
      </c>
      <c r="W2931" s="12">
        <v>915.96638655462198</v>
      </c>
      <c r="X2931" s="12">
        <v>0</v>
      </c>
      <c r="Y2931" s="18">
        <v>45712</v>
      </c>
      <c r="Z2931" s="13" t="s">
        <v>523</v>
      </c>
      <c r="AA2931" s="19" t="str">
        <f>VLOOKUP(D2931,Clientes!$A$2:$J$486,9,FALSE)</f>
        <v>Regular</v>
      </c>
      <c r="AB2931" s="13" t="str">
        <f>VLOOKUP(D2931,Clientes!$A$2:$K$486,11,FALSE)</f>
        <v>Persona Natural</v>
      </c>
      <c r="AC2931" s="13" t="str">
        <f>VLOOKUP(D2931,Clientes!$A$2:$B$486,2,FALSE)</f>
        <v>Jardines de la Viña</v>
      </c>
      <c r="AD2931" s="20"/>
      <c r="AE2931" s="20"/>
      <c r="AF2931" s="13" t="s">
        <v>40</v>
      </c>
      <c r="AG2931" s="15">
        <v>45323</v>
      </c>
      <c r="AH2931" s="13" t="s">
        <v>41</v>
      </c>
      <c r="AI2931" s="13" t="s">
        <v>53</v>
      </c>
      <c r="AJ2931" s="13" t="str">
        <f>VLOOKUP(E2931,Precios!Z$2:AA$941,2,FALSE)</f>
        <v>Toalla Papel NOVA 12 metros</v>
      </c>
      <c r="AK2931" s="14">
        <f>VLOOKUP(E2931,Precios!Z$2:BB$941,3,FALSE)*F2931</f>
        <v>-2</v>
      </c>
      <c r="AL2931" s="17"/>
      <c r="AM2931" s="17"/>
      <c r="AN2931" s="17"/>
      <c r="AO2931" s="17"/>
      <c r="AP2931" s="17"/>
      <c r="AQ2931" s="17"/>
      <c r="AR2931" s="17"/>
      <c r="AS2931" s="17"/>
      <c r="AT2931" s="17"/>
      <c r="AU2931" s="17"/>
      <c r="AV2931" s="17"/>
    </row>
    <row r="2932" spans="1:48" ht="15.75" customHeight="1">
      <c r="A2932" s="21" t="s">
        <v>47</v>
      </c>
      <c r="B2932" s="23" t="s">
        <v>1692</v>
      </c>
      <c r="C2932" s="22">
        <v>45712</v>
      </c>
      <c r="D2932" s="23" t="s">
        <v>348</v>
      </c>
      <c r="E2932" s="23" t="s">
        <v>336</v>
      </c>
      <c r="F2932" s="21">
        <v>1</v>
      </c>
      <c r="G2932" s="12">
        <v>2800</v>
      </c>
      <c r="H2932" s="12">
        <v>2800</v>
      </c>
      <c r="I2932" s="23" t="s">
        <v>52</v>
      </c>
      <c r="J2932" s="23" t="s">
        <v>61</v>
      </c>
      <c r="K2932" s="24" t="s">
        <v>177</v>
      </c>
      <c r="L2932" s="24">
        <v>106</v>
      </c>
      <c r="M2932" s="12">
        <v>2352.9411764705883</v>
      </c>
      <c r="N2932" s="12">
        <v>2352.9411764705883</v>
      </c>
      <c r="O2932" s="12">
        <v>447.05882352941171</v>
      </c>
      <c r="P2932" s="13"/>
      <c r="Q2932" s="14">
        <v>2025</v>
      </c>
      <c r="R2932" s="15">
        <v>45323</v>
      </c>
      <c r="S2932" s="11" t="s">
        <v>476</v>
      </c>
      <c r="T2932" s="16">
        <v>0</v>
      </c>
      <c r="U2932" s="17"/>
      <c r="V2932" s="12">
        <v>896.94117647058829</v>
      </c>
      <c r="W2932" s="12">
        <v>896.94117647058829</v>
      </c>
      <c r="X2932" s="12">
        <v>0</v>
      </c>
      <c r="Y2932" s="18">
        <v>45712</v>
      </c>
      <c r="Z2932" s="13" t="s">
        <v>523</v>
      </c>
      <c r="AA2932" s="19" t="str">
        <f>VLOOKUP(D2932,Clientes!$A$2:$J$486,9,FALSE)</f>
        <v>Regular</v>
      </c>
      <c r="AB2932" s="13" t="str">
        <f>VLOOKUP(D2932,Clientes!$A$2:$K$486,11,FALSE)</f>
        <v>Persona Natural</v>
      </c>
      <c r="AC2932" s="13" t="str">
        <f>VLOOKUP(D2932,Clientes!$A$2:$B$486,2,FALSE)</f>
        <v>Jardines de la Viña</v>
      </c>
      <c r="AD2932" s="20"/>
      <c r="AE2932" s="20"/>
      <c r="AF2932" s="13" t="s">
        <v>40</v>
      </c>
      <c r="AG2932" s="15">
        <v>45323</v>
      </c>
      <c r="AH2932" s="13" t="s">
        <v>41</v>
      </c>
      <c r="AI2932" s="13" t="s">
        <v>47</v>
      </c>
      <c r="AJ2932" s="13" t="str">
        <f>VLOOKUP(E2932,Precios!Z$2:AA$941,2,FALSE)</f>
        <v>Ambiental Tubo TEDDY</v>
      </c>
      <c r="AK2932" s="14">
        <f>VLOOKUP(E2932,Precios!Z$2:BB$941,3,FALSE)*F2932</f>
        <v>-2</v>
      </c>
      <c r="AL2932" s="17"/>
      <c r="AM2932" s="17"/>
      <c r="AN2932" s="17"/>
      <c r="AO2932" s="17"/>
      <c r="AP2932" s="17"/>
      <c r="AQ2932" s="17"/>
      <c r="AR2932" s="17"/>
      <c r="AS2932" s="17"/>
      <c r="AT2932" s="17"/>
      <c r="AU2932" s="17"/>
      <c r="AV2932" s="17"/>
    </row>
    <row r="2933" spans="1:48" ht="15.75" customHeight="1">
      <c r="A2933" s="21" t="s">
        <v>47</v>
      </c>
      <c r="B2933" s="23" t="s">
        <v>1692</v>
      </c>
      <c r="C2933" s="22">
        <v>45712</v>
      </c>
      <c r="D2933" s="23" t="s">
        <v>348</v>
      </c>
      <c r="E2933" s="23" t="s">
        <v>94</v>
      </c>
      <c r="F2933" s="21">
        <v>2</v>
      </c>
      <c r="G2933" s="12">
        <v>1650.3649635036495</v>
      </c>
      <c r="H2933" s="12">
        <v>3300.729927007299</v>
      </c>
      <c r="I2933" s="23" t="s">
        <v>52</v>
      </c>
      <c r="J2933" s="23" t="s">
        <v>61</v>
      </c>
      <c r="K2933" s="24" t="s">
        <v>177</v>
      </c>
      <c r="L2933" s="24">
        <v>106</v>
      </c>
      <c r="M2933" s="12">
        <v>1386.861313868613</v>
      </c>
      <c r="N2933" s="12">
        <v>2773.722627737226</v>
      </c>
      <c r="O2933" s="12">
        <v>527.00729927007296</v>
      </c>
      <c r="P2933" s="13"/>
      <c r="Q2933" s="14">
        <v>2025</v>
      </c>
      <c r="R2933" s="15">
        <v>45323</v>
      </c>
      <c r="S2933" s="11" t="s">
        <v>384</v>
      </c>
      <c r="T2933" s="16">
        <v>0</v>
      </c>
      <c r="U2933" s="17"/>
      <c r="V2933" s="12">
        <v>873.72262773722605</v>
      </c>
      <c r="W2933" s="12">
        <v>873.72262773722605</v>
      </c>
      <c r="X2933" s="12">
        <v>0</v>
      </c>
      <c r="Y2933" s="18">
        <v>45712</v>
      </c>
      <c r="Z2933" s="13" t="s">
        <v>523</v>
      </c>
      <c r="AA2933" s="19" t="str">
        <f>VLOOKUP(D2933,Clientes!$A$2:$J$486,9,FALSE)</f>
        <v>Regular</v>
      </c>
      <c r="AB2933" s="13" t="str">
        <f>VLOOKUP(D2933,Clientes!$A$2:$K$486,11,FALSE)</f>
        <v>Persona Natural</v>
      </c>
      <c r="AC2933" s="13" t="str">
        <f>VLOOKUP(D2933,Clientes!$A$2:$B$486,2,FALSE)</f>
        <v>Jardines de la Viña</v>
      </c>
      <c r="AD2933" s="20"/>
      <c r="AE2933" s="20"/>
      <c r="AF2933" s="13" t="s">
        <v>40</v>
      </c>
      <c r="AG2933" s="15">
        <v>45323</v>
      </c>
      <c r="AH2933" s="13" t="s">
        <v>41</v>
      </c>
      <c r="AI2933" s="13" t="s">
        <v>47</v>
      </c>
      <c r="AJ2933" s="13" t="str">
        <f>VLOOKUP(E2933,Precios!Z$2:AA$941,2,FALSE)</f>
        <v>Jabón Lìquido BALLERINA</v>
      </c>
      <c r="AK2933" s="14">
        <f>VLOOKUP(E2933,Precios!Z$2:BB$941,3,FALSE)*F2933</f>
        <v>-6</v>
      </c>
      <c r="AL2933" s="17"/>
      <c r="AM2933" s="17"/>
      <c r="AN2933" s="17"/>
      <c r="AO2933" s="17"/>
      <c r="AP2933" s="17"/>
      <c r="AQ2933" s="17"/>
      <c r="AR2933" s="17"/>
      <c r="AS2933" s="17"/>
      <c r="AT2933" s="17"/>
      <c r="AU2933" s="17"/>
      <c r="AV2933" s="17"/>
    </row>
    <row r="2934" spans="1:48" ht="15.75" customHeight="1">
      <c r="A2934" s="21" t="s">
        <v>35</v>
      </c>
      <c r="B2934" s="23" t="s">
        <v>1692</v>
      </c>
      <c r="C2934" s="22">
        <v>45712</v>
      </c>
      <c r="D2934" s="23" t="s">
        <v>348</v>
      </c>
      <c r="E2934" s="23" t="s">
        <v>46</v>
      </c>
      <c r="F2934" s="21">
        <v>1</v>
      </c>
      <c r="G2934" s="12">
        <v>5500</v>
      </c>
      <c r="H2934" s="12">
        <v>5500</v>
      </c>
      <c r="I2934" s="23" t="s">
        <v>52</v>
      </c>
      <c r="J2934" s="23" t="s">
        <v>61</v>
      </c>
      <c r="K2934" s="24" t="s">
        <v>177</v>
      </c>
      <c r="L2934" s="24">
        <v>106</v>
      </c>
      <c r="M2934" s="12">
        <v>4621.8487394957983</v>
      </c>
      <c r="N2934" s="12">
        <v>4621.8487394957983</v>
      </c>
      <c r="O2934" s="12">
        <v>878.15126050420167</v>
      </c>
      <c r="P2934" s="13"/>
      <c r="Q2934" s="14">
        <v>2025</v>
      </c>
      <c r="R2934" s="15">
        <v>45323</v>
      </c>
      <c r="S2934" s="11" t="s">
        <v>364</v>
      </c>
      <c r="T2934" s="16">
        <v>500</v>
      </c>
      <c r="U2934" s="17"/>
      <c r="V2934" s="12">
        <v>1365.1260504201678</v>
      </c>
      <c r="W2934" s="12">
        <v>1365.1260504201678</v>
      </c>
      <c r="X2934" s="12">
        <v>0</v>
      </c>
      <c r="Y2934" s="18">
        <v>45712</v>
      </c>
      <c r="Z2934" s="13" t="s">
        <v>523</v>
      </c>
      <c r="AA2934" s="19" t="str">
        <f>VLOOKUP(D2934,Clientes!$A$2:$J$486,9,FALSE)</f>
        <v>Regular</v>
      </c>
      <c r="AB2934" s="13" t="str">
        <f>VLOOKUP(D2934,Clientes!$A$2:$K$486,11,FALSE)</f>
        <v>Persona Natural</v>
      </c>
      <c r="AC2934" s="13" t="str">
        <f>VLOOKUP(D2934,Clientes!$A$2:$B$486,2,FALSE)</f>
        <v>Jardines de la Viña</v>
      </c>
      <c r="AD2934" s="20"/>
      <c r="AE2934" s="20"/>
      <c r="AF2934" s="13" t="s">
        <v>40</v>
      </c>
      <c r="AG2934" s="15">
        <v>45323</v>
      </c>
      <c r="AH2934" s="13" t="s">
        <v>41</v>
      </c>
      <c r="AI2934" s="13" t="s">
        <v>35</v>
      </c>
      <c r="AJ2934" s="13" t="str">
        <f>VLOOKUP(E2934,Precios!Z$2:AA$941,2,FALSE)</f>
        <v>Queso RUNCA Mantecoso</v>
      </c>
      <c r="AK2934" s="14">
        <f>VLOOKUP(E2934,Precios!Z$2:BB$941,3,FALSE)*F2934</f>
        <v>-0.5</v>
      </c>
      <c r="AL2934" s="17"/>
      <c r="AM2934" s="17"/>
      <c r="AN2934" s="17"/>
      <c r="AO2934" s="17"/>
      <c r="AP2934" s="17"/>
      <c r="AQ2934" s="17"/>
      <c r="AR2934" s="17"/>
      <c r="AS2934" s="17"/>
      <c r="AT2934" s="17"/>
      <c r="AU2934" s="17"/>
      <c r="AV2934" s="17"/>
    </row>
    <row r="2935" spans="1:48" ht="15.75" customHeight="1">
      <c r="A2935" s="21" t="s">
        <v>47</v>
      </c>
      <c r="B2935" s="23" t="s">
        <v>1692</v>
      </c>
      <c r="C2935" s="22">
        <v>45712</v>
      </c>
      <c r="D2935" s="23" t="s">
        <v>348</v>
      </c>
      <c r="E2935" s="23" t="s">
        <v>494</v>
      </c>
      <c r="F2935" s="21">
        <v>1</v>
      </c>
      <c r="G2935" s="12">
        <v>1599.7931747673217</v>
      </c>
      <c r="H2935" s="12">
        <v>1599.7931747673217</v>
      </c>
      <c r="I2935" s="23" t="s">
        <v>52</v>
      </c>
      <c r="J2935" s="23" t="s">
        <v>61</v>
      </c>
      <c r="K2935" s="24" t="s">
        <v>177</v>
      </c>
      <c r="L2935" s="24">
        <v>106</v>
      </c>
      <c r="M2935" s="12">
        <v>1344.3640124095141</v>
      </c>
      <c r="N2935" s="12">
        <v>1344.3640124095141</v>
      </c>
      <c r="O2935" s="12">
        <v>255.42916235780763</v>
      </c>
      <c r="P2935" s="13"/>
      <c r="Q2935" s="14">
        <v>2025</v>
      </c>
      <c r="R2935" s="15">
        <v>45323</v>
      </c>
      <c r="S2935" s="11" t="s">
        <v>495</v>
      </c>
      <c r="T2935" s="16">
        <v>0</v>
      </c>
      <c r="U2935" s="17"/>
      <c r="V2935" s="12">
        <v>369.36401240951409</v>
      </c>
      <c r="W2935" s="12">
        <v>369.36401240951409</v>
      </c>
      <c r="X2935" s="12">
        <v>0</v>
      </c>
      <c r="Y2935" s="18">
        <v>45712</v>
      </c>
      <c r="Z2935" s="13" t="s">
        <v>523</v>
      </c>
      <c r="AA2935" s="19" t="str">
        <f>VLOOKUP(D2935,Clientes!$A$2:$J$486,9,FALSE)</f>
        <v>Regular</v>
      </c>
      <c r="AB2935" s="13" t="str">
        <f>VLOOKUP(D2935,Clientes!$A$2:$K$486,11,FALSE)</f>
        <v>Persona Natural</v>
      </c>
      <c r="AC2935" s="13" t="str">
        <f>VLOOKUP(D2935,Clientes!$A$2:$B$486,2,FALSE)</f>
        <v>Jardines de la Viña</v>
      </c>
      <c r="AD2935" s="20"/>
      <c r="AE2935" s="20"/>
      <c r="AF2935" s="13" t="s">
        <v>40</v>
      </c>
      <c r="AG2935" s="15">
        <v>45323</v>
      </c>
      <c r="AH2935" s="13" t="s">
        <v>41</v>
      </c>
      <c r="AI2935" s="13" t="s">
        <v>47</v>
      </c>
      <c r="AJ2935" s="13" t="str">
        <f>VLOOKUP(E2935,Precios!Z$2:AA$941,2,FALSE)</f>
        <v>Cera Incolora Brillina</v>
      </c>
      <c r="AK2935" s="14">
        <f>VLOOKUP(E2935,Precios!Z$2:BB$941,3,FALSE)*F2935</f>
        <v>-1</v>
      </c>
      <c r="AL2935" s="17"/>
      <c r="AM2935" s="17"/>
      <c r="AN2935" s="17"/>
      <c r="AO2935" s="17"/>
      <c r="AP2935" s="17"/>
      <c r="AQ2935" s="17"/>
      <c r="AR2935" s="17"/>
      <c r="AS2935" s="17"/>
      <c r="AT2935" s="17"/>
      <c r="AU2935" s="17"/>
      <c r="AV2935" s="17"/>
    </row>
    <row r="2936" spans="1:48" ht="15.75" customHeight="1">
      <c r="A2936" s="21" t="s">
        <v>47</v>
      </c>
      <c r="B2936" s="23" t="s">
        <v>1692</v>
      </c>
      <c r="C2936" s="22">
        <v>45712</v>
      </c>
      <c r="D2936" s="23" t="s">
        <v>348</v>
      </c>
      <c r="E2936" s="23" t="s">
        <v>303</v>
      </c>
      <c r="F2936" s="21">
        <v>1</v>
      </c>
      <c r="G2936" s="12">
        <v>2000.2484060611077</v>
      </c>
      <c r="H2936" s="12">
        <v>2000.2484060611077</v>
      </c>
      <c r="I2936" s="23" t="s">
        <v>52</v>
      </c>
      <c r="J2936" s="23" t="s">
        <v>61</v>
      </c>
      <c r="K2936" s="24" t="s">
        <v>177</v>
      </c>
      <c r="L2936" s="24">
        <v>106</v>
      </c>
      <c r="M2936" s="12">
        <v>1680.8810134967293</v>
      </c>
      <c r="N2936" s="12">
        <v>1680.8810134967293</v>
      </c>
      <c r="O2936" s="12">
        <v>319.36739256437841</v>
      </c>
      <c r="P2936" s="13"/>
      <c r="Q2936" s="14">
        <v>2025</v>
      </c>
      <c r="R2936" s="15">
        <v>45323</v>
      </c>
      <c r="S2936" s="11" t="s">
        <v>433</v>
      </c>
      <c r="T2936" s="16">
        <v>0</v>
      </c>
      <c r="U2936" s="17"/>
      <c r="V2936" s="12">
        <v>462.88101349672911</v>
      </c>
      <c r="W2936" s="12">
        <v>462.88101349672911</v>
      </c>
      <c r="X2936" s="12">
        <v>0</v>
      </c>
      <c r="Y2936" s="18">
        <v>45712</v>
      </c>
      <c r="Z2936" s="13" t="s">
        <v>523</v>
      </c>
      <c r="AA2936" s="19" t="str">
        <f>VLOOKUP(D2936,Clientes!$A$2:$J$486,9,FALSE)</f>
        <v>Regular</v>
      </c>
      <c r="AB2936" s="13" t="str">
        <f>VLOOKUP(D2936,Clientes!$A$2:$K$486,11,FALSE)</f>
        <v>Persona Natural</v>
      </c>
      <c r="AC2936" s="13" t="str">
        <f>VLOOKUP(D2936,Clientes!$A$2:$B$486,2,FALSE)</f>
        <v>Jardines de la Viña</v>
      </c>
      <c r="AD2936" s="20"/>
      <c r="AE2936" s="20"/>
      <c r="AF2936" s="13" t="s">
        <v>40</v>
      </c>
      <c r="AG2936" s="15">
        <v>45323</v>
      </c>
      <c r="AH2936" s="13" t="s">
        <v>41</v>
      </c>
      <c r="AI2936" s="13" t="s">
        <v>47</v>
      </c>
      <c r="AJ2936" s="13" t="str">
        <f>VLOOKUP(E2936,Precios!Z$2:AA$941,2,FALSE)</f>
        <v>Trapero Microfibra EXCELL</v>
      </c>
      <c r="AK2936" s="14">
        <f>VLOOKUP(E2936,Precios!Z$2:BB$941,3,FALSE)*F2936</f>
        <v>-1</v>
      </c>
      <c r="AL2936" s="17"/>
      <c r="AM2936" s="17"/>
      <c r="AN2936" s="17"/>
      <c r="AO2936" s="17"/>
      <c r="AP2936" s="17"/>
      <c r="AQ2936" s="17"/>
      <c r="AR2936" s="17"/>
      <c r="AS2936" s="17"/>
      <c r="AT2936" s="17"/>
      <c r="AU2936" s="17"/>
      <c r="AV2936" s="17"/>
    </row>
    <row r="2937" spans="1:48" ht="15.75" customHeight="1">
      <c r="A2937" s="21" t="s">
        <v>43</v>
      </c>
      <c r="B2937" s="23" t="s">
        <v>1692</v>
      </c>
      <c r="C2937" s="22">
        <v>45712</v>
      </c>
      <c r="D2937" s="23" t="s">
        <v>739</v>
      </c>
      <c r="E2937" s="23" t="s">
        <v>45</v>
      </c>
      <c r="F2937" s="21">
        <v>1</v>
      </c>
      <c r="G2937" s="12">
        <v>7499.8368883312432</v>
      </c>
      <c r="H2937" s="12">
        <v>7499.8368883312432</v>
      </c>
      <c r="I2937" s="23" t="s">
        <v>52</v>
      </c>
      <c r="J2937" s="23" t="s">
        <v>61</v>
      </c>
      <c r="K2937" s="24" t="s">
        <v>177</v>
      </c>
      <c r="L2937" s="24">
        <v>106</v>
      </c>
      <c r="M2937" s="12">
        <v>6302.383939774154</v>
      </c>
      <c r="N2937" s="12">
        <v>6302.383939774154</v>
      </c>
      <c r="O2937" s="12">
        <v>1197.4529485570893</v>
      </c>
      <c r="P2937" s="13"/>
      <c r="Q2937" s="14">
        <v>2025</v>
      </c>
      <c r="R2937" s="15">
        <v>45323</v>
      </c>
      <c r="S2937" s="11" t="s">
        <v>355</v>
      </c>
      <c r="T2937" s="16">
        <v>0</v>
      </c>
      <c r="U2937" s="17"/>
      <c r="V2937" s="12">
        <v>1279.383939774154</v>
      </c>
      <c r="W2937" s="12">
        <v>1279.383939774154</v>
      </c>
      <c r="X2937" s="12">
        <v>0</v>
      </c>
      <c r="Y2937" s="18">
        <v>45712</v>
      </c>
      <c r="Z2937" s="13" t="s">
        <v>523</v>
      </c>
      <c r="AA2937" s="19" t="str">
        <f>VLOOKUP(D2937,Clientes!$A$2:$J$486,9,FALSE)</f>
        <v>Ocacional</v>
      </c>
      <c r="AB2937" s="13" t="str">
        <f>VLOOKUP(D2937,Clientes!$A$2:$K$486,11,FALSE)</f>
        <v>Persona Natural</v>
      </c>
      <c r="AC2937" s="13" t="str">
        <f>VLOOKUP(D2937,Clientes!$A$2:$B$486,2,FALSE)</f>
        <v>Vecinal</v>
      </c>
      <c r="AD2937" s="20"/>
      <c r="AE2937" s="20"/>
      <c r="AF2937" s="13" t="s">
        <v>40</v>
      </c>
      <c r="AG2937" s="15">
        <v>45323</v>
      </c>
      <c r="AH2937" s="13" t="s">
        <v>41</v>
      </c>
      <c r="AI2937" s="13" t="s">
        <v>43</v>
      </c>
      <c r="AJ2937" s="13" t="str">
        <f>VLOOKUP(E2937,Precios!Z$2:AA$941,2,FALSE)</f>
        <v>Bandeja Huevos EXTRA</v>
      </c>
      <c r="AK2937" s="14">
        <f>VLOOKUP(E2937,Precios!Z$2:BB$941,3,FALSE)*F2937</f>
        <v>-1</v>
      </c>
      <c r="AL2937" s="17"/>
      <c r="AM2937" s="17"/>
      <c r="AN2937" s="17"/>
      <c r="AO2937" s="17"/>
      <c r="AP2937" s="17"/>
      <c r="AQ2937" s="17"/>
      <c r="AR2937" s="17"/>
      <c r="AS2937" s="17"/>
      <c r="AT2937" s="17"/>
      <c r="AU2937" s="17"/>
      <c r="AV2937" s="17"/>
    </row>
    <row r="2938" spans="1:48" ht="15.75" customHeight="1">
      <c r="A2938" s="21" t="s">
        <v>43</v>
      </c>
      <c r="B2938" s="23" t="s">
        <v>1692</v>
      </c>
      <c r="C2938" s="22">
        <v>45712</v>
      </c>
      <c r="D2938" s="23" t="s">
        <v>215</v>
      </c>
      <c r="E2938" s="23" t="s">
        <v>45</v>
      </c>
      <c r="F2938" s="21">
        <v>1</v>
      </c>
      <c r="G2938" s="12">
        <v>7499.8368883312432</v>
      </c>
      <c r="H2938" s="12">
        <v>7499.8368883312432</v>
      </c>
      <c r="I2938" s="23" t="s">
        <v>52</v>
      </c>
      <c r="J2938" s="23" t="s">
        <v>61</v>
      </c>
      <c r="K2938" s="24" t="s">
        <v>177</v>
      </c>
      <c r="L2938" s="24">
        <v>106</v>
      </c>
      <c r="M2938" s="12">
        <v>6302.383939774154</v>
      </c>
      <c r="N2938" s="12">
        <v>6302.383939774154</v>
      </c>
      <c r="O2938" s="12">
        <v>1197.4529485570893</v>
      </c>
      <c r="P2938" s="13"/>
      <c r="Q2938" s="14">
        <v>2025</v>
      </c>
      <c r="R2938" s="15">
        <v>45323</v>
      </c>
      <c r="S2938" s="11" t="s">
        <v>355</v>
      </c>
      <c r="T2938" s="16">
        <v>0</v>
      </c>
      <c r="U2938" s="17"/>
      <c r="V2938" s="12">
        <v>1279.383939774154</v>
      </c>
      <c r="W2938" s="12">
        <v>1279.383939774154</v>
      </c>
      <c r="X2938" s="12">
        <v>0</v>
      </c>
      <c r="Y2938" s="18">
        <v>45712</v>
      </c>
      <c r="Z2938" s="13" t="s">
        <v>523</v>
      </c>
      <c r="AA2938" s="19" t="str">
        <f>VLOOKUP(D2938,Clientes!$A$2:$J$486,9,FALSE)</f>
        <v>Ocacional</v>
      </c>
      <c r="AB2938" s="13" t="str">
        <f>VLOOKUP(D2938,Clientes!$A$2:$K$486,11,FALSE)</f>
        <v>Persona Natural</v>
      </c>
      <c r="AC2938" s="13" t="str">
        <f>VLOOKUP(D2938,Clientes!$A$2:$B$486,2,FALSE)</f>
        <v>Palena</v>
      </c>
      <c r="AD2938" s="20"/>
      <c r="AE2938" s="20"/>
      <c r="AF2938" s="13" t="s">
        <v>40</v>
      </c>
      <c r="AG2938" s="15">
        <v>45323</v>
      </c>
      <c r="AH2938" s="13" t="s">
        <v>41</v>
      </c>
      <c r="AI2938" s="13" t="s">
        <v>43</v>
      </c>
      <c r="AJ2938" s="13" t="str">
        <f>VLOOKUP(E2938,Precios!Z$2:AA$941,2,FALSE)</f>
        <v>Bandeja Huevos EXTRA</v>
      </c>
      <c r="AK2938" s="14">
        <f>VLOOKUP(E2938,Precios!Z$2:BB$941,3,FALSE)*F2938</f>
        <v>-1</v>
      </c>
      <c r="AL2938" s="17"/>
      <c r="AM2938" s="17"/>
      <c r="AN2938" s="17"/>
      <c r="AO2938" s="17"/>
      <c r="AP2938" s="17"/>
      <c r="AQ2938" s="17"/>
      <c r="AR2938" s="17"/>
      <c r="AS2938" s="17"/>
      <c r="AT2938" s="17"/>
      <c r="AU2938" s="17"/>
      <c r="AV2938" s="17"/>
    </row>
    <row r="2939" spans="1:48" ht="15.75" customHeight="1">
      <c r="A2939" s="21" t="s">
        <v>47</v>
      </c>
      <c r="B2939" s="23" t="s">
        <v>1692</v>
      </c>
      <c r="C2939" s="22">
        <v>45712</v>
      </c>
      <c r="D2939" s="23" t="s">
        <v>215</v>
      </c>
      <c r="E2939" s="23" t="s">
        <v>107</v>
      </c>
      <c r="F2939" s="21">
        <v>1</v>
      </c>
      <c r="G2939" s="12">
        <v>3000.0000000000005</v>
      </c>
      <c r="H2939" s="12">
        <v>3000.0000000000005</v>
      </c>
      <c r="I2939" s="23" t="s">
        <v>52</v>
      </c>
      <c r="J2939" s="23" t="s">
        <v>61</v>
      </c>
      <c r="K2939" s="24" t="s">
        <v>177</v>
      </c>
      <c r="L2939" s="24">
        <v>106</v>
      </c>
      <c r="M2939" s="12">
        <v>2521.0084033613452</v>
      </c>
      <c r="N2939" s="12">
        <v>2521.0084033613452</v>
      </c>
      <c r="O2939" s="12">
        <v>478.99159663865521</v>
      </c>
      <c r="P2939" s="13"/>
      <c r="Q2939" s="14">
        <v>2025</v>
      </c>
      <c r="R2939" s="15">
        <v>45323</v>
      </c>
      <c r="S2939" s="11" t="s">
        <v>453</v>
      </c>
      <c r="T2939" s="16">
        <v>0</v>
      </c>
      <c r="U2939" s="17"/>
      <c r="V2939" s="12">
        <v>758.82352941176487</v>
      </c>
      <c r="W2939" s="12">
        <v>758.82352941176487</v>
      </c>
      <c r="X2939" s="12">
        <v>0</v>
      </c>
      <c r="Y2939" s="18">
        <v>45712</v>
      </c>
      <c r="Z2939" s="13" t="s">
        <v>523</v>
      </c>
      <c r="AA2939" s="19" t="str">
        <f>VLOOKUP(D2939,Clientes!$A$2:$J$486,9,FALSE)</f>
        <v>Ocacional</v>
      </c>
      <c r="AB2939" s="13" t="str">
        <f>VLOOKUP(D2939,Clientes!$A$2:$K$486,11,FALSE)</f>
        <v>Persona Natural</v>
      </c>
      <c r="AC2939" s="13" t="str">
        <f>VLOOKUP(D2939,Clientes!$A$2:$B$486,2,FALSE)</f>
        <v>Palena</v>
      </c>
      <c r="AD2939" s="20"/>
      <c r="AE2939" s="20"/>
      <c r="AF2939" s="13" t="s">
        <v>40</v>
      </c>
      <c r="AG2939" s="15">
        <v>45323</v>
      </c>
      <c r="AH2939" s="13" t="s">
        <v>41</v>
      </c>
      <c r="AI2939" s="13" t="s">
        <v>47</v>
      </c>
      <c r="AJ2939" s="13" t="str">
        <f>VLOOKUP(E2939,Precios!Z$2:AA$941,2,FALSE)</f>
        <v xml:space="preserve">Bolsas Basura TEDDY 90x120 </v>
      </c>
      <c r="AK2939" s="14">
        <f>VLOOKUP(E2939,Precios!Z$2:BB$941,3,FALSE)*F2939</f>
        <v>-1</v>
      </c>
      <c r="AL2939" s="17"/>
      <c r="AM2939" s="17"/>
      <c r="AN2939" s="17"/>
      <c r="AO2939" s="17"/>
      <c r="AP2939" s="17"/>
      <c r="AQ2939" s="17"/>
      <c r="AR2939" s="17"/>
      <c r="AS2939" s="17"/>
      <c r="AT2939" s="17"/>
      <c r="AU2939" s="17"/>
      <c r="AV2939" s="17"/>
    </row>
    <row r="2940" spans="1:48" ht="15.75" customHeight="1">
      <c r="A2940" s="21" t="s">
        <v>43</v>
      </c>
      <c r="B2940" s="23" t="s">
        <v>1692</v>
      </c>
      <c r="C2940" s="22">
        <v>45712</v>
      </c>
      <c r="D2940" s="23" t="s">
        <v>124</v>
      </c>
      <c r="E2940" s="23" t="s">
        <v>45</v>
      </c>
      <c r="F2940" s="21">
        <v>1</v>
      </c>
      <c r="G2940" s="12">
        <v>7499.8368883312432</v>
      </c>
      <c r="H2940" s="12">
        <v>7499.8368883312432</v>
      </c>
      <c r="I2940" s="23" t="s">
        <v>52</v>
      </c>
      <c r="J2940" s="23" t="s">
        <v>61</v>
      </c>
      <c r="K2940" s="24" t="s">
        <v>177</v>
      </c>
      <c r="L2940" s="24">
        <v>106</v>
      </c>
      <c r="M2940" s="12">
        <v>6302.383939774154</v>
      </c>
      <c r="N2940" s="12">
        <v>6302.383939774154</v>
      </c>
      <c r="O2940" s="12">
        <v>1197.4529485570893</v>
      </c>
      <c r="P2940" s="13"/>
      <c r="Q2940" s="14">
        <v>2025</v>
      </c>
      <c r="R2940" s="15">
        <v>45323</v>
      </c>
      <c r="S2940" s="11" t="s">
        <v>355</v>
      </c>
      <c r="T2940" s="16">
        <v>0</v>
      </c>
      <c r="U2940" s="17"/>
      <c r="V2940" s="12">
        <v>1279.383939774154</v>
      </c>
      <c r="W2940" s="12">
        <v>1279.383939774154</v>
      </c>
      <c r="X2940" s="12">
        <v>0</v>
      </c>
      <c r="Y2940" s="18">
        <v>45712</v>
      </c>
      <c r="Z2940" s="13" t="s">
        <v>523</v>
      </c>
      <c r="AA2940" s="19" t="str">
        <f>VLOOKUP(D2940,Clientes!$A$2:$J$486,9,FALSE)</f>
        <v>Regular</v>
      </c>
      <c r="AB2940" s="13" t="str">
        <f>VLOOKUP(D2940,Clientes!$A$2:$K$486,11,FALSE)</f>
        <v>Persona Natural</v>
      </c>
      <c r="AC2940" s="13" t="str">
        <f>VLOOKUP(D2940,Clientes!$A$2:$B$486,2,FALSE)</f>
        <v>Jardines de la viña</v>
      </c>
      <c r="AD2940" s="20"/>
      <c r="AE2940" s="20"/>
      <c r="AF2940" s="13" t="s">
        <v>40</v>
      </c>
      <c r="AG2940" s="15">
        <v>45323</v>
      </c>
      <c r="AH2940" s="13" t="s">
        <v>41</v>
      </c>
      <c r="AI2940" s="13" t="s">
        <v>43</v>
      </c>
      <c r="AJ2940" s="13" t="str">
        <f>VLOOKUP(E2940,Precios!Z$2:AA$941,2,FALSE)</f>
        <v>Bandeja Huevos EXTRA</v>
      </c>
      <c r="AK2940" s="14">
        <f>VLOOKUP(E2940,Precios!Z$2:BB$941,3,FALSE)*F2940</f>
        <v>-1</v>
      </c>
      <c r="AL2940" s="17"/>
      <c r="AM2940" s="17"/>
      <c r="AN2940" s="17"/>
      <c r="AO2940" s="17"/>
      <c r="AP2940" s="17"/>
      <c r="AQ2940" s="17"/>
      <c r="AR2940" s="17"/>
      <c r="AS2940" s="17"/>
      <c r="AT2940" s="17"/>
      <c r="AU2940" s="17"/>
      <c r="AV2940" s="17"/>
    </row>
    <row r="2941" spans="1:48" ht="15.75" customHeight="1">
      <c r="A2941" s="21" t="s">
        <v>43</v>
      </c>
      <c r="B2941" s="23" t="s">
        <v>1692</v>
      </c>
      <c r="C2941" s="22">
        <v>45712</v>
      </c>
      <c r="D2941" s="23" t="s">
        <v>700</v>
      </c>
      <c r="E2941" s="23" t="s">
        <v>45</v>
      </c>
      <c r="F2941" s="21">
        <v>2</v>
      </c>
      <c r="G2941" s="12">
        <v>7499.8368883312432</v>
      </c>
      <c r="H2941" s="12">
        <v>14999.673776662486</v>
      </c>
      <c r="I2941" s="23" t="s">
        <v>52</v>
      </c>
      <c r="J2941" s="23" t="s">
        <v>61</v>
      </c>
      <c r="K2941" s="24" t="s">
        <v>177</v>
      </c>
      <c r="L2941" s="24">
        <v>106</v>
      </c>
      <c r="M2941" s="12">
        <v>6302.383939774154</v>
      </c>
      <c r="N2941" s="12">
        <v>12604.767879548308</v>
      </c>
      <c r="O2941" s="12">
        <v>2394.9058971141785</v>
      </c>
      <c r="P2941" s="13"/>
      <c r="Q2941" s="14">
        <v>2025</v>
      </c>
      <c r="R2941" s="15">
        <v>45323</v>
      </c>
      <c r="S2941" s="11" t="s">
        <v>355</v>
      </c>
      <c r="T2941" s="16">
        <v>0</v>
      </c>
      <c r="U2941" s="17"/>
      <c r="V2941" s="12">
        <v>2558.767879548308</v>
      </c>
      <c r="W2941" s="12">
        <v>2558.767879548308</v>
      </c>
      <c r="X2941" s="12">
        <v>0</v>
      </c>
      <c r="Y2941" s="18">
        <v>45712</v>
      </c>
      <c r="Z2941" s="13" t="s">
        <v>523</v>
      </c>
      <c r="AA2941" s="19" t="str">
        <f>VLOOKUP(D2941,Clientes!$A$2:$J$486,9,FALSE)</f>
        <v>Ocacional</v>
      </c>
      <c r="AB2941" s="13" t="str">
        <f>VLOOKUP(D2941,Clientes!$A$2:$K$486,11,FALSE)</f>
        <v>Persona Natural</v>
      </c>
      <c r="AC2941" s="13" t="str">
        <f>VLOOKUP(D2941,Clientes!$A$2:$B$486,2,FALSE)</f>
        <v>Las Cumbres</v>
      </c>
      <c r="AD2941" s="20"/>
      <c r="AE2941" s="20"/>
      <c r="AF2941" s="13" t="s">
        <v>40</v>
      </c>
      <c r="AG2941" s="15">
        <v>45323</v>
      </c>
      <c r="AH2941" s="13" t="s">
        <v>41</v>
      </c>
      <c r="AI2941" s="13" t="s">
        <v>43</v>
      </c>
      <c r="AJ2941" s="13" t="str">
        <f>VLOOKUP(E2941,Precios!Z$2:AA$941,2,FALSE)</f>
        <v>Bandeja Huevos EXTRA</v>
      </c>
      <c r="AK2941" s="14">
        <f>VLOOKUP(E2941,Precios!Z$2:BB$941,3,FALSE)*F2941</f>
        <v>-2</v>
      </c>
      <c r="AL2941" s="17"/>
      <c r="AM2941" s="17"/>
      <c r="AN2941" s="17"/>
      <c r="AO2941" s="17"/>
      <c r="AP2941" s="17"/>
      <c r="AQ2941" s="17"/>
      <c r="AR2941" s="17"/>
      <c r="AS2941" s="17"/>
      <c r="AT2941" s="17"/>
      <c r="AU2941" s="17"/>
      <c r="AV2941" s="17"/>
    </row>
    <row r="2942" spans="1:48" ht="15.75" customHeight="1">
      <c r="A2942" s="21" t="s">
        <v>53</v>
      </c>
      <c r="B2942" s="23" t="s">
        <v>1692</v>
      </c>
      <c r="C2942" s="22">
        <v>45712</v>
      </c>
      <c r="D2942" s="23" t="s">
        <v>740</v>
      </c>
      <c r="E2942" s="23" t="s">
        <v>163</v>
      </c>
      <c r="F2942" s="21">
        <v>1</v>
      </c>
      <c r="G2942" s="12">
        <v>18990</v>
      </c>
      <c r="H2942" s="12">
        <v>18990</v>
      </c>
      <c r="I2942" s="23" t="s">
        <v>52</v>
      </c>
      <c r="J2942" s="23" t="s">
        <v>61</v>
      </c>
      <c r="K2942" s="24" t="s">
        <v>177</v>
      </c>
      <c r="L2942" s="24">
        <v>106</v>
      </c>
      <c r="M2942" s="12">
        <v>15957.983193277312</v>
      </c>
      <c r="N2942" s="12">
        <v>15957.983193277312</v>
      </c>
      <c r="O2942" s="12">
        <v>3032.0168067226878</v>
      </c>
      <c r="P2942" s="13"/>
      <c r="Q2942" s="14">
        <v>2025</v>
      </c>
      <c r="R2942" s="15">
        <v>45323</v>
      </c>
      <c r="S2942" s="11" t="s">
        <v>435</v>
      </c>
      <c r="T2942" s="16">
        <v>0</v>
      </c>
      <c r="U2942" s="17"/>
      <c r="V2942" s="12">
        <v>4112.6050420168067</v>
      </c>
      <c r="W2942" s="12">
        <v>4112.6050420168067</v>
      </c>
      <c r="X2942" s="12">
        <v>0</v>
      </c>
      <c r="Y2942" s="18">
        <v>45712</v>
      </c>
      <c r="Z2942" s="13" t="s">
        <v>523</v>
      </c>
      <c r="AA2942" s="19" t="str">
        <f>VLOOKUP(D2942,Clientes!$A$2:$J$486,9,FALSE)</f>
        <v>Ocacional</v>
      </c>
      <c r="AB2942" s="13" t="str">
        <f>VLOOKUP(D2942,Clientes!$A$2:$K$486,11,FALSE)</f>
        <v>Persona Natural</v>
      </c>
      <c r="AC2942" s="13" t="str">
        <f>VLOOKUP(D2942,Clientes!$A$2:$B$486,2,FALSE)</f>
        <v>Fray Jorge</v>
      </c>
      <c r="AD2942" s="20"/>
      <c r="AE2942" s="20"/>
      <c r="AF2942" s="13" t="s">
        <v>40</v>
      </c>
      <c r="AG2942" s="15">
        <v>45323</v>
      </c>
      <c r="AH2942" s="13" t="s">
        <v>41</v>
      </c>
      <c r="AI2942" s="13" t="s">
        <v>53</v>
      </c>
      <c r="AJ2942" s="13" t="str">
        <f>VLOOKUP(E2942,Precios!Z$2:AA$941,2,FALSE)</f>
        <v>Papel Higienico SWAN 50 metros</v>
      </c>
      <c r="AK2942" s="14">
        <f>VLOOKUP(E2942,Precios!Z$2:BB$941,3,FALSE)*F2942</f>
        <v>-8</v>
      </c>
      <c r="AL2942" s="17"/>
      <c r="AM2942" s="17"/>
      <c r="AN2942" s="17"/>
      <c r="AO2942" s="17"/>
      <c r="AP2942" s="17"/>
      <c r="AQ2942" s="17"/>
      <c r="AR2942" s="17"/>
      <c r="AS2942" s="17"/>
      <c r="AT2942" s="17"/>
      <c r="AU2942" s="17"/>
      <c r="AV2942" s="17"/>
    </row>
    <row r="2943" spans="1:48" ht="15.75" customHeight="1">
      <c r="A2943" s="21" t="s">
        <v>53</v>
      </c>
      <c r="B2943" s="23" t="s">
        <v>1692</v>
      </c>
      <c r="C2943" s="22">
        <v>45712</v>
      </c>
      <c r="D2943" s="23" t="s">
        <v>740</v>
      </c>
      <c r="E2943" s="23" t="s">
        <v>263</v>
      </c>
      <c r="F2943" s="21">
        <v>1</v>
      </c>
      <c r="G2943" s="12">
        <v>9999.6135265700505</v>
      </c>
      <c r="H2943" s="12">
        <v>9999.6135265700505</v>
      </c>
      <c r="I2943" s="23" t="s">
        <v>52</v>
      </c>
      <c r="J2943" s="23" t="s">
        <v>61</v>
      </c>
      <c r="K2943" s="24" t="s">
        <v>177</v>
      </c>
      <c r="L2943" s="24">
        <v>106</v>
      </c>
      <c r="M2943" s="12">
        <v>8403.036576949622</v>
      </c>
      <c r="N2943" s="12">
        <v>8403.036576949622</v>
      </c>
      <c r="O2943" s="12">
        <v>1596.5769496204284</v>
      </c>
      <c r="P2943" s="13"/>
      <c r="Q2943" s="14">
        <v>2025</v>
      </c>
      <c r="R2943" s="15">
        <v>45323</v>
      </c>
      <c r="S2943" s="11" t="s">
        <v>408</v>
      </c>
      <c r="T2943" s="16">
        <v>0</v>
      </c>
      <c r="U2943" s="17"/>
      <c r="V2943" s="12">
        <v>2315.036576949622</v>
      </c>
      <c r="W2943" s="12">
        <v>2315.036576949622</v>
      </c>
      <c r="X2943" s="12">
        <v>0</v>
      </c>
      <c r="Y2943" s="18">
        <v>45712</v>
      </c>
      <c r="Z2943" s="13" t="s">
        <v>523</v>
      </c>
      <c r="AA2943" s="19" t="str">
        <f>VLOOKUP(D2943,Clientes!$A$2:$J$486,9,FALSE)</f>
        <v>Ocacional</v>
      </c>
      <c r="AB2943" s="13" t="str">
        <f>VLOOKUP(D2943,Clientes!$A$2:$K$486,11,FALSE)</f>
        <v>Persona Natural</v>
      </c>
      <c r="AC2943" s="13" t="str">
        <f>VLOOKUP(D2943,Clientes!$A$2:$B$486,2,FALSE)</f>
        <v>Fray Jorge</v>
      </c>
      <c r="AD2943" s="20"/>
      <c r="AE2943" s="20"/>
      <c r="AF2943" s="13" t="s">
        <v>40</v>
      </c>
      <c r="AG2943" s="15">
        <v>45323</v>
      </c>
      <c r="AH2943" s="13" t="s">
        <v>41</v>
      </c>
      <c r="AI2943" s="13" t="s">
        <v>53</v>
      </c>
      <c r="AJ2943" s="13" t="str">
        <f>VLOOKUP(E2943,Precios!Z$2:AA$941,2,FALSE)</f>
        <v>Toalla Papel SWAN D/H AZUL 100 metros</v>
      </c>
      <c r="AK2943" s="14">
        <f>VLOOKUP(E2943,Precios!Z$2:BB$941,3,FALSE)*F2943</f>
        <v>-3</v>
      </c>
      <c r="AL2943" s="17"/>
      <c r="AM2943" s="17"/>
      <c r="AN2943" s="17"/>
      <c r="AO2943" s="17"/>
      <c r="AP2943" s="17"/>
      <c r="AQ2943" s="17"/>
      <c r="AR2943" s="17"/>
      <c r="AS2943" s="17"/>
      <c r="AT2943" s="17"/>
      <c r="AU2943" s="17"/>
      <c r="AV2943" s="17"/>
    </row>
    <row r="2944" spans="1:48" ht="15.75" customHeight="1">
      <c r="A2944" s="21" t="s">
        <v>47</v>
      </c>
      <c r="B2944" s="23" t="s">
        <v>1692</v>
      </c>
      <c r="C2944" s="22">
        <v>45712</v>
      </c>
      <c r="D2944" s="23" t="s">
        <v>740</v>
      </c>
      <c r="E2944" s="23" t="s">
        <v>204</v>
      </c>
      <c r="F2944" s="21">
        <v>2</v>
      </c>
      <c r="G2944" s="12">
        <v>1200.1927194860814</v>
      </c>
      <c r="H2944" s="12">
        <v>2400.3854389721628</v>
      </c>
      <c r="I2944" s="23" t="s">
        <v>52</v>
      </c>
      <c r="J2944" s="23" t="s">
        <v>61</v>
      </c>
      <c r="K2944" s="24" t="s">
        <v>177</v>
      </c>
      <c r="L2944" s="24">
        <v>106</v>
      </c>
      <c r="M2944" s="12">
        <v>1008.5653104925054</v>
      </c>
      <c r="N2944" s="12">
        <v>2017.1306209850109</v>
      </c>
      <c r="O2944" s="12">
        <v>383.25481798715191</v>
      </c>
      <c r="P2944" s="13"/>
      <c r="Q2944" s="14">
        <v>2025</v>
      </c>
      <c r="R2944" s="15">
        <v>45323</v>
      </c>
      <c r="S2944" s="11" t="s">
        <v>400</v>
      </c>
      <c r="T2944" s="16">
        <v>0</v>
      </c>
      <c r="U2944" s="17"/>
      <c r="V2944" s="12">
        <v>1075.1306209850109</v>
      </c>
      <c r="W2944" s="12">
        <v>1075.1306209850109</v>
      </c>
      <c r="X2944" s="12">
        <v>0</v>
      </c>
      <c r="Y2944" s="18">
        <v>45712</v>
      </c>
      <c r="Z2944" s="13" t="s">
        <v>523</v>
      </c>
      <c r="AA2944" s="19" t="str">
        <f>VLOOKUP(D2944,Clientes!$A$2:$J$486,9,FALSE)</f>
        <v>Ocacional</v>
      </c>
      <c r="AB2944" s="13" t="str">
        <f>VLOOKUP(D2944,Clientes!$A$2:$K$486,11,FALSE)</f>
        <v>Persona Natural</v>
      </c>
      <c r="AC2944" s="13" t="str">
        <f>VLOOKUP(D2944,Clientes!$A$2:$B$486,2,FALSE)</f>
        <v>Fray Jorge</v>
      </c>
      <c r="AD2944" s="20"/>
      <c r="AE2944" s="20"/>
      <c r="AF2944" s="13" t="s">
        <v>40</v>
      </c>
      <c r="AG2944" s="15">
        <v>45323</v>
      </c>
      <c r="AH2944" s="13" t="s">
        <v>41</v>
      </c>
      <c r="AI2944" s="13" t="s">
        <v>47</v>
      </c>
      <c r="AJ2944" s="13" t="str">
        <f>VLOOKUP(E2944,Precios!Z$2:AA$941,2,FALSE)</f>
        <v>Trapero Algodón TEDDY</v>
      </c>
      <c r="AK2944" s="14">
        <f>VLOOKUP(E2944,Precios!Z$2:BB$941,3,FALSE)*F2944</f>
        <v>-2</v>
      </c>
      <c r="AL2944" s="17"/>
      <c r="AM2944" s="17"/>
      <c r="AN2944" s="17"/>
      <c r="AO2944" s="17"/>
      <c r="AP2944" s="17"/>
      <c r="AQ2944" s="17"/>
      <c r="AR2944" s="17"/>
      <c r="AS2944" s="17"/>
      <c r="AT2944" s="17"/>
      <c r="AU2944" s="17"/>
      <c r="AV2944" s="17"/>
    </row>
    <row r="2945" spans="1:48" ht="15.75" customHeight="1">
      <c r="A2945" s="21" t="s">
        <v>43</v>
      </c>
      <c r="B2945" s="23" t="s">
        <v>1692</v>
      </c>
      <c r="C2945" s="22">
        <v>45712</v>
      </c>
      <c r="D2945" s="23" t="s">
        <v>104</v>
      </c>
      <c r="E2945" s="23" t="s">
        <v>45</v>
      </c>
      <c r="F2945" s="21">
        <v>1</v>
      </c>
      <c r="G2945" s="12">
        <v>7499.8368883312432</v>
      </c>
      <c r="H2945" s="12">
        <v>7499.8368883312432</v>
      </c>
      <c r="I2945" s="13" t="s">
        <v>52</v>
      </c>
      <c r="J2945" s="23" t="s">
        <v>61</v>
      </c>
      <c r="K2945" s="24" t="s">
        <v>177</v>
      </c>
      <c r="L2945" s="24">
        <v>106</v>
      </c>
      <c r="M2945" s="12">
        <v>6302.383939774154</v>
      </c>
      <c r="N2945" s="12">
        <v>6302.383939774154</v>
      </c>
      <c r="O2945" s="12">
        <v>1197.4529485570893</v>
      </c>
      <c r="P2945" s="13"/>
      <c r="Q2945" s="14">
        <v>2025</v>
      </c>
      <c r="R2945" s="15">
        <v>45323</v>
      </c>
      <c r="S2945" s="11" t="s">
        <v>355</v>
      </c>
      <c r="T2945" s="16">
        <v>0</v>
      </c>
      <c r="U2945" s="17"/>
      <c r="V2945" s="12">
        <v>1279.383939774154</v>
      </c>
      <c r="W2945" s="12">
        <v>1279.383939774154</v>
      </c>
      <c r="X2945" s="12">
        <v>0</v>
      </c>
      <c r="Y2945" s="18">
        <v>45712</v>
      </c>
      <c r="Z2945" s="13" t="s">
        <v>523</v>
      </c>
      <c r="AA2945" s="19" t="str">
        <f>VLOOKUP(D2945,Clientes!$A$2:$J$486,9,FALSE)</f>
        <v>Ocacional</v>
      </c>
      <c r="AB2945" s="13" t="str">
        <f>VLOOKUP(D2945,Clientes!$A$2:$K$486,11,FALSE)</f>
        <v>Persona Natural</v>
      </c>
      <c r="AC2945" s="13" t="str">
        <f>VLOOKUP(D2945,Clientes!$A$2:$B$486,2,FALSE)</f>
        <v>Jardines de la viña</v>
      </c>
      <c r="AD2945" s="20"/>
      <c r="AE2945" s="20"/>
      <c r="AF2945" s="13" t="s">
        <v>40</v>
      </c>
      <c r="AG2945" s="15">
        <v>45323</v>
      </c>
      <c r="AH2945" s="13" t="s">
        <v>41</v>
      </c>
      <c r="AI2945" s="13" t="s">
        <v>43</v>
      </c>
      <c r="AJ2945" s="13" t="str">
        <f>VLOOKUP(E2945,Precios!Z$2:AA$941,2,FALSE)</f>
        <v>Bandeja Huevos EXTRA</v>
      </c>
      <c r="AK2945" s="14">
        <f>VLOOKUP(E2945,Precios!Z$2:BB$941,3,FALSE)*F2945</f>
        <v>-1</v>
      </c>
      <c r="AL2945" s="17"/>
      <c r="AM2945" s="17"/>
      <c r="AN2945" s="17"/>
      <c r="AO2945" s="17"/>
      <c r="AP2945" s="17"/>
      <c r="AQ2945" s="17"/>
      <c r="AR2945" s="17"/>
      <c r="AS2945" s="17"/>
      <c r="AT2945" s="17"/>
      <c r="AU2945" s="17"/>
      <c r="AV2945" s="17"/>
    </row>
    <row r="2946" spans="1:48" ht="15.75" customHeight="1">
      <c r="A2946" s="21" t="s">
        <v>50</v>
      </c>
      <c r="B2946" s="23" t="s">
        <v>1692</v>
      </c>
      <c r="C2946" s="22">
        <v>45711</v>
      </c>
      <c r="D2946" s="23" t="s">
        <v>141</v>
      </c>
      <c r="E2946" s="23" t="s">
        <v>528</v>
      </c>
      <c r="F2946" s="21">
        <v>2</v>
      </c>
      <c r="G2946" s="12">
        <v>4500.2224529141331</v>
      </c>
      <c r="H2946" s="12">
        <v>9000.4449058282662</v>
      </c>
      <c r="I2946" s="23" t="s">
        <v>52</v>
      </c>
      <c r="J2946" s="23" t="s">
        <v>61</v>
      </c>
      <c r="K2946" s="24" t="s">
        <v>177</v>
      </c>
      <c r="L2946" s="24">
        <v>106</v>
      </c>
      <c r="M2946" s="12">
        <v>3781.6995402639777</v>
      </c>
      <c r="N2946" s="12">
        <v>7563.3990805279554</v>
      </c>
      <c r="O2946" s="12">
        <v>1437.0458253003108</v>
      </c>
      <c r="P2946" s="13"/>
      <c r="Q2946" s="14">
        <v>2025</v>
      </c>
      <c r="R2946" s="15">
        <v>45323</v>
      </c>
      <c r="S2946" s="11" t="s">
        <v>528</v>
      </c>
      <c r="T2946" s="16">
        <v>0</v>
      </c>
      <c r="U2946" s="17"/>
      <c r="V2946" s="12">
        <v>3993.3990805279545</v>
      </c>
      <c r="W2946" s="12">
        <v>3993.3990805279545</v>
      </c>
      <c r="X2946" s="12">
        <v>0</v>
      </c>
      <c r="Y2946" s="18">
        <v>45705</v>
      </c>
      <c r="Z2946" s="13" t="s">
        <v>497</v>
      </c>
      <c r="AA2946" s="19" t="str">
        <f>VLOOKUP(D2946,Clientes!$A$2:$J$486,9,FALSE)</f>
        <v>Familiar</v>
      </c>
      <c r="AB2946" s="13" t="str">
        <f>VLOOKUP(D2946,Clientes!$A$2:$K$486,11,FALSE)</f>
        <v>Persona Natural</v>
      </c>
      <c r="AC2946" s="13" t="str">
        <f>VLOOKUP(D2946,Clientes!$A$2:$B$486,2,FALSE)</f>
        <v>Familiar</v>
      </c>
      <c r="AD2946" s="20"/>
      <c r="AE2946" s="20"/>
      <c r="AF2946" s="13" t="s">
        <v>40</v>
      </c>
      <c r="AG2946" s="15">
        <v>45323</v>
      </c>
      <c r="AH2946" s="13" t="s">
        <v>41</v>
      </c>
      <c r="AI2946" s="13" t="s">
        <v>50</v>
      </c>
      <c r="AJ2946" s="13" t="str">
        <f>VLOOKUP(E2946,Precios!Z$2:AA$941,2,FALSE)</f>
        <v>Hielo 1 Kilo</v>
      </c>
      <c r="AK2946" s="14">
        <f>VLOOKUP(E2946,Precios!Z$2:BB$941,3,FALSE)*F2946</f>
        <v>-10</v>
      </c>
      <c r="AL2946" s="17"/>
      <c r="AM2946" s="17"/>
      <c r="AN2946" s="17"/>
      <c r="AO2946" s="17"/>
      <c r="AP2946" s="17"/>
      <c r="AQ2946" s="17"/>
      <c r="AR2946" s="17"/>
      <c r="AS2946" s="17"/>
      <c r="AT2946" s="17"/>
      <c r="AU2946" s="17"/>
      <c r="AV2946" s="17"/>
    </row>
    <row r="2947" spans="1:48" ht="15.75" customHeight="1">
      <c r="A2947" s="21" t="s">
        <v>47</v>
      </c>
      <c r="B2947" s="23" t="s">
        <v>1692</v>
      </c>
      <c r="C2947" s="22">
        <v>45711</v>
      </c>
      <c r="D2947" s="23" t="s">
        <v>189</v>
      </c>
      <c r="E2947" s="23" t="s">
        <v>94</v>
      </c>
      <c r="F2947" s="21">
        <v>2</v>
      </c>
      <c r="G2947" s="12">
        <v>1650.3649635036495</v>
      </c>
      <c r="H2947" s="12">
        <v>3300.729927007299</v>
      </c>
      <c r="I2947" s="23" t="s">
        <v>52</v>
      </c>
      <c r="J2947" s="23" t="s">
        <v>61</v>
      </c>
      <c r="K2947" s="24" t="s">
        <v>177</v>
      </c>
      <c r="L2947" s="24">
        <v>106</v>
      </c>
      <c r="M2947" s="12">
        <v>1386.861313868613</v>
      </c>
      <c r="N2947" s="12">
        <v>2773.722627737226</v>
      </c>
      <c r="O2947" s="12">
        <v>527.00729927007296</v>
      </c>
      <c r="P2947" s="13"/>
      <c r="Q2947" s="14">
        <v>2025</v>
      </c>
      <c r="R2947" s="15">
        <v>45323</v>
      </c>
      <c r="S2947" s="11" t="s">
        <v>384</v>
      </c>
      <c r="T2947" s="16">
        <v>0</v>
      </c>
      <c r="U2947" s="17"/>
      <c r="V2947" s="12">
        <v>873.72262773722605</v>
      </c>
      <c r="W2947" s="12">
        <v>873.72262773722605</v>
      </c>
      <c r="X2947" s="12">
        <v>0</v>
      </c>
      <c r="Y2947" s="18">
        <v>45705</v>
      </c>
      <c r="Z2947" s="13" t="s">
        <v>497</v>
      </c>
      <c r="AA2947" s="19" t="str">
        <f>VLOOKUP(D2947,Clientes!$A$2:$J$486,9,FALSE)</f>
        <v>Frecuente</v>
      </c>
      <c r="AB2947" s="13" t="str">
        <f>VLOOKUP(D2947,Clientes!$A$2:$K$486,11,FALSE)</f>
        <v>Persona Natural</v>
      </c>
      <c r="AC2947" s="13" t="str">
        <f>VLOOKUP(D2947,Clientes!$A$2:$B$486,2,FALSE)</f>
        <v>Jardines de la Viña</v>
      </c>
      <c r="AD2947" s="20"/>
      <c r="AE2947" s="20"/>
      <c r="AF2947" s="13" t="s">
        <v>40</v>
      </c>
      <c r="AG2947" s="15">
        <v>45323</v>
      </c>
      <c r="AH2947" s="13" t="s">
        <v>41</v>
      </c>
      <c r="AI2947" s="13" t="s">
        <v>47</v>
      </c>
      <c r="AJ2947" s="13" t="str">
        <f>VLOOKUP(E2947,Precios!Z$2:AA$941,2,FALSE)</f>
        <v>Jabón Lìquido BALLERINA</v>
      </c>
      <c r="AK2947" s="14">
        <f>VLOOKUP(E2947,Precios!Z$2:BB$941,3,FALSE)*F2947</f>
        <v>-6</v>
      </c>
      <c r="AL2947" s="17"/>
      <c r="AM2947" s="17"/>
      <c r="AN2947" s="17"/>
      <c r="AO2947" s="17"/>
      <c r="AP2947" s="17"/>
      <c r="AQ2947" s="17"/>
      <c r="AR2947" s="17"/>
      <c r="AS2947" s="17"/>
      <c r="AT2947" s="17"/>
      <c r="AU2947" s="17"/>
      <c r="AV2947" s="17"/>
    </row>
    <row r="2948" spans="1:48" ht="15.75" customHeight="1">
      <c r="A2948" s="21" t="s">
        <v>47</v>
      </c>
      <c r="B2948" s="23" t="s">
        <v>1692</v>
      </c>
      <c r="C2948" s="22">
        <v>45711</v>
      </c>
      <c r="D2948" s="23" t="s">
        <v>189</v>
      </c>
      <c r="E2948" s="23" t="s">
        <v>48</v>
      </c>
      <c r="F2948" s="21">
        <v>1</v>
      </c>
      <c r="G2948" s="12">
        <v>1000</v>
      </c>
      <c r="H2948" s="12">
        <v>1000</v>
      </c>
      <c r="I2948" s="23" t="s">
        <v>52</v>
      </c>
      <c r="J2948" s="23" t="s">
        <v>61</v>
      </c>
      <c r="K2948" s="24" t="s">
        <v>177</v>
      </c>
      <c r="L2948" s="24">
        <v>106</v>
      </c>
      <c r="M2948" s="12">
        <v>840.3361344537816</v>
      </c>
      <c r="N2948" s="12">
        <v>840.3361344537816</v>
      </c>
      <c r="O2948" s="12">
        <v>159.6638655462184</v>
      </c>
      <c r="P2948" s="13"/>
      <c r="Q2948" s="14">
        <v>2025</v>
      </c>
      <c r="R2948" s="15">
        <v>45323</v>
      </c>
      <c r="S2948" s="11" t="s">
        <v>416</v>
      </c>
      <c r="T2948" s="16">
        <v>0</v>
      </c>
      <c r="U2948" s="17"/>
      <c r="V2948" s="12">
        <v>330.33613445378148</v>
      </c>
      <c r="W2948" s="12">
        <v>330.33613445378148</v>
      </c>
      <c r="X2948" s="12">
        <v>0</v>
      </c>
      <c r="Y2948" s="18">
        <v>45705</v>
      </c>
      <c r="Z2948" s="13" t="s">
        <v>497</v>
      </c>
      <c r="AA2948" s="19" t="str">
        <f>VLOOKUP(D2948,Clientes!$A$2:$J$486,9,FALSE)</f>
        <v>Frecuente</v>
      </c>
      <c r="AB2948" s="13" t="str">
        <f>VLOOKUP(D2948,Clientes!$A$2:$K$486,11,FALSE)</f>
        <v>Persona Natural</v>
      </c>
      <c r="AC2948" s="13" t="str">
        <f>VLOOKUP(D2948,Clientes!$A$2:$B$486,2,FALSE)</f>
        <v>Jardines de la Viña</v>
      </c>
      <c r="AD2948" s="20"/>
      <c r="AE2948" s="20"/>
      <c r="AF2948" s="13" t="s">
        <v>40</v>
      </c>
      <c r="AG2948" s="15">
        <v>45323</v>
      </c>
      <c r="AH2948" s="13" t="s">
        <v>41</v>
      </c>
      <c r="AI2948" s="13" t="s">
        <v>47</v>
      </c>
      <c r="AJ2948" s="13" t="str">
        <f>VLOOKUP(E2948,Precios!Z$2:AA$941,2,FALSE)</f>
        <v>Esponja Acanalada TEDDY</v>
      </c>
      <c r="AK2948" s="14">
        <f>VLOOKUP(E2948,Precios!Z$2:BB$941,3,FALSE)*F2948</f>
        <v>-5</v>
      </c>
      <c r="AL2948" s="17"/>
      <c r="AM2948" s="17"/>
      <c r="AN2948" s="17"/>
      <c r="AO2948" s="17"/>
      <c r="AP2948" s="17"/>
      <c r="AQ2948" s="17"/>
      <c r="AR2948" s="17"/>
      <c r="AS2948" s="17"/>
      <c r="AT2948" s="17"/>
      <c r="AU2948" s="17"/>
      <c r="AV2948" s="17"/>
    </row>
    <row r="2949" spans="1:48" ht="15.75" customHeight="1">
      <c r="A2949" s="21" t="s">
        <v>47</v>
      </c>
      <c r="B2949" s="23" t="s">
        <v>1692</v>
      </c>
      <c r="C2949" s="22">
        <v>45711</v>
      </c>
      <c r="D2949" s="23" t="s">
        <v>189</v>
      </c>
      <c r="E2949" s="23" t="s">
        <v>105</v>
      </c>
      <c r="F2949" s="21">
        <v>1</v>
      </c>
      <c r="G2949" s="12">
        <v>1100.0000000000002</v>
      </c>
      <c r="H2949" s="12">
        <v>1100.0000000000002</v>
      </c>
      <c r="I2949" s="23" t="s">
        <v>52</v>
      </c>
      <c r="J2949" s="23" t="s">
        <v>61</v>
      </c>
      <c r="K2949" s="24" t="s">
        <v>177</v>
      </c>
      <c r="L2949" s="24">
        <v>106</v>
      </c>
      <c r="M2949" s="12">
        <v>924.36974789915985</v>
      </c>
      <c r="N2949" s="12">
        <v>924.36974789915985</v>
      </c>
      <c r="O2949" s="12">
        <v>175.63025210084038</v>
      </c>
      <c r="P2949" s="13"/>
      <c r="Q2949" s="14">
        <v>2025</v>
      </c>
      <c r="R2949" s="15">
        <v>45323</v>
      </c>
      <c r="S2949" s="11" t="s">
        <v>105</v>
      </c>
      <c r="T2949" s="16">
        <v>0</v>
      </c>
      <c r="U2949" s="17"/>
      <c r="V2949" s="12">
        <v>342.857142857143</v>
      </c>
      <c r="W2949" s="12">
        <v>342.857142857143</v>
      </c>
      <c r="X2949" s="12">
        <v>0</v>
      </c>
      <c r="Y2949" s="18">
        <v>45705</v>
      </c>
      <c r="Z2949" s="13" t="s">
        <v>497</v>
      </c>
      <c r="AA2949" s="19" t="str">
        <f>VLOOKUP(D2949,Clientes!$A$2:$J$486,9,FALSE)</f>
        <v>Frecuente</v>
      </c>
      <c r="AB2949" s="13" t="str">
        <f>VLOOKUP(D2949,Clientes!$A$2:$K$486,11,FALSE)</f>
        <v>Persona Natural</v>
      </c>
      <c r="AC2949" s="13" t="str">
        <f>VLOOKUP(D2949,Clientes!$A$2:$B$486,2,FALSE)</f>
        <v>Jardines de la Viña</v>
      </c>
      <c r="AD2949" s="20"/>
      <c r="AE2949" s="20"/>
      <c r="AF2949" s="13" t="s">
        <v>40</v>
      </c>
      <c r="AG2949" s="15">
        <v>45323</v>
      </c>
      <c r="AH2949" s="13" t="s">
        <v>41</v>
      </c>
      <c r="AI2949" s="13" t="s">
        <v>47</v>
      </c>
      <c r="AJ2949" s="13" t="str">
        <f>VLOOKUP(E2949,Precios!Z$2:AA$941,2,FALSE)</f>
        <v>Paños Esponja TEDDY</v>
      </c>
      <c r="AK2949" s="14">
        <f>VLOOKUP(E2949,Precios!Z$2:BB$941,3,FALSE)*F2949</f>
        <v>-1</v>
      </c>
      <c r="AL2949" s="17"/>
      <c r="AM2949" s="17"/>
      <c r="AN2949" s="17"/>
      <c r="AO2949" s="17"/>
      <c r="AP2949" s="17"/>
      <c r="AQ2949" s="17"/>
      <c r="AR2949" s="17"/>
      <c r="AS2949" s="17"/>
      <c r="AT2949" s="17"/>
      <c r="AU2949" s="17"/>
      <c r="AV2949" s="17"/>
    </row>
    <row r="2950" spans="1:48" ht="15.75" customHeight="1">
      <c r="A2950" s="21" t="s">
        <v>35</v>
      </c>
      <c r="B2950" s="23" t="s">
        <v>1692</v>
      </c>
      <c r="C2950" s="22">
        <v>45711</v>
      </c>
      <c r="D2950" s="23" t="s">
        <v>189</v>
      </c>
      <c r="E2950" s="23" t="s">
        <v>46</v>
      </c>
      <c r="F2950" s="21">
        <v>1</v>
      </c>
      <c r="G2950" s="12">
        <v>5500</v>
      </c>
      <c r="H2950" s="12">
        <v>5500</v>
      </c>
      <c r="I2950" s="23" t="s">
        <v>52</v>
      </c>
      <c r="J2950" s="23" t="s">
        <v>61</v>
      </c>
      <c r="K2950" s="24" t="s">
        <v>177</v>
      </c>
      <c r="L2950" s="24">
        <v>106</v>
      </c>
      <c r="M2950" s="12">
        <v>4621.8487394957983</v>
      </c>
      <c r="N2950" s="12">
        <v>4621.8487394957983</v>
      </c>
      <c r="O2950" s="12">
        <v>878.15126050420167</v>
      </c>
      <c r="P2950" s="13"/>
      <c r="Q2950" s="14">
        <v>2025</v>
      </c>
      <c r="R2950" s="15">
        <v>45323</v>
      </c>
      <c r="S2950" s="11" t="s">
        <v>364</v>
      </c>
      <c r="T2950" s="16">
        <v>500</v>
      </c>
      <c r="U2950" s="17"/>
      <c r="V2950" s="12">
        <v>1365.1260504201678</v>
      </c>
      <c r="W2950" s="12">
        <v>1365.1260504201678</v>
      </c>
      <c r="X2950" s="12">
        <v>0</v>
      </c>
      <c r="Y2950" s="18">
        <v>45705</v>
      </c>
      <c r="Z2950" s="13" t="s">
        <v>497</v>
      </c>
      <c r="AA2950" s="19" t="str">
        <f>VLOOKUP(D2950,Clientes!$A$2:$J$486,9,FALSE)</f>
        <v>Frecuente</v>
      </c>
      <c r="AB2950" s="13" t="str">
        <f>VLOOKUP(D2950,Clientes!$A$2:$K$486,11,FALSE)</f>
        <v>Persona Natural</v>
      </c>
      <c r="AC2950" s="13" t="str">
        <f>VLOOKUP(D2950,Clientes!$A$2:$B$486,2,FALSE)</f>
        <v>Jardines de la Viña</v>
      </c>
      <c r="AD2950" s="20"/>
      <c r="AE2950" s="20"/>
      <c r="AF2950" s="13" t="s">
        <v>40</v>
      </c>
      <c r="AG2950" s="15">
        <v>45323</v>
      </c>
      <c r="AH2950" s="13" t="s">
        <v>41</v>
      </c>
      <c r="AI2950" s="13" t="s">
        <v>35</v>
      </c>
      <c r="AJ2950" s="13" t="str">
        <f>VLOOKUP(E2950,Precios!Z$2:AA$941,2,FALSE)</f>
        <v>Queso RUNCA Mantecoso</v>
      </c>
      <c r="AK2950" s="14">
        <f>VLOOKUP(E2950,Precios!Z$2:BB$941,3,FALSE)*F2950</f>
        <v>-0.5</v>
      </c>
      <c r="AL2950" s="17"/>
      <c r="AM2950" s="17"/>
      <c r="AN2950" s="17"/>
      <c r="AO2950" s="17"/>
      <c r="AP2950" s="17"/>
      <c r="AQ2950" s="17"/>
      <c r="AR2950" s="17"/>
      <c r="AS2950" s="17"/>
      <c r="AT2950" s="17"/>
      <c r="AU2950" s="17"/>
      <c r="AV2950" s="17"/>
    </row>
    <row r="2951" spans="1:48" ht="15.75" customHeight="1">
      <c r="A2951" s="21" t="s">
        <v>53</v>
      </c>
      <c r="B2951" s="23" t="s">
        <v>1692</v>
      </c>
      <c r="C2951" s="22">
        <v>45711</v>
      </c>
      <c r="D2951" s="23" t="s">
        <v>54</v>
      </c>
      <c r="E2951" s="23" t="s">
        <v>55</v>
      </c>
      <c r="F2951" s="21">
        <v>1</v>
      </c>
      <c r="G2951" s="12">
        <v>19989.738327347361</v>
      </c>
      <c r="H2951" s="12">
        <v>19989.738327347361</v>
      </c>
      <c r="I2951" s="23" t="s">
        <v>52</v>
      </c>
      <c r="J2951" s="23" t="s">
        <v>61</v>
      </c>
      <c r="K2951" s="24" t="s">
        <v>177</v>
      </c>
      <c r="L2951" s="24">
        <v>106</v>
      </c>
      <c r="M2951" s="12">
        <v>16798.099434745684</v>
      </c>
      <c r="N2951" s="12">
        <v>16798.099434745684</v>
      </c>
      <c r="O2951" s="12">
        <v>3191.6388926016771</v>
      </c>
      <c r="P2951" s="13"/>
      <c r="Q2951" s="14">
        <v>2025</v>
      </c>
      <c r="R2951" s="15">
        <v>45323</v>
      </c>
      <c r="S2951" s="11" t="s">
        <v>366</v>
      </c>
      <c r="T2951" s="16">
        <v>0</v>
      </c>
      <c r="U2951" s="17"/>
      <c r="V2951" s="12">
        <v>3702.3011154179476</v>
      </c>
      <c r="W2951" s="12">
        <v>3702.3011154179476</v>
      </c>
      <c r="X2951" s="12">
        <v>0</v>
      </c>
      <c r="Y2951" s="18">
        <v>45705</v>
      </c>
      <c r="Z2951" s="13" t="s">
        <v>497</v>
      </c>
      <c r="AA2951" s="19" t="str">
        <f>VLOOKUP(D2951,Clientes!$A$2:$J$486,9,FALSE)</f>
        <v>Ocacional</v>
      </c>
      <c r="AB2951" s="13" t="str">
        <f>VLOOKUP(D2951,Clientes!$A$2:$K$486,11,FALSE)</f>
        <v>Persona Natural</v>
      </c>
      <c r="AC2951" s="13" t="str">
        <f>VLOOKUP(D2951,Clientes!$A$2:$B$486,2,FALSE)</f>
        <v>Sector Santa Delia</v>
      </c>
      <c r="AD2951" s="20"/>
      <c r="AE2951" s="20"/>
      <c r="AF2951" s="13" t="s">
        <v>40</v>
      </c>
      <c r="AG2951" s="15">
        <v>45323</v>
      </c>
      <c r="AH2951" s="13" t="s">
        <v>41</v>
      </c>
      <c r="AI2951" s="13" t="s">
        <v>53</v>
      </c>
      <c r="AJ2951" s="13" t="str">
        <f>VLOOKUP(E2951,Precios!Z$2:AA$941,2,FALSE)</f>
        <v>Papel Higienico ELITE 50 metros</v>
      </c>
      <c r="AK2951" s="14">
        <f>VLOOKUP(E2951,Precios!Z$2:BB$941,3,FALSE)*F2951</f>
        <v>-8</v>
      </c>
      <c r="AL2951" s="17"/>
      <c r="AM2951" s="17"/>
      <c r="AN2951" s="17"/>
      <c r="AO2951" s="17"/>
      <c r="AP2951" s="17"/>
      <c r="AQ2951" s="17"/>
      <c r="AR2951" s="17"/>
      <c r="AS2951" s="17"/>
      <c r="AT2951" s="17"/>
      <c r="AU2951" s="17"/>
      <c r="AV2951" s="17"/>
    </row>
    <row r="2952" spans="1:48" ht="15.75" customHeight="1">
      <c r="A2952" s="21" t="s">
        <v>43</v>
      </c>
      <c r="B2952" s="23" t="s">
        <v>1692</v>
      </c>
      <c r="C2952" s="22">
        <v>45711</v>
      </c>
      <c r="D2952" s="23" t="s">
        <v>258</v>
      </c>
      <c r="E2952" s="23" t="s">
        <v>45</v>
      </c>
      <c r="F2952" s="21">
        <v>2</v>
      </c>
      <c r="G2952" s="12">
        <v>7499.8368883312432</v>
      </c>
      <c r="H2952" s="12">
        <v>14999.673776662486</v>
      </c>
      <c r="I2952" s="23" t="s">
        <v>52</v>
      </c>
      <c r="J2952" s="23" t="s">
        <v>61</v>
      </c>
      <c r="K2952" s="24" t="s">
        <v>177</v>
      </c>
      <c r="L2952" s="24">
        <v>106</v>
      </c>
      <c r="M2952" s="12">
        <v>6302.383939774154</v>
      </c>
      <c r="N2952" s="12">
        <v>12604.767879548308</v>
      </c>
      <c r="O2952" s="12">
        <v>2394.9058971141785</v>
      </c>
      <c r="P2952" s="13"/>
      <c r="Q2952" s="14">
        <v>2025</v>
      </c>
      <c r="R2952" s="15">
        <v>45323</v>
      </c>
      <c r="S2952" s="11" t="s">
        <v>355</v>
      </c>
      <c r="T2952" s="16">
        <v>0</v>
      </c>
      <c r="U2952" s="17"/>
      <c r="V2952" s="12">
        <v>2558.767879548308</v>
      </c>
      <c r="W2952" s="12">
        <v>2558.767879548308</v>
      </c>
      <c r="X2952" s="12">
        <v>0</v>
      </c>
      <c r="Y2952" s="18">
        <v>45705</v>
      </c>
      <c r="Z2952" s="13" t="s">
        <v>497</v>
      </c>
      <c r="AA2952" s="19" t="str">
        <f>VLOOKUP(D2952,Clientes!$A$2:$J$486,9,FALSE)</f>
        <v>Regular</v>
      </c>
      <c r="AB2952" s="13" t="str">
        <f>VLOOKUP(D2952,Clientes!$A$2:$K$486,11,FALSE)</f>
        <v>Persona Natural</v>
      </c>
      <c r="AC2952" s="13" t="str">
        <f>VLOOKUP(D2952,Clientes!$A$2:$B$486,2,FALSE)</f>
        <v>Colegio Antilhue</v>
      </c>
      <c r="AD2952" s="20"/>
      <c r="AE2952" s="20"/>
      <c r="AF2952" s="13" t="s">
        <v>40</v>
      </c>
      <c r="AG2952" s="15">
        <v>45323</v>
      </c>
      <c r="AH2952" s="13" t="s">
        <v>41</v>
      </c>
      <c r="AI2952" s="13" t="s">
        <v>43</v>
      </c>
      <c r="AJ2952" s="13" t="str">
        <f>VLOOKUP(E2952,Precios!Z$2:AA$941,2,FALSE)</f>
        <v>Bandeja Huevos EXTRA</v>
      </c>
      <c r="AK2952" s="14">
        <f>VLOOKUP(E2952,Precios!Z$2:BB$941,3,FALSE)*F2952</f>
        <v>-2</v>
      </c>
      <c r="AL2952" s="17"/>
      <c r="AM2952" s="17"/>
      <c r="AN2952" s="17"/>
      <c r="AO2952" s="17"/>
      <c r="AP2952" s="17"/>
      <c r="AQ2952" s="17"/>
      <c r="AR2952" s="17"/>
      <c r="AS2952" s="17"/>
      <c r="AT2952" s="17"/>
      <c r="AU2952" s="17"/>
      <c r="AV2952" s="17"/>
    </row>
    <row r="2953" spans="1:48" ht="15.75" customHeight="1">
      <c r="A2953" s="21" t="s">
        <v>43</v>
      </c>
      <c r="B2953" s="23" t="s">
        <v>1692</v>
      </c>
      <c r="C2953" s="25">
        <v>45710</v>
      </c>
      <c r="D2953" s="23" t="s">
        <v>291</v>
      </c>
      <c r="E2953" s="23" t="s">
        <v>45</v>
      </c>
      <c r="F2953" s="21">
        <v>1</v>
      </c>
      <c r="G2953" s="12">
        <v>7499.8368883312432</v>
      </c>
      <c r="H2953" s="12">
        <v>7499.8368883312432</v>
      </c>
      <c r="I2953" s="23" t="s">
        <v>52</v>
      </c>
      <c r="J2953" s="23" t="s">
        <v>61</v>
      </c>
      <c r="K2953" s="24" t="s">
        <v>177</v>
      </c>
      <c r="L2953" s="24">
        <v>105</v>
      </c>
      <c r="M2953" s="12">
        <v>6302.383939774154</v>
      </c>
      <c r="N2953" s="12">
        <v>6302.383939774154</v>
      </c>
      <c r="O2953" s="12">
        <v>1197.4529485570893</v>
      </c>
      <c r="P2953" s="13"/>
      <c r="Q2953" s="14">
        <v>2025</v>
      </c>
      <c r="R2953" s="15">
        <v>45323</v>
      </c>
      <c r="S2953" s="11" t="s">
        <v>355</v>
      </c>
      <c r="T2953" s="16">
        <v>0</v>
      </c>
      <c r="U2953" s="17"/>
      <c r="V2953" s="12">
        <v>1279.383939774154</v>
      </c>
      <c r="W2953" s="12">
        <v>1279.383939774154</v>
      </c>
      <c r="X2953" s="12">
        <v>0</v>
      </c>
      <c r="Y2953" s="18">
        <v>45705</v>
      </c>
      <c r="Z2953" s="13" t="s">
        <v>501</v>
      </c>
      <c r="AA2953" s="19" t="str">
        <f>VLOOKUP(D2953,Clientes!$A$2:$J$486,9,FALSE)</f>
        <v>Ocacional</v>
      </c>
      <c r="AB2953" s="13" t="str">
        <f>VLOOKUP(D2953,Clientes!$A$2:$K$486,11,FALSE)</f>
        <v>Persona Natural</v>
      </c>
      <c r="AC2953" s="13" t="str">
        <f>VLOOKUP(D2953,Clientes!$A$2:$B$486,2,FALSE)</f>
        <v>Jardin del eden</v>
      </c>
      <c r="AD2953" s="20"/>
      <c r="AE2953" s="20"/>
      <c r="AF2953" s="13" t="s">
        <v>40</v>
      </c>
      <c r="AG2953" s="15">
        <v>45323</v>
      </c>
      <c r="AH2953" s="13" t="s">
        <v>41</v>
      </c>
      <c r="AI2953" s="13" t="s">
        <v>43</v>
      </c>
      <c r="AJ2953" s="13" t="str">
        <f>VLOOKUP(E2953,Precios!Z$2:AA$941,2,FALSE)</f>
        <v>Bandeja Huevos EXTRA</v>
      </c>
      <c r="AK2953" s="14">
        <f>VLOOKUP(E2953,Precios!Z$2:BB$941,3,FALSE)*F2953</f>
        <v>-1</v>
      </c>
      <c r="AL2953" s="17"/>
      <c r="AM2953" s="17"/>
      <c r="AN2953" s="17"/>
      <c r="AO2953" s="17"/>
      <c r="AP2953" s="17"/>
      <c r="AQ2953" s="17"/>
      <c r="AR2953" s="17"/>
      <c r="AS2953" s="17"/>
      <c r="AT2953" s="17"/>
      <c r="AU2953" s="17"/>
      <c r="AV2953" s="17"/>
    </row>
    <row r="2954" spans="1:48" ht="15.75" customHeight="1">
      <c r="A2954" s="21" t="s">
        <v>35</v>
      </c>
      <c r="B2954" s="23" t="s">
        <v>1692</v>
      </c>
      <c r="C2954" s="25">
        <v>45710</v>
      </c>
      <c r="D2954" s="23" t="s">
        <v>119</v>
      </c>
      <c r="E2954" s="23" t="s">
        <v>37</v>
      </c>
      <c r="F2954" s="21">
        <v>1</v>
      </c>
      <c r="G2954" s="12">
        <v>10500</v>
      </c>
      <c r="H2954" s="12">
        <v>10500</v>
      </c>
      <c r="I2954" s="23" t="s">
        <v>52</v>
      </c>
      <c r="J2954" s="23" t="s">
        <v>61</v>
      </c>
      <c r="K2954" s="24" t="s">
        <v>177</v>
      </c>
      <c r="L2954" s="24">
        <v>105</v>
      </c>
      <c r="M2954" s="12">
        <v>8823.5294117647063</v>
      </c>
      <c r="N2954" s="12">
        <v>8823.5294117647063</v>
      </c>
      <c r="O2954" s="12">
        <v>1676.4705882352937</v>
      </c>
      <c r="P2954" s="13"/>
      <c r="Q2954" s="14">
        <v>2025</v>
      </c>
      <c r="R2954" s="15">
        <v>45323</v>
      </c>
      <c r="S2954" s="11" t="s">
        <v>364</v>
      </c>
      <c r="T2954" s="16">
        <v>1000</v>
      </c>
      <c r="U2954" s="17"/>
      <c r="V2954" s="12">
        <v>2385.7142857142853</v>
      </c>
      <c r="W2954" s="12">
        <v>2385.7142857142853</v>
      </c>
      <c r="X2954" s="12">
        <v>0</v>
      </c>
      <c r="Y2954" s="18">
        <v>45705</v>
      </c>
      <c r="Z2954" s="13" t="s">
        <v>501</v>
      </c>
      <c r="AA2954" s="19" t="str">
        <f>VLOOKUP(D2954,Clientes!$A$2:$J$486,9,FALSE)</f>
        <v>Ocacional</v>
      </c>
      <c r="AB2954" s="13" t="str">
        <f>VLOOKUP(D2954,Clientes!$A$2:$K$486,11,FALSE)</f>
        <v>Persona Natural</v>
      </c>
      <c r="AC2954" s="13" t="str">
        <f>VLOOKUP(D2954,Clientes!$A$2:$B$486,2,FALSE)</f>
        <v>Conjunto Ingles</v>
      </c>
      <c r="AD2954" s="20"/>
      <c r="AE2954" s="20"/>
      <c r="AF2954" s="13" t="s">
        <v>40</v>
      </c>
      <c r="AG2954" s="15">
        <v>45323</v>
      </c>
      <c r="AH2954" s="13" t="s">
        <v>41</v>
      </c>
      <c r="AI2954" s="13" t="s">
        <v>35</v>
      </c>
      <c r="AJ2954" s="13" t="str">
        <f>VLOOKUP(E2954,Precios!Z$2:AA$941,2,FALSE)</f>
        <v>Queso RUNCA Mantecoso</v>
      </c>
      <c r="AK2954" s="14">
        <f>VLOOKUP(E2954,Precios!Z$2:BB$941,3,FALSE)*F2954</f>
        <v>-1</v>
      </c>
      <c r="AL2954" s="17"/>
      <c r="AM2954" s="17"/>
      <c r="AN2954" s="17"/>
      <c r="AO2954" s="17"/>
      <c r="AP2954" s="17"/>
      <c r="AQ2954" s="17"/>
      <c r="AR2954" s="17"/>
      <c r="AS2954" s="17"/>
      <c r="AT2954" s="17"/>
      <c r="AU2954" s="17"/>
      <c r="AV2954" s="17"/>
    </row>
    <row r="2955" spans="1:48" ht="15.75" customHeight="1">
      <c r="A2955" s="21" t="s">
        <v>56</v>
      </c>
      <c r="B2955" s="23" t="s">
        <v>1692</v>
      </c>
      <c r="C2955" s="25">
        <v>45710</v>
      </c>
      <c r="D2955" s="23" t="s">
        <v>116</v>
      </c>
      <c r="E2955" s="23" t="s">
        <v>190</v>
      </c>
      <c r="F2955" s="21">
        <v>2</v>
      </c>
      <c r="G2955" s="12">
        <v>2500</v>
      </c>
      <c r="H2955" s="12">
        <v>5000</v>
      </c>
      <c r="I2955" s="23" t="s">
        <v>52</v>
      </c>
      <c r="J2955" s="23" t="s">
        <v>61</v>
      </c>
      <c r="K2955" s="24" t="s">
        <v>177</v>
      </c>
      <c r="L2955" s="24">
        <v>105</v>
      </c>
      <c r="M2955" s="12">
        <v>2100.840336134454</v>
      </c>
      <c r="N2955" s="12">
        <v>4201.680672268908</v>
      </c>
      <c r="O2955" s="12">
        <v>798.31932773109202</v>
      </c>
      <c r="P2955" s="13"/>
      <c r="Q2955" s="14">
        <v>2025</v>
      </c>
      <c r="R2955" s="15">
        <v>45323</v>
      </c>
      <c r="S2955" s="11" t="s">
        <v>492</v>
      </c>
      <c r="T2955" s="16">
        <v>400</v>
      </c>
      <c r="U2955" s="17"/>
      <c r="V2955" s="12">
        <v>1263.8655462184875</v>
      </c>
      <c r="W2955" s="12">
        <v>1263.8655462184875</v>
      </c>
      <c r="X2955" s="12">
        <v>0</v>
      </c>
      <c r="Y2955" s="18">
        <v>45705</v>
      </c>
      <c r="Z2955" s="13" t="s">
        <v>501</v>
      </c>
      <c r="AA2955" s="19" t="str">
        <f>VLOOKUP(D2955,Clientes!$A$2:$J$486,9,FALSE)</f>
        <v>Ocacional</v>
      </c>
      <c r="AB2955" s="13" t="str">
        <f>VLOOKUP(D2955,Clientes!$A$2:$K$486,11,FALSE)</f>
        <v>Persona Natural</v>
      </c>
      <c r="AC2955" s="13">
        <f>VLOOKUP(D2955,Clientes!$A$2:$B$486,2,FALSE)</f>
        <v>0</v>
      </c>
      <c r="AD2955" s="20"/>
      <c r="AE2955" s="20"/>
      <c r="AF2955" s="13" t="s">
        <v>40</v>
      </c>
      <c r="AG2955" s="15">
        <v>45323</v>
      </c>
      <c r="AH2955" s="13" t="s">
        <v>41</v>
      </c>
      <c r="AI2955" s="13" t="s">
        <v>56</v>
      </c>
      <c r="AJ2955" s="13" t="str">
        <f>VLOOKUP(E2955,Precios!Z$2:AA$941,2,FALSE)</f>
        <v>Mantequilla RUMAY</v>
      </c>
      <c r="AK2955" s="14">
        <f>VLOOKUP(E2955,Precios!Z$2:BB$941,3,FALSE)*F2955</f>
        <v>-2</v>
      </c>
      <c r="AL2955" s="17"/>
      <c r="AM2955" s="17"/>
      <c r="AN2955" s="17"/>
      <c r="AO2955" s="17"/>
      <c r="AP2955" s="17"/>
      <c r="AQ2955" s="17"/>
      <c r="AR2955" s="17"/>
      <c r="AS2955" s="17"/>
      <c r="AT2955" s="17"/>
      <c r="AU2955" s="17"/>
      <c r="AV2955" s="17"/>
    </row>
    <row r="2956" spans="1:48" ht="15.75" customHeight="1">
      <c r="A2956" s="21" t="s">
        <v>35</v>
      </c>
      <c r="B2956" s="23" t="s">
        <v>1692</v>
      </c>
      <c r="C2956" s="25">
        <v>45710</v>
      </c>
      <c r="D2956" s="23" t="s">
        <v>116</v>
      </c>
      <c r="E2956" s="23" t="s">
        <v>37</v>
      </c>
      <c r="F2956" s="21">
        <v>1</v>
      </c>
      <c r="G2956" s="12">
        <v>10500</v>
      </c>
      <c r="H2956" s="12">
        <v>10500</v>
      </c>
      <c r="I2956" s="23" t="s">
        <v>52</v>
      </c>
      <c r="J2956" s="23" t="s">
        <v>61</v>
      </c>
      <c r="K2956" s="24" t="s">
        <v>177</v>
      </c>
      <c r="L2956" s="24">
        <v>105</v>
      </c>
      <c r="M2956" s="12">
        <v>8823.5294117647063</v>
      </c>
      <c r="N2956" s="12">
        <v>8823.5294117647063</v>
      </c>
      <c r="O2956" s="12">
        <v>1676.4705882352937</v>
      </c>
      <c r="P2956" s="13"/>
      <c r="Q2956" s="14">
        <v>2025</v>
      </c>
      <c r="R2956" s="15">
        <v>45323</v>
      </c>
      <c r="S2956" s="11" t="s">
        <v>364</v>
      </c>
      <c r="T2956" s="16">
        <v>1000</v>
      </c>
      <c r="U2956" s="17"/>
      <c r="V2956" s="12">
        <v>2385.7142857142853</v>
      </c>
      <c r="W2956" s="12">
        <v>2385.7142857142853</v>
      </c>
      <c r="X2956" s="12">
        <v>0</v>
      </c>
      <c r="Y2956" s="18">
        <v>45705</v>
      </c>
      <c r="Z2956" s="13" t="s">
        <v>501</v>
      </c>
      <c r="AA2956" s="19" t="str">
        <f>VLOOKUP(D2956,Clientes!$A$2:$J$486,9,FALSE)</f>
        <v>Ocacional</v>
      </c>
      <c r="AB2956" s="13" t="str">
        <f>VLOOKUP(D2956,Clientes!$A$2:$K$486,11,FALSE)</f>
        <v>Persona Natural</v>
      </c>
      <c r="AC2956" s="13">
        <f>VLOOKUP(D2956,Clientes!$A$2:$B$486,2,FALSE)</f>
        <v>0</v>
      </c>
      <c r="AD2956" s="20"/>
      <c r="AE2956" s="20"/>
      <c r="AF2956" s="13" t="s">
        <v>40</v>
      </c>
      <c r="AG2956" s="15">
        <v>45323</v>
      </c>
      <c r="AH2956" s="13" t="s">
        <v>41</v>
      </c>
      <c r="AI2956" s="13" t="s">
        <v>35</v>
      </c>
      <c r="AJ2956" s="13" t="str">
        <f>VLOOKUP(E2956,Precios!Z$2:AA$941,2,FALSE)</f>
        <v>Queso RUNCA Mantecoso</v>
      </c>
      <c r="AK2956" s="14">
        <f>VLOOKUP(E2956,Precios!Z$2:BB$941,3,FALSE)*F2956</f>
        <v>-1</v>
      </c>
      <c r="AL2956" s="17"/>
      <c r="AM2956" s="17"/>
      <c r="AN2956" s="17"/>
      <c r="AO2956" s="17"/>
      <c r="AP2956" s="17"/>
      <c r="AQ2956" s="17"/>
      <c r="AR2956" s="17"/>
      <c r="AS2956" s="17"/>
      <c r="AT2956" s="17"/>
      <c r="AU2956" s="17"/>
      <c r="AV2956" s="17"/>
    </row>
    <row r="2957" spans="1:48" ht="15.75" customHeight="1">
      <c r="A2957" s="21" t="s">
        <v>53</v>
      </c>
      <c r="B2957" s="23" t="s">
        <v>1692</v>
      </c>
      <c r="C2957" s="25">
        <v>45710</v>
      </c>
      <c r="D2957" s="23" t="s">
        <v>116</v>
      </c>
      <c r="E2957" s="23" t="s">
        <v>69</v>
      </c>
      <c r="F2957" s="21">
        <v>1</v>
      </c>
      <c r="G2957" s="12">
        <v>2999.9553810458683</v>
      </c>
      <c r="H2957" s="12">
        <v>2999.9553810458683</v>
      </c>
      <c r="I2957" s="23" t="s">
        <v>52</v>
      </c>
      <c r="J2957" s="23" t="s">
        <v>61</v>
      </c>
      <c r="K2957" s="24" t="s">
        <v>177</v>
      </c>
      <c r="L2957" s="24">
        <v>105</v>
      </c>
      <c r="M2957" s="12">
        <v>2520.9709084419064</v>
      </c>
      <c r="N2957" s="12">
        <v>2520.9709084419064</v>
      </c>
      <c r="O2957" s="12">
        <v>478.98447260396188</v>
      </c>
      <c r="P2957" s="13"/>
      <c r="Q2957" s="14">
        <v>2025</v>
      </c>
      <c r="R2957" s="15">
        <v>45323</v>
      </c>
      <c r="S2957" s="11" t="s">
        <v>376</v>
      </c>
      <c r="T2957" s="16">
        <v>0</v>
      </c>
      <c r="U2957" s="17"/>
      <c r="V2957" s="12">
        <v>825.97090844190598</v>
      </c>
      <c r="W2957" s="12">
        <v>825.97090844190598</v>
      </c>
      <c r="X2957" s="12">
        <v>0</v>
      </c>
      <c r="Y2957" s="18">
        <v>45705</v>
      </c>
      <c r="Z2957" s="13" t="s">
        <v>501</v>
      </c>
      <c r="AA2957" s="19" t="str">
        <f>VLOOKUP(D2957,Clientes!$A$2:$J$486,9,FALSE)</f>
        <v>Ocacional</v>
      </c>
      <c r="AB2957" s="13" t="str">
        <f>VLOOKUP(D2957,Clientes!$A$2:$K$486,11,FALSE)</f>
        <v>Persona Natural</v>
      </c>
      <c r="AC2957" s="13">
        <f>VLOOKUP(D2957,Clientes!$A$2:$B$486,2,FALSE)</f>
        <v>0</v>
      </c>
      <c r="AD2957" s="20"/>
      <c r="AE2957" s="20"/>
      <c r="AF2957" s="13" t="s">
        <v>40</v>
      </c>
      <c r="AG2957" s="15">
        <v>45323</v>
      </c>
      <c r="AH2957" s="13" t="s">
        <v>41</v>
      </c>
      <c r="AI2957" s="13" t="s">
        <v>53</v>
      </c>
      <c r="AJ2957" s="13" t="str">
        <f>VLOOKUP(E2957,Precios!Z$2:AA$941,2,FALSE)</f>
        <v>Toalla Papel NOVA 70 metros</v>
      </c>
      <c r="AK2957" s="14">
        <f>VLOOKUP(E2957,Precios!Z$2:BB$941,3,FALSE)*F2957</f>
        <v>-1</v>
      </c>
      <c r="AL2957" s="17"/>
      <c r="AM2957" s="17"/>
      <c r="AN2957" s="17"/>
      <c r="AO2957" s="17"/>
      <c r="AP2957" s="17"/>
      <c r="AQ2957" s="17"/>
      <c r="AR2957" s="17"/>
      <c r="AS2957" s="17"/>
      <c r="AT2957" s="17"/>
      <c r="AU2957" s="17"/>
      <c r="AV2957" s="17"/>
    </row>
    <row r="2958" spans="1:48" ht="15.75" customHeight="1">
      <c r="A2958" s="21" t="s">
        <v>47</v>
      </c>
      <c r="B2958" s="23" t="s">
        <v>1692</v>
      </c>
      <c r="C2958" s="25">
        <v>45710</v>
      </c>
      <c r="D2958" s="23" t="s">
        <v>141</v>
      </c>
      <c r="E2958" s="23" t="s">
        <v>92</v>
      </c>
      <c r="F2958" s="21">
        <v>1</v>
      </c>
      <c r="G2958" s="12">
        <v>3400.2970989164628</v>
      </c>
      <c r="H2958" s="12">
        <v>3400.2970989164628</v>
      </c>
      <c r="I2958" s="23" t="s">
        <v>52</v>
      </c>
      <c r="J2958" s="23" t="s">
        <v>61</v>
      </c>
      <c r="K2958" s="24" t="s">
        <v>177</v>
      </c>
      <c r="L2958" s="24">
        <v>105</v>
      </c>
      <c r="M2958" s="12">
        <v>2857.3925200978679</v>
      </c>
      <c r="N2958" s="12">
        <v>2857.3925200978679</v>
      </c>
      <c r="O2958" s="12">
        <v>542.90457881859493</v>
      </c>
      <c r="P2958" s="13"/>
      <c r="Q2958" s="14">
        <v>2025</v>
      </c>
      <c r="R2958" s="15">
        <v>45323</v>
      </c>
      <c r="S2958" s="11" t="s">
        <v>453</v>
      </c>
      <c r="T2958" s="16">
        <v>0</v>
      </c>
      <c r="U2958" s="17"/>
      <c r="V2958" s="12">
        <v>1222.3925200978679</v>
      </c>
      <c r="W2958" s="12">
        <v>1222.3925200978679</v>
      </c>
      <c r="X2958" s="12">
        <v>0</v>
      </c>
      <c r="Y2958" s="18">
        <v>45705</v>
      </c>
      <c r="Z2958" s="13" t="s">
        <v>501</v>
      </c>
      <c r="AA2958" s="19" t="str">
        <f>VLOOKUP(D2958,Clientes!$A$2:$J$486,9,FALSE)</f>
        <v>Familiar</v>
      </c>
      <c r="AB2958" s="13" t="str">
        <f>VLOOKUP(D2958,Clientes!$A$2:$K$486,11,FALSE)</f>
        <v>Persona Natural</v>
      </c>
      <c r="AC2958" s="13" t="str">
        <f>VLOOKUP(D2958,Clientes!$A$2:$B$486,2,FALSE)</f>
        <v>Familiar</v>
      </c>
      <c r="AD2958" s="20"/>
      <c r="AE2958" s="20"/>
      <c r="AF2958" s="13" t="s">
        <v>40</v>
      </c>
      <c r="AG2958" s="15">
        <v>45323</v>
      </c>
      <c r="AH2958" s="13" t="s">
        <v>41</v>
      </c>
      <c r="AI2958" s="13" t="s">
        <v>47</v>
      </c>
      <c r="AJ2958" s="13" t="str">
        <f>VLOOKUP(E2958,Precios!Z$2:AA$941,2,FALSE)</f>
        <v xml:space="preserve">Bolsas Basura TEDDY 70x90 </v>
      </c>
      <c r="AK2958" s="14">
        <f>VLOOKUP(E2958,Precios!Z$2:BB$941,3,FALSE)*F2958</f>
        <v>-3</v>
      </c>
      <c r="AL2958" s="17"/>
      <c r="AM2958" s="17"/>
      <c r="AN2958" s="17"/>
      <c r="AO2958" s="17"/>
      <c r="AP2958" s="17"/>
      <c r="AQ2958" s="17"/>
      <c r="AR2958" s="17"/>
      <c r="AS2958" s="17"/>
      <c r="AT2958" s="17"/>
      <c r="AU2958" s="17"/>
      <c r="AV2958" s="17"/>
    </row>
    <row r="2959" spans="1:48" ht="15.75" customHeight="1">
      <c r="A2959" s="21" t="s">
        <v>35</v>
      </c>
      <c r="B2959" s="23" t="s">
        <v>1692</v>
      </c>
      <c r="C2959" s="25">
        <v>45710</v>
      </c>
      <c r="D2959" s="23" t="s">
        <v>141</v>
      </c>
      <c r="E2959" s="23" t="s">
        <v>37</v>
      </c>
      <c r="F2959" s="21">
        <v>1</v>
      </c>
      <c r="G2959" s="12">
        <v>10500</v>
      </c>
      <c r="H2959" s="34">
        <v>10500</v>
      </c>
      <c r="I2959" s="23" t="s">
        <v>52</v>
      </c>
      <c r="J2959" s="23" t="s">
        <v>61</v>
      </c>
      <c r="K2959" s="24" t="s">
        <v>177</v>
      </c>
      <c r="L2959" s="24">
        <v>105</v>
      </c>
      <c r="M2959" s="12">
        <v>8823.5294117647063</v>
      </c>
      <c r="N2959" s="12">
        <v>8823.5294117647063</v>
      </c>
      <c r="O2959" s="12">
        <v>1676.4705882352937</v>
      </c>
      <c r="P2959" s="13"/>
      <c r="Q2959" s="14">
        <v>2025</v>
      </c>
      <c r="R2959" s="15">
        <v>45323</v>
      </c>
      <c r="S2959" s="11" t="s">
        <v>364</v>
      </c>
      <c r="T2959" s="16">
        <v>1000</v>
      </c>
      <c r="U2959" s="17"/>
      <c r="V2959" s="12">
        <v>2385.7142857142853</v>
      </c>
      <c r="W2959" s="12">
        <v>2385.7142857142853</v>
      </c>
      <c r="X2959" s="12">
        <v>0</v>
      </c>
      <c r="Y2959" s="18">
        <v>45705</v>
      </c>
      <c r="Z2959" s="13" t="s">
        <v>501</v>
      </c>
      <c r="AA2959" s="19" t="str">
        <f>VLOOKUP(D2959,Clientes!$A$2:$J$486,9,FALSE)</f>
        <v>Familiar</v>
      </c>
      <c r="AB2959" s="13" t="str">
        <f>VLOOKUP(D2959,Clientes!$A$2:$K$486,11,FALSE)</f>
        <v>Persona Natural</v>
      </c>
      <c r="AC2959" s="13" t="str">
        <f>VLOOKUP(D2959,Clientes!$A$2:$B$486,2,FALSE)</f>
        <v>Familiar</v>
      </c>
      <c r="AD2959" s="20"/>
      <c r="AE2959" s="20"/>
      <c r="AF2959" s="13" t="s">
        <v>40</v>
      </c>
      <c r="AG2959" s="15">
        <v>45323</v>
      </c>
      <c r="AH2959" s="13" t="s">
        <v>41</v>
      </c>
      <c r="AI2959" s="13" t="s">
        <v>35</v>
      </c>
      <c r="AJ2959" s="13" t="str">
        <f>VLOOKUP(E2959,Precios!Z$2:AA$941,2,FALSE)</f>
        <v>Queso RUNCA Mantecoso</v>
      </c>
      <c r="AK2959" s="14">
        <f>VLOOKUP(E2959,Precios!Z$2:BB$941,3,FALSE)*F2959</f>
        <v>-1</v>
      </c>
      <c r="AL2959" s="17"/>
      <c r="AM2959" s="17"/>
      <c r="AN2959" s="17"/>
      <c r="AO2959" s="17"/>
      <c r="AP2959" s="17"/>
      <c r="AQ2959" s="17"/>
      <c r="AR2959" s="17"/>
      <c r="AS2959" s="17"/>
      <c r="AT2959" s="17"/>
      <c r="AU2959" s="17"/>
      <c r="AV2959" s="17"/>
    </row>
    <row r="2960" spans="1:48" ht="15.75" customHeight="1">
      <c r="A2960" s="21" t="s">
        <v>53</v>
      </c>
      <c r="B2960" s="23" t="s">
        <v>1692</v>
      </c>
      <c r="C2960" s="25">
        <v>45710</v>
      </c>
      <c r="D2960" s="23" t="s">
        <v>141</v>
      </c>
      <c r="E2960" s="23" t="s">
        <v>203</v>
      </c>
      <c r="F2960" s="21">
        <v>1</v>
      </c>
      <c r="G2960" s="12">
        <v>9500</v>
      </c>
      <c r="H2960" s="34">
        <v>9500</v>
      </c>
      <c r="I2960" s="23" t="s">
        <v>52</v>
      </c>
      <c r="J2960" s="23" t="s">
        <v>61</v>
      </c>
      <c r="K2960" s="24" t="s">
        <v>177</v>
      </c>
      <c r="L2960" s="24">
        <v>105</v>
      </c>
      <c r="M2960" s="12">
        <v>7983.1932773109247</v>
      </c>
      <c r="N2960" s="12">
        <v>7983.1932773109247</v>
      </c>
      <c r="O2960" s="12">
        <v>1516.8067226890753</v>
      </c>
      <c r="P2960" s="13"/>
      <c r="Q2960" s="14">
        <v>2025</v>
      </c>
      <c r="R2960" s="15">
        <v>45323</v>
      </c>
      <c r="S2960" s="11" t="s">
        <v>366</v>
      </c>
      <c r="T2960" s="16">
        <v>0</v>
      </c>
      <c r="U2960" s="17"/>
      <c r="V2960" s="12">
        <v>3072.2689075630251</v>
      </c>
      <c r="W2960" s="12">
        <v>3072.2689075630251</v>
      </c>
      <c r="X2960" s="12">
        <v>0</v>
      </c>
      <c r="Y2960" s="18">
        <v>45705</v>
      </c>
      <c r="Z2960" s="13" t="s">
        <v>501</v>
      </c>
      <c r="AA2960" s="19" t="str">
        <f>VLOOKUP(D2960,Clientes!$A$2:$J$486,9,FALSE)</f>
        <v>Familiar</v>
      </c>
      <c r="AB2960" s="13" t="str">
        <f>VLOOKUP(D2960,Clientes!$A$2:$K$486,11,FALSE)</f>
        <v>Persona Natural</v>
      </c>
      <c r="AC2960" s="13" t="str">
        <f>VLOOKUP(D2960,Clientes!$A$2:$B$486,2,FALSE)</f>
        <v>Familiar</v>
      </c>
      <c r="AD2960" s="20"/>
      <c r="AE2960" s="20"/>
      <c r="AF2960" s="13" t="s">
        <v>40</v>
      </c>
      <c r="AG2960" s="15">
        <v>45323</v>
      </c>
      <c r="AH2960" s="13" t="s">
        <v>41</v>
      </c>
      <c r="AI2960" s="13" t="s">
        <v>53</v>
      </c>
      <c r="AJ2960" s="13" t="str">
        <f>VLOOKUP(E2960,Precios!Z$2:AA$941,2,FALSE)</f>
        <v>Papel Higienico ELITE 50 metros</v>
      </c>
      <c r="AK2960" s="14">
        <f>VLOOKUP(E2960,Precios!Z$2:BB$941,3,FALSE)*F2960</f>
        <v>-3</v>
      </c>
      <c r="AL2960" s="17"/>
      <c r="AM2960" s="17"/>
      <c r="AN2960" s="17"/>
      <c r="AO2960" s="17"/>
      <c r="AP2960" s="17"/>
      <c r="AQ2960" s="17"/>
      <c r="AR2960" s="17"/>
      <c r="AS2960" s="17"/>
      <c r="AT2960" s="17"/>
      <c r="AU2960" s="17"/>
      <c r="AV2960" s="17"/>
    </row>
    <row r="2961" spans="1:48" ht="15.75" customHeight="1">
      <c r="A2961" s="21" t="s">
        <v>43</v>
      </c>
      <c r="B2961" s="23" t="s">
        <v>1692</v>
      </c>
      <c r="C2961" s="25">
        <v>45710</v>
      </c>
      <c r="D2961" s="23" t="s">
        <v>141</v>
      </c>
      <c r="E2961" s="23" t="s">
        <v>45</v>
      </c>
      <c r="F2961" s="21">
        <v>1</v>
      </c>
      <c r="G2961" s="12">
        <v>7499.8368883312432</v>
      </c>
      <c r="H2961" s="34">
        <v>7499.8368883312432</v>
      </c>
      <c r="I2961" s="23" t="s">
        <v>52</v>
      </c>
      <c r="J2961" s="23" t="s">
        <v>61</v>
      </c>
      <c r="K2961" s="24" t="s">
        <v>177</v>
      </c>
      <c r="L2961" s="24">
        <v>105</v>
      </c>
      <c r="M2961" s="12">
        <v>6302.383939774154</v>
      </c>
      <c r="N2961" s="12">
        <v>6302.383939774154</v>
      </c>
      <c r="O2961" s="12">
        <v>1197.4529485570893</v>
      </c>
      <c r="P2961" s="13"/>
      <c r="Q2961" s="14">
        <v>2025</v>
      </c>
      <c r="R2961" s="15">
        <v>45323</v>
      </c>
      <c r="S2961" s="11" t="s">
        <v>355</v>
      </c>
      <c r="T2961" s="16">
        <v>0</v>
      </c>
      <c r="U2961" s="17"/>
      <c r="V2961" s="12">
        <v>1279.383939774154</v>
      </c>
      <c r="W2961" s="12">
        <v>1279.383939774154</v>
      </c>
      <c r="X2961" s="12">
        <v>0</v>
      </c>
      <c r="Y2961" s="18">
        <v>45705</v>
      </c>
      <c r="Z2961" s="13" t="s">
        <v>501</v>
      </c>
      <c r="AA2961" s="19" t="str">
        <f>VLOOKUP(D2961,Clientes!$A$2:$J$486,9,FALSE)</f>
        <v>Familiar</v>
      </c>
      <c r="AB2961" s="13" t="str">
        <f>VLOOKUP(D2961,Clientes!$A$2:$K$486,11,FALSE)</f>
        <v>Persona Natural</v>
      </c>
      <c r="AC2961" s="13" t="str">
        <f>VLOOKUP(D2961,Clientes!$A$2:$B$486,2,FALSE)</f>
        <v>Familiar</v>
      </c>
      <c r="AD2961" s="20"/>
      <c r="AE2961" s="20"/>
      <c r="AF2961" s="13" t="s">
        <v>40</v>
      </c>
      <c r="AG2961" s="15">
        <v>45323</v>
      </c>
      <c r="AH2961" s="13" t="s">
        <v>41</v>
      </c>
      <c r="AI2961" s="13" t="s">
        <v>43</v>
      </c>
      <c r="AJ2961" s="13" t="str">
        <f>VLOOKUP(E2961,Precios!Z$2:AA$941,2,FALSE)</f>
        <v>Bandeja Huevos EXTRA</v>
      </c>
      <c r="AK2961" s="14">
        <f>VLOOKUP(E2961,Precios!Z$2:BB$941,3,FALSE)*F2961</f>
        <v>-1</v>
      </c>
      <c r="AL2961" s="17"/>
      <c r="AM2961" s="17"/>
      <c r="AN2961" s="17"/>
      <c r="AO2961" s="17"/>
      <c r="AP2961" s="17"/>
      <c r="AQ2961" s="17"/>
      <c r="AR2961" s="17"/>
      <c r="AS2961" s="17"/>
      <c r="AT2961" s="17"/>
      <c r="AU2961" s="17"/>
      <c r="AV2961" s="17"/>
    </row>
    <row r="2962" spans="1:48" ht="15.75" customHeight="1">
      <c r="A2962" s="21" t="s">
        <v>76</v>
      </c>
      <c r="B2962" s="23" t="s">
        <v>1692</v>
      </c>
      <c r="C2962" s="25">
        <v>45710</v>
      </c>
      <c r="D2962" s="23" t="s">
        <v>141</v>
      </c>
      <c r="E2962" s="23" t="s">
        <v>194</v>
      </c>
      <c r="F2962" s="21">
        <v>1</v>
      </c>
      <c r="G2962" s="12">
        <v>2400</v>
      </c>
      <c r="H2962" s="34">
        <v>2400</v>
      </c>
      <c r="I2962" s="23" t="s">
        <v>52</v>
      </c>
      <c r="J2962" s="23" t="s">
        <v>61</v>
      </c>
      <c r="K2962" s="24" t="s">
        <v>177</v>
      </c>
      <c r="L2962" s="24">
        <v>105</v>
      </c>
      <c r="M2962" s="12">
        <v>2016.8067226890757</v>
      </c>
      <c r="N2962" s="12">
        <v>2016.8067226890757</v>
      </c>
      <c r="O2962" s="12">
        <v>383.19327731092426</v>
      </c>
      <c r="P2962" s="13"/>
      <c r="Q2962" s="14">
        <v>2025</v>
      </c>
      <c r="R2962" s="15">
        <v>45323</v>
      </c>
      <c r="S2962" s="11" t="s">
        <v>442</v>
      </c>
      <c r="T2962" s="16">
        <v>0</v>
      </c>
      <c r="U2962" s="17"/>
      <c r="V2962" s="12">
        <v>959.6638655462184</v>
      </c>
      <c r="W2962" s="12">
        <v>959.6638655462184</v>
      </c>
      <c r="X2962" s="12">
        <v>0</v>
      </c>
      <c r="Y2962" s="18">
        <v>45705</v>
      </c>
      <c r="Z2962" s="13" t="s">
        <v>501</v>
      </c>
      <c r="AA2962" s="19" t="str">
        <f>VLOOKUP(D2962,Clientes!$A$2:$J$486,9,FALSE)</f>
        <v>Familiar</v>
      </c>
      <c r="AB2962" s="13" t="str">
        <f>VLOOKUP(D2962,Clientes!$A$2:$K$486,11,FALSE)</f>
        <v>Persona Natural</v>
      </c>
      <c r="AC2962" s="13" t="str">
        <f>VLOOKUP(D2962,Clientes!$A$2:$B$486,2,FALSE)</f>
        <v>Familiar</v>
      </c>
      <c r="AD2962" s="20"/>
      <c r="AE2962" s="20"/>
      <c r="AF2962" s="13" t="s">
        <v>40</v>
      </c>
      <c r="AG2962" s="15">
        <v>45323</v>
      </c>
      <c r="AH2962" s="13" t="s">
        <v>41</v>
      </c>
      <c r="AI2962" s="13" t="s">
        <v>76</v>
      </c>
      <c r="AJ2962" s="13" t="str">
        <f>VLOOKUP(E2962,Precios!Z$2:AA$941,2,FALSE)</f>
        <v>CIF 750 cc</v>
      </c>
      <c r="AK2962" s="14">
        <f>VLOOKUP(E2962,Precios!Z$2:BB$941,3,FALSE)*F2962</f>
        <v>-1</v>
      </c>
      <c r="AL2962" s="17"/>
      <c r="AM2962" s="17"/>
      <c r="AN2962" s="17"/>
      <c r="AO2962" s="17"/>
      <c r="AP2962" s="17"/>
      <c r="AQ2962" s="17"/>
      <c r="AR2962" s="17"/>
      <c r="AS2962" s="17"/>
      <c r="AT2962" s="17"/>
      <c r="AU2962" s="17"/>
      <c r="AV2962" s="17"/>
    </row>
    <row r="2963" spans="1:48" ht="15.75" customHeight="1">
      <c r="A2963" s="21" t="s">
        <v>76</v>
      </c>
      <c r="B2963" s="23" t="s">
        <v>1692</v>
      </c>
      <c r="C2963" s="25">
        <v>45710</v>
      </c>
      <c r="D2963" s="23" t="s">
        <v>141</v>
      </c>
      <c r="E2963" s="23" t="s">
        <v>337</v>
      </c>
      <c r="F2963" s="21">
        <v>1</v>
      </c>
      <c r="G2963" s="12">
        <v>1599.9448225124147</v>
      </c>
      <c r="H2963" s="34">
        <v>1599.9448225124147</v>
      </c>
      <c r="I2963" s="23" t="s">
        <v>52</v>
      </c>
      <c r="J2963" s="23" t="s">
        <v>61</v>
      </c>
      <c r="K2963" s="24" t="s">
        <v>177</v>
      </c>
      <c r="L2963" s="24">
        <v>105</v>
      </c>
      <c r="M2963" s="12">
        <v>1344.4914474894242</v>
      </c>
      <c r="N2963" s="12">
        <v>1344.4914474894242</v>
      </c>
      <c r="O2963" s="12">
        <v>255.45337502299049</v>
      </c>
      <c r="P2963" s="13"/>
      <c r="Q2963" s="14">
        <v>2025</v>
      </c>
      <c r="R2963" s="15">
        <v>45323</v>
      </c>
      <c r="S2963" s="11" t="s">
        <v>529</v>
      </c>
      <c r="T2963" s="16">
        <v>0</v>
      </c>
      <c r="U2963" s="17"/>
      <c r="V2963" s="12">
        <v>613.49144748942422</v>
      </c>
      <c r="W2963" s="12">
        <v>613.49144748942422</v>
      </c>
      <c r="X2963" s="12">
        <v>0</v>
      </c>
      <c r="Y2963" s="18">
        <v>45705</v>
      </c>
      <c r="Z2963" s="13" t="s">
        <v>501</v>
      </c>
      <c r="AA2963" s="19" t="str">
        <f>VLOOKUP(D2963,Clientes!$A$2:$J$486,9,FALSE)</f>
        <v>Familiar</v>
      </c>
      <c r="AB2963" s="13" t="str">
        <f>VLOOKUP(D2963,Clientes!$A$2:$K$486,11,FALSE)</f>
        <v>Persona Natural</v>
      </c>
      <c r="AC2963" s="13" t="str">
        <f>VLOOKUP(D2963,Clientes!$A$2:$B$486,2,FALSE)</f>
        <v>Familiar</v>
      </c>
      <c r="AD2963" s="20"/>
      <c r="AE2963" s="20"/>
      <c r="AF2963" s="13" t="s">
        <v>40</v>
      </c>
      <c r="AG2963" s="15">
        <v>45323</v>
      </c>
      <c r="AH2963" s="13" t="s">
        <v>41</v>
      </c>
      <c r="AI2963" s="13" t="s">
        <v>76</v>
      </c>
      <c r="AJ2963" s="13" t="str">
        <f>VLOOKUP(E2963,Precios!Z$2:AA$941,2,FALSE)</f>
        <v>Limpia Inodoro TEDDY</v>
      </c>
      <c r="AK2963" s="14">
        <f>VLOOKUP(E2963,Precios!Z$2:BB$941,3,FALSE)*F2963</f>
        <v>-1</v>
      </c>
      <c r="AL2963" s="17"/>
      <c r="AM2963" s="17"/>
      <c r="AN2963" s="17"/>
      <c r="AO2963" s="17"/>
      <c r="AP2963" s="17"/>
      <c r="AQ2963" s="17"/>
      <c r="AR2963" s="17"/>
      <c r="AS2963" s="17"/>
      <c r="AT2963" s="17"/>
      <c r="AU2963" s="17"/>
      <c r="AV2963" s="17"/>
    </row>
    <row r="2964" spans="1:48" ht="15.75" customHeight="1">
      <c r="A2964" s="21" t="s">
        <v>47</v>
      </c>
      <c r="B2964" s="23" t="s">
        <v>1692</v>
      </c>
      <c r="C2964" s="25">
        <v>45710</v>
      </c>
      <c r="D2964" s="23" t="s">
        <v>141</v>
      </c>
      <c r="E2964" s="23" t="s">
        <v>504</v>
      </c>
      <c r="F2964" s="21">
        <v>1</v>
      </c>
      <c r="G2964" s="12">
        <v>3000.0000000000005</v>
      </c>
      <c r="H2964" s="12">
        <v>3000.0000000000005</v>
      </c>
      <c r="I2964" s="23" t="s">
        <v>52</v>
      </c>
      <c r="J2964" s="23" t="s">
        <v>61</v>
      </c>
      <c r="K2964" s="24" t="s">
        <v>177</v>
      </c>
      <c r="L2964" s="24">
        <v>105</v>
      </c>
      <c r="M2964" s="12">
        <v>2521.0084033613452</v>
      </c>
      <c r="N2964" s="12">
        <v>2521.0084033613452</v>
      </c>
      <c r="O2964" s="12">
        <v>478.99159663865521</v>
      </c>
      <c r="P2964" s="13"/>
      <c r="Q2964" s="14">
        <v>2025</v>
      </c>
      <c r="R2964" s="15">
        <v>45323</v>
      </c>
      <c r="S2964" s="11" t="s">
        <v>105</v>
      </c>
      <c r="T2964" s="16">
        <v>0</v>
      </c>
      <c r="U2964" s="17"/>
      <c r="V2964" s="12">
        <v>776.47058823529437</v>
      </c>
      <c r="W2964" s="12">
        <v>776.47058823529437</v>
      </c>
      <c r="X2964" s="12">
        <v>0</v>
      </c>
      <c r="Y2964" s="18">
        <v>45705</v>
      </c>
      <c r="Z2964" s="13" t="s">
        <v>501</v>
      </c>
      <c r="AA2964" s="19" t="str">
        <f>VLOOKUP(D2964,Clientes!$A$2:$J$486,9,FALSE)</f>
        <v>Familiar</v>
      </c>
      <c r="AB2964" s="13" t="str">
        <f>VLOOKUP(D2964,Clientes!$A$2:$K$486,11,FALSE)</f>
        <v>Persona Natural</v>
      </c>
      <c r="AC2964" s="13" t="str">
        <f>VLOOKUP(D2964,Clientes!$A$2:$B$486,2,FALSE)</f>
        <v>Familiar</v>
      </c>
      <c r="AD2964" s="20"/>
      <c r="AE2964" s="20"/>
      <c r="AF2964" s="13" t="s">
        <v>40</v>
      </c>
      <c r="AG2964" s="15">
        <v>45323</v>
      </c>
      <c r="AH2964" s="13" t="s">
        <v>41</v>
      </c>
      <c r="AI2964" s="13" t="s">
        <v>47</v>
      </c>
      <c r="AJ2964" s="13" t="str">
        <f>VLOOKUP(E2964,Precios!Z$2:AA$941,2,FALSE)</f>
        <v>Paños Esponja TEDDY</v>
      </c>
      <c r="AK2964" s="14">
        <f>VLOOKUP(E2964,Precios!Z$2:BB$941,3,FALSE)*F2964</f>
        <v>-3</v>
      </c>
      <c r="AL2964" s="17"/>
      <c r="AM2964" s="17"/>
      <c r="AN2964" s="17"/>
      <c r="AO2964" s="17"/>
      <c r="AP2964" s="17"/>
      <c r="AQ2964" s="17"/>
      <c r="AR2964" s="17"/>
      <c r="AS2964" s="17"/>
      <c r="AT2964" s="17"/>
      <c r="AU2964" s="17"/>
      <c r="AV2964" s="17"/>
    </row>
    <row r="2965" spans="1:48" ht="15.75" customHeight="1">
      <c r="A2965" s="21" t="s">
        <v>47</v>
      </c>
      <c r="B2965" s="23" t="s">
        <v>1692</v>
      </c>
      <c r="C2965" s="25">
        <v>45710</v>
      </c>
      <c r="D2965" s="23" t="s">
        <v>141</v>
      </c>
      <c r="E2965" s="23" t="s">
        <v>303</v>
      </c>
      <c r="F2965" s="21">
        <v>1</v>
      </c>
      <c r="G2965" s="12">
        <v>2000.2484060611077</v>
      </c>
      <c r="H2965" s="12">
        <v>2000.2484060611077</v>
      </c>
      <c r="I2965" s="23" t="s">
        <v>52</v>
      </c>
      <c r="J2965" s="23" t="s">
        <v>61</v>
      </c>
      <c r="K2965" s="24" t="s">
        <v>177</v>
      </c>
      <c r="L2965" s="24">
        <v>105</v>
      </c>
      <c r="M2965" s="12">
        <v>1680.8810134967293</v>
      </c>
      <c r="N2965" s="12">
        <v>1680.8810134967293</v>
      </c>
      <c r="O2965" s="12">
        <v>319.36739256437841</v>
      </c>
      <c r="P2965" s="13"/>
      <c r="Q2965" s="14">
        <v>2025</v>
      </c>
      <c r="R2965" s="15">
        <v>45323</v>
      </c>
      <c r="S2965" s="11" t="s">
        <v>433</v>
      </c>
      <c r="T2965" s="16">
        <v>0</v>
      </c>
      <c r="U2965" s="17"/>
      <c r="V2965" s="12">
        <v>462.88101349672911</v>
      </c>
      <c r="W2965" s="12">
        <v>462.88101349672911</v>
      </c>
      <c r="X2965" s="12">
        <v>0</v>
      </c>
      <c r="Y2965" s="18">
        <v>45705</v>
      </c>
      <c r="Z2965" s="13" t="s">
        <v>501</v>
      </c>
      <c r="AA2965" s="19" t="str">
        <f>VLOOKUP(D2965,Clientes!$A$2:$J$486,9,FALSE)</f>
        <v>Familiar</v>
      </c>
      <c r="AB2965" s="13" t="str">
        <f>VLOOKUP(D2965,Clientes!$A$2:$K$486,11,FALSE)</f>
        <v>Persona Natural</v>
      </c>
      <c r="AC2965" s="13" t="str">
        <f>VLOOKUP(D2965,Clientes!$A$2:$B$486,2,FALSE)</f>
        <v>Familiar</v>
      </c>
      <c r="AD2965" s="20"/>
      <c r="AE2965" s="20"/>
      <c r="AF2965" s="13" t="s">
        <v>40</v>
      </c>
      <c r="AG2965" s="15">
        <v>45323</v>
      </c>
      <c r="AH2965" s="13" t="s">
        <v>41</v>
      </c>
      <c r="AI2965" s="13" t="s">
        <v>47</v>
      </c>
      <c r="AJ2965" s="13" t="str">
        <f>VLOOKUP(E2965,Precios!Z$2:AA$941,2,FALSE)</f>
        <v>Trapero Microfibra EXCELL</v>
      </c>
      <c r="AK2965" s="14">
        <f>VLOOKUP(E2965,Precios!Z$2:BB$941,3,FALSE)*F2965</f>
        <v>-1</v>
      </c>
      <c r="AL2965" s="17"/>
      <c r="AM2965" s="17"/>
      <c r="AN2965" s="17"/>
      <c r="AO2965" s="17"/>
      <c r="AP2965" s="17"/>
      <c r="AQ2965" s="17"/>
      <c r="AR2965" s="17"/>
      <c r="AS2965" s="17"/>
      <c r="AT2965" s="17"/>
      <c r="AU2965" s="17"/>
      <c r="AV2965" s="17"/>
    </row>
    <row r="2966" spans="1:48" ht="15.75" customHeight="1">
      <c r="A2966" s="21" t="s">
        <v>147</v>
      </c>
      <c r="B2966" s="23" t="s">
        <v>1692</v>
      </c>
      <c r="C2966" s="25">
        <v>45710</v>
      </c>
      <c r="D2966" s="23" t="s">
        <v>141</v>
      </c>
      <c r="E2966" s="23" t="s">
        <v>149</v>
      </c>
      <c r="F2966" s="21">
        <v>1</v>
      </c>
      <c r="G2966" s="12">
        <v>1700</v>
      </c>
      <c r="H2966" s="34">
        <v>1700</v>
      </c>
      <c r="I2966" s="23" t="s">
        <v>52</v>
      </c>
      <c r="J2966" s="23" t="s">
        <v>61</v>
      </c>
      <c r="K2966" s="24" t="s">
        <v>177</v>
      </c>
      <c r="L2966" s="24">
        <v>105</v>
      </c>
      <c r="M2966" s="12">
        <v>1428.5714285714287</v>
      </c>
      <c r="N2966" s="12">
        <v>1428.5714285714287</v>
      </c>
      <c r="O2966" s="12">
        <v>271.42857142857133</v>
      </c>
      <c r="P2966" s="13"/>
      <c r="Q2966" s="14">
        <v>2025</v>
      </c>
      <c r="R2966" s="15">
        <v>45323</v>
      </c>
      <c r="S2966" s="11" t="s">
        <v>412</v>
      </c>
      <c r="T2966" s="16">
        <v>0</v>
      </c>
      <c r="U2966" s="17"/>
      <c r="V2966" s="12">
        <v>774.78991596638662</v>
      </c>
      <c r="W2966" s="12">
        <v>774.78991596638662</v>
      </c>
      <c r="X2966" s="12">
        <v>0</v>
      </c>
      <c r="Y2966" s="18">
        <v>45705</v>
      </c>
      <c r="Z2966" s="13" t="s">
        <v>501</v>
      </c>
      <c r="AA2966" s="19" t="str">
        <f>VLOOKUP(D2966,Clientes!$A$2:$J$486,9,FALSE)</f>
        <v>Familiar</v>
      </c>
      <c r="AB2966" s="13" t="str">
        <f>VLOOKUP(D2966,Clientes!$A$2:$K$486,11,FALSE)</f>
        <v>Persona Natural</v>
      </c>
      <c r="AC2966" s="13" t="str">
        <f>VLOOKUP(D2966,Clientes!$A$2:$B$486,2,FALSE)</f>
        <v>Familiar</v>
      </c>
      <c r="AD2966" s="20"/>
      <c r="AE2966" s="20"/>
      <c r="AF2966" s="13" t="s">
        <v>40</v>
      </c>
      <c r="AG2966" s="15">
        <v>45323</v>
      </c>
      <c r="AH2966" s="13" t="s">
        <v>41</v>
      </c>
      <c r="AI2966" s="13" t="s">
        <v>147</v>
      </c>
      <c r="AJ2966" s="13" t="str">
        <f>VLOOKUP(E2966,Precios!Z$2:AA$941,2,FALSE)</f>
        <v>Film Plástico 30 metros</v>
      </c>
      <c r="AK2966" s="14">
        <f>VLOOKUP(E2966,Precios!Z$2:BB$941,3,FALSE)*F2966</f>
        <v>-1</v>
      </c>
      <c r="AL2966" s="17"/>
      <c r="AM2966" s="17"/>
      <c r="AN2966" s="17"/>
      <c r="AO2966" s="17"/>
      <c r="AP2966" s="17"/>
      <c r="AQ2966" s="17"/>
      <c r="AR2966" s="17"/>
      <c r="AS2966" s="17"/>
      <c r="AT2966" s="17"/>
      <c r="AU2966" s="17"/>
      <c r="AV2966" s="17"/>
    </row>
    <row r="2967" spans="1:48" ht="15.75" customHeight="1">
      <c r="A2967" s="21" t="s">
        <v>47</v>
      </c>
      <c r="B2967" s="23" t="s">
        <v>1692</v>
      </c>
      <c r="C2967" s="25">
        <v>45710</v>
      </c>
      <c r="D2967" s="23" t="s">
        <v>141</v>
      </c>
      <c r="E2967" s="23" t="s">
        <v>99</v>
      </c>
      <c r="F2967" s="21">
        <v>-2</v>
      </c>
      <c r="G2967" s="12">
        <v>1200</v>
      </c>
      <c r="H2967" s="12">
        <v>-2400</v>
      </c>
      <c r="I2967" s="23" t="s">
        <v>52</v>
      </c>
      <c r="J2967" s="23" t="s">
        <v>61</v>
      </c>
      <c r="K2967" s="24" t="s">
        <v>177</v>
      </c>
      <c r="L2967" s="24">
        <v>105</v>
      </c>
      <c r="M2967" s="12">
        <v>1008.4033613445379</v>
      </c>
      <c r="N2967" s="12">
        <v>-2016.8067226890757</v>
      </c>
      <c r="O2967" s="12">
        <v>-383.19327731092426</v>
      </c>
      <c r="P2967" s="13"/>
      <c r="Q2967" s="14">
        <v>2025</v>
      </c>
      <c r="R2967" s="15">
        <v>45323</v>
      </c>
      <c r="S2967" s="11" t="s">
        <v>453</v>
      </c>
      <c r="T2967" s="16">
        <v>0</v>
      </c>
      <c r="U2967" s="17"/>
      <c r="V2967" s="12">
        <v>-588.23529411764707</v>
      </c>
      <c r="W2967" s="12">
        <v>-588.23529411764707</v>
      </c>
      <c r="X2967" s="12">
        <v>0</v>
      </c>
      <c r="Y2967" s="18">
        <v>45705</v>
      </c>
      <c r="Z2967" s="13" t="s">
        <v>501</v>
      </c>
      <c r="AA2967" s="19" t="str">
        <f>VLOOKUP(D2967,Clientes!$A$2:$J$486,9,FALSE)</f>
        <v>Familiar</v>
      </c>
      <c r="AB2967" s="13" t="str">
        <f>VLOOKUP(D2967,Clientes!$A$2:$K$486,11,FALSE)</f>
        <v>Persona Natural</v>
      </c>
      <c r="AC2967" s="13" t="str">
        <f>VLOOKUP(D2967,Clientes!$A$2:$B$486,2,FALSE)</f>
        <v>Familiar</v>
      </c>
      <c r="AD2967" s="20"/>
      <c r="AE2967" s="20"/>
      <c r="AF2967" s="13" t="s">
        <v>40</v>
      </c>
      <c r="AG2967" s="15">
        <v>45323</v>
      </c>
      <c r="AH2967" s="13" t="s">
        <v>41</v>
      </c>
      <c r="AI2967" s="13" t="s">
        <v>47</v>
      </c>
      <c r="AJ2967" s="13" t="str">
        <f>VLOOKUP(E2967,Precios!Z$2:AA$941,2,FALSE)</f>
        <v xml:space="preserve">Bolsas Basura TEDDY 70x90 </v>
      </c>
      <c r="AK2967" s="14">
        <f>VLOOKUP(E2967,Precios!Z$2:BB$941,3,FALSE)*F2967</f>
        <v>2</v>
      </c>
      <c r="AL2967" s="17"/>
      <c r="AM2967" s="17"/>
      <c r="AN2967" s="17"/>
      <c r="AO2967" s="17"/>
      <c r="AP2967" s="17"/>
      <c r="AQ2967" s="17"/>
      <c r="AR2967" s="17"/>
      <c r="AS2967" s="17"/>
      <c r="AT2967" s="17"/>
      <c r="AU2967" s="17"/>
      <c r="AV2967" s="17"/>
    </row>
    <row r="2968" spans="1:48" ht="15.75" customHeight="1">
      <c r="A2968" s="21" t="s">
        <v>35</v>
      </c>
      <c r="B2968" s="23" t="s">
        <v>1692</v>
      </c>
      <c r="C2968" s="25">
        <v>45710</v>
      </c>
      <c r="D2968" s="23" t="s">
        <v>141</v>
      </c>
      <c r="E2968" s="23" t="s">
        <v>311</v>
      </c>
      <c r="F2968" s="21">
        <v>-1</v>
      </c>
      <c r="G2968" s="12">
        <v>3000.0000000000005</v>
      </c>
      <c r="H2968" s="12">
        <v>-3000.0000000000005</v>
      </c>
      <c r="I2968" s="23" t="s">
        <v>52</v>
      </c>
      <c r="J2968" s="23" t="s">
        <v>61</v>
      </c>
      <c r="K2968" s="24" t="s">
        <v>177</v>
      </c>
      <c r="L2968" s="24">
        <v>105</v>
      </c>
      <c r="M2968" s="12">
        <v>2521.0084033613452</v>
      </c>
      <c r="N2968" s="12">
        <v>-2521.0084033613452</v>
      </c>
      <c r="O2968" s="12">
        <v>-478.99159663865521</v>
      </c>
      <c r="P2968" s="13"/>
      <c r="Q2968" s="14">
        <v>2025</v>
      </c>
      <c r="R2968" s="15">
        <v>45323</v>
      </c>
      <c r="S2968" s="11" t="s">
        <v>364</v>
      </c>
      <c r="T2968" s="16">
        <v>-250</v>
      </c>
      <c r="U2968" s="17"/>
      <c r="V2968" s="12">
        <v>-837.18487394957992</v>
      </c>
      <c r="W2968" s="12">
        <v>-837.18487394957992</v>
      </c>
      <c r="X2968" s="12">
        <v>0</v>
      </c>
      <c r="Y2968" s="18">
        <v>45705</v>
      </c>
      <c r="Z2968" s="13" t="s">
        <v>501</v>
      </c>
      <c r="AA2968" s="19" t="str">
        <f>VLOOKUP(D2968,Clientes!$A$2:$J$486,9,FALSE)</f>
        <v>Familiar</v>
      </c>
      <c r="AB2968" s="13" t="str">
        <f>VLOOKUP(D2968,Clientes!$A$2:$K$486,11,FALSE)</f>
        <v>Persona Natural</v>
      </c>
      <c r="AC2968" s="13" t="str">
        <f>VLOOKUP(D2968,Clientes!$A$2:$B$486,2,FALSE)</f>
        <v>Familiar</v>
      </c>
      <c r="AD2968" s="20"/>
      <c r="AE2968" s="20"/>
      <c r="AF2968" s="13" t="s">
        <v>40</v>
      </c>
      <c r="AG2968" s="15">
        <v>45323</v>
      </c>
      <c r="AH2968" s="13" t="s">
        <v>41</v>
      </c>
      <c r="AI2968" s="13" t="s">
        <v>35</v>
      </c>
      <c r="AJ2968" s="13" t="str">
        <f>VLOOKUP(E2968,Precios!Z$2:AA$941,2,FALSE)</f>
        <v>Queso RUNCA Mantecoso</v>
      </c>
      <c r="AK2968" s="14">
        <f>VLOOKUP(E2968,Precios!Z$2:BB$941,3,FALSE)*F2968</f>
        <v>0.25</v>
      </c>
      <c r="AL2968" s="17"/>
      <c r="AM2968" s="17"/>
      <c r="AN2968" s="17"/>
      <c r="AO2968" s="17"/>
      <c r="AP2968" s="17"/>
      <c r="AQ2968" s="17"/>
      <c r="AR2968" s="17"/>
      <c r="AS2968" s="17"/>
      <c r="AT2968" s="17"/>
      <c r="AU2968" s="17"/>
      <c r="AV2968" s="17"/>
    </row>
    <row r="2969" spans="1:48" ht="15.75" customHeight="1">
      <c r="A2969" s="21" t="s">
        <v>53</v>
      </c>
      <c r="B2969" s="23" t="s">
        <v>1692</v>
      </c>
      <c r="C2969" s="25">
        <v>45710</v>
      </c>
      <c r="D2969" s="23" t="s">
        <v>141</v>
      </c>
      <c r="E2969" s="23" t="s">
        <v>287</v>
      </c>
      <c r="F2969" s="21">
        <v>-2</v>
      </c>
      <c r="G2969" s="12">
        <v>3500.0000000000005</v>
      </c>
      <c r="H2969" s="12">
        <v>-7000.0000000000009</v>
      </c>
      <c r="I2969" s="23" t="s">
        <v>52</v>
      </c>
      <c r="J2969" s="23" t="s">
        <v>61</v>
      </c>
      <c r="K2969" s="24" t="s">
        <v>177</v>
      </c>
      <c r="L2969" s="24">
        <v>105</v>
      </c>
      <c r="M2969" s="12">
        <v>2941.1764705882356</v>
      </c>
      <c r="N2969" s="12">
        <v>-5882.3529411764712</v>
      </c>
      <c r="O2969" s="12">
        <v>-1117.6470588235297</v>
      </c>
      <c r="P2969" s="13"/>
      <c r="Q2969" s="14">
        <v>2025</v>
      </c>
      <c r="R2969" s="15">
        <v>45323</v>
      </c>
      <c r="S2969" s="11" t="s">
        <v>366</v>
      </c>
      <c r="T2969" s="16">
        <v>0</v>
      </c>
      <c r="U2969" s="17"/>
      <c r="V2969" s="12">
        <v>-2608.4033613445381</v>
      </c>
      <c r="W2969" s="12">
        <v>-2608.4033613445381</v>
      </c>
      <c r="X2969" s="12">
        <v>0</v>
      </c>
      <c r="Y2969" s="18">
        <v>45705</v>
      </c>
      <c r="Z2969" s="13" t="s">
        <v>501</v>
      </c>
      <c r="AA2969" s="19" t="str">
        <f>VLOOKUP(D2969,Clientes!$A$2:$J$486,9,FALSE)</f>
        <v>Familiar</v>
      </c>
      <c r="AB2969" s="13" t="str">
        <f>VLOOKUP(D2969,Clientes!$A$2:$K$486,11,FALSE)</f>
        <v>Persona Natural</v>
      </c>
      <c r="AC2969" s="13" t="str">
        <f>VLOOKUP(D2969,Clientes!$A$2:$B$486,2,FALSE)</f>
        <v>Familiar</v>
      </c>
      <c r="AD2969" s="20"/>
      <c r="AE2969" s="20"/>
      <c r="AF2969" s="13" t="s">
        <v>40</v>
      </c>
      <c r="AG2969" s="15">
        <v>45323</v>
      </c>
      <c r="AH2969" s="13" t="s">
        <v>41</v>
      </c>
      <c r="AI2969" s="13" t="s">
        <v>53</v>
      </c>
      <c r="AJ2969" s="13" t="str">
        <f>VLOOKUP(E2969,Precios!Z$2:AA$941,2,FALSE)</f>
        <v>Papel Higienico ELITE 50 metros</v>
      </c>
      <c r="AK2969" s="14">
        <f>VLOOKUP(E2969,Precios!Z$2:BB$941,3,FALSE)*F2969</f>
        <v>2</v>
      </c>
      <c r="AL2969" s="17"/>
      <c r="AM2969" s="17"/>
      <c r="AN2969" s="17"/>
      <c r="AO2969" s="17"/>
      <c r="AP2969" s="17"/>
      <c r="AQ2969" s="17"/>
      <c r="AR2969" s="17"/>
      <c r="AS2969" s="17"/>
      <c r="AT2969" s="17"/>
      <c r="AU2969" s="17"/>
      <c r="AV2969" s="17"/>
    </row>
    <row r="2970" spans="1:48" ht="15.75" customHeight="1">
      <c r="A2970" s="21" t="s">
        <v>35</v>
      </c>
      <c r="B2970" s="23" t="s">
        <v>1692</v>
      </c>
      <c r="C2970" s="25">
        <v>45710</v>
      </c>
      <c r="D2970" s="23" t="s">
        <v>240</v>
      </c>
      <c r="E2970" s="23" t="s">
        <v>37</v>
      </c>
      <c r="F2970" s="21">
        <v>1</v>
      </c>
      <c r="G2970" s="12">
        <v>10500</v>
      </c>
      <c r="H2970" s="12">
        <v>10500</v>
      </c>
      <c r="I2970" s="23" t="s">
        <v>52</v>
      </c>
      <c r="J2970" s="23" t="s">
        <v>61</v>
      </c>
      <c r="K2970" s="24" t="s">
        <v>177</v>
      </c>
      <c r="L2970" s="24">
        <v>105</v>
      </c>
      <c r="M2970" s="12">
        <v>8823.5294117647063</v>
      </c>
      <c r="N2970" s="12">
        <v>8823.5294117647063</v>
      </c>
      <c r="O2970" s="12">
        <v>1676.4705882352937</v>
      </c>
      <c r="P2970" s="13"/>
      <c r="Q2970" s="14">
        <v>2025</v>
      </c>
      <c r="R2970" s="15">
        <v>45323</v>
      </c>
      <c r="S2970" s="11" t="s">
        <v>364</v>
      </c>
      <c r="T2970" s="16">
        <v>1000</v>
      </c>
      <c r="U2970" s="17"/>
      <c r="V2970" s="12">
        <v>2385.7142857142853</v>
      </c>
      <c r="W2970" s="12">
        <v>2385.7142857142853</v>
      </c>
      <c r="X2970" s="12">
        <v>0</v>
      </c>
      <c r="Y2970" s="18">
        <v>45705</v>
      </c>
      <c r="Z2970" s="13" t="s">
        <v>501</v>
      </c>
      <c r="AA2970" s="19" t="str">
        <f>VLOOKUP(D2970,Clientes!$A$2:$J$486,9,FALSE)</f>
        <v>Ocacional</v>
      </c>
      <c r="AB2970" s="13" t="str">
        <f>VLOOKUP(D2970,Clientes!$A$2:$K$486,11,FALSE)</f>
        <v>Persona Natural</v>
      </c>
      <c r="AC2970" s="13" t="str">
        <f>VLOOKUP(D2970,Clientes!$A$2:$B$486,2,FALSE)</f>
        <v>Jardines de la viña</v>
      </c>
      <c r="AD2970" s="20"/>
      <c r="AE2970" s="20"/>
      <c r="AF2970" s="13" t="s">
        <v>40</v>
      </c>
      <c r="AG2970" s="15">
        <v>45323</v>
      </c>
      <c r="AH2970" s="13" t="s">
        <v>41</v>
      </c>
      <c r="AI2970" s="13" t="s">
        <v>35</v>
      </c>
      <c r="AJ2970" s="13" t="str">
        <f>VLOOKUP(E2970,Precios!Z$2:AA$941,2,FALSE)</f>
        <v>Queso RUNCA Mantecoso</v>
      </c>
      <c r="AK2970" s="14">
        <f>VLOOKUP(E2970,Precios!Z$2:BB$941,3,FALSE)*F2970</f>
        <v>-1</v>
      </c>
      <c r="AL2970" s="17"/>
      <c r="AM2970" s="17"/>
      <c r="AN2970" s="17"/>
      <c r="AO2970" s="17"/>
      <c r="AP2970" s="17"/>
      <c r="AQ2970" s="17"/>
      <c r="AR2970" s="17"/>
      <c r="AS2970" s="17"/>
      <c r="AT2970" s="17"/>
      <c r="AU2970" s="17"/>
      <c r="AV2970" s="17"/>
    </row>
    <row r="2971" spans="1:48" ht="15.75" customHeight="1">
      <c r="A2971" s="21" t="s">
        <v>147</v>
      </c>
      <c r="B2971" s="23" t="s">
        <v>1692</v>
      </c>
      <c r="C2971" s="25">
        <v>45710</v>
      </c>
      <c r="D2971" s="23" t="s">
        <v>741</v>
      </c>
      <c r="E2971" s="23" t="s">
        <v>499</v>
      </c>
      <c r="F2971" s="21">
        <v>1</v>
      </c>
      <c r="G2971" s="12">
        <v>10999.911119011644</v>
      </c>
      <c r="H2971" s="12">
        <v>10999.911119011644</v>
      </c>
      <c r="I2971" s="13" t="s">
        <v>52</v>
      </c>
      <c r="J2971" s="23" t="s">
        <v>61</v>
      </c>
      <c r="K2971" s="24" t="s">
        <v>177</v>
      </c>
      <c r="L2971" s="24">
        <v>105</v>
      </c>
      <c r="M2971" s="12">
        <v>9243.6227890854152</v>
      </c>
      <c r="N2971" s="12">
        <v>9243.6227890854152</v>
      </c>
      <c r="O2971" s="12">
        <v>1756.2883299262285</v>
      </c>
      <c r="P2971" s="13"/>
      <c r="Q2971" s="14">
        <v>2025</v>
      </c>
      <c r="R2971" s="15">
        <v>45323</v>
      </c>
      <c r="S2971" s="11" t="s">
        <v>455</v>
      </c>
      <c r="T2971" s="16">
        <v>0</v>
      </c>
      <c r="U2971" s="17"/>
      <c r="V2971" s="12">
        <v>4043.6227890854152</v>
      </c>
      <c r="W2971" s="12">
        <v>4043.6227890854152</v>
      </c>
      <c r="X2971" s="12">
        <v>0</v>
      </c>
      <c r="Y2971" s="18">
        <v>45705</v>
      </c>
      <c r="Z2971" s="13" t="s">
        <v>501</v>
      </c>
      <c r="AA2971" s="19" t="str">
        <f>VLOOKUP(D2971,Clientes!$A$2:$J$486,9,FALSE)</f>
        <v>Ocacional</v>
      </c>
      <c r="AB2971" s="13" t="str">
        <f>VLOOKUP(D2971,Clientes!$A$2:$K$486,11,FALSE)</f>
        <v>Persona Natural</v>
      </c>
      <c r="AC2971" s="13" t="str">
        <f>VLOOKUP(D2971,Clientes!$A$2:$B$486,2,FALSE)</f>
        <v>Jardin del eden</v>
      </c>
      <c r="AD2971" s="20"/>
      <c r="AE2971" s="20"/>
      <c r="AF2971" s="13" t="s">
        <v>40</v>
      </c>
      <c r="AG2971" s="15">
        <v>45323</v>
      </c>
      <c r="AH2971" s="13" t="s">
        <v>41</v>
      </c>
      <c r="AI2971" s="13" t="s">
        <v>147</v>
      </c>
      <c r="AJ2971" s="13" t="str">
        <f>VLOOKUP(E2971,Precios!Z$2:AA$941,2,FALSE)</f>
        <v>Film Embalaje</v>
      </c>
      <c r="AK2971" s="14">
        <f>VLOOKUP(E2971,Precios!Z$2:BB$941,3,FALSE)*F2971</f>
        <v>-2</v>
      </c>
      <c r="AL2971" s="17"/>
      <c r="AM2971" s="17"/>
      <c r="AN2971" s="17"/>
      <c r="AO2971" s="17"/>
      <c r="AP2971" s="17"/>
      <c r="AQ2971" s="17"/>
      <c r="AR2971" s="17"/>
      <c r="AS2971" s="17"/>
      <c r="AT2971" s="17"/>
      <c r="AU2971" s="17"/>
      <c r="AV2971" s="17"/>
    </row>
    <row r="2972" spans="1:48" ht="15.75" customHeight="1">
      <c r="A2972" s="21" t="s">
        <v>64</v>
      </c>
      <c r="B2972" s="23" t="s">
        <v>1692</v>
      </c>
      <c r="C2972" s="25">
        <v>45710</v>
      </c>
      <c r="D2972" s="23" t="s">
        <v>661</v>
      </c>
      <c r="E2972" s="23" t="s">
        <v>65</v>
      </c>
      <c r="F2972" s="21">
        <v>1</v>
      </c>
      <c r="G2972" s="12">
        <v>8199.8671738211688</v>
      </c>
      <c r="H2972" s="12">
        <v>8199.8671738211688</v>
      </c>
      <c r="I2972" s="13" t="s">
        <v>52</v>
      </c>
      <c r="J2972" s="23" t="s">
        <v>61</v>
      </c>
      <c r="K2972" s="24" t="s">
        <v>177</v>
      </c>
      <c r="L2972" s="24">
        <v>105</v>
      </c>
      <c r="M2972" s="12">
        <v>6890.6446838833353</v>
      </c>
      <c r="N2972" s="12">
        <v>6890.6446838833353</v>
      </c>
      <c r="O2972" s="12">
        <v>1309.2224899378334</v>
      </c>
      <c r="P2972" s="13"/>
      <c r="Q2972" s="14">
        <v>2025</v>
      </c>
      <c r="R2972" s="15">
        <v>45323</v>
      </c>
      <c r="S2972" s="11" t="s">
        <v>64</v>
      </c>
      <c r="T2972" s="16">
        <v>1</v>
      </c>
      <c r="U2972" s="17"/>
      <c r="V2972" s="12">
        <v>1184.1572889253512</v>
      </c>
      <c r="W2972" s="12">
        <v>1184.1572889253512</v>
      </c>
      <c r="X2972" s="12">
        <v>0</v>
      </c>
      <c r="Y2972" s="18">
        <v>45705</v>
      </c>
      <c r="Z2972" s="13" t="s">
        <v>501</v>
      </c>
      <c r="AA2972" s="19" t="str">
        <f>VLOOKUP(D2972,Clientes!$A$2:$J$486,9,FALSE)</f>
        <v>Ocacional</v>
      </c>
      <c r="AB2972" s="13" t="str">
        <f>VLOOKUP(D2972,Clientes!$A$2:$K$486,11,FALSE)</f>
        <v>Persona Natural</v>
      </c>
      <c r="AC2972" s="13" t="str">
        <f>VLOOKUP(D2972,Clientes!$A$2:$B$486,2,FALSE)</f>
        <v>Jardin del eden</v>
      </c>
      <c r="AD2972" s="20"/>
      <c r="AE2972" s="20"/>
      <c r="AF2972" s="13" t="s">
        <v>40</v>
      </c>
      <c r="AG2972" s="15">
        <v>45323</v>
      </c>
      <c r="AH2972" s="13" t="s">
        <v>41</v>
      </c>
      <c r="AI2972" s="13" t="s">
        <v>64</v>
      </c>
      <c r="AJ2972" s="13" t="str">
        <f>VLOOKUP(E2972,Precios!Z$2:AA$941,2,FALSE)</f>
        <v>Longanizas VILLABLANCA</v>
      </c>
      <c r="AK2972" s="14">
        <f>VLOOKUP(E2972,Precios!Z$2:BB$941,3,FALSE)*F2972</f>
        <v>-1</v>
      </c>
      <c r="AL2972" s="17"/>
      <c r="AM2972" s="17"/>
      <c r="AN2972" s="17"/>
      <c r="AO2972" s="17"/>
      <c r="AP2972" s="17"/>
      <c r="AQ2972" s="17"/>
      <c r="AR2972" s="17"/>
      <c r="AS2972" s="17"/>
      <c r="AT2972" s="17"/>
      <c r="AU2972" s="17"/>
      <c r="AV2972" s="17"/>
    </row>
    <row r="2973" spans="1:48" ht="15.75" customHeight="1">
      <c r="A2973" s="21" t="s">
        <v>43</v>
      </c>
      <c r="B2973" s="23" t="s">
        <v>1692</v>
      </c>
      <c r="C2973" s="25">
        <v>45710</v>
      </c>
      <c r="D2973" s="23" t="s">
        <v>622</v>
      </c>
      <c r="E2973" s="23" t="s">
        <v>45</v>
      </c>
      <c r="F2973" s="21">
        <v>1</v>
      </c>
      <c r="G2973" s="12">
        <v>7499.8368883312432</v>
      </c>
      <c r="H2973" s="12">
        <v>7499.8368883312432</v>
      </c>
      <c r="I2973" s="13" t="s">
        <v>52</v>
      </c>
      <c r="J2973" s="23" t="s">
        <v>61</v>
      </c>
      <c r="K2973" s="24" t="s">
        <v>177</v>
      </c>
      <c r="L2973" s="24">
        <v>105</v>
      </c>
      <c r="M2973" s="12">
        <v>6302.383939774154</v>
      </c>
      <c r="N2973" s="12">
        <v>6302.383939774154</v>
      </c>
      <c r="O2973" s="12">
        <v>1197.4529485570893</v>
      </c>
      <c r="P2973" s="13"/>
      <c r="Q2973" s="14">
        <v>2025</v>
      </c>
      <c r="R2973" s="15">
        <v>45323</v>
      </c>
      <c r="S2973" s="11" t="s">
        <v>355</v>
      </c>
      <c r="T2973" s="16">
        <v>0</v>
      </c>
      <c r="U2973" s="17"/>
      <c r="V2973" s="12">
        <v>1279.383939774154</v>
      </c>
      <c r="W2973" s="12">
        <v>1279.383939774154</v>
      </c>
      <c r="X2973" s="12">
        <v>0</v>
      </c>
      <c r="Y2973" s="18">
        <v>45705</v>
      </c>
      <c r="Z2973" s="13" t="s">
        <v>501</v>
      </c>
      <c r="AA2973" s="19" t="str">
        <f>VLOOKUP(D2973,Clientes!$A$2:$J$486,9,FALSE)</f>
        <v>Ocacional</v>
      </c>
      <c r="AB2973" s="13" t="str">
        <f>VLOOKUP(D2973,Clientes!$A$2:$K$486,11,FALSE)</f>
        <v>Persona Natural</v>
      </c>
      <c r="AC2973" s="13" t="str">
        <f>VLOOKUP(D2973,Clientes!$A$2:$B$486,2,FALSE)</f>
        <v>Domo</v>
      </c>
      <c r="AD2973" s="20"/>
      <c r="AE2973" s="20"/>
      <c r="AF2973" s="13" t="s">
        <v>40</v>
      </c>
      <c r="AG2973" s="15">
        <v>45323</v>
      </c>
      <c r="AH2973" s="13" t="s">
        <v>41</v>
      </c>
      <c r="AI2973" s="13" t="s">
        <v>43</v>
      </c>
      <c r="AJ2973" s="13" t="str">
        <f>VLOOKUP(E2973,Precios!Z$2:AA$941,2,FALSE)</f>
        <v>Bandeja Huevos EXTRA</v>
      </c>
      <c r="AK2973" s="14">
        <f>VLOOKUP(E2973,Precios!Z$2:BB$941,3,FALSE)*F2973</f>
        <v>-1</v>
      </c>
      <c r="AL2973" s="17"/>
      <c r="AM2973" s="17"/>
      <c r="AN2973" s="17"/>
      <c r="AO2973" s="17"/>
      <c r="AP2973" s="17"/>
      <c r="AQ2973" s="17"/>
      <c r="AR2973" s="17"/>
      <c r="AS2973" s="17"/>
      <c r="AT2973" s="17"/>
      <c r="AU2973" s="17"/>
      <c r="AV2973" s="17"/>
    </row>
    <row r="2974" spans="1:48" ht="15.75" customHeight="1">
      <c r="A2974" s="21" t="s">
        <v>50</v>
      </c>
      <c r="B2974" s="23" t="s">
        <v>1692</v>
      </c>
      <c r="C2974" s="25">
        <v>45710</v>
      </c>
      <c r="D2974" s="23" t="s">
        <v>736</v>
      </c>
      <c r="E2974" s="23" t="s">
        <v>528</v>
      </c>
      <c r="F2974" s="21">
        <v>2</v>
      </c>
      <c r="G2974" s="12">
        <v>4500.2224529141331</v>
      </c>
      <c r="H2974" s="12">
        <v>9000.4449058282662</v>
      </c>
      <c r="I2974" s="13" t="s">
        <v>52</v>
      </c>
      <c r="J2974" s="23" t="s">
        <v>61</v>
      </c>
      <c r="K2974" s="24" t="s">
        <v>177</v>
      </c>
      <c r="L2974" s="24">
        <v>105</v>
      </c>
      <c r="M2974" s="12">
        <v>3781.6995402639777</v>
      </c>
      <c r="N2974" s="12">
        <v>7563.3990805279554</v>
      </c>
      <c r="O2974" s="12">
        <v>1437.0458253003108</v>
      </c>
      <c r="P2974" s="13"/>
      <c r="Q2974" s="14">
        <v>2025</v>
      </c>
      <c r="R2974" s="15">
        <v>45323</v>
      </c>
      <c r="S2974" s="11" t="s">
        <v>528</v>
      </c>
      <c r="T2974" s="16">
        <v>0</v>
      </c>
      <c r="U2974" s="17"/>
      <c r="V2974" s="12">
        <v>3993.3990805279545</v>
      </c>
      <c r="W2974" s="12">
        <v>3993.3990805279545</v>
      </c>
      <c r="X2974" s="12">
        <v>0</v>
      </c>
      <c r="Y2974" s="18">
        <v>45705</v>
      </c>
      <c r="Z2974" s="13" t="s">
        <v>501</v>
      </c>
      <c r="AA2974" s="19" t="str">
        <f>VLOOKUP(D2974,Clientes!$A$2:$J$486,9,FALSE)</f>
        <v>Ocacional</v>
      </c>
      <c r="AB2974" s="13" t="str">
        <f>VLOOKUP(D2974,Clientes!$A$2:$K$486,11,FALSE)</f>
        <v>Persona Natural</v>
      </c>
      <c r="AC2974" s="13" t="str">
        <f>VLOOKUP(D2974,Clientes!$A$2:$B$486,2,FALSE)</f>
        <v>Departamental</v>
      </c>
      <c r="AD2974" s="20"/>
      <c r="AE2974" s="20"/>
      <c r="AF2974" s="13" t="s">
        <v>40</v>
      </c>
      <c r="AG2974" s="15">
        <v>45323</v>
      </c>
      <c r="AH2974" s="13" t="s">
        <v>41</v>
      </c>
      <c r="AI2974" s="13" t="s">
        <v>50</v>
      </c>
      <c r="AJ2974" s="13" t="str">
        <f>VLOOKUP(E2974,Precios!Z$2:AA$941,2,FALSE)</f>
        <v>Hielo 1 Kilo</v>
      </c>
      <c r="AK2974" s="14">
        <f>VLOOKUP(E2974,Precios!Z$2:BB$941,3,FALSE)*F2974</f>
        <v>-10</v>
      </c>
      <c r="AL2974" s="17"/>
      <c r="AM2974" s="17"/>
      <c r="AN2974" s="17"/>
      <c r="AO2974" s="17"/>
      <c r="AP2974" s="17"/>
      <c r="AQ2974" s="17"/>
      <c r="AR2974" s="17"/>
      <c r="AS2974" s="17"/>
      <c r="AT2974" s="17"/>
      <c r="AU2974" s="17"/>
      <c r="AV2974" s="17"/>
    </row>
    <row r="2975" spans="1:48" ht="15.75" customHeight="1">
      <c r="A2975" s="21" t="s">
        <v>64</v>
      </c>
      <c r="B2975" s="23" t="s">
        <v>1692</v>
      </c>
      <c r="C2975" s="25">
        <v>45710</v>
      </c>
      <c r="D2975" s="23" t="s">
        <v>736</v>
      </c>
      <c r="E2975" s="23" t="s">
        <v>65</v>
      </c>
      <c r="F2975" s="14">
        <v>1</v>
      </c>
      <c r="G2975" s="12">
        <v>8199.8671738211688</v>
      </c>
      <c r="H2975" s="12">
        <v>8199.8671738211688</v>
      </c>
      <c r="I2975" s="13" t="s">
        <v>52</v>
      </c>
      <c r="J2975" s="23" t="s">
        <v>61</v>
      </c>
      <c r="K2975" s="24" t="s">
        <v>177</v>
      </c>
      <c r="L2975" s="24">
        <v>105</v>
      </c>
      <c r="M2975" s="12">
        <v>6890.6446838833353</v>
      </c>
      <c r="N2975" s="12">
        <v>6890.6446838833353</v>
      </c>
      <c r="O2975" s="12">
        <v>1309.2224899378334</v>
      </c>
      <c r="P2975" s="13"/>
      <c r="Q2975" s="14">
        <v>2025</v>
      </c>
      <c r="R2975" s="15">
        <v>45323</v>
      </c>
      <c r="S2975" s="11" t="s">
        <v>64</v>
      </c>
      <c r="T2975" s="16">
        <v>1</v>
      </c>
      <c r="U2975" s="17"/>
      <c r="V2975" s="12">
        <v>1184.1572889253512</v>
      </c>
      <c r="W2975" s="12">
        <v>1184.1572889253512</v>
      </c>
      <c r="X2975" s="12">
        <v>0</v>
      </c>
      <c r="Y2975" s="18">
        <v>45705</v>
      </c>
      <c r="Z2975" s="13" t="s">
        <v>501</v>
      </c>
      <c r="AA2975" s="19" t="str">
        <f>VLOOKUP(D2975,Clientes!$A$2:$J$486,9,FALSE)</f>
        <v>Ocacional</v>
      </c>
      <c r="AB2975" s="13" t="str">
        <f>VLOOKUP(D2975,Clientes!$A$2:$K$486,11,FALSE)</f>
        <v>Persona Natural</v>
      </c>
      <c r="AC2975" s="13" t="str">
        <f>VLOOKUP(D2975,Clientes!$A$2:$B$486,2,FALSE)</f>
        <v>Departamental</v>
      </c>
      <c r="AD2975" s="20"/>
      <c r="AE2975" s="20"/>
      <c r="AF2975" s="13" t="s">
        <v>40</v>
      </c>
      <c r="AG2975" s="15">
        <v>45323</v>
      </c>
      <c r="AH2975" s="13" t="s">
        <v>41</v>
      </c>
      <c r="AI2975" s="13" t="s">
        <v>64</v>
      </c>
      <c r="AJ2975" s="13" t="str">
        <f>VLOOKUP(E2975,Precios!Z$2:AA$941,2,FALSE)</f>
        <v>Longanizas VILLABLANCA</v>
      </c>
      <c r="AK2975" s="14">
        <f>VLOOKUP(E2975,Precios!Z$2:BB$941,3,FALSE)*F2975</f>
        <v>-1</v>
      </c>
      <c r="AL2975" s="17"/>
      <c r="AM2975" s="17"/>
      <c r="AN2975" s="17"/>
      <c r="AO2975" s="17"/>
      <c r="AP2975" s="17"/>
      <c r="AQ2975" s="17"/>
      <c r="AR2975" s="17"/>
      <c r="AS2975" s="17"/>
      <c r="AT2975" s="17"/>
      <c r="AU2975" s="17"/>
      <c r="AV2975" s="17"/>
    </row>
    <row r="2976" spans="1:48" ht="15.75" customHeight="1">
      <c r="A2976" s="21" t="s">
        <v>53</v>
      </c>
      <c r="B2976" s="23" t="s">
        <v>1692</v>
      </c>
      <c r="C2976" s="22">
        <v>45710</v>
      </c>
      <c r="D2976" s="23" t="s">
        <v>133</v>
      </c>
      <c r="E2976" s="23" t="s">
        <v>157</v>
      </c>
      <c r="F2976" s="14">
        <v>1</v>
      </c>
      <c r="G2976" s="12">
        <v>11499.714937286204</v>
      </c>
      <c r="H2976" s="12">
        <v>11499.714937286204</v>
      </c>
      <c r="I2976" s="13" t="s">
        <v>52</v>
      </c>
      <c r="J2976" s="23" t="s">
        <v>61</v>
      </c>
      <c r="K2976" s="24" t="s">
        <v>177</v>
      </c>
      <c r="L2976" s="24">
        <v>105</v>
      </c>
      <c r="M2976" s="12">
        <v>9663.6259977195004</v>
      </c>
      <c r="N2976" s="12">
        <v>9663.6259977195004</v>
      </c>
      <c r="O2976" s="12">
        <v>1836.0889395667036</v>
      </c>
      <c r="P2976" s="13"/>
      <c r="Q2976" s="14">
        <v>2025</v>
      </c>
      <c r="R2976" s="15">
        <v>45323</v>
      </c>
      <c r="S2976" s="11" t="s">
        <v>376</v>
      </c>
      <c r="T2976" s="16">
        <v>0</v>
      </c>
      <c r="U2976" s="17"/>
      <c r="V2976" s="12">
        <v>2883.6259977194986</v>
      </c>
      <c r="W2976" s="12">
        <v>2883.6259977194986</v>
      </c>
      <c r="X2976" s="12">
        <v>0</v>
      </c>
      <c r="Y2976" s="18">
        <v>45705</v>
      </c>
      <c r="Z2976" s="13" t="s">
        <v>501</v>
      </c>
      <c r="AA2976" s="19" t="str">
        <f>VLOOKUP(D2976,Clientes!$A$2:$J$486,9,FALSE)</f>
        <v>Frecuente</v>
      </c>
      <c r="AB2976" s="13" t="str">
        <f>VLOOKUP(D2976,Clientes!$A$2:$K$486,11,FALSE)</f>
        <v>Persona Natural</v>
      </c>
      <c r="AC2976" s="13" t="str">
        <f>VLOOKUP(D2976,Clientes!$A$2:$B$486,2,FALSE)</f>
        <v>Jardines de la Viña</v>
      </c>
      <c r="AD2976" s="20"/>
      <c r="AE2976" s="20"/>
      <c r="AF2976" s="13" t="s">
        <v>40</v>
      </c>
      <c r="AG2976" s="15">
        <v>45323</v>
      </c>
      <c r="AH2976" s="13" t="s">
        <v>41</v>
      </c>
      <c r="AI2976" s="13" t="s">
        <v>53</v>
      </c>
      <c r="AJ2976" s="13" t="str">
        <f>VLOOKUP(E2976,Precios!Z$2:AA$941,2,FALSE)</f>
        <v>Toalla Papel NOVA 70 metros</v>
      </c>
      <c r="AK2976" s="14">
        <f>VLOOKUP(E2976,Precios!Z$2:BB$941,3,FALSE)*F2976</f>
        <v>-4</v>
      </c>
      <c r="AL2976" s="17"/>
      <c r="AM2976" s="17"/>
      <c r="AN2976" s="17"/>
      <c r="AO2976" s="17"/>
      <c r="AP2976" s="17"/>
      <c r="AQ2976" s="17"/>
      <c r="AR2976" s="17"/>
      <c r="AS2976" s="17"/>
      <c r="AT2976" s="17"/>
      <c r="AU2976" s="17"/>
      <c r="AV2976" s="17"/>
    </row>
    <row r="2977" spans="1:48" ht="15.75" customHeight="1">
      <c r="A2977" s="21" t="s">
        <v>53</v>
      </c>
      <c r="B2977" s="23" t="s">
        <v>1692</v>
      </c>
      <c r="C2977" s="22">
        <v>45710</v>
      </c>
      <c r="D2977" s="23" t="s">
        <v>125</v>
      </c>
      <c r="E2977" s="23" t="s">
        <v>69</v>
      </c>
      <c r="F2977" s="14">
        <v>1</v>
      </c>
      <c r="G2977" s="12">
        <v>2999.9553810458683</v>
      </c>
      <c r="H2977" s="12">
        <v>2999.9553810458683</v>
      </c>
      <c r="I2977" s="13" t="s">
        <v>52</v>
      </c>
      <c r="J2977" s="23" t="s">
        <v>61</v>
      </c>
      <c r="K2977" s="24" t="s">
        <v>177</v>
      </c>
      <c r="L2977" s="24">
        <v>105</v>
      </c>
      <c r="M2977" s="12">
        <v>2520.9709084419064</v>
      </c>
      <c r="N2977" s="12">
        <v>2520.9709084419064</v>
      </c>
      <c r="O2977" s="12">
        <v>478.98447260396188</v>
      </c>
      <c r="P2977" s="13"/>
      <c r="Q2977" s="14">
        <v>2025</v>
      </c>
      <c r="R2977" s="15">
        <v>45323</v>
      </c>
      <c r="S2977" s="11" t="s">
        <v>376</v>
      </c>
      <c r="T2977" s="16">
        <v>0</v>
      </c>
      <c r="U2977" s="17"/>
      <c r="V2977" s="12">
        <v>825.97090844190598</v>
      </c>
      <c r="W2977" s="12">
        <v>825.97090844190598</v>
      </c>
      <c r="X2977" s="12">
        <v>0</v>
      </c>
      <c r="Y2977" s="18">
        <v>45705</v>
      </c>
      <c r="Z2977" s="13" t="s">
        <v>501</v>
      </c>
      <c r="AA2977" s="19" t="str">
        <f>VLOOKUP(D2977,Clientes!$A$2:$J$486,9,FALSE)</f>
        <v>Frecuente</v>
      </c>
      <c r="AB2977" s="13" t="str">
        <f>VLOOKUP(D2977,Clientes!$A$2:$K$486,11,FALSE)</f>
        <v>Persona Natural</v>
      </c>
      <c r="AC2977" s="13" t="str">
        <f>VLOOKUP(D2977,Clientes!$A$2:$B$486,2,FALSE)</f>
        <v>Jardines de la Viña</v>
      </c>
      <c r="AD2977" s="20"/>
      <c r="AE2977" s="20"/>
      <c r="AF2977" s="13" t="s">
        <v>40</v>
      </c>
      <c r="AG2977" s="15">
        <v>45323</v>
      </c>
      <c r="AH2977" s="13" t="s">
        <v>41</v>
      </c>
      <c r="AI2977" s="13" t="s">
        <v>53</v>
      </c>
      <c r="AJ2977" s="13" t="str">
        <f>VLOOKUP(E2977,Precios!Z$2:AA$941,2,FALSE)</f>
        <v>Toalla Papel NOVA 70 metros</v>
      </c>
      <c r="AK2977" s="14">
        <f>VLOOKUP(E2977,Precios!Z$2:BB$941,3,FALSE)*F2977</f>
        <v>-1</v>
      </c>
      <c r="AL2977" s="17"/>
      <c r="AM2977" s="17"/>
      <c r="AN2977" s="17"/>
      <c r="AO2977" s="17"/>
      <c r="AP2977" s="17"/>
      <c r="AQ2977" s="17"/>
      <c r="AR2977" s="17"/>
      <c r="AS2977" s="17"/>
      <c r="AT2977" s="17"/>
      <c r="AU2977" s="17"/>
      <c r="AV2977" s="17"/>
    </row>
    <row r="2978" spans="1:48" ht="15.75" customHeight="1">
      <c r="A2978" s="21" t="s">
        <v>76</v>
      </c>
      <c r="B2978" s="23" t="s">
        <v>1692</v>
      </c>
      <c r="C2978" s="22">
        <v>45710</v>
      </c>
      <c r="D2978" s="23" t="s">
        <v>125</v>
      </c>
      <c r="E2978" s="23" t="s">
        <v>137</v>
      </c>
      <c r="F2978" s="14">
        <v>1</v>
      </c>
      <c r="G2978" s="12">
        <v>3500.0000000000005</v>
      </c>
      <c r="H2978" s="12">
        <v>3500.0000000000005</v>
      </c>
      <c r="I2978" s="13" t="s">
        <v>52</v>
      </c>
      <c r="J2978" s="23" t="s">
        <v>61</v>
      </c>
      <c r="K2978" s="24" t="s">
        <v>177</v>
      </c>
      <c r="L2978" s="24">
        <v>105</v>
      </c>
      <c r="M2978" s="12">
        <v>2941.1764705882356</v>
      </c>
      <c r="N2978" s="12">
        <v>2941.1764705882356</v>
      </c>
      <c r="O2978" s="12">
        <v>558.82352941176487</v>
      </c>
      <c r="P2978" s="13"/>
      <c r="Q2978" s="14">
        <v>2025</v>
      </c>
      <c r="R2978" s="15">
        <v>45323</v>
      </c>
      <c r="S2978" s="11" t="s">
        <v>406</v>
      </c>
      <c r="T2978" s="16">
        <v>5</v>
      </c>
      <c r="U2978" s="17"/>
      <c r="V2978" s="12">
        <v>848.73949579831969</v>
      </c>
      <c r="W2978" s="12">
        <v>848.73949579831969</v>
      </c>
      <c r="X2978" s="12">
        <v>0</v>
      </c>
      <c r="Y2978" s="18">
        <v>45705</v>
      </c>
      <c r="Z2978" s="13" t="s">
        <v>501</v>
      </c>
      <c r="AA2978" s="19" t="str">
        <f>VLOOKUP(D2978,Clientes!$A$2:$J$486,9,FALSE)</f>
        <v>Frecuente</v>
      </c>
      <c r="AB2978" s="13" t="str">
        <f>VLOOKUP(D2978,Clientes!$A$2:$K$486,11,FALSE)</f>
        <v>Persona Natural</v>
      </c>
      <c r="AC2978" s="13" t="str">
        <f>VLOOKUP(D2978,Clientes!$A$2:$B$486,2,FALSE)</f>
        <v>Jardines de la Viña</v>
      </c>
      <c r="AD2978" s="20"/>
      <c r="AE2978" s="20"/>
      <c r="AF2978" s="13" t="s">
        <v>40</v>
      </c>
      <c r="AG2978" s="15">
        <v>45323</v>
      </c>
      <c r="AH2978" s="13" t="s">
        <v>41</v>
      </c>
      <c r="AI2978" s="13" t="s">
        <v>76</v>
      </c>
      <c r="AJ2978" s="13" t="str">
        <f>VLOOKUP(E2978,Precios!Z$2:AA$941,2,FALSE)</f>
        <v>Detergente SPUM 5 Litros (Blanco)</v>
      </c>
      <c r="AK2978" s="14">
        <f>VLOOKUP(E2978,Precios!Z$2:BB$941,3,FALSE)*F2978</f>
        <v>-1</v>
      </c>
      <c r="AL2978" s="17"/>
      <c r="AM2978" s="17"/>
      <c r="AN2978" s="17"/>
      <c r="AO2978" s="17"/>
      <c r="AP2978" s="17"/>
      <c r="AQ2978" s="17"/>
      <c r="AR2978" s="17"/>
      <c r="AS2978" s="17"/>
      <c r="AT2978" s="17"/>
      <c r="AU2978" s="17"/>
      <c r="AV2978" s="17"/>
    </row>
    <row r="2979" spans="1:48" ht="15.75" customHeight="1">
      <c r="A2979" s="21" t="s">
        <v>43</v>
      </c>
      <c r="B2979" s="23" t="s">
        <v>1692</v>
      </c>
      <c r="C2979" s="22">
        <v>45710</v>
      </c>
      <c r="D2979" s="23" t="s">
        <v>179</v>
      </c>
      <c r="E2979" s="23" t="s">
        <v>45</v>
      </c>
      <c r="F2979" s="14">
        <v>1</v>
      </c>
      <c r="G2979" s="12">
        <v>7499.8368883312432</v>
      </c>
      <c r="H2979" s="12">
        <v>7499.8368883312432</v>
      </c>
      <c r="I2979" s="13" t="s">
        <v>52</v>
      </c>
      <c r="J2979" s="23" t="s">
        <v>61</v>
      </c>
      <c r="K2979" s="24" t="s">
        <v>177</v>
      </c>
      <c r="L2979" s="24">
        <v>105</v>
      </c>
      <c r="M2979" s="12">
        <v>6302.383939774154</v>
      </c>
      <c r="N2979" s="12">
        <v>6302.383939774154</v>
      </c>
      <c r="O2979" s="12">
        <v>1197.4529485570893</v>
      </c>
      <c r="P2979" s="13"/>
      <c r="Q2979" s="14">
        <v>2025</v>
      </c>
      <c r="R2979" s="15">
        <v>45323</v>
      </c>
      <c r="S2979" s="11" t="s">
        <v>355</v>
      </c>
      <c r="T2979" s="16">
        <v>0</v>
      </c>
      <c r="U2979" s="17"/>
      <c r="V2979" s="12">
        <v>1279.383939774154</v>
      </c>
      <c r="W2979" s="12">
        <v>1279.383939774154</v>
      </c>
      <c r="X2979" s="12">
        <v>0</v>
      </c>
      <c r="Y2979" s="18">
        <v>45705</v>
      </c>
      <c r="Z2979" s="13" t="s">
        <v>501</v>
      </c>
      <c r="AA2979" s="19" t="str">
        <f>VLOOKUP(D2979,Clientes!$A$2:$J$486,9,FALSE)</f>
        <v>Frecuente</v>
      </c>
      <c r="AB2979" s="13" t="str">
        <f>VLOOKUP(D2979,Clientes!$A$2:$K$486,11,FALSE)</f>
        <v>Persona Natural</v>
      </c>
      <c r="AC2979" s="13" t="str">
        <f>VLOOKUP(D2979,Clientes!$A$2:$B$486,2,FALSE)</f>
        <v>Araucania</v>
      </c>
      <c r="AD2979" s="20"/>
      <c r="AE2979" s="20"/>
      <c r="AF2979" s="13" t="s">
        <v>40</v>
      </c>
      <c r="AG2979" s="15">
        <v>45323</v>
      </c>
      <c r="AH2979" s="13" t="s">
        <v>41</v>
      </c>
      <c r="AI2979" s="13" t="s">
        <v>43</v>
      </c>
      <c r="AJ2979" s="13" t="str">
        <f>VLOOKUP(E2979,Precios!Z$2:AA$941,2,FALSE)</f>
        <v>Bandeja Huevos EXTRA</v>
      </c>
      <c r="AK2979" s="14">
        <f>VLOOKUP(E2979,Precios!Z$2:BB$941,3,FALSE)*F2979</f>
        <v>-1</v>
      </c>
      <c r="AL2979" s="17"/>
      <c r="AM2979" s="17"/>
      <c r="AN2979" s="17"/>
      <c r="AO2979" s="17"/>
      <c r="AP2979" s="17"/>
      <c r="AQ2979" s="17"/>
      <c r="AR2979" s="17"/>
      <c r="AS2979" s="17"/>
      <c r="AT2979" s="17"/>
      <c r="AU2979" s="17"/>
      <c r="AV2979" s="17"/>
    </row>
    <row r="2980" spans="1:48" ht="15.75" customHeight="1">
      <c r="A2980" s="21" t="s">
        <v>35</v>
      </c>
      <c r="B2980" s="23" t="s">
        <v>1692</v>
      </c>
      <c r="C2980" s="22">
        <v>45710</v>
      </c>
      <c r="D2980" s="23" t="s">
        <v>915</v>
      </c>
      <c r="E2980" s="23" t="s">
        <v>37</v>
      </c>
      <c r="F2980" s="14">
        <v>1</v>
      </c>
      <c r="G2980" s="12">
        <v>10500</v>
      </c>
      <c r="H2980" s="34">
        <v>10500</v>
      </c>
      <c r="I2980" s="13" t="s">
        <v>52</v>
      </c>
      <c r="J2980" s="23" t="s">
        <v>61</v>
      </c>
      <c r="K2980" s="24" t="s">
        <v>177</v>
      </c>
      <c r="L2980" s="24">
        <v>105</v>
      </c>
      <c r="M2980" s="12">
        <v>8823.5294117647063</v>
      </c>
      <c r="N2980" s="12">
        <v>8823.5294117647063</v>
      </c>
      <c r="O2980" s="12">
        <v>1676.4705882352937</v>
      </c>
      <c r="P2980" s="13"/>
      <c r="Q2980" s="14">
        <v>2025</v>
      </c>
      <c r="R2980" s="15">
        <v>45323</v>
      </c>
      <c r="S2980" s="11" t="s">
        <v>364</v>
      </c>
      <c r="T2980" s="16">
        <v>1000</v>
      </c>
      <c r="U2980" s="17"/>
      <c r="V2980" s="12">
        <v>2385.7142857142853</v>
      </c>
      <c r="W2980" s="12">
        <v>2385.7142857142853</v>
      </c>
      <c r="X2980" s="12">
        <v>0</v>
      </c>
      <c r="Y2980" s="18">
        <v>45705</v>
      </c>
      <c r="Z2980" s="13" t="s">
        <v>501</v>
      </c>
      <c r="AA2980" s="19" t="str">
        <f>VLOOKUP(D2980,Clientes!$A$2:$J$486,9,FALSE)</f>
        <v>Regular</v>
      </c>
      <c r="AB2980" s="13" t="str">
        <f>VLOOKUP(D2980,Clientes!$A$2:$K$486,11,FALSE)</f>
        <v>Persona Natural</v>
      </c>
      <c r="AC2980" s="13" t="str">
        <f>VLOOKUP(D2980,Clientes!$A$2:$B$486,2,FALSE)</f>
        <v>Jardin del Eden</v>
      </c>
      <c r="AD2980" s="20"/>
      <c r="AE2980" s="20"/>
      <c r="AF2980" s="13" t="s">
        <v>40</v>
      </c>
      <c r="AG2980" s="15">
        <v>45323</v>
      </c>
      <c r="AH2980" s="13" t="s">
        <v>41</v>
      </c>
      <c r="AI2980" s="13" t="s">
        <v>35</v>
      </c>
      <c r="AJ2980" s="13" t="str">
        <f>VLOOKUP(E2980,Precios!Z$2:AA$941,2,FALSE)</f>
        <v>Queso RUNCA Mantecoso</v>
      </c>
      <c r="AK2980" s="14">
        <f>VLOOKUP(E2980,Precios!Z$2:BB$941,3,FALSE)*F2980</f>
        <v>-1</v>
      </c>
      <c r="AL2980" s="17"/>
      <c r="AM2980" s="17"/>
      <c r="AN2980" s="17"/>
      <c r="AO2980" s="17"/>
      <c r="AP2980" s="17"/>
      <c r="AQ2980" s="17"/>
      <c r="AR2980" s="17"/>
      <c r="AS2980" s="17"/>
      <c r="AT2980" s="17"/>
      <c r="AU2980" s="17"/>
      <c r="AV2980" s="17"/>
    </row>
    <row r="2981" spans="1:48" ht="15.75" customHeight="1">
      <c r="A2981" s="21" t="s">
        <v>47</v>
      </c>
      <c r="B2981" s="23" t="s">
        <v>1692</v>
      </c>
      <c r="C2981" s="22">
        <v>45710</v>
      </c>
      <c r="D2981" s="23" t="s">
        <v>915</v>
      </c>
      <c r="E2981" s="23" t="s">
        <v>92</v>
      </c>
      <c r="F2981" s="14">
        <v>1</v>
      </c>
      <c r="G2981" s="12">
        <v>3400.2970989164628</v>
      </c>
      <c r="H2981" s="34">
        <v>3400.2970989164628</v>
      </c>
      <c r="I2981" s="13" t="s">
        <v>52</v>
      </c>
      <c r="J2981" s="23" t="s">
        <v>61</v>
      </c>
      <c r="K2981" s="24" t="s">
        <v>177</v>
      </c>
      <c r="L2981" s="24">
        <v>105</v>
      </c>
      <c r="M2981" s="12">
        <v>2857.3925200978679</v>
      </c>
      <c r="N2981" s="12">
        <v>2857.3925200978679</v>
      </c>
      <c r="O2981" s="12">
        <v>542.90457881859493</v>
      </c>
      <c r="P2981" s="13"/>
      <c r="Q2981" s="14">
        <v>2025</v>
      </c>
      <c r="R2981" s="15">
        <v>45323</v>
      </c>
      <c r="S2981" s="11" t="s">
        <v>453</v>
      </c>
      <c r="T2981" s="16">
        <v>0</v>
      </c>
      <c r="U2981" s="17"/>
      <c r="V2981" s="12">
        <v>1222.3925200978679</v>
      </c>
      <c r="W2981" s="12">
        <v>1222.3925200978679</v>
      </c>
      <c r="X2981" s="12">
        <v>0</v>
      </c>
      <c r="Y2981" s="18">
        <v>45705</v>
      </c>
      <c r="Z2981" s="13" t="s">
        <v>501</v>
      </c>
      <c r="AA2981" s="19" t="str">
        <f>VLOOKUP(D2981,Clientes!$A$2:$J$486,9,FALSE)</f>
        <v>Regular</v>
      </c>
      <c r="AB2981" s="13" t="str">
        <f>VLOOKUP(D2981,Clientes!$A$2:$K$486,11,FALSE)</f>
        <v>Persona Natural</v>
      </c>
      <c r="AC2981" s="13" t="str">
        <f>VLOOKUP(D2981,Clientes!$A$2:$B$486,2,FALSE)</f>
        <v>Jardin del Eden</v>
      </c>
      <c r="AD2981" s="20"/>
      <c r="AE2981" s="20"/>
      <c r="AF2981" s="13" t="s">
        <v>40</v>
      </c>
      <c r="AG2981" s="15">
        <v>45323</v>
      </c>
      <c r="AH2981" s="13" t="s">
        <v>41</v>
      </c>
      <c r="AI2981" s="13" t="s">
        <v>47</v>
      </c>
      <c r="AJ2981" s="13" t="str">
        <f>VLOOKUP(E2981,Precios!Z$2:AA$941,2,FALSE)</f>
        <v xml:space="preserve">Bolsas Basura TEDDY 70x90 </v>
      </c>
      <c r="AK2981" s="14">
        <f>VLOOKUP(E2981,Precios!Z$2:BB$941,3,FALSE)*F2981</f>
        <v>-3</v>
      </c>
      <c r="AL2981" s="17"/>
      <c r="AM2981" s="17"/>
      <c r="AN2981" s="17"/>
      <c r="AO2981" s="17"/>
      <c r="AP2981" s="17"/>
      <c r="AQ2981" s="17"/>
      <c r="AR2981" s="17"/>
      <c r="AS2981" s="17"/>
      <c r="AT2981" s="17"/>
      <c r="AU2981" s="17"/>
      <c r="AV2981" s="17"/>
    </row>
    <row r="2982" spans="1:48" ht="15.75" customHeight="1">
      <c r="A2982" s="21" t="s">
        <v>43</v>
      </c>
      <c r="B2982" s="23" t="s">
        <v>1692</v>
      </c>
      <c r="C2982" s="22">
        <v>45710</v>
      </c>
      <c r="D2982" s="23" t="s">
        <v>115</v>
      </c>
      <c r="E2982" s="23" t="s">
        <v>45</v>
      </c>
      <c r="F2982" s="14">
        <v>1</v>
      </c>
      <c r="G2982" s="12">
        <v>7499.8368883312432</v>
      </c>
      <c r="H2982" s="12">
        <v>7499.8368883312432</v>
      </c>
      <c r="I2982" s="13" t="s">
        <v>52</v>
      </c>
      <c r="J2982" s="23" t="s">
        <v>61</v>
      </c>
      <c r="K2982" s="24" t="s">
        <v>177</v>
      </c>
      <c r="L2982" s="24">
        <v>105</v>
      </c>
      <c r="M2982" s="12">
        <v>6302.383939774154</v>
      </c>
      <c r="N2982" s="12">
        <v>6302.383939774154</v>
      </c>
      <c r="O2982" s="12">
        <v>1197.4529485570893</v>
      </c>
      <c r="P2982" s="13"/>
      <c r="Q2982" s="14">
        <v>2025</v>
      </c>
      <c r="R2982" s="15">
        <v>45323</v>
      </c>
      <c r="S2982" s="11" t="s">
        <v>355</v>
      </c>
      <c r="T2982" s="16">
        <v>0</v>
      </c>
      <c r="U2982" s="17"/>
      <c r="V2982" s="12">
        <v>1279.383939774154</v>
      </c>
      <c r="W2982" s="12">
        <v>1279.383939774154</v>
      </c>
      <c r="X2982" s="12">
        <v>0</v>
      </c>
      <c r="Y2982" s="18">
        <v>45705</v>
      </c>
      <c r="Z2982" s="13" t="s">
        <v>501</v>
      </c>
      <c r="AA2982" s="19" t="str">
        <f>VLOOKUP(D2982,Clientes!$A$2:$J$486,9,FALSE)</f>
        <v>Ocacional</v>
      </c>
      <c r="AB2982" s="13" t="str">
        <f>VLOOKUP(D2982,Clientes!$A$2:$K$486,11,FALSE)</f>
        <v>Persona Natural</v>
      </c>
      <c r="AC2982" s="13" t="str">
        <f>VLOOKUP(D2982,Clientes!$A$2:$B$486,2,FALSE)</f>
        <v>Jardines de la viña</v>
      </c>
      <c r="AD2982" s="20"/>
      <c r="AE2982" s="20"/>
      <c r="AF2982" s="13" t="s">
        <v>40</v>
      </c>
      <c r="AG2982" s="15">
        <v>45323</v>
      </c>
      <c r="AH2982" s="13" t="s">
        <v>41</v>
      </c>
      <c r="AI2982" s="13" t="s">
        <v>43</v>
      </c>
      <c r="AJ2982" s="13" t="str">
        <f>VLOOKUP(E2982,Precios!Z$2:AA$941,2,FALSE)</f>
        <v>Bandeja Huevos EXTRA</v>
      </c>
      <c r="AK2982" s="14">
        <f>VLOOKUP(E2982,Precios!Z$2:BB$941,3,FALSE)*F2982</f>
        <v>-1</v>
      </c>
      <c r="AL2982" s="17"/>
      <c r="AM2982" s="17"/>
      <c r="AN2982" s="17"/>
      <c r="AO2982" s="17"/>
      <c r="AP2982" s="17"/>
      <c r="AQ2982" s="17"/>
      <c r="AR2982" s="17"/>
      <c r="AS2982" s="17"/>
      <c r="AT2982" s="17"/>
      <c r="AU2982" s="17"/>
      <c r="AV2982" s="17"/>
    </row>
    <row r="2983" spans="1:48" ht="15.75" customHeight="1">
      <c r="A2983" s="21" t="s">
        <v>147</v>
      </c>
      <c r="B2983" s="23" t="s">
        <v>1692</v>
      </c>
      <c r="C2983" s="22">
        <v>45709</v>
      </c>
      <c r="D2983" s="23" t="s">
        <v>519</v>
      </c>
      <c r="E2983" s="23" t="s">
        <v>148</v>
      </c>
      <c r="F2983" s="21">
        <v>1</v>
      </c>
      <c r="G2983" s="12">
        <v>1200.0000000000002</v>
      </c>
      <c r="H2983" s="12">
        <v>1200.0000000000002</v>
      </c>
      <c r="I2983" s="23" t="s">
        <v>52</v>
      </c>
      <c r="J2983" s="23" t="s">
        <v>61</v>
      </c>
      <c r="K2983" s="24" t="s">
        <v>177</v>
      </c>
      <c r="L2983" s="24">
        <v>104</v>
      </c>
      <c r="M2983" s="12">
        <v>1008.4033613445381</v>
      </c>
      <c r="N2983" s="12">
        <v>1008.4033613445381</v>
      </c>
      <c r="O2983" s="12">
        <v>191.59663865546213</v>
      </c>
      <c r="P2983" s="13"/>
      <c r="Q2983" s="14">
        <v>2025</v>
      </c>
      <c r="R2983" s="15">
        <v>45323</v>
      </c>
      <c r="S2983" s="11" t="s">
        <v>360</v>
      </c>
      <c r="T2983" s="16">
        <v>0</v>
      </c>
      <c r="U2983" s="17"/>
      <c r="V2983" s="12">
        <v>357.9831932773111</v>
      </c>
      <c r="W2983" s="12">
        <v>357.9831932773111</v>
      </c>
      <c r="X2983" s="12">
        <v>0</v>
      </c>
      <c r="Y2983" s="18">
        <v>45705</v>
      </c>
      <c r="Z2983" s="13" t="s">
        <v>503</v>
      </c>
      <c r="AA2983" s="23" t="s">
        <v>373</v>
      </c>
      <c r="AB2983" s="23" t="s">
        <v>357</v>
      </c>
      <c r="AC2983" s="23" t="s">
        <v>520</v>
      </c>
      <c r="AD2983" s="20"/>
      <c r="AE2983" s="20"/>
      <c r="AF2983" s="13" t="s">
        <v>40</v>
      </c>
      <c r="AG2983" s="15">
        <v>45323</v>
      </c>
      <c r="AH2983" s="13" t="s">
        <v>41</v>
      </c>
      <c r="AI2983" s="13" t="s">
        <v>147</v>
      </c>
      <c r="AJ2983" s="13" t="str">
        <f>VLOOKUP(E2983,Precios!Z$2:AA$941,2,FALSE)</f>
        <v>Papel Aluminio 7.5 metros</v>
      </c>
      <c r="AK2983" s="14">
        <f>VLOOKUP(E2983,Precios!Z$2:BB$941,3,FALSE)*F2983</f>
        <v>-1</v>
      </c>
      <c r="AL2983" s="17"/>
      <c r="AM2983" s="17"/>
      <c r="AN2983" s="17"/>
      <c r="AO2983" s="17"/>
      <c r="AP2983" s="17"/>
      <c r="AQ2983" s="17"/>
      <c r="AR2983" s="17"/>
      <c r="AS2983" s="17"/>
      <c r="AT2983" s="17"/>
      <c r="AU2983" s="17"/>
      <c r="AV2983" s="17"/>
    </row>
    <row r="2984" spans="1:48" ht="15.75" customHeight="1">
      <c r="A2984" s="21" t="s">
        <v>147</v>
      </c>
      <c r="B2984" s="23" t="s">
        <v>1692</v>
      </c>
      <c r="C2984" s="22">
        <v>45709</v>
      </c>
      <c r="D2984" s="23" t="s">
        <v>519</v>
      </c>
      <c r="E2984" s="23" t="s">
        <v>149</v>
      </c>
      <c r="F2984" s="21">
        <v>1</v>
      </c>
      <c r="G2984" s="12">
        <v>1700</v>
      </c>
      <c r="H2984" s="12">
        <v>1700</v>
      </c>
      <c r="I2984" s="23" t="s">
        <v>52</v>
      </c>
      <c r="J2984" s="23" t="s">
        <v>61</v>
      </c>
      <c r="K2984" s="24" t="s">
        <v>177</v>
      </c>
      <c r="L2984" s="24">
        <v>104</v>
      </c>
      <c r="M2984" s="12">
        <v>1428.5714285714287</v>
      </c>
      <c r="N2984" s="12">
        <v>1428.5714285714287</v>
      </c>
      <c r="O2984" s="12">
        <v>271.42857142857133</v>
      </c>
      <c r="P2984" s="13"/>
      <c r="Q2984" s="14">
        <v>2025</v>
      </c>
      <c r="R2984" s="15">
        <v>45323</v>
      </c>
      <c r="S2984" s="11" t="s">
        <v>412</v>
      </c>
      <c r="T2984" s="16">
        <v>0</v>
      </c>
      <c r="U2984" s="17"/>
      <c r="V2984" s="12">
        <v>774.78991596638662</v>
      </c>
      <c r="W2984" s="12">
        <v>774.78991596638662</v>
      </c>
      <c r="X2984" s="12">
        <v>0</v>
      </c>
      <c r="Y2984" s="18">
        <v>45705</v>
      </c>
      <c r="Z2984" s="13" t="s">
        <v>503</v>
      </c>
      <c r="AA2984" s="23" t="s">
        <v>373</v>
      </c>
      <c r="AB2984" s="23" t="s">
        <v>357</v>
      </c>
      <c r="AC2984" s="23" t="s">
        <v>520</v>
      </c>
      <c r="AD2984" s="20"/>
      <c r="AE2984" s="20"/>
      <c r="AF2984" s="13" t="s">
        <v>40</v>
      </c>
      <c r="AG2984" s="15">
        <v>45323</v>
      </c>
      <c r="AH2984" s="13" t="s">
        <v>41</v>
      </c>
      <c r="AI2984" s="13" t="s">
        <v>147</v>
      </c>
      <c r="AJ2984" s="13" t="str">
        <f>VLOOKUP(E2984,Precios!Z$2:AA$941,2,FALSE)</f>
        <v>Film Plástico 30 metros</v>
      </c>
      <c r="AK2984" s="14">
        <f>VLOOKUP(E2984,Precios!Z$2:BB$941,3,FALSE)*F2984</f>
        <v>-1</v>
      </c>
      <c r="AL2984" s="17"/>
      <c r="AM2984" s="17"/>
      <c r="AN2984" s="17"/>
      <c r="AO2984" s="17"/>
      <c r="AP2984" s="17"/>
      <c r="AQ2984" s="17"/>
      <c r="AR2984" s="17"/>
      <c r="AS2984" s="17"/>
      <c r="AT2984" s="17"/>
      <c r="AU2984" s="17"/>
      <c r="AV2984" s="17"/>
    </row>
    <row r="2985" spans="1:48" ht="15.75" customHeight="1">
      <c r="A2985" s="21" t="s">
        <v>56</v>
      </c>
      <c r="B2985" s="23" t="s">
        <v>1692</v>
      </c>
      <c r="C2985" s="22">
        <v>45709</v>
      </c>
      <c r="D2985" s="23" t="s">
        <v>915</v>
      </c>
      <c r="E2985" s="23" t="s">
        <v>190</v>
      </c>
      <c r="F2985" s="21">
        <v>1</v>
      </c>
      <c r="G2985" s="12">
        <v>2500</v>
      </c>
      <c r="H2985" s="34">
        <v>2500</v>
      </c>
      <c r="I2985" s="13" t="s">
        <v>52</v>
      </c>
      <c r="J2985" s="23" t="s">
        <v>61</v>
      </c>
      <c r="K2985" s="24" t="s">
        <v>177</v>
      </c>
      <c r="L2985" s="24">
        <v>104</v>
      </c>
      <c r="M2985" s="12">
        <v>2100.840336134454</v>
      </c>
      <c r="N2985" s="12">
        <v>2100.840336134454</v>
      </c>
      <c r="O2985" s="12">
        <v>399.15966386554601</v>
      </c>
      <c r="P2985" s="13"/>
      <c r="Q2985" s="14">
        <v>2025</v>
      </c>
      <c r="R2985" s="15">
        <v>45323</v>
      </c>
      <c r="S2985" s="11" t="s">
        <v>492</v>
      </c>
      <c r="T2985" s="16">
        <v>200</v>
      </c>
      <c r="U2985" s="17"/>
      <c r="V2985" s="12">
        <v>631.93277310924373</v>
      </c>
      <c r="W2985" s="12">
        <v>631.93277310924373</v>
      </c>
      <c r="X2985" s="12">
        <v>0</v>
      </c>
      <c r="Y2985" s="18">
        <v>45705</v>
      </c>
      <c r="Z2985" s="13" t="s">
        <v>503</v>
      </c>
      <c r="AA2985" s="19" t="str">
        <f>VLOOKUP(D2985,Clientes!$A$2:$J$486,9,FALSE)</f>
        <v>Regular</v>
      </c>
      <c r="AB2985" s="13" t="str">
        <f>VLOOKUP(D2985,Clientes!$A$2:$K$486,11,FALSE)</f>
        <v>Persona Natural</v>
      </c>
      <c r="AC2985" s="13" t="str">
        <f>VLOOKUP(D2985,Clientes!$A$2:$B$486,2,FALSE)</f>
        <v>Jardin del Eden</v>
      </c>
      <c r="AD2985" s="20"/>
      <c r="AE2985" s="20"/>
      <c r="AF2985" s="13" t="s">
        <v>40</v>
      </c>
      <c r="AG2985" s="15">
        <v>45323</v>
      </c>
      <c r="AH2985" s="13" t="s">
        <v>41</v>
      </c>
      <c r="AI2985" s="13" t="s">
        <v>56</v>
      </c>
      <c r="AJ2985" s="13" t="str">
        <f>VLOOKUP(E2985,Precios!Z$2:AA$941,2,FALSE)</f>
        <v>Mantequilla RUMAY</v>
      </c>
      <c r="AK2985" s="14">
        <f>VLOOKUP(E2985,Precios!Z$2:BB$941,3,FALSE)*F2985</f>
        <v>-1</v>
      </c>
      <c r="AL2985" s="17"/>
      <c r="AM2985" s="17"/>
      <c r="AN2985" s="17"/>
      <c r="AO2985" s="17"/>
      <c r="AP2985" s="17"/>
      <c r="AQ2985" s="17"/>
      <c r="AR2985" s="17"/>
      <c r="AS2985" s="17"/>
      <c r="AT2985" s="17"/>
      <c r="AU2985" s="17"/>
      <c r="AV2985" s="17"/>
    </row>
    <row r="2986" spans="1:48" ht="15.75" customHeight="1">
      <c r="A2986" s="21" t="s">
        <v>53</v>
      </c>
      <c r="B2986" s="23" t="s">
        <v>1692</v>
      </c>
      <c r="C2986" s="22">
        <v>45709</v>
      </c>
      <c r="D2986" s="23" t="s">
        <v>219</v>
      </c>
      <c r="E2986" s="23" t="s">
        <v>163</v>
      </c>
      <c r="F2986" s="21">
        <v>1</v>
      </c>
      <c r="G2986" s="12">
        <v>18990</v>
      </c>
      <c r="H2986" s="12">
        <v>18990</v>
      </c>
      <c r="I2986" s="23" t="s">
        <v>52</v>
      </c>
      <c r="J2986" s="23" t="s">
        <v>61</v>
      </c>
      <c r="K2986" s="24" t="s">
        <v>177</v>
      </c>
      <c r="L2986" s="24">
        <v>104</v>
      </c>
      <c r="M2986" s="12">
        <v>15957.983193277312</v>
      </c>
      <c r="N2986" s="12">
        <v>15957.983193277312</v>
      </c>
      <c r="O2986" s="12">
        <v>3032.0168067226878</v>
      </c>
      <c r="P2986" s="13"/>
      <c r="Q2986" s="14">
        <v>2025</v>
      </c>
      <c r="R2986" s="15">
        <v>45323</v>
      </c>
      <c r="S2986" s="11" t="s">
        <v>435</v>
      </c>
      <c r="T2986" s="16">
        <v>0</v>
      </c>
      <c r="U2986" s="17"/>
      <c r="V2986" s="12">
        <v>4112.6050420168067</v>
      </c>
      <c r="W2986" s="12">
        <v>4112.6050420168067</v>
      </c>
      <c r="X2986" s="12">
        <v>0</v>
      </c>
      <c r="Y2986" s="18">
        <v>45705</v>
      </c>
      <c r="Z2986" s="13" t="s">
        <v>503</v>
      </c>
      <c r="AA2986" s="19" t="str">
        <f>VLOOKUP(D2986,Clientes!$A$2:$J$486,9,FALSE)</f>
        <v>Ocacional</v>
      </c>
      <c r="AB2986" s="13" t="str">
        <f>VLOOKUP(D2986,Clientes!$A$2:$K$486,11,FALSE)</f>
        <v>Persona Natural</v>
      </c>
      <c r="AC2986" s="13" t="str">
        <f>VLOOKUP(D2986,Clientes!$A$2:$B$486,2,FALSE)</f>
        <v>Jardines de la Viña</v>
      </c>
      <c r="AD2986" s="20"/>
      <c r="AE2986" s="20"/>
      <c r="AF2986" s="13" t="s">
        <v>40</v>
      </c>
      <c r="AG2986" s="15">
        <v>45323</v>
      </c>
      <c r="AH2986" s="13" t="s">
        <v>41</v>
      </c>
      <c r="AI2986" s="13" t="s">
        <v>53</v>
      </c>
      <c r="AJ2986" s="13" t="str">
        <f>VLOOKUP(E2986,Precios!Z$2:AA$941,2,FALSE)</f>
        <v>Papel Higienico SWAN 50 metros</v>
      </c>
      <c r="AK2986" s="14">
        <f>VLOOKUP(E2986,Precios!Z$2:BB$941,3,FALSE)*F2986</f>
        <v>-8</v>
      </c>
      <c r="AL2986" s="17"/>
      <c r="AM2986" s="17"/>
      <c r="AN2986" s="17"/>
      <c r="AO2986" s="17"/>
      <c r="AP2986" s="17"/>
      <c r="AQ2986" s="17"/>
      <c r="AR2986" s="17"/>
      <c r="AS2986" s="17"/>
      <c r="AT2986" s="17"/>
      <c r="AU2986" s="17"/>
      <c r="AV2986" s="17"/>
    </row>
    <row r="2987" spans="1:48" ht="15.75" customHeight="1">
      <c r="A2987" s="21" t="s">
        <v>76</v>
      </c>
      <c r="B2987" s="23" t="s">
        <v>1692</v>
      </c>
      <c r="C2987" s="22">
        <v>45709</v>
      </c>
      <c r="D2987" s="23" t="s">
        <v>141</v>
      </c>
      <c r="E2987" s="23" t="s">
        <v>81</v>
      </c>
      <c r="F2987" s="21">
        <v>1</v>
      </c>
      <c r="G2987" s="12">
        <v>3500.0000000000005</v>
      </c>
      <c r="H2987" s="34">
        <v>3500.0000000000005</v>
      </c>
      <c r="I2987" s="23" t="s">
        <v>52</v>
      </c>
      <c r="J2987" s="23" t="s">
        <v>61</v>
      </c>
      <c r="K2987" s="24" t="s">
        <v>177</v>
      </c>
      <c r="L2987" s="24">
        <v>104</v>
      </c>
      <c r="M2987" s="12">
        <v>2941.1764705882356</v>
      </c>
      <c r="N2987" s="12">
        <v>2941.1764705882356</v>
      </c>
      <c r="O2987" s="12">
        <v>558.82352941176487</v>
      </c>
      <c r="P2987" s="13"/>
      <c r="Q2987" s="14">
        <v>2025</v>
      </c>
      <c r="R2987" s="15">
        <v>45323</v>
      </c>
      <c r="S2987" s="11" t="s">
        <v>397</v>
      </c>
      <c r="T2987" s="16">
        <v>5</v>
      </c>
      <c r="U2987" s="17"/>
      <c r="V2987" s="12">
        <v>764.70588235294144</v>
      </c>
      <c r="W2987" s="12">
        <v>764.70588235294144</v>
      </c>
      <c r="X2987" s="12">
        <v>0</v>
      </c>
      <c r="Y2987" s="18">
        <v>45705</v>
      </c>
      <c r="Z2987" s="13" t="s">
        <v>503</v>
      </c>
      <c r="AA2987" s="19" t="str">
        <f>VLOOKUP(D2987,Clientes!$A$2:$J$486,9,FALSE)</f>
        <v>Familiar</v>
      </c>
      <c r="AB2987" s="13" t="str">
        <f>VLOOKUP(D2987,Clientes!$A$2:$K$486,11,FALSE)</f>
        <v>Persona Natural</v>
      </c>
      <c r="AC2987" s="13" t="str">
        <f>VLOOKUP(D2987,Clientes!$A$2:$B$486,2,FALSE)</f>
        <v>Familiar</v>
      </c>
      <c r="AD2987" s="20"/>
      <c r="AE2987" s="20"/>
      <c r="AF2987" s="13" t="s">
        <v>40</v>
      </c>
      <c r="AG2987" s="15">
        <v>45323</v>
      </c>
      <c r="AH2987" s="13" t="s">
        <v>41</v>
      </c>
      <c r="AI2987" s="13" t="s">
        <v>76</v>
      </c>
      <c r="AJ2987" s="13" t="str">
        <f>VLOOKUP(E2987,Precios!Z$2:AA$941,2,FALSE)</f>
        <v>Detergente SPUM 5 Litros (Verde)</v>
      </c>
      <c r="AK2987" s="14">
        <f>VLOOKUP(E2987,Precios!Z$2:BB$941,3,FALSE)*F2987</f>
        <v>-1</v>
      </c>
      <c r="AL2987" s="17"/>
      <c r="AM2987" s="17"/>
      <c r="AN2987" s="17"/>
      <c r="AO2987" s="17"/>
      <c r="AP2987" s="17"/>
      <c r="AQ2987" s="17"/>
      <c r="AR2987" s="17"/>
      <c r="AS2987" s="17"/>
      <c r="AT2987" s="17"/>
      <c r="AU2987" s="17"/>
      <c r="AV2987" s="17"/>
    </row>
    <row r="2988" spans="1:48" ht="15.75" customHeight="1">
      <c r="A2988" s="21" t="s">
        <v>47</v>
      </c>
      <c r="B2988" s="23" t="s">
        <v>1692</v>
      </c>
      <c r="C2988" s="22">
        <v>45709</v>
      </c>
      <c r="D2988" s="23" t="s">
        <v>141</v>
      </c>
      <c r="E2988" s="23" t="s">
        <v>99</v>
      </c>
      <c r="F2988" s="21">
        <v>2</v>
      </c>
      <c r="G2988" s="12">
        <v>1200</v>
      </c>
      <c r="H2988" s="12">
        <v>2400</v>
      </c>
      <c r="I2988" s="23" t="s">
        <v>52</v>
      </c>
      <c r="J2988" s="23" t="s">
        <v>61</v>
      </c>
      <c r="K2988" s="24" t="s">
        <v>177</v>
      </c>
      <c r="L2988" s="24">
        <v>104</v>
      </c>
      <c r="M2988" s="12">
        <v>1008.4033613445379</v>
      </c>
      <c r="N2988" s="12">
        <v>2016.8067226890757</v>
      </c>
      <c r="O2988" s="12">
        <v>383.19327731092426</v>
      </c>
      <c r="P2988" s="13"/>
      <c r="Q2988" s="14">
        <v>2025</v>
      </c>
      <c r="R2988" s="15">
        <v>45323</v>
      </c>
      <c r="S2988" s="11" t="s">
        <v>453</v>
      </c>
      <c r="T2988" s="16">
        <v>0</v>
      </c>
      <c r="U2988" s="17"/>
      <c r="V2988" s="12">
        <v>588.23529411764707</v>
      </c>
      <c r="W2988" s="12">
        <v>588.23529411764707</v>
      </c>
      <c r="X2988" s="12">
        <v>0</v>
      </c>
      <c r="Y2988" s="18">
        <v>45705</v>
      </c>
      <c r="Z2988" s="13" t="s">
        <v>503</v>
      </c>
      <c r="AA2988" s="19" t="str">
        <f>VLOOKUP(D2988,Clientes!$A$2:$J$486,9,FALSE)</f>
        <v>Familiar</v>
      </c>
      <c r="AB2988" s="13" t="str">
        <f>VLOOKUP(D2988,Clientes!$A$2:$K$486,11,FALSE)</f>
        <v>Persona Natural</v>
      </c>
      <c r="AC2988" s="13" t="str">
        <f>VLOOKUP(D2988,Clientes!$A$2:$B$486,2,FALSE)</f>
        <v>Familiar</v>
      </c>
      <c r="AD2988" s="20"/>
      <c r="AE2988" s="20"/>
      <c r="AF2988" s="13" t="s">
        <v>40</v>
      </c>
      <c r="AG2988" s="15">
        <v>45323</v>
      </c>
      <c r="AH2988" s="13" t="s">
        <v>41</v>
      </c>
      <c r="AI2988" s="13" t="s">
        <v>47</v>
      </c>
      <c r="AJ2988" s="13" t="str">
        <f>VLOOKUP(E2988,Precios!Z$2:AA$941,2,FALSE)</f>
        <v xml:space="preserve">Bolsas Basura TEDDY 70x90 </v>
      </c>
      <c r="AK2988" s="14">
        <f>VLOOKUP(E2988,Precios!Z$2:BB$941,3,FALSE)*F2988</f>
        <v>-2</v>
      </c>
      <c r="AL2988" s="17"/>
      <c r="AM2988" s="17"/>
      <c r="AN2988" s="17"/>
      <c r="AO2988" s="17"/>
      <c r="AP2988" s="17"/>
      <c r="AQ2988" s="17"/>
      <c r="AR2988" s="17"/>
      <c r="AS2988" s="17"/>
      <c r="AT2988" s="17"/>
      <c r="AU2988" s="17"/>
      <c r="AV2988" s="17"/>
    </row>
    <row r="2989" spans="1:48" ht="15.75" customHeight="1">
      <c r="A2989" s="21" t="s">
        <v>47</v>
      </c>
      <c r="B2989" s="23" t="s">
        <v>1692</v>
      </c>
      <c r="C2989" s="22">
        <v>45709</v>
      </c>
      <c r="D2989" s="23" t="s">
        <v>141</v>
      </c>
      <c r="E2989" s="23" t="s">
        <v>264</v>
      </c>
      <c r="F2989" s="21">
        <v>1</v>
      </c>
      <c r="G2989" s="12">
        <v>1599.7931747673217</v>
      </c>
      <c r="H2989" s="34">
        <v>1599.7931747673217</v>
      </c>
      <c r="I2989" s="23" t="s">
        <v>52</v>
      </c>
      <c r="J2989" s="23" t="s">
        <v>61</v>
      </c>
      <c r="K2989" s="24" t="s">
        <v>177</v>
      </c>
      <c r="L2989" s="24">
        <v>104</v>
      </c>
      <c r="M2989" s="12">
        <v>1344.3640124095141</v>
      </c>
      <c r="N2989" s="12">
        <v>1344.3640124095141</v>
      </c>
      <c r="O2989" s="12">
        <v>255.42916235780763</v>
      </c>
      <c r="P2989" s="13"/>
      <c r="Q2989" s="14">
        <v>2025</v>
      </c>
      <c r="R2989" s="15">
        <v>45323</v>
      </c>
      <c r="S2989" s="11" t="s">
        <v>495</v>
      </c>
      <c r="T2989" s="16">
        <v>0</v>
      </c>
      <c r="U2989" s="17"/>
      <c r="V2989" s="12">
        <v>369.36401240951409</v>
      </c>
      <c r="W2989" s="12">
        <v>369.36401240951409</v>
      </c>
      <c r="X2989" s="12">
        <v>0</v>
      </c>
      <c r="Y2989" s="18">
        <v>45705</v>
      </c>
      <c r="Z2989" s="13" t="s">
        <v>503</v>
      </c>
      <c r="AA2989" s="19" t="str">
        <f>VLOOKUP(D2989,Clientes!$A$2:$J$486,9,FALSE)</f>
        <v>Familiar</v>
      </c>
      <c r="AB2989" s="13" t="str">
        <f>VLOOKUP(D2989,Clientes!$A$2:$K$486,11,FALSE)</f>
        <v>Persona Natural</v>
      </c>
      <c r="AC2989" s="13" t="str">
        <f>VLOOKUP(D2989,Clientes!$A$2:$B$486,2,FALSE)</f>
        <v>Familiar</v>
      </c>
      <c r="AD2989" s="20"/>
      <c r="AE2989" s="20"/>
      <c r="AF2989" s="13" t="s">
        <v>40</v>
      </c>
      <c r="AG2989" s="15">
        <v>45323</v>
      </c>
      <c r="AH2989" s="13" t="s">
        <v>41</v>
      </c>
      <c r="AI2989" s="13" t="s">
        <v>47</v>
      </c>
      <c r="AJ2989" s="13" t="str">
        <f>VLOOKUP(E2989,Precios!Z$2:AA$941,2,FALSE)</f>
        <v>Cera Roja Brillina</v>
      </c>
      <c r="AK2989" s="14">
        <f>VLOOKUP(E2989,Precios!Z$2:BB$941,3,FALSE)*F2989</f>
        <v>-1</v>
      </c>
      <c r="AL2989" s="17"/>
      <c r="AM2989" s="17"/>
      <c r="AN2989" s="17"/>
      <c r="AO2989" s="17"/>
      <c r="AP2989" s="17"/>
      <c r="AQ2989" s="17"/>
      <c r="AR2989" s="17"/>
      <c r="AS2989" s="17"/>
      <c r="AT2989" s="17"/>
      <c r="AU2989" s="17"/>
      <c r="AV2989" s="17"/>
    </row>
    <row r="2990" spans="1:48" ht="15.75" customHeight="1">
      <c r="A2990" s="21" t="s">
        <v>35</v>
      </c>
      <c r="B2990" s="23" t="s">
        <v>1692</v>
      </c>
      <c r="C2990" s="22">
        <v>45709</v>
      </c>
      <c r="D2990" s="23" t="s">
        <v>141</v>
      </c>
      <c r="E2990" s="23" t="s">
        <v>311</v>
      </c>
      <c r="F2990" s="21">
        <v>1</v>
      </c>
      <c r="G2990" s="12">
        <v>3000.0000000000005</v>
      </c>
      <c r="H2990" s="12">
        <v>3000.0000000000005</v>
      </c>
      <c r="I2990" s="23" t="s">
        <v>52</v>
      </c>
      <c r="J2990" s="23" t="s">
        <v>61</v>
      </c>
      <c r="K2990" s="24" t="s">
        <v>177</v>
      </c>
      <c r="L2990" s="24">
        <v>104</v>
      </c>
      <c r="M2990" s="12">
        <v>2521.0084033613452</v>
      </c>
      <c r="N2990" s="12">
        <v>2521.0084033613452</v>
      </c>
      <c r="O2990" s="12">
        <v>478.99159663865521</v>
      </c>
      <c r="P2990" s="13"/>
      <c r="Q2990" s="14">
        <v>2025</v>
      </c>
      <c r="R2990" s="15">
        <v>45323</v>
      </c>
      <c r="S2990" s="11" t="s">
        <v>364</v>
      </c>
      <c r="T2990" s="16">
        <v>250</v>
      </c>
      <c r="U2990" s="17"/>
      <c r="V2990" s="12">
        <v>837.18487394957992</v>
      </c>
      <c r="W2990" s="12">
        <v>837.18487394957992</v>
      </c>
      <c r="X2990" s="12">
        <v>0</v>
      </c>
      <c r="Y2990" s="18">
        <v>45705</v>
      </c>
      <c r="Z2990" s="13" t="s">
        <v>503</v>
      </c>
      <c r="AA2990" s="19" t="str">
        <f>VLOOKUP(D2990,Clientes!$A$2:$J$486,9,FALSE)</f>
        <v>Familiar</v>
      </c>
      <c r="AB2990" s="13" t="str">
        <f>VLOOKUP(D2990,Clientes!$A$2:$K$486,11,FALSE)</f>
        <v>Persona Natural</v>
      </c>
      <c r="AC2990" s="13" t="str">
        <f>VLOOKUP(D2990,Clientes!$A$2:$B$486,2,FALSE)</f>
        <v>Familiar</v>
      </c>
      <c r="AD2990" s="20"/>
      <c r="AE2990" s="20"/>
      <c r="AF2990" s="13" t="s">
        <v>40</v>
      </c>
      <c r="AG2990" s="15">
        <v>45323</v>
      </c>
      <c r="AH2990" s="13" t="s">
        <v>41</v>
      </c>
      <c r="AI2990" s="13" t="s">
        <v>35</v>
      </c>
      <c r="AJ2990" s="13" t="str">
        <f>VLOOKUP(E2990,Precios!Z$2:AA$941,2,FALSE)</f>
        <v>Queso RUNCA Mantecoso</v>
      </c>
      <c r="AK2990" s="14">
        <f>VLOOKUP(E2990,Precios!Z$2:BB$941,3,FALSE)*F2990</f>
        <v>-0.25</v>
      </c>
      <c r="AL2990" s="17"/>
      <c r="AM2990" s="17"/>
      <c r="AN2990" s="17"/>
      <c r="AO2990" s="17"/>
      <c r="AP2990" s="17"/>
      <c r="AQ2990" s="17"/>
      <c r="AR2990" s="17"/>
      <c r="AS2990" s="17"/>
      <c r="AT2990" s="17"/>
      <c r="AU2990" s="17"/>
      <c r="AV2990" s="17"/>
    </row>
    <row r="2991" spans="1:48" ht="15.75" customHeight="1">
      <c r="A2991" s="21" t="s">
        <v>53</v>
      </c>
      <c r="B2991" s="23" t="s">
        <v>1692</v>
      </c>
      <c r="C2991" s="22">
        <v>45709</v>
      </c>
      <c r="D2991" s="23" t="s">
        <v>141</v>
      </c>
      <c r="E2991" s="23" t="s">
        <v>369</v>
      </c>
      <c r="F2991" s="21">
        <v>1</v>
      </c>
      <c r="G2991" s="12">
        <v>1500.0000000000002</v>
      </c>
      <c r="H2991" s="34">
        <v>1500.0000000000002</v>
      </c>
      <c r="I2991" s="23" t="s">
        <v>52</v>
      </c>
      <c r="J2991" s="23" t="s">
        <v>61</v>
      </c>
      <c r="K2991" s="24" t="s">
        <v>177</v>
      </c>
      <c r="L2991" s="24">
        <v>104</v>
      </c>
      <c r="M2991" s="12">
        <v>1260.5042016806726</v>
      </c>
      <c r="N2991" s="12">
        <v>1260.5042016806726</v>
      </c>
      <c r="O2991" s="12">
        <v>239.4957983193276</v>
      </c>
      <c r="P2991" s="13"/>
      <c r="Q2991" s="14">
        <v>2025</v>
      </c>
      <c r="R2991" s="15">
        <v>45323</v>
      </c>
      <c r="S2991" s="11" t="s">
        <v>369</v>
      </c>
      <c r="T2991" s="16">
        <v>0</v>
      </c>
      <c r="U2991" s="17"/>
      <c r="V2991" s="12">
        <v>457.98319327731099</v>
      </c>
      <c r="W2991" s="12">
        <v>457.98319327731099</v>
      </c>
      <c r="X2991" s="12">
        <v>0</v>
      </c>
      <c r="Y2991" s="18">
        <v>45705</v>
      </c>
      <c r="Z2991" s="13" t="s">
        <v>503</v>
      </c>
      <c r="AA2991" s="19" t="str">
        <f>VLOOKUP(D2991,Clientes!$A$2:$J$486,9,FALSE)</f>
        <v>Familiar</v>
      </c>
      <c r="AB2991" s="13" t="str">
        <f>VLOOKUP(D2991,Clientes!$A$2:$K$486,11,FALSE)</f>
        <v>Persona Natural</v>
      </c>
      <c r="AC2991" s="13" t="str">
        <f>VLOOKUP(D2991,Clientes!$A$2:$B$486,2,FALSE)</f>
        <v>Familiar</v>
      </c>
      <c r="AD2991" s="20"/>
      <c r="AE2991" s="20"/>
      <c r="AF2991" s="13" t="s">
        <v>40</v>
      </c>
      <c r="AG2991" s="15">
        <v>45323</v>
      </c>
      <c r="AH2991" s="13" t="s">
        <v>41</v>
      </c>
      <c r="AI2991" s="13" t="s">
        <v>53</v>
      </c>
      <c r="AJ2991" s="13" t="str">
        <f>VLOOKUP(E2991,Precios!Z$2:AA$941,2,FALSE)</f>
        <v>Toalla Papel NOVA 12 metros</v>
      </c>
      <c r="AK2991" s="14">
        <f>VLOOKUP(E2991,Precios!Z$2:BB$941,3,FALSE)*F2991</f>
        <v>-1</v>
      </c>
      <c r="AL2991" s="17"/>
      <c r="AM2991" s="17"/>
      <c r="AN2991" s="17"/>
      <c r="AO2991" s="17"/>
      <c r="AP2991" s="17"/>
      <c r="AQ2991" s="17"/>
      <c r="AR2991" s="17"/>
      <c r="AS2991" s="17"/>
      <c r="AT2991" s="17"/>
      <c r="AU2991" s="17"/>
      <c r="AV2991" s="17"/>
    </row>
    <row r="2992" spans="1:48" ht="15.75" customHeight="1">
      <c r="A2992" s="21" t="s">
        <v>53</v>
      </c>
      <c r="B2992" s="23" t="s">
        <v>1692</v>
      </c>
      <c r="C2992" s="22">
        <v>45709</v>
      </c>
      <c r="D2992" s="23" t="s">
        <v>141</v>
      </c>
      <c r="E2992" s="23" t="s">
        <v>287</v>
      </c>
      <c r="F2992" s="21">
        <v>2</v>
      </c>
      <c r="G2992" s="12">
        <v>3500.0000000000005</v>
      </c>
      <c r="H2992" s="12">
        <v>7000.0000000000009</v>
      </c>
      <c r="I2992" s="23" t="s">
        <v>52</v>
      </c>
      <c r="J2992" s="23" t="s">
        <v>61</v>
      </c>
      <c r="K2992" s="24" t="s">
        <v>177</v>
      </c>
      <c r="L2992" s="24">
        <v>104</v>
      </c>
      <c r="M2992" s="12">
        <v>2941.1764705882356</v>
      </c>
      <c r="N2992" s="12">
        <v>5882.3529411764712</v>
      </c>
      <c r="O2992" s="12">
        <v>1117.6470588235297</v>
      </c>
      <c r="P2992" s="13"/>
      <c r="Q2992" s="14">
        <v>2025</v>
      </c>
      <c r="R2992" s="15">
        <v>45323</v>
      </c>
      <c r="S2992" s="11" t="s">
        <v>366</v>
      </c>
      <c r="T2992" s="16">
        <v>0</v>
      </c>
      <c r="U2992" s="17"/>
      <c r="V2992" s="12">
        <v>2608.4033613445381</v>
      </c>
      <c r="W2992" s="12">
        <v>2608.4033613445381</v>
      </c>
      <c r="X2992" s="12">
        <v>0</v>
      </c>
      <c r="Y2992" s="18">
        <v>45705</v>
      </c>
      <c r="Z2992" s="13" t="s">
        <v>503</v>
      </c>
      <c r="AA2992" s="19" t="str">
        <f>VLOOKUP(D2992,Clientes!$A$2:$J$486,9,FALSE)</f>
        <v>Familiar</v>
      </c>
      <c r="AB2992" s="13" t="str">
        <f>VLOOKUP(D2992,Clientes!$A$2:$K$486,11,FALSE)</f>
        <v>Persona Natural</v>
      </c>
      <c r="AC2992" s="13" t="str">
        <f>VLOOKUP(D2992,Clientes!$A$2:$B$486,2,FALSE)</f>
        <v>Familiar</v>
      </c>
      <c r="AD2992" s="20"/>
      <c r="AE2992" s="20"/>
      <c r="AF2992" s="13" t="s">
        <v>40</v>
      </c>
      <c r="AG2992" s="15">
        <v>45323</v>
      </c>
      <c r="AH2992" s="13" t="s">
        <v>41</v>
      </c>
      <c r="AI2992" s="13" t="s">
        <v>53</v>
      </c>
      <c r="AJ2992" s="13" t="str">
        <f>VLOOKUP(E2992,Precios!Z$2:AA$941,2,FALSE)</f>
        <v>Papel Higienico ELITE 50 metros</v>
      </c>
      <c r="AK2992" s="14">
        <f>VLOOKUP(E2992,Precios!Z$2:BB$941,3,FALSE)*F2992</f>
        <v>-2</v>
      </c>
      <c r="AL2992" s="17"/>
      <c r="AM2992" s="17"/>
      <c r="AN2992" s="17"/>
      <c r="AO2992" s="17"/>
      <c r="AP2992" s="17"/>
      <c r="AQ2992" s="17"/>
      <c r="AR2992" s="17"/>
      <c r="AS2992" s="17"/>
      <c r="AT2992" s="17"/>
      <c r="AU2992" s="17"/>
      <c r="AV2992" s="17"/>
    </row>
    <row r="2993" spans="1:48" ht="15.75" customHeight="1">
      <c r="A2993" s="21" t="s">
        <v>53</v>
      </c>
      <c r="B2993" s="23" t="s">
        <v>1692</v>
      </c>
      <c r="C2993" s="22">
        <v>45709</v>
      </c>
      <c r="D2993" s="23" t="s">
        <v>331</v>
      </c>
      <c r="E2993" s="23" t="s">
        <v>192</v>
      </c>
      <c r="F2993" s="21">
        <v>1</v>
      </c>
      <c r="G2993" s="12">
        <v>15990.211345939933</v>
      </c>
      <c r="H2993" s="12">
        <v>15990.211345939933</v>
      </c>
      <c r="I2993" s="23" t="s">
        <v>52</v>
      </c>
      <c r="J2993" s="23" t="s">
        <v>61</v>
      </c>
      <c r="K2993" s="24" t="s">
        <v>177</v>
      </c>
      <c r="L2993" s="24">
        <v>104</v>
      </c>
      <c r="M2993" s="12">
        <v>13437.152391546164</v>
      </c>
      <c r="N2993" s="12">
        <v>13437.152391546164</v>
      </c>
      <c r="O2993" s="12">
        <v>2553.0589543937695</v>
      </c>
      <c r="P2993" s="13"/>
      <c r="Q2993" s="14">
        <v>2025</v>
      </c>
      <c r="R2993" s="15">
        <v>45323</v>
      </c>
      <c r="S2993" s="11" t="s">
        <v>435</v>
      </c>
      <c r="T2993" s="16">
        <v>0</v>
      </c>
      <c r="U2993" s="17"/>
      <c r="V2993" s="12">
        <v>3773.1523915461621</v>
      </c>
      <c r="W2993" s="12">
        <v>3773.1523915461621</v>
      </c>
      <c r="X2993" s="12">
        <v>0</v>
      </c>
      <c r="Y2993" s="18">
        <v>45705</v>
      </c>
      <c r="Z2993" s="13" t="s">
        <v>503</v>
      </c>
      <c r="AA2993" s="19" t="str">
        <f>VLOOKUP(D2993,Clientes!$A$2:$J$486,9,FALSE)</f>
        <v>Frecuente</v>
      </c>
      <c r="AB2993" s="13" t="str">
        <f>VLOOKUP(D2993,Clientes!$A$2:$K$486,11,FALSE)</f>
        <v>Persona Natural</v>
      </c>
      <c r="AC2993" s="13" t="str">
        <f>VLOOKUP(D2993,Clientes!$A$2:$B$486,2,FALSE)</f>
        <v>Sector Palena</v>
      </c>
      <c r="AD2993" s="20"/>
      <c r="AE2993" s="20"/>
      <c r="AF2993" s="13" t="s">
        <v>40</v>
      </c>
      <c r="AG2993" s="15">
        <v>45323</v>
      </c>
      <c r="AH2993" s="13" t="s">
        <v>41</v>
      </c>
      <c r="AI2993" s="13" t="s">
        <v>53</v>
      </c>
      <c r="AJ2993" s="13" t="str">
        <f>VLOOKUP(E2993,Precios!Z$2:AA$941,2,FALSE)</f>
        <v>Papel Higienico SWAN 400 hojas</v>
      </c>
      <c r="AK2993" s="14">
        <f>VLOOKUP(E2993,Precios!Z$2:BB$941,3,FALSE)*F2993</f>
        <v>-8</v>
      </c>
      <c r="AL2993" s="17"/>
      <c r="AM2993" s="17"/>
      <c r="AN2993" s="17"/>
      <c r="AO2993" s="17"/>
      <c r="AP2993" s="17"/>
      <c r="AQ2993" s="17"/>
      <c r="AR2993" s="17"/>
      <c r="AS2993" s="17"/>
      <c r="AT2993" s="17"/>
      <c r="AU2993" s="17"/>
      <c r="AV2993" s="17"/>
    </row>
    <row r="2994" spans="1:48" ht="15.75" customHeight="1">
      <c r="A2994" s="21" t="s">
        <v>47</v>
      </c>
      <c r="B2994" s="23" t="s">
        <v>1692</v>
      </c>
      <c r="C2994" s="22">
        <v>45708</v>
      </c>
      <c r="D2994" s="23" t="s">
        <v>915</v>
      </c>
      <c r="E2994" s="23" t="s">
        <v>336</v>
      </c>
      <c r="F2994" s="21">
        <v>1</v>
      </c>
      <c r="G2994" s="12">
        <v>2800</v>
      </c>
      <c r="H2994" s="34">
        <v>2800</v>
      </c>
      <c r="I2994" s="13" t="s">
        <v>52</v>
      </c>
      <c r="J2994" s="23" t="s">
        <v>61</v>
      </c>
      <c r="K2994" s="24" t="s">
        <v>177</v>
      </c>
      <c r="L2994" s="24">
        <v>104</v>
      </c>
      <c r="M2994" s="12">
        <v>2352.9411764705883</v>
      </c>
      <c r="N2994" s="12">
        <v>2352.9411764705883</v>
      </c>
      <c r="O2994" s="12">
        <v>447.05882352941171</v>
      </c>
      <c r="P2994" s="13"/>
      <c r="Q2994" s="14">
        <v>2025</v>
      </c>
      <c r="R2994" s="15">
        <v>45323</v>
      </c>
      <c r="S2994" s="11" t="s">
        <v>476</v>
      </c>
      <c r="T2994" s="16">
        <v>0</v>
      </c>
      <c r="U2994" s="17"/>
      <c r="V2994" s="12">
        <v>896.94117647058829</v>
      </c>
      <c r="W2994" s="12">
        <v>896.94117647058829</v>
      </c>
      <c r="X2994" s="12">
        <v>0</v>
      </c>
      <c r="Y2994" s="18">
        <v>45705</v>
      </c>
      <c r="Z2994" s="13" t="s">
        <v>505</v>
      </c>
      <c r="AA2994" s="19" t="str">
        <f>VLOOKUP(D2994,Clientes!$A$2:$J$486,9,FALSE)</f>
        <v>Regular</v>
      </c>
      <c r="AB2994" s="13" t="str">
        <f>VLOOKUP(D2994,Clientes!$A$2:$K$486,11,FALSE)</f>
        <v>Persona Natural</v>
      </c>
      <c r="AC2994" s="13" t="str">
        <f>VLOOKUP(D2994,Clientes!$A$2:$B$486,2,FALSE)</f>
        <v>Jardin del Eden</v>
      </c>
      <c r="AD2994" s="20"/>
      <c r="AE2994" s="20"/>
      <c r="AF2994" s="13" t="s">
        <v>40</v>
      </c>
      <c r="AG2994" s="15">
        <v>45323</v>
      </c>
      <c r="AH2994" s="13" t="s">
        <v>41</v>
      </c>
      <c r="AI2994" s="13" t="s">
        <v>47</v>
      </c>
      <c r="AJ2994" s="13" t="str">
        <f>VLOOKUP(E2994,Precios!Z$2:AA$941,2,FALSE)</f>
        <v>Ambiental Tubo TEDDY</v>
      </c>
      <c r="AK2994" s="14">
        <f>VLOOKUP(E2994,Precios!Z$2:BB$941,3,FALSE)*F2994</f>
        <v>-2</v>
      </c>
      <c r="AL2994" s="17"/>
      <c r="AM2994" s="17"/>
      <c r="AN2994" s="17"/>
      <c r="AO2994" s="17"/>
      <c r="AP2994" s="17"/>
      <c r="AQ2994" s="17"/>
      <c r="AR2994" s="17"/>
      <c r="AS2994" s="17"/>
      <c r="AT2994" s="17"/>
      <c r="AU2994" s="17"/>
      <c r="AV2994" s="17"/>
    </row>
    <row r="2995" spans="1:48" ht="15.75" customHeight="1">
      <c r="A2995" s="21" t="s">
        <v>47</v>
      </c>
      <c r="B2995" s="23" t="s">
        <v>1692</v>
      </c>
      <c r="C2995" s="22">
        <v>45708</v>
      </c>
      <c r="D2995" s="23" t="s">
        <v>214</v>
      </c>
      <c r="E2995" s="23" t="s">
        <v>336</v>
      </c>
      <c r="F2995" s="21">
        <v>1</v>
      </c>
      <c r="G2995" s="12">
        <v>2800</v>
      </c>
      <c r="H2995" s="12">
        <v>2800</v>
      </c>
      <c r="I2995" s="13" t="s">
        <v>52</v>
      </c>
      <c r="J2995" s="23" t="s">
        <v>61</v>
      </c>
      <c r="K2995" s="24" t="s">
        <v>86</v>
      </c>
      <c r="L2995" s="24">
        <v>59</v>
      </c>
      <c r="M2995" s="12">
        <v>2352.9411764705883</v>
      </c>
      <c r="N2995" s="12">
        <v>2352.9411764705883</v>
      </c>
      <c r="O2995" s="12">
        <v>447.05882352941171</v>
      </c>
      <c r="P2995" s="13"/>
      <c r="Q2995" s="14">
        <v>2025</v>
      </c>
      <c r="R2995" s="15">
        <v>45323</v>
      </c>
      <c r="S2995" s="11" t="s">
        <v>476</v>
      </c>
      <c r="T2995" s="16">
        <v>0</v>
      </c>
      <c r="U2995" s="17"/>
      <c r="V2995" s="12">
        <v>896.94117647058829</v>
      </c>
      <c r="W2995" s="12">
        <v>896.94117647058829</v>
      </c>
      <c r="X2995" s="12">
        <v>0</v>
      </c>
      <c r="Y2995" s="18">
        <v>45705</v>
      </c>
      <c r="Z2995" s="13" t="s">
        <v>505</v>
      </c>
      <c r="AA2995" s="19" t="str">
        <f>VLOOKUP(D2995,Clientes!$A$2:$J$486,9,FALSE)</f>
        <v>Ocacional</v>
      </c>
      <c r="AB2995" s="13" t="str">
        <f>VLOOKUP(D2995,Clientes!$A$2:$K$486,11,FALSE)</f>
        <v>Empresa</v>
      </c>
      <c r="AC2995" s="13" t="str">
        <f>VLOOKUP(D2995,Clientes!$A$2:$B$486,2,FALSE)</f>
        <v>Pudahuel</v>
      </c>
      <c r="AD2995" s="20"/>
      <c r="AE2995" s="20"/>
      <c r="AF2995" s="13" t="s">
        <v>40</v>
      </c>
      <c r="AG2995" s="15">
        <v>45323</v>
      </c>
      <c r="AH2995" s="13" t="s">
        <v>41</v>
      </c>
      <c r="AI2995" s="13" t="s">
        <v>47</v>
      </c>
      <c r="AJ2995" s="13" t="str">
        <f>VLOOKUP(E2995,Precios!Z$2:AA$941,2,FALSE)</f>
        <v>Ambiental Tubo TEDDY</v>
      </c>
      <c r="AK2995" s="14">
        <f>VLOOKUP(E2995,Precios!Z$2:BB$941,3,FALSE)*F2995</f>
        <v>-2</v>
      </c>
      <c r="AL2995" s="17"/>
      <c r="AM2995" s="17"/>
      <c r="AN2995" s="17"/>
      <c r="AO2995" s="17"/>
      <c r="AP2995" s="17"/>
      <c r="AQ2995" s="17"/>
      <c r="AR2995" s="17"/>
      <c r="AS2995" s="17"/>
      <c r="AT2995" s="17"/>
      <c r="AU2995" s="17"/>
      <c r="AV2995" s="17"/>
    </row>
    <row r="2996" spans="1:48" ht="15.75" customHeight="1">
      <c r="A2996" s="21" t="s">
        <v>76</v>
      </c>
      <c r="B2996" s="23" t="s">
        <v>1692</v>
      </c>
      <c r="C2996" s="22">
        <v>45708</v>
      </c>
      <c r="D2996" s="23" t="s">
        <v>214</v>
      </c>
      <c r="E2996" s="23" t="s">
        <v>218</v>
      </c>
      <c r="F2996" s="21">
        <v>1</v>
      </c>
      <c r="G2996" s="12">
        <v>1500.0000000000002</v>
      </c>
      <c r="H2996" s="12">
        <v>1500.0000000000002</v>
      </c>
      <c r="I2996" s="13" t="s">
        <v>52</v>
      </c>
      <c r="J2996" s="23" t="s">
        <v>61</v>
      </c>
      <c r="K2996" s="24" t="s">
        <v>86</v>
      </c>
      <c r="L2996" s="24">
        <v>59</v>
      </c>
      <c r="M2996" s="12">
        <v>1260.5042016806726</v>
      </c>
      <c r="N2996" s="12">
        <v>1260.5042016806726</v>
      </c>
      <c r="O2996" s="12">
        <v>239.4957983193276</v>
      </c>
      <c r="P2996" s="13"/>
      <c r="Q2996" s="14">
        <v>2025</v>
      </c>
      <c r="R2996" s="15">
        <v>45323</v>
      </c>
      <c r="S2996" s="11" t="s">
        <v>444</v>
      </c>
      <c r="T2996" s="16">
        <v>500</v>
      </c>
      <c r="U2996" s="17"/>
      <c r="V2996" s="12">
        <v>504.20168067226905</v>
      </c>
      <c r="W2996" s="12">
        <v>504.20168067226905</v>
      </c>
      <c r="X2996" s="12">
        <v>0</v>
      </c>
      <c r="Y2996" s="18">
        <v>45705</v>
      </c>
      <c r="Z2996" s="13" t="s">
        <v>505</v>
      </c>
      <c r="AA2996" s="19" t="str">
        <f>VLOOKUP(D2996,Clientes!$A$2:$J$486,9,FALSE)</f>
        <v>Ocacional</v>
      </c>
      <c r="AB2996" s="13" t="str">
        <f>VLOOKUP(D2996,Clientes!$A$2:$K$486,11,FALSE)</f>
        <v>Empresa</v>
      </c>
      <c r="AC2996" s="13" t="str">
        <f>VLOOKUP(D2996,Clientes!$A$2:$B$486,2,FALSE)</f>
        <v>Pudahuel</v>
      </c>
      <c r="AD2996" s="20"/>
      <c r="AE2996" s="20"/>
      <c r="AF2996" s="13" t="s">
        <v>40</v>
      </c>
      <c r="AG2996" s="15">
        <v>45323</v>
      </c>
      <c r="AH2996" s="13" t="s">
        <v>41</v>
      </c>
      <c r="AI2996" s="13" t="s">
        <v>76</v>
      </c>
      <c r="AJ2996" s="13" t="str">
        <f>VLOOKUP(E2996,Precios!Z$2:AA$941,2,FALSE)</f>
        <v>Limpia Vidrio SPUM 500 ml</v>
      </c>
      <c r="AK2996" s="14">
        <f>VLOOKUP(E2996,Precios!Z$2:BB$941,3,FALSE)*F2996</f>
        <v>-1</v>
      </c>
      <c r="AL2996" s="17"/>
      <c r="AM2996" s="17"/>
      <c r="AN2996" s="17"/>
      <c r="AO2996" s="17"/>
      <c r="AP2996" s="17"/>
      <c r="AQ2996" s="17"/>
      <c r="AR2996" s="17"/>
      <c r="AS2996" s="17"/>
      <c r="AT2996" s="17"/>
      <c r="AU2996" s="17"/>
      <c r="AV2996" s="17"/>
    </row>
    <row r="2997" spans="1:48" ht="15.75" customHeight="1">
      <c r="A2997" s="21" t="s">
        <v>47</v>
      </c>
      <c r="B2997" s="23" t="s">
        <v>1692</v>
      </c>
      <c r="C2997" s="22">
        <v>45708</v>
      </c>
      <c r="D2997" s="23" t="s">
        <v>214</v>
      </c>
      <c r="E2997" s="23" t="s">
        <v>181</v>
      </c>
      <c r="F2997" s="21">
        <v>1</v>
      </c>
      <c r="G2997" s="12">
        <v>2999.8783639957433</v>
      </c>
      <c r="H2997" s="12">
        <v>2999.8783639957433</v>
      </c>
      <c r="I2997" s="23" t="s">
        <v>52</v>
      </c>
      <c r="J2997" s="23" t="s">
        <v>61</v>
      </c>
      <c r="K2997" s="24" t="s">
        <v>86</v>
      </c>
      <c r="L2997" s="24">
        <v>59</v>
      </c>
      <c r="M2997" s="12">
        <v>2520.9061882317174</v>
      </c>
      <c r="N2997" s="12">
        <v>2520.9061882317174</v>
      </c>
      <c r="O2997" s="12">
        <v>478.97217576402591</v>
      </c>
      <c r="P2997" s="13"/>
      <c r="Q2997" s="14">
        <v>2025</v>
      </c>
      <c r="R2997" s="15">
        <v>45323</v>
      </c>
      <c r="S2997" s="11" t="s">
        <v>620</v>
      </c>
      <c r="T2997" s="16">
        <v>0</v>
      </c>
      <c r="U2997" s="17"/>
      <c r="V2997" s="12">
        <v>862.9061882317169</v>
      </c>
      <c r="W2997" s="12">
        <v>862.9061882317169</v>
      </c>
      <c r="X2997" s="12">
        <v>0</v>
      </c>
      <c r="Y2997" s="18">
        <v>45705</v>
      </c>
      <c r="Z2997" s="13" t="s">
        <v>505</v>
      </c>
      <c r="AA2997" s="19" t="str">
        <f>VLOOKUP(D2997,Clientes!$A$2:$J$486,9,FALSE)</f>
        <v>Ocacional</v>
      </c>
      <c r="AB2997" s="13" t="str">
        <f>VLOOKUP(D2997,Clientes!$A$2:$K$486,11,FALSE)</f>
        <v>Empresa</v>
      </c>
      <c r="AC2997" s="13" t="str">
        <f>VLOOKUP(D2997,Clientes!$A$2:$B$486,2,FALSE)</f>
        <v>Pudahuel</v>
      </c>
      <c r="AD2997" s="20"/>
      <c r="AE2997" s="20"/>
      <c r="AF2997" s="13" t="s">
        <v>40</v>
      </c>
      <c r="AG2997" s="15">
        <v>45323</v>
      </c>
      <c r="AH2997" s="13" t="s">
        <v>41</v>
      </c>
      <c r="AI2997" s="13" t="s">
        <v>47</v>
      </c>
      <c r="AJ2997" s="13" t="str">
        <f>VLOOKUP(E2997,Precios!Z$2:AA$941,2,FALSE)</f>
        <v>Aromatizante Cono TEDDY Gel LAVANDA</v>
      </c>
      <c r="AK2997" s="14">
        <f>VLOOKUP(E2997,Precios!Z$2:BB$941,3,FALSE)*F2997</f>
        <v>-2</v>
      </c>
      <c r="AL2997" s="17"/>
      <c r="AM2997" s="17"/>
      <c r="AN2997" s="17"/>
      <c r="AO2997" s="17"/>
      <c r="AP2997" s="17"/>
      <c r="AQ2997" s="17"/>
      <c r="AR2997" s="17"/>
      <c r="AS2997" s="17"/>
      <c r="AT2997" s="17"/>
      <c r="AU2997" s="17"/>
      <c r="AV2997" s="17"/>
    </row>
    <row r="2998" spans="1:48" ht="15.75" customHeight="1">
      <c r="A2998" s="21" t="s">
        <v>43</v>
      </c>
      <c r="B2998" s="23" t="s">
        <v>1692</v>
      </c>
      <c r="C2998" s="22">
        <v>45708</v>
      </c>
      <c r="D2998" s="23" t="s">
        <v>548</v>
      </c>
      <c r="E2998" s="23" t="s">
        <v>45</v>
      </c>
      <c r="F2998" s="21">
        <v>1</v>
      </c>
      <c r="G2998" s="12">
        <v>7499.8368883312432</v>
      </c>
      <c r="H2998" s="12">
        <v>7499.8368883312432</v>
      </c>
      <c r="I2998" s="13" t="s">
        <v>52</v>
      </c>
      <c r="J2998" s="23" t="s">
        <v>61</v>
      </c>
      <c r="K2998" s="24" t="s">
        <v>177</v>
      </c>
      <c r="L2998" s="24">
        <v>104</v>
      </c>
      <c r="M2998" s="12">
        <v>6302.383939774154</v>
      </c>
      <c r="N2998" s="12">
        <v>6302.383939774154</v>
      </c>
      <c r="O2998" s="12">
        <v>1197.4529485570893</v>
      </c>
      <c r="P2998" s="13"/>
      <c r="Q2998" s="14">
        <v>2025</v>
      </c>
      <c r="R2998" s="15">
        <v>45323</v>
      </c>
      <c r="S2998" s="11" t="s">
        <v>355</v>
      </c>
      <c r="T2998" s="16">
        <v>0</v>
      </c>
      <c r="U2998" s="17"/>
      <c r="V2998" s="12">
        <v>1279.383939774154</v>
      </c>
      <c r="W2998" s="12">
        <v>1279.383939774154</v>
      </c>
      <c r="X2998" s="12">
        <v>0</v>
      </c>
      <c r="Y2998" s="18">
        <v>45705</v>
      </c>
      <c r="Z2998" s="13" t="s">
        <v>505</v>
      </c>
      <c r="AA2998" s="19" t="str">
        <f>VLOOKUP(D2998,Clientes!$A$2:$J$486,9,FALSE)</f>
        <v>Ocacional</v>
      </c>
      <c r="AB2998" s="13" t="str">
        <f>VLOOKUP(D2998,Clientes!$A$2:$K$486,11,FALSE)</f>
        <v>Persona Natural</v>
      </c>
      <c r="AC2998" s="13" t="str">
        <f>VLOOKUP(D2998,Clientes!$A$2:$B$486,2,FALSE)</f>
        <v>Curso Amalia</v>
      </c>
      <c r="AD2998" s="20"/>
      <c r="AE2998" s="20"/>
      <c r="AF2998" s="13" t="s">
        <v>40</v>
      </c>
      <c r="AG2998" s="15">
        <v>45323</v>
      </c>
      <c r="AH2998" s="13" t="s">
        <v>41</v>
      </c>
      <c r="AI2998" s="13" t="s">
        <v>43</v>
      </c>
      <c r="AJ2998" s="13" t="str">
        <f>VLOOKUP(E2998,Precios!Z$2:AA$941,2,FALSE)</f>
        <v>Bandeja Huevos EXTRA</v>
      </c>
      <c r="AK2998" s="14">
        <f>VLOOKUP(E2998,Precios!Z$2:BB$941,3,FALSE)*F2998</f>
        <v>-1</v>
      </c>
      <c r="AL2998" s="17"/>
      <c r="AM2998" s="17"/>
      <c r="AN2998" s="17"/>
      <c r="AO2998" s="17"/>
      <c r="AP2998" s="17"/>
      <c r="AQ2998" s="17"/>
      <c r="AR2998" s="17"/>
      <c r="AS2998" s="17"/>
      <c r="AT2998" s="17"/>
      <c r="AU2998" s="17"/>
      <c r="AV2998" s="17"/>
    </row>
    <row r="2999" spans="1:48" ht="15.75" customHeight="1">
      <c r="A2999" s="21" t="s">
        <v>43</v>
      </c>
      <c r="B2999" s="23" t="s">
        <v>1692</v>
      </c>
      <c r="C2999" s="22">
        <v>45708</v>
      </c>
      <c r="D2999" s="23" t="s">
        <v>142</v>
      </c>
      <c r="E2999" s="23" t="s">
        <v>45</v>
      </c>
      <c r="F2999" s="21">
        <v>1</v>
      </c>
      <c r="G2999" s="12">
        <v>7499.8368883312432</v>
      </c>
      <c r="H2999" s="12">
        <v>7499.8368883312432</v>
      </c>
      <c r="I2999" s="13" t="s">
        <v>52</v>
      </c>
      <c r="J2999" s="23" t="s">
        <v>61</v>
      </c>
      <c r="K2999" s="24" t="s">
        <v>177</v>
      </c>
      <c r="L2999" s="24">
        <v>104</v>
      </c>
      <c r="M2999" s="12">
        <v>6302.383939774154</v>
      </c>
      <c r="N2999" s="12">
        <v>6302.383939774154</v>
      </c>
      <c r="O2999" s="12">
        <v>1197.4529485570893</v>
      </c>
      <c r="P2999" s="13"/>
      <c r="Q2999" s="14">
        <v>2025</v>
      </c>
      <c r="R2999" s="15">
        <v>45323</v>
      </c>
      <c r="S2999" s="11" t="s">
        <v>355</v>
      </c>
      <c r="T2999" s="16">
        <v>0</v>
      </c>
      <c r="U2999" s="17"/>
      <c r="V2999" s="12">
        <v>1279.383939774154</v>
      </c>
      <c r="W2999" s="12">
        <v>1279.383939774154</v>
      </c>
      <c r="X2999" s="12">
        <v>0</v>
      </c>
      <c r="Y2999" s="18">
        <v>45705</v>
      </c>
      <c r="Z2999" s="13" t="s">
        <v>505</v>
      </c>
      <c r="AA2999" s="19" t="str">
        <f>VLOOKUP(D2999,Clientes!$A$2:$J$486,9,FALSE)</f>
        <v>Frecuente</v>
      </c>
      <c r="AB2999" s="13" t="str">
        <f>VLOOKUP(D2999,Clientes!$A$2:$K$486,11,FALSE)</f>
        <v>Persona Natural</v>
      </c>
      <c r="AC2999" s="13" t="str">
        <f>VLOOKUP(D2999,Clientes!$A$2:$B$486,2,FALSE)</f>
        <v>Curso Amalia</v>
      </c>
      <c r="AD2999" s="20"/>
      <c r="AE2999" s="20"/>
      <c r="AF2999" s="13" t="s">
        <v>40</v>
      </c>
      <c r="AG2999" s="15">
        <v>45323</v>
      </c>
      <c r="AH2999" s="13" t="s">
        <v>41</v>
      </c>
      <c r="AI2999" s="13" t="s">
        <v>43</v>
      </c>
      <c r="AJ2999" s="13" t="str">
        <f>VLOOKUP(E2999,Precios!Z$2:AA$941,2,FALSE)</f>
        <v>Bandeja Huevos EXTRA</v>
      </c>
      <c r="AK2999" s="14">
        <f>VLOOKUP(E2999,Precios!Z$2:BB$941,3,FALSE)*F2999</f>
        <v>-1</v>
      </c>
      <c r="AL2999" s="17"/>
      <c r="AM2999" s="17"/>
      <c r="AN2999" s="17"/>
      <c r="AO2999" s="17"/>
      <c r="AP2999" s="17"/>
      <c r="AQ2999" s="17"/>
      <c r="AR2999" s="17"/>
      <c r="AS2999" s="17"/>
      <c r="AT2999" s="17"/>
      <c r="AU2999" s="17"/>
      <c r="AV2999" s="17"/>
    </row>
    <row r="3000" spans="1:48" ht="15.75" customHeight="1">
      <c r="A3000" s="21" t="s">
        <v>47</v>
      </c>
      <c r="B3000" s="23" t="s">
        <v>1692</v>
      </c>
      <c r="C3000" s="22">
        <v>45708</v>
      </c>
      <c r="D3000" s="23" t="s">
        <v>307</v>
      </c>
      <c r="E3000" s="23" t="s">
        <v>99</v>
      </c>
      <c r="F3000" s="21">
        <v>2</v>
      </c>
      <c r="G3000" s="12">
        <v>1200</v>
      </c>
      <c r="H3000" s="12">
        <v>2400</v>
      </c>
      <c r="I3000" s="13" t="s">
        <v>52</v>
      </c>
      <c r="J3000" s="23" t="s">
        <v>61</v>
      </c>
      <c r="K3000" s="24" t="s">
        <v>177</v>
      </c>
      <c r="L3000" s="24">
        <v>104</v>
      </c>
      <c r="M3000" s="12">
        <v>1008.4033613445379</v>
      </c>
      <c r="N3000" s="12">
        <v>2016.8067226890757</v>
      </c>
      <c r="O3000" s="12">
        <v>383.19327731092426</v>
      </c>
      <c r="P3000" s="13"/>
      <c r="Q3000" s="14">
        <v>2025</v>
      </c>
      <c r="R3000" s="15">
        <v>45323</v>
      </c>
      <c r="S3000" s="11" t="s">
        <v>453</v>
      </c>
      <c r="T3000" s="16">
        <v>0</v>
      </c>
      <c r="U3000" s="17"/>
      <c r="V3000" s="12">
        <v>588.23529411764707</v>
      </c>
      <c r="W3000" s="12">
        <v>588.23529411764707</v>
      </c>
      <c r="X3000" s="12">
        <v>0</v>
      </c>
      <c r="Y3000" s="18">
        <v>45705</v>
      </c>
      <c r="Z3000" s="13" t="s">
        <v>505</v>
      </c>
      <c r="AA3000" s="19" t="str">
        <f>VLOOKUP(D3000,Clientes!$A$2:$J$486,9,FALSE)</f>
        <v>regular</v>
      </c>
      <c r="AB3000" s="13" t="str">
        <f>VLOOKUP(D3000,Clientes!$A$2:$K$486,11,FALSE)</f>
        <v>Empresa</v>
      </c>
      <c r="AC3000" s="13" t="str">
        <f>VLOOKUP(D3000,Clientes!$A$2:$B$486,2,FALSE)</f>
        <v>Jardines de la viña</v>
      </c>
      <c r="AD3000" s="20"/>
      <c r="AE3000" s="20"/>
      <c r="AF3000" s="13" t="s">
        <v>40</v>
      </c>
      <c r="AG3000" s="15">
        <v>45323</v>
      </c>
      <c r="AH3000" s="13" t="s">
        <v>41</v>
      </c>
      <c r="AI3000" s="13" t="s">
        <v>47</v>
      </c>
      <c r="AJ3000" s="13" t="str">
        <f>VLOOKUP(E3000,Precios!Z$2:AA$941,2,FALSE)</f>
        <v xml:space="preserve">Bolsas Basura TEDDY 70x90 </v>
      </c>
      <c r="AK3000" s="14">
        <f>VLOOKUP(E3000,Precios!Z$2:BB$941,3,FALSE)*F3000</f>
        <v>-2</v>
      </c>
      <c r="AL3000" s="17"/>
      <c r="AM3000" s="17"/>
      <c r="AN3000" s="17"/>
      <c r="AO3000" s="17"/>
      <c r="AP3000" s="17"/>
      <c r="AQ3000" s="17"/>
      <c r="AR3000" s="17"/>
      <c r="AS3000" s="17"/>
      <c r="AT3000" s="17"/>
      <c r="AU3000" s="17"/>
      <c r="AV3000" s="17"/>
    </row>
    <row r="3001" spans="1:48" ht="15.75" customHeight="1">
      <c r="A3001" s="21" t="s">
        <v>76</v>
      </c>
      <c r="B3001" s="23" t="s">
        <v>1692</v>
      </c>
      <c r="C3001" s="22">
        <v>45708</v>
      </c>
      <c r="D3001" s="23" t="s">
        <v>307</v>
      </c>
      <c r="E3001" s="23" t="s">
        <v>110</v>
      </c>
      <c r="F3001" s="21">
        <v>1</v>
      </c>
      <c r="G3001" s="12">
        <v>2000.0000000000005</v>
      </c>
      <c r="H3001" s="12">
        <v>2000.0000000000005</v>
      </c>
      <c r="I3001" s="13" t="s">
        <v>52</v>
      </c>
      <c r="J3001" s="23" t="s">
        <v>61</v>
      </c>
      <c r="K3001" s="24" t="s">
        <v>177</v>
      </c>
      <c r="L3001" s="24">
        <v>104</v>
      </c>
      <c r="M3001" s="12">
        <v>1680.6722689075634</v>
      </c>
      <c r="N3001" s="12">
        <v>1680.6722689075634</v>
      </c>
      <c r="O3001" s="12">
        <v>319.32773109243703</v>
      </c>
      <c r="P3001" s="13"/>
      <c r="Q3001" s="14">
        <v>2025</v>
      </c>
      <c r="R3001" s="15">
        <v>45323</v>
      </c>
      <c r="S3001" s="11" t="s">
        <v>378</v>
      </c>
      <c r="T3001" s="16">
        <v>5</v>
      </c>
      <c r="U3001" s="17"/>
      <c r="V3001" s="12">
        <v>756.30252100840369</v>
      </c>
      <c r="W3001" s="12">
        <v>756.30252100840369</v>
      </c>
      <c r="X3001" s="12">
        <v>0</v>
      </c>
      <c r="Y3001" s="18">
        <v>45705</v>
      </c>
      <c r="Z3001" s="13" t="s">
        <v>505</v>
      </c>
      <c r="AA3001" s="19" t="str">
        <f>VLOOKUP(D3001,Clientes!$A$2:$J$486,9,FALSE)</f>
        <v>regular</v>
      </c>
      <c r="AB3001" s="13" t="str">
        <f>VLOOKUP(D3001,Clientes!$A$2:$K$486,11,FALSE)</f>
        <v>Empresa</v>
      </c>
      <c r="AC3001" s="13" t="str">
        <f>VLOOKUP(D3001,Clientes!$A$2:$B$486,2,FALSE)</f>
        <v>Jardines de la viña</v>
      </c>
      <c r="AD3001" s="20"/>
      <c r="AE3001" s="20"/>
      <c r="AF3001" s="13" t="s">
        <v>40</v>
      </c>
      <c r="AG3001" s="15">
        <v>45323</v>
      </c>
      <c r="AH3001" s="13" t="s">
        <v>41</v>
      </c>
      <c r="AI3001" s="13" t="s">
        <v>76</v>
      </c>
      <c r="AJ3001" s="13" t="str">
        <f>VLOOKUP(E3001,Precios!Z$2:AA$941,2,FALSE)</f>
        <v>Cloro SPUM 5 Litros</v>
      </c>
      <c r="AK3001" s="14">
        <f>VLOOKUP(E3001,Precios!Z$2:BB$941,3,FALSE)*F3001</f>
        <v>-1</v>
      </c>
      <c r="AL3001" s="17"/>
      <c r="AM3001" s="17"/>
      <c r="AN3001" s="17"/>
      <c r="AO3001" s="17"/>
      <c r="AP3001" s="17"/>
      <c r="AQ3001" s="17"/>
      <c r="AR3001" s="17"/>
      <c r="AS3001" s="17"/>
      <c r="AT3001" s="17"/>
      <c r="AU3001" s="17"/>
      <c r="AV3001" s="17"/>
    </row>
    <row r="3002" spans="1:48" ht="15.75" customHeight="1">
      <c r="A3002" s="21" t="s">
        <v>76</v>
      </c>
      <c r="B3002" s="23" t="s">
        <v>1692</v>
      </c>
      <c r="C3002" s="22">
        <v>45708</v>
      </c>
      <c r="D3002" s="23" t="s">
        <v>307</v>
      </c>
      <c r="E3002" s="23" t="s">
        <v>252</v>
      </c>
      <c r="F3002" s="21">
        <v>1</v>
      </c>
      <c r="G3002" s="12">
        <v>1599.969512195122</v>
      </c>
      <c r="H3002" s="12">
        <v>1599.969512195122</v>
      </c>
      <c r="I3002" s="13" t="s">
        <v>52</v>
      </c>
      <c r="J3002" s="23" t="s">
        <v>61</v>
      </c>
      <c r="K3002" s="24" t="s">
        <v>177</v>
      </c>
      <c r="L3002" s="24">
        <v>104</v>
      </c>
      <c r="M3002" s="12">
        <v>1344.5121951219512</v>
      </c>
      <c r="N3002" s="12">
        <v>1344.5121951219512</v>
      </c>
      <c r="O3002" s="12">
        <v>255.45731707317077</v>
      </c>
      <c r="P3002" s="13"/>
      <c r="Q3002" s="14">
        <v>2025</v>
      </c>
      <c r="R3002" s="15">
        <v>45323</v>
      </c>
      <c r="S3002" s="11" t="s">
        <v>252</v>
      </c>
      <c r="T3002" s="16">
        <v>0</v>
      </c>
      <c r="U3002" s="17"/>
      <c r="V3002" s="12">
        <v>462.51219512195121</v>
      </c>
      <c r="W3002" s="12">
        <v>462.51219512195121</v>
      </c>
      <c r="X3002" s="12">
        <v>0</v>
      </c>
      <c r="Y3002" s="18">
        <v>45705</v>
      </c>
      <c r="Z3002" s="13" t="s">
        <v>505</v>
      </c>
      <c r="AA3002" s="19" t="str">
        <f>VLOOKUP(D3002,Clientes!$A$2:$J$486,9,FALSE)</f>
        <v>regular</v>
      </c>
      <c r="AB3002" s="13" t="str">
        <f>VLOOKUP(D3002,Clientes!$A$2:$K$486,11,FALSE)</f>
        <v>Empresa</v>
      </c>
      <c r="AC3002" s="13" t="str">
        <f>VLOOKUP(D3002,Clientes!$A$2:$B$486,2,FALSE)</f>
        <v>Jardines de la viña</v>
      </c>
      <c r="AD3002" s="20"/>
      <c r="AE3002" s="20"/>
      <c r="AF3002" s="13" t="s">
        <v>40</v>
      </c>
      <c r="AG3002" s="15">
        <v>45323</v>
      </c>
      <c r="AH3002" s="13" t="s">
        <v>41</v>
      </c>
      <c r="AI3002" s="13" t="s">
        <v>76</v>
      </c>
      <c r="AJ3002" s="13" t="str">
        <f>VLOOKUP(E3002,Precios!Z$2:AA$941,2,FALSE)</f>
        <v>Limpiapiso POETT 900 ml</v>
      </c>
      <c r="AK3002" s="14">
        <f>VLOOKUP(E3002,Precios!Z$2:BB$941,3,FALSE)*F3002</f>
        <v>-1</v>
      </c>
      <c r="AL3002" s="17"/>
      <c r="AM3002" s="17"/>
      <c r="AN3002" s="17"/>
      <c r="AO3002" s="17"/>
      <c r="AP3002" s="17"/>
      <c r="AQ3002" s="17"/>
      <c r="AR3002" s="17"/>
      <c r="AS3002" s="17"/>
      <c r="AT3002" s="17"/>
      <c r="AU3002" s="17"/>
      <c r="AV3002" s="17"/>
    </row>
    <row r="3003" spans="1:48" ht="15.75" customHeight="1">
      <c r="A3003" s="21" t="s">
        <v>53</v>
      </c>
      <c r="B3003" s="23" t="s">
        <v>1692</v>
      </c>
      <c r="C3003" s="22">
        <v>45708</v>
      </c>
      <c r="D3003" s="23" t="s">
        <v>307</v>
      </c>
      <c r="E3003" s="23" t="s">
        <v>69</v>
      </c>
      <c r="F3003" s="21">
        <v>1</v>
      </c>
      <c r="G3003" s="12">
        <v>2999.9553810458683</v>
      </c>
      <c r="H3003" s="12">
        <v>2999.9553810458683</v>
      </c>
      <c r="I3003" s="13" t="s">
        <v>52</v>
      </c>
      <c r="J3003" s="23" t="s">
        <v>61</v>
      </c>
      <c r="K3003" s="24" t="s">
        <v>177</v>
      </c>
      <c r="L3003" s="24">
        <v>104</v>
      </c>
      <c r="M3003" s="12">
        <v>2520.9709084419064</v>
      </c>
      <c r="N3003" s="12">
        <v>2520.9709084419064</v>
      </c>
      <c r="O3003" s="12">
        <v>478.98447260396188</v>
      </c>
      <c r="P3003" s="13"/>
      <c r="Q3003" s="14">
        <v>2025</v>
      </c>
      <c r="R3003" s="15">
        <v>45323</v>
      </c>
      <c r="S3003" s="11" t="s">
        <v>376</v>
      </c>
      <c r="T3003" s="16">
        <v>0</v>
      </c>
      <c r="U3003" s="17"/>
      <c r="V3003" s="12">
        <v>825.97090844190598</v>
      </c>
      <c r="W3003" s="12">
        <v>825.97090844190598</v>
      </c>
      <c r="X3003" s="12">
        <v>0</v>
      </c>
      <c r="Y3003" s="18">
        <v>45705</v>
      </c>
      <c r="Z3003" s="13" t="s">
        <v>505</v>
      </c>
      <c r="AA3003" s="19" t="str">
        <f>VLOOKUP(D3003,Clientes!$A$2:$J$486,9,FALSE)</f>
        <v>regular</v>
      </c>
      <c r="AB3003" s="13" t="str">
        <f>VLOOKUP(D3003,Clientes!$A$2:$K$486,11,FALSE)</f>
        <v>Empresa</v>
      </c>
      <c r="AC3003" s="13" t="str">
        <f>VLOOKUP(D3003,Clientes!$A$2:$B$486,2,FALSE)</f>
        <v>Jardines de la viña</v>
      </c>
      <c r="AD3003" s="20"/>
      <c r="AE3003" s="20"/>
      <c r="AF3003" s="13" t="s">
        <v>40</v>
      </c>
      <c r="AG3003" s="15">
        <v>45323</v>
      </c>
      <c r="AH3003" s="13" t="s">
        <v>41</v>
      </c>
      <c r="AI3003" s="13" t="s">
        <v>53</v>
      </c>
      <c r="AJ3003" s="13" t="str">
        <f>VLOOKUP(E3003,Precios!Z$2:AA$941,2,FALSE)</f>
        <v>Toalla Papel NOVA 70 metros</v>
      </c>
      <c r="AK3003" s="14">
        <f>VLOOKUP(E3003,Precios!Z$2:BB$941,3,FALSE)*F3003</f>
        <v>-1</v>
      </c>
      <c r="AL3003" s="17"/>
      <c r="AM3003" s="17"/>
      <c r="AN3003" s="17"/>
      <c r="AO3003" s="17"/>
      <c r="AP3003" s="17"/>
      <c r="AQ3003" s="17"/>
      <c r="AR3003" s="17"/>
      <c r="AS3003" s="17"/>
      <c r="AT3003" s="17"/>
      <c r="AU3003" s="17"/>
      <c r="AV3003" s="17"/>
    </row>
    <row r="3004" spans="1:48" ht="15.75" customHeight="1">
      <c r="A3004" s="21" t="s">
        <v>76</v>
      </c>
      <c r="B3004" s="23" t="s">
        <v>1692</v>
      </c>
      <c r="C3004" s="22">
        <v>45708</v>
      </c>
      <c r="D3004" s="23" t="s">
        <v>307</v>
      </c>
      <c r="E3004" s="23" t="s">
        <v>216</v>
      </c>
      <c r="F3004" s="21">
        <v>1</v>
      </c>
      <c r="G3004" s="12">
        <v>4300</v>
      </c>
      <c r="H3004" s="12">
        <v>4300</v>
      </c>
      <c r="I3004" s="13" t="s">
        <v>52</v>
      </c>
      <c r="J3004" s="23" t="s">
        <v>61</v>
      </c>
      <c r="K3004" s="24" t="s">
        <v>177</v>
      </c>
      <c r="L3004" s="24">
        <v>104</v>
      </c>
      <c r="M3004" s="12">
        <v>3613.4453781512607</v>
      </c>
      <c r="N3004" s="12">
        <v>3613.4453781512607</v>
      </c>
      <c r="O3004" s="12">
        <v>686.55462184873932</v>
      </c>
      <c r="P3004" s="13"/>
      <c r="Q3004" s="14">
        <v>2025</v>
      </c>
      <c r="R3004" s="15">
        <v>45323</v>
      </c>
      <c r="S3004" s="11" t="s">
        <v>479</v>
      </c>
      <c r="T3004" s="16">
        <v>5</v>
      </c>
      <c r="U3004" s="17"/>
      <c r="V3004" s="12">
        <v>1134.453781512605</v>
      </c>
      <c r="W3004" s="12">
        <v>1134.453781512605</v>
      </c>
      <c r="X3004" s="12">
        <v>0</v>
      </c>
      <c r="Y3004" s="18">
        <v>45705</v>
      </c>
      <c r="Z3004" s="13" t="s">
        <v>505</v>
      </c>
      <c r="AA3004" s="19" t="str">
        <f>VLOOKUP(D3004,Clientes!$A$2:$J$486,9,FALSE)</f>
        <v>regular</v>
      </c>
      <c r="AB3004" s="13" t="str">
        <f>VLOOKUP(D3004,Clientes!$A$2:$K$486,11,FALSE)</f>
        <v>Empresa</v>
      </c>
      <c r="AC3004" s="13" t="str">
        <f>VLOOKUP(D3004,Clientes!$A$2:$B$486,2,FALSE)</f>
        <v>Jardines de la viña</v>
      </c>
      <c r="AD3004" s="20"/>
      <c r="AE3004" s="20"/>
      <c r="AF3004" s="13" t="s">
        <v>40</v>
      </c>
      <c r="AG3004" s="15">
        <v>45323</v>
      </c>
      <c r="AH3004" s="13" t="s">
        <v>41</v>
      </c>
      <c r="AI3004" s="13" t="s">
        <v>76</v>
      </c>
      <c r="AJ3004" s="13" t="str">
        <f>VLOOKUP(E3004,Precios!Z$2:AA$941,2,FALSE)</f>
        <v>Lavaloza SPUM 5 Litros</v>
      </c>
      <c r="AK3004" s="14">
        <f>VLOOKUP(E3004,Precios!Z$2:BB$941,3,FALSE)*F3004</f>
        <v>-1</v>
      </c>
      <c r="AL3004" s="17"/>
      <c r="AM3004" s="17"/>
      <c r="AN3004" s="17"/>
      <c r="AO3004" s="17"/>
      <c r="AP3004" s="17"/>
      <c r="AQ3004" s="17"/>
      <c r="AR3004" s="17"/>
      <c r="AS3004" s="17"/>
      <c r="AT3004" s="17"/>
      <c r="AU3004" s="17"/>
      <c r="AV3004" s="17"/>
    </row>
    <row r="3005" spans="1:48" ht="15.75" customHeight="1">
      <c r="A3005" s="21" t="s">
        <v>35</v>
      </c>
      <c r="B3005" s="23" t="s">
        <v>1692</v>
      </c>
      <c r="C3005" s="22">
        <v>45707</v>
      </c>
      <c r="D3005" s="23" t="s">
        <v>122</v>
      </c>
      <c r="E3005" s="23" t="s">
        <v>37</v>
      </c>
      <c r="F3005" s="14">
        <v>1</v>
      </c>
      <c r="G3005" s="12">
        <v>10500</v>
      </c>
      <c r="H3005" s="12">
        <v>10500</v>
      </c>
      <c r="I3005" s="23" t="s">
        <v>52</v>
      </c>
      <c r="J3005" s="23" t="s">
        <v>61</v>
      </c>
      <c r="K3005" s="24" t="s">
        <v>177</v>
      </c>
      <c r="L3005" s="24">
        <v>104</v>
      </c>
      <c r="M3005" s="12">
        <v>8823.5294117647063</v>
      </c>
      <c r="N3005" s="12">
        <v>8823.5294117647063</v>
      </c>
      <c r="O3005" s="12">
        <v>1676.4705882352937</v>
      </c>
      <c r="P3005" s="13"/>
      <c r="Q3005" s="14">
        <v>2025</v>
      </c>
      <c r="R3005" s="15">
        <v>45323</v>
      </c>
      <c r="S3005" s="11" t="s">
        <v>364</v>
      </c>
      <c r="T3005" s="16">
        <v>1000</v>
      </c>
      <c r="U3005" s="17"/>
      <c r="V3005" s="12">
        <v>2385.7142857142853</v>
      </c>
      <c r="W3005" s="12">
        <v>2385.7142857142853</v>
      </c>
      <c r="X3005" s="12">
        <v>0</v>
      </c>
      <c r="Y3005" s="18">
        <v>45705</v>
      </c>
      <c r="Z3005" s="13" t="s">
        <v>515</v>
      </c>
      <c r="AA3005" s="19" t="str">
        <f>VLOOKUP(D3005,Clientes!$A$2:$J$486,9,FALSE)</f>
        <v>Frecuente</v>
      </c>
      <c r="AB3005" s="13" t="str">
        <f>VLOOKUP(D3005,Clientes!$A$2:$K$486,11,FALSE)</f>
        <v>Persona Natural</v>
      </c>
      <c r="AC3005" s="13" t="str">
        <f>VLOOKUP(D3005,Clientes!$A$2:$B$486,2,FALSE)</f>
        <v>Jardines de la Viña</v>
      </c>
      <c r="AD3005" s="20"/>
      <c r="AE3005" s="20"/>
      <c r="AF3005" s="13" t="s">
        <v>40</v>
      </c>
      <c r="AG3005" s="15">
        <v>45323</v>
      </c>
      <c r="AH3005" s="13" t="s">
        <v>41</v>
      </c>
      <c r="AI3005" s="13" t="s">
        <v>35</v>
      </c>
      <c r="AJ3005" s="13" t="str">
        <f>VLOOKUP(E3005,Precios!Z$2:AA$941,2,FALSE)</f>
        <v>Queso RUNCA Mantecoso</v>
      </c>
      <c r="AK3005" s="14">
        <f>VLOOKUP(E3005,Precios!Z$2:BB$941,3,FALSE)*F3005</f>
        <v>-1</v>
      </c>
      <c r="AL3005" s="17"/>
      <c r="AM3005" s="17"/>
      <c r="AN3005" s="17"/>
      <c r="AO3005" s="17"/>
      <c r="AP3005" s="17"/>
      <c r="AQ3005" s="17"/>
      <c r="AR3005" s="17"/>
      <c r="AS3005" s="17"/>
      <c r="AT3005" s="17"/>
      <c r="AU3005" s="17"/>
      <c r="AV3005" s="17"/>
    </row>
    <row r="3006" spans="1:48" ht="15.75" customHeight="1">
      <c r="A3006" s="21" t="s">
        <v>53</v>
      </c>
      <c r="B3006" s="23" t="s">
        <v>1692</v>
      </c>
      <c r="C3006" s="22">
        <v>45707</v>
      </c>
      <c r="D3006" s="23" t="s">
        <v>330</v>
      </c>
      <c r="E3006" s="23" t="s">
        <v>97</v>
      </c>
      <c r="F3006" s="14">
        <v>1</v>
      </c>
      <c r="G3006" s="12">
        <v>15500.298388701016</v>
      </c>
      <c r="H3006" s="12">
        <v>15500.298388701016</v>
      </c>
      <c r="I3006" s="23" t="s">
        <v>52</v>
      </c>
      <c r="J3006" s="23" t="s">
        <v>61</v>
      </c>
      <c r="K3006" s="24" t="s">
        <v>177</v>
      </c>
      <c r="L3006" s="24">
        <v>104</v>
      </c>
      <c r="M3006" s="12">
        <v>13025.46083084119</v>
      </c>
      <c r="N3006" s="12">
        <v>13025.46083084119</v>
      </c>
      <c r="O3006" s="12">
        <v>2474.8375578598261</v>
      </c>
      <c r="P3006" s="13"/>
      <c r="Q3006" s="14">
        <v>2025</v>
      </c>
      <c r="R3006" s="15">
        <v>45323</v>
      </c>
      <c r="S3006" s="11" t="s">
        <v>366</v>
      </c>
      <c r="T3006" s="16">
        <v>0</v>
      </c>
      <c r="U3006" s="17"/>
      <c r="V3006" s="12">
        <v>3203.6120913453906</v>
      </c>
      <c r="W3006" s="12">
        <v>3203.6120913453906</v>
      </c>
      <c r="X3006" s="12">
        <v>0</v>
      </c>
      <c r="Y3006" s="18">
        <v>45705</v>
      </c>
      <c r="Z3006" s="13" t="s">
        <v>515</v>
      </c>
      <c r="AA3006" s="19" t="str">
        <f>VLOOKUP(D3006,Clientes!$A$2:$J$486,9,FALSE)</f>
        <v>Ocacional</v>
      </c>
      <c r="AB3006" s="13" t="str">
        <f>VLOOKUP(D3006,Clientes!$A$2:$K$486,11,FALSE)</f>
        <v>Persona Natural</v>
      </c>
      <c r="AC3006" s="13" t="str">
        <f>VLOOKUP(D3006,Clientes!$A$2:$B$486,2,FALSE)</f>
        <v>Jardin Alto</v>
      </c>
      <c r="AD3006" s="20"/>
      <c r="AE3006" s="20"/>
      <c r="AF3006" s="13" t="s">
        <v>40</v>
      </c>
      <c r="AG3006" s="15">
        <v>45323</v>
      </c>
      <c r="AH3006" s="13" t="s">
        <v>41</v>
      </c>
      <c r="AI3006" s="13" t="s">
        <v>53</v>
      </c>
      <c r="AJ3006" s="13" t="str">
        <f>VLOOKUP(E3006,Precios!Z$2:AA$941,2,FALSE)</f>
        <v>Papel Higienico ELITE 50 metros</v>
      </c>
      <c r="AK3006" s="14">
        <f>VLOOKUP(E3006,Precios!Z$2:BB$941,3,FALSE)*F3006</f>
        <v>-6</v>
      </c>
      <c r="AL3006" s="17"/>
      <c r="AM3006" s="17"/>
      <c r="AN3006" s="17"/>
      <c r="AO3006" s="17"/>
      <c r="AP3006" s="17"/>
      <c r="AQ3006" s="17"/>
      <c r="AR3006" s="17"/>
      <c r="AS3006" s="17"/>
      <c r="AT3006" s="17"/>
      <c r="AU3006" s="17"/>
      <c r="AV3006" s="17"/>
    </row>
    <row r="3007" spans="1:48" ht="15.75" customHeight="1">
      <c r="A3007" s="21" t="s">
        <v>53</v>
      </c>
      <c r="B3007" s="23" t="s">
        <v>1692</v>
      </c>
      <c r="C3007" s="22">
        <v>45707</v>
      </c>
      <c r="D3007" s="23" t="s">
        <v>330</v>
      </c>
      <c r="E3007" s="23" t="s">
        <v>114</v>
      </c>
      <c r="F3007" s="14">
        <v>1</v>
      </c>
      <c r="G3007" s="12">
        <v>10500</v>
      </c>
      <c r="H3007" s="12">
        <v>10500</v>
      </c>
      <c r="I3007" s="23" t="s">
        <v>52</v>
      </c>
      <c r="J3007" s="23" t="s">
        <v>61</v>
      </c>
      <c r="K3007" s="24" t="s">
        <v>177</v>
      </c>
      <c r="L3007" s="24">
        <v>104</v>
      </c>
      <c r="M3007" s="12">
        <v>8823.5294117647063</v>
      </c>
      <c r="N3007" s="12">
        <v>8823.5294117647063</v>
      </c>
      <c r="O3007" s="12">
        <v>1676.4705882352937</v>
      </c>
      <c r="P3007" s="13"/>
      <c r="Q3007" s="14">
        <v>2025</v>
      </c>
      <c r="R3007" s="15">
        <v>45323</v>
      </c>
      <c r="S3007" s="11" t="s">
        <v>369</v>
      </c>
      <c r="T3007" s="16">
        <v>0</v>
      </c>
      <c r="U3007" s="17"/>
      <c r="V3007" s="12">
        <v>2403.3613445378151</v>
      </c>
      <c r="W3007" s="12">
        <v>2403.3613445378151</v>
      </c>
      <c r="X3007" s="12">
        <v>0</v>
      </c>
      <c r="Y3007" s="18">
        <v>45705</v>
      </c>
      <c r="Z3007" s="13" t="s">
        <v>515</v>
      </c>
      <c r="AA3007" s="19" t="str">
        <f>VLOOKUP(D3007,Clientes!$A$2:$J$486,9,FALSE)</f>
        <v>Ocacional</v>
      </c>
      <c r="AB3007" s="13" t="str">
        <f>VLOOKUP(D3007,Clientes!$A$2:$K$486,11,FALSE)</f>
        <v>Persona Natural</v>
      </c>
      <c r="AC3007" s="13" t="str">
        <f>VLOOKUP(D3007,Clientes!$A$2:$B$486,2,FALSE)</f>
        <v>Jardin Alto</v>
      </c>
      <c r="AD3007" s="20"/>
      <c r="AE3007" s="20"/>
      <c r="AF3007" s="13" t="s">
        <v>40</v>
      </c>
      <c r="AG3007" s="15">
        <v>45323</v>
      </c>
      <c r="AH3007" s="13" t="s">
        <v>41</v>
      </c>
      <c r="AI3007" s="13" t="s">
        <v>53</v>
      </c>
      <c r="AJ3007" s="13" t="str">
        <f>VLOOKUP(E3007,Precios!Z$2:AA$941,2,FALSE)</f>
        <v>Toalla Papel NOVA 12 metros</v>
      </c>
      <c r="AK3007" s="14">
        <f>VLOOKUP(E3007,Precios!Z$2:BB$941,3,FALSE)*F3007</f>
        <v>-8</v>
      </c>
      <c r="AL3007" s="17"/>
      <c r="AM3007" s="17"/>
      <c r="AN3007" s="17"/>
      <c r="AO3007" s="17"/>
      <c r="AP3007" s="17"/>
      <c r="AQ3007" s="17"/>
      <c r="AR3007" s="17"/>
      <c r="AS3007" s="17"/>
      <c r="AT3007" s="17"/>
      <c r="AU3007" s="17"/>
      <c r="AV3007" s="17"/>
    </row>
    <row r="3008" spans="1:48" ht="15.75" customHeight="1">
      <c r="A3008" s="21" t="s">
        <v>53</v>
      </c>
      <c r="B3008" s="23" t="s">
        <v>1692</v>
      </c>
      <c r="C3008" s="22">
        <v>45707</v>
      </c>
      <c r="D3008" s="23" t="s">
        <v>330</v>
      </c>
      <c r="E3008" s="23" t="s">
        <v>150</v>
      </c>
      <c r="F3008" s="21">
        <v>2</v>
      </c>
      <c r="G3008" s="12">
        <v>1799.8965445892823</v>
      </c>
      <c r="H3008" s="12">
        <v>3599.7930891785645</v>
      </c>
      <c r="I3008" s="23" t="s">
        <v>52</v>
      </c>
      <c r="J3008" s="23" t="s">
        <v>61</v>
      </c>
      <c r="K3008" s="24" t="s">
        <v>177</v>
      </c>
      <c r="L3008" s="24">
        <v>104</v>
      </c>
      <c r="M3008" s="12">
        <v>1512.518104696876</v>
      </c>
      <c r="N3008" s="12">
        <v>3025.036209393752</v>
      </c>
      <c r="O3008" s="12">
        <v>574.75687978481255</v>
      </c>
      <c r="P3008" s="13"/>
      <c r="Q3008" s="14">
        <v>2025</v>
      </c>
      <c r="R3008" s="15">
        <v>45323</v>
      </c>
      <c r="S3008" s="11" t="s">
        <v>381</v>
      </c>
      <c r="T3008" s="16">
        <v>600</v>
      </c>
      <c r="U3008" s="17"/>
      <c r="V3008" s="12">
        <v>1563.0362093937515</v>
      </c>
      <c r="W3008" s="12">
        <v>1563.0362093937515</v>
      </c>
      <c r="X3008" s="12">
        <v>0</v>
      </c>
      <c r="Y3008" s="18">
        <v>45705</v>
      </c>
      <c r="Z3008" s="13" t="s">
        <v>515</v>
      </c>
      <c r="AA3008" s="19" t="str">
        <f>VLOOKUP(D3008,Clientes!$A$2:$J$486,9,FALSE)</f>
        <v>Ocacional</v>
      </c>
      <c r="AB3008" s="13" t="str">
        <f>VLOOKUP(D3008,Clientes!$A$2:$K$486,11,FALSE)</f>
        <v>Persona Natural</v>
      </c>
      <c r="AC3008" s="13" t="str">
        <f>VLOOKUP(D3008,Clientes!$A$2:$B$486,2,FALSE)</f>
        <v>Jardin Alto</v>
      </c>
      <c r="AD3008" s="20"/>
      <c r="AE3008" s="20"/>
      <c r="AF3008" s="13" t="s">
        <v>40</v>
      </c>
      <c r="AG3008" s="15">
        <v>45323</v>
      </c>
      <c r="AH3008" s="13" t="s">
        <v>41</v>
      </c>
      <c r="AI3008" s="13" t="s">
        <v>53</v>
      </c>
      <c r="AJ3008" s="13" t="str">
        <f>VLOOKUP(E3008,Precios!Z$2:AA$941,2,FALSE)</f>
        <v>Servilletas SOFTQUALITY 300 unidades</v>
      </c>
      <c r="AK3008" s="14">
        <f>VLOOKUP(E3008,Precios!Z$2:BB$941,3,FALSE)*F3008</f>
        <v>-2</v>
      </c>
      <c r="AL3008" s="17"/>
      <c r="AM3008" s="17"/>
      <c r="AN3008" s="17"/>
      <c r="AO3008" s="17"/>
      <c r="AP3008" s="17"/>
      <c r="AQ3008" s="17"/>
      <c r="AR3008" s="17"/>
      <c r="AS3008" s="17"/>
      <c r="AT3008" s="17"/>
      <c r="AU3008" s="17"/>
      <c r="AV3008" s="17"/>
    </row>
    <row r="3009" spans="1:48" ht="15.75" customHeight="1">
      <c r="A3009" s="21" t="s">
        <v>147</v>
      </c>
      <c r="B3009" s="23" t="s">
        <v>1692</v>
      </c>
      <c r="C3009" s="22">
        <v>45707</v>
      </c>
      <c r="D3009" s="23" t="s">
        <v>330</v>
      </c>
      <c r="E3009" s="23" t="s">
        <v>148</v>
      </c>
      <c r="F3009" s="21">
        <v>2</v>
      </c>
      <c r="G3009" s="12">
        <v>1200.0000000000002</v>
      </c>
      <c r="H3009" s="12">
        <v>2400.0000000000005</v>
      </c>
      <c r="I3009" s="23" t="s">
        <v>52</v>
      </c>
      <c r="J3009" s="23" t="s">
        <v>61</v>
      </c>
      <c r="K3009" s="24" t="s">
        <v>177</v>
      </c>
      <c r="L3009" s="24">
        <v>104</v>
      </c>
      <c r="M3009" s="12">
        <v>1008.4033613445381</v>
      </c>
      <c r="N3009" s="12">
        <v>2016.8067226890762</v>
      </c>
      <c r="O3009" s="12">
        <v>383.19327731092426</v>
      </c>
      <c r="P3009" s="13"/>
      <c r="Q3009" s="14">
        <v>2025</v>
      </c>
      <c r="R3009" s="15">
        <v>45323</v>
      </c>
      <c r="S3009" s="11" t="s">
        <v>360</v>
      </c>
      <c r="T3009" s="16">
        <v>0</v>
      </c>
      <c r="U3009" s="17"/>
      <c r="V3009" s="12">
        <v>715.9663865546222</v>
      </c>
      <c r="W3009" s="12">
        <v>715.9663865546222</v>
      </c>
      <c r="X3009" s="12">
        <v>0</v>
      </c>
      <c r="Y3009" s="18">
        <v>45705</v>
      </c>
      <c r="Z3009" s="13" t="s">
        <v>515</v>
      </c>
      <c r="AA3009" s="19" t="str">
        <f>VLOOKUP(D3009,Clientes!$A$2:$J$486,9,FALSE)</f>
        <v>Ocacional</v>
      </c>
      <c r="AB3009" s="13" t="str">
        <f>VLOOKUP(D3009,Clientes!$A$2:$K$486,11,FALSE)</f>
        <v>Persona Natural</v>
      </c>
      <c r="AC3009" s="13" t="str">
        <f>VLOOKUP(D3009,Clientes!$A$2:$B$486,2,FALSE)</f>
        <v>Jardin Alto</v>
      </c>
      <c r="AD3009" s="20"/>
      <c r="AE3009" s="20"/>
      <c r="AF3009" s="13" t="s">
        <v>40</v>
      </c>
      <c r="AG3009" s="15">
        <v>45323</v>
      </c>
      <c r="AH3009" s="13" t="s">
        <v>41</v>
      </c>
      <c r="AI3009" s="13" t="s">
        <v>147</v>
      </c>
      <c r="AJ3009" s="13" t="str">
        <f>VLOOKUP(E3009,Precios!Z$2:AA$941,2,FALSE)</f>
        <v>Papel Aluminio 7.5 metros</v>
      </c>
      <c r="AK3009" s="14">
        <f>VLOOKUP(E3009,Precios!Z$2:BB$941,3,FALSE)*F3009</f>
        <v>-2</v>
      </c>
      <c r="AL3009" s="17"/>
      <c r="AM3009" s="17"/>
      <c r="AN3009" s="17"/>
      <c r="AO3009" s="17"/>
      <c r="AP3009" s="17"/>
      <c r="AQ3009" s="17"/>
      <c r="AR3009" s="17"/>
      <c r="AS3009" s="17"/>
      <c r="AT3009" s="17"/>
      <c r="AU3009" s="17"/>
      <c r="AV3009" s="17"/>
    </row>
    <row r="3010" spans="1:48" ht="15.75" customHeight="1">
      <c r="A3010" s="21" t="s">
        <v>53</v>
      </c>
      <c r="B3010" s="23" t="s">
        <v>1692</v>
      </c>
      <c r="C3010" s="25">
        <v>45706</v>
      </c>
      <c r="D3010" s="23" t="s">
        <v>142</v>
      </c>
      <c r="E3010" s="23" t="s">
        <v>163</v>
      </c>
      <c r="F3010" s="14">
        <v>1</v>
      </c>
      <c r="G3010" s="12">
        <v>18990</v>
      </c>
      <c r="H3010" s="12">
        <v>18990</v>
      </c>
      <c r="I3010" s="23" t="s">
        <v>52</v>
      </c>
      <c r="J3010" s="23" t="s">
        <v>61</v>
      </c>
      <c r="K3010" s="24" t="s">
        <v>177</v>
      </c>
      <c r="L3010" s="24">
        <v>103</v>
      </c>
      <c r="M3010" s="12">
        <v>15957.983193277312</v>
      </c>
      <c r="N3010" s="12">
        <v>15957.983193277312</v>
      </c>
      <c r="O3010" s="12">
        <v>3032.0168067226878</v>
      </c>
      <c r="P3010" s="13"/>
      <c r="Q3010" s="14">
        <v>2025</v>
      </c>
      <c r="R3010" s="15">
        <v>45323</v>
      </c>
      <c r="S3010" s="11" t="s">
        <v>435</v>
      </c>
      <c r="T3010" s="16">
        <v>0</v>
      </c>
      <c r="U3010" s="17"/>
      <c r="V3010" s="12">
        <v>4112.6050420168067</v>
      </c>
      <c r="W3010" s="12">
        <v>4112.6050420168067</v>
      </c>
      <c r="X3010" s="12">
        <v>0</v>
      </c>
      <c r="Y3010" s="18">
        <v>45705</v>
      </c>
      <c r="Z3010" s="13" t="s">
        <v>516</v>
      </c>
      <c r="AA3010" s="19" t="str">
        <f>VLOOKUP(D3010,Clientes!$A$2:$J$486,9,FALSE)</f>
        <v>Frecuente</v>
      </c>
      <c r="AB3010" s="13" t="str">
        <f>VLOOKUP(D3010,Clientes!$A$2:$K$486,11,FALSE)</f>
        <v>Persona Natural</v>
      </c>
      <c r="AC3010" s="13" t="str">
        <f>VLOOKUP(D3010,Clientes!$A$2:$B$486,2,FALSE)</f>
        <v>Curso Amalia</v>
      </c>
      <c r="AD3010" s="20"/>
      <c r="AE3010" s="20"/>
      <c r="AF3010" s="13" t="s">
        <v>40</v>
      </c>
      <c r="AG3010" s="15">
        <v>45323</v>
      </c>
      <c r="AH3010" s="13" t="s">
        <v>41</v>
      </c>
      <c r="AI3010" s="13" t="s">
        <v>53</v>
      </c>
      <c r="AJ3010" s="13" t="str">
        <f>VLOOKUP(E3010,Precios!Z$2:AA$941,2,FALSE)</f>
        <v>Papel Higienico SWAN 50 metros</v>
      </c>
      <c r="AK3010" s="14">
        <f>VLOOKUP(E3010,Precios!Z$2:BB$941,3,FALSE)*F3010</f>
        <v>-8</v>
      </c>
      <c r="AL3010" s="17"/>
      <c r="AM3010" s="17"/>
      <c r="AN3010" s="17"/>
      <c r="AO3010" s="17"/>
      <c r="AP3010" s="17"/>
      <c r="AQ3010" s="17"/>
      <c r="AR3010" s="17"/>
      <c r="AS3010" s="17"/>
      <c r="AT3010" s="17"/>
      <c r="AU3010" s="17"/>
      <c r="AV3010" s="17"/>
    </row>
    <row r="3011" spans="1:48" ht="15.75" customHeight="1">
      <c r="A3011" s="21" t="s">
        <v>53</v>
      </c>
      <c r="B3011" s="23" t="s">
        <v>1692</v>
      </c>
      <c r="C3011" s="25">
        <v>45706</v>
      </c>
      <c r="D3011" s="23" t="s">
        <v>142</v>
      </c>
      <c r="E3011" s="23" t="s">
        <v>114</v>
      </c>
      <c r="F3011" s="14">
        <v>1</v>
      </c>
      <c r="G3011" s="12">
        <v>10500</v>
      </c>
      <c r="H3011" s="12">
        <v>10500</v>
      </c>
      <c r="I3011" s="23" t="s">
        <v>52</v>
      </c>
      <c r="J3011" s="23" t="s">
        <v>61</v>
      </c>
      <c r="K3011" s="24" t="s">
        <v>177</v>
      </c>
      <c r="L3011" s="24">
        <v>103</v>
      </c>
      <c r="M3011" s="12">
        <v>8823.5294117647063</v>
      </c>
      <c r="N3011" s="12">
        <v>8823.5294117647063</v>
      </c>
      <c r="O3011" s="12">
        <v>1676.4705882352937</v>
      </c>
      <c r="P3011" s="13"/>
      <c r="Q3011" s="14">
        <v>2025</v>
      </c>
      <c r="R3011" s="15">
        <v>45323</v>
      </c>
      <c r="S3011" s="11" t="s">
        <v>369</v>
      </c>
      <c r="T3011" s="16">
        <v>0</v>
      </c>
      <c r="U3011" s="17"/>
      <c r="V3011" s="12">
        <v>2403.3613445378151</v>
      </c>
      <c r="W3011" s="12">
        <v>2403.3613445378151</v>
      </c>
      <c r="X3011" s="12">
        <v>0</v>
      </c>
      <c r="Y3011" s="18">
        <v>45705</v>
      </c>
      <c r="Z3011" s="13" t="s">
        <v>516</v>
      </c>
      <c r="AA3011" s="19" t="str">
        <f>VLOOKUP(D3011,Clientes!$A$2:$J$486,9,FALSE)</f>
        <v>Frecuente</v>
      </c>
      <c r="AB3011" s="13" t="str">
        <f>VLOOKUP(D3011,Clientes!$A$2:$K$486,11,FALSE)</f>
        <v>Persona Natural</v>
      </c>
      <c r="AC3011" s="13" t="str">
        <f>VLOOKUP(D3011,Clientes!$A$2:$B$486,2,FALSE)</f>
        <v>Curso Amalia</v>
      </c>
      <c r="AD3011" s="20"/>
      <c r="AE3011" s="20"/>
      <c r="AF3011" s="13" t="s">
        <v>40</v>
      </c>
      <c r="AG3011" s="15">
        <v>45323</v>
      </c>
      <c r="AH3011" s="13" t="s">
        <v>41</v>
      </c>
      <c r="AI3011" s="13" t="s">
        <v>53</v>
      </c>
      <c r="AJ3011" s="13" t="str">
        <f>VLOOKUP(E3011,Precios!Z$2:AA$941,2,FALSE)</f>
        <v>Toalla Papel NOVA 12 metros</v>
      </c>
      <c r="AK3011" s="14">
        <f>VLOOKUP(E3011,Precios!Z$2:BB$941,3,FALSE)*F3011</f>
        <v>-8</v>
      </c>
      <c r="AL3011" s="17"/>
      <c r="AM3011" s="17"/>
      <c r="AN3011" s="17"/>
      <c r="AO3011" s="17"/>
      <c r="AP3011" s="17"/>
      <c r="AQ3011" s="17"/>
      <c r="AR3011" s="17"/>
      <c r="AS3011" s="17"/>
      <c r="AT3011" s="17"/>
      <c r="AU3011" s="17"/>
      <c r="AV3011" s="17"/>
    </row>
    <row r="3012" spans="1:48" ht="15.75" customHeight="1">
      <c r="A3012" s="21" t="s">
        <v>47</v>
      </c>
      <c r="B3012" s="23" t="s">
        <v>1692</v>
      </c>
      <c r="C3012" s="25">
        <v>45706</v>
      </c>
      <c r="D3012" s="23" t="s">
        <v>142</v>
      </c>
      <c r="E3012" s="23" t="s">
        <v>155</v>
      </c>
      <c r="F3012" s="14">
        <v>1</v>
      </c>
      <c r="G3012" s="12">
        <v>3400</v>
      </c>
      <c r="H3012" s="12">
        <v>3400</v>
      </c>
      <c r="I3012" s="23" t="s">
        <v>52</v>
      </c>
      <c r="J3012" s="23" t="s">
        <v>61</v>
      </c>
      <c r="K3012" s="24" t="s">
        <v>177</v>
      </c>
      <c r="L3012" s="24">
        <v>103</v>
      </c>
      <c r="M3012" s="12">
        <v>2857.1428571428573</v>
      </c>
      <c r="N3012" s="12">
        <v>2857.1428571428573</v>
      </c>
      <c r="O3012" s="12">
        <v>542.85714285714266</v>
      </c>
      <c r="P3012" s="13"/>
      <c r="Q3012" s="14">
        <v>2025</v>
      </c>
      <c r="R3012" s="15">
        <v>45323</v>
      </c>
      <c r="S3012" s="11" t="s">
        <v>453</v>
      </c>
      <c r="T3012" s="16">
        <v>0</v>
      </c>
      <c r="U3012" s="17"/>
      <c r="V3012" s="12">
        <v>1255.1428571428573</v>
      </c>
      <c r="W3012" s="12">
        <v>1255.1428571428573</v>
      </c>
      <c r="X3012" s="12">
        <v>0</v>
      </c>
      <c r="Y3012" s="18">
        <v>45705</v>
      </c>
      <c r="Z3012" s="13" t="s">
        <v>516</v>
      </c>
      <c r="AA3012" s="19" t="str">
        <f>VLOOKUP(D3012,Clientes!$A$2:$J$486,9,FALSE)</f>
        <v>Frecuente</v>
      </c>
      <c r="AB3012" s="13" t="str">
        <f>VLOOKUP(D3012,Clientes!$A$2:$K$486,11,FALSE)</f>
        <v>Persona Natural</v>
      </c>
      <c r="AC3012" s="13" t="str">
        <f>VLOOKUP(D3012,Clientes!$A$2:$B$486,2,FALSE)</f>
        <v>Curso Amalia</v>
      </c>
      <c r="AD3012" s="20"/>
      <c r="AE3012" s="20"/>
      <c r="AF3012" s="13" t="s">
        <v>40</v>
      </c>
      <c r="AG3012" s="15">
        <v>45323</v>
      </c>
      <c r="AH3012" s="13" t="s">
        <v>41</v>
      </c>
      <c r="AI3012" s="13" t="s">
        <v>47</v>
      </c>
      <c r="AJ3012" s="13" t="str">
        <f>VLOOKUP(E3012,Precios!Z$2:AA$941,2,FALSE)</f>
        <v xml:space="preserve">Bolsas Basura TEDDY 50x70 </v>
      </c>
      <c r="AK3012" s="14">
        <f>VLOOKUP(E3012,Precios!Z$2:BB$941,3,FALSE)*F3012</f>
        <v>-6</v>
      </c>
      <c r="AL3012" s="17"/>
      <c r="AM3012" s="17"/>
      <c r="AN3012" s="17"/>
      <c r="AO3012" s="17"/>
      <c r="AP3012" s="17"/>
      <c r="AQ3012" s="17"/>
      <c r="AR3012" s="17"/>
      <c r="AS3012" s="17"/>
      <c r="AT3012" s="17"/>
      <c r="AU3012" s="17"/>
      <c r="AV3012" s="17"/>
    </row>
    <row r="3013" spans="1:48" ht="15.75" customHeight="1">
      <c r="A3013" s="21" t="s">
        <v>53</v>
      </c>
      <c r="B3013" s="23" t="s">
        <v>1692</v>
      </c>
      <c r="C3013" s="25">
        <v>45706</v>
      </c>
      <c r="D3013" s="23" t="s">
        <v>142</v>
      </c>
      <c r="E3013" s="23" t="s">
        <v>150</v>
      </c>
      <c r="F3013" s="14">
        <v>1</v>
      </c>
      <c r="G3013" s="12">
        <v>1799.8965445892823</v>
      </c>
      <c r="H3013" s="12">
        <v>1799.8965445892823</v>
      </c>
      <c r="I3013" s="23" t="s">
        <v>52</v>
      </c>
      <c r="J3013" s="23" t="s">
        <v>61</v>
      </c>
      <c r="K3013" s="24" t="s">
        <v>177</v>
      </c>
      <c r="L3013" s="24">
        <v>103</v>
      </c>
      <c r="M3013" s="12">
        <v>1512.518104696876</v>
      </c>
      <c r="N3013" s="12">
        <v>1512.518104696876</v>
      </c>
      <c r="O3013" s="12">
        <v>287.37843989240628</v>
      </c>
      <c r="P3013" s="13"/>
      <c r="Q3013" s="14">
        <v>2025</v>
      </c>
      <c r="R3013" s="15">
        <v>45323</v>
      </c>
      <c r="S3013" s="11" t="s">
        <v>381</v>
      </c>
      <c r="T3013" s="16">
        <v>300</v>
      </c>
      <c r="U3013" s="17"/>
      <c r="V3013" s="12">
        <v>781.51810469687575</v>
      </c>
      <c r="W3013" s="12">
        <v>781.51810469687575</v>
      </c>
      <c r="X3013" s="12">
        <v>0</v>
      </c>
      <c r="Y3013" s="18">
        <v>45705</v>
      </c>
      <c r="Z3013" s="13" t="s">
        <v>516</v>
      </c>
      <c r="AA3013" s="19" t="str">
        <f>VLOOKUP(D3013,Clientes!$A$2:$J$486,9,FALSE)</f>
        <v>Frecuente</v>
      </c>
      <c r="AB3013" s="13" t="str">
        <f>VLOOKUP(D3013,Clientes!$A$2:$K$486,11,FALSE)</f>
        <v>Persona Natural</v>
      </c>
      <c r="AC3013" s="13" t="str">
        <f>VLOOKUP(D3013,Clientes!$A$2:$B$486,2,FALSE)</f>
        <v>Curso Amalia</v>
      </c>
      <c r="AD3013" s="20"/>
      <c r="AE3013" s="20"/>
      <c r="AF3013" s="13" t="s">
        <v>40</v>
      </c>
      <c r="AG3013" s="15">
        <v>45323</v>
      </c>
      <c r="AH3013" s="13" t="s">
        <v>41</v>
      </c>
      <c r="AI3013" s="13" t="s">
        <v>53</v>
      </c>
      <c r="AJ3013" s="13" t="str">
        <f>VLOOKUP(E3013,Precios!Z$2:AA$941,2,FALSE)</f>
        <v>Servilletas SOFTQUALITY 300 unidades</v>
      </c>
      <c r="AK3013" s="14">
        <f>VLOOKUP(E3013,Precios!Z$2:BB$941,3,FALSE)*F3013</f>
        <v>-1</v>
      </c>
      <c r="AL3013" s="17"/>
      <c r="AM3013" s="17"/>
      <c r="AN3013" s="17"/>
      <c r="AO3013" s="17"/>
      <c r="AP3013" s="17"/>
      <c r="AQ3013" s="17"/>
      <c r="AR3013" s="17"/>
      <c r="AS3013" s="17"/>
      <c r="AT3013" s="17"/>
      <c r="AU3013" s="17"/>
      <c r="AV3013" s="17"/>
    </row>
    <row r="3014" spans="1:48" ht="15.75" customHeight="1">
      <c r="A3014" s="21" t="s">
        <v>47</v>
      </c>
      <c r="B3014" s="23" t="s">
        <v>1692</v>
      </c>
      <c r="C3014" s="25">
        <v>45706</v>
      </c>
      <c r="D3014" s="23" t="s">
        <v>142</v>
      </c>
      <c r="E3014" s="23" t="s">
        <v>49</v>
      </c>
      <c r="F3014" s="14">
        <v>1</v>
      </c>
      <c r="G3014" s="12">
        <v>4500.0000000000009</v>
      </c>
      <c r="H3014" s="12">
        <v>4500.0000000000009</v>
      </c>
      <c r="I3014" s="23" t="s">
        <v>52</v>
      </c>
      <c r="J3014" s="23" t="s">
        <v>61</v>
      </c>
      <c r="K3014" s="24" t="s">
        <v>177</v>
      </c>
      <c r="L3014" s="24">
        <v>103</v>
      </c>
      <c r="M3014" s="12">
        <v>3781.5126050420176</v>
      </c>
      <c r="N3014" s="12">
        <v>3781.5126050420176</v>
      </c>
      <c r="O3014" s="12">
        <v>718.48739495798327</v>
      </c>
      <c r="P3014" s="13"/>
      <c r="Q3014" s="14">
        <v>2025</v>
      </c>
      <c r="R3014" s="15">
        <v>45323</v>
      </c>
      <c r="S3014" s="11" t="s">
        <v>384</v>
      </c>
      <c r="T3014" s="16">
        <v>0</v>
      </c>
      <c r="U3014" s="17"/>
      <c r="V3014" s="12">
        <v>988.23529411764775</v>
      </c>
      <c r="W3014" s="12">
        <v>988.23529411764775</v>
      </c>
      <c r="X3014" s="12">
        <v>0</v>
      </c>
      <c r="Y3014" s="18">
        <v>45705</v>
      </c>
      <c r="Z3014" s="13" t="s">
        <v>516</v>
      </c>
      <c r="AA3014" s="19" t="str">
        <f>VLOOKUP(D3014,Clientes!$A$2:$J$486,9,FALSE)</f>
        <v>Frecuente</v>
      </c>
      <c r="AB3014" s="13" t="str">
        <f>VLOOKUP(D3014,Clientes!$A$2:$K$486,11,FALSE)</f>
        <v>Persona Natural</v>
      </c>
      <c r="AC3014" s="13" t="str">
        <f>VLOOKUP(D3014,Clientes!$A$2:$B$486,2,FALSE)</f>
        <v>Curso Amalia</v>
      </c>
      <c r="AD3014" s="20"/>
      <c r="AE3014" s="20"/>
      <c r="AF3014" s="13" t="s">
        <v>40</v>
      </c>
      <c r="AG3014" s="15">
        <v>45323</v>
      </c>
      <c r="AH3014" s="13" t="s">
        <v>41</v>
      </c>
      <c r="AI3014" s="13" t="s">
        <v>47</v>
      </c>
      <c r="AJ3014" s="13" t="str">
        <f>VLOOKUP(E3014,Precios!Z$2:AA$941,2,FALSE)</f>
        <v>Jabón Lìquido BALLERINA</v>
      </c>
      <c r="AK3014" s="14">
        <f>VLOOKUP(E3014,Precios!Z$2:BB$941,3,FALSE)*F3014</f>
        <v>-3</v>
      </c>
      <c r="AL3014" s="17"/>
      <c r="AM3014" s="17"/>
      <c r="AN3014" s="17"/>
      <c r="AO3014" s="17"/>
      <c r="AP3014" s="17"/>
      <c r="AQ3014" s="17"/>
      <c r="AR3014" s="17"/>
      <c r="AS3014" s="17"/>
      <c r="AT3014" s="17"/>
      <c r="AU3014" s="17"/>
      <c r="AV3014" s="17"/>
    </row>
    <row r="3015" spans="1:48" ht="15.75" customHeight="1">
      <c r="A3015" s="21" t="s">
        <v>76</v>
      </c>
      <c r="B3015" s="23" t="s">
        <v>1692</v>
      </c>
      <c r="C3015" s="25">
        <v>45706</v>
      </c>
      <c r="D3015" s="23" t="s">
        <v>142</v>
      </c>
      <c r="E3015" s="23" t="s">
        <v>202</v>
      </c>
      <c r="F3015" s="14">
        <v>1</v>
      </c>
      <c r="G3015" s="12">
        <v>1500.2338716794634</v>
      </c>
      <c r="H3015" s="12">
        <v>1500.2338716794634</v>
      </c>
      <c r="I3015" s="23" t="s">
        <v>52</v>
      </c>
      <c r="J3015" s="23" t="s">
        <v>61</v>
      </c>
      <c r="K3015" s="24" t="s">
        <v>177</v>
      </c>
      <c r="L3015" s="24">
        <v>103</v>
      </c>
      <c r="M3015" s="12">
        <v>1260.7007325037507</v>
      </c>
      <c r="N3015" s="12">
        <v>1260.7007325037507</v>
      </c>
      <c r="O3015" s="12">
        <v>239.53313917571268</v>
      </c>
      <c r="P3015" s="13"/>
      <c r="Q3015" s="14">
        <v>2025</v>
      </c>
      <c r="R3015" s="15">
        <v>45323</v>
      </c>
      <c r="S3015" s="11" t="s">
        <v>448</v>
      </c>
      <c r="T3015" s="16">
        <v>0</v>
      </c>
      <c r="U3015" s="17"/>
      <c r="V3015" s="12">
        <v>546.45073250375071</v>
      </c>
      <c r="W3015" s="12">
        <v>546.45073250375071</v>
      </c>
      <c r="X3015" s="12">
        <v>0</v>
      </c>
      <c r="Y3015" s="18">
        <v>45705</v>
      </c>
      <c r="Z3015" s="13" t="s">
        <v>516</v>
      </c>
      <c r="AA3015" s="19" t="str">
        <f>VLOOKUP(D3015,Clientes!$A$2:$J$486,9,FALSE)</f>
        <v>Frecuente</v>
      </c>
      <c r="AB3015" s="13" t="str">
        <f>VLOOKUP(D3015,Clientes!$A$2:$K$486,11,FALSE)</f>
        <v>Persona Natural</v>
      </c>
      <c r="AC3015" s="13" t="str">
        <f>VLOOKUP(D3015,Clientes!$A$2:$B$486,2,FALSE)</f>
        <v>Curso Amalia</v>
      </c>
      <c r="AD3015" s="20"/>
      <c r="AE3015" s="20"/>
      <c r="AF3015" s="13" t="s">
        <v>40</v>
      </c>
      <c r="AG3015" s="15">
        <v>45323</v>
      </c>
      <c r="AH3015" s="13" t="s">
        <v>41</v>
      </c>
      <c r="AI3015" s="13" t="s">
        <v>76</v>
      </c>
      <c r="AJ3015" s="13" t="str">
        <f>VLOOKUP(E3015,Precios!Z$2:AA$941,2,FALSE)</f>
        <v>Cloro GEL EXCELL 900ml</v>
      </c>
      <c r="AK3015" s="14">
        <f>VLOOKUP(E3015,Precios!Z$2:BB$941,3,FALSE)*F3015</f>
        <v>-1</v>
      </c>
      <c r="AL3015" s="17"/>
      <c r="AM3015" s="17"/>
      <c r="AN3015" s="17"/>
      <c r="AO3015" s="17"/>
      <c r="AP3015" s="17"/>
      <c r="AQ3015" s="17"/>
      <c r="AR3015" s="17"/>
      <c r="AS3015" s="17"/>
      <c r="AT3015" s="17"/>
      <c r="AU3015" s="17"/>
      <c r="AV3015" s="17"/>
    </row>
    <row r="3016" spans="1:48" ht="15.75" customHeight="1">
      <c r="A3016" s="21" t="s">
        <v>76</v>
      </c>
      <c r="B3016" s="23" t="s">
        <v>1692</v>
      </c>
      <c r="C3016" s="25">
        <v>45706</v>
      </c>
      <c r="D3016" s="23" t="s">
        <v>142</v>
      </c>
      <c r="E3016" s="23" t="s">
        <v>82</v>
      </c>
      <c r="F3016" s="14">
        <v>1</v>
      </c>
      <c r="G3016" s="12">
        <v>2000.0000000000002</v>
      </c>
      <c r="H3016" s="12">
        <v>2000.0000000000002</v>
      </c>
      <c r="I3016" s="23" t="s">
        <v>52</v>
      </c>
      <c r="J3016" s="23" t="s">
        <v>61</v>
      </c>
      <c r="K3016" s="24" t="s">
        <v>177</v>
      </c>
      <c r="L3016" s="24">
        <v>103</v>
      </c>
      <c r="M3016" s="12">
        <v>1680.6722689075632</v>
      </c>
      <c r="N3016" s="12">
        <v>1680.6722689075632</v>
      </c>
      <c r="O3016" s="12">
        <v>319.32773109243703</v>
      </c>
      <c r="P3016" s="13"/>
      <c r="Q3016" s="14">
        <v>2025</v>
      </c>
      <c r="R3016" s="15">
        <v>45323</v>
      </c>
      <c r="S3016" s="11" t="s">
        <v>463</v>
      </c>
      <c r="T3016" s="16">
        <v>5</v>
      </c>
      <c r="U3016" s="17"/>
      <c r="V3016" s="12">
        <v>680.67226890756319</v>
      </c>
      <c r="W3016" s="12">
        <v>680.67226890756319</v>
      </c>
      <c r="X3016" s="12">
        <v>0</v>
      </c>
      <c r="Y3016" s="18">
        <v>45705</v>
      </c>
      <c r="Z3016" s="13" t="s">
        <v>516</v>
      </c>
      <c r="AA3016" s="19" t="str">
        <f>VLOOKUP(D3016,Clientes!$A$2:$J$486,9,FALSE)</f>
        <v>Frecuente</v>
      </c>
      <c r="AB3016" s="13" t="str">
        <f>VLOOKUP(D3016,Clientes!$A$2:$K$486,11,FALSE)</f>
        <v>Persona Natural</v>
      </c>
      <c r="AC3016" s="13" t="str">
        <f>VLOOKUP(D3016,Clientes!$A$2:$B$486,2,FALSE)</f>
        <v>Curso Amalia</v>
      </c>
      <c r="AD3016" s="20"/>
      <c r="AE3016" s="20"/>
      <c r="AF3016" s="13" t="s">
        <v>40</v>
      </c>
      <c r="AG3016" s="15">
        <v>45323</v>
      </c>
      <c r="AH3016" s="13" t="s">
        <v>41</v>
      </c>
      <c r="AI3016" s="13" t="s">
        <v>76</v>
      </c>
      <c r="AJ3016" s="13" t="str">
        <f>VLOOKUP(E3016,Precios!Z$2:AA$941,2,FALSE)</f>
        <v>Limpiapiso SPUM 5 Litros</v>
      </c>
      <c r="AK3016" s="14">
        <f>VLOOKUP(E3016,Precios!Z$2:BB$941,3,FALSE)*F3016</f>
        <v>-1</v>
      </c>
      <c r="AL3016" s="17"/>
      <c r="AM3016" s="17"/>
      <c r="AN3016" s="17"/>
      <c r="AO3016" s="17"/>
      <c r="AP3016" s="17"/>
      <c r="AQ3016" s="17"/>
      <c r="AR3016" s="17"/>
      <c r="AS3016" s="17"/>
      <c r="AT3016" s="17"/>
      <c r="AU3016" s="17"/>
      <c r="AV3016" s="17"/>
    </row>
    <row r="3017" spans="1:48" ht="15.75" customHeight="1">
      <c r="A3017" s="21" t="s">
        <v>35</v>
      </c>
      <c r="B3017" s="23" t="s">
        <v>1692</v>
      </c>
      <c r="C3017" s="25">
        <v>45706</v>
      </c>
      <c r="D3017" s="23" t="s">
        <v>142</v>
      </c>
      <c r="E3017" s="23" t="s">
        <v>37</v>
      </c>
      <c r="F3017" s="21">
        <v>2</v>
      </c>
      <c r="G3017" s="12">
        <v>10500</v>
      </c>
      <c r="H3017" s="12">
        <v>21000</v>
      </c>
      <c r="I3017" s="23" t="s">
        <v>52</v>
      </c>
      <c r="J3017" s="23" t="s">
        <v>61</v>
      </c>
      <c r="K3017" s="24" t="s">
        <v>177</v>
      </c>
      <c r="L3017" s="24">
        <v>103</v>
      </c>
      <c r="M3017" s="12">
        <v>8823.5294117647063</v>
      </c>
      <c r="N3017" s="12">
        <v>17647.058823529413</v>
      </c>
      <c r="O3017" s="12">
        <v>3352.9411764705874</v>
      </c>
      <c r="P3017" s="13"/>
      <c r="Q3017" s="14">
        <v>2025</v>
      </c>
      <c r="R3017" s="15">
        <v>45323</v>
      </c>
      <c r="S3017" s="11" t="s">
        <v>364</v>
      </c>
      <c r="T3017" s="16">
        <v>2000</v>
      </c>
      <c r="U3017" s="17"/>
      <c r="V3017" s="12">
        <v>4771.4285714285706</v>
      </c>
      <c r="W3017" s="12">
        <v>4771.4285714285706</v>
      </c>
      <c r="X3017" s="12">
        <v>0</v>
      </c>
      <c r="Y3017" s="18">
        <v>45705</v>
      </c>
      <c r="Z3017" s="13" t="s">
        <v>516</v>
      </c>
      <c r="AA3017" s="19" t="str">
        <f>VLOOKUP(D3017,Clientes!$A$2:$J$486,9,FALSE)</f>
        <v>Frecuente</v>
      </c>
      <c r="AB3017" s="13" t="str">
        <f>VLOOKUP(D3017,Clientes!$A$2:$K$486,11,FALSE)</f>
        <v>Persona Natural</v>
      </c>
      <c r="AC3017" s="13" t="str">
        <f>VLOOKUP(D3017,Clientes!$A$2:$B$486,2,FALSE)</f>
        <v>Curso Amalia</v>
      </c>
      <c r="AD3017" s="20"/>
      <c r="AE3017" s="20"/>
      <c r="AF3017" s="13" t="s">
        <v>40</v>
      </c>
      <c r="AG3017" s="15">
        <v>45323</v>
      </c>
      <c r="AH3017" s="13" t="s">
        <v>41</v>
      </c>
      <c r="AI3017" s="13" t="s">
        <v>35</v>
      </c>
      <c r="AJ3017" s="13" t="str">
        <f>VLOOKUP(E3017,Precios!Z$2:AA$941,2,FALSE)</f>
        <v>Queso RUNCA Mantecoso</v>
      </c>
      <c r="AK3017" s="14">
        <f>VLOOKUP(E3017,Precios!Z$2:BB$941,3,FALSE)*F3017</f>
        <v>-2</v>
      </c>
      <c r="AL3017" s="17"/>
      <c r="AM3017" s="17"/>
      <c r="AN3017" s="17"/>
      <c r="AO3017" s="17"/>
      <c r="AP3017" s="17"/>
      <c r="AQ3017" s="17"/>
      <c r="AR3017" s="17"/>
      <c r="AS3017" s="17"/>
      <c r="AT3017" s="17"/>
      <c r="AU3017" s="17"/>
      <c r="AV3017" s="17"/>
    </row>
    <row r="3018" spans="1:48" ht="15.75" customHeight="1">
      <c r="A3018" s="21" t="s">
        <v>56</v>
      </c>
      <c r="B3018" s="23" t="s">
        <v>1692</v>
      </c>
      <c r="C3018" s="25">
        <v>45706</v>
      </c>
      <c r="D3018" s="23" t="s">
        <v>116</v>
      </c>
      <c r="E3018" s="23" t="s">
        <v>190</v>
      </c>
      <c r="F3018" s="14">
        <v>1</v>
      </c>
      <c r="G3018" s="12">
        <v>2500</v>
      </c>
      <c r="H3018" s="12">
        <v>2500</v>
      </c>
      <c r="I3018" s="23" t="s">
        <v>52</v>
      </c>
      <c r="J3018" s="23" t="s">
        <v>61</v>
      </c>
      <c r="K3018" s="24" t="s">
        <v>177</v>
      </c>
      <c r="L3018" s="24">
        <v>103</v>
      </c>
      <c r="M3018" s="12">
        <v>2100.840336134454</v>
      </c>
      <c r="N3018" s="12">
        <v>2100.840336134454</v>
      </c>
      <c r="O3018" s="12">
        <v>399.15966386554601</v>
      </c>
      <c r="P3018" s="13"/>
      <c r="Q3018" s="14">
        <v>2025</v>
      </c>
      <c r="R3018" s="15">
        <v>45323</v>
      </c>
      <c r="S3018" s="11" t="s">
        <v>492</v>
      </c>
      <c r="T3018" s="16">
        <v>200</v>
      </c>
      <c r="U3018" s="17"/>
      <c r="V3018" s="12">
        <v>631.93277310924373</v>
      </c>
      <c r="W3018" s="12">
        <v>631.93277310924373</v>
      </c>
      <c r="X3018" s="12">
        <v>0</v>
      </c>
      <c r="Y3018" s="18">
        <v>45705</v>
      </c>
      <c r="Z3018" s="13" t="s">
        <v>516</v>
      </c>
      <c r="AA3018" s="19" t="str">
        <f>VLOOKUP(D3018,Clientes!$A$2:$J$486,9,FALSE)</f>
        <v>Ocacional</v>
      </c>
      <c r="AB3018" s="13" t="str">
        <f>VLOOKUP(D3018,Clientes!$A$2:$K$486,11,FALSE)</f>
        <v>Persona Natural</v>
      </c>
      <c r="AC3018" s="13">
        <f>VLOOKUP(D3018,Clientes!$A$2:$B$486,2,FALSE)</f>
        <v>0</v>
      </c>
      <c r="AD3018" s="20"/>
      <c r="AE3018" s="20"/>
      <c r="AF3018" s="13" t="s">
        <v>40</v>
      </c>
      <c r="AG3018" s="15">
        <v>45323</v>
      </c>
      <c r="AH3018" s="13" t="s">
        <v>41</v>
      </c>
      <c r="AI3018" s="13" t="s">
        <v>56</v>
      </c>
      <c r="AJ3018" s="13" t="str">
        <f>VLOOKUP(E3018,Precios!Z$2:AA$941,2,FALSE)</f>
        <v>Mantequilla RUMAY</v>
      </c>
      <c r="AK3018" s="14">
        <f>VLOOKUP(E3018,Precios!Z$2:BB$941,3,FALSE)*F3018</f>
        <v>-1</v>
      </c>
      <c r="AL3018" s="17"/>
      <c r="AM3018" s="17"/>
      <c r="AN3018" s="17"/>
      <c r="AO3018" s="17"/>
      <c r="AP3018" s="17"/>
      <c r="AQ3018" s="17"/>
      <c r="AR3018" s="17"/>
      <c r="AS3018" s="17"/>
      <c r="AT3018" s="17"/>
      <c r="AU3018" s="17"/>
      <c r="AV3018" s="17"/>
    </row>
    <row r="3019" spans="1:48" ht="15.75" customHeight="1">
      <c r="A3019" s="21" t="s">
        <v>43</v>
      </c>
      <c r="B3019" s="23" t="s">
        <v>1692</v>
      </c>
      <c r="C3019" s="22">
        <v>45706</v>
      </c>
      <c r="D3019" s="23" t="s">
        <v>742</v>
      </c>
      <c r="E3019" s="23" t="s">
        <v>45</v>
      </c>
      <c r="F3019" s="14">
        <v>1</v>
      </c>
      <c r="G3019" s="12">
        <v>6900.1306988544629</v>
      </c>
      <c r="H3019" s="12">
        <v>6900.1306988544629</v>
      </c>
      <c r="I3019" s="23" t="s">
        <v>52</v>
      </c>
      <c r="J3019" s="23" t="s">
        <v>61</v>
      </c>
      <c r="K3019" s="24" t="s">
        <v>177</v>
      </c>
      <c r="L3019" s="24">
        <v>103</v>
      </c>
      <c r="M3019" s="12">
        <v>5798.4291587012294</v>
      </c>
      <c r="N3019" s="12">
        <v>5798.4291587012294</v>
      </c>
      <c r="O3019" s="12">
        <v>1101.7015401532335</v>
      </c>
      <c r="P3019" s="13"/>
      <c r="Q3019" s="14">
        <v>2025</v>
      </c>
      <c r="R3019" s="15">
        <v>45323</v>
      </c>
      <c r="S3019" s="11" t="s">
        <v>355</v>
      </c>
      <c r="T3019" s="16">
        <v>0</v>
      </c>
      <c r="U3019" s="17"/>
      <c r="V3019" s="12">
        <v>1273.219074667616</v>
      </c>
      <c r="W3019" s="12">
        <v>1273.219074667616</v>
      </c>
      <c r="X3019" s="12">
        <v>0</v>
      </c>
      <c r="Y3019" s="18">
        <v>45705</v>
      </c>
      <c r="Z3019" s="13" t="s">
        <v>516</v>
      </c>
      <c r="AA3019" s="19" t="str">
        <f>VLOOKUP(D3019,Clientes!$A$2:$J$486,9,FALSE)</f>
        <v>Ocacional</v>
      </c>
      <c r="AB3019" s="13" t="str">
        <f>VLOOKUP(D3019,Clientes!$A$2:$K$486,11,FALSE)</f>
        <v>Persona Natural</v>
      </c>
      <c r="AC3019" s="13" t="str">
        <f>VLOOKUP(D3019,Clientes!$A$2:$B$486,2,FALSE)</f>
        <v>Jardin del eden</v>
      </c>
      <c r="AD3019" s="20"/>
      <c r="AE3019" s="20"/>
      <c r="AF3019" s="13" t="s">
        <v>40</v>
      </c>
      <c r="AG3019" s="15">
        <v>45323</v>
      </c>
      <c r="AH3019" s="13" t="s">
        <v>41</v>
      </c>
      <c r="AI3019" s="13" t="s">
        <v>43</v>
      </c>
      <c r="AJ3019" s="13" t="str">
        <f>VLOOKUP(E3019,Precios!Z$2:AA$941,2,FALSE)</f>
        <v>Bandeja Huevos EXTRA</v>
      </c>
      <c r="AK3019" s="14">
        <f>VLOOKUP(E3019,Precios!Z$2:BB$941,3,FALSE)*F3019</f>
        <v>-1</v>
      </c>
      <c r="AL3019" s="17"/>
      <c r="AM3019" s="17"/>
      <c r="AN3019" s="17"/>
      <c r="AO3019" s="17"/>
      <c r="AP3019" s="17"/>
      <c r="AQ3019" s="17"/>
      <c r="AR3019" s="17"/>
      <c r="AS3019" s="17"/>
      <c r="AT3019" s="17"/>
      <c r="AU3019" s="17"/>
      <c r="AV3019" s="17"/>
    </row>
    <row r="3020" spans="1:48" ht="15.75" customHeight="1">
      <c r="A3020" s="21" t="s">
        <v>56</v>
      </c>
      <c r="B3020" s="23" t="s">
        <v>1692</v>
      </c>
      <c r="C3020" s="22">
        <v>45706</v>
      </c>
      <c r="D3020" s="23" t="s">
        <v>915</v>
      </c>
      <c r="E3020" s="23" t="s">
        <v>62</v>
      </c>
      <c r="F3020" s="14">
        <v>1</v>
      </c>
      <c r="G3020" s="12">
        <v>3700</v>
      </c>
      <c r="H3020" s="34">
        <v>3700</v>
      </c>
      <c r="I3020" s="23" t="s">
        <v>52</v>
      </c>
      <c r="J3020" s="23" t="s">
        <v>61</v>
      </c>
      <c r="K3020" s="24" t="s">
        <v>177</v>
      </c>
      <c r="L3020" s="24">
        <v>103</v>
      </c>
      <c r="M3020" s="12">
        <v>3109.2436974789916</v>
      </c>
      <c r="N3020" s="12">
        <v>3109.2436974789916</v>
      </c>
      <c r="O3020" s="12">
        <v>590.75630252100837</v>
      </c>
      <c r="P3020" s="13"/>
      <c r="Q3020" s="14">
        <v>2025</v>
      </c>
      <c r="R3020" s="15">
        <v>45323</v>
      </c>
      <c r="S3020" s="11" t="s">
        <v>429</v>
      </c>
      <c r="T3020" s="16">
        <v>200</v>
      </c>
      <c r="U3020" s="17"/>
      <c r="V3020" s="12">
        <v>1199.159663865546</v>
      </c>
      <c r="W3020" s="12">
        <v>1199.159663865546</v>
      </c>
      <c r="X3020" s="12">
        <v>0</v>
      </c>
      <c r="Y3020" s="18">
        <v>45705</v>
      </c>
      <c r="Z3020" s="13" t="s">
        <v>516</v>
      </c>
      <c r="AA3020" s="19" t="str">
        <f>VLOOKUP(D3020,Clientes!$A$2:$J$486,9,FALSE)</f>
        <v>Regular</v>
      </c>
      <c r="AB3020" s="13" t="str">
        <f>VLOOKUP(D3020,Clientes!$A$2:$K$486,11,FALSE)</f>
        <v>Persona Natural</v>
      </c>
      <c r="AC3020" s="13" t="str">
        <f>VLOOKUP(D3020,Clientes!$A$2:$B$486,2,FALSE)</f>
        <v>Jardin del Eden</v>
      </c>
      <c r="AD3020" s="20"/>
      <c r="AE3020" s="20"/>
      <c r="AF3020" s="13" t="s">
        <v>40</v>
      </c>
      <c r="AG3020" s="15">
        <v>45323</v>
      </c>
      <c r="AH3020" s="13" t="s">
        <v>41</v>
      </c>
      <c r="AI3020" s="13" t="s">
        <v>56</v>
      </c>
      <c r="AJ3020" s="13" t="str">
        <f>VLOOKUP(E3020,Precios!Z$2:AA$941,2,FALSE)</f>
        <v>Queso Sabores</v>
      </c>
      <c r="AK3020" s="14">
        <f>VLOOKUP(E3020,Precios!Z$2:BB$941,3,FALSE)*F3020</f>
        <v>-1</v>
      </c>
      <c r="AL3020" s="17"/>
      <c r="AM3020" s="17"/>
      <c r="AN3020" s="17"/>
      <c r="AO3020" s="17"/>
      <c r="AP3020" s="17"/>
      <c r="AQ3020" s="17"/>
      <c r="AR3020" s="17"/>
      <c r="AS3020" s="17"/>
      <c r="AT3020" s="17"/>
      <c r="AU3020" s="17"/>
      <c r="AV3020" s="17"/>
    </row>
    <row r="3021" spans="1:48" ht="15.75" customHeight="1">
      <c r="A3021" s="21" t="s">
        <v>147</v>
      </c>
      <c r="B3021" s="23" t="s">
        <v>1692</v>
      </c>
      <c r="C3021" s="22">
        <v>45705</v>
      </c>
      <c r="D3021" s="23" t="s">
        <v>653</v>
      </c>
      <c r="E3021" s="23" t="s">
        <v>149</v>
      </c>
      <c r="F3021" s="14">
        <v>1</v>
      </c>
      <c r="G3021" s="12">
        <v>1700</v>
      </c>
      <c r="H3021" s="12">
        <v>1700</v>
      </c>
      <c r="I3021" s="23" t="s">
        <v>52</v>
      </c>
      <c r="J3021" s="23" t="s">
        <v>61</v>
      </c>
      <c r="K3021" s="24" t="s">
        <v>177</v>
      </c>
      <c r="L3021" s="24">
        <v>103</v>
      </c>
      <c r="M3021" s="12">
        <v>1428.5714285714287</v>
      </c>
      <c r="N3021" s="12">
        <v>1428.5714285714287</v>
      </c>
      <c r="O3021" s="12">
        <v>271.42857142857133</v>
      </c>
      <c r="P3021" s="13"/>
      <c r="Q3021" s="14">
        <v>2025</v>
      </c>
      <c r="R3021" s="15">
        <v>45323</v>
      </c>
      <c r="S3021" s="11" t="s">
        <v>412</v>
      </c>
      <c r="T3021" s="16">
        <v>0</v>
      </c>
      <c r="U3021" s="17"/>
      <c r="V3021" s="12">
        <v>774.78991596638662</v>
      </c>
      <c r="W3021" s="12">
        <v>774.78991596638662</v>
      </c>
      <c r="X3021" s="12">
        <v>0</v>
      </c>
      <c r="Y3021" s="18">
        <v>45705</v>
      </c>
      <c r="Z3021" s="13" t="s">
        <v>523</v>
      </c>
      <c r="AA3021" s="19" t="str">
        <f>VLOOKUP(D3021,Clientes!$A$2:$J$486,9,FALSE)</f>
        <v>Ocacional</v>
      </c>
      <c r="AB3021" s="13" t="str">
        <f>VLOOKUP(D3021,Clientes!$A$2:$K$486,11,FALSE)</f>
        <v>Persona Natural</v>
      </c>
      <c r="AC3021" s="13" t="str">
        <f>VLOOKUP(D3021,Clientes!$A$2:$B$486,2,FALSE)</f>
        <v>Cumbres de la Viña</v>
      </c>
      <c r="AD3021" s="20"/>
      <c r="AE3021" s="20"/>
      <c r="AF3021" s="13" t="s">
        <v>40</v>
      </c>
      <c r="AG3021" s="15">
        <v>45323</v>
      </c>
      <c r="AH3021" s="13" t="s">
        <v>41</v>
      </c>
      <c r="AI3021" s="13" t="s">
        <v>147</v>
      </c>
      <c r="AJ3021" s="13" t="str">
        <f>VLOOKUP(E3021,Precios!Z$2:AA$941,2,FALSE)</f>
        <v>Film Plástico 30 metros</v>
      </c>
      <c r="AK3021" s="14">
        <f>VLOOKUP(E3021,Precios!Z$2:BB$941,3,FALSE)*F3021</f>
        <v>-1</v>
      </c>
      <c r="AL3021" s="17"/>
      <c r="AM3021" s="17"/>
      <c r="AN3021" s="17"/>
      <c r="AO3021" s="17"/>
      <c r="AP3021" s="17"/>
      <c r="AQ3021" s="17"/>
      <c r="AR3021" s="17"/>
      <c r="AS3021" s="17"/>
      <c r="AT3021" s="17"/>
      <c r="AU3021" s="17"/>
      <c r="AV3021" s="17"/>
    </row>
    <row r="3022" spans="1:48" ht="15.75" customHeight="1">
      <c r="A3022" s="21" t="s">
        <v>43</v>
      </c>
      <c r="B3022" s="23" t="s">
        <v>1692</v>
      </c>
      <c r="C3022" s="22">
        <v>45705</v>
      </c>
      <c r="D3022" s="23" t="s">
        <v>653</v>
      </c>
      <c r="E3022" s="23" t="s">
        <v>45</v>
      </c>
      <c r="F3022" s="14">
        <v>1</v>
      </c>
      <c r="G3022" s="12">
        <v>7499.8368883312432</v>
      </c>
      <c r="H3022" s="12">
        <v>7499.8368883312432</v>
      </c>
      <c r="I3022" s="23" t="s">
        <v>52</v>
      </c>
      <c r="J3022" s="23" t="s">
        <v>61</v>
      </c>
      <c r="K3022" s="24" t="s">
        <v>177</v>
      </c>
      <c r="L3022" s="24">
        <v>103</v>
      </c>
      <c r="M3022" s="12">
        <v>6302.383939774154</v>
      </c>
      <c r="N3022" s="12">
        <v>6302.383939774154</v>
      </c>
      <c r="O3022" s="12">
        <v>1197.4529485570893</v>
      </c>
      <c r="P3022" s="13"/>
      <c r="Q3022" s="14">
        <v>2025</v>
      </c>
      <c r="R3022" s="15">
        <v>45323</v>
      </c>
      <c r="S3022" s="11" t="s">
        <v>355</v>
      </c>
      <c r="T3022" s="16">
        <v>0</v>
      </c>
      <c r="U3022" s="17"/>
      <c r="V3022" s="12">
        <v>1279.383939774154</v>
      </c>
      <c r="W3022" s="12">
        <v>1279.383939774154</v>
      </c>
      <c r="X3022" s="12">
        <v>0</v>
      </c>
      <c r="Y3022" s="18">
        <v>45705</v>
      </c>
      <c r="Z3022" s="13" t="s">
        <v>523</v>
      </c>
      <c r="AA3022" s="19" t="str">
        <f>VLOOKUP(D3022,Clientes!$A$2:$J$486,9,FALSE)</f>
        <v>Ocacional</v>
      </c>
      <c r="AB3022" s="13" t="str">
        <f>VLOOKUP(D3022,Clientes!$A$2:$K$486,11,FALSE)</f>
        <v>Persona Natural</v>
      </c>
      <c r="AC3022" s="13" t="str">
        <f>VLOOKUP(D3022,Clientes!$A$2:$B$486,2,FALSE)</f>
        <v>Cumbres de la Viña</v>
      </c>
      <c r="AD3022" s="20"/>
      <c r="AE3022" s="20"/>
      <c r="AF3022" s="13" t="s">
        <v>40</v>
      </c>
      <c r="AG3022" s="15">
        <v>45323</v>
      </c>
      <c r="AH3022" s="13" t="s">
        <v>41</v>
      </c>
      <c r="AI3022" s="13" t="s">
        <v>43</v>
      </c>
      <c r="AJ3022" s="13" t="str">
        <f>VLOOKUP(E3022,Precios!Z$2:AA$941,2,FALSE)</f>
        <v>Bandeja Huevos EXTRA</v>
      </c>
      <c r="AK3022" s="14">
        <f>VLOOKUP(E3022,Precios!Z$2:BB$941,3,FALSE)*F3022</f>
        <v>-1</v>
      </c>
      <c r="AL3022" s="17"/>
      <c r="AM3022" s="17"/>
      <c r="AN3022" s="17"/>
      <c r="AO3022" s="17"/>
      <c r="AP3022" s="17"/>
      <c r="AQ3022" s="17"/>
      <c r="AR3022" s="17"/>
      <c r="AS3022" s="17"/>
      <c r="AT3022" s="17"/>
      <c r="AU3022" s="17"/>
      <c r="AV3022" s="17"/>
    </row>
    <row r="3023" spans="1:48" ht="15.75" customHeight="1">
      <c r="A3023" s="21" t="s">
        <v>76</v>
      </c>
      <c r="B3023" s="23" t="s">
        <v>1692</v>
      </c>
      <c r="C3023" s="22">
        <v>45705</v>
      </c>
      <c r="D3023" s="23" t="s">
        <v>184</v>
      </c>
      <c r="E3023" s="23" t="s">
        <v>349</v>
      </c>
      <c r="F3023" s="14">
        <v>1</v>
      </c>
      <c r="G3023" s="12">
        <v>3999.8127946357149</v>
      </c>
      <c r="H3023" s="12">
        <v>3999.8127946357149</v>
      </c>
      <c r="I3023" s="23" t="s">
        <v>52</v>
      </c>
      <c r="J3023" s="23" t="s">
        <v>61</v>
      </c>
      <c r="K3023" s="24" t="s">
        <v>177</v>
      </c>
      <c r="L3023" s="24">
        <v>103</v>
      </c>
      <c r="M3023" s="12">
        <v>3361.1872223829537</v>
      </c>
      <c r="N3023" s="12">
        <v>3361.1872223829537</v>
      </c>
      <c r="O3023" s="12">
        <v>638.62557225276123</v>
      </c>
      <c r="P3023" s="13"/>
      <c r="Q3023" s="14">
        <v>2025</v>
      </c>
      <c r="R3023" s="15">
        <v>45323</v>
      </c>
      <c r="S3023" s="11" t="s">
        <v>550</v>
      </c>
      <c r="T3023" s="16">
        <v>5</v>
      </c>
      <c r="U3023" s="17"/>
      <c r="V3023" s="12">
        <v>1386.1872223829537</v>
      </c>
      <c r="W3023" s="12">
        <v>1386.1872223829537</v>
      </c>
      <c r="X3023" s="12">
        <v>0</v>
      </c>
      <c r="Y3023" s="18">
        <v>45705</v>
      </c>
      <c r="Z3023" s="13" t="s">
        <v>523</v>
      </c>
      <c r="AA3023" s="19" t="str">
        <f>VLOOKUP(D3023,Clientes!$A$2:$J$486,9,FALSE)</f>
        <v>Frecuente</v>
      </c>
      <c r="AB3023" s="13" t="str">
        <f>VLOOKUP(D3023,Clientes!$A$2:$K$486,11,FALSE)</f>
        <v>Persona Natural</v>
      </c>
      <c r="AC3023" s="13" t="str">
        <f>VLOOKUP(D3023,Clientes!$A$2:$B$486,2,FALSE)</f>
        <v>Jardin del Eden</v>
      </c>
      <c r="AD3023" s="20"/>
      <c r="AE3023" s="20"/>
      <c r="AF3023" s="13" t="s">
        <v>40</v>
      </c>
      <c r="AG3023" s="15">
        <v>45323</v>
      </c>
      <c r="AH3023" s="13" t="s">
        <v>41</v>
      </c>
      <c r="AI3023" s="13" t="s">
        <v>76</v>
      </c>
      <c r="AJ3023" s="13" t="str">
        <f>VLOOKUP(E3023,Precios!Z$2:AA$941,2,FALSE)</f>
        <v>Antigrasa SPUM 5 Litros</v>
      </c>
      <c r="AK3023" s="14">
        <f>VLOOKUP(E3023,Precios!Z$2:BB$941,3,FALSE)*F3023</f>
        <v>-1</v>
      </c>
      <c r="AL3023" s="17"/>
      <c r="AM3023" s="17"/>
      <c r="AN3023" s="17"/>
      <c r="AO3023" s="17"/>
      <c r="AP3023" s="17"/>
      <c r="AQ3023" s="17"/>
      <c r="AR3023" s="17"/>
      <c r="AS3023" s="17"/>
      <c r="AT3023" s="17"/>
      <c r="AU3023" s="17"/>
      <c r="AV3023" s="17"/>
    </row>
    <row r="3024" spans="1:48" ht="15.75" customHeight="1">
      <c r="A3024" s="21" t="s">
        <v>43</v>
      </c>
      <c r="B3024" s="23" t="s">
        <v>1692</v>
      </c>
      <c r="C3024" s="22">
        <v>45705</v>
      </c>
      <c r="D3024" s="23" t="s">
        <v>184</v>
      </c>
      <c r="E3024" s="23" t="s">
        <v>45</v>
      </c>
      <c r="F3024" s="14">
        <v>1</v>
      </c>
      <c r="G3024" s="12">
        <v>6900.1306988544629</v>
      </c>
      <c r="H3024" s="12">
        <v>6900.1306988544629</v>
      </c>
      <c r="I3024" s="23" t="s">
        <v>52</v>
      </c>
      <c r="J3024" s="23" t="s">
        <v>61</v>
      </c>
      <c r="K3024" s="24" t="s">
        <v>177</v>
      </c>
      <c r="L3024" s="24">
        <v>103</v>
      </c>
      <c r="M3024" s="12">
        <v>5798.4291587012294</v>
      </c>
      <c r="N3024" s="12">
        <v>5798.4291587012294</v>
      </c>
      <c r="O3024" s="12">
        <v>1101.7015401532335</v>
      </c>
      <c r="P3024" s="13"/>
      <c r="Q3024" s="14">
        <v>2025</v>
      </c>
      <c r="R3024" s="15">
        <v>45323</v>
      </c>
      <c r="S3024" s="11" t="s">
        <v>355</v>
      </c>
      <c r="T3024" s="16">
        <v>0</v>
      </c>
      <c r="U3024" s="17"/>
      <c r="V3024" s="12">
        <v>1273.219074667616</v>
      </c>
      <c r="W3024" s="12">
        <v>1273.219074667616</v>
      </c>
      <c r="X3024" s="12">
        <v>0</v>
      </c>
      <c r="Y3024" s="18">
        <v>45705</v>
      </c>
      <c r="Z3024" s="13" t="s">
        <v>523</v>
      </c>
      <c r="AA3024" s="19" t="str">
        <f>VLOOKUP(D3024,Clientes!$A$2:$J$486,9,FALSE)</f>
        <v>Frecuente</v>
      </c>
      <c r="AB3024" s="13" t="str">
        <f>VLOOKUP(D3024,Clientes!$A$2:$K$486,11,FALSE)</f>
        <v>Persona Natural</v>
      </c>
      <c r="AC3024" s="13" t="str">
        <f>VLOOKUP(D3024,Clientes!$A$2:$B$486,2,FALSE)</f>
        <v>Jardin del Eden</v>
      </c>
      <c r="AD3024" s="20"/>
      <c r="AE3024" s="20"/>
      <c r="AF3024" s="13" t="s">
        <v>40</v>
      </c>
      <c r="AG3024" s="15">
        <v>45323</v>
      </c>
      <c r="AH3024" s="13" t="s">
        <v>41</v>
      </c>
      <c r="AI3024" s="13" t="s">
        <v>43</v>
      </c>
      <c r="AJ3024" s="13" t="str">
        <f>VLOOKUP(E3024,Precios!Z$2:AA$941,2,FALSE)</f>
        <v>Bandeja Huevos EXTRA</v>
      </c>
      <c r="AK3024" s="14">
        <f>VLOOKUP(E3024,Precios!Z$2:BB$941,3,FALSE)*F3024</f>
        <v>-1</v>
      </c>
      <c r="AL3024" s="17"/>
      <c r="AM3024" s="17"/>
      <c r="AN3024" s="17"/>
      <c r="AO3024" s="17"/>
      <c r="AP3024" s="17"/>
      <c r="AQ3024" s="17"/>
      <c r="AR3024" s="17"/>
      <c r="AS3024" s="17"/>
      <c r="AT3024" s="17"/>
      <c r="AU3024" s="17"/>
      <c r="AV3024" s="17"/>
    </row>
    <row r="3025" spans="1:48" ht="15.75" customHeight="1">
      <c r="A3025" s="21" t="s">
        <v>76</v>
      </c>
      <c r="B3025" s="23" t="s">
        <v>1692</v>
      </c>
      <c r="C3025" s="22">
        <v>45705</v>
      </c>
      <c r="D3025" s="23" t="s">
        <v>80</v>
      </c>
      <c r="E3025" s="23" t="s">
        <v>81</v>
      </c>
      <c r="F3025" s="14">
        <v>1</v>
      </c>
      <c r="G3025" s="12">
        <v>3500.0000000000005</v>
      </c>
      <c r="H3025" s="12">
        <v>3500.0000000000005</v>
      </c>
      <c r="I3025" s="23" t="s">
        <v>52</v>
      </c>
      <c r="J3025" s="23" t="s">
        <v>61</v>
      </c>
      <c r="K3025" s="24" t="s">
        <v>177</v>
      </c>
      <c r="L3025" s="24">
        <v>103</v>
      </c>
      <c r="M3025" s="12">
        <v>2941.1764705882356</v>
      </c>
      <c r="N3025" s="12">
        <v>2941.1764705882356</v>
      </c>
      <c r="O3025" s="12">
        <v>558.82352941176487</v>
      </c>
      <c r="P3025" s="13"/>
      <c r="Q3025" s="14">
        <v>2025</v>
      </c>
      <c r="R3025" s="15">
        <v>45323</v>
      </c>
      <c r="S3025" s="11" t="s">
        <v>397</v>
      </c>
      <c r="T3025" s="16">
        <v>5</v>
      </c>
      <c r="U3025" s="17"/>
      <c r="V3025" s="12">
        <v>764.70588235294144</v>
      </c>
      <c r="W3025" s="12">
        <v>764.70588235294144</v>
      </c>
      <c r="X3025" s="12">
        <v>0</v>
      </c>
      <c r="Y3025" s="18">
        <v>45705</v>
      </c>
      <c r="Z3025" s="13" t="s">
        <v>523</v>
      </c>
      <c r="AA3025" s="19" t="str">
        <f>VLOOKUP(D3025,Clientes!$A$2:$J$486,9,FALSE)</f>
        <v>Frecuente</v>
      </c>
      <c r="AB3025" s="13" t="str">
        <f>VLOOKUP(D3025,Clientes!$A$2:$K$486,11,FALSE)</f>
        <v>Persona Natural</v>
      </c>
      <c r="AC3025" s="13" t="str">
        <f>VLOOKUP(D3025,Clientes!$A$2:$B$486,2,FALSE)</f>
        <v>Jardines de la Viña</v>
      </c>
      <c r="AD3025" s="20"/>
      <c r="AE3025" s="20"/>
      <c r="AF3025" s="13" t="s">
        <v>40</v>
      </c>
      <c r="AG3025" s="15">
        <v>45323</v>
      </c>
      <c r="AH3025" s="13" t="s">
        <v>41</v>
      </c>
      <c r="AI3025" s="13" t="s">
        <v>76</v>
      </c>
      <c r="AJ3025" s="13" t="str">
        <f>VLOOKUP(E3025,Precios!Z$2:AA$941,2,FALSE)</f>
        <v>Detergente SPUM 5 Litros (Verde)</v>
      </c>
      <c r="AK3025" s="14">
        <f>VLOOKUP(E3025,Precios!Z$2:BB$941,3,FALSE)*F3025</f>
        <v>-1</v>
      </c>
      <c r="AL3025" s="17"/>
      <c r="AM3025" s="17"/>
      <c r="AN3025" s="17"/>
      <c r="AO3025" s="17"/>
      <c r="AP3025" s="17"/>
      <c r="AQ3025" s="17"/>
      <c r="AR3025" s="17"/>
      <c r="AS3025" s="17"/>
      <c r="AT3025" s="17"/>
      <c r="AU3025" s="17"/>
      <c r="AV3025" s="17"/>
    </row>
    <row r="3026" spans="1:48" ht="15.75" customHeight="1">
      <c r="A3026" s="21" t="s">
        <v>43</v>
      </c>
      <c r="B3026" s="23" t="s">
        <v>1692</v>
      </c>
      <c r="C3026" s="22">
        <v>45705</v>
      </c>
      <c r="D3026" s="23" t="s">
        <v>331</v>
      </c>
      <c r="E3026" s="23" t="s">
        <v>45</v>
      </c>
      <c r="F3026" s="14">
        <v>1</v>
      </c>
      <c r="G3026" s="12">
        <v>6900.1306988544629</v>
      </c>
      <c r="H3026" s="12">
        <v>6900.1306988544629</v>
      </c>
      <c r="I3026" s="23" t="s">
        <v>52</v>
      </c>
      <c r="J3026" s="23" t="s">
        <v>61</v>
      </c>
      <c r="K3026" s="24" t="s">
        <v>177</v>
      </c>
      <c r="L3026" s="24">
        <v>103</v>
      </c>
      <c r="M3026" s="12">
        <v>5798.4291587012294</v>
      </c>
      <c r="N3026" s="12">
        <v>5798.4291587012294</v>
      </c>
      <c r="O3026" s="12">
        <v>1101.7015401532335</v>
      </c>
      <c r="P3026" s="13"/>
      <c r="Q3026" s="14">
        <v>2025</v>
      </c>
      <c r="R3026" s="15">
        <v>45323</v>
      </c>
      <c r="S3026" s="11" t="s">
        <v>355</v>
      </c>
      <c r="T3026" s="16">
        <v>0</v>
      </c>
      <c r="U3026" s="17"/>
      <c r="V3026" s="12">
        <v>1273.219074667616</v>
      </c>
      <c r="W3026" s="12">
        <v>1273.219074667616</v>
      </c>
      <c r="X3026" s="12">
        <v>0</v>
      </c>
      <c r="Y3026" s="18">
        <v>45705</v>
      </c>
      <c r="Z3026" s="13" t="s">
        <v>523</v>
      </c>
      <c r="AA3026" s="19" t="str">
        <f>VLOOKUP(D3026,Clientes!$A$2:$J$486,9,FALSE)</f>
        <v>Frecuente</v>
      </c>
      <c r="AB3026" s="13" t="str">
        <f>VLOOKUP(D3026,Clientes!$A$2:$K$486,11,FALSE)</f>
        <v>Persona Natural</v>
      </c>
      <c r="AC3026" s="13" t="str">
        <f>VLOOKUP(D3026,Clientes!$A$2:$B$486,2,FALSE)</f>
        <v>Sector Palena</v>
      </c>
      <c r="AD3026" s="20"/>
      <c r="AE3026" s="20"/>
      <c r="AF3026" s="13" t="s">
        <v>40</v>
      </c>
      <c r="AG3026" s="15">
        <v>45323</v>
      </c>
      <c r="AH3026" s="13" t="s">
        <v>41</v>
      </c>
      <c r="AI3026" s="13" t="s">
        <v>43</v>
      </c>
      <c r="AJ3026" s="13" t="str">
        <f>VLOOKUP(E3026,Precios!Z$2:AA$941,2,FALSE)</f>
        <v>Bandeja Huevos EXTRA</v>
      </c>
      <c r="AK3026" s="14">
        <f>VLOOKUP(E3026,Precios!Z$2:BB$941,3,FALSE)*F3026</f>
        <v>-1</v>
      </c>
      <c r="AL3026" s="17"/>
      <c r="AM3026" s="17"/>
      <c r="AN3026" s="17"/>
      <c r="AO3026" s="17"/>
      <c r="AP3026" s="17"/>
      <c r="AQ3026" s="17"/>
      <c r="AR3026" s="17"/>
      <c r="AS3026" s="17"/>
      <c r="AT3026" s="17"/>
      <c r="AU3026" s="17"/>
      <c r="AV3026" s="17"/>
    </row>
    <row r="3027" spans="1:48" ht="15.75" customHeight="1">
      <c r="A3027" s="21" t="s">
        <v>43</v>
      </c>
      <c r="B3027" s="23" t="s">
        <v>1692</v>
      </c>
      <c r="C3027" s="22">
        <v>45705</v>
      </c>
      <c r="D3027" s="23" t="s">
        <v>507</v>
      </c>
      <c r="E3027" s="23" t="s">
        <v>45</v>
      </c>
      <c r="F3027" s="14">
        <v>1</v>
      </c>
      <c r="G3027" s="12">
        <v>6900.1306988544629</v>
      </c>
      <c r="H3027" s="12">
        <v>6900.1306988544629</v>
      </c>
      <c r="I3027" s="23" t="s">
        <v>52</v>
      </c>
      <c r="J3027" s="23" t="s">
        <v>61</v>
      </c>
      <c r="K3027" s="24" t="s">
        <v>177</v>
      </c>
      <c r="L3027" s="24">
        <v>103</v>
      </c>
      <c r="M3027" s="12">
        <v>5798.4291587012294</v>
      </c>
      <c r="N3027" s="12">
        <v>5798.4291587012294</v>
      </c>
      <c r="O3027" s="12">
        <v>1101.7015401532335</v>
      </c>
      <c r="P3027" s="13"/>
      <c r="Q3027" s="14">
        <v>2025</v>
      </c>
      <c r="R3027" s="15">
        <v>45323</v>
      </c>
      <c r="S3027" s="11" t="s">
        <v>355</v>
      </c>
      <c r="T3027" s="16">
        <v>0</v>
      </c>
      <c r="U3027" s="17"/>
      <c r="V3027" s="12">
        <v>1273.219074667616</v>
      </c>
      <c r="W3027" s="12">
        <v>1273.219074667616</v>
      </c>
      <c r="X3027" s="12">
        <v>0</v>
      </c>
      <c r="Y3027" s="18">
        <v>45705</v>
      </c>
      <c r="Z3027" s="13" t="s">
        <v>523</v>
      </c>
      <c r="AA3027" s="19" t="str">
        <f>VLOOKUP(D3027,Clientes!$A$2:$J$486,9,FALSE)</f>
        <v>Ocacional</v>
      </c>
      <c r="AB3027" s="13" t="str">
        <f>VLOOKUP(D3027,Clientes!$A$2:$K$486,11,FALSE)</f>
        <v>Persona Natural</v>
      </c>
      <c r="AC3027" s="13" t="str">
        <f>VLOOKUP(D3027,Clientes!$A$2:$B$486,2,FALSE)</f>
        <v>Jardines de la viña</v>
      </c>
      <c r="AD3027" s="20"/>
      <c r="AE3027" s="20"/>
      <c r="AF3027" s="13" t="s">
        <v>40</v>
      </c>
      <c r="AG3027" s="15">
        <v>45323</v>
      </c>
      <c r="AH3027" s="13" t="s">
        <v>41</v>
      </c>
      <c r="AI3027" s="13" t="s">
        <v>43</v>
      </c>
      <c r="AJ3027" s="13" t="str">
        <f>VLOOKUP(E3027,Precios!Z$2:AA$941,2,FALSE)</f>
        <v>Bandeja Huevos EXTRA</v>
      </c>
      <c r="AK3027" s="14">
        <f>VLOOKUP(E3027,Precios!Z$2:BB$941,3,FALSE)*F3027</f>
        <v>-1</v>
      </c>
      <c r="AL3027" s="17"/>
      <c r="AM3027" s="17"/>
      <c r="AN3027" s="17"/>
      <c r="AO3027" s="17"/>
      <c r="AP3027" s="17"/>
      <c r="AQ3027" s="17"/>
      <c r="AR3027" s="17"/>
      <c r="AS3027" s="17"/>
      <c r="AT3027" s="17"/>
      <c r="AU3027" s="17"/>
      <c r="AV3027" s="17"/>
    </row>
    <row r="3028" spans="1:48" ht="15.75" customHeight="1">
      <c r="A3028" s="21" t="s">
        <v>35</v>
      </c>
      <c r="B3028" s="23" t="s">
        <v>1692</v>
      </c>
      <c r="C3028" s="22">
        <v>45705</v>
      </c>
      <c r="D3028" s="23" t="s">
        <v>507</v>
      </c>
      <c r="E3028" s="23" t="s">
        <v>46</v>
      </c>
      <c r="F3028" s="14">
        <v>1</v>
      </c>
      <c r="G3028" s="12">
        <v>5500</v>
      </c>
      <c r="H3028" s="12">
        <v>5500</v>
      </c>
      <c r="I3028" s="23" t="s">
        <v>52</v>
      </c>
      <c r="J3028" s="23" t="s">
        <v>61</v>
      </c>
      <c r="K3028" s="24" t="s">
        <v>177</v>
      </c>
      <c r="L3028" s="24">
        <v>103</v>
      </c>
      <c r="M3028" s="12">
        <v>4621.8487394957983</v>
      </c>
      <c r="N3028" s="12">
        <v>4621.8487394957983</v>
      </c>
      <c r="O3028" s="12">
        <v>878.15126050420167</v>
      </c>
      <c r="P3028" s="13"/>
      <c r="Q3028" s="14">
        <v>2025</v>
      </c>
      <c r="R3028" s="15">
        <v>45323</v>
      </c>
      <c r="S3028" s="11" t="s">
        <v>364</v>
      </c>
      <c r="T3028" s="16">
        <v>500</v>
      </c>
      <c r="U3028" s="17"/>
      <c r="V3028" s="12">
        <v>1365.1260504201678</v>
      </c>
      <c r="W3028" s="12">
        <v>1365.1260504201678</v>
      </c>
      <c r="X3028" s="12">
        <v>0</v>
      </c>
      <c r="Y3028" s="18">
        <v>45705</v>
      </c>
      <c r="Z3028" s="13" t="s">
        <v>523</v>
      </c>
      <c r="AA3028" s="19" t="str">
        <f>VLOOKUP(D3028,Clientes!$A$2:$J$486,9,FALSE)</f>
        <v>Ocacional</v>
      </c>
      <c r="AB3028" s="13" t="str">
        <f>VLOOKUP(D3028,Clientes!$A$2:$K$486,11,FALSE)</f>
        <v>Persona Natural</v>
      </c>
      <c r="AC3028" s="13" t="str">
        <f>VLOOKUP(D3028,Clientes!$A$2:$B$486,2,FALSE)</f>
        <v>Jardines de la viña</v>
      </c>
      <c r="AD3028" s="20"/>
      <c r="AE3028" s="20"/>
      <c r="AF3028" s="13" t="s">
        <v>40</v>
      </c>
      <c r="AG3028" s="15">
        <v>45323</v>
      </c>
      <c r="AH3028" s="13" t="s">
        <v>41</v>
      </c>
      <c r="AI3028" s="13" t="s">
        <v>35</v>
      </c>
      <c r="AJ3028" s="13" t="str">
        <f>VLOOKUP(E3028,Precios!Z$2:AA$941,2,FALSE)</f>
        <v>Queso RUNCA Mantecoso</v>
      </c>
      <c r="AK3028" s="14">
        <f>VLOOKUP(E3028,Precios!Z$2:BB$941,3,FALSE)*F3028</f>
        <v>-0.5</v>
      </c>
      <c r="AL3028" s="17"/>
      <c r="AM3028" s="17"/>
      <c r="AN3028" s="17"/>
      <c r="AO3028" s="17"/>
      <c r="AP3028" s="17"/>
      <c r="AQ3028" s="17"/>
      <c r="AR3028" s="17"/>
      <c r="AS3028" s="17"/>
      <c r="AT3028" s="17"/>
      <c r="AU3028" s="17"/>
      <c r="AV3028" s="17"/>
    </row>
    <row r="3029" spans="1:48" ht="15.75" customHeight="1">
      <c r="A3029" s="21" t="s">
        <v>76</v>
      </c>
      <c r="B3029" s="23" t="s">
        <v>1692</v>
      </c>
      <c r="C3029" s="25">
        <v>45704</v>
      </c>
      <c r="D3029" s="23" t="s">
        <v>108</v>
      </c>
      <c r="E3029" s="23" t="s">
        <v>81</v>
      </c>
      <c r="F3029" s="21">
        <v>1</v>
      </c>
      <c r="G3029" s="12">
        <v>3500.0000000000005</v>
      </c>
      <c r="H3029" s="12">
        <v>3500.0000000000005</v>
      </c>
      <c r="I3029" s="23" t="s">
        <v>52</v>
      </c>
      <c r="J3029" s="23" t="s">
        <v>61</v>
      </c>
      <c r="K3029" s="24" t="s">
        <v>177</v>
      </c>
      <c r="L3029" s="24">
        <v>102</v>
      </c>
      <c r="M3029" s="12">
        <v>2941.1764705882356</v>
      </c>
      <c r="N3029" s="12">
        <v>2941.1764705882356</v>
      </c>
      <c r="O3029" s="12">
        <v>558.82352941176487</v>
      </c>
      <c r="P3029" s="13"/>
      <c r="Q3029" s="14">
        <v>2025</v>
      </c>
      <c r="R3029" s="15">
        <v>45323</v>
      </c>
      <c r="S3029" s="11" t="s">
        <v>397</v>
      </c>
      <c r="T3029" s="16">
        <v>5</v>
      </c>
      <c r="U3029" s="17"/>
      <c r="V3029" s="12">
        <v>764.70588235294144</v>
      </c>
      <c r="W3029" s="12">
        <v>764.70588235294144</v>
      </c>
      <c r="X3029" s="12">
        <v>0</v>
      </c>
      <c r="Y3029" s="18">
        <v>45698</v>
      </c>
      <c r="Z3029" s="13" t="s">
        <v>497</v>
      </c>
      <c r="AA3029" s="19" t="str">
        <f>VLOOKUP(D3029,Clientes!$A$2:$J$486,9,FALSE)</f>
        <v>Frecuente</v>
      </c>
      <c r="AB3029" s="13" t="str">
        <f>VLOOKUP(D3029,Clientes!$A$2:$K$486,11,FALSE)</f>
        <v>Persona Natural</v>
      </c>
      <c r="AC3029" s="13" t="str">
        <f>VLOOKUP(D3029,Clientes!$A$2:$B$486,2,FALSE)</f>
        <v>Jardines de la Viña</v>
      </c>
      <c r="AD3029" s="20"/>
      <c r="AE3029" s="20"/>
      <c r="AF3029" s="13" t="s">
        <v>40</v>
      </c>
      <c r="AG3029" s="15">
        <v>45323</v>
      </c>
      <c r="AH3029" s="13" t="s">
        <v>41</v>
      </c>
      <c r="AI3029" s="13" t="s">
        <v>76</v>
      </c>
      <c r="AJ3029" s="13" t="str">
        <f>VLOOKUP(E3029,Precios!Z$2:AA$941,2,FALSE)</f>
        <v>Detergente SPUM 5 Litros (Verde)</v>
      </c>
      <c r="AK3029" s="14">
        <f>VLOOKUP(E3029,Precios!Z$2:BB$941,3,FALSE)*F3029</f>
        <v>-1</v>
      </c>
      <c r="AL3029" s="17"/>
      <c r="AM3029" s="17"/>
      <c r="AN3029" s="17"/>
      <c r="AO3029" s="17"/>
      <c r="AP3029" s="17"/>
      <c r="AQ3029" s="17"/>
      <c r="AR3029" s="17"/>
      <c r="AS3029" s="17"/>
      <c r="AT3029" s="17"/>
      <c r="AU3029" s="17"/>
      <c r="AV3029" s="17"/>
    </row>
    <row r="3030" spans="1:48" ht="15.75" customHeight="1">
      <c r="A3030" s="21" t="s">
        <v>53</v>
      </c>
      <c r="B3030" s="23" t="s">
        <v>1692</v>
      </c>
      <c r="C3030" s="25">
        <v>45704</v>
      </c>
      <c r="D3030" s="23" t="s">
        <v>104</v>
      </c>
      <c r="E3030" s="23" t="s">
        <v>55</v>
      </c>
      <c r="F3030" s="21">
        <v>1</v>
      </c>
      <c r="G3030" s="12">
        <v>19989.738327347361</v>
      </c>
      <c r="H3030" s="12">
        <v>19989.738327347361</v>
      </c>
      <c r="I3030" s="23" t="s">
        <v>52</v>
      </c>
      <c r="J3030" s="23" t="s">
        <v>61</v>
      </c>
      <c r="K3030" s="24" t="s">
        <v>177</v>
      </c>
      <c r="L3030" s="24">
        <v>102</v>
      </c>
      <c r="M3030" s="12">
        <v>16798.099434745684</v>
      </c>
      <c r="N3030" s="12">
        <v>16798.099434745684</v>
      </c>
      <c r="O3030" s="12">
        <v>3191.6388926016771</v>
      </c>
      <c r="P3030" s="13"/>
      <c r="Q3030" s="14">
        <v>2025</v>
      </c>
      <c r="R3030" s="15">
        <v>45323</v>
      </c>
      <c r="S3030" s="11" t="s">
        <v>366</v>
      </c>
      <c r="T3030" s="16">
        <v>0</v>
      </c>
      <c r="U3030" s="17"/>
      <c r="V3030" s="12">
        <v>3702.3011154179476</v>
      </c>
      <c r="W3030" s="12">
        <v>3702.3011154179476</v>
      </c>
      <c r="X3030" s="12">
        <v>0</v>
      </c>
      <c r="Y3030" s="18">
        <v>45698</v>
      </c>
      <c r="Z3030" s="13" t="s">
        <v>497</v>
      </c>
      <c r="AA3030" s="19" t="str">
        <f>VLOOKUP(D3030,Clientes!$A$2:$J$486,9,FALSE)</f>
        <v>Ocacional</v>
      </c>
      <c r="AB3030" s="13" t="str">
        <f>VLOOKUP(D3030,Clientes!$A$2:$K$486,11,FALSE)</f>
        <v>Persona Natural</v>
      </c>
      <c r="AC3030" s="13" t="str">
        <f>VLOOKUP(D3030,Clientes!$A$2:$B$486,2,FALSE)</f>
        <v>Jardines de la viña</v>
      </c>
      <c r="AD3030" s="20"/>
      <c r="AE3030" s="20"/>
      <c r="AF3030" s="13" t="s">
        <v>40</v>
      </c>
      <c r="AG3030" s="15">
        <v>45323</v>
      </c>
      <c r="AH3030" s="13" t="s">
        <v>41</v>
      </c>
      <c r="AI3030" s="13" t="s">
        <v>53</v>
      </c>
      <c r="AJ3030" s="13" t="str">
        <f>VLOOKUP(E3030,Precios!Z$2:AA$941,2,FALSE)</f>
        <v>Papel Higienico ELITE 50 metros</v>
      </c>
      <c r="AK3030" s="14">
        <f>VLOOKUP(E3030,Precios!Z$2:BB$941,3,FALSE)*F3030</f>
        <v>-8</v>
      </c>
      <c r="AL3030" s="17"/>
      <c r="AM3030" s="17"/>
      <c r="AN3030" s="17"/>
      <c r="AO3030" s="17"/>
      <c r="AP3030" s="17"/>
      <c r="AQ3030" s="17"/>
      <c r="AR3030" s="17"/>
      <c r="AS3030" s="17"/>
      <c r="AT3030" s="17"/>
      <c r="AU3030" s="17"/>
      <c r="AV3030" s="17"/>
    </row>
    <row r="3031" spans="1:48" ht="15.75" customHeight="1">
      <c r="A3031" s="21" t="s">
        <v>53</v>
      </c>
      <c r="B3031" s="23" t="s">
        <v>1692</v>
      </c>
      <c r="C3031" s="25">
        <v>45704</v>
      </c>
      <c r="D3031" s="23" t="s">
        <v>710</v>
      </c>
      <c r="E3031" s="23" t="s">
        <v>136</v>
      </c>
      <c r="F3031" s="21">
        <v>1</v>
      </c>
      <c r="G3031" s="12">
        <v>14900.292682926829</v>
      </c>
      <c r="H3031" s="12">
        <v>14900.292682926829</v>
      </c>
      <c r="I3031" s="23" t="s">
        <v>52</v>
      </c>
      <c r="J3031" s="23" t="s">
        <v>61</v>
      </c>
      <c r="K3031" s="24" t="s">
        <v>177</v>
      </c>
      <c r="L3031" s="24">
        <v>102</v>
      </c>
      <c r="M3031" s="12">
        <v>12521.254355400697</v>
      </c>
      <c r="N3031" s="12">
        <v>12521.254355400697</v>
      </c>
      <c r="O3031" s="12">
        <v>2379.038327526132</v>
      </c>
      <c r="P3031" s="13"/>
      <c r="Q3031" s="14">
        <v>2025</v>
      </c>
      <c r="R3031" s="15">
        <v>45323</v>
      </c>
      <c r="S3031" s="11" t="s">
        <v>410</v>
      </c>
      <c r="T3031" s="16">
        <v>0</v>
      </c>
      <c r="U3031" s="17"/>
      <c r="V3031" s="12">
        <v>3537.254355400697</v>
      </c>
      <c r="W3031" s="12">
        <v>3537.254355400697</v>
      </c>
      <c r="X3031" s="12">
        <v>0</v>
      </c>
      <c r="Y3031" s="18">
        <v>45698</v>
      </c>
      <c r="Z3031" s="13" t="s">
        <v>497</v>
      </c>
      <c r="AA3031" s="19" t="str">
        <f>VLOOKUP(D3031,Clientes!$A$2:$J$486,9,FALSE)</f>
        <v>Ocacional</v>
      </c>
      <c r="AB3031" s="13" t="str">
        <f>VLOOKUP(D3031,Clientes!$A$2:$K$486,11,FALSE)</f>
        <v>Persona Natural</v>
      </c>
      <c r="AC3031" s="13" t="str">
        <f>VLOOKUP(D3031,Clientes!$A$2:$B$486,2,FALSE)</f>
        <v>Geronimo Alderete</v>
      </c>
      <c r="AD3031" s="20"/>
      <c r="AE3031" s="20"/>
      <c r="AF3031" s="13" t="s">
        <v>40</v>
      </c>
      <c r="AG3031" s="15">
        <v>45323</v>
      </c>
      <c r="AH3031" s="13" t="s">
        <v>41</v>
      </c>
      <c r="AI3031" s="13" t="s">
        <v>53</v>
      </c>
      <c r="AJ3031" s="13" t="str">
        <f>VLOOKUP(E3031,Precios!Z$2:AA$941,2,FALSE)</f>
        <v>Toalla Papel NOVA 26 metros</v>
      </c>
      <c r="AK3031" s="14">
        <f>VLOOKUP(E3031,Precios!Z$2:BB$941,3,FALSE)*F3031</f>
        <v>-8</v>
      </c>
      <c r="AL3031" s="17"/>
      <c r="AM3031" s="17"/>
      <c r="AN3031" s="17"/>
      <c r="AO3031" s="17"/>
      <c r="AP3031" s="17"/>
      <c r="AQ3031" s="17"/>
      <c r="AR3031" s="17"/>
      <c r="AS3031" s="17"/>
      <c r="AT3031" s="17"/>
      <c r="AU3031" s="17"/>
      <c r="AV3031" s="17"/>
    </row>
    <row r="3032" spans="1:48" ht="15.75" customHeight="1">
      <c r="A3032" s="21" t="s">
        <v>35</v>
      </c>
      <c r="B3032" s="23" t="s">
        <v>1692</v>
      </c>
      <c r="C3032" s="22">
        <v>45704</v>
      </c>
      <c r="D3032" s="23" t="s">
        <v>42</v>
      </c>
      <c r="E3032" s="23" t="s">
        <v>37</v>
      </c>
      <c r="F3032" s="21">
        <v>2</v>
      </c>
      <c r="G3032" s="12">
        <v>10500</v>
      </c>
      <c r="H3032" s="12">
        <v>21000</v>
      </c>
      <c r="I3032" s="23" t="s">
        <v>52</v>
      </c>
      <c r="J3032" s="23" t="s">
        <v>61</v>
      </c>
      <c r="K3032" s="24" t="s">
        <v>177</v>
      </c>
      <c r="L3032" s="24">
        <v>102</v>
      </c>
      <c r="M3032" s="12">
        <v>8823.5294117647063</v>
      </c>
      <c r="N3032" s="12">
        <v>17647.058823529413</v>
      </c>
      <c r="O3032" s="12">
        <v>3352.9411764705874</v>
      </c>
      <c r="P3032" s="13"/>
      <c r="Q3032" s="14">
        <v>2025</v>
      </c>
      <c r="R3032" s="15">
        <v>45323</v>
      </c>
      <c r="S3032" s="11" t="s">
        <v>364</v>
      </c>
      <c r="T3032" s="16">
        <v>2000</v>
      </c>
      <c r="U3032" s="17"/>
      <c r="V3032" s="12">
        <v>4771.4285714285706</v>
      </c>
      <c r="W3032" s="12">
        <v>4771.4285714285706</v>
      </c>
      <c r="X3032" s="12">
        <v>0</v>
      </c>
      <c r="Y3032" s="18">
        <v>45698</v>
      </c>
      <c r="Z3032" s="13" t="s">
        <v>497</v>
      </c>
      <c r="AA3032" s="19" t="str">
        <f>VLOOKUP(D3032,Clientes!$A$2:$J$486,9,FALSE)</f>
        <v>Frecuente</v>
      </c>
      <c r="AB3032" s="13" t="str">
        <f>VLOOKUP(D3032,Clientes!$A$2:$K$486,11,FALSE)</f>
        <v>Persona Natural</v>
      </c>
      <c r="AC3032" s="13" t="str">
        <f>VLOOKUP(D3032,Clientes!$A$2:$B$486,2,FALSE)</f>
        <v>Sector Diego Portales</v>
      </c>
      <c r="AD3032" s="20"/>
      <c r="AE3032" s="20"/>
      <c r="AF3032" s="13" t="s">
        <v>40</v>
      </c>
      <c r="AG3032" s="15">
        <v>45323</v>
      </c>
      <c r="AH3032" s="13" t="s">
        <v>41</v>
      </c>
      <c r="AI3032" s="13" t="s">
        <v>35</v>
      </c>
      <c r="AJ3032" s="13" t="str">
        <f>VLOOKUP(E3032,Precios!Z$2:AA$941,2,FALSE)</f>
        <v>Queso RUNCA Mantecoso</v>
      </c>
      <c r="AK3032" s="14">
        <f>VLOOKUP(E3032,Precios!Z$2:BB$941,3,FALSE)*F3032</f>
        <v>-2</v>
      </c>
      <c r="AL3032" s="17"/>
      <c r="AM3032" s="17"/>
      <c r="AN3032" s="17"/>
      <c r="AO3032" s="17"/>
      <c r="AP3032" s="17"/>
      <c r="AQ3032" s="17"/>
      <c r="AR3032" s="17"/>
      <c r="AS3032" s="17"/>
      <c r="AT3032" s="17"/>
      <c r="AU3032" s="17"/>
      <c r="AV3032" s="17"/>
    </row>
    <row r="3033" spans="1:48" ht="15.75" customHeight="1">
      <c r="A3033" s="21" t="s">
        <v>43</v>
      </c>
      <c r="B3033" s="23" t="s">
        <v>1692</v>
      </c>
      <c r="C3033" s="25">
        <v>45703</v>
      </c>
      <c r="D3033" s="23" t="s">
        <v>237</v>
      </c>
      <c r="E3033" s="23" t="s">
        <v>45</v>
      </c>
      <c r="F3033" s="21">
        <v>1</v>
      </c>
      <c r="G3033" s="12">
        <v>6900.1306988544629</v>
      </c>
      <c r="H3033" s="12">
        <v>6900.1306988544629</v>
      </c>
      <c r="I3033" s="23" t="s">
        <v>52</v>
      </c>
      <c r="J3033" s="23" t="s">
        <v>61</v>
      </c>
      <c r="K3033" s="24" t="s">
        <v>177</v>
      </c>
      <c r="L3033" s="24">
        <v>102</v>
      </c>
      <c r="M3033" s="12">
        <v>5798.4291587012294</v>
      </c>
      <c r="N3033" s="12">
        <v>5798.4291587012294</v>
      </c>
      <c r="O3033" s="12">
        <v>1101.7015401532335</v>
      </c>
      <c r="P3033" s="13"/>
      <c r="Q3033" s="14">
        <v>2025</v>
      </c>
      <c r="R3033" s="15">
        <v>45323</v>
      </c>
      <c r="S3033" s="11" t="s">
        <v>355</v>
      </c>
      <c r="T3033" s="16">
        <v>0</v>
      </c>
      <c r="U3033" s="17"/>
      <c r="V3033" s="12">
        <v>1273.219074667616</v>
      </c>
      <c r="W3033" s="12">
        <v>1273.219074667616</v>
      </c>
      <c r="X3033" s="12">
        <v>0</v>
      </c>
      <c r="Y3033" s="18">
        <v>45698</v>
      </c>
      <c r="Z3033" s="13" t="s">
        <v>501</v>
      </c>
      <c r="AA3033" s="19" t="str">
        <f>VLOOKUP(D3033,Clientes!$A$2:$J$486,9,FALSE)</f>
        <v>Ocacional</v>
      </c>
      <c r="AB3033" s="13" t="str">
        <f>VLOOKUP(D3033,Clientes!$A$2:$K$486,11,FALSE)</f>
        <v>Persona Natural</v>
      </c>
      <c r="AC3033" s="13" t="str">
        <f>VLOOKUP(D3033,Clientes!$A$2:$B$486,2,FALSE)</f>
        <v>Jardines de la viña</v>
      </c>
      <c r="AD3033" s="20"/>
      <c r="AE3033" s="20"/>
      <c r="AF3033" s="13" t="s">
        <v>40</v>
      </c>
      <c r="AG3033" s="15">
        <v>45323</v>
      </c>
      <c r="AH3033" s="13" t="s">
        <v>41</v>
      </c>
      <c r="AI3033" s="13" t="s">
        <v>43</v>
      </c>
      <c r="AJ3033" s="13" t="str">
        <f>VLOOKUP(E3033,Precios!Z$2:AA$941,2,FALSE)</f>
        <v>Bandeja Huevos EXTRA</v>
      </c>
      <c r="AK3033" s="14">
        <f>VLOOKUP(E3033,Precios!Z$2:BB$941,3,FALSE)*F3033</f>
        <v>-1</v>
      </c>
      <c r="AL3033" s="17"/>
      <c r="AM3033" s="17"/>
      <c r="AN3033" s="17"/>
      <c r="AO3033" s="17"/>
      <c r="AP3033" s="17"/>
      <c r="AQ3033" s="17"/>
      <c r="AR3033" s="17"/>
      <c r="AS3033" s="17"/>
      <c r="AT3033" s="17"/>
      <c r="AU3033" s="17"/>
      <c r="AV3033" s="17"/>
    </row>
    <row r="3034" spans="1:48" ht="15.75" customHeight="1">
      <c r="A3034" s="21" t="s">
        <v>50</v>
      </c>
      <c r="B3034" s="23" t="s">
        <v>1692</v>
      </c>
      <c r="C3034" s="25">
        <v>45703</v>
      </c>
      <c r="D3034" s="23" t="s">
        <v>124</v>
      </c>
      <c r="E3034" s="23" t="s">
        <v>51</v>
      </c>
      <c r="F3034" s="21">
        <v>2</v>
      </c>
      <c r="G3034" s="12">
        <v>1000</v>
      </c>
      <c r="H3034" s="12">
        <v>2000</v>
      </c>
      <c r="I3034" s="23" t="s">
        <v>52</v>
      </c>
      <c r="J3034" s="23" t="s">
        <v>61</v>
      </c>
      <c r="K3034" s="24" t="s">
        <v>177</v>
      </c>
      <c r="L3034" s="24">
        <v>102</v>
      </c>
      <c r="M3034" s="12">
        <v>840.3361344537816</v>
      </c>
      <c r="N3034" s="12">
        <v>1680.6722689075632</v>
      </c>
      <c r="O3034" s="12">
        <v>319.32773109243681</v>
      </c>
      <c r="P3034" s="13"/>
      <c r="Q3034" s="14">
        <v>2025</v>
      </c>
      <c r="R3034" s="15">
        <v>45323</v>
      </c>
      <c r="S3034" s="11" t="s">
        <v>51</v>
      </c>
      <c r="T3034" s="16">
        <v>0</v>
      </c>
      <c r="U3034" s="17"/>
      <c r="V3034" s="12">
        <v>966.38655462184863</v>
      </c>
      <c r="W3034" s="12">
        <v>966.38655462184863</v>
      </c>
      <c r="X3034" s="12">
        <v>0</v>
      </c>
      <c r="Y3034" s="18">
        <v>45698</v>
      </c>
      <c r="Z3034" s="13" t="s">
        <v>501</v>
      </c>
      <c r="AA3034" s="19" t="str">
        <f>VLOOKUP(D3034,Clientes!$A$2:$J$486,9,FALSE)</f>
        <v>Regular</v>
      </c>
      <c r="AB3034" s="13" t="str">
        <f>VLOOKUP(D3034,Clientes!$A$2:$K$486,11,FALSE)</f>
        <v>Persona Natural</v>
      </c>
      <c r="AC3034" s="13" t="str">
        <f>VLOOKUP(D3034,Clientes!$A$2:$B$486,2,FALSE)</f>
        <v>Jardines de la viña</v>
      </c>
      <c r="AD3034" s="20"/>
      <c r="AE3034" s="20"/>
      <c r="AF3034" s="13" t="s">
        <v>40</v>
      </c>
      <c r="AG3034" s="15">
        <v>45323</v>
      </c>
      <c r="AH3034" s="13" t="s">
        <v>41</v>
      </c>
      <c r="AI3034" s="13" t="s">
        <v>50</v>
      </c>
      <c r="AJ3034" s="13" t="str">
        <f>VLOOKUP(E3034,Precios!Z$2:AA$941,2,FALSE)</f>
        <v>Hielo 1 Kilo</v>
      </c>
      <c r="AK3034" s="14">
        <f>VLOOKUP(E3034,Precios!Z$2:BB$941,3,FALSE)*F3034</f>
        <v>-2</v>
      </c>
      <c r="AL3034" s="17"/>
      <c r="AM3034" s="17"/>
      <c r="AN3034" s="17"/>
      <c r="AO3034" s="17"/>
      <c r="AP3034" s="17"/>
      <c r="AQ3034" s="17"/>
      <c r="AR3034" s="17"/>
      <c r="AS3034" s="17"/>
      <c r="AT3034" s="17"/>
      <c r="AU3034" s="17"/>
      <c r="AV3034" s="17"/>
    </row>
    <row r="3035" spans="1:48" ht="15.75" customHeight="1">
      <c r="A3035" s="21" t="s">
        <v>50</v>
      </c>
      <c r="B3035" s="23" t="s">
        <v>1692</v>
      </c>
      <c r="C3035" s="22">
        <v>45703</v>
      </c>
      <c r="D3035" s="23" t="s">
        <v>276</v>
      </c>
      <c r="E3035" s="23" t="s">
        <v>528</v>
      </c>
      <c r="F3035" s="14">
        <v>1</v>
      </c>
      <c r="G3035" s="12">
        <v>4500.2224529141331</v>
      </c>
      <c r="H3035" s="12">
        <v>4500.2224529141331</v>
      </c>
      <c r="I3035" s="23" t="s">
        <v>52</v>
      </c>
      <c r="J3035" s="23" t="s">
        <v>61</v>
      </c>
      <c r="K3035" s="24" t="s">
        <v>177</v>
      </c>
      <c r="L3035" s="24">
        <v>102</v>
      </c>
      <c r="M3035" s="12">
        <v>3781.6995402639777</v>
      </c>
      <c r="N3035" s="12">
        <v>3781.6995402639777</v>
      </c>
      <c r="O3035" s="12">
        <v>718.52291265015538</v>
      </c>
      <c r="P3035" s="13"/>
      <c r="Q3035" s="14">
        <v>2025</v>
      </c>
      <c r="R3035" s="15">
        <v>45323</v>
      </c>
      <c r="S3035" s="11" t="s">
        <v>528</v>
      </c>
      <c r="T3035" s="16">
        <v>0</v>
      </c>
      <c r="U3035" s="17"/>
      <c r="V3035" s="12">
        <v>1996.6995402639773</v>
      </c>
      <c r="W3035" s="12">
        <v>1996.6995402639773</v>
      </c>
      <c r="X3035" s="12">
        <v>0</v>
      </c>
      <c r="Y3035" s="18">
        <v>45698</v>
      </c>
      <c r="Z3035" s="13" t="s">
        <v>501</v>
      </c>
      <c r="AA3035" s="19" t="str">
        <f>VLOOKUP(D3035,Clientes!$A$2:$J$486,9,FALSE)</f>
        <v>Ocacional</v>
      </c>
      <c r="AB3035" s="13" t="str">
        <f>VLOOKUP(D3035,Clientes!$A$2:$K$486,11,FALSE)</f>
        <v>Persona Natural</v>
      </c>
      <c r="AC3035" s="13" t="str">
        <f>VLOOKUP(D3035,Clientes!$A$2:$B$486,2,FALSE)</f>
        <v>Jardin del eden</v>
      </c>
      <c r="AD3035" s="20"/>
      <c r="AE3035" s="20"/>
      <c r="AF3035" s="13" t="s">
        <v>40</v>
      </c>
      <c r="AG3035" s="15">
        <v>45323</v>
      </c>
      <c r="AH3035" s="13" t="s">
        <v>41</v>
      </c>
      <c r="AI3035" s="13" t="s">
        <v>50</v>
      </c>
      <c r="AJ3035" s="13" t="str">
        <f>VLOOKUP(E3035,Precios!Z$2:AA$941,2,FALSE)</f>
        <v>Hielo 1 Kilo</v>
      </c>
      <c r="AK3035" s="14">
        <f>VLOOKUP(E3035,Precios!Z$2:BB$941,3,FALSE)*F3035</f>
        <v>-5</v>
      </c>
      <c r="AL3035" s="17"/>
      <c r="AM3035" s="17"/>
      <c r="AN3035" s="17"/>
      <c r="AO3035" s="17"/>
      <c r="AP3035" s="17"/>
      <c r="AQ3035" s="17"/>
      <c r="AR3035" s="17"/>
      <c r="AS3035" s="17"/>
      <c r="AT3035" s="17"/>
      <c r="AU3035" s="17"/>
      <c r="AV3035" s="17"/>
    </row>
    <row r="3036" spans="1:48" ht="15.75" customHeight="1">
      <c r="A3036" s="21" t="s">
        <v>50</v>
      </c>
      <c r="B3036" s="23" t="s">
        <v>1692</v>
      </c>
      <c r="C3036" s="22">
        <v>45702</v>
      </c>
      <c r="D3036" s="23" t="s">
        <v>266</v>
      </c>
      <c r="E3036" s="23" t="s">
        <v>51</v>
      </c>
      <c r="F3036" s="14">
        <v>1</v>
      </c>
      <c r="G3036" s="12">
        <v>1000</v>
      </c>
      <c r="H3036" s="12">
        <v>1000</v>
      </c>
      <c r="I3036" s="23" t="s">
        <v>52</v>
      </c>
      <c r="J3036" s="23" t="s">
        <v>61</v>
      </c>
      <c r="K3036" s="24" t="s">
        <v>177</v>
      </c>
      <c r="L3036" s="24">
        <v>102</v>
      </c>
      <c r="M3036" s="12">
        <v>840.3361344537816</v>
      </c>
      <c r="N3036" s="12">
        <v>840.3361344537816</v>
      </c>
      <c r="O3036" s="12">
        <v>159.6638655462184</v>
      </c>
      <c r="P3036" s="13"/>
      <c r="Q3036" s="14">
        <v>2025</v>
      </c>
      <c r="R3036" s="15">
        <v>45323</v>
      </c>
      <c r="S3036" s="11" t="s">
        <v>51</v>
      </c>
      <c r="T3036" s="16">
        <v>0</v>
      </c>
      <c r="U3036" s="17"/>
      <c r="V3036" s="12">
        <v>483.19327731092432</v>
      </c>
      <c r="W3036" s="12">
        <v>483.19327731092432</v>
      </c>
      <c r="X3036" s="12">
        <v>0</v>
      </c>
      <c r="Y3036" s="18">
        <v>45698</v>
      </c>
      <c r="Z3036" s="13" t="s">
        <v>503</v>
      </c>
      <c r="AA3036" s="19" t="str">
        <f>VLOOKUP(D3036,Clientes!$A$2:$J$486,9,FALSE)</f>
        <v>Regular</v>
      </c>
      <c r="AB3036" s="13" t="str">
        <f>VLOOKUP(D3036,Clientes!$A$2:$K$486,11,FALSE)</f>
        <v>Persona Natural</v>
      </c>
      <c r="AC3036" s="13" t="str">
        <f>VLOOKUP(D3036,Clientes!$A$2:$B$486,2,FALSE)</f>
        <v>Sector Santa Delia</v>
      </c>
      <c r="AD3036" s="20"/>
      <c r="AE3036" s="20"/>
      <c r="AF3036" s="13" t="s">
        <v>40</v>
      </c>
      <c r="AG3036" s="15">
        <v>45323</v>
      </c>
      <c r="AH3036" s="13" t="s">
        <v>41</v>
      </c>
      <c r="AI3036" s="13" t="s">
        <v>50</v>
      </c>
      <c r="AJ3036" s="13" t="str">
        <f>VLOOKUP(E3036,Precios!Z$2:AA$941,2,FALSE)</f>
        <v>Hielo 1 Kilo</v>
      </c>
      <c r="AK3036" s="14">
        <f>VLOOKUP(E3036,Precios!Z$2:BB$941,3,FALSE)*F3036</f>
        <v>-1</v>
      </c>
      <c r="AL3036" s="17"/>
      <c r="AM3036" s="17"/>
      <c r="AN3036" s="17"/>
      <c r="AO3036" s="17"/>
      <c r="AP3036" s="17"/>
      <c r="AQ3036" s="17"/>
      <c r="AR3036" s="17"/>
      <c r="AS3036" s="17"/>
      <c r="AT3036" s="17"/>
      <c r="AU3036" s="17"/>
      <c r="AV3036" s="17"/>
    </row>
    <row r="3037" spans="1:48" ht="15.75" customHeight="1">
      <c r="A3037" s="21" t="s">
        <v>64</v>
      </c>
      <c r="B3037" s="23" t="s">
        <v>1692</v>
      </c>
      <c r="C3037" s="22">
        <v>45702</v>
      </c>
      <c r="D3037" s="23" t="s">
        <v>266</v>
      </c>
      <c r="E3037" s="23" t="s">
        <v>65</v>
      </c>
      <c r="F3037" s="21">
        <v>2</v>
      </c>
      <c r="G3037" s="12">
        <v>8199.8671738211688</v>
      </c>
      <c r="H3037" s="12">
        <v>16399.734347642338</v>
      </c>
      <c r="I3037" s="23" t="s">
        <v>52</v>
      </c>
      <c r="J3037" s="23" t="s">
        <v>61</v>
      </c>
      <c r="K3037" s="24" t="s">
        <v>177</v>
      </c>
      <c r="L3037" s="24">
        <v>102</v>
      </c>
      <c r="M3037" s="12">
        <v>6890.6446838833353</v>
      </c>
      <c r="N3037" s="12">
        <v>13781.289367766671</v>
      </c>
      <c r="O3037" s="12">
        <v>2618.4449798756668</v>
      </c>
      <c r="P3037" s="13"/>
      <c r="Q3037" s="14">
        <v>2025</v>
      </c>
      <c r="R3037" s="15">
        <v>45323</v>
      </c>
      <c r="S3037" s="11" t="s">
        <v>64</v>
      </c>
      <c r="T3037" s="16">
        <v>2</v>
      </c>
      <c r="U3037" s="17"/>
      <c r="V3037" s="12">
        <v>2368.3145778507023</v>
      </c>
      <c r="W3037" s="12">
        <v>2368.3145778507023</v>
      </c>
      <c r="X3037" s="12">
        <v>0</v>
      </c>
      <c r="Y3037" s="18">
        <v>45698</v>
      </c>
      <c r="Z3037" s="13" t="s">
        <v>503</v>
      </c>
      <c r="AA3037" s="19" t="str">
        <f>VLOOKUP(D3037,Clientes!$A$2:$J$486,9,FALSE)</f>
        <v>Regular</v>
      </c>
      <c r="AB3037" s="13" t="str">
        <f>VLOOKUP(D3037,Clientes!$A$2:$K$486,11,FALSE)</f>
        <v>Persona Natural</v>
      </c>
      <c r="AC3037" s="13" t="str">
        <f>VLOOKUP(D3037,Clientes!$A$2:$B$486,2,FALSE)</f>
        <v>Sector Santa Delia</v>
      </c>
      <c r="AD3037" s="20"/>
      <c r="AE3037" s="20"/>
      <c r="AF3037" s="13" t="s">
        <v>40</v>
      </c>
      <c r="AG3037" s="15">
        <v>45323</v>
      </c>
      <c r="AH3037" s="13" t="s">
        <v>41</v>
      </c>
      <c r="AI3037" s="13" t="s">
        <v>64</v>
      </c>
      <c r="AJ3037" s="13" t="str">
        <f>VLOOKUP(E3037,Precios!Z$2:AA$941,2,FALSE)</f>
        <v>Longanizas VILLABLANCA</v>
      </c>
      <c r="AK3037" s="14">
        <f>VLOOKUP(E3037,Precios!Z$2:BB$941,3,FALSE)*F3037</f>
        <v>-2</v>
      </c>
      <c r="AL3037" s="17"/>
      <c r="AM3037" s="17"/>
      <c r="AN3037" s="17"/>
      <c r="AO3037" s="17"/>
      <c r="AP3037" s="17"/>
      <c r="AQ3037" s="17"/>
      <c r="AR3037" s="17"/>
      <c r="AS3037" s="17"/>
      <c r="AT3037" s="17"/>
      <c r="AU3037" s="17"/>
      <c r="AV3037" s="17"/>
    </row>
    <row r="3038" spans="1:48" ht="15.75" customHeight="1">
      <c r="A3038" s="21" t="s">
        <v>76</v>
      </c>
      <c r="B3038" s="23" t="s">
        <v>1692</v>
      </c>
      <c r="C3038" s="22">
        <v>45702</v>
      </c>
      <c r="D3038" s="23" t="s">
        <v>266</v>
      </c>
      <c r="E3038" s="23" t="s">
        <v>82</v>
      </c>
      <c r="F3038" s="21">
        <v>1</v>
      </c>
      <c r="G3038" s="12">
        <v>2000.0000000000002</v>
      </c>
      <c r="H3038" s="12">
        <v>2000.0000000000002</v>
      </c>
      <c r="I3038" s="23" t="s">
        <v>52</v>
      </c>
      <c r="J3038" s="23" t="s">
        <v>61</v>
      </c>
      <c r="K3038" s="24" t="s">
        <v>177</v>
      </c>
      <c r="L3038" s="24">
        <v>102</v>
      </c>
      <c r="M3038" s="12">
        <v>1680.6722689075632</v>
      </c>
      <c r="N3038" s="12">
        <v>1680.6722689075632</v>
      </c>
      <c r="O3038" s="12">
        <v>319.32773109243703</v>
      </c>
      <c r="P3038" s="13"/>
      <c r="Q3038" s="14">
        <v>2025</v>
      </c>
      <c r="R3038" s="15">
        <v>45323</v>
      </c>
      <c r="S3038" s="11" t="s">
        <v>463</v>
      </c>
      <c r="T3038" s="16">
        <v>5</v>
      </c>
      <c r="U3038" s="17"/>
      <c r="V3038" s="12">
        <v>680.67226890756319</v>
      </c>
      <c r="W3038" s="12">
        <v>680.67226890756319</v>
      </c>
      <c r="X3038" s="12">
        <v>0</v>
      </c>
      <c r="Y3038" s="18">
        <v>45698</v>
      </c>
      <c r="Z3038" s="13" t="s">
        <v>503</v>
      </c>
      <c r="AA3038" s="19" t="str">
        <f>VLOOKUP(D3038,Clientes!$A$2:$J$486,9,FALSE)</f>
        <v>Regular</v>
      </c>
      <c r="AB3038" s="13" t="str">
        <f>VLOOKUP(D3038,Clientes!$A$2:$K$486,11,FALSE)</f>
        <v>Persona Natural</v>
      </c>
      <c r="AC3038" s="13" t="str">
        <f>VLOOKUP(D3038,Clientes!$A$2:$B$486,2,FALSE)</f>
        <v>Sector Santa Delia</v>
      </c>
      <c r="AD3038" s="20"/>
      <c r="AE3038" s="20"/>
      <c r="AF3038" s="13" t="s">
        <v>40</v>
      </c>
      <c r="AG3038" s="15">
        <v>45323</v>
      </c>
      <c r="AH3038" s="13" t="s">
        <v>41</v>
      </c>
      <c r="AI3038" s="13" t="s">
        <v>76</v>
      </c>
      <c r="AJ3038" s="13" t="str">
        <f>VLOOKUP(E3038,Precios!Z$2:AA$941,2,FALSE)</f>
        <v>Limpiapiso SPUM 5 Litros</v>
      </c>
      <c r="AK3038" s="14">
        <f>VLOOKUP(E3038,Precios!Z$2:BB$941,3,FALSE)*F3038</f>
        <v>-1</v>
      </c>
      <c r="AL3038" s="17"/>
      <c r="AM3038" s="17"/>
      <c r="AN3038" s="17"/>
      <c r="AO3038" s="17"/>
      <c r="AP3038" s="17"/>
      <c r="AQ3038" s="17"/>
      <c r="AR3038" s="17"/>
      <c r="AS3038" s="17"/>
      <c r="AT3038" s="17"/>
      <c r="AU3038" s="17"/>
      <c r="AV3038" s="17"/>
    </row>
    <row r="3039" spans="1:48" ht="15.75" customHeight="1">
      <c r="A3039" s="21" t="s">
        <v>43</v>
      </c>
      <c r="B3039" s="23" t="s">
        <v>1692</v>
      </c>
      <c r="C3039" s="22">
        <v>45702</v>
      </c>
      <c r="D3039" s="23" t="s">
        <v>729</v>
      </c>
      <c r="E3039" s="23" t="s">
        <v>45</v>
      </c>
      <c r="F3039" s="14">
        <v>1</v>
      </c>
      <c r="G3039" s="12">
        <v>6900.1306988544629</v>
      </c>
      <c r="H3039" s="12">
        <v>6900.1306988544629</v>
      </c>
      <c r="I3039" s="23" t="s">
        <v>52</v>
      </c>
      <c r="J3039" s="23" t="s">
        <v>61</v>
      </c>
      <c r="K3039" s="24" t="s">
        <v>177</v>
      </c>
      <c r="L3039" s="24">
        <v>102</v>
      </c>
      <c r="M3039" s="12">
        <v>5798.4291587012294</v>
      </c>
      <c r="N3039" s="12">
        <v>5798.4291587012294</v>
      </c>
      <c r="O3039" s="12">
        <v>1101.7015401532335</v>
      </c>
      <c r="P3039" s="13"/>
      <c r="Q3039" s="14">
        <v>2025</v>
      </c>
      <c r="R3039" s="15">
        <v>45323</v>
      </c>
      <c r="S3039" s="11" t="s">
        <v>355</v>
      </c>
      <c r="T3039" s="16">
        <v>0</v>
      </c>
      <c r="U3039" s="17"/>
      <c r="V3039" s="12">
        <v>1273.219074667616</v>
      </c>
      <c r="W3039" s="12">
        <v>1273.219074667616</v>
      </c>
      <c r="X3039" s="12">
        <v>0</v>
      </c>
      <c r="Y3039" s="18">
        <v>45698</v>
      </c>
      <c r="Z3039" s="13" t="s">
        <v>503</v>
      </c>
      <c r="AA3039" s="19" t="str">
        <f>VLOOKUP(D3039,Clientes!$A$2:$J$486,9,FALSE)</f>
        <v>Ocacional</v>
      </c>
      <c r="AB3039" s="13" t="str">
        <f>VLOOKUP(D3039,Clientes!$A$2:$K$486,11,FALSE)</f>
        <v>Persona Natural</v>
      </c>
      <c r="AC3039" s="13" t="str">
        <f>VLOOKUP(D3039,Clientes!$A$2:$B$486,2,FALSE)</f>
        <v>Araucania</v>
      </c>
      <c r="AD3039" s="20"/>
      <c r="AE3039" s="20"/>
      <c r="AF3039" s="13" t="s">
        <v>40</v>
      </c>
      <c r="AG3039" s="15">
        <v>45323</v>
      </c>
      <c r="AH3039" s="13" t="s">
        <v>41</v>
      </c>
      <c r="AI3039" s="13" t="s">
        <v>43</v>
      </c>
      <c r="AJ3039" s="13" t="str">
        <f>VLOOKUP(E3039,Precios!Z$2:AA$941,2,FALSE)</f>
        <v>Bandeja Huevos EXTRA</v>
      </c>
      <c r="AK3039" s="14">
        <f>VLOOKUP(E3039,Precios!Z$2:BB$941,3,FALSE)*F3039</f>
        <v>-1</v>
      </c>
      <c r="AL3039" s="17"/>
      <c r="AM3039" s="17"/>
      <c r="AN3039" s="17"/>
      <c r="AO3039" s="17"/>
      <c r="AP3039" s="17"/>
      <c r="AQ3039" s="17"/>
      <c r="AR3039" s="17"/>
      <c r="AS3039" s="17"/>
      <c r="AT3039" s="17"/>
      <c r="AU3039" s="17"/>
      <c r="AV3039" s="17"/>
    </row>
    <row r="3040" spans="1:48" ht="15.75" customHeight="1">
      <c r="A3040" s="21" t="s">
        <v>53</v>
      </c>
      <c r="B3040" s="23" t="s">
        <v>1692</v>
      </c>
      <c r="C3040" s="22">
        <v>45702</v>
      </c>
      <c r="D3040" s="23" t="s">
        <v>729</v>
      </c>
      <c r="E3040" s="23" t="s">
        <v>369</v>
      </c>
      <c r="F3040" s="21">
        <v>2</v>
      </c>
      <c r="G3040" s="12">
        <v>1500.0000000000002</v>
      </c>
      <c r="H3040" s="12">
        <v>3000.0000000000005</v>
      </c>
      <c r="I3040" s="23" t="s">
        <v>52</v>
      </c>
      <c r="J3040" s="23" t="s">
        <v>61</v>
      </c>
      <c r="K3040" s="24" t="s">
        <v>177</v>
      </c>
      <c r="L3040" s="24">
        <v>102</v>
      </c>
      <c r="M3040" s="12">
        <v>1260.5042016806726</v>
      </c>
      <c r="N3040" s="12">
        <v>2521.0084033613452</v>
      </c>
      <c r="O3040" s="12">
        <v>478.99159663865521</v>
      </c>
      <c r="P3040" s="13"/>
      <c r="Q3040" s="14">
        <v>2025</v>
      </c>
      <c r="R3040" s="15">
        <v>45323</v>
      </c>
      <c r="S3040" s="11" t="s">
        <v>369</v>
      </c>
      <c r="T3040" s="16">
        <v>0</v>
      </c>
      <c r="U3040" s="17"/>
      <c r="V3040" s="12">
        <v>915.96638655462198</v>
      </c>
      <c r="W3040" s="12">
        <v>915.96638655462198</v>
      </c>
      <c r="X3040" s="12">
        <v>0</v>
      </c>
      <c r="Y3040" s="18">
        <v>45698</v>
      </c>
      <c r="Z3040" s="13" t="s">
        <v>503</v>
      </c>
      <c r="AA3040" s="19" t="str">
        <f>VLOOKUP(D3040,Clientes!$A$2:$J$486,9,FALSE)</f>
        <v>Ocacional</v>
      </c>
      <c r="AB3040" s="13" t="str">
        <f>VLOOKUP(D3040,Clientes!$A$2:$K$486,11,FALSE)</f>
        <v>Persona Natural</v>
      </c>
      <c r="AC3040" s="13" t="str">
        <f>VLOOKUP(D3040,Clientes!$A$2:$B$486,2,FALSE)</f>
        <v>Araucania</v>
      </c>
      <c r="AD3040" s="20"/>
      <c r="AE3040" s="20"/>
      <c r="AF3040" s="13" t="s">
        <v>40</v>
      </c>
      <c r="AG3040" s="15">
        <v>45323</v>
      </c>
      <c r="AH3040" s="13" t="s">
        <v>41</v>
      </c>
      <c r="AI3040" s="13" t="s">
        <v>53</v>
      </c>
      <c r="AJ3040" s="13" t="str">
        <f>VLOOKUP(E3040,Precios!Z$2:AA$941,2,FALSE)</f>
        <v>Toalla Papel NOVA 12 metros</v>
      </c>
      <c r="AK3040" s="14">
        <f>VLOOKUP(E3040,Precios!Z$2:BB$941,3,FALSE)*F3040</f>
        <v>-2</v>
      </c>
      <c r="AL3040" s="17"/>
      <c r="AM3040" s="17"/>
      <c r="AN3040" s="17"/>
      <c r="AO3040" s="17"/>
      <c r="AP3040" s="17"/>
      <c r="AQ3040" s="17"/>
      <c r="AR3040" s="17"/>
      <c r="AS3040" s="17"/>
      <c r="AT3040" s="17"/>
      <c r="AU3040" s="17"/>
      <c r="AV3040" s="17"/>
    </row>
    <row r="3041" spans="1:48" ht="15.75" customHeight="1">
      <c r="A3041" s="21" t="s">
        <v>43</v>
      </c>
      <c r="B3041" s="23" t="s">
        <v>1692</v>
      </c>
      <c r="C3041" s="22">
        <v>45702</v>
      </c>
      <c r="D3041" s="23" t="s">
        <v>276</v>
      </c>
      <c r="E3041" s="23" t="s">
        <v>45</v>
      </c>
      <c r="F3041" s="14">
        <v>1</v>
      </c>
      <c r="G3041" s="12">
        <v>6900.1306988544629</v>
      </c>
      <c r="H3041" s="12">
        <v>6900.1306988544629</v>
      </c>
      <c r="I3041" s="23" t="s">
        <v>52</v>
      </c>
      <c r="J3041" s="23" t="s">
        <v>61</v>
      </c>
      <c r="K3041" s="24" t="s">
        <v>177</v>
      </c>
      <c r="L3041" s="24">
        <v>102</v>
      </c>
      <c r="M3041" s="12">
        <v>5798.4291587012294</v>
      </c>
      <c r="N3041" s="12">
        <v>5798.4291587012294</v>
      </c>
      <c r="O3041" s="12">
        <v>1101.7015401532335</v>
      </c>
      <c r="P3041" s="13"/>
      <c r="Q3041" s="14">
        <v>2025</v>
      </c>
      <c r="R3041" s="15">
        <v>45323</v>
      </c>
      <c r="S3041" s="11" t="s">
        <v>355</v>
      </c>
      <c r="T3041" s="16">
        <v>0</v>
      </c>
      <c r="U3041" s="17"/>
      <c r="V3041" s="12">
        <v>1273.219074667616</v>
      </c>
      <c r="W3041" s="12">
        <v>1273.219074667616</v>
      </c>
      <c r="X3041" s="12">
        <v>0</v>
      </c>
      <c r="Y3041" s="18">
        <v>45698</v>
      </c>
      <c r="Z3041" s="13" t="s">
        <v>503</v>
      </c>
      <c r="AA3041" s="19" t="str">
        <f>VLOOKUP(D3041,Clientes!$A$2:$J$486,9,FALSE)</f>
        <v>Ocacional</v>
      </c>
      <c r="AB3041" s="13" t="str">
        <f>VLOOKUP(D3041,Clientes!$A$2:$K$486,11,FALSE)</f>
        <v>Persona Natural</v>
      </c>
      <c r="AC3041" s="13" t="str">
        <f>VLOOKUP(D3041,Clientes!$A$2:$B$486,2,FALSE)</f>
        <v>Jardin del eden</v>
      </c>
      <c r="AD3041" s="20"/>
      <c r="AE3041" s="20"/>
      <c r="AF3041" s="13" t="s">
        <v>40</v>
      </c>
      <c r="AG3041" s="15">
        <v>45323</v>
      </c>
      <c r="AH3041" s="13" t="s">
        <v>41</v>
      </c>
      <c r="AI3041" s="13" t="s">
        <v>43</v>
      </c>
      <c r="AJ3041" s="13" t="str">
        <f>VLOOKUP(E3041,Precios!Z$2:AA$941,2,FALSE)</f>
        <v>Bandeja Huevos EXTRA</v>
      </c>
      <c r="AK3041" s="14">
        <f>VLOOKUP(E3041,Precios!Z$2:BB$941,3,FALSE)*F3041</f>
        <v>-1</v>
      </c>
      <c r="AL3041" s="17"/>
      <c r="AM3041" s="17"/>
      <c r="AN3041" s="17"/>
      <c r="AO3041" s="17"/>
      <c r="AP3041" s="17"/>
      <c r="AQ3041" s="17"/>
      <c r="AR3041" s="17"/>
      <c r="AS3041" s="17"/>
      <c r="AT3041" s="17"/>
      <c r="AU3041" s="17"/>
      <c r="AV3041" s="17"/>
    </row>
    <row r="3042" spans="1:48" ht="15.75" customHeight="1">
      <c r="A3042" s="21" t="s">
        <v>47</v>
      </c>
      <c r="B3042" s="23" t="s">
        <v>1692</v>
      </c>
      <c r="C3042" s="22">
        <v>45702</v>
      </c>
      <c r="D3042" s="23" t="s">
        <v>68</v>
      </c>
      <c r="E3042" s="23" t="s">
        <v>306</v>
      </c>
      <c r="F3042" s="14">
        <v>1</v>
      </c>
      <c r="G3042" s="12">
        <v>8000.0000000000009</v>
      </c>
      <c r="H3042" s="12">
        <v>8000.0000000000009</v>
      </c>
      <c r="I3042" s="23" t="s">
        <v>52</v>
      </c>
      <c r="J3042" s="23" t="s">
        <v>61</v>
      </c>
      <c r="K3042" s="24" t="s">
        <v>86</v>
      </c>
      <c r="L3042" s="24">
        <v>58</v>
      </c>
      <c r="M3042" s="12">
        <v>6722.6890756302528</v>
      </c>
      <c r="N3042" s="12">
        <v>6722.6890756302528</v>
      </c>
      <c r="O3042" s="12">
        <v>1277.3109243697481</v>
      </c>
      <c r="P3042" s="13"/>
      <c r="Q3042" s="14">
        <v>2025</v>
      </c>
      <c r="R3042" s="15">
        <v>45323</v>
      </c>
      <c r="S3042" s="11" t="s">
        <v>372</v>
      </c>
      <c r="T3042" s="16">
        <v>0</v>
      </c>
      <c r="U3042" s="17"/>
      <c r="V3042" s="12">
        <v>1781.5126050420176</v>
      </c>
      <c r="W3042" s="12">
        <v>1781.5126050420176</v>
      </c>
      <c r="X3042" s="12">
        <v>0</v>
      </c>
      <c r="Y3042" s="18">
        <v>45698</v>
      </c>
      <c r="Z3042" s="13" t="s">
        <v>503</v>
      </c>
      <c r="AA3042" s="19" t="str">
        <f>VLOOKUP(D3042,Clientes!$A$2:$J$486,9,FALSE)</f>
        <v>Frecuente</v>
      </c>
      <c r="AB3042" s="13" t="str">
        <f>VLOOKUP(D3042,Clientes!$A$2:$K$486,11,FALSE)</f>
        <v>Empresa</v>
      </c>
      <c r="AC3042" s="13" t="str">
        <f>VLOOKUP(D3042,Clientes!$A$2:$B$486,2,FALSE)</f>
        <v>Jardines de la viña</v>
      </c>
      <c r="AD3042" s="20"/>
      <c r="AE3042" s="20"/>
      <c r="AF3042" s="13" t="s">
        <v>40</v>
      </c>
      <c r="AG3042" s="15">
        <v>45323</v>
      </c>
      <c r="AH3042" s="13" t="s">
        <v>41</v>
      </c>
      <c r="AI3042" s="13" t="s">
        <v>47</v>
      </c>
      <c r="AJ3042" s="13" t="str">
        <f>VLOOKUP(E3042,Precios!Z$2:AA$941,2,FALSE)</f>
        <v>Traperos Humedos VIRGINIA</v>
      </c>
      <c r="AK3042" s="14">
        <f>VLOOKUP(E3042,Precios!Z$2:BB$941,3,FALSE)*F3042</f>
        <v>-3</v>
      </c>
      <c r="AL3042" s="17"/>
      <c r="AM3042" s="17"/>
      <c r="AN3042" s="17"/>
      <c r="AO3042" s="17"/>
      <c r="AP3042" s="17"/>
      <c r="AQ3042" s="17"/>
      <c r="AR3042" s="17"/>
      <c r="AS3042" s="17"/>
      <c r="AT3042" s="17"/>
      <c r="AU3042" s="17"/>
      <c r="AV3042" s="17"/>
    </row>
    <row r="3043" spans="1:48" ht="15.75" customHeight="1">
      <c r="A3043" s="21" t="s">
        <v>47</v>
      </c>
      <c r="B3043" s="23" t="s">
        <v>1692</v>
      </c>
      <c r="C3043" s="22">
        <v>45702</v>
      </c>
      <c r="D3043" s="23" t="s">
        <v>68</v>
      </c>
      <c r="E3043" s="23" t="s">
        <v>71</v>
      </c>
      <c r="F3043" s="21">
        <v>2</v>
      </c>
      <c r="G3043" s="12">
        <v>2500</v>
      </c>
      <c r="H3043" s="12">
        <v>5000</v>
      </c>
      <c r="I3043" s="23" t="s">
        <v>52</v>
      </c>
      <c r="J3043" s="23" t="s">
        <v>61</v>
      </c>
      <c r="K3043" s="24" t="s">
        <v>86</v>
      </c>
      <c r="L3043" s="24">
        <v>58</v>
      </c>
      <c r="M3043" s="12">
        <v>2100.840336134454</v>
      </c>
      <c r="N3043" s="12">
        <v>4201.680672268908</v>
      </c>
      <c r="O3043" s="12">
        <v>798.31932773109202</v>
      </c>
      <c r="P3043" s="13"/>
      <c r="Q3043" s="14">
        <v>2025</v>
      </c>
      <c r="R3043" s="15">
        <v>45323</v>
      </c>
      <c r="S3043" s="11" t="s">
        <v>414</v>
      </c>
      <c r="T3043" s="16">
        <v>0</v>
      </c>
      <c r="U3043" s="17"/>
      <c r="V3043" s="12">
        <v>1243.6974789915971</v>
      </c>
      <c r="W3043" s="12">
        <v>1243.6974789915971</v>
      </c>
      <c r="X3043" s="12">
        <v>0</v>
      </c>
      <c r="Y3043" s="18">
        <v>45698</v>
      </c>
      <c r="Z3043" s="13" t="s">
        <v>503</v>
      </c>
      <c r="AA3043" s="19" t="str">
        <f>VLOOKUP(D3043,Clientes!$A$2:$J$486,9,FALSE)</f>
        <v>Frecuente</v>
      </c>
      <c r="AB3043" s="13" t="str">
        <f>VLOOKUP(D3043,Clientes!$A$2:$K$486,11,FALSE)</f>
        <v>Empresa</v>
      </c>
      <c r="AC3043" s="13" t="str">
        <f>VLOOKUP(D3043,Clientes!$A$2:$B$486,2,FALSE)</f>
        <v>Jardines de la viña</v>
      </c>
      <c r="AD3043" s="20"/>
      <c r="AE3043" s="20"/>
      <c r="AF3043" s="13" t="s">
        <v>40</v>
      </c>
      <c r="AG3043" s="15">
        <v>45323</v>
      </c>
      <c r="AH3043" s="13" t="s">
        <v>41</v>
      </c>
      <c r="AI3043" s="13" t="s">
        <v>47</v>
      </c>
      <c r="AJ3043" s="13" t="str">
        <f>VLOOKUP(E3043,Precios!Z$2:AA$941,2,FALSE)</f>
        <v>Toalla desinfectante IGENIX 50 unidades</v>
      </c>
      <c r="AK3043" s="14">
        <f>VLOOKUP(E3043,Precios!Z$2:BB$941,3,FALSE)*F3043</f>
        <v>-2</v>
      </c>
      <c r="AL3043" s="17"/>
      <c r="AM3043" s="17"/>
      <c r="AN3043" s="17"/>
      <c r="AO3043" s="17"/>
      <c r="AP3043" s="17"/>
      <c r="AQ3043" s="17"/>
      <c r="AR3043" s="17"/>
      <c r="AS3043" s="17"/>
      <c r="AT3043" s="17"/>
      <c r="AU3043" s="17"/>
      <c r="AV3043" s="17"/>
    </row>
    <row r="3044" spans="1:48" ht="15.75" customHeight="1">
      <c r="A3044" s="21" t="s">
        <v>76</v>
      </c>
      <c r="B3044" s="23" t="s">
        <v>1692</v>
      </c>
      <c r="C3044" s="22">
        <v>45702</v>
      </c>
      <c r="D3044" s="23" t="s">
        <v>68</v>
      </c>
      <c r="E3044" s="23" t="s">
        <v>81</v>
      </c>
      <c r="F3044" s="21">
        <v>1</v>
      </c>
      <c r="G3044" s="12">
        <v>3500.0000000000005</v>
      </c>
      <c r="H3044" s="12">
        <v>3500.0000000000005</v>
      </c>
      <c r="I3044" s="23" t="s">
        <v>52</v>
      </c>
      <c r="J3044" s="23" t="s">
        <v>61</v>
      </c>
      <c r="K3044" s="24" t="s">
        <v>86</v>
      </c>
      <c r="L3044" s="24">
        <v>58</v>
      </c>
      <c r="M3044" s="12">
        <v>2941.1764705882356</v>
      </c>
      <c r="N3044" s="12">
        <v>2941.1764705882356</v>
      </c>
      <c r="O3044" s="12">
        <v>558.82352941176487</v>
      </c>
      <c r="P3044" s="13"/>
      <c r="Q3044" s="14">
        <v>2025</v>
      </c>
      <c r="R3044" s="15">
        <v>45323</v>
      </c>
      <c r="S3044" s="11" t="s">
        <v>397</v>
      </c>
      <c r="T3044" s="16">
        <v>5</v>
      </c>
      <c r="U3044" s="17"/>
      <c r="V3044" s="12">
        <v>764.70588235294144</v>
      </c>
      <c r="W3044" s="12">
        <v>764.70588235294144</v>
      </c>
      <c r="X3044" s="12">
        <v>0</v>
      </c>
      <c r="Y3044" s="18">
        <v>45698</v>
      </c>
      <c r="Z3044" s="13" t="s">
        <v>503</v>
      </c>
      <c r="AA3044" s="19" t="str">
        <f>VLOOKUP(D3044,Clientes!$A$2:$J$486,9,FALSE)</f>
        <v>Frecuente</v>
      </c>
      <c r="AB3044" s="13" t="str">
        <f>VLOOKUP(D3044,Clientes!$A$2:$K$486,11,FALSE)</f>
        <v>Empresa</v>
      </c>
      <c r="AC3044" s="13" t="str">
        <f>VLOOKUP(D3044,Clientes!$A$2:$B$486,2,FALSE)</f>
        <v>Jardines de la viña</v>
      </c>
      <c r="AD3044" s="20"/>
      <c r="AE3044" s="20"/>
      <c r="AF3044" s="13" t="s">
        <v>40</v>
      </c>
      <c r="AG3044" s="15">
        <v>45323</v>
      </c>
      <c r="AH3044" s="13" t="s">
        <v>41</v>
      </c>
      <c r="AI3044" s="13" t="s">
        <v>76</v>
      </c>
      <c r="AJ3044" s="13" t="str">
        <f>VLOOKUP(E3044,Precios!Z$2:AA$941,2,FALSE)</f>
        <v>Detergente SPUM 5 Litros (Verde)</v>
      </c>
      <c r="AK3044" s="14">
        <f>VLOOKUP(E3044,Precios!Z$2:BB$941,3,FALSE)*F3044</f>
        <v>-1</v>
      </c>
      <c r="AL3044" s="17"/>
      <c r="AM3044" s="17"/>
      <c r="AN3044" s="17"/>
      <c r="AO3044" s="17"/>
      <c r="AP3044" s="17"/>
      <c r="AQ3044" s="17"/>
      <c r="AR3044" s="17"/>
      <c r="AS3044" s="17"/>
      <c r="AT3044" s="17"/>
      <c r="AU3044" s="17"/>
      <c r="AV3044" s="17"/>
    </row>
    <row r="3045" spans="1:48" ht="15.75" customHeight="1">
      <c r="A3045" s="21" t="s">
        <v>53</v>
      </c>
      <c r="B3045" s="23" t="s">
        <v>1692</v>
      </c>
      <c r="C3045" s="22">
        <v>45702</v>
      </c>
      <c r="D3045" s="23" t="s">
        <v>68</v>
      </c>
      <c r="E3045" s="23" t="s">
        <v>55</v>
      </c>
      <c r="F3045" s="21">
        <v>1</v>
      </c>
      <c r="G3045" s="12">
        <v>19989.738327347361</v>
      </c>
      <c r="H3045" s="12">
        <v>19989.738327347361</v>
      </c>
      <c r="I3045" s="23" t="s">
        <v>52</v>
      </c>
      <c r="J3045" s="23" t="s">
        <v>61</v>
      </c>
      <c r="K3045" s="24" t="s">
        <v>86</v>
      </c>
      <c r="L3045" s="24">
        <v>58</v>
      </c>
      <c r="M3045" s="12">
        <v>16798.099434745684</v>
      </c>
      <c r="N3045" s="12">
        <v>16798.099434745684</v>
      </c>
      <c r="O3045" s="12">
        <v>3191.6388926016771</v>
      </c>
      <c r="P3045" s="13"/>
      <c r="Q3045" s="14">
        <v>2025</v>
      </c>
      <c r="R3045" s="15">
        <v>45323</v>
      </c>
      <c r="S3045" s="11" t="s">
        <v>366</v>
      </c>
      <c r="T3045" s="16">
        <v>0</v>
      </c>
      <c r="U3045" s="17"/>
      <c r="V3045" s="12">
        <v>3702.3011154179476</v>
      </c>
      <c r="W3045" s="12">
        <v>3702.3011154179476</v>
      </c>
      <c r="X3045" s="12">
        <v>0</v>
      </c>
      <c r="Y3045" s="18">
        <v>45698</v>
      </c>
      <c r="Z3045" s="13" t="s">
        <v>503</v>
      </c>
      <c r="AA3045" s="19" t="str">
        <f>VLOOKUP(D3045,Clientes!$A$2:$J$486,9,FALSE)</f>
        <v>Frecuente</v>
      </c>
      <c r="AB3045" s="13" t="str">
        <f>VLOOKUP(D3045,Clientes!$A$2:$K$486,11,FALSE)</f>
        <v>Empresa</v>
      </c>
      <c r="AC3045" s="13" t="str">
        <f>VLOOKUP(D3045,Clientes!$A$2:$B$486,2,FALSE)</f>
        <v>Jardines de la viña</v>
      </c>
      <c r="AD3045" s="20"/>
      <c r="AE3045" s="20"/>
      <c r="AF3045" s="13" t="s">
        <v>40</v>
      </c>
      <c r="AG3045" s="15">
        <v>45323</v>
      </c>
      <c r="AH3045" s="13" t="s">
        <v>41</v>
      </c>
      <c r="AI3045" s="13" t="s">
        <v>53</v>
      </c>
      <c r="AJ3045" s="13" t="str">
        <f>VLOOKUP(E3045,Precios!Z$2:AA$941,2,FALSE)</f>
        <v>Papel Higienico ELITE 50 metros</v>
      </c>
      <c r="AK3045" s="14">
        <f>VLOOKUP(E3045,Precios!Z$2:BB$941,3,FALSE)*F3045</f>
        <v>-8</v>
      </c>
      <c r="AL3045" s="17"/>
      <c r="AM3045" s="17"/>
      <c r="AN3045" s="17"/>
      <c r="AO3045" s="17"/>
      <c r="AP3045" s="17"/>
      <c r="AQ3045" s="17"/>
      <c r="AR3045" s="17"/>
      <c r="AS3045" s="17"/>
      <c r="AT3045" s="17"/>
      <c r="AU3045" s="17"/>
      <c r="AV3045" s="17"/>
    </row>
    <row r="3046" spans="1:48" ht="15.75" customHeight="1">
      <c r="A3046" s="21" t="s">
        <v>53</v>
      </c>
      <c r="B3046" s="23" t="s">
        <v>1692</v>
      </c>
      <c r="C3046" s="22">
        <v>45702</v>
      </c>
      <c r="D3046" s="23" t="s">
        <v>68</v>
      </c>
      <c r="E3046" s="23" t="s">
        <v>109</v>
      </c>
      <c r="F3046" s="21">
        <v>1</v>
      </c>
      <c r="G3046" s="12">
        <v>10000</v>
      </c>
      <c r="H3046" s="12">
        <v>10000</v>
      </c>
      <c r="I3046" s="23" t="s">
        <v>52</v>
      </c>
      <c r="J3046" s="23" t="s">
        <v>61</v>
      </c>
      <c r="K3046" s="24" t="s">
        <v>86</v>
      </c>
      <c r="L3046" s="24">
        <v>58</v>
      </c>
      <c r="M3046" s="12">
        <v>8403.361344537816</v>
      </c>
      <c r="N3046" s="12">
        <v>8403.361344537816</v>
      </c>
      <c r="O3046" s="12">
        <v>1596.638655462184</v>
      </c>
      <c r="P3046" s="13"/>
      <c r="Q3046" s="14">
        <v>2025</v>
      </c>
      <c r="R3046" s="15">
        <v>45323</v>
      </c>
      <c r="S3046" s="11" t="s">
        <v>395</v>
      </c>
      <c r="T3046" s="16">
        <v>400</v>
      </c>
      <c r="U3046" s="17"/>
      <c r="V3046" s="12">
        <v>2100.8403361344544</v>
      </c>
      <c r="W3046" s="12">
        <v>2100.8403361344544</v>
      </c>
      <c r="X3046" s="12">
        <v>0</v>
      </c>
      <c r="Y3046" s="18">
        <v>45698</v>
      </c>
      <c r="Z3046" s="13" t="s">
        <v>503</v>
      </c>
      <c r="AA3046" s="19" t="str">
        <f>VLOOKUP(D3046,Clientes!$A$2:$J$486,9,FALSE)</f>
        <v>Frecuente</v>
      </c>
      <c r="AB3046" s="13" t="str">
        <f>VLOOKUP(D3046,Clientes!$A$2:$K$486,11,FALSE)</f>
        <v>Empresa</v>
      </c>
      <c r="AC3046" s="13" t="str">
        <f>VLOOKUP(D3046,Clientes!$A$2:$B$486,2,FALSE)</f>
        <v>Jardines de la viña</v>
      </c>
      <c r="AD3046" s="20"/>
      <c r="AE3046" s="20"/>
      <c r="AF3046" s="13" t="s">
        <v>40</v>
      </c>
      <c r="AG3046" s="15">
        <v>45323</v>
      </c>
      <c r="AH3046" s="13" t="s">
        <v>41</v>
      </c>
      <c r="AI3046" s="13" t="s">
        <v>53</v>
      </c>
      <c r="AJ3046" s="13" t="str">
        <f>VLOOKUP(E3046,Precios!Z$2:AA$941,2,FALSE)</f>
        <v>Toalla Papel SPUM D/H 100 metros</v>
      </c>
      <c r="AK3046" s="14">
        <f>VLOOKUP(E3046,Precios!Z$2:BB$941,3,FALSE)*F3046</f>
        <v>-4</v>
      </c>
      <c r="AL3046" s="17"/>
      <c r="AM3046" s="17"/>
      <c r="AN3046" s="17"/>
      <c r="AO3046" s="17"/>
      <c r="AP3046" s="17"/>
      <c r="AQ3046" s="17"/>
      <c r="AR3046" s="17"/>
      <c r="AS3046" s="17"/>
      <c r="AT3046" s="17"/>
      <c r="AU3046" s="17"/>
      <c r="AV3046" s="17"/>
    </row>
    <row r="3047" spans="1:48" ht="15.75" customHeight="1">
      <c r="A3047" s="21" t="s">
        <v>47</v>
      </c>
      <c r="B3047" s="23" t="s">
        <v>1692</v>
      </c>
      <c r="C3047" s="22">
        <v>45702</v>
      </c>
      <c r="D3047" s="23" t="s">
        <v>915</v>
      </c>
      <c r="E3047" s="23" t="s">
        <v>743</v>
      </c>
      <c r="F3047" s="14">
        <v>1</v>
      </c>
      <c r="G3047" s="12">
        <v>2199.9467234949389</v>
      </c>
      <c r="H3047" s="34">
        <v>2199.9467234949389</v>
      </c>
      <c r="I3047" s="23" t="s">
        <v>52</v>
      </c>
      <c r="J3047" s="23" t="s">
        <v>61</v>
      </c>
      <c r="K3047" s="24" t="s">
        <v>177</v>
      </c>
      <c r="L3047" s="24">
        <v>102</v>
      </c>
      <c r="M3047" s="12">
        <v>1848.6947256259991</v>
      </c>
      <c r="N3047" s="12">
        <v>1848.6947256259991</v>
      </c>
      <c r="O3047" s="12">
        <v>351.25199786893972</v>
      </c>
      <c r="P3047" s="13"/>
      <c r="Q3047" s="14">
        <v>2025</v>
      </c>
      <c r="R3047" s="15">
        <v>45323</v>
      </c>
      <c r="S3047" s="11" t="s">
        <v>540</v>
      </c>
      <c r="T3047" s="16">
        <v>0</v>
      </c>
      <c r="U3047" s="17"/>
      <c r="V3047" s="12">
        <v>807.69472562599913</v>
      </c>
      <c r="W3047" s="12">
        <v>807.69472562599913</v>
      </c>
      <c r="X3047" s="12">
        <v>0</v>
      </c>
      <c r="Y3047" s="18">
        <v>45698</v>
      </c>
      <c r="Z3047" s="13" t="s">
        <v>503</v>
      </c>
      <c r="AA3047" s="19" t="str">
        <f>VLOOKUP(D3047,Clientes!$A$2:$J$486,9,FALSE)</f>
        <v>Regular</v>
      </c>
      <c r="AB3047" s="13" t="str">
        <f>VLOOKUP(D3047,Clientes!$A$2:$K$486,11,FALSE)</f>
        <v>Persona Natural</v>
      </c>
      <c r="AC3047" s="13" t="str">
        <f>VLOOKUP(D3047,Clientes!$A$2:$B$486,2,FALSE)</f>
        <v>Jardin del Eden</v>
      </c>
      <c r="AD3047" s="20"/>
      <c r="AE3047" s="20"/>
      <c r="AF3047" s="13" t="s">
        <v>40</v>
      </c>
      <c r="AG3047" s="15">
        <v>45323</v>
      </c>
      <c r="AH3047" s="13" t="s">
        <v>41</v>
      </c>
      <c r="AI3047" s="13" t="s">
        <v>47</v>
      </c>
      <c r="AJ3047" s="13" t="str">
        <f>VLOOKUP(E3047,Precios!Z$2:AA$941,2,FALSE)</f>
        <v>Toallas Humedas Adultos TEDDY 50 unidades</v>
      </c>
      <c r="AK3047" s="14">
        <f>VLOOKUP(E3047,Precios!Z$2:BB$941,3,FALSE)*F3047</f>
        <v>-1</v>
      </c>
      <c r="AL3047" s="17"/>
      <c r="AM3047" s="17"/>
      <c r="AN3047" s="17"/>
      <c r="AO3047" s="17"/>
      <c r="AP3047" s="17"/>
      <c r="AQ3047" s="17"/>
      <c r="AR3047" s="17"/>
      <c r="AS3047" s="17"/>
      <c r="AT3047" s="17"/>
      <c r="AU3047" s="17"/>
      <c r="AV3047" s="17"/>
    </row>
    <row r="3048" spans="1:48" ht="15.75" customHeight="1">
      <c r="A3048" s="21" t="s">
        <v>53</v>
      </c>
      <c r="B3048" s="23" t="s">
        <v>1692</v>
      </c>
      <c r="C3048" s="22">
        <v>45702</v>
      </c>
      <c r="D3048" s="23" t="s">
        <v>135</v>
      </c>
      <c r="E3048" s="23" t="s">
        <v>97</v>
      </c>
      <c r="F3048" s="14">
        <v>1</v>
      </c>
      <c r="G3048" s="12">
        <v>15500.298388701016</v>
      </c>
      <c r="H3048" s="12">
        <v>15500.298388701016</v>
      </c>
      <c r="I3048" s="23" t="s">
        <v>52</v>
      </c>
      <c r="J3048" s="23" t="s">
        <v>61</v>
      </c>
      <c r="K3048" s="24" t="s">
        <v>177</v>
      </c>
      <c r="L3048" s="24">
        <v>102</v>
      </c>
      <c r="M3048" s="12">
        <v>13025.46083084119</v>
      </c>
      <c r="N3048" s="12">
        <v>13025.46083084119</v>
      </c>
      <c r="O3048" s="12">
        <v>2474.8375578598261</v>
      </c>
      <c r="P3048" s="13"/>
      <c r="Q3048" s="14">
        <v>2025</v>
      </c>
      <c r="R3048" s="15">
        <v>45323</v>
      </c>
      <c r="S3048" s="11" t="s">
        <v>366</v>
      </c>
      <c r="T3048" s="16">
        <v>0</v>
      </c>
      <c r="U3048" s="17"/>
      <c r="V3048" s="12">
        <v>3203.6120913453906</v>
      </c>
      <c r="W3048" s="12">
        <v>3203.6120913453906</v>
      </c>
      <c r="X3048" s="12">
        <v>0</v>
      </c>
      <c r="Y3048" s="18">
        <v>45698</v>
      </c>
      <c r="Z3048" s="13" t="s">
        <v>503</v>
      </c>
      <c r="AA3048" s="19" t="str">
        <f>VLOOKUP(D3048,Clientes!$A$2:$J$486,9,FALSE)</f>
        <v>Frecuente</v>
      </c>
      <c r="AB3048" s="13" t="str">
        <f>VLOOKUP(D3048,Clientes!$A$2:$K$486,11,FALSE)</f>
        <v>Persona Natural</v>
      </c>
      <c r="AC3048" s="13" t="str">
        <f>VLOOKUP(D3048,Clientes!$A$2:$B$486,2,FALSE)</f>
        <v>Ex 4to Antilhue</v>
      </c>
      <c r="AD3048" s="20"/>
      <c r="AE3048" s="20"/>
      <c r="AF3048" s="13" t="s">
        <v>40</v>
      </c>
      <c r="AG3048" s="15">
        <v>45323</v>
      </c>
      <c r="AH3048" s="13" t="s">
        <v>41</v>
      </c>
      <c r="AI3048" s="13" t="s">
        <v>53</v>
      </c>
      <c r="AJ3048" s="13" t="str">
        <f>VLOOKUP(E3048,Precios!Z$2:AA$941,2,FALSE)</f>
        <v>Papel Higienico ELITE 50 metros</v>
      </c>
      <c r="AK3048" s="14">
        <f>VLOOKUP(E3048,Precios!Z$2:BB$941,3,FALSE)*F3048</f>
        <v>-6</v>
      </c>
      <c r="AL3048" s="17"/>
      <c r="AM3048" s="17"/>
      <c r="AN3048" s="17"/>
      <c r="AO3048" s="17"/>
      <c r="AP3048" s="17"/>
      <c r="AQ3048" s="17"/>
      <c r="AR3048" s="17"/>
      <c r="AS3048" s="17"/>
      <c r="AT3048" s="17"/>
      <c r="AU3048" s="17"/>
      <c r="AV3048" s="17"/>
    </row>
    <row r="3049" spans="1:48" ht="15.75" customHeight="1">
      <c r="A3049" s="21" t="s">
        <v>76</v>
      </c>
      <c r="B3049" s="23" t="s">
        <v>1692</v>
      </c>
      <c r="C3049" s="22">
        <v>45702</v>
      </c>
      <c r="D3049" s="23" t="s">
        <v>135</v>
      </c>
      <c r="E3049" s="23" t="s">
        <v>82</v>
      </c>
      <c r="F3049" s="21">
        <v>2</v>
      </c>
      <c r="G3049" s="12">
        <v>2000.0000000000002</v>
      </c>
      <c r="H3049" s="12">
        <v>4000.0000000000005</v>
      </c>
      <c r="I3049" s="23" t="s">
        <v>52</v>
      </c>
      <c r="J3049" s="23" t="s">
        <v>61</v>
      </c>
      <c r="K3049" s="24" t="s">
        <v>177</v>
      </c>
      <c r="L3049" s="24">
        <v>102</v>
      </c>
      <c r="M3049" s="12">
        <v>1680.6722689075632</v>
      </c>
      <c r="N3049" s="12">
        <v>3361.3445378151264</v>
      </c>
      <c r="O3049" s="12">
        <v>638.65546218487407</v>
      </c>
      <c r="P3049" s="13"/>
      <c r="Q3049" s="14">
        <v>2025</v>
      </c>
      <c r="R3049" s="15">
        <v>45323</v>
      </c>
      <c r="S3049" s="11" t="s">
        <v>463</v>
      </c>
      <c r="T3049" s="16">
        <v>10</v>
      </c>
      <c r="U3049" s="17"/>
      <c r="V3049" s="12">
        <v>1361.3445378151264</v>
      </c>
      <c r="W3049" s="12">
        <v>1361.3445378151264</v>
      </c>
      <c r="X3049" s="12">
        <v>0</v>
      </c>
      <c r="Y3049" s="18">
        <v>45698</v>
      </c>
      <c r="Z3049" s="13" t="s">
        <v>503</v>
      </c>
      <c r="AA3049" s="19" t="str">
        <f>VLOOKUP(D3049,Clientes!$A$2:$J$486,9,FALSE)</f>
        <v>Frecuente</v>
      </c>
      <c r="AB3049" s="13" t="str">
        <f>VLOOKUP(D3049,Clientes!$A$2:$K$486,11,FALSE)</f>
        <v>Persona Natural</v>
      </c>
      <c r="AC3049" s="13" t="str">
        <f>VLOOKUP(D3049,Clientes!$A$2:$B$486,2,FALSE)</f>
        <v>Ex 4to Antilhue</v>
      </c>
      <c r="AD3049" s="20"/>
      <c r="AE3049" s="20"/>
      <c r="AF3049" s="13" t="s">
        <v>40</v>
      </c>
      <c r="AG3049" s="15">
        <v>45323</v>
      </c>
      <c r="AH3049" s="13" t="s">
        <v>41</v>
      </c>
      <c r="AI3049" s="13" t="s">
        <v>76</v>
      </c>
      <c r="AJ3049" s="13" t="str">
        <f>VLOOKUP(E3049,Precios!Z$2:AA$941,2,FALSE)</f>
        <v>Limpiapiso SPUM 5 Litros</v>
      </c>
      <c r="AK3049" s="14">
        <f>VLOOKUP(E3049,Precios!Z$2:BB$941,3,FALSE)*F3049</f>
        <v>-2</v>
      </c>
      <c r="AL3049" s="17"/>
      <c r="AM3049" s="17"/>
      <c r="AN3049" s="17"/>
      <c r="AO3049" s="17"/>
      <c r="AP3049" s="17"/>
      <c r="AQ3049" s="17"/>
      <c r="AR3049" s="17"/>
      <c r="AS3049" s="17"/>
      <c r="AT3049" s="17"/>
      <c r="AU3049" s="17"/>
      <c r="AV3049" s="17"/>
    </row>
    <row r="3050" spans="1:48" ht="15.75" customHeight="1">
      <c r="A3050" s="21" t="s">
        <v>76</v>
      </c>
      <c r="B3050" s="23" t="s">
        <v>1692</v>
      </c>
      <c r="C3050" s="22">
        <v>45702</v>
      </c>
      <c r="D3050" s="23" t="s">
        <v>135</v>
      </c>
      <c r="E3050" s="23" t="s">
        <v>137</v>
      </c>
      <c r="F3050" s="21">
        <v>2</v>
      </c>
      <c r="G3050" s="12">
        <v>3500.0000000000005</v>
      </c>
      <c r="H3050" s="12">
        <v>7000.0000000000009</v>
      </c>
      <c r="I3050" s="23" t="s">
        <v>52</v>
      </c>
      <c r="J3050" s="23" t="s">
        <v>61</v>
      </c>
      <c r="K3050" s="24" t="s">
        <v>177</v>
      </c>
      <c r="L3050" s="24">
        <v>102</v>
      </c>
      <c r="M3050" s="12">
        <v>2941.1764705882356</v>
      </c>
      <c r="N3050" s="12">
        <v>5882.3529411764712</v>
      </c>
      <c r="O3050" s="12">
        <v>1117.6470588235297</v>
      </c>
      <c r="P3050" s="13"/>
      <c r="Q3050" s="14">
        <v>2025</v>
      </c>
      <c r="R3050" s="15">
        <v>45323</v>
      </c>
      <c r="S3050" s="11" t="s">
        <v>406</v>
      </c>
      <c r="T3050" s="16">
        <v>10</v>
      </c>
      <c r="U3050" s="17"/>
      <c r="V3050" s="12">
        <v>1697.4789915966394</v>
      </c>
      <c r="W3050" s="12">
        <v>1697.4789915966394</v>
      </c>
      <c r="X3050" s="12">
        <v>0</v>
      </c>
      <c r="Y3050" s="18">
        <v>45698</v>
      </c>
      <c r="Z3050" s="13" t="s">
        <v>503</v>
      </c>
      <c r="AA3050" s="19" t="str">
        <f>VLOOKUP(D3050,Clientes!$A$2:$J$486,9,FALSE)</f>
        <v>Frecuente</v>
      </c>
      <c r="AB3050" s="13" t="str">
        <f>VLOOKUP(D3050,Clientes!$A$2:$K$486,11,FALSE)</f>
        <v>Persona Natural</v>
      </c>
      <c r="AC3050" s="13" t="str">
        <f>VLOOKUP(D3050,Clientes!$A$2:$B$486,2,FALSE)</f>
        <v>Ex 4to Antilhue</v>
      </c>
      <c r="AD3050" s="20"/>
      <c r="AE3050" s="20"/>
      <c r="AF3050" s="13" t="s">
        <v>40</v>
      </c>
      <c r="AG3050" s="15">
        <v>45323</v>
      </c>
      <c r="AH3050" s="13" t="s">
        <v>41</v>
      </c>
      <c r="AI3050" s="13" t="s">
        <v>76</v>
      </c>
      <c r="AJ3050" s="13" t="str">
        <f>VLOOKUP(E3050,Precios!Z$2:AA$941,2,FALSE)</f>
        <v>Detergente SPUM 5 Litros (Blanco)</v>
      </c>
      <c r="AK3050" s="14">
        <f>VLOOKUP(E3050,Precios!Z$2:BB$941,3,FALSE)*F3050</f>
        <v>-2</v>
      </c>
      <c r="AL3050" s="17"/>
      <c r="AM3050" s="17"/>
      <c r="AN3050" s="17"/>
      <c r="AO3050" s="17"/>
      <c r="AP3050" s="17"/>
      <c r="AQ3050" s="17"/>
      <c r="AR3050" s="17"/>
      <c r="AS3050" s="17"/>
      <c r="AT3050" s="17"/>
      <c r="AU3050" s="17"/>
      <c r="AV3050" s="17"/>
    </row>
    <row r="3051" spans="1:48" ht="15.75" customHeight="1">
      <c r="A3051" s="21" t="s">
        <v>53</v>
      </c>
      <c r="B3051" s="23" t="s">
        <v>1692</v>
      </c>
      <c r="C3051" s="22">
        <v>45701</v>
      </c>
      <c r="D3051" s="23" t="s">
        <v>152</v>
      </c>
      <c r="E3051" s="23" t="s">
        <v>192</v>
      </c>
      <c r="F3051" s="14">
        <v>1</v>
      </c>
      <c r="G3051" s="12">
        <v>15990.211345939933</v>
      </c>
      <c r="H3051" s="12">
        <v>15990.211345939933</v>
      </c>
      <c r="I3051" s="23" t="s">
        <v>52</v>
      </c>
      <c r="J3051" s="23" t="s">
        <v>61</v>
      </c>
      <c r="K3051" s="24" t="s">
        <v>177</v>
      </c>
      <c r="L3051" s="24">
        <v>102</v>
      </c>
      <c r="M3051" s="12">
        <v>13437.152391546164</v>
      </c>
      <c r="N3051" s="12">
        <v>13437.152391546164</v>
      </c>
      <c r="O3051" s="12">
        <v>2553.0589543937695</v>
      </c>
      <c r="P3051" s="13"/>
      <c r="Q3051" s="14">
        <v>2025</v>
      </c>
      <c r="R3051" s="15">
        <v>45323</v>
      </c>
      <c r="S3051" s="11" t="s">
        <v>435</v>
      </c>
      <c r="T3051" s="16">
        <v>0</v>
      </c>
      <c r="U3051" s="17"/>
      <c r="V3051" s="12">
        <v>3773.1523915461621</v>
      </c>
      <c r="W3051" s="12">
        <v>3773.1523915461621</v>
      </c>
      <c r="X3051" s="12">
        <v>0</v>
      </c>
      <c r="Y3051" s="18">
        <v>45698</v>
      </c>
      <c r="Z3051" s="13" t="s">
        <v>505</v>
      </c>
      <c r="AA3051" s="19" t="str">
        <f>VLOOKUP(D3051,Clientes!$A$2:$J$486,9,FALSE)</f>
        <v>Ocacional</v>
      </c>
      <c r="AB3051" s="13" t="str">
        <f>VLOOKUP(D3051,Clientes!$A$2:$K$486,11,FALSE)</f>
        <v>Persona Natural</v>
      </c>
      <c r="AC3051" s="13" t="str">
        <f>VLOOKUP(D3051,Clientes!$A$2:$B$486,2,FALSE)</f>
        <v>Jardines de la viña</v>
      </c>
      <c r="AD3051" s="20"/>
      <c r="AE3051" s="20"/>
      <c r="AF3051" s="13" t="s">
        <v>40</v>
      </c>
      <c r="AG3051" s="15">
        <v>45323</v>
      </c>
      <c r="AH3051" s="13" t="s">
        <v>41</v>
      </c>
      <c r="AI3051" s="13" t="s">
        <v>53</v>
      </c>
      <c r="AJ3051" s="13" t="str">
        <f>VLOOKUP(E3051,Precios!Z$2:AA$941,2,FALSE)</f>
        <v>Papel Higienico SWAN 400 hojas</v>
      </c>
      <c r="AK3051" s="14">
        <f>VLOOKUP(E3051,Precios!Z$2:BB$941,3,FALSE)*F3051</f>
        <v>-8</v>
      </c>
      <c r="AL3051" s="17"/>
      <c r="AM3051" s="17"/>
      <c r="AN3051" s="17"/>
      <c r="AO3051" s="17"/>
      <c r="AP3051" s="17"/>
      <c r="AQ3051" s="17"/>
      <c r="AR3051" s="17"/>
      <c r="AS3051" s="17"/>
      <c r="AT3051" s="17"/>
      <c r="AU3051" s="17"/>
      <c r="AV3051" s="17"/>
    </row>
    <row r="3052" spans="1:48" ht="15.75" customHeight="1">
      <c r="A3052" s="21" t="s">
        <v>47</v>
      </c>
      <c r="B3052" s="23" t="s">
        <v>1692</v>
      </c>
      <c r="C3052" s="22">
        <v>45701</v>
      </c>
      <c r="D3052" s="23" t="s">
        <v>744</v>
      </c>
      <c r="E3052" s="23" t="s">
        <v>155</v>
      </c>
      <c r="F3052" s="14">
        <v>1</v>
      </c>
      <c r="G3052" s="12">
        <v>3400</v>
      </c>
      <c r="H3052" s="12">
        <v>3400</v>
      </c>
      <c r="I3052" s="23" t="s">
        <v>52</v>
      </c>
      <c r="J3052" s="23" t="s">
        <v>61</v>
      </c>
      <c r="K3052" s="24" t="s">
        <v>177</v>
      </c>
      <c r="L3052" s="24">
        <v>102</v>
      </c>
      <c r="M3052" s="12">
        <v>2857.1428571428573</v>
      </c>
      <c r="N3052" s="12">
        <v>2857.1428571428573</v>
      </c>
      <c r="O3052" s="12">
        <v>542.85714285714266</v>
      </c>
      <c r="P3052" s="13"/>
      <c r="Q3052" s="14">
        <v>2025</v>
      </c>
      <c r="R3052" s="15">
        <v>45323</v>
      </c>
      <c r="S3052" s="11" t="s">
        <v>453</v>
      </c>
      <c r="T3052" s="16">
        <v>0</v>
      </c>
      <c r="U3052" s="17"/>
      <c r="V3052" s="12">
        <v>1255.1428571428573</v>
      </c>
      <c r="W3052" s="12">
        <v>1255.1428571428573</v>
      </c>
      <c r="X3052" s="12">
        <v>0</v>
      </c>
      <c r="Y3052" s="18">
        <v>45698</v>
      </c>
      <c r="Z3052" s="13" t="s">
        <v>505</v>
      </c>
      <c r="AA3052" s="19" t="str">
        <f>VLOOKUP(D3052,Clientes!$A$2:$J$486,9,FALSE)</f>
        <v>Ocacional</v>
      </c>
      <c r="AB3052" s="13" t="str">
        <f>VLOOKUP(D3052,Clientes!$A$2:$K$486,11,FALSE)</f>
        <v>Persona Natural</v>
      </c>
      <c r="AC3052" s="13" t="str">
        <f>VLOOKUP(D3052,Clientes!$A$2:$B$486,2,FALSE)</f>
        <v>Fyrma Grafica</v>
      </c>
      <c r="AD3052" s="20"/>
      <c r="AE3052" s="20"/>
      <c r="AF3052" s="13" t="s">
        <v>40</v>
      </c>
      <c r="AG3052" s="15">
        <v>45323</v>
      </c>
      <c r="AH3052" s="13" t="s">
        <v>41</v>
      </c>
      <c r="AI3052" s="13" t="s">
        <v>47</v>
      </c>
      <c r="AJ3052" s="13" t="str">
        <f>VLOOKUP(E3052,Precios!Z$2:AA$941,2,FALSE)</f>
        <v xml:space="preserve">Bolsas Basura TEDDY 50x70 </v>
      </c>
      <c r="AK3052" s="14">
        <f>VLOOKUP(E3052,Precios!Z$2:BB$941,3,FALSE)*F3052</f>
        <v>-6</v>
      </c>
      <c r="AL3052" s="17"/>
      <c r="AM3052" s="17"/>
      <c r="AN3052" s="17"/>
      <c r="AO3052" s="17"/>
      <c r="AP3052" s="17"/>
      <c r="AQ3052" s="17"/>
      <c r="AR3052" s="17"/>
      <c r="AS3052" s="17"/>
      <c r="AT3052" s="17"/>
      <c r="AU3052" s="17"/>
      <c r="AV3052" s="17"/>
    </row>
    <row r="3053" spans="1:48" ht="15.75" customHeight="1">
      <c r="A3053" s="21" t="s">
        <v>47</v>
      </c>
      <c r="B3053" s="23" t="s">
        <v>1692</v>
      </c>
      <c r="C3053" s="22">
        <v>45701</v>
      </c>
      <c r="D3053" s="23" t="s">
        <v>744</v>
      </c>
      <c r="E3053" s="23" t="s">
        <v>48</v>
      </c>
      <c r="F3053" s="14">
        <v>1</v>
      </c>
      <c r="G3053" s="12">
        <v>1000</v>
      </c>
      <c r="H3053" s="12">
        <v>1000</v>
      </c>
      <c r="I3053" s="23" t="s">
        <v>52</v>
      </c>
      <c r="J3053" s="23" t="s">
        <v>61</v>
      </c>
      <c r="K3053" s="24" t="s">
        <v>177</v>
      </c>
      <c r="L3053" s="24">
        <v>102</v>
      </c>
      <c r="M3053" s="12">
        <v>840.3361344537816</v>
      </c>
      <c r="N3053" s="12">
        <v>840.3361344537816</v>
      </c>
      <c r="O3053" s="12">
        <v>159.6638655462184</v>
      </c>
      <c r="P3053" s="13"/>
      <c r="Q3053" s="14">
        <v>2025</v>
      </c>
      <c r="R3053" s="15">
        <v>45323</v>
      </c>
      <c r="S3053" s="11" t="s">
        <v>416</v>
      </c>
      <c r="T3053" s="16">
        <v>0</v>
      </c>
      <c r="U3053" s="17"/>
      <c r="V3053" s="12">
        <v>330.33613445378148</v>
      </c>
      <c r="W3053" s="12">
        <v>330.33613445378148</v>
      </c>
      <c r="X3053" s="12">
        <v>0</v>
      </c>
      <c r="Y3053" s="18">
        <v>45698</v>
      </c>
      <c r="Z3053" s="13" t="s">
        <v>505</v>
      </c>
      <c r="AA3053" s="19" t="str">
        <f>VLOOKUP(D3053,Clientes!$A$2:$J$486,9,FALSE)</f>
        <v>Ocacional</v>
      </c>
      <c r="AB3053" s="13" t="str">
        <f>VLOOKUP(D3053,Clientes!$A$2:$K$486,11,FALSE)</f>
        <v>Persona Natural</v>
      </c>
      <c r="AC3053" s="13" t="str">
        <f>VLOOKUP(D3053,Clientes!$A$2:$B$486,2,FALSE)</f>
        <v>Fyrma Grafica</v>
      </c>
      <c r="AD3053" s="20"/>
      <c r="AE3053" s="20"/>
      <c r="AF3053" s="13" t="s">
        <v>40</v>
      </c>
      <c r="AG3053" s="15">
        <v>45323</v>
      </c>
      <c r="AH3053" s="13" t="s">
        <v>41</v>
      </c>
      <c r="AI3053" s="13" t="s">
        <v>47</v>
      </c>
      <c r="AJ3053" s="13" t="str">
        <f>VLOOKUP(E3053,Precios!Z$2:AA$941,2,FALSE)</f>
        <v>Esponja Acanalada TEDDY</v>
      </c>
      <c r="AK3053" s="14">
        <f>VLOOKUP(E3053,Precios!Z$2:BB$941,3,FALSE)*F3053</f>
        <v>-5</v>
      </c>
      <c r="AL3053" s="17"/>
      <c r="AM3053" s="17"/>
      <c r="AN3053" s="17"/>
      <c r="AO3053" s="17"/>
      <c r="AP3053" s="17"/>
      <c r="AQ3053" s="17"/>
      <c r="AR3053" s="17"/>
      <c r="AS3053" s="17"/>
      <c r="AT3053" s="17"/>
      <c r="AU3053" s="17"/>
      <c r="AV3053" s="17"/>
    </row>
    <row r="3054" spans="1:48" ht="15.75" customHeight="1">
      <c r="A3054" s="21" t="s">
        <v>147</v>
      </c>
      <c r="B3054" s="23" t="s">
        <v>1692</v>
      </c>
      <c r="C3054" s="22">
        <v>45701</v>
      </c>
      <c r="D3054" s="23" t="s">
        <v>744</v>
      </c>
      <c r="E3054" s="23" t="s">
        <v>257</v>
      </c>
      <c r="F3054" s="14">
        <v>1</v>
      </c>
      <c r="G3054" s="12">
        <v>4000.0000000000005</v>
      </c>
      <c r="H3054" s="12">
        <v>4000.0000000000005</v>
      </c>
      <c r="I3054" s="23" t="s">
        <v>52</v>
      </c>
      <c r="J3054" s="23" t="s">
        <v>61</v>
      </c>
      <c r="K3054" s="24" t="s">
        <v>177</v>
      </c>
      <c r="L3054" s="24">
        <v>102</v>
      </c>
      <c r="M3054" s="12">
        <v>3361.3445378151264</v>
      </c>
      <c r="N3054" s="12">
        <v>3361.3445378151264</v>
      </c>
      <c r="O3054" s="12">
        <v>638.65546218487407</v>
      </c>
      <c r="P3054" s="13"/>
      <c r="Q3054" s="14">
        <v>2025</v>
      </c>
      <c r="R3054" s="15">
        <v>45323</v>
      </c>
      <c r="S3054" s="11" t="s">
        <v>412</v>
      </c>
      <c r="T3054" s="16">
        <v>0</v>
      </c>
      <c r="U3054" s="17"/>
      <c r="V3054" s="12">
        <v>1680.6722689075632</v>
      </c>
      <c r="W3054" s="12">
        <v>1680.6722689075632</v>
      </c>
      <c r="X3054" s="12">
        <v>0</v>
      </c>
      <c r="Y3054" s="18">
        <v>45698</v>
      </c>
      <c r="Z3054" s="13" t="s">
        <v>505</v>
      </c>
      <c r="AA3054" s="19" t="str">
        <f>VLOOKUP(D3054,Clientes!$A$2:$J$486,9,FALSE)</f>
        <v>Ocacional</v>
      </c>
      <c r="AB3054" s="13" t="str">
        <f>VLOOKUP(D3054,Clientes!$A$2:$K$486,11,FALSE)</f>
        <v>Persona Natural</v>
      </c>
      <c r="AC3054" s="13" t="str">
        <f>VLOOKUP(D3054,Clientes!$A$2:$B$486,2,FALSE)</f>
        <v>Fyrma Grafica</v>
      </c>
      <c r="AD3054" s="20"/>
      <c r="AE3054" s="20"/>
      <c r="AF3054" s="13" t="s">
        <v>40</v>
      </c>
      <c r="AG3054" s="15">
        <v>45323</v>
      </c>
      <c r="AH3054" s="13" t="s">
        <v>41</v>
      </c>
      <c r="AI3054" s="13" t="s">
        <v>147</v>
      </c>
      <c r="AJ3054" s="13" t="str">
        <f>VLOOKUP(E3054,Precios!Z$2:AA$941,2,FALSE)</f>
        <v>Film Plástico 100 metros</v>
      </c>
      <c r="AK3054" s="14">
        <f>VLOOKUP(E3054,Precios!Z$2:BB$941,3,FALSE)*F3054</f>
        <v>-1</v>
      </c>
      <c r="AL3054" s="17"/>
      <c r="AM3054" s="17"/>
      <c r="AN3054" s="17"/>
      <c r="AO3054" s="17"/>
      <c r="AP3054" s="17"/>
      <c r="AQ3054" s="17"/>
      <c r="AR3054" s="17"/>
      <c r="AS3054" s="17"/>
      <c r="AT3054" s="17"/>
      <c r="AU3054" s="17"/>
      <c r="AV3054" s="17"/>
    </row>
    <row r="3055" spans="1:48" ht="15.75" customHeight="1">
      <c r="A3055" s="21" t="s">
        <v>56</v>
      </c>
      <c r="B3055" s="23" t="s">
        <v>1692</v>
      </c>
      <c r="C3055" s="22">
        <v>45701</v>
      </c>
      <c r="D3055" s="23" t="s">
        <v>915</v>
      </c>
      <c r="E3055" s="23" t="s">
        <v>190</v>
      </c>
      <c r="F3055" s="14">
        <v>1</v>
      </c>
      <c r="G3055" s="12">
        <v>2500</v>
      </c>
      <c r="H3055" s="34">
        <v>2500</v>
      </c>
      <c r="I3055" s="23" t="s">
        <v>52</v>
      </c>
      <c r="J3055" s="23" t="s">
        <v>61</v>
      </c>
      <c r="K3055" s="24" t="s">
        <v>177</v>
      </c>
      <c r="L3055" s="24">
        <v>102</v>
      </c>
      <c r="M3055" s="12">
        <v>2100.840336134454</v>
      </c>
      <c r="N3055" s="12">
        <v>2100.840336134454</v>
      </c>
      <c r="O3055" s="12">
        <v>399.15966386554601</v>
      </c>
      <c r="P3055" s="13"/>
      <c r="Q3055" s="14">
        <v>2025</v>
      </c>
      <c r="R3055" s="15">
        <v>45323</v>
      </c>
      <c r="S3055" s="11" t="s">
        <v>492</v>
      </c>
      <c r="T3055" s="16">
        <v>200</v>
      </c>
      <c r="U3055" s="17"/>
      <c r="V3055" s="12">
        <v>631.93277310924373</v>
      </c>
      <c r="W3055" s="12">
        <v>631.93277310924373</v>
      </c>
      <c r="X3055" s="12">
        <v>0</v>
      </c>
      <c r="Y3055" s="18">
        <v>45698</v>
      </c>
      <c r="Z3055" s="13" t="s">
        <v>505</v>
      </c>
      <c r="AA3055" s="19" t="str">
        <f>VLOOKUP(D3055,Clientes!$A$2:$J$486,9,FALSE)</f>
        <v>Regular</v>
      </c>
      <c r="AB3055" s="13" t="str">
        <f>VLOOKUP(D3055,Clientes!$A$2:$K$486,11,FALSE)</f>
        <v>Persona Natural</v>
      </c>
      <c r="AC3055" s="13" t="str">
        <f>VLOOKUP(D3055,Clientes!$A$2:$B$486,2,FALSE)</f>
        <v>Jardin del Eden</v>
      </c>
      <c r="AD3055" s="20"/>
      <c r="AE3055" s="20"/>
      <c r="AF3055" s="13" t="s">
        <v>40</v>
      </c>
      <c r="AG3055" s="15">
        <v>45323</v>
      </c>
      <c r="AH3055" s="13" t="s">
        <v>41</v>
      </c>
      <c r="AI3055" s="13" t="s">
        <v>56</v>
      </c>
      <c r="AJ3055" s="13" t="str">
        <f>VLOOKUP(E3055,Precios!Z$2:AA$941,2,FALSE)</f>
        <v>Mantequilla RUMAY</v>
      </c>
      <c r="AK3055" s="14">
        <f>VLOOKUP(E3055,Precios!Z$2:BB$941,3,FALSE)*F3055</f>
        <v>-1</v>
      </c>
      <c r="AL3055" s="17"/>
      <c r="AM3055" s="17"/>
      <c r="AN3055" s="17"/>
      <c r="AO3055" s="17"/>
      <c r="AP3055" s="17"/>
      <c r="AQ3055" s="17"/>
      <c r="AR3055" s="17"/>
      <c r="AS3055" s="17"/>
      <c r="AT3055" s="17"/>
      <c r="AU3055" s="17"/>
      <c r="AV3055" s="17"/>
    </row>
    <row r="3056" spans="1:48" ht="15.75" customHeight="1">
      <c r="A3056" s="21" t="s">
        <v>43</v>
      </c>
      <c r="B3056" s="23" t="s">
        <v>1692</v>
      </c>
      <c r="C3056" s="22">
        <v>45700</v>
      </c>
      <c r="D3056" s="23" t="s">
        <v>126</v>
      </c>
      <c r="E3056" s="23" t="s">
        <v>45</v>
      </c>
      <c r="F3056" s="14">
        <v>1</v>
      </c>
      <c r="G3056" s="12">
        <v>6900.1306988544629</v>
      </c>
      <c r="H3056" s="12">
        <v>6900.1306988544629</v>
      </c>
      <c r="I3056" s="23" t="s">
        <v>52</v>
      </c>
      <c r="J3056" s="23" t="s">
        <v>61</v>
      </c>
      <c r="K3056" s="24" t="s">
        <v>177</v>
      </c>
      <c r="L3056" s="24">
        <v>101</v>
      </c>
      <c r="M3056" s="12">
        <v>5798.4291587012294</v>
      </c>
      <c r="N3056" s="12">
        <v>5798.4291587012294</v>
      </c>
      <c r="O3056" s="12">
        <v>1101.7015401532335</v>
      </c>
      <c r="P3056" s="13"/>
      <c r="Q3056" s="14">
        <v>2025</v>
      </c>
      <c r="R3056" s="15">
        <v>45323</v>
      </c>
      <c r="S3056" s="11" t="s">
        <v>355</v>
      </c>
      <c r="T3056" s="16">
        <v>0</v>
      </c>
      <c r="U3056" s="17"/>
      <c r="V3056" s="12">
        <v>1273.219074667616</v>
      </c>
      <c r="W3056" s="12">
        <v>1273.219074667616</v>
      </c>
      <c r="X3056" s="12">
        <v>0</v>
      </c>
      <c r="Y3056" s="18">
        <v>45698</v>
      </c>
      <c r="Z3056" s="13" t="s">
        <v>515</v>
      </c>
      <c r="AA3056" s="19" t="str">
        <f>VLOOKUP(D3056,Clientes!$A$2:$J$486,9,FALSE)</f>
        <v>Frecuente</v>
      </c>
      <c r="AB3056" s="13" t="str">
        <f>VLOOKUP(D3056,Clientes!$A$2:$K$486,11,FALSE)</f>
        <v>Persona Natural</v>
      </c>
      <c r="AC3056" s="13" t="str">
        <f>VLOOKUP(D3056,Clientes!$A$2:$B$486,2,FALSE)</f>
        <v>Jardines de la Viña</v>
      </c>
      <c r="AD3056" s="20"/>
      <c r="AE3056" s="20"/>
      <c r="AF3056" s="13" t="s">
        <v>40</v>
      </c>
      <c r="AG3056" s="15">
        <v>45323</v>
      </c>
      <c r="AH3056" s="13" t="s">
        <v>41</v>
      </c>
      <c r="AI3056" s="13" t="s">
        <v>43</v>
      </c>
      <c r="AJ3056" s="13" t="str">
        <f>VLOOKUP(E3056,Precios!Z$2:AA$941,2,FALSE)</f>
        <v>Bandeja Huevos EXTRA</v>
      </c>
      <c r="AK3056" s="14">
        <f>VLOOKUP(E3056,Precios!Z$2:BB$941,3,FALSE)*F3056</f>
        <v>-1</v>
      </c>
      <c r="AL3056" s="17"/>
      <c r="AM3056" s="17"/>
      <c r="AN3056" s="17"/>
      <c r="AO3056" s="17"/>
      <c r="AP3056" s="17"/>
      <c r="AQ3056" s="17"/>
      <c r="AR3056" s="17"/>
      <c r="AS3056" s="17"/>
      <c r="AT3056" s="17"/>
      <c r="AU3056" s="17"/>
      <c r="AV3056" s="17"/>
    </row>
    <row r="3057" spans="1:48" ht="15.75" customHeight="1">
      <c r="A3057" s="21" t="s">
        <v>35</v>
      </c>
      <c r="B3057" s="23" t="s">
        <v>1692</v>
      </c>
      <c r="C3057" s="22">
        <v>45700</v>
      </c>
      <c r="D3057" s="23" t="s">
        <v>915</v>
      </c>
      <c r="E3057" s="23" t="s">
        <v>46</v>
      </c>
      <c r="F3057" s="14">
        <v>1</v>
      </c>
      <c r="G3057" s="12">
        <v>5500</v>
      </c>
      <c r="H3057" s="34">
        <v>5500</v>
      </c>
      <c r="I3057" s="23" t="s">
        <v>52</v>
      </c>
      <c r="J3057" s="23" t="s">
        <v>61</v>
      </c>
      <c r="K3057" s="24" t="s">
        <v>177</v>
      </c>
      <c r="L3057" s="24">
        <v>101</v>
      </c>
      <c r="M3057" s="12">
        <v>4621.8487394957983</v>
      </c>
      <c r="N3057" s="12">
        <v>4621.8487394957983</v>
      </c>
      <c r="O3057" s="12">
        <v>878.15126050420167</v>
      </c>
      <c r="P3057" s="13"/>
      <c r="Q3057" s="14">
        <v>2025</v>
      </c>
      <c r="R3057" s="15">
        <v>45323</v>
      </c>
      <c r="S3057" s="11" t="s">
        <v>364</v>
      </c>
      <c r="T3057" s="16">
        <v>500</v>
      </c>
      <c r="U3057" s="17"/>
      <c r="V3057" s="12">
        <v>1365.1260504201678</v>
      </c>
      <c r="W3057" s="12">
        <v>1365.1260504201678</v>
      </c>
      <c r="X3057" s="12">
        <v>0</v>
      </c>
      <c r="Y3057" s="18">
        <v>45698</v>
      </c>
      <c r="Z3057" s="13" t="s">
        <v>515</v>
      </c>
      <c r="AA3057" s="19" t="str">
        <f>VLOOKUP(D3057,Clientes!$A$2:$J$486,9,FALSE)</f>
        <v>Regular</v>
      </c>
      <c r="AB3057" s="13" t="str">
        <f>VLOOKUP(D3057,Clientes!$A$2:$K$486,11,FALSE)</f>
        <v>Persona Natural</v>
      </c>
      <c r="AC3057" s="13" t="str">
        <f>VLOOKUP(D3057,Clientes!$A$2:$B$486,2,FALSE)</f>
        <v>Jardin del Eden</v>
      </c>
      <c r="AD3057" s="20"/>
      <c r="AE3057" s="20"/>
      <c r="AF3057" s="13" t="s">
        <v>40</v>
      </c>
      <c r="AG3057" s="15">
        <v>45323</v>
      </c>
      <c r="AH3057" s="13" t="s">
        <v>41</v>
      </c>
      <c r="AI3057" s="13" t="s">
        <v>35</v>
      </c>
      <c r="AJ3057" s="13" t="str">
        <f>VLOOKUP(E3057,Precios!Z$2:AA$941,2,FALSE)</f>
        <v>Queso RUNCA Mantecoso</v>
      </c>
      <c r="AK3057" s="14">
        <f>VLOOKUP(E3057,Precios!Z$2:BB$941,3,FALSE)*F3057</f>
        <v>-0.5</v>
      </c>
      <c r="AL3057" s="17"/>
      <c r="AM3057" s="17"/>
      <c r="AN3057" s="17"/>
      <c r="AO3057" s="17"/>
      <c r="AP3057" s="17"/>
      <c r="AQ3057" s="17"/>
      <c r="AR3057" s="17"/>
      <c r="AS3057" s="17"/>
      <c r="AT3057" s="17"/>
      <c r="AU3057" s="17"/>
      <c r="AV3057" s="17"/>
    </row>
    <row r="3058" spans="1:48" ht="15.75" customHeight="1">
      <c r="A3058" s="21" t="s">
        <v>53</v>
      </c>
      <c r="B3058" s="23" t="s">
        <v>1692</v>
      </c>
      <c r="C3058" s="22">
        <v>45700</v>
      </c>
      <c r="D3058" s="23" t="s">
        <v>291</v>
      </c>
      <c r="E3058" s="23" t="s">
        <v>55</v>
      </c>
      <c r="F3058" s="14">
        <v>1</v>
      </c>
      <c r="G3058" s="12">
        <v>19989.738327347361</v>
      </c>
      <c r="H3058" s="12">
        <v>19989.738327347361</v>
      </c>
      <c r="I3058" s="23" t="s">
        <v>52</v>
      </c>
      <c r="J3058" s="23" t="s">
        <v>61</v>
      </c>
      <c r="K3058" s="24" t="s">
        <v>177</v>
      </c>
      <c r="L3058" s="24">
        <v>101</v>
      </c>
      <c r="M3058" s="12">
        <v>16798.099434745684</v>
      </c>
      <c r="N3058" s="12">
        <v>16798.099434745684</v>
      </c>
      <c r="O3058" s="12">
        <v>3191.6388926016771</v>
      </c>
      <c r="P3058" s="13"/>
      <c r="Q3058" s="14">
        <v>2025</v>
      </c>
      <c r="R3058" s="15">
        <v>45323</v>
      </c>
      <c r="S3058" s="11" t="s">
        <v>366</v>
      </c>
      <c r="T3058" s="16">
        <v>0</v>
      </c>
      <c r="U3058" s="17"/>
      <c r="V3058" s="12">
        <v>3702.3011154179476</v>
      </c>
      <c r="W3058" s="12">
        <v>3702.3011154179476</v>
      </c>
      <c r="X3058" s="12">
        <v>0</v>
      </c>
      <c r="Y3058" s="18">
        <v>45698</v>
      </c>
      <c r="Z3058" s="13" t="s">
        <v>515</v>
      </c>
      <c r="AA3058" s="19" t="str">
        <f>VLOOKUP(D3058,Clientes!$A$2:$J$486,9,FALSE)</f>
        <v>Ocacional</v>
      </c>
      <c r="AB3058" s="13" t="str">
        <f>VLOOKUP(D3058,Clientes!$A$2:$K$486,11,FALSE)</f>
        <v>Persona Natural</v>
      </c>
      <c r="AC3058" s="13" t="str">
        <f>VLOOKUP(D3058,Clientes!$A$2:$B$486,2,FALSE)</f>
        <v>Jardin del eden</v>
      </c>
      <c r="AD3058" s="20"/>
      <c r="AE3058" s="20"/>
      <c r="AF3058" s="13" t="s">
        <v>40</v>
      </c>
      <c r="AG3058" s="15">
        <v>45323</v>
      </c>
      <c r="AH3058" s="13" t="s">
        <v>41</v>
      </c>
      <c r="AI3058" s="13" t="s">
        <v>53</v>
      </c>
      <c r="AJ3058" s="13" t="str">
        <f>VLOOKUP(E3058,Precios!Z$2:AA$941,2,FALSE)</f>
        <v>Papel Higienico ELITE 50 metros</v>
      </c>
      <c r="AK3058" s="14">
        <f>VLOOKUP(E3058,Precios!Z$2:BB$941,3,FALSE)*F3058</f>
        <v>-8</v>
      </c>
      <c r="AL3058" s="17"/>
      <c r="AM3058" s="17"/>
      <c r="AN3058" s="17"/>
      <c r="AO3058" s="17"/>
      <c r="AP3058" s="17"/>
      <c r="AQ3058" s="17"/>
      <c r="AR3058" s="17"/>
      <c r="AS3058" s="17"/>
      <c r="AT3058" s="17"/>
      <c r="AU3058" s="17"/>
      <c r="AV3058" s="17"/>
    </row>
    <row r="3059" spans="1:48" ht="15.75" customHeight="1">
      <c r="A3059" s="21" t="s">
        <v>53</v>
      </c>
      <c r="B3059" s="23" t="s">
        <v>1692</v>
      </c>
      <c r="C3059" s="22">
        <v>45700</v>
      </c>
      <c r="D3059" s="23" t="s">
        <v>745</v>
      </c>
      <c r="E3059" s="23" t="s">
        <v>317</v>
      </c>
      <c r="F3059" s="14">
        <v>1</v>
      </c>
      <c r="G3059" s="12">
        <v>12500.17391304348</v>
      </c>
      <c r="H3059" s="12">
        <v>12500.17391304348</v>
      </c>
      <c r="I3059" s="23" t="s">
        <v>52</v>
      </c>
      <c r="J3059" s="23" t="s">
        <v>61</v>
      </c>
      <c r="K3059" s="24" t="s">
        <v>177</v>
      </c>
      <c r="L3059" s="24">
        <v>101</v>
      </c>
      <c r="M3059" s="12">
        <v>10504.347826086958</v>
      </c>
      <c r="N3059" s="12">
        <v>10504.347826086958</v>
      </c>
      <c r="O3059" s="12">
        <v>1995.826086956522</v>
      </c>
      <c r="P3059" s="13"/>
      <c r="Q3059" s="14">
        <v>2025</v>
      </c>
      <c r="R3059" s="15">
        <v>45323</v>
      </c>
      <c r="S3059" s="11" t="s">
        <v>435</v>
      </c>
      <c r="T3059" s="16">
        <v>0</v>
      </c>
      <c r="U3059" s="17"/>
      <c r="V3059" s="12">
        <v>3256.3478260869579</v>
      </c>
      <c r="W3059" s="12">
        <v>3256.3478260869579</v>
      </c>
      <c r="X3059" s="12">
        <v>0</v>
      </c>
      <c r="Y3059" s="18">
        <v>45698</v>
      </c>
      <c r="Z3059" s="13" t="s">
        <v>515</v>
      </c>
      <c r="AA3059" s="19" t="str">
        <f>VLOOKUP(D3059,Clientes!$A$2:$J$486,9,FALSE)</f>
        <v>Ocacional</v>
      </c>
      <c r="AB3059" s="13" t="str">
        <f>VLOOKUP(D3059,Clientes!$A$2:$K$486,11,FALSE)</f>
        <v>Persona Natural</v>
      </c>
      <c r="AC3059" s="13" t="str">
        <f>VLOOKUP(D3059,Clientes!$A$2:$B$486,2,FALSE)</f>
        <v>Jardin del eden</v>
      </c>
      <c r="AD3059" s="20"/>
      <c r="AE3059" s="20"/>
      <c r="AF3059" s="13" t="s">
        <v>40</v>
      </c>
      <c r="AG3059" s="15">
        <v>45323</v>
      </c>
      <c r="AH3059" s="13" t="s">
        <v>41</v>
      </c>
      <c r="AI3059" s="13" t="s">
        <v>53</v>
      </c>
      <c r="AJ3059" s="13" t="str">
        <f>VLOOKUP(E3059,Precios!Z$2:AA$941,2,FALSE)</f>
        <v>Papel Higienico SWAN 400 hojas</v>
      </c>
      <c r="AK3059" s="14">
        <f>VLOOKUP(E3059,Precios!Z$2:BB$941,3,FALSE)*F3059</f>
        <v>-6</v>
      </c>
      <c r="AL3059" s="17"/>
      <c r="AM3059" s="17"/>
      <c r="AN3059" s="17"/>
      <c r="AO3059" s="17"/>
      <c r="AP3059" s="17"/>
      <c r="AQ3059" s="17"/>
      <c r="AR3059" s="17"/>
      <c r="AS3059" s="17"/>
      <c r="AT3059" s="17"/>
      <c r="AU3059" s="17"/>
      <c r="AV3059" s="17"/>
    </row>
    <row r="3060" spans="1:48" ht="15.75" customHeight="1">
      <c r="A3060" s="21" t="s">
        <v>35</v>
      </c>
      <c r="B3060" s="23" t="s">
        <v>1692</v>
      </c>
      <c r="C3060" s="22">
        <v>45700</v>
      </c>
      <c r="D3060" s="23" t="s">
        <v>586</v>
      </c>
      <c r="E3060" s="23" t="s">
        <v>46</v>
      </c>
      <c r="F3060" s="14">
        <v>1</v>
      </c>
      <c r="G3060" s="12">
        <v>5500</v>
      </c>
      <c r="H3060" s="12">
        <v>5500</v>
      </c>
      <c r="I3060" s="23" t="s">
        <v>52</v>
      </c>
      <c r="J3060" s="23" t="s">
        <v>61</v>
      </c>
      <c r="K3060" s="24" t="s">
        <v>177</v>
      </c>
      <c r="L3060" s="24">
        <v>101</v>
      </c>
      <c r="M3060" s="12">
        <v>4621.8487394957983</v>
      </c>
      <c r="N3060" s="12">
        <v>4621.8487394957983</v>
      </c>
      <c r="O3060" s="12">
        <v>878.15126050420167</v>
      </c>
      <c r="P3060" s="13"/>
      <c r="Q3060" s="14">
        <v>2025</v>
      </c>
      <c r="R3060" s="15">
        <v>45323</v>
      </c>
      <c r="S3060" s="11" t="s">
        <v>364</v>
      </c>
      <c r="T3060" s="16">
        <v>500</v>
      </c>
      <c r="U3060" s="17"/>
      <c r="V3060" s="12">
        <v>1365.1260504201678</v>
      </c>
      <c r="W3060" s="12">
        <v>1365.1260504201678</v>
      </c>
      <c r="X3060" s="12">
        <v>0</v>
      </c>
      <c r="Y3060" s="18">
        <v>45698</v>
      </c>
      <c r="Z3060" s="13" t="s">
        <v>515</v>
      </c>
      <c r="AA3060" s="19" t="str">
        <f>VLOOKUP(D3060,Clientes!$A$2:$J$486,9,FALSE)</f>
        <v>Ocacional</v>
      </c>
      <c r="AB3060" s="13" t="str">
        <f>VLOOKUP(D3060,Clientes!$A$2:$K$486,11,FALSE)</f>
        <v>Persona Natural</v>
      </c>
      <c r="AC3060" s="13" t="str">
        <f>VLOOKUP(D3060,Clientes!$A$2:$B$486,2,FALSE)</f>
        <v>Jardin del Eden</v>
      </c>
      <c r="AD3060" s="20"/>
      <c r="AE3060" s="20"/>
      <c r="AF3060" s="13" t="s">
        <v>40</v>
      </c>
      <c r="AG3060" s="15">
        <v>45323</v>
      </c>
      <c r="AH3060" s="13" t="s">
        <v>41</v>
      </c>
      <c r="AI3060" s="13" t="s">
        <v>35</v>
      </c>
      <c r="AJ3060" s="13" t="str">
        <f>VLOOKUP(E3060,Precios!Z$2:AA$941,2,FALSE)</f>
        <v>Queso RUNCA Mantecoso</v>
      </c>
      <c r="AK3060" s="14">
        <f>VLOOKUP(E3060,Precios!Z$2:BB$941,3,FALSE)*F3060</f>
        <v>-0.5</v>
      </c>
      <c r="AL3060" s="17"/>
      <c r="AM3060" s="17"/>
      <c r="AN3060" s="17"/>
      <c r="AO3060" s="17"/>
      <c r="AP3060" s="17"/>
      <c r="AQ3060" s="17"/>
      <c r="AR3060" s="17"/>
      <c r="AS3060" s="17"/>
      <c r="AT3060" s="17"/>
      <c r="AU3060" s="17"/>
      <c r="AV3060" s="17"/>
    </row>
    <row r="3061" spans="1:48" ht="15.75" customHeight="1">
      <c r="A3061" s="21" t="s">
        <v>76</v>
      </c>
      <c r="B3061" s="23" t="s">
        <v>1692</v>
      </c>
      <c r="C3061" s="22">
        <v>45700</v>
      </c>
      <c r="D3061" s="23" t="s">
        <v>586</v>
      </c>
      <c r="E3061" s="23" t="s">
        <v>202</v>
      </c>
      <c r="F3061" s="14">
        <v>1</v>
      </c>
      <c r="G3061" s="12">
        <v>1500.2338716794634</v>
      </c>
      <c r="H3061" s="12">
        <v>1500.2338716794634</v>
      </c>
      <c r="I3061" s="23" t="s">
        <v>52</v>
      </c>
      <c r="J3061" s="23" t="s">
        <v>61</v>
      </c>
      <c r="K3061" s="24" t="s">
        <v>177</v>
      </c>
      <c r="L3061" s="24">
        <v>101</v>
      </c>
      <c r="M3061" s="12">
        <v>1260.7007325037507</v>
      </c>
      <c r="N3061" s="12">
        <v>1260.7007325037507</v>
      </c>
      <c r="O3061" s="12">
        <v>239.53313917571268</v>
      </c>
      <c r="P3061" s="13"/>
      <c r="Q3061" s="14">
        <v>2025</v>
      </c>
      <c r="R3061" s="15">
        <v>45323</v>
      </c>
      <c r="S3061" s="11" t="s">
        <v>448</v>
      </c>
      <c r="T3061" s="16">
        <v>0</v>
      </c>
      <c r="U3061" s="17"/>
      <c r="V3061" s="12">
        <v>546.45073250375071</v>
      </c>
      <c r="W3061" s="12">
        <v>546.45073250375071</v>
      </c>
      <c r="X3061" s="12">
        <v>0</v>
      </c>
      <c r="Y3061" s="18">
        <v>45698</v>
      </c>
      <c r="Z3061" s="13" t="s">
        <v>515</v>
      </c>
      <c r="AA3061" s="19" t="str">
        <f>VLOOKUP(D3061,Clientes!$A$2:$J$486,9,FALSE)</f>
        <v>Ocacional</v>
      </c>
      <c r="AB3061" s="13" t="str">
        <f>VLOOKUP(D3061,Clientes!$A$2:$K$486,11,FALSE)</f>
        <v>Persona Natural</v>
      </c>
      <c r="AC3061" s="13" t="str">
        <f>VLOOKUP(D3061,Clientes!$A$2:$B$486,2,FALSE)</f>
        <v>Jardin del Eden</v>
      </c>
      <c r="AD3061" s="20"/>
      <c r="AE3061" s="20"/>
      <c r="AF3061" s="13" t="s">
        <v>40</v>
      </c>
      <c r="AG3061" s="15">
        <v>45323</v>
      </c>
      <c r="AH3061" s="13" t="s">
        <v>41</v>
      </c>
      <c r="AI3061" s="13" t="s">
        <v>76</v>
      </c>
      <c r="AJ3061" s="13" t="str">
        <f>VLOOKUP(E3061,Precios!Z$2:AA$941,2,FALSE)</f>
        <v>Cloro GEL EXCELL 900ml</v>
      </c>
      <c r="AK3061" s="14">
        <f>VLOOKUP(E3061,Precios!Z$2:BB$941,3,FALSE)*F3061</f>
        <v>-1</v>
      </c>
      <c r="AL3061" s="17"/>
      <c r="AM3061" s="17"/>
      <c r="AN3061" s="17"/>
      <c r="AO3061" s="17"/>
      <c r="AP3061" s="17"/>
      <c r="AQ3061" s="17"/>
      <c r="AR3061" s="17"/>
      <c r="AS3061" s="17"/>
      <c r="AT3061" s="17"/>
      <c r="AU3061" s="17"/>
      <c r="AV3061" s="17"/>
    </row>
    <row r="3062" spans="1:48" ht="15.75" customHeight="1">
      <c r="A3062" s="21" t="s">
        <v>47</v>
      </c>
      <c r="B3062" s="23" t="s">
        <v>1692</v>
      </c>
      <c r="C3062" s="22">
        <v>45700</v>
      </c>
      <c r="D3062" s="23" t="s">
        <v>214</v>
      </c>
      <c r="E3062" s="23" t="s">
        <v>155</v>
      </c>
      <c r="F3062" s="14">
        <v>1</v>
      </c>
      <c r="G3062" s="12">
        <v>3400</v>
      </c>
      <c r="H3062" s="12">
        <v>3400</v>
      </c>
      <c r="I3062" s="23" t="s">
        <v>52</v>
      </c>
      <c r="J3062" s="23" t="s">
        <v>61</v>
      </c>
      <c r="K3062" s="24" t="s">
        <v>86</v>
      </c>
      <c r="L3062" s="24">
        <v>57</v>
      </c>
      <c r="M3062" s="12">
        <v>2857.1428571428573</v>
      </c>
      <c r="N3062" s="12">
        <v>2857.1428571428573</v>
      </c>
      <c r="O3062" s="12">
        <v>542.85714285714266</v>
      </c>
      <c r="P3062" s="13"/>
      <c r="Q3062" s="14">
        <v>2025</v>
      </c>
      <c r="R3062" s="15">
        <v>45323</v>
      </c>
      <c r="S3062" s="11" t="s">
        <v>453</v>
      </c>
      <c r="T3062" s="16">
        <v>0</v>
      </c>
      <c r="U3062" s="17"/>
      <c r="V3062" s="12">
        <v>1255.1428571428573</v>
      </c>
      <c r="W3062" s="12">
        <v>1255.1428571428573</v>
      </c>
      <c r="X3062" s="12">
        <v>0</v>
      </c>
      <c r="Y3062" s="18">
        <v>45698</v>
      </c>
      <c r="Z3062" s="13" t="s">
        <v>515</v>
      </c>
      <c r="AA3062" s="19" t="str">
        <f>VLOOKUP(D3062,Clientes!$A$2:$J$486,9,FALSE)</f>
        <v>Ocacional</v>
      </c>
      <c r="AB3062" s="13" t="str">
        <f>VLOOKUP(D3062,Clientes!$A$2:$K$486,11,FALSE)</f>
        <v>Empresa</v>
      </c>
      <c r="AC3062" s="13" t="str">
        <f>VLOOKUP(D3062,Clientes!$A$2:$B$486,2,FALSE)</f>
        <v>Pudahuel</v>
      </c>
      <c r="AD3062" s="20"/>
      <c r="AE3062" s="20"/>
      <c r="AF3062" s="13" t="s">
        <v>40</v>
      </c>
      <c r="AG3062" s="15">
        <v>45323</v>
      </c>
      <c r="AH3062" s="13" t="s">
        <v>41</v>
      </c>
      <c r="AI3062" s="13" t="s">
        <v>47</v>
      </c>
      <c r="AJ3062" s="13" t="str">
        <f>VLOOKUP(E3062,Precios!Z$2:AA$941,2,FALSE)</f>
        <v xml:space="preserve">Bolsas Basura TEDDY 50x70 </v>
      </c>
      <c r="AK3062" s="14">
        <f>VLOOKUP(E3062,Precios!Z$2:BB$941,3,FALSE)*F3062</f>
        <v>-6</v>
      </c>
      <c r="AL3062" s="17"/>
      <c r="AM3062" s="17"/>
      <c r="AN3062" s="17"/>
      <c r="AO3062" s="17"/>
      <c r="AP3062" s="17"/>
      <c r="AQ3062" s="17"/>
      <c r="AR3062" s="17"/>
      <c r="AS3062" s="17"/>
      <c r="AT3062" s="17"/>
      <c r="AU3062" s="17"/>
      <c r="AV3062" s="17"/>
    </row>
    <row r="3063" spans="1:48" ht="15.75" customHeight="1">
      <c r="A3063" s="21" t="s">
        <v>47</v>
      </c>
      <c r="B3063" s="23" t="s">
        <v>1692</v>
      </c>
      <c r="C3063" s="22">
        <v>45700</v>
      </c>
      <c r="D3063" s="23" t="s">
        <v>214</v>
      </c>
      <c r="E3063" s="23" t="s">
        <v>48</v>
      </c>
      <c r="F3063" s="14">
        <v>1</v>
      </c>
      <c r="G3063" s="12">
        <v>1000</v>
      </c>
      <c r="H3063" s="12">
        <v>1000</v>
      </c>
      <c r="I3063" s="23" t="s">
        <v>52</v>
      </c>
      <c r="J3063" s="23" t="s">
        <v>61</v>
      </c>
      <c r="K3063" s="24" t="s">
        <v>86</v>
      </c>
      <c r="L3063" s="24">
        <v>57</v>
      </c>
      <c r="M3063" s="12">
        <v>840.3361344537816</v>
      </c>
      <c r="N3063" s="12">
        <v>840.3361344537816</v>
      </c>
      <c r="O3063" s="12">
        <v>159.6638655462184</v>
      </c>
      <c r="P3063" s="13"/>
      <c r="Q3063" s="14">
        <v>2025</v>
      </c>
      <c r="R3063" s="15">
        <v>45323</v>
      </c>
      <c r="S3063" s="11" t="s">
        <v>416</v>
      </c>
      <c r="T3063" s="16">
        <v>0</v>
      </c>
      <c r="U3063" s="17"/>
      <c r="V3063" s="12">
        <v>330.33613445378148</v>
      </c>
      <c r="W3063" s="12">
        <v>330.33613445378148</v>
      </c>
      <c r="X3063" s="12">
        <v>0</v>
      </c>
      <c r="Y3063" s="18">
        <v>45698</v>
      </c>
      <c r="Z3063" s="13" t="s">
        <v>515</v>
      </c>
      <c r="AA3063" s="19" t="str">
        <f>VLOOKUP(D3063,Clientes!$A$2:$J$486,9,FALSE)</f>
        <v>Ocacional</v>
      </c>
      <c r="AB3063" s="13" t="str">
        <f>VLOOKUP(D3063,Clientes!$A$2:$K$486,11,FALSE)</f>
        <v>Empresa</v>
      </c>
      <c r="AC3063" s="13" t="str">
        <f>VLOOKUP(D3063,Clientes!$A$2:$B$486,2,FALSE)</f>
        <v>Pudahuel</v>
      </c>
      <c r="AD3063" s="20"/>
      <c r="AE3063" s="20"/>
      <c r="AF3063" s="13" t="s">
        <v>40</v>
      </c>
      <c r="AG3063" s="15">
        <v>45323</v>
      </c>
      <c r="AH3063" s="13" t="s">
        <v>41</v>
      </c>
      <c r="AI3063" s="13" t="s">
        <v>47</v>
      </c>
      <c r="AJ3063" s="13" t="str">
        <f>VLOOKUP(E3063,Precios!Z$2:AA$941,2,FALSE)</f>
        <v>Esponja Acanalada TEDDY</v>
      </c>
      <c r="AK3063" s="14">
        <f>VLOOKUP(E3063,Precios!Z$2:BB$941,3,FALSE)*F3063</f>
        <v>-5</v>
      </c>
      <c r="AL3063" s="17"/>
      <c r="AM3063" s="17"/>
      <c r="AN3063" s="17"/>
      <c r="AO3063" s="17"/>
      <c r="AP3063" s="17"/>
      <c r="AQ3063" s="17"/>
      <c r="AR3063" s="17"/>
      <c r="AS3063" s="17"/>
      <c r="AT3063" s="17"/>
      <c r="AU3063" s="17"/>
      <c r="AV3063" s="17"/>
    </row>
    <row r="3064" spans="1:48" ht="15.75" customHeight="1">
      <c r="A3064" s="21" t="s">
        <v>35</v>
      </c>
      <c r="B3064" s="23" t="s">
        <v>1692</v>
      </c>
      <c r="C3064" s="22">
        <v>45700</v>
      </c>
      <c r="D3064" s="23" t="s">
        <v>180</v>
      </c>
      <c r="E3064" s="23" t="s">
        <v>46</v>
      </c>
      <c r="F3064" s="14">
        <v>1</v>
      </c>
      <c r="G3064" s="12">
        <v>5500</v>
      </c>
      <c r="H3064" s="12">
        <v>5500</v>
      </c>
      <c r="I3064" s="23" t="s">
        <v>52</v>
      </c>
      <c r="J3064" s="23" t="s">
        <v>61</v>
      </c>
      <c r="K3064" s="24" t="s">
        <v>177</v>
      </c>
      <c r="L3064" s="24">
        <v>101</v>
      </c>
      <c r="M3064" s="12">
        <v>4621.8487394957983</v>
      </c>
      <c r="N3064" s="12">
        <v>4621.8487394957983</v>
      </c>
      <c r="O3064" s="12">
        <v>878.15126050420167</v>
      </c>
      <c r="P3064" s="13"/>
      <c r="Q3064" s="14">
        <v>2025</v>
      </c>
      <c r="R3064" s="15">
        <v>45323</v>
      </c>
      <c r="S3064" s="11" t="s">
        <v>364</v>
      </c>
      <c r="T3064" s="16">
        <v>500</v>
      </c>
      <c r="U3064" s="17"/>
      <c r="V3064" s="12">
        <v>1365.1260504201678</v>
      </c>
      <c r="W3064" s="12">
        <v>1365.1260504201678</v>
      </c>
      <c r="X3064" s="12">
        <v>0</v>
      </c>
      <c r="Y3064" s="18">
        <v>45698</v>
      </c>
      <c r="Z3064" s="13" t="s">
        <v>515</v>
      </c>
      <c r="AA3064" s="19" t="str">
        <f>VLOOKUP(D3064,Clientes!$A$2:$J$486,9,FALSE)</f>
        <v>Familiar</v>
      </c>
      <c r="AB3064" s="13" t="str">
        <f>VLOOKUP(D3064,Clientes!$A$2:$K$486,11,FALSE)</f>
        <v>Persona Natural</v>
      </c>
      <c r="AC3064" s="13" t="str">
        <f>VLOOKUP(D3064,Clientes!$A$2:$B$486,2,FALSE)</f>
        <v>Familiar</v>
      </c>
      <c r="AD3064" s="20"/>
      <c r="AE3064" s="20"/>
      <c r="AF3064" s="13" t="s">
        <v>40</v>
      </c>
      <c r="AG3064" s="15">
        <v>45323</v>
      </c>
      <c r="AH3064" s="13" t="s">
        <v>41</v>
      </c>
      <c r="AI3064" s="13" t="s">
        <v>35</v>
      </c>
      <c r="AJ3064" s="13" t="str">
        <f>VLOOKUP(E3064,Precios!Z$2:AA$941,2,FALSE)</f>
        <v>Queso RUNCA Mantecoso</v>
      </c>
      <c r="AK3064" s="14">
        <f>VLOOKUP(E3064,Precios!Z$2:BB$941,3,FALSE)*F3064</f>
        <v>-0.5</v>
      </c>
      <c r="AL3064" s="17"/>
      <c r="AM3064" s="17"/>
      <c r="AN3064" s="17"/>
      <c r="AO3064" s="17"/>
      <c r="AP3064" s="17"/>
      <c r="AQ3064" s="17"/>
      <c r="AR3064" s="17"/>
      <c r="AS3064" s="17"/>
      <c r="AT3064" s="17"/>
      <c r="AU3064" s="17"/>
      <c r="AV3064" s="17"/>
    </row>
    <row r="3065" spans="1:48" ht="15.75" customHeight="1">
      <c r="A3065" s="21" t="s">
        <v>50</v>
      </c>
      <c r="B3065" s="23" t="s">
        <v>1692</v>
      </c>
      <c r="C3065" s="22">
        <v>45700</v>
      </c>
      <c r="D3065" s="23" t="s">
        <v>180</v>
      </c>
      <c r="E3065" s="23" t="s">
        <v>51</v>
      </c>
      <c r="F3065" s="14">
        <v>1</v>
      </c>
      <c r="G3065" s="12">
        <v>1000</v>
      </c>
      <c r="H3065" s="12">
        <v>1000</v>
      </c>
      <c r="I3065" s="23" t="s">
        <v>52</v>
      </c>
      <c r="J3065" s="23" t="s">
        <v>61</v>
      </c>
      <c r="K3065" s="24" t="s">
        <v>177</v>
      </c>
      <c r="L3065" s="24">
        <v>101</v>
      </c>
      <c r="M3065" s="12">
        <v>840.3361344537816</v>
      </c>
      <c r="N3065" s="12">
        <v>840.3361344537816</v>
      </c>
      <c r="O3065" s="12">
        <v>159.6638655462184</v>
      </c>
      <c r="P3065" s="13"/>
      <c r="Q3065" s="14">
        <v>2025</v>
      </c>
      <c r="R3065" s="15">
        <v>45323</v>
      </c>
      <c r="S3065" s="11" t="s">
        <v>51</v>
      </c>
      <c r="T3065" s="16">
        <v>0</v>
      </c>
      <c r="U3065" s="17"/>
      <c r="V3065" s="12">
        <v>483.19327731092432</v>
      </c>
      <c r="W3065" s="12">
        <v>483.19327731092432</v>
      </c>
      <c r="X3065" s="12">
        <v>0</v>
      </c>
      <c r="Y3065" s="18">
        <v>45698</v>
      </c>
      <c r="Z3065" s="13" t="s">
        <v>515</v>
      </c>
      <c r="AA3065" s="19" t="str">
        <f>VLOOKUP(D3065,Clientes!$A$2:$J$486,9,FALSE)</f>
        <v>Familiar</v>
      </c>
      <c r="AB3065" s="13" t="str">
        <f>VLOOKUP(D3065,Clientes!$A$2:$K$486,11,FALSE)</f>
        <v>Persona Natural</v>
      </c>
      <c r="AC3065" s="13" t="str">
        <f>VLOOKUP(D3065,Clientes!$A$2:$B$486,2,FALSE)</f>
        <v>Familiar</v>
      </c>
      <c r="AD3065" s="20"/>
      <c r="AE3065" s="20"/>
      <c r="AF3065" s="13" t="s">
        <v>40</v>
      </c>
      <c r="AG3065" s="15">
        <v>45323</v>
      </c>
      <c r="AH3065" s="13" t="s">
        <v>41</v>
      </c>
      <c r="AI3065" s="13" t="s">
        <v>50</v>
      </c>
      <c r="AJ3065" s="13" t="str">
        <f>VLOOKUP(E3065,Precios!Z$2:AA$941,2,FALSE)</f>
        <v>Hielo 1 Kilo</v>
      </c>
      <c r="AK3065" s="14">
        <f>VLOOKUP(E3065,Precios!Z$2:BB$941,3,FALSE)*F3065</f>
        <v>-1</v>
      </c>
      <c r="AL3065" s="17"/>
      <c r="AM3065" s="17"/>
      <c r="AN3065" s="17"/>
      <c r="AO3065" s="17"/>
      <c r="AP3065" s="17"/>
      <c r="AQ3065" s="17"/>
      <c r="AR3065" s="17"/>
      <c r="AS3065" s="17"/>
      <c r="AT3065" s="17"/>
      <c r="AU3065" s="17"/>
      <c r="AV3065" s="17"/>
    </row>
    <row r="3066" spans="1:48" ht="15.75" customHeight="1">
      <c r="A3066" s="21" t="s">
        <v>147</v>
      </c>
      <c r="B3066" s="23" t="s">
        <v>1692</v>
      </c>
      <c r="C3066" s="22">
        <v>45700</v>
      </c>
      <c r="D3066" s="23" t="s">
        <v>746</v>
      </c>
      <c r="E3066" s="23" t="s">
        <v>248</v>
      </c>
      <c r="F3066" s="14">
        <v>1</v>
      </c>
      <c r="G3066" s="12">
        <v>9000</v>
      </c>
      <c r="H3066" s="12">
        <v>9000</v>
      </c>
      <c r="I3066" s="23" t="s">
        <v>52</v>
      </c>
      <c r="J3066" s="23" t="s">
        <v>61</v>
      </c>
      <c r="K3066" s="24" t="s">
        <v>177</v>
      </c>
      <c r="L3066" s="24">
        <v>101</v>
      </c>
      <c r="M3066" s="12">
        <v>7563.0252100840344</v>
      </c>
      <c r="N3066" s="12">
        <v>7563.0252100840344</v>
      </c>
      <c r="O3066" s="12">
        <v>1436.9747899159656</v>
      </c>
      <c r="P3066" s="13"/>
      <c r="Q3066" s="14">
        <v>2025</v>
      </c>
      <c r="R3066" s="15">
        <v>45323</v>
      </c>
      <c r="S3066" s="11" t="s">
        <v>412</v>
      </c>
      <c r="T3066" s="16">
        <v>0</v>
      </c>
      <c r="U3066" s="17"/>
      <c r="V3066" s="12">
        <v>2773.1092436974795</v>
      </c>
      <c r="W3066" s="12">
        <v>2773.1092436974795</v>
      </c>
      <c r="X3066" s="12">
        <v>0</v>
      </c>
      <c r="Y3066" s="18">
        <v>45698</v>
      </c>
      <c r="Z3066" s="13" t="s">
        <v>515</v>
      </c>
      <c r="AA3066" s="19" t="str">
        <f>VLOOKUP(D3066,Clientes!$A$2:$J$486,9,FALSE)</f>
        <v>Ocacional</v>
      </c>
      <c r="AB3066" s="13" t="str">
        <f>VLOOKUP(D3066,Clientes!$A$2:$K$486,11,FALSE)</f>
        <v>Persona Natural</v>
      </c>
      <c r="AC3066" s="13" t="str">
        <f>VLOOKUP(D3066,Clientes!$A$2:$B$486,2,FALSE)</f>
        <v>Geronimo Alderete</v>
      </c>
      <c r="AD3066" s="20"/>
      <c r="AE3066" s="20"/>
      <c r="AF3066" s="13" t="s">
        <v>40</v>
      </c>
      <c r="AG3066" s="15">
        <v>45323</v>
      </c>
      <c r="AH3066" s="13" t="s">
        <v>41</v>
      </c>
      <c r="AI3066" s="13" t="s">
        <v>147</v>
      </c>
      <c r="AJ3066" s="13" t="str">
        <f>VLOOKUP(E3066,Precios!Z$2:AA$941,2,FALSE)</f>
        <v>Film Plástico 300 metros</v>
      </c>
      <c r="AK3066" s="14">
        <f>VLOOKUP(E3066,Precios!Z$2:BB$941,3,FALSE)*F3066</f>
        <v>-1</v>
      </c>
      <c r="AL3066" s="17"/>
      <c r="AM3066" s="17"/>
      <c r="AN3066" s="17"/>
      <c r="AO3066" s="17"/>
      <c r="AP3066" s="17"/>
      <c r="AQ3066" s="17"/>
      <c r="AR3066" s="17"/>
      <c r="AS3066" s="17"/>
      <c r="AT3066" s="17"/>
      <c r="AU3066" s="17"/>
      <c r="AV3066" s="17"/>
    </row>
    <row r="3067" spans="1:48" ht="15.75" customHeight="1">
      <c r="A3067" s="21" t="s">
        <v>147</v>
      </c>
      <c r="B3067" s="23" t="s">
        <v>1692</v>
      </c>
      <c r="C3067" s="22">
        <v>45700</v>
      </c>
      <c r="D3067" s="23" t="s">
        <v>158</v>
      </c>
      <c r="E3067" s="23" t="s">
        <v>159</v>
      </c>
      <c r="F3067" s="14">
        <v>1</v>
      </c>
      <c r="G3067" s="12">
        <v>24000.000000000004</v>
      </c>
      <c r="H3067" s="12">
        <v>24000.000000000004</v>
      </c>
      <c r="I3067" s="23" t="s">
        <v>52</v>
      </c>
      <c r="J3067" s="23" t="s">
        <v>61</v>
      </c>
      <c r="K3067" s="24" t="s">
        <v>86</v>
      </c>
      <c r="L3067" s="24">
        <v>56</v>
      </c>
      <c r="M3067" s="12">
        <v>20168.067226890762</v>
      </c>
      <c r="N3067" s="12">
        <v>20168.067226890762</v>
      </c>
      <c r="O3067" s="12">
        <v>3831.9327731092417</v>
      </c>
      <c r="P3067" s="13"/>
      <c r="Q3067" s="14">
        <v>2025</v>
      </c>
      <c r="R3067" s="15">
        <v>45323</v>
      </c>
      <c r="S3067" s="11" t="s">
        <v>412</v>
      </c>
      <c r="T3067" s="16">
        <v>0</v>
      </c>
      <c r="U3067" s="17"/>
      <c r="V3067" s="12">
        <v>6861.3445378151282</v>
      </c>
      <c r="W3067" s="12">
        <v>6861.3445378151282</v>
      </c>
      <c r="X3067" s="12">
        <v>0</v>
      </c>
      <c r="Y3067" s="18">
        <v>45698</v>
      </c>
      <c r="Z3067" s="13" t="s">
        <v>515</v>
      </c>
      <c r="AA3067" s="19" t="str">
        <f>VLOOKUP(D3067,Clientes!$A$2:$J$486,9,FALSE)</f>
        <v>Frecuente</v>
      </c>
      <c r="AB3067" s="13" t="str">
        <f>VLOOKUP(D3067,Clientes!$A$2:$K$486,11,FALSE)</f>
        <v>Empresa</v>
      </c>
      <c r="AC3067" s="13" t="str">
        <f>VLOOKUP(D3067,Clientes!$A$2:$B$486,2,FALSE)</f>
        <v>Departamental</v>
      </c>
      <c r="AD3067" s="20"/>
      <c r="AE3067" s="20"/>
      <c r="AF3067" s="13" t="s">
        <v>40</v>
      </c>
      <c r="AG3067" s="15">
        <v>45323</v>
      </c>
      <c r="AH3067" s="13" t="s">
        <v>41</v>
      </c>
      <c r="AI3067" s="13" t="s">
        <v>147</v>
      </c>
      <c r="AJ3067" s="13" t="str">
        <f>VLOOKUP(E3067,Precios!Z$2:AA$941,2,FALSE)</f>
        <v>Film Plástico 1400 metros</v>
      </c>
      <c r="AK3067" s="14">
        <f>VLOOKUP(E3067,Precios!Z$2:BB$941,3,FALSE)*F3067</f>
        <v>-1</v>
      </c>
      <c r="AL3067" s="17"/>
      <c r="AM3067" s="17"/>
      <c r="AN3067" s="17"/>
      <c r="AO3067" s="17"/>
      <c r="AP3067" s="17"/>
      <c r="AQ3067" s="17"/>
      <c r="AR3067" s="17"/>
      <c r="AS3067" s="17"/>
      <c r="AT3067" s="17"/>
      <c r="AU3067" s="17"/>
      <c r="AV3067" s="17"/>
    </row>
    <row r="3068" spans="1:48" ht="15.75" customHeight="1">
      <c r="A3068" s="21" t="s">
        <v>147</v>
      </c>
      <c r="B3068" s="23" t="s">
        <v>1692</v>
      </c>
      <c r="C3068" s="22">
        <v>45700</v>
      </c>
      <c r="D3068" s="23" t="s">
        <v>158</v>
      </c>
      <c r="E3068" s="23" t="s">
        <v>160</v>
      </c>
      <c r="F3068" s="14">
        <v>1</v>
      </c>
      <c r="G3068" s="26">
        <v>-500</v>
      </c>
      <c r="H3068" s="12">
        <v>-500</v>
      </c>
      <c r="I3068" s="23" t="s">
        <v>52</v>
      </c>
      <c r="J3068" s="23" t="s">
        <v>61</v>
      </c>
      <c r="K3068" s="24" t="s">
        <v>86</v>
      </c>
      <c r="L3068" s="24">
        <v>56</v>
      </c>
      <c r="M3068" s="12">
        <v>-420.1680672268908</v>
      </c>
      <c r="N3068" s="12">
        <v>-420.1680672268908</v>
      </c>
      <c r="O3068" s="12">
        <v>-79.831932773109202</v>
      </c>
      <c r="P3068" s="13"/>
      <c r="Q3068" s="14">
        <v>2025</v>
      </c>
      <c r="R3068" s="15">
        <v>45323</v>
      </c>
      <c r="S3068" s="11" t="s">
        <v>160</v>
      </c>
      <c r="T3068" s="16">
        <v>1000</v>
      </c>
      <c r="U3068" s="17"/>
      <c r="V3068" s="26">
        <v>-500</v>
      </c>
      <c r="W3068" s="12">
        <v>-500</v>
      </c>
      <c r="X3068" s="12">
        <v>0</v>
      </c>
      <c r="Y3068" s="18">
        <v>45698</v>
      </c>
      <c r="Z3068" s="13" t="s">
        <v>515</v>
      </c>
      <c r="AA3068" s="19" t="str">
        <f>VLOOKUP(D3068,Clientes!$A$2:$J$486,9,FALSE)</f>
        <v>Frecuente</v>
      </c>
      <c r="AB3068" s="13" t="str">
        <f>VLOOKUP(D3068,Clientes!$A$2:$K$486,11,FALSE)</f>
        <v>Empresa</v>
      </c>
      <c r="AC3068" s="13" t="str">
        <f>VLOOKUP(D3068,Clientes!$A$2:$B$486,2,FALSE)</f>
        <v>Departamental</v>
      </c>
      <c r="AD3068" s="20"/>
      <c r="AE3068" s="20"/>
      <c r="AF3068" s="13" t="s">
        <v>40</v>
      </c>
      <c r="AG3068" s="15">
        <v>45323</v>
      </c>
      <c r="AH3068" s="13" t="s">
        <v>41</v>
      </c>
      <c r="AI3068" s="13" t="s">
        <v>147</v>
      </c>
      <c r="AJ3068" s="13" t="str">
        <f>VLOOKUP(E3068,Precios!Z$2:AA$941,2,FALSE)</f>
        <v>Descuentos</v>
      </c>
      <c r="AK3068" s="14">
        <f>VLOOKUP(E3068,Precios!Z$2:BB$941,3,FALSE)*F3068</f>
        <v>-1</v>
      </c>
      <c r="AL3068" s="17"/>
      <c r="AM3068" s="17"/>
      <c r="AN3068" s="17"/>
      <c r="AO3068" s="17"/>
      <c r="AP3068" s="17"/>
      <c r="AQ3068" s="17"/>
      <c r="AR3068" s="17"/>
      <c r="AS3068" s="17"/>
      <c r="AT3068" s="17"/>
      <c r="AU3068" s="17"/>
      <c r="AV3068" s="17"/>
    </row>
    <row r="3069" spans="1:48" ht="15.75" customHeight="1">
      <c r="A3069" s="21" t="s">
        <v>53</v>
      </c>
      <c r="B3069" s="23" t="s">
        <v>1692</v>
      </c>
      <c r="C3069" s="22">
        <v>45700</v>
      </c>
      <c r="D3069" s="23" t="s">
        <v>158</v>
      </c>
      <c r="E3069" s="23" t="s">
        <v>580</v>
      </c>
      <c r="F3069" s="14">
        <v>1</v>
      </c>
      <c r="G3069" s="12">
        <v>11499.993390876765</v>
      </c>
      <c r="H3069" s="12">
        <v>11499.993390876765</v>
      </c>
      <c r="I3069" s="23" t="s">
        <v>52</v>
      </c>
      <c r="J3069" s="23" t="s">
        <v>61</v>
      </c>
      <c r="K3069" s="24" t="s">
        <v>86</v>
      </c>
      <c r="L3069" s="24">
        <v>56</v>
      </c>
      <c r="M3069" s="12">
        <v>9663.8599923334168</v>
      </c>
      <c r="N3069" s="12">
        <v>9663.8599923334168</v>
      </c>
      <c r="O3069" s="12">
        <v>1836.1333985433484</v>
      </c>
      <c r="P3069" s="13"/>
      <c r="Q3069" s="14">
        <v>2025</v>
      </c>
      <c r="R3069" s="15">
        <v>45323</v>
      </c>
      <c r="S3069" s="11" t="s">
        <v>381</v>
      </c>
      <c r="T3069" s="16">
        <v>300</v>
      </c>
      <c r="U3069" s="17"/>
      <c r="V3069" s="12">
        <v>2352.8599923334168</v>
      </c>
      <c r="W3069" s="12">
        <v>2352.8599923334168</v>
      </c>
      <c r="X3069" s="12">
        <v>0</v>
      </c>
      <c r="Y3069" s="18">
        <v>45698</v>
      </c>
      <c r="Z3069" s="13" t="s">
        <v>515</v>
      </c>
      <c r="AA3069" s="19" t="str">
        <f>VLOOKUP(D3069,Clientes!$A$2:$J$486,9,FALSE)</f>
        <v>Frecuente</v>
      </c>
      <c r="AB3069" s="13" t="str">
        <f>VLOOKUP(D3069,Clientes!$A$2:$K$486,11,FALSE)</f>
        <v>Empresa</v>
      </c>
      <c r="AC3069" s="13" t="str">
        <f>VLOOKUP(D3069,Clientes!$A$2:$B$486,2,FALSE)</f>
        <v>Departamental</v>
      </c>
      <c r="AD3069" s="20"/>
      <c r="AE3069" s="20"/>
      <c r="AF3069" s="13" t="s">
        <v>40</v>
      </c>
      <c r="AG3069" s="15">
        <v>45323</v>
      </c>
      <c r="AH3069" s="13" t="s">
        <v>41</v>
      </c>
      <c r="AI3069" s="13" t="s">
        <v>53</v>
      </c>
      <c r="AJ3069" s="13" t="str">
        <f>VLOOKUP(E3069,Precios!Z$2:AA$941,2,FALSE)</f>
        <v>Servilletas SOFTQUALITY 300 unidades</v>
      </c>
      <c r="AK3069" s="14">
        <f>VLOOKUP(E3069,Precios!Z$2:BB$941,3,FALSE)*F3069</f>
        <v>-10</v>
      </c>
      <c r="AL3069" s="17"/>
      <c r="AM3069" s="17"/>
      <c r="AN3069" s="17"/>
      <c r="AO3069" s="17"/>
      <c r="AP3069" s="17"/>
      <c r="AQ3069" s="17"/>
      <c r="AR3069" s="17"/>
      <c r="AS3069" s="17"/>
      <c r="AT3069" s="17"/>
      <c r="AU3069" s="17"/>
      <c r="AV3069" s="17"/>
    </row>
    <row r="3070" spans="1:48" ht="15.75" customHeight="1">
      <c r="A3070" s="21" t="s">
        <v>53</v>
      </c>
      <c r="B3070" s="23" t="s">
        <v>1692</v>
      </c>
      <c r="C3070" s="22">
        <v>45700</v>
      </c>
      <c r="D3070" s="23" t="s">
        <v>158</v>
      </c>
      <c r="E3070" s="23" t="s">
        <v>163</v>
      </c>
      <c r="F3070" s="14">
        <v>1</v>
      </c>
      <c r="G3070" s="12">
        <v>18990</v>
      </c>
      <c r="H3070" s="12">
        <v>18990</v>
      </c>
      <c r="I3070" s="23" t="s">
        <v>52</v>
      </c>
      <c r="J3070" s="23" t="s">
        <v>61</v>
      </c>
      <c r="K3070" s="24" t="s">
        <v>86</v>
      </c>
      <c r="L3070" s="24">
        <v>56</v>
      </c>
      <c r="M3070" s="12">
        <v>15957.983193277312</v>
      </c>
      <c r="N3070" s="12">
        <v>15957.983193277312</v>
      </c>
      <c r="O3070" s="12">
        <v>3032.0168067226878</v>
      </c>
      <c r="P3070" s="13"/>
      <c r="Q3070" s="14">
        <v>2025</v>
      </c>
      <c r="R3070" s="15">
        <v>45323</v>
      </c>
      <c r="S3070" s="11" t="s">
        <v>435</v>
      </c>
      <c r="T3070" s="16">
        <v>0</v>
      </c>
      <c r="U3070" s="17"/>
      <c r="V3070" s="12">
        <v>4112.6050420168067</v>
      </c>
      <c r="W3070" s="12">
        <v>4112.6050420168067</v>
      </c>
      <c r="X3070" s="12">
        <v>0</v>
      </c>
      <c r="Y3070" s="18">
        <v>45698</v>
      </c>
      <c r="Z3070" s="13" t="s">
        <v>515</v>
      </c>
      <c r="AA3070" s="19" t="str">
        <f>VLOOKUP(D3070,Clientes!$A$2:$J$486,9,FALSE)</f>
        <v>Frecuente</v>
      </c>
      <c r="AB3070" s="13" t="str">
        <f>VLOOKUP(D3070,Clientes!$A$2:$K$486,11,FALSE)</f>
        <v>Empresa</v>
      </c>
      <c r="AC3070" s="13" t="str">
        <f>VLOOKUP(D3070,Clientes!$A$2:$B$486,2,FALSE)</f>
        <v>Departamental</v>
      </c>
      <c r="AD3070" s="20"/>
      <c r="AE3070" s="20"/>
      <c r="AF3070" s="13" t="s">
        <v>40</v>
      </c>
      <c r="AG3070" s="15">
        <v>45323</v>
      </c>
      <c r="AH3070" s="13" t="s">
        <v>41</v>
      </c>
      <c r="AI3070" s="13" t="s">
        <v>53</v>
      </c>
      <c r="AJ3070" s="13" t="str">
        <f>VLOOKUP(E3070,Precios!Z$2:AA$941,2,FALSE)</f>
        <v>Papel Higienico SWAN 50 metros</v>
      </c>
      <c r="AK3070" s="14">
        <f>VLOOKUP(E3070,Precios!Z$2:BB$941,3,FALSE)*F3070</f>
        <v>-8</v>
      </c>
      <c r="AL3070" s="17"/>
      <c r="AM3070" s="17"/>
      <c r="AN3070" s="17"/>
      <c r="AO3070" s="17"/>
      <c r="AP3070" s="17"/>
      <c r="AQ3070" s="17"/>
      <c r="AR3070" s="17"/>
      <c r="AS3070" s="17"/>
      <c r="AT3070" s="17"/>
      <c r="AU3070" s="17"/>
      <c r="AV3070" s="17"/>
    </row>
    <row r="3071" spans="1:48" ht="15.75" customHeight="1">
      <c r="A3071" s="21" t="s">
        <v>53</v>
      </c>
      <c r="B3071" s="23" t="s">
        <v>1692</v>
      </c>
      <c r="C3071" s="22">
        <v>45700</v>
      </c>
      <c r="D3071" s="23" t="s">
        <v>158</v>
      </c>
      <c r="E3071" s="23" t="s">
        <v>162</v>
      </c>
      <c r="F3071" s="21">
        <v>2</v>
      </c>
      <c r="G3071" s="12">
        <v>9500.0304006809747</v>
      </c>
      <c r="H3071" s="12">
        <v>19000.060801361949</v>
      </c>
      <c r="I3071" s="23" t="s">
        <v>52</v>
      </c>
      <c r="J3071" s="23" t="s">
        <v>61</v>
      </c>
      <c r="K3071" s="24" t="s">
        <v>86</v>
      </c>
      <c r="L3071" s="24">
        <v>56</v>
      </c>
      <c r="M3071" s="12">
        <v>7983.2188241016602</v>
      </c>
      <c r="N3071" s="12">
        <v>15966.43764820332</v>
      </c>
      <c r="O3071" s="12">
        <v>3033.6231531586291</v>
      </c>
      <c r="P3071" s="13"/>
      <c r="Q3071" s="14">
        <v>2025</v>
      </c>
      <c r="R3071" s="15">
        <v>45323</v>
      </c>
      <c r="S3071" s="11" t="s">
        <v>437</v>
      </c>
      <c r="T3071" s="16">
        <v>0</v>
      </c>
      <c r="U3071" s="17"/>
      <c r="V3071" s="12">
        <v>5462.4376482033185</v>
      </c>
      <c r="W3071" s="12">
        <v>5462.4376482033185</v>
      </c>
      <c r="X3071" s="12">
        <v>0</v>
      </c>
      <c r="Y3071" s="18">
        <v>45698</v>
      </c>
      <c r="Z3071" s="13" t="s">
        <v>515</v>
      </c>
      <c r="AA3071" s="19" t="str">
        <f>VLOOKUP(D3071,Clientes!$A$2:$J$486,9,FALSE)</f>
        <v>Frecuente</v>
      </c>
      <c r="AB3071" s="13" t="str">
        <f>VLOOKUP(D3071,Clientes!$A$2:$K$486,11,FALSE)</f>
        <v>Empresa</v>
      </c>
      <c r="AC3071" s="13" t="str">
        <f>VLOOKUP(D3071,Clientes!$A$2:$B$486,2,FALSE)</f>
        <v>Departamental</v>
      </c>
      <c r="AD3071" s="20"/>
      <c r="AE3071" s="20"/>
      <c r="AF3071" s="13" t="s">
        <v>40</v>
      </c>
      <c r="AG3071" s="15">
        <v>45323</v>
      </c>
      <c r="AH3071" s="13" t="s">
        <v>41</v>
      </c>
      <c r="AI3071" s="13" t="s">
        <v>53</v>
      </c>
      <c r="AJ3071" s="13" t="str">
        <f>VLOOKUP(E3071,Precios!Z$2:AA$941,2,FALSE)</f>
        <v>Toalla Papel 250 metros dipensador</v>
      </c>
      <c r="AK3071" s="14">
        <f>VLOOKUP(E3071,Precios!Z$2:BB$941,3,FALSE)*F3071</f>
        <v>-2</v>
      </c>
      <c r="AL3071" s="17"/>
      <c r="AM3071" s="17"/>
      <c r="AN3071" s="17"/>
      <c r="AO3071" s="17"/>
      <c r="AP3071" s="17"/>
      <c r="AQ3071" s="17"/>
      <c r="AR3071" s="17"/>
      <c r="AS3071" s="17"/>
      <c r="AT3071" s="17"/>
      <c r="AU3071" s="17"/>
      <c r="AV3071" s="17"/>
    </row>
    <row r="3072" spans="1:48" ht="15.75" customHeight="1">
      <c r="A3072" s="21" t="s">
        <v>43</v>
      </c>
      <c r="B3072" s="23" t="s">
        <v>1692</v>
      </c>
      <c r="C3072" s="22">
        <v>45700</v>
      </c>
      <c r="D3072" s="23" t="s">
        <v>215</v>
      </c>
      <c r="E3072" s="23" t="s">
        <v>45</v>
      </c>
      <c r="F3072" s="14">
        <v>1</v>
      </c>
      <c r="G3072" s="12">
        <v>6900.1306988544629</v>
      </c>
      <c r="H3072" s="12">
        <v>6900.1306988544629</v>
      </c>
      <c r="I3072" s="23" t="s">
        <v>52</v>
      </c>
      <c r="J3072" s="23" t="s">
        <v>61</v>
      </c>
      <c r="K3072" s="24" t="s">
        <v>177</v>
      </c>
      <c r="L3072" s="24">
        <v>101</v>
      </c>
      <c r="M3072" s="12">
        <v>5798.4291587012294</v>
      </c>
      <c r="N3072" s="12">
        <v>5798.4291587012294</v>
      </c>
      <c r="O3072" s="12">
        <v>1101.7015401532335</v>
      </c>
      <c r="P3072" s="13"/>
      <c r="Q3072" s="14">
        <v>2025</v>
      </c>
      <c r="R3072" s="15">
        <v>45323</v>
      </c>
      <c r="S3072" s="11" t="s">
        <v>355</v>
      </c>
      <c r="T3072" s="16">
        <v>0</v>
      </c>
      <c r="U3072" s="17"/>
      <c r="V3072" s="12">
        <v>1273.219074667616</v>
      </c>
      <c r="W3072" s="12">
        <v>1273.219074667616</v>
      </c>
      <c r="X3072" s="12">
        <v>0</v>
      </c>
      <c r="Y3072" s="18">
        <v>45698</v>
      </c>
      <c r="Z3072" s="13" t="s">
        <v>515</v>
      </c>
      <c r="AA3072" s="19" t="str">
        <f>VLOOKUP(D3072,Clientes!$A$2:$J$486,9,FALSE)</f>
        <v>Ocacional</v>
      </c>
      <c r="AB3072" s="13" t="str">
        <f>VLOOKUP(D3072,Clientes!$A$2:$K$486,11,FALSE)</f>
        <v>Persona Natural</v>
      </c>
      <c r="AC3072" s="13" t="str">
        <f>VLOOKUP(D3072,Clientes!$A$2:$B$486,2,FALSE)</f>
        <v>Palena</v>
      </c>
      <c r="AD3072" s="20"/>
      <c r="AE3072" s="20"/>
      <c r="AF3072" s="13" t="s">
        <v>40</v>
      </c>
      <c r="AG3072" s="15">
        <v>45323</v>
      </c>
      <c r="AH3072" s="13" t="s">
        <v>41</v>
      </c>
      <c r="AI3072" s="13" t="s">
        <v>43</v>
      </c>
      <c r="AJ3072" s="13" t="str">
        <f>VLOOKUP(E3072,Precios!Z$2:AA$941,2,FALSE)</f>
        <v>Bandeja Huevos EXTRA</v>
      </c>
      <c r="AK3072" s="14">
        <f>VLOOKUP(E3072,Precios!Z$2:BB$941,3,FALSE)*F3072</f>
        <v>-1</v>
      </c>
      <c r="AL3072" s="17"/>
      <c r="AM3072" s="17"/>
      <c r="AN3072" s="17"/>
      <c r="AO3072" s="17"/>
      <c r="AP3072" s="17"/>
      <c r="AQ3072" s="17"/>
      <c r="AR3072" s="17"/>
      <c r="AS3072" s="17"/>
      <c r="AT3072" s="17"/>
      <c r="AU3072" s="17"/>
      <c r="AV3072" s="17"/>
    </row>
    <row r="3073" spans="1:48" ht="15.75" customHeight="1">
      <c r="A3073" s="21" t="s">
        <v>35</v>
      </c>
      <c r="B3073" s="23" t="s">
        <v>1692</v>
      </c>
      <c r="C3073" s="22">
        <v>45699</v>
      </c>
      <c r="D3073" s="23" t="s">
        <v>116</v>
      </c>
      <c r="E3073" s="23" t="s">
        <v>46</v>
      </c>
      <c r="F3073" s="14">
        <v>1</v>
      </c>
      <c r="G3073" s="12">
        <v>5500</v>
      </c>
      <c r="H3073" s="12">
        <v>5500</v>
      </c>
      <c r="I3073" s="23" t="s">
        <v>52</v>
      </c>
      <c r="J3073" s="23" t="s">
        <v>61</v>
      </c>
      <c r="K3073" s="24" t="s">
        <v>177</v>
      </c>
      <c r="L3073" s="24">
        <v>101</v>
      </c>
      <c r="M3073" s="12">
        <v>4621.8487394957983</v>
      </c>
      <c r="N3073" s="12">
        <v>4621.8487394957983</v>
      </c>
      <c r="O3073" s="12">
        <v>878.15126050420167</v>
      </c>
      <c r="P3073" s="13"/>
      <c r="Q3073" s="14">
        <v>2025</v>
      </c>
      <c r="R3073" s="15">
        <v>45323</v>
      </c>
      <c r="S3073" s="11" t="s">
        <v>364</v>
      </c>
      <c r="T3073" s="16">
        <v>500</v>
      </c>
      <c r="U3073" s="17"/>
      <c r="V3073" s="12">
        <v>1365.1260504201678</v>
      </c>
      <c r="W3073" s="12">
        <v>1365.1260504201678</v>
      </c>
      <c r="X3073" s="12">
        <v>0</v>
      </c>
      <c r="Y3073" s="18">
        <v>45698</v>
      </c>
      <c r="Z3073" s="13" t="s">
        <v>516</v>
      </c>
      <c r="AA3073" s="19" t="str">
        <f>VLOOKUP(D3073,Clientes!$A$2:$J$486,9,FALSE)</f>
        <v>Ocacional</v>
      </c>
      <c r="AB3073" s="13" t="str">
        <f>VLOOKUP(D3073,Clientes!$A$2:$K$486,11,FALSE)</f>
        <v>Persona Natural</v>
      </c>
      <c r="AC3073" s="13">
        <f>VLOOKUP(D3073,Clientes!$A$2:$B$486,2,FALSE)</f>
        <v>0</v>
      </c>
      <c r="AD3073" s="20"/>
      <c r="AE3073" s="20"/>
      <c r="AF3073" s="13" t="s">
        <v>40</v>
      </c>
      <c r="AG3073" s="15">
        <v>45323</v>
      </c>
      <c r="AH3073" s="13" t="s">
        <v>41</v>
      </c>
      <c r="AI3073" s="13" t="s">
        <v>35</v>
      </c>
      <c r="AJ3073" s="13" t="str">
        <f>VLOOKUP(E3073,Precios!Z$2:AA$941,2,FALSE)</f>
        <v>Queso RUNCA Mantecoso</v>
      </c>
      <c r="AK3073" s="14">
        <f>VLOOKUP(E3073,Precios!Z$2:BB$941,3,FALSE)*F3073</f>
        <v>-0.5</v>
      </c>
      <c r="AL3073" s="17"/>
      <c r="AM3073" s="17"/>
      <c r="AN3073" s="17"/>
      <c r="AO3073" s="17"/>
      <c r="AP3073" s="17"/>
      <c r="AQ3073" s="17"/>
      <c r="AR3073" s="17"/>
      <c r="AS3073" s="17"/>
      <c r="AT3073" s="17"/>
      <c r="AU3073" s="17"/>
      <c r="AV3073" s="17"/>
    </row>
    <row r="3074" spans="1:48" ht="15.75" customHeight="1">
      <c r="A3074" s="21" t="s">
        <v>43</v>
      </c>
      <c r="B3074" s="23" t="s">
        <v>1692</v>
      </c>
      <c r="C3074" s="22">
        <v>45699</v>
      </c>
      <c r="D3074" s="23" t="s">
        <v>729</v>
      </c>
      <c r="E3074" s="23" t="s">
        <v>45</v>
      </c>
      <c r="F3074" s="14">
        <v>1</v>
      </c>
      <c r="G3074" s="12">
        <v>6900.1306988544629</v>
      </c>
      <c r="H3074" s="12">
        <v>6900.1306988544629</v>
      </c>
      <c r="I3074" s="23" t="s">
        <v>52</v>
      </c>
      <c r="J3074" s="23" t="s">
        <v>61</v>
      </c>
      <c r="K3074" s="24" t="s">
        <v>177</v>
      </c>
      <c r="L3074" s="24">
        <v>101</v>
      </c>
      <c r="M3074" s="12">
        <v>5798.4291587012294</v>
      </c>
      <c r="N3074" s="12">
        <v>5798.4291587012294</v>
      </c>
      <c r="O3074" s="12">
        <v>1101.7015401532335</v>
      </c>
      <c r="P3074" s="13"/>
      <c r="Q3074" s="14">
        <v>2025</v>
      </c>
      <c r="R3074" s="15">
        <v>45323</v>
      </c>
      <c r="S3074" s="11" t="s">
        <v>355</v>
      </c>
      <c r="T3074" s="16">
        <v>0</v>
      </c>
      <c r="U3074" s="17"/>
      <c r="V3074" s="12">
        <v>1273.219074667616</v>
      </c>
      <c r="W3074" s="12">
        <v>1273.219074667616</v>
      </c>
      <c r="X3074" s="12">
        <v>0</v>
      </c>
      <c r="Y3074" s="18">
        <v>45698</v>
      </c>
      <c r="Z3074" s="13" t="s">
        <v>516</v>
      </c>
      <c r="AA3074" s="19" t="str">
        <f>VLOOKUP(D3074,Clientes!$A$2:$J$486,9,FALSE)</f>
        <v>Ocacional</v>
      </c>
      <c r="AB3074" s="13" t="str">
        <f>VLOOKUP(D3074,Clientes!$A$2:$K$486,11,FALSE)</f>
        <v>Persona Natural</v>
      </c>
      <c r="AC3074" s="13" t="str">
        <f>VLOOKUP(D3074,Clientes!$A$2:$B$486,2,FALSE)</f>
        <v>Araucania</v>
      </c>
      <c r="AD3074" s="20"/>
      <c r="AE3074" s="20"/>
      <c r="AF3074" s="13" t="s">
        <v>40</v>
      </c>
      <c r="AG3074" s="15">
        <v>45323</v>
      </c>
      <c r="AH3074" s="13" t="s">
        <v>41</v>
      </c>
      <c r="AI3074" s="13" t="s">
        <v>43</v>
      </c>
      <c r="AJ3074" s="13" t="str">
        <f>VLOOKUP(E3074,Precios!Z$2:AA$941,2,FALSE)</f>
        <v>Bandeja Huevos EXTRA</v>
      </c>
      <c r="AK3074" s="14">
        <f>VLOOKUP(E3074,Precios!Z$2:BB$941,3,FALSE)*F3074</f>
        <v>-1</v>
      </c>
      <c r="AL3074" s="17"/>
      <c r="AM3074" s="17"/>
      <c r="AN3074" s="17"/>
      <c r="AO3074" s="17"/>
      <c r="AP3074" s="17"/>
      <c r="AQ3074" s="17"/>
      <c r="AR3074" s="17"/>
      <c r="AS3074" s="17"/>
      <c r="AT3074" s="17"/>
      <c r="AU3074" s="17"/>
      <c r="AV3074" s="17"/>
    </row>
    <row r="3075" spans="1:48" ht="15.75" customHeight="1">
      <c r="A3075" s="21" t="s">
        <v>139</v>
      </c>
      <c r="B3075" s="23" t="s">
        <v>1692</v>
      </c>
      <c r="C3075" s="22">
        <v>45699</v>
      </c>
      <c r="D3075" s="23" t="s">
        <v>93</v>
      </c>
      <c r="E3075" s="23" t="s">
        <v>747</v>
      </c>
      <c r="F3075" s="14">
        <v>1</v>
      </c>
      <c r="G3075" s="12">
        <v>2500</v>
      </c>
      <c r="H3075" s="12">
        <v>2500</v>
      </c>
      <c r="I3075" s="23" t="s">
        <v>52</v>
      </c>
      <c r="J3075" s="23" t="s">
        <v>61</v>
      </c>
      <c r="K3075" s="24" t="s">
        <v>177</v>
      </c>
      <c r="L3075" s="24">
        <v>101</v>
      </c>
      <c r="M3075" s="12">
        <v>2100.840336134454</v>
      </c>
      <c r="N3075" s="12">
        <v>2100.840336134454</v>
      </c>
      <c r="O3075" s="12">
        <v>399.15966386554601</v>
      </c>
      <c r="P3075" s="13"/>
      <c r="Q3075" s="14">
        <v>2025</v>
      </c>
      <c r="R3075" s="15">
        <v>45323</v>
      </c>
      <c r="S3075" s="11" t="s">
        <v>468</v>
      </c>
      <c r="T3075" s="16">
        <v>250</v>
      </c>
      <c r="U3075" s="17"/>
      <c r="V3075" s="12">
        <v>681.51260504201696</v>
      </c>
      <c r="W3075" s="12">
        <v>681.51260504201696</v>
      </c>
      <c r="X3075" s="12">
        <v>0</v>
      </c>
      <c r="Y3075" s="18">
        <v>45698</v>
      </c>
      <c r="Z3075" s="13" t="s">
        <v>516</v>
      </c>
      <c r="AA3075" s="19" t="str">
        <f>VLOOKUP(D3075,Clientes!$A$2:$J$486,9,FALSE)</f>
        <v>Ocacional</v>
      </c>
      <c r="AB3075" s="13" t="str">
        <f>VLOOKUP(D3075,Clientes!$A$2:$K$486,11,FALSE)</f>
        <v>Persona Natural</v>
      </c>
      <c r="AC3075" s="13" t="str">
        <f>VLOOKUP(D3075,Clientes!$A$2:$B$486,2,FALSE)</f>
        <v>Amigos Claudia Herrera</v>
      </c>
      <c r="AD3075" s="20"/>
      <c r="AE3075" s="20"/>
      <c r="AF3075" s="13" t="s">
        <v>40</v>
      </c>
      <c r="AG3075" s="15">
        <v>45323</v>
      </c>
      <c r="AH3075" s="13" t="s">
        <v>41</v>
      </c>
      <c r="AI3075" s="13" t="s">
        <v>139</v>
      </c>
      <c r="AJ3075" s="13">
        <f>VLOOKUP(E3075,Precios!Z$2:AA$941,2,FALSE)</f>
        <v>0</v>
      </c>
      <c r="AK3075" s="14">
        <f>VLOOKUP(E3075,Precios!Z$2:BB$941,3,FALSE)*F3075</f>
        <v>0</v>
      </c>
      <c r="AL3075" s="17"/>
      <c r="AM3075" s="17"/>
      <c r="AN3075" s="17"/>
      <c r="AO3075" s="17"/>
      <c r="AP3075" s="17"/>
      <c r="AQ3075" s="17"/>
      <c r="AR3075" s="17"/>
      <c r="AS3075" s="17"/>
      <c r="AT3075" s="17"/>
      <c r="AU3075" s="17"/>
      <c r="AV3075" s="17"/>
    </row>
    <row r="3076" spans="1:48" ht="15.75" customHeight="1">
      <c r="A3076" s="21" t="s">
        <v>139</v>
      </c>
      <c r="B3076" s="23" t="s">
        <v>1692</v>
      </c>
      <c r="C3076" s="22">
        <v>45699</v>
      </c>
      <c r="D3076" s="23" t="s">
        <v>93</v>
      </c>
      <c r="E3076" s="23" t="s">
        <v>748</v>
      </c>
      <c r="F3076" s="14">
        <v>1</v>
      </c>
      <c r="G3076" s="12">
        <v>2300.0000000000005</v>
      </c>
      <c r="H3076" s="12">
        <v>2300.0000000000005</v>
      </c>
      <c r="I3076" s="23" t="s">
        <v>52</v>
      </c>
      <c r="J3076" s="23" t="s">
        <v>61</v>
      </c>
      <c r="K3076" s="24" t="s">
        <v>177</v>
      </c>
      <c r="L3076" s="24">
        <v>101</v>
      </c>
      <c r="M3076" s="12">
        <v>1932.7731092436979</v>
      </c>
      <c r="N3076" s="12">
        <v>1932.7731092436979</v>
      </c>
      <c r="O3076" s="12">
        <v>367.22689075630251</v>
      </c>
      <c r="P3076" s="13"/>
      <c r="Q3076" s="14">
        <v>2025</v>
      </c>
      <c r="R3076" s="15">
        <v>45323</v>
      </c>
      <c r="S3076" s="11" t="s">
        <v>749</v>
      </c>
      <c r="T3076" s="16">
        <v>250</v>
      </c>
      <c r="U3076" s="17"/>
      <c r="V3076" s="12">
        <v>538.44537815126068</v>
      </c>
      <c r="W3076" s="12">
        <v>538.44537815126068</v>
      </c>
      <c r="X3076" s="12">
        <v>0</v>
      </c>
      <c r="Y3076" s="18">
        <v>45698</v>
      </c>
      <c r="Z3076" s="13" t="s">
        <v>516</v>
      </c>
      <c r="AA3076" s="19" t="str">
        <f>VLOOKUP(D3076,Clientes!$A$2:$J$486,9,FALSE)</f>
        <v>Ocacional</v>
      </c>
      <c r="AB3076" s="13" t="str">
        <f>VLOOKUP(D3076,Clientes!$A$2:$K$486,11,FALSE)</f>
        <v>Persona Natural</v>
      </c>
      <c r="AC3076" s="13" t="str">
        <f>VLOOKUP(D3076,Clientes!$A$2:$B$486,2,FALSE)</f>
        <v>Amigos Claudia Herrera</v>
      </c>
      <c r="AD3076" s="20"/>
      <c r="AE3076" s="20"/>
      <c r="AF3076" s="13" t="s">
        <v>40</v>
      </c>
      <c r="AG3076" s="15">
        <v>45323</v>
      </c>
      <c r="AH3076" s="13" t="s">
        <v>41</v>
      </c>
      <c r="AI3076" s="13" t="s">
        <v>139</v>
      </c>
      <c r="AJ3076" s="13">
        <f>VLOOKUP(E3076,Precios!Z$2:AA$941,2,FALSE)</f>
        <v>0</v>
      </c>
      <c r="AK3076" s="14">
        <f>VLOOKUP(E3076,Precios!Z$2:BB$941,3,FALSE)*F3076</f>
        <v>0</v>
      </c>
      <c r="AL3076" s="17"/>
      <c r="AM3076" s="17"/>
      <c r="AN3076" s="17"/>
      <c r="AO3076" s="17"/>
      <c r="AP3076" s="17"/>
      <c r="AQ3076" s="17"/>
      <c r="AR3076" s="17"/>
      <c r="AS3076" s="17"/>
      <c r="AT3076" s="17"/>
      <c r="AU3076" s="17"/>
      <c r="AV3076" s="17"/>
    </row>
    <row r="3077" spans="1:48" ht="15.75" customHeight="1">
      <c r="A3077" s="21" t="s">
        <v>47</v>
      </c>
      <c r="B3077" s="23" t="s">
        <v>1692</v>
      </c>
      <c r="C3077" s="22">
        <v>45699</v>
      </c>
      <c r="D3077" s="23" t="s">
        <v>519</v>
      </c>
      <c r="E3077" s="23" t="s">
        <v>150</v>
      </c>
      <c r="F3077" s="14">
        <v>1</v>
      </c>
      <c r="G3077" s="12">
        <v>1799.8965445892823</v>
      </c>
      <c r="H3077" s="12">
        <v>1799.8965445892823</v>
      </c>
      <c r="I3077" s="23" t="s">
        <v>52</v>
      </c>
      <c r="J3077" s="23" t="s">
        <v>61</v>
      </c>
      <c r="K3077" s="24" t="s">
        <v>177</v>
      </c>
      <c r="L3077" s="24">
        <v>101</v>
      </c>
      <c r="M3077" s="12">
        <v>1512.518104696876</v>
      </c>
      <c r="N3077" s="12">
        <v>1512.518104696876</v>
      </c>
      <c r="O3077" s="12">
        <v>287.37843989240628</v>
      </c>
      <c r="P3077" s="13"/>
      <c r="Q3077" s="14">
        <v>2025</v>
      </c>
      <c r="R3077" s="15">
        <v>45323</v>
      </c>
      <c r="S3077" s="11" t="s">
        <v>381</v>
      </c>
      <c r="T3077" s="16">
        <v>300</v>
      </c>
      <c r="U3077" s="17"/>
      <c r="V3077" s="12">
        <v>781.51810469687575</v>
      </c>
      <c r="W3077" s="12">
        <v>781.51810469687575</v>
      </c>
      <c r="X3077" s="12">
        <v>0</v>
      </c>
      <c r="Y3077" s="18">
        <v>45698</v>
      </c>
      <c r="Z3077" s="13" t="s">
        <v>516</v>
      </c>
      <c r="AA3077" s="23" t="s">
        <v>373</v>
      </c>
      <c r="AB3077" s="23" t="s">
        <v>357</v>
      </c>
      <c r="AC3077" s="23" t="s">
        <v>520</v>
      </c>
      <c r="AD3077" s="20"/>
      <c r="AE3077" s="20"/>
      <c r="AF3077" s="13" t="s">
        <v>40</v>
      </c>
      <c r="AG3077" s="15">
        <v>45323</v>
      </c>
      <c r="AH3077" s="13" t="s">
        <v>41</v>
      </c>
      <c r="AI3077" s="13" t="s">
        <v>47</v>
      </c>
      <c r="AJ3077" s="13" t="str">
        <f>VLOOKUP(E3077,Precios!Z$2:AA$941,2,FALSE)</f>
        <v>Servilletas SOFTQUALITY 300 unidades</v>
      </c>
      <c r="AK3077" s="14">
        <f>VLOOKUP(E3077,Precios!Z$2:BB$941,3,FALSE)*F3077</f>
        <v>-1</v>
      </c>
      <c r="AL3077" s="17"/>
      <c r="AM3077" s="17"/>
      <c r="AN3077" s="17"/>
      <c r="AO3077" s="17"/>
      <c r="AP3077" s="17"/>
      <c r="AQ3077" s="17"/>
      <c r="AR3077" s="17"/>
      <c r="AS3077" s="17"/>
      <c r="AT3077" s="17"/>
      <c r="AU3077" s="17"/>
      <c r="AV3077" s="17"/>
    </row>
    <row r="3078" spans="1:48" ht="15.75" customHeight="1">
      <c r="A3078" s="21" t="s">
        <v>47</v>
      </c>
      <c r="B3078" s="23" t="s">
        <v>1692</v>
      </c>
      <c r="C3078" s="22">
        <v>45699</v>
      </c>
      <c r="D3078" s="23" t="s">
        <v>519</v>
      </c>
      <c r="E3078" s="23" t="s">
        <v>94</v>
      </c>
      <c r="F3078" s="14">
        <v>1</v>
      </c>
      <c r="G3078" s="12">
        <v>1650.3649635036495</v>
      </c>
      <c r="H3078" s="12">
        <v>1650.3649635036495</v>
      </c>
      <c r="I3078" s="23" t="s">
        <v>52</v>
      </c>
      <c r="J3078" s="23" t="s">
        <v>61</v>
      </c>
      <c r="K3078" s="24" t="s">
        <v>177</v>
      </c>
      <c r="L3078" s="24">
        <v>101</v>
      </c>
      <c r="M3078" s="12">
        <v>1386.861313868613</v>
      </c>
      <c r="N3078" s="12">
        <v>1386.861313868613</v>
      </c>
      <c r="O3078" s="12">
        <v>263.50364963503648</v>
      </c>
      <c r="P3078" s="13"/>
      <c r="Q3078" s="14">
        <v>2025</v>
      </c>
      <c r="R3078" s="15">
        <v>45323</v>
      </c>
      <c r="S3078" s="11" t="s">
        <v>384</v>
      </c>
      <c r="T3078" s="16">
        <v>0</v>
      </c>
      <c r="U3078" s="17"/>
      <c r="V3078" s="12">
        <v>436.86131386861302</v>
      </c>
      <c r="W3078" s="12">
        <v>436.86131386861302</v>
      </c>
      <c r="X3078" s="12">
        <v>0</v>
      </c>
      <c r="Y3078" s="18">
        <v>45698</v>
      </c>
      <c r="Z3078" s="13" t="s">
        <v>516</v>
      </c>
      <c r="AA3078" s="23" t="s">
        <v>373</v>
      </c>
      <c r="AB3078" s="23" t="s">
        <v>357</v>
      </c>
      <c r="AC3078" s="23" t="s">
        <v>520</v>
      </c>
      <c r="AD3078" s="20"/>
      <c r="AE3078" s="20"/>
      <c r="AF3078" s="13" t="s">
        <v>40</v>
      </c>
      <c r="AG3078" s="15">
        <v>45323</v>
      </c>
      <c r="AH3078" s="13" t="s">
        <v>41</v>
      </c>
      <c r="AI3078" s="13" t="s">
        <v>47</v>
      </c>
      <c r="AJ3078" s="13" t="str">
        <f>VLOOKUP(E3078,Precios!Z$2:AA$941,2,FALSE)</f>
        <v>Jabón Lìquido BALLERINA</v>
      </c>
      <c r="AK3078" s="14">
        <f>VLOOKUP(E3078,Precios!Z$2:BB$941,3,FALSE)*F3078</f>
        <v>-3</v>
      </c>
      <c r="AL3078" s="17"/>
      <c r="AM3078" s="17"/>
      <c r="AN3078" s="17"/>
      <c r="AO3078" s="17"/>
      <c r="AP3078" s="17"/>
      <c r="AQ3078" s="17"/>
      <c r="AR3078" s="17"/>
      <c r="AS3078" s="17"/>
      <c r="AT3078" s="17"/>
      <c r="AU3078" s="17"/>
      <c r="AV3078" s="17"/>
    </row>
    <row r="3079" spans="1:48" ht="15.75" customHeight="1">
      <c r="A3079" s="21" t="s">
        <v>47</v>
      </c>
      <c r="B3079" s="23" t="s">
        <v>1692</v>
      </c>
      <c r="C3079" s="22">
        <v>45699</v>
      </c>
      <c r="D3079" s="23" t="s">
        <v>519</v>
      </c>
      <c r="E3079" s="23" t="s">
        <v>48</v>
      </c>
      <c r="F3079" s="14">
        <v>1</v>
      </c>
      <c r="G3079" s="12">
        <v>1000</v>
      </c>
      <c r="H3079" s="12">
        <v>1000</v>
      </c>
      <c r="I3079" s="23" t="s">
        <v>52</v>
      </c>
      <c r="J3079" s="23" t="s">
        <v>61</v>
      </c>
      <c r="K3079" s="24" t="s">
        <v>177</v>
      </c>
      <c r="L3079" s="24">
        <v>101</v>
      </c>
      <c r="M3079" s="12">
        <v>840.3361344537816</v>
      </c>
      <c r="N3079" s="12">
        <v>840.3361344537816</v>
      </c>
      <c r="O3079" s="12">
        <v>159.6638655462184</v>
      </c>
      <c r="P3079" s="13"/>
      <c r="Q3079" s="14">
        <v>2025</v>
      </c>
      <c r="R3079" s="15">
        <v>45323</v>
      </c>
      <c r="S3079" s="11" t="s">
        <v>416</v>
      </c>
      <c r="T3079" s="16">
        <v>0</v>
      </c>
      <c r="U3079" s="17"/>
      <c r="V3079" s="12">
        <v>330.33613445378148</v>
      </c>
      <c r="W3079" s="12">
        <v>330.33613445378148</v>
      </c>
      <c r="X3079" s="12">
        <v>0</v>
      </c>
      <c r="Y3079" s="18">
        <v>45698</v>
      </c>
      <c r="Z3079" s="13" t="s">
        <v>516</v>
      </c>
      <c r="AA3079" s="23" t="s">
        <v>373</v>
      </c>
      <c r="AB3079" s="23" t="s">
        <v>357</v>
      </c>
      <c r="AC3079" s="23" t="s">
        <v>520</v>
      </c>
      <c r="AD3079" s="20"/>
      <c r="AE3079" s="20"/>
      <c r="AF3079" s="13" t="s">
        <v>40</v>
      </c>
      <c r="AG3079" s="15">
        <v>45323</v>
      </c>
      <c r="AH3079" s="13" t="s">
        <v>41</v>
      </c>
      <c r="AI3079" s="13" t="s">
        <v>47</v>
      </c>
      <c r="AJ3079" s="13" t="str">
        <f>VLOOKUP(E3079,Precios!Z$2:AA$941,2,FALSE)</f>
        <v>Esponja Acanalada TEDDY</v>
      </c>
      <c r="AK3079" s="14">
        <f>VLOOKUP(E3079,Precios!Z$2:BB$941,3,FALSE)*F3079</f>
        <v>-5</v>
      </c>
      <c r="AL3079" s="17"/>
      <c r="AM3079" s="17"/>
      <c r="AN3079" s="17"/>
      <c r="AO3079" s="17"/>
      <c r="AP3079" s="17"/>
      <c r="AQ3079" s="17"/>
      <c r="AR3079" s="17"/>
      <c r="AS3079" s="17"/>
      <c r="AT3079" s="17"/>
      <c r="AU3079" s="17"/>
      <c r="AV3079" s="17"/>
    </row>
    <row r="3080" spans="1:48" ht="15.75" customHeight="1">
      <c r="A3080" s="21" t="s">
        <v>76</v>
      </c>
      <c r="B3080" s="23" t="s">
        <v>1692</v>
      </c>
      <c r="C3080" s="22">
        <v>45699</v>
      </c>
      <c r="D3080" s="23" t="s">
        <v>519</v>
      </c>
      <c r="E3080" s="23" t="s">
        <v>252</v>
      </c>
      <c r="F3080" s="14">
        <v>1</v>
      </c>
      <c r="G3080" s="12">
        <v>1599.969512195122</v>
      </c>
      <c r="H3080" s="12">
        <v>1599.969512195122</v>
      </c>
      <c r="I3080" s="23" t="s">
        <v>52</v>
      </c>
      <c r="J3080" s="23" t="s">
        <v>61</v>
      </c>
      <c r="K3080" s="24" t="s">
        <v>177</v>
      </c>
      <c r="L3080" s="24">
        <v>101</v>
      </c>
      <c r="M3080" s="12">
        <v>1344.5121951219512</v>
      </c>
      <c r="N3080" s="12">
        <v>1344.5121951219512</v>
      </c>
      <c r="O3080" s="12">
        <v>255.45731707317077</v>
      </c>
      <c r="P3080" s="13"/>
      <c r="Q3080" s="14">
        <v>2025</v>
      </c>
      <c r="R3080" s="15">
        <v>45323</v>
      </c>
      <c r="S3080" s="11" t="s">
        <v>252</v>
      </c>
      <c r="T3080" s="16">
        <v>0</v>
      </c>
      <c r="U3080" s="17"/>
      <c r="V3080" s="12">
        <v>462.51219512195121</v>
      </c>
      <c r="W3080" s="12">
        <v>462.51219512195121</v>
      </c>
      <c r="X3080" s="12">
        <v>0</v>
      </c>
      <c r="Y3080" s="18">
        <v>45698</v>
      </c>
      <c r="Z3080" s="13" t="s">
        <v>516</v>
      </c>
      <c r="AA3080" s="23" t="s">
        <v>373</v>
      </c>
      <c r="AB3080" s="23" t="s">
        <v>357</v>
      </c>
      <c r="AC3080" s="23" t="s">
        <v>520</v>
      </c>
      <c r="AD3080" s="20"/>
      <c r="AE3080" s="20"/>
      <c r="AF3080" s="13" t="s">
        <v>40</v>
      </c>
      <c r="AG3080" s="15">
        <v>45323</v>
      </c>
      <c r="AH3080" s="13" t="s">
        <v>41</v>
      </c>
      <c r="AI3080" s="13" t="s">
        <v>76</v>
      </c>
      <c r="AJ3080" s="13" t="str">
        <f>VLOOKUP(E3080,Precios!Z$2:AA$941,2,FALSE)</f>
        <v>Limpiapiso POETT 900 ml</v>
      </c>
      <c r="AK3080" s="14">
        <f>VLOOKUP(E3080,Precios!Z$2:BB$941,3,FALSE)*F3080</f>
        <v>-1</v>
      </c>
      <c r="AL3080" s="17"/>
      <c r="AM3080" s="17"/>
      <c r="AN3080" s="17"/>
      <c r="AO3080" s="17"/>
      <c r="AP3080" s="17"/>
      <c r="AQ3080" s="17"/>
      <c r="AR3080" s="17"/>
      <c r="AS3080" s="17"/>
      <c r="AT3080" s="17"/>
      <c r="AU3080" s="17"/>
      <c r="AV3080" s="17"/>
    </row>
    <row r="3081" spans="1:48" ht="15.75" customHeight="1">
      <c r="A3081" s="21" t="s">
        <v>53</v>
      </c>
      <c r="B3081" s="23" t="s">
        <v>1692</v>
      </c>
      <c r="C3081" s="22">
        <v>45699</v>
      </c>
      <c r="D3081" s="23" t="s">
        <v>519</v>
      </c>
      <c r="E3081" s="23" t="s">
        <v>88</v>
      </c>
      <c r="F3081" s="14">
        <v>1</v>
      </c>
      <c r="G3081" s="12">
        <v>1999.9551032624961</v>
      </c>
      <c r="H3081" s="12">
        <v>1999.9551032624961</v>
      </c>
      <c r="I3081" s="23" t="s">
        <v>52</v>
      </c>
      <c r="J3081" s="23" t="s">
        <v>61</v>
      </c>
      <c r="K3081" s="24" t="s">
        <v>177</v>
      </c>
      <c r="L3081" s="24">
        <v>101</v>
      </c>
      <c r="M3081" s="12">
        <v>1680.6345405567195</v>
      </c>
      <c r="N3081" s="12">
        <v>1680.6345405567195</v>
      </c>
      <c r="O3081" s="12">
        <v>319.32056270577664</v>
      </c>
      <c r="P3081" s="13"/>
      <c r="Q3081" s="14">
        <v>2025</v>
      </c>
      <c r="R3081" s="15">
        <v>45323</v>
      </c>
      <c r="S3081" s="11" t="s">
        <v>410</v>
      </c>
      <c r="T3081" s="16">
        <v>0</v>
      </c>
      <c r="U3081" s="17"/>
      <c r="V3081" s="12">
        <v>557.63454055671946</v>
      </c>
      <c r="W3081" s="12">
        <v>557.63454055671946</v>
      </c>
      <c r="X3081" s="12">
        <v>0</v>
      </c>
      <c r="Y3081" s="18">
        <v>45698</v>
      </c>
      <c r="Z3081" s="13" t="s">
        <v>516</v>
      </c>
      <c r="AA3081" s="23" t="s">
        <v>373</v>
      </c>
      <c r="AB3081" s="23" t="s">
        <v>357</v>
      </c>
      <c r="AC3081" s="23" t="s">
        <v>520</v>
      </c>
      <c r="AD3081" s="20"/>
      <c r="AE3081" s="20"/>
      <c r="AF3081" s="13" t="s">
        <v>40</v>
      </c>
      <c r="AG3081" s="15">
        <v>45323</v>
      </c>
      <c r="AH3081" s="13" t="s">
        <v>41</v>
      </c>
      <c r="AI3081" s="13" t="s">
        <v>53</v>
      </c>
      <c r="AJ3081" s="13" t="str">
        <f>VLOOKUP(E3081,Precios!Z$2:AA$941,2,FALSE)</f>
        <v>Toalla Papel NOVA 26 metros</v>
      </c>
      <c r="AK3081" s="14">
        <f>VLOOKUP(E3081,Precios!Z$2:BB$941,3,FALSE)*F3081</f>
        <v>-1</v>
      </c>
      <c r="AL3081" s="17"/>
      <c r="AM3081" s="17"/>
      <c r="AN3081" s="17"/>
      <c r="AO3081" s="17"/>
      <c r="AP3081" s="17"/>
      <c r="AQ3081" s="17"/>
      <c r="AR3081" s="17"/>
      <c r="AS3081" s="17"/>
      <c r="AT3081" s="17"/>
      <c r="AU3081" s="17"/>
      <c r="AV3081" s="17"/>
    </row>
    <row r="3082" spans="1:48" ht="15.75" customHeight="1">
      <c r="A3082" s="21" t="s">
        <v>76</v>
      </c>
      <c r="B3082" s="23" t="s">
        <v>1692</v>
      </c>
      <c r="C3082" s="22">
        <v>45699</v>
      </c>
      <c r="D3082" s="23" t="s">
        <v>519</v>
      </c>
      <c r="E3082" s="23" t="s">
        <v>185</v>
      </c>
      <c r="F3082" s="14">
        <v>1</v>
      </c>
      <c r="G3082" s="12">
        <v>3200.1383843625663</v>
      </c>
      <c r="H3082" s="12">
        <v>3200.1383843625663</v>
      </c>
      <c r="I3082" s="23" t="s">
        <v>52</v>
      </c>
      <c r="J3082" s="23" t="s">
        <v>61</v>
      </c>
      <c r="K3082" s="24" t="s">
        <v>177</v>
      </c>
      <c r="L3082" s="24">
        <v>101</v>
      </c>
      <c r="M3082" s="12">
        <v>2689.1919196324088</v>
      </c>
      <c r="N3082" s="12">
        <v>2689.1919196324088</v>
      </c>
      <c r="O3082" s="12">
        <v>510.94646473015746</v>
      </c>
      <c r="P3082" s="13"/>
      <c r="Q3082" s="14">
        <v>2025</v>
      </c>
      <c r="R3082" s="15">
        <v>45323</v>
      </c>
      <c r="S3082" s="11" t="s">
        <v>444</v>
      </c>
      <c r="T3082" s="16">
        <v>5</v>
      </c>
      <c r="U3082" s="17"/>
      <c r="V3082" s="12">
        <v>1134.570070892913</v>
      </c>
      <c r="W3082" s="12">
        <v>1134.570070892913</v>
      </c>
      <c r="X3082" s="12">
        <v>0</v>
      </c>
      <c r="Y3082" s="18">
        <v>45698</v>
      </c>
      <c r="Z3082" s="13" t="s">
        <v>516</v>
      </c>
      <c r="AA3082" s="23" t="s">
        <v>373</v>
      </c>
      <c r="AB3082" s="23" t="s">
        <v>357</v>
      </c>
      <c r="AC3082" s="23" t="s">
        <v>520</v>
      </c>
      <c r="AD3082" s="20"/>
      <c r="AE3082" s="20"/>
      <c r="AF3082" s="13" t="s">
        <v>40</v>
      </c>
      <c r="AG3082" s="15">
        <v>45323</v>
      </c>
      <c r="AH3082" s="13" t="s">
        <v>41</v>
      </c>
      <c r="AI3082" s="13" t="s">
        <v>76</v>
      </c>
      <c r="AJ3082" s="13" t="str">
        <f>VLOOKUP(E3082,Precios!Z$2:AA$941,2,FALSE)</f>
        <v>Limpia Vidrio SPUM 5 litros</v>
      </c>
      <c r="AK3082" s="14">
        <f>VLOOKUP(E3082,Precios!Z$2:BB$941,3,FALSE)*F3082</f>
        <v>-1</v>
      </c>
      <c r="AL3082" s="17"/>
      <c r="AM3082" s="17"/>
      <c r="AN3082" s="17"/>
      <c r="AO3082" s="17"/>
      <c r="AP3082" s="17"/>
      <c r="AQ3082" s="17"/>
      <c r="AR3082" s="17"/>
      <c r="AS3082" s="17"/>
      <c r="AT3082" s="17"/>
      <c r="AU3082" s="17"/>
      <c r="AV3082" s="17"/>
    </row>
    <row r="3083" spans="1:48" ht="15.75" customHeight="1">
      <c r="A3083" s="21" t="s">
        <v>50</v>
      </c>
      <c r="B3083" s="23" t="s">
        <v>1692</v>
      </c>
      <c r="C3083" s="22">
        <v>45699</v>
      </c>
      <c r="D3083" s="23" t="s">
        <v>233</v>
      </c>
      <c r="E3083" s="23" t="s">
        <v>528</v>
      </c>
      <c r="F3083" s="14">
        <v>1</v>
      </c>
      <c r="G3083" s="12">
        <v>4500.2224529141331</v>
      </c>
      <c r="H3083" s="12">
        <v>4500.2224529141331</v>
      </c>
      <c r="I3083" s="23" t="s">
        <v>52</v>
      </c>
      <c r="J3083" s="23" t="s">
        <v>61</v>
      </c>
      <c r="K3083" s="24" t="s">
        <v>177</v>
      </c>
      <c r="L3083" s="24">
        <v>101</v>
      </c>
      <c r="M3083" s="12">
        <v>3781.6995402639777</v>
      </c>
      <c r="N3083" s="12">
        <v>3781.6995402639777</v>
      </c>
      <c r="O3083" s="12">
        <v>718.52291265015538</v>
      </c>
      <c r="P3083" s="13"/>
      <c r="Q3083" s="14">
        <v>2025</v>
      </c>
      <c r="R3083" s="15">
        <v>45323</v>
      </c>
      <c r="S3083" s="11" t="s">
        <v>528</v>
      </c>
      <c r="T3083" s="16">
        <v>0</v>
      </c>
      <c r="U3083" s="17"/>
      <c r="V3083" s="12">
        <v>1996.6995402639773</v>
      </c>
      <c r="W3083" s="12">
        <v>1996.6995402639773</v>
      </c>
      <c r="X3083" s="12">
        <v>0</v>
      </c>
      <c r="Y3083" s="18">
        <v>45698</v>
      </c>
      <c r="Z3083" s="13" t="s">
        <v>516</v>
      </c>
      <c r="AA3083" s="19" t="str">
        <f>VLOOKUP(D3083,Clientes!$A$2:$J$486,9,FALSE)</f>
        <v>Ocacional</v>
      </c>
      <c r="AB3083" s="13" t="str">
        <f>VLOOKUP(D3083,Clientes!$A$2:$K$486,11,FALSE)</f>
        <v>Persona Natural</v>
      </c>
      <c r="AC3083" s="13" t="str">
        <f>VLOOKUP(D3083,Clientes!$A$2:$B$486,2,FALSE)</f>
        <v>Jardines de la viña</v>
      </c>
      <c r="AD3083" s="20"/>
      <c r="AE3083" s="20"/>
      <c r="AF3083" s="13" t="s">
        <v>40</v>
      </c>
      <c r="AG3083" s="15">
        <v>45323</v>
      </c>
      <c r="AH3083" s="13" t="s">
        <v>41</v>
      </c>
      <c r="AI3083" s="13" t="s">
        <v>50</v>
      </c>
      <c r="AJ3083" s="13" t="str">
        <f>VLOOKUP(E3083,Precios!Z$2:AA$941,2,FALSE)</f>
        <v>Hielo 1 Kilo</v>
      </c>
      <c r="AK3083" s="14">
        <f>VLOOKUP(E3083,Precios!Z$2:BB$941,3,FALSE)*F3083</f>
        <v>-5</v>
      </c>
      <c r="AL3083" s="17"/>
      <c r="AM3083" s="17"/>
      <c r="AN3083" s="17"/>
      <c r="AO3083" s="17"/>
      <c r="AP3083" s="17"/>
      <c r="AQ3083" s="17"/>
      <c r="AR3083" s="17"/>
      <c r="AS3083" s="17"/>
      <c r="AT3083" s="17"/>
      <c r="AU3083" s="17"/>
      <c r="AV3083" s="17"/>
    </row>
    <row r="3084" spans="1:48" ht="15.75" customHeight="1">
      <c r="A3084" s="14" t="s">
        <v>43</v>
      </c>
      <c r="B3084" s="23" t="s">
        <v>1692</v>
      </c>
      <c r="C3084" s="22">
        <v>45699</v>
      </c>
      <c r="D3084" s="23" t="s">
        <v>519</v>
      </c>
      <c r="E3084" s="13" t="s">
        <v>45</v>
      </c>
      <c r="F3084" s="14">
        <v>1</v>
      </c>
      <c r="G3084" s="12">
        <v>6900.1306988544629</v>
      </c>
      <c r="H3084" s="12">
        <v>6900.1306988544629</v>
      </c>
      <c r="I3084" s="23" t="s">
        <v>52</v>
      </c>
      <c r="J3084" s="23" t="s">
        <v>61</v>
      </c>
      <c r="K3084" s="24" t="s">
        <v>177</v>
      </c>
      <c r="L3084" s="24">
        <v>101</v>
      </c>
      <c r="M3084" s="12">
        <v>5798.4291587012294</v>
      </c>
      <c r="N3084" s="12">
        <v>5798.4291587012294</v>
      </c>
      <c r="O3084" s="12">
        <v>1101.7015401532335</v>
      </c>
      <c r="P3084" s="13"/>
      <c r="Q3084" s="14">
        <v>2025</v>
      </c>
      <c r="R3084" s="15">
        <v>45323</v>
      </c>
      <c r="S3084" s="11" t="s">
        <v>355</v>
      </c>
      <c r="T3084" s="16">
        <v>0</v>
      </c>
      <c r="U3084" s="17"/>
      <c r="V3084" s="12">
        <v>1273.219074667616</v>
      </c>
      <c r="W3084" s="12">
        <v>1273.219074667616</v>
      </c>
      <c r="X3084" s="12">
        <v>0</v>
      </c>
      <c r="Y3084" s="18">
        <v>45698</v>
      </c>
      <c r="Z3084" s="13" t="s">
        <v>516</v>
      </c>
      <c r="AA3084" s="23" t="s">
        <v>373</v>
      </c>
      <c r="AB3084" s="23" t="s">
        <v>357</v>
      </c>
      <c r="AC3084" s="23" t="s">
        <v>520</v>
      </c>
      <c r="AD3084" s="20"/>
      <c r="AE3084" s="20"/>
      <c r="AF3084" s="13" t="s">
        <v>40</v>
      </c>
      <c r="AG3084" s="15">
        <v>45323</v>
      </c>
      <c r="AH3084" s="13" t="s">
        <v>41</v>
      </c>
      <c r="AI3084" s="13" t="s">
        <v>43</v>
      </c>
      <c r="AJ3084" s="13" t="str">
        <f>VLOOKUP(E3084,Precios!Z$2:AA$941,2,FALSE)</f>
        <v>Bandeja Huevos EXTRA</v>
      </c>
      <c r="AK3084" s="14">
        <f>VLOOKUP(E3084,Precios!Z$2:BB$941,3,FALSE)*F3084</f>
        <v>-1</v>
      </c>
      <c r="AL3084" s="17"/>
      <c r="AM3084" s="17"/>
      <c r="AN3084" s="17"/>
      <c r="AO3084" s="17"/>
      <c r="AP3084" s="17"/>
      <c r="AQ3084" s="17"/>
      <c r="AR3084" s="17"/>
      <c r="AS3084" s="17"/>
      <c r="AT3084" s="17"/>
      <c r="AU3084" s="17"/>
      <c r="AV3084" s="17"/>
    </row>
    <row r="3085" spans="1:48" ht="15.75" customHeight="1">
      <c r="A3085" s="14" t="s">
        <v>43</v>
      </c>
      <c r="B3085" s="23" t="s">
        <v>1692</v>
      </c>
      <c r="C3085" s="22">
        <v>45699</v>
      </c>
      <c r="D3085" s="23" t="s">
        <v>184</v>
      </c>
      <c r="E3085" s="13" t="s">
        <v>45</v>
      </c>
      <c r="F3085" s="14">
        <v>1</v>
      </c>
      <c r="G3085" s="12">
        <v>6900.1306988544629</v>
      </c>
      <c r="H3085" s="12">
        <v>6900.1306988544629</v>
      </c>
      <c r="I3085" s="23" t="s">
        <v>52</v>
      </c>
      <c r="J3085" s="23" t="s">
        <v>61</v>
      </c>
      <c r="K3085" s="24" t="s">
        <v>177</v>
      </c>
      <c r="L3085" s="24">
        <v>101</v>
      </c>
      <c r="M3085" s="12">
        <v>5798.4291587012294</v>
      </c>
      <c r="N3085" s="12">
        <v>5798.4291587012294</v>
      </c>
      <c r="O3085" s="12">
        <v>1101.7015401532335</v>
      </c>
      <c r="P3085" s="13"/>
      <c r="Q3085" s="14">
        <v>2025</v>
      </c>
      <c r="R3085" s="15">
        <v>45323</v>
      </c>
      <c r="S3085" s="11" t="s">
        <v>355</v>
      </c>
      <c r="T3085" s="16">
        <v>0</v>
      </c>
      <c r="U3085" s="17"/>
      <c r="V3085" s="12">
        <v>1273.219074667616</v>
      </c>
      <c r="W3085" s="12">
        <v>1273.219074667616</v>
      </c>
      <c r="X3085" s="12">
        <v>0</v>
      </c>
      <c r="Y3085" s="18">
        <v>45698</v>
      </c>
      <c r="Z3085" s="13" t="s">
        <v>516</v>
      </c>
      <c r="AA3085" s="19" t="str">
        <f>VLOOKUP(D3085,Clientes!$A$2:$J$486,9,FALSE)</f>
        <v>Frecuente</v>
      </c>
      <c r="AB3085" s="13" t="str">
        <f>VLOOKUP(D3085,Clientes!$A$2:$K$486,11,FALSE)</f>
        <v>Persona Natural</v>
      </c>
      <c r="AC3085" s="13" t="str">
        <f>VLOOKUP(D3085,Clientes!$A$2:$B$486,2,FALSE)</f>
        <v>Jardin del Eden</v>
      </c>
      <c r="AD3085" s="20"/>
      <c r="AE3085" s="20"/>
      <c r="AF3085" s="13" t="s">
        <v>40</v>
      </c>
      <c r="AG3085" s="15">
        <v>45323</v>
      </c>
      <c r="AH3085" s="13" t="s">
        <v>41</v>
      </c>
      <c r="AI3085" s="13" t="s">
        <v>43</v>
      </c>
      <c r="AJ3085" s="13" t="str">
        <f>VLOOKUP(E3085,Precios!Z$2:AA$941,2,FALSE)</f>
        <v>Bandeja Huevos EXTRA</v>
      </c>
      <c r="AK3085" s="14">
        <f>VLOOKUP(E3085,Precios!Z$2:BB$941,3,FALSE)*F3085</f>
        <v>-1</v>
      </c>
      <c r="AL3085" s="17"/>
      <c r="AM3085" s="17"/>
      <c r="AN3085" s="17"/>
      <c r="AO3085" s="17"/>
      <c r="AP3085" s="17"/>
      <c r="AQ3085" s="17"/>
      <c r="AR3085" s="17"/>
      <c r="AS3085" s="17"/>
      <c r="AT3085" s="17"/>
      <c r="AU3085" s="17"/>
      <c r="AV3085" s="17"/>
    </row>
    <row r="3086" spans="1:48" ht="15.75" customHeight="1">
      <c r="A3086" s="21" t="s">
        <v>76</v>
      </c>
      <c r="B3086" s="23" t="s">
        <v>1692</v>
      </c>
      <c r="C3086" s="22">
        <v>45699</v>
      </c>
      <c r="D3086" s="23" t="s">
        <v>184</v>
      </c>
      <c r="E3086" s="23" t="s">
        <v>137</v>
      </c>
      <c r="F3086" s="21">
        <v>4</v>
      </c>
      <c r="G3086" s="12">
        <v>3500.0000000000005</v>
      </c>
      <c r="H3086" s="12">
        <v>14000.000000000002</v>
      </c>
      <c r="I3086" s="23" t="s">
        <v>52</v>
      </c>
      <c r="J3086" s="23" t="s">
        <v>61</v>
      </c>
      <c r="K3086" s="24" t="s">
        <v>177</v>
      </c>
      <c r="L3086" s="24">
        <v>101</v>
      </c>
      <c r="M3086" s="12">
        <v>2941.1764705882356</v>
      </c>
      <c r="N3086" s="12">
        <v>11764.705882352942</v>
      </c>
      <c r="O3086" s="12">
        <v>2235.2941176470595</v>
      </c>
      <c r="P3086" s="13"/>
      <c r="Q3086" s="14">
        <v>2025</v>
      </c>
      <c r="R3086" s="15">
        <v>45323</v>
      </c>
      <c r="S3086" s="11" t="s">
        <v>406</v>
      </c>
      <c r="T3086" s="16">
        <v>20</v>
      </c>
      <c r="U3086" s="17"/>
      <c r="V3086" s="12">
        <v>3394.9579831932788</v>
      </c>
      <c r="W3086" s="12">
        <v>3394.9579831932788</v>
      </c>
      <c r="X3086" s="12">
        <v>0</v>
      </c>
      <c r="Y3086" s="18">
        <v>45698</v>
      </c>
      <c r="Z3086" s="13" t="s">
        <v>516</v>
      </c>
      <c r="AA3086" s="19" t="str">
        <f>VLOOKUP(D3086,Clientes!$A$2:$J$486,9,FALSE)</f>
        <v>Frecuente</v>
      </c>
      <c r="AB3086" s="13" t="str">
        <f>VLOOKUP(D3086,Clientes!$A$2:$K$486,11,FALSE)</f>
        <v>Persona Natural</v>
      </c>
      <c r="AC3086" s="13" t="str">
        <f>VLOOKUP(D3086,Clientes!$A$2:$B$486,2,FALSE)</f>
        <v>Jardin del Eden</v>
      </c>
      <c r="AD3086" s="20"/>
      <c r="AE3086" s="20"/>
      <c r="AF3086" s="13" t="s">
        <v>40</v>
      </c>
      <c r="AG3086" s="15">
        <v>45323</v>
      </c>
      <c r="AH3086" s="13" t="s">
        <v>41</v>
      </c>
      <c r="AI3086" s="13" t="s">
        <v>76</v>
      </c>
      <c r="AJ3086" s="13" t="str">
        <f>VLOOKUP(E3086,Precios!Z$2:AA$941,2,FALSE)</f>
        <v>Detergente SPUM 5 Litros (Blanco)</v>
      </c>
      <c r="AK3086" s="14">
        <f>VLOOKUP(E3086,Precios!Z$2:BB$941,3,FALSE)*F3086</f>
        <v>-4</v>
      </c>
      <c r="AL3086" s="17"/>
      <c r="AM3086" s="17"/>
      <c r="AN3086" s="17"/>
      <c r="AO3086" s="17"/>
      <c r="AP3086" s="17"/>
      <c r="AQ3086" s="17"/>
      <c r="AR3086" s="17"/>
      <c r="AS3086" s="17"/>
      <c r="AT3086" s="17"/>
      <c r="AU3086" s="17"/>
      <c r="AV3086" s="17"/>
    </row>
    <row r="3087" spans="1:48" ht="15.75" customHeight="1">
      <c r="A3087" s="21" t="s">
        <v>47</v>
      </c>
      <c r="B3087" s="23" t="s">
        <v>1692</v>
      </c>
      <c r="C3087" s="22">
        <v>45699</v>
      </c>
      <c r="D3087" s="23" t="s">
        <v>184</v>
      </c>
      <c r="E3087" s="23" t="s">
        <v>294</v>
      </c>
      <c r="F3087" s="21">
        <v>1</v>
      </c>
      <c r="G3087" s="12">
        <v>4199.9016948855005</v>
      </c>
      <c r="H3087" s="12">
        <v>4199.9016948855005</v>
      </c>
      <c r="I3087" s="23" t="s">
        <v>52</v>
      </c>
      <c r="J3087" s="23" t="s">
        <v>61</v>
      </c>
      <c r="K3087" s="24" t="s">
        <v>177</v>
      </c>
      <c r="L3087" s="24">
        <v>101</v>
      </c>
      <c r="M3087" s="12">
        <v>3529.3291553659669</v>
      </c>
      <c r="N3087" s="12">
        <v>3529.3291553659669</v>
      </c>
      <c r="O3087" s="12">
        <v>670.57253951953362</v>
      </c>
      <c r="P3087" s="13"/>
      <c r="Q3087" s="14">
        <v>2025</v>
      </c>
      <c r="R3087" s="15">
        <v>45323</v>
      </c>
      <c r="S3087" s="11" t="s">
        <v>621</v>
      </c>
      <c r="T3087" s="16">
        <v>0</v>
      </c>
      <c r="U3087" s="17"/>
      <c r="V3087" s="12">
        <v>848.66248869930041</v>
      </c>
      <c r="W3087" s="12">
        <v>848.66248869930041</v>
      </c>
      <c r="X3087" s="12">
        <v>0</v>
      </c>
      <c r="Y3087" s="18">
        <v>45698</v>
      </c>
      <c r="Z3087" s="13" t="s">
        <v>516</v>
      </c>
      <c r="AA3087" s="19" t="str">
        <f>VLOOKUP(D3087,Clientes!$A$2:$J$486,9,FALSE)</f>
        <v>Frecuente</v>
      </c>
      <c r="AB3087" s="13" t="str">
        <f>VLOOKUP(D3087,Clientes!$A$2:$K$486,11,FALSE)</f>
        <v>Persona Natural</v>
      </c>
      <c r="AC3087" s="13" t="str">
        <f>VLOOKUP(D3087,Clientes!$A$2:$B$486,2,FALSE)</f>
        <v>Jardin del Eden</v>
      </c>
      <c r="AD3087" s="20"/>
      <c r="AE3087" s="20"/>
      <c r="AF3087" s="13" t="s">
        <v>40</v>
      </c>
      <c r="AG3087" s="15">
        <v>45323</v>
      </c>
      <c r="AH3087" s="13" t="s">
        <v>41</v>
      </c>
      <c r="AI3087" s="13" t="s">
        <v>47</v>
      </c>
      <c r="AJ3087" s="13" t="str">
        <f>VLOOKUP(E3087,Precios!Z$2:AA$941,2,FALSE)</f>
        <v>Insecticida RAID 360 cc Todo Insecto (Morado)</v>
      </c>
      <c r="AK3087" s="14">
        <f>VLOOKUP(E3087,Precios!Z$2:BB$941,3,FALSE)*F3087</f>
        <v>-1</v>
      </c>
      <c r="AL3087" s="17"/>
      <c r="AM3087" s="17"/>
      <c r="AN3087" s="17"/>
      <c r="AO3087" s="17"/>
      <c r="AP3087" s="17"/>
      <c r="AQ3087" s="17"/>
      <c r="AR3087" s="17"/>
      <c r="AS3087" s="17"/>
      <c r="AT3087" s="17"/>
      <c r="AU3087" s="17"/>
      <c r="AV3087" s="17"/>
    </row>
    <row r="3088" spans="1:48" ht="15.75" customHeight="1">
      <c r="A3088" s="21" t="s">
        <v>47</v>
      </c>
      <c r="B3088" s="23" t="s">
        <v>1692</v>
      </c>
      <c r="C3088" s="22">
        <v>45699</v>
      </c>
      <c r="D3088" s="23" t="s">
        <v>184</v>
      </c>
      <c r="E3088" s="23" t="s">
        <v>565</v>
      </c>
      <c r="F3088" s="21">
        <v>1</v>
      </c>
      <c r="G3088" s="12">
        <v>6900.2286325825753</v>
      </c>
      <c r="H3088" s="12">
        <v>6900.2286325825753</v>
      </c>
      <c r="I3088" s="23" t="s">
        <v>52</v>
      </c>
      <c r="J3088" s="23" t="s">
        <v>61</v>
      </c>
      <c r="K3088" s="24" t="s">
        <v>177</v>
      </c>
      <c r="L3088" s="24">
        <v>101</v>
      </c>
      <c r="M3088" s="12">
        <v>5798.5114559517442</v>
      </c>
      <c r="N3088" s="12">
        <v>5798.5114559517442</v>
      </c>
      <c r="O3088" s="12">
        <v>1101.7171766308311</v>
      </c>
      <c r="P3088" s="13"/>
      <c r="Q3088" s="14">
        <v>2025</v>
      </c>
      <c r="R3088" s="15">
        <v>45323</v>
      </c>
      <c r="S3088" s="11" t="s">
        <v>372</v>
      </c>
      <c r="T3088" s="16">
        <v>0</v>
      </c>
      <c r="U3088" s="17"/>
      <c r="V3088" s="12">
        <v>2222.5114559517442</v>
      </c>
      <c r="W3088" s="12">
        <v>2222.5114559517442</v>
      </c>
      <c r="X3088" s="12">
        <v>0</v>
      </c>
      <c r="Y3088" s="18">
        <v>45698</v>
      </c>
      <c r="Z3088" s="13" t="s">
        <v>516</v>
      </c>
      <c r="AA3088" s="19" t="str">
        <f>VLOOKUP(D3088,Clientes!$A$2:$J$486,9,FALSE)</f>
        <v>Frecuente</v>
      </c>
      <c r="AB3088" s="13" t="str">
        <f>VLOOKUP(D3088,Clientes!$A$2:$K$486,11,FALSE)</f>
        <v>Persona Natural</v>
      </c>
      <c r="AC3088" s="13" t="str">
        <f>VLOOKUP(D3088,Clientes!$A$2:$B$486,2,FALSE)</f>
        <v>Jardin del Eden</v>
      </c>
      <c r="AD3088" s="20"/>
      <c r="AE3088" s="20"/>
      <c r="AF3088" s="13" t="s">
        <v>40</v>
      </c>
      <c r="AG3088" s="15">
        <v>45323</v>
      </c>
      <c r="AH3088" s="13" t="s">
        <v>41</v>
      </c>
      <c r="AI3088" s="13" t="s">
        <v>47</v>
      </c>
      <c r="AJ3088" s="13" t="str">
        <f>VLOOKUP(E3088,Precios!Z$2:AA$941,2,FALSE)</f>
        <v>Traperos Humedos TEDDY</v>
      </c>
      <c r="AK3088" s="14">
        <f>VLOOKUP(E3088,Precios!Z$2:BB$941,3,FALSE)*F3088</f>
        <v>-3</v>
      </c>
      <c r="AL3088" s="17"/>
      <c r="AM3088" s="17"/>
      <c r="AN3088" s="17"/>
      <c r="AO3088" s="17"/>
      <c r="AP3088" s="17"/>
      <c r="AQ3088" s="17"/>
      <c r="AR3088" s="17"/>
      <c r="AS3088" s="17"/>
      <c r="AT3088" s="17"/>
      <c r="AU3088" s="17"/>
      <c r="AV3088" s="17"/>
    </row>
    <row r="3089" spans="1:48" ht="15.75" customHeight="1">
      <c r="A3089" s="14" t="s">
        <v>43</v>
      </c>
      <c r="B3089" s="23" t="s">
        <v>1692</v>
      </c>
      <c r="C3089" s="22">
        <v>45698</v>
      </c>
      <c r="D3089" s="23" t="s">
        <v>750</v>
      </c>
      <c r="E3089" s="13" t="s">
        <v>45</v>
      </c>
      <c r="F3089" s="14">
        <v>1</v>
      </c>
      <c r="G3089" s="12">
        <v>6900.1306988544629</v>
      </c>
      <c r="H3089" s="12">
        <v>6900.1306988544629</v>
      </c>
      <c r="I3089" s="13" t="s">
        <v>52</v>
      </c>
      <c r="J3089" s="23" t="s">
        <v>61</v>
      </c>
      <c r="K3089" s="24" t="s">
        <v>177</v>
      </c>
      <c r="L3089" s="24">
        <v>101</v>
      </c>
      <c r="M3089" s="12">
        <v>5798.4291587012294</v>
      </c>
      <c r="N3089" s="12">
        <v>5798.4291587012294</v>
      </c>
      <c r="O3089" s="12">
        <v>1101.7015401532335</v>
      </c>
      <c r="P3089" s="13"/>
      <c r="Q3089" s="14">
        <v>2025</v>
      </c>
      <c r="R3089" s="15">
        <v>45323</v>
      </c>
      <c r="S3089" s="11" t="s">
        <v>355</v>
      </c>
      <c r="T3089" s="16">
        <v>0</v>
      </c>
      <c r="U3089" s="17"/>
      <c r="V3089" s="12">
        <v>1273.219074667616</v>
      </c>
      <c r="W3089" s="12">
        <v>1273.219074667616</v>
      </c>
      <c r="X3089" s="12">
        <v>0</v>
      </c>
      <c r="Y3089" s="18">
        <v>45698</v>
      </c>
      <c r="Z3089" s="13" t="s">
        <v>523</v>
      </c>
      <c r="AA3089" s="19" t="str">
        <f>VLOOKUP(D3089,Clientes!$A$2:$J$486,9,FALSE)</f>
        <v>Ocacional</v>
      </c>
      <c r="AB3089" s="13" t="str">
        <f>VLOOKUP(D3089,Clientes!$A$2:$K$486,11,FALSE)</f>
        <v>Persona Natural</v>
      </c>
      <c r="AC3089" s="13" t="str">
        <f>VLOOKUP(D3089,Clientes!$A$2:$B$486,2,FALSE)</f>
        <v>Palena</v>
      </c>
      <c r="AD3089" s="20"/>
      <c r="AE3089" s="20"/>
      <c r="AF3089" s="13" t="s">
        <v>40</v>
      </c>
      <c r="AG3089" s="15">
        <v>45323</v>
      </c>
      <c r="AH3089" s="13" t="s">
        <v>41</v>
      </c>
      <c r="AI3089" s="13" t="s">
        <v>43</v>
      </c>
      <c r="AJ3089" s="13" t="str">
        <f>VLOOKUP(E3089,Precios!Z$2:AA$941,2,FALSE)</f>
        <v>Bandeja Huevos EXTRA</v>
      </c>
      <c r="AK3089" s="14">
        <f>VLOOKUP(E3089,Precios!Z$2:BB$941,3,FALSE)*F3089</f>
        <v>-1</v>
      </c>
      <c r="AL3089" s="17"/>
      <c r="AM3089" s="17"/>
      <c r="AN3089" s="17"/>
      <c r="AO3089" s="17"/>
      <c r="AP3089" s="17"/>
      <c r="AQ3089" s="17"/>
      <c r="AR3089" s="17"/>
      <c r="AS3089" s="17"/>
      <c r="AT3089" s="17"/>
      <c r="AU3089" s="17"/>
      <c r="AV3089" s="17"/>
    </row>
    <row r="3090" spans="1:48" ht="15.75" customHeight="1">
      <c r="A3090" s="21" t="s">
        <v>56</v>
      </c>
      <c r="B3090" s="23" t="s">
        <v>1692</v>
      </c>
      <c r="C3090" s="22">
        <v>45698</v>
      </c>
      <c r="D3090" s="23" t="s">
        <v>915</v>
      </c>
      <c r="E3090" s="23" t="s">
        <v>190</v>
      </c>
      <c r="F3090" s="21">
        <v>3</v>
      </c>
      <c r="G3090" s="12">
        <v>2500</v>
      </c>
      <c r="H3090" s="34">
        <v>7500</v>
      </c>
      <c r="I3090" s="23" t="s">
        <v>52</v>
      </c>
      <c r="J3090" s="23" t="s">
        <v>61</v>
      </c>
      <c r="K3090" s="24" t="s">
        <v>177</v>
      </c>
      <c r="L3090" s="24">
        <v>101</v>
      </c>
      <c r="M3090" s="12">
        <v>2100.840336134454</v>
      </c>
      <c r="N3090" s="12">
        <v>6302.5210084033615</v>
      </c>
      <c r="O3090" s="12">
        <v>1197.4789915966385</v>
      </c>
      <c r="P3090" s="13"/>
      <c r="Q3090" s="14">
        <v>2025</v>
      </c>
      <c r="R3090" s="15">
        <v>45323</v>
      </c>
      <c r="S3090" s="11" t="s">
        <v>492</v>
      </c>
      <c r="T3090" s="16">
        <v>600</v>
      </c>
      <c r="U3090" s="17"/>
      <c r="V3090" s="12">
        <v>1895.7983193277312</v>
      </c>
      <c r="W3090" s="12">
        <v>1895.7983193277312</v>
      </c>
      <c r="X3090" s="12">
        <v>0</v>
      </c>
      <c r="Y3090" s="18">
        <v>45698</v>
      </c>
      <c r="Z3090" s="13" t="s">
        <v>523</v>
      </c>
      <c r="AA3090" s="19" t="str">
        <f>VLOOKUP(D3090,Clientes!$A$2:$J$486,9,FALSE)</f>
        <v>Regular</v>
      </c>
      <c r="AB3090" s="13" t="str">
        <f>VLOOKUP(D3090,Clientes!$A$2:$K$486,11,FALSE)</f>
        <v>Persona Natural</v>
      </c>
      <c r="AC3090" s="13" t="str">
        <f>VLOOKUP(D3090,Clientes!$A$2:$B$486,2,FALSE)</f>
        <v>Jardin del Eden</v>
      </c>
      <c r="AD3090" s="20"/>
      <c r="AE3090" s="20"/>
      <c r="AF3090" s="13" t="s">
        <v>40</v>
      </c>
      <c r="AG3090" s="15">
        <v>45323</v>
      </c>
      <c r="AH3090" s="13" t="s">
        <v>41</v>
      </c>
      <c r="AI3090" s="13" t="s">
        <v>56</v>
      </c>
      <c r="AJ3090" s="13" t="str">
        <f>VLOOKUP(E3090,Precios!Z$2:AA$941,2,FALSE)</f>
        <v>Mantequilla RUMAY</v>
      </c>
      <c r="AK3090" s="14">
        <f>VLOOKUP(E3090,Precios!Z$2:BB$941,3,FALSE)*F3090</f>
        <v>-3</v>
      </c>
      <c r="AL3090" s="17"/>
      <c r="AM3090" s="17"/>
      <c r="AN3090" s="17"/>
      <c r="AO3090" s="17"/>
      <c r="AP3090" s="17"/>
      <c r="AQ3090" s="17"/>
      <c r="AR3090" s="17"/>
      <c r="AS3090" s="17"/>
      <c r="AT3090" s="17"/>
      <c r="AU3090" s="17"/>
      <c r="AV3090" s="17"/>
    </row>
    <row r="3091" spans="1:48" ht="15.75" customHeight="1">
      <c r="A3091" s="21" t="s">
        <v>56</v>
      </c>
      <c r="B3091" s="23" t="s">
        <v>1692</v>
      </c>
      <c r="C3091" s="22">
        <v>45698</v>
      </c>
      <c r="D3091" s="23" t="s">
        <v>915</v>
      </c>
      <c r="E3091" s="23" t="s">
        <v>190</v>
      </c>
      <c r="F3091" s="21">
        <v>1</v>
      </c>
      <c r="G3091" s="12">
        <v>2500</v>
      </c>
      <c r="H3091" s="34">
        <v>2500</v>
      </c>
      <c r="I3091" s="23" t="s">
        <v>52</v>
      </c>
      <c r="J3091" s="23" t="s">
        <v>61</v>
      </c>
      <c r="K3091" s="24" t="s">
        <v>177</v>
      </c>
      <c r="L3091" s="24">
        <v>101</v>
      </c>
      <c r="M3091" s="12">
        <v>2100.840336134454</v>
      </c>
      <c r="N3091" s="12">
        <v>2100.840336134454</v>
      </c>
      <c r="O3091" s="12">
        <v>399.15966386554601</v>
      </c>
      <c r="P3091" s="13"/>
      <c r="Q3091" s="14">
        <v>2025</v>
      </c>
      <c r="R3091" s="15">
        <v>45323</v>
      </c>
      <c r="S3091" s="11" t="s">
        <v>492</v>
      </c>
      <c r="T3091" s="16">
        <v>200</v>
      </c>
      <c r="U3091" s="17"/>
      <c r="V3091" s="12">
        <v>631.93277310924373</v>
      </c>
      <c r="W3091" s="12">
        <v>631.93277310924373</v>
      </c>
      <c r="X3091" s="12">
        <v>0</v>
      </c>
      <c r="Y3091" s="18">
        <v>45698</v>
      </c>
      <c r="Z3091" s="13" t="s">
        <v>523</v>
      </c>
      <c r="AA3091" s="19" t="str">
        <f>VLOOKUP(D3091,Clientes!$A$2:$J$486,9,FALSE)</f>
        <v>Regular</v>
      </c>
      <c r="AB3091" s="13" t="str">
        <f>VLOOKUP(D3091,Clientes!$A$2:$K$486,11,FALSE)</f>
        <v>Persona Natural</v>
      </c>
      <c r="AC3091" s="13" t="str">
        <f>VLOOKUP(D3091,Clientes!$A$2:$B$486,2,FALSE)</f>
        <v>Jardin del Eden</v>
      </c>
      <c r="AD3091" s="20"/>
      <c r="AE3091" s="20"/>
      <c r="AF3091" s="13" t="s">
        <v>40</v>
      </c>
      <c r="AG3091" s="15">
        <v>45323</v>
      </c>
      <c r="AH3091" s="13" t="s">
        <v>41</v>
      </c>
      <c r="AI3091" s="13" t="s">
        <v>56</v>
      </c>
      <c r="AJ3091" s="13" t="str">
        <f>VLOOKUP(E3091,Precios!Z$2:AA$941,2,FALSE)</f>
        <v>Mantequilla RUMAY</v>
      </c>
      <c r="AK3091" s="14">
        <f>VLOOKUP(E3091,Precios!Z$2:BB$941,3,FALSE)*F3091</f>
        <v>-1</v>
      </c>
      <c r="AL3091" s="17"/>
      <c r="AM3091" s="17"/>
      <c r="AN3091" s="17"/>
      <c r="AO3091" s="17"/>
      <c r="AP3091" s="17"/>
      <c r="AQ3091" s="17"/>
      <c r="AR3091" s="17"/>
      <c r="AS3091" s="17"/>
      <c r="AT3091" s="17"/>
      <c r="AU3091" s="17"/>
      <c r="AV3091" s="17"/>
    </row>
    <row r="3092" spans="1:48" ht="15.75" customHeight="1">
      <c r="A3092" s="21" t="s">
        <v>35</v>
      </c>
      <c r="B3092" s="23" t="s">
        <v>1692</v>
      </c>
      <c r="C3092" s="22">
        <v>45698</v>
      </c>
      <c r="D3092" s="23" t="s">
        <v>915</v>
      </c>
      <c r="E3092" s="23" t="s">
        <v>46</v>
      </c>
      <c r="F3092" s="21">
        <v>1</v>
      </c>
      <c r="G3092" s="12">
        <v>5500</v>
      </c>
      <c r="H3092" s="34">
        <v>5500</v>
      </c>
      <c r="I3092" s="23" t="s">
        <v>52</v>
      </c>
      <c r="J3092" s="23" t="s">
        <v>61</v>
      </c>
      <c r="K3092" s="24" t="s">
        <v>177</v>
      </c>
      <c r="L3092" s="24">
        <v>101</v>
      </c>
      <c r="M3092" s="12">
        <v>4621.8487394957983</v>
      </c>
      <c r="N3092" s="12">
        <v>4621.8487394957983</v>
      </c>
      <c r="O3092" s="12">
        <v>878.15126050420167</v>
      </c>
      <c r="P3092" s="13"/>
      <c r="Q3092" s="14">
        <v>2025</v>
      </c>
      <c r="R3092" s="15">
        <v>45323</v>
      </c>
      <c r="S3092" s="11" t="s">
        <v>364</v>
      </c>
      <c r="T3092" s="16">
        <v>500</v>
      </c>
      <c r="U3092" s="17"/>
      <c r="V3092" s="12">
        <v>1365.1260504201678</v>
      </c>
      <c r="W3092" s="12">
        <v>1365.1260504201678</v>
      </c>
      <c r="X3092" s="12">
        <v>0</v>
      </c>
      <c r="Y3092" s="18">
        <v>45698</v>
      </c>
      <c r="Z3092" s="13" t="s">
        <v>523</v>
      </c>
      <c r="AA3092" s="19" t="str">
        <f>VLOOKUP(D3092,Clientes!$A$2:$J$486,9,FALSE)</f>
        <v>Regular</v>
      </c>
      <c r="AB3092" s="13" t="str">
        <f>VLOOKUP(D3092,Clientes!$A$2:$K$486,11,FALSE)</f>
        <v>Persona Natural</v>
      </c>
      <c r="AC3092" s="13" t="str">
        <f>VLOOKUP(D3092,Clientes!$A$2:$B$486,2,FALSE)</f>
        <v>Jardin del Eden</v>
      </c>
      <c r="AD3092" s="20"/>
      <c r="AE3092" s="20"/>
      <c r="AF3092" s="13" t="s">
        <v>40</v>
      </c>
      <c r="AG3092" s="15">
        <v>45323</v>
      </c>
      <c r="AH3092" s="13" t="s">
        <v>41</v>
      </c>
      <c r="AI3092" s="13" t="s">
        <v>35</v>
      </c>
      <c r="AJ3092" s="13" t="str">
        <f>VLOOKUP(E3092,Precios!Z$2:AA$941,2,FALSE)</f>
        <v>Queso RUNCA Mantecoso</v>
      </c>
      <c r="AK3092" s="14">
        <f>VLOOKUP(E3092,Precios!Z$2:BB$941,3,FALSE)*F3092</f>
        <v>-0.5</v>
      </c>
      <c r="AL3092" s="17"/>
      <c r="AM3092" s="17"/>
      <c r="AN3092" s="17"/>
      <c r="AO3092" s="17"/>
      <c r="AP3092" s="17"/>
      <c r="AQ3092" s="17"/>
      <c r="AR3092" s="17"/>
      <c r="AS3092" s="17"/>
      <c r="AT3092" s="17"/>
      <c r="AU3092" s="17"/>
      <c r="AV3092" s="17"/>
    </row>
    <row r="3093" spans="1:48" ht="15.75" customHeight="1">
      <c r="A3093" s="21" t="s">
        <v>43</v>
      </c>
      <c r="B3093" s="23" t="s">
        <v>1692</v>
      </c>
      <c r="C3093" s="22">
        <v>45698</v>
      </c>
      <c r="D3093" s="23" t="s">
        <v>113</v>
      </c>
      <c r="E3093" s="23" t="s">
        <v>45</v>
      </c>
      <c r="F3093" s="21">
        <v>1</v>
      </c>
      <c r="G3093" s="12">
        <v>6900.1306988544629</v>
      </c>
      <c r="H3093" s="12">
        <v>6900.1306988544629</v>
      </c>
      <c r="I3093" s="23" t="s">
        <v>52</v>
      </c>
      <c r="J3093" s="23" t="s">
        <v>61</v>
      </c>
      <c r="K3093" s="24" t="s">
        <v>177</v>
      </c>
      <c r="L3093" s="24">
        <v>101</v>
      </c>
      <c r="M3093" s="12">
        <v>5798.4291587012294</v>
      </c>
      <c r="N3093" s="12">
        <v>5798.4291587012294</v>
      </c>
      <c r="O3093" s="12">
        <v>1101.7015401532335</v>
      </c>
      <c r="P3093" s="13"/>
      <c r="Q3093" s="14">
        <v>2025</v>
      </c>
      <c r="R3093" s="15">
        <v>45323</v>
      </c>
      <c r="S3093" s="11" t="s">
        <v>355</v>
      </c>
      <c r="T3093" s="16">
        <v>0</v>
      </c>
      <c r="U3093" s="17"/>
      <c r="V3093" s="12">
        <v>1273.219074667616</v>
      </c>
      <c r="W3093" s="12">
        <v>1273.219074667616</v>
      </c>
      <c r="X3093" s="12">
        <v>0</v>
      </c>
      <c r="Y3093" s="18">
        <v>45698</v>
      </c>
      <c r="Z3093" s="13" t="s">
        <v>523</v>
      </c>
      <c r="AA3093" s="19" t="str">
        <f>VLOOKUP(D3093,Clientes!$A$2:$J$486,9,FALSE)</f>
        <v>Ocacional</v>
      </c>
      <c r="AB3093" s="13" t="str">
        <f>VLOOKUP(D3093,Clientes!$A$2:$K$486,11,FALSE)</f>
        <v>Persona Natural</v>
      </c>
      <c r="AC3093" s="13" t="str">
        <f>VLOOKUP(D3093,Clientes!$A$2:$B$486,2,FALSE)</f>
        <v>Jardines de la viña</v>
      </c>
      <c r="AD3093" s="20"/>
      <c r="AE3093" s="20"/>
      <c r="AF3093" s="13" t="s">
        <v>40</v>
      </c>
      <c r="AG3093" s="15">
        <v>45323</v>
      </c>
      <c r="AH3093" s="13" t="s">
        <v>41</v>
      </c>
      <c r="AI3093" s="13" t="s">
        <v>43</v>
      </c>
      <c r="AJ3093" s="13" t="str">
        <f>VLOOKUP(E3093,Precios!Z$2:AA$941,2,FALSE)</f>
        <v>Bandeja Huevos EXTRA</v>
      </c>
      <c r="AK3093" s="14">
        <f>VLOOKUP(E3093,Precios!Z$2:BB$941,3,FALSE)*F3093</f>
        <v>-1</v>
      </c>
      <c r="AL3093" s="17"/>
      <c r="AM3093" s="17"/>
      <c r="AN3093" s="17"/>
      <c r="AO3093" s="17"/>
      <c r="AP3093" s="17"/>
      <c r="AQ3093" s="17"/>
      <c r="AR3093" s="17"/>
      <c r="AS3093" s="17"/>
      <c r="AT3093" s="17"/>
      <c r="AU3093" s="17"/>
      <c r="AV3093" s="17"/>
    </row>
    <row r="3094" spans="1:48" ht="15.75" customHeight="1">
      <c r="A3094" s="21" t="s">
        <v>50</v>
      </c>
      <c r="B3094" s="23" t="s">
        <v>1692</v>
      </c>
      <c r="C3094" s="22">
        <v>45698</v>
      </c>
      <c r="D3094" s="23" t="s">
        <v>229</v>
      </c>
      <c r="E3094" s="23" t="s">
        <v>528</v>
      </c>
      <c r="F3094" s="21">
        <v>1</v>
      </c>
      <c r="G3094" s="12">
        <v>4500.2224529141331</v>
      </c>
      <c r="H3094" s="12">
        <v>4500.2224529141331</v>
      </c>
      <c r="I3094" s="23" t="s">
        <v>52</v>
      </c>
      <c r="J3094" s="23" t="s">
        <v>61</v>
      </c>
      <c r="K3094" s="24" t="s">
        <v>177</v>
      </c>
      <c r="L3094" s="24">
        <v>101</v>
      </c>
      <c r="M3094" s="12">
        <v>3781.6995402639777</v>
      </c>
      <c r="N3094" s="12">
        <v>3781.6995402639777</v>
      </c>
      <c r="O3094" s="12">
        <v>718.52291265015538</v>
      </c>
      <c r="P3094" s="13"/>
      <c r="Q3094" s="14">
        <v>2025</v>
      </c>
      <c r="R3094" s="15">
        <v>45323</v>
      </c>
      <c r="S3094" s="11" t="s">
        <v>528</v>
      </c>
      <c r="T3094" s="16">
        <v>0</v>
      </c>
      <c r="U3094" s="17"/>
      <c r="V3094" s="12">
        <v>1996.6995402639773</v>
      </c>
      <c r="W3094" s="12">
        <v>1996.6995402639773</v>
      </c>
      <c r="X3094" s="12">
        <v>0</v>
      </c>
      <c r="Y3094" s="18">
        <v>45698</v>
      </c>
      <c r="Z3094" s="13" t="s">
        <v>523</v>
      </c>
      <c r="AA3094" s="19" t="str">
        <f>VLOOKUP(D3094,Clientes!$A$2:$J$486,9,FALSE)</f>
        <v>Frecuente</v>
      </c>
      <c r="AB3094" s="13" t="str">
        <f>VLOOKUP(D3094,Clientes!$A$2:$K$486,11,FALSE)</f>
        <v>Persona Natural</v>
      </c>
      <c r="AC3094" s="13" t="str">
        <f>VLOOKUP(D3094,Clientes!$A$2:$B$486,2,FALSE)</f>
        <v>Sector Santa Delia</v>
      </c>
      <c r="AD3094" s="20"/>
      <c r="AE3094" s="20"/>
      <c r="AF3094" s="13" t="s">
        <v>40</v>
      </c>
      <c r="AG3094" s="15">
        <v>45323</v>
      </c>
      <c r="AH3094" s="13" t="s">
        <v>41</v>
      </c>
      <c r="AI3094" s="13" t="s">
        <v>50</v>
      </c>
      <c r="AJ3094" s="13" t="str">
        <f>VLOOKUP(E3094,Precios!Z$2:AA$941,2,FALSE)</f>
        <v>Hielo 1 Kilo</v>
      </c>
      <c r="AK3094" s="14">
        <f>VLOOKUP(E3094,Precios!Z$2:BB$941,3,FALSE)*F3094</f>
        <v>-5</v>
      </c>
      <c r="AL3094" s="17"/>
      <c r="AM3094" s="17"/>
      <c r="AN3094" s="17"/>
      <c r="AO3094" s="17"/>
      <c r="AP3094" s="17"/>
      <c r="AQ3094" s="17"/>
      <c r="AR3094" s="17"/>
      <c r="AS3094" s="17"/>
      <c r="AT3094" s="17"/>
      <c r="AU3094" s="17"/>
      <c r="AV3094" s="17"/>
    </row>
    <row r="3095" spans="1:48" ht="15.75" customHeight="1">
      <c r="A3095" s="21" t="s">
        <v>43</v>
      </c>
      <c r="B3095" s="23" t="s">
        <v>1692</v>
      </c>
      <c r="C3095" s="22">
        <v>45698</v>
      </c>
      <c r="D3095" s="23" t="s">
        <v>751</v>
      </c>
      <c r="E3095" s="23" t="s">
        <v>45</v>
      </c>
      <c r="F3095" s="21">
        <v>1</v>
      </c>
      <c r="G3095" s="12">
        <v>6900.1306988544629</v>
      </c>
      <c r="H3095" s="12">
        <v>6900.1306988544629</v>
      </c>
      <c r="I3095" s="23" t="s">
        <v>52</v>
      </c>
      <c r="J3095" s="23" t="s">
        <v>61</v>
      </c>
      <c r="K3095" s="24" t="s">
        <v>177</v>
      </c>
      <c r="L3095" s="24">
        <v>101</v>
      </c>
      <c r="M3095" s="12">
        <v>5798.4291587012294</v>
      </c>
      <c r="N3095" s="12">
        <v>5798.4291587012294</v>
      </c>
      <c r="O3095" s="12">
        <v>1101.7015401532335</v>
      </c>
      <c r="P3095" s="13"/>
      <c r="Q3095" s="14">
        <v>2025</v>
      </c>
      <c r="R3095" s="15">
        <v>45323</v>
      </c>
      <c r="S3095" s="11" t="s">
        <v>355</v>
      </c>
      <c r="T3095" s="16">
        <v>0</v>
      </c>
      <c r="U3095" s="17"/>
      <c r="V3095" s="12">
        <v>1273.219074667616</v>
      </c>
      <c r="W3095" s="12">
        <v>1273.219074667616</v>
      </c>
      <c r="X3095" s="12">
        <v>0</v>
      </c>
      <c r="Y3095" s="18">
        <v>45698</v>
      </c>
      <c r="Z3095" s="13" t="s">
        <v>523</v>
      </c>
      <c r="AA3095" s="19" t="str">
        <f>VLOOKUP(D3095,Clientes!$A$2:$J$486,9,FALSE)</f>
        <v>Ocacional</v>
      </c>
      <c r="AB3095" s="13" t="str">
        <f>VLOOKUP(D3095,Clientes!$A$2:$K$486,11,FALSE)</f>
        <v>Persona Natural</v>
      </c>
      <c r="AC3095" s="13" t="str">
        <f>VLOOKUP(D3095,Clientes!$A$2:$B$486,2,FALSE)</f>
        <v>Jardines de la viña</v>
      </c>
      <c r="AD3095" s="20"/>
      <c r="AE3095" s="20"/>
      <c r="AF3095" s="13" t="s">
        <v>40</v>
      </c>
      <c r="AG3095" s="15">
        <v>45323</v>
      </c>
      <c r="AH3095" s="13" t="s">
        <v>41</v>
      </c>
      <c r="AI3095" s="13" t="s">
        <v>43</v>
      </c>
      <c r="AJ3095" s="13" t="str">
        <f>VLOOKUP(E3095,Precios!Z$2:AA$941,2,FALSE)</f>
        <v>Bandeja Huevos EXTRA</v>
      </c>
      <c r="AK3095" s="14">
        <f>VLOOKUP(E3095,Precios!Z$2:BB$941,3,FALSE)*F3095</f>
        <v>-1</v>
      </c>
      <c r="AL3095" s="17"/>
      <c r="AM3095" s="17"/>
      <c r="AN3095" s="17"/>
      <c r="AO3095" s="17"/>
      <c r="AP3095" s="17"/>
      <c r="AQ3095" s="17"/>
      <c r="AR3095" s="17"/>
      <c r="AS3095" s="17"/>
      <c r="AT3095" s="17"/>
      <c r="AU3095" s="17"/>
      <c r="AV3095" s="17"/>
    </row>
    <row r="3096" spans="1:48" ht="15.75" customHeight="1">
      <c r="A3096" s="21" t="s">
        <v>43</v>
      </c>
      <c r="B3096" s="23" t="s">
        <v>1692</v>
      </c>
      <c r="C3096" s="25">
        <v>45697</v>
      </c>
      <c r="D3096" s="23" t="s">
        <v>431</v>
      </c>
      <c r="E3096" s="23" t="s">
        <v>45</v>
      </c>
      <c r="F3096" s="21">
        <v>1</v>
      </c>
      <c r="G3096" s="12">
        <v>6900.1306988544629</v>
      </c>
      <c r="H3096" s="12">
        <v>6900.1306988544629</v>
      </c>
      <c r="I3096" s="23" t="s">
        <v>52</v>
      </c>
      <c r="J3096" s="23" t="s">
        <v>61</v>
      </c>
      <c r="K3096" s="24" t="s">
        <v>86</v>
      </c>
      <c r="L3096" s="24">
        <v>54</v>
      </c>
      <c r="M3096" s="12">
        <v>5798.4291587012294</v>
      </c>
      <c r="N3096" s="12">
        <v>5798.4291587012294</v>
      </c>
      <c r="O3096" s="12">
        <v>1101.7015401532335</v>
      </c>
      <c r="P3096" s="13"/>
      <c r="Q3096" s="14">
        <v>2025</v>
      </c>
      <c r="R3096" s="15">
        <v>45323</v>
      </c>
      <c r="S3096" s="11" t="s">
        <v>355</v>
      </c>
      <c r="T3096" s="16">
        <v>0</v>
      </c>
      <c r="U3096" s="17"/>
      <c r="V3096" s="12">
        <v>1273.219074667616</v>
      </c>
      <c r="W3096" s="12">
        <v>1273.219074667616</v>
      </c>
      <c r="X3096" s="12">
        <v>0</v>
      </c>
      <c r="Y3096" s="18">
        <v>45691</v>
      </c>
      <c r="Z3096" s="13" t="s">
        <v>497</v>
      </c>
      <c r="AA3096" s="19" t="str">
        <f>VLOOKUP(D3096,Clientes!$A$2:$J$486,9,FALSE)</f>
        <v>Frecuente</v>
      </c>
      <c r="AB3096" s="13" t="str">
        <f>VLOOKUP(D3096,Clientes!$A$2:$K$486,11,FALSE)</f>
        <v>Empresa</v>
      </c>
      <c r="AC3096" s="13" t="str">
        <f>VLOOKUP(D3096,Clientes!$A$2:$B$486,2,FALSE)</f>
        <v>Jardin del eden</v>
      </c>
      <c r="AD3096" s="20"/>
      <c r="AE3096" s="20"/>
      <c r="AF3096" s="13" t="s">
        <v>40</v>
      </c>
      <c r="AG3096" s="15">
        <v>45323</v>
      </c>
      <c r="AH3096" s="13" t="s">
        <v>41</v>
      </c>
      <c r="AI3096" s="13" t="s">
        <v>43</v>
      </c>
      <c r="AJ3096" s="13" t="str">
        <f>VLOOKUP(E3096,Precios!Z$2:AA$941,2,FALSE)</f>
        <v>Bandeja Huevos EXTRA</v>
      </c>
      <c r="AK3096" s="14">
        <f>VLOOKUP(E3096,Precios!Z$2:BB$941,3,FALSE)*F3096</f>
        <v>-1</v>
      </c>
      <c r="AL3096" s="17"/>
      <c r="AM3096" s="17"/>
      <c r="AN3096" s="17"/>
      <c r="AO3096" s="17"/>
      <c r="AP3096" s="17"/>
      <c r="AQ3096" s="17"/>
      <c r="AR3096" s="17"/>
      <c r="AS3096" s="17"/>
      <c r="AT3096" s="17"/>
      <c r="AU3096" s="17"/>
      <c r="AV3096" s="17"/>
    </row>
    <row r="3097" spans="1:48" ht="15.75" customHeight="1">
      <c r="A3097" s="21" t="s">
        <v>35</v>
      </c>
      <c r="B3097" s="23" t="s">
        <v>1692</v>
      </c>
      <c r="C3097" s="25">
        <v>45697</v>
      </c>
      <c r="D3097" s="23" t="s">
        <v>431</v>
      </c>
      <c r="E3097" s="23" t="s">
        <v>37</v>
      </c>
      <c r="F3097" s="21">
        <v>1</v>
      </c>
      <c r="G3097" s="12">
        <v>10500</v>
      </c>
      <c r="H3097" s="12">
        <v>10500</v>
      </c>
      <c r="I3097" s="23" t="s">
        <v>52</v>
      </c>
      <c r="J3097" s="23" t="s">
        <v>61</v>
      </c>
      <c r="K3097" s="24" t="s">
        <v>86</v>
      </c>
      <c r="L3097" s="24">
        <v>54</v>
      </c>
      <c r="M3097" s="12">
        <v>8823.5294117647063</v>
      </c>
      <c r="N3097" s="12">
        <v>8823.5294117647063</v>
      </c>
      <c r="O3097" s="12">
        <v>1676.4705882352937</v>
      </c>
      <c r="P3097" s="13"/>
      <c r="Q3097" s="14">
        <v>2025</v>
      </c>
      <c r="R3097" s="15">
        <v>45323</v>
      </c>
      <c r="S3097" s="11" t="s">
        <v>364</v>
      </c>
      <c r="T3097" s="16">
        <v>1000</v>
      </c>
      <c r="U3097" s="17"/>
      <c r="V3097" s="12">
        <v>2385.7142857142853</v>
      </c>
      <c r="W3097" s="12">
        <v>2385.7142857142853</v>
      </c>
      <c r="X3097" s="12">
        <v>0</v>
      </c>
      <c r="Y3097" s="18">
        <v>45691</v>
      </c>
      <c r="Z3097" s="13" t="s">
        <v>497</v>
      </c>
      <c r="AA3097" s="19" t="str">
        <f>VLOOKUP(D3097,Clientes!$A$2:$J$486,9,FALSE)</f>
        <v>Frecuente</v>
      </c>
      <c r="AB3097" s="13" t="str">
        <f>VLOOKUP(D3097,Clientes!$A$2:$K$486,11,FALSE)</f>
        <v>Empresa</v>
      </c>
      <c r="AC3097" s="13" t="str">
        <f>VLOOKUP(D3097,Clientes!$A$2:$B$486,2,FALSE)</f>
        <v>Jardin del eden</v>
      </c>
      <c r="AD3097" s="20"/>
      <c r="AE3097" s="20"/>
      <c r="AF3097" s="13" t="s">
        <v>40</v>
      </c>
      <c r="AG3097" s="15">
        <v>45323</v>
      </c>
      <c r="AH3097" s="13" t="s">
        <v>41</v>
      </c>
      <c r="AI3097" s="13" t="s">
        <v>35</v>
      </c>
      <c r="AJ3097" s="13" t="str">
        <f>VLOOKUP(E3097,Precios!Z$2:AA$941,2,FALSE)</f>
        <v>Queso RUNCA Mantecoso</v>
      </c>
      <c r="AK3097" s="14">
        <f>VLOOKUP(E3097,Precios!Z$2:BB$941,3,FALSE)*F3097</f>
        <v>-1</v>
      </c>
      <c r="AL3097" s="17"/>
      <c r="AM3097" s="17"/>
      <c r="AN3097" s="17"/>
      <c r="AO3097" s="17"/>
      <c r="AP3097" s="17"/>
      <c r="AQ3097" s="17"/>
      <c r="AR3097" s="17"/>
      <c r="AS3097" s="17"/>
      <c r="AT3097" s="17"/>
      <c r="AU3097" s="17"/>
      <c r="AV3097" s="17"/>
    </row>
    <row r="3098" spans="1:48" ht="15.75" customHeight="1">
      <c r="A3098" s="21" t="s">
        <v>47</v>
      </c>
      <c r="B3098" s="23" t="s">
        <v>1692</v>
      </c>
      <c r="C3098" s="25">
        <v>45697</v>
      </c>
      <c r="D3098" s="23" t="s">
        <v>431</v>
      </c>
      <c r="E3098" s="23" t="s">
        <v>49</v>
      </c>
      <c r="F3098" s="21">
        <v>1</v>
      </c>
      <c r="G3098" s="12">
        <v>4500.0000000000009</v>
      </c>
      <c r="H3098" s="12">
        <v>4500.0000000000009</v>
      </c>
      <c r="I3098" s="23" t="s">
        <v>52</v>
      </c>
      <c r="J3098" s="23" t="s">
        <v>61</v>
      </c>
      <c r="K3098" s="24" t="s">
        <v>86</v>
      </c>
      <c r="L3098" s="24">
        <v>54</v>
      </c>
      <c r="M3098" s="12">
        <v>3781.5126050420176</v>
      </c>
      <c r="N3098" s="12">
        <v>3781.5126050420176</v>
      </c>
      <c r="O3098" s="12">
        <v>718.48739495798327</v>
      </c>
      <c r="P3098" s="13"/>
      <c r="Q3098" s="14">
        <v>2025</v>
      </c>
      <c r="R3098" s="15">
        <v>45323</v>
      </c>
      <c r="S3098" s="11" t="s">
        <v>384</v>
      </c>
      <c r="T3098" s="16">
        <v>0</v>
      </c>
      <c r="U3098" s="17"/>
      <c r="V3098" s="12">
        <v>988.23529411764775</v>
      </c>
      <c r="W3098" s="12">
        <v>988.23529411764775</v>
      </c>
      <c r="X3098" s="12">
        <v>0</v>
      </c>
      <c r="Y3098" s="18">
        <v>45691</v>
      </c>
      <c r="Z3098" s="13" t="s">
        <v>497</v>
      </c>
      <c r="AA3098" s="19" t="str">
        <f>VLOOKUP(D3098,Clientes!$A$2:$J$486,9,FALSE)</f>
        <v>Frecuente</v>
      </c>
      <c r="AB3098" s="13" t="str">
        <f>VLOOKUP(D3098,Clientes!$A$2:$K$486,11,FALSE)</f>
        <v>Empresa</v>
      </c>
      <c r="AC3098" s="13" t="str">
        <f>VLOOKUP(D3098,Clientes!$A$2:$B$486,2,FALSE)</f>
        <v>Jardin del eden</v>
      </c>
      <c r="AD3098" s="20"/>
      <c r="AE3098" s="20"/>
      <c r="AF3098" s="13" t="s">
        <v>40</v>
      </c>
      <c r="AG3098" s="15">
        <v>45323</v>
      </c>
      <c r="AH3098" s="13" t="s">
        <v>41</v>
      </c>
      <c r="AI3098" s="13" t="s">
        <v>47</v>
      </c>
      <c r="AJ3098" s="13" t="str">
        <f>VLOOKUP(E3098,Precios!Z$2:AA$941,2,FALSE)</f>
        <v>Jabón Lìquido BALLERINA</v>
      </c>
      <c r="AK3098" s="14">
        <f>VLOOKUP(E3098,Precios!Z$2:BB$941,3,FALSE)*F3098</f>
        <v>-3</v>
      </c>
      <c r="AL3098" s="17"/>
      <c r="AM3098" s="17"/>
      <c r="AN3098" s="17"/>
      <c r="AO3098" s="17"/>
      <c r="AP3098" s="17"/>
      <c r="AQ3098" s="17"/>
      <c r="AR3098" s="17"/>
      <c r="AS3098" s="17"/>
      <c r="AT3098" s="17"/>
      <c r="AU3098" s="17"/>
      <c r="AV3098" s="17"/>
    </row>
    <row r="3099" spans="1:48" ht="15.75" customHeight="1">
      <c r="A3099" s="21" t="s">
        <v>47</v>
      </c>
      <c r="B3099" s="23" t="s">
        <v>1692</v>
      </c>
      <c r="C3099" s="25">
        <v>45697</v>
      </c>
      <c r="D3099" s="23" t="s">
        <v>431</v>
      </c>
      <c r="E3099" s="23" t="s">
        <v>170</v>
      </c>
      <c r="F3099" s="21">
        <v>1</v>
      </c>
      <c r="G3099" s="12">
        <v>1800.1699716713879</v>
      </c>
      <c r="H3099" s="12">
        <v>1800.1699716713879</v>
      </c>
      <c r="I3099" s="23" t="s">
        <v>52</v>
      </c>
      <c r="J3099" s="23" t="s">
        <v>61</v>
      </c>
      <c r="K3099" s="24" t="s">
        <v>86</v>
      </c>
      <c r="L3099" s="24">
        <v>54</v>
      </c>
      <c r="M3099" s="12">
        <v>1512.7478753541075</v>
      </c>
      <c r="N3099" s="12">
        <v>1512.7478753541075</v>
      </c>
      <c r="O3099" s="12">
        <v>287.42209631728042</v>
      </c>
      <c r="P3099" s="13"/>
      <c r="Q3099" s="14">
        <v>2025</v>
      </c>
      <c r="R3099" s="15">
        <v>45323</v>
      </c>
      <c r="S3099" s="11" t="s">
        <v>453</v>
      </c>
      <c r="T3099" s="16">
        <v>0</v>
      </c>
      <c r="U3099" s="17"/>
      <c r="V3099" s="12">
        <v>711.74787535410746</v>
      </c>
      <c r="W3099" s="12">
        <v>711.74787535410746</v>
      </c>
      <c r="X3099" s="12">
        <v>0</v>
      </c>
      <c r="Y3099" s="18">
        <v>45691</v>
      </c>
      <c r="Z3099" s="13" t="s">
        <v>497</v>
      </c>
      <c r="AA3099" s="19" t="str">
        <f>VLOOKUP(D3099,Clientes!$A$2:$J$486,9,FALSE)</f>
        <v>Frecuente</v>
      </c>
      <c r="AB3099" s="13" t="str">
        <f>VLOOKUP(D3099,Clientes!$A$2:$K$486,11,FALSE)</f>
        <v>Empresa</v>
      </c>
      <c r="AC3099" s="13" t="str">
        <f>VLOOKUP(D3099,Clientes!$A$2:$B$486,2,FALSE)</f>
        <v>Jardin del eden</v>
      </c>
      <c r="AD3099" s="20"/>
      <c r="AE3099" s="20"/>
      <c r="AF3099" s="13" t="s">
        <v>40</v>
      </c>
      <c r="AG3099" s="15">
        <v>45323</v>
      </c>
      <c r="AH3099" s="13" t="s">
        <v>41</v>
      </c>
      <c r="AI3099" s="13" t="s">
        <v>47</v>
      </c>
      <c r="AJ3099" s="13" t="str">
        <f>VLOOKUP(E3099,Precios!Z$2:AA$941,2,FALSE)</f>
        <v xml:space="preserve">Bolsas Basura TEDDY 50x70 </v>
      </c>
      <c r="AK3099" s="14">
        <f>VLOOKUP(E3099,Precios!Z$2:BB$941,3,FALSE)*F3099</f>
        <v>-3</v>
      </c>
      <c r="AL3099" s="17"/>
      <c r="AM3099" s="17"/>
      <c r="AN3099" s="17"/>
      <c r="AO3099" s="17"/>
      <c r="AP3099" s="17"/>
      <c r="AQ3099" s="17"/>
      <c r="AR3099" s="17"/>
      <c r="AS3099" s="17"/>
      <c r="AT3099" s="17"/>
      <c r="AU3099" s="17"/>
      <c r="AV3099" s="17"/>
    </row>
    <row r="3100" spans="1:48" ht="15.75" customHeight="1">
      <c r="A3100" s="21" t="s">
        <v>53</v>
      </c>
      <c r="B3100" s="23" t="s">
        <v>1692</v>
      </c>
      <c r="C3100" s="25">
        <v>45697</v>
      </c>
      <c r="D3100" s="23" t="s">
        <v>431</v>
      </c>
      <c r="E3100" s="23" t="s">
        <v>317</v>
      </c>
      <c r="F3100" s="21">
        <v>1</v>
      </c>
      <c r="G3100" s="12">
        <v>12500.17391304348</v>
      </c>
      <c r="H3100" s="12">
        <v>12500.17391304348</v>
      </c>
      <c r="I3100" s="23" t="s">
        <v>52</v>
      </c>
      <c r="J3100" s="23" t="s">
        <v>61</v>
      </c>
      <c r="K3100" s="24" t="s">
        <v>86</v>
      </c>
      <c r="L3100" s="24">
        <v>54</v>
      </c>
      <c r="M3100" s="12">
        <v>10504.347826086958</v>
      </c>
      <c r="N3100" s="12">
        <v>10504.347826086958</v>
      </c>
      <c r="O3100" s="12">
        <v>1995.826086956522</v>
      </c>
      <c r="P3100" s="13"/>
      <c r="Q3100" s="14">
        <v>2025</v>
      </c>
      <c r="R3100" s="15">
        <v>45323</v>
      </c>
      <c r="S3100" s="11" t="s">
        <v>435</v>
      </c>
      <c r="T3100" s="16">
        <v>0</v>
      </c>
      <c r="U3100" s="17"/>
      <c r="V3100" s="12">
        <v>3256.3478260869579</v>
      </c>
      <c r="W3100" s="12">
        <v>3256.3478260869579</v>
      </c>
      <c r="X3100" s="12">
        <v>0</v>
      </c>
      <c r="Y3100" s="18">
        <v>45691</v>
      </c>
      <c r="Z3100" s="13" t="s">
        <v>497</v>
      </c>
      <c r="AA3100" s="19" t="str">
        <f>VLOOKUP(D3100,Clientes!$A$2:$J$486,9,FALSE)</f>
        <v>Frecuente</v>
      </c>
      <c r="AB3100" s="13" t="str">
        <f>VLOOKUP(D3100,Clientes!$A$2:$K$486,11,FALSE)</f>
        <v>Empresa</v>
      </c>
      <c r="AC3100" s="13" t="str">
        <f>VLOOKUP(D3100,Clientes!$A$2:$B$486,2,FALSE)</f>
        <v>Jardin del eden</v>
      </c>
      <c r="AD3100" s="20"/>
      <c r="AE3100" s="20"/>
      <c r="AF3100" s="13" t="s">
        <v>40</v>
      </c>
      <c r="AG3100" s="15">
        <v>45323</v>
      </c>
      <c r="AH3100" s="13" t="s">
        <v>41</v>
      </c>
      <c r="AI3100" s="13" t="s">
        <v>53</v>
      </c>
      <c r="AJ3100" s="13" t="str">
        <f>VLOOKUP(E3100,Precios!Z$2:AA$941,2,FALSE)</f>
        <v>Papel Higienico SWAN 400 hojas</v>
      </c>
      <c r="AK3100" s="14">
        <f>VLOOKUP(E3100,Precios!Z$2:BB$941,3,FALSE)*F3100</f>
        <v>-6</v>
      </c>
      <c r="AL3100" s="17"/>
      <c r="AM3100" s="17"/>
      <c r="AN3100" s="17"/>
      <c r="AO3100" s="17"/>
      <c r="AP3100" s="17"/>
      <c r="AQ3100" s="17"/>
      <c r="AR3100" s="17"/>
      <c r="AS3100" s="17"/>
      <c r="AT3100" s="17"/>
      <c r="AU3100" s="17"/>
      <c r="AV3100" s="17"/>
    </row>
    <row r="3101" spans="1:48" ht="15.75" customHeight="1">
      <c r="A3101" s="21" t="s">
        <v>53</v>
      </c>
      <c r="B3101" s="23" t="s">
        <v>1692</v>
      </c>
      <c r="C3101" s="25">
        <v>45697</v>
      </c>
      <c r="D3101" s="23" t="s">
        <v>431</v>
      </c>
      <c r="E3101" s="23" t="s">
        <v>167</v>
      </c>
      <c r="F3101" s="21">
        <v>1</v>
      </c>
      <c r="G3101" s="12">
        <v>9499.8792270531412</v>
      </c>
      <c r="H3101" s="12">
        <v>9499.8792270531412</v>
      </c>
      <c r="I3101" s="23" t="s">
        <v>52</v>
      </c>
      <c r="J3101" s="23" t="s">
        <v>61</v>
      </c>
      <c r="K3101" s="24" t="s">
        <v>86</v>
      </c>
      <c r="L3101" s="24">
        <v>54</v>
      </c>
      <c r="M3101" s="12">
        <v>7983.0917874396146</v>
      </c>
      <c r="N3101" s="12">
        <v>7983.0917874396146</v>
      </c>
      <c r="O3101" s="12">
        <v>1516.7874396135267</v>
      </c>
      <c r="P3101" s="13"/>
      <c r="Q3101" s="14">
        <v>2025</v>
      </c>
      <c r="R3101" s="15">
        <v>45323</v>
      </c>
      <c r="S3101" s="11" t="s">
        <v>408</v>
      </c>
      <c r="T3101" s="16">
        <v>100</v>
      </c>
      <c r="U3101" s="17"/>
      <c r="V3101" s="12">
        <v>2695.0917874396137</v>
      </c>
      <c r="W3101" s="12">
        <v>2695.0917874396137</v>
      </c>
      <c r="X3101" s="12">
        <v>0</v>
      </c>
      <c r="Y3101" s="18">
        <v>45691</v>
      </c>
      <c r="Z3101" s="13" t="s">
        <v>497</v>
      </c>
      <c r="AA3101" s="19" t="str">
        <f>VLOOKUP(D3101,Clientes!$A$2:$J$486,9,FALSE)</f>
        <v>Frecuente</v>
      </c>
      <c r="AB3101" s="13" t="str">
        <f>VLOOKUP(D3101,Clientes!$A$2:$K$486,11,FALSE)</f>
        <v>Empresa</v>
      </c>
      <c r="AC3101" s="13" t="str">
        <f>VLOOKUP(D3101,Clientes!$A$2:$B$486,2,FALSE)</f>
        <v>Jardin del eden</v>
      </c>
      <c r="AD3101" s="20"/>
      <c r="AE3101" s="20"/>
      <c r="AF3101" s="13" t="s">
        <v>40</v>
      </c>
      <c r="AG3101" s="15">
        <v>45323</v>
      </c>
      <c r="AH3101" s="13" t="s">
        <v>41</v>
      </c>
      <c r="AI3101" s="13" t="s">
        <v>53</v>
      </c>
      <c r="AJ3101" s="13" t="str">
        <f>VLOOKUP(E3101,Precios!Z$2:AA$941,2,FALSE)</f>
        <v>Toalla Papel SWAN D/H NARANJA 100 metros</v>
      </c>
      <c r="AK3101" s="14">
        <f>VLOOKUP(E3101,Precios!Z$2:BB$941,3,FALSE)*F3101</f>
        <v>-3</v>
      </c>
      <c r="AL3101" s="17"/>
      <c r="AM3101" s="17"/>
      <c r="AN3101" s="17"/>
      <c r="AO3101" s="17"/>
      <c r="AP3101" s="17"/>
      <c r="AQ3101" s="17"/>
      <c r="AR3101" s="17"/>
      <c r="AS3101" s="17"/>
      <c r="AT3101" s="17"/>
      <c r="AU3101" s="17"/>
      <c r="AV3101" s="17"/>
    </row>
    <row r="3102" spans="1:48" ht="15.75" customHeight="1">
      <c r="A3102" s="21" t="s">
        <v>47</v>
      </c>
      <c r="B3102" s="23" t="s">
        <v>1692</v>
      </c>
      <c r="C3102" s="25">
        <v>45697</v>
      </c>
      <c r="D3102" s="23" t="s">
        <v>431</v>
      </c>
      <c r="E3102" s="23" t="s">
        <v>48</v>
      </c>
      <c r="F3102" s="21">
        <v>1</v>
      </c>
      <c r="G3102" s="12">
        <v>1000</v>
      </c>
      <c r="H3102" s="12">
        <v>1000</v>
      </c>
      <c r="I3102" s="23" t="s">
        <v>52</v>
      </c>
      <c r="J3102" s="23" t="s">
        <v>61</v>
      </c>
      <c r="K3102" s="24" t="s">
        <v>86</v>
      </c>
      <c r="L3102" s="24">
        <v>54</v>
      </c>
      <c r="M3102" s="12">
        <v>840.3361344537816</v>
      </c>
      <c r="N3102" s="12">
        <v>840.3361344537816</v>
      </c>
      <c r="O3102" s="12">
        <v>159.6638655462184</v>
      </c>
      <c r="P3102" s="13"/>
      <c r="Q3102" s="14">
        <v>2025</v>
      </c>
      <c r="R3102" s="15">
        <v>45323</v>
      </c>
      <c r="S3102" s="11" t="s">
        <v>416</v>
      </c>
      <c r="T3102" s="16">
        <v>0</v>
      </c>
      <c r="U3102" s="17"/>
      <c r="V3102" s="12">
        <v>330.33613445378148</v>
      </c>
      <c r="W3102" s="12">
        <v>330.33613445378148</v>
      </c>
      <c r="X3102" s="12">
        <v>0</v>
      </c>
      <c r="Y3102" s="18">
        <v>45691</v>
      </c>
      <c r="Z3102" s="13" t="s">
        <v>497</v>
      </c>
      <c r="AA3102" s="19" t="str">
        <f>VLOOKUP(D3102,Clientes!$A$2:$J$486,9,FALSE)</f>
        <v>Frecuente</v>
      </c>
      <c r="AB3102" s="13" t="str">
        <f>VLOOKUP(D3102,Clientes!$A$2:$K$486,11,FALSE)</f>
        <v>Empresa</v>
      </c>
      <c r="AC3102" s="13" t="str">
        <f>VLOOKUP(D3102,Clientes!$A$2:$B$486,2,FALSE)</f>
        <v>Jardin del eden</v>
      </c>
      <c r="AD3102" s="20"/>
      <c r="AE3102" s="20"/>
      <c r="AF3102" s="13" t="s">
        <v>40</v>
      </c>
      <c r="AG3102" s="15">
        <v>45323</v>
      </c>
      <c r="AH3102" s="13" t="s">
        <v>41</v>
      </c>
      <c r="AI3102" s="13" t="s">
        <v>47</v>
      </c>
      <c r="AJ3102" s="13" t="str">
        <f>VLOOKUP(E3102,Precios!Z$2:AA$941,2,FALSE)</f>
        <v>Esponja Acanalada TEDDY</v>
      </c>
      <c r="AK3102" s="14">
        <f>VLOOKUP(E3102,Precios!Z$2:BB$941,3,FALSE)*F3102</f>
        <v>-5</v>
      </c>
      <c r="AL3102" s="17"/>
      <c r="AM3102" s="17"/>
      <c r="AN3102" s="17"/>
      <c r="AO3102" s="17"/>
      <c r="AP3102" s="17"/>
      <c r="AQ3102" s="17"/>
      <c r="AR3102" s="17"/>
      <c r="AS3102" s="17"/>
      <c r="AT3102" s="17"/>
      <c r="AU3102" s="17"/>
      <c r="AV3102" s="17"/>
    </row>
    <row r="3103" spans="1:48" ht="15.75" customHeight="1">
      <c r="A3103" s="21" t="s">
        <v>147</v>
      </c>
      <c r="B3103" s="23" t="s">
        <v>1692</v>
      </c>
      <c r="C3103" s="25">
        <v>45697</v>
      </c>
      <c r="D3103" s="23" t="s">
        <v>431</v>
      </c>
      <c r="E3103" s="23" t="s">
        <v>257</v>
      </c>
      <c r="F3103" s="21">
        <v>1</v>
      </c>
      <c r="G3103" s="12">
        <v>4000.0000000000005</v>
      </c>
      <c r="H3103" s="12">
        <v>4000.0000000000005</v>
      </c>
      <c r="I3103" s="23" t="s">
        <v>52</v>
      </c>
      <c r="J3103" s="23" t="s">
        <v>61</v>
      </c>
      <c r="K3103" s="24" t="s">
        <v>86</v>
      </c>
      <c r="L3103" s="24">
        <v>54</v>
      </c>
      <c r="M3103" s="12">
        <v>3361.3445378151264</v>
      </c>
      <c r="N3103" s="12">
        <v>3361.3445378151264</v>
      </c>
      <c r="O3103" s="12">
        <v>638.65546218487407</v>
      </c>
      <c r="P3103" s="13"/>
      <c r="Q3103" s="14">
        <v>2025</v>
      </c>
      <c r="R3103" s="15">
        <v>45323</v>
      </c>
      <c r="S3103" s="11" t="s">
        <v>412</v>
      </c>
      <c r="T3103" s="16">
        <v>0</v>
      </c>
      <c r="U3103" s="17"/>
      <c r="V3103" s="12">
        <v>1680.6722689075632</v>
      </c>
      <c r="W3103" s="12">
        <v>1680.6722689075632</v>
      </c>
      <c r="X3103" s="12">
        <v>0</v>
      </c>
      <c r="Y3103" s="18">
        <v>45691</v>
      </c>
      <c r="Z3103" s="13" t="s">
        <v>497</v>
      </c>
      <c r="AA3103" s="19" t="str">
        <f>VLOOKUP(D3103,Clientes!$A$2:$J$486,9,FALSE)</f>
        <v>Frecuente</v>
      </c>
      <c r="AB3103" s="13" t="str">
        <f>VLOOKUP(D3103,Clientes!$A$2:$K$486,11,FALSE)</f>
        <v>Empresa</v>
      </c>
      <c r="AC3103" s="13" t="str">
        <f>VLOOKUP(D3103,Clientes!$A$2:$B$486,2,FALSE)</f>
        <v>Jardin del eden</v>
      </c>
      <c r="AD3103" s="20"/>
      <c r="AE3103" s="20"/>
      <c r="AF3103" s="13" t="s">
        <v>40</v>
      </c>
      <c r="AG3103" s="15">
        <v>45323</v>
      </c>
      <c r="AH3103" s="13" t="s">
        <v>41</v>
      </c>
      <c r="AI3103" s="13" t="s">
        <v>147</v>
      </c>
      <c r="AJ3103" s="13" t="str">
        <f>VLOOKUP(E3103,Precios!Z$2:AA$941,2,FALSE)</f>
        <v>Film Plástico 100 metros</v>
      </c>
      <c r="AK3103" s="14">
        <f>VLOOKUP(E3103,Precios!Z$2:BB$941,3,FALSE)*F3103</f>
        <v>-1</v>
      </c>
      <c r="AL3103" s="17"/>
      <c r="AM3103" s="17"/>
      <c r="AN3103" s="17"/>
      <c r="AO3103" s="17"/>
      <c r="AP3103" s="17"/>
      <c r="AQ3103" s="17"/>
      <c r="AR3103" s="17"/>
      <c r="AS3103" s="17"/>
      <c r="AT3103" s="17"/>
      <c r="AU3103" s="17"/>
      <c r="AV3103" s="17"/>
    </row>
    <row r="3104" spans="1:48" ht="15.75" customHeight="1">
      <c r="A3104" s="21" t="s">
        <v>53</v>
      </c>
      <c r="B3104" s="23" t="s">
        <v>1692</v>
      </c>
      <c r="C3104" s="25">
        <v>45697</v>
      </c>
      <c r="D3104" s="23" t="s">
        <v>431</v>
      </c>
      <c r="E3104" s="23" t="s">
        <v>162</v>
      </c>
      <c r="F3104" s="21">
        <v>4</v>
      </c>
      <c r="G3104" s="12">
        <v>9500.0304006809747</v>
      </c>
      <c r="H3104" s="12">
        <v>38000.121602723899</v>
      </c>
      <c r="I3104" s="23" t="s">
        <v>52</v>
      </c>
      <c r="J3104" s="23" t="s">
        <v>61</v>
      </c>
      <c r="K3104" s="24" t="s">
        <v>86</v>
      </c>
      <c r="L3104" s="24">
        <v>54</v>
      </c>
      <c r="M3104" s="12">
        <v>7983.2188241016602</v>
      </c>
      <c r="N3104" s="12">
        <v>31932.875296406641</v>
      </c>
      <c r="O3104" s="12">
        <v>6067.2463063172581</v>
      </c>
      <c r="P3104" s="13"/>
      <c r="Q3104" s="14">
        <v>2025</v>
      </c>
      <c r="R3104" s="15">
        <v>45323</v>
      </c>
      <c r="S3104" s="11" t="s">
        <v>437</v>
      </c>
      <c r="T3104" s="16">
        <v>0</v>
      </c>
      <c r="U3104" s="17"/>
      <c r="V3104" s="12">
        <v>10924.875296406637</v>
      </c>
      <c r="W3104" s="12">
        <v>10924.875296406637</v>
      </c>
      <c r="X3104" s="12">
        <v>0</v>
      </c>
      <c r="Y3104" s="18">
        <v>45691</v>
      </c>
      <c r="Z3104" s="13" t="s">
        <v>497</v>
      </c>
      <c r="AA3104" s="19" t="str">
        <f>VLOOKUP(D3104,Clientes!$A$2:$J$486,9,FALSE)</f>
        <v>Frecuente</v>
      </c>
      <c r="AB3104" s="13" t="str">
        <f>VLOOKUP(D3104,Clientes!$A$2:$K$486,11,FALSE)</f>
        <v>Empresa</v>
      </c>
      <c r="AC3104" s="13" t="str">
        <f>VLOOKUP(D3104,Clientes!$A$2:$B$486,2,FALSE)</f>
        <v>Jardin del eden</v>
      </c>
      <c r="AD3104" s="20"/>
      <c r="AE3104" s="20"/>
      <c r="AF3104" s="13" t="s">
        <v>40</v>
      </c>
      <c r="AG3104" s="15">
        <v>45323</v>
      </c>
      <c r="AH3104" s="13" t="s">
        <v>41</v>
      </c>
      <c r="AI3104" s="13" t="s">
        <v>53</v>
      </c>
      <c r="AJ3104" s="13" t="str">
        <f>VLOOKUP(E3104,Precios!Z$2:AA$941,2,FALSE)</f>
        <v>Toalla Papel 250 metros dipensador</v>
      </c>
      <c r="AK3104" s="14">
        <f>VLOOKUP(E3104,Precios!Z$2:BB$941,3,FALSE)*F3104</f>
        <v>-4</v>
      </c>
      <c r="AL3104" s="17"/>
      <c r="AM3104" s="17"/>
      <c r="AN3104" s="17"/>
      <c r="AO3104" s="17"/>
      <c r="AP3104" s="17"/>
      <c r="AQ3104" s="17"/>
      <c r="AR3104" s="17"/>
      <c r="AS3104" s="17"/>
      <c r="AT3104" s="17"/>
      <c r="AU3104" s="17"/>
      <c r="AV3104" s="17"/>
    </row>
    <row r="3105" spans="1:48" ht="15.75" customHeight="1">
      <c r="A3105" s="21" t="s">
        <v>47</v>
      </c>
      <c r="B3105" s="23" t="s">
        <v>1692</v>
      </c>
      <c r="C3105" s="25">
        <v>45697</v>
      </c>
      <c r="D3105" s="23" t="s">
        <v>431</v>
      </c>
      <c r="E3105" s="23" t="s">
        <v>306</v>
      </c>
      <c r="F3105" s="21">
        <v>1</v>
      </c>
      <c r="G3105" s="12">
        <v>8000.0000000000009</v>
      </c>
      <c r="H3105" s="12">
        <v>8000.0000000000009</v>
      </c>
      <c r="I3105" s="23" t="s">
        <v>52</v>
      </c>
      <c r="J3105" s="23" t="s">
        <v>61</v>
      </c>
      <c r="K3105" s="24" t="s">
        <v>86</v>
      </c>
      <c r="L3105" s="24">
        <v>54</v>
      </c>
      <c r="M3105" s="12">
        <v>6722.6890756302528</v>
      </c>
      <c r="N3105" s="12">
        <v>6722.6890756302528</v>
      </c>
      <c r="O3105" s="12">
        <v>1277.3109243697481</v>
      </c>
      <c r="P3105" s="13"/>
      <c r="Q3105" s="14">
        <v>2025</v>
      </c>
      <c r="R3105" s="15">
        <v>45323</v>
      </c>
      <c r="S3105" s="11" t="s">
        <v>372</v>
      </c>
      <c r="T3105" s="16">
        <v>0</v>
      </c>
      <c r="U3105" s="17"/>
      <c r="V3105" s="12">
        <v>1781.5126050420176</v>
      </c>
      <c r="W3105" s="12">
        <v>1781.5126050420176</v>
      </c>
      <c r="X3105" s="12">
        <v>0</v>
      </c>
      <c r="Y3105" s="18">
        <v>45691</v>
      </c>
      <c r="Z3105" s="13" t="s">
        <v>497</v>
      </c>
      <c r="AA3105" s="19" t="str">
        <f>VLOOKUP(D3105,Clientes!$A$2:$J$486,9,FALSE)</f>
        <v>Frecuente</v>
      </c>
      <c r="AB3105" s="13" t="str">
        <f>VLOOKUP(D3105,Clientes!$A$2:$K$486,11,FALSE)</f>
        <v>Empresa</v>
      </c>
      <c r="AC3105" s="13" t="str">
        <f>VLOOKUP(D3105,Clientes!$A$2:$B$486,2,FALSE)</f>
        <v>Jardin del eden</v>
      </c>
      <c r="AD3105" s="20"/>
      <c r="AE3105" s="20"/>
      <c r="AF3105" s="13" t="s">
        <v>40</v>
      </c>
      <c r="AG3105" s="15">
        <v>45323</v>
      </c>
      <c r="AH3105" s="13" t="s">
        <v>41</v>
      </c>
      <c r="AI3105" s="13" t="s">
        <v>47</v>
      </c>
      <c r="AJ3105" s="13" t="str">
        <f>VLOOKUP(E3105,Precios!Z$2:AA$941,2,FALSE)</f>
        <v>Traperos Humedos VIRGINIA</v>
      </c>
      <c r="AK3105" s="14">
        <f>VLOOKUP(E3105,Precios!Z$2:BB$941,3,FALSE)*F3105</f>
        <v>-3</v>
      </c>
      <c r="AL3105" s="17"/>
      <c r="AM3105" s="17"/>
      <c r="AN3105" s="17"/>
      <c r="AO3105" s="17"/>
      <c r="AP3105" s="17"/>
      <c r="AQ3105" s="17"/>
      <c r="AR3105" s="17"/>
      <c r="AS3105" s="17"/>
      <c r="AT3105" s="17"/>
      <c r="AU3105" s="17"/>
      <c r="AV3105" s="17"/>
    </row>
    <row r="3106" spans="1:48" ht="15.75" customHeight="1">
      <c r="A3106" s="21" t="s">
        <v>47</v>
      </c>
      <c r="B3106" s="23" t="s">
        <v>1692</v>
      </c>
      <c r="C3106" s="25">
        <v>45697</v>
      </c>
      <c r="D3106" s="23" t="s">
        <v>431</v>
      </c>
      <c r="E3106" s="23" t="s">
        <v>143</v>
      </c>
      <c r="F3106" s="21">
        <v>2</v>
      </c>
      <c r="G3106" s="12">
        <v>2999.9379074821477</v>
      </c>
      <c r="H3106" s="12">
        <v>5999.8758149642954</v>
      </c>
      <c r="I3106" s="23" t="s">
        <v>52</v>
      </c>
      <c r="J3106" s="23" t="s">
        <v>61</v>
      </c>
      <c r="K3106" s="24" t="s">
        <v>86</v>
      </c>
      <c r="L3106" s="24">
        <v>54</v>
      </c>
      <c r="M3106" s="12">
        <v>2520.9562247749141</v>
      </c>
      <c r="N3106" s="12">
        <v>5041.9124495498281</v>
      </c>
      <c r="O3106" s="12">
        <v>957.96336541446726</v>
      </c>
      <c r="P3106" s="13"/>
      <c r="Q3106" s="14">
        <v>2025</v>
      </c>
      <c r="R3106" s="15">
        <v>45323</v>
      </c>
      <c r="S3106" s="11" t="s">
        <v>414</v>
      </c>
      <c r="T3106" s="16">
        <v>0</v>
      </c>
      <c r="U3106" s="17"/>
      <c r="V3106" s="12">
        <v>3417.9124495498281</v>
      </c>
      <c r="W3106" s="12">
        <v>3417.9124495498281</v>
      </c>
      <c r="X3106" s="12">
        <v>0</v>
      </c>
      <c r="Y3106" s="18">
        <v>45691</v>
      </c>
      <c r="Z3106" s="13" t="s">
        <v>497</v>
      </c>
      <c r="AA3106" s="19" t="str">
        <f>VLOOKUP(D3106,Clientes!$A$2:$J$486,9,FALSE)</f>
        <v>Frecuente</v>
      </c>
      <c r="AB3106" s="13" t="str">
        <f>VLOOKUP(D3106,Clientes!$A$2:$K$486,11,FALSE)</f>
        <v>Empresa</v>
      </c>
      <c r="AC3106" s="13" t="str">
        <f>VLOOKUP(D3106,Clientes!$A$2:$B$486,2,FALSE)</f>
        <v>Jardin del eden</v>
      </c>
      <c r="AD3106" s="20"/>
      <c r="AE3106" s="20"/>
      <c r="AF3106" s="13" t="s">
        <v>40</v>
      </c>
      <c r="AG3106" s="15">
        <v>45323</v>
      </c>
      <c r="AH3106" s="13" t="s">
        <v>41</v>
      </c>
      <c r="AI3106" s="13" t="s">
        <v>47</v>
      </c>
      <c r="AJ3106" s="13" t="str">
        <f>VLOOKUP(E3106,Precios!Z$2:AA$941,2,FALSE)</f>
        <v>Toalla desinfectante TEDDY 80 unidades</v>
      </c>
      <c r="AK3106" s="14">
        <f>VLOOKUP(E3106,Precios!Z$2:BB$941,3,FALSE)*F3106</f>
        <v>-2</v>
      </c>
      <c r="AL3106" s="17"/>
      <c r="AM3106" s="17"/>
      <c r="AN3106" s="17"/>
      <c r="AO3106" s="17"/>
      <c r="AP3106" s="17"/>
      <c r="AQ3106" s="17"/>
      <c r="AR3106" s="17"/>
      <c r="AS3106" s="17"/>
      <c r="AT3106" s="17"/>
      <c r="AU3106" s="17"/>
      <c r="AV3106" s="17"/>
    </row>
    <row r="3107" spans="1:48" ht="15.75" customHeight="1">
      <c r="A3107" s="21" t="s">
        <v>47</v>
      </c>
      <c r="B3107" s="23" t="s">
        <v>1692</v>
      </c>
      <c r="C3107" s="25">
        <v>45697</v>
      </c>
      <c r="D3107" s="23" t="s">
        <v>431</v>
      </c>
      <c r="E3107" s="23" t="s">
        <v>303</v>
      </c>
      <c r="F3107" s="21">
        <v>2</v>
      </c>
      <c r="G3107" s="12">
        <v>2000.2484060611077</v>
      </c>
      <c r="H3107" s="12">
        <v>4000.4968121222155</v>
      </c>
      <c r="I3107" s="23" t="s">
        <v>52</v>
      </c>
      <c r="J3107" s="23" t="s">
        <v>61</v>
      </c>
      <c r="K3107" s="24" t="s">
        <v>86</v>
      </c>
      <c r="L3107" s="24">
        <v>54</v>
      </c>
      <c r="M3107" s="12">
        <v>1680.8810134967293</v>
      </c>
      <c r="N3107" s="12">
        <v>3361.7620269934587</v>
      </c>
      <c r="O3107" s="12">
        <v>638.73478512875681</v>
      </c>
      <c r="P3107" s="13"/>
      <c r="Q3107" s="14">
        <v>2025</v>
      </c>
      <c r="R3107" s="15">
        <v>45323</v>
      </c>
      <c r="S3107" s="11" t="s">
        <v>433</v>
      </c>
      <c r="T3107" s="16">
        <v>0</v>
      </c>
      <c r="U3107" s="17"/>
      <c r="V3107" s="12">
        <v>925.76202699345822</v>
      </c>
      <c r="W3107" s="12">
        <v>925.76202699345822</v>
      </c>
      <c r="X3107" s="12">
        <v>0</v>
      </c>
      <c r="Y3107" s="18">
        <v>45691</v>
      </c>
      <c r="Z3107" s="13" t="s">
        <v>497</v>
      </c>
      <c r="AA3107" s="19" t="str">
        <f>VLOOKUP(D3107,Clientes!$A$2:$J$486,9,FALSE)</f>
        <v>Frecuente</v>
      </c>
      <c r="AB3107" s="13" t="str">
        <f>VLOOKUP(D3107,Clientes!$A$2:$K$486,11,FALSE)</f>
        <v>Empresa</v>
      </c>
      <c r="AC3107" s="13" t="str">
        <f>VLOOKUP(D3107,Clientes!$A$2:$B$486,2,FALSE)</f>
        <v>Jardin del eden</v>
      </c>
      <c r="AD3107" s="20"/>
      <c r="AE3107" s="20"/>
      <c r="AF3107" s="13" t="s">
        <v>40</v>
      </c>
      <c r="AG3107" s="15">
        <v>45323</v>
      </c>
      <c r="AH3107" s="13" t="s">
        <v>41</v>
      </c>
      <c r="AI3107" s="13" t="s">
        <v>47</v>
      </c>
      <c r="AJ3107" s="13" t="str">
        <f>VLOOKUP(E3107,Precios!Z$2:AA$941,2,FALSE)</f>
        <v>Trapero Microfibra EXCELL</v>
      </c>
      <c r="AK3107" s="14">
        <f>VLOOKUP(E3107,Precios!Z$2:BB$941,3,FALSE)*F3107</f>
        <v>-2</v>
      </c>
      <c r="AL3107" s="17"/>
      <c r="AM3107" s="17"/>
      <c r="AN3107" s="17"/>
      <c r="AO3107" s="17"/>
      <c r="AP3107" s="17"/>
      <c r="AQ3107" s="17"/>
      <c r="AR3107" s="17"/>
      <c r="AS3107" s="17"/>
      <c r="AT3107" s="17"/>
      <c r="AU3107" s="17"/>
      <c r="AV3107" s="17"/>
    </row>
    <row r="3108" spans="1:48" ht="15.75" customHeight="1">
      <c r="A3108" s="21" t="s">
        <v>76</v>
      </c>
      <c r="B3108" s="23" t="s">
        <v>1692</v>
      </c>
      <c r="C3108" s="25">
        <v>45697</v>
      </c>
      <c r="D3108" s="23" t="s">
        <v>431</v>
      </c>
      <c r="E3108" s="23" t="s">
        <v>337</v>
      </c>
      <c r="F3108" s="21">
        <v>1</v>
      </c>
      <c r="G3108" s="12">
        <v>1599.9448225124147</v>
      </c>
      <c r="H3108" s="12">
        <v>1599.9448225124147</v>
      </c>
      <c r="I3108" s="23" t="s">
        <v>52</v>
      </c>
      <c r="J3108" s="23" t="s">
        <v>61</v>
      </c>
      <c r="K3108" s="24" t="s">
        <v>86</v>
      </c>
      <c r="L3108" s="24">
        <v>54</v>
      </c>
      <c r="M3108" s="12">
        <v>1344.4914474894242</v>
      </c>
      <c r="N3108" s="12">
        <v>1344.4914474894242</v>
      </c>
      <c r="O3108" s="12">
        <v>255.45337502299049</v>
      </c>
      <c r="P3108" s="13"/>
      <c r="Q3108" s="14">
        <v>2025</v>
      </c>
      <c r="R3108" s="15">
        <v>45323</v>
      </c>
      <c r="S3108" s="11" t="s">
        <v>529</v>
      </c>
      <c r="T3108" s="16">
        <v>0</v>
      </c>
      <c r="U3108" s="17"/>
      <c r="V3108" s="12">
        <v>613.49144748942422</v>
      </c>
      <c r="W3108" s="12">
        <v>613.49144748942422</v>
      </c>
      <c r="X3108" s="12">
        <v>0</v>
      </c>
      <c r="Y3108" s="18">
        <v>45691</v>
      </c>
      <c r="Z3108" s="13" t="s">
        <v>497</v>
      </c>
      <c r="AA3108" s="19" t="str">
        <f>VLOOKUP(D3108,Clientes!$A$2:$J$486,9,FALSE)</f>
        <v>Frecuente</v>
      </c>
      <c r="AB3108" s="13" t="str">
        <f>VLOOKUP(D3108,Clientes!$A$2:$K$486,11,FALSE)</f>
        <v>Empresa</v>
      </c>
      <c r="AC3108" s="13" t="str">
        <f>VLOOKUP(D3108,Clientes!$A$2:$B$486,2,FALSE)</f>
        <v>Jardin del eden</v>
      </c>
      <c r="AD3108" s="20"/>
      <c r="AE3108" s="20"/>
      <c r="AF3108" s="13" t="s">
        <v>40</v>
      </c>
      <c r="AG3108" s="15">
        <v>45323</v>
      </c>
      <c r="AH3108" s="13" t="s">
        <v>41</v>
      </c>
      <c r="AI3108" s="13" t="s">
        <v>76</v>
      </c>
      <c r="AJ3108" s="13" t="str">
        <f>VLOOKUP(E3108,Precios!Z$2:AA$941,2,FALSE)</f>
        <v>Limpia Inodoro TEDDY</v>
      </c>
      <c r="AK3108" s="14">
        <f>VLOOKUP(E3108,Precios!Z$2:BB$941,3,FALSE)*F3108</f>
        <v>-1</v>
      </c>
      <c r="AL3108" s="17"/>
      <c r="AM3108" s="17"/>
      <c r="AN3108" s="17"/>
      <c r="AO3108" s="17"/>
      <c r="AP3108" s="17"/>
      <c r="AQ3108" s="17"/>
      <c r="AR3108" s="17"/>
      <c r="AS3108" s="17"/>
      <c r="AT3108" s="17"/>
      <c r="AU3108" s="17"/>
      <c r="AV3108" s="17"/>
    </row>
    <row r="3109" spans="1:48" ht="15.75" customHeight="1">
      <c r="A3109" s="21" t="s">
        <v>76</v>
      </c>
      <c r="B3109" s="23" t="s">
        <v>1692</v>
      </c>
      <c r="C3109" s="25">
        <v>45697</v>
      </c>
      <c r="D3109" s="23" t="s">
        <v>431</v>
      </c>
      <c r="E3109" s="23" t="s">
        <v>252</v>
      </c>
      <c r="F3109" s="21">
        <v>2</v>
      </c>
      <c r="G3109" s="12">
        <v>1599.969512195122</v>
      </c>
      <c r="H3109" s="12">
        <v>3199.939024390244</v>
      </c>
      <c r="I3109" s="23" t="s">
        <v>52</v>
      </c>
      <c r="J3109" s="23" t="s">
        <v>61</v>
      </c>
      <c r="K3109" s="24" t="s">
        <v>86</v>
      </c>
      <c r="L3109" s="24">
        <v>54</v>
      </c>
      <c r="M3109" s="12">
        <v>1344.5121951219512</v>
      </c>
      <c r="N3109" s="12">
        <v>2689.0243902439024</v>
      </c>
      <c r="O3109" s="12">
        <v>510.91463414634154</v>
      </c>
      <c r="P3109" s="13"/>
      <c r="Q3109" s="14">
        <v>2025</v>
      </c>
      <c r="R3109" s="15">
        <v>45323</v>
      </c>
      <c r="S3109" s="11" t="s">
        <v>252</v>
      </c>
      <c r="T3109" s="16">
        <v>0</v>
      </c>
      <c r="U3109" s="17"/>
      <c r="V3109" s="12">
        <v>925.02439024390242</v>
      </c>
      <c r="W3109" s="12">
        <v>925.02439024390242</v>
      </c>
      <c r="X3109" s="12">
        <v>0</v>
      </c>
      <c r="Y3109" s="18">
        <v>45691</v>
      </c>
      <c r="Z3109" s="13" t="s">
        <v>497</v>
      </c>
      <c r="AA3109" s="19" t="str">
        <f>VLOOKUP(D3109,Clientes!$A$2:$J$486,9,FALSE)</f>
        <v>Frecuente</v>
      </c>
      <c r="AB3109" s="13" t="str">
        <f>VLOOKUP(D3109,Clientes!$A$2:$K$486,11,FALSE)</f>
        <v>Empresa</v>
      </c>
      <c r="AC3109" s="13" t="str">
        <f>VLOOKUP(D3109,Clientes!$A$2:$B$486,2,FALSE)</f>
        <v>Jardin del eden</v>
      </c>
      <c r="AD3109" s="20"/>
      <c r="AE3109" s="20"/>
      <c r="AF3109" s="13" t="s">
        <v>40</v>
      </c>
      <c r="AG3109" s="15">
        <v>45323</v>
      </c>
      <c r="AH3109" s="13" t="s">
        <v>41</v>
      </c>
      <c r="AI3109" s="13" t="s">
        <v>76</v>
      </c>
      <c r="AJ3109" s="13" t="str">
        <f>VLOOKUP(E3109,Precios!Z$2:AA$941,2,FALSE)</f>
        <v>Limpiapiso POETT 900 ml</v>
      </c>
      <c r="AK3109" s="14">
        <f>VLOOKUP(E3109,Precios!Z$2:BB$941,3,FALSE)*F3109</f>
        <v>-2</v>
      </c>
      <c r="AL3109" s="17"/>
      <c r="AM3109" s="17"/>
      <c r="AN3109" s="17"/>
      <c r="AO3109" s="17"/>
      <c r="AP3109" s="17"/>
      <c r="AQ3109" s="17"/>
      <c r="AR3109" s="17"/>
      <c r="AS3109" s="17"/>
      <c r="AT3109" s="17"/>
      <c r="AU3109" s="17"/>
      <c r="AV3109" s="17"/>
    </row>
    <row r="3110" spans="1:48" ht="15.75" customHeight="1">
      <c r="A3110" s="21" t="s">
        <v>76</v>
      </c>
      <c r="B3110" s="23" t="s">
        <v>1692</v>
      </c>
      <c r="C3110" s="25">
        <v>45697</v>
      </c>
      <c r="D3110" s="23" t="s">
        <v>431</v>
      </c>
      <c r="E3110" s="23" t="s">
        <v>137</v>
      </c>
      <c r="F3110" s="21">
        <v>1</v>
      </c>
      <c r="G3110" s="12">
        <v>3500.0000000000005</v>
      </c>
      <c r="H3110" s="12">
        <v>3500.0000000000005</v>
      </c>
      <c r="I3110" s="23" t="s">
        <v>52</v>
      </c>
      <c r="J3110" s="23" t="s">
        <v>61</v>
      </c>
      <c r="K3110" s="24" t="s">
        <v>86</v>
      </c>
      <c r="L3110" s="24">
        <v>54</v>
      </c>
      <c r="M3110" s="12">
        <v>2941.1764705882356</v>
      </c>
      <c r="N3110" s="12">
        <v>2941.1764705882356</v>
      </c>
      <c r="O3110" s="12">
        <v>558.82352941176487</v>
      </c>
      <c r="P3110" s="13"/>
      <c r="Q3110" s="14">
        <v>2025</v>
      </c>
      <c r="R3110" s="15">
        <v>45323</v>
      </c>
      <c r="S3110" s="11" t="s">
        <v>406</v>
      </c>
      <c r="T3110" s="16">
        <v>5</v>
      </c>
      <c r="U3110" s="17"/>
      <c r="V3110" s="12">
        <v>848.73949579831969</v>
      </c>
      <c r="W3110" s="12">
        <v>848.73949579831969</v>
      </c>
      <c r="X3110" s="12">
        <v>0</v>
      </c>
      <c r="Y3110" s="18">
        <v>45691</v>
      </c>
      <c r="Z3110" s="13" t="s">
        <v>497</v>
      </c>
      <c r="AA3110" s="19" t="str">
        <f>VLOOKUP(D3110,Clientes!$A$2:$J$486,9,FALSE)</f>
        <v>Frecuente</v>
      </c>
      <c r="AB3110" s="13" t="str">
        <f>VLOOKUP(D3110,Clientes!$A$2:$K$486,11,FALSE)</f>
        <v>Empresa</v>
      </c>
      <c r="AC3110" s="13" t="str">
        <f>VLOOKUP(D3110,Clientes!$A$2:$B$486,2,FALSE)</f>
        <v>Jardin del eden</v>
      </c>
      <c r="AD3110" s="20"/>
      <c r="AE3110" s="20"/>
      <c r="AF3110" s="13" t="s">
        <v>40</v>
      </c>
      <c r="AG3110" s="15">
        <v>45323</v>
      </c>
      <c r="AH3110" s="13" t="s">
        <v>41</v>
      </c>
      <c r="AI3110" s="13" t="s">
        <v>76</v>
      </c>
      <c r="AJ3110" s="13" t="str">
        <f>VLOOKUP(E3110,Precios!Z$2:AA$941,2,FALSE)</f>
        <v>Detergente SPUM 5 Litros (Blanco)</v>
      </c>
      <c r="AK3110" s="14">
        <f>VLOOKUP(E3110,Precios!Z$2:BB$941,3,FALSE)*F3110</f>
        <v>-1</v>
      </c>
      <c r="AL3110" s="17"/>
      <c r="AM3110" s="17"/>
      <c r="AN3110" s="17"/>
      <c r="AO3110" s="17"/>
      <c r="AP3110" s="17"/>
      <c r="AQ3110" s="17"/>
      <c r="AR3110" s="17"/>
      <c r="AS3110" s="17"/>
      <c r="AT3110" s="17"/>
      <c r="AU3110" s="17"/>
      <c r="AV3110" s="17"/>
    </row>
    <row r="3111" spans="1:48" ht="15.75" customHeight="1">
      <c r="A3111" s="21" t="s">
        <v>76</v>
      </c>
      <c r="B3111" s="23" t="s">
        <v>1692</v>
      </c>
      <c r="C3111" s="25">
        <v>45697</v>
      </c>
      <c r="D3111" s="23" t="s">
        <v>431</v>
      </c>
      <c r="E3111" s="23" t="s">
        <v>212</v>
      </c>
      <c r="F3111" s="21">
        <v>1</v>
      </c>
      <c r="G3111" s="12">
        <v>3000.0000000000005</v>
      </c>
      <c r="H3111" s="12">
        <v>3000.0000000000005</v>
      </c>
      <c r="I3111" s="23" t="s">
        <v>52</v>
      </c>
      <c r="J3111" s="23" t="s">
        <v>61</v>
      </c>
      <c r="K3111" s="24" t="s">
        <v>86</v>
      </c>
      <c r="L3111" s="24">
        <v>54</v>
      </c>
      <c r="M3111" s="12">
        <v>2521.0084033613452</v>
      </c>
      <c r="N3111" s="12">
        <v>2521.0084033613452</v>
      </c>
      <c r="O3111" s="12">
        <v>478.99159663865521</v>
      </c>
      <c r="P3111" s="13"/>
      <c r="Q3111" s="14">
        <v>2025</v>
      </c>
      <c r="R3111" s="15">
        <v>45323</v>
      </c>
      <c r="S3111" s="11" t="s">
        <v>446</v>
      </c>
      <c r="T3111" s="16">
        <v>5</v>
      </c>
      <c r="U3111" s="17"/>
      <c r="V3111" s="12">
        <v>764.70588235294144</v>
      </c>
      <c r="W3111" s="12">
        <v>764.70588235294144</v>
      </c>
      <c r="X3111" s="12">
        <v>0</v>
      </c>
      <c r="Y3111" s="18">
        <v>45691</v>
      </c>
      <c r="Z3111" s="13" t="s">
        <v>497</v>
      </c>
      <c r="AA3111" s="19" t="str">
        <f>VLOOKUP(D3111,Clientes!$A$2:$J$486,9,FALSE)</f>
        <v>Frecuente</v>
      </c>
      <c r="AB3111" s="13" t="str">
        <f>VLOOKUP(D3111,Clientes!$A$2:$K$486,11,FALSE)</f>
        <v>Empresa</v>
      </c>
      <c r="AC3111" s="13" t="str">
        <f>VLOOKUP(D3111,Clientes!$A$2:$B$486,2,FALSE)</f>
        <v>Jardin del eden</v>
      </c>
      <c r="AD3111" s="20"/>
      <c r="AE3111" s="20"/>
      <c r="AF3111" s="13" t="s">
        <v>40</v>
      </c>
      <c r="AG3111" s="15">
        <v>45323</v>
      </c>
      <c r="AH3111" s="13" t="s">
        <v>41</v>
      </c>
      <c r="AI3111" s="13" t="s">
        <v>76</v>
      </c>
      <c r="AJ3111" s="13" t="str">
        <f>VLOOKUP(E3111,Precios!Z$2:AA$941,2,FALSE)</f>
        <v>Suavizante SPUM 5 Litros</v>
      </c>
      <c r="AK3111" s="14">
        <f>VLOOKUP(E3111,Precios!Z$2:BB$941,3,FALSE)*F3111</f>
        <v>-1</v>
      </c>
      <c r="AL3111" s="17"/>
      <c r="AM3111" s="17"/>
      <c r="AN3111" s="17"/>
      <c r="AO3111" s="17"/>
      <c r="AP3111" s="17"/>
      <c r="AQ3111" s="17"/>
      <c r="AR3111" s="17"/>
      <c r="AS3111" s="17"/>
      <c r="AT3111" s="17"/>
      <c r="AU3111" s="17"/>
      <c r="AV3111" s="17"/>
    </row>
    <row r="3112" spans="1:48" ht="15.75" customHeight="1">
      <c r="A3112" s="21" t="s">
        <v>53</v>
      </c>
      <c r="B3112" s="23" t="s">
        <v>1692</v>
      </c>
      <c r="C3112" s="25">
        <v>45697</v>
      </c>
      <c r="D3112" s="23" t="s">
        <v>144</v>
      </c>
      <c r="E3112" s="23" t="s">
        <v>114</v>
      </c>
      <c r="F3112" s="21">
        <v>1</v>
      </c>
      <c r="G3112" s="12">
        <v>10500</v>
      </c>
      <c r="H3112" s="12">
        <v>10500</v>
      </c>
      <c r="I3112" s="23" t="s">
        <v>52</v>
      </c>
      <c r="J3112" s="23" t="s">
        <v>61</v>
      </c>
      <c r="K3112" s="24" t="s">
        <v>177</v>
      </c>
      <c r="L3112" s="24">
        <v>100</v>
      </c>
      <c r="M3112" s="12">
        <v>8823.5294117647063</v>
      </c>
      <c r="N3112" s="12">
        <v>8823.5294117647063</v>
      </c>
      <c r="O3112" s="12">
        <v>1676.4705882352937</v>
      </c>
      <c r="P3112" s="13"/>
      <c r="Q3112" s="14">
        <v>2025</v>
      </c>
      <c r="R3112" s="15">
        <v>45323</v>
      </c>
      <c r="S3112" s="11" t="s">
        <v>369</v>
      </c>
      <c r="T3112" s="16">
        <v>0</v>
      </c>
      <c r="U3112" s="17"/>
      <c r="V3112" s="12">
        <v>2403.3613445378151</v>
      </c>
      <c r="W3112" s="12">
        <v>2403.3613445378151</v>
      </c>
      <c r="X3112" s="12">
        <v>0</v>
      </c>
      <c r="Y3112" s="18">
        <v>45691</v>
      </c>
      <c r="Z3112" s="13" t="s">
        <v>497</v>
      </c>
      <c r="AA3112" s="19" t="str">
        <f>VLOOKUP(D3112,Clientes!$A$2:$J$486,9,FALSE)</f>
        <v>Ocacional</v>
      </c>
      <c r="AB3112" s="13" t="str">
        <f>VLOOKUP(D3112,Clientes!$A$2:$K$486,11,FALSE)</f>
        <v>Persona Natural</v>
      </c>
      <c r="AC3112" s="13" t="str">
        <f>VLOOKUP(D3112,Clientes!$A$2:$B$486,2,FALSE)</f>
        <v>Alicachue</v>
      </c>
      <c r="AD3112" s="20"/>
      <c r="AE3112" s="20"/>
      <c r="AF3112" s="13" t="s">
        <v>40</v>
      </c>
      <c r="AG3112" s="15">
        <v>45323</v>
      </c>
      <c r="AH3112" s="13" t="s">
        <v>41</v>
      </c>
      <c r="AI3112" s="13" t="s">
        <v>53</v>
      </c>
      <c r="AJ3112" s="13" t="str">
        <f>VLOOKUP(E3112,Precios!Z$2:AA$941,2,FALSE)</f>
        <v>Toalla Papel NOVA 12 metros</v>
      </c>
      <c r="AK3112" s="14">
        <f>VLOOKUP(E3112,Precios!Z$2:BB$941,3,FALSE)*F3112</f>
        <v>-8</v>
      </c>
      <c r="AL3112" s="17"/>
      <c r="AM3112" s="17"/>
      <c r="AN3112" s="17"/>
      <c r="AO3112" s="17"/>
      <c r="AP3112" s="17"/>
      <c r="AQ3112" s="17"/>
      <c r="AR3112" s="17"/>
      <c r="AS3112" s="17"/>
      <c r="AT3112" s="17"/>
      <c r="AU3112" s="17"/>
      <c r="AV3112" s="17"/>
    </row>
    <row r="3113" spans="1:48" ht="15.75" customHeight="1">
      <c r="A3113" s="21" t="s">
        <v>35</v>
      </c>
      <c r="B3113" s="23" t="s">
        <v>1692</v>
      </c>
      <c r="C3113" s="25">
        <v>45697</v>
      </c>
      <c r="D3113" s="23" t="s">
        <v>125</v>
      </c>
      <c r="E3113" s="23" t="s">
        <v>46</v>
      </c>
      <c r="F3113" s="21">
        <v>1</v>
      </c>
      <c r="G3113" s="12">
        <v>5500</v>
      </c>
      <c r="H3113" s="12">
        <v>5500</v>
      </c>
      <c r="I3113" s="23" t="s">
        <v>52</v>
      </c>
      <c r="J3113" s="23" t="s">
        <v>61</v>
      </c>
      <c r="K3113" s="24" t="s">
        <v>177</v>
      </c>
      <c r="L3113" s="24">
        <v>100</v>
      </c>
      <c r="M3113" s="12">
        <v>4621.8487394957983</v>
      </c>
      <c r="N3113" s="12">
        <v>4621.8487394957983</v>
      </c>
      <c r="O3113" s="12">
        <v>878.15126050420167</v>
      </c>
      <c r="P3113" s="13"/>
      <c r="Q3113" s="14">
        <v>2025</v>
      </c>
      <c r="R3113" s="15">
        <v>45323</v>
      </c>
      <c r="S3113" s="11" t="s">
        <v>364</v>
      </c>
      <c r="T3113" s="16">
        <v>500</v>
      </c>
      <c r="U3113" s="17"/>
      <c r="V3113" s="12">
        <v>1365.1260504201678</v>
      </c>
      <c r="W3113" s="12">
        <v>1365.1260504201678</v>
      </c>
      <c r="X3113" s="12">
        <v>0</v>
      </c>
      <c r="Y3113" s="18">
        <v>45691</v>
      </c>
      <c r="Z3113" s="13" t="s">
        <v>497</v>
      </c>
      <c r="AA3113" s="19" t="str">
        <f>VLOOKUP(D3113,Clientes!$A$2:$J$486,9,FALSE)</f>
        <v>Frecuente</v>
      </c>
      <c r="AB3113" s="13" t="str">
        <f>VLOOKUP(D3113,Clientes!$A$2:$K$486,11,FALSE)</f>
        <v>Persona Natural</v>
      </c>
      <c r="AC3113" s="13" t="str">
        <f>VLOOKUP(D3113,Clientes!$A$2:$B$486,2,FALSE)</f>
        <v>Jardines de la Viña</v>
      </c>
      <c r="AD3113" s="20"/>
      <c r="AE3113" s="20"/>
      <c r="AF3113" s="13" t="s">
        <v>40</v>
      </c>
      <c r="AG3113" s="15">
        <v>45323</v>
      </c>
      <c r="AH3113" s="13" t="s">
        <v>41</v>
      </c>
      <c r="AI3113" s="13" t="s">
        <v>35</v>
      </c>
      <c r="AJ3113" s="13" t="str">
        <f>VLOOKUP(E3113,Precios!Z$2:AA$941,2,FALSE)</f>
        <v>Queso RUNCA Mantecoso</v>
      </c>
      <c r="AK3113" s="14">
        <f>VLOOKUP(E3113,Precios!Z$2:BB$941,3,FALSE)*F3113</f>
        <v>-0.5</v>
      </c>
      <c r="AL3113" s="17"/>
      <c r="AM3113" s="17"/>
      <c r="AN3113" s="17"/>
      <c r="AO3113" s="17"/>
      <c r="AP3113" s="17"/>
      <c r="AQ3113" s="17"/>
      <c r="AR3113" s="17"/>
      <c r="AS3113" s="17"/>
      <c r="AT3113" s="17"/>
      <c r="AU3113" s="17"/>
      <c r="AV3113" s="17"/>
    </row>
    <row r="3114" spans="1:48" ht="15.75" customHeight="1">
      <c r="A3114" s="21" t="s">
        <v>47</v>
      </c>
      <c r="B3114" s="23" t="s">
        <v>1692</v>
      </c>
      <c r="C3114" s="25">
        <v>45697</v>
      </c>
      <c r="D3114" s="23" t="s">
        <v>125</v>
      </c>
      <c r="E3114" s="23" t="s">
        <v>107</v>
      </c>
      <c r="F3114" s="21">
        <v>1</v>
      </c>
      <c r="G3114" s="12">
        <v>3000.0000000000005</v>
      </c>
      <c r="H3114" s="12">
        <v>3000.0000000000005</v>
      </c>
      <c r="I3114" s="23" t="s">
        <v>52</v>
      </c>
      <c r="J3114" s="23" t="s">
        <v>61</v>
      </c>
      <c r="K3114" s="24" t="s">
        <v>177</v>
      </c>
      <c r="L3114" s="24">
        <v>100</v>
      </c>
      <c r="M3114" s="12">
        <v>2521.0084033613452</v>
      </c>
      <c r="N3114" s="12">
        <v>2521.0084033613452</v>
      </c>
      <c r="O3114" s="12">
        <v>478.99159663865521</v>
      </c>
      <c r="P3114" s="13"/>
      <c r="Q3114" s="14">
        <v>2025</v>
      </c>
      <c r="R3114" s="15">
        <v>45323</v>
      </c>
      <c r="S3114" s="11" t="s">
        <v>453</v>
      </c>
      <c r="T3114" s="16">
        <v>0</v>
      </c>
      <c r="U3114" s="17"/>
      <c r="V3114" s="12">
        <v>758.82352941176487</v>
      </c>
      <c r="W3114" s="12">
        <v>758.82352941176487</v>
      </c>
      <c r="X3114" s="12">
        <v>0</v>
      </c>
      <c r="Y3114" s="18">
        <v>45691</v>
      </c>
      <c r="Z3114" s="13" t="s">
        <v>497</v>
      </c>
      <c r="AA3114" s="19" t="str">
        <f>VLOOKUP(D3114,Clientes!$A$2:$J$486,9,FALSE)</f>
        <v>Frecuente</v>
      </c>
      <c r="AB3114" s="13" t="str">
        <f>VLOOKUP(D3114,Clientes!$A$2:$K$486,11,FALSE)</f>
        <v>Persona Natural</v>
      </c>
      <c r="AC3114" s="13" t="str">
        <f>VLOOKUP(D3114,Clientes!$A$2:$B$486,2,FALSE)</f>
        <v>Jardines de la Viña</v>
      </c>
      <c r="AD3114" s="20"/>
      <c r="AE3114" s="20"/>
      <c r="AF3114" s="13" t="s">
        <v>40</v>
      </c>
      <c r="AG3114" s="15">
        <v>45323</v>
      </c>
      <c r="AH3114" s="13" t="s">
        <v>41</v>
      </c>
      <c r="AI3114" s="13" t="s">
        <v>47</v>
      </c>
      <c r="AJ3114" s="13" t="str">
        <f>VLOOKUP(E3114,Precios!Z$2:AA$941,2,FALSE)</f>
        <v xml:space="preserve">Bolsas Basura TEDDY 90x120 </v>
      </c>
      <c r="AK3114" s="14">
        <f>VLOOKUP(E3114,Precios!Z$2:BB$941,3,FALSE)*F3114</f>
        <v>-1</v>
      </c>
      <c r="AL3114" s="17"/>
      <c r="AM3114" s="17"/>
      <c r="AN3114" s="17"/>
      <c r="AO3114" s="17"/>
      <c r="AP3114" s="17"/>
      <c r="AQ3114" s="17"/>
      <c r="AR3114" s="17"/>
      <c r="AS3114" s="17"/>
      <c r="AT3114" s="17"/>
      <c r="AU3114" s="17"/>
      <c r="AV3114" s="17"/>
    </row>
    <row r="3115" spans="1:48" ht="15.75" customHeight="1">
      <c r="A3115" s="21" t="s">
        <v>56</v>
      </c>
      <c r="B3115" s="23" t="s">
        <v>1692</v>
      </c>
      <c r="C3115" s="25">
        <v>45697</v>
      </c>
      <c r="D3115" s="23" t="s">
        <v>104</v>
      </c>
      <c r="E3115" s="23" t="s">
        <v>112</v>
      </c>
      <c r="F3115" s="21">
        <v>1</v>
      </c>
      <c r="G3115" s="12">
        <v>7999.6031746031749</v>
      </c>
      <c r="H3115" s="12">
        <v>7999.6031746031749</v>
      </c>
      <c r="I3115" s="23" t="s">
        <v>52</v>
      </c>
      <c r="J3115" s="23" t="s">
        <v>61</v>
      </c>
      <c r="K3115" s="24" t="s">
        <v>177</v>
      </c>
      <c r="L3115" s="24">
        <v>100</v>
      </c>
      <c r="M3115" s="12">
        <v>6722.3556089102312</v>
      </c>
      <c r="N3115" s="12">
        <v>6722.3556089102312</v>
      </c>
      <c r="O3115" s="12">
        <v>1277.2475656929437</v>
      </c>
      <c r="P3115" s="13"/>
      <c r="Q3115" s="14">
        <v>2025</v>
      </c>
      <c r="R3115" s="15">
        <v>45323</v>
      </c>
      <c r="S3115" s="11" t="s">
        <v>427</v>
      </c>
      <c r="T3115" s="16">
        <v>135</v>
      </c>
      <c r="U3115" s="17"/>
      <c r="V3115" s="12">
        <v>2317.868213952248</v>
      </c>
      <c r="W3115" s="12">
        <v>2317.868213952248</v>
      </c>
      <c r="X3115" s="12">
        <v>0</v>
      </c>
      <c r="Y3115" s="18">
        <v>45691</v>
      </c>
      <c r="Z3115" s="13" t="s">
        <v>497</v>
      </c>
      <c r="AA3115" s="19" t="str">
        <f>VLOOKUP(D3115,Clientes!$A$2:$J$486,9,FALSE)</f>
        <v>Ocacional</v>
      </c>
      <c r="AB3115" s="13" t="str">
        <f>VLOOKUP(D3115,Clientes!$A$2:$K$486,11,FALSE)</f>
        <v>Persona Natural</v>
      </c>
      <c r="AC3115" s="13" t="str">
        <f>VLOOKUP(D3115,Clientes!$A$2:$B$486,2,FALSE)</f>
        <v>Jardines de la viña</v>
      </c>
      <c r="AD3115" s="20"/>
      <c r="AE3115" s="20"/>
      <c r="AF3115" s="13" t="s">
        <v>40</v>
      </c>
      <c r="AG3115" s="15">
        <v>45323</v>
      </c>
      <c r="AH3115" s="13" t="s">
        <v>41</v>
      </c>
      <c r="AI3115" s="13" t="s">
        <v>56</v>
      </c>
      <c r="AJ3115" s="13" t="str">
        <f>VLOOKUP(E3115,Precios!Z$2:AA$941,2,FALSE)</f>
        <v>Provoleta Parrillera</v>
      </c>
      <c r="AK3115" s="14">
        <f>VLOOKUP(E3115,Precios!Z$2:BB$941,3,FALSE)*F3115</f>
        <v>-3</v>
      </c>
      <c r="AL3115" s="17"/>
      <c r="AM3115" s="17"/>
      <c r="AN3115" s="17"/>
      <c r="AO3115" s="17"/>
      <c r="AP3115" s="17"/>
      <c r="AQ3115" s="17"/>
      <c r="AR3115" s="17"/>
      <c r="AS3115" s="17"/>
      <c r="AT3115" s="17"/>
      <c r="AU3115" s="17"/>
      <c r="AV3115" s="17"/>
    </row>
    <row r="3116" spans="1:48" ht="15.75" customHeight="1">
      <c r="A3116" s="14" t="s">
        <v>43</v>
      </c>
      <c r="B3116" s="23" t="s">
        <v>1692</v>
      </c>
      <c r="C3116" s="25">
        <v>45697</v>
      </c>
      <c r="D3116" s="23" t="s">
        <v>391</v>
      </c>
      <c r="E3116" s="13" t="s">
        <v>45</v>
      </c>
      <c r="F3116" s="21">
        <v>1</v>
      </c>
      <c r="G3116" s="12">
        <v>6900.1306988544629</v>
      </c>
      <c r="H3116" s="12">
        <v>6900.1306988544629</v>
      </c>
      <c r="I3116" s="23" t="s">
        <v>52</v>
      </c>
      <c r="J3116" s="23" t="s">
        <v>61</v>
      </c>
      <c r="K3116" s="24" t="s">
        <v>177</v>
      </c>
      <c r="L3116" s="24">
        <v>100</v>
      </c>
      <c r="M3116" s="12">
        <v>5798.4291587012294</v>
      </c>
      <c r="N3116" s="12">
        <v>5798.4291587012294</v>
      </c>
      <c r="O3116" s="12">
        <v>1101.7015401532335</v>
      </c>
      <c r="P3116" s="13"/>
      <c r="Q3116" s="14">
        <v>2025</v>
      </c>
      <c r="R3116" s="15">
        <v>45323</v>
      </c>
      <c r="S3116" s="11" t="s">
        <v>355</v>
      </c>
      <c r="T3116" s="16">
        <v>0</v>
      </c>
      <c r="U3116" s="17"/>
      <c r="V3116" s="12">
        <v>1273.219074667616</v>
      </c>
      <c r="W3116" s="12">
        <v>1273.219074667616</v>
      </c>
      <c r="X3116" s="12">
        <v>0</v>
      </c>
      <c r="Y3116" s="18">
        <v>45691</v>
      </c>
      <c r="Z3116" s="13" t="s">
        <v>497</v>
      </c>
      <c r="AA3116" s="19" t="str">
        <f>VLOOKUP(D3116,Clientes!$A$2:$J$486,9,FALSE)</f>
        <v>Ocacional</v>
      </c>
      <c r="AB3116" s="13" t="str">
        <f>VLOOKUP(D3116,Clientes!$A$2:$K$486,11,FALSE)</f>
        <v>Persona Natural</v>
      </c>
      <c r="AC3116" s="13" t="str">
        <f>VLOOKUP(D3116,Clientes!$A$2:$B$486,2,FALSE)</f>
        <v>Santa Ines</v>
      </c>
      <c r="AD3116" s="20"/>
      <c r="AE3116" s="20"/>
      <c r="AF3116" s="13" t="s">
        <v>40</v>
      </c>
      <c r="AG3116" s="15">
        <v>45323</v>
      </c>
      <c r="AH3116" s="13" t="s">
        <v>41</v>
      </c>
      <c r="AI3116" s="13" t="s">
        <v>43</v>
      </c>
      <c r="AJ3116" s="13" t="str">
        <f>VLOOKUP(E3116,Precios!Z$2:AA$941,2,FALSE)</f>
        <v>Bandeja Huevos EXTRA</v>
      </c>
      <c r="AK3116" s="14">
        <f>VLOOKUP(E3116,Precios!Z$2:BB$941,3,FALSE)*F3116</f>
        <v>-1</v>
      </c>
      <c r="AL3116" s="17"/>
      <c r="AM3116" s="17"/>
      <c r="AN3116" s="17"/>
      <c r="AO3116" s="17"/>
      <c r="AP3116" s="17"/>
      <c r="AQ3116" s="17"/>
      <c r="AR3116" s="17"/>
      <c r="AS3116" s="17"/>
      <c r="AT3116" s="17"/>
      <c r="AU3116" s="17"/>
      <c r="AV3116" s="17"/>
    </row>
    <row r="3117" spans="1:48" ht="15.75" customHeight="1">
      <c r="A3117" s="21" t="s">
        <v>35</v>
      </c>
      <c r="B3117" s="23" t="s">
        <v>1692</v>
      </c>
      <c r="C3117" s="22">
        <v>45697</v>
      </c>
      <c r="D3117" s="23" t="s">
        <v>752</v>
      </c>
      <c r="E3117" s="23" t="s">
        <v>46</v>
      </c>
      <c r="F3117" s="21">
        <v>1</v>
      </c>
      <c r="G3117" s="12">
        <v>5500</v>
      </c>
      <c r="H3117" s="12">
        <v>5500</v>
      </c>
      <c r="I3117" s="23" t="s">
        <v>52</v>
      </c>
      <c r="J3117" s="23" t="s">
        <v>61</v>
      </c>
      <c r="K3117" s="24" t="s">
        <v>177</v>
      </c>
      <c r="L3117" s="24">
        <v>100</v>
      </c>
      <c r="M3117" s="12">
        <v>4621.8487394957983</v>
      </c>
      <c r="N3117" s="12">
        <v>4621.8487394957983</v>
      </c>
      <c r="O3117" s="12">
        <v>878.15126050420167</v>
      </c>
      <c r="P3117" s="13"/>
      <c r="Q3117" s="14">
        <v>2025</v>
      </c>
      <c r="R3117" s="15">
        <v>45323</v>
      </c>
      <c r="S3117" s="11" t="s">
        <v>364</v>
      </c>
      <c r="T3117" s="16">
        <v>500</v>
      </c>
      <c r="U3117" s="17"/>
      <c r="V3117" s="12">
        <v>1365.1260504201678</v>
      </c>
      <c r="W3117" s="12">
        <v>1365.1260504201678</v>
      </c>
      <c r="X3117" s="12">
        <v>0</v>
      </c>
      <c r="Y3117" s="18">
        <v>45691</v>
      </c>
      <c r="Z3117" s="13" t="s">
        <v>497</v>
      </c>
      <c r="AA3117" s="19" t="str">
        <f>VLOOKUP(D3117,Clientes!$A$2:$J$486,9,FALSE)</f>
        <v>Ocacional</v>
      </c>
      <c r="AB3117" s="13" t="str">
        <f>VLOOKUP(D3117,Clientes!$A$2:$K$486,11,FALSE)</f>
        <v>Persona Natural</v>
      </c>
      <c r="AC3117" s="13" t="str">
        <f>VLOOKUP(D3117,Clientes!$A$2:$B$486,2,FALSE)</f>
        <v>Familiar</v>
      </c>
      <c r="AD3117" s="20"/>
      <c r="AE3117" s="20"/>
      <c r="AF3117" s="13" t="s">
        <v>40</v>
      </c>
      <c r="AG3117" s="15">
        <v>45323</v>
      </c>
      <c r="AH3117" s="13" t="s">
        <v>41</v>
      </c>
      <c r="AI3117" s="13" t="s">
        <v>35</v>
      </c>
      <c r="AJ3117" s="13" t="str">
        <f>VLOOKUP(E3117,Precios!Z$2:AA$941,2,FALSE)</f>
        <v>Queso RUNCA Mantecoso</v>
      </c>
      <c r="AK3117" s="14">
        <f>VLOOKUP(E3117,Precios!Z$2:BB$941,3,FALSE)*F3117</f>
        <v>-0.5</v>
      </c>
      <c r="AL3117" s="17"/>
      <c r="AM3117" s="17"/>
      <c r="AN3117" s="17"/>
      <c r="AO3117" s="17"/>
      <c r="AP3117" s="17"/>
      <c r="AQ3117" s="17"/>
      <c r="AR3117" s="17"/>
      <c r="AS3117" s="17"/>
      <c r="AT3117" s="17"/>
      <c r="AU3117" s="17"/>
      <c r="AV3117" s="17"/>
    </row>
    <row r="3118" spans="1:48" ht="15.75" customHeight="1">
      <c r="A3118" s="21" t="s">
        <v>43</v>
      </c>
      <c r="B3118" s="23" t="s">
        <v>1692</v>
      </c>
      <c r="C3118" s="22">
        <v>45697</v>
      </c>
      <c r="D3118" s="23" t="s">
        <v>752</v>
      </c>
      <c r="E3118" s="23" t="s">
        <v>45</v>
      </c>
      <c r="F3118" s="21">
        <v>2</v>
      </c>
      <c r="G3118" s="12">
        <v>6900.1306988544629</v>
      </c>
      <c r="H3118" s="12">
        <v>13800.261397708926</v>
      </c>
      <c r="I3118" s="23" t="s">
        <v>52</v>
      </c>
      <c r="J3118" s="23" t="s">
        <v>61</v>
      </c>
      <c r="K3118" s="24" t="s">
        <v>177</v>
      </c>
      <c r="L3118" s="24">
        <v>100</v>
      </c>
      <c r="M3118" s="12">
        <v>5798.4291587012294</v>
      </c>
      <c r="N3118" s="12">
        <v>11596.858317402459</v>
      </c>
      <c r="O3118" s="12">
        <v>2203.403080306467</v>
      </c>
      <c r="P3118" s="13"/>
      <c r="Q3118" s="14">
        <v>2025</v>
      </c>
      <c r="R3118" s="15">
        <v>45323</v>
      </c>
      <c r="S3118" s="11" t="s">
        <v>355</v>
      </c>
      <c r="T3118" s="16">
        <v>0</v>
      </c>
      <c r="U3118" s="17"/>
      <c r="V3118" s="12">
        <v>2546.4381493352321</v>
      </c>
      <c r="W3118" s="12">
        <v>2546.4381493352321</v>
      </c>
      <c r="X3118" s="12">
        <v>0</v>
      </c>
      <c r="Y3118" s="18">
        <v>45691</v>
      </c>
      <c r="Z3118" s="13" t="s">
        <v>497</v>
      </c>
      <c r="AA3118" s="19" t="str">
        <f>VLOOKUP(D3118,Clientes!$A$2:$J$486,9,FALSE)</f>
        <v>Ocacional</v>
      </c>
      <c r="AB3118" s="13" t="str">
        <f>VLOOKUP(D3118,Clientes!$A$2:$K$486,11,FALSE)</f>
        <v>Persona Natural</v>
      </c>
      <c r="AC3118" s="13" t="str">
        <f>VLOOKUP(D3118,Clientes!$A$2:$B$486,2,FALSE)</f>
        <v>Familiar</v>
      </c>
      <c r="AD3118" s="20"/>
      <c r="AE3118" s="20"/>
      <c r="AF3118" s="13" t="s">
        <v>40</v>
      </c>
      <c r="AG3118" s="15">
        <v>45323</v>
      </c>
      <c r="AH3118" s="13" t="s">
        <v>41</v>
      </c>
      <c r="AI3118" s="13" t="s">
        <v>43</v>
      </c>
      <c r="AJ3118" s="13" t="str">
        <f>VLOOKUP(E3118,Precios!Z$2:AA$941,2,FALSE)</f>
        <v>Bandeja Huevos EXTRA</v>
      </c>
      <c r="AK3118" s="14">
        <f>VLOOKUP(E3118,Precios!Z$2:BB$941,3,FALSE)*F3118</f>
        <v>-2</v>
      </c>
      <c r="AL3118" s="17"/>
      <c r="AM3118" s="17"/>
      <c r="AN3118" s="17"/>
      <c r="AO3118" s="17"/>
      <c r="AP3118" s="17"/>
      <c r="AQ3118" s="17"/>
      <c r="AR3118" s="17"/>
      <c r="AS3118" s="17"/>
      <c r="AT3118" s="17"/>
      <c r="AU3118" s="17"/>
      <c r="AV3118" s="17"/>
    </row>
    <row r="3119" spans="1:48" ht="15.75" customHeight="1">
      <c r="A3119" s="21" t="s">
        <v>76</v>
      </c>
      <c r="B3119" s="23" t="s">
        <v>1692</v>
      </c>
      <c r="C3119" s="22">
        <v>45697</v>
      </c>
      <c r="D3119" s="23" t="s">
        <v>752</v>
      </c>
      <c r="E3119" s="23" t="s">
        <v>81</v>
      </c>
      <c r="F3119" s="21">
        <v>1</v>
      </c>
      <c r="G3119" s="12">
        <v>3500.0000000000005</v>
      </c>
      <c r="H3119" s="12">
        <v>3500.0000000000005</v>
      </c>
      <c r="I3119" s="23" t="s">
        <v>52</v>
      </c>
      <c r="J3119" s="23" t="s">
        <v>61</v>
      </c>
      <c r="K3119" s="24" t="s">
        <v>177</v>
      </c>
      <c r="L3119" s="24">
        <v>100</v>
      </c>
      <c r="M3119" s="12">
        <v>2941.1764705882356</v>
      </c>
      <c r="N3119" s="12">
        <v>2941.1764705882356</v>
      </c>
      <c r="O3119" s="12">
        <v>558.82352941176487</v>
      </c>
      <c r="P3119" s="13"/>
      <c r="Q3119" s="14">
        <v>2025</v>
      </c>
      <c r="R3119" s="15">
        <v>45323</v>
      </c>
      <c r="S3119" s="11" t="s">
        <v>397</v>
      </c>
      <c r="T3119" s="16">
        <v>5</v>
      </c>
      <c r="U3119" s="17"/>
      <c r="V3119" s="12">
        <v>764.70588235294144</v>
      </c>
      <c r="W3119" s="12">
        <v>764.70588235294144</v>
      </c>
      <c r="X3119" s="12">
        <v>0</v>
      </c>
      <c r="Y3119" s="18">
        <v>45691</v>
      </c>
      <c r="Z3119" s="13" t="s">
        <v>497</v>
      </c>
      <c r="AA3119" s="19" t="str">
        <f>VLOOKUP(D3119,Clientes!$A$2:$J$486,9,FALSE)</f>
        <v>Ocacional</v>
      </c>
      <c r="AB3119" s="13" t="str">
        <f>VLOOKUP(D3119,Clientes!$A$2:$K$486,11,FALSE)</f>
        <v>Persona Natural</v>
      </c>
      <c r="AC3119" s="13" t="str">
        <f>VLOOKUP(D3119,Clientes!$A$2:$B$486,2,FALSE)</f>
        <v>Familiar</v>
      </c>
      <c r="AD3119" s="20"/>
      <c r="AE3119" s="20"/>
      <c r="AF3119" s="13" t="s">
        <v>40</v>
      </c>
      <c r="AG3119" s="15">
        <v>45323</v>
      </c>
      <c r="AH3119" s="13" t="s">
        <v>41</v>
      </c>
      <c r="AI3119" s="13" t="s">
        <v>76</v>
      </c>
      <c r="AJ3119" s="13" t="str">
        <f>VLOOKUP(E3119,Precios!Z$2:AA$941,2,FALSE)</f>
        <v>Detergente SPUM 5 Litros (Verde)</v>
      </c>
      <c r="AK3119" s="14">
        <f>VLOOKUP(E3119,Precios!Z$2:BB$941,3,FALSE)*F3119</f>
        <v>-1</v>
      </c>
      <c r="AL3119" s="17"/>
      <c r="AM3119" s="17"/>
      <c r="AN3119" s="17"/>
      <c r="AO3119" s="17"/>
      <c r="AP3119" s="17"/>
      <c r="AQ3119" s="17"/>
      <c r="AR3119" s="17"/>
      <c r="AS3119" s="17"/>
      <c r="AT3119" s="17"/>
      <c r="AU3119" s="17"/>
      <c r="AV3119" s="17"/>
    </row>
    <row r="3120" spans="1:48" ht="15.75" customHeight="1">
      <c r="A3120" s="21" t="s">
        <v>47</v>
      </c>
      <c r="B3120" s="23" t="s">
        <v>1692</v>
      </c>
      <c r="C3120" s="22">
        <v>45697</v>
      </c>
      <c r="D3120" s="23" t="s">
        <v>752</v>
      </c>
      <c r="E3120" s="23" t="s">
        <v>153</v>
      </c>
      <c r="F3120" s="21">
        <v>1</v>
      </c>
      <c r="G3120" s="12">
        <v>1700</v>
      </c>
      <c r="H3120" s="12">
        <v>1700</v>
      </c>
      <c r="I3120" s="23" t="s">
        <v>52</v>
      </c>
      <c r="J3120" s="23" t="s">
        <v>61</v>
      </c>
      <c r="K3120" s="24" t="s">
        <v>177</v>
      </c>
      <c r="L3120" s="24">
        <v>100</v>
      </c>
      <c r="M3120" s="12">
        <v>1428.5714285714287</v>
      </c>
      <c r="N3120" s="12">
        <v>1428.5714285714287</v>
      </c>
      <c r="O3120" s="12">
        <v>271.42857142857133</v>
      </c>
      <c r="P3120" s="13"/>
      <c r="Q3120" s="14">
        <v>2025</v>
      </c>
      <c r="R3120" s="15">
        <v>45323</v>
      </c>
      <c r="S3120" s="11" t="s">
        <v>153</v>
      </c>
      <c r="T3120" s="16">
        <v>0</v>
      </c>
      <c r="U3120" s="17"/>
      <c r="V3120" s="12">
        <v>589.57142857142867</v>
      </c>
      <c r="W3120" s="12">
        <v>589.57142857142867</v>
      </c>
      <c r="X3120" s="12">
        <v>0</v>
      </c>
      <c r="Y3120" s="18">
        <v>45691</v>
      </c>
      <c r="Z3120" s="13" t="s">
        <v>497</v>
      </c>
      <c r="AA3120" s="19" t="str">
        <f>VLOOKUP(D3120,Clientes!$A$2:$J$486,9,FALSE)</f>
        <v>Ocacional</v>
      </c>
      <c r="AB3120" s="13" t="str">
        <f>VLOOKUP(D3120,Clientes!$A$2:$K$486,11,FALSE)</f>
        <v>Persona Natural</v>
      </c>
      <c r="AC3120" s="13" t="str">
        <f>VLOOKUP(D3120,Clientes!$A$2:$B$486,2,FALSE)</f>
        <v>Familiar</v>
      </c>
      <c r="AD3120" s="20"/>
      <c r="AE3120" s="20"/>
      <c r="AF3120" s="13" t="s">
        <v>40</v>
      </c>
      <c r="AG3120" s="15">
        <v>45323</v>
      </c>
      <c r="AH3120" s="13" t="s">
        <v>41</v>
      </c>
      <c r="AI3120" s="13" t="s">
        <v>47</v>
      </c>
      <c r="AJ3120" s="13" t="str">
        <f>VLOOKUP(E3120,Precios!Z$2:AA$941,2,FALSE)</f>
        <v>Escobillon TEDDY</v>
      </c>
      <c r="AK3120" s="14">
        <f>VLOOKUP(E3120,Precios!Z$2:BB$941,3,FALSE)*F3120</f>
        <v>-1</v>
      </c>
      <c r="AL3120" s="17"/>
      <c r="AM3120" s="17"/>
      <c r="AN3120" s="17"/>
      <c r="AO3120" s="17"/>
      <c r="AP3120" s="17"/>
      <c r="AQ3120" s="17"/>
      <c r="AR3120" s="17"/>
      <c r="AS3120" s="17"/>
      <c r="AT3120" s="17"/>
      <c r="AU3120" s="17"/>
      <c r="AV3120" s="17"/>
    </row>
    <row r="3121" spans="1:48" ht="15.75" customHeight="1">
      <c r="A3121" s="14" t="s">
        <v>76</v>
      </c>
      <c r="B3121" s="23" t="s">
        <v>1692</v>
      </c>
      <c r="C3121" s="25">
        <v>45696</v>
      </c>
      <c r="D3121" s="23" t="s">
        <v>93</v>
      </c>
      <c r="E3121" s="23" t="s">
        <v>187</v>
      </c>
      <c r="F3121" s="14">
        <v>1</v>
      </c>
      <c r="G3121" s="12">
        <v>2699.9280057595392</v>
      </c>
      <c r="H3121" s="12">
        <v>2699.9280057595392</v>
      </c>
      <c r="I3121" s="23" t="s">
        <v>52</v>
      </c>
      <c r="J3121" s="23" t="s">
        <v>61</v>
      </c>
      <c r="K3121" s="24" t="s">
        <v>177</v>
      </c>
      <c r="L3121" s="24">
        <v>100</v>
      </c>
      <c r="M3121" s="12">
        <v>2268.8470636634784</v>
      </c>
      <c r="N3121" s="12">
        <v>2268.8470636634784</v>
      </c>
      <c r="O3121" s="12">
        <v>431.08094209606088</v>
      </c>
      <c r="P3121" s="13"/>
      <c r="Q3121" s="14">
        <v>2025</v>
      </c>
      <c r="R3121" s="15">
        <v>45323</v>
      </c>
      <c r="S3121" s="11" t="s">
        <v>479</v>
      </c>
      <c r="T3121" s="16">
        <v>0</v>
      </c>
      <c r="U3121" s="17"/>
      <c r="V3121" s="12">
        <v>798.18039699681162</v>
      </c>
      <c r="W3121" s="12">
        <v>798.18039699681162</v>
      </c>
      <c r="X3121" s="12">
        <v>0</v>
      </c>
      <c r="Y3121" s="18">
        <v>45691</v>
      </c>
      <c r="Z3121" s="13" t="s">
        <v>501</v>
      </c>
      <c r="AA3121" s="19" t="str">
        <f>VLOOKUP(D3121,Clientes!$A$2:$J$486,9,FALSE)</f>
        <v>Ocacional</v>
      </c>
      <c r="AB3121" s="13" t="str">
        <f>VLOOKUP(D3121,Clientes!$A$2:$K$486,11,FALSE)</f>
        <v>Persona Natural</v>
      </c>
      <c r="AC3121" s="13" t="str">
        <f>VLOOKUP(D3121,Clientes!$A$2:$B$486,2,FALSE)</f>
        <v>Amigos Claudia Herrera</v>
      </c>
      <c r="AD3121" s="20"/>
      <c r="AE3121" s="20"/>
      <c r="AF3121" s="13" t="s">
        <v>40</v>
      </c>
      <c r="AG3121" s="15">
        <v>45323</v>
      </c>
      <c r="AH3121" s="13" t="s">
        <v>41</v>
      </c>
      <c r="AI3121" s="13" t="s">
        <v>76</v>
      </c>
      <c r="AJ3121" s="13" t="str">
        <f>VLOOKUP(E3121,Precios!Z$2:AA$941,2,FALSE)</f>
        <v>Lavaloza WYN 1.5 Litros (recarga)</v>
      </c>
      <c r="AK3121" s="14">
        <f>VLOOKUP(E3121,Precios!Z$2:BB$941,3,FALSE)*F3121</f>
        <v>-1</v>
      </c>
      <c r="AL3121" s="17"/>
      <c r="AM3121" s="17"/>
      <c r="AN3121" s="17"/>
      <c r="AO3121" s="17"/>
      <c r="AP3121" s="17"/>
      <c r="AQ3121" s="17"/>
      <c r="AR3121" s="17"/>
      <c r="AS3121" s="17"/>
      <c r="AT3121" s="17"/>
      <c r="AU3121" s="17"/>
      <c r="AV3121" s="17"/>
    </row>
    <row r="3122" spans="1:48" ht="15.75" customHeight="1">
      <c r="A3122" s="21" t="s">
        <v>76</v>
      </c>
      <c r="B3122" s="23" t="s">
        <v>1692</v>
      </c>
      <c r="C3122" s="22">
        <v>45696</v>
      </c>
      <c r="D3122" s="23" t="s">
        <v>338</v>
      </c>
      <c r="E3122" s="23" t="s">
        <v>110</v>
      </c>
      <c r="F3122" s="21">
        <v>1</v>
      </c>
      <c r="G3122" s="12">
        <v>2000.0000000000005</v>
      </c>
      <c r="H3122" s="12">
        <v>2000.0000000000005</v>
      </c>
      <c r="I3122" s="23" t="s">
        <v>52</v>
      </c>
      <c r="J3122" s="23" t="s">
        <v>61</v>
      </c>
      <c r="K3122" s="24" t="s">
        <v>177</v>
      </c>
      <c r="L3122" s="24">
        <v>100</v>
      </c>
      <c r="M3122" s="12">
        <v>1680.6722689075634</v>
      </c>
      <c r="N3122" s="12">
        <v>1680.6722689075634</v>
      </c>
      <c r="O3122" s="12">
        <v>319.32773109243703</v>
      </c>
      <c r="P3122" s="13"/>
      <c r="Q3122" s="14">
        <v>2025</v>
      </c>
      <c r="R3122" s="15">
        <v>45323</v>
      </c>
      <c r="S3122" s="11" t="s">
        <v>378</v>
      </c>
      <c r="T3122" s="16">
        <v>5</v>
      </c>
      <c r="U3122" s="17"/>
      <c r="V3122" s="12">
        <v>756.30252100840369</v>
      </c>
      <c r="W3122" s="12">
        <v>756.30252100840369</v>
      </c>
      <c r="X3122" s="12">
        <v>0</v>
      </c>
      <c r="Y3122" s="18">
        <v>45691</v>
      </c>
      <c r="Z3122" s="13" t="s">
        <v>501</v>
      </c>
      <c r="AA3122" s="19" t="str">
        <f>VLOOKUP(D3122,Clientes!$A$2:$J$486,9,FALSE)</f>
        <v>Frecuente</v>
      </c>
      <c r="AB3122" s="13" t="str">
        <f>VLOOKUP(D3122,Clientes!$A$2:$K$486,11,FALSE)</f>
        <v>Persona Natural</v>
      </c>
      <c r="AC3122" s="13" t="str">
        <f>VLOOKUP(D3122,Clientes!$A$2:$B$486,2,FALSE)</f>
        <v>Sector Colombia</v>
      </c>
      <c r="AD3122" s="20"/>
      <c r="AE3122" s="20"/>
      <c r="AF3122" s="13" t="s">
        <v>40</v>
      </c>
      <c r="AG3122" s="15">
        <v>45323</v>
      </c>
      <c r="AH3122" s="13" t="s">
        <v>41</v>
      </c>
      <c r="AI3122" s="13" t="s">
        <v>76</v>
      </c>
      <c r="AJ3122" s="13" t="str">
        <f>VLOOKUP(E3122,Precios!Z$2:AA$941,2,FALSE)</f>
        <v>Cloro SPUM 5 Litros</v>
      </c>
      <c r="AK3122" s="14">
        <f>VLOOKUP(E3122,Precios!Z$2:BB$941,3,FALSE)*F3122</f>
        <v>-1</v>
      </c>
      <c r="AL3122" s="17"/>
      <c r="AM3122" s="17"/>
      <c r="AN3122" s="17"/>
      <c r="AO3122" s="17"/>
      <c r="AP3122" s="17"/>
      <c r="AQ3122" s="17"/>
      <c r="AR3122" s="17"/>
      <c r="AS3122" s="17"/>
      <c r="AT3122" s="17"/>
      <c r="AU3122" s="17"/>
      <c r="AV3122" s="17"/>
    </row>
    <row r="3123" spans="1:48" ht="15.75" customHeight="1">
      <c r="A3123" s="21" t="s">
        <v>76</v>
      </c>
      <c r="B3123" s="23" t="s">
        <v>1692</v>
      </c>
      <c r="C3123" s="22">
        <v>45696</v>
      </c>
      <c r="D3123" s="23" t="s">
        <v>338</v>
      </c>
      <c r="E3123" s="23" t="s">
        <v>137</v>
      </c>
      <c r="F3123" s="21">
        <v>2</v>
      </c>
      <c r="G3123" s="12">
        <v>3500.0000000000005</v>
      </c>
      <c r="H3123" s="12">
        <v>7000.0000000000009</v>
      </c>
      <c r="I3123" s="23" t="s">
        <v>52</v>
      </c>
      <c r="J3123" s="23" t="s">
        <v>61</v>
      </c>
      <c r="K3123" s="24" t="s">
        <v>177</v>
      </c>
      <c r="L3123" s="24">
        <v>100</v>
      </c>
      <c r="M3123" s="12">
        <v>2941.1764705882356</v>
      </c>
      <c r="N3123" s="12">
        <v>5882.3529411764712</v>
      </c>
      <c r="O3123" s="12">
        <v>1117.6470588235297</v>
      </c>
      <c r="P3123" s="13"/>
      <c r="Q3123" s="14">
        <v>2025</v>
      </c>
      <c r="R3123" s="15">
        <v>45323</v>
      </c>
      <c r="S3123" s="11" t="s">
        <v>406</v>
      </c>
      <c r="T3123" s="16">
        <v>10</v>
      </c>
      <c r="U3123" s="17"/>
      <c r="V3123" s="12">
        <v>1697.4789915966394</v>
      </c>
      <c r="W3123" s="12">
        <v>1697.4789915966394</v>
      </c>
      <c r="X3123" s="12">
        <v>0</v>
      </c>
      <c r="Y3123" s="18">
        <v>45691</v>
      </c>
      <c r="Z3123" s="13" t="s">
        <v>501</v>
      </c>
      <c r="AA3123" s="19" t="str">
        <f>VLOOKUP(D3123,Clientes!$A$2:$J$486,9,FALSE)</f>
        <v>Frecuente</v>
      </c>
      <c r="AB3123" s="13" t="str">
        <f>VLOOKUP(D3123,Clientes!$A$2:$K$486,11,FALSE)</f>
        <v>Persona Natural</v>
      </c>
      <c r="AC3123" s="13" t="str">
        <f>VLOOKUP(D3123,Clientes!$A$2:$B$486,2,FALSE)</f>
        <v>Sector Colombia</v>
      </c>
      <c r="AD3123" s="20"/>
      <c r="AE3123" s="20"/>
      <c r="AF3123" s="13" t="s">
        <v>40</v>
      </c>
      <c r="AG3123" s="15">
        <v>45323</v>
      </c>
      <c r="AH3123" s="13" t="s">
        <v>41</v>
      </c>
      <c r="AI3123" s="13" t="s">
        <v>76</v>
      </c>
      <c r="AJ3123" s="13" t="str">
        <f>VLOOKUP(E3123,Precios!Z$2:AA$941,2,FALSE)</f>
        <v>Detergente SPUM 5 Litros (Blanco)</v>
      </c>
      <c r="AK3123" s="14">
        <f>VLOOKUP(E3123,Precios!Z$2:BB$941,3,FALSE)*F3123</f>
        <v>-2</v>
      </c>
      <c r="AL3123" s="17"/>
      <c r="AM3123" s="17"/>
      <c r="AN3123" s="17"/>
      <c r="AO3123" s="17"/>
      <c r="AP3123" s="17"/>
      <c r="AQ3123" s="17"/>
      <c r="AR3123" s="17"/>
      <c r="AS3123" s="17"/>
      <c r="AT3123" s="17"/>
      <c r="AU3123" s="17"/>
      <c r="AV3123" s="17"/>
    </row>
    <row r="3124" spans="1:48" ht="15.75" customHeight="1">
      <c r="A3124" s="21" t="s">
        <v>47</v>
      </c>
      <c r="B3124" s="23" t="s">
        <v>1692</v>
      </c>
      <c r="C3124" s="22">
        <v>45696</v>
      </c>
      <c r="D3124" s="23" t="s">
        <v>338</v>
      </c>
      <c r="E3124" s="23" t="s">
        <v>295</v>
      </c>
      <c r="F3124" s="21">
        <v>2</v>
      </c>
      <c r="G3124" s="12">
        <v>2599.7755362977696</v>
      </c>
      <c r="H3124" s="12">
        <v>5199.5510725955392</v>
      </c>
      <c r="I3124" s="23" t="s">
        <v>52</v>
      </c>
      <c r="J3124" s="23" t="s">
        <v>61</v>
      </c>
      <c r="K3124" s="24" t="s">
        <v>177</v>
      </c>
      <c r="L3124" s="24">
        <v>100</v>
      </c>
      <c r="M3124" s="12">
        <v>2184.6853246199744</v>
      </c>
      <c r="N3124" s="12">
        <v>4369.3706492399488</v>
      </c>
      <c r="O3124" s="12">
        <v>830.18042335559039</v>
      </c>
      <c r="P3124" s="13"/>
      <c r="Q3124" s="14">
        <v>2025</v>
      </c>
      <c r="R3124" s="15">
        <v>45323</v>
      </c>
      <c r="S3124" s="11" t="s">
        <v>372</v>
      </c>
      <c r="T3124" s="16">
        <v>0</v>
      </c>
      <c r="U3124" s="17"/>
      <c r="V3124" s="12">
        <v>1293.7706492399489</v>
      </c>
      <c r="W3124" s="12">
        <v>1293.7706492399489</v>
      </c>
      <c r="X3124" s="12">
        <v>0</v>
      </c>
      <c r="Y3124" s="18">
        <v>45691</v>
      </c>
      <c r="Z3124" s="13" t="s">
        <v>501</v>
      </c>
      <c r="AA3124" s="19" t="str">
        <f>VLOOKUP(D3124,Clientes!$A$2:$J$486,9,FALSE)</f>
        <v>Frecuente</v>
      </c>
      <c r="AB3124" s="13" t="str">
        <f>VLOOKUP(D3124,Clientes!$A$2:$K$486,11,FALSE)</f>
        <v>Persona Natural</v>
      </c>
      <c r="AC3124" s="13" t="str">
        <f>VLOOKUP(D3124,Clientes!$A$2:$B$486,2,FALSE)</f>
        <v>Sector Colombia</v>
      </c>
      <c r="AD3124" s="20"/>
      <c r="AE3124" s="20"/>
      <c r="AF3124" s="13" t="s">
        <v>40</v>
      </c>
      <c r="AG3124" s="15">
        <v>45323</v>
      </c>
      <c r="AH3124" s="13" t="s">
        <v>41</v>
      </c>
      <c r="AI3124" s="13" t="s">
        <v>47</v>
      </c>
      <c r="AJ3124" s="13" t="str">
        <f>VLOOKUP(E3124,Precios!Z$2:AA$941,2,FALSE)</f>
        <v>Traperos Humedos EXCELL</v>
      </c>
      <c r="AK3124" s="14">
        <f>VLOOKUP(E3124,Precios!Z$2:BB$941,3,FALSE)*F3124</f>
        <v>-2</v>
      </c>
      <c r="AL3124" s="17"/>
      <c r="AM3124" s="17"/>
      <c r="AN3124" s="17"/>
      <c r="AO3124" s="17"/>
      <c r="AP3124" s="17"/>
      <c r="AQ3124" s="17"/>
      <c r="AR3124" s="17"/>
      <c r="AS3124" s="17"/>
      <c r="AT3124" s="17"/>
      <c r="AU3124" s="17"/>
      <c r="AV3124" s="17"/>
    </row>
    <row r="3125" spans="1:48" ht="15.75" customHeight="1">
      <c r="A3125" s="21" t="s">
        <v>53</v>
      </c>
      <c r="B3125" s="23" t="s">
        <v>1692</v>
      </c>
      <c r="C3125" s="22">
        <v>45696</v>
      </c>
      <c r="D3125" s="23" t="s">
        <v>338</v>
      </c>
      <c r="E3125" s="23" t="s">
        <v>339</v>
      </c>
      <c r="F3125" s="21">
        <v>1</v>
      </c>
      <c r="G3125" s="12">
        <v>4000.0000000000005</v>
      </c>
      <c r="H3125" s="12">
        <v>4000.0000000000005</v>
      </c>
      <c r="I3125" s="23" t="s">
        <v>52</v>
      </c>
      <c r="J3125" s="23" t="s">
        <v>61</v>
      </c>
      <c r="K3125" s="24" t="s">
        <v>177</v>
      </c>
      <c r="L3125" s="24">
        <v>100</v>
      </c>
      <c r="M3125" s="12">
        <v>3361.3445378151264</v>
      </c>
      <c r="N3125" s="12">
        <v>3361.3445378151264</v>
      </c>
      <c r="O3125" s="12">
        <v>638.65546218487407</v>
      </c>
      <c r="P3125" s="13"/>
      <c r="Q3125" s="14">
        <v>2025</v>
      </c>
      <c r="R3125" s="15">
        <v>45323</v>
      </c>
      <c r="S3125" s="11" t="s">
        <v>369</v>
      </c>
      <c r="T3125" s="16">
        <v>0</v>
      </c>
      <c r="U3125" s="17"/>
      <c r="V3125" s="12">
        <v>953.78151260504228</v>
      </c>
      <c r="W3125" s="12">
        <v>953.78151260504228</v>
      </c>
      <c r="X3125" s="12">
        <v>0</v>
      </c>
      <c r="Y3125" s="18">
        <v>45691</v>
      </c>
      <c r="Z3125" s="13" t="s">
        <v>501</v>
      </c>
      <c r="AA3125" s="19" t="str">
        <f>VLOOKUP(D3125,Clientes!$A$2:$J$486,9,FALSE)</f>
        <v>Frecuente</v>
      </c>
      <c r="AB3125" s="13" t="str">
        <f>VLOOKUP(D3125,Clientes!$A$2:$K$486,11,FALSE)</f>
        <v>Persona Natural</v>
      </c>
      <c r="AC3125" s="13" t="str">
        <f>VLOOKUP(D3125,Clientes!$A$2:$B$486,2,FALSE)</f>
        <v>Sector Colombia</v>
      </c>
      <c r="AD3125" s="20"/>
      <c r="AE3125" s="20"/>
      <c r="AF3125" s="13" t="s">
        <v>40</v>
      </c>
      <c r="AG3125" s="15">
        <v>45323</v>
      </c>
      <c r="AH3125" s="13" t="s">
        <v>41</v>
      </c>
      <c r="AI3125" s="13" t="s">
        <v>53</v>
      </c>
      <c r="AJ3125" s="13" t="str">
        <f>VLOOKUP(E3125,Precios!Z$2:AA$941,2,FALSE)</f>
        <v>Toalla Papel NOVA 12 metros</v>
      </c>
      <c r="AK3125" s="14">
        <f>VLOOKUP(E3125,Precios!Z$2:BB$941,3,FALSE)*F3125</f>
        <v>-3</v>
      </c>
      <c r="AL3125" s="17"/>
      <c r="AM3125" s="17"/>
      <c r="AN3125" s="17"/>
      <c r="AO3125" s="17"/>
      <c r="AP3125" s="17"/>
      <c r="AQ3125" s="17"/>
      <c r="AR3125" s="17"/>
      <c r="AS3125" s="17"/>
      <c r="AT3125" s="17"/>
      <c r="AU3125" s="17"/>
      <c r="AV3125" s="17"/>
    </row>
    <row r="3126" spans="1:48" ht="15.75" customHeight="1">
      <c r="A3126" s="21" t="s">
        <v>47</v>
      </c>
      <c r="B3126" s="23" t="s">
        <v>1692</v>
      </c>
      <c r="C3126" s="22">
        <v>45696</v>
      </c>
      <c r="D3126" s="23" t="s">
        <v>338</v>
      </c>
      <c r="E3126" s="23" t="s">
        <v>693</v>
      </c>
      <c r="F3126" s="21">
        <v>1</v>
      </c>
      <c r="G3126" s="12">
        <v>3600</v>
      </c>
      <c r="H3126" s="12">
        <v>3600</v>
      </c>
      <c r="I3126" s="23" t="s">
        <v>52</v>
      </c>
      <c r="J3126" s="23" t="s">
        <v>61</v>
      </c>
      <c r="K3126" s="24" t="s">
        <v>177</v>
      </c>
      <c r="L3126" s="24">
        <v>100</v>
      </c>
      <c r="M3126" s="12">
        <v>3025.2100840336134</v>
      </c>
      <c r="N3126" s="12">
        <v>3025.2100840336134</v>
      </c>
      <c r="O3126" s="12">
        <v>574.78991596638662</v>
      </c>
      <c r="P3126" s="13"/>
      <c r="Q3126" s="14">
        <v>2025</v>
      </c>
      <c r="R3126" s="15">
        <v>45323</v>
      </c>
      <c r="S3126" s="11" t="s">
        <v>694</v>
      </c>
      <c r="T3126" s="16">
        <v>0</v>
      </c>
      <c r="U3126" s="17"/>
      <c r="V3126" s="12">
        <v>898.31932773109247</v>
      </c>
      <c r="W3126" s="12">
        <v>898.31932773109247</v>
      </c>
      <c r="X3126" s="12">
        <v>0</v>
      </c>
      <c r="Y3126" s="18">
        <v>45691</v>
      </c>
      <c r="Z3126" s="13" t="s">
        <v>501</v>
      </c>
      <c r="AA3126" s="19" t="str">
        <f>VLOOKUP(D3126,Clientes!$A$2:$J$486,9,FALSE)</f>
        <v>Frecuente</v>
      </c>
      <c r="AB3126" s="13" t="str">
        <f>VLOOKUP(D3126,Clientes!$A$2:$K$486,11,FALSE)</f>
        <v>Persona Natural</v>
      </c>
      <c r="AC3126" s="13" t="str">
        <f>VLOOKUP(D3126,Clientes!$A$2:$B$486,2,FALSE)</f>
        <v>Sector Colombia</v>
      </c>
      <c r="AD3126" s="20"/>
      <c r="AE3126" s="20"/>
      <c r="AF3126" s="13" t="s">
        <v>40</v>
      </c>
      <c r="AG3126" s="15">
        <v>45323</v>
      </c>
      <c r="AH3126" s="13" t="s">
        <v>41</v>
      </c>
      <c r="AI3126" s="13" t="s">
        <v>47</v>
      </c>
      <c r="AJ3126" s="13" t="str">
        <f>VLOOKUP(E3126,Precios!Z$2:AA$941,2,FALSE)</f>
        <v>Lysoform 420 cc</v>
      </c>
      <c r="AK3126" s="14">
        <f>VLOOKUP(E3126,Precios!Z$2:BB$941,3,FALSE)*F3126</f>
        <v>-1</v>
      </c>
      <c r="AL3126" s="17"/>
      <c r="AM3126" s="17"/>
      <c r="AN3126" s="17"/>
      <c r="AO3126" s="17"/>
      <c r="AP3126" s="17"/>
      <c r="AQ3126" s="17"/>
      <c r="AR3126" s="17"/>
      <c r="AS3126" s="17"/>
      <c r="AT3126" s="17"/>
      <c r="AU3126" s="17"/>
      <c r="AV3126" s="17"/>
    </row>
    <row r="3127" spans="1:48" ht="15.75" customHeight="1">
      <c r="A3127" s="21" t="s">
        <v>64</v>
      </c>
      <c r="B3127" s="23" t="s">
        <v>1692</v>
      </c>
      <c r="C3127" s="22">
        <v>45696</v>
      </c>
      <c r="D3127" s="23" t="s">
        <v>753</v>
      </c>
      <c r="E3127" s="23" t="s">
        <v>65</v>
      </c>
      <c r="F3127" s="21">
        <v>1</v>
      </c>
      <c r="G3127" s="12">
        <v>8199.8671738211688</v>
      </c>
      <c r="H3127" s="12">
        <v>8199.8671738211688</v>
      </c>
      <c r="I3127" s="23" t="s">
        <v>52</v>
      </c>
      <c r="J3127" s="23" t="s">
        <v>61</v>
      </c>
      <c r="K3127" s="24" t="s">
        <v>177</v>
      </c>
      <c r="L3127" s="24">
        <v>100</v>
      </c>
      <c r="M3127" s="12">
        <v>6890.6446838833353</v>
      </c>
      <c r="N3127" s="12">
        <v>6890.6446838833353</v>
      </c>
      <c r="O3127" s="12">
        <v>1309.2224899378334</v>
      </c>
      <c r="P3127" s="13"/>
      <c r="Q3127" s="14">
        <v>2025</v>
      </c>
      <c r="R3127" s="15">
        <v>45323</v>
      </c>
      <c r="S3127" s="11" t="s">
        <v>64</v>
      </c>
      <c r="T3127" s="16">
        <v>1</v>
      </c>
      <c r="U3127" s="17"/>
      <c r="V3127" s="12">
        <v>1184.1572889253512</v>
      </c>
      <c r="W3127" s="12">
        <v>1184.1572889253512</v>
      </c>
      <c r="X3127" s="12">
        <v>0</v>
      </c>
      <c r="Y3127" s="18">
        <v>45691</v>
      </c>
      <c r="Z3127" s="13" t="s">
        <v>501</v>
      </c>
      <c r="AA3127" s="19" t="str">
        <f>VLOOKUP(D3127,Clientes!$A$2:$J$486,9,FALSE)</f>
        <v>Ocacional</v>
      </c>
      <c r="AB3127" s="13" t="str">
        <f>VLOOKUP(D3127,Clientes!$A$2:$K$486,11,FALSE)</f>
        <v>Persona Natural</v>
      </c>
      <c r="AC3127" s="13" t="str">
        <f>VLOOKUP(D3127,Clientes!$A$2:$B$486,2,FALSE)</f>
        <v>Santa Delia</v>
      </c>
      <c r="AD3127" s="20"/>
      <c r="AE3127" s="20"/>
      <c r="AF3127" s="13" t="s">
        <v>40</v>
      </c>
      <c r="AG3127" s="15">
        <v>45323</v>
      </c>
      <c r="AH3127" s="13" t="s">
        <v>41</v>
      </c>
      <c r="AI3127" s="13" t="s">
        <v>64</v>
      </c>
      <c r="AJ3127" s="13" t="str">
        <f>VLOOKUP(E3127,Precios!Z$2:AA$941,2,FALSE)</f>
        <v>Longanizas VILLABLANCA</v>
      </c>
      <c r="AK3127" s="14">
        <f>VLOOKUP(E3127,Precios!Z$2:BB$941,3,FALSE)*F3127</f>
        <v>-1</v>
      </c>
      <c r="AL3127" s="17"/>
      <c r="AM3127" s="17"/>
      <c r="AN3127" s="17"/>
      <c r="AO3127" s="17"/>
      <c r="AP3127" s="17"/>
      <c r="AQ3127" s="17"/>
      <c r="AR3127" s="17"/>
      <c r="AS3127" s="17"/>
      <c r="AT3127" s="17"/>
      <c r="AU3127" s="17"/>
      <c r="AV3127" s="17"/>
    </row>
    <row r="3128" spans="1:48" ht="15.75" customHeight="1">
      <c r="A3128" s="21" t="s">
        <v>64</v>
      </c>
      <c r="B3128" s="23" t="s">
        <v>1692</v>
      </c>
      <c r="C3128" s="22">
        <v>45696</v>
      </c>
      <c r="D3128" s="23" t="s">
        <v>231</v>
      </c>
      <c r="E3128" s="23" t="s">
        <v>65</v>
      </c>
      <c r="F3128" s="21">
        <v>2</v>
      </c>
      <c r="G3128" s="12">
        <v>8199.8671738211688</v>
      </c>
      <c r="H3128" s="12">
        <v>16399.734347642338</v>
      </c>
      <c r="I3128" s="13" t="s">
        <v>52</v>
      </c>
      <c r="J3128" s="23" t="s">
        <v>61</v>
      </c>
      <c r="K3128" s="24" t="s">
        <v>177</v>
      </c>
      <c r="L3128" s="24">
        <v>100</v>
      </c>
      <c r="M3128" s="12">
        <v>6890.6446838833353</v>
      </c>
      <c r="N3128" s="12">
        <v>13781.289367766671</v>
      </c>
      <c r="O3128" s="12">
        <v>2618.4449798756668</v>
      </c>
      <c r="P3128" s="13"/>
      <c r="Q3128" s="14">
        <v>2025</v>
      </c>
      <c r="R3128" s="15">
        <v>45323</v>
      </c>
      <c r="S3128" s="11" t="s">
        <v>64</v>
      </c>
      <c r="T3128" s="16">
        <v>2</v>
      </c>
      <c r="U3128" s="17"/>
      <c r="V3128" s="12">
        <v>2368.3145778507023</v>
      </c>
      <c r="W3128" s="12">
        <v>2368.3145778507023</v>
      </c>
      <c r="X3128" s="12">
        <v>0</v>
      </c>
      <c r="Y3128" s="18">
        <v>45691</v>
      </c>
      <c r="Z3128" s="13" t="s">
        <v>501</v>
      </c>
      <c r="AA3128" s="19" t="str">
        <f>VLOOKUP(D3128,Clientes!$A$2:$J$486,9,FALSE)</f>
        <v>Ocacional</v>
      </c>
      <c r="AB3128" s="13" t="str">
        <f>VLOOKUP(D3128,Clientes!$A$2:$K$486,11,FALSE)</f>
        <v>Persona Natural</v>
      </c>
      <c r="AC3128" s="13" t="str">
        <f>VLOOKUP(D3128,Clientes!$A$2:$B$486,2,FALSE)</f>
        <v>Sector Santa Delia</v>
      </c>
      <c r="AD3128" s="20"/>
      <c r="AE3128" s="20"/>
      <c r="AF3128" s="13" t="s">
        <v>40</v>
      </c>
      <c r="AG3128" s="15">
        <v>45323</v>
      </c>
      <c r="AH3128" s="13" t="s">
        <v>41</v>
      </c>
      <c r="AI3128" s="13" t="s">
        <v>64</v>
      </c>
      <c r="AJ3128" s="13" t="str">
        <f>VLOOKUP(E3128,Precios!Z$2:AA$941,2,FALSE)</f>
        <v>Longanizas VILLABLANCA</v>
      </c>
      <c r="AK3128" s="14">
        <f>VLOOKUP(E3128,Precios!Z$2:BB$941,3,FALSE)*F3128</f>
        <v>-2</v>
      </c>
      <c r="AL3128" s="17"/>
      <c r="AM3128" s="17"/>
      <c r="AN3128" s="17"/>
      <c r="AO3128" s="17"/>
      <c r="AP3128" s="17"/>
      <c r="AQ3128" s="17"/>
      <c r="AR3128" s="17"/>
      <c r="AS3128" s="17"/>
      <c r="AT3128" s="17"/>
      <c r="AU3128" s="17"/>
      <c r="AV3128" s="17"/>
    </row>
    <row r="3129" spans="1:48" ht="15.75" customHeight="1">
      <c r="A3129" s="21" t="s">
        <v>43</v>
      </c>
      <c r="B3129" s="23" t="s">
        <v>1692</v>
      </c>
      <c r="C3129" s="22">
        <v>45696</v>
      </c>
      <c r="D3129" s="23" t="s">
        <v>666</v>
      </c>
      <c r="E3129" s="23" t="s">
        <v>45</v>
      </c>
      <c r="F3129" s="21">
        <v>1</v>
      </c>
      <c r="G3129" s="12">
        <v>6300.1913812446392</v>
      </c>
      <c r="H3129" s="12">
        <v>6300.1913812446392</v>
      </c>
      <c r="I3129" s="23" t="s">
        <v>52</v>
      </c>
      <c r="J3129" s="23" t="s">
        <v>61</v>
      </c>
      <c r="K3129" s="24" t="s">
        <v>177</v>
      </c>
      <c r="L3129" s="24">
        <v>100</v>
      </c>
      <c r="M3129" s="12">
        <v>5294.2784716341512</v>
      </c>
      <c r="N3129" s="12">
        <v>5294.2784716341512</v>
      </c>
      <c r="O3129" s="12">
        <v>1005.912909610488</v>
      </c>
      <c r="P3129" s="13"/>
      <c r="Q3129" s="14">
        <v>2025</v>
      </c>
      <c r="R3129" s="15">
        <v>45323</v>
      </c>
      <c r="S3129" s="11" t="s">
        <v>355</v>
      </c>
      <c r="T3129" s="16">
        <v>0</v>
      </c>
      <c r="U3129" s="17"/>
      <c r="V3129" s="12">
        <v>1283.0683876005369</v>
      </c>
      <c r="W3129" s="12">
        <v>1283.0683876005369</v>
      </c>
      <c r="X3129" s="12">
        <v>0</v>
      </c>
      <c r="Y3129" s="18">
        <v>45691</v>
      </c>
      <c r="Z3129" s="13" t="s">
        <v>501</v>
      </c>
      <c r="AA3129" s="19" t="str">
        <f>VLOOKUP(D3129,Clientes!$A$2:$J$486,9,FALSE)</f>
        <v>Ocacional</v>
      </c>
      <c r="AB3129" s="13" t="str">
        <f>VLOOKUP(D3129,Clientes!$A$2:$K$486,11,FALSE)</f>
        <v>persona Natural</v>
      </c>
      <c r="AC3129" s="13" t="str">
        <f>VLOOKUP(D3129,Clientes!$A$2:$B$486,2,FALSE)</f>
        <v>Jardin del eden</v>
      </c>
      <c r="AD3129" s="20"/>
      <c r="AE3129" s="20"/>
      <c r="AF3129" s="13" t="s">
        <v>40</v>
      </c>
      <c r="AG3129" s="15">
        <v>45323</v>
      </c>
      <c r="AH3129" s="13" t="s">
        <v>41</v>
      </c>
      <c r="AI3129" s="13" t="s">
        <v>43</v>
      </c>
      <c r="AJ3129" s="13" t="str">
        <f>VLOOKUP(E3129,Precios!Z$2:AA$941,2,FALSE)</f>
        <v>Bandeja Huevos EXTRA</v>
      </c>
      <c r="AK3129" s="14">
        <f>VLOOKUP(E3129,Precios!Z$2:BB$941,3,FALSE)*F3129</f>
        <v>-1</v>
      </c>
      <c r="AL3129" s="17"/>
      <c r="AM3129" s="17"/>
      <c r="AN3129" s="17"/>
      <c r="AO3129" s="17"/>
      <c r="AP3129" s="17"/>
      <c r="AQ3129" s="17"/>
      <c r="AR3129" s="17"/>
      <c r="AS3129" s="17"/>
      <c r="AT3129" s="17"/>
      <c r="AU3129" s="17"/>
      <c r="AV3129" s="17"/>
    </row>
    <row r="3130" spans="1:48" ht="15.75" customHeight="1">
      <c r="A3130" s="21" t="s">
        <v>35</v>
      </c>
      <c r="B3130" s="23" t="s">
        <v>1692</v>
      </c>
      <c r="C3130" s="25">
        <v>45695</v>
      </c>
      <c r="D3130" s="23" t="s">
        <v>507</v>
      </c>
      <c r="E3130" s="23" t="s">
        <v>46</v>
      </c>
      <c r="F3130" s="14">
        <v>1</v>
      </c>
      <c r="G3130" s="12">
        <v>5500</v>
      </c>
      <c r="H3130" s="12">
        <v>5500</v>
      </c>
      <c r="I3130" s="13" t="s">
        <v>52</v>
      </c>
      <c r="J3130" s="23" t="s">
        <v>61</v>
      </c>
      <c r="K3130" s="24" t="s">
        <v>177</v>
      </c>
      <c r="L3130" s="24">
        <v>100</v>
      </c>
      <c r="M3130" s="12">
        <v>4621.8487394957983</v>
      </c>
      <c r="N3130" s="12">
        <v>4621.8487394957983</v>
      </c>
      <c r="O3130" s="12">
        <v>878.15126050420167</v>
      </c>
      <c r="P3130" s="13"/>
      <c r="Q3130" s="14">
        <v>2025</v>
      </c>
      <c r="R3130" s="15">
        <v>45323</v>
      </c>
      <c r="S3130" s="11" t="s">
        <v>364</v>
      </c>
      <c r="T3130" s="16">
        <v>500</v>
      </c>
      <c r="U3130" s="17"/>
      <c r="V3130" s="12">
        <v>1365.1260504201678</v>
      </c>
      <c r="W3130" s="12">
        <v>1365.1260504201678</v>
      </c>
      <c r="X3130" s="12">
        <v>0</v>
      </c>
      <c r="Y3130" s="18">
        <v>45691</v>
      </c>
      <c r="Z3130" s="13" t="s">
        <v>503</v>
      </c>
      <c r="AA3130" s="19" t="str">
        <f>VLOOKUP(D3130,Clientes!$A$2:$J$486,9,FALSE)</f>
        <v>Ocacional</v>
      </c>
      <c r="AB3130" s="13" t="str">
        <f>VLOOKUP(D3130,Clientes!$A$2:$K$486,11,FALSE)</f>
        <v>Persona Natural</v>
      </c>
      <c r="AC3130" s="13" t="str">
        <f>VLOOKUP(D3130,Clientes!$A$2:$B$486,2,FALSE)</f>
        <v>Jardines de la viña</v>
      </c>
      <c r="AD3130" s="20"/>
      <c r="AE3130" s="20"/>
      <c r="AF3130" s="13" t="s">
        <v>40</v>
      </c>
      <c r="AG3130" s="15">
        <v>45323</v>
      </c>
      <c r="AH3130" s="13" t="s">
        <v>41</v>
      </c>
      <c r="AI3130" s="13" t="s">
        <v>35</v>
      </c>
      <c r="AJ3130" s="13" t="str">
        <f>VLOOKUP(E3130,Precios!Z$2:AA$941,2,FALSE)</f>
        <v>Queso RUNCA Mantecoso</v>
      </c>
      <c r="AK3130" s="14">
        <f>VLOOKUP(E3130,Precios!Z$2:BB$941,3,FALSE)*F3130</f>
        <v>-0.5</v>
      </c>
      <c r="AL3130" s="17"/>
      <c r="AM3130" s="17"/>
      <c r="AN3130" s="17"/>
      <c r="AO3130" s="17"/>
      <c r="AP3130" s="17"/>
      <c r="AQ3130" s="17"/>
      <c r="AR3130" s="17"/>
      <c r="AS3130" s="17"/>
      <c r="AT3130" s="17"/>
      <c r="AU3130" s="17"/>
      <c r="AV3130" s="17"/>
    </row>
    <row r="3131" spans="1:48" ht="15.75" customHeight="1">
      <c r="A3131" s="14" t="s">
        <v>43</v>
      </c>
      <c r="B3131" s="23" t="s">
        <v>1692</v>
      </c>
      <c r="C3131" s="25">
        <v>45695</v>
      </c>
      <c r="D3131" s="23" t="s">
        <v>124</v>
      </c>
      <c r="E3131" s="13" t="s">
        <v>45</v>
      </c>
      <c r="F3131" s="14">
        <v>1</v>
      </c>
      <c r="G3131" s="12">
        <v>6900.1306988544629</v>
      </c>
      <c r="H3131" s="12">
        <v>6900.1306988544629</v>
      </c>
      <c r="I3131" s="13" t="s">
        <v>52</v>
      </c>
      <c r="J3131" s="23" t="s">
        <v>61</v>
      </c>
      <c r="K3131" s="24" t="s">
        <v>177</v>
      </c>
      <c r="L3131" s="24">
        <v>100</v>
      </c>
      <c r="M3131" s="12">
        <v>5798.4291587012294</v>
      </c>
      <c r="N3131" s="12">
        <v>5798.4291587012294</v>
      </c>
      <c r="O3131" s="12">
        <v>1101.7015401532335</v>
      </c>
      <c r="P3131" s="13"/>
      <c r="Q3131" s="14">
        <v>2025</v>
      </c>
      <c r="R3131" s="15">
        <v>45323</v>
      </c>
      <c r="S3131" s="11" t="s">
        <v>355</v>
      </c>
      <c r="T3131" s="16">
        <v>0</v>
      </c>
      <c r="U3131" s="17"/>
      <c r="V3131" s="12">
        <v>1273.219074667616</v>
      </c>
      <c r="W3131" s="12">
        <v>1273.219074667616</v>
      </c>
      <c r="X3131" s="12">
        <v>0</v>
      </c>
      <c r="Y3131" s="18">
        <v>45691</v>
      </c>
      <c r="Z3131" s="13" t="s">
        <v>503</v>
      </c>
      <c r="AA3131" s="19" t="str">
        <f>VLOOKUP(D3131,Clientes!$A$2:$J$486,9,FALSE)</f>
        <v>Regular</v>
      </c>
      <c r="AB3131" s="13" t="str">
        <f>VLOOKUP(D3131,Clientes!$A$2:$K$486,11,FALSE)</f>
        <v>Persona Natural</v>
      </c>
      <c r="AC3131" s="13" t="str">
        <f>VLOOKUP(D3131,Clientes!$A$2:$B$486,2,FALSE)</f>
        <v>Jardines de la viña</v>
      </c>
      <c r="AD3131" s="20"/>
      <c r="AE3131" s="20"/>
      <c r="AF3131" s="13" t="s">
        <v>40</v>
      </c>
      <c r="AG3131" s="15">
        <v>45323</v>
      </c>
      <c r="AH3131" s="13" t="s">
        <v>41</v>
      </c>
      <c r="AI3131" s="13" t="s">
        <v>43</v>
      </c>
      <c r="AJ3131" s="13" t="str">
        <f>VLOOKUP(E3131,Precios!Z$2:AA$941,2,FALSE)</f>
        <v>Bandeja Huevos EXTRA</v>
      </c>
      <c r="AK3131" s="14">
        <f>VLOOKUP(E3131,Precios!Z$2:BB$941,3,FALSE)*F3131</f>
        <v>-1</v>
      </c>
      <c r="AL3131" s="17"/>
      <c r="AM3131" s="17"/>
      <c r="AN3131" s="17"/>
      <c r="AO3131" s="17"/>
      <c r="AP3131" s="17"/>
      <c r="AQ3131" s="17"/>
      <c r="AR3131" s="17"/>
      <c r="AS3131" s="17"/>
      <c r="AT3131" s="17"/>
      <c r="AU3131" s="17"/>
      <c r="AV3131" s="17"/>
    </row>
    <row r="3132" spans="1:48" ht="15.75" customHeight="1">
      <c r="A3132" s="21" t="s">
        <v>53</v>
      </c>
      <c r="B3132" s="23" t="s">
        <v>1692</v>
      </c>
      <c r="C3132" s="25">
        <v>45695</v>
      </c>
      <c r="D3132" s="23" t="s">
        <v>352</v>
      </c>
      <c r="E3132" s="23" t="s">
        <v>97</v>
      </c>
      <c r="F3132" s="14">
        <v>1</v>
      </c>
      <c r="G3132" s="12">
        <v>15500.298388701016</v>
      </c>
      <c r="H3132" s="12">
        <v>15500.298388701016</v>
      </c>
      <c r="I3132" s="13" t="s">
        <v>52</v>
      </c>
      <c r="J3132" s="23" t="s">
        <v>61</v>
      </c>
      <c r="K3132" s="24" t="s">
        <v>177</v>
      </c>
      <c r="L3132" s="24">
        <v>100</v>
      </c>
      <c r="M3132" s="12">
        <v>13025.46083084119</v>
      </c>
      <c r="N3132" s="12">
        <v>13025.46083084119</v>
      </c>
      <c r="O3132" s="12">
        <v>2474.8375578598261</v>
      </c>
      <c r="P3132" s="13"/>
      <c r="Q3132" s="14">
        <v>2025</v>
      </c>
      <c r="R3132" s="15">
        <v>45323</v>
      </c>
      <c r="S3132" s="11" t="s">
        <v>366</v>
      </c>
      <c r="T3132" s="16">
        <v>0</v>
      </c>
      <c r="U3132" s="17"/>
      <c r="V3132" s="12">
        <v>3203.6120913453906</v>
      </c>
      <c r="W3132" s="12">
        <v>3203.6120913453906</v>
      </c>
      <c r="X3132" s="12">
        <v>0</v>
      </c>
      <c r="Y3132" s="18">
        <v>45691</v>
      </c>
      <c r="Z3132" s="13" t="s">
        <v>503</v>
      </c>
      <c r="AA3132" s="19" t="str">
        <f>VLOOKUP(D3132,Clientes!$A$2:$J$486,9,FALSE)</f>
        <v>Frecuente</v>
      </c>
      <c r="AB3132" s="13" t="str">
        <f>VLOOKUP(D3132,Clientes!$A$2:$K$486,11,FALSE)</f>
        <v>Persona Natural</v>
      </c>
      <c r="AC3132" s="13" t="str">
        <f>VLOOKUP(D3132,Clientes!$A$2:$B$486,2,FALSE)</f>
        <v>Curso Amalia</v>
      </c>
      <c r="AD3132" s="20"/>
      <c r="AE3132" s="20"/>
      <c r="AF3132" s="13" t="s">
        <v>40</v>
      </c>
      <c r="AG3132" s="15">
        <v>45323</v>
      </c>
      <c r="AH3132" s="13" t="s">
        <v>41</v>
      </c>
      <c r="AI3132" s="13" t="s">
        <v>53</v>
      </c>
      <c r="AJ3132" s="13" t="str">
        <f>VLOOKUP(E3132,Precios!Z$2:AA$941,2,FALSE)</f>
        <v>Papel Higienico ELITE 50 metros</v>
      </c>
      <c r="AK3132" s="14">
        <f>VLOOKUP(E3132,Precios!Z$2:BB$941,3,FALSE)*F3132</f>
        <v>-6</v>
      </c>
      <c r="AL3132" s="17"/>
      <c r="AM3132" s="17"/>
      <c r="AN3132" s="17"/>
      <c r="AO3132" s="17"/>
      <c r="AP3132" s="17"/>
      <c r="AQ3132" s="17"/>
      <c r="AR3132" s="17"/>
      <c r="AS3132" s="17"/>
      <c r="AT3132" s="17"/>
      <c r="AU3132" s="17"/>
      <c r="AV3132" s="17"/>
    </row>
    <row r="3133" spans="1:48" ht="15.75" customHeight="1">
      <c r="A3133" s="14" t="s">
        <v>43</v>
      </c>
      <c r="B3133" s="23" t="s">
        <v>1692</v>
      </c>
      <c r="C3133" s="25">
        <v>45695</v>
      </c>
      <c r="D3133" s="23" t="s">
        <v>352</v>
      </c>
      <c r="E3133" s="13" t="s">
        <v>45</v>
      </c>
      <c r="F3133" s="14">
        <v>1</v>
      </c>
      <c r="G3133" s="12">
        <v>6900.1306988544629</v>
      </c>
      <c r="H3133" s="12">
        <v>6900.1306988544629</v>
      </c>
      <c r="I3133" s="13" t="s">
        <v>52</v>
      </c>
      <c r="J3133" s="23" t="s">
        <v>61</v>
      </c>
      <c r="K3133" s="24" t="s">
        <v>177</v>
      </c>
      <c r="L3133" s="24">
        <v>100</v>
      </c>
      <c r="M3133" s="12">
        <v>5798.4291587012294</v>
      </c>
      <c r="N3133" s="12">
        <v>5798.4291587012294</v>
      </c>
      <c r="O3133" s="12">
        <v>1101.7015401532335</v>
      </c>
      <c r="P3133" s="13"/>
      <c r="Q3133" s="14">
        <v>2025</v>
      </c>
      <c r="R3133" s="15">
        <v>45323</v>
      </c>
      <c r="S3133" s="11" t="s">
        <v>355</v>
      </c>
      <c r="T3133" s="16">
        <v>0</v>
      </c>
      <c r="U3133" s="17"/>
      <c r="V3133" s="12">
        <v>1273.219074667616</v>
      </c>
      <c r="W3133" s="12">
        <v>1273.219074667616</v>
      </c>
      <c r="X3133" s="12">
        <v>0</v>
      </c>
      <c r="Y3133" s="18">
        <v>45691</v>
      </c>
      <c r="Z3133" s="13" t="s">
        <v>503</v>
      </c>
      <c r="AA3133" s="19" t="str">
        <f>VLOOKUP(D3133,Clientes!$A$2:$J$486,9,FALSE)</f>
        <v>Frecuente</v>
      </c>
      <c r="AB3133" s="13" t="str">
        <f>VLOOKUP(D3133,Clientes!$A$2:$K$486,11,FALSE)</f>
        <v>Persona Natural</v>
      </c>
      <c r="AC3133" s="13" t="str">
        <f>VLOOKUP(D3133,Clientes!$A$2:$B$486,2,FALSE)</f>
        <v>Curso Amalia</v>
      </c>
      <c r="AD3133" s="20"/>
      <c r="AE3133" s="20"/>
      <c r="AF3133" s="13" t="s">
        <v>40</v>
      </c>
      <c r="AG3133" s="15">
        <v>45323</v>
      </c>
      <c r="AH3133" s="13" t="s">
        <v>41</v>
      </c>
      <c r="AI3133" s="13" t="s">
        <v>43</v>
      </c>
      <c r="AJ3133" s="13" t="str">
        <f>VLOOKUP(E3133,Precios!Z$2:AA$941,2,FALSE)</f>
        <v>Bandeja Huevos EXTRA</v>
      </c>
      <c r="AK3133" s="14">
        <f>VLOOKUP(E3133,Precios!Z$2:BB$941,3,FALSE)*F3133</f>
        <v>-1</v>
      </c>
      <c r="AL3133" s="17"/>
      <c r="AM3133" s="17"/>
      <c r="AN3133" s="17"/>
      <c r="AO3133" s="17"/>
      <c r="AP3133" s="17"/>
      <c r="AQ3133" s="17"/>
      <c r="AR3133" s="17"/>
      <c r="AS3133" s="17"/>
      <c r="AT3133" s="17"/>
      <c r="AU3133" s="17"/>
      <c r="AV3133" s="17"/>
    </row>
    <row r="3134" spans="1:48" ht="15.75" customHeight="1">
      <c r="A3134" s="14" t="s">
        <v>43</v>
      </c>
      <c r="B3134" s="23" t="s">
        <v>1692</v>
      </c>
      <c r="C3134" s="25">
        <v>45695</v>
      </c>
      <c r="D3134" s="23" t="s">
        <v>108</v>
      </c>
      <c r="E3134" s="13" t="s">
        <v>45</v>
      </c>
      <c r="F3134" s="14">
        <v>1</v>
      </c>
      <c r="G3134" s="12">
        <v>6900.1306988544629</v>
      </c>
      <c r="H3134" s="12">
        <v>6900.1306988544629</v>
      </c>
      <c r="I3134" s="13" t="s">
        <v>52</v>
      </c>
      <c r="J3134" s="23" t="s">
        <v>61</v>
      </c>
      <c r="K3134" s="24" t="s">
        <v>177</v>
      </c>
      <c r="L3134" s="24">
        <v>100</v>
      </c>
      <c r="M3134" s="12">
        <v>5798.4291587012294</v>
      </c>
      <c r="N3134" s="12">
        <v>5798.4291587012294</v>
      </c>
      <c r="O3134" s="12">
        <v>1101.7015401532335</v>
      </c>
      <c r="P3134" s="13"/>
      <c r="Q3134" s="14">
        <v>2025</v>
      </c>
      <c r="R3134" s="15">
        <v>45323</v>
      </c>
      <c r="S3134" s="11" t="s">
        <v>355</v>
      </c>
      <c r="T3134" s="16">
        <v>0</v>
      </c>
      <c r="U3134" s="17"/>
      <c r="V3134" s="12">
        <v>1273.219074667616</v>
      </c>
      <c r="W3134" s="12">
        <v>1273.219074667616</v>
      </c>
      <c r="X3134" s="12">
        <v>0</v>
      </c>
      <c r="Y3134" s="18">
        <v>45691</v>
      </c>
      <c r="Z3134" s="13" t="s">
        <v>503</v>
      </c>
      <c r="AA3134" s="19" t="str">
        <f>VLOOKUP(D3134,Clientes!$A$2:$J$486,9,FALSE)</f>
        <v>Frecuente</v>
      </c>
      <c r="AB3134" s="13" t="str">
        <f>VLOOKUP(D3134,Clientes!$A$2:$K$486,11,FALSE)</f>
        <v>Persona Natural</v>
      </c>
      <c r="AC3134" s="13" t="str">
        <f>VLOOKUP(D3134,Clientes!$A$2:$B$486,2,FALSE)</f>
        <v>Jardines de la Viña</v>
      </c>
      <c r="AD3134" s="20"/>
      <c r="AE3134" s="20"/>
      <c r="AF3134" s="13" t="s">
        <v>40</v>
      </c>
      <c r="AG3134" s="15">
        <v>45323</v>
      </c>
      <c r="AH3134" s="13" t="s">
        <v>41</v>
      </c>
      <c r="AI3134" s="13" t="s">
        <v>43</v>
      </c>
      <c r="AJ3134" s="13" t="str">
        <f>VLOOKUP(E3134,Precios!Z$2:AA$941,2,FALSE)</f>
        <v>Bandeja Huevos EXTRA</v>
      </c>
      <c r="AK3134" s="14">
        <f>VLOOKUP(E3134,Precios!Z$2:BB$941,3,FALSE)*F3134</f>
        <v>-1</v>
      </c>
      <c r="AL3134" s="17"/>
      <c r="AM3134" s="17"/>
      <c r="AN3134" s="17"/>
      <c r="AO3134" s="17"/>
      <c r="AP3134" s="17"/>
      <c r="AQ3134" s="17"/>
      <c r="AR3134" s="17"/>
      <c r="AS3134" s="17"/>
      <c r="AT3134" s="17"/>
      <c r="AU3134" s="17"/>
      <c r="AV3134" s="17"/>
    </row>
    <row r="3135" spans="1:48" ht="15.75" customHeight="1">
      <c r="A3135" s="21" t="s">
        <v>43</v>
      </c>
      <c r="B3135" s="23" t="s">
        <v>1692</v>
      </c>
      <c r="C3135" s="22">
        <v>45695</v>
      </c>
      <c r="D3135" s="23" t="s">
        <v>507</v>
      </c>
      <c r="E3135" s="23" t="s">
        <v>45</v>
      </c>
      <c r="F3135" s="21">
        <v>1</v>
      </c>
      <c r="G3135" s="12">
        <v>6300.1913812446392</v>
      </c>
      <c r="H3135" s="12">
        <v>6300.1913812446392</v>
      </c>
      <c r="I3135" s="23" t="s">
        <v>52</v>
      </c>
      <c r="J3135" s="23" t="s">
        <v>61</v>
      </c>
      <c r="K3135" s="24" t="s">
        <v>177</v>
      </c>
      <c r="L3135" s="24">
        <v>100</v>
      </c>
      <c r="M3135" s="12">
        <v>5294.2784716341512</v>
      </c>
      <c r="N3135" s="12">
        <v>5294.2784716341512</v>
      </c>
      <c r="O3135" s="12">
        <v>1005.912909610488</v>
      </c>
      <c r="P3135" s="13"/>
      <c r="Q3135" s="14">
        <v>2025</v>
      </c>
      <c r="R3135" s="15">
        <v>45323</v>
      </c>
      <c r="S3135" s="11" t="s">
        <v>355</v>
      </c>
      <c r="T3135" s="16">
        <v>0</v>
      </c>
      <c r="U3135" s="17"/>
      <c r="V3135" s="12">
        <v>1283.0683876005369</v>
      </c>
      <c r="W3135" s="12">
        <v>1283.0683876005369</v>
      </c>
      <c r="X3135" s="12">
        <v>0</v>
      </c>
      <c r="Y3135" s="18">
        <v>45691</v>
      </c>
      <c r="Z3135" s="13" t="s">
        <v>503</v>
      </c>
      <c r="AA3135" s="19" t="str">
        <f>VLOOKUP(D3135,Clientes!$A$2:$J$486,9,FALSE)</f>
        <v>Ocacional</v>
      </c>
      <c r="AB3135" s="13" t="str">
        <f>VLOOKUP(D3135,Clientes!$A$2:$K$486,11,FALSE)</f>
        <v>Persona Natural</v>
      </c>
      <c r="AC3135" s="13" t="str">
        <f>VLOOKUP(D3135,Clientes!$A$2:$B$486,2,FALSE)</f>
        <v>Jardines de la viña</v>
      </c>
      <c r="AD3135" s="20"/>
      <c r="AE3135" s="20"/>
      <c r="AF3135" s="13" t="s">
        <v>40</v>
      </c>
      <c r="AG3135" s="15">
        <v>45323</v>
      </c>
      <c r="AH3135" s="13" t="s">
        <v>41</v>
      </c>
      <c r="AI3135" s="13" t="s">
        <v>43</v>
      </c>
      <c r="AJ3135" s="13" t="str">
        <f>VLOOKUP(E3135,Precios!Z$2:AA$941,2,FALSE)</f>
        <v>Bandeja Huevos EXTRA</v>
      </c>
      <c r="AK3135" s="14">
        <f>VLOOKUP(E3135,Precios!Z$2:BB$941,3,FALSE)*F3135</f>
        <v>-1</v>
      </c>
      <c r="AL3135" s="17"/>
      <c r="AM3135" s="17"/>
      <c r="AN3135" s="17"/>
      <c r="AO3135" s="17"/>
      <c r="AP3135" s="17"/>
      <c r="AQ3135" s="17"/>
      <c r="AR3135" s="17"/>
      <c r="AS3135" s="17"/>
      <c r="AT3135" s="17"/>
      <c r="AU3135" s="17"/>
      <c r="AV3135" s="17"/>
    </row>
    <row r="3136" spans="1:48" ht="15.75" customHeight="1">
      <c r="A3136" s="21" t="s">
        <v>76</v>
      </c>
      <c r="B3136" s="23" t="s">
        <v>1692</v>
      </c>
      <c r="C3136" s="22">
        <v>45695</v>
      </c>
      <c r="D3136" s="23" t="s">
        <v>915</v>
      </c>
      <c r="E3136" s="23" t="s">
        <v>137</v>
      </c>
      <c r="F3136" s="21">
        <v>1</v>
      </c>
      <c r="G3136" s="12">
        <v>3500.0000000000005</v>
      </c>
      <c r="H3136" s="34">
        <v>3500.0000000000005</v>
      </c>
      <c r="I3136" s="23" t="s">
        <v>52</v>
      </c>
      <c r="J3136" s="23" t="s">
        <v>61</v>
      </c>
      <c r="K3136" s="24" t="s">
        <v>177</v>
      </c>
      <c r="L3136" s="24">
        <v>100</v>
      </c>
      <c r="M3136" s="12">
        <v>2941.1764705882356</v>
      </c>
      <c r="N3136" s="12">
        <v>2941.1764705882356</v>
      </c>
      <c r="O3136" s="12">
        <v>558.82352941176487</v>
      </c>
      <c r="P3136" s="13"/>
      <c r="Q3136" s="14">
        <v>2025</v>
      </c>
      <c r="R3136" s="15">
        <v>45323</v>
      </c>
      <c r="S3136" s="11" t="s">
        <v>406</v>
      </c>
      <c r="T3136" s="16">
        <v>5</v>
      </c>
      <c r="U3136" s="17"/>
      <c r="V3136" s="12">
        <v>848.73949579831969</v>
      </c>
      <c r="W3136" s="12">
        <v>848.73949579831969</v>
      </c>
      <c r="X3136" s="12">
        <v>0</v>
      </c>
      <c r="Y3136" s="18">
        <v>45691</v>
      </c>
      <c r="Z3136" s="13" t="s">
        <v>503</v>
      </c>
      <c r="AA3136" s="19" t="str">
        <f>VLOOKUP(D3136,Clientes!$A$2:$J$486,9,FALSE)</f>
        <v>Regular</v>
      </c>
      <c r="AB3136" s="13" t="str">
        <f>VLOOKUP(D3136,Clientes!$A$2:$K$486,11,FALSE)</f>
        <v>Persona Natural</v>
      </c>
      <c r="AC3136" s="13" t="str">
        <f>VLOOKUP(D3136,Clientes!$A$2:$B$486,2,FALSE)</f>
        <v>Jardin del Eden</v>
      </c>
      <c r="AD3136" s="20"/>
      <c r="AE3136" s="20"/>
      <c r="AF3136" s="13" t="s">
        <v>40</v>
      </c>
      <c r="AG3136" s="15">
        <v>45323</v>
      </c>
      <c r="AH3136" s="13" t="s">
        <v>41</v>
      </c>
      <c r="AI3136" s="13" t="s">
        <v>76</v>
      </c>
      <c r="AJ3136" s="13" t="str">
        <f>VLOOKUP(E3136,Precios!Z$2:AA$941,2,FALSE)</f>
        <v>Detergente SPUM 5 Litros (Blanco)</v>
      </c>
      <c r="AK3136" s="14">
        <f>VLOOKUP(E3136,Precios!Z$2:BB$941,3,FALSE)*F3136</f>
        <v>-1</v>
      </c>
      <c r="AL3136" s="17"/>
      <c r="AM3136" s="17"/>
      <c r="AN3136" s="17"/>
      <c r="AO3136" s="17"/>
      <c r="AP3136" s="17"/>
      <c r="AQ3136" s="17"/>
      <c r="AR3136" s="17"/>
      <c r="AS3136" s="17"/>
      <c r="AT3136" s="17"/>
      <c r="AU3136" s="17"/>
      <c r="AV3136" s="17"/>
    </row>
    <row r="3137" spans="1:48" ht="15.75" customHeight="1">
      <c r="A3137" s="21" t="s">
        <v>76</v>
      </c>
      <c r="B3137" s="23" t="s">
        <v>1692</v>
      </c>
      <c r="C3137" s="22">
        <v>45695</v>
      </c>
      <c r="D3137" s="23" t="s">
        <v>172</v>
      </c>
      <c r="E3137" s="23" t="s">
        <v>137</v>
      </c>
      <c r="F3137" s="21">
        <v>5</v>
      </c>
      <c r="G3137" s="12">
        <v>3500.0000000000005</v>
      </c>
      <c r="H3137" s="12">
        <v>17500.000000000004</v>
      </c>
      <c r="I3137" s="23" t="s">
        <v>52</v>
      </c>
      <c r="J3137" s="23" t="s">
        <v>61</v>
      </c>
      <c r="K3137" s="24" t="s">
        <v>177</v>
      </c>
      <c r="L3137" s="24">
        <v>100</v>
      </c>
      <c r="M3137" s="12">
        <v>2941.1764705882356</v>
      </c>
      <c r="N3137" s="12">
        <v>14705.88235294118</v>
      </c>
      <c r="O3137" s="12">
        <v>2794.1176470588234</v>
      </c>
      <c r="P3137" s="13"/>
      <c r="Q3137" s="14">
        <v>2025</v>
      </c>
      <c r="R3137" s="15">
        <v>45323</v>
      </c>
      <c r="S3137" s="11" t="s">
        <v>406</v>
      </c>
      <c r="T3137" s="16">
        <v>25</v>
      </c>
      <c r="U3137" s="17"/>
      <c r="V3137" s="12">
        <v>4243.6974789915985</v>
      </c>
      <c r="W3137" s="12">
        <v>4243.6974789915985</v>
      </c>
      <c r="X3137" s="12">
        <v>0</v>
      </c>
      <c r="Y3137" s="18">
        <v>45691</v>
      </c>
      <c r="Z3137" s="13" t="s">
        <v>503</v>
      </c>
      <c r="AA3137" s="19" t="str">
        <f>VLOOKUP(D3137,Clientes!$A$2:$J$486,9,FALSE)</f>
        <v>Frecuente</v>
      </c>
      <c r="AB3137" s="13" t="str">
        <f>VLOOKUP(D3137,Clientes!$A$2:$K$486,11,FALSE)</f>
        <v>Persona Natural</v>
      </c>
      <c r="AC3137" s="13" t="str">
        <f>VLOOKUP(D3137,Clientes!$A$2:$B$486,2,FALSE)</f>
        <v>Jardin del Eden</v>
      </c>
      <c r="AD3137" s="20"/>
      <c r="AE3137" s="20"/>
      <c r="AF3137" s="13" t="s">
        <v>40</v>
      </c>
      <c r="AG3137" s="15">
        <v>45323</v>
      </c>
      <c r="AH3137" s="13" t="s">
        <v>41</v>
      </c>
      <c r="AI3137" s="13" t="s">
        <v>76</v>
      </c>
      <c r="AJ3137" s="13" t="str">
        <f>VLOOKUP(E3137,Precios!Z$2:AA$941,2,FALSE)</f>
        <v>Detergente SPUM 5 Litros (Blanco)</v>
      </c>
      <c r="AK3137" s="14">
        <f>VLOOKUP(E3137,Precios!Z$2:BB$941,3,FALSE)*F3137</f>
        <v>-5</v>
      </c>
      <c r="AL3137" s="17"/>
      <c r="AM3137" s="17"/>
      <c r="AN3137" s="17"/>
      <c r="AO3137" s="17"/>
      <c r="AP3137" s="17"/>
      <c r="AQ3137" s="17"/>
      <c r="AR3137" s="17"/>
      <c r="AS3137" s="17"/>
      <c r="AT3137" s="17"/>
      <c r="AU3137" s="17"/>
      <c r="AV3137" s="17"/>
    </row>
    <row r="3138" spans="1:48" ht="15.75" customHeight="1">
      <c r="A3138" s="21" t="s">
        <v>47</v>
      </c>
      <c r="B3138" s="23" t="s">
        <v>1692</v>
      </c>
      <c r="C3138" s="22">
        <v>45695</v>
      </c>
      <c r="D3138" s="23" t="s">
        <v>172</v>
      </c>
      <c r="E3138" s="23" t="s">
        <v>100</v>
      </c>
      <c r="F3138" s="21">
        <v>2</v>
      </c>
      <c r="G3138" s="12">
        <v>650.00000000000011</v>
      </c>
      <c r="H3138" s="12">
        <v>1300.0000000000002</v>
      </c>
      <c r="I3138" s="23" t="s">
        <v>52</v>
      </c>
      <c r="J3138" s="23" t="s">
        <v>61</v>
      </c>
      <c r="K3138" s="24" t="s">
        <v>177</v>
      </c>
      <c r="L3138" s="24">
        <v>100</v>
      </c>
      <c r="M3138" s="12">
        <v>546.21848739495806</v>
      </c>
      <c r="N3138" s="12">
        <v>1092.4369747899161</v>
      </c>
      <c r="O3138" s="12">
        <v>207.56302521008411</v>
      </c>
      <c r="P3138" s="13"/>
      <c r="Q3138" s="14">
        <v>2025</v>
      </c>
      <c r="R3138" s="15">
        <v>45323</v>
      </c>
      <c r="S3138" s="11" t="s">
        <v>453</v>
      </c>
      <c r="T3138" s="16">
        <v>0</v>
      </c>
      <c r="U3138" s="17"/>
      <c r="V3138" s="12">
        <v>462.18487394957992</v>
      </c>
      <c r="W3138" s="12">
        <v>462.18487394957992</v>
      </c>
      <c r="X3138" s="12">
        <v>0</v>
      </c>
      <c r="Y3138" s="18">
        <v>45691</v>
      </c>
      <c r="Z3138" s="13" t="s">
        <v>503</v>
      </c>
      <c r="AA3138" s="19" t="str">
        <f>VLOOKUP(D3138,Clientes!$A$2:$J$486,9,FALSE)</f>
        <v>Frecuente</v>
      </c>
      <c r="AB3138" s="13" t="str">
        <f>VLOOKUP(D3138,Clientes!$A$2:$K$486,11,FALSE)</f>
        <v>Persona Natural</v>
      </c>
      <c r="AC3138" s="13" t="str">
        <f>VLOOKUP(D3138,Clientes!$A$2:$B$486,2,FALSE)</f>
        <v>Jardin del Eden</v>
      </c>
      <c r="AD3138" s="20"/>
      <c r="AE3138" s="20"/>
      <c r="AF3138" s="13" t="s">
        <v>40</v>
      </c>
      <c r="AG3138" s="15">
        <v>45323</v>
      </c>
      <c r="AH3138" s="13" t="s">
        <v>41</v>
      </c>
      <c r="AI3138" s="13" t="s">
        <v>47</v>
      </c>
      <c r="AJ3138" s="13" t="str">
        <f>VLOOKUP(E3138,Precios!Z$2:AA$941,2,FALSE)</f>
        <v xml:space="preserve">Bolsas Basura TEDDY 50x70 </v>
      </c>
      <c r="AK3138" s="14">
        <f>VLOOKUP(E3138,Precios!Z$2:BB$941,3,FALSE)*F3138</f>
        <v>-2</v>
      </c>
      <c r="AL3138" s="17"/>
      <c r="AM3138" s="17"/>
      <c r="AN3138" s="17"/>
      <c r="AO3138" s="17"/>
      <c r="AP3138" s="17"/>
      <c r="AQ3138" s="17"/>
      <c r="AR3138" s="17"/>
      <c r="AS3138" s="17"/>
      <c r="AT3138" s="17"/>
      <c r="AU3138" s="17"/>
      <c r="AV3138" s="17"/>
    </row>
    <row r="3139" spans="1:48" ht="15.75" customHeight="1">
      <c r="A3139" s="21" t="s">
        <v>47</v>
      </c>
      <c r="B3139" s="23" t="s">
        <v>1692</v>
      </c>
      <c r="C3139" s="22">
        <v>45695</v>
      </c>
      <c r="D3139" s="23" t="s">
        <v>172</v>
      </c>
      <c r="E3139" s="23" t="s">
        <v>107</v>
      </c>
      <c r="F3139" s="21">
        <v>2</v>
      </c>
      <c r="G3139" s="12">
        <v>3000.0000000000005</v>
      </c>
      <c r="H3139" s="12">
        <v>6000.0000000000009</v>
      </c>
      <c r="I3139" s="23" t="s">
        <v>52</v>
      </c>
      <c r="J3139" s="23" t="s">
        <v>61</v>
      </c>
      <c r="K3139" s="24" t="s">
        <v>177</v>
      </c>
      <c r="L3139" s="24">
        <v>100</v>
      </c>
      <c r="M3139" s="12">
        <v>2521.0084033613452</v>
      </c>
      <c r="N3139" s="12">
        <v>5042.0168067226905</v>
      </c>
      <c r="O3139" s="12">
        <v>957.98319327731042</v>
      </c>
      <c r="P3139" s="13"/>
      <c r="Q3139" s="14">
        <v>2025</v>
      </c>
      <c r="R3139" s="15">
        <v>45323</v>
      </c>
      <c r="S3139" s="11" t="s">
        <v>453</v>
      </c>
      <c r="T3139" s="16">
        <v>0</v>
      </c>
      <c r="U3139" s="17"/>
      <c r="V3139" s="12">
        <v>1517.6470588235297</v>
      </c>
      <c r="W3139" s="12">
        <v>1517.6470588235297</v>
      </c>
      <c r="X3139" s="12">
        <v>0</v>
      </c>
      <c r="Y3139" s="18">
        <v>45691</v>
      </c>
      <c r="Z3139" s="13" t="s">
        <v>503</v>
      </c>
      <c r="AA3139" s="19" t="str">
        <f>VLOOKUP(D3139,Clientes!$A$2:$J$486,9,FALSE)</f>
        <v>Frecuente</v>
      </c>
      <c r="AB3139" s="13" t="str">
        <f>VLOOKUP(D3139,Clientes!$A$2:$K$486,11,FALSE)</f>
        <v>Persona Natural</v>
      </c>
      <c r="AC3139" s="13" t="str">
        <f>VLOOKUP(D3139,Clientes!$A$2:$B$486,2,FALSE)</f>
        <v>Jardin del Eden</v>
      </c>
      <c r="AD3139" s="20"/>
      <c r="AE3139" s="20"/>
      <c r="AF3139" s="13" t="s">
        <v>40</v>
      </c>
      <c r="AG3139" s="15">
        <v>45323</v>
      </c>
      <c r="AH3139" s="13" t="s">
        <v>41</v>
      </c>
      <c r="AI3139" s="13" t="s">
        <v>47</v>
      </c>
      <c r="AJ3139" s="13" t="str">
        <f>VLOOKUP(E3139,Precios!Z$2:AA$941,2,FALSE)</f>
        <v xml:space="preserve">Bolsas Basura TEDDY 90x120 </v>
      </c>
      <c r="AK3139" s="14">
        <f>VLOOKUP(E3139,Precios!Z$2:BB$941,3,FALSE)*F3139</f>
        <v>-2</v>
      </c>
      <c r="AL3139" s="17"/>
      <c r="AM3139" s="17"/>
      <c r="AN3139" s="17"/>
      <c r="AO3139" s="17"/>
      <c r="AP3139" s="17"/>
      <c r="AQ3139" s="17"/>
      <c r="AR3139" s="17"/>
      <c r="AS3139" s="17"/>
      <c r="AT3139" s="17"/>
      <c r="AU3139" s="17"/>
      <c r="AV3139" s="17"/>
    </row>
    <row r="3140" spans="1:48" ht="15.75" customHeight="1">
      <c r="A3140" s="21" t="s">
        <v>53</v>
      </c>
      <c r="B3140" s="23" t="s">
        <v>1692</v>
      </c>
      <c r="C3140" s="22">
        <v>45695</v>
      </c>
      <c r="D3140" s="23" t="s">
        <v>172</v>
      </c>
      <c r="E3140" s="23" t="s">
        <v>55</v>
      </c>
      <c r="F3140" s="21">
        <v>1</v>
      </c>
      <c r="G3140" s="12">
        <v>19989.738327347361</v>
      </c>
      <c r="H3140" s="12">
        <v>19989.738327347361</v>
      </c>
      <c r="I3140" s="23" t="s">
        <v>52</v>
      </c>
      <c r="J3140" s="23" t="s">
        <v>61</v>
      </c>
      <c r="K3140" s="24" t="s">
        <v>177</v>
      </c>
      <c r="L3140" s="24">
        <v>100</v>
      </c>
      <c r="M3140" s="12">
        <v>16798.099434745684</v>
      </c>
      <c r="N3140" s="12">
        <v>16798.099434745684</v>
      </c>
      <c r="O3140" s="12">
        <v>3191.6388926016771</v>
      </c>
      <c r="P3140" s="13"/>
      <c r="Q3140" s="14">
        <v>2025</v>
      </c>
      <c r="R3140" s="15">
        <v>45323</v>
      </c>
      <c r="S3140" s="11" t="s">
        <v>366</v>
      </c>
      <c r="T3140" s="16">
        <v>0</v>
      </c>
      <c r="U3140" s="17"/>
      <c r="V3140" s="12">
        <v>3702.3011154179476</v>
      </c>
      <c r="W3140" s="12">
        <v>3702.3011154179476</v>
      </c>
      <c r="X3140" s="12">
        <v>0</v>
      </c>
      <c r="Y3140" s="18">
        <v>45691</v>
      </c>
      <c r="Z3140" s="13" t="s">
        <v>503</v>
      </c>
      <c r="AA3140" s="19" t="str">
        <f>VLOOKUP(D3140,Clientes!$A$2:$J$486,9,FALSE)</f>
        <v>Frecuente</v>
      </c>
      <c r="AB3140" s="13" t="str">
        <f>VLOOKUP(D3140,Clientes!$A$2:$K$486,11,FALSE)</f>
        <v>Persona Natural</v>
      </c>
      <c r="AC3140" s="13" t="str">
        <f>VLOOKUP(D3140,Clientes!$A$2:$B$486,2,FALSE)</f>
        <v>Jardin del Eden</v>
      </c>
      <c r="AD3140" s="20"/>
      <c r="AE3140" s="20"/>
      <c r="AF3140" s="13" t="s">
        <v>40</v>
      </c>
      <c r="AG3140" s="15">
        <v>45323</v>
      </c>
      <c r="AH3140" s="13" t="s">
        <v>41</v>
      </c>
      <c r="AI3140" s="13" t="s">
        <v>53</v>
      </c>
      <c r="AJ3140" s="13" t="str">
        <f>VLOOKUP(E3140,Precios!Z$2:AA$941,2,FALSE)</f>
        <v>Papel Higienico ELITE 50 metros</v>
      </c>
      <c r="AK3140" s="14">
        <f>VLOOKUP(E3140,Precios!Z$2:BB$941,3,FALSE)*F3140</f>
        <v>-8</v>
      </c>
      <c r="AL3140" s="17"/>
      <c r="AM3140" s="17"/>
      <c r="AN3140" s="17"/>
      <c r="AO3140" s="17"/>
      <c r="AP3140" s="17"/>
      <c r="AQ3140" s="17"/>
      <c r="AR3140" s="17"/>
      <c r="AS3140" s="17"/>
      <c r="AT3140" s="17"/>
      <c r="AU3140" s="17"/>
      <c r="AV3140" s="17"/>
    </row>
    <row r="3141" spans="1:48" ht="15.75" customHeight="1">
      <c r="A3141" s="21" t="s">
        <v>53</v>
      </c>
      <c r="B3141" s="23" t="s">
        <v>1692</v>
      </c>
      <c r="C3141" s="22">
        <v>45695</v>
      </c>
      <c r="D3141" s="23" t="s">
        <v>172</v>
      </c>
      <c r="E3141" s="23" t="s">
        <v>69</v>
      </c>
      <c r="F3141" s="21">
        <v>2</v>
      </c>
      <c r="G3141" s="12">
        <v>2999.9553810458683</v>
      </c>
      <c r="H3141" s="12">
        <v>5999.9107620917366</v>
      </c>
      <c r="I3141" s="23" t="s">
        <v>52</v>
      </c>
      <c r="J3141" s="23" t="s">
        <v>61</v>
      </c>
      <c r="K3141" s="24" t="s">
        <v>177</v>
      </c>
      <c r="L3141" s="24">
        <v>100</v>
      </c>
      <c r="M3141" s="12">
        <v>2520.9709084419064</v>
      </c>
      <c r="N3141" s="12">
        <v>5041.9418168838129</v>
      </c>
      <c r="O3141" s="12">
        <v>957.96894520792375</v>
      </c>
      <c r="P3141" s="13"/>
      <c r="Q3141" s="14">
        <v>2025</v>
      </c>
      <c r="R3141" s="15">
        <v>45323</v>
      </c>
      <c r="S3141" s="11" t="s">
        <v>376</v>
      </c>
      <c r="T3141" s="16">
        <v>0</v>
      </c>
      <c r="U3141" s="17"/>
      <c r="V3141" s="12">
        <v>1651.941816883812</v>
      </c>
      <c r="W3141" s="12">
        <v>1651.941816883812</v>
      </c>
      <c r="X3141" s="12">
        <v>0</v>
      </c>
      <c r="Y3141" s="18">
        <v>45691</v>
      </c>
      <c r="Z3141" s="13" t="s">
        <v>503</v>
      </c>
      <c r="AA3141" s="19" t="str">
        <f>VLOOKUP(D3141,Clientes!$A$2:$J$486,9,FALSE)</f>
        <v>Frecuente</v>
      </c>
      <c r="AB3141" s="13" t="str">
        <f>VLOOKUP(D3141,Clientes!$A$2:$K$486,11,FALSE)</f>
        <v>Persona Natural</v>
      </c>
      <c r="AC3141" s="13" t="str">
        <f>VLOOKUP(D3141,Clientes!$A$2:$B$486,2,FALSE)</f>
        <v>Jardin del Eden</v>
      </c>
      <c r="AD3141" s="20"/>
      <c r="AE3141" s="20"/>
      <c r="AF3141" s="13" t="s">
        <v>40</v>
      </c>
      <c r="AG3141" s="15">
        <v>45323</v>
      </c>
      <c r="AH3141" s="13" t="s">
        <v>41</v>
      </c>
      <c r="AI3141" s="13" t="s">
        <v>53</v>
      </c>
      <c r="AJ3141" s="13" t="str">
        <f>VLOOKUP(E3141,Precios!Z$2:AA$941,2,FALSE)</f>
        <v>Toalla Papel NOVA 70 metros</v>
      </c>
      <c r="AK3141" s="14">
        <f>VLOOKUP(E3141,Precios!Z$2:BB$941,3,FALSE)*F3141</f>
        <v>-2</v>
      </c>
      <c r="AL3141" s="17"/>
      <c r="AM3141" s="17"/>
      <c r="AN3141" s="17"/>
      <c r="AO3141" s="17"/>
      <c r="AP3141" s="17"/>
      <c r="AQ3141" s="17"/>
      <c r="AR3141" s="17"/>
      <c r="AS3141" s="17"/>
      <c r="AT3141" s="17"/>
      <c r="AU3141" s="17"/>
      <c r="AV3141" s="17"/>
    </row>
    <row r="3142" spans="1:48" ht="15.75" customHeight="1">
      <c r="A3142" s="21" t="s">
        <v>76</v>
      </c>
      <c r="B3142" s="23" t="s">
        <v>1692</v>
      </c>
      <c r="C3142" s="22">
        <v>45695</v>
      </c>
      <c r="D3142" s="23" t="s">
        <v>172</v>
      </c>
      <c r="E3142" s="23" t="s">
        <v>194</v>
      </c>
      <c r="F3142" s="21">
        <v>1</v>
      </c>
      <c r="G3142" s="12">
        <v>2400</v>
      </c>
      <c r="H3142" s="12">
        <v>2400</v>
      </c>
      <c r="I3142" s="23" t="s">
        <v>52</v>
      </c>
      <c r="J3142" s="23" t="s">
        <v>61</v>
      </c>
      <c r="K3142" s="24" t="s">
        <v>177</v>
      </c>
      <c r="L3142" s="24">
        <v>100</v>
      </c>
      <c r="M3142" s="12">
        <v>2016.8067226890757</v>
      </c>
      <c r="N3142" s="12">
        <v>2016.8067226890757</v>
      </c>
      <c r="O3142" s="12">
        <v>383.19327731092426</v>
      </c>
      <c r="P3142" s="13"/>
      <c r="Q3142" s="14">
        <v>2025</v>
      </c>
      <c r="R3142" s="15">
        <v>45323</v>
      </c>
      <c r="S3142" s="11" t="s">
        <v>442</v>
      </c>
      <c r="T3142" s="16">
        <v>0</v>
      </c>
      <c r="U3142" s="17"/>
      <c r="V3142" s="12">
        <v>959.6638655462184</v>
      </c>
      <c r="W3142" s="12">
        <v>959.6638655462184</v>
      </c>
      <c r="X3142" s="12">
        <v>0</v>
      </c>
      <c r="Y3142" s="18">
        <v>45691</v>
      </c>
      <c r="Z3142" s="13" t="s">
        <v>503</v>
      </c>
      <c r="AA3142" s="19" t="str">
        <f>VLOOKUP(D3142,Clientes!$A$2:$J$486,9,FALSE)</f>
        <v>Frecuente</v>
      </c>
      <c r="AB3142" s="13" t="str">
        <f>VLOOKUP(D3142,Clientes!$A$2:$K$486,11,FALSE)</f>
        <v>Persona Natural</v>
      </c>
      <c r="AC3142" s="13" t="str">
        <f>VLOOKUP(D3142,Clientes!$A$2:$B$486,2,FALSE)</f>
        <v>Jardin del Eden</v>
      </c>
      <c r="AD3142" s="20"/>
      <c r="AE3142" s="20"/>
      <c r="AF3142" s="13" t="s">
        <v>40</v>
      </c>
      <c r="AG3142" s="15">
        <v>45323</v>
      </c>
      <c r="AH3142" s="13" t="s">
        <v>41</v>
      </c>
      <c r="AI3142" s="13" t="s">
        <v>76</v>
      </c>
      <c r="AJ3142" s="13" t="str">
        <f>VLOOKUP(E3142,Precios!Z$2:AA$941,2,FALSE)</f>
        <v>CIF 750 cc</v>
      </c>
      <c r="AK3142" s="14">
        <f>VLOOKUP(E3142,Precios!Z$2:BB$941,3,FALSE)*F3142</f>
        <v>-1</v>
      </c>
      <c r="AL3142" s="17"/>
      <c r="AM3142" s="17"/>
      <c r="AN3142" s="17"/>
      <c r="AO3142" s="17"/>
      <c r="AP3142" s="17"/>
      <c r="AQ3142" s="17"/>
      <c r="AR3142" s="17"/>
      <c r="AS3142" s="17"/>
      <c r="AT3142" s="17"/>
      <c r="AU3142" s="17"/>
      <c r="AV3142" s="17"/>
    </row>
    <row r="3143" spans="1:48" ht="15.75" customHeight="1">
      <c r="A3143" s="21" t="s">
        <v>64</v>
      </c>
      <c r="B3143" s="23" t="s">
        <v>1692</v>
      </c>
      <c r="C3143" s="22">
        <v>45695</v>
      </c>
      <c r="D3143" s="23" t="s">
        <v>213</v>
      </c>
      <c r="E3143" s="23" t="s">
        <v>173</v>
      </c>
      <c r="F3143" s="21">
        <v>1</v>
      </c>
      <c r="G3143" s="12">
        <v>24000.188902007081</v>
      </c>
      <c r="H3143" s="12">
        <v>24000.188902007081</v>
      </c>
      <c r="I3143" s="23" t="s">
        <v>52</v>
      </c>
      <c r="J3143" s="23" t="s">
        <v>61</v>
      </c>
      <c r="K3143" s="24" t="s">
        <v>177</v>
      </c>
      <c r="L3143" s="24">
        <v>100</v>
      </c>
      <c r="M3143" s="12">
        <v>20168.225968073177</v>
      </c>
      <c r="N3143" s="12">
        <v>20168.225968073177</v>
      </c>
      <c r="O3143" s="12">
        <v>3831.9629339339044</v>
      </c>
      <c r="P3143" s="13"/>
      <c r="Q3143" s="14">
        <v>2025</v>
      </c>
      <c r="R3143" s="15">
        <v>45323</v>
      </c>
      <c r="S3143" s="11" t="s">
        <v>64</v>
      </c>
      <c r="T3143" s="16">
        <v>3</v>
      </c>
      <c r="U3143" s="17"/>
      <c r="V3143" s="12">
        <v>3085.7385731151953</v>
      </c>
      <c r="W3143" s="12">
        <v>3085.7385731151953</v>
      </c>
      <c r="X3143" s="12">
        <v>0</v>
      </c>
      <c r="Y3143" s="18">
        <v>45691</v>
      </c>
      <c r="Z3143" s="13" t="s">
        <v>503</v>
      </c>
      <c r="AA3143" s="19" t="str">
        <f>VLOOKUP(D3143,Clientes!$A$2:$J$486,9,FALSE)</f>
        <v>Ocacional</v>
      </c>
      <c r="AB3143" s="13" t="str">
        <f>VLOOKUP(D3143,Clientes!$A$2:$K$486,11,FALSE)</f>
        <v>Persona Natural</v>
      </c>
      <c r="AC3143" s="13" t="str">
        <f>VLOOKUP(D3143,Clientes!$A$2:$B$486,2,FALSE)</f>
        <v>Jardin del eden</v>
      </c>
      <c r="AD3143" s="20"/>
      <c r="AE3143" s="20"/>
      <c r="AF3143" s="13" t="s">
        <v>40</v>
      </c>
      <c r="AG3143" s="15">
        <v>45323</v>
      </c>
      <c r="AH3143" s="13" t="s">
        <v>41</v>
      </c>
      <c r="AI3143" s="13" t="s">
        <v>64</v>
      </c>
      <c r="AJ3143" s="13" t="str">
        <f>VLOOKUP(E3143,Precios!Z$2:AA$941,2,FALSE)</f>
        <v>Longanizas VILLABLANCA</v>
      </c>
      <c r="AK3143" s="14">
        <f>VLOOKUP(E3143,Precios!Z$2:BB$941,3,FALSE)*F3143</f>
        <v>-3</v>
      </c>
      <c r="AL3143" s="17"/>
      <c r="AM3143" s="17"/>
      <c r="AN3143" s="17"/>
      <c r="AO3143" s="17"/>
      <c r="AP3143" s="17"/>
      <c r="AQ3143" s="17"/>
      <c r="AR3143" s="17"/>
      <c r="AS3143" s="17"/>
      <c r="AT3143" s="17"/>
      <c r="AU3143" s="17"/>
      <c r="AV3143" s="17"/>
    </row>
    <row r="3144" spans="1:48" ht="15.75" customHeight="1">
      <c r="A3144" s="21" t="s">
        <v>53</v>
      </c>
      <c r="B3144" s="23" t="s">
        <v>1692</v>
      </c>
      <c r="C3144" s="22">
        <v>45695</v>
      </c>
      <c r="D3144" s="23" t="s">
        <v>68</v>
      </c>
      <c r="E3144" s="23" t="s">
        <v>109</v>
      </c>
      <c r="F3144" s="23">
        <v>1</v>
      </c>
      <c r="G3144" s="12">
        <v>10000</v>
      </c>
      <c r="H3144" s="12">
        <v>10000</v>
      </c>
      <c r="I3144" s="23" t="s">
        <v>52</v>
      </c>
      <c r="J3144" s="23" t="s">
        <v>61</v>
      </c>
      <c r="K3144" s="24" t="s">
        <v>86</v>
      </c>
      <c r="L3144" s="24">
        <v>53</v>
      </c>
      <c r="M3144" s="12">
        <v>8403.361344537816</v>
      </c>
      <c r="N3144" s="12">
        <v>8403.361344537816</v>
      </c>
      <c r="O3144" s="12">
        <v>1596.638655462184</v>
      </c>
      <c r="P3144" s="13"/>
      <c r="Q3144" s="14">
        <v>2025</v>
      </c>
      <c r="R3144" s="15">
        <v>45323</v>
      </c>
      <c r="S3144" s="36" t="s">
        <v>395</v>
      </c>
      <c r="T3144" s="16">
        <v>400</v>
      </c>
      <c r="U3144" s="17"/>
      <c r="V3144" s="12">
        <v>2100.8403361344544</v>
      </c>
      <c r="W3144" s="12">
        <v>2100.8403361344544</v>
      </c>
      <c r="X3144" s="12">
        <v>0</v>
      </c>
      <c r="Y3144" s="18">
        <v>45691</v>
      </c>
      <c r="Z3144" s="13" t="s">
        <v>503</v>
      </c>
      <c r="AA3144" s="19" t="str">
        <f>VLOOKUP(D3144,Clientes!$A$2:$J$486,9,FALSE)</f>
        <v>Frecuente</v>
      </c>
      <c r="AB3144" s="13" t="str">
        <f>VLOOKUP(D3144,Clientes!$A$2:$K$486,11,FALSE)</f>
        <v>Empresa</v>
      </c>
      <c r="AC3144" s="13" t="str">
        <f>VLOOKUP(D3144,Clientes!$A$2:$B$486,2,FALSE)</f>
        <v>Jardines de la viña</v>
      </c>
      <c r="AD3144" s="20"/>
      <c r="AE3144" s="20"/>
      <c r="AF3144" s="13" t="s">
        <v>40</v>
      </c>
      <c r="AG3144" s="15">
        <v>45323</v>
      </c>
      <c r="AH3144" s="13" t="s">
        <v>41</v>
      </c>
      <c r="AI3144" s="13" t="s">
        <v>53</v>
      </c>
      <c r="AJ3144" s="13" t="str">
        <f>VLOOKUP(E3144,Precios!Z$2:AA$941,2,FALSE)</f>
        <v>Toalla Papel SPUM D/H 100 metros</v>
      </c>
      <c r="AK3144" s="14">
        <f>VLOOKUP(E3144,Precios!Z$2:BB$941,3,FALSE)*F3144</f>
        <v>-4</v>
      </c>
      <c r="AL3144" s="17"/>
      <c r="AM3144" s="17"/>
      <c r="AN3144" s="17"/>
      <c r="AO3144" s="17"/>
      <c r="AP3144" s="17"/>
      <c r="AQ3144" s="17"/>
      <c r="AR3144" s="17"/>
      <c r="AS3144" s="17"/>
      <c r="AT3144" s="17"/>
      <c r="AU3144" s="17"/>
      <c r="AV3144" s="17"/>
    </row>
    <row r="3145" spans="1:48" ht="15.75" customHeight="1">
      <c r="A3145" s="23" t="s">
        <v>47</v>
      </c>
      <c r="B3145" s="23" t="s">
        <v>1692</v>
      </c>
      <c r="C3145" s="22">
        <v>45695</v>
      </c>
      <c r="D3145" s="23" t="s">
        <v>68</v>
      </c>
      <c r="E3145" s="23" t="s">
        <v>71</v>
      </c>
      <c r="F3145" s="23">
        <v>2</v>
      </c>
      <c r="G3145" s="12">
        <v>2500</v>
      </c>
      <c r="H3145" s="12">
        <v>5000</v>
      </c>
      <c r="I3145" s="23" t="s">
        <v>52</v>
      </c>
      <c r="J3145" s="23" t="s">
        <v>61</v>
      </c>
      <c r="K3145" s="24" t="s">
        <v>86</v>
      </c>
      <c r="L3145" s="24">
        <v>53</v>
      </c>
      <c r="M3145" s="12">
        <v>2100.840336134454</v>
      </c>
      <c r="N3145" s="12">
        <v>4201.680672268908</v>
      </c>
      <c r="O3145" s="12">
        <v>798.31932773109202</v>
      </c>
      <c r="P3145" s="13"/>
      <c r="Q3145" s="14">
        <v>2025</v>
      </c>
      <c r="R3145" s="15">
        <v>45323</v>
      </c>
      <c r="S3145" s="36" t="s">
        <v>414</v>
      </c>
      <c r="T3145" s="16">
        <v>0</v>
      </c>
      <c r="U3145" s="17"/>
      <c r="V3145" s="12">
        <v>1243.6974789915971</v>
      </c>
      <c r="W3145" s="12">
        <v>1243.6974789915971</v>
      </c>
      <c r="X3145" s="12">
        <v>0</v>
      </c>
      <c r="Y3145" s="18">
        <v>45691</v>
      </c>
      <c r="Z3145" s="13" t="s">
        <v>503</v>
      </c>
      <c r="AA3145" s="19" t="str">
        <f>VLOOKUP(D3145,Clientes!$A$2:$J$486,9,FALSE)</f>
        <v>Frecuente</v>
      </c>
      <c r="AB3145" s="13" t="str">
        <f>VLOOKUP(D3145,Clientes!$A$2:$K$486,11,FALSE)</f>
        <v>Empresa</v>
      </c>
      <c r="AC3145" s="13" t="str">
        <f>VLOOKUP(D3145,Clientes!$A$2:$B$486,2,FALSE)</f>
        <v>Jardines de la viña</v>
      </c>
      <c r="AD3145" s="20"/>
      <c r="AE3145" s="20"/>
      <c r="AF3145" s="13" t="s">
        <v>40</v>
      </c>
      <c r="AG3145" s="15">
        <v>45323</v>
      </c>
      <c r="AH3145" s="13" t="s">
        <v>41</v>
      </c>
      <c r="AI3145" s="13" t="s">
        <v>47</v>
      </c>
      <c r="AJ3145" s="13" t="str">
        <f>VLOOKUP(E3145,Precios!Z$2:AA$941,2,FALSE)</f>
        <v>Toalla desinfectante IGENIX 50 unidades</v>
      </c>
      <c r="AK3145" s="14">
        <f>VLOOKUP(E3145,Precios!Z$2:BB$941,3,FALSE)*F3145</f>
        <v>-2</v>
      </c>
      <c r="AL3145" s="17"/>
      <c r="AM3145" s="17"/>
      <c r="AN3145" s="17"/>
      <c r="AO3145" s="17"/>
      <c r="AP3145" s="17"/>
      <c r="AQ3145" s="17"/>
      <c r="AR3145" s="17"/>
      <c r="AS3145" s="17"/>
      <c r="AT3145" s="17"/>
      <c r="AU3145" s="17"/>
      <c r="AV3145" s="17"/>
    </row>
    <row r="3146" spans="1:48" ht="15.75" customHeight="1">
      <c r="A3146" s="21" t="s">
        <v>43</v>
      </c>
      <c r="B3146" s="23" t="s">
        <v>1692</v>
      </c>
      <c r="C3146" s="22">
        <v>45695</v>
      </c>
      <c r="D3146" s="23" t="s">
        <v>68</v>
      </c>
      <c r="E3146" s="23" t="s">
        <v>45</v>
      </c>
      <c r="F3146" s="23">
        <v>1</v>
      </c>
      <c r="G3146" s="12">
        <v>6300.1913812446392</v>
      </c>
      <c r="H3146" s="12">
        <v>6300.1913812446392</v>
      </c>
      <c r="I3146" s="23" t="s">
        <v>52</v>
      </c>
      <c r="J3146" s="23" t="s">
        <v>61</v>
      </c>
      <c r="K3146" s="24" t="s">
        <v>86</v>
      </c>
      <c r="L3146" s="24">
        <v>53</v>
      </c>
      <c r="M3146" s="12">
        <v>5294.2784716341512</v>
      </c>
      <c r="N3146" s="12">
        <v>5294.2784716341512</v>
      </c>
      <c r="O3146" s="12">
        <v>1005.912909610488</v>
      </c>
      <c r="P3146" s="13"/>
      <c r="Q3146" s="14">
        <v>2025</v>
      </c>
      <c r="R3146" s="15">
        <v>45323</v>
      </c>
      <c r="S3146" s="36" t="s">
        <v>355</v>
      </c>
      <c r="T3146" s="16">
        <v>0</v>
      </c>
      <c r="U3146" s="17"/>
      <c r="V3146" s="12">
        <v>1283.0683876005369</v>
      </c>
      <c r="W3146" s="12">
        <v>1283.0683876005369</v>
      </c>
      <c r="X3146" s="12">
        <v>0</v>
      </c>
      <c r="Y3146" s="18">
        <v>45691</v>
      </c>
      <c r="Z3146" s="13" t="s">
        <v>503</v>
      </c>
      <c r="AA3146" s="19" t="str">
        <f>VLOOKUP(D3146,Clientes!$A$2:$J$486,9,FALSE)</f>
        <v>Frecuente</v>
      </c>
      <c r="AB3146" s="13" t="str">
        <f>VLOOKUP(D3146,Clientes!$A$2:$K$486,11,FALSE)</f>
        <v>Empresa</v>
      </c>
      <c r="AC3146" s="13" t="str">
        <f>VLOOKUP(D3146,Clientes!$A$2:$B$486,2,FALSE)</f>
        <v>Jardines de la viña</v>
      </c>
      <c r="AD3146" s="20"/>
      <c r="AE3146" s="20"/>
      <c r="AF3146" s="13" t="s">
        <v>40</v>
      </c>
      <c r="AG3146" s="15">
        <v>45323</v>
      </c>
      <c r="AH3146" s="13" t="s">
        <v>41</v>
      </c>
      <c r="AI3146" s="13" t="s">
        <v>43</v>
      </c>
      <c r="AJ3146" s="13" t="str">
        <f>VLOOKUP(E3146,Precios!Z$2:AA$941,2,FALSE)</f>
        <v>Bandeja Huevos EXTRA</v>
      </c>
      <c r="AK3146" s="14">
        <f>VLOOKUP(E3146,Precios!Z$2:BB$941,3,FALSE)*F3146</f>
        <v>-1</v>
      </c>
      <c r="AL3146" s="17"/>
      <c r="AM3146" s="17"/>
      <c r="AN3146" s="17"/>
      <c r="AO3146" s="17"/>
      <c r="AP3146" s="17"/>
      <c r="AQ3146" s="17"/>
      <c r="AR3146" s="17"/>
      <c r="AS3146" s="17"/>
      <c r="AT3146" s="17"/>
      <c r="AU3146" s="17"/>
      <c r="AV3146" s="17"/>
    </row>
    <row r="3147" spans="1:48" ht="15.75" customHeight="1">
      <c r="A3147" s="23" t="s">
        <v>53</v>
      </c>
      <c r="B3147" s="23" t="s">
        <v>1692</v>
      </c>
      <c r="C3147" s="22">
        <v>45695</v>
      </c>
      <c r="D3147" s="23" t="s">
        <v>68</v>
      </c>
      <c r="E3147" s="23" t="s">
        <v>70</v>
      </c>
      <c r="F3147" s="23">
        <v>1</v>
      </c>
      <c r="G3147" s="12">
        <v>5000.3257328990221</v>
      </c>
      <c r="H3147" s="12">
        <v>5000.3257328990221</v>
      </c>
      <c r="I3147" s="23" t="s">
        <v>52</v>
      </c>
      <c r="J3147" s="23" t="s">
        <v>61</v>
      </c>
      <c r="K3147" s="24" t="s">
        <v>86</v>
      </c>
      <c r="L3147" s="24">
        <v>53</v>
      </c>
      <c r="M3147" s="12">
        <v>4201.9543973941363</v>
      </c>
      <c r="N3147" s="12">
        <v>4201.9543973941363</v>
      </c>
      <c r="O3147" s="12">
        <v>798.37133550488579</v>
      </c>
      <c r="P3147" s="13"/>
      <c r="Q3147" s="14">
        <v>2025</v>
      </c>
      <c r="R3147" s="15">
        <v>45323</v>
      </c>
      <c r="S3147" s="36" t="s">
        <v>381</v>
      </c>
      <c r="T3147" s="16">
        <v>300</v>
      </c>
      <c r="U3147" s="17"/>
      <c r="V3147" s="12">
        <v>2008.9543973941363</v>
      </c>
      <c r="W3147" s="12">
        <v>2008.9543973941363</v>
      </c>
      <c r="X3147" s="12">
        <v>0</v>
      </c>
      <c r="Y3147" s="18">
        <v>45691</v>
      </c>
      <c r="Z3147" s="13" t="s">
        <v>503</v>
      </c>
      <c r="AA3147" s="19" t="str">
        <f>VLOOKUP(D3147,Clientes!$A$2:$J$486,9,FALSE)</f>
        <v>Frecuente</v>
      </c>
      <c r="AB3147" s="13" t="str">
        <f>VLOOKUP(D3147,Clientes!$A$2:$K$486,11,FALSE)</f>
        <v>Empresa</v>
      </c>
      <c r="AC3147" s="13" t="str">
        <f>VLOOKUP(D3147,Clientes!$A$2:$B$486,2,FALSE)</f>
        <v>Jardines de la viña</v>
      </c>
      <c r="AD3147" s="20"/>
      <c r="AE3147" s="20"/>
      <c r="AF3147" s="13" t="s">
        <v>40</v>
      </c>
      <c r="AG3147" s="15">
        <v>45323</v>
      </c>
      <c r="AH3147" s="13" t="s">
        <v>41</v>
      </c>
      <c r="AI3147" s="13" t="s">
        <v>53</v>
      </c>
      <c r="AJ3147" s="13" t="str">
        <f>VLOOKUP(E3147,Precios!Z$2:AA$941,2,FALSE)</f>
        <v>Servilletas SOFTQUALITY 300 unidades</v>
      </c>
      <c r="AK3147" s="14">
        <f>VLOOKUP(E3147,Precios!Z$2:BB$941,3,FALSE)*F3147</f>
        <v>-3</v>
      </c>
      <c r="AL3147" s="17"/>
      <c r="AM3147" s="17"/>
      <c r="AN3147" s="17"/>
      <c r="AO3147" s="17"/>
      <c r="AP3147" s="17"/>
      <c r="AQ3147" s="17"/>
      <c r="AR3147" s="17"/>
      <c r="AS3147" s="17"/>
      <c r="AT3147" s="17"/>
      <c r="AU3147" s="17"/>
      <c r="AV3147" s="17"/>
    </row>
    <row r="3148" spans="1:48" ht="15.75" customHeight="1">
      <c r="A3148" s="23" t="s">
        <v>35</v>
      </c>
      <c r="B3148" s="13" t="s">
        <v>558</v>
      </c>
      <c r="C3148" s="25">
        <v>45694</v>
      </c>
      <c r="D3148" s="23" t="s">
        <v>240</v>
      </c>
      <c r="E3148" s="23" t="s">
        <v>37</v>
      </c>
      <c r="F3148" s="23">
        <v>1</v>
      </c>
      <c r="G3148" s="12">
        <v>10500</v>
      </c>
      <c r="H3148" s="12">
        <v>10500</v>
      </c>
      <c r="I3148" s="23" t="s">
        <v>52</v>
      </c>
      <c r="J3148" s="23" t="s">
        <v>61</v>
      </c>
      <c r="K3148" s="24" t="s">
        <v>177</v>
      </c>
      <c r="L3148" s="24">
        <v>100</v>
      </c>
      <c r="M3148" s="12">
        <v>8823.5294117647063</v>
      </c>
      <c r="N3148" s="12">
        <v>8823.5294117647063</v>
      </c>
      <c r="O3148" s="12">
        <v>1676.4705882352937</v>
      </c>
      <c r="P3148" s="13"/>
      <c r="Q3148" s="14">
        <v>2025</v>
      </c>
      <c r="R3148" s="15">
        <v>45323</v>
      </c>
      <c r="S3148" s="36" t="s">
        <v>364</v>
      </c>
      <c r="T3148" s="16">
        <v>1000</v>
      </c>
      <c r="U3148" s="17"/>
      <c r="V3148" s="12">
        <v>2385.7142857142853</v>
      </c>
      <c r="W3148" s="12">
        <v>1192.8571428571427</v>
      </c>
      <c r="X3148" s="12">
        <v>1192.8571428571427</v>
      </c>
      <c r="Y3148" s="18">
        <v>45691</v>
      </c>
      <c r="Z3148" s="13" t="s">
        <v>505</v>
      </c>
      <c r="AA3148" s="19" t="str">
        <f>VLOOKUP(D3148,Clientes!$A$2:$J$486,9,FALSE)</f>
        <v>Ocacional</v>
      </c>
      <c r="AB3148" s="13" t="str">
        <f>VLOOKUP(D3148,Clientes!$A$2:$K$486,11,FALSE)</f>
        <v>Persona Natural</v>
      </c>
      <c r="AC3148" s="13" t="str">
        <f>VLOOKUP(D3148,Clientes!$A$2:$B$486,2,FALSE)</f>
        <v>Jardines de la viña</v>
      </c>
      <c r="AD3148" s="30" t="s">
        <v>40</v>
      </c>
      <c r="AE3148" s="30" t="s">
        <v>754</v>
      </c>
      <c r="AF3148" s="13" t="s">
        <v>40</v>
      </c>
      <c r="AG3148" s="15">
        <v>45323</v>
      </c>
      <c r="AH3148" s="13" t="s">
        <v>41</v>
      </c>
      <c r="AI3148" s="13" t="s">
        <v>35</v>
      </c>
      <c r="AJ3148" s="13" t="str">
        <f>VLOOKUP(E3148,Precios!Z$2:AA$941,2,FALSE)</f>
        <v>Queso RUNCA Mantecoso</v>
      </c>
      <c r="AK3148" s="14">
        <f>VLOOKUP(E3148,Precios!Z$2:BB$941,3,FALSE)*F3148</f>
        <v>-1</v>
      </c>
      <c r="AL3148" s="17"/>
      <c r="AM3148" s="17"/>
      <c r="AN3148" s="17"/>
      <c r="AO3148" s="17"/>
      <c r="AP3148" s="17"/>
      <c r="AQ3148" s="17"/>
      <c r="AR3148" s="17"/>
      <c r="AS3148" s="17"/>
      <c r="AT3148" s="17"/>
      <c r="AU3148" s="17"/>
      <c r="AV3148" s="17"/>
    </row>
    <row r="3149" spans="1:48" ht="15.75" customHeight="1">
      <c r="A3149" s="23" t="s">
        <v>76</v>
      </c>
      <c r="B3149" s="13" t="s">
        <v>558</v>
      </c>
      <c r="C3149" s="25">
        <v>45694</v>
      </c>
      <c r="D3149" s="13" t="s">
        <v>247</v>
      </c>
      <c r="E3149" s="23" t="s">
        <v>77</v>
      </c>
      <c r="F3149" s="21">
        <v>2</v>
      </c>
      <c r="G3149" s="12">
        <v>1500.0000000000002</v>
      </c>
      <c r="H3149" s="12">
        <v>3000.0000000000005</v>
      </c>
      <c r="I3149" s="23" t="s">
        <v>52</v>
      </c>
      <c r="J3149" s="23" t="s">
        <v>61</v>
      </c>
      <c r="K3149" s="24" t="s">
        <v>177</v>
      </c>
      <c r="L3149" s="24">
        <v>100</v>
      </c>
      <c r="M3149" s="12">
        <v>1260.5042016806726</v>
      </c>
      <c r="N3149" s="12">
        <v>2521.0084033613452</v>
      </c>
      <c r="O3149" s="12">
        <v>478.99159663865521</v>
      </c>
      <c r="P3149" s="13"/>
      <c r="Q3149" s="14">
        <v>2025</v>
      </c>
      <c r="R3149" s="15">
        <v>45323</v>
      </c>
      <c r="S3149" s="36" t="s">
        <v>448</v>
      </c>
      <c r="T3149" s="16">
        <v>0</v>
      </c>
      <c r="U3149" s="17"/>
      <c r="V3149" s="12">
        <v>842.01680672268935</v>
      </c>
      <c r="W3149" s="12">
        <v>631.51260504201696</v>
      </c>
      <c r="X3149" s="12">
        <v>210.50420168067234</v>
      </c>
      <c r="Y3149" s="18">
        <v>45691</v>
      </c>
      <c r="Z3149" s="13" t="s">
        <v>505</v>
      </c>
      <c r="AA3149" s="19" t="str">
        <f>VLOOKUP(D3149,Clientes!$A$2:$J$486,9,FALSE)</f>
        <v>Frecuente</v>
      </c>
      <c r="AB3149" s="13" t="str">
        <f>VLOOKUP(D3149,Clientes!$A$2:$K$486,11,FALSE)</f>
        <v>Persona Natural</v>
      </c>
      <c r="AC3149" s="13" t="str">
        <f>VLOOKUP(D3149,Clientes!$A$2:$B$486,2,FALSE)</f>
        <v>Jardin del eden</v>
      </c>
      <c r="AD3149" s="30" t="s">
        <v>40</v>
      </c>
      <c r="AE3149" s="30" t="s">
        <v>754</v>
      </c>
      <c r="AF3149" s="13" t="s">
        <v>40</v>
      </c>
      <c r="AG3149" s="15">
        <v>45323</v>
      </c>
      <c r="AH3149" s="13" t="s">
        <v>41</v>
      </c>
      <c r="AI3149" s="13" t="s">
        <v>76</v>
      </c>
      <c r="AJ3149" s="13" t="str">
        <f>VLOOKUP(E3149,Precios!Z$2:AA$941,2,FALSE)</f>
        <v>Cloro GEL IGENIX 900ml</v>
      </c>
      <c r="AK3149" s="14">
        <f>VLOOKUP(E3149,Precios!Z$2:BB$941,3,FALSE)*F3149</f>
        <v>-2</v>
      </c>
      <c r="AL3149" s="17"/>
      <c r="AM3149" s="17"/>
      <c r="AN3149" s="17"/>
      <c r="AO3149" s="17"/>
      <c r="AP3149" s="17"/>
      <c r="AQ3149" s="17"/>
      <c r="AR3149" s="17"/>
      <c r="AS3149" s="17"/>
      <c r="AT3149" s="17"/>
      <c r="AU3149" s="17"/>
      <c r="AV3149" s="17"/>
    </row>
    <row r="3150" spans="1:48" ht="15.75" customHeight="1">
      <c r="A3150" s="13" t="s">
        <v>47</v>
      </c>
      <c r="B3150" s="13" t="s">
        <v>558</v>
      </c>
      <c r="C3150" s="25">
        <v>45694</v>
      </c>
      <c r="D3150" s="13" t="s">
        <v>247</v>
      </c>
      <c r="E3150" s="23" t="s">
        <v>169</v>
      </c>
      <c r="F3150" s="14">
        <v>1</v>
      </c>
      <c r="G3150" s="12">
        <v>1650.3934426229507</v>
      </c>
      <c r="H3150" s="12">
        <v>1650.3934426229507</v>
      </c>
      <c r="I3150" s="23" t="s">
        <v>52</v>
      </c>
      <c r="J3150" s="23" t="s">
        <v>61</v>
      </c>
      <c r="K3150" s="24" t="s">
        <v>177</v>
      </c>
      <c r="L3150" s="24">
        <v>100</v>
      </c>
      <c r="M3150" s="12">
        <v>1386.8852459016393</v>
      </c>
      <c r="N3150" s="12">
        <v>1386.8852459016393</v>
      </c>
      <c r="O3150" s="12">
        <v>263.50819672131138</v>
      </c>
      <c r="P3150" s="13"/>
      <c r="Q3150" s="14">
        <v>2025</v>
      </c>
      <c r="R3150" s="15">
        <v>45323</v>
      </c>
      <c r="S3150" s="36" t="s">
        <v>453</v>
      </c>
      <c r="T3150" s="16">
        <v>0</v>
      </c>
      <c r="U3150" s="17"/>
      <c r="V3150" s="12">
        <v>540.88524590163934</v>
      </c>
      <c r="W3150" s="12">
        <v>405.6639344262295</v>
      </c>
      <c r="X3150" s="12">
        <v>135.22131147540983</v>
      </c>
      <c r="Y3150" s="18">
        <v>45691</v>
      </c>
      <c r="Z3150" s="13" t="s">
        <v>505</v>
      </c>
      <c r="AA3150" s="19" t="str">
        <f>VLOOKUP(D3150,Clientes!$A$2:$J$486,9,FALSE)</f>
        <v>Frecuente</v>
      </c>
      <c r="AB3150" s="13" t="str">
        <f>VLOOKUP(D3150,Clientes!$A$2:$K$486,11,FALSE)</f>
        <v>Persona Natural</v>
      </c>
      <c r="AC3150" s="13" t="str">
        <f>VLOOKUP(D3150,Clientes!$A$2:$B$486,2,FALSE)</f>
        <v>Jardin del eden</v>
      </c>
      <c r="AD3150" s="30" t="s">
        <v>40</v>
      </c>
      <c r="AE3150" s="30" t="s">
        <v>754</v>
      </c>
      <c r="AF3150" s="13" t="s">
        <v>40</v>
      </c>
      <c r="AG3150" s="15">
        <v>45323</v>
      </c>
      <c r="AH3150" s="13" t="s">
        <v>41</v>
      </c>
      <c r="AI3150" s="13" t="s">
        <v>47</v>
      </c>
      <c r="AJ3150" s="13" t="str">
        <f>VLOOKUP(E3150,Precios!Z$2:AA$941,2,FALSE)</f>
        <v xml:space="preserve">Bolsas Basura TEDDY 45x55 con Asas </v>
      </c>
      <c r="AK3150" s="14">
        <f>VLOOKUP(E3150,Precios!Z$2:BB$941,3,FALSE)*F3150</f>
        <v>-3</v>
      </c>
      <c r="AL3150" s="17"/>
      <c r="AM3150" s="17"/>
      <c r="AN3150" s="17"/>
      <c r="AO3150" s="17"/>
      <c r="AP3150" s="17"/>
      <c r="AQ3150" s="17"/>
      <c r="AR3150" s="17"/>
      <c r="AS3150" s="17"/>
      <c r="AT3150" s="17"/>
      <c r="AU3150" s="17"/>
      <c r="AV3150" s="17"/>
    </row>
    <row r="3151" spans="1:48" ht="15.75" customHeight="1">
      <c r="A3151" s="13" t="s">
        <v>47</v>
      </c>
      <c r="B3151" s="13" t="s">
        <v>558</v>
      </c>
      <c r="C3151" s="25">
        <v>45694</v>
      </c>
      <c r="D3151" s="13" t="s">
        <v>247</v>
      </c>
      <c r="E3151" s="23" t="s">
        <v>562</v>
      </c>
      <c r="F3151" s="14">
        <v>1</v>
      </c>
      <c r="G3151" s="12">
        <v>6499.5824285952895</v>
      </c>
      <c r="H3151" s="12">
        <v>6499.5824285952895</v>
      </c>
      <c r="I3151" s="23" t="s">
        <v>52</v>
      </c>
      <c r="J3151" s="23" t="s">
        <v>61</v>
      </c>
      <c r="K3151" s="24" t="s">
        <v>177</v>
      </c>
      <c r="L3151" s="24">
        <v>100</v>
      </c>
      <c r="M3151" s="12">
        <v>5461.8339736094867</v>
      </c>
      <c r="N3151" s="12">
        <v>5461.8339736094867</v>
      </c>
      <c r="O3151" s="12">
        <v>1037.7484549858027</v>
      </c>
      <c r="P3151" s="13"/>
      <c r="Q3151" s="14">
        <v>2025</v>
      </c>
      <c r="R3151" s="15">
        <v>45323</v>
      </c>
      <c r="S3151" s="36" t="s">
        <v>453</v>
      </c>
      <c r="T3151" s="16">
        <v>0</v>
      </c>
      <c r="U3151" s="17"/>
      <c r="V3151" s="12">
        <v>2191.8339736094867</v>
      </c>
      <c r="W3151" s="12">
        <v>1643.8754802071151</v>
      </c>
      <c r="X3151" s="12">
        <v>547.95849340237169</v>
      </c>
      <c r="Y3151" s="18">
        <v>45691</v>
      </c>
      <c r="Z3151" s="13" t="s">
        <v>505</v>
      </c>
      <c r="AA3151" s="19" t="str">
        <f>VLOOKUP(D3151,Clientes!$A$2:$J$486,9,FALSE)</f>
        <v>Frecuente</v>
      </c>
      <c r="AB3151" s="13" t="str">
        <f>VLOOKUP(D3151,Clientes!$A$2:$K$486,11,FALSE)</f>
        <v>Persona Natural</v>
      </c>
      <c r="AC3151" s="13" t="str">
        <f>VLOOKUP(D3151,Clientes!$A$2:$B$486,2,FALSE)</f>
        <v>Jardin del eden</v>
      </c>
      <c r="AD3151" s="30" t="s">
        <v>40</v>
      </c>
      <c r="AE3151" s="30" t="s">
        <v>754</v>
      </c>
      <c r="AF3151" s="13" t="s">
        <v>40</v>
      </c>
      <c r="AG3151" s="15">
        <v>45323</v>
      </c>
      <c r="AH3151" s="13" t="s">
        <v>41</v>
      </c>
      <c r="AI3151" s="13" t="s">
        <v>47</v>
      </c>
      <c r="AJ3151" s="13" t="str">
        <f>VLOOKUP(E3151,Precios!Z$2:AA$941,2,FALSE)</f>
        <v xml:space="preserve">Bolsas Basura TEDDY 70x90 </v>
      </c>
      <c r="AK3151" s="14">
        <f>VLOOKUP(E3151,Precios!Z$2:BB$941,3,FALSE)*F3151</f>
        <v>-6</v>
      </c>
      <c r="AL3151" s="17"/>
      <c r="AM3151" s="17"/>
      <c r="AN3151" s="17"/>
      <c r="AO3151" s="17"/>
      <c r="AP3151" s="17"/>
      <c r="AQ3151" s="17"/>
      <c r="AR3151" s="17"/>
      <c r="AS3151" s="17"/>
      <c r="AT3151" s="17"/>
      <c r="AU3151" s="17"/>
      <c r="AV3151" s="17"/>
    </row>
    <row r="3152" spans="1:48" ht="15.75" customHeight="1">
      <c r="A3152" s="13" t="s">
        <v>47</v>
      </c>
      <c r="B3152" s="13" t="s">
        <v>558</v>
      </c>
      <c r="C3152" s="25">
        <v>45694</v>
      </c>
      <c r="D3152" s="13" t="s">
        <v>247</v>
      </c>
      <c r="E3152" s="23" t="s">
        <v>294</v>
      </c>
      <c r="F3152" s="21">
        <v>2</v>
      </c>
      <c r="G3152" s="12">
        <v>4199.9016948855005</v>
      </c>
      <c r="H3152" s="12">
        <v>8399.8033897710011</v>
      </c>
      <c r="I3152" s="23" t="s">
        <v>52</v>
      </c>
      <c r="J3152" s="23" t="s">
        <v>61</v>
      </c>
      <c r="K3152" s="24" t="s">
        <v>177</v>
      </c>
      <c r="L3152" s="24">
        <v>100</v>
      </c>
      <c r="M3152" s="12">
        <v>3529.3291553659669</v>
      </c>
      <c r="N3152" s="12">
        <v>7058.6583107319339</v>
      </c>
      <c r="O3152" s="12">
        <v>1341.1450790390672</v>
      </c>
      <c r="P3152" s="13"/>
      <c r="Q3152" s="14">
        <v>2025</v>
      </c>
      <c r="R3152" s="15">
        <v>45323</v>
      </c>
      <c r="S3152" s="36" t="s">
        <v>621</v>
      </c>
      <c r="T3152" s="16">
        <v>0</v>
      </c>
      <c r="U3152" s="17"/>
      <c r="V3152" s="12">
        <v>1697.3249773986008</v>
      </c>
      <c r="W3152" s="12">
        <v>1272.9937330489506</v>
      </c>
      <c r="X3152" s="12">
        <v>424.33124434965021</v>
      </c>
      <c r="Y3152" s="18">
        <v>45691</v>
      </c>
      <c r="Z3152" s="13" t="s">
        <v>505</v>
      </c>
      <c r="AA3152" s="19" t="str">
        <f>VLOOKUP(D3152,Clientes!$A$2:$J$486,9,FALSE)</f>
        <v>Frecuente</v>
      </c>
      <c r="AB3152" s="13" t="str">
        <f>VLOOKUP(D3152,Clientes!$A$2:$K$486,11,FALSE)</f>
        <v>Persona Natural</v>
      </c>
      <c r="AC3152" s="13" t="str">
        <f>VLOOKUP(D3152,Clientes!$A$2:$B$486,2,FALSE)</f>
        <v>Jardin del eden</v>
      </c>
      <c r="AD3152" s="30" t="s">
        <v>40</v>
      </c>
      <c r="AE3152" s="30" t="s">
        <v>754</v>
      </c>
      <c r="AF3152" s="13" t="s">
        <v>40</v>
      </c>
      <c r="AG3152" s="15">
        <v>45323</v>
      </c>
      <c r="AH3152" s="13" t="s">
        <v>41</v>
      </c>
      <c r="AI3152" s="13" t="s">
        <v>47</v>
      </c>
      <c r="AJ3152" s="13" t="str">
        <f>VLOOKUP(E3152,Precios!Z$2:AA$941,2,FALSE)</f>
        <v>Insecticida RAID 360 cc Todo Insecto (Morado)</v>
      </c>
      <c r="AK3152" s="14">
        <f>VLOOKUP(E3152,Precios!Z$2:BB$941,3,FALSE)*F3152</f>
        <v>-2</v>
      </c>
      <c r="AL3152" s="17"/>
      <c r="AM3152" s="17"/>
      <c r="AN3152" s="17"/>
      <c r="AO3152" s="17"/>
      <c r="AP3152" s="17"/>
      <c r="AQ3152" s="17"/>
      <c r="AR3152" s="17"/>
      <c r="AS3152" s="17"/>
      <c r="AT3152" s="17"/>
      <c r="AU3152" s="17"/>
      <c r="AV3152" s="17"/>
    </row>
    <row r="3153" spans="1:48" ht="15.75" customHeight="1">
      <c r="A3153" s="23" t="s">
        <v>147</v>
      </c>
      <c r="B3153" s="13" t="s">
        <v>558</v>
      </c>
      <c r="C3153" s="25">
        <v>45694</v>
      </c>
      <c r="D3153" s="13" t="s">
        <v>247</v>
      </c>
      <c r="E3153" s="23" t="s">
        <v>249</v>
      </c>
      <c r="F3153" s="23">
        <v>1</v>
      </c>
      <c r="G3153" s="12">
        <v>8000.4228329809721</v>
      </c>
      <c r="H3153" s="12">
        <v>8000.4228329809721</v>
      </c>
      <c r="I3153" s="23" t="s">
        <v>52</v>
      </c>
      <c r="J3153" s="23" t="s">
        <v>61</v>
      </c>
      <c r="K3153" s="24" t="s">
        <v>177</v>
      </c>
      <c r="L3153" s="24">
        <v>100</v>
      </c>
      <c r="M3153" s="12">
        <v>6723.0443974630025</v>
      </c>
      <c r="N3153" s="12">
        <v>6723.0443974630025</v>
      </c>
      <c r="O3153" s="12">
        <v>1277.3784355179696</v>
      </c>
      <c r="P3153" s="13"/>
      <c r="Q3153" s="14">
        <v>2025</v>
      </c>
      <c r="R3153" s="15">
        <v>45323</v>
      </c>
      <c r="S3153" s="36" t="s">
        <v>360</v>
      </c>
      <c r="T3153" s="16">
        <v>0</v>
      </c>
      <c r="U3153" s="17"/>
      <c r="V3153" s="12">
        <v>2271.0443974630016</v>
      </c>
      <c r="W3153" s="12">
        <v>1703.2832980972512</v>
      </c>
      <c r="X3153" s="12">
        <v>567.7610993657504</v>
      </c>
      <c r="Y3153" s="18">
        <v>45691</v>
      </c>
      <c r="Z3153" s="13" t="s">
        <v>505</v>
      </c>
      <c r="AA3153" s="19" t="str">
        <f>VLOOKUP(D3153,Clientes!$A$2:$J$486,9,FALSE)</f>
        <v>Frecuente</v>
      </c>
      <c r="AB3153" s="13" t="str">
        <f>VLOOKUP(D3153,Clientes!$A$2:$K$486,11,FALSE)</f>
        <v>Persona Natural</v>
      </c>
      <c r="AC3153" s="13" t="str">
        <f>VLOOKUP(D3153,Clientes!$A$2:$B$486,2,FALSE)</f>
        <v>Jardin del eden</v>
      </c>
      <c r="AD3153" s="30" t="s">
        <v>40</v>
      </c>
      <c r="AE3153" s="30" t="s">
        <v>754</v>
      </c>
      <c r="AF3153" s="13" t="s">
        <v>40</v>
      </c>
      <c r="AG3153" s="15">
        <v>45323</v>
      </c>
      <c r="AH3153" s="13" t="s">
        <v>41</v>
      </c>
      <c r="AI3153" s="13" t="s">
        <v>147</v>
      </c>
      <c r="AJ3153" s="13" t="str">
        <f>VLOOKUP(E3153,Precios!Z$2:AA$941,2,FALSE)</f>
        <v>Papel Aluminio 100 metros</v>
      </c>
      <c r="AK3153" s="14">
        <f>VLOOKUP(E3153,Precios!Z$2:BB$941,3,FALSE)*F3153</f>
        <v>-1</v>
      </c>
      <c r="AL3153" s="17"/>
      <c r="AM3153" s="17"/>
      <c r="AN3153" s="17"/>
      <c r="AO3153" s="17"/>
      <c r="AP3153" s="17"/>
      <c r="AQ3153" s="17"/>
      <c r="AR3153" s="17"/>
      <c r="AS3153" s="17"/>
      <c r="AT3153" s="17"/>
      <c r="AU3153" s="17"/>
      <c r="AV3153" s="17"/>
    </row>
    <row r="3154" spans="1:48" ht="15.75" customHeight="1">
      <c r="A3154" s="23" t="s">
        <v>147</v>
      </c>
      <c r="B3154" s="13" t="s">
        <v>558</v>
      </c>
      <c r="C3154" s="25">
        <v>45694</v>
      </c>
      <c r="D3154" s="13" t="s">
        <v>247</v>
      </c>
      <c r="E3154" s="23" t="s">
        <v>248</v>
      </c>
      <c r="F3154" s="23">
        <v>1</v>
      </c>
      <c r="G3154" s="12">
        <v>9000</v>
      </c>
      <c r="H3154" s="12">
        <v>9000</v>
      </c>
      <c r="I3154" s="23" t="s">
        <v>52</v>
      </c>
      <c r="J3154" s="23" t="s">
        <v>61</v>
      </c>
      <c r="K3154" s="24" t="s">
        <v>177</v>
      </c>
      <c r="L3154" s="24">
        <v>100</v>
      </c>
      <c r="M3154" s="12">
        <v>7563.0252100840344</v>
      </c>
      <c r="N3154" s="12">
        <v>7563.0252100840344</v>
      </c>
      <c r="O3154" s="12">
        <v>1436.9747899159656</v>
      </c>
      <c r="P3154" s="13"/>
      <c r="Q3154" s="14">
        <v>2025</v>
      </c>
      <c r="R3154" s="15">
        <v>45323</v>
      </c>
      <c r="S3154" s="36" t="s">
        <v>412</v>
      </c>
      <c r="T3154" s="16">
        <v>0</v>
      </c>
      <c r="U3154" s="17"/>
      <c r="V3154" s="12">
        <v>2773.1092436974795</v>
      </c>
      <c r="W3154" s="12">
        <v>2079.8319327731097</v>
      </c>
      <c r="X3154" s="12">
        <v>693.27731092436989</v>
      </c>
      <c r="Y3154" s="18">
        <v>45691</v>
      </c>
      <c r="Z3154" s="13" t="s">
        <v>505</v>
      </c>
      <c r="AA3154" s="19" t="str">
        <f>VLOOKUP(D3154,Clientes!$A$2:$J$486,9,FALSE)</f>
        <v>Frecuente</v>
      </c>
      <c r="AB3154" s="13" t="str">
        <f>VLOOKUP(D3154,Clientes!$A$2:$K$486,11,FALSE)</f>
        <v>Persona Natural</v>
      </c>
      <c r="AC3154" s="13" t="str">
        <f>VLOOKUP(D3154,Clientes!$A$2:$B$486,2,FALSE)</f>
        <v>Jardin del eden</v>
      </c>
      <c r="AD3154" s="30" t="s">
        <v>40</v>
      </c>
      <c r="AE3154" s="30" t="s">
        <v>754</v>
      </c>
      <c r="AF3154" s="13" t="s">
        <v>40</v>
      </c>
      <c r="AG3154" s="15">
        <v>45323</v>
      </c>
      <c r="AH3154" s="13" t="s">
        <v>41</v>
      </c>
      <c r="AI3154" s="13" t="s">
        <v>147</v>
      </c>
      <c r="AJ3154" s="13" t="str">
        <f>VLOOKUP(E3154,Precios!Z$2:AA$941,2,FALSE)</f>
        <v>Film Plástico 300 metros</v>
      </c>
      <c r="AK3154" s="14">
        <f>VLOOKUP(E3154,Precios!Z$2:BB$941,3,FALSE)*F3154</f>
        <v>-1</v>
      </c>
      <c r="AL3154" s="17"/>
      <c r="AM3154" s="17"/>
      <c r="AN3154" s="17"/>
      <c r="AO3154" s="17"/>
      <c r="AP3154" s="17"/>
      <c r="AQ3154" s="17"/>
      <c r="AR3154" s="17"/>
      <c r="AS3154" s="17"/>
      <c r="AT3154" s="17"/>
      <c r="AU3154" s="17"/>
      <c r="AV3154" s="17"/>
    </row>
    <row r="3155" spans="1:48" ht="15.75" customHeight="1">
      <c r="A3155" s="21" t="s">
        <v>47</v>
      </c>
      <c r="B3155" s="23" t="s">
        <v>558</v>
      </c>
      <c r="C3155" s="22">
        <v>45694</v>
      </c>
      <c r="D3155" s="23" t="s">
        <v>247</v>
      </c>
      <c r="E3155" s="23" t="s">
        <v>153</v>
      </c>
      <c r="F3155" s="21">
        <v>1</v>
      </c>
      <c r="G3155" s="12">
        <v>1700</v>
      </c>
      <c r="H3155" s="12">
        <v>1700</v>
      </c>
      <c r="I3155" s="23" t="s">
        <v>52</v>
      </c>
      <c r="J3155" s="23" t="s">
        <v>61</v>
      </c>
      <c r="K3155" s="24" t="s">
        <v>177</v>
      </c>
      <c r="L3155" s="24">
        <v>100</v>
      </c>
      <c r="M3155" s="12">
        <v>1428.5714285714287</v>
      </c>
      <c r="N3155" s="12">
        <v>1428.5714285714287</v>
      </c>
      <c r="O3155" s="12">
        <v>271.42857142857133</v>
      </c>
      <c r="P3155" s="13"/>
      <c r="Q3155" s="14">
        <v>2025</v>
      </c>
      <c r="R3155" s="15">
        <v>45323</v>
      </c>
      <c r="S3155" s="11" t="s">
        <v>153</v>
      </c>
      <c r="T3155" s="16">
        <v>0</v>
      </c>
      <c r="U3155" s="17"/>
      <c r="V3155" s="12">
        <v>589.57142857142867</v>
      </c>
      <c r="W3155" s="12">
        <v>442.1785714285715</v>
      </c>
      <c r="X3155" s="12">
        <v>147.39285714285717</v>
      </c>
      <c r="Y3155" s="18">
        <v>45691</v>
      </c>
      <c r="Z3155" s="13" t="s">
        <v>505</v>
      </c>
      <c r="AA3155" s="19" t="str">
        <f>VLOOKUP(D3155,Clientes!$A$2:$J$486,9,FALSE)</f>
        <v>Frecuente</v>
      </c>
      <c r="AB3155" s="13" t="str">
        <f>VLOOKUP(D3155,Clientes!$A$2:$K$486,11,FALSE)</f>
        <v>Persona Natural</v>
      </c>
      <c r="AC3155" s="13" t="str">
        <f>VLOOKUP(D3155,Clientes!$A$2:$B$486,2,FALSE)</f>
        <v>Jardin del eden</v>
      </c>
      <c r="AD3155" s="30" t="s">
        <v>40</v>
      </c>
      <c r="AE3155" s="30" t="s">
        <v>754</v>
      </c>
      <c r="AF3155" s="13" t="s">
        <v>40</v>
      </c>
      <c r="AG3155" s="15">
        <v>45323</v>
      </c>
      <c r="AH3155" s="13" t="s">
        <v>41</v>
      </c>
      <c r="AI3155" s="13" t="s">
        <v>47</v>
      </c>
      <c r="AJ3155" s="13" t="str">
        <f>VLOOKUP(E3155,Precios!Z$2:AA$941,2,FALSE)</f>
        <v>Escobillon TEDDY</v>
      </c>
      <c r="AK3155" s="14">
        <f>VLOOKUP(E3155,Precios!Z$2:BB$941,3,FALSE)*F3155</f>
        <v>-1</v>
      </c>
      <c r="AL3155" s="17"/>
      <c r="AM3155" s="17"/>
      <c r="AN3155" s="17"/>
      <c r="AO3155" s="17"/>
      <c r="AP3155" s="17"/>
      <c r="AQ3155" s="17"/>
      <c r="AR3155" s="17"/>
      <c r="AS3155" s="17"/>
      <c r="AT3155" s="17"/>
      <c r="AU3155" s="17"/>
      <c r="AV3155" s="17"/>
    </row>
    <row r="3156" spans="1:48" ht="15.75" customHeight="1">
      <c r="A3156" s="21" t="s">
        <v>47</v>
      </c>
      <c r="B3156" s="23" t="s">
        <v>558</v>
      </c>
      <c r="C3156" s="22">
        <v>45694</v>
      </c>
      <c r="D3156" s="23" t="s">
        <v>247</v>
      </c>
      <c r="E3156" s="23" t="s">
        <v>49</v>
      </c>
      <c r="F3156" s="21">
        <v>2</v>
      </c>
      <c r="G3156" s="12">
        <v>4500.0000000000009</v>
      </c>
      <c r="H3156" s="12">
        <v>9000.0000000000018</v>
      </c>
      <c r="I3156" s="23" t="s">
        <v>52</v>
      </c>
      <c r="J3156" s="23" t="s">
        <v>61</v>
      </c>
      <c r="K3156" s="24" t="s">
        <v>177</v>
      </c>
      <c r="L3156" s="24">
        <v>100</v>
      </c>
      <c r="M3156" s="12">
        <v>3781.5126050420176</v>
      </c>
      <c r="N3156" s="12">
        <v>7563.0252100840353</v>
      </c>
      <c r="O3156" s="12">
        <v>1436.9747899159665</v>
      </c>
      <c r="P3156" s="13"/>
      <c r="Q3156" s="14">
        <v>2025</v>
      </c>
      <c r="R3156" s="15">
        <v>45323</v>
      </c>
      <c r="S3156" s="11" t="s">
        <v>384</v>
      </c>
      <c r="T3156" s="16">
        <v>0</v>
      </c>
      <c r="U3156" s="17"/>
      <c r="V3156" s="12">
        <v>1976.4705882352955</v>
      </c>
      <c r="W3156" s="12">
        <v>1482.3529411764716</v>
      </c>
      <c r="X3156" s="12">
        <v>494.11764705882388</v>
      </c>
      <c r="Y3156" s="18">
        <v>45691</v>
      </c>
      <c r="Z3156" s="13" t="s">
        <v>505</v>
      </c>
      <c r="AA3156" s="19" t="str">
        <f>VLOOKUP(D3156,Clientes!$A$2:$J$486,9,FALSE)</f>
        <v>Frecuente</v>
      </c>
      <c r="AB3156" s="13" t="str">
        <f>VLOOKUP(D3156,Clientes!$A$2:$K$486,11,FALSE)</f>
        <v>Persona Natural</v>
      </c>
      <c r="AC3156" s="13" t="str">
        <f>VLOOKUP(D3156,Clientes!$A$2:$B$486,2,FALSE)</f>
        <v>Jardin del eden</v>
      </c>
      <c r="AD3156" s="30" t="s">
        <v>40</v>
      </c>
      <c r="AE3156" s="30" t="s">
        <v>754</v>
      </c>
      <c r="AF3156" s="13" t="s">
        <v>40</v>
      </c>
      <c r="AG3156" s="15">
        <v>45323</v>
      </c>
      <c r="AH3156" s="13" t="s">
        <v>41</v>
      </c>
      <c r="AI3156" s="13" t="s">
        <v>47</v>
      </c>
      <c r="AJ3156" s="13" t="str">
        <f>VLOOKUP(E3156,Precios!Z$2:AA$941,2,FALSE)</f>
        <v>Jabón Lìquido BALLERINA</v>
      </c>
      <c r="AK3156" s="14">
        <f>VLOOKUP(E3156,Precios!Z$2:BB$941,3,FALSE)*F3156</f>
        <v>-6</v>
      </c>
      <c r="AL3156" s="17"/>
      <c r="AM3156" s="17"/>
      <c r="AN3156" s="17"/>
      <c r="AO3156" s="17"/>
      <c r="AP3156" s="17"/>
      <c r="AQ3156" s="17"/>
      <c r="AR3156" s="17"/>
      <c r="AS3156" s="17"/>
      <c r="AT3156" s="17"/>
      <c r="AU3156" s="17"/>
      <c r="AV3156" s="17"/>
    </row>
    <row r="3157" spans="1:48" ht="15.75" customHeight="1">
      <c r="A3157" s="21" t="s">
        <v>53</v>
      </c>
      <c r="B3157" s="23" t="s">
        <v>558</v>
      </c>
      <c r="C3157" s="22">
        <v>45694</v>
      </c>
      <c r="D3157" s="23" t="s">
        <v>247</v>
      </c>
      <c r="E3157" s="23" t="s">
        <v>253</v>
      </c>
      <c r="F3157" s="21">
        <v>1</v>
      </c>
      <c r="G3157" s="12">
        <v>21500.472527761005</v>
      </c>
      <c r="H3157" s="12">
        <v>21500.472527761005</v>
      </c>
      <c r="I3157" s="23" t="s">
        <v>52</v>
      </c>
      <c r="J3157" s="23" t="s">
        <v>61</v>
      </c>
      <c r="K3157" s="24" t="s">
        <v>177</v>
      </c>
      <c r="L3157" s="24">
        <v>100</v>
      </c>
      <c r="M3157" s="12">
        <v>18067.623972908408</v>
      </c>
      <c r="N3157" s="12">
        <v>18067.623972908408</v>
      </c>
      <c r="O3157" s="12">
        <v>3432.8485548525969</v>
      </c>
      <c r="P3157" s="13"/>
      <c r="Q3157" s="14">
        <v>2025</v>
      </c>
      <c r="R3157" s="15">
        <v>45323</v>
      </c>
      <c r="S3157" s="11" t="s">
        <v>716</v>
      </c>
      <c r="T3157" s="16">
        <v>100</v>
      </c>
      <c r="U3157" s="17"/>
      <c r="V3157" s="12">
        <v>4302.6239729084082</v>
      </c>
      <c r="W3157" s="12">
        <v>3226.9679796813061</v>
      </c>
      <c r="X3157" s="12">
        <v>1075.655993227102</v>
      </c>
      <c r="Y3157" s="18">
        <v>45691</v>
      </c>
      <c r="Z3157" s="13" t="s">
        <v>505</v>
      </c>
      <c r="AA3157" s="19" t="str">
        <f>VLOOKUP(D3157,Clientes!$A$2:$J$486,9,FALSE)</f>
        <v>Frecuente</v>
      </c>
      <c r="AB3157" s="13" t="str">
        <f>VLOOKUP(D3157,Clientes!$A$2:$K$486,11,FALSE)</f>
        <v>Persona Natural</v>
      </c>
      <c r="AC3157" s="13" t="str">
        <f>VLOOKUP(D3157,Clientes!$A$2:$B$486,2,FALSE)</f>
        <v>Jardin del eden</v>
      </c>
      <c r="AD3157" s="30" t="s">
        <v>40</v>
      </c>
      <c r="AE3157" s="30" t="s">
        <v>754</v>
      </c>
      <c r="AF3157" s="13" t="s">
        <v>40</v>
      </c>
      <c r="AG3157" s="15">
        <v>45323</v>
      </c>
      <c r="AH3157" s="13" t="s">
        <v>41</v>
      </c>
      <c r="AI3157" s="13" t="s">
        <v>53</v>
      </c>
      <c r="AJ3157" s="13" t="str">
        <f>VLOOKUP(E3157,Precios!Z$2:AA$941,2,FALSE)</f>
        <v>Toalla Papel OVELLA D/H 100 metros</v>
      </c>
      <c r="AK3157" s="14">
        <f>VLOOKUP(E3157,Precios!Z$2:BB$941,3,FALSE)*F3157</f>
        <v>-6</v>
      </c>
      <c r="AL3157" s="17"/>
      <c r="AM3157" s="17"/>
      <c r="AN3157" s="17"/>
      <c r="AO3157" s="17"/>
      <c r="AP3157" s="17"/>
      <c r="AQ3157" s="17"/>
      <c r="AR3157" s="17"/>
      <c r="AS3157" s="17"/>
      <c r="AT3157" s="17"/>
      <c r="AU3157" s="17"/>
      <c r="AV3157" s="17"/>
    </row>
    <row r="3158" spans="1:48" ht="15.75" customHeight="1">
      <c r="A3158" s="21" t="s">
        <v>53</v>
      </c>
      <c r="B3158" s="23" t="s">
        <v>558</v>
      </c>
      <c r="C3158" s="22">
        <v>45694</v>
      </c>
      <c r="D3158" s="23" t="s">
        <v>247</v>
      </c>
      <c r="E3158" s="23" t="s">
        <v>55</v>
      </c>
      <c r="F3158" s="21">
        <v>1</v>
      </c>
      <c r="G3158" s="12">
        <v>19989.738327347361</v>
      </c>
      <c r="H3158" s="12">
        <v>19989.738327347361</v>
      </c>
      <c r="I3158" s="23" t="s">
        <v>52</v>
      </c>
      <c r="J3158" s="23" t="s">
        <v>61</v>
      </c>
      <c r="K3158" s="24" t="s">
        <v>177</v>
      </c>
      <c r="L3158" s="24">
        <v>100</v>
      </c>
      <c r="M3158" s="12">
        <v>16798.099434745684</v>
      </c>
      <c r="N3158" s="12">
        <v>16798.099434745684</v>
      </c>
      <c r="O3158" s="12">
        <v>3191.6388926016771</v>
      </c>
      <c r="P3158" s="13"/>
      <c r="Q3158" s="14">
        <v>2025</v>
      </c>
      <c r="R3158" s="15">
        <v>45323</v>
      </c>
      <c r="S3158" s="11" t="s">
        <v>366</v>
      </c>
      <c r="T3158" s="16">
        <v>0</v>
      </c>
      <c r="U3158" s="17"/>
      <c r="V3158" s="12">
        <v>3702.3011154179476</v>
      </c>
      <c r="W3158" s="12">
        <v>2776.7258365634607</v>
      </c>
      <c r="X3158" s="12">
        <v>925.5752788544869</v>
      </c>
      <c r="Y3158" s="18">
        <v>45691</v>
      </c>
      <c r="Z3158" s="13" t="s">
        <v>505</v>
      </c>
      <c r="AA3158" s="19" t="str">
        <f>VLOOKUP(D3158,Clientes!$A$2:$J$486,9,FALSE)</f>
        <v>Frecuente</v>
      </c>
      <c r="AB3158" s="13" t="str">
        <f>VLOOKUP(D3158,Clientes!$A$2:$K$486,11,FALSE)</f>
        <v>Persona Natural</v>
      </c>
      <c r="AC3158" s="13" t="str">
        <f>VLOOKUP(D3158,Clientes!$A$2:$B$486,2,FALSE)</f>
        <v>Jardin del eden</v>
      </c>
      <c r="AD3158" s="30" t="s">
        <v>40</v>
      </c>
      <c r="AE3158" s="30" t="s">
        <v>754</v>
      </c>
      <c r="AF3158" s="13" t="s">
        <v>40</v>
      </c>
      <c r="AG3158" s="15">
        <v>45323</v>
      </c>
      <c r="AH3158" s="13" t="s">
        <v>41</v>
      </c>
      <c r="AI3158" s="13" t="s">
        <v>53</v>
      </c>
      <c r="AJ3158" s="13" t="str">
        <f>VLOOKUP(E3158,Precios!Z$2:AA$941,2,FALSE)</f>
        <v>Papel Higienico ELITE 50 metros</v>
      </c>
      <c r="AK3158" s="14">
        <f>VLOOKUP(E3158,Precios!Z$2:BB$941,3,FALSE)*F3158</f>
        <v>-8</v>
      </c>
      <c r="AL3158" s="17"/>
      <c r="AM3158" s="17"/>
      <c r="AN3158" s="17"/>
      <c r="AO3158" s="17"/>
      <c r="AP3158" s="17"/>
      <c r="AQ3158" s="17"/>
      <c r="AR3158" s="17"/>
      <c r="AS3158" s="17"/>
      <c r="AT3158" s="17"/>
      <c r="AU3158" s="17"/>
      <c r="AV3158" s="17"/>
    </row>
    <row r="3159" spans="1:48" ht="15.75" customHeight="1">
      <c r="A3159" s="21" t="s">
        <v>53</v>
      </c>
      <c r="B3159" s="23" t="s">
        <v>1692</v>
      </c>
      <c r="C3159" s="22">
        <v>45694</v>
      </c>
      <c r="D3159" s="23" t="s">
        <v>308</v>
      </c>
      <c r="E3159" s="23" t="s">
        <v>55</v>
      </c>
      <c r="F3159" s="21">
        <v>1</v>
      </c>
      <c r="G3159" s="12">
        <v>19989.738327347361</v>
      </c>
      <c r="H3159" s="12">
        <v>19989.738327347361</v>
      </c>
      <c r="I3159" s="23" t="s">
        <v>52</v>
      </c>
      <c r="J3159" s="23" t="s">
        <v>61</v>
      </c>
      <c r="K3159" s="24" t="s">
        <v>177</v>
      </c>
      <c r="L3159" s="24">
        <v>100</v>
      </c>
      <c r="M3159" s="12">
        <v>16798.099434745684</v>
      </c>
      <c r="N3159" s="12">
        <v>16798.099434745684</v>
      </c>
      <c r="O3159" s="12">
        <v>3191.6388926016771</v>
      </c>
      <c r="P3159" s="13"/>
      <c r="Q3159" s="14">
        <v>2025</v>
      </c>
      <c r="R3159" s="15">
        <v>45323</v>
      </c>
      <c r="S3159" s="11" t="s">
        <v>366</v>
      </c>
      <c r="T3159" s="16">
        <v>0</v>
      </c>
      <c r="U3159" s="17"/>
      <c r="V3159" s="12">
        <v>3702.3011154179476</v>
      </c>
      <c r="W3159" s="12">
        <v>3702.3011154179476</v>
      </c>
      <c r="X3159" s="12">
        <v>0</v>
      </c>
      <c r="Y3159" s="18">
        <v>45691</v>
      </c>
      <c r="Z3159" s="13" t="s">
        <v>505</v>
      </c>
      <c r="AA3159" s="19" t="str">
        <f>VLOOKUP(D3159,Clientes!$A$2:$J$486,9,FALSE)</f>
        <v>Ocacional</v>
      </c>
      <c r="AB3159" s="13" t="str">
        <f>VLOOKUP(D3159,Clientes!$A$2:$K$486,11,FALSE)</f>
        <v>Persona Natural</v>
      </c>
      <c r="AC3159" s="13" t="str">
        <f>VLOOKUP(D3159,Clientes!$A$2:$B$486,2,FALSE)</f>
        <v>Paicavi</v>
      </c>
      <c r="AD3159" s="20"/>
      <c r="AE3159" s="20"/>
      <c r="AF3159" s="13" t="s">
        <v>40</v>
      </c>
      <c r="AG3159" s="15">
        <v>45323</v>
      </c>
      <c r="AH3159" s="13" t="s">
        <v>41</v>
      </c>
      <c r="AI3159" s="13" t="s">
        <v>53</v>
      </c>
      <c r="AJ3159" s="13" t="str">
        <f>VLOOKUP(E3159,Precios!Z$2:AA$941,2,FALSE)</f>
        <v>Papel Higienico ELITE 50 metros</v>
      </c>
      <c r="AK3159" s="14">
        <f>VLOOKUP(E3159,Precios!Z$2:BB$941,3,FALSE)*F3159</f>
        <v>-8</v>
      </c>
      <c r="AL3159" s="17"/>
      <c r="AM3159" s="17"/>
      <c r="AN3159" s="17"/>
      <c r="AO3159" s="17"/>
      <c r="AP3159" s="17"/>
      <c r="AQ3159" s="17"/>
      <c r="AR3159" s="17"/>
      <c r="AS3159" s="17"/>
      <c r="AT3159" s="17"/>
      <c r="AU3159" s="17"/>
      <c r="AV3159" s="17"/>
    </row>
    <row r="3160" spans="1:48" ht="15.75" customHeight="1">
      <c r="A3160" s="21" t="s">
        <v>43</v>
      </c>
      <c r="B3160" s="23" t="s">
        <v>1692</v>
      </c>
      <c r="C3160" s="22">
        <v>45694</v>
      </c>
      <c r="D3160" s="23" t="s">
        <v>215</v>
      </c>
      <c r="E3160" s="23" t="s">
        <v>45</v>
      </c>
      <c r="F3160" s="21">
        <v>2</v>
      </c>
      <c r="G3160" s="12">
        <v>6300.1913812446392</v>
      </c>
      <c r="H3160" s="12">
        <v>12600.382762489278</v>
      </c>
      <c r="I3160" s="23" t="s">
        <v>52</v>
      </c>
      <c r="J3160" s="23" t="s">
        <v>61</v>
      </c>
      <c r="K3160" s="24" t="s">
        <v>177</v>
      </c>
      <c r="L3160" s="24">
        <v>100</v>
      </c>
      <c r="M3160" s="12">
        <v>5294.2784716341512</v>
      </c>
      <c r="N3160" s="12">
        <v>10588.556943268302</v>
      </c>
      <c r="O3160" s="12">
        <v>2011.825819220976</v>
      </c>
      <c r="P3160" s="13"/>
      <c r="Q3160" s="14">
        <v>2025</v>
      </c>
      <c r="R3160" s="15">
        <v>45323</v>
      </c>
      <c r="S3160" s="11" t="s">
        <v>355</v>
      </c>
      <c r="T3160" s="16">
        <v>0</v>
      </c>
      <c r="U3160" s="17"/>
      <c r="V3160" s="12">
        <v>2566.1367752010738</v>
      </c>
      <c r="W3160" s="12">
        <v>2566.1367752010738</v>
      </c>
      <c r="X3160" s="12">
        <v>0</v>
      </c>
      <c r="Y3160" s="18">
        <v>45691</v>
      </c>
      <c r="Z3160" s="13" t="s">
        <v>505</v>
      </c>
      <c r="AA3160" s="19" t="str">
        <f>VLOOKUP(D3160,Clientes!$A$2:$J$486,9,FALSE)</f>
        <v>Ocacional</v>
      </c>
      <c r="AB3160" s="13" t="str">
        <f>VLOOKUP(D3160,Clientes!$A$2:$K$486,11,FALSE)</f>
        <v>Persona Natural</v>
      </c>
      <c r="AC3160" s="13" t="str">
        <f>VLOOKUP(D3160,Clientes!$A$2:$B$486,2,FALSE)</f>
        <v>Palena</v>
      </c>
      <c r="AD3160" s="20"/>
      <c r="AE3160" s="20"/>
      <c r="AF3160" s="13" t="s">
        <v>40</v>
      </c>
      <c r="AG3160" s="15">
        <v>45323</v>
      </c>
      <c r="AH3160" s="13" t="s">
        <v>41</v>
      </c>
      <c r="AI3160" s="13" t="s">
        <v>43</v>
      </c>
      <c r="AJ3160" s="13" t="str">
        <f>VLOOKUP(E3160,Precios!Z$2:AA$941,2,FALSE)</f>
        <v>Bandeja Huevos EXTRA</v>
      </c>
      <c r="AK3160" s="14">
        <f>VLOOKUP(E3160,Precios!Z$2:BB$941,3,FALSE)*F3160</f>
        <v>-2</v>
      </c>
      <c r="AL3160" s="17"/>
      <c r="AM3160" s="17"/>
      <c r="AN3160" s="17"/>
      <c r="AO3160" s="17"/>
      <c r="AP3160" s="17"/>
      <c r="AQ3160" s="17"/>
      <c r="AR3160" s="17"/>
      <c r="AS3160" s="17"/>
      <c r="AT3160" s="17"/>
      <c r="AU3160" s="17"/>
      <c r="AV3160" s="17"/>
    </row>
    <row r="3161" spans="1:48" ht="15.75" customHeight="1">
      <c r="A3161" s="21" t="s">
        <v>43</v>
      </c>
      <c r="B3161" s="23" t="s">
        <v>1692</v>
      </c>
      <c r="C3161" s="22">
        <v>45693</v>
      </c>
      <c r="D3161" s="23" t="s">
        <v>755</v>
      </c>
      <c r="E3161" s="23" t="s">
        <v>45</v>
      </c>
      <c r="F3161" s="21">
        <v>1</v>
      </c>
      <c r="G3161" s="12">
        <v>6300.1913812446392</v>
      </c>
      <c r="H3161" s="12">
        <v>6300.1913812446392</v>
      </c>
      <c r="I3161" s="23" t="s">
        <v>52</v>
      </c>
      <c r="J3161" s="23" t="s">
        <v>61</v>
      </c>
      <c r="K3161" s="24" t="s">
        <v>177</v>
      </c>
      <c r="L3161" s="24">
        <v>100</v>
      </c>
      <c r="M3161" s="12">
        <v>5294.2784716341512</v>
      </c>
      <c r="N3161" s="12">
        <v>5294.2784716341512</v>
      </c>
      <c r="O3161" s="12">
        <v>1005.912909610488</v>
      </c>
      <c r="P3161" s="13"/>
      <c r="Q3161" s="14">
        <v>2025</v>
      </c>
      <c r="R3161" s="15">
        <v>45323</v>
      </c>
      <c r="S3161" s="11" t="s">
        <v>355</v>
      </c>
      <c r="T3161" s="16">
        <v>0</v>
      </c>
      <c r="U3161" s="17"/>
      <c r="V3161" s="12">
        <v>1283.0683876005369</v>
      </c>
      <c r="W3161" s="12">
        <v>1283.0683876005369</v>
      </c>
      <c r="X3161" s="12">
        <v>0</v>
      </c>
      <c r="Y3161" s="18">
        <v>45691</v>
      </c>
      <c r="Z3161" s="13" t="s">
        <v>515</v>
      </c>
      <c r="AA3161" s="19" t="str">
        <f>VLOOKUP(D3161,Clientes!$A$2:$J$486,9,FALSE)</f>
        <v>Ocacional</v>
      </c>
      <c r="AB3161" s="13" t="str">
        <f>VLOOKUP(D3161,Clientes!$A$2:$K$486,11,FALSE)</f>
        <v>Persona Natural</v>
      </c>
      <c r="AC3161" s="13" t="str">
        <f>VLOOKUP(D3161,Clientes!$A$2:$B$486,2,FALSE)</f>
        <v>Santa Delia</v>
      </c>
      <c r="AD3161" s="20"/>
      <c r="AE3161" s="20"/>
      <c r="AF3161" s="13" t="s">
        <v>40</v>
      </c>
      <c r="AG3161" s="15">
        <v>45323</v>
      </c>
      <c r="AH3161" s="13" t="s">
        <v>41</v>
      </c>
      <c r="AI3161" s="13" t="s">
        <v>43</v>
      </c>
      <c r="AJ3161" s="13" t="str">
        <f>VLOOKUP(E3161,Precios!Z$2:AA$941,2,FALSE)</f>
        <v>Bandeja Huevos EXTRA</v>
      </c>
      <c r="AK3161" s="14">
        <f>VLOOKUP(E3161,Precios!Z$2:BB$941,3,FALSE)*F3161</f>
        <v>-1</v>
      </c>
      <c r="AL3161" s="17"/>
      <c r="AM3161" s="17"/>
      <c r="AN3161" s="17"/>
      <c r="AO3161" s="17"/>
      <c r="AP3161" s="17"/>
      <c r="AQ3161" s="17"/>
      <c r="AR3161" s="17"/>
      <c r="AS3161" s="17"/>
      <c r="AT3161" s="17"/>
      <c r="AU3161" s="17"/>
      <c r="AV3161" s="17"/>
    </row>
    <row r="3162" spans="1:48" ht="15.75" customHeight="1">
      <c r="A3162" s="21" t="s">
        <v>53</v>
      </c>
      <c r="B3162" s="23" t="s">
        <v>1692</v>
      </c>
      <c r="C3162" s="22">
        <v>45693</v>
      </c>
      <c r="D3162" s="23" t="s">
        <v>596</v>
      </c>
      <c r="E3162" s="23" t="s">
        <v>55</v>
      </c>
      <c r="F3162" s="21">
        <v>1</v>
      </c>
      <c r="G3162" s="12">
        <v>19989.738327347361</v>
      </c>
      <c r="H3162" s="12">
        <v>19989.738327347361</v>
      </c>
      <c r="I3162" s="23" t="s">
        <v>52</v>
      </c>
      <c r="J3162" s="23" t="s">
        <v>61</v>
      </c>
      <c r="K3162" s="24" t="s">
        <v>177</v>
      </c>
      <c r="L3162" s="24">
        <v>100</v>
      </c>
      <c r="M3162" s="12">
        <v>16798.099434745684</v>
      </c>
      <c r="N3162" s="12">
        <v>16798.099434745684</v>
      </c>
      <c r="O3162" s="12">
        <v>3191.6388926016771</v>
      </c>
      <c r="P3162" s="13"/>
      <c r="Q3162" s="14">
        <v>2025</v>
      </c>
      <c r="R3162" s="15">
        <v>45323</v>
      </c>
      <c r="S3162" s="11" t="s">
        <v>366</v>
      </c>
      <c r="T3162" s="16">
        <v>0</v>
      </c>
      <c r="U3162" s="17"/>
      <c r="V3162" s="12">
        <v>3702.3011154179476</v>
      </c>
      <c r="W3162" s="12">
        <v>3702.3011154179476</v>
      </c>
      <c r="X3162" s="12">
        <v>0</v>
      </c>
      <c r="Y3162" s="18">
        <v>45691</v>
      </c>
      <c r="Z3162" s="13" t="s">
        <v>515</v>
      </c>
      <c r="AA3162" s="19" t="str">
        <f>VLOOKUP(D3162,Clientes!$A$2:$J$486,9,FALSE)</f>
        <v>Ocacional</v>
      </c>
      <c r="AB3162" s="13" t="str">
        <f>VLOOKUP(D3162,Clientes!$A$2:$K$486,11,FALSE)</f>
        <v>Persona Natural</v>
      </c>
      <c r="AC3162" s="13" t="str">
        <f>VLOOKUP(D3162,Clientes!$A$2:$B$486,2,FALSE)</f>
        <v>Sector Santa Delia</v>
      </c>
      <c r="AD3162" s="20"/>
      <c r="AE3162" s="20"/>
      <c r="AF3162" s="13" t="s">
        <v>40</v>
      </c>
      <c r="AG3162" s="15">
        <v>45323</v>
      </c>
      <c r="AH3162" s="13" t="s">
        <v>41</v>
      </c>
      <c r="AI3162" s="13" t="s">
        <v>53</v>
      </c>
      <c r="AJ3162" s="13" t="str">
        <f>VLOOKUP(E3162,Precios!Z$2:AA$941,2,FALSE)</f>
        <v>Papel Higienico ELITE 50 metros</v>
      </c>
      <c r="AK3162" s="14">
        <f>VLOOKUP(E3162,Precios!Z$2:BB$941,3,FALSE)*F3162</f>
        <v>-8</v>
      </c>
      <c r="AL3162" s="17"/>
      <c r="AM3162" s="17"/>
      <c r="AN3162" s="17"/>
      <c r="AO3162" s="17"/>
      <c r="AP3162" s="17"/>
      <c r="AQ3162" s="17"/>
      <c r="AR3162" s="17"/>
      <c r="AS3162" s="17"/>
      <c r="AT3162" s="17"/>
      <c r="AU3162" s="17"/>
      <c r="AV3162" s="17"/>
    </row>
    <row r="3163" spans="1:48" ht="15.75" customHeight="1">
      <c r="A3163" s="21" t="s">
        <v>53</v>
      </c>
      <c r="B3163" s="23" t="s">
        <v>1692</v>
      </c>
      <c r="C3163" s="22">
        <v>45693</v>
      </c>
      <c r="D3163" s="23" t="s">
        <v>315</v>
      </c>
      <c r="E3163" s="23" t="s">
        <v>97</v>
      </c>
      <c r="F3163" s="21">
        <v>1</v>
      </c>
      <c r="G3163" s="12">
        <v>15500.298388701016</v>
      </c>
      <c r="H3163" s="12">
        <v>15500.298388701016</v>
      </c>
      <c r="I3163" s="23" t="s">
        <v>52</v>
      </c>
      <c r="J3163" s="23" t="s">
        <v>61</v>
      </c>
      <c r="K3163" s="24" t="s">
        <v>177</v>
      </c>
      <c r="L3163" s="24">
        <v>100</v>
      </c>
      <c r="M3163" s="12">
        <v>13025.46083084119</v>
      </c>
      <c r="N3163" s="12">
        <v>13025.46083084119</v>
      </c>
      <c r="O3163" s="12">
        <v>2474.8375578598261</v>
      </c>
      <c r="P3163" s="13"/>
      <c r="Q3163" s="14">
        <v>2025</v>
      </c>
      <c r="R3163" s="15">
        <v>45323</v>
      </c>
      <c r="S3163" s="11" t="s">
        <v>366</v>
      </c>
      <c r="T3163" s="16">
        <v>0</v>
      </c>
      <c r="U3163" s="17"/>
      <c r="V3163" s="12">
        <v>3203.6120913453906</v>
      </c>
      <c r="W3163" s="12">
        <v>3203.6120913453906</v>
      </c>
      <c r="X3163" s="12">
        <v>0</v>
      </c>
      <c r="Y3163" s="18">
        <v>45691</v>
      </c>
      <c r="Z3163" s="13" t="s">
        <v>515</v>
      </c>
      <c r="AA3163" s="19" t="str">
        <f>VLOOKUP(D3163,Clientes!$A$2:$J$486,9,FALSE)</f>
        <v>Ocacional</v>
      </c>
      <c r="AB3163" s="13" t="str">
        <f>VLOOKUP(D3163,Clientes!$A$2:$K$486,11,FALSE)</f>
        <v>Persona Natural</v>
      </c>
      <c r="AC3163" s="13" t="str">
        <f>VLOOKUP(D3163,Clientes!$A$2:$B$486,2,FALSE)</f>
        <v>Jardines de la Viña</v>
      </c>
      <c r="AD3163" s="20"/>
      <c r="AE3163" s="20"/>
      <c r="AF3163" s="13" t="s">
        <v>40</v>
      </c>
      <c r="AG3163" s="15">
        <v>45323</v>
      </c>
      <c r="AH3163" s="13" t="s">
        <v>41</v>
      </c>
      <c r="AI3163" s="13" t="s">
        <v>53</v>
      </c>
      <c r="AJ3163" s="13" t="str">
        <f>VLOOKUP(E3163,Precios!Z$2:AA$941,2,FALSE)</f>
        <v>Papel Higienico ELITE 50 metros</v>
      </c>
      <c r="AK3163" s="14">
        <f>VLOOKUP(E3163,Precios!Z$2:BB$941,3,FALSE)*F3163</f>
        <v>-6</v>
      </c>
      <c r="AL3163" s="17"/>
      <c r="AM3163" s="17"/>
      <c r="AN3163" s="17"/>
      <c r="AO3163" s="17"/>
      <c r="AP3163" s="17"/>
      <c r="AQ3163" s="17"/>
      <c r="AR3163" s="17"/>
      <c r="AS3163" s="17"/>
      <c r="AT3163" s="17"/>
      <c r="AU3163" s="17"/>
      <c r="AV3163" s="17"/>
    </row>
    <row r="3164" spans="1:48" ht="15.75" customHeight="1">
      <c r="A3164" s="21" t="s">
        <v>53</v>
      </c>
      <c r="B3164" s="23" t="s">
        <v>1692</v>
      </c>
      <c r="C3164" s="22">
        <v>45693</v>
      </c>
      <c r="D3164" s="23" t="s">
        <v>315</v>
      </c>
      <c r="E3164" s="23" t="s">
        <v>114</v>
      </c>
      <c r="F3164" s="21">
        <v>1</v>
      </c>
      <c r="G3164" s="12">
        <v>10500</v>
      </c>
      <c r="H3164" s="12">
        <v>10500</v>
      </c>
      <c r="I3164" s="23" t="s">
        <v>52</v>
      </c>
      <c r="J3164" s="23" t="s">
        <v>61</v>
      </c>
      <c r="K3164" s="24" t="s">
        <v>177</v>
      </c>
      <c r="L3164" s="24">
        <v>100</v>
      </c>
      <c r="M3164" s="12">
        <v>8823.5294117647063</v>
      </c>
      <c r="N3164" s="12">
        <v>8823.5294117647063</v>
      </c>
      <c r="O3164" s="12">
        <v>1676.4705882352937</v>
      </c>
      <c r="P3164" s="13"/>
      <c r="Q3164" s="14">
        <v>2025</v>
      </c>
      <c r="R3164" s="15">
        <v>45323</v>
      </c>
      <c r="S3164" s="11" t="s">
        <v>369</v>
      </c>
      <c r="T3164" s="16">
        <v>0</v>
      </c>
      <c r="U3164" s="17"/>
      <c r="V3164" s="12">
        <v>2403.3613445378151</v>
      </c>
      <c r="W3164" s="12">
        <v>2403.3613445378151</v>
      </c>
      <c r="X3164" s="12">
        <v>0</v>
      </c>
      <c r="Y3164" s="18">
        <v>45691</v>
      </c>
      <c r="Z3164" s="13" t="s">
        <v>515</v>
      </c>
      <c r="AA3164" s="19" t="str">
        <f>VLOOKUP(D3164,Clientes!$A$2:$J$486,9,FALSE)</f>
        <v>Ocacional</v>
      </c>
      <c r="AB3164" s="13" t="str">
        <f>VLOOKUP(D3164,Clientes!$A$2:$K$486,11,FALSE)</f>
        <v>Persona Natural</v>
      </c>
      <c r="AC3164" s="13" t="str">
        <f>VLOOKUP(D3164,Clientes!$A$2:$B$486,2,FALSE)</f>
        <v>Jardines de la Viña</v>
      </c>
      <c r="AD3164" s="20"/>
      <c r="AE3164" s="20"/>
      <c r="AF3164" s="13" t="s">
        <v>40</v>
      </c>
      <c r="AG3164" s="15">
        <v>45323</v>
      </c>
      <c r="AH3164" s="13" t="s">
        <v>41</v>
      </c>
      <c r="AI3164" s="13" t="s">
        <v>53</v>
      </c>
      <c r="AJ3164" s="13" t="str">
        <f>VLOOKUP(E3164,Precios!Z$2:AA$941,2,FALSE)</f>
        <v>Toalla Papel NOVA 12 metros</v>
      </c>
      <c r="AK3164" s="14">
        <f>VLOOKUP(E3164,Precios!Z$2:BB$941,3,FALSE)*F3164</f>
        <v>-8</v>
      </c>
      <c r="AL3164" s="17"/>
      <c r="AM3164" s="17"/>
      <c r="AN3164" s="17"/>
      <c r="AO3164" s="17"/>
      <c r="AP3164" s="17"/>
      <c r="AQ3164" s="17"/>
      <c r="AR3164" s="17"/>
      <c r="AS3164" s="17"/>
      <c r="AT3164" s="17"/>
      <c r="AU3164" s="17"/>
      <c r="AV3164" s="17"/>
    </row>
    <row r="3165" spans="1:48" ht="15.75" customHeight="1">
      <c r="A3165" s="21" t="s">
        <v>147</v>
      </c>
      <c r="B3165" s="23" t="s">
        <v>1692</v>
      </c>
      <c r="C3165" s="22">
        <v>45693</v>
      </c>
      <c r="D3165" s="23" t="s">
        <v>259</v>
      </c>
      <c r="E3165" s="23" t="s">
        <v>249</v>
      </c>
      <c r="F3165" s="21">
        <v>1</v>
      </c>
      <c r="G3165" s="12">
        <v>8000.4228329809721</v>
      </c>
      <c r="H3165" s="12">
        <v>8000.4228329809721</v>
      </c>
      <c r="I3165" s="23" t="s">
        <v>52</v>
      </c>
      <c r="J3165" s="23" t="s">
        <v>61</v>
      </c>
      <c r="K3165" s="24" t="s">
        <v>177</v>
      </c>
      <c r="L3165" s="24">
        <v>100</v>
      </c>
      <c r="M3165" s="12">
        <v>6723.0443974630025</v>
      </c>
      <c r="N3165" s="12">
        <v>6723.0443974630025</v>
      </c>
      <c r="O3165" s="12">
        <v>1277.3784355179696</v>
      </c>
      <c r="P3165" s="13"/>
      <c r="Q3165" s="14">
        <v>2025</v>
      </c>
      <c r="R3165" s="15">
        <v>45323</v>
      </c>
      <c r="S3165" s="11" t="s">
        <v>360</v>
      </c>
      <c r="T3165" s="16">
        <v>0</v>
      </c>
      <c r="U3165" s="17"/>
      <c r="V3165" s="12">
        <v>2271.0443974630016</v>
      </c>
      <c r="W3165" s="12">
        <v>2271.0443974630016</v>
      </c>
      <c r="X3165" s="12">
        <v>0</v>
      </c>
      <c r="Y3165" s="18">
        <v>45691</v>
      </c>
      <c r="Z3165" s="13" t="s">
        <v>515</v>
      </c>
      <c r="AA3165" s="19" t="str">
        <f>VLOOKUP(D3165,Clientes!$A$2:$J$486,9,FALSE)</f>
        <v>Ocacional</v>
      </c>
      <c r="AB3165" s="13" t="str">
        <f>VLOOKUP(D3165,Clientes!$A$2:$K$486,11,FALSE)</f>
        <v>Persona Natural</v>
      </c>
      <c r="AC3165" s="13" t="str">
        <f>VLOOKUP(D3165,Clientes!$A$2:$B$486,2,FALSE)</f>
        <v>Rojas Magallanes</v>
      </c>
      <c r="AD3165" s="20"/>
      <c r="AE3165" s="20"/>
      <c r="AF3165" s="13" t="s">
        <v>40</v>
      </c>
      <c r="AG3165" s="15">
        <v>45323</v>
      </c>
      <c r="AH3165" s="13" t="s">
        <v>41</v>
      </c>
      <c r="AI3165" s="13" t="s">
        <v>147</v>
      </c>
      <c r="AJ3165" s="13" t="str">
        <f>VLOOKUP(E3165,Precios!Z$2:AA$941,2,FALSE)</f>
        <v>Papel Aluminio 100 metros</v>
      </c>
      <c r="AK3165" s="14">
        <f>VLOOKUP(E3165,Precios!Z$2:BB$941,3,FALSE)*F3165</f>
        <v>-1</v>
      </c>
      <c r="AL3165" s="17"/>
      <c r="AM3165" s="17"/>
      <c r="AN3165" s="17"/>
      <c r="AO3165" s="17"/>
      <c r="AP3165" s="17"/>
      <c r="AQ3165" s="17"/>
      <c r="AR3165" s="17"/>
      <c r="AS3165" s="17"/>
      <c r="AT3165" s="17"/>
      <c r="AU3165" s="17"/>
      <c r="AV3165" s="17"/>
    </row>
    <row r="3166" spans="1:48" ht="15.75" customHeight="1">
      <c r="A3166" s="21" t="s">
        <v>53</v>
      </c>
      <c r="B3166" s="23" t="s">
        <v>1692</v>
      </c>
      <c r="C3166" s="22">
        <v>45693</v>
      </c>
      <c r="D3166" s="23" t="s">
        <v>756</v>
      </c>
      <c r="E3166" s="23" t="s">
        <v>203</v>
      </c>
      <c r="F3166" s="21">
        <v>1</v>
      </c>
      <c r="G3166" s="12">
        <v>9500</v>
      </c>
      <c r="H3166" s="12">
        <v>9500</v>
      </c>
      <c r="I3166" s="23" t="s">
        <v>52</v>
      </c>
      <c r="J3166" s="23" t="s">
        <v>61</v>
      </c>
      <c r="K3166" s="24" t="s">
        <v>177</v>
      </c>
      <c r="L3166" s="24">
        <v>100</v>
      </c>
      <c r="M3166" s="12">
        <v>7983.1932773109247</v>
      </c>
      <c r="N3166" s="12">
        <v>7983.1932773109247</v>
      </c>
      <c r="O3166" s="12">
        <v>1516.8067226890753</v>
      </c>
      <c r="P3166" s="13"/>
      <c r="Q3166" s="14">
        <v>2025</v>
      </c>
      <c r="R3166" s="15">
        <v>45323</v>
      </c>
      <c r="S3166" s="11" t="s">
        <v>366</v>
      </c>
      <c r="T3166" s="16">
        <v>0</v>
      </c>
      <c r="U3166" s="17"/>
      <c r="V3166" s="12">
        <v>3072.2689075630251</v>
      </c>
      <c r="W3166" s="12">
        <v>3072.2689075630251</v>
      </c>
      <c r="X3166" s="12">
        <v>0</v>
      </c>
      <c r="Y3166" s="18">
        <v>45691</v>
      </c>
      <c r="Z3166" s="13" t="s">
        <v>515</v>
      </c>
      <c r="AA3166" s="19" t="str">
        <f>VLOOKUP(D3166,Clientes!$A$2:$J$486,9,FALSE)</f>
        <v>Ocacional</v>
      </c>
      <c r="AB3166" s="13" t="str">
        <f>VLOOKUP(D3166,Clientes!$A$2:$K$486,11,FALSE)</f>
        <v>Persona Natural</v>
      </c>
      <c r="AC3166" s="13" t="str">
        <f>VLOOKUP(D3166,Clientes!$A$2:$B$486,2,FALSE)</f>
        <v>Palena</v>
      </c>
      <c r="AD3166" s="20"/>
      <c r="AE3166" s="20"/>
      <c r="AF3166" s="13" t="s">
        <v>40</v>
      </c>
      <c r="AG3166" s="15">
        <v>45323</v>
      </c>
      <c r="AH3166" s="13" t="s">
        <v>41</v>
      </c>
      <c r="AI3166" s="13" t="s">
        <v>53</v>
      </c>
      <c r="AJ3166" s="13" t="str">
        <f>VLOOKUP(E3166,Precios!Z$2:AA$941,2,FALSE)</f>
        <v>Papel Higienico ELITE 50 metros</v>
      </c>
      <c r="AK3166" s="14">
        <f>VLOOKUP(E3166,Precios!Z$2:BB$941,3,FALSE)*F3166</f>
        <v>-3</v>
      </c>
      <c r="AL3166" s="17"/>
      <c r="AM3166" s="17"/>
      <c r="AN3166" s="17"/>
      <c r="AO3166" s="17"/>
      <c r="AP3166" s="17"/>
      <c r="AQ3166" s="17"/>
      <c r="AR3166" s="17"/>
      <c r="AS3166" s="17"/>
      <c r="AT3166" s="17"/>
      <c r="AU3166" s="17"/>
      <c r="AV3166" s="17"/>
    </row>
    <row r="3167" spans="1:48" ht="15.75" customHeight="1">
      <c r="A3167" s="21" t="s">
        <v>53</v>
      </c>
      <c r="B3167" s="23" t="s">
        <v>1692</v>
      </c>
      <c r="C3167" s="22">
        <v>45693</v>
      </c>
      <c r="D3167" s="23" t="s">
        <v>756</v>
      </c>
      <c r="E3167" s="23" t="s">
        <v>316</v>
      </c>
      <c r="F3167" s="21">
        <v>1</v>
      </c>
      <c r="G3167" s="12">
        <v>3200.0762660158634</v>
      </c>
      <c r="H3167" s="12">
        <v>3200.0762660158634</v>
      </c>
      <c r="I3167" s="23" t="s">
        <v>52</v>
      </c>
      <c r="J3167" s="23" t="s">
        <v>61</v>
      </c>
      <c r="K3167" s="24" t="s">
        <v>177</v>
      </c>
      <c r="L3167" s="24">
        <v>100</v>
      </c>
      <c r="M3167" s="12">
        <v>2689.1397193410617</v>
      </c>
      <c r="N3167" s="12">
        <v>2689.1397193410617</v>
      </c>
      <c r="O3167" s="12">
        <v>510.93654667480178</v>
      </c>
      <c r="P3167" s="13"/>
      <c r="Q3167" s="14">
        <v>2025</v>
      </c>
      <c r="R3167" s="15">
        <v>45323</v>
      </c>
      <c r="S3167" s="11" t="s">
        <v>408</v>
      </c>
      <c r="T3167" s="16">
        <v>100</v>
      </c>
      <c r="U3167" s="17"/>
      <c r="V3167" s="12">
        <v>926.13971934106166</v>
      </c>
      <c r="W3167" s="12">
        <v>926.13971934106166</v>
      </c>
      <c r="X3167" s="12">
        <v>0</v>
      </c>
      <c r="Y3167" s="18">
        <v>45691</v>
      </c>
      <c r="Z3167" s="13" t="s">
        <v>515</v>
      </c>
      <c r="AA3167" s="19" t="str">
        <f>VLOOKUP(D3167,Clientes!$A$2:$J$486,9,FALSE)</f>
        <v>Ocacional</v>
      </c>
      <c r="AB3167" s="13" t="str">
        <f>VLOOKUP(D3167,Clientes!$A$2:$K$486,11,FALSE)</f>
        <v>Persona Natural</v>
      </c>
      <c r="AC3167" s="13" t="str">
        <f>VLOOKUP(D3167,Clientes!$A$2:$B$486,2,FALSE)</f>
        <v>Palena</v>
      </c>
      <c r="AD3167" s="20"/>
      <c r="AE3167" s="20"/>
      <c r="AF3167" s="13" t="s">
        <v>40</v>
      </c>
      <c r="AG3167" s="15">
        <v>45323</v>
      </c>
      <c r="AH3167" s="13" t="s">
        <v>41</v>
      </c>
      <c r="AI3167" s="13" t="s">
        <v>53</v>
      </c>
      <c r="AJ3167" s="13" t="str">
        <f>VLOOKUP(E3167,Precios!Z$2:AA$941,2,FALSE)</f>
        <v>Toalla Papel SWAN D/H NARANJA 100 metros</v>
      </c>
      <c r="AK3167" s="14">
        <f>VLOOKUP(E3167,Precios!Z$2:BB$941,3,FALSE)*F3167</f>
        <v>-1</v>
      </c>
      <c r="AL3167" s="17"/>
      <c r="AM3167" s="17"/>
      <c r="AN3167" s="17"/>
      <c r="AO3167" s="17"/>
      <c r="AP3167" s="17"/>
      <c r="AQ3167" s="17"/>
      <c r="AR3167" s="17"/>
      <c r="AS3167" s="17"/>
      <c r="AT3167" s="17"/>
      <c r="AU3167" s="17"/>
      <c r="AV3167" s="17"/>
    </row>
    <row r="3168" spans="1:48" ht="15.75" customHeight="1">
      <c r="A3168" s="21" t="s">
        <v>76</v>
      </c>
      <c r="B3168" s="23" t="s">
        <v>1692</v>
      </c>
      <c r="C3168" s="22">
        <v>45693</v>
      </c>
      <c r="D3168" s="23" t="s">
        <v>756</v>
      </c>
      <c r="E3168" s="23" t="s">
        <v>252</v>
      </c>
      <c r="F3168" s="21">
        <v>2</v>
      </c>
      <c r="G3168" s="12">
        <v>1599.969512195122</v>
      </c>
      <c r="H3168" s="12">
        <v>3199.939024390244</v>
      </c>
      <c r="I3168" s="23" t="s">
        <v>52</v>
      </c>
      <c r="J3168" s="23" t="s">
        <v>61</v>
      </c>
      <c r="K3168" s="24" t="s">
        <v>177</v>
      </c>
      <c r="L3168" s="24">
        <v>100</v>
      </c>
      <c r="M3168" s="12">
        <v>1344.5121951219512</v>
      </c>
      <c r="N3168" s="12">
        <v>2689.0243902439024</v>
      </c>
      <c r="O3168" s="12">
        <v>510.91463414634154</v>
      </c>
      <c r="P3168" s="13"/>
      <c r="Q3168" s="14">
        <v>2025</v>
      </c>
      <c r="R3168" s="15">
        <v>45323</v>
      </c>
      <c r="S3168" s="11" t="s">
        <v>252</v>
      </c>
      <c r="T3168" s="16">
        <v>0</v>
      </c>
      <c r="U3168" s="17"/>
      <c r="V3168" s="12">
        <v>925.02439024390242</v>
      </c>
      <c r="W3168" s="12">
        <v>925.02439024390242</v>
      </c>
      <c r="X3168" s="12">
        <v>0</v>
      </c>
      <c r="Y3168" s="18">
        <v>45691</v>
      </c>
      <c r="Z3168" s="13" t="s">
        <v>515</v>
      </c>
      <c r="AA3168" s="19" t="str">
        <f>VLOOKUP(D3168,Clientes!$A$2:$J$486,9,FALSE)</f>
        <v>Ocacional</v>
      </c>
      <c r="AB3168" s="13" t="str">
        <f>VLOOKUP(D3168,Clientes!$A$2:$K$486,11,FALSE)</f>
        <v>Persona Natural</v>
      </c>
      <c r="AC3168" s="13" t="str">
        <f>VLOOKUP(D3168,Clientes!$A$2:$B$486,2,FALSE)</f>
        <v>Palena</v>
      </c>
      <c r="AD3168" s="20"/>
      <c r="AE3168" s="20"/>
      <c r="AF3168" s="13" t="s">
        <v>40</v>
      </c>
      <c r="AG3168" s="15">
        <v>45323</v>
      </c>
      <c r="AH3168" s="13" t="s">
        <v>41</v>
      </c>
      <c r="AI3168" s="13" t="s">
        <v>76</v>
      </c>
      <c r="AJ3168" s="13" t="str">
        <f>VLOOKUP(E3168,Precios!Z$2:AA$941,2,FALSE)</f>
        <v>Limpiapiso POETT 900 ml</v>
      </c>
      <c r="AK3168" s="14">
        <f>VLOOKUP(E3168,Precios!Z$2:BB$941,3,FALSE)*F3168</f>
        <v>-2</v>
      </c>
      <c r="AL3168" s="17"/>
      <c r="AM3168" s="17"/>
      <c r="AN3168" s="17"/>
      <c r="AO3168" s="17"/>
      <c r="AP3168" s="17"/>
      <c r="AQ3168" s="17"/>
      <c r="AR3168" s="17"/>
      <c r="AS3168" s="17"/>
      <c r="AT3168" s="17"/>
      <c r="AU3168" s="17"/>
      <c r="AV3168" s="17"/>
    </row>
    <row r="3169" spans="1:48" ht="15.75" customHeight="1">
      <c r="A3169" s="21" t="s">
        <v>147</v>
      </c>
      <c r="B3169" s="23" t="s">
        <v>1692</v>
      </c>
      <c r="C3169" s="22">
        <v>45693</v>
      </c>
      <c r="D3169" s="23" t="s">
        <v>756</v>
      </c>
      <c r="E3169" s="23" t="s">
        <v>149</v>
      </c>
      <c r="F3169" s="21">
        <v>1</v>
      </c>
      <c r="G3169" s="12">
        <v>1700</v>
      </c>
      <c r="H3169" s="12">
        <v>1700</v>
      </c>
      <c r="I3169" s="23" t="s">
        <v>52</v>
      </c>
      <c r="J3169" s="23" t="s">
        <v>61</v>
      </c>
      <c r="K3169" s="24" t="s">
        <v>177</v>
      </c>
      <c r="L3169" s="24">
        <v>100</v>
      </c>
      <c r="M3169" s="12">
        <v>1428.5714285714287</v>
      </c>
      <c r="N3169" s="12">
        <v>1428.5714285714287</v>
      </c>
      <c r="O3169" s="12">
        <v>271.42857142857133</v>
      </c>
      <c r="P3169" s="13"/>
      <c r="Q3169" s="14">
        <v>2025</v>
      </c>
      <c r="R3169" s="15">
        <v>45323</v>
      </c>
      <c r="S3169" s="11" t="s">
        <v>412</v>
      </c>
      <c r="T3169" s="16">
        <v>0</v>
      </c>
      <c r="U3169" s="17"/>
      <c r="V3169" s="12">
        <v>774.78991596638662</v>
      </c>
      <c r="W3169" s="12">
        <v>774.78991596638662</v>
      </c>
      <c r="X3169" s="12">
        <v>0</v>
      </c>
      <c r="Y3169" s="18">
        <v>45691</v>
      </c>
      <c r="Z3169" s="13" t="s">
        <v>515</v>
      </c>
      <c r="AA3169" s="19" t="str">
        <f>VLOOKUP(D3169,Clientes!$A$2:$J$486,9,FALSE)</f>
        <v>Ocacional</v>
      </c>
      <c r="AB3169" s="13" t="str">
        <f>VLOOKUP(D3169,Clientes!$A$2:$K$486,11,FALSE)</f>
        <v>Persona Natural</v>
      </c>
      <c r="AC3169" s="13" t="str">
        <f>VLOOKUP(D3169,Clientes!$A$2:$B$486,2,FALSE)</f>
        <v>Palena</v>
      </c>
      <c r="AD3169" s="20"/>
      <c r="AE3169" s="20"/>
      <c r="AF3169" s="13" t="s">
        <v>40</v>
      </c>
      <c r="AG3169" s="15">
        <v>45323</v>
      </c>
      <c r="AH3169" s="13" t="s">
        <v>41</v>
      </c>
      <c r="AI3169" s="13" t="s">
        <v>147</v>
      </c>
      <c r="AJ3169" s="13" t="str">
        <f>VLOOKUP(E3169,Precios!Z$2:AA$941,2,FALSE)</f>
        <v>Film Plástico 30 metros</v>
      </c>
      <c r="AK3169" s="14">
        <f>VLOOKUP(E3169,Precios!Z$2:BB$941,3,FALSE)*F3169</f>
        <v>-1</v>
      </c>
      <c r="AL3169" s="17"/>
      <c r="AM3169" s="17"/>
      <c r="AN3169" s="17"/>
      <c r="AO3169" s="17"/>
      <c r="AP3169" s="17"/>
      <c r="AQ3169" s="17"/>
      <c r="AR3169" s="17"/>
      <c r="AS3169" s="17"/>
      <c r="AT3169" s="17"/>
      <c r="AU3169" s="17"/>
      <c r="AV3169" s="17"/>
    </row>
    <row r="3170" spans="1:48" ht="15.75" customHeight="1">
      <c r="A3170" s="21" t="s">
        <v>53</v>
      </c>
      <c r="B3170" s="23" t="s">
        <v>1692</v>
      </c>
      <c r="C3170" s="22">
        <v>45693</v>
      </c>
      <c r="D3170" s="23" t="s">
        <v>915</v>
      </c>
      <c r="E3170" s="23" t="s">
        <v>163</v>
      </c>
      <c r="F3170" s="21">
        <v>1</v>
      </c>
      <c r="G3170" s="12">
        <v>18990</v>
      </c>
      <c r="H3170" s="34">
        <v>18990</v>
      </c>
      <c r="I3170" s="23" t="s">
        <v>52</v>
      </c>
      <c r="J3170" s="23" t="s">
        <v>61</v>
      </c>
      <c r="K3170" s="24" t="s">
        <v>177</v>
      </c>
      <c r="L3170" s="24">
        <v>100</v>
      </c>
      <c r="M3170" s="12">
        <v>15957.983193277312</v>
      </c>
      <c r="N3170" s="12">
        <v>15957.983193277312</v>
      </c>
      <c r="O3170" s="12">
        <v>3032.0168067226878</v>
      </c>
      <c r="P3170" s="13"/>
      <c r="Q3170" s="14">
        <v>2025</v>
      </c>
      <c r="R3170" s="15">
        <v>45323</v>
      </c>
      <c r="S3170" s="11" t="s">
        <v>435</v>
      </c>
      <c r="T3170" s="16">
        <v>0</v>
      </c>
      <c r="U3170" s="17"/>
      <c r="V3170" s="12">
        <v>4112.6050420168067</v>
      </c>
      <c r="W3170" s="12">
        <v>4112.6050420168067</v>
      </c>
      <c r="X3170" s="12">
        <v>0</v>
      </c>
      <c r="Y3170" s="18">
        <v>45691</v>
      </c>
      <c r="Z3170" s="13" t="s">
        <v>515</v>
      </c>
      <c r="AA3170" s="19" t="str">
        <f>VLOOKUP(D3170,Clientes!$A$2:$J$486,9,FALSE)</f>
        <v>Regular</v>
      </c>
      <c r="AB3170" s="13" t="str">
        <f>VLOOKUP(D3170,Clientes!$A$2:$K$486,11,FALSE)</f>
        <v>Persona Natural</v>
      </c>
      <c r="AC3170" s="13" t="str">
        <f>VLOOKUP(D3170,Clientes!$A$2:$B$486,2,FALSE)</f>
        <v>Jardin del Eden</v>
      </c>
      <c r="AD3170" s="20"/>
      <c r="AE3170" s="20"/>
      <c r="AF3170" s="13" t="s">
        <v>40</v>
      </c>
      <c r="AG3170" s="15">
        <v>45323</v>
      </c>
      <c r="AH3170" s="13" t="s">
        <v>41</v>
      </c>
      <c r="AI3170" s="13" t="s">
        <v>53</v>
      </c>
      <c r="AJ3170" s="13" t="str">
        <f>VLOOKUP(E3170,Precios!Z$2:AA$941,2,FALSE)</f>
        <v>Papel Higienico SWAN 50 metros</v>
      </c>
      <c r="AK3170" s="14">
        <f>VLOOKUP(E3170,Precios!Z$2:BB$941,3,FALSE)*F3170</f>
        <v>-8</v>
      </c>
      <c r="AL3170" s="17"/>
      <c r="AM3170" s="17"/>
      <c r="AN3170" s="17"/>
      <c r="AO3170" s="17"/>
      <c r="AP3170" s="17"/>
      <c r="AQ3170" s="17"/>
      <c r="AR3170" s="17"/>
      <c r="AS3170" s="17"/>
      <c r="AT3170" s="17"/>
      <c r="AU3170" s="17"/>
      <c r="AV3170" s="17"/>
    </row>
    <row r="3171" spans="1:48" ht="15.75" customHeight="1">
      <c r="A3171" s="21" t="s">
        <v>47</v>
      </c>
      <c r="B3171" s="23" t="s">
        <v>1692</v>
      </c>
      <c r="C3171" s="22">
        <v>45693</v>
      </c>
      <c r="D3171" s="23" t="s">
        <v>80</v>
      </c>
      <c r="E3171" s="23" t="s">
        <v>344</v>
      </c>
      <c r="F3171" s="21">
        <v>1</v>
      </c>
      <c r="G3171" s="12">
        <v>2400.1353637901861</v>
      </c>
      <c r="H3171" s="12">
        <v>2400.1353637901861</v>
      </c>
      <c r="I3171" s="23" t="s">
        <v>52</v>
      </c>
      <c r="J3171" s="23" t="s">
        <v>61</v>
      </c>
      <c r="K3171" s="24" t="s">
        <v>177</v>
      </c>
      <c r="L3171" s="24">
        <v>100</v>
      </c>
      <c r="M3171" s="12">
        <v>2016.9204737732657</v>
      </c>
      <c r="N3171" s="12">
        <v>2016.9204737732657</v>
      </c>
      <c r="O3171" s="12">
        <v>383.21489001692044</v>
      </c>
      <c r="P3171" s="13"/>
      <c r="Q3171" s="14">
        <v>2025</v>
      </c>
      <c r="R3171" s="15">
        <v>45323</v>
      </c>
      <c r="S3171" s="11" t="s">
        <v>372</v>
      </c>
      <c r="T3171" s="16">
        <v>0</v>
      </c>
      <c r="U3171" s="17"/>
      <c r="V3171" s="12">
        <v>824.92047377326571</v>
      </c>
      <c r="W3171" s="12">
        <v>824.92047377326571</v>
      </c>
      <c r="X3171" s="12">
        <v>0</v>
      </c>
      <c r="Y3171" s="18">
        <v>45691</v>
      </c>
      <c r="Z3171" s="13" t="s">
        <v>515</v>
      </c>
      <c r="AA3171" s="19" t="str">
        <f>VLOOKUP(D3171,Clientes!$A$2:$J$486,9,FALSE)</f>
        <v>Frecuente</v>
      </c>
      <c r="AB3171" s="13" t="str">
        <f>VLOOKUP(D3171,Clientes!$A$2:$K$486,11,FALSE)</f>
        <v>Persona Natural</v>
      </c>
      <c r="AC3171" s="13" t="str">
        <f>VLOOKUP(D3171,Clientes!$A$2:$B$486,2,FALSE)</f>
        <v>Jardines de la Viña</v>
      </c>
      <c r="AD3171" s="20"/>
      <c r="AE3171" s="20"/>
      <c r="AF3171" s="13" t="s">
        <v>40</v>
      </c>
      <c r="AG3171" s="15">
        <v>45323</v>
      </c>
      <c r="AH3171" s="13" t="s">
        <v>41</v>
      </c>
      <c r="AI3171" s="13" t="s">
        <v>47</v>
      </c>
      <c r="AJ3171" s="13" t="str">
        <f>VLOOKUP(E3171,Precios!Z$2:AA$941,2,FALSE)</f>
        <v>Traperos Humedos TEDDY</v>
      </c>
      <c r="AK3171" s="14">
        <f>VLOOKUP(E3171,Precios!Z$2:BB$941,3,FALSE)*F3171</f>
        <v>-1</v>
      </c>
      <c r="AL3171" s="17"/>
      <c r="AM3171" s="17"/>
      <c r="AN3171" s="17"/>
      <c r="AO3171" s="17"/>
      <c r="AP3171" s="17"/>
      <c r="AQ3171" s="17"/>
      <c r="AR3171" s="17"/>
      <c r="AS3171" s="17"/>
      <c r="AT3171" s="17"/>
      <c r="AU3171" s="17"/>
      <c r="AV3171" s="17"/>
    </row>
    <row r="3172" spans="1:48" ht="15.75" customHeight="1">
      <c r="A3172" s="21" t="s">
        <v>76</v>
      </c>
      <c r="B3172" s="23" t="s">
        <v>1692</v>
      </c>
      <c r="C3172" s="22">
        <v>45693</v>
      </c>
      <c r="D3172" s="23" t="s">
        <v>80</v>
      </c>
      <c r="E3172" s="23" t="s">
        <v>81</v>
      </c>
      <c r="F3172" s="21">
        <v>1</v>
      </c>
      <c r="G3172" s="12">
        <v>3500.0000000000005</v>
      </c>
      <c r="H3172" s="12">
        <v>3500.0000000000005</v>
      </c>
      <c r="I3172" s="23" t="s">
        <v>52</v>
      </c>
      <c r="J3172" s="23" t="s">
        <v>61</v>
      </c>
      <c r="K3172" s="24" t="s">
        <v>177</v>
      </c>
      <c r="L3172" s="24">
        <v>100</v>
      </c>
      <c r="M3172" s="12">
        <v>2941.1764705882356</v>
      </c>
      <c r="N3172" s="12">
        <v>2941.1764705882356</v>
      </c>
      <c r="O3172" s="12">
        <v>558.82352941176487</v>
      </c>
      <c r="P3172" s="13"/>
      <c r="Q3172" s="14">
        <v>2025</v>
      </c>
      <c r="R3172" s="15">
        <v>45323</v>
      </c>
      <c r="S3172" s="11" t="s">
        <v>397</v>
      </c>
      <c r="T3172" s="16">
        <v>5</v>
      </c>
      <c r="U3172" s="17"/>
      <c r="V3172" s="12">
        <v>764.70588235294144</v>
      </c>
      <c r="W3172" s="12">
        <v>764.70588235294144</v>
      </c>
      <c r="X3172" s="12">
        <v>0</v>
      </c>
      <c r="Y3172" s="18">
        <v>45691</v>
      </c>
      <c r="Z3172" s="13" t="s">
        <v>515</v>
      </c>
      <c r="AA3172" s="19" t="str">
        <f>VLOOKUP(D3172,Clientes!$A$2:$J$486,9,FALSE)</f>
        <v>Frecuente</v>
      </c>
      <c r="AB3172" s="13" t="str">
        <f>VLOOKUP(D3172,Clientes!$A$2:$K$486,11,FALSE)</f>
        <v>Persona Natural</v>
      </c>
      <c r="AC3172" s="13" t="str">
        <f>VLOOKUP(D3172,Clientes!$A$2:$B$486,2,FALSE)</f>
        <v>Jardines de la Viña</v>
      </c>
      <c r="AD3172" s="20"/>
      <c r="AE3172" s="20"/>
      <c r="AF3172" s="13" t="s">
        <v>40</v>
      </c>
      <c r="AG3172" s="15">
        <v>45323</v>
      </c>
      <c r="AH3172" s="13" t="s">
        <v>41</v>
      </c>
      <c r="AI3172" s="13" t="s">
        <v>76</v>
      </c>
      <c r="AJ3172" s="13" t="str">
        <f>VLOOKUP(E3172,Precios!Z$2:AA$941,2,FALSE)</f>
        <v>Detergente SPUM 5 Litros (Verde)</v>
      </c>
      <c r="AK3172" s="14">
        <f>VLOOKUP(E3172,Precios!Z$2:BB$941,3,FALSE)*F3172</f>
        <v>-1</v>
      </c>
      <c r="AL3172" s="17"/>
      <c r="AM3172" s="17"/>
      <c r="AN3172" s="17"/>
      <c r="AO3172" s="17"/>
      <c r="AP3172" s="17"/>
      <c r="AQ3172" s="17"/>
      <c r="AR3172" s="17"/>
      <c r="AS3172" s="17"/>
      <c r="AT3172" s="17"/>
      <c r="AU3172" s="17"/>
      <c r="AV3172" s="17"/>
    </row>
    <row r="3173" spans="1:48" ht="15.75" customHeight="1">
      <c r="A3173" s="21" t="s">
        <v>47</v>
      </c>
      <c r="B3173" s="23" t="s">
        <v>1692</v>
      </c>
      <c r="C3173" s="22">
        <v>45693</v>
      </c>
      <c r="D3173" s="23" t="s">
        <v>270</v>
      </c>
      <c r="E3173" s="23" t="s">
        <v>153</v>
      </c>
      <c r="F3173" s="21">
        <v>1</v>
      </c>
      <c r="G3173" s="12">
        <v>1700</v>
      </c>
      <c r="H3173" s="12">
        <v>1700</v>
      </c>
      <c r="I3173" s="23" t="s">
        <v>52</v>
      </c>
      <c r="J3173" s="23" t="s">
        <v>61</v>
      </c>
      <c r="K3173" s="24" t="s">
        <v>177</v>
      </c>
      <c r="L3173" s="24">
        <v>100</v>
      </c>
      <c r="M3173" s="12">
        <v>1428.5714285714287</v>
      </c>
      <c r="N3173" s="12">
        <v>1428.5714285714287</v>
      </c>
      <c r="O3173" s="12">
        <v>271.42857142857133</v>
      </c>
      <c r="P3173" s="13"/>
      <c r="Q3173" s="14">
        <v>2025</v>
      </c>
      <c r="R3173" s="15">
        <v>45323</v>
      </c>
      <c r="S3173" s="11" t="s">
        <v>153</v>
      </c>
      <c r="T3173" s="16">
        <v>0</v>
      </c>
      <c r="U3173" s="17"/>
      <c r="V3173" s="12">
        <v>589.57142857142867</v>
      </c>
      <c r="W3173" s="12">
        <v>589.57142857142867</v>
      </c>
      <c r="X3173" s="12">
        <v>0</v>
      </c>
      <c r="Y3173" s="18">
        <v>45691</v>
      </c>
      <c r="Z3173" s="13" t="s">
        <v>515</v>
      </c>
      <c r="AA3173" s="19" t="str">
        <f>VLOOKUP(D3173,Clientes!$A$2:$J$486,9,FALSE)</f>
        <v>Familiar</v>
      </c>
      <c r="AB3173" s="13" t="str">
        <f>VLOOKUP(D3173,Clientes!$A$2:$K$486,11,FALSE)</f>
        <v>Persona Natural</v>
      </c>
      <c r="AC3173" s="13" t="str">
        <f>VLOOKUP(D3173,Clientes!$A$2:$B$486,2,FALSE)</f>
        <v>Familiar</v>
      </c>
      <c r="AD3173" s="20"/>
      <c r="AE3173" s="20"/>
      <c r="AF3173" s="13" t="s">
        <v>40</v>
      </c>
      <c r="AG3173" s="15">
        <v>45323</v>
      </c>
      <c r="AH3173" s="13" t="s">
        <v>41</v>
      </c>
      <c r="AI3173" s="13" t="s">
        <v>47</v>
      </c>
      <c r="AJ3173" s="13" t="str">
        <f>VLOOKUP(E3173,Precios!Z$2:AA$941,2,FALSE)</f>
        <v>Escobillon TEDDY</v>
      </c>
      <c r="AK3173" s="14">
        <f>VLOOKUP(E3173,Precios!Z$2:BB$941,3,FALSE)*F3173</f>
        <v>-1</v>
      </c>
      <c r="AL3173" s="17"/>
      <c r="AM3173" s="17"/>
      <c r="AN3173" s="17"/>
      <c r="AO3173" s="17"/>
      <c r="AP3173" s="17"/>
      <c r="AQ3173" s="17"/>
      <c r="AR3173" s="17"/>
      <c r="AS3173" s="17"/>
      <c r="AT3173" s="17"/>
      <c r="AU3173" s="17"/>
      <c r="AV3173" s="17"/>
    </row>
    <row r="3174" spans="1:48" ht="15.75" customHeight="1">
      <c r="A3174" s="21" t="s">
        <v>43</v>
      </c>
      <c r="B3174" s="23" t="s">
        <v>1692</v>
      </c>
      <c r="C3174" s="22">
        <v>45693</v>
      </c>
      <c r="D3174" s="23" t="s">
        <v>241</v>
      </c>
      <c r="E3174" s="23" t="s">
        <v>45</v>
      </c>
      <c r="F3174" s="21">
        <v>1</v>
      </c>
      <c r="G3174" s="12">
        <v>6300.1913812446392</v>
      </c>
      <c r="H3174" s="12">
        <v>6300.1913812446392</v>
      </c>
      <c r="I3174" s="23" t="s">
        <v>52</v>
      </c>
      <c r="J3174" s="23" t="s">
        <v>61</v>
      </c>
      <c r="K3174" s="24" t="s">
        <v>177</v>
      </c>
      <c r="L3174" s="24">
        <v>100</v>
      </c>
      <c r="M3174" s="12">
        <v>5294.2784716341512</v>
      </c>
      <c r="N3174" s="12">
        <v>5294.2784716341512</v>
      </c>
      <c r="O3174" s="12">
        <v>1005.912909610488</v>
      </c>
      <c r="P3174" s="13"/>
      <c r="Q3174" s="14">
        <v>2025</v>
      </c>
      <c r="R3174" s="15">
        <v>45323</v>
      </c>
      <c r="S3174" s="11" t="s">
        <v>355</v>
      </c>
      <c r="T3174" s="16">
        <v>0</v>
      </c>
      <c r="U3174" s="17"/>
      <c r="V3174" s="12">
        <v>1283.0683876005369</v>
      </c>
      <c r="W3174" s="12">
        <v>1283.0683876005369</v>
      </c>
      <c r="X3174" s="12">
        <v>0</v>
      </c>
      <c r="Y3174" s="18">
        <v>45691</v>
      </c>
      <c r="Z3174" s="13" t="s">
        <v>515</v>
      </c>
      <c r="AA3174" s="19" t="str">
        <f>VLOOKUP(D3174,Clientes!$A$2:$J$486,9,FALSE)</f>
        <v>Ocacional</v>
      </c>
      <c r="AB3174" s="13" t="str">
        <f>VLOOKUP(D3174,Clientes!$A$2:$K$486,11,FALSE)</f>
        <v>Persona Natural</v>
      </c>
      <c r="AC3174" s="13" t="str">
        <f>VLOOKUP(D3174,Clientes!$A$2:$B$486,2,FALSE)</f>
        <v>Colombia</v>
      </c>
      <c r="AD3174" s="20"/>
      <c r="AE3174" s="20"/>
      <c r="AF3174" s="13" t="s">
        <v>40</v>
      </c>
      <c r="AG3174" s="15">
        <v>45323</v>
      </c>
      <c r="AH3174" s="13" t="s">
        <v>41</v>
      </c>
      <c r="AI3174" s="13" t="s">
        <v>43</v>
      </c>
      <c r="AJ3174" s="13" t="str">
        <f>VLOOKUP(E3174,Precios!Z$2:AA$941,2,FALSE)</f>
        <v>Bandeja Huevos EXTRA</v>
      </c>
      <c r="AK3174" s="14">
        <f>VLOOKUP(E3174,Precios!Z$2:BB$941,3,FALSE)*F3174</f>
        <v>-1</v>
      </c>
      <c r="AL3174" s="17"/>
      <c r="AM3174" s="17"/>
      <c r="AN3174" s="17"/>
      <c r="AO3174" s="17"/>
      <c r="AP3174" s="17"/>
      <c r="AQ3174" s="17"/>
      <c r="AR3174" s="17"/>
      <c r="AS3174" s="17"/>
      <c r="AT3174" s="17"/>
      <c r="AU3174" s="17"/>
      <c r="AV3174" s="17"/>
    </row>
    <row r="3175" spans="1:48" ht="15.75" customHeight="1">
      <c r="A3175" s="21" t="s">
        <v>43</v>
      </c>
      <c r="B3175" s="23" t="s">
        <v>1692</v>
      </c>
      <c r="C3175" s="22">
        <v>45693</v>
      </c>
      <c r="D3175" s="23" t="s">
        <v>700</v>
      </c>
      <c r="E3175" s="23" t="s">
        <v>45</v>
      </c>
      <c r="F3175" s="21">
        <v>2</v>
      </c>
      <c r="G3175" s="12">
        <v>6300.1913812446392</v>
      </c>
      <c r="H3175" s="12">
        <v>12600.382762489278</v>
      </c>
      <c r="I3175" s="23" t="s">
        <v>52</v>
      </c>
      <c r="J3175" s="23" t="s">
        <v>61</v>
      </c>
      <c r="K3175" s="24" t="s">
        <v>177</v>
      </c>
      <c r="L3175" s="24">
        <v>100</v>
      </c>
      <c r="M3175" s="12">
        <v>5294.2784716341512</v>
      </c>
      <c r="N3175" s="12">
        <v>10588.556943268302</v>
      </c>
      <c r="O3175" s="12">
        <v>2011.825819220976</v>
      </c>
      <c r="P3175" s="13"/>
      <c r="Q3175" s="14">
        <v>2025</v>
      </c>
      <c r="R3175" s="15">
        <v>45323</v>
      </c>
      <c r="S3175" s="11" t="s">
        <v>355</v>
      </c>
      <c r="T3175" s="16">
        <v>0</v>
      </c>
      <c r="U3175" s="17"/>
      <c r="V3175" s="12">
        <v>2566.1367752010738</v>
      </c>
      <c r="W3175" s="12">
        <v>2566.1367752010738</v>
      </c>
      <c r="X3175" s="12">
        <v>0</v>
      </c>
      <c r="Y3175" s="18">
        <v>45691</v>
      </c>
      <c r="Z3175" s="13" t="s">
        <v>515</v>
      </c>
      <c r="AA3175" s="19" t="str">
        <f>VLOOKUP(D3175,Clientes!$A$2:$J$486,9,FALSE)</f>
        <v>Ocacional</v>
      </c>
      <c r="AB3175" s="13" t="str">
        <f>VLOOKUP(D3175,Clientes!$A$2:$K$486,11,FALSE)</f>
        <v>Persona Natural</v>
      </c>
      <c r="AC3175" s="13" t="str">
        <f>VLOOKUP(D3175,Clientes!$A$2:$B$486,2,FALSE)</f>
        <v>Las Cumbres</v>
      </c>
      <c r="AD3175" s="20"/>
      <c r="AE3175" s="20"/>
      <c r="AF3175" s="13" t="s">
        <v>40</v>
      </c>
      <c r="AG3175" s="15">
        <v>45323</v>
      </c>
      <c r="AH3175" s="13" t="s">
        <v>41</v>
      </c>
      <c r="AI3175" s="13" t="s">
        <v>43</v>
      </c>
      <c r="AJ3175" s="13" t="str">
        <f>VLOOKUP(E3175,Precios!Z$2:AA$941,2,FALSE)</f>
        <v>Bandeja Huevos EXTRA</v>
      </c>
      <c r="AK3175" s="14">
        <f>VLOOKUP(E3175,Precios!Z$2:BB$941,3,FALSE)*F3175</f>
        <v>-2</v>
      </c>
      <c r="AL3175" s="17"/>
      <c r="AM3175" s="17"/>
      <c r="AN3175" s="17"/>
      <c r="AO3175" s="17"/>
      <c r="AP3175" s="17"/>
      <c r="AQ3175" s="17"/>
      <c r="AR3175" s="17"/>
      <c r="AS3175" s="17"/>
      <c r="AT3175" s="17"/>
      <c r="AU3175" s="17"/>
      <c r="AV3175" s="17"/>
    </row>
    <row r="3176" spans="1:48" ht="15.75" customHeight="1">
      <c r="A3176" s="21" t="s">
        <v>53</v>
      </c>
      <c r="B3176" s="23" t="s">
        <v>1692</v>
      </c>
      <c r="C3176" s="22">
        <v>45693</v>
      </c>
      <c r="D3176" s="23" t="s">
        <v>652</v>
      </c>
      <c r="E3176" s="23" t="s">
        <v>55</v>
      </c>
      <c r="F3176" s="21">
        <v>1</v>
      </c>
      <c r="G3176" s="12">
        <v>19989.738327347361</v>
      </c>
      <c r="H3176" s="12">
        <v>19989.738327347361</v>
      </c>
      <c r="I3176" s="23" t="s">
        <v>52</v>
      </c>
      <c r="J3176" s="23" t="s">
        <v>61</v>
      </c>
      <c r="K3176" s="24" t="s">
        <v>177</v>
      </c>
      <c r="L3176" s="24">
        <v>100</v>
      </c>
      <c r="M3176" s="12">
        <v>16798.099434745684</v>
      </c>
      <c r="N3176" s="12">
        <v>16798.099434745684</v>
      </c>
      <c r="O3176" s="12">
        <v>3191.6388926016771</v>
      </c>
      <c r="P3176" s="13"/>
      <c r="Q3176" s="14">
        <v>2025</v>
      </c>
      <c r="R3176" s="15">
        <v>45323</v>
      </c>
      <c r="S3176" s="11" t="s">
        <v>366</v>
      </c>
      <c r="T3176" s="16">
        <v>0</v>
      </c>
      <c r="U3176" s="17"/>
      <c r="V3176" s="12">
        <v>3702.3011154179476</v>
      </c>
      <c r="W3176" s="12">
        <v>3702.3011154179476</v>
      </c>
      <c r="X3176" s="12">
        <v>0</v>
      </c>
      <c r="Y3176" s="18">
        <v>45691</v>
      </c>
      <c r="Z3176" s="13" t="s">
        <v>515</v>
      </c>
      <c r="AA3176" s="19" t="str">
        <f>VLOOKUP(D3176,Clientes!$A$2:$J$486,9,FALSE)</f>
        <v>Ocacional</v>
      </c>
      <c r="AB3176" s="13" t="str">
        <f>VLOOKUP(D3176,Clientes!$A$2:$K$486,11,FALSE)</f>
        <v>Persona Natural</v>
      </c>
      <c r="AC3176" s="13" t="str">
        <f>VLOOKUP(D3176,Clientes!$A$2:$B$486,2,FALSE)</f>
        <v>Sector Araucania</v>
      </c>
      <c r="AD3176" s="20"/>
      <c r="AE3176" s="20"/>
      <c r="AF3176" s="13" t="s">
        <v>40</v>
      </c>
      <c r="AG3176" s="15">
        <v>45323</v>
      </c>
      <c r="AH3176" s="13" t="s">
        <v>41</v>
      </c>
      <c r="AI3176" s="13" t="s">
        <v>53</v>
      </c>
      <c r="AJ3176" s="13" t="str">
        <f>VLOOKUP(E3176,Precios!Z$2:AA$941,2,FALSE)</f>
        <v>Papel Higienico ELITE 50 metros</v>
      </c>
      <c r="AK3176" s="14">
        <f>VLOOKUP(E3176,Precios!Z$2:BB$941,3,FALSE)*F3176</f>
        <v>-8</v>
      </c>
      <c r="AL3176" s="17"/>
      <c r="AM3176" s="17"/>
      <c r="AN3176" s="17"/>
      <c r="AO3176" s="17"/>
      <c r="AP3176" s="17"/>
      <c r="AQ3176" s="17"/>
      <c r="AR3176" s="17"/>
      <c r="AS3176" s="17"/>
      <c r="AT3176" s="17"/>
      <c r="AU3176" s="17"/>
      <c r="AV3176" s="17"/>
    </row>
    <row r="3177" spans="1:48" ht="15.75" customHeight="1">
      <c r="A3177" s="21" t="s">
        <v>76</v>
      </c>
      <c r="B3177" s="23" t="s">
        <v>1692</v>
      </c>
      <c r="C3177" s="22">
        <v>45693</v>
      </c>
      <c r="D3177" s="23" t="s">
        <v>652</v>
      </c>
      <c r="E3177" s="23" t="s">
        <v>81</v>
      </c>
      <c r="F3177" s="21">
        <v>1</v>
      </c>
      <c r="G3177" s="12">
        <v>3500.0000000000005</v>
      </c>
      <c r="H3177" s="12">
        <v>3500.0000000000005</v>
      </c>
      <c r="I3177" s="23" t="s">
        <v>52</v>
      </c>
      <c r="J3177" s="23" t="s">
        <v>61</v>
      </c>
      <c r="K3177" s="24" t="s">
        <v>177</v>
      </c>
      <c r="L3177" s="24">
        <v>100</v>
      </c>
      <c r="M3177" s="12">
        <v>2941.1764705882356</v>
      </c>
      <c r="N3177" s="12">
        <v>2941.1764705882356</v>
      </c>
      <c r="O3177" s="12">
        <v>558.82352941176487</v>
      </c>
      <c r="P3177" s="13"/>
      <c r="Q3177" s="14">
        <v>2025</v>
      </c>
      <c r="R3177" s="15">
        <v>45323</v>
      </c>
      <c r="S3177" s="11" t="s">
        <v>397</v>
      </c>
      <c r="T3177" s="16">
        <v>5</v>
      </c>
      <c r="U3177" s="17"/>
      <c r="V3177" s="12">
        <v>764.70588235294144</v>
      </c>
      <c r="W3177" s="12">
        <v>764.70588235294144</v>
      </c>
      <c r="X3177" s="12">
        <v>0</v>
      </c>
      <c r="Y3177" s="18">
        <v>45691</v>
      </c>
      <c r="Z3177" s="13" t="s">
        <v>515</v>
      </c>
      <c r="AA3177" s="19" t="str">
        <f>VLOOKUP(D3177,Clientes!$A$2:$J$486,9,FALSE)</f>
        <v>Ocacional</v>
      </c>
      <c r="AB3177" s="13" t="str">
        <f>VLOOKUP(D3177,Clientes!$A$2:$K$486,11,FALSE)</f>
        <v>Persona Natural</v>
      </c>
      <c r="AC3177" s="13" t="str">
        <f>VLOOKUP(D3177,Clientes!$A$2:$B$486,2,FALSE)</f>
        <v>Sector Araucania</v>
      </c>
      <c r="AD3177" s="20"/>
      <c r="AE3177" s="20"/>
      <c r="AF3177" s="13" t="s">
        <v>40</v>
      </c>
      <c r="AG3177" s="15">
        <v>45323</v>
      </c>
      <c r="AH3177" s="13" t="s">
        <v>41</v>
      </c>
      <c r="AI3177" s="13" t="s">
        <v>76</v>
      </c>
      <c r="AJ3177" s="13" t="str">
        <f>VLOOKUP(E3177,Precios!Z$2:AA$941,2,FALSE)</f>
        <v>Detergente SPUM 5 Litros (Verde)</v>
      </c>
      <c r="AK3177" s="14">
        <f>VLOOKUP(E3177,Precios!Z$2:BB$941,3,FALSE)*F3177</f>
        <v>-1</v>
      </c>
      <c r="AL3177" s="17"/>
      <c r="AM3177" s="17"/>
      <c r="AN3177" s="17"/>
      <c r="AO3177" s="17"/>
      <c r="AP3177" s="17"/>
      <c r="AQ3177" s="17"/>
      <c r="AR3177" s="17"/>
      <c r="AS3177" s="17"/>
      <c r="AT3177" s="17"/>
      <c r="AU3177" s="17"/>
      <c r="AV3177" s="17"/>
    </row>
    <row r="3178" spans="1:48" ht="15.75" customHeight="1">
      <c r="A3178" s="21" t="s">
        <v>43</v>
      </c>
      <c r="B3178" s="23" t="s">
        <v>1692</v>
      </c>
      <c r="C3178" s="22">
        <v>45693</v>
      </c>
      <c r="D3178" s="23" t="s">
        <v>120</v>
      </c>
      <c r="E3178" s="23" t="s">
        <v>45</v>
      </c>
      <c r="F3178" s="21">
        <v>1</v>
      </c>
      <c r="G3178" s="12">
        <v>6300.1913812446392</v>
      </c>
      <c r="H3178" s="12">
        <v>6300.1913812446392</v>
      </c>
      <c r="I3178" s="23" t="s">
        <v>52</v>
      </c>
      <c r="J3178" s="23" t="s">
        <v>61</v>
      </c>
      <c r="K3178" s="24" t="s">
        <v>177</v>
      </c>
      <c r="L3178" s="24">
        <v>100</v>
      </c>
      <c r="M3178" s="12">
        <v>5294.2784716341512</v>
      </c>
      <c r="N3178" s="12">
        <v>5294.2784716341512</v>
      </c>
      <c r="O3178" s="12">
        <v>1005.912909610488</v>
      </c>
      <c r="P3178" s="13"/>
      <c r="Q3178" s="14">
        <v>2025</v>
      </c>
      <c r="R3178" s="15">
        <v>45323</v>
      </c>
      <c r="S3178" s="11" t="s">
        <v>355</v>
      </c>
      <c r="T3178" s="16">
        <v>0</v>
      </c>
      <c r="U3178" s="17"/>
      <c r="V3178" s="12">
        <v>1283.0683876005369</v>
      </c>
      <c r="W3178" s="12">
        <v>1283.0683876005369</v>
      </c>
      <c r="X3178" s="12">
        <v>0</v>
      </c>
      <c r="Y3178" s="18">
        <v>45691</v>
      </c>
      <c r="Z3178" s="13" t="s">
        <v>515</v>
      </c>
      <c r="AA3178" s="19" t="str">
        <f>VLOOKUP(D3178,Clientes!$A$2:$J$486,9,FALSE)</f>
        <v>Ocacional</v>
      </c>
      <c r="AB3178" s="13" t="str">
        <f>VLOOKUP(D3178,Clientes!$A$2:$K$486,11,FALSE)</f>
        <v>Persona Natural</v>
      </c>
      <c r="AC3178" s="13" t="str">
        <f>VLOOKUP(D3178,Clientes!$A$2:$B$486,2,FALSE)</f>
        <v>Jardines de la viña</v>
      </c>
      <c r="AD3178" s="20"/>
      <c r="AE3178" s="20"/>
      <c r="AF3178" s="13" t="s">
        <v>40</v>
      </c>
      <c r="AG3178" s="15">
        <v>45323</v>
      </c>
      <c r="AH3178" s="13" t="s">
        <v>41</v>
      </c>
      <c r="AI3178" s="13" t="s">
        <v>43</v>
      </c>
      <c r="AJ3178" s="13" t="str">
        <f>VLOOKUP(E3178,Precios!Z$2:AA$941,2,FALSE)</f>
        <v>Bandeja Huevos EXTRA</v>
      </c>
      <c r="AK3178" s="14">
        <f>VLOOKUP(E3178,Precios!Z$2:BB$941,3,FALSE)*F3178</f>
        <v>-1</v>
      </c>
      <c r="AL3178" s="17"/>
      <c r="AM3178" s="17"/>
      <c r="AN3178" s="17"/>
      <c r="AO3178" s="17"/>
      <c r="AP3178" s="17"/>
      <c r="AQ3178" s="17"/>
      <c r="AR3178" s="17"/>
      <c r="AS3178" s="17"/>
      <c r="AT3178" s="17"/>
      <c r="AU3178" s="17"/>
      <c r="AV3178" s="17"/>
    </row>
    <row r="3179" spans="1:48" ht="15.75" customHeight="1">
      <c r="A3179" s="21" t="s">
        <v>43</v>
      </c>
      <c r="B3179" s="23" t="s">
        <v>1692</v>
      </c>
      <c r="C3179" s="22">
        <v>45693</v>
      </c>
      <c r="D3179" s="23" t="s">
        <v>567</v>
      </c>
      <c r="E3179" s="23" t="s">
        <v>45</v>
      </c>
      <c r="F3179" s="21">
        <v>1</v>
      </c>
      <c r="G3179" s="12">
        <v>6300.1913812446392</v>
      </c>
      <c r="H3179" s="12">
        <v>6300.1913812446392</v>
      </c>
      <c r="I3179" s="23" t="s">
        <v>52</v>
      </c>
      <c r="J3179" s="23" t="s">
        <v>61</v>
      </c>
      <c r="K3179" s="24" t="s">
        <v>177</v>
      </c>
      <c r="L3179" s="24">
        <v>100</v>
      </c>
      <c r="M3179" s="12">
        <v>5294.2784716341512</v>
      </c>
      <c r="N3179" s="12">
        <v>5294.2784716341512</v>
      </c>
      <c r="O3179" s="12">
        <v>1005.912909610488</v>
      </c>
      <c r="P3179" s="13"/>
      <c r="Q3179" s="14">
        <v>2025</v>
      </c>
      <c r="R3179" s="15">
        <v>45323</v>
      </c>
      <c r="S3179" s="11" t="s">
        <v>355</v>
      </c>
      <c r="T3179" s="16">
        <v>0</v>
      </c>
      <c r="U3179" s="17"/>
      <c r="V3179" s="12">
        <v>1283.0683876005369</v>
      </c>
      <c r="W3179" s="12">
        <v>1283.0683876005369</v>
      </c>
      <c r="X3179" s="12">
        <v>0</v>
      </c>
      <c r="Y3179" s="18">
        <v>45691</v>
      </c>
      <c r="Z3179" s="13" t="s">
        <v>515</v>
      </c>
      <c r="AA3179" s="19" t="str">
        <f>VLOOKUP(D3179,Clientes!$A$2:$J$486,9,FALSE)</f>
        <v>Ocacional</v>
      </c>
      <c r="AB3179" s="13" t="str">
        <f>VLOOKUP(D3179,Clientes!$A$2:$K$486,11,FALSE)</f>
        <v>Persona Natural</v>
      </c>
      <c r="AC3179" s="13" t="str">
        <f>VLOOKUP(D3179,Clientes!$A$2:$B$486,2,FALSE)</f>
        <v>Enrique Olivares</v>
      </c>
      <c r="AD3179" s="20"/>
      <c r="AE3179" s="20"/>
      <c r="AF3179" s="13" t="s">
        <v>40</v>
      </c>
      <c r="AG3179" s="15">
        <v>45323</v>
      </c>
      <c r="AH3179" s="13" t="s">
        <v>41</v>
      </c>
      <c r="AI3179" s="13" t="s">
        <v>43</v>
      </c>
      <c r="AJ3179" s="13" t="str">
        <f>VLOOKUP(E3179,Precios!Z$2:AA$941,2,FALSE)</f>
        <v>Bandeja Huevos EXTRA</v>
      </c>
      <c r="AK3179" s="14">
        <f>VLOOKUP(E3179,Precios!Z$2:BB$941,3,FALSE)*F3179</f>
        <v>-1</v>
      </c>
      <c r="AL3179" s="17"/>
      <c r="AM3179" s="17"/>
      <c r="AN3179" s="17"/>
      <c r="AO3179" s="17"/>
      <c r="AP3179" s="17"/>
      <c r="AQ3179" s="17"/>
      <c r="AR3179" s="17"/>
      <c r="AS3179" s="17"/>
      <c r="AT3179" s="17"/>
      <c r="AU3179" s="17"/>
      <c r="AV3179" s="17"/>
    </row>
    <row r="3180" spans="1:48" ht="15.75" customHeight="1">
      <c r="A3180" s="21" t="s">
        <v>47</v>
      </c>
      <c r="B3180" s="23" t="s">
        <v>1692</v>
      </c>
      <c r="C3180" s="22">
        <v>45692</v>
      </c>
      <c r="D3180" s="23" t="s">
        <v>108</v>
      </c>
      <c r="E3180" s="23" t="s">
        <v>155</v>
      </c>
      <c r="F3180" s="21">
        <v>1</v>
      </c>
      <c r="G3180" s="12">
        <v>3400</v>
      </c>
      <c r="H3180" s="12">
        <v>3400</v>
      </c>
      <c r="I3180" s="23" t="s">
        <v>52</v>
      </c>
      <c r="J3180" s="23" t="s">
        <v>61</v>
      </c>
      <c r="K3180" s="24" t="s">
        <v>177</v>
      </c>
      <c r="L3180" s="24">
        <v>100</v>
      </c>
      <c r="M3180" s="12">
        <v>2857.1428571428573</v>
      </c>
      <c r="N3180" s="12">
        <v>2857.1428571428573</v>
      </c>
      <c r="O3180" s="12">
        <v>542.85714285714266</v>
      </c>
      <c r="P3180" s="13"/>
      <c r="Q3180" s="14">
        <v>2025</v>
      </c>
      <c r="R3180" s="15">
        <v>45323</v>
      </c>
      <c r="S3180" s="11" t="s">
        <v>453</v>
      </c>
      <c r="T3180" s="16">
        <v>0</v>
      </c>
      <c r="U3180" s="17"/>
      <c r="V3180" s="12">
        <v>1255.1428571428573</v>
      </c>
      <c r="W3180" s="12">
        <v>1255.1428571428573</v>
      </c>
      <c r="X3180" s="12">
        <v>0</v>
      </c>
      <c r="Y3180" s="18">
        <v>45691</v>
      </c>
      <c r="Z3180" s="13" t="s">
        <v>516</v>
      </c>
      <c r="AA3180" s="19" t="str">
        <f>VLOOKUP(D3180,Clientes!$A$2:$J$486,9,FALSE)</f>
        <v>Frecuente</v>
      </c>
      <c r="AB3180" s="13" t="str">
        <f>VLOOKUP(D3180,Clientes!$A$2:$K$486,11,FALSE)</f>
        <v>Persona Natural</v>
      </c>
      <c r="AC3180" s="13" t="str">
        <f>VLOOKUP(D3180,Clientes!$A$2:$B$486,2,FALSE)</f>
        <v>Jardines de la Viña</v>
      </c>
      <c r="AD3180" s="20"/>
      <c r="AE3180" s="20"/>
      <c r="AF3180" s="13" t="s">
        <v>40</v>
      </c>
      <c r="AG3180" s="15">
        <v>45323</v>
      </c>
      <c r="AH3180" s="13" t="s">
        <v>41</v>
      </c>
      <c r="AI3180" s="13" t="s">
        <v>47</v>
      </c>
      <c r="AJ3180" s="13" t="str">
        <f>VLOOKUP(E3180,Precios!Z$2:AA$941,2,FALSE)</f>
        <v xml:space="preserve">Bolsas Basura TEDDY 50x70 </v>
      </c>
      <c r="AK3180" s="14">
        <f>VLOOKUP(E3180,Precios!Z$2:BB$941,3,FALSE)*F3180</f>
        <v>-6</v>
      </c>
      <c r="AL3180" s="17"/>
      <c r="AM3180" s="17"/>
      <c r="AN3180" s="17"/>
      <c r="AO3180" s="17"/>
      <c r="AP3180" s="17"/>
      <c r="AQ3180" s="17"/>
      <c r="AR3180" s="17"/>
      <c r="AS3180" s="17"/>
      <c r="AT3180" s="17"/>
      <c r="AU3180" s="17"/>
      <c r="AV3180" s="17"/>
    </row>
    <row r="3181" spans="1:48" ht="15.75" customHeight="1">
      <c r="A3181" s="21" t="s">
        <v>53</v>
      </c>
      <c r="B3181" s="23" t="s">
        <v>1692</v>
      </c>
      <c r="C3181" s="22">
        <v>45692</v>
      </c>
      <c r="D3181" s="23" t="s">
        <v>307</v>
      </c>
      <c r="E3181" s="23" t="s">
        <v>704</v>
      </c>
      <c r="F3181" s="21">
        <v>1</v>
      </c>
      <c r="G3181" s="12">
        <v>9000</v>
      </c>
      <c r="H3181" s="12">
        <v>9000</v>
      </c>
      <c r="I3181" s="23" t="s">
        <v>52</v>
      </c>
      <c r="J3181" s="23" t="s">
        <v>61</v>
      </c>
      <c r="K3181" s="24" t="s">
        <v>177</v>
      </c>
      <c r="L3181" s="24">
        <v>100</v>
      </c>
      <c r="M3181" s="12">
        <v>7563.0252100840344</v>
      </c>
      <c r="N3181" s="12">
        <v>7563.0252100840344</v>
      </c>
      <c r="O3181" s="12">
        <v>1436.9747899159656</v>
      </c>
      <c r="P3181" s="13"/>
      <c r="Q3181" s="14">
        <v>2025</v>
      </c>
      <c r="R3181" s="15">
        <v>45323</v>
      </c>
      <c r="S3181" s="11" t="s">
        <v>435</v>
      </c>
      <c r="T3181" s="16">
        <v>0</v>
      </c>
      <c r="U3181" s="17"/>
      <c r="V3181" s="12">
        <v>3121.0084033613448</v>
      </c>
      <c r="W3181" s="12">
        <v>3121.0084033613448</v>
      </c>
      <c r="X3181" s="12">
        <v>0</v>
      </c>
      <c r="Y3181" s="18">
        <v>45691</v>
      </c>
      <c r="Z3181" s="13" t="s">
        <v>516</v>
      </c>
      <c r="AA3181" s="19" t="str">
        <f>VLOOKUP(D3181,Clientes!$A$2:$J$486,9,FALSE)</f>
        <v>regular</v>
      </c>
      <c r="AB3181" s="13" t="str">
        <f>VLOOKUP(D3181,Clientes!$A$2:$K$486,11,FALSE)</f>
        <v>Empresa</v>
      </c>
      <c r="AC3181" s="13" t="str">
        <f>VLOOKUP(D3181,Clientes!$A$2:$B$486,2,FALSE)</f>
        <v>Jardines de la viña</v>
      </c>
      <c r="AD3181" s="20"/>
      <c r="AE3181" s="20"/>
      <c r="AF3181" s="13" t="s">
        <v>40</v>
      </c>
      <c r="AG3181" s="15">
        <v>45323</v>
      </c>
      <c r="AH3181" s="13" t="s">
        <v>41</v>
      </c>
      <c r="AI3181" s="13" t="s">
        <v>53</v>
      </c>
      <c r="AJ3181" s="13" t="str">
        <f>VLOOKUP(E3181,Precios!Z$2:AA$941,2,FALSE)</f>
        <v>Papel Higienico SWAN 50 metros</v>
      </c>
      <c r="AK3181" s="14">
        <f>VLOOKUP(E3181,Precios!Z$2:BB$941,3,FALSE)*F3181</f>
        <v>-3</v>
      </c>
      <c r="AL3181" s="17"/>
      <c r="AM3181" s="17"/>
      <c r="AN3181" s="17"/>
      <c r="AO3181" s="17"/>
      <c r="AP3181" s="17"/>
      <c r="AQ3181" s="17"/>
      <c r="AR3181" s="17"/>
      <c r="AS3181" s="17"/>
      <c r="AT3181" s="17"/>
      <c r="AU3181" s="17"/>
      <c r="AV3181" s="17"/>
    </row>
    <row r="3182" spans="1:48" ht="15.75" customHeight="1">
      <c r="A3182" s="21" t="s">
        <v>53</v>
      </c>
      <c r="B3182" s="23" t="s">
        <v>1692</v>
      </c>
      <c r="C3182" s="22">
        <v>45692</v>
      </c>
      <c r="D3182" s="23" t="s">
        <v>307</v>
      </c>
      <c r="E3182" s="23" t="s">
        <v>316</v>
      </c>
      <c r="F3182" s="21">
        <v>1</v>
      </c>
      <c r="G3182" s="12">
        <v>3200.0762660158634</v>
      </c>
      <c r="H3182" s="12">
        <v>3200.0762660158634</v>
      </c>
      <c r="I3182" s="23" t="s">
        <v>52</v>
      </c>
      <c r="J3182" s="23" t="s">
        <v>61</v>
      </c>
      <c r="K3182" s="24" t="s">
        <v>177</v>
      </c>
      <c r="L3182" s="24">
        <v>100</v>
      </c>
      <c r="M3182" s="12">
        <v>2689.1397193410617</v>
      </c>
      <c r="N3182" s="12">
        <v>2689.1397193410617</v>
      </c>
      <c r="O3182" s="12">
        <v>510.93654667480178</v>
      </c>
      <c r="P3182" s="13"/>
      <c r="Q3182" s="14">
        <v>2025</v>
      </c>
      <c r="R3182" s="15">
        <v>45323</v>
      </c>
      <c r="S3182" s="11" t="s">
        <v>408</v>
      </c>
      <c r="T3182" s="16">
        <v>100</v>
      </c>
      <c r="U3182" s="17"/>
      <c r="V3182" s="12">
        <v>926.13971934106166</v>
      </c>
      <c r="W3182" s="12">
        <v>926.13971934106166</v>
      </c>
      <c r="X3182" s="12">
        <v>0</v>
      </c>
      <c r="Y3182" s="18">
        <v>45691</v>
      </c>
      <c r="Z3182" s="13" t="s">
        <v>516</v>
      </c>
      <c r="AA3182" s="19" t="str">
        <f>VLOOKUP(D3182,Clientes!$A$2:$J$486,9,FALSE)</f>
        <v>regular</v>
      </c>
      <c r="AB3182" s="13" t="str">
        <f>VLOOKUP(D3182,Clientes!$A$2:$K$486,11,FALSE)</f>
        <v>Empresa</v>
      </c>
      <c r="AC3182" s="13" t="str">
        <f>VLOOKUP(D3182,Clientes!$A$2:$B$486,2,FALSE)</f>
        <v>Jardines de la viña</v>
      </c>
      <c r="AD3182" s="20"/>
      <c r="AE3182" s="20"/>
      <c r="AF3182" s="13" t="s">
        <v>40</v>
      </c>
      <c r="AG3182" s="15">
        <v>45323</v>
      </c>
      <c r="AH3182" s="13" t="s">
        <v>41</v>
      </c>
      <c r="AI3182" s="13" t="s">
        <v>53</v>
      </c>
      <c r="AJ3182" s="13" t="str">
        <f>VLOOKUP(E3182,Precios!Z$2:AA$941,2,FALSE)</f>
        <v>Toalla Papel SWAN D/H NARANJA 100 metros</v>
      </c>
      <c r="AK3182" s="14">
        <f>VLOOKUP(E3182,Precios!Z$2:BB$941,3,FALSE)*F3182</f>
        <v>-1</v>
      </c>
      <c r="AL3182" s="17"/>
      <c r="AM3182" s="17"/>
      <c r="AN3182" s="17"/>
      <c r="AO3182" s="17"/>
      <c r="AP3182" s="17"/>
      <c r="AQ3182" s="17"/>
      <c r="AR3182" s="17"/>
      <c r="AS3182" s="17"/>
      <c r="AT3182" s="17"/>
      <c r="AU3182" s="17"/>
      <c r="AV3182" s="17"/>
    </row>
    <row r="3183" spans="1:48" ht="15.75" customHeight="1">
      <c r="A3183" s="21" t="s">
        <v>76</v>
      </c>
      <c r="B3183" s="23" t="s">
        <v>1692</v>
      </c>
      <c r="C3183" s="22">
        <v>45692</v>
      </c>
      <c r="D3183" s="23" t="s">
        <v>307</v>
      </c>
      <c r="E3183" s="23" t="s">
        <v>110</v>
      </c>
      <c r="F3183" s="21">
        <v>1</v>
      </c>
      <c r="G3183" s="12">
        <v>2000.0000000000005</v>
      </c>
      <c r="H3183" s="12">
        <v>2000.0000000000005</v>
      </c>
      <c r="I3183" s="23" t="s">
        <v>52</v>
      </c>
      <c r="J3183" s="23" t="s">
        <v>61</v>
      </c>
      <c r="K3183" s="24" t="s">
        <v>177</v>
      </c>
      <c r="L3183" s="24">
        <v>100</v>
      </c>
      <c r="M3183" s="12">
        <v>1680.6722689075634</v>
      </c>
      <c r="N3183" s="12">
        <v>1680.6722689075634</v>
      </c>
      <c r="O3183" s="12">
        <v>319.32773109243703</v>
      </c>
      <c r="P3183" s="13"/>
      <c r="Q3183" s="14">
        <v>2025</v>
      </c>
      <c r="R3183" s="15">
        <v>45323</v>
      </c>
      <c r="S3183" s="11" t="s">
        <v>378</v>
      </c>
      <c r="T3183" s="16">
        <v>5</v>
      </c>
      <c r="U3183" s="17"/>
      <c r="V3183" s="12">
        <v>756.30252100840369</v>
      </c>
      <c r="W3183" s="12">
        <v>756.30252100840369</v>
      </c>
      <c r="X3183" s="12">
        <v>0</v>
      </c>
      <c r="Y3183" s="18">
        <v>45691</v>
      </c>
      <c r="Z3183" s="13" t="s">
        <v>516</v>
      </c>
      <c r="AA3183" s="19" t="str">
        <f>VLOOKUP(D3183,Clientes!$A$2:$J$486,9,FALSE)</f>
        <v>regular</v>
      </c>
      <c r="AB3183" s="13" t="str">
        <f>VLOOKUP(D3183,Clientes!$A$2:$K$486,11,FALSE)</f>
        <v>Empresa</v>
      </c>
      <c r="AC3183" s="13" t="str">
        <f>VLOOKUP(D3183,Clientes!$A$2:$B$486,2,FALSE)</f>
        <v>Jardines de la viña</v>
      </c>
      <c r="AD3183" s="20"/>
      <c r="AE3183" s="20"/>
      <c r="AF3183" s="13" t="s">
        <v>40</v>
      </c>
      <c r="AG3183" s="15">
        <v>45323</v>
      </c>
      <c r="AH3183" s="13" t="s">
        <v>41</v>
      </c>
      <c r="AI3183" s="13" t="s">
        <v>76</v>
      </c>
      <c r="AJ3183" s="13" t="str">
        <f>VLOOKUP(E3183,Precios!Z$2:AA$941,2,FALSE)</f>
        <v>Cloro SPUM 5 Litros</v>
      </c>
      <c r="AK3183" s="14">
        <f>VLOOKUP(E3183,Precios!Z$2:BB$941,3,FALSE)*F3183</f>
        <v>-1</v>
      </c>
      <c r="AL3183" s="17"/>
      <c r="AM3183" s="17"/>
      <c r="AN3183" s="17"/>
      <c r="AO3183" s="17"/>
      <c r="AP3183" s="17"/>
      <c r="AQ3183" s="17"/>
      <c r="AR3183" s="17"/>
      <c r="AS3183" s="17"/>
      <c r="AT3183" s="17"/>
      <c r="AU3183" s="17"/>
      <c r="AV3183" s="17"/>
    </row>
    <row r="3184" spans="1:48" ht="15.75" customHeight="1">
      <c r="A3184" s="21" t="s">
        <v>47</v>
      </c>
      <c r="B3184" s="23" t="s">
        <v>1692</v>
      </c>
      <c r="C3184" s="22">
        <v>45692</v>
      </c>
      <c r="D3184" s="23" t="s">
        <v>307</v>
      </c>
      <c r="E3184" s="23" t="s">
        <v>204</v>
      </c>
      <c r="F3184" s="21">
        <v>1</v>
      </c>
      <c r="G3184" s="12">
        <v>1200.1927194860814</v>
      </c>
      <c r="H3184" s="12">
        <v>1200.1927194860814</v>
      </c>
      <c r="I3184" s="23" t="s">
        <v>52</v>
      </c>
      <c r="J3184" s="23" t="s">
        <v>61</v>
      </c>
      <c r="K3184" s="24" t="s">
        <v>177</v>
      </c>
      <c r="L3184" s="24">
        <v>100</v>
      </c>
      <c r="M3184" s="12">
        <v>1008.5653104925054</v>
      </c>
      <c r="N3184" s="12">
        <v>1008.5653104925054</v>
      </c>
      <c r="O3184" s="12">
        <v>191.62740899357595</v>
      </c>
      <c r="P3184" s="13"/>
      <c r="Q3184" s="14">
        <v>2025</v>
      </c>
      <c r="R3184" s="15">
        <v>45323</v>
      </c>
      <c r="S3184" s="11" t="s">
        <v>400</v>
      </c>
      <c r="T3184" s="16">
        <v>0</v>
      </c>
      <c r="U3184" s="17"/>
      <c r="V3184" s="12">
        <v>537.56531049250543</v>
      </c>
      <c r="W3184" s="12">
        <v>537.56531049250543</v>
      </c>
      <c r="X3184" s="12">
        <v>0</v>
      </c>
      <c r="Y3184" s="18">
        <v>45691</v>
      </c>
      <c r="Z3184" s="13" t="s">
        <v>516</v>
      </c>
      <c r="AA3184" s="19" t="str">
        <f>VLOOKUP(D3184,Clientes!$A$2:$J$486,9,FALSE)</f>
        <v>regular</v>
      </c>
      <c r="AB3184" s="13" t="str">
        <f>VLOOKUP(D3184,Clientes!$A$2:$K$486,11,FALSE)</f>
        <v>Empresa</v>
      </c>
      <c r="AC3184" s="13" t="str">
        <f>VLOOKUP(D3184,Clientes!$A$2:$B$486,2,FALSE)</f>
        <v>Jardines de la viña</v>
      </c>
      <c r="AD3184" s="20"/>
      <c r="AE3184" s="20"/>
      <c r="AF3184" s="13" t="s">
        <v>40</v>
      </c>
      <c r="AG3184" s="15">
        <v>45323</v>
      </c>
      <c r="AH3184" s="13" t="s">
        <v>41</v>
      </c>
      <c r="AI3184" s="13" t="s">
        <v>47</v>
      </c>
      <c r="AJ3184" s="13" t="str">
        <f>VLOOKUP(E3184,Precios!Z$2:AA$941,2,FALSE)</f>
        <v>Trapero Algodón TEDDY</v>
      </c>
      <c r="AK3184" s="14">
        <f>VLOOKUP(E3184,Precios!Z$2:BB$941,3,FALSE)*F3184</f>
        <v>-1</v>
      </c>
      <c r="AL3184" s="17"/>
      <c r="AM3184" s="17"/>
      <c r="AN3184" s="17"/>
      <c r="AO3184" s="17"/>
      <c r="AP3184" s="17"/>
      <c r="AQ3184" s="17"/>
      <c r="AR3184" s="17"/>
      <c r="AS3184" s="17"/>
      <c r="AT3184" s="17"/>
      <c r="AU3184" s="17"/>
      <c r="AV3184" s="17"/>
    </row>
    <row r="3185" spans="1:48" ht="15.75" customHeight="1">
      <c r="A3185" s="21" t="s">
        <v>50</v>
      </c>
      <c r="B3185" s="23" t="s">
        <v>1692</v>
      </c>
      <c r="C3185" s="22">
        <v>45692</v>
      </c>
      <c r="D3185" s="23" t="s">
        <v>310</v>
      </c>
      <c r="E3185" s="23" t="s">
        <v>51</v>
      </c>
      <c r="F3185" s="21">
        <v>1</v>
      </c>
      <c r="G3185" s="12">
        <v>1000</v>
      </c>
      <c r="H3185" s="12">
        <v>1000</v>
      </c>
      <c r="I3185" s="23" t="s">
        <v>52</v>
      </c>
      <c r="J3185" s="23" t="s">
        <v>61</v>
      </c>
      <c r="K3185" s="24" t="s">
        <v>177</v>
      </c>
      <c r="L3185" s="24">
        <v>100</v>
      </c>
      <c r="M3185" s="12">
        <v>840.3361344537816</v>
      </c>
      <c r="N3185" s="12">
        <v>840.3361344537816</v>
      </c>
      <c r="O3185" s="12">
        <v>159.6638655462184</v>
      </c>
      <c r="P3185" s="13"/>
      <c r="Q3185" s="14">
        <v>2025</v>
      </c>
      <c r="R3185" s="15">
        <v>45323</v>
      </c>
      <c r="S3185" s="11" t="s">
        <v>51</v>
      </c>
      <c r="T3185" s="16">
        <v>0</v>
      </c>
      <c r="U3185" s="17"/>
      <c r="V3185" s="12">
        <v>483.19327731092432</v>
      </c>
      <c r="W3185" s="12">
        <v>483.19327731092432</v>
      </c>
      <c r="X3185" s="12">
        <v>0</v>
      </c>
      <c r="Y3185" s="18">
        <v>45691</v>
      </c>
      <c r="Z3185" s="13" t="s">
        <v>516</v>
      </c>
      <c r="AA3185" s="19" t="str">
        <f>VLOOKUP(D3185,Clientes!$A$2:$J$486,9,FALSE)</f>
        <v>Familiar</v>
      </c>
      <c r="AB3185" s="13" t="str">
        <f>VLOOKUP(D3185,Clientes!$A$2:$K$486,11,FALSE)</f>
        <v>Persona Natural</v>
      </c>
      <c r="AC3185" s="13" t="str">
        <f>VLOOKUP(D3185,Clientes!$A$2:$B$486,2,FALSE)</f>
        <v>Familiar</v>
      </c>
      <c r="AD3185" s="20"/>
      <c r="AE3185" s="20"/>
      <c r="AF3185" s="13" t="s">
        <v>40</v>
      </c>
      <c r="AG3185" s="15">
        <v>45323</v>
      </c>
      <c r="AH3185" s="13" t="s">
        <v>41</v>
      </c>
      <c r="AI3185" s="13" t="s">
        <v>50</v>
      </c>
      <c r="AJ3185" s="13" t="str">
        <f>VLOOKUP(E3185,Precios!Z$2:AA$941,2,FALSE)</f>
        <v>Hielo 1 Kilo</v>
      </c>
      <c r="AK3185" s="14">
        <f>VLOOKUP(E3185,Precios!Z$2:BB$941,3,FALSE)*F3185</f>
        <v>-1</v>
      </c>
      <c r="AL3185" s="17"/>
      <c r="AM3185" s="17"/>
      <c r="AN3185" s="17"/>
      <c r="AO3185" s="17"/>
      <c r="AP3185" s="17"/>
      <c r="AQ3185" s="17"/>
      <c r="AR3185" s="17"/>
      <c r="AS3185" s="17"/>
      <c r="AT3185" s="17"/>
      <c r="AU3185" s="17"/>
      <c r="AV3185" s="17"/>
    </row>
    <row r="3186" spans="1:48" ht="15.75" customHeight="1">
      <c r="A3186" s="21" t="s">
        <v>35</v>
      </c>
      <c r="B3186" s="23" t="s">
        <v>1692</v>
      </c>
      <c r="C3186" s="25">
        <v>45691</v>
      </c>
      <c r="D3186" s="23" t="s">
        <v>235</v>
      </c>
      <c r="E3186" s="23" t="s">
        <v>37</v>
      </c>
      <c r="F3186" s="21">
        <v>1</v>
      </c>
      <c r="G3186" s="12">
        <v>10500</v>
      </c>
      <c r="H3186" s="12">
        <v>10500</v>
      </c>
      <c r="I3186" s="23" t="s">
        <v>52</v>
      </c>
      <c r="J3186" s="23" t="s">
        <v>61</v>
      </c>
      <c r="K3186" s="24" t="s">
        <v>177</v>
      </c>
      <c r="L3186" s="26">
        <v>99</v>
      </c>
      <c r="M3186" s="12">
        <v>8823.5294117647063</v>
      </c>
      <c r="N3186" s="12">
        <v>8823.5294117647063</v>
      </c>
      <c r="O3186" s="12">
        <v>1676.4705882352937</v>
      </c>
      <c r="P3186" s="13"/>
      <c r="Q3186" s="14">
        <v>2025</v>
      </c>
      <c r="R3186" s="15">
        <v>45323</v>
      </c>
      <c r="S3186" s="11" t="s">
        <v>364</v>
      </c>
      <c r="T3186" s="16">
        <v>1000</v>
      </c>
      <c r="U3186" s="17"/>
      <c r="V3186" s="12">
        <v>2385.7142857142853</v>
      </c>
      <c r="W3186" s="12">
        <v>2385.7142857142853</v>
      </c>
      <c r="X3186" s="12">
        <v>0</v>
      </c>
      <c r="Y3186" s="18">
        <v>45691</v>
      </c>
      <c r="Z3186" s="13" t="s">
        <v>523</v>
      </c>
      <c r="AA3186" s="19" t="str">
        <f>VLOOKUP(D3186,Clientes!$A$2:$J$486,9,FALSE)</f>
        <v>Familiar</v>
      </c>
      <c r="AB3186" s="13" t="str">
        <f>VLOOKUP(D3186,Clientes!$A$2:$K$486,11,FALSE)</f>
        <v>Persona Natural</v>
      </c>
      <c r="AC3186" s="13" t="str">
        <f>VLOOKUP(D3186,Clientes!$A$2:$B$486,2,FALSE)</f>
        <v>Familiar</v>
      </c>
      <c r="AD3186" s="20"/>
      <c r="AE3186" s="20"/>
      <c r="AF3186" s="13" t="s">
        <v>40</v>
      </c>
      <c r="AG3186" s="15">
        <v>45323</v>
      </c>
      <c r="AH3186" s="13" t="s">
        <v>41</v>
      </c>
      <c r="AI3186" s="13" t="s">
        <v>35</v>
      </c>
      <c r="AJ3186" s="13" t="str">
        <f>VLOOKUP(E3186,Precios!Z$2:AA$941,2,FALSE)</f>
        <v>Queso RUNCA Mantecoso</v>
      </c>
      <c r="AK3186" s="14">
        <f>VLOOKUP(E3186,Precios!Z$2:BB$941,3,FALSE)*F3186</f>
        <v>-1</v>
      </c>
      <c r="AL3186" s="17"/>
      <c r="AM3186" s="17"/>
      <c r="AN3186" s="17"/>
      <c r="AO3186" s="17"/>
      <c r="AP3186" s="17"/>
      <c r="AQ3186" s="17"/>
      <c r="AR3186" s="17"/>
      <c r="AS3186" s="17"/>
      <c r="AT3186" s="17"/>
      <c r="AU3186" s="17"/>
      <c r="AV3186" s="17"/>
    </row>
    <row r="3187" spans="1:48" ht="15.75" customHeight="1">
      <c r="A3187" s="21" t="s">
        <v>76</v>
      </c>
      <c r="B3187" s="23" t="s">
        <v>1692</v>
      </c>
      <c r="C3187" s="25">
        <v>45691</v>
      </c>
      <c r="D3187" s="23" t="s">
        <v>193</v>
      </c>
      <c r="E3187" s="23" t="s">
        <v>82</v>
      </c>
      <c r="F3187" s="21">
        <v>1</v>
      </c>
      <c r="G3187" s="12">
        <v>2000.0000000000002</v>
      </c>
      <c r="H3187" s="12">
        <v>2000.0000000000002</v>
      </c>
      <c r="I3187" s="23" t="s">
        <v>52</v>
      </c>
      <c r="J3187" s="23" t="s">
        <v>61</v>
      </c>
      <c r="K3187" s="24" t="s">
        <v>177</v>
      </c>
      <c r="L3187" s="26">
        <v>99</v>
      </c>
      <c r="M3187" s="12">
        <v>1680.6722689075632</v>
      </c>
      <c r="N3187" s="12">
        <v>1680.6722689075632</v>
      </c>
      <c r="O3187" s="12">
        <v>319.32773109243703</v>
      </c>
      <c r="P3187" s="13"/>
      <c r="Q3187" s="14">
        <v>2025</v>
      </c>
      <c r="R3187" s="15">
        <v>45323</v>
      </c>
      <c r="S3187" s="11" t="s">
        <v>463</v>
      </c>
      <c r="T3187" s="16">
        <v>5</v>
      </c>
      <c r="U3187" s="17"/>
      <c r="V3187" s="12">
        <v>680.67226890756319</v>
      </c>
      <c r="W3187" s="12">
        <v>680.67226890756319</v>
      </c>
      <c r="X3187" s="12">
        <v>0</v>
      </c>
      <c r="Y3187" s="18">
        <v>45691</v>
      </c>
      <c r="Z3187" s="13" t="s">
        <v>523</v>
      </c>
      <c r="AA3187" s="19" t="str">
        <f>VLOOKUP(D3187,Clientes!$A$2:$J$486,9,FALSE)</f>
        <v>Ocacional</v>
      </c>
      <c r="AB3187" s="13" t="str">
        <f>VLOOKUP(D3187,Clientes!$A$2:$K$486,11,FALSE)</f>
        <v>Persona Natural</v>
      </c>
      <c r="AC3187" s="13" t="str">
        <f>VLOOKUP(D3187,Clientes!$A$2:$B$486,2,FALSE)</f>
        <v>Jardines de la viña</v>
      </c>
      <c r="AD3187" s="20"/>
      <c r="AE3187" s="20"/>
      <c r="AF3187" s="13" t="s">
        <v>40</v>
      </c>
      <c r="AG3187" s="15">
        <v>45323</v>
      </c>
      <c r="AH3187" s="13" t="s">
        <v>41</v>
      </c>
      <c r="AI3187" s="13" t="s">
        <v>76</v>
      </c>
      <c r="AJ3187" s="13" t="str">
        <f>VLOOKUP(E3187,Precios!Z$2:AA$941,2,FALSE)</f>
        <v>Limpiapiso SPUM 5 Litros</v>
      </c>
      <c r="AK3187" s="14">
        <f>VLOOKUP(E3187,Precios!Z$2:BB$941,3,FALSE)*F3187</f>
        <v>-1</v>
      </c>
      <c r="AL3187" s="17"/>
      <c r="AM3187" s="17"/>
      <c r="AN3187" s="17"/>
      <c r="AO3187" s="17"/>
      <c r="AP3187" s="17"/>
      <c r="AQ3187" s="17"/>
      <c r="AR3187" s="17"/>
      <c r="AS3187" s="17"/>
      <c r="AT3187" s="17"/>
      <c r="AU3187" s="17"/>
      <c r="AV3187" s="17"/>
    </row>
    <row r="3188" spans="1:48" ht="15.75" customHeight="1">
      <c r="A3188" s="21" t="s">
        <v>50</v>
      </c>
      <c r="B3188" s="23" t="s">
        <v>1692</v>
      </c>
      <c r="C3188" s="25">
        <v>45691</v>
      </c>
      <c r="D3188" s="23" t="s">
        <v>229</v>
      </c>
      <c r="E3188" s="23" t="s">
        <v>51</v>
      </c>
      <c r="F3188" s="21">
        <v>4</v>
      </c>
      <c r="G3188" s="12">
        <v>1000</v>
      </c>
      <c r="H3188" s="12">
        <v>4000</v>
      </c>
      <c r="I3188" s="23" t="s">
        <v>52</v>
      </c>
      <c r="J3188" s="23" t="s">
        <v>61</v>
      </c>
      <c r="K3188" s="24" t="s">
        <v>177</v>
      </c>
      <c r="L3188" s="26">
        <v>99</v>
      </c>
      <c r="M3188" s="12">
        <v>840.3361344537816</v>
      </c>
      <c r="N3188" s="12">
        <v>3361.3445378151264</v>
      </c>
      <c r="O3188" s="12">
        <v>638.65546218487361</v>
      </c>
      <c r="P3188" s="13"/>
      <c r="Q3188" s="14">
        <v>2025</v>
      </c>
      <c r="R3188" s="15">
        <v>45323</v>
      </c>
      <c r="S3188" s="11" t="s">
        <v>51</v>
      </c>
      <c r="T3188" s="16">
        <v>0</v>
      </c>
      <c r="U3188" s="17"/>
      <c r="V3188" s="12">
        <v>1932.7731092436973</v>
      </c>
      <c r="W3188" s="12">
        <v>1932.7731092436973</v>
      </c>
      <c r="X3188" s="12">
        <v>0</v>
      </c>
      <c r="Y3188" s="18">
        <v>45691</v>
      </c>
      <c r="Z3188" s="13" t="s">
        <v>523</v>
      </c>
      <c r="AA3188" s="19" t="str">
        <f>VLOOKUP(D3188,Clientes!$A$2:$J$486,9,FALSE)</f>
        <v>Frecuente</v>
      </c>
      <c r="AB3188" s="13" t="str">
        <f>VLOOKUP(D3188,Clientes!$A$2:$K$486,11,FALSE)</f>
        <v>Persona Natural</v>
      </c>
      <c r="AC3188" s="13" t="str">
        <f>VLOOKUP(D3188,Clientes!$A$2:$B$486,2,FALSE)</f>
        <v>Sector Santa Delia</v>
      </c>
      <c r="AD3188" s="20"/>
      <c r="AE3188" s="20"/>
      <c r="AF3188" s="13" t="s">
        <v>40</v>
      </c>
      <c r="AG3188" s="15">
        <v>45323</v>
      </c>
      <c r="AH3188" s="13" t="s">
        <v>41</v>
      </c>
      <c r="AI3188" s="13" t="s">
        <v>50</v>
      </c>
      <c r="AJ3188" s="13" t="str">
        <f>VLOOKUP(E3188,Precios!Z$2:AA$941,2,FALSE)</f>
        <v>Hielo 1 Kilo</v>
      </c>
      <c r="AK3188" s="14">
        <f>VLOOKUP(E3188,Precios!Z$2:BB$941,3,FALSE)*F3188</f>
        <v>-4</v>
      </c>
      <c r="AL3188" s="17"/>
      <c r="AM3188" s="17"/>
      <c r="AN3188" s="17"/>
      <c r="AO3188" s="17"/>
      <c r="AP3188" s="17"/>
      <c r="AQ3188" s="17"/>
      <c r="AR3188" s="17"/>
      <c r="AS3188" s="17"/>
      <c r="AT3188" s="17"/>
      <c r="AU3188" s="17"/>
      <c r="AV3188" s="17"/>
    </row>
    <row r="3189" spans="1:48" ht="15.75" customHeight="1">
      <c r="A3189" s="14" t="s">
        <v>43</v>
      </c>
      <c r="B3189" s="23" t="s">
        <v>1692</v>
      </c>
      <c r="C3189" s="25">
        <v>45691</v>
      </c>
      <c r="D3189" s="23" t="s">
        <v>331</v>
      </c>
      <c r="E3189" s="13" t="s">
        <v>45</v>
      </c>
      <c r="F3189" s="14">
        <v>1</v>
      </c>
      <c r="G3189" s="12">
        <v>6300.1913812446392</v>
      </c>
      <c r="H3189" s="12">
        <v>6300.1913812446392</v>
      </c>
      <c r="I3189" s="23" t="s">
        <v>52</v>
      </c>
      <c r="J3189" s="23" t="s">
        <v>61</v>
      </c>
      <c r="K3189" s="24" t="s">
        <v>177</v>
      </c>
      <c r="L3189" s="26">
        <v>99</v>
      </c>
      <c r="M3189" s="12">
        <v>5294.2784716341512</v>
      </c>
      <c r="N3189" s="12">
        <v>5294.2784716341512</v>
      </c>
      <c r="O3189" s="12">
        <v>1005.912909610488</v>
      </c>
      <c r="P3189" s="13"/>
      <c r="Q3189" s="14">
        <v>2025</v>
      </c>
      <c r="R3189" s="15">
        <v>45323</v>
      </c>
      <c r="S3189" s="11" t="s">
        <v>355</v>
      </c>
      <c r="T3189" s="16">
        <v>0</v>
      </c>
      <c r="U3189" s="17"/>
      <c r="V3189" s="12">
        <v>1283.0683876005369</v>
      </c>
      <c r="W3189" s="12">
        <v>1283.0683876005369</v>
      </c>
      <c r="X3189" s="12">
        <v>0</v>
      </c>
      <c r="Y3189" s="18">
        <v>45691</v>
      </c>
      <c r="Z3189" s="13" t="s">
        <v>523</v>
      </c>
      <c r="AA3189" s="19" t="str">
        <f>VLOOKUP(D3189,Clientes!$A$2:$J$486,9,FALSE)</f>
        <v>Frecuente</v>
      </c>
      <c r="AB3189" s="13" t="str">
        <f>VLOOKUP(D3189,Clientes!$A$2:$K$486,11,FALSE)</f>
        <v>Persona Natural</v>
      </c>
      <c r="AC3189" s="13" t="str">
        <f>VLOOKUP(D3189,Clientes!$A$2:$B$486,2,FALSE)</f>
        <v>Sector Palena</v>
      </c>
      <c r="AD3189" s="20"/>
      <c r="AE3189" s="20"/>
      <c r="AF3189" s="13" t="s">
        <v>40</v>
      </c>
      <c r="AG3189" s="15">
        <v>45323</v>
      </c>
      <c r="AH3189" s="13" t="s">
        <v>41</v>
      </c>
      <c r="AI3189" s="13" t="s">
        <v>43</v>
      </c>
      <c r="AJ3189" s="13" t="str">
        <f>VLOOKUP(E3189,Precios!Z$2:AA$941,2,FALSE)</f>
        <v>Bandeja Huevos EXTRA</v>
      </c>
      <c r="AK3189" s="14">
        <f>VLOOKUP(E3189,Precios!Z$2:BB$941,3,FALSE)*F3189</f>
        <v>-1</v>
      </c>
      <c r="AL3189" s="17"/>
      <c r="AM3189" s="17"/>
      <c r="AN3189" s="17"/>
      <c r="AO3189" s="17"/>
      <c r="AP3189" s="17"/>
      <c r="AQ3189" s="17"/>
      <c r="AR3189" s="17"/>
      <c r="AS3189" s="17"/>
      <c r="AT3189" s="17"/>
      <c r="AU3189" s="17"/>
      <c r="AV3189" s="17"/>
    </row>
    <row r="3190" spans="1:48" ht="15.75" customHeight="1">
      <c r="A3190" s="21" t="s">
        <v>43</v>
      </c>
      <c r="B3190" s="23" t="s">
        <v>1692</v>
      </c>
      <c r="C3190" s="22">
        <v>45691</v>
      </c>
      <c r="D3190" s="23" t="s">
        <v>729</v>
      </c>
      <c r="E3190" s="23" t="s">
        <v>45</v>
      </c>
      <c r="F3190" s="14">
        <v>1</v>
      </c>
      <c r="G3190" s="12">
        <v>6300.1913812446392</v>
      </c>
      <c r="H3190" s="12">
        <v>6300.1913812446392</v>
      </c>
      <c r="I3190" s="23" t="s">
        <v>52</v>
      </c>
      <c r="J3190" s="23" t="s">
        <v>61</v>
      </c>
      <c r="K3190" s="24" t="s">
        <v>177</v>
      </c>
      <c r="L3190" s="26">
        <v>99</v>
      </c>
      <c r="M3190" s="12">
        <v>5294.2784716341512</v>
      </c>
      <c r="N3190" s="12">
        <v>5294.2784716341512</v>
      </c>
      <c r="O3190" s="12">
        <v>1005.912909610488</v>
      </c>
      <c r="P3190" s="13"/>
      <c r="Q3190" s="14">
        <v>2025</v>
      </c>
      <c r="R3190" s="15">
        <v>45323</v>
      </c>
      <c r="S3190" s="11" t="s">
        <v>355</v>
      </c>
      <c r="T3190" s="16">
        <v>0</v>
      </c>
      <c r="U3190" s="17"/>
      <c r="V3190" s="12">
        <v>1283.0683876005369</v>
      </c>
      <c r="W3190" s="12">
        <v>1283.0683876005369</v>
      </c>
      <c r="X3190" s="12">
        <v>0</v>
      </c>
      <c r="Y3190" s="18">
        <v>45691</v>
      </c>
      <c r="Z3190" s="13" t="s">
        <v>523</v>
      </c>
      <c r="AA3190" s="19" t="str">
        <f>VLOOKUP(D3190,Clientes!$A$2:$J$486,9,FALSE)</f>
        <v>Ocacional</v>
      </c>
      <c r="AB3190" s="13" t="str">
        <f>VLOOKUP(D3190,Clientes!$A$2:$K$486,11,FALSE)</f>
        <v>Persona Natural</v>
      </c>
      <c r="AC3190" s="13" t="str">
        <f>VLOOKUP(D3190,Clientes!$A$2:$B$486,2,FALSE)</f>
        <v>Araucania</v>
      </c>
      <c r="AD3190" s="20"/>
      <c r="AE3190" s="20"/>
      <c r="AF3190" s="13" t="s">
        <v>40</v>
      </c>
      <c r="AG3190" s="15">
        <v>45323</v>
      </c>
      <c r="AH3190" s="13" t="s">
        <v>41</v>
      </c>
      <c r="AI3190" s="13" t="s">
        <v>43</v>
      </c>
      <c r="AJ3190" s="13" t="str">
        <f>VLOOKUP(E3190,Precios!Z$2:AA$941,2,FALSE)</f>
        <v>Bandeja Huevos EXTRA</v>
      </c>
      <c r="AK3190" s="14">
        <f>VLOOKUP(E3190,Precios!Z$2:BB$941,3,FALSE)*F3190</f>
        <v>-1</v>
      </c>
      <c r="AL3190" s="17"/>
      <c r="AM3190" s="17"/>
      <c r="AN3190" s="17"/>
      <c r="AO3190" s="17"/>
      <c r="AP3190" s="17"/>
      <c r="AQ3190" s="17"/>
      <c r="AR3190" s="17"/>
      <c r="AS3190" s="17"/>
      <c r="AT3190" s="17"/>
      <c r="AU3190" s="17"/>
      <c r="AV3190" s="17"/>
    </row>
    <row r="3191" spans="1:48" ht="15.75" customHeight="1">
      <c r="A3191" s="21" t="s">
        <v>43</v>
      </c>
      <c r="B3191" s="23" t="s">
        <v>1692</v>
      </c>
      <c r="C3191" s="22">
        <v>45691</v>
      </c>
      <c r="D3191" s="23" t="s">
        <v>141</v>
      </c>
      <c r="E3191" s="23" t="s">
        <v>45</v>
      </c>
      <c r="F3191" s="14">
        <v>1</v>
      </c>
      <c r="G3191" s="12">
        <v>6300.1913812446392</v>
      </c>
      <c r="H3191" s="34">
        <v>6300.1913812446392</v>
      </c>
      <c r="I3191" s="23" t="s">
        <v>52</v>
      </c>
      <c r="J3191" s="23" t="s">
        <v>61</v>
      </c>
      <c r="K3191" s="24" t="s">
        <v>177</v>
      </c>
      <c r="L3191" s="26">
        <v>99</v>
      </c>
      <c r="M3191" s="12">
        <v>5294.2784716341512</v>
      </c>
      <c r="N3191" s="12">
        <v>5294.2784716341512</v>
      </c>
      <c r="O3191" s="12">
        <v>1005.912909610488</v>
      </c>
      <c r="P3191" s="13"/>
      <c r="Q3191" s="14">
        <v>2025</v>
      </c>
      <c r="R3191" s="15">
        <v>45323</v>
      </c>
      <c r="S3191" s="11" t="s">
        <v>355</v>
      </c>
      <c r="T3191" s="16">
        <v>0</v>
      </c>
      <c r="U3191" s="17"/>
      <c r="V3191" s="12">
        <v>1283.0683876005369</v>
      </c>
      <c r="W3191" s="12">
        <v>1283.0683876005369</v>
      </c>
      <c r="X3191" s="12">
        <v>0</v>
      </c>
      <c r="Y3191" s="18">
        <v>45691</v>
      </c>
      <c r="Z3191" s="13" t="s">
        <v>523</v>
      </c>
      <c r="AA3191" s="19" t="str">
        <f>VLOOKUP(D3191,Clientes!$A$2:$J$486,9,FALSE)</f>
        <v>Familiar</v>
      </c>
      <c r="AB3191" s="13" t="str">
        <f>VLOOKUP(D3191,Clientes!$A$2:$K$486,11,FALSE)</f>
        <v>Persona Natural</v>
      </c>
      <c r="AC3191" s="13" t="str">
        <f>VLOOKUP(D3191,Clientes!$A$2:$B$486,2,FALSE)</f>
        <v>Familiar</v>
      </c>
      <c r="AD3191" s="20"/>
      <c r="AE3191" s="20"/>
      <c r="AF3191" s="13" t="s">
        <v>40</v>
      </c>
      <c r="AG3191" s="15">
        <v>45323</v>
      </c>
      <c r="AH3191" s="13" t="s">
        <v>41</v>
      </c>
      <c r="AI3191" s="13" t="s">
        <v>43</v>
      </c>
      <c r="AJ3191" s="13" t="str">
        <f>VLOOKUP(E3191,Precios!Z$2:AA$941,2,FALSE)</f>
        <v>Bandeja Huevos EXTRA</v>
      </c>
      <c r="AK3191" s="14">
        <f>VLOOKUP(E3191,Precios!Z$2:BB$941,3,FALSE)*F3191</f>
        <v>-1</v>
      </c>
      <c r="AL3191" s="17"/>
      <c r="AM3191" s="17"/>
      <c r="AN3191" s="17"/>
      <c r="AO3191" s="17"/>
      <c r="AP3191" s="17"/>
      <c r="AQ3191" s="17"/>
      <c r="AR3191" s="17"/>
      <c r="AS3191" s="17"/>
      <c r="AT3191" s="17"/>
      <c r="AU3191" s="17"/>
      <c r="AV3191" s="17"/>
    </row>
    <row r="3192" spans="1:48" ht="15.75" customHeight="1">
      <c r="A3192" s="14" t="s">
        <v>35</v>
      </c>
      <c r="B3192" s="23" t="s">
        <v>1692</v>
      </c>
      <c r="C3192" s="25">
        <v>45690</v>
      </c>
      <c r="D3192" s="23" t="s">
        <v>123</v>
      </c>
      <c r="E3192" s="23" t="s">
        <v>46</v>
      </c>
      <c r="F3192" s="14">
        <v>1</v>
      </c>
      <c r="G3192" s="12">
        <v>5500</v>
      </c>
      <c r="H3192" s="12">
        <v>5500</v>
      </c>
      <c r="I3192" s="23" t="s">
        <v>52</v>
      </c>
      <c r="J3192" s="23" t="s">
        <v>61</v>
      </c>
      <c r="K3192" s="24" t="s">
        <v>177</v>
      </c>
      <c r="L3192" s="26">
        <v>99</v>
      </c>
      <c r="M3192" s="12">
        <v>4621.8487394957983</v>
      </c>
      <c r="N3192" s="12">
        <v>4621.8487394957983</v>
      </c>
      <c r="O3192" s="12">
        <v>878.15126050420167</v>
      </c>
      <c r="P3192" s="13"/>
      <c r="Q3192" s="14">
        <v>2025</v>
      </c>
      <c r="R3192" s="15">
        <v>45323</v>
      </c>
      <c r="S3192" s="11" t="s">
        <v>364</v>
      </c>
      <c r="T3192" s="16">
        <v>500</v>
      </c>
      <c r="U3192" s="17"/>
      <c r="V3192" s="12">
        <v>1365.1260504201678</v>
      </c>
      <c r="W3192" s="12">
        <v>1365.1260504201678</v>
      </c>
      <c r="X3192" s="12">
        <v>0</v>
      </c>
      <c r="Y3192" s="18">
        <v>45684</v>
      </c>
      <c r="Z3192" s="13" t="s">
        <v>497</v>
      </c>
      <c r="AA3192" s="19" t="str">
        <f>VLOOKUP(D3192,Clientes!$A$2:$J$486,9,FALSE)</f>
        <v>Ocacional</v>
      </c>
      <c r="AB3192" s="13" t="str">
        <f>VLOOKUP(D3192,Clientes!$A$2:$K$486,11,FALSE)</f>
        <v>Persona Natural</v>
      </c>
      <c r="AC3192" s="13" t="str">
        <f>VLOOKUP(D3192,Clientes!$A$2:$B$486,2,FALSE)</f>
        <v>Jardines de la viña</v>
      </c>
      <c r="AD3192" s="20"/>
      <c r="AE3192" s="20"/>
      <c r="AF3192" s="13" t="s">
        <v>40</v>
      </c>
      <c r="AG3192" s="15">
        <v>45323</v>
      </c>
      <c r="AH3192" s="13" t="s">
        <v>41</v>
      </c>
      <c r="AI3192" s="13" t="s">
        <v>35</v>
      </c>
      <c r="AJ3192" s="13" t="str">
        <f>VLOOKUP(E3192,Precios!Z$2:AA$941,2,FALSE)</f>
        <v>Queso RUNCA Mantecoso</v>
      </c>
      <c r="AK3192" s="14">
        <f>VLOOKUP(E3192,Precios!Z$2:BB$941,3,FALSE)*F3192</f>
        <v>-0.5</v>
      </c>
      <c r="AL3192" s="17"/>
      <c r="AM3192" s="17"/>
      <c r="AN3192" s="17"/>
      <c r="AO3192" s="17"/>
      <c r="AP3192" s="17"/>
      <c r="AQ3192" s="17"/>
      <c r="AR3192" s="17"/>
      <c r="AS3192" s="17"/>
      <c r="AT3192" s="17"/>
      <c r="AU3192" s="17"/>
      <c r="AV3192" s="17"/>
    </row>
    <row r="3193" spans="1:48" ht="15.75" customHeight="1">
      <c r="A3193" s="21" t="s">
        <v>47</v>
      </c>
      <c r="B3193" s="23" t="s">
        <v>1692</v>
      </c>
      <c r="C3193" s="25">
        <v>45690</v>
      </c>
      <c r="D3193" s="23" t="s">
        <v>123</v>
      </c>
      <c r="E3193" s="23" t="s">
        <v>153</v>
      </c>
      <c r="F3193" s="14">
        <v>1</v>
      </c>
      <c r="G3193" s="12">
        <v>1700</v>
      </c>
      <c r="H3193" s="12">
        <v>1700</v>
      </c>
      <c r="I3193" s="23" t="s">
        <v>52</v>
      </c>
      <c r="J3193" s="23" t="s">
        <v>61</v>
      </c>
      <c r="K3193" s="24" t="s">
        <v>177</v>
      </c>
      <c r="L3193" s="26">
        <v>99</v>
      </c>
      <c r="M3193" s="12">
        <v>1428.5714285714287</v>
      </c>
      <c r="N3193" s="12">
        <v>1428.5714285714287</v>
      </c>
      <c r="O3193" s="12">
        <v>271.42857142857133</v>
      </c>
      <c r="P3193" s="13"/>
      <c r="Q3193" s="14">
        <v>2025</v>
      </c>
      <c r="R3193" s="15">
        <v>45323</v>
      </c>
      <c r="S3193" s="11" t="s">
        <v>153</v>
      </c>
      <c r="T3193" s="16">
        <v>0</v>
      </c>
      <c r="U3193" s="17"/>
      <c r="V3193" s="12">
        <v>589.57142857142867</v>
      </c>
      <c r="W3193" s="12">
        <v>589.57142857142867</v>
      </c>
      <c r="X3193" s="12">
        <v>0</v>
      </c>
      <c r="Y3193" s="18">
        <v>45684</v>
      </c>
      <c r="Z3193" s="13" t="s">
        <v>497</v>
      </c>
      <c r="AA3193" s="19" t="str">
        <f>VLOOKUP(D3193,Clientes!$A$2:$J$486,9,FALSE)</f>
        <v>Ocacional</v>
      </c>
      <c r="AB3193" s="13" t="str">
        <f>VLOOKUP(D3193,Clientes!$A$2:$K$486,11,FALSE)</f>
        <v>Persona Natural</v>
      </c>
      <c r="AC3193" s="13" t="str">
        <f>VLOOKUP(D3193,Clientes!$A$2:$B$486,2,FALSE)</f>
        <v>Jardines de la viña</v>
      </c>
      <c r="AD3193" s="20"/>
      <c r="AE3193" s="20"/>
      <c r="AF3193" s="13" t="s">
        <v>40</v>
      </c>
      <c r="AG3193" s="15">
        <v>45323</v>
      </c>
      <c r="AH3193" s="13" t="s">
        <v>41</v>
      </c>
      <c r="AI3193" s="13" t="s">
        <v>47</v>
      </c>
      <c r="AJ3193" s="13" t="str">
        <f>VLOOKUP(E3193,Precios!Z$2:AA$941,2,FALSE)</f>
        <v>Escobillon TEDDY</v>
      </c>
      <c r="AK3193" s="14">
        <f>VLOOKUP(E3193,Precios!Z$2:BB$941,3,FALSE)*F3193</f>
        <v>-1</v>
      </c>
      <c r="AL3193" s="17"/>
      <c r="AM3193" s="17"/>
      <c r="AN3193" s="17"/>
      <c r="AO3193" s="17"/>
      <c r="AP3193" s="17"/>
      <c r="AQ3193" s="17"/>
      <c r="AR3193" s="17"/>
      <c r="AS3193" s="17"/>
      <c r="AT3193" s="17"/>
      <c r="AU3193" s="17"/>
      <c r="AV3193" s="17"/>
    </row>
    <row r="3194" spans="1:48" ht="15.75" customHeight="1">
      <c r="A3194" s="21" t="s">
        <v>47</v>
      </c>
      <c r="B3194" s="23" t="s">
        <v>1692</v>
      </c>
      <c r="C3194" s="25">
        <v>45690</v>
      </c>
      <c r="D3194" s="23" t="s">
        <v>123</v>
      </c>
      <c r="E3194" s="23" t="s">
        <v>153</v>
      </c>
      <c r="F3194" s="14">
        <v>1</v>
      </c>
      <c r="G3194" s="12">
        <v>1700</v>
      </c>
      <c r="H3194" s="12">
        <v>1700</v>
      </c>
      <c r="I3194" s="23" t="s">
        <v>52</v>
      </c>
      <c r="J3194" s="23" t="s">
        <v>61</v>
      </c>
      <c r="K3194" s="24" t="s">
        <v>177</v>
      </c>
      <c r="L3194" s="26">
        <v>99</v>
      </c>
      <c r="M3194" s="12">
        <v>1428.5714285714287</v>
      </c>
      <c r="N3194" s="12">
        <v>1428.5714285714287</v>
      </c>
      <c r="O3194" s="12">
        <v>271.42857142857133</v>
      </c>
      <c r="P3194" s="13"/>
      <c r="Q3194" s="14">
        <v>2025</v>
      </c>
      <c r="R3194" s="15">
        <v>45323</v>
      </c>
      <c r="S3194" s="11" t="s">
        <v>153</v>
      </c>
      <c r="T3194" s="16">
        <v>0</v>
      </c>
      <c r="U3194" s="17"/>
      <c r="V3194" s="12">
        <v>589.57142857142867</v>
      </c>
      <c r="W3194" s="12">
        <v>589.57142857142867</v>
      </c>
      <c r="X3194" s="12">
        <v>0</v>
      </c>
      <c r="Y3194" s="18">
        <v>45684</v>
      </c>
      <c r="Z3194" s="13" t="s">
        <v>497</v>
      </c>
      <c r="AA3194" s="19" t="str">
        <f>VLOOKUP(D3194,Clientes!$A$2:$J$486,9,FALSE)</f>
        <v>Ocacional</v>
      </c>
      <c r="AB3194" s="13" t="str">
        <f>VLOOKUP(D3194,Clientes!$A$2:$K$486,11,FALSE)</f>
        <v>Persona Natural</v>
      </c>
      <c r="AC3194" s="13" t="str">
        <f>VLOOKUP(D3194,Clientes!$A$2:$B$486,2,FALSE)</f>
        <v>Jardines de la viña</v>
      </c>
      <c r="AD3194" s="20"/>
      <c r="AE3194" s="20"/>
      <c r="AF3194" s="13" t="s">
        <v>40</v>
      </c>
      <c r="AG3194" s="15">
        <v>45323</v>
      </c>
      <c r="AH3194" s="13" t="s">
        <v>41</v>
      </c>
      <c r="AI3194" s="13" t="s">
        <v>47</v>
      </c>
      <c r="AJ3194" s="13" t="str">
        <f>VLOOKUP(E3194,Precios!Z$2:AA$941,2,FALSE)</f>
        <v>Escobillon TEDDY</v>
      </c>
      <c r="AK3194" s="14">
        <f>VLOOKUP(E3194,Precios!Z$2:BB$941,3,FALSE)*F3194</f>
        <v>-1</v>
      </c>
      <c r="AL3194" s="17"/>
      <c r="AM3194" s="17"/>
      <c r="AN3194" s="17"/>
      <c r="AO3194" s="17"/>
      <c r="AP3194" s="17"/>
      <c r="AQ3194" s="17"/>
      <c r="AR3194" s="17"/>
      <c r="AS3194" s="17"/>
      <c r="AT3194" s="17"/>
      <c r="AU3194" s="17"/>
      <c r="AV3194" s="17"/>
    </row>
    <row r="3195" spans="1:48" ht="15.75" customHeight="1">
      <c r="A3195" s="14" t="s">
        <v>35</v>
      </c>
      <c r="B3195" s="23" t="s">
        <v>1692</v>
      </c>
      <c r="C3195" s="25">
        <v>45690</v>
      </c>
      <c r="D3195" s="23" t="s">
        <v>915</v>
      </c>
      <c r="E3195" s="23" t="s">
        <v>37</v>
      </c>
      <c r="F3195" s="14">
        <v>1</v>
      </c>
      <c r="G3195" s="12">
        <v>10500</v>
      </c>
      <c r="H3195" s="34">
        <v>10500</v>
      </c>
      <c r="I3195" s="23" t="s">
        <v>52</v>
      </c>
      <c r="J3195" s="23" t="s">
        <v>61</v>
      </c>
      <c r="K3195" s="24" t="s">
        <v>177</v>
      </c>
      <c r="L3195" s="26">
        <v>99</v>
      </c>
      <c r="M3195" s="12">
        <v>8823.5294117647063</v>
      </c>
      <c r="N3195" s="12">
        <v>8823.5294117647063</v>
      </c>
      <c r="O3195" s="12">
        <v>1676.4705882352937</v>
      </c>
      <c r="P3195" s="13"/>
      <c r="Q3195" s="14">
        <v>2025</v>
      </c>
      <c r="R3195" s="15">
        <v>45323</v>
      </c>
      <c r="S3195" s="11" t="s">
        <v>364</v>
      </c>
      <c r="T3195" s="16">
        <v>1000</v>
      </c>
      <c r="U3195" s="17"/>
      <c r="V3195" s="12">
        <v>2385.7142857142853</v>
      </c>
      <c r="W3195" s="12">
        <v>2385.7142857142853</v>
      </c>
      <c r="X3195" s="12">
        <v>0</v>
      </c>
      <c r="Y3195" s="18">
        <v>45684</v>
      </c>
      <c r="Z3195" s="13" t="s">
        <v>497</v>
      </c>
      <c r="AA3195" s="19" t="str">
        <f>VLOOKUP(D3195,Clientes!$A$2:$J$486,9,FALSE)</f>
        <v>Regular</v>
      </c>
      <c r="AB3195" s="13" t="str">
        <f>VLOOKUP(D3195,Clientes!$A$2:$K$486,11,FALSE)</f>
        <v>Persona Natural</v>
      </c>
      <c r="AC3195" s="13" t="str">
        <f>VLOOKUP(D3195,Clientes!$A$2:$B$486,2,FALSE)</f>
        <v>Jardin del Eden</v>
      </c>
      <c r="AD3195" s="20"/>
      <c r="AE3195" s="20"/>
      <c r="AF3195" s="13" t="s">
        <v>40</v>
      </c>
      <c r="AG3195" s="15">
        <v>45323</v>
      </c>
      <c r="AH3195" s="13" t="s">
        <v>41</v>
      </c>
      <c r="AI3195" s="13" t="s">
        <v>35</v>
      </c>
      <c r="AJ3195" s="13" t="str">
        <f>VLOOKUP(E3195,Precios!Z$2:AA$941,2,FALSE)</f>
        <v>Queso RUNCA Mantecoso</v>
      </c>
      <c r="AK3195" s="14">
        <f>VLOOKUP(E3195,Precios!Z$2:BB$941,3,FALSE)*F3195</f>
        <v>-1</v>
      </c>
      <c r="AL3195" s="17"/>
      <c r="AM3195" s="17"/>
      <c r="AN3195" s="17"/>
      <c r="AO3195" s="17"/>
      <c r="AP3195" s="17"/>
      <c r="AQ3195" s="17"/>
      <c r="AR3195" s="17"/>
      <c r="AS3195" s="17"/>
      <c r="AT3195" s="17"/>
      <c r="AU3195" s="17"/>
      <c r="AV3195" s="17"/>
    </row>
    <row r="3196" spans="1:48" ht="15.75" customHeight="1">
      <c r="A3196" s="14" t="s">
        <v>35</v>
      </c>
      <c r="B3196" s="23" t="s">
        <v>1692</v>
      </c>
      <c r="C3196" s="25">
        <v>45690</v>
      </c>
      <c r="D3196" s="23" t="s">
        <v>116</v>
      </c>
      <c r="E3196" s="23" t="s">
        <v>46</v>
      </c>
      <c r="F3196" s="14">
        <v>1</v>
      </c>
      <c r="G3196" s="12">
        <v>5500</v>
      </c>
      <c r="H3196" s="12">
        <v>5500</v>
      </c>
      <c r="I3196" s="23" t="s">
        <v>52</v>
      </c>
      <c r="J3196" s="23" t="s">
        <v>61</v>
      </c>
      <c r="K3196" s="24" t="s">
        <v>177</v>
      </c>
      <c r="L3196" s="26">
        <v>99</v>
      </c>
      <c r="M3196" s="12">
        <v>4621.8487394957983</v>
      </c>
      <c r="N3196" s="12">
        <v>4621.8487394957983</v>
      </c>
      <c r="O3196" s="12">
        <v>878.15126050420167</v>
      </c>
      <c r="P3196" s="13"/>
      <c r="Q3196" s="14">
        <v>2025</v>
      </c>
      <c r="R3196" s="15">
        <v>45323</v>
      </c>
      <c r="S3196" s="11" t="s">
        <v>364</v>
      </c>
      <c r="T3196" s="16">
        <v>500</v>
      </c>
      <c r="U3196" s="17"/>
      <c r="V3196" s="12">
        <v>1365.1260504201678</v>
      </c>
      <c r="W3196" s="12">
        <v>1365.1260504201678</v>
      </c>
      <c r="X3196" s="12">
        <v>0</v>
      </c>
      <c r="Y3196" s="18">
        <v>45684</v>
      </c>
      <c r="Z3196" s="13" t="s">
        <v>497</v>
      </c>
      <c r="AA3196" s="19" t="str">
        <f>VLOOKUP(D3196,Clientes!$A$2:$J$486,9,FALSE)</f>
        <v>Ocacional</v>
      </c>
      <c r="AB3196" s="13" t="str">
        <f>VLOOKUP(D3196,Clientes!$A$2:$K$486,11,FALSE)</f>
        <v>Persona Natural</v>
      </c>
      <c r="AC3196" s="13">
        <f>VLOOKUP(D3196,Clientes!$A$2:$B$486,2,FALSE)</f>
        <v>0</v>
      </c>
      <c r="AD3196" s="20"/>
      <c r="AE3196" s="20"/>
      <c r="AF3196" s="13" t="s">
        <v>40</v>
      </c>
      <c r="AG3196" s="15">
        <v>45323</v>
      </c>
      <c r="AH3196" s="13" t="s">
        <v>41</v>
      </c>
      <c r="AI3196" s="13" t="s">
        <v>35</v>
      </c>
      <c r="AJ3196" s="13" t="str">
        <f>VLOOKUP(E3196,Precios!Z$2:AA$941,2,FALSE)</f>
        <v>Queso RUNCA Mantecoso</v>
      </c>
      <c r="AK3196" s="14">
        <f>VLOOKUP(E3196,Precios!Z$2:BB$941,3,FALSE)*F3196</f>
        <v>-0.5</v>
      </c>
      <c r="AL3196" s="17"/>
      <c r="AM3196" s="17"/>
      <c r="AN3196" s="17"/>
      <c r="AO3196" s="17"/>
      <c r="AP3196" s="17"/>
      <c r="AQ3196" s="17"/>
      <c r="AR3196" s="17"/>
      <c r="AS3196" s="17"/>
      <c r="AT3196" s="17"/>
      <c r="AU3196" s="17"/>
      <c r="AV3196" s="17"/>
    </row>
    <row r="3197" spans="1:48" ht="15.75" customHeight="1">
      <c r="A3197" s="21" t="s">
        <v>56</v>
      </c>
      <c r="B3197" s="23" t="s">
        <v>1692</v>
      </c>
      <c r="C3197" s="25">
        <v>45690</v>
      </c>
      <c r="D3197" s="23" t="s">
        <v>116</v>
      </c>
      <c r="E3197" s="23" t="s">
        <v>190</v>
      </c>
      <c r="F3197" s="21">
        <v>2</v>
      </c>
      <c r="G3197" s="12">
        <v>2500</v>
      </c>
      <c r="H3197" s="12">
        <v>5000</v>
      </c>
      <c r="I3197" s="23" t="s">
        <v>52</v>
      </c>
      <c r="J3197" s="23" t="s">
        <v>61</v>
      </c>
      <c r="K3197" s="24" t="s">
        <v>177</v>
      </c>
      <c r="L3197" s="26">
        <v>99</v>
      </c>
      <c r="M3197" s="12">
        <v>2100.840336134454</v>
      </c>
      <c r="N3197" s="12">
        <v>4201.680672268908</v>
      </c>
      <c r="O3197" s="12">
        <v>798.31932773109202</v>
      </c>
      <c r="P3197" s="13"/>
      <c r="Q3197" s="14">
        <v>2025</v>
      </c>
      <c r="R3197" s="15">
        <v>45323</v>
      </c>
      <c r="S3197" s="11" t="s">
        <v>492</v>
      </c>
      <c r="T3197" s="16">
        <v>400</v>
      </c>
      <c r="U3197" s="17"/>
      <c r="V3197" s="12">
        <v>1263.8655462184875</v>
      </c>
      <c r="W3197" s="12">
        <v>1263.8655462184875</v>
      </c>
      <c r="X3197" s="12">
        <v>0</v>
      </c>
      <c r="Y3197" s="18">
        <v>45684</v>
      </c>
      <c r="Z3197" s="13" t="s">
        <v>497</v>
      </c>
      <c r="AA3197" s="19" t="str">
        <f>VLOOKUP(D3197,Clientes!$A$2:$J$486,9,FALSE)</f>
        <v>Ocacional</v>
      </c>
      <c r="AB3197" s="13" t="str">
        <f>VLOOKUP(D3197,Clientes!$A$2:$K$486,11,FALSE)</f>
        <v>Persona Natural</v>
      </c>
      <c r="AC3197" s="13">
        <f>VLOOKUP(D3197,Clientes!$A$2:$B$486,2,FALSE)</f>
        <v>0</v>
      </c>
      <c r="AD3197" s="20"/>
      <c r="AE3197" s="20"/>
      <c r="AF3197" s="13" t="s">
        <v>40</v>
      </c>
      <c r="AG3197" s="15">
        <v>45323</v>
      </c>
      <c r="AH3197" s="13" t="s">
        <v>41</v>
      </c>
      <c r="AI3197" s="13" t="s">
        <v>56</v>
      </c>
      <c r="AJ3197" s="13" t="str">
        <f>VLOOKUP(E3197,Precios!Z$2:AA$941,2,FALSE)</f>
        <v>Mantequilla RUMAY</v>
      </c>
      <c r="AK3197" s="14">
        <f>VLOOKUP(E3197,Precios!Z$2:BB$941,3,FALSE)*F3197</f>
        <v>-2</v>
      </c>
      <c r="AL3197" s="17"/>
      <c r="AM3197" s="17"/>
      <c r="AN3197" s="17"/>
      <c r="AO3197" s="17"/>
      <c r="AP3197" s="17"/>
      <c r="AQ3197" s="17"/>
      <c r="AR3197" s="17"/>
      <c r="AS3197" s="17"/>
      <c r="AT3197" s="17"/>
      <c r="AU3197" s="17"/>
      <c r="AV3197" s="17"/>
    </row>
    <row r="3198" spans="1:48" ht="15.75" customHeight="1">
      <c r="A3198" s="21" t="s">
        <v>53</v>
      </c>
      <c r="B3198" s="23" t="s">
        <v>1692</v>
      </c>
      <c r="C3198" s="25">
        <v>45690</v>
      </c>
      <c r="D3198" s="23" t="s">
        <v>116</v>
      </c>
      <c r="E3198" s="23" t="s">
        <v>69</v>
      </c>
      <c r="F3198" s="21">
        <v>2</v>
      </c>
      <c r="G3198" s="12">
        <v>2999.9553810458683</v>
      </c>
      <c r="H3198" s="12">
        <v>5999.9107620917366</v>
      </c>
      <c r="I3198" s="23" t="s">
        <v>52</v>
      </c>
      <c r="J3198" s="23" t="s">
        <v>61</v>
      </c>
      <c r="K3198" s="24" t="s">
        <v>177</v>
      </c>
      <c r="L3198" s="26">
        <v>99</v>
      </c>
      <c r="M3198" s="12">
        <v>2520.9709084419064</v>
      </c>
      <c r="N3198" s="12">
        <v>5041.9418168838129</v>
      </c>
      <c r="O3198" s="12">
        <v>957.96894520792375</v>
      </c>
      <c r="P3198" s="13"/>
      <c r="Q3198" s="14">
        <v>2025</v>
      </c>
      <c r="R3198" s="15">
        <v>45323</v>
      </c>
      <c r="S3198" s="11" t="s">
        <v>376</v>
      </c>
      <c r="T3198" s="16">
        <v>0</v>
      </c>
      <c r="U3198" s="17"/>
      <c r="V3198" s="12">
        <v>1651.941816883812</v>
      </c>
      <c r="W3198" s="12">
        <v>1651.941816883812</v>
      </c>
      <c r="X3198" s="12">
        <v>0</v>
      </c>
      <c r="Y3198" s="18">
        <v>45684</v>
      </c>
      <c r="Z3198" s="13" t="s">
        <v>497</v>
      </c>
      <c r="AA3198" s="19" t="str">
        <f>VLOOKUP(D3198,Clientes!$A$2:$J$486,9,FALSE)</f>
        <v>Ocacional</v>
      </c>
      <c r="AB3198" s="13" t="str">
        <f>VLOOKUP(D3198,Clientes!$A$2:$K$486,11,FALSE)</f>
        <v>Persona Natural</v>
      </c>
      <c r="AC3198" s="13">
        <f>VLOOKUP(D3198,Clientes!$A$2:$B$486,2,FALSE)</f>
        <v>0</v>
      </c>
      <c r="AD3198" s="20"/>
      <c r="AE3198" s="20"/>
      <c r="AF3198" s="13" t="s">
        <v>40</v>
      </c>
      <c r="AG3198" s="15">
        <v>45323</v>
      </c>
      <c r="AH3198" s="13" t="s">
        <v>41</v>
      </c>
      <c r="AI3198" s="13" t="s">
        <v>53</v>
      </c>
      <c r="AJ3198" s="13" t="str">
        <f>VLOOKUP(E3198,Precios!Z$2:AA$941,2,FALSE)</f>
        <v>Toalla Papel NOVA 70 metros</v>
      </c>
      <c r="AK3198" s="14">
        <f>VLOOKUP(E3198,Precios!Z$2:BB$941,3,FALSE)*F3198</f>
        <v>-2</v>
      </c>
      <c r="AL3198" s="17"/>
      <c r="AM3198" s="17"/>
      <c r="AN3198" s="17"/>
      <c r="AO3198" s="17"/>
      <c r="AP3198" s="17"/>
      <c r="AQ3198" s="17"/>
      <c r="AR3198" s="17"/>
      <c r="AS3198" s="17"/>
      <c r="AT3198" s="17"/>
      <c r="AU3198" s="17"/>
      <c r="AV3198" s="17"/>
    </row>
    <row r="3199" spans="1:48" ht="15.75" customHeight="1">
      <c r="A3199" s="14" t="s">
        <v>35</v>
      </c>
      <c r="B3199" s="23" t="s">
        <v>1692</v>
      </c>
      <c r="C3199" s="25">
        <v>45690</v>
      </c>
      <c r="D3199" s="13" t="s">
        <v>42</v>
      </c>
      <c r="E3199" s="13" t="s">
        <v>37</v>
      </c>
      <c r="F3199" s="14">
        <v>1</v>
      </c>
      <c r="G3199" s="12">
        <v>10500</v>
      </c>
      <c r="H3199" s="12">
        <v>10500</v>
      </c>
      <c r="I3199" s="23" t="s">
        <v>52</v>
      </c>
      <c r="J3199" s="23" t="s">
        <v>61</v>
      </c>
      <c r="K3199" s="24" t="s">
        <v>177</v>
      </c>
      <c r="L3199" s="26">
        <v>99</v>
      </c>
      <c r="M3199" s="12">
        <v>8823.5294117647063</v>
      </c>
      <c r="N3199" s="12">
        <v>8823.5294117647063</v>
      </c>
      <c r="O3199" s="12">
        <v>1676.4705882352937</v>
      </c>
      <c r="P3199" s="13"/>
      <c r="Q3199" s="14">
        <v>2025</v>
      </c>
      <c r="R3199" s="15">
        <v>45323</v>
      </c>
      <c r="S3199" s="11" t="s">
        <v>364</v>
      </c>
      <c r="T3199" s="16">
        <v>1000</v>
      </c>
      <c r="U3199" s="17"/>
      <c r="V3199" s="12">
        <v>2385.7142857142853</v>
      </c>
      <c r="W3199" s="12">
        <v>2385.7142857142853</v>
      </c>
      <c r="X3199" s="12">
        <v>0</v>
      </c>
      <c r="Y3199" s="18">
        <v>45684</v>
      </c>
      <c r="Z3199" s="13" t="s">
        <v>497</v>
      </c>
      <c r="AA3199" s="19" t="str">
        <f>VLOOKUP(D3199,Clientes!$A$2:$J$486,9,FALSE)</f>
        <v>Frecuente</v>
      </c>
      <c r="AB3199" s="13" t="str">
        <f>VLOOKUP(D3199,Clientes!$A$2:$K$486,11,FALSE)</f>
        <v>Persona Natural</v>
      </c>
      <c r="AC3199" s="13" t="str">
        <f>VLOOKUP(D3199,Clientes!$A$2:$B$486,2,FALSE)</f>
        <v>Sector Diego Portales</v>
      </c>
      <c r="AD3199" s="20"/>
      <c r="AE3199" s="20"/>
      <c r="AF3199" s="13" t="s">
        <v>40</v>
      </c>
      <c r="AG3199" s="15">
        <v>45323</v>
      </c>
      <c r="AH3199" s="13" t="s">
        <v>41</v>
      </c>
      <c r="AI3199" s="13" t="s">
        <v>35</v>
      </c>
      <c r="AJ3199" s="13" t="str">
        <f>VLOOKUP(E3199,Precios!Z$2:AA$941,2,FALSE)</f>
        <v>Queso RUNCA Mantecoso</v>
      </c>
      <c r="AK3199" s="14">
        <f>VLOOKUP(E3199,Precios!Z$2:BB$941,3,FALSE)*F3199</f>
        <v>-1</v>
      </c>
      <c r="AL3199" s="17"/>
      <c r="AM3199" s="17"/>
      <c r="AN3199" s="17"/>
      <c r="AO3199" s="17"/>
      <c r="AP3199" s="17"/>
      <c r="AQ3199" s="17"/>
      <c r="AR3199" s="17"/>
      <c r="AS3199" s="17"/>
      <c r="AT3199" s="17"/>
      <c r="AU3199" s="17"/>
      <c r="AV3199" s="17"/>
    </row>
    <row r="3200" spans="1:48" ht="15.75" customHeight="1">
      <c r="A3200" s="21" t="s">
        <v>76</v>
      </c>
      <c r="B3200" s="23" t="s">
        <v>1692</v>
      </c>
      <c r="C3200" s="22">
        <v>45690</v>
      </c>
      <c r="D3200" s="23" t="s">
        <v>42</v>
      </c>
      <c r="E3200" s="23" t="s">
        <v>110</v>
      </c>
      <c r="F3200" s="21">
        <v>1</v>
      </c>
      <c r="G3200" s="12">
        <v>2000.0000000000005</v>
      </c>
      <c r="H3200" s="12">
        <v>2000.0000000000005</v>
      </c>
      <c r="I3200" s="23" t="s">
        <v>52</v>
      </c>
      <c r="J3200" s="23" t="s">
        <v>61</v>
      </c>
      <c r="K3200" s="24" t="s">
        <v>177</v>
      </c>
      <c r="L3200" s="26">
        <v>99</v>
      </c>
      <c r="M3200" s="12">
        <v>1680.6722689075634</v>
      </c>
      <c r="N3200" s="12">
        <v>1680.6722689075634</v>
      </c>
      <c r="O3200" s="12">
        <v>319.32773109243703</v>
      </c>
      <c r="P3200" s="13"/>
      <c r="Q3200" s="14">
        <v>2025</v>
      </c>
      <c r="R3200" s="15">
        <v>45323</v>
      </c>
      <c r="S3200" s="11" t="s">
        <v>378</v>
      </c>
      <c r="T3200" s="16">
        <v>5</v>
      </c>
      <c r="U3200" s="17"/>
      <c r="V3200" s="12">
        <v>756.30252100840369</v>
      </c>
      <c r="W3200" s="12">
        <v>756.30252100840369</v>
      </c>
      <c r="X3200" s="12">
        <v>0</v>
      </c>
      <c r="Y3200" s="18">
        <v>45684</v>
      </c>
      <c r="Z3200" s="13" t="s">
        <v>497</v>
      </c>
      <c r="AA3200" s="19" t="str">
        <f>VLOOKUP(D3200,Clientes!$A$2:$J$486,9,FALSE)</f>
        <v>Frecuente</v>
      </c>
      <c r="AB3200" s="13" t="str">
        <f>VLOOKUP(D3200,Clientes!$A$2:$K$486,11,FALSE)</f>
        <v>Persona Natural</v>
      </c>
      <c r="AC3200" s="13" t="str">
        <f>VLOOKUP(D3200,Clientes!$A$2:$B$486,2,FALSE)</f>
        <v>Sector Diego Portales</v>
      </c>
      <c r="AD3200" s="20"/>
      <c r="AE3200" s="20"/>
      <c r="AF3200" s="13" t="s">
        <v>40</v>
      </c>
      <c r="AG3200" s="15">
        <v>45323</v>
      </c>
      <c r="AH3200" s="13" t="s">
        <v>41</v>
      </c>
      <c r="AI3200" s="13" t="s">
        <v>76</v>
      </c>
      <c r="AJ3200" s="13" t="str">
        <f>VLOOKUP(E3200,Precios!Z$2:AA$941,2,FALSE)</f>
        <v>Cloro SPUM 5 Litros</v>
      </c>
      <c r="AK3200" s="14">
        <f>VLOOKUP(E3200,Precios!Z$2:BB$941,3,FALSE)*F3200</f>
        <v>-1</v>
      </c>
      <c r="AL3200" s="17"/>
      <c r="AM3200" s="17"/>
      <c r="AN3200" s="17"/>
      <c r="AO3200" s="17"/>
      <c r="AP3200" s="17"/>
      <c r="AQ3200" s="17"/>
      <c r="AR3200" s="17"/>
      <c r="AS3200" s="17"/>
      <c r="AT3200" s="17"/>
      <c r="AU3200" s="17"/>
      <c r="AV3200" s="17"/>
    </row>
    <row r="3201" spans="1:48" ht="15.75" customHeight="1">
      <c r="A3201" s="21" t="s">
        <v>53</v>
      </c>
      <c r="B3201" s="23" t="s">
        <v>1692</v>
      </c>
      <c r="C3201" s="22">
        <v>45690</v>
      </c>
      <c r="D3201" s="23" t="s">
        <v>229</v>
      </c>
      <c r="E3201" s="23" t="s">
        <v>55</v>
      </c>
      <c r="F3201" s="21">
        <v>1</v>
      </c>
      <c r="G3201" s="12">
        <v>19989.738327347361</v>
      </c>
      <c r="H3201" s="12">
        <v>19989.738327347361</v>
      </c>
      <c r="I3201" s="23" t="s">
        <v>52</v>
      </c>
      <c r="J3201" s="23" t="s">
        <v>61</v>
      </c>
      <c r="K3201" s="24" t="s">
        <v>177</v>
      </c>
      <c r="L3201" s="26">
        <v>99</v>
      </c>
      <c r="M3201" s="12">
        <v>16798.099434745684</v>
      </c>
      <c r="N3201" s="12">
        <v>16798.099434745684</v>
      </c>
      <c r="O3201" s="12">
        <v>3191.6388926016771</v>
      </c>
      <c r="P3201" s="13"/>
      <c r="Q3201" s="14">
        <v>2025</v>
      </c>
      <c r="R3201" s="15">
        <v>45323</v>
      </c>
      <c r="S3201" s="11" t="s">
        <v>366</v>
      </c>
      <c r="T3201" s="16">
        <v>0</v>
      </c>
      <c r="U3201" s="17"/>
      <c r="V3201" s="12">
        <v>3702.3011154179476</v>
      </c>
      <c r="W3201" s="12">
        <v>3702.3011154179476</v>
      </c>
      <c r="X3201" s="12">
        <v>0</v>
      </c>
      <c r="Y3201" s="18">
        <v>45684</v>
      </c>
      <c r="Z3201" s="13" t="s">
        <v>497</v>
      </c>
      <c r="AA3201" s="19" t="str">
        <f>VLOOKUP(D3201,Clientes!$A$2:$J$486,9,FALSE)</f>
        <v>Frecuente</v>
      </c>
      <c r="AB3201" s="13" t="str">
        <f>VLOOKUP(D3201,Clientes!$A$2:$K$486,11,FALSE)</f>
        <v>Persona Natural</v>
      </c>
      <c r="AC3201" s="13" t="str">
        <f>VLOOKUP(D3201,Clientes!$A$2:$B$486,2,FALSE)</f>
        <v>Sector Santa Delia</v>
      </c>
      <c r="AD3201" s="20"/>
      <c r="AE3201" s="20"/>
      <c r="AF3201" s="13" t="s">
        <v>40</v>
      </c>
      <c r="AG3201" s="15">
        <v>45323</v>
      </c>
      <c r="AH3201" s="13" t="s">
        <v>41</v>
      </c>
      <c r="AI3201" s="13" t="s">
        <v>53</v>
      </c>
      <c r="AJ3201" s="13" t="str">
        <f>VLOOKUP(E3201,Precios!Z$2:AA$941,2,FALSE)</f>
        <v>Papel Higienico ELITE 50 metros</v>
      </c>
      <c r="AK3201" s="14">
        <f>VLOOKUP(E3201,Precios!Z$2:BB$941,3,FALSE)*F3201</f>
        <v>-8</v>
      </c>
      <c r="AL3201" s="17"/>
      <c r="AM3201" s="17"/>
      <c r="AN3201" s="17"/>
      <c r="AO3201" s="17"/>
      <c r="AP3201" s="17"/>
      <c r="AQ3201" s="17"/>
      <c r="AR3201" s="17"/>
      <c r="AS3201" s="17"/>
      <c r="AT3201" s="17"/>
      <c r="AU3201" s="17"/>
      <c r="AV3201" s="17"/>
    </row>
    <row r="3202" spans="1:48" ht="15.75" customHeight="1">
      <c r="A3202" s="21" t="s">
        <v>76</v>
      </c>
      <c r="B3202" s="23" t="s">
        <v>1692</v>
      </c>
      <c r="C3202" s="22">
        <v>45690</v>
      </c>
      <c r="D3202" s="23" t="s">
        <v>229</v>
      </c>
      <c r="E3202" s="23" t="s">
        <v>349</v>
      </c>
      <c r="F3202" s="21">
        <v>1</v>
      </c>
      <c r="G3202" s="12">
        <v>3999.8127946357149</v>
      </c>
      <c r="H3202" s="12">
        <v>3999.8127946357149</v>
      </c>
      <c r="I3202" s="23" t="s">
        <v>52</v>
      </c>
      <c r="J3202" s="23" t="s">
        <v>61</v>
      </c>
      <c r="K3202" s="24" t="s">
        <v>177</v>
      </c>
      <c r="L3202" s="26">
        <v>99</v>
      </c>
      <c r="M3202" s="12">
        <v>3361.1872223829537</v>
      </c>
      <c r="N3202" s="12">
        <v>3361.1872223829537</v>
      </c>
      <c r="O3202" s="12">
        <v>638.62557225276123</v>
      </c>
      <c r="P3202" s="13"/>
      <c r="Q3202" s="14">
        <v>2025</v>
      </c>
      <c r="R3202" s="15">
        <v>45323</v>
      </c>
      <c r="S3202" s="11" t="s">
        <v>550</v>
      </c>
      <c r="T3202" s="16">
        <v>5</v>
      </c>
      <c r="U3202" s="17"/>
      <c r="V3202" s="12">
        <v>1386.1872223829537</v>
      </c>
      <c r="W3202" s="12">
        <v>1386.1872223829537</v>
      </c>
      <c r="X3202" s="12">
        <v>0</v>
      </c>
      <c r="Y3202" s="18">
        <v>45684</v>
      </c>
      <c r="Z3202" s="13" t="s">
        <v>497</v>
      </c>
      <c r="AA3202" s="19" t="str">
        <f>VLOOKUP(D3202,Clientes!$A$2:$J$486,9,FALSE)</f>
        <v>Frecuente</v>
      </c>
      <c r="AB3202" s="13" t="str">
        <f>VLOOKUP(D3202,Clientes!$A$2:$K$486,11,FALSE)</f>
        <v>Persona Natural</v>
      </c>
      <c r="AC3202" s="13" t="str">
        <f>VLOOKUP(D3202,Clientes!$A$2:$B$486,2,FALSE)</f>
        <v>Sector Santa Delia</v>
      </c>
      <c r="AD3202" s="20"/>
      <c r="AE3202" s="20"/>
      <c r="AF3202" s="13" t="s">
        <v>40</v>
      </c>
      <c r="AG3202" s="15">
        <v>45323</v>
      </c>
      <c r="AH3202" s="13" t="s">
        <v>41</v>
      </c>
      <c r="AI3202" s="13" t="s">
        <v>76</v>
      </c>
      <c r="AJ3202" s="13" t="str">
        <f>VLOOKUP(E3202,Precios!Z$2:AA$941,2,FALSE)</f>
        <v>Antigrasa SPUM 5 Litros</v>
      </c>
      <c r="AK3202" s="14">
        <f>VLOOKUP(E3202,Precios!Z$2:BB$941,3,FALSE)*F3202</f>
        <v>-1</v>
      </c>
      <c r="AL3202" s="17"/>
      <c r="AM3202" s="17"/>
      <c r="AN3202" s="17"/>
      <c r="AO3202" s="17"/>
      <c r="AP3202" s="17"/>
      <c r="AQ3202" s="17"/>
      <c r="AR3202" s="17"/>
      <c r="AS3202" s="17"/>
      <c r="AT3202" s="17"/>
      <c r="AU3202" s="17"/>
      <c r="AV3202" s="17"/>
    </row>
    <row r="3203" spans="1:48" ht="15.75" customHeight="1">
      <c r="A3203" s="21" t="s">
        <v>43</v>
      </c>
      <c r="B3203" s="23" t="s">
        <v>1692</v>
      </c>
      <c r="C3203" s="22">
        <v>45690</v>
      </c>
      <c r="D3203" s="23" t="s">
        <v>699</v>
      </c>
      <c r="E3203" s="23" t="s">
        <v>45</v>
      </c>
      <c r="F3203" s="21">
        <v>1</v>
      </c>
      <c r="G3203" s="12">
        <v>6300.1913812446392</v>
      </c>
      <c r="H3203" s="12">
        <v>6300.1913812446392</v>
      </c>
      <c r="I3203" s="23" t="s">
        <v>52</v>
      </c>
      <c r="J3203" s="23" t="s">
        <v>61</v>
      </c>
      <c r="K3203" s="24" t="s">
        <v>177</v>
      </c>
      <c r="L3203" s="26">
        <v>99</v>
      </c>
      <c r="M3203" s="12">
        <v>5294.2784716341512</v>
      </c>
      <c r="N3203" s="12">
        <v>5294.2784716341512</v>
      </c>
      <c r="O3203" s="12">
        <v>1005.912909610488</v>
      </c>
      <c r="P3203" s="13"/>
      <c r="Q3203" s="14">
        <v>2025</v>
      </c>
      <c r="R3203" s="15">
        <v>45323</v>
      </c>
      <c r="S3203" s="11" t="s">
        <v>355</v>
      </c>
      <c r="T3203" s="16">
        <v>0</v>
      </c>
      <c r="U3203" s="17"/>
      <c r="V3203" s="12">
        <v>1283.0683876005369</v>
      </c>
      <c r="W3203" s="12">
        <v>1283.0683876005369</v>
      </c>
      <c r="X3203" s="12">
        <v>0</v>
      </c>
      <c r="Y3203" s="18">
        <v>45684</v>
      </c>
      <c r="Z3203" s="13" t="s">
        <v>497</v>
      </c>
      <c r="AA3203" s="19" t="str">
        <f>VLOOKUP(D3203,Clientes!$A$2:$J$486,9,FALSE)</f>
        <v>Ocacional</v>
      </c>
      <c r="AB3203" s="13" t="str">
        <f>VLOOKUP(D3203,Clientes!$A$2:$K$486,11,FALSE)</f>
        <v>Persona Natural</v>
      </c>
      <c r="AC3203" s="13" t="str">
        <f>VLOOKUP(D3203,Clientes!$A$2:$B$486,2,FALSE)</f>
        <v>Jardines de la viña</v>
      </c>
      <c r="AD3203" s="20"/>
      <c r="AE3203" s="20"/>
      <c r="AF3203" s="13" t="s">
        <v>40</v>
      </c>
      <c r="AG3203" s="15">
        <v>45323</v>
      </c>
      <c r="AH3203" s="13" t="s">
        <v>41</v>
      </c>
      <c r="AI3203" s="13" t="s">
        <v>43</v>
      </c>
      <c r="AJ3203" s="13" t="str">
        <f>VLOOKUP(E3203,Precios!Z$2:AA$941,2,FALSE)</f>
        <v>Bandeja Huevos EXTRA</v>
      </c>
      <c r="AK3203" s="14">
        <f>VLOOKUP(E3203,Precios!Z$2:BB$941,3,FALSE)*F3203</f>
        <v>-1</v>
      </c>
      <c r="AL3203" s="17"/>
      <c r="AM3203" s="17"/>
      <c r="AN3203" s="17"/>
      <c r="AO3203" s="17"/>
      <c r="AP3203" s="17"/>
      <c r="AQ3203" s="17"/>
      <c r="AR3203" s="17"/>
      <c r="AS3203" s="17"/>
      <c r="AT3203" s="17"/>
      <c r="AU3203" s="17"/>
      <c r="AV3203" s="17"/>
    </row>
    <row r="3204" spans="1:48" ht="15.75" customHeight="1">
      <c r="A3204" s="21" t="s">
        <v>43</v>
      </c>
      <c r="B3204" s="23" t="s">
        <v>1692</v>
      </c>
      <c r="C3204" s="22">
        <v>45690</v>
      </c>
      <c r="D3204" s="23" t="s">
        <v>292</v>
      </c>
      <c r="E3204" s="23" t="s">
        <v>45</v>
      </c>
      <c r="F3204" s="21">
        <v>1</v>
      </c>
      <c r="G3204" s="12">
        <v>6300.1913812446392</v>
      </c>
      <c r="H3204" s="12">
        <v>6300.1913812446392</v>
      </c>
      <c r="I3204" s="23" t="s">
        <v>52</v>
      </c>
      <c r="J3204" s="23" t="s">
        <v>61</v>
      </c>
      <c r="K3204" s="24" t="s">
        <v>177</v>
      </c>
      <c r="L3204" s="26">
        <v>99</v>
      </c>
      <c r="M3204" s="12">
        <v>5294.2784716341512</v>
      </c>
      <c r="N3204" s="12">
        <v>5294.2784716341512</v>
      </c>
      <c r="O3204" s="12">
        <v>1005.912909610488</v>
      </c>
      <c r="P3204" s="13"/>
      <c r="Q3204" s="14">
        <v>2025</v>
      </c>
      <c r="R3204" s="15">
        <v>45323</v>
      </c>
      <c r="S3204" s="11" t="s">
        <v>355</v>
      </c>
      <c r="T3204" s="16">
        <v>0</v>
      </c>
      <c r="U3204" s="17"/>
      <c r="V3204" s="12">
        <v>1283.0683876005369</v>
      </c>
      <c r="W3204" s="12">
        <v>1283.0683876005369</v>
      </c>
      <c r="X3204" s="12">
        <v>0</v>
      </c>
      <c r="Y3204" s="18">
        <v>45684</v>
      </c>
      <c r="Z3204" s="13" t="s">
        <v>497</v>
      </c>
      <c r="AA3204" s="19" t="str">
        <f>VLOOKUP(D3204,Clientes!$A$2:$J$486,9,FALSE)</f>
        <v>Regular</v>
      </c>
      <c r="AB3204" s="13" t="str">
        <f>VLOOKUP(D3204,Clientes!$A$2:$K$486,11,FALSE)</f>
        <v>Persona Natural</v>
      </c>
      <c r="AC3204" s="13" t="str">
        <f>VLOOKUP(D3204,Clientes!$A$2:$B$486,2,FALSE)</f>
        <v>Jardines de la viña</v>
      </c>
      <c r="AD3204" s="20"/>
      <c r="AE3204" s="20"/>
      <c r="AF3204" s="13" t="s">
        <v>40</v>
      </c>
      <c r="AG3204" s="15">
        <v>45323</v>
      </c>
      <c r="AH3204" s="13" t="s">
        <v>41</v>
      </c>
      <c r="AI3204" s="13" t="s">
        <v>43</v>
      </c>
      <c r="AJ3204" s="13" t="str">
        <f>VLOOKUP(E3204,Precios!Z$2:AA$941,2,FALSE)</f>
        <v>Bandeja Huevos EXTRA</v>
      </c>
      <c r="AK3204" s="14">
        <f>VLOOKUP(E3204,Precios!Z$2:BB$941,3,FALSE)*F3204</f>
        <v>-1</v>
      </c>
      <c r="AL3204" s="17"/>
      <c r="AM3204" s="17"/>
      <c r="AN3204" s="17"/>
      <c r="AO3204" s="17"/>
      <c r="AP3204" s="17"/>
      <c r="AQ3204" s="17"/>
      <c r="AR3204" s="17"/>
      <c r="AS3204" s="17"/>
      <c r="AT3204" s="17"/>
      <c r="AU3204" s="17"/>
      <c r="AV3204" s="17"/>
    </row>
    <row r="3205" spans="1:48" ht="15.75" customHeight="1">
      <c r="A3205" s="21" t="s">
        <v>50</v>
      </c>
      <c r="B3205" s="23" t="s">
        <v>1692</v>
      </c>
      <c r="C3205" s="22">
        <v>45690</v>
      </c>
      <c r="D3205" s="23" t="s">
        <v>292</v>
      </c>
      <c r="E3205" s="23" t="s">
        <v>51</v>
      </c>
      <c r="F3205" s="21">
        <v>1</v>
      </c>
      <c r="G3205" s="12">
        <v>1000</v>
      </c>
      <c r="H3205" s="12">
        <v>1000</v>
      </c>
      <c r="I3205" s="23" t="s">
        <v>52</v>
      </c>
      <c r="J3205" s="23" t="s">
        <v>61</v>
      </c>
      <c r="K3205" s="24" t="s">
        <v>177</v>
      </c>
      <c r="L3205" s="26">
        <v>99</v>
      </c>
      <c r="M3205" s="12">
        <v>840.3361344537816</v>
      </c>
      <c r="N3205" s="12">
        <v>840.3361344537816</v>
      </c>
      <c r="O3205" s="12">
        <v>159.6638655462184</v>
      </c>
      <c r="P3205" s="13"/>
      <c r="Q3205" s="14">
        <v>2025</v>
      </c>
      <c r="R3205" s="15">
        <v>45323</v>
      </c>
      <c r="S3205" s="11" t="s">
        <v>51</v>
      </c>
      <c r="T3205" s="16">
        <v>0</v>
      </c>
      <c r="U3205" s="17"/>
      <c r="V3205" s="12">
        <v>483.19327731092432</v>
      </c>
      <c r="W3205" s="12">
        <v>483.19327731092432</v>
      </c>
      <c r="X3205" s="12">
        <v>0</v>
      </c>
      <c r="Y3205" s="18">
        <v>45684</v>
      </c>
      <c r="Z3205" s="13" t="s">
        <v>497</v>
      </c>
      <c r="AA3205" s="19" t="str">
        <f>VLOOKUP(D3205,Clientes!$A$2:$J$486,9,FALSE)</f>
        <v>Regular</v>
      </c>
      <c r="AB3205" s="13" t="str">
        <f>VLOOKUP(D3205,Clientes!$A$2:$K$486,11,FALSE)</f>
        <v>Persona Natural</v>
      </c>
      <c r="AC3205" s="13" t="str">
        <f>VLOOKUP(D3205,Clientes!$A$2:$B$486,2,FALSE)</f>
        <v>Jardines de la viña</v>
      </c>
      <c r="AD3205" s="20"/>
      <c r="AE3205" s="20"/>
      <c r="AF3205" s="13" t="s">
        <v>40</v>
      </c>
      <c r="AG3205" s="15">
        <v>45323</v>
      </c>
      <c r="AH3205" s="13" t="s">
        <v>41</v>
      </c>
      <c r="AI3205" s="13" t="s">
        <v>50</v>
      </c>
      <c r="AJ3205" s="13" t="str">
        <f>VLOOKUP(E3205,Precios!Z$2:AA$941,2,FALSE)</f>
        <v>Hielo 1 Kilo</v>
      </c>
      <c r="AK3205" s="14">
        <f>VLOOKUP(E3205,Precios!Z$2:BB$941,3,FALSE)*F3205</f>
        <v>-1</v>
      </c>
      <c r="AL3205" s="17"/>
      <c r="AM3205" s="17"/>
      <c r="AN3205" s="17"/>
      <c r="AO3205" s="17"/>
      <c r="AP3205" s="17"/>
      <c r="AQ3205" s="17"/>
      <c r="AR3205" s="17"/>
      <c r="AS3205" s="17"/>
      <c r="AT3205" s="17"/>
      <c r="AU3205" s="17"/>
      <c r="AV3205" s="17"/>
    </row>
    <row r="3206" spans="1:48" ht="15.75" customHeight="1">
      <c r="A3206" s="21" t="s">
        <v>35</v>
      </c>
      <c r="B3206" s="23" t="s">
        <v>1692</v>
      </c>
      <c r="C3206" s="22">
        <v>45689</v>
      </c>
      <c r="D3206" s="23" t="s">
        <v>915</v>
      </c>
      <c r="E3206" s="23" t="s">
        <v>37</v>
      </c>
      <c r="F3206" s="21">
        <v>1</v>
      </c>
      <c r="G3206" s="12">
        <v>10500</v>
      </c>
      <c r="H3206" s="34">
        <v>10500</v>
      </c>
      <c r="I3206" s="23" t="s">
        <v>52</v>
      </c>
      <c r="J3206" s="23" t="s">
        <v>61</v>
      </c>
      <c r="K3206" s="24" t="s">
        <v>177</v>
      </c>
      <c r="L3206" s="26">
        <v>99</v>
      </c>
      <c r="M3206" s="12">
        <v>8823.5294117647063</v>
      </c>
      <c r="N3206" s="12">
        <v>8823.5294117647063</v>
      </c>
      <c r="O3206" s="12">
        <v>1676.4705882352937</v>
      </c>
      <c r="P3206" s="13"/>
      <c r="Q3206" s="14">
        <v>2025</v>
      </c>
      <c r="R3206" s="15">
        <v>45323</v>
      </c>
      <c r="S3206" s="11" t="s">
        <v>364</v>
      </c>
      <c r="T3206" s="16">
        <v>1000</v>
      </c>
      <c r="U3206" s="17"/>
      <c r="V3206" s="12">
        <v>2385.7142857142853</v>
      </c>
      <c r="W3206" s="12">
        <v>2385.7142857142853</v>
      </c>
      <c r="X3206" s="12">
        <v>0</v>
      </c>
      <c r="Y3206" s="18">
        <v>45684</v>
      </c>
      <c r="Z3206" s="13" t="s">
        <v>501</v>
      </c>
      <c r="AA3206" s="19" t="str">
        <f>VLOOKUP(D3206,Clientes!$A$2:$J$486,9,FALSE)</f>
        <v>Regular</v>
      </c>
      <c r="AB3206" s="13" t="str">
        <f>VLOOKUP(D3206,Clientes!$A$2:$K$486,11,FALSE)</f>
        <v>Persona Natural</v>
      </c>
      <c r="AC3206" s="13" t="str">
        <f>VLOOKUP(D3206,Clientes!$A$2:$B$486,2,FALSE)</f>
        <v>Jardin del Eden</v>
      </c>
      <c r="AD3206" s="20"/>
      <c r="AE3206" s="20"/>
      <c r="AF3206" s="13" t="s">
        <v>40</v>
      </c>
      <c r="AG3206" s="15">
        <v>45323</v>
      </c>
      <c r="AH3206" s="13" t="s">
        <v>41</v>
      </c>
      <c r="AI3206" s="13" t="s">
        <v>35</v>
      </c>
      <c r="AJ3206" s="13" t="str">
        <f>VLOOKUP(E3206,Precios!Z$2:AA$941,2,FALSE)</f>
        <v>Queso RUNCA Mantecoso</v>
      </c>
      <c r="AK3206" s="14">
        <f>VLOOKUP(E3206,Precios!Z$2:BB$941,3,FALSE)*F3206</f>
        <v>-1</v>
      </c>
      <c r="AL3206" s="17"/>
      <c r="AM3206" s="17"/>
      <c r="AN3206" s="17"/>
      <c r="AO3206" s="17"/>
      <c r="AP3206" s="17"/>
      <c r="AQ3206" s="17"/>
      <c r="AR3206" s="17"/>
      <c r="AS3206" s="17"/>
      <c r="AT3206" s="17"/>
      <c r="AU3206" s="17"/>
      <c r="AV3206" s="17"/>
    </row>
    <row r="3207" spans="1:48" ht="15.75" customHeight="1">
      <c r="A3207" s="21" t="s">
        <v>147</v>
      </c>
      <c r="B3207" s="23" t="s">
        <v>1692</v>
      </c>
      <c r="C3207" s="22">
        <v>45689</v>
      </c>
      <c r="D3207" s="23" t="s">
        <v>235</v>
      </c>
      <c r="E3207" s="23" t="s">
        <v>296</v>
      </c>
      <c r="F3207" s="21">
        <v>1</v>
      </c>
      <c r="G3207" s="12">
        <v>6000.0775704921853</v>
      </c>
      <c r="H3207" s="12">
        <v>6000.0775704921853</v>
      </c>
      <c r="I3207" s="23" t="s">
        <v>52</v>
      </c>
      <c r="J3207" s="23" t="s">
        <v>61</v>
      </c>
      <c r="K3207" s="24" t="s">
        <v>177</v>
      </c>
      <c r="L3207" s="26">
        <v>99</v>
      </c>
      <c r="M3207" s="12">
        <v>5042.0819920102404</v>
      </c>
      <c r="N3207" s="12">
        <v>5042.0819920102404</v>
      </c>
      <c r="O3207" s="12">
        <v>957.9955784819449</v>
      </c>
      <c r="P3207" s="13"/>
      <c r="Q3207" s="14">
        <v>2025</v>
      </c>
      <c r="R3207" s="15">
        <v>45323</v>
      </c>
      <c r="S3207" s="11" t="s">
        <v>455</v>
      </c>
      <c r="T3207" s="16">
        <v>0</v>
      </c>
      <c r="U3207" s="17"/>
      <c r="V3207" s="12">
        <v>2442.0819920102394</v>
      </c>
      <c r="W3207" s="12">
        <v>2442.0819920102394</v>
      </c>
      <c r="X3207" s="12">
        <v>0</v>
      </c>
      <c r="Y3207" s="18">
        <v>45684</v>
      </c>
      <c r="Z3207" s="13" t="s">
        <v>501</v>
      </c>
      <c r="AA3207" s="19" t="str">
        <f>VLOOKUP(D3207,Clientes!$A$2:$J$486,9,FALSE)</f>
        <v>Familiar</v>
      </c>
      <c r="AB3207" s="13" t="str">
        <f>VLOOKUP(D3207,Clientes!$A$2:$K$486,11,FALSE)</f>
        <v>Persona Natural</v>
      </c>
      <c r="AC3207" s="13" t="str">
        <f>VLOOKUP(D3207,Clientes!$A$2:$B$486,2,FALSE)</f>
        <v>Familiar</v>
      </c>
      <c r="AD3207" s="20"/>
      <c r="AE3207" s="20"/>
      <c r="AF3207" s="13" t="s">
        <v>40</v>
      </c>
      <c r="AG3207" s="15">
        <v>45323</v>
      </c>
      <c r="AH3207" s="13" t="s">
        <v>41</v>
      </c>
      <c r="AI3207" s="13" t="s">
        <v>147</v>
      </c>
      <c r="AJ3207" s="13" t="str">
        <f>VLOOKUP(E3207,Precios!Z$2:AA$941,2,FALSE)</f>
        <v>Film Embalaje</v>
      </c>
      <c r="AK3207" s="14">
        <f>VLOOKUP(E3207,Precios!Z$2:BB$941,3,FALSE)*F3207</f>
        <v>-1</v>
      </c>
      <c r="AL3207" s="17"/>
      <c r="AM3207" s="17"/>
      <c r="AN3207" s="17"/>
      <c r="AO3207" s="17"/>
      <c r="AP3207" s="17"/>
      <c r="AQ3207" s="17"/>
      <c r="AR3207" s="17"/>
      <c r="AS3207" s="17"/>
      <c r="AT3207" s="17"/>
      <c r="AU3207" s="17"/>
      <c r="AV3207" s="17"/>
    </row>
    <row r="3208" spans="1:48" ht="15.75" customHeight="1">
      <c r="A3208" s="21" t="s">
        <v>76</v>
      </c>
      <c r="B3208" s="23" t="s">
        <v>1692</v>
      </c>
      <c r="C3208" s="22">
        <v>45689</v>
      </c>
      <c r="D3208" s="23" t="s">
        <v>108</v>
      </c>
      <c r="E3208" s="23" t="s">
        <v>110</v>
      </c>
      <c r="F3208" s="21">
        <v>1</v>
      </c>
      <c r="G3208" s="12">
        <v>2000.0000000000005</v>
      </c>
      <c r="H3208" s="12">
        <v>2000.0000000000005</v>
      </c>
      <c r="I3208" s="23" t="s">
        <v>52</v>
      </c>
      <c r="J3208" s="23" t="s">
        <v>61</v>
      </c>
      <c r="K3208" s="24" t="s">
        <v>177</v>
      </c>
      <c r="L3208" s="26">
        <v>99</v>
      </c>
      <c r="M3208" s="12">
        <v>1680.6722689075634</v>
      </c>
      <c r="N3208" s="12">
        <v>1680.6722689075634</v>
      </c>
      <c r="O3208" s="12">
        <v>319.32773109243703</v>
      </c>
      <c r="P3208" s="13"/>
      <c r="Q3208" s="14">
        <v>2025</v>
      </c>
      <c r="R3208" s="15">
        <v>45323</v>
      </c>
      <c r="S3208" s="11" t="s">
        <v>378</v>
      </c>
      <c r="T3208" s="16">
        <v>5</v>
      </c>
      <c r="U3208" s="17"/>
      <c r="V3208" s="12">
        <v>756.30252100840369</v>
      </c>
      <c r="W3208" s="12">
        <v>756.30252100840369</v>
      </c>
      <c r="X3208" s="12">
        <v>0</v>
      </c>
      <c r="Y3208" s="18">
        <v>45684</v>
      </c>
      <c r="Z3208" s="13" t="s">
        <v>501</v>
      </c>
      <c r="AA3208" s="19" t="str">
        <f>VLOOKUP(D3208,Clientes!$A$2:$J$486,9,FALSE)</f>
        <v>Frecuente</v>
      </c>
      <c r="AB3208" s="13" t="str">
        <f>VLOOKUP(D3208,Clientes!$A$2:$K$486,11,FALSE)</f>
        <v>Persona Natural</v>
      </c>
      <c r="AC3208" s="13" t="str">
        <f>VLOOKUP(D3208,Clientes!$A$2:$B$486,2,FALSE)</f>
        <v>Jardines de la Viña</v>
      </c>
      <c r="AD3208" s="20"/>
      <c r="AE3208" s="20"/>
      <c r="AF3208" s="13" t="s">
        <v>40</v>
      </c>
      <c r="AG3208" s="15">
        <v>45323</v>
      </c>
      <c r="AH3208" s="13" t="s">
        <v>41</v>
      </c>
      <c r="AI3208" s="13" t="s">
        <v>76</v>
      </c>
      <c r="AJ3208" s="13" t="str">
        <f>VLOOKUP(E3208,Precios!Z$2:AA$941,2,FALSE)</f>
        <v>Cloro SPUM 5 Litros</v>
      </c>
      <c r="AK3208" s="14">
        <f>VLOOKUP(E3208,Precios!Z$2:BB$941,3,FALSE)*F3208</f>
        <v>-1</v>
      </c>
      <c r="AL3208" s="17"/>
      <c r="AM3208" s="17"/>
      <c r="AN3208" s="17"/>
      <c r="AO3208" s="17"/>
      <c r="AP3208" s="17"/>
      <c r="AQ3208" s="17"/>
      <c r="AR3208" s="17"/>
      <c r="AS3208" s="17"/>
      <c r="AT3208" s="17"/>
      <c r="AU3208" s="17"/>
      <c r="AV3208" s="17"/>
    </row>
    <row r="3209" spans="1:48" ht="15.75" customHeight="1">
      <c r="A3209" s="21" t="s">
        <v>76</v>
      </c>
      <c r="B3209" s="23" t="s">
        <v>1692</v>
      </c>
      <c r="C3209" s="22">
        <v>45689</v>
      </c>
      <c r="D3209" s="23" t="s">
        <v>108</v>
      </c>
      <c r="E3209" s="23" t="s">
        <v>81</v>
      </c>
      <c r="F3209" s="21">
        <v>1</v>
      </c>
      <c r="G3209" s="12">
        <v>3500.0000000000005</v>
      </c>
      <c r="H3209" s="12">
        <v>3500.0000000000005</v>
      </c>
      <c r="I3209" s="23" t="s">
        <v>52</v>
      </c>
      <c r="J3209" s="23" t="s">
        <v>61</v>
      </c>
      <c r="K3209" s="24" t="s">
        <v>177</v>
      </c>
      <c r="L3209" s="26">
        <v>99</v>
      </c>
      <c r="M3209" s="12">
        <v>2941.1764705882356</v>
      </c>
      <c r="N3209" s="12">
        <v>2941.1764705882356</v>
      </c>
      <c r="O3209" s="12">
        <v>558.82352941176487</v>
      </c>
      <c r="P3209" s="13"/>
      <c r="Q3209" s="14">
        <v>2025</v>
      </c>
      <c r="R3209" s="15">
        <v>45323</v>
      </c>
      <c r="S3209" s="11" t="s">
        <v>397</v>
      </c>
      <c r="T3209" s="16">
        <v>5</v>
      </c>
      <c r="U3209" s="17"/>
      <c r="V3209" s="12">
        <v>764.70588235294144</v>
      </c>
      <c r="W3209" s="12">
        <v>764.70588235294144</v>
      </c>
      <c r="X3209" s="12">
        <v>0</v>
      </c>
      <c r="Y3209" s="18">
        <v>45684</v>
      </c>
      <c r="Z3209" s="13" t="s">
        <v>501</v>
      </c>
      <c r="AA3209" s="19" t="str">
        <f>VLOOKUP(D3209,Clientes!$A$2:$J$486,9,FALSE)</f>
        <v>Frecuente</v>
      </c>
      <c r="AB3209" s="13" t="str">
        <f>VLOOKUP(D3209,Clientes!$A$2:$K$486,11,FALSE)</f>
        <v>Persona Natural</v>
      </c>
      <c r="AC3209" s="13" t="str">
        <f>VLOOKUP(D3209,Clientes!$A$2:$B$486,2,FALSE)</f>
        <v>Jardines de la Viña</v>
      </c>
      <c r="AD3209" s="20"/>
      <c r="AE3209" s="20"/>
      <c r="AF3209" s="13" t="s">
        <v>40</v>
      </c>
      <c r="AG3209" s="15">
        <v>45323</v>
      </c>
      <c r="AH3209" s="13" t="s">
        <v>41</v>
      </c>
      <c r="AI3209" s="13" t="s">
        <v>76</v>
      </c>
      <c r="AJ3209" s="13" t="str">
        <f>VLOOKUP(E3209,Precios!Z$2:AA$941,2,FALSE)</f>
        <v>Detergente SPUM 5 Litros (Verde)</v>
      </c>
      <c r="AK3209" s="14">
        <f>VLOOKUP(E3209,Precios!Z$2:BB$941,3,FALSE)*F3209</f>
        <v>-1</v>
      </c>
      <c r="AL3209" s="17"/>
      <c r="AM3209" s="17"/>
      <c r="AN3209" s="17"/>
      <c r="AO3209" s="17"/>
      <c r="AP3209" s="17"/>
      <c r="AQ3209" s="17"/>
      <c r="AR3209" s="17"/>
      <c r="AS3209" s="17"/>
      <c r="AT3209" s="17"/>
      <c r="AU3209" s="17"/>
      <c r="AV3209" s="17"/>
    </row>
    <row r="3210" spans="1:48" ht="15.75" customHeight="1">
      <c r="A3210" s="21" t="s">
        <v>76</v>
      </c>
      <c r="B3210" s="23" t="s">
        <v>1692</v>
      </c>
      <c r="C3210" s="22">
        <v>45689</v>
      </c>
      <c r="D3210" s="23" t="s">
        <v>108</v>
      </c>
      <c r="E3210" s="23" t="s">
        <v>82</v>
      </c>
      <c r="F3210" s="21">
        <v>1</v>
      </c>
      <c r="G3210" s="12">
        <v>2000.0000000000002</v>
      </c>
      <c r="H3210" s="12">
        <v>2000.0000000000002</v>
      </c>
      <c r="I3210" s="23" t="s">
        <v>52</v>
      </c>
      <c r="J3210" s="23" t="s">
        <v>61</v>
      </c>
      <c r="K3210" s="24" t="s">
        <v>177</v>
      </c>
      <c r="L3210" s="26">
        <v>99</v>
      </c>
      <c r="M3210" s="12">
        <v>1680.6722689075632</v>
      </c>
      <c r="N3210" s="12">
        <v>1680.6722689075632</v>
      </c>
      <c r="O3210" s="12">
        <v>319.32773109243703</v>
      </c>
      <c r="P3210" s="13"/>
      <c r="Q3210" s="14">
        <v>2025</v>
      </c>
      <c r="R3210" s="15">
        <v>45323</v>
      </c>
      <c r="S3210" s="11" t="s">
        <v>463</v>
      </c>
      <c r="T3210" s="16">
        <v>5</v>
      </c>
      <c r="U3210" s="17"/>
      <c r="V3210" s="12">
        <v>680.67226890756319</v>
      </c>
      <c r="W3210" s="12">
        <v>680.67226890756319</v>
      </c>
      <c r="X3210" s="12">
        <v>0</v>
      </c>
      <c r="Y3210" s="18">
        <v>45684</v>
      </c>
      <c r="Z3210" s="13" t="s">
        <v>501</v>
      </c>
      <c r="AA3210" s="19" t="str">
        <f>VLOOKUP(D3210,Clientes!$A$2:$J$486,9,FALSE)</f>
        <v>Frecuente</v>
      </c>
      <c r="AB3210" s="13" t="str">
        <f>VLOOKUP(D3210,Clientes!$A$2:$K$486,11,FALSE)</f>
        <v>Persona Natural</v>
      </c>
      <c r="AC3210" s="13" t="str">
        <f>VLOOKUP(D3210,Clientes!$A$2:$B$486,2,FALSE)</f>
        <v>Jardines de la Viña</v>
      </c>
      <c r="AD3210" s="20"/>
      <c r="AE3210" s="20"/>
      <c r="AF3210" s="13" t="s">
        <v>40</v>
      </c>
      <c r="AG3210" s="15">
        <v>45323</v>
      </c>
      <c r="AH3210" s="13" t="s">
        <v>41</v>
      </c>
      <c r="AI3210" s="13" t="s">
        <v>76</v>
      </c>
      <c r="AJ3210" s="13" t="str">
        <f>VLOOKUP(E3210,Precios!Z$2:AA$941,2,FALSE)</f>
        <v>Limpiapiso SPUM 5 Litros</v>
      </c>
      <c r="AK3210" s="14">
        <f>VLOOKUP(E3210,Precios!Z$2:BB$941,3,FALSE)*F3210</f>
        <v>-1</v>
      </c>
      <c r="AL3210" s="17"/>
      <c r="AM3210" s="17"/>
      <c r="AN3210" s="17"/>
      <c r="AO3210" s="17"/>
      <c r="AP3210" s="17"/>
      <c r="AQ3210" s="17"/>
      <c r="AR3210" s="17"/>
      <c r="AS3210" s="17"/>
      <c r="AT3210" s="17"/>
      <c r="AU3210" s="17"/>
      <c r="AV3210" s="17"/>
    </row>
    <row r="3211" spans="1:48" ht="15.75" customHeight="1">
      <c r="A3211" s="21" t="s">
        <v>35</v>
      </c>
      <c r="B3211" s="23" t="s">
        <v>1692</v>
      </c>
      <c r="C3211" s="22">
        <v>45689</v>
      </c>
      <c r="D3211" s="23" t="s">
        <v>108</v>
      </c>
      <c r="E3211" s="23" t="s">
        <v>46</v>
      </c>
      <c r="F3211" s="21">
        <v>1</v>
      </c>
      <c r="G3211" s="12">
        <v>5500</v>
      </c>
      <c r="H3211" s="12">
        <v>5500</v>
      </c>
      <c r="I3211" s="23" t="s">
        <v>52</v>
      </c>
      <c r="J3211" s="23" t="s">
        <v>61</v>
      </c>
      <c r="K3211" s="24" t="s">
        <v>177</v>
      </c>
      <c r="L3211" s="26">
        <v>99</v>
      </c>
      <c r="M3211" s="12">
        <v>4621.8487394957983</v>
      </c>
      <c r="N3211" s="12">
        <v>4621.8487394957983</v>
      </c>
      <c r="O3211" s="12">
        <v>878.15126050420167</v>
      </c>
      <c r="P3211" s="13"/>
      <c r="Q3211" s="14">
        <v>2025</v>
      </c>
      <c r="R3211" s="15">
        <v>45323</v>
      </c>
      <c r="S3211" s="11" t="s">
        <v>364</v>
      </c>
      <c r="T3211" s="16">
        <v>500</v>
      </c>
      <c r="U3211" s="17"/>
      <c r="V3211" s="12">
        <v>1365.1260504201678</v>
      </c>
      <c r="W3211" s="12">
        <v>1365.1260504201678</v>
      </c>
      <c r="X3211" s="12">
        <v>0</v>
      </c>
      <c r="Y3211" s="18">
        <v>45684</v>
      </c>
      <c r="Z3211" s="13" t="s">
        <v>501</v>
      </c>
      <c r="AA3211" s="19" t="str">
        <f>VLOOKUP(D3211,Clientes!$A$2:$J$486,9,FALSE)</f>
        <v>Frecuente</v>
      </c>
      <c r="AB3211" s="13" t="str">
        <f>VLOOKUP(D3211,Clientes!$A$2:$K$486,11,FALSE)</f>
        <v>Persona Natural</v>
      </c>
      <c r="AC3211" s="13" t="str">
        <f>VLOOKUP(D3211,Clientes!$A$2:$B$486,2,FALSE)</f>
        <v>Jardines de la Viña</v>
      </c>
      <c r="AD3211" s="20"/>
      <c r="AE3211" s="20"/>
      <c r="AF3211" s="13" t="s">
        <v>40</v>
      </c>
      <c r="AG3211" s="15">
        <v>45323</v>
      </c>
      <c r="AH3211" s="13" t="s">
        <v>41</v>
      </c>
      <c r="AI3211" s="13" t="s">
        <v>35</v>
      </c>
      <c r="AJ3211" s="13" t="str">
        <f>VLOOKUP(E3211,Precios!Z$2:AA$941,2,FALSE)</f>
        <v>Queso RUNCA Mantecoso</v>
      </c>
      <c r="AK3211" s="14">
        <f>VLOOKUP(E3211,Precios!Z$2:BB$941,3,FALSE)*F3211</f>
        <v>-0.5</v>
      </c>
      <c r="AL3211" s="17"/>
      <c r="AM3211" s="17"/>
      <c r="AN3211" s="17"/>
      <c r="AO3211" s="17"/>
      <c r="AP3211" s="17"/>
      <c r="AQ3211" s="17"/>
      <c r="AR3211" s="17"/>
      <c r="AS3211" s="17"/>
      <c r="AT3211" s="17"/>
      <c r="AU3211" s="17"/>
      <c r="AV3211" s="17"/>
    </row>
    <row r="3212" spans="1:48" ht="15.75" customHeight="1">
      <c r="A3212" s="21" t="s">
        <v>64</v>
      </c>
      <c r="B3212" s="23" t="s">
        <v>1692</v>
      </c>
      <c r="C3212" s="22">
        <v>45689</v>
      </c>
      <c r="D3212" s="23" t="s">
        <v>108</v>
      </c>
      <c r="E3212" s="23" t="s">
        <v>65</v>
      </c>
      <c r="F3212" s="21">
        <v>1</v>
      </c>
      <c r="G3212" s="12">
        <v>8199.8671738211688</v>
      </c>
      <c r="H3212" s="12">
        <v>8199.8671738211688</v>
      </c>
      <c r="I3212" s="23" t="s">
        <v>52</v>
      </c>
      <c r="J3212" s="23" t="s">
        <v>61</v>
      </c>
      <c r="K3212" s="24" t="s">
        <v>177</v>
      </c>
      <c r="L3212" s="26">
        <v>99</v>
      </c>
      <c r="M3212" s="12">
        <v>6890.6446838833353</v>
      </c>
      <c r="N3212" s="12">
        <v>6890.6446838833353</v>
      </c>
      <c r="O3212" s="12">
        <v>1309.2224899378334</v>
      </c>
      <c r="P3212" s="13"/>
      <c r="Q3212" s="14">
        <v>2025</v>
      </c>
      <c r="R3212" s="15">
        <v>45323</v>
      </c>
      <c r="S3212" s="11" t="s">
        <v>64</v>
      </c>
      <c r="T3212" s="16">
        <v>1</v>
      </c>
      <c r="U3212" s="17"/>
      <c r="V3212" s="12">
        <v>1184.1572889253512</v>
      </c>
      <c r="W3212" s="12">
        <v>1184.1572889253512</v>
      </c>
      <c r="X3212" s="12">
        <v>0</v>
      </c>
      <c r="Y3212" s="18">
        <v>45684</v>
      </c>
      <c r="Z3212" s="13" t="s">
        <v>501</v>
      </c>
      <c r="AA3212" s="19" t="str">
        <f>VLOOKUP(D3212,Clientes!$A$2:$J$486,9,FALSE)</f>
        <v>Frecuente</v>
      </c>
      <c r="AB3212" s="13" t="str">
        <f>VLOOKUP(D3212,Clientes!$A$2:$K$486,11,FALSE)</f>
        <v>Persona Natural</v>
      </c>
      <c r="AC3212" s="13" t="str">
        <f>VLOOKUP(D3212,Clientes!$A$2:$B$486,2,FALSE)</f>
        <v>Jardines de la Viña</v>
      </c>
      <c r="AD3212" s="20"/>
      <c r="AE3212" s="20"/>
      <c r="AF3212" s="13" t="s">
        <v>40</v>
      </c>
      <c r="AG3212" s="15">
        <v>45323</v>
      </c>
      <c r="AH3212" s="13" t="s">
        <v>41</v>
      </c>
      <c r="AI3212" s="13" t="s">
        <v>64</v>
      </c>
      <c r="AJ3212" s="13" t="str">
        <f>VLOOKUP(E3212,Precios!Z$2:AA$941,2,FALSE)</f>
        <v>Longanizas VILLABLANCA</v>
      </c>
      <c r="AK3212" s="14">
        <f>VLOOKUP(E3212,Precios!Z$2:BB$941,3,FALSE)*F3212</f>
        <v>-1</v>
      </c>
      <c r="AL3212" s="17"/>
      <c r="AM3212" s="17"/>
      <c r="AN3212" s="17"/>
      <c r="AO3212" s="17"/>
      <c r="AP3212" s="17"/>
      <c r="AQ3212" s="17"/>
      <c r="AR3212" s="17"/>
      <c r="AS3212" s="17"/>
      <c r="AT3212" s="17"/>
      <c r="AU3212" s="17"/>
      <c r="AV3212" s="17"/>
    </row>
    <row r="3213" spans="1:48" ht="15.75" customHeight="1">
      <c r="A3213" s="21" t="s">
        <v>56</v>
      </c>
      <c r="B3213" s="23" t="s">
        <v>1692</v>
      </c>
      <c r="C3213" s="22">
        <v>45689</v>
      </c>
      <c r="D3213" s="23" t="s">
        <v>237</v>
      </c>
      <c r="E3213" s="23" t="s">
        <v>112</v>
      </c>
      <c r="F3213" s="21">
        <v>1</v>
      </c>
      <c r="G3213" s="12">
        <v>7999.6031746031749</v>
      </c>
      <c r="H3213" s="12">
        <v>7999.6031746031749</v>
      </c>
      <c r="I3213" s="23" t="s">
        <v>52</v>
      </c>
      <c r="J3213" s="23" t="s">
        <v>61</v>
      </c>
      <c r="K3213" s="24" t="s">
        <v>177</v>
      </c>
      <c r="L3213" s="26">
        <v>99</v>
      </c>
      <c r="M3213" s="12">
        <v>6722.3556089102312</v>
      </c>
      <c r="N3213" s="12">
        <v>6722.3556089102312</v>
      </c>
      <c r="O3213" s="12">
        <v>1277.2475656929437</v>
      </c>
      <c r="P3213" s="13"/>
      <c r="Q3213" s="14">
        <v>2025</v>
      </c>
      <c r="R3213" s="15">
        <v>45323</v>
      </c>
      <c r="S3213" s="11" t="s">
        <v>427</v>
      </c>
      <c r="T3213" s="16">
        <v>135</v>
      </c>
      <c r="U3213" s="17"/>
      <c r="V3213" s="12">
        <v>2317.868213952248</v>
      </c>
      <c r="W3213" s="12">
        <v>2317.868213952248</v>
      </c>
      <c r="X3213" s="12">
        <v>0</v>
      </c>
      <c r="Y3213" s="18">
        <v>45684</v>
      </c>
      <c r="Z3213" s="13" t="s">
        <v>501</v>
      </c>
      <c r="AA3213" s="19" t="str">
        <f>VLOOKUP(D3213,Clientes!$A$2:$J$486,9,FALSE)</f>
        <v>Ocacional</v>
      </c>
      <c r="AB3213" s="13" t="str">
        <f>VLOOKUP(D3213,Clientes!$A$2:$K$486,11,FALSE)</f>
        <v>Persona Natural</v>
      </c>
      <c r="AC3213" s="13" t="str">
        <f>VLOOKUP(D3213,Clientes!$A$2:$B$486,2,FALSE)</f>
        <v>Jardines de la viña</v>
      </c>
      <c r="AD3213" s="20"/>
      <c r="AE3213" s="20"/>
      <c r="AF3213" s="13" t="s">
        <v>40</v>
      </c>
      <c r="AG3213" s="15">
        <v>45323</v>
      </c>
      <c r="AH3213" s="13" t="s">
        <v>41</v>
      </c>
      <c r="AI3213" s="13" t="s">
        <v>56</v>
      </c>
      <c r="AJ3213" s="13" t="str">
        <f>VLOOKUP(E3213,Precios!Z$2:AA$941,2,FALSE)</f>
        <v>Provoleta Parrillera</v>
      </c>
      <c r="AK3213" s="14">
        <f>VLOOKUP(E3213,Precios!Z$2:BB$941,3,FALSE)*F3213</f>
        <v>-3</v>
      </c>
      <c r="AL3213" s="17"/>
      <c r="AM3213" s="17"/>
      <c r="AN3213" s="17"/>
      <c r="AO3213" s="17"/>
      <c r="AP3213" s="17"/>
      <c r="AQ3213" s="17"/>
      <c r="AR3213" s="17"/>
      <c r="AS3213" s="17"/>
      <c r="AT3213" s="17"/>
      <c r="AU3213" s="17"/>
      <c r="AV3213" s="17"/>
    </row>
    <row r="3214" spans="1:48" ht="15.75" customHeight="1">
      <c r="A3214" s="21" t="s">
        <v>43</v>
      </c>
      <c r="B3214" s="23" t="s">
        <v>1692</v>
      </c>
      <c r="C3214" s="22">
        <v>45689</v>
      </c>
      <c r="D3214" s="23" t="s">
        <v>281</v>
      </c>
      <c r="E3214" s="23" t="s">
        <v>45</v>
      </c>
      <c r="F3214" s="21">
        <v>1</v>
      </c>
      <c r="G3214" s="12">
        <v>6300.1913812446392</v>
      </c>
      <c r="H3214" s="12">
        <v>6300.1913812446392</v>
      </c>
      <c r="I3214" s="23" t="s">
        <v>52</v>
      </c>
      <c r="J3214" s="23" t="s">
        <v>61</v>
      </c>
      <c r="K3214" s="24" t="s">
        <v>177</v>
      </c>
      <c r="L3214" s="26">
        <v>99</v>
      </c>
      <c r="M3214" s="12">
        <v>5294.2784716341512</v>
      </c>
      <c r="N3214" s="12">
        <v>5294.2784716341512</v>
      </c>
      <c r="O3214" s="12">
        <v>1005.912909610488</v>
      </c>
      <c r="P3214" s="13"/>
      <c r="Q3214" s="14">
        <v>2025</v>
      </c>
      <c r="R3214" s="15">
        <v>45323</v>
      </c>
      <c r="S3214" s="11" t="s">
        <v>355</v>
      </c>
      <c r="T3214" s="16">
        <v>0</v>
      </c>
      <c r="U3214" s="17"/>
      <c r="V3214" s="12">
        <v>1283.0683876005369</v>
      </c>
      <c r="W3214" s="12">
        <v>1283.0683876005369</v>
      </c>
      <c r="X3214" s="12">
        <v>0</v>
      </c>
      <c r="Y3214" s="18">
        <v>45684</v>
      </c>
      <c r="Z3214" s="13" t="s">
        <v>501</v>
      </c>
      <c r="AA3214" s="19" t="str">
        <f>VLOOKUP(D3214,Clientes!$A$2:$J$486,9,FALSE)</f>
        <v>Ocacional</v>
      </c>
      <c r="AB3214" s="13" t="str">
        <f>VLOOKUP(D3214,Clientes!$A$2:$K$486,11,FALSE)</f>
        <v>Persona Natural</v>
      </c>
      <c r="AC3214" s="13" t="str">
        <f>VLOOKUP(D3214,Clientes!$A$2:$B$486,2,FALSE)</f>
        <v>Walker Martinez</v>
      </c>
      <c r="AD3214" s="20"/>
      <c r="AE3214" s="20"/>
      <c r="AF3214" s="13" t="s">
        <v>40</v>
      </c>
      <c r="AG3214" s="15">
        <v>45323</v>
      </c>
      <c r="AH3214" s="13" t="s">
        <v>41</v>
      </c>
      <c r="AI3214" s="13" t="s">
        <v>43</v>
      </c>
      <c r="AJ3214" s="13" t="str">
        <f>VLOOKUP(E3214,Precios!Z$2:AA$941,2,FALSE)</f>
        <v>Bandeja Huevos EXTRA</v>
      </c>
      <c r="AK3214" s="14">
        <f>VLOOKUP(E3214,Precios!Z$2:BB$941,3,FALSE)*F3214</f>
        <v>-1</v>
      </c>
      <c r="AL3214" s="17"/>
      <c r="AM3214" s="17"/>
      <c r="AN3214" s="17"/>
      <c r="AO3214" s="17"/>
      <c r="AP3214" s="17"/>
      <c r="AQ3214" s="17"/>
      <c r="AR3214" s="17"/>
      <c r="AS3214" s="17"/>
      <c r="AT3214" s="17"/>
      <c r="AU3214" s="17"/>
      <c r="AV3214" s="17"/>
    </row>
    <row r="3215" spans="1:48" ht="15.75" customHeight="1">
      <c r="A3215" s="21" t="s">
        <v>43</v>
      </c>
      <c r="B3215" s="23" t="s">
        <v>1692</v>
      </c>
      <c r="C3215" s="22">
        <v>45689</v>
      </c>
      <c r="D3215" s="23" t="s">
        <v>189</v>
      </c>
      <c r="E3215" s="23" t="s">
        <v>45</v>
      </c>
      <c r="F3215" s="21">
        <v>1</v>
      </c>
      <c r="G3215" s="12">
        <v>6300.1913812446392</v>
      </c>
      <c r="H3215" s="12">
        <v>6300.1913812446392</v>
      </c>
      <c r="I3215" s="23" t="s">
        <v>52</v>
      </c>
      <c r="J3215" s="23" t="s">
        <v>61</v>
      </c>
      <c r="K3215" s="24" t="s">
        <v>177</v>
      </c>
      <c r="L3215" s="26">
        <v>99</v>
      </c>
      <c r="M3215" s="12">
        <v>5294.2784716341512</v>
      </c>
      <c r="N3215" s="12">
        <v>5294.2784716341512</v>
      </c>
      <c r="O3215" s="12">
        <v>1005.912909610488</v>
      </c>
      <c r="P3215" s="13"/>
      <c r="Q3215" s="14">
        <v>2025</v>
      </c>
      <c r="R3215" s="15">
        <v>45323</v>
      </c>
      <c r="S3215" s="11" t="s">
        <v>355</v>
      </c>
      <c r="T3215" s="16">
        <v>0</v>
      </c>
      <c r="U3215" s="17"/>
      <c r="V3215" s="12">
        <v>1283.0683876005369</v>
      </c>
      <c r="W3215" s="12">
        <v>1283.0683876005369</v>
      </c>
      <c r="X3215" s="12">
        <v>0</v>
      </c>
      <c r="Y3215" s="18">
        <v>45684</v>
      </c>
      <c r="Z3215" s="13" t="s">
        <v>501</v>
      </c>
      <c r="AA3215" s="19" t="str">
        <f>VLOOKUP(D3215,Clientes!$A$2:$J$486,9,FALSE)</f>
        <v>Frecuente</v>
      </c>
      <c r="AB3215" s="13" t="str">
        <f>VLOOKUP(D3215,Clientes!$A$2:$K$486,11,FALSE)</f>
        <v>Persona Natural</v>
      </c>
      <c r="AC3215" s="13" t="str">
        <f>VLOOKUP(D3215,Clientes!$A$2:$B$486,2,FALSE)</f>
        <v>Jardines de la Viña</v>
      </c>
      <c r="AD3215" s="20"/>
      <c r="AE3215" s="20"/>
      <c r="AF3215" s="13" t="s">
        <v>40</v>
      </c>
      <c r="AG3215" s="15">
        <v>45323</v>
      </c>
      <c r="AH3215" s="13" t="s">
        <v>41</v>
      </c>
      <c r="AI3215" s="13" t="s">
        <v>43</v>
      </c>
      <c r="AJ3215" s="13" t="str">
        <f>VLOOKUP(E3215,Precios!Z$2:AA$941,2,FALSE)</f>
        <v>Bandeja Huevos EXTRA</v>
      </c>
      <c r="AK3215" s="14">
        <f>VLOOKUP(E3215,Precios!Z$2:BB$941,3,FALSE)*F3215</f>
        <v>-1</v>
      </c>
      <c r="AL3215" s="17"/>
      <c r="AM3215" s="17"/>
      <c r="AN3215" s="17"/>
      <c r="AO3215" s="17"/>
      <c r="AP3215" s="17"/>
      <c r="AQ3215" s="17"/>
      <c r="AR3215" s="17"/>
      <c r="AS3215" s="17"/>
      <c r="AT3215" s="17"/>
      <c r="AU3215" s="17"/>
      <c r="AV3215" s="17"/>
    </row>
    <row r="3216" spans="1:48" ht="15.75" customHeight="1">
      <c r="A3216" s="21" t="s">
        <v>53</v>
      </c>
      <c r="B3216" s="23" t="s">
        <v>1692</v>
      </c>
      <c r="C3216" s="22">
        <v>45689</v>
      </c>
      <c r="D3216" s="23" t="s">
        <v>189</v>
      </c>
      <c r="E3216" s="23" t="s">
        <v>97</v>
      </c>
      <c r="F3216" s="21">
        <v>1</v>
      </c>
      <c r="G3216" s="12">
        <v>15500.298388701016</v>
      </c>
      <c r="H3216" s="12">
        <v>15500.298388701016</v>
      </c>
      <c r="I3216" s="23" t="s">
        <v>52</v>
      </c>
      <c r="J3216" s="23" t="s">
        <v>61</v>
      </c>
      <c r="K3216" s="24" t="s">
        <v>177</v>
      </c>
      <c r="L3216" s="26">
        <v>99</v>
      </c>
      <c r="M3216" s="12">
        <v>13025.46083084119</v>
      </c>
      <c r="N3216" s="12">
        <v>13025.46083084119</v>
      </c>
      <c r="O3216" s="12">
        <v>2474.8375578598261</v>
      </c>
      <c r="P3216" s="13"/>
      <c r="Q3216" s="14">
        <v>2025</v>
      </c>
      <c r="R3216" s="15">
        <v>45323</v>
      </c>
      <c r="S3216" s="11" t="s">
        <v>366</v>
      </c>
      <c r="T3216" s="16">
        <v>0</v>
      </c>
      <c r="U3216" s="17"/>
      <c r="V3216" s="12">
        <v>3203.6120913453906</v>
      </c>
      <c r="W3216" s="12">
        <v>3203.6120913453906</v>
      </c>
      <c r="X3216" s="12">
        <v>0</v>
      </c>
      <c r="Y3216" s="18">
        <v>45684</v>
      </c>
      <c r="Z3216" s="13" t="s">
        <v>501</v>
      </c>
      <c r="AA3216" s="19" t="str">
        <f>VLOOKUP(D3216,Clientes!$A$2:$J$486,9,FALSE)</f>
        <v>Frecuente</v>
      </c>
      <c r="AB3216" s="13" t="str">
        <f>VLOOKUP(D3216,Clientes!$A$2:$K$486,11,FALSE)</f>
        <v>Persona Natural</v>
      </c>
      <c r="AC3216" s="13" t="str">
        <f>VLOOKUP(D3216,Clientes!$A$2:$B$486,2,FALSE)</f>
        <v>Jardines de la Viña</v>
      </c>
      <c r="AD3216" s="20"/>
      <c r="AE3216" s="20"/>
      <c r="AF3216" s="13" t="s">
        <v>40</v>
      </c>
      <c r="AG3216" s="15">
        <v>45323</v>
      </c>
      <c r="AH3216" s="13" t="s">
        <v>41</v>
      </c>
      <c r="AI3216" s="13" t="s">
        <v>53</v>
      </c>
      <c r="AJ3216" s="13" t="str">
        <f>VLOOKUP(E3216,Precios!Z$2:AA$941,2,FALSE)</f>
        <v>Papel Higienico ELITE 50 metros</v>
      </c>
      <c r="AK3216" s="14">
        <f>VLOOKUP(E3216,Precios!Z$2:BB$941,3,FALSE)*F3216</f>
        <v>-6</v>
      </c>
      <c r="AL3216" s="17"/>
      <c r="AM3216" s="17"/>
      <c r="AN3216" s="17"/>
      <c r="AO3216" s="17"/>
      <c r="AP3216" s="17"/>
      <c r="AQ3216" s="17"/>
      <c r="AR3216" s="17"/>
      <c r="AS3216" s="17"/>
      <c r="AT3216" s="17"/>
      <c r="AU3216" s="17"/>
      <c r="AV3216" s="17"/>
    </row>
    <row r="3217" spans="1:48" ht="15.75" customHeight="1">
      <c r="A3217" s="21" t="s">
        <v>53</v>
      </c>
      <c r="B3217" s="23" t="s">
        <v>1692</v>
      </c>
      <c r="C3217" s="22">
        <v>45689</v>
      </c>
      <c r="D3217" s="23" t="s">
        <v>189</v>
      </c>
      <c r="E3217" s="23" t="s">
        <v>587</v>
      </c>
      <c r="F3217" s="21">
        <v>1</v>
      </c>
      <c r="G3217" s="12">
        <v>3499.8985330782161</v>
      </c>
      <c r="H3217" s="12">
        <v>3499.8985330782161</v>
      </c>
      <c r="I3217" s="23" t="s">
        <v>52</v>
      </c>
      <c r="J3217" s="23" t="s">
        <v>61</v>
      </c>
      <c r="K3217" s="24" t="s">
        <v>177</v>
      </c>
      <c r="L3217" s="26">
        <v>99</v>
      </c>
      <c r="M3217" s="12">
        <v>2941.0912042674086</v>
      </c>
      <c r="N3217" s="12">
        <v>2941.0912042674086</v>
      </c>
      <c r="O3217" s="12">
        <v>558.80732881080758</v>
      </c>
      <c r="P3217" s="13"/>
      <c r="Q3217" s="14">
        <v>2025</v>
      </c>
      <c r="R3217" s="15">
        <v>45323</v>
      </c>
      <c r="S3217" s="11" t="s">
        <v>408</v>
      </c>
      <c r="T3217" s="16">
        <v>0</v>
      </c>
      <c r="U3217" s="17"/>
      <c r="V3217" s="12">
        <v>912.09120426740856</v>
      </c>
      <c r="W3217" s="12">
        <v>912.09120426740856</v>
      </c>
      <c r="X3217" s="12">
        <v>0</v>
      </c>
      <c r="Y3217" s="18">
        <v>45684</v>
      </c>
      <c r="Z3217" s="13" t="s">
        <v>501</v>
      </c>
      <c r="AA3217" s="19" t="str">
        <f>VLOOKUP(D3217,Clientes!$A$2:$J$486,9,FALSE)</f>
        <v>Frecuente</v>
      </c>
      <c r="AB3217" s="13" t="str">
        <f>VLOOKUP(D3217,Clientes!$A$2:$K$486,11,FALSE)</f>
        <v>Persona Natural</v>
      </c>
      <c r="AC3217" s="13" t="str">
        <f>VLOOKUP(D3217,Clientes!$A$2:$B$486,2,FALSE)</f>
        <v>Jardines de la Viña</v>
      </c>
      <c r="AD3217" s="20"/>
      <c r="AE3217" s="20"/>
      <c r="AF3217" s="13" t="s">
        <v>40</v>
      </c>
      <c r="AG3217" s="15">
        <v>45323</v>
      </c>
      <c r="AH3217" s="13" t="s">
        <v>41</v>
      </c>
      <c r="AI3217" s="13" t="s">
        <v>53</v>
      </c>
      <c r="AJ3217" s="13" t="str">
        <f>VLOOKUP(E3217,Precios!Z$2:AA$941,2,FALSE)</f>
        <v>Toalla Papel SWAN D/H AZUL 100 metros</v>
      </c>
      <c r="AK3217" s="14">
        <f>VLOOKUP(E3217,Precios!Z$2:BB$941,3,FALSE)*F3217</f>
        <v>-1</v>
      </c>
      <c r="AL3217" s="17"/>
      <c r="AM3217" s="17"/>
      <c r="AN3217" s="17"/>
      <c r="AO3217" s="17"/>
      <c r="AP3217" s="17"/>
      <c r="AQ3217" s="17"/>
      <c r="AR3217" s="17"/>
      <c r="AS3217" s="17"/>
      <c r="AT3217" s="17"/>
      <c r="AU3217" s="17"/>
      <c r="AV3217" s="17"/>
    </row>
    <row r="3218" spans="1:48" ht="15.75" customHeight="1">
      <c r="A3218" s="21" t="s">
        <v>35</v>
      </c>
      <c r="B3218" s="23" t="s">
        <v>1692</v>
      </c>
      <c r="C3218" s="22">
        <v>45689</v>
      </c>
      <c r="D3218" s="23" t="s">
        <v>189</v>
      </c>
      <c r="E3218" s="23" t="s">
        <v>46</v>
      </c>
      <c r="F3218" s="21">
        <v>1</v>
      </c>
      <c r="G3218" s="12">
        <v>5500</v>
      </c>
      <c r="H3218" s="12">
        <v>5500</v>
      </c>
      <c r="I3218" s="23" t="s">
        <v>52</v>
      </c>
      <c r="J3218" s="23" t="s">
        <v>61</v>
      </c>
      <c r="K3218" s="24" t="s">
        <v>177</v>
      </c>
      <c r="L3218" s="26">
        <v>99</v>
      </c>
      <c r="M3218" s="12">
        <v>4621.8487394957983</v>
      </c>
      <c r="N3218" s="12">
        <v>4621.8487394957983</v>
      </c>
      <c r="O3218" s="12">
        <v>878.15126050420167</v>
      </c>
      <c r="P3218" s="13"/>
      <c r="Q3218" s="14">
        <v>2025</v>
      </c>
      <c r="R3218" s="15">
        <v>45323</v>
      </c>
      <c r="S3218" s="11" t="s">
        <v>364</v>
      </c>
      <c r="T3218" s="16">
        <v>500</v>
      </c>
      <c r="U3218" s="17"/>
      <c r="V3218" s="12">
        <v>1365.1260504201678</v>
      </c>
      <c r="W3218" s="12">
        <v>1365.1260504201678</v>
      </c>
      <c r="X3218" s="12">
        <v>0</v>
      </c>
      <c r="Y3218" s="18">
        <v>45684</v>
      </c>
      <c r="Z3218" s="13" t="s">
        <v>501</v>
      </c>
      <c r="AA3218" s="19" t="str">
        <f>VLOOKUP(D3218,Clientes!$A$2:$J$486,9,FALSE)</f>
        <v>Frecuente</v>
      </c>
      <c r="AB3218" s="13" t="str">
        <f>VLOOKUP(D3218,Clientes!$A$2:$K$486,11,FALSE)</f>
        <v>Persona Natural</v>
      </c>
      <c r="AC3218" s="13" t="str">
        <f>VLOOKUP(D3218,Clientes!$A$2:$B$486,2,FALSE)</f>
        <v>Jardines de la Viña</v>
      </c>
      <c r="AD3218" s="20"/>
      <c r="AE3218" s="20"/>
      <c r="AF3218" s="13" t="s">
        <v>40</v>
      </c>
      <c r="AG3218" s="15">
        <v>45323</v>
      </c>
      <c r="AH3218" s="13" t="s">
        <v>41</v>
      </c>
      <c r="AI3218" s="13" t="s">
        <v>35</v>
      </c>
      <c r="AJ3218" s="13" t="str">
        <f>VLOOKUP(E3218,Precios!Z$2:AA$941,2,FALSE)</f>
        <v>Queso RUNCA Mantecoso</v>
      </c>
      <c r="AK3218" s="14">
        <f>VLOOKUP(E3218,Precios!Z$2:BB$941,3,FALSE)*F3218</f>
        <v>-0.5</v>
      </c>
      <c r="AL3218" s="17"/>
      <c r="AM3218" s="17"/>
      <c r="AN3218" s="17"/>
      <c r="AO3218" s="17"/>
      <c r="AP3218" s="17"/>
      <c r="AQ3218" s="17"/>
      <c r="AR3218" s="17"/>
      <c r="AS3218" s="17"/>
      <c r="AT3218" s="17"/>
      <c r="AU3218" s="17"/>
      <c r="AV3218" s="17"/>
    </row>
    <row r="3219" spans="1:48" ht="15.75" customHeight="1">
      <c r="A3219" s="21" t="s">
        <v>76</v>
      </c>
      <c r="B3219" s="23" t="s">
        <v>1692</v>
      </c>
      <c r="C3219" s="22">
        <v>45689</v>
      </c>
      <c r="D3219" s="23" t="s">
        <v>189</v>
      </c>
      <c r="E3219" s="23" t="s">
        <v>81</v>
      </c>
      <c r="F3219" s="21">
        <v>1</v>
      </c>
      <c r="G3219" s="12">
        <v>3500.0000000000005</v>
      </c>
      <c r="H3219" s="12">
        <v>3500.0000000000005</v>
      </c>
      <c r="I3219" s="23" t="s">
        <v>52</v>
      </c>
      <c r="J3219" s="23" t="s">
        <v>61</v>
      </c>
      <c r="K3219" s="24" t="s">
        <v>177</v>
      </c>
      <c r="L3219" s="26">
        <v>99</v>
      </c>
      <c r="M3219" s="12">
        <v>2941.1764705882356</v>
      </c>
      <c r="N3219" s="12">
        <v>2941.1764705882356</v>
      </c>
      <c r="O3219" s="12">
        <v>558.82352941176487</v>
      </c>
      <c r="P3219" s="13"/>
      <c r="Q3219" s="14">
        <v>2025</v>
      </c>
      <c r="R3219" s="15">
        <v>45323</v>
      </c>
      <c r="S3219" s="11" t="s">
        <v>397</v>
      </c>
      <c r="T3219" s="16">
        <v>5</v>
      </c>
      <c r="U3219" s="17"/>
      <c r="V3219" s="12">
        <v>764.70588235294144</v>
      </c>
      <c r="W3219" s="12">
        <v>764.70588235294144</v>
      </c>
      <c r="X3219" s="12">
        <v>0</v>
      </c>
      <c r="Y3219" s="18">
        <v>45684</v>
      </c>
      <c r="Z3219" s="13" t="s">
        <v>501</v>
      </c>
      <c r="AA3219" s="19" t="str">
        <f>VLOOKUP(D3219,Clientes!$A$2:$J$486,9,FALSE)</f>
        <v>Frecuente</v>
      </c>
      <c r="AB3219" s="13" t="str">
        <f>VLOOKUP(D3219,Clientes!$A$2:$K$486,11,FALSE)</f>
        <v>Persona Natural</v>
      </c>
      <c r="AC3219" s="13" t="str">
        <f>VLOOKUP(D3219,Clientes!$A$2:$B$486,2,FALSE)</f>
        <v>Jardines de la Viña</v>
      </c>
      <c r="AD3219" s="20"/>
      <c r="AE3219" s="20"/>
      <c r="AF3219" s="13" t="s">
        <v>40</v>
      </c>
      <c r="AG3219" s="15">
        <v>45323</v>
      </c>
      <c r="AH3219" s="13" t="s">
        <v>41</v>
      </c>
      <c r="AI3219" s="13" t="s">
        <v>76</v>
      </c>
      <c r="AJ3219" s="13" t="str">
        <f>VLOOKUP(E3219,Precios!Z$2:AA$941,2,FALSE)</f>
        <v>Detergente SPUM 5 Litros (Verde)</v>
      </c>
      <c r="AK3219" s="14">
        <f>VLOOKUP(E3219,Precios!Z$2:BB$941,3,FALSE)*F3219</f>
        <v>-1</v>
      </c>
      <c r="AL3219" s="17"/>
      <c r="AM3219" s="17"/>
      <c r="AN3219" s="17"/>
      <c r="AO3219" s="17"/>
      <c r="AP3219" s="17"/>
      <c r="AQ3219" s="17"/>
      <c r="AR3219" s="17"/>
      <c r="AS3219" s="17"/>
      <c r="AT3219" s="17"/>
      <c r="AU3219" s="17"/>
      <c r="AV3219" s="17"/>
    </row>
    <row r="3220" spans="1:48" ht="15.75" customHeight="1">
      <c r="A3220" s="21" t="s">
        <v>76</v>
      </c>
      <c r="B3220" s="23" t="s">
        <v>1692</v>
      </c>
      <c r="C3220" s="22">
        <v>45689</v>
      </c>
      <c r="D3220" s="23" t="s">
        <v>189</v>
      </c>
      <c r="E3220" s="23" t="s">
        <v>212</v>
      </c>
      <c r="F3220" s="21">
        <v>1</v>
      </c>
      <c r="G3220" s="12">
        <v>3000.0000000000005</v>
      </c>
      <c r="H3220" s="12">
        <v>3000.0000000000005</v>
      </c>
      <c r="I3220" s="23" t="s">
        <v>52</v>
      </c>
      <c r="J3220" s="23" t="s">
        <v>61</v>
      </c>
      <c r="K3220" s="24" t="s">
        <v>177</v>
      </c>
      <c r="L3220" s="26">
        <v>99</v>
      </c>
      <c r="M3220" s="12">
        <v>2521.0084033613452</v>
      </c>
      <c r="N3220" s="12">
        <v>2521.0084033613452</v>
      </c>
      <c r="O3220" s="12">
        <v>478.99159663865521</v>
      </c>
      <c r="P3220" s="13"/>
      <c r="Q3220" s="14">
        <v>2025</v>
      </c>
      <c r="R3220" s="15">
        <v>45323</v>
      </c>
      <c r="S3220" s="11" t="s">
        <v>446</v>
      </c>
      <c r="T3220" s="16">
        <v>5</v>
      </c>
      <c r="U3220" s="17"/>
      <c r="V3220" s="12">
        <v>764.70588235294144</v>
      </c>
      <c r="W3220" s="12">
        <v>764.70588235294144</v>
      </c>
      <c r="X3220" s="12">
        <v>0</v>
      </c>
      <c r="Y3220" s="18">
        <v>45684</v>
      </c>
      <c r="Z3220" s="13" t="s">
        <v>501</v>
      </c>
      <c r="AA3220" s="19" t="str">
        <f>VLOOKUP(D3220,Clientes!$A$2:$J$486,9,FALSE)</f>
        <v>Frecuente</v>
      </c>
      <c r="AB3220" s="13" t="str">
        <f>VLOOKUP(D3220,Clientes!$A$2:$K$486,11,FALSE)</f>
        <v>Persona Natural</v>
      </c>
      <c r="AC3220" s="13" t="str">
        <f>VLOOKUP(D3220,Clientes!$A$2:$B$486,2,FALSE)</f>
        <v>Jardines de la Viña</v>
      </c>
      <c r="AD3220" s="20"/>
      <c r="AE3220" s="20"/>
      <c r="AF3220" s="13" t="s">
        <v>40</v>
      </c>
      <c r="AG3220" s="15">
        <v>45323</v>
      </c>
      <c r="AH3220" s="13" t="s">
        <v>41</v>
      </c>
      <c r="AI3220" s="13" t="s">
        <v>76</v>
      </c>
      <c r="AJ3220" s="13" t="str">
        <f>VLOOKUP(E3220,Precios!Z$2:AA$941,2,FALSE)</f>
        <v>Suavizante SPUM 5 Litros</v>
      </c>
      <c r="AK3220" s="14">
        <f>VLOOKUP(E3220,Precios!Z$2:BB$941,3,FALSE)*F3220</f>
        <v>-1</v>
      </c>
      <c r="AL3220" s="17"/>
      <c r="AM3220" s="17"/>
      <c r="AN3220" s="17"/>
      <c r="AO3220" s="17"/>
      <c r="AP3220" s="17"/>
      <c r="AQ3220" s="17"/>
      <c r="AR3220" s="17"/>
      <c r="AS3220" s="17"/>
      <c r="AT3220" s="17"/>
      <c r="AU3220" s="17"/>
      <c r="AV3220" s="17"/>
    </row>
    <row r="3221" spans="1:48" ht="15.75" customHeight="1">
      <c r="A3221" s="21" t="s">
        <v>53</v>
      </c>
      <c r="B3221" s="23" t="s">
        <v>1692</v>
      </c>
      <c r="C3221" s="22">
        <v>45689</v>
      </c>
      <c r="D3221" s="23" t="s">
        <v>133</v>
      </c>
      <c r="E3221" s="23" t="s">
        <v>97</v>
      </c>
      <c r="F3221" s="21">
        <v>1</v>
      </c>
      <c r="G3221" s="12">
        <v>15500.298388701016</v>
      </c>
      <c r="H3221" s="12">
        <v>15500.298388701016</v>
      </c>
      <c r="I3221" s="23" t="s">
        <v>52</v>
      </c>
      <c r="J3221" s="23" t="s">
        <v>61</v>
      </c>
      <c r="K3221" s="24" t="s">
        <v>177</v>
      </c>
      <c r="L3221" s="26">
        <v>99</v>
      </c>
      <c r="M3221" s="12">
        <v>13025.46083084119</v>
      </c>
      <c r="N3221" s="12">
        <v>13025.46083084119</v>
      </c>
      <c r="O3221" s="12">
        <v>2474.8375578598261</v>
      </c>
      <c r="P3221" s="13"/>
      <c r="Q3221" s="14">
        <v>2025</v>
      </c>
      <c r="R3221" s="15">
        <v>45323</v>
      </c>
      <c r="S3221" s="11" t="s">
        <v>366</v>
      </c>
      <c r="T3221" s="16">
        <v>0</v>
      </c>
      <c r="U3221" s="17"/>
      <c r="V3221" s="12">
        <v>3203.6120913453906</v>
      </c>
      <c r="W3221" s="12">
        <v>3203.6120913453906</v>
      </c>
      <c r="X3221" s="12">
        <v>0</v>
      </c>
      <c r="Y3221" s="18">
        <v>45684</v>
      </c>
      <c r="Z3221" s="13" t="s">
        <v>501</v>
      </c>
      <c r="AA3221" s="19" t="str">
        <f>VLOOKUP(D3221,Clientes!$A$2:$J$486,9,FALSE)</f>
        <v>Frecuente</v>
      </c>
      <c r="AB3221" s="13" t="str">
        <f>VLOOKUP(D3221,Clientes!$A$2:$K$486,11,FALSE)</f>
        <v>Persona Natural</v>
      </c>
      <c r="AC3221" s="13" t="str">
        <f>VLOOKUP(D3221,Clientes!$A$2:$B$486,2,FALSE)</f>
        <v>Jardines de la Viña</v>
      </c>
      <c r="AD3221" s="20"/>
      <c r="AE3221" s="20"/>
      <c r="AF3221" s="13" t="s">
        <v>40</v>
      </c>
      <c r="AG3221" s="15">
        <v>45323</v>
      </c>
      <c r="AH3221" s="13" t="s">
        <v>41</v>
      </c>
      <c r="AI3221" s="13" t="s">
        <v>53</v>
      </c>
      <c r="AJ3221" s="13" t="str">
        <f>VLOOKUP(E3221,Precios!Z$2:AA$941,2,FALSE)</f>
        <v>Papel Higienico ELITE 50 metros</v>
      </c>
      <c r="AK3221" s="14">
        <f>VLOOKUP(E3221,Precios!Z$2:BB$941,3,FALSE)*F3221</f>
        <v>-6</v>
      </c>
      <c r="AL3221" s="17"/>
      <c r="AM3221" s="17"/>
      <c r="AN3221" s="17"/>
      <c r="AO3221" s="17"/>
      <c r="AP3221" s="17"/>
      <c r="AQ3221" s="17"/>
      <c r="AR3221" s="17"/>
      <c r="AS3221" s="17"/>
      <c r="AT3221" s="17"/>
      <c r="AU3221" s="17"/>
      <c r="AV3221" s="17"/>
    </row>
    <row r="3222" spans="1:48" ht="15.75" customHeight="1">
      <c r="A3222" s="21" t="s">
        <v>47</v>
      </c>
      <c r="B3222" s="23" t="s">
        <v>1692</v>
      </c>
      <c r="C3222" s="22">
        <v>45689</v>
      </c>
      <c r="D3222" s="23" t="s">
        <v>126</v>
      </c>
      <c r="E3222" s="23" t="s">
        <v>303</v>
      </c>
      <c r="F3222" s="21">
        <v>2</v>
      </c>
      <c r="G3222" s="12">
        <v>2000.2484060611077</v>
      </c>
      <c r="H3222" s="12">
        <v>4000.4968121222155</v>
      </c>
      <c r="I3222" s="23" t="s">
        <v>52</v>
      </c>
      <c r="J3222" s="23" t="s">
        <v>61</v>
      </c>
      <c r="K3222" s="24" t="s">
        <v>177</v>
      </c>
      <c r="L3222" s="26">
        <v>99</v>
      </c>
      <c r="M3222" s="12">
        <v>1680.8810134967293</v>
      </c>
      <c r="N3222" s="12">
        <v>3361.7620269934587</v>
      </c>
      <c r="O3222" s="12">
        <v>638.73478512875681</v>
      </c>
      <c r="P3222" s="13"/>
      <c r="Q3222" s="14">
        <v>2025</v>
      </c>
      <c r="R3222" s="15">
        <v>45323</v>
      </c>
      <c r="S3222" s="11" t="s">
        <v>433</v>
      </c>
      <c r="T3222" s="16">
        <v>0</v>
      </c>
      <c r="U3222" s="17"/>
      <c r="V3222" s="12">
        <v>925.76202699345822</v>
      </c>
      <c r="W3222" s="12">
        <v>925.76202699345822</v>
      </c>
      <c r="X3222" s="12">
        <v>0</v>
      </c>
      <c r="Y3222" s="18">
        <v>45684</v>
      </c>
      <c r="Z3222" s="13" t="s">
        <v>501</v>
      </c>
      <c r="AA3222" s="19" t="str">
        <f>VLOOKUP(D3222,Clientes!$A$2:$J$486,9,FALSE)</f>
        <v>Frecuente</v>
      </c>
      <c r="AB3222" s="13" t="str">
        <f>VLOOKUP(D3222,Clientes!$A$2:$K$486,11,FALSE)</f>
        <v>Persona Natural</v>
      </c>
      <c r="AC3222" s="13" t="str">
        <f>VLOOKUP(D3222,Clientes!$A$2:$B$486,2,FALSE)</f>
        <v>Jardines de la Viña</v>
      </c>
      <c r="AD3222" s="20"/>
      <c r="AE3222" s="20"/>
      <c r="AF3222" s="13" t="s">
        <v>40</v>
      </c>
      <c r="AG3222" s="15">
        <v>45323</v>
      </c>
      <c r="AH3222" s="13" t="s">
        <v>41</v>
      </c>
      <c r="AI3222" s="13" t="s">
        <v>47</v>
      </c>
      <c r="AJ3222" s="13" t="str">
        <f>VLOOKUP(E3222,Precios!Z$2:AA$941,2,FALSE)</f>
        <v>Trapero Microfibra EXCELL</v>
      </c>
      <c r="AK3222" s="14">
        <f>VLOOKUP(E3222,Precios!Z$2:BB$941,3,FALSE)*F3222</f>
        <v>-2</v>
      </c>
      <c r="AL3222" s="17"/>
      <c r="AM3222" s="17"/>
      <c r="AN3222" s="17"/>
      <c r="AO3222" s="17"/>
      <c r="AP3222" s="17"/>
      <c r="AQ3222" s="17"/>
      <c r="AR3222" s="17"/>
      <c r="AS3222" s="17"/>
      <c r="AT3222" s="17"/>
      <c r="AU3222" s="17"/>
      <c r="AV3222" s="17"/>
    </row>
    <row r="3223" spans="1:48" ht="15.75" customHeight="1">
      <c r="A3223" s="21" t="s">
        <v>47</v>
      </c>
      <c r="B3223" s="23" t="s">
        <v>1692</v>
      </c>
      <c r="C3223" s="22">
        <v>45689</v>
      </c>
      <c r="D3223" s="23" t="s">
        <v>126</v>
      </c>
      <c r="E3223" s="23" t="s">
        <v>155</v>
      </c>
      <c r="F3223" s="21">
        <v>1</v>
      </c>
      <c r="G3223" s="12">
        <v>3400</v>
      </c>
      <c r="H3223" s="12">
        <v>3400</v>
      </c>
      <c r="I3223" s="23" t="s">
        <v>52</v>
      </c>
      <c r="J3223" s="23" t="s">
        <v>61</v>
      </c>
      <c r="K3223" s="24" t="s">
        <v>177</v>
      </c>
      <c r="L3223" s="26">
        <v>99</v>
      </c>
      <c r="M3223" s="12">
        <v>2857.1428571428573</v>
      </c>
      <c r="N3223" s="12">
        <v>2857.1428571428573</v>
      </c>
      <c r="O3223" s="12">
        <v>542.85714285714266</v>
      </c>
      <c r="P3223" s="13"/>
      <c r="Q3223" s="14">
        <v>2025</v>
      </c>
      <c r="R3223" s="15">
        <v>45323</v>
      </c>
      <c r="S3223" s="11" t="s">
        <v>453</v>
      </c>
      <c r="T3223" s="16">
        <v>0</v>
      </c>
      <c r="U3223" s="17"/>
      <c r="V3223" s="12">
        <v>1255.1428571428573</v>
      </c>
      <c r="W3223" s="12">
        <v>1255.1428571428573</v>
      </c>
      <c r="X3223" s="12">
        <v>0</v>
      </c>
      <c r="Y3223" s="18">
        <v>45684</v>
      </c>
      <c r="Z3223" s="13" t="s">
        <v>501</v>
      </c>
      <c r="AA3223" s="19" t="str">
        <f>VLOOKUP(D3223,Clientes!$A$2:$J$486,9,FALSE)</f>
        <v>Frecuente</v>
      </c>
      <c r="AB3223" s="13" t="str">
        <f>VLOOKUP(D3223,Clientes!$A$2:$K$486,11,FALSE)</f>
        <v>Persona Natural</v>
      </c>
      <c r="AC3223" s="13" t="str">
        <f>VLOOKUP(D3223,Clientes!$A$2:$B$486,2,FALSE)</f>
        <v>Jardines de la Viña</v>
      </c>
      <c r="AD3223" s="20"/>
      <c r="AE3223" s="20"/>
      <c r="AF3223" s="13" t="s">
        <v>40</v>
      </c>
      <c r="AG3223" s="15">
        <v>45323</v>
      </c>
      <c r="AH3223" s="13" t="s">
        <v>41</v>
      </c>
      <c r="AI3223" s="13" t="s">
        <v>47</v>
      </c>
      <c r="AJ3223" s="13" t="str">
        <f>VLOOKUP(E3223,Precios!Z$2:AA$941,2,FALSE)</f>
        <v xml:space="preserve">Bolsas Basura TEDDY 50x70 </v>
      </c>
      <c r="AK3223" s="14">
        <f>VLOOKUP(E3223,Precios!Z$2:BB$941,3,FALSE)*F3223</f>
        <v>-6</v>
      </c>
      <c r="AL3223" s="17"/>
      <c r="AM3223" s="17"/>
      <c r="AN3223" s="17"/>
      <c r="AO3223" s="17"/>
      <c r="AP3223" s="17"/>
      <c r="AQ3223" s="17"/>
      <c r="AR3223" s="17"/>
      <c r="AS3223" s="17"/>
      <c r="AT3223" s="17"/>
      <c r="AU3223" s="17"/>
      <c r="AV3223" s="17"/>
    </row>
    <row r="3224" spans="1:48" ht="15.75" customHeight="1">
      <c r="A3224" s="21" t="s">
        <v>43</v>
      </c>
      <c r="B3224" s="23" t="s">
        <v>1692</v>
      </c>
      <c r="C3224" s="22">
        <v>45688</v>
      </c>
      <c r="D3224" s="23" t="s">
        <v>622</v>
      </c>
      <c r="E3224" s="23" t="s">
        <v>45</v>
      </c>
      <c r="F3224" s="21">
        <v>1</v>
      </c>
      <c r="G3224" s="12">
        <v>6300.1913812446392</v>
      </c>
      <c r="H3224" s="12">
        <v>6300.1913812446392</v>
      </c>
      <c r="I3224" s="23" t="s">
        <v>52</v>
      </c>
      <c r="J3224" s="23" t="s">
        <v>61</v>
      </c>
      <c r="K3224" s="24" t="s">
        <v>177</v>
      </c>
      <c r="L3224" s="26">
        <v>98</v>
      </c>
      <c r="M3224" s="12">
        <v>5294.2784716341512</v>
      </c>
      <c r="N3224" s="12">
        <v>5294.2784716341512</v>
      </c>
      <c r="O3224" s="12">
        <v>1005.912909610488</v>
      </c>
      <c r="P3224" s="13"/>
      <c r="Q3224" s="14">
        <v>2025</v>
      </c>
      <c r="R3224" s="15">
        <v>45292</v>
      </c>
      <c r="S3224" s="11" t="s">
        <v>355</v>
      </c>
      <c r="T3224" s="16">
        <v>0</v>
      </c>
      <c r="U3224" s="17"/>
      <c r="V3224" s="12">
        <v>1283.0683876005369</v>
      </c>
      <c r="W3224" s="12">
        <v>1283.0683876005369</v>
      </c>
      <c r="X3224" s="12">
        <v>0</v>
      </c>
      <c r="Y3224" s="18">
        <v>45684</v>
      </c>
      <c r="Z3224" s="13" t="s">
        <v>503</v>
      </c>
      <c r="AA3224" s="19" t="str">
        <f>VLOOKUP(D3224,Clientes!$A$2:$J$486,9,FALSE)</f>
        <v>Ocacional</v>
      </c>
      <c r="AB3224" s="13" t="str">
        <f>VLOOKUP(D3224,Clientes!$A$2:$K$486,11,FALSE)</f>
        <v>Persona Natural</v>
      </c>
      <c r="AC3224" s="13" t="str">
        <f>VLOOKUP(D3224,Clientes!$A$2:$B$486,2,FALSE)</f>
        <v>Domo</v>
      </c>
      <c r="AD3224" s="20"/>
      <c r="AE3224" s="20"/>
      <c r="AF3224" s="13" t="s">
        <v>40</v>
      </c>
      <c r="AG3224" s="15">
        <v>45292</v>
      </c>
      <c r="AH3224" s="13" t="s">
        <v>41</v>
      </c>
      <c r="AI3224" s="13" t="s">
        <v>43</v>
      </c>
      <c r="AJ3224" s="13" t="str">
        <f>VLOOKUP(E3224,Precios!Z$2:AA$941,2,FALSE)</f>
        <v>Bandeja Huevos EXTRA</v>
      </c>
      <c r="AK3224" s="14">
        <f>VLOOKUP(E3224,Precios!Z$2:BB$941,3,FALSE)*F3224</f>
        <v>-1</v>
      </c>
      <c r="AL3224" s="17"/>
      <c r="AM3224" s="17"/>
      <c r="AN3224" s="17"/>
      <c r="AO3224" s="17"/>
      <c r="AP3224" s="17"/>
      <c r="AQ3224" s="17"/>
      <c r="AR3224" s="17"/>
      <c r="AS3224" s="17"/>
      <c r="AT3224" s="17"/>
      <c r="AU3224" s="17"/>
      <c r="AV3224" s="17"/>
    </row>
    <row r="3225" spans="1:48" ht="15.75" customHeight="1">
      <c r="A3225" s="21" t="s">
        <v>43</v>
      </c>
      <c r="B3225" s="23" t="s">
        <v>1692</v>
      </c>
      <c r="C3225" s="22">
        <v>45688</v>
      </c>
      <c r="D3225" s="23" t="s">
        <v>622</v>
      </c>
      <c r="E3225" s="23" t="s">
        <v>160</v>
      </c>
      <c r="F3225" s="21">
        <v>1</v>
      </c>
      <c r="G3225" s="26">
        <v>300</v>
      </c>
      <c r="H3225" s="12">
        <v>300</v>
      </c>
      <c r="I3225" s="23" t="s">
        <v>52</v>
      </c>
      <c r="J3225" s="23" t="s">
        <v>61</v>
      </c>
      <c r="K3225" s="24" t="s">
        <v>177</v>
      </c>
      <c r="L3225" s="26">
        <v>98</v>
      </c>
      <c r="M3225" s="12">
        <v>252.10084033613447</v>
      </c>
      <c r="N3225" s="12">
        <v>252.10084033613447</v>
      </c>
      <c r="O3225" s="12">
        <v>47.899159663865532</v>
      </c>
      <c r="P3225" s="13"/>
      <c r="Q3225" s="14">
        <v>2025</v>
      </c>
      <c r="R3225" s="15">
        <v>45292</v>
      </c>
      <c r="S3225" s="11" t="s">
        <v>160</v>
      </c>
      <c r="T3225" s="16">
        <v>1000</v>
      </c>
      <c r="U3225" s="17"/>
      <c r="V3225" s="26">
        <v>-300</v>
      </c>
      <c r="W3225" s="12">
        <v>-300</v>
      </c>
      <c r="X3225" s="12">
        <v>0</v>
      </c>
      <c r="Y3225" s="18">
        <v>45684</v>
      </c>
      <c r="Z3225" s="13" t="s">
        <v>503</v>
      </c>
      <c r="AA3225" s="19" t="str">
        <f>VLOOKUP(D3225,Clientes!$A$2:$J$486,9,FALSE)</f>
        <v>Ocacional</v>
      </c>
      <c r="AB3225" s="13" t="str">
        <f>VLOOKUP(D3225,Clientes!$A$2:$K$486,11,FALSE)</f>
        <v>Persona Natural</v>
      </c>
      <c r="AC3225" s="13" t="str">
        <f>VLOOKUP(D3225,Clientes!$A$2:$B$486,2,FALSE)</f>
        <v>Domo</v>
      </c>
      <c r="AD3225" s="20"/>
      <c r="AE3225" s="20"/>
      <c r="AF3225" s="13" t="s">
        <v>40</v>
      </c>
      <c r="AG3225" s="15">
        <v>45292</v>
      </c>
      <c r="AH3225" s="13" t="s">
        <v>41</v>
      </c>
      <c r="AI3225" s="13" t="s">
        <v>43</v>
      </c>
      <c r="AJ3225" s="13" t="str">
        <f>VLOOKUP(E3225,Precios!Z$2:AA$941,2,FALSE)</f>
        <v>Descuentos</v>
      </c>
      <c r="AK3225" s="14">
        <f>VLOOKUP(E3225,Precios!Z$2:BB$941,3,FALSE)*F3225</f>
        <v>-1</v>
      </c>
      <c r="AL3225" s="17"/>
      <c r="AM3225" s="17"/>
      <c r="AN3225" s="17"/>
      <c r="AO3225" s="17"/>
      <c r="AP3225" s="17"/>
      <c r="AQ3225" s="17"/>
      <c r="AR3225" s="17"/>
      <c r="AS3225" s="17"/>
      <c r="AT3225" s="17"/>
      <c r="AU3225" s="17"/>
      <c r="AV3225" s="17"/>
    </row>
    <row r="3226" spans="1:48" ht="15.75" customHeight="1">
      <c r="A3226" s="21" t="s">
        <v>43</v>
      </c>
      <c r="B3226" s="23" t="s">
        <v>1692</v>
      </c>
      <c r="C3226" s="22">
        <v>45688</v>
      </c>
      <c r="D3226" s="23" t="s">
        <v>622</v>
      </c>
      <c r="E3226" s="23" t="s">
        <v>757</v>
      </c>
      <c r="F3226" s="21">
        <v>-1</v>
      </c>
      <c r="G3226" s="12">
        <v>5999.6872875594827</v>
      </c>
      <c r="H3226" s="12">
        <v>-5999.6872875594827</v>
      </c>
      <c r="I3226" s="23" t="s">
        <v>52</v>
      </c>
      <c r="J3226" s="23" t="s">
        <v>61</v>
      </c>
      <c r="K3226" s="24" t="s">
        <v>177</v>
      </c>
      <c r="L3226" s="26">
        <v>98</v>
      </c>
      <c r="M3226" s="12">
        <v>5041.7540231592293</v>
      </c>
      <c r="N3226" s="12">
        <v>-5041.7540231592293</v>
      </c>
      <c r="O3226" s="12">
        <v>-957.93326440025339</v>
      </c>
      <c r="P3226" s="13"/>
      <c r="Q3226" s="14">
        <v>2025</v>
      </c>
      <c r="R3226" s="15">
        <v>45292</v>
      </c>
      <c r="S3226" s="11" t="s">
        <v>758</v>
      </c>
      <c r="T3226" s="16">
        <v>0</v>
      </c>
      <c r="U3226" s="17"/>
      <c r="V3226" s="12">
        <v>-1333.5439391256159</v>
      </c>
      <c r="W3226" s="12">
        <v>-1333.5439391256159</v>
      </c>
      <c r="X3226" s="12">
        <v>0</v>
      </c>
      <c r="Y3226" s="18">
        <v>45684</v>
      </c>
      <c r="Z3226" s="13" t="s">
        <v>503</v>
      </c>
      <c r="AA3226" s="19" t="str">
        <f>VLOOKUP(D3226,Clientes!$A$2:$J$486,9,FALSE)</f>
        <v>Ocacional</v>
      </c>
      <c r="AB3226" s="13" t="str">
        <f>VLOOKUP(D3226,Clientes!$A$2:$K$486,11,FALSE)</f>
        <v>Persona Natural</v>
      </c>
      <c r="AC3226" s="13" t="str">
        <f>VLOOKUP(D3226,Clientes!$A$2:$B$486,2,FALSE)</f>
        <v>Domo</v>
      </c>
      <c r="AD3226" s="20"/>
      <c r="AE3226" s="20"/>
      <c r="AF3226" s="13" t="s">
        <v>40</v>
      </c>
      <c r="AG3226" s="15">
        <v>45292</v>
      </c>
      <c r="AH3226" s="13" t="s">
        <v>41</v>
      </c>
      <c r="AI3226" s="13" t="s">
        <v>43</v>
      </c>
      <c r="AJ3226" s="13" t="str">
        <f>VLOOKUP(E3226,Precios!Z$2:AA$941,2,FALSE)</f>
        <v>Bandeja Huevos JUMBO</v>
      </c>
      <c r="AK3226" s="14">
        <f>VLOOKUP(E3226,Precios!Z$2:BB$941,3,FALSE)*F3226</f>
        <v>1</v>
      </c>
      <c r="AL3226" s="17"/>
      <c r="AM3226" s="17"/>
      <c r="AN3226" s="17"/>
      <c r="AO3226" s="17"/>
      <c r="AP3226" s="17"/>
      <c r="AQ3226" s="17"/>
      <c r="AR3226" s="17"/>
      <c r="AS3226" s="17"/>
      <c r="AT3226" s="17"/>
      <c r="AU3226" s="17"/>
      <c r="AV3226" s="17"/>
    </row>
    <row r="3227" spans="1:48" ht="15.75" customHeight="1">
      <c r="A3227" s="21" t="s">
        <v>64</v>
      </c>
      <c r="B3227" s="23" t="s">
        <v>1692</v>
      </c>
      <c r="C3227" s="22">
        <v>45688</v>
      </c>
      <c r="D3227" s="23" t="s">
        <v>256</v>
      </c>
      <c r="E3227" s="23" t="s">
        <v>65</v>
      </c>
      <c r="F3227" s="21">
        <v>2</v>
      </c>
      <c r="G3227" s="12">
        <v>8199.8671738211688</v>
      </c>
      <c r="H3227" s="12">
        <v>16399.734347642338</v>
      </c>
      <c r="I3227" s="23" t="s">
        <v>52</v>
      </c>
      <c r="J3227" s="23" t="s">
        <v>61</v>
      </c>
      <c r="K3227" s="24" t="s">
        <v>177</v>
      </c>
      <c r="L3227" s="26">
        <v>98</v>
      </c>
      <c r="M3227" s="12">
        <v>6890.6446838833353</v>
      </c>
      <c r="N3227" s="12">
        <v>13781.289367766671</v>
      </c>
      <c r="O3227" s="12">
        <v>2618.4449798756668</v>
      </c>
      <c r="P3227" s="13"/>
      <c r="Q3227" s="14">
        <v>2025</v>
      </c>
      <c r="R3227" s="15">
        <v>45292</v>
      </c>
      <c r="S3227" s="11" t="s">
        <v>64</v>
      </c>
      <c r="T3227" s="16">
        <v>2</v>
      </c>
      <c r="U3227" s="17"/>
      <c r="V3227" s="12">
        <v>2368.3145778507023</v>
      </c>
      <c r="W3227" s="12">
        <v>2368.3145778507023</v>
      </c>
      <c r="X3227" s="12">
        <v>0</v>
      </c>
      <c r="Y3227" s="18">
        <v>45684</v>
      </c>
      <c r="Z3227" s="13" t="s">
        <v>503</v>
      </c>
      <c r="AA3227" s="19" t="str">
        <f>VLOOKUP(D3227,Clientes!$A$2:$J$486,9,FALSE)</f>
        <v>Ocacional</v>
      </c>
      <c r="AB3227" s="13" t="str">
        <f>VLOOKUP(D3227,Clientes!$A$2:$K$486,11,FALSE)</f>
        <v>Persona Natural</v>
      </c>
      <c r="AC3227" s="13" t="str">
        <f>VLOOKUP(D3227,Clientes!$A$2:$B$486,2,FALSE)</f>
        <v>Los Ceibos</v>
      </c>
      <c r="AD3227" s="20"/>
      <c r="AE3227" s="20"/>
      <c r="AF3227" s="13" t="s">
        <v>40</v>
      </c>
      <c r="AG3227" s="15">
        <v>45292</v>
      </c>
      <c r="AH3227" s="13" t="s">
        <v>41</v>
      </c>
      <c r="AI3227" s="13" t="s">
        <v>64</v>
      </c>
      <c r="AJ3227" s="13" t="str">
        <f>VLOOKUP(E3227,Precios!Z$2:AA$941,2,FALSE)</f>
        <v>Longanizas VILLABLANCA</v>
      </c>
      <c r="AK3227" s="14">
        <f>VLOOKUP(E3227,Precios!Z$2:BB$941,3,FALSE)*F3227</f>
        <v>-2</v>
      </c>
      <c r="AL3227" s="17"/>
      <c r="AM3227" s="17"/>
      <c r="AN3227" s="17"/>
      <c r="AO3227" s="17"/>
      <c r="AP3227" s="17"/>
      <c r="AQ3227" s="17"/>
      <c r="AR3227" s="17"/>
      <c r="AS3227" s="17"/>
      <c r="AT3227" s="17"/>
      <c r="AU3227" s="17"/>
      <c r="AV3227" s="17"/>
    </row>
    <row r="3228" spans="1:48" ht="15.75" customHeight="1">
      <c r="A3228" s="21" t="s">
        <v>35</v>
      </c>
      <c r="B3228" s="23" t="s">
        <v>1692</v>
      </c>
      <c r="C3228" s="22">
        <v>45688</v>
      </c>
      <c r="D3228" s="23" t="s">
        <v>142</v>
      </c>
      <c r="E3228" s="23" t="s">
        <v>37</v>
      </c>
      <c r="F3228" s="21">
        <v>2</v>
      </c>
      <c r="G3228" s="12">
        <v>10500</v>
      </c>
      <c r="H3228" s="12">
        <v>21000</v>
      </c>
      <c r="I3228" s="23" t="s">
        <v>52</v>
      </c>
      <c r="J3228" s="23" t="s">
        <v>61</v>
      </c>
      <c r="K3228" s="24" t="s">
        <v>177</v>
      </c>
      <c r="L3228" s="26">
        <v>98</v>
      </c>
      <c r="M3228" s="12">
        <v>8823.5294117647063</v>
      </c>
      <c r="N3228" s="12">
        <v>17647.058823529413</v>
      </c>
      <c r="O3228" s="12">
        <v>3352.9411764705874</v>
      </c>
      <c r="P3228" s="13"/>
      <c r="Q3228" s="14">
        <v>2025</v>
      </c>
      <c r="R3228" s="15">
        <v>45292</v>
      </c>
      <c r="S3228" s="11" t="s">
        <v>364</v>
      </c>
      <c r="T3228" s="16">
        <v>2000</v>
      </c>
      <c r="U3228" s="17"/>
      <c r="V3228" s="12">
        <v>4771.4285714285706</v>
      </c>
      <c r="W3228" s="12">
        <v>4771.4285714285706</v>
      </c>
      <c r="X3228" s="12">
        <v>0</v>
      </c>
      <c r="Y3228" s="18">
        <v>45684</v>
      </c>
      <c r="Z3228" s="13" t="s">
        <v>503</v>
      </c>
      <c r="AA3228" s="19" t="str">
        <f>VLOOKUP(D3228,Clientes!$A$2:$J$486,9,FALSE)</f>
        <v>Frecuente</v>
      </c>
      <c r="AB3228" s="13" t="str">
        <f>VLOOKUP(D3228,Clientes!$A$2:$K$486,11,FALSE)</f>
        <v>Persona Natural</v>
      </c>
      <c r="AC3228" s="13" t="str">
        <f>VLOOKUP(D3228,Clientes!$A$2:$B$486,2,FALSE)</f>
        <v>Curso Amalia</v>
      </c>
      <c r="AD3228" s="20"/>
      <c r="AE3228" s="20"/>
      <c r="AF3228" s="13" t="s">
        <v>40</v>
      </c>
      <c r="AG3228" s="15">
        <v>45292</v>
      </c>
      <c r="AH3228" s="13" t="s">
        <v>41</v>
      </c>
      <c r="AI3228" s="13" t="s">
        <v>35</v>
      </c>
      <c r="AJ3228" s="13" t="str">
        <f>VLOOKUP(E3228,Precios!Z$2:AA$941,2,FALSE)</f>
        <v>Queso RUNCA Mantecoso</v>
      </c>
      <c r="AK3228" s="14">
        <f>VLOOKUP(E3228,Precios!Z$2:BB$941,3,FALSE)*F3228</f>
        <v>-2</v>
      </c>
      <c r="AL3228" s="17"/>
      <c r="AM3228" s="17"/>
      <c r="AN3228" s="17"/>
      <c r="AO3228" s="17"/>
      <c r="AP3228" s="17"/>
      <c r="AQ3228" s="17"/>
      <c r="AR3228" s="17"/>
      <c r="AS3228" s="17"/>
      <c r="AT3228" s="17"/>
      <c r="AU3228" s="17"/>
      <c r="AV3228" s="17"/>
    </row>
    <row r="3229" spans="1:48" ht="15.75" customHeight="1">
      <c r="A3229" s="21" t="s">
        <v>47</v>
      </c>
      <c r="B3229" s="23" t="s">
        <v>1692</v>
      </c>
      <c r="C3229" s="22">
        <v>45688</v>
      </c>
      <c r="D3229" s="23" t="s">
        <v>142</v>
      </c>
      <c r="E3229" s="23" t="s">
        <v>153</v>
      </c>
      <c r="F3229" s="21">
        <v>1</v>
      </c>
      <c r="G3229" s="12">
        <v>1700</v>
      </c>
      <c r="H3229" s="12">
        <v>1700</v>
      </c>
      <c r="I3229" s="23" t="s">
        <v>52</v>
      </c>
      <c r="J3229" s="23" t="s">
        <v>61</v>
      </c>
      <c r="K3229" s="24" t="s">
        <v>177</v>
      </c>
      <c r="L3229" s="26">
        <v>98</v>
      </c>
      <c r="M3229" s="12">
        <v>1428.5714285714287</v>
      </c>
      <c r="N3229" s="12">
        <v>1428.5714285714287</v>
      </c>
      <c r="O3229" s="12">
        <v>271.42857142857133</v>
      </c>
      <c r="P3229" s="13"/>
      <c r="Q3229" s="14">
        <v>2025</v>
      </c>
      <c r="R3229" s="15">
        <v>45292</v>
      </c>
      <c r="S3229" s="11" t="s">
        <v>153</v>
      </c>
      <c r="T3229" s="16">
        <v>0</v>
      </c>
      <c r="U3229" s="17"/>
      <c r="V3229" s="12">
        <v>589.57142857142867</v>
      </c>
      <c r="W3229" s="12">
        <v>589.57142857142867</v>
      </c>
      <c r="X3229" s="12">
        <v>0</v>
      </c>
      <c r="Y3229" s="18">
        <v>45684</v>
      </c>
      <c r="Z3229" s="13" t="s">
        <v>503</v>
      </c>
      <c r="AA3229" s="19" t="str">
        <f>VLOOKUP(D3229,Clientes!$A$2:$J$486,9,FALSE)</f>
        <v>Frecuente</v>
      </c>
      <c r="AB3229" s="13" t="str">
        <f>VLOOKUP(D3229,Clientes!$A$2:$K$486,11,FALSE)</f>
        <v>Persona Natural</v>
      </c>
      <c r="AC3229" s="13" t="str">
        <f>VLOOKUP(D3229,Clientes!$A$2:$B$486,2,FALSE)</f>
        <v>Curso Amalia</v>
      </c>
      <c r="AD3229" s="20"/>
      <c r="AE3229" s="20"/>
      <c r="AF3229" s="13" t="s">
        <v>40</v>
      </c>
      <c r="AG3229" s="15">
        <v>45292</v>
      </c>
      <c r="AH3229" s="13" t="s">
        <v>41</v>
      </c>
      <c r="AI3229" s="13" t="s">
        <v>47</v>
      </c>
      <c r="AJ3229" s="13" t="str">
        <f>VLOOKUP(E3229,Precios!Z$2:AA$941,2,FALSE)</f>
        <v>Escobillon TEDDY</v>
      </c>
      <c r="AK3229" s="14">
        <f>VLOOKUP(E3229,Precios!Z$2:BB$941,3,FALSE)*F3229</f>
        <v>-1</v>
      </c>
      <c r="AL3229" s="17"/>
      <c r="AM3229" s="17"/>
      <c r="AN3229" s="17"/>
      <c r="AO3229" s="17"/>
      <c r="AP3229" s="17"/>
      <c r="AQ3229" s="17"/>
      <c r="AR3229" s="17"/>
      <c r="AS3229" s="17"/>
      <c r="AT3229" s="17"/>
      <c r="AU3229" s="17"/>
      <c r="AV3229" s="17"/>
    </row>
    <row r="3230" spans="1:48" ht="15.75" customHeight="1">
      <c r="A3230" s="21" t="s">
        <v>47</v>
      </c>
      <c r="B3230" s="23" t="s">
        <v>1692</v>
      </c>
      <c r="C3230" s="22">
        <v>45688</v>
      </c>
      <c r="D3230" s="23" t="s">
        <v>142</v>
      </c>
      <c r="E3230" s="23" t="s">
        <v>303</v>
      </c>
      <c r="F3230" s="21">
        <v>2</v>
      </c>
      <c r="G3230" s="12">
        <v>2000.2484060611077</v>
      </c>
      <c r="H3230" s="12">
        <v>4000.4968121222155</v>
      </c>
      <c r="I3230" s="23" t="s">
        <v>52</v>
      </c>
      <c r="J3230" s="23" t="s">
        <v>61</v>
      </c>
      <c r="K3230" s="24" t="s">
        <v>177</v>
      </c>
      <c r="L3230" s="26">
        <v>98</v>
      </c>
      <c r="M3230" s="12">
        <v>1680.8810134967293</v>
      </c>
      <c r="N3230" s="12">
        <v>3361.7620269934587</v>
      </c>
      <c r="O3230" s="12">
        <v>638.73478512875681</v>
      </c>
      <c r="P3230" s="13"/>
      <c r="Q3230" s="14">
        <v>2025</v>
      </c>
      <c r="R3230" s="15">
        <v>45292</v>
      </c>
      <c r="S3230" s="11" t="s">
        <v>433</v>
      </c>
      <c r="T3230" s="16">
        <v>0</v>
      </c>
      <c r="U3230" s="17"/>
      <c r="V3230" s="12">
        <v>925.76202699345822</v>
      </c>
      <c r="W3230" s="12">
        <v>925.76202699345822</v>
      </c>
      <c r="X3230" s="12">
        <v>0</v>
      </c>
      <c r="Y3230" s="18">
        <v>45684</v>
      </c>
      <c r="Z3230" s="13" t="s">
        <v>503</v>
      </c>
      <c r="AA3230" s="19" t="str">
        <f>VLOOKUP(D3230,Clientes!$A$2:$J$486,9,FALSE)</f>
        <v>Frecuente</v>
      </c>
      <c r="AB3230" s="13" t="str">
        <f>VLOOKUP(D3230,Clientes!$A$2:$K$486,11,FALSE)</f>
        <v>Persona Natural</v>
      </c>
      <c r="AC3230" s="13" t="str">
        <f>VLOOKUP(D3230,Clientes!$A$2:$B$486,2,FALSE)</f>
        <v>Curso Amalia</v>
      </c>
      <c r="AD3230" s="20"/>
      <c r="AE3230" s="20"/>
      <c r="AF3230" s="13" t="s">
        <v>40</v>
      </c>
      <c r="AG3230" s="15">
        <v>45292</v>
      </c>
      <c r="AH3230" s="13" t="s">
        <v>41</v>
      </c>
      <c r="AI3230" s="13" t="s">
        <v>47</v>
      </c>
      <c r="AJ3230" s="13" t="str">
        <f>VLOOKUP(E3230,Precios!Z$2:AA$941,2,FALSE)</f>
        <v>Trapero Microfibra EXCELL</v>
      </c>
      <c r="AK3230" s="14">
        <f>VLOOKUP(E3230,Precios!Z$2:BB$941,3,FALSE)*F3230</f>
        <v>-2</v>
      </c>
      <c r="AL3230" s="17"/>
      <c r="AM3230" s="17"/>
      <c r="AN3230" s="17"/>
      <c r="AO3230" s="17"/>
      <c r="AP3230" s="17"/>
      <c r="AQ3230" s="17"/>
      <c r="AR3230" s="17"/>
      <c r="AS3230" s="17"/>
      <c r="AT3230" s="17"/>
      <c r="AU3230" s="17"/>
      <c r="AV3230" s="17"/>
    </row>
    <row r="3231" spans="1:48" ht="15.75" customHeight="1">
      <c r="A3231" s="21" t="s">
        <v>147</v>
      </c>
      <c r="B3231" s="23" t="s">
        <v>1692</v>
      </c>
      <c r="C3231" s="22">
        <v>45688</v>
      </c>
      <c r="D3231" s="23" t="s">
        <v>142</v>
      </c>
      <c r="E3231" s="23" t="s">
        <v>149</v>
      </c>
      <c r="F3231" s="21">
        <v>1</v>
      </c>
      <c r="G3231" s="12">
        <v>1700</v>
      </c>
      <c r="H3231" s="12">
        <v>1700</v>
      </c>
      <c r="I3231" s="23" t="s">
        <v>52</v>
      </c>
      <c r="J3231" s="23" t="s">
        <v>61</v>
      </c>
      <c r="K3231" s="24" t="s">
        <v>177</v>
      </c>
      <c r="L3231" s="26">
        <v>98</v>
      </c>
      <c r="M3231" s="12">
        <v>1428.5714285714287</v>
      </c>
      <c r="N3231" s="12">
        <v>1428.5714285714287</v>
      </c>
      <c r="O3231" s="12">
        <v>271.42857142857133</v>
      </c>
      <c r="P3231" s="13"/>
      <c r="Q3231" s="14">
        <v>2025</v>
      </c>
      <c r="R3231" s="15">
        <v>45292</v>
      </c>
      <c r="S3231" s="11" t="s">
        <v>412</v>
      </c>
      <c r="T3231" s="16">
        <v>0</v>
      </c>
      <c r="U3231" s="17"/>
      <c r="V3231" s="12">
        <v>774.78991596638662</v>
      </c>
      <c r="W3231" s="12">
        <v>774.78991596638662</v>
      </c>
      <c r="X3231" s="12">
        <v>0</v>
      </c>
      <c r="Y3231" s="18">
        <v>45684</v>
      </c>
      <c r="Z3231" s="13" t="s">
        <v>503</v>
      </c>
      <c r="AA3231" s="19" t="str">
        <f>VLOOKUP(D3231,Clientes!$A$2:$J$486,9,FALSE)</f>
        <v>Frecuente</v>
      </c>
      <c r="AB3231" s="13" t="str">
        <f>VLOOKUP(D3231,Clientes!$A$2:$K$486,11,FALSE)</f>
        <v>Persona Natural</v>
      </c>
      <c r="AC3231" s="13" t="str">
        <f>VLOOKUP(D3231,Clientes!$A$2:$B$486,2,FALSE)</f>
        <v>Curso Amalia</v>
      </c>
      <c r="AD3231" s="20"/>
      <c r="AE3231" s="20"/>
      <c r="AF3231" s="13" t="s">
        <v>40</v>
      </c>
      <c r="AG3231" s="15">
        <v>45292</v>
      </c>
      <c r="AH3231" s="13" t="s">
        <v>41</v>
      </c>
      <c r="AI3231" s="13" t="s">
        <v>147</v>
      </c>
      <c r="AJ3231" s="13" t="str">
        <f>VLOOKUP(E3231,Precios!Z$2:AA$941,2,FALSE)</f>
        <v>Film Plástico 30 metros</v>
      </c>
      <c r="AK3231" s="14">
        <f>VLOOKUP(E3231,Precios!Z$2:BB$941,3,FALSE)*F3231</f>
        <v>-1</v>
      </c>
      <c r="AL3231" s="17"/>
      <c r="AM3231" s="17"/>
      <c r="AN3231" s="17"/>
      <c r="AO3231" s="17"/>
      <c r="AP3231" s="17"/>
      <c r="AQ3231" s="17"/>
      <c r="AR3231" s="17"/>
      <c r="AS3231" s="17"/>
      <c r="AT3231" s="17"/>
      <c r="AU3231" s="17"/>
      <c r="AV3231" s="17"/>
    </row>
    <row r="3232" spans="1:48" ht="15.75" customHeight="1">
      <c r="A3232" s="21" t="s">
        <v>47</v>
      </c>
      <c r="B3232" s="23" t="s">
        <v>1692</v>
      </c>
      <c r="C3232" s="22">
        <v>45688</v>
      </c>
      <c r="D3232" s="23" t="s">
        <v>142</v>
      </c>
      <c r="E3232" s="23" t="s">
        <v>170</v>
      </c>
      <c r="F3232" s="21">
        <v>1</v>
      </c>
      <c r="G3232" s="12">
        <v>1800.1699716713879</v>
      </c>
      <c r="H3232" s="12">
        <v>1800.1699716713879</v>
      </c>
      <c r="I3232" s="23" t="s">
        <v>52</v>
      </c>
      <c r="J3232" s="23" t="s">
        <v>61</v>
      </c>
      <c r="K3232" s="24" t="s">
        <v>177</v>
      </c>
      <c r="L3232" s="26">
        <v>98</v>
      </c>
      <c r="M3232" s="12">
        <v>1512.7478753541075</v>
      </c>
      <c r="N3232" s="12">
        <v>1512.7478753541075</v>
      </c>
      <c r="O3232" s="12">
        <v>287.42209631728042</v>
      </c>
      <c r="P3232" s="13"/>
      <c r="Q3232" s="14">
        <v>2025</v>
      </c>
      <c r="R3232" s="15">
        <v>45292</v>
      </c>
      <c r="S3232" s="11" t="s">
        <v>453</v>
      </c>
      <c r="T3232" s="16">
        <v>0</v>
      </c>
      <c r="U3232" s="17"/>
      <c r="V3232" s="12">
        <v>711.74787535410746</v>
      </c>
      <c r="W3232" s="12">
        <v>711.74787535410746</v>
      </c>
      <c r="X3232" s="12">
        <v>0</v>
      </c>
      <c r="Y3232" s="18">
        <v>45684</v>
      </c>
      <c r="Z3232" s="13" t="s">
        <v>503</v>
      </c>
      <c r="AA3232" s="19" t="str">
        <f>VLOOKUP(D3232,Clientes!$A$2:$J$486,9,FALSE)</f>
        <v>Frecuente</v>
      </c>
      <c r="AB3232" s="13" t="str">
        <f>VLOOKUP(D3232,Clientes!$A$2:$K$486,11,FALSE)</f>
        <v>Persona Natural</v>
      </c>
      <c r="AC3232" s="13" t="str">
        <f>VLOOKUP(D3232,Clientes!$A$2:$B$486,2,FALSE)</f>
        <v>Curso Amalia</v>
      </c>
      <c r="AD3232" s="20"/>
      <c r="AE3232" s="20"/>
      <c r="AF3232" s="13" t="s">
        <v>40</v>
      </c>
      <c r="AG3232" s="15">
        <v>45292</v>
      </c>
      <c r="AH3232" s="13" t="s">
        <v>41</v>
      </c>
      <c r="AI3232" s="13" t="s">
        <v>47</v>
      </c>
      <c r="AJ3232" s="13" t="str">
        <f>VLOOKUP(E3232,Precios!Z$2:AA$941,2,FALSE)</f>
        <v xml:space="preserve">Bolsas Basura TEDDY 50x70 </v>
      </c>
      <c r="AK3232" s="14">
        <f>VLOOKUP(E3232,Precios!Z$2:BB$941,3,FALSE)*F3232</f>
        <v>-3</v>
      </c>
      <c r="AL3232" s="17"/>
      <c r="AM3232" s="17"/>
      <c r="AN3232" s="17"/>
      <c r="AO3232" s="17"/>
      <c r="AP3232" s="17"/>
      <c r="AQ3232" s="17"/>
      <c r="AR3232" s="17"/>
      <c r="AS3232" s="17"/>
      <c r="AT3232" s="17"/>
      <c r="AU3232" s="17"/>
      <c r="AV3232" s="17"/>
    </row>
    <row r="3233" spans="1:48" ht="15.75" customHeight="1">
      <c r="A3233" s="21" t="s">
        <v>53</v>
      </c>
      <c r="B3233" s="23" t="s">
        <v>1692</v>
      </c>
      <c r="C3233" s="22">
        <v>45688</v>
      </c>
      <c r="D3233" s="23" t="s">
        <v>142</v>
      </c>
      <c r="E3233" s="23" t="s">
        <v>150</v>
      </c>
      <c r="F3233" s="21">
        <v>1</v>
      </c>
      <c r="G3233" s="12">
        <v>1799.8965445892823</v>
      </c>
      <c r="H3233" s="12">
        <v>1799.8965445892823</v>
      </c>
      <c r="I3233" s="23" t="s">
        <v>52</v>
      </c>
      <c r="J3233" s="23" t="s">
        <v>61</v>
      </c>
      <c r="K3233" s="24" t="s">
        <v>177</v>
      </c>
      <c r="L3233" s="26">
        <v>98</v>
      </c>
      <c r="M3233" s="12">
        <v>1512.518104696876</v>
      </c>
      <c r="N3233" s="12">
        <v>1512.518104696876</v>
      </c>
      <c r="O3233" s="12">
        <v>287.37843989240628</v>
      </c>
      <c r="P3233" s="13"/>
      <c r="Q3233" s="14">
        <v>2025</v>
      </c>
      <c r="R3233" s="15">
        <v>45292</v>
      </c>
      <c r="S3233" s="11" t="s">
        <v>381</v>
      </c>
      <c r="T3233" s="16">
        <v>300</v>
      </c>
      <c r="U3233" s="17"/>
      <c r="V3233" s="12">
        <v>781.51810469687575</v>
      </c>
      <c r="W3233" s="12">
        <v>781.51810469687575</v>
      </c>
      <c r="X3233" s="12">
        <v>0</v>
      </c>
      <c r="Y3233" s="18">
        <v>45684</v>
      </c>
      <c r="Z3233" s="13" t="s">
        <v>503</v>
      </c>
      <c r="AA3233" s="19" t="str">
        <f>VLOOKUP(D3233,Clientes!$A$2:$J$486,9,FALSE)</f>
        <v>Frecuente</v>
      </c>
      <c r="AB3233" s="13" t="str">
        <f>VLOOKUP(D3233,Clientes!$A$2:$K$486,11,FALSE)</f>
        <v>Persona Natural</v>
      </c>
      <c r="AC3233" s="13" t="str">
        <f>VLOOKUP(D3233,Clientes!$A$2:$B$486,2,FALSE)</f>
        <v>Curso Amalia</v>
      </c>
      <c r="AD3233" s="20"/>
      <c r="AE3233" s="20"/>
      <c r="AF3233" s="13" t="s">
        <v>40</v>
      </c>
      <c r="AG3233" s="15">
        <v>45292</v>
      </c>
      <c r="AH3233" s="13" t="s">
        <v>41</v>
      </c>
      <c r="AI3233" s="13" t="s">
        <v>53</v>
      </c>
      <c r="AJ3233" s="13" t="str">
        <f>VLOOKUP(E3233,Precios!Z$2:AA$941,2,FALSE)</f>
        <v>Servilletas SOFTQUALITY 300 unidades</v>
      </c>
      <c r="AK3233" s="14">
        <f>VLOOKUP(E3233,Precios!Z$2:BB$941,3,FALSE)*F3233</f>
        <v>-1</v>
      </c>
      <c r="AL3233" s="17"/>
      <c r="AM3233" s="17"/>
      <c r="AN3233" s="17"/>
      <c r="AO3233" s="17"/>
      <c r="AP3233" s="17"/>
      <c r="AQ3233" s="17"/>
      <c r="AR3233" s="17"/>
      <c r="AS3233" s="17"/>
      <c r="AT3233" s="17"/>
      <c r="AU3233" s="17"/>
      <c r="AV3233" s="17"/>
    </row>
    <row r="3234" spans="1:48" ht="15.75" customHeight="1">
      <c r="A3234" s="21" t="s">
        <v>47</v>
      </c>
      <c r="B3234" s="23" t="s">
        <v>1692</v>
      </c>
      <c r="C3234" s="22">
        <v>45688</v>
      </c>
      <c r="D3234" s="23" t="s">
        <v>759</v>
      </c>
      <c r="E3234" s="23" t="s">
        <v>153</v>
      </c>
      <c r="F3234" s="21">
        <v>2</v>
      </c>
      <c r="G3234" s="12">
        <v>1700</v>
      </c>
      <c r="H3234" s="12">
        <v>3400</v>
      </c>
      <c r="I3234" s="23" t="s">
        <v>52</v>
      </c>
      <c r="J3234" s="23" t="s">
        <v>61</v>
      </c>
      <c r="K3234" s="24" t="s">
        <v>177</v>
      </c>
      <c r="L3234" s="26">
        <v>98</v>
      </c>
      <c r="M3234" s="12">
        <v>1428.5714285714287</v>
      </c>
      <c r="N3234" s="12">
        <v>2857.1428571428573</v>
      </c>
      <c r="O3234" s="12">
        <v>542.85714285714266</v>
      </c>
      <c r="P3234" s="13"/>
      <c r="Q3234" s="14">
        <v>2025</v>
      </c>
      <c r="R3234" s="15">
        <v>45292</v>
      </c>
      <c r="S3234" s="11" t="s">
        <v>153</v>
      </c>
      <c r="T3234" s="16">
        <v>0</v>
      </c>
      <c r="U3234" s="17"/>
      <c r="V3234" s="12">
        <v>1179.1428571428573</v>
      </c>
      <c r="W3234" s="12">
        <v>1179.1428571428573</v>
      </c>
      <c r="X3234" s="12">
        <v>0</v>
      </c>
      <c r="Y3234" s="18">
        <v>45684</v>
      </c>
      <c r="Z3234" s="13" t="s">
        <v>503</v>
      </c>
      <c r="AA3234" s="19" t="str">
        <f>VLOOKUP(D3234,Clientes!$A$2:$J$486,9,FALSE)</f>
        <v>Ocacional</v>
      </c>
      <c r="AB3234" s="13" t="str">
        <f>VLOOKUP(D3234,Clientes!$A$2:$K$486,11,FALSE)</f>
        <v>Persona Natural</v>
      </c>
      <c r="AC3234" s="13" t="str">
        <f>VLOOKUP(D3234,Clientes!$A$2:$B$486,2,FALSE)</f>
        <v>Alonso Ercilla</v>
      </c>
      <c r="AD3234" s="20"/>
      <c r="AE3234" s="20"/>
      <c r="AF3234" s="13" t="s">
        <v>40</v>
      </c>
      <c r="AG3234" s="15">
        <v>45292</v>
      </c>
      <c r="AH3234" s="13" t="s">
        <v>41</v>
      </c>
      <c r="AI3234" s="13" t="s">
        <v>47</v>
      </c>
      <c r="AJ3234" s="13" t="str">
        <f>VLOOKUP(E3234,Precios!Z$2:AA$941,2,FALSE)</f>
        <v>Escobillon TEDDY</v>
      </c>
      <c r="AK3234" s="14">
        <f>VLOOKUP(E3234,Precios!Z$2:BB$941,3,FALSE)*F3234</f>
        <v>-2</v>
      </c>
      <c r="AL3234" s="17"/>
      <c r="AM3234" s="17"/>
      <c r="AN3234" s="17"/>
      <c r="AO3234" s="17"/>
      <c r="AP3234" s="17"/>
      <c r="AQ3234" s="17"/>
      <c r="AR3234" s="17"/>
      <c r="AS3234" s="17"/>
      <c r="AT3234" s="17"/>
      <c r="AU3234" s="17"/>
      <c r="AV3234" s="17"/>
    </row>
    <row r="3235" spans="1:48" ht="15.75" customHeight="1">
      <c r="A3235" s="21" t="s">
        <v>53</v>
      </c>
      <c r="B3235" s="23" t="s">
        <v>1692</v>
      </c>
      <c r="C3235" s="22">
        <v>45688</v>
      </c>
      <c r="D3235" s="23" t="s">
        <v>760</v>
      </c>
      <c r="E3235" s="23" t="s">
        <v>369</v>
      </c>
      <c r="F3235" s="21">
        <v>2</v>
      </c>
      <c r="G3235" s="12">
        <v>1500.0000000000002</v>
      </c>
      <c r="H3235" s="12">
        <v>3000.0000000000005</v>
      </c>
      <c r="I3235" s="23" t="s">
        <v>52</v>
      </c>
      <c r="J3235" s="23" t="s">
        <v>61</v>
      </c>
      <c r="K3235" s="24" t="s">
        <v>177</v>
      </c>
      <c r="L3235" s="26">
        <v>98</v>
      </c>
      <c r="M3235" s="12">
        <v>1260.5042016806726</v>
      </c>
      <c r="N3235" s="12">
        <v>2521.0084033613452</v>
      </c>
      <c r="O3235" s="12">
        <v>478.99159663865521</v>
      </c>
      <c r="P3235" s="13"/>
      <c r="Q3235" s="14">
        <v>2025</v>
      </c>
      <c r="R3235" s="15">
        <v>45292</v>
      </c>
      <c r="S3235" s="11" t="s">
        <v>369</v>
      </c>
      <c r="T3235" s="16">
        <v>0</v>
      </c>
      <c r="U3235" s="17"/>
      <c r="V3235" s="12">
        <v>915.96638655462198</v>
      </c>
      <c r="W3235" s="12">
        <v>915.96638655462198</v>
      </c>
      <c r="X3235" s="12">
        <v>0</v>
      </c>
      <c r="Y3235" s="18">
        <v>45684</v>
      </c>
      <c r="Z3235" s="13" t="s">
        <v>503</v>
      </c>
      <c r="AA3235" s="19" t="str">
        <f>VLOOKUP(D3235,Clientes!$A$2:$J$486,9,FALSE)</f>
        <v>Ocacional</v>
      </c>
      <c r="AB3235" s="13" t="str">
        <f>VLOOKUP(D3235,Clientes!$A$2:$K$486,11,FALSE)</f>
        <v>Persona Natural</v>
      </c>
      <c r="AC3235" s="13" t="str">
        <f>VLOOKUP(D3235,Clientes!$A$2:$B$486,2,FALSE)</f>
        <v>Negrillo</v>
      </c>
      <c r="AD3235" s="20"/>
      <c r="AE3235" s="20"/>
      <c r="AF3235" s="13" t="s">
        <v>40</v>
      </c>
      <c r="AG3235" s="15">
        <v>45292</v>
      </c>
      <c r="AH3235" s="13" t="s">
        <v>41</v>
      </c>
      <c r="AI3235" s="13" t="s">
        <v>53</v>
      </c>
      <c r="AJ3235" s="13" t="str">
        <f>VLOOKUP(E3235,Precios!Z$2:AA$941,2,FALSE)</f>
        <v>Toalla Papel NOVA 12 metros</v>
      </c>
      <c r="AK3235" s="14">
        <f>VLOOKUP(E3235,Precios!Z$2:BB$941,3,FALSE)*F3235</f>
        <v>-2</v>
      </c>
      <c r="AL3235" s="17"/>
      <c r="AM3235" s="17"/>
      <c r="AN3235" s="17"/>
      <c r="AO3235" s="17"/>
      <c r="AP3235" s="17"/>
      <c r="AQ3235" s="17"/>
      <c r="AR3235" s="17"/>
      <c r="AS3235" s="17"/>
      <c r="AT3235" s="17"/>
      <c r="AU3235" s="17"/>
      <c r="AV3235" s="17"/>
    </row>
    <row r="3236" spans="1:48" ht="15.75" customHeight="1">
      <c r="A3236" s="21" t="s">
        <v>76</v>
      </c>
      <c r="B3236" s="23" t="s">
        <v>1692</v>
      </c>
      <c r="C3236" s="22">
        <v>45688</v>
      </c>
      <c r="D3236" s="23" t="s">
        <v>760</v>
      </c>
      <c r="E3236" s="23" t="s">
        <v>81</v>
      </c>
      <c r="F3236" s="21">
        <v>1</v>
      </c>
      <c r="G3236" s="12">
        <v>3500.0000000000005</v>
      </c>
      <c r="H3236" s="12">
        <v>3500.0000000000005</v>
      </c>
      <c r="I3236" s="23" t="s">
        <v>52</v>
      </c>
      <c r="J3236" s="23" t="s">
        <v>61</v>
      </c>
      <c r="K3236" s="24" t="s">
        <v>177</v>
      </c>
      <c r="L3236" s="26">
        <v>98</v>
      </c>
      <c r="M3236" s="12">
        <v>2941.1764705882356</v>
      </c>
      <c r="N3236" s="12">
        <v>2941.1764705882356</v>
      </c>
      <c r="O3236" s="12">
        <v>558.82352941176487</v>
      </c>
      <c r="P3236" s="13"/>
      <c r="Q3236" s="14">
        <v>2025</v>
      </c>
      <c r="R3236" s="15">
        <v>45292</v>
      </c>
      <c r="S3236" s="11" t="s">
        <v>397</v>
      </c>
      <c r="T3236" s="16">
        <v>5</v>
      </c>
      <c r="U3236" s="17"/>
      <c r="V3236" s="12">
        <v>764.70588235294144</v>
      </c>
      <c r="W3236" s="12">
        <v>764.70588235294144</v>
      </c>
      <c r="X3236" s="12">
        <v>0</v>
      </c>
      <c r="Y3236" s="18">
        <v>45684</v>
      </c>
      <c r="Z3236" s="13" t="s">
        <v>503</v>
      </c>
      <c r="AA3236" s="19" t="str">
        <f>VLOOKUP(D3236,Clientes!$A$2:$J$486,9,FALSE)</f>
        <v>Ocacional</v>
      </c>
      <c r="AB3236" s="13" t="str">
        <f>VLOOKUP(D3236,Clientes!$A$2:$K$486,11,FALSE)</f>
        <v>Persona Natural</v>
      </c>
      <c r="AC3236" s="13" t="str">
        <f>VLOOKUP(D3236,Clientes!$A$2:$B$486,2,FALSE)</f>
        <v>Negrillo</v>
      </c>
      <c r="AD3236" s="20"/>
      <c r="AE3236" s="20"/>
      <c r="AF3236" s="13" t="s">
        <v>40</v>
      </c>
      <c r="AG3236" s="15">
        <v>45292</v>
      </c>
      <c r="AH3236" s="13" t="s">
        <v>41</v>
      </c>
      <c r="AI3236" s="13" t="s">
        <v>76</v>
      </c>
      <c r="AJ3236" s="13" t="str">
        <f>VLOOKUP(E3236,Precios!Z$2:AA$941,2,FALSE)</f>
        <v>Detergente SPUM 5 Litros (Verde)</v>
      </c>
      <c r="AK3236" s="14">
        <f>VLOOKUP(E3236,Precios!Z$2:BB$941,3,FALSE)*F3236</f>
        <v>-1</v>
      </c>
      <c r="AL3236" s="17"/>
      <c r="AM3236" s="17"/>
      <c r="AN3236" s="17"/>
      <c r="AO3236" s="17"/>
      <c r="AP3236" s="17"/>
      <c r="AQ3236" s="17"/>
      <c r="AR3236" s="17"/>
      <c r="AS3236" s="17"/>
      <c r="AT3236" s="17"/>
      <c r="AU3236" s="17"/>
      <c r="AV3236" s="17"/>
    </row>
    <row r="3237" spans="1:48" ht="15.75" customHeight="1">
      <c r="A3237" s="21" t="s">
        <v>147</v>
      </c>
      <c r="B3237" s="23" t="s">
        <v>1692</v>
      </c>
      <c r="C3237" s="22">
        <v>45688</v>
      </c>
      <c r="D3237" s="23" t="s">
        <v>760</v>
      </c>
      <c r="E3237" s="23" t="s">
        <v>149</v>
      </c>
      <c r="F3237" s="21">
        <v>1</v>
      </c>
      <c r="G3237" s="12">
        <v>1700</v>
      </c>
      <c r="H3237" s="12">
        <v>1700</v>
      </c>
      <c r="I3237" s="23" t="s">
        <v>52</v>
      </c>
      <c r="J3237" s="23" t="s">
        <v>61</v>
      </c>
      <c r="K3237" s="24" t="s">
        <v>177</v>
      </c>
      <c r="L3237" s="26">
        <v>98</v>
      </c>
      <c r="M3237" s="12">
        <v>1428.5714285714287</v>
      </c>
      <c r="N3237" s="12">
        <v>1428.5714285714287</v>
      </c>
      <c r="O3237" s="12">
        <v>271.42857142857133</v>
      </c>
      <c r="P3237" s="13"/>
      <c r="Q3237" s="14">
        <v>2025</v>
      </c>
      <c r="R3237" s="15">
        <v>45292</v>
      </c>
      <c r="S3237" s="11" t="s">
        <v>412</v>
      </c>
      <c r="T3237" s="16">
        <v>0</v>
      </c>
      <c r="U3237" s="17"/>
      <c r="V3237" s="12">
        <v>774.78991596638662</v>
      </c>
      <c r="W3237" s="12">
        <v>774.78991596638662</v>
      </c>
      <c r="X3237" s="12">
        <v>0</v>
      </c>
      <c r="Y3237" s="18">
        <v>45684</v>
      </c>
      <c r="Z3237" s="13" t="s">
        <v>503</v>
      </c>
      <c r="AA3237" s="19" t="str">
        <f>VLOOKUP(D3237,Clientes!$A$2:$J$486,9,FALSE)</f>
        <v>Ocacional</v>
      </c>
      <c r="AB3237" s="13" t="str">
        <f>VLOOKUP(D3237,Clientes!$A$2:$K$486,11,FALSE)</f>
        <v>Persona Natural</v>
      </c>
      <c r="AC3237" s="13" t="str">
        <f>VLOOKUP(D3237,Clientes!$A$2:$B$486,2,FALSE)</f>
        <v>Negrillo</v>
      </c>
      <c r="AD3237" s="20"/>
      <c r="AE3237" s="20"/>
      <c r="AF3237" s="13" t="s">
        <v>40</v>
      </c>
      <c r="AG3237" s="15">
        <v>45292</v>
      </c>
      <c r="AH3237" s="13" t="s">
        <v>41</v>
      </c>
      <c r="AI3237" s="13" t="s">
        <v>147</v>
      </c>
      <c r="AJ3237" s="13" t="str">
        <f>VLOOKUP(E3237,Precios!Z$2:AA$941,2,FALSE)</f>
        <v>Film Plástico 30 metros</v>
      </c>
      <c r="AK3237" s="14">
        <f>VLOOKUP(E3237,Precios!Z$2:BB$941,3,FALSE)*F3237</f>
        <v>-1</v>
      </c>
      <c r="AL3237" s="17"/>
      <c r="AM3237" s="17"/>
      <c r="AN3237" s="17"/>
      <c r="AO3237" s="17"/>
      <c r="AP3237" s="17"/>
      <c r="AQ3237" s="17"/>
      <c r="AR3237" s="17"/>
      <c r="AS3237" s="17"/>
      <c r="AT3237" s="17"/>
      <c r="AU3237" s="17"/>
      <c r="AV3237" s="17"/>
    </row>
    <row r="3238" spans="1:48" ht="15.75" customHeight="1">
      <c r="A3238" s="21" t="s">
        <v>76</v>
      </c>
      <c r="B3238" s="23" t="s">
        <v>1692</v>
      </c>
      <c r="C3238" s="22">
        <v>45688</v>
      </c>
      <c r="D3238" s="23" t="s">
        <v>125</v>
      </c>
      <c r="E3238" s="23" t="s">
        <v>98</v>
      </c>
      <c r="F3238" s="14">
        <v>1</v>
      </c>
      <c r="G3238" s="12">
        <v>2600.0000000000005</v>
      </c>
      <c r="H3238" s="12">
        <v>2600.0000000000005</v>
      </c>
      <c r="I3238" s="23" t="s">
        <v>52</v>
      </c>
      <c r="J3238" s="23" t="s">
        <v>61</v>
      </c>
      <c r="K3238" s="24" t="s">
        <v>177</v>
      </c>
      <c r="L3238" s="26">
        <v>98</v>
      </c>
      <c r="M3238" s="12">
        <v>2184.8739495798322</v>
      </c>
      <c r="N3238" s="12">
        <v>2184.8739495798322</v>
      </c>
      <c r="O3238" s="12">
        <v>415.12605042016821</v>
      </c>
      <c r="P3238" s="13"/>
      <c r="Q3238" s="14">
        <v>2025</v>
      </c>
      <c r="R3238" s="15">
        <v>45292</v>
      </c>
      <c r="S3238" s="11" t="s">
        <v>479</v>
      </c>
      <c r="T3238" s="16">
        <v>0</v>
      </c>
      <c r="U3238" s="17"/>
      <c r="V3238" s="12">
        <v>1052.1008403361348</v>
      </c>
      <c r="W3238" s="12">
        <v>1052.1008403361348</v>
      </c>
      <c r="X3238" s="12">
        <v>0</v>
      </c>
      <c r="Y3238" s="18">
        <v>45684</v>
      </c>
      <c r="Z3238" s="13" t="s">
        <v>503</v>
      </c>
      <c r="AA3238" s="19" t="str">
        <f>VLOOKUP(D3238,Clientes!$A$2:$J$486,9,FALSE)</f>
        <v>Frecuente</v>
      </c>
      <c r="AB3238" s="13" t="str">
        <f>VLOOKUP(D3238,Clientes!$A$2:$K$486,11,FALSE)</f>
        <v>Persona Natural</v>
      </c>
      <c r="AC3238" s="13" t="str">
        <f>VLOOKUP(D3238,Clientes!$A$2:$B$486,2,FALSE)</f>
        <v>Jardines de la Viña</v>
      </c>
      <c r="AD3238" s="20"/>
      <c r="AE3238" s="20"/>
      <c r="AF3238" s="13" t="s">
        <v>40</v>
      </c>
      <c r="AG3238" s="15">
        <v>45292</v>
      </c>
      <c r="AH3238" s="13" t="s">
        <v>41</v>
      </c>
      <c r="AI3238" s="13" t="s">
        <v>76</v>
      </c>
      <c r="AJ3238" s="13" t="str">
        <f>VLOOKUP(E3238,Precios!Z$2:AA$941,2,FALSE)</f>
        <v>Lavaloza QUIX 750 cc</v>
      </c>
      <c r="AK3238" s="14">
        <f>VLOOKUP(E3238,Precios!Z$2:BB$941,3,FALSE)*F3238</f>
        <v>-1</v>
      </c>
      <c r="AL3238" s="17"/>
      <c r="AM3238" s="17"/>
      <c r="AN3238" s="17"/>
      <c r="AO3238" s="17"/>
      <c r="AP3238" s="17"/>
      <c r="AQ3238" s="17"/>
      <c r="AR3238" s="17"/>
      <c r="AS3238" s="17"/>
      <c r="AT3238" s="17"/>
      <c r="AU3238" s="17"/>
      <c r="AV3238" s="17"/>
    </row>
    <row r="3239" spans="1:48" ht="15.75" customHeight="1">
      <c r="A3239" s="21" t="s">
        <v>76</v>
      </c>
      <c r="B3239" s="23" t="s">
        <v>1692</v>
      </c>
      <c r="C3239" s="22">
        <v>45688</v>
      </c>
      <c r="D3239" s="23" t="s">
        <v>125</v>
      </c>
      <c r="E3239" s="23" t="s">
        <v>481</v>
      </c>
      <c r="F3239" s="14">
        <v>1</v>
      </c>
      <c r="G3239" s="12">
        <v>1599.969512195122</v>
      </c>
      <c r="H3239" s="12">
        <v>1599.969512195122</v>
      </c>
      <c r="I3239" s="23" t="s">
        <v>52</v>
      </c>
      <c r="J3239" s="23" t="s">
        <v>61</v>
      </c>
      <c r="K3239" s="24" t="s">
        <v>177</v>
      </c>
      <c r="L3239" s="26">
        <v>98</v>
      </c>
      <c r="M3239" s="12">
        <v>1344.5121951219512</v>
      </c>
      <c r="N3239" s="12">
        <v>1344.5121951219512</v>
      </c>
      <c r="O3239" s="12">
        <v>255.45731707317077</v>
      </c>
      <c r="P3239" s="13"/>
      <c r="Q3239" s="14">
        <v>2025</v>
      </c>
      <c r="R3239" s="15">
        <v>45292</v>
      </c>
      <c r="S3239" s="11" t="s">
        <v>482</v>
      </c>
      <c r="T3239" s="16">
        <v>800</v>
      </c>
      <c r="U3239" s="17"/>
      <c r="V3239" s="12">
        <v>462.51219512195121</v>
      </c>
      <c r="W3239" s="12">
        <v>462.51219512195121</v>
      </c>
      <c r="X3239" s="12">
        <v>0</v>
      </c>
      <c r="Y3239" s="18">
        <v>45684</v>
      </c>
      <c r="Z3239" s="13" t="s">
        <v>503</v>
      </c>
      <c r="AA3239" s="19" t="str">
        <f>VLOOKUP(D3239,Clientes!$A$2:$J$486,9,FALSE)</f>
        <v>Frecuente</v>
      </c>
      <c r="AB3239" s="13" t="str">
        <f>VLOOKUP(D3239,Clientes!$A$2:$K$486,11,FALSE)</f>
        <v>Persona Natural</v>
      </c>
      <c r="AC3239" s="13" t="str">
        <f>VLOOKUP(D3239,Clientes!$A$2:$B$486,2,FALSE)</f>
        <v>Jardines de la Viña</v>
      </c>
      <c r="AD3239" s="20"/>
      <c r="AE3239" s="20"/>
      <c r="AF3239" s="13" t="s">
        <v>40</v>
      </c>
      <c r="AG3239" s="15">
        <v>45292</v>
      </c>
      <c r="AH3239" s="13" t="s">
        <v>41</v>
      </c>
      <c r="AI3239" s="13" t="s">
        <v>76</v>
      </c>
      <c r="AJ3239" s="13" t="str">
        <f>VLOOKUP(E3239,Precios!Z$2:AA$941,2,FALSE)</f>
        <v>Detergente BIO FRESCURA Bosque Nativo (Verde)</v>
      </c>
      <c r="AK3239" s="14">
        <f>VLOOKUP(E3239,Precios!Z$2:BB$941,3,FALSE)*F3239</f>
        <v>-1</v>
      </c>
      <c r="AL3239" s="17"/>
      <c r="AM3239" s="17"/>
      <c r="AN3239" s="17"/>
      <c r="AO3239" s="17"/>
      <c r="AP3239" s="17"/>
      <c r="AQ3239" s="17"/>
      <c r="AR3239" s="17"/>
      <c r="AS3239" s="17"/>
      <c r="AT3239" s="17"/>
      <c r="AU3239" s="17"/>
      <c r="AV3239" s="17"/>
    </row>
    <row r="3240" spans="1:48" ht="15.75" customHeight="1">
      <c r="A3240" s="21" t="s">
        <v>47</v>
      </c>
      <c r="B3240" s="23" t="s">
        <v>1692</v>
      </c>
      <c r="C3240" s="22">
        <v>45688</v>
      </c>
      <c r="D3240" s="23" t="s">
        <v>125</v>
      </c>
      <c r="E3240" s="23" t="s">
        <v>107</v>
      </c>
      <c r="F3240" s="14">
        <v>1</v>
      </c>
      <c r="G3240" s="12">
        <v>3000.0000000000005</v>
      </c>
      <c r="H3240" s="12">
        <v>3000.0000000000005</v>
      </c>
      <c r="I3240" s="23" t="s">
        <v>52</v>
      </c>
      <c r="J3240" s="23" t="s">
        <v>61</v>
      </c>
      <c r="K3240" s="24" t="s">
        <v>177</v>
      </c>
      <c r="L3240" s="26">
        <v>98</v>
      </c>
      <c r="M3240" s="12">
        <v>2521.0084033613452</v>
      </c>
      <c r="N3240" s="12">
        <v>2521.0084033613452</v>
      </c>
      <c r="O3240" s="12">
        <v>478.99159663865521</v>
      </c>
      <c r="P3240" s="13"/>
      <c r="Q3240" s="14">
        <v>2025</v>
      </c>
      <c r="R3240" s="15">
        <v>45292</v>
      </c>
      <c r="S3240" s="11" t="s">
        <v>453</v>
      </c>
      <c r="T3240" s="16">
        <v>0</v>
      </c>
      <c r="U3240" s="17"/>
      <c r="V3240" s="12">
        <v>758.82352941176487</v>
      </c>
      <c r="W3240" s="12">
        <v>758.82352941176487</v>
      </c>
      <c r="X3240" s="12">
        <v>0</v>
      </c>
      <c r="Y3240" s="18">
        <v>45684</v>
      </c>
      <c r="Z3240" s="13" t="s">
        <v>503</v>
      </c>
      <c r="AA3240" s="19" t="str">
        <f>VLOOKUP(D3240,Clientes!$A$2:$J$486,9,FALSE)</f>
        <v>Frecuente</v>
      </c>
      <c r="AB3240" s="13" t="str">
        <f>VLOOKUP(D3240,Clientes!$A$2:$K$486,11,FALSE)</f>
        <v>Persona Natural</v>
      </c>
      <c r="AC3240" s="13" t="str">
        <f>VLOOKUP(D3240,Clientes!$A$2:$B$486,2,FALSE)</f>
        <v>Jardines de la Viña</v>
      </c>
      <c r="AD3240" s="20"/>
      <c r="AE3240" s="20"/>
      <c r="AF3240" s="13" t="s">
        <v>40</v>
      </c>
      <c r="AG3240" s="15">
        <v>45292</v>
      </c>
      <c r="AH3240" s="13" t="s">
        <v>41</v>
      </c>
      <c r="AI3240" s="13" t="s">
        <v>47</v>
      </c>
      <c r="AJ3240" s="13" t="str">
        <f>VLOOKUP(E3240,Precios!Z$2:AA$941,2,FALSE)</f>
        <v xml:space="preserve">Bolsas Basura TEDDY 90x120 </v>
      </c>
      <c r="AK3240" s="14">
        <f>VLOOKUP(E3240,Precios!Z$2:BB$941,3,FALSE)*F3240</f>
        <v>-1</v>
      </c>
      <c r="AL3240" s="17"/>
      <c r="AM3240" s="17"/>
      <c r="AN3240" s="17"/>
      <c r="AO3240" s="17"/>
      <c r="AP3240" s="17"/>
      <c r="AQ3240" s="17"/>
      <c r="AR3240" s="17"/>
      <c r="AS3240" s="17"/>
      <c r="AT3240" s="17"/>
      <c r="AU3240" s="17"/>
      <c r="AV3240" s="17"/>
    </row>
    <row r="3241" spans="1:48" ht="15.75" customHeight="1">
      <c r="A3241" s="21" t="s">
        <v>35</v>
      </c>
      <c r="B3241" s="23" t="s">
        <v>1692</v>
      </c>
      <c r="C3241" s="22">
        <v>45688</v>
      </c>
      <c r="D3241" s="23" t="s">
        <v>232</v>
      </c>
      <c r="E3241" s="23" t="s">
        <v>37</v>
      </c>
      <c r="F3241" s="14">
        <v>1</v>
      </c>
      <c r="G3241" s="12">
        <v>10500</v>
      </c>
      <c r="H3241" s="12">
        <v>10500</v>
      </c>
      <c r="I3241" s="23" t="s">
        <v>52</v>
      </c>
      <c r="J3241" s="23" t="s">
        <v>61</v>
      </c>
      <c r="K3241" s="24" t="s">
        <v>177</v>
      </c>
      <c r="L3241" s="26">
        <v>98</v>
      </c>
      <c r="M3241" s="12">
        <v>8823.5294117647063</v>
      </c>
      <c r="N3241" s="12">
        <v>8823.5294117647063</v>
      </c>
      <c r="O3241" s="12">
        <v>1676.4705882352937</v>
      </c>
      <c r="P3241" s="13"/>
      <c r="Q3241" s="14">
        <v>2025</v>
      </c>
      <c r="R3241" s="15">
        <v>45292</v>
      </c>
      <c r="S3241" s="11" t="s">
        <v>364</v>
      </c>
      <c r="T3241" s="16">
        <v>1000</v>
      </c>
      <c r="U3241" s="17"/>
      <c r="V3241" s="12">
        <v>2385.7142857142853</v>
      </c>
      <c r="W3241" s="12">
        <v>2385.7142857142853</v>
      </c>
      <c r="X3241" s="12">
        <v>0</v>
      </c>
      <c r="Y3241" s="18">
        <v>45684</v>
      </c>
      <c r="Z3241" s="13" t="s">
        <v>503</v>
      </c>
      <c r="AA3241" s="19" t="str">
        <f>VLOOKUP(D3241,Clientes!$A$2:$J$486,9,FALSE)</f>
        <v>Regular</v>
      </c>
      <c r="AB3241" s="13" t="str">
        <f>VLOOKUP(D3241,Clientes!$A$2:$K$486,11,FALSE)</f>
        <v>Persona Natural</v>
      </c>
      <c r="AC3241" s="13" t="str">
        <f>VLOOKUP(D3241,Clientes!$A$2:$B$486,2,FALSE)</f>
        <v>Colegio Antilhue</v>
      </c>
      <c r="AD3241" s="20"/>
      <c r="AE3241" s="20"/>
      <c r="AF3241" s="13" t="s">
        <v>40</v>
      </c>
      <c r="AG3241" s="15">
        <v>45292</v>
      </c>
      <c r="AH3241" s="13" t="s">
        <v>41</v>
      </c>
      <c r="AI3241" s="13" t="s">
        <v>35</v>
      </c>
      <c r="AJ3241" s="13" t="str">
        <f>VLOOKUP(E3241,Precios!Z$2:AA$941,2,FALSE)</f>
        <v>Queso RUNCA Mantecoso</v>
      </c>
      <c r="AK3241" s="14">
        <f>VLOOKUP(E3241,Precios!Z$2:BB$941,3,FALSE)*F3241</f>
        <v>-1</v>
      </c>
      <c r="AL3241" s="17"/>
      <c r="AM3241" s="17"/>
      <c r="AN3241" s="17"/>
      <c r="AO3241" s="17"/>
      <c r="AP3241" s="17"/>
      <c r="AQ3241" s="17"/>
      <c r="AR3241" s="17"/>
      <c r="AS3241" s="17"/>
      <c r="AT3241" s="17"/>
      <c r="AU3241" s="17"/>
      <c r="AV3241" s="17"/>
    </row>
    <row r="3242" spans="1:48" ht="15.75" customHeight="1">
      <c r="A3242" s="21" t="s">
        <v>43</v>
      </c>
      <c r="B3242" s="23" t="s">
        <v>1692</v>
      </c>
      <c r="C3242" s="22">
        <v>45688</v>
      </c>
      <c r="D3242" s="23" t="s">
        <v>232</v>
      </c>
      <c r="E3242" s="23" t="s">
        <v>45</v>
      </c>
      <c r="F3242" s="14">
        <v>1</v>
      </c>
      <c r="G3242" s="12">
        <v>6300.1913812446392</v>
      </c>
      <c r="H3242" s="12">
        <v>6300.1913812446392</v>
      </c>
      <c r="I3242" s="23" t="s">
        <v>52</v>
      </c>
      <c r="J3242" s="23" t="s">
        <v>61</v>
      </c>
      <c r="K3242" s="24" t="s">
        <v>177</v>
      </c>
      <c r="L3242" s="26">
        <v>98</v>
      </c>
      <c r="M3242" s="12">
        <v>5294.2784716341512</v>
      </c>
      <c r="N3242" s="12">
        <v>5294.2784716341512</v>
      </c>
      <c r="O3242" s="12">
        <v>1005.912909610488</v>
      </c>
      <c r="P3242" s="13"/>
      <c r="Q3242" s="14">
        <v>2025</v>
      </c>
      <c r="R3242" s="15">
        <v>45292</v>
      </c>
      <c r="S3242" s="11" t="s">
        <v>355</v>
      </c>
      <c r="T3242" s="16">
        <v>0</v>
      </c>
      <c r="U3242" s="17"/>
      <c r="V3242" s="12">
        <v>1283.0683876005369</v>
      </c>
      <c r="W3242" s="12">
        <v>1283.0683876005369</v>
      </c>
      <c r="X3242" s="12">
        <v>0</v>
      </c>
      <c r="Y3242" s="18">
        <v>45684</v>
      </c>
      <c r="Z3242" s="13" t="s">
        <v>503</v>
      </c>
      <c r="AA3242" s="19" t="str">
        <f>VLOOKUP(D3242,Clientes!$A$2:$J$486,9,FALSE)</f>
        <v>Regular</v>
      </c>
      <c r="AB3242" s="13" t="str">
        <f>VLOOKUP(D3242,Clientes!$A$2:$K$486,11,FALSE)</f>
        <v>Persona Natural</v>
      </c>
      <c r="AC3242" s="13" t="str">
        <f>VLOOKUP(D3242,Clientes!$A$2:$B$486,2,FALSE)</f>
        <v>Colegio Antilhue</v>
      </c>
      <c r="AD3242" s="20"/>
      <c r="AE3242" s="20"/>
      <c r="AF3242" s="13" t="s">
        <v>40</v>
      </c>
      <c r="AG3242" s="15">
        <v>45292</v>
      </c>
      <c r="AH3242" s="13" t="s">
        <v>41</v>
      </c>
      <c r="AI3242" s="13" t="s">
        <v>43</v>
      </c>
      <c r="AJ3242" s="13" t="str">
        <f>VLOOKUP(E3242,Precios!Z$2:AA$941,2,FALSE)</f>
        <v>Bandeja Huevos EXTRA</v>
      </c>
      <c r="AK3242" s="14">
        <f>VLOOKUP(E3242,Precios!Z$2:BB$941,3,FALSE)*F3242</f>
        <v>-1</v>
      </c>
      <c r="AL3242" s="17"/>
      <c r="AM3242" s="17"/>
      <c r="AN3242" s="17"/>
      <c r="AO3242" s="17"/>
      <c r="AP3242" s="17"/>
      <c r="AQ3242" s="17"/>
      <c r="AR3242" s="17"/>
      <c r="AS3242" s="17"/>
      <c r="AT3242" s="17"/>
      <c r="AU3242" s="17"/>
      <c r="AV3242" s="17"/>
    </row>
    <row r="3243" spans="1:48" ht="15.75" customHeight="1">
      <c r="A3243" s="21" t="s">
        <v>53</v>
      </c>
      <c r="B3243" s="23" t="s">
        <v>1692</v>
      </c>
      <c r="C3243" s="22">
        <v>45688</v>
      </c>
      <c r="D3243" s="23" t="s">
        <v>761</v>
      </c>
      <c r="E3243" s="23" t="s">
        <v>97</v>
      </c>
      <c r="F3243" s="14">
        <v>1</v>
      </c>
      <c r="G3243" s="12">
        <v>15500.298388701016</v>
      </c>
      <c r="H3243" s="12">
        <v>15500.298388701016</v>
      </c>
      <c r="I3243" s="23" t="s">
        <v>52</v>
      </c>
      <c r="J3243" s="23" t="s">
        <v>61</v>
      </c>
      <c r="K3243" s="24" t="s">
        <v>177</v>
      </c>
      <c r="L3243" s="26">
        <v>98</v>
      </c>
      <c r="M3243" s="12">
        <v>13025.46083084119</v>
      </c>
      <c r="N3243" s="12">
        <v>13025.46083084119</v>
      </c>
      <c r="O3243" s="12">
        <v>2474.8375578598261</v>
      </c>
      <c r="P3243" s="13"/>
      <c r="Q3243" s="14">
        <v>2025</v>
      </c>
      <c r="R3243" s="15">
        <v>45292</v>
      </c>
      <c r="S3243" s="11" t="s">
        <v>366</v>
      </c>
      <c r="T3243" s="16">
        <v>0</v>
      </c>
      <c r="U3243" s="17"/>
      <c r="V3243" s="12">
        <v>3203.6120913453906</v>
      </c>
      <c r="W3243" s="12">
        <v>3203.6120913453906</v>
      </c>
      <c r="X3243" s="12">
        <v>0</v>
      </c>
      <c r="Y3243" s="18">
        <v>45684</v>
      </c>
      <c r="Z3243" s="13" t="s">
        <v>503</v>
      </c>
      <c r="AA3243" s="19" t="str">
        <f>VLOOKUP(D3243,Clientes!$A$2:$J$486,9,FALSE)</f>
        <v>Ocacional</v>
      </c>
      <c r="AB3243" s="13" t="str">
        <f>VLOOKUP(D3243,Clientes!$A$2:$K$486,11,FALSE)</f>
        <v>Persona Natural</v>
      </c>
      <c r="AC3243" s="13" t="str">
        <f>VLOOKUP(D3243,Clientes!$A$2:$B$486,2,FALSE)</f>
        <v>Jardin del eden</v>
      </c>
      <c r="AD3243" s="20"/>
      <c r="AE3243" s="20"/>
      <c r="AF3243" s="13" t="s">
        <v>40</v>
      </c>
      <c r="AG3243" s="15">
        <v>45292</v>
      </c>
      <c r="AH3243" s="13" t="s">
        <v>41</v>
      </c>
      <c r="AI3243" s="13" t="s">
        <v>53</v>
      </c>
      <c r="AJ3243" s="13" t="str">
        <f>VLOOKUP(E3243,Precios!Z$2:AA$941,2,FALSE)</f>
        <v>Papel Higienico ELITE 50 metros</v>
      </c>
      <c r="AK3243" s="14">
        <f>VLOOKUP(E3243,Precios!Z$2:BB$941,3,FALSE)*F3243</f>
        <v>-6</v>
      </c>
      <c r="AL3243" s="17"/>
      <c r="AM3243" s="17"/>
      <c r="AN3243" s="17"/>
      <c r="AO3243" s="17"/>
      <c r="AP3243" s="17"/>
      <c r="AQ3243" s="17"/>
      <c r="AR3243" s="17"/>
      <c r="AS3243" s="17"/>
      <c r="AT3243" s="17"/>
      <c r="AU3243" s="17"/>
      <c r="AV3243" s="17"/>
    </row>
    <row r="3244" spans="1:48" ht="15.75" customHeight="1">
      <c r="A3244" s="21" t="s">
        <v>53</v>
      </c>
      <c r="B3244" s="23" t="s">
        <v>1692</v>
      </c>
      <c r="C3244" s="22">
        <v>45688</v>
      </c>
      <c r="D3244" s="23" t="s">
        <v>761</v>
      </c>
      <c r="E3244" s="23" t="s">
        <v>69</v>
      </c>
      <c r="F3244" s="14">
        <v>1</v>
      </c>
      <c r="G3244" s="12">
        <v>2999.9553810458683</v>
      </c>
      <c r="H3244" s="12">
        <v>2999.9553810458683</v>
      </c>
      <c r="I3244" s="23" t="s">
        <v>52</v>
      </c>
      <c r="J3244" s="23" t="s">
        <v>61</v>
      </c>
      <c r="K3244" s="24" t="s">
        <v>177</v>
      </c>
      <c r="L3244" s="26">
        <v>98</v>
      </c>
      <c r="M3244" s="12">
        <v>2520.9709084419064</v>
      </c>
      <c r="N3244" s="12">
        <v>2520.9709084419064</v>
      </c>
      <c r="O3244" s="12">
        <v>478.98447260396188</v>
      </c>
      <c r="P3244" s="13"/>
      <c r="Q3244" s="14">
        <v>2025</v>
      </c>
      <c r="R3244" s="15">
        <v>45292</v>
      </c>
      <c r="S3244" s="11" t="s">
        <v>376</v>
      </c>
      <c r="T3244" s="16">
        <v>0</v>
      </c>
      <c r="U3244" s="17"/>
      <c r="V3244" s="12">
        <v>825.97090844190598</v>
      </c>
      <c r="W3244" s="12">
        <v>825.97090844190598</v>
      </c>
      <c r="X3244" s="12">
        <v>0</v>
      </c>
      <c r="Y3244" s="18">
        <v>45684</v>
      </c>
      <c r="Z3244" s="13" t="s">
        <v>503</v>
      </c>
      <c r="AA3244" s="19" t="str">
        <f>VLOOKUP(D3244,Clientes!$A$2:$J$486,9,FALSE)</f>
        <v>Ocacional</v>
      </c>
      <c r="AB3244" s="13" t="str">
        <f>VLOOKUP(D3244,Clientes!$A$2:$K$486,11,FALSE)</f>
        <v>Persona Natural</v>
      </c>
      <c r="AC3244" s="13" t="str">
        <f>VLOOKUP(D3244,Clientes!$A$2:$B$486,2,FALSE)</f>
        <v>Jardin del eden</v>
      </c>
      <c r="AD3244" s="20"/>
      <c r="AE3244" s="20"/>
      <c r="AF3244" s="13" t="s">
        <v>40</v>
      </c>
      <c r="AG3244" s="15">
        <v>45292</v>
      </c>
      <c r="AH3244" s="13" t="s">
        <v>41</v>
      </c>
      <c r="AI3244" s="13" t="s">
        <v>53</v>
      </c>
      <c r="AJ3244" s="13" t="str">
        <f>VLOOKUP(E3244,Precios!Z$2:AA$941,2,FALSE)</f>
        <v>Toalla Papel NOVA 70 metros</v>
      </c>
      <c r="AK3244" s="14">
        <f>VLOOKUP(E3244,Precios!Z$2:BB$941,3,FALSE)*F3244</f>
        <v>-1</v>
      </c>
      <c r="AL3244" s="17"/>
      <c r="AM3244" s="17"/>
      <c r="AN3244" s="17"/>
      <c r="AO3244" s="17"/>
      <c r="AP3244" s="17"/>
      <c r="AQ3244" s="17"/>
      <c r="AR3244" s="17"/>
      <c r="AS3244" s="17"/>
      <c r="AT3244" s="17"/>
      <c r="AU3244" s="17"/>
      <c r="AV3244" s="17"/>
    </row>
    <row r="3245" spans="1:48" ht="15.75" customHeight="1">
      <c r="A3245" s="21" t="s">
        <v>53</v>
      </c>
      <c r="B3245" s="23" t="s">
        <v>1692</v>
      </c>
      <c r="C3245" s="22">
        <v>45688</v>
      </c>
      <c r="D3245" s="23" t="s">
        <v>761</v>
      </c>
      <c r="E3245" s="23" t="s">
        <v>369</v>
      </c>
      <c r="F3245" s="14">
        <v>1</v>
      </c>
      <c r="G3245" s="12">
        <v>1500.0000000000002</v>
      </c>
      <c r="H3245" s="12">
        <v>1500.0000000000002</v>
      </c>
      <c r="I3245" s="23" t="s">
        <v>52</v>
      </c>
      <c r="J3245" s="23" t="s">
        <v>61</v>
      </c>
      <c r="K3245" s="24" t="s">
        <v>177</v>
      </c>
      <c r="L3245" s="26">
        <v>98</v>
      </c>
      <c r="M3245" s="12">
        <v>1260.5042016806726</v>
      </c>
      <c r="N3245" s="12">
        <v>1260.5042016806726</v>
      </c>
      <c r="O3245" s="12">
        <v>239.4957983193276</v>
      </c>
      <c r="P3245" s="13"/>
      <c r="Q3245" s="14">
        <v>2025</v>
      </c>
      <c r="R3245" s="15">
        <v>45292</v>
      </c>
      <c r="S3245" s="11" t="s">
        <v>369</v>
      </c>
      <c r="T3245" s="16">
        <v>0</v>
      </c>
      <c r="U3245" s="17"/>
      <c r="V3245" s="12">
        <v>457.98319327731099</v>
      </c>
      <c r="W3245" s="12">
        <v>457.98319327731099</v>
      </c>
      <c r="X3245" s="12">
        <v>0</v>
      </c>
      <c r="Y3245" s="18">
        <v>45684</v>
      </c>
      <c r="Z3245" s="13" t="s">
        <v>503</v>
      </c>
      <c r="AA3245" s="19" t="str">
        <f>VLOOKUP(D3245,Clientes!$A$2:$J$486,9,FALSE)</f>
        <v>Ocacional</v>
      </c>
      <c r="AB3245" s="13" t="str">
        <f>VLOOKUP(D3245,Clientes!$A$2:$K$486,11,FALSE)</f>
        <v>Persona Natural</v>
      </c>
      <c r="AC3245" s="13" t="str">
        <f>VLOOKUP(D3245,Clientes!$A$2:$B$486,2,FALSE)</f>
        <v>Jardin del eden</v>
      </c>
      <c r="AD3245" s="20"/>
      <c r="AE3245" s="20"/>
      <c r="AF3245" s="13" t="s">
        <v>40</v>
      </c>
      <c r="AG3245" s="15">
        <v>45292</v>
      </c>
      <c r="AH3245" s="13" t="s">
        <v>41</v>
      </c>
      <c r="AI3245" s="13" t="s">
        <v>53</v>
      </c>
      <c r="AJ3245" s="13" t="str">
        <f>VLOOKUP(E3245,Precios!Z$2:AA$941,2,FALSE)</f>
        <v>Toalla Papel NOVA 12 metros</v>
      </c>
      <c r="AK3245" s="14">
        <f>VLOOKUP(E3245,Precios!Z$2:BB$941,3,FALSE)*F3245</f>
        <v>-1</v>
      </c>
      <c r="AL3245" s="17"/>
      <c r="AM3245" s="17"/>
      <c r="AN3245" s="17"/>
      <c r="AO3245" s="17"/>
      <c r="AP3245" s="17"/>
      <c r="AQ3245" s="17"/>
      <c r="AR3245" s="17"/>
      <c r="AS3245" s="17"/>
      <c r="AT3245" s="17"/>
      <c r="AU3245" s="17"/>
      <c r="AV3245" s="17"/>
    </row>
    <row r="3246" spans="1:48" ht="15.75" customHeight="1">
      <c r="A3246" s="21" t="s">
        <v>47</v>
      </c>
      <c r="B3246" s="23" t="s">
        <v>1692</v>
      </c>
      <c r="C3246" s="22">
        <v>45688</v>
      </c>
      <c r="D3246" s="23" t="s">
        <v>761</v>
      </c>
      <c r="E3246" s="23" t="s">
        <v>267</v>
      </c>
      <c r="F3246" s="14">
        <v>1</v>
      </c>
      <c r="G3246" s="12">
        <v>7499.8770659745942</v>
      </c>
      <c r="H3246" s="12">
        <v>7499.8770659745942</v>
      </c>
      <c r="I3246" s="23" t="s">
        <v>52</v>
      </c>
      <c r="J3246" s="23" t="s">
        <v>61</v>
      </c>
      <c r="K3246" s="24" t="s">
        <v>177</v>
      </c>
      <c r="L3246" s="26">
        <v>98</v>
      </c>
      <c r="M3246" s="12">
        <v>6302.4177024996588</v>
      </c>
      <c r="N3246" s="12">
        <v>6302.4177024996588</v>
      </c>
      <c r="O3246" s="12">
        <v>1197.4593634749353</v>
      </c>
      <c r="P3246" s="13"/>
      <c r="Q3246" s="14">
        <v>2025</v>
      </c>
      <c r="R3246" s="15">
        <v>45292</v>
      </c>
      <c r="S3246" s="11" t="s">
        <v>372</v>
      </c>
      <c r="T3246" s="16">
        <v>0</v>
      </c>
      <c r="U3246" s="17"/>
      <c r="V3246" s="12">
        <v>1688.4177024996588</v>
      </c>
      <c r="W3246" s="12">
        <v>1688.4177024996588</v>
      </c>
      <c r="X3246" s="12">
        <v>0</v>
      </c>
      <c r="Y3246" s="18">
        <v>45684</v>
      </c>
      <c r="Z3246" s="13" t="s">
        <v>503</v>
      </c>
      <c r="AA3246" s="19" t="str">
        <f>VLOOKUP(D3246,Clientes!$A$2:$J$486,9,FALSE)</f>
        <v>Ocacional</v>
      </c>
      <c r="AB3246" s="13" t="str">
        <f>VLOOKUP(D3246,Clientes!$A$2:$K$486,11,FALSE)</f>
        <v>Persona Natural</v>
      </c>
      <c r="AC3246" s="13" t="str">
        <f>VLOOKUP(D3246,Clientes!$A$2:$B$486,2,FALSE)</f>
        <v>Jardin del eden</v>
      </c>
      <c r="AD3246" s="20"/>
      <c r="AE3246" s="20"/>
      <c r="AF3246" s="13" t="s">
        <v>40</v>
      </c>
      <c r="AG3246" s="15">
        <v>45292</v>
      </c>
      <c r="AH3246" s="13" t="s">
        <v>41</v>
      </c>
      <c r="AI3246" s="13" t="s">
        <v>47</v>
      </c>
      <c r="AJ3246" s="13" t="str">
        <f>VLOOKUP(E3246,Precios!Z$2:AA$941,2,FALSE)</f>
        <v>Traperos Humedos EXCELL</v>
      </c>
      <c r="AK3246" s="14">
        <f>VLOOKUP(E3246,Precios!Z$2:BB$941,3,FALSE)*F3246</f>
        <v>-3</v>
      </c>
      <c r="AL3246" s="17"/>
      <c r="AM3246" s="17"/>
      <c r="AN3246" s="17"/>
      <c r="AO3246" s="17"/>
      <c r="AP3246" s="17"/>
      <c r="AQ3246" s="17"/>
      <c r="AR3246" s="17"/>
      <c r="AS3246" s="17"/>
      <c r="AT3246" s="17"/>
      <c r="AU3246" s="17"/>
      <c r="AV3246" s="17"/>
    </row>
    <row r="3247" spans="1:48" ht="15.75" customHeight="1">
      <c r="A3247" s="21" t="s">
        <v>35</v>
      </c>
      <c r="B3247" s="23" t="s">
        <v>1692</v>
      </c>
      <c r="C3247" s="22">
        <v>45688</v>
      </c>
      <c r="D3247" s="23" t="s">
        <v>235</v>
      </c>
      <c r="E3247" s="23" t="s">
        <v>37</v>
      </c>
      <c r="F3247" s="21">
        <v>1</v>
      </c>
      <c r="G3247" s="12">
        <v>10500</v>
      </c>
      <c r="H3247" s="12">
        <v>10500</v>
      </c>
      <c r="I3247" s="23" t="s">
        <v>52</v>
      </c>
      <c r="J3247" s="23" t="s">
        <v>61</v>
      </c>
      <c r="K3247" s="24" t="s">
        <v>177</v>
      </c>
      <c r="L3247" s="26">
        <v>98</v>
      </c>
      <c r="M3247" s="12">
        <v>8823.5294117647063</v>
      </c>
      <c r="N3247" s="12">
        <v>8823.5294117647063</v>
      </c>
      <c r="O3247" s="12">
        <v>1676.4705882352937</v>
      </c>
      <c r="P3247" s="13"/>
      <c r="Q3247" s="14">
        <v>2025</v>
      </c>
      <c r="R3247" s="15">
        <v>45292</v>
      </c>
      <c r="S3247" s="11" t="s">
        <v>364</v>
      </c>
      <c r="T3247" s="16">
        <v>1000</v>
      </c>
      <c r="U3247" s="17"/>
      <c r="V3247" s="12">
        <v>2385.7142857142853</v>
      </c>
      <c r="W3247" s="12">
        <v>2385.7142857142853</v>
      </c>
      <c r="X3247" s="12">
        <v>0</v>
      </c>
      <c r="Y3247" s="18">
        <v>45684</v>
      </c>
      <c r="Z3247" s="13" t="s">
        <v>503</v>
      </c>
      <c r="AA3247" s="19" t="str">
        <f>VLOOKUP(D3247,Clientes!$A$2:$J$486,9,FALSE)</f>
        <v>Familiar</v>
      </c>
      <c r="AB3247" s="13" t="str">
        <f>VLOOKUP(D3247,Clientes!$A$2:$K$486,11,FALSE)</f>
        <v>Persona Natural</v>
      </c>
      <c r="AC3247" s="13" t="str">
        <f>VLOOKUP(D3247,Clientes!$A$2:$B$486,2,FALSE)</f>
        <v>Familiar</v>
      </c>
      <c r="AD3247" s="20"/>
      <c r="AE3247" s="20"/>
      <c r="AF3247" s="13" t="s">
        <v>40</v>
      </c>
      <c r="AG3247" s="15">
        <v>45292</v>
      </c>
      <c r="AH3247" s="13" t="s">
        <v>41</v>
      </c>
      <c r="AI3247" s="13" t="s">
        <v>35</v>
      </c>
      <c r="AJ3247" s="13" t="str">
        <f>VLOOKUP(E3247,Precios!Z$2:AA$941,2,FALSE)</f>
        <v>Queso RUNCA Mantecoso</v>
      </c>
      <c r="AK3247" s="14">
        <f>VLOOKUP(E3247,Precios!Z$2:BB$941,3,FALSE)*F3247</f>
        <v>-1</v>
      </c>
      <c r="AL3247" s="17"/>
      <c r="AM3247" s="17"/>
      <c r="AN3247" s="17"/>
      <c r="AO3247" s="17"/>
      <c r="AP3247" s="17"/>
      <c r="AQ3247" s="17"/>
      <c r="AR3247" s="17"/>
      <c r="AS3247" s="17"/>
      <c r="AT3247" s="17"/>
      <c r="AU3247" s="17"/>
      <c r="AV3247" s="17"/>
    </row>
    <row r="3248" spans="1:48" ht="15.75" customHeight="1">
      <c r="A3248" s="21" t="s">
        <v>47</v>
      </c>
      <c r="B3248" s="23" t="s">
        <v>1692</v>
      </c>
      <c r="C3248" s="22">
        <v>45688</v>
      </c>
      <c r="D3248" s="23" t="s">
        <v>235</v>
      </c>
      <c r="E3248" s="23" t="s">
        <v>306</v>
      </c>
      <c r="F3248" s="21">
        <v>1</v>
      </c>
      <c r="G3248" s="12">
        <v>8000.0000000000009</v>
      </c>
      <c r="H3248" s="12">
        <v>8000.0000000000009</v>
      </c>
      <c r="I3248" s="23" t="s">
        <v>52</v>
      </c>
      <c r="J3248" s="23" t="s">
        <v>61</v>
      </c>
      <c r="K3248" s="24" t="s">
        <v>177</v>
      </c>
      <c r="L3248" s="26">
        <v>98</v>
      </c>
      <c r="M3248" s="12">
        <v>6722.6890756302528</v>
      </c>
      <c r="N3248" s="12">
        <v>6722.6890756302528</v>
      </c>
      <c r="O3248" s="12">
        <v>1277.3109243697481</v>
      </c>
      <c r="P3248" s="13"/>
      <c r="Q3248" s="14">
        <v>2025</v>
      </c>
      <c r="R3248" s="15">
        <v>45292</v>
      </c>
      <c r="S3248" s="11" t="s">
        <v>372</v>
      </c>
      <c r="T3248" s="16">
        <v>0</v>
      </c>
      <c r="U3248" s="17"/>
      <c r="V3248" s="12">
        <v>1781.5126050420176</v>
      </c>
      <c r="W3248" s="12">
        <v>1781.5126050420176</v>
      </c>
      <c r="X3248" s="12">
        <v>0</v>
      </c>
      <c r="Y3248" s="18">
        <v>45684</v>
      </c>
      <c r="Z3248" s="13" t="s">
        <v>503</v>
      </c>
      <c r="AA3248" s="19" t="str">
        <f>VLOOKUP(D3248,Clientes!$A$2:$J$486,9,FALSE)</f>
        <v>Familiar</v>
      </c>
      <c r="AB3248" s="13" t="str">
        <f>VLOOKUP(D3248,Clientes!$A$2:$K$486,11,FALSE)</f>
        <v>Persona Natural</v>
      </c>
      <c r="AC3248" s="13" t="str">
        <f>VLOOKUP(D3248,Clientes!$A$2:$B$486,2,FALSE)</f>
        <v>Familiar</v>
      </c>
      <c r="AD3248" s="20"/>
      <c r="AE3248" s="20"/>
      <c r="AF3248" s="13" t="s">
        <v>40</v>
      </c>
      <c r="AG3248" s="15">
        <v>45292</v>
      </c>
      <c r="AH3248" s="13" t="s">
        <v>41</v>
      </c>
      <c r="AI3248" s="13" t="s">
        <v>47</v>
      </c>
      <c r="AJ3248" s="13" t="str">
        <f>VLOOKUP(E3248,Precios!Z$2:AA$941,2,FALSE)</f>
        <v>Traperos Humedos VIRGINIA</v>
      </c>
      <c r="AK3248" s="14">
        <f>VLOOKUP(E3248,Precios!Z$2:BB$941,3,FALSE)*F3248</f>
        <v>-3</v>
      </c>
      <c r="AL3248" s="17"/>
      <c r="AM3248" s="17"/>
      <c r="AN3248" s="17"/>
      <c r="AO3248" s="17"/>
      <c r="AP3248" s="17"/>
      <c r="AQ3248" s="17"/>
      <c r="AR3248" s="17"/>
      <c r="AS3248" s="17"/>
      <c r="AT3248" s="17"/>
      <c r="AU3248" s="17"/>
      <c r="AV3248" s="17"/>
    </row>
    <row r="3249" spans="1:48" ht="15.75" customHeight="1">
      <c r="A3249" s="21" t="s">
        <v>76</v>
      </c>
      <c r="B3249" s="23" t="s">
        <v>1692</v>
      </c>
      <c r="C3249" s="22">
        <v>45688</v>
      </c>
      <c r="D3249" s="23" t="s">
        <v>235</v>
      </c>
      <c r="E3249" s="23" t="s">
        <v>337</v>
      </c>
      <c r="F3249" s="21">
        <v>1</v>
      </c>
      <c r="G3249" s="12">
        <v>1599.9448225124147</v>
      </c>
      <c r="H3249" s="12">
        <v>1599.9448225124147</v>
      </c>
      <c r="I3249" s="23" t="s">
        <v>52</v>
      </c>
      <c r="J3249" s="23" t="s">
        <v>61</v>
      </c>
      <c r="K3249" s="24" t="s">
        <v>177</v>
      </c>
      <c r="L3249" s="26">
        <v>98</v>
      </c>
      <c r="M3249" s="12">
        <v>1344.4914474894242</v>
      </c>
      <c r="N3249" s="12">
        <v>1344.4914474894242</v>
      </c>
      <c r="O3249" s="12">
        <v>255.45337502299049</v>
      </c>
      <c r="P3249" s="13"/>
      <c r="Q3249" s="14">
        <v>2025</v>
      </c>
      <c r="R3249" s="15">
        <v>45292</v>
      </c>
      <c r="S3249" s="11" t="s">
        <v>529</v>
      </c>
      <c r="T3249" s="16">
        <v>0</v>
      </c>
      <c r="U3249" s="17"/>
      <c r="V3249" s="12">
        <v>613.49144748942422</v>
      </c>
      <c r="W3249" s="12">
        <v>613.49144748942422</v>
      </c>
      <c r="X3249" s="12">
        <v>0</v>
      </c>
      <c r="Y3249" s="18">
        <v>45684</v>
      </c>
      <c r="Z3249" s="13" t="s">
        <v>503</v>
      </c>
      <c r="AA3249" s="19" t="str">
        <f>VLOOKUP(D3249,Clientes!$A$2:$J$486,9,FALSE)</f>
        <v>Familiar</v>
      </c>
      <c r="AB3249" s="13" t="str">
        <f>VLOOKUP(D3249,Clientes!$A$2:$K$486,11,FALSE)</f>
        <v>Persona Natural</v>
      </c>
      <c r="AC3249" s="13" t="str">
        <f>VLOOKUP(D3249,Clientes!$A$2:$B$486,2,FALSE)</f>
        <v>Familiar</v>
      </c>
      <c r="AD3249" s="20"/>
      <c r="AE3249" s="20"/>
      <c r="AF3249" s="13" t="s">
        <v>40</v>
      </c>
      <c r="AG3249" s="15">
        <v>45292</v>
      </c>
      <c r="AH3249" s="13" t="s">
        <v>41</v>
      </c>
      <c r="AI3249" s="13" t="s">
        <v>76</v>
      </c>
      <c r="AJ3249" s="13" t="str">
        <f>VLOOKUP(E3249,Precios!Z$2:AA$941,2,FALSE)</f>
        <v>Limpia Inodoro TEDDY</v>
      </c>
      <c r="AK3249" s="14">
        <f>VLOOKUP(E3249,Precios!Z$2:BB$941,3,FALSE)*F3249</f>
        <v>-1</v>
      </c>
      <c r="AL3249" s="17"/>
      <c r="AM3249" s="17"/>
      <c r="AN3249" s="17"/>
      <c r="AO3249" s="17"/>
      <c r="AP3249" s="17"/>
      <c r="AQ3249" s="17"/>
      <c r="AR3249" s="17"/>
      <c r="AS3249" s="17"/>
      <c r="AT3249" s="17"/>
      <c r="AU3249" s="17"/>
      <c r="AV3249" s="17"/>
    </row>
    <row r="3250" spans="1:48" ht="15.75" customHeight="1">
      <c r="A3250" s="21" t="s">
        <v>43</v>
      </c>
      <c r="B3250" s="23" t="s">
        <v>1692</v>
      </c>
      <c r="C3250" s="22">
        <v>45687</v>
      </c>
      <c r="D3250" s="23" t="s">
        <v>237</v>
      </c>
      <c r="E3250" s="23" t="s">
        <v>45</v>
      </c>
      <c r="F3250" s="21">
        <v>1</v>
      </c>
      <c r="G3250" s="12">
        <v>6300.1913812446392</v>
      </c>
      <c r="H3250" s="12">
        <v>6300.1913812446392</v>
      </c>
      <c r="I3250" s="23" t="s">
        <v>52</v>
      </c>
      <c r="J3250" s="23" t="s">
        <v>61</v>
      </c>
      <c r="K3250" s="24" t="s">
        <v>177</v>
      </c>
      <c r="L3250" s="26">
        <v>96</v>
      </c>
      <c r="M3250" s="12">
        <v>5294.2784716341512</v>
      </c>
      <c r="N3250" s="12">
        <v>5294.2784716341512</v>
      </c>
      <c r="O3250" s="12">
        <v>1005.912909610488</v>
      </c>
      <c r="P3250" s="13"/>
      <c r="Q3250" s="14">
        <v>2025</v>
      </c>
      <c r="R3250" s="15">
        <v>45292</v>
      </c>
      <c r="S3250" s="11" t="s">
        <v>355</v>
      </c>
      <c r="T3250" s="16">
        <v>0</v>
      </c>
      <c r="U3250" s="17"/>
      <c r="V3250" s="12">
        <v>1283.0683876005369</v>
      </c>
      <c r="W3250" s="12">
        <v>1283.0683876005369</v>
      </c>
      <c r="X3250" s="12">
        <v>0</v>
      </c>
      <c r="Y3250" s="18">
        <v>45684</v>
      </c>
      <c r="Z3250" s="13" t="s">
        <v>505</v>
      </c>
      <c r="AA3250" s="19" t="str">
        <f>VLOOKUP(D3250,Clientes!$A$2:$J$486,9,FALSE)</f>
        <v>Ocacional</v>
      </c>
      <c r="AB3250" s="13" t="str">
        <f>VLOOKUP(D3250,Clientes!$A$2:$K$486,11,FALSE)</f>
        <v>Persona Natural</v>
      </c>
      <c r="AC3250" s="13" t="str">
        <f>VLOOKUP(D3250,Clientes!$A$2:$B$486,2,FALSE)</f>
        <v>Jardines de la viña</v>
      </c>
      <c r="AD3250" s="20"/>
      <c r="AE3250" s="20"/>
      <c r="AF3250" s="13" t="s">
        <v>40</v>
      </c>
      <c r="AG3250" s="15">
        <v>45292</v>
      </c>
      <c r="AH3250" s="13" t="s">
        <v>41</v>
      </c>
      <c r="AI3250" s="13" t="s">
        <v>43</v>
      </c>
      <c r="AJ3250" s="13" t="str">
        <f>VLOOKUP(E3250,Precios!Z$2:AA$941,2,FALSE)</f>
        <v>Bandeja Huevos EXTRA</v>
      </c>
      <c r="AK3250" s="14">
        <f>VLOOKUP(E3250,Precios!Z$2:BB$941,3,FALSE)*F3250</f>
        <v>-1</v>
      </c>
      <c r="AL3250" s="17"/>
      <c r="AM3250" s="17"/>
      <c r="AN3250" s="17"/>
      <c r="AO3250" s="17"/>
      <c r="AP3250" s="17"/>
      <c r="AQ3250" s="17"/>
      <c r="AR3250" s="17"/>
      <c r="AS3250" s="17"/>
      <c r="AT3250" s="17"/>
      <c r="AU3250" s="17"/>
      <c r="AV3250" s="17"/>
    </row>
    <row r="3251" spans="1:48" ht="15.75" customHeight="1">
      <c r="A3251" s="21" t="s">
        <v>147</v>
      </c>
      <c r="B3251" s="23" t="s">
        <v>1692</v>
      </c>
      <c r="C3251" s="22">
        <v>45687</v>
      </c>
      <c r="D3251" s="23" t="s">
        <v>689</v>
      </c>
      <c r="E3251" s="23" t="s">
        <v>248</v>
      </c>
      <c r="F3251" s="21">
        <v>1</v>
      </c>
      <c r="G3251" s="12">
        <v>9000</v>
      </c>
      <c r="H3251" s="12">
        <v>9000</v>
      </c>
      <c r="I3251" s="23" t="s">
        <v>52</v>
      </c>
      <c r="J3251" s="23" t="s">
        <v>61</v>
      </c>
      <c r="K3251" s="24" t="s">
        <v>177</v>
      </c>
      <c r="L3251" s="26">
        <v>96</v>
      </c>
      <c r="M3251" s="12">
        <v>7563.0252100840344</v>
      </c>
      <c r="N3251" s="12">
        <v>7563.0252100840344</v>
      </c>
      <c r="O3251" s="12">
        <v>1436.9747899159656</v>
      </c>
      <c r="P3251" s="13"/>
      <c r="Q3251" s="14">
        <v>2025</v>
      </c>
      <c r="R3251" s="15">
        <v>45292</v>
      </c>
      <c r="S3251" s="11" t="s">
        <v>412</v>
      </c>
      <c r="T3251" s="16">
        <v>0</v>
      </c>
      <c r="U3251" s="17"/>
      <c r="V3251" s="12">
        <v>2773.1092436974795</v>
      </c>
      <c r="W3251" s="12">
        <v>2773.1092436974795</v>
      </c>
      <c r="X3251" s="12">
        <v>0</v>
      </c>
      <c r="Y3251" s="18">
        <v>45684</v>
      </c>
      <c r="Z3251" s="13" t="s">
        <v>505</v>
      </c>
      <c r="AA3251" s="19" t="str">
        <f>VLOOKUP(D3251,Clientes!$A$2:$J$486,9,FALSE)</f>
        <v>Ocacional</v>
      </c>
      <c r="AB3251" s="13" t="str">
        <f>VLOOKUP(D3251,Clientes!$A$2:$K$486,11,FALSE)</f>
        <v>Persona Natural</v>
      </c>
      <c r="AC3251" s="13" t="str">
        <f>VLOOKUP(D3251,Clientes!$A$2:$B$486,2,FALSE)</f>
        <v>Jardin del eden</v>
      </c>
      <c r="AD3251" s="20"/>
      <c r="AE3251" s="20"/>
      <c r="AF3251" s="13" t="s">
        <v>40</v>
      </c>
      <c r="AG3251" s="15">
        <v>45292</v>
      </c>
      <c r="AH3251" s="13" t="s">
        <v>41</v>
      </c>
      <c r="AI3251" s="13" t="s">
        <v>147</v>
      </c>
      <c r="AJ3251" s="13" t="str">
        <f>VLOOKUP(E3251,Precios!Z$2:AA$941,2,FALSE)</f>
        <v>Film Plástico 300 metros</v>
      </c>
      <c r="AK3251" s="14">
        <f>VLOOKUP(E3251,Precios!Z$2:BB$941,3,FALSE)*F3251</f>
        <v>-1</v>
      </c>
      <c r="AL3251" s="17"/>
      <c r="AM3251" s="17"/>
      <c r="AN3251" s="17"/>
      <c r="AO3251" s="17"/>
      <c r="AP3251" s="17"/>
      <c r="AQ3251" s="17"/>
      <c r="AR3251" s="17"/>
      <c r="AS3251" s="17"/>
      <c r="AT3251" s="17"/>
      <c r="AU3251" s="17"/>
      <c r="AV3251" s="17"/>
    </row>
    <row r="3252" spans="1:48" ht="15.75" customHeight="1">
      <c r="A3252" s="21" t="s">
        <v>147</v>
      </c>
      <c r="B3252" s="23" t="s">
        <v>1692</v>
      </c>
      <c r="C3252" s="22">
        <v>45687</v>
      </c>
      <c r="D3252" s="23" t="s">
        <v>689</v>
      </c>
      <c r="E3252" s="23" t="s">
        <v>249</v>
      </c>
      <c r="F3252" s="21">
        <v>1</v>
      </c>
      <c r="G3252" s="12">
        <v>8000.4228329809721</v>
      </c>
      <c r="H3252" s="12">
        <v>8000.4228329809721</v>
      </c>
      <c r="I3252" s="23" t="s">
        <v>52</v>
      </c>
      <c r="J3252" s="23" t="s">
        <v>61</v>
      </c>
      <c r="K3252" s="24" t="s">
        <v>177</v>
      </c>
      <c r="L3252" s="26">
        <v>96</v>
      </c>
      <c r="M3252" s="12">
        <v>6723.0443974630025</v>
      </c>
      <c r="N3252" s="12">
        <v>6723.0443974630025</v>
      </c>
      <c r="O3252" s="12">
        <v>1277.3784355179696</v>
      </c>
      <c r="P3252" s="13"/>
      <c r="Q3252" s="14">
        <v>2025</v>
      </c>
      <c r="R3252" s="15">
        <v>45292</v>
      </c>
      <c r="S3252" s="11" t="s">
        <v>360</v>
      </c>
      <c r="T3252" s="16">
        <v>0</v>
      </c>
      <c r="U3252" s="17"/>
      <c r="V3252" s="12">
        <v>2271.0443974630016</v>
      </c>
      <c r="W3252" s="12">
        <v>2271.0443974630016</v>
      </c>
      <c r="X3252" s="12">
        <v>0</v>
      </c>
      <c r="Y3252" s="18">
        <v>45684</v>
      </c>
      <c r="Z3252" s="13" t="s">
        <v>505</v>
      </c>
      <c r="AA3252" s="19" t="str">
        <f>VLOOKUP(D3252,Clientes!$A$2:$J$486,9,FALSE)</f>
        <v>Ocacional</v>
      </c>
      <c r="AB3252" s="13" t="str">
        <f>VLOOKUP(D3252,Clientes!$A$2:$K$486,11,FALSE)</f>
        <v>Persona Natural</v>
      </c>
      <c r="AC3252" s="13" t="str">
        <f>VLOOKUP(D3252,Clientes!$A$2:$B$486,2,FALSE)</f>
        <v>Jardin del eden</v>
      </c>
      <c r="AD3252" s="20"/>
      <c r="AE3252" s="20"/>
      <c r="AF3252" s="13" t="s">
        <v>40</v>
      </c>
      <c r="AG3252" s="15">
        <v>45292</v>
      </c>
      <c r="AH3252" s="13" t="s">
        <v>41</v>
      </c>
      <c r="AI3252" s="13" t="s">
        <v>147</v>
      </c>
      <c r="AJ3252" s="13" t="str">
        <f>VLOOKUP(E3252,Precios!Z$2:AA$941,2,FALSE)</f>
        <v>Papel Aluminio 100 metros</v>
      </c>
      <c r="AK3252" s="14">
        <f>VLOOKUP(E3252,Precios!Z$2:BB$941,3,FALSE)*F3252</f>
        <v>-1</v>
      </c>
      <c r="AL3252" s="17"/>
      <c r="AM3252" s="17"/>
      <c r="AN3252" s="17"/>
      <c r="AO3252" s="17"/>
      <c r="AP3252" s="17"/>
      <c r="AQ3252" s="17"/>
      <c r="AR3252" s="17"/>
      <c r="AS3252" s="17"/>
      <c r="AT3252" s="17"/>
      <c r="AU3252" s="17"/>
      <c r="AV3252" s="17"/>
    </row>
    <row r="3253" spans="1:48" ht="15.75" customHeight="1">
      <c r="A3253" s="21" t="s">
        <v>35</v>
      </c>
      <c r="B3253" s="23" t="s">
        <v>1692</v>
      </c>
      <c r="C3253" s="22">
        <v>45687</v>
      </c>
      <c r="D3253" s="23" t="s">
        <v>122</v>
      </c>
      <c r="E3253" s="23" t="s">
        <v>37</v>
      </c>
      <c r="F3253" s="21">
        <v>1</v>
      </c>
      <c r="G3253" s="12">
        <v>10500</v>
      </c>
      <c r="H3253" s="12">
        <v>10500</v>
      </c>
      <c r="I3253" s="23" t="s">
        <v>52</v>
      </c>
      <c r="J3253" s="23" t="s">
        <v>61</v>
      </c>
      <c r="K3253" s="24" t="s">
        <v>177</v>
      </c>
      <c r="L3253" s="26">
        <v>96</v>
      </c>
      <c r="M3253" s="12">
        <v>8823.5294117647063</v>
      </c>
      <c r="N3253" s="12">
        <v>8823.5294117647063</v>
      </c>
      <c r="O3253" s="12">
        <v>1676.4705882352937</v>
      </c>
      <c r="P3253" s="13"/>
      <c r="Q3253" s="14">
        <v>2025</v>
      </c>
      <c r="R3253" s="15">
        <v>45292</v>
      </c>
      <c r="S3253" s="11" t="s">
        <v>364</v>
      </c>
      <c r="T3253" s="16">
        <v>1000</v>
      </c>
      <c r="U3253" s="17"/>
      <c r="V3253" s="12">
        <v>2385.7142857142853</v>
      </c>
      <c r="W3253" s="12">
        <v>2385.7142857142853</v>
      </c>
      <c r="X3253" s="12">
        <v>0</v>
      </c>
      <c r="Y3253" s="18">
        <v>45684</v>
      </c>
      <c r="Z3253" s="13" t="s">
        <v>505</v>
      </c>
      <c r="AA3253" s="19" t="str">
        <f>VLOOKUP(D3253,Clientes!$A$2:$J$486,9,FALSE)</f>
        <v>Frecuente</v>
      </c>
      <c r="AB3253" s="13" t="str">
        <f>VLOOKUP(D3253,Clientes!$A$2:$K$486,11,FALSE)</f>
        <v>Persona Natural</v>
      </c>
      <c r="AC3253" s="13" t="str">
        <f>VLOOKUP(D3253,Clientes!$A$2:$B$486,2,FALSE)</f>
        <v>Jardines de la Viña</v>
      </c>
      <c r="AD3253" s="20"/>
      <c r="AE3253" s="20"/>
      <c r="AF3253" s="13" t="s">
        <v>40</v>
      </c>
      <c r="AG3253" s="15">
        <v>45292</v>
      </c>
      <c r="AH3253" s="13" t="s">
        <v>41</v>
      </c>
      <c r="AI3253" s="13" t="s">
        <v>35</v>
      </c>
      <c r="AJ3253" s="13" t="str">
        <f>VLOOKUP(E3253,Precios!Z$2:AA$941,2,FALSE)</f>
        <v>Queso RUNCA Mantecoso</v>
      </c>
      <c r="AK3253" s="14">
        <f>VLOOKUP(E3253,Precios!Z$2:BB$941,3,FALSE)*F3253</f>
        <v>-1</v>
      </c>
      <c r="AL3253" s="17"/>
      <c r="AM3253" s="17"/>
      <c r="AN3253" s="17"/>
      <c r="AO3253" s="17"/>
      <c r="AP3253" s="17"/>
      <c r="AQ3253" s="17"/>
      <c r="AR3253" s="17"/>
      <c r="AS3253" s="17"/>
      <c r="AT3253" s="17"/>
      <c r="AU3253" s="17"/>
      <c r="AV3253" s="17"/>
    </row>
    <row r="3254" spans="1:48" ht="15.75" customHeight="1">
      <c r="A3254" s="21" t="s">
        <v>139</v>
      </c>
      <c r="B3254" s="23" t="s">
        <v>1692</v>
      </c>
      <c r="C3254" s="22">
        <v>45687</v>
      </c>
      <c r="D3254" s="23" t="s">
        <v>122</v>
      </c>
      <c r="E3254" s="23" t="s">
        <v>762</v>
      </c>
      <c r="F3254" s="21">
        <v>1</v>
      </c>
      <c r="G3254" s="12">
        <v>4000.0000000000005</v>
      </c>
      <c r="H3254" s="12">
        <v>4000.0000000000005</v>
      </c>
      <c r="I3254" s="23" t="s">
        <v>52</v>
      </c>
      <c r="J3254" s="23" t="s">
        <v>61</v>
      </c>
      <c r="K3254" s="24" t="s">
        <v>177</v>
      </c>
      <c r="L3254" s="26">
        <v>96</v>
      </c>
      <c r="M3254" s="12">
        <v>3361.3445378151264</v>
      </c>
      <c r="N3254" s="12">
        <v>3361.3445378151264</v>
      </c>
      <c r="O3254" s="12">
        <v>638.65546218487407</v>
      </c>
      <c r="P3254" s="13"/>
      <c r="Q3254" s="14">
        <v>2025</v>
      </c>
      <c r="R3254" s="15">
        <v>45292</v>
      </c>
      <c r="S3254" s="11" t="s">
        <v>763</v>
      </c>
      <c r="T3254" s="16">
        <v>1000</v>
      </c>
      <c r="U3254" s="17"/>
      <c r="V3254" s="12">
        <v>920.16806722689125</v>
      </c>
      <c r="W3254" s="12">
        <v>920.16806722689125</v>
      </c>
      <c r="X3254" s="12">
        <v>0</v>
      </c>
      <c r="Y3254" s="18">
        <v>45684</v>
      </c>
      <c r="Z3254" s="13" t="s">
        <v>505</v>
      </c>
      <c r="AA3254" s="19" t="str">
        <f>VLOOKUP(D3254,Clientes!$A$2:$J$486,9,FALSE)</f>
        <v>Frecuente</v>
      </c>
      <c r="AB3254" s="13" t="str">
        <f>VLOOKUP(D3254,Clientes!$A$2:$K$486,11,FALSE)</f>
        <v>Persona Natural</v>
      </c>
      <c r="AC3254" s="13" t="str">
        <f>VLOOKUP(D3254,Clientes!$A$2:$B$486,2,FALSE)</f>
        <v>Jardines de la Viña</v>
      </c>
      <c r="AD3254" s="20"/>
      <c r="AE3254" s="20"/>
      <c r="AF3254" s="13" t="s">
        <v>40</v>
      </c>
      <c r="AG3254" s="15">
        <v>45292</v>
      </c>
      <c r="AH3254" s="13" t="s">
        <v>41</v>
      </c>
      <c r="AI3254" s="13" t="s">
        <v>139</v>
      </c>
      <c r="AJ3254" s="13">
        <f>VLOOKUP(E3254,Precios!Z$2:AA$941,2,FALSE)</f>
        <v>0</v>
      </c>
      <c r="AK3254" s="14">
        <f>VLOOKUP(E3254,Precios!Z$2:BB$941,3,FALSE)*F3254</f>
        <v>0</v>
      </c>
      <c r="AL3254" s="17"/>
      <c r="AM3254" s="17"/>
      <c r="AN3254" s="17"/>
      <c r="AO3254" s="17"/>
      <c r="AP3254" s="17"/>
      <c r="AQ3254" s="17"/>
      <c r="AR3254" s="17"/>
      <c r="AS3254" s="17"/>
      <c r="AT3254" s="17"/>
      <c r="AU3254" s="17"/>
      <c r="AV3254" s="17"/>
    </row>
    <row r="3255" spans="1:48" ht="15.75" customHeight="1">
      <c r="A3255" s="21" t="s">
        <v>43</v>
      </c>
      <c r="B3255" s="23" t="s">
        <v>1692</v>
      </c>
      <c r="C3255" s="22">
        <v>45687</v>
      </c>
      <c r="D3255" s="23" t="s">
        <v>126</v>
      </c>
      <c r="E3255" s="23" t="s">
        <v>45</v>
      </c>
      <c r="F3255" s="21">
        <v>1</v>
      </c>
      <c r="G3255" s="12">
        <v>6300.1913812446392</v>
      </c>
      <c r="H3255" s="12">
        <v>6300.1913812446392</v>
      </c>
      <c r="I3255" s="23" t="s">
        <v>52</v>
      </c>
      <c r="J3255" s="23" t="s">
        <v>61</v>
      </c>
      <c r="K3255" s="24" t="s">
        <v>177</v>
      </c>
      <c r="L3255" s="26">
        <v>96</v>
      </c>
      <c r="M3255" s="12">
        <v>5294.2784716341512</v>
      </c>
      <c r="N3255" s="12">
        <v>5294.2784716341512</v>
      </c>
      <c r="O3255" s="12">
        <v>1005.912909610488</v>
      </c>
      <c r="P3255" s="13"/>
      <c r="Q3255" s="14">
        <v>2025</v>
      </c>
      <c r="R3255" s="15">
        <v>45292</v>
      </c>
      <c r="S3255" s="11" t="s">
        <v>355</v>
      </c>
      <c r="T3255" s="16">
        <v>0</v>
      </c>
      <c r="U3255" s="17"/>
      <c r="V3255" s="12">
        <v>1283.0683876005369</v>
      </c>
      <c r="W3255" s="12">
        <v>1283.0683876005369</v>
      </c>
      <c r="X3255" s="12">
        <v>0</v>
      </c>
      <c r="Y3255" s="18">
        <v>45684</v>
      </c>
      <c r="Z3255" s="13" t="s">
        <v>505</v>
      </c>
      <c r="AA3255" s="19" t="str">
        <f>VLOOKUP(D3255,Clientes!$A$2:$J$486,9,FALSE)</f>
        <v>Frecuente</v>
      </c>
      <c r="AB3255" s="13" t="str">
        <f>VLOOKUP(D3255,Clientes!$A$2:$K$486,11,FALSE)</f>
        <v>Persona Natural</v>
      </c>
      <c r="AC3255" s="13" t="str">
        <f>VLOOKUP(D3255,Clientes!$A$2:$B$486,2,FALSE)</f>
        <v>Jardines de la Viña</v>
      </c>
      <c r="AD3255" s="20"/>
      <c r="AE3255" s="20"/>
      <c r="AF3255" s="13" t="s">
        <v>40</v>
      </c>
      <c r="AG3255" s="15">
        <v>45292</v>
      </c>
      <c r="AH3255" s="13" t="s">
        <v>41</v>
      </c>
      <c r="AI3255" s="13" t="s">
        <v>43</v>
      </c>
      <c r="AJ3255" s="13" t="str">
        <f>VLOOKUP(E3255,Precios!Z$2:AA$941,2,FALSE)</f>
        <v>Bandeja Huevos EXTRA</v>
      </c>
      <c r="AK3255" s="14">
        <f>VLOOKUP(E3255,Precios!Z$2:BB$941,3,FALSE)*F3255</f>
        <v>-1</v>
      </c>
      <c r="AL3255" s="17"/>
      <c r="AM3255" s="17"/>
      <c r="AN3255" s="17"/>
      <c r="AO3255" s="17"/>
      <c r="AP3255" s="17"/>
      <c r="AQ3255" s="17"/>
      <c r="AR3255" s="17"/>
      <c r="AS3255" s="17"/>
      <c r="AT3255" s="17"/>
      <c r="AU3255" s="17"/>
      <c r="AV3255" s="17"/>
    </row>
    <row r="3256" spans="1:48" ht="15.75" customHeight="1">
      <c r="A3256" s="21" t="s">
        <v>35</v>
      </c>
      <c r="B3256" s="23" t="s">
        <v>1692</v>
      </c>
      <c r="C3256" s="22">
        <v>45687</v>
      </c>
      <c r="D3256" s="23" t="s">
        <v>126</v>
      </c>
      <c r="E3256" s="23" t="s">
        <v>46</v>
      </c>
      <c r="F3256" s="21">
        <v>1</v>
      </c>
      <c r="G3256" s="12">
        <v>5500</v>
      </c>
      <c r="H3256" s="12">
        <v>5500</v>
      </c>
      <c r="I3256" s="23" t="s">
        <v>52</v>
      </c>
      <c r="J3256" s="23" t="s">
        <v>61</v>
      </c>
      <c r="K3256" s="24" t="s">
        <v>177</v>
      </c>
      <c r="L3256" s="26">
        <v>96</v>
      </c>
      <c r="M3256" s="12">
        <v>4621.8487394957983</v>
      </c>
      <c r="N3256" s="12">
        <v>4621.8487394957983</v>
      </c>
      <c r="O3256" s="12">
        <v>878.15126050420167</v>
      </c>
      <c r="P3256" s="13"/>
      <c r="Q3256" s="14">
        <v>2025</v>
      </c>
      <c r="R3256" s="15">
        <v>45292</v>
      </c>
      <c r="S3256" s="11" t="s">
        <v>364</v>
      </c>
      <c r="T3256" s="16">
        <v>500</v>
      </c>
      <c r="U3256" s="17"/>
      <c r="V3256" s="12">
        <v>1365.1260504201678</v>
      </c>
      <c r="W3256" s="12">
        <v>1365.1260504201678</v>
      </c>
      <c r="X3256" s="12">
        <v>0</v>
      </c>
      <c r="Y3256" s="18">
        <v>45684</v>
      </c>
      <c r="Z3256" s="13" t="s">
        <v>505</v>
      </c>
      <c r="AA3256" s="19" t="str">
        <f>VLOOKUP(D3256,Clientes!$A$2:$J$486,9,FALSE)</f>
        <v>Frecuente</v>
      </c>
      <c r="AB3256" s="13" t="str">
        <f>VLOOKUP(D3256,Clientes!$A$2:$K$486,11,FALSE)</f>
        <v>Persona Natural</v>
      </c>
      <c r="AC3256" s="13" t="str">
        <f>VLOOKUP(D3256,Clientes!$A$2:$B$486,2,FALSE)</f>
        <v>Jardines de la Viña</v>
      </c>
      <c r="AD3256" s="20"/>
      <c r="AE3256" s="20"/>
      <c r="AF3256" s="13" t="s">
        <v>40</v>
      </c>
      <c r="AG3256" s="15">
        <v>45292</v>
      </c>
      <c r="AH3256" s="13" t="s">
        <v>41</v>
      </c>
      <c r="AI3256" s="13" t="s">
        <v>35</v>
      </c>
      <c r="AJ3256" s="13" t="str">
        <f>VLOOKUP(E3256,Precios!Z$2:AA$941,2,FALSE)</f>
        <v>Queso RUNCA Mantecoso</v>
      </c>
      <c r="AK3256" s="14">
        <f>VLOOKUP(E3256,Precios!Z$2:BB$941,3,FALSE)*F3256</f>
        <v>-0.5</v>
      </c>
      <c r="AL3256" s="17"/>
      <c r="AM3256" s="17"/>
      <c r="AN3256" s="17"/>
      <c r="AO3256" s="17"/>
      <c r="AP3256" s="17"/>
      <c r="AQ3256" s="17"/>
      <c r="AR3256" s="17"/>
      <c r="AS3256" s="17"/>
      <c r="AT3256" s="17"/>
      <c r="AU3256" s="17"/>
      <c r="AV3256" s="17"/>
    </row>
    <row r="3257" spans="1:48" ht="15.75" customHeight="1">
      <c r="A3257" s="21" t="s">
        <v>43</v>
      </c>
      <c r="B3257" s="23" t="s">
        <v>1692</v>
      </c>
      <c r="C3257" s="22">
        <v>45687</v>
      </c>
      <c r="D3257" s="23" t="s">
        <v>236</v>
      </c>
      <c r="E3257" s="23" t="s">
        <v>45</v>
      </c>
      <c r="F3257" s="21">
        <v>1</v>
      </c>
      <c r="G3257" s="12">
        <v>6300.1913812446392</v>
      </c>
      <c r="H3257" s="12">
        <v>6300.1913812446392</v>
      </c>
      <c r="I3257" s="23" t="s">
        <v>52</v>
      </c>
      <c r="J3257" s="23" t="s">
        <v>61</v>
      </c>
      <c r="K3257" s="24" t="s">
        <v>177</v>
      </c>
      <c r="L3257" s="26">
        <v>96</v>
      </c>
      <c r="M3257" s="12">
        <v>5294.2784716341512</v>
      </c>
      <c r="N3257" s="12">
        <v>5294.2784716341512</v>
      </c>
      <c r="O3257" s="12">
        <v>1005.912909610488</v>
      </c>
      <c r="P3257" s="13"/>
      <c r="Q3257" s="14">
        <v>2025</v>
      </c>
      <c r="R3257" s="15">
        <v>45292</v>
      </c>
      <c r="S3257" s="11" t="s">
        <v>355</v>
      </c>
      <c r="T3257" s="16">
        <v>0</v>
      </c>
      <c r="U3257" s="17"/>
      <c r="V3257" s="12">
        <v>1283.0683876005369</v>
      </c>
      <c r="W3257" s="12">
        <v>1283.0683876005369</v>
      </c>
      <c r="X3257" s="12">
        <v>0</v>
      </c>
      <c r="Y3257" s="18">
        <v>45684</v>
      </c>
      <c r="Z3257" s="13" t="s">
        <v>505</v>
      </c>
      <c r="AA3257" s="19" t="str">
        <f>VLOOKUP(D3257,Clientes!$A$2:$J$486,9,FALSE)</f>
        <v>Familiar</v>
      </c>
      <c r="AB3257" s="13" t="str">
        <f>VLOOKUP(D3257,Clientes!$A$2:$K$486,11,FALSE)</f>
        <v>Persona Natural</v>
      </c>
      <c r="AC3257" s="13" t="str">
        <f>VLOOKUP(D3257,Clientes!$A$2:$B$486,2,FALSE)</f>
        <v>Familiar</v>
      </c>
      <c r="AD3257" s="20"/>
      <c r="AE3257" s="20"/>
      <c r="AF3257" s="13" t="s">
        <v>40</v>
      </c>
      <c r="AG3257" s="15">
        <v>45292</v>
      </c>
      <c r="AH3257" s="13" t="s">
        <v>41</v>
      </c>
      <c r="AI3257" s="13" t="s">
        <v>43</v>
      </c>
      <c r="AJ3257" s="13" t="str">
        <f>VLOOKUP(E3257,Precios!Z$2:AA$941,2,FALSE)</f>
        <v>Bandeja Huevos EXTRA</v>
      </c>
      <c r="AK3257" s="14">
        <f>VLOOKUP(E3257,Precios!Z$2:BB$941,3,FALSE)*F3257</f>
        <v>-1</v>
      </c>
      <c r="AL3257" s="17"/>
      <c r="AM3257" s="17"/>
      <c r="AN3257" s="17"/>
      <c r="AO3257" s="17"/>
      <c r="AP3257" s="17"/>
      <c r="AQ3257" s="17"/>
      <c r="AR3257" s="17"/>
      <c r="AS3257" s="17"/>
      <c r="AT3257" s="17"/>
      <c r="AU3257" s="17"/>
      <c r="AV3257" s="17"/>
    </row>
    <row r="3258" spans="1:48" ht="15.75" customHeight="1">
      <c r="A3258" s="21" t="s">
        <v>47</v>
      </c>
      <c r="B3258" s="23" t="s">
        <v>1692</v>
      </c>
      <c r="C3258" s="22">
        <v>45687</v>
      </c>
      <c r="D3258" s="23" t="s">
        <v>236</v>
      </c>
      <c r="E3258" s="23" t="s">
        <v>49</v>
      </c>
      <c r="F3258" s="21">
        <v>1</v>
      </c>
      <c r="G3258" s="12">
        <v>4500.0000000000009</v>
      </c>
      <c r="H3258" s="12">
        <v>4500.0000000000009</v>
      </c>
      <c r="I3258" s="23" t="s">
        <v>52</v>
      </c>
      <c r="J3258" s="23" t="s">
        <v>61</v>
      </c>
      <c r="K3258" s="24" t="s">
        <v>177</v>
      </c>
      <c r="L3258" s="26">
        <v>96</v>
      </c>
      <c r="M3258" s="12">
        <v>3781.5126050420176</v>
      </c>
      <c r="N3258" s="12">
        <v>3781.5126050420176</v>
      </c>
      <c r="O3258" s="12">
        <v>718.48739495798327</v>
      </c>
      <c r="P3258" s="13"/>
      <c r="Q3258" s="14">
        <v>2025</v>
      </c>
      <c r="R3258" s="15">
        <v>45292</v>
      </c>
      <c r="S3258" s="11" t="s">
        <v>384</v>
      </c>
      <c r="T3258" s="16">
        <v>0</v>
      </c>
      <c r="U3258" s="17"/>
      <c r="V3258" s="12">
        <v>988.23529411764775</v>
      </c>
      <c r="W3258" s="12">
        <v>988.23529411764775</v>
      </c>
      <c r="X3258" s="12">
        <v>0</v>
      </c>
      <c r="Y3258" s="18">
        <v>45684</v>
      </c>
      <c r="Z3258" s="13" t="s">
        <v>505</v>
      </c>
      <c r="AA3258" s="19" t="str">
        <f>VLOOKUP(D3258,Clientes!$A$2:$J$486,9,FALSE)</f>
        <v>Familiar</v>
      </c>
      <c r="AB3258" s="13" t="str">
        <f>VLOOKUP(D3258,Clientes!$A$2:$K$486,11,FALSE)</f>
        <v>Persona Natural</v>
      </c>
      <c r="AC3258" s="13" t="str">
        <f>VLOOKUP(D3258,Clientes!$A$2:$B$486,2,FALSE)</f>
        <v>Familiar</v>
      </c>
      <c r="AD3258" s="20"/>
      <c r="AE3258" s="20"/>
      <c r="AF3258" s="13" t="s">
        <v>40</v>
      </c>
      <c r="AG3258" s="15">
        <v>45292</v>
      </c>
      <c r="AH3258" s="13" t="s">
        <v>41</v>
      </c>
      <c r="AI3258" s="13" t="s">
        <v>47</v>
      </c>
      <c r="AJ3258" s="13" t="str">
        <f>VLOOKUP(E3258,Precios!Z$2:AA$941,2,FALSE)</f>
        <v>Jabón Lìquido BALLERINA</v>
      </c>
      <c r="AK3258" s="14">
        <f>VLOOKUP(E3258,Precios!Z$2:BB$941,3,FALSE)*F3258</f>
        <v>-3</v>
      </c>
      <c r="AL3258" s="17"/>
      <c r="AM3258" s="17"/>
      <c r="AN3258" s="17"/>
      <c r="AO3258" s="17"/>
      <c r="AP3258" s="17"/>
      <c r="AQ3258" s="17"/>
      <c r="AR3258" s="17"/>
      <c r="AS3258" s="17"/>
      <c r="AT3258" s="17"/>
      <c r="AU3258" s="17"/>
      <c r="AV3258" s="17"/>
    </row>
    <row r="3259" spans="1:48" ht="15.75" customHeight="1">
      <c r="A3259" s="21" t="s">
        <v>139</v>
      </c>
      <c r="B3259" s="23" t="s">
        <v>1692</v>
      </c>
      <c r="C3259" s="22">
        <v>45687</v>
      </c>
      <c r="D3259" s="23" t="s">
        <v>310</v>
      </c>
      <c r="E3259" s="23" t="s">
        <v>764</v>
      </c>
      <c r="F3259" s="21">
        <v>1</v>
      </c>
      <c r="G3259" s="12">
        <v>2400.3308519437551</v>
      </c>
      <c r="H3259" s="12">
        <v>2400.3308519437551</v>
      </c>
      <c r="I3259" s="23" t="s">
        <v>52</v>
      </c>
      <c r="J3259" s="23" t="s">
        <v>61</v>
      </c>
      <c r="K3259" s="24" t="s">
        <v>177</v>
      </c>
      <c r="L3259" s="26">
        <v>96</v>
      </c>
      <c r="M3259" s="12">
        <v>2017.0847495325675</v>
      </c>
      <c r="N3259" s="12">
        <v>2017.0847495325675</v>
      </c>
      <c r="O3259" s="12">
        <v>383.24610241118762</v>
      </c>
      <c r="P3259" s="13"/>
      <c r="Q3259" s="14">
        <v>2025</v>
      </c>
      <c r="R3259" s="15">
        <v>45292</v>
      </c>
      <c r="S3259" s="11" t="s">
        <v>765</v>
      </c>
      <c r="T3259" s="16">
        <v>250</v>
      </c>
      <c r="U3259" s="17"/>
      <c r="V3259" s="12">
        <v>797.7570184401302</v>
      </c>
      <c r="W3259" s="12">
        <v>797.7570184401302</v>
      </c>
      <c r="X3259" s="12">
        <v>0</v>
      </c>
      <c r="Y3259" s="18">
        <v>45684</v>
      </c>
      <c r="Z3259" s="13" t="s">
        <v>505</v>
      </c>
      <c r="AA3259" s="19" t="str">
        <f>VLOOKUP(D3259,Clientes!$A$2:$J$486,9,FALSE)</f>
        <v>Familiar</v>
      </c>
      <c r="AB3259" s="13" t="str">
        <f>VLOOKUP(D3259,Clientes!$A$2:$K$486,11,FALSE)</f>
        <v>Persona Natural</v>
      </c>
      <c r="AC3259" s="13" t="str">
        <f>VLOOKUP(D3259,Clientes!$A$2:$B$486,2,FALSE)</f>
        <v>Familiar</v>
      </c>
      <c r="AD3259" s="20"/>
      <c r="AE3259" s="20"/>
      <c r="AF3259" s="13" t="s">
        <v>40</v>
      </c>
      <c r="AG3259" s="15">
        <v>45292</v>
      </c>
      <c r="AH3259" s="13" t="s">
        <v>41</v>
      </c>
      <c r="AI3259" s="13" t="s">
        <v>139</v>
      </c>
      <c r="AJ3259" s="13">
        <f>VLOOKUP(E3259,Precios!Z$2:AA$941,2,FALSE)</f>
        <v>0</v>
      </c>
      <c r="AK3259" s="14">
        <f>VLOOKUP(E3259,Precios!Z$2:BB$941,3,FALSE)*F3259</f>
        <v>0</v>
      </c>
      <c r="AL3259" s="17"/>
      <c r="AM3259" s="17"/>
      <c r="AN3259" s="17"/>
      <c r="AO3259" s="17"/>
      <c r="AP3259" s="17"/>
      <c r="AQ3259" s="17"/>
      <c r="AR3259" s="17"/>
      <c r="AS3259" s="17"/>
      <c r="AT3259" s="17"/>
      <c r="AU3259" s="17"/>
      <c r="AV3259" s="17"/>
    </row>
    <row r="3260" spans="1:48" ht="15.75" customHeight="1">
      <c r="A3260" s="21" t="s">
        <v>53</v>
      </c>
      <c r="B3260" s="23" t="s">
        <v>1692</v>
      </c>
      <c r="C3260" s="22">
        <v>45687</v>
      </c>
      <c r="D3260" s="23" t="s">
        <v>683</v>
      </c>
      <c r="E3260" s="23" t="s">
        <v>97</v>
      </c>
      <c r="F3260" s="21">
        <v>1</v>
      </c>
      <c r="G3260" s="12">
        <v>15500.298388701016</v>
      </c>
      <c r="H3260" s="12">
        <v>15500.298388701016</v>
      </c>
      <c r="I3260" s="23" t="s">
        <v>52</v>
      </c>
      <c r="J3260" s="23" t="s">
        <v>61</v>
      </c>
      <c r="K3260" s="24" t="s">
        <v>177</v>
      </c>
      <c r="L3260" s="26">
        <v>96</v>
      </c>
      <c r="M3260" s="12">
        <v>13025.46083084119</v>
      </c>
      <c r="N3260" s="12">
        <v>13025.46083084119</v>
      </c>
      <c r="O3260" s="12">
        <v>2474.8375578598261</v>
      </c>
      <c r="P3260" s="13"/>
      <c r="Q3260" s="14">
        <v>2025</v>
      </c>
      <c r="R3260" s="15">
        <v>45292</v>
      </c>
      <c r="S3260" s="11" t="s">
        <v>366</v>
      </c>
      <c r="T3260" s="16">
        <v>0</v>
      </c>
      <c r="U3260" s="17"/>
      <c r="V3260" s="12">
        <v>3203.6120913453906</v>
      </c>
      <c r="W3260" s="12">
        <v>3203.6120913453906</v>
      </c>
      <c r="X3260" s="12">
        <v>0</v>
      </c>
      <c r="Y3260" s="18">
        <v>45684</v>
      </c>
      <c r="Z3260" s="13" t="s">
        <v>505</v>
      </c>
      <c r="AA3260" s="19" t="str">
        <f>VLOOKUP(D3260,Clientes!$A$2:$J$486,9,FALSE)</f>
        <v>Ocacional</v>
      </c>
      <c r="AB3260" s="13" t="str">
        <f>VLOOKUP(D3260,Clientes!$A$2:$K$486,11,FALSE)</f>
        <v>Persona Natural</v>
      </c>
      <c r="AC3260" s="13" t="str">
        <f>VLOOKUP(D3260,Clientes!$A$2:$B$486,2,FALSE)</f>
        <v>Voz de arauco</v>
      </c>
      <c r="AD3260" s="20"/>
      <c r="AE3260" s="20"/>
      <c r="AF3260" s="13" t="s">
        <v>40</v>
      </c>
      <c r="AG3260" s="15">
        <v>45292</v>
      </c>
      <c r="AH3260" s="13" t="s">
        <v>41</v>
      </c>
      <c r="AI3260" s="13" t="s">
        <v>53</v>
      </c>
      <c r="AJ3260" s="13" t="str">
        <f>VLOOKUP(E3260,Precios!Z$2:AA$941,2,FALSE)</f>
        <v>Papel Higienico ELITE 50 metros</v>
      </c>
      <c r="AK3260" s="14">
        <f>VLOOKUP(E3260,Precios!Z$2:BB$941,3,FALSE)*F3260</f>
        <v>-6</v>
      </c>
      <c r="AL3260" s="17"/>
      <c r="AM3260" s="17"/>
      <c r="AN3260" s="17"/>
      <c r="AO3260" s="17"/>
      <c r="AP3260" s="17"/>
      <c r="AQ3260" s="17"/>
      <c r="AR3260" s="17"/>
      <c r="AS3260" s="17"/>
      <c r="AT3260" s="17"/>
      <c r="AU3260" s="17"/>
      <c r="AV3260" s="17"/>
    </row>
    <row r="3261" spans="1:48" ht="15.75" customHeight="1">
      <c r="A3261" s="21" t="s">
        <v>53</v>
      </c>
      <c r="B3261" s="23" t="s">
        <v>1692</v>
      </c>
      <c r="C3261" s="22">
        <v>45687</v>
      </c>
      <c r="D3261" s="23" t="s">
        <v>683</v>
      </c>
      <c r="E3261" s="23" t="s">
        <v>339</v>
      </c>
      <c r="F3261" s="21">
        <v>1</v>
      </c>
      <c r="G3261" s="12">
        <v>4000.0000000000005</v>
      </c>
      <c r="H3261" s="12">
        <v>4000.0000000000005</v>
      </c>
      <c r="I3261" s="23" t="s">
        <v>52</v>
      </c>
      <c r="J3261" s="23" t="s">
        <v>61</v>
      </c>
      <c r="K3261" s="24" t="s">
        <v>177</v>
      </c>
      <c r="L3261" s="26">
        <v>96</v>
      </c>
      <c r="M3261" s="12">
        <v>3361.3445378151264</v>
      </c>
      <c r="N3261" s="12">
        <v>3361.3445378151264</v>
      </c>
      <c r="O3261" s="12">
        <v>638.65546218487407</v>
      </c>
      <c r="P3261" s="13"/>
      <c r="Q3261" s="14">
        <v>2025</v>
      </c>
      <c r="R3261" s="15">
        <v>45292</v>
      </c>
      <c r="S3261" s="11" t="s">
        <v>369</v>
      </c>
      <c r="T3261" s="16">
        <v>0</v>
      </c>
      <c r="U3261" s="17"/>
      <c r="V3261" s="12">
        <v>953.78151260504228</v>
      </c>
      <c r="W3261" s="12">
        <v>953.78151260504228</v>
      </c>
      <c r="X3261" s="12">
        <v>0</v>
      </c>
      <c r="Y3261" s="18">
        <v>45684</v>
      </c>
      <c r="Z3261" s="13" t="s">
        <v>505</v>
      </c>
      <c r="AA3261" s="19" t="str">
        <f>VLOOKUP(D3261,Clientes!$A$2:$J$486,9,FALSE)</f>
        <v>Ocacional</v>
      </c>
      <c r="AB3261" s="13" t="str">
        <f>VLOOKUP(D3261,Clientes!$A$2:$K$486,11,FALSE)</f>
        <v>Persona Natural</v>
      </c>
      <c r="AC3261" s="13" t="str">
        <f>VLOOKUP(D3261,Clientes!$A$2:$B$486,2,FALSE)</f>
        <v>Voz de arauco</v>
      </c>
      <c r="AD3261" s="20"/>
      <c r="AE3261" s="20"/>
      <c r="AF3261" s="13" t="s">
        <v>40</v>
      </c>
      <c r="AG3261" s="15">
        <v>45292</v>
      </c>
      <c r="AH3261" s="13" t="s">
        <v>41</v>
      </c>
      <c r="AI3261" s="13" t="s">
        <v>53</v>
      </c>
      <c r="AJ3261" s="13" t="str">
        <f>VLOOKUP(E3261,Precios!Z$2:AA$941,2,FALSE)</f>
        <v>Toalla Papel NOVA 12 metros</v>
      </c>
      <c r="AK3261" s="14">
        <f>VLOOKUP(E3261,Precios!Z$2:BB$941,3,FALSE)*F3261</f>
        <v>-3</v>
      </c>
      <c r="AL3261" s="17"/>
      <c r="AM3261" s="17"/>
      <c r="AN3261" s="17"/>
      <c r="AO3261" s="17"/>
      <c r="AP3261" s="17"/>
      <c r="AQ3261" s="17"/>
      <c r="AR3261" s="17"/>
      <c r="AS3261" s="17"/>
      <c r="AT3261" s="17"/>
      <c r="AU3261" s="17"/>
      <c r="AV3261" s="17"/>
    </row>
    <row r="3262" spans="1:48" ht="15.75" customHeight="1">
      <c r="A3262" s="21" t="s">
        <v>47</v>
      </c>
      <c r="B3262" s="23" t="s">
        <v>1692</v>
      </c>
      <c r="C3262" s="22">
        <v>45687</v>
      </c>
      <c r="D3262" s="23" t="s">
        <v>683</v>
      </c>
      <c r="E3262" s="23" t="s">
        <v>267</v>
      </c>
      <c r="F3262" s="21">
        <v>1</v>
      </c>
      <c r="G3262" s="12">
        <v>7499.8770659745942</v>
      </c>
      <c r="H3262" s="12">
        <v>7499.8770659745942</v>
      </c>
      <c r="I3262" s="23" t="s">
        <v>52</v>
      </c>
      <c r="J3262" s="23" t="s">
        <v>61</v>
      </c>
      <c r="K3262" s="24" t="s">
        <v>177</v>
      </c>
      <c r="L3262" s="26">
        <v>96</v>
      </c>
      <c r="M3262" s="12">
        <v>6302.4177024996588</v>
      </c>
      <c r="N3262" s="12">
        <v>6302.4177024996588</v>
      </c>
      <c r="O3262" s="12">
        <v>1197.4593634749353</v>
      </c>
      <c r="P3262" s="13"/>
      <c r="Q3262" s="14">
        <v>2025</v>
      </c>
      <c r="R3262" s="15">
        <v>45292</v>
      </c>
      <c r="S3262" s="11" t="s">
        <v>372</v>
      </c>
      <c r="T3262" s="16">
        <v>0</v>
      </c>
      <c r="U3262" s="17"/>
      <c r="V3262" s="12">
        <v>1688.4177024996588</v>
      </c>
      <c r="W3262" s="12">
        <v>1688.4177024996588</v>
      </c>
      <c r="X3262" s="12">
        <v>0</v>
      </c>
      <c r="Y3262" s="18">
        <v>45684</v>
      </c>
      <c r="Z3262" s="13" t="s">
        <v>505</v>
      </c>
      <c r="AA3262" s="19" t="str">
        <f>VLOOKUP(D3262,Clientes!$A$2:$J$486,9,FALSE)</f>
        <v>Ocacional</v>
      </c>
      <c r="AB3262" s="13" t="str">
        <f>VLOOKUP(D3262,Clientes!$A$2:$K$486,11,FALSE)</f>
        <v>Persona Natural</v>
      </c>
      <c r="AC3262" s="13" t="str">
        <f>VLOOKUP(D3262,Clientes!$A$2:$B$486,2,FALSE)</f>
        <v>Voz de arauco</v>
      </c>
      <c r="AD3262" s="20"/>
      <c r="AE3262" s="20"/>
      <c r="AF3262" s="13" t="s">
        <v>40</v>
      </c>
      <c r="AG3262" s="15">
        <v>45292</v>
      </c>
      <c r="AH3262" s="13" t="s">
        <v>41</v>
      </c>
      <c r="AI3262" s="13" t="s">
        <v>47</v>
      </c>
      <c r="AJ3262" s="13" t="str">
        <f>VLOOKUP(E3262,Precios!Z$2:AA$941,2,FALSE)</f>
        <v>Traperos Humedos EXCELL</v>
      </c>
      <c r="AK3262" s="14">
        <f>VLOOKUP(E3262,Precios!Z$2:BB$941,3,FALSE)*F3262</f>
        <v>-3</v>
      </c>
      <c r="AL3262" s="17"/>
      <c r="AM3262" s="17"/>
      <c r="AN3262" s="17"/>
      <c r="AO3262" s="17"/>
      <c r="AP3262" s="17"/>
      <c r="AQ3262" s="17"/>
      <c r="AR3262" s="17"/>
      <c r="AS3262" s="17"/>
      <c r="AT3262" s="17"/>
      <c r="AU3262" s="17"/>
      <c r="AV3262" s="17"/>
    </row>
    <row r="3263" spans="1:48" ht="15.75" customHeight="1">
      <c r="A3263" s="21" t="s">
        <v>76</v>
      </c>
      <c r="B3263" s="23" t="s">
        <v>1692</v>
      </c>
      <c r="C3263" s="22">
        <v>45687</v>
      </c>
      <c r="D3263" s="23" t="s">
        <v>683</v>
      </c>
      <c r="E3263" s="23" t="s">
        <v>166</v>
      </c>
      <c r="F3263" s="21">
        <v>1</v>
      </c>
      <c r="G3263" s="12">
        <v>3500.0000000000005</v>
      </c>
      <c r="H3263" s="12">
        <v>3500.0000000000005</v>
      </c>
      <c r="I3263" s="23" t="s">
        <v>52</v>
      </c>
      <c r="J3263" s="23" t="s">
        <v>61</v>
      </c>
      <c r="K3263" s="24" t="s">
        <v>177</v>
      </c>
      <c r="L3263" s="26">
        <v>96</v>
      </c>
      <c r="M3263" s="12">
        <v>2941.1764705882356</v>
      </c>
      <c r="N3263" s="12">
        <v>2941.1764705882356</v>
      </c>
      <c r="O3263" s="12">
        <v>558.82352941176487</v>
      </c>
      <c r="P3263" s="13"/>
      <c r="Q3263" s="14">
        <v>2025</v>
      </c>
      <c r="R3263" s="15">
        <v>45292</v>
      </c>
      <c r="S3263" s="11" t="s">
        <v>448</v>
      </c>
      <c r="T3263" s="16">
        <v>5</v>
      </c>
      <c r="U3263" s="17"/>
      <c r="V3263" s="12">
        <v>1016.8067226890757</v>
      </c>
      <c r="W3263" s="12">
        <v>1016.8067226890757</v>
      </c>
      <c r="X3263" s="12">
        <v>0</v>
      </c>
      <c r="Y3263" s="18">
        <v>45684</v>
      </c>
      <c r="Z3263" s="13" t="s">
        <v>505</v>
      </c>
      <c r="AA3263" s="19" t="str">
        <f>VLOOKUP(D3263,Clientes!$A$2:$J$486,9,FALSE)</f>
        <v>Ocacional</v>
      </c>
      <c r="AB3263" s="13" t="str">
        <f>VLOOKUP(D3263,Clientes!$A$2:$K$486,11,FALSE)</f>
        <v>Persona Natural</v>
      </c>
      <c r="AC3263" s="13" t="str">
        <f>VLOOKUP(D3263,Clientes!$A$2:$B$486,2,FALSE)</f>
        <v>Voz de arauco</v>
      </c>
      <c r="AD3263" s="20"/>
      <c r="AE3263" s="20"/>
      <c r="AF3263" s="13" t="s">
        <v>40</v>
      </c>
      <c r="AG3263" s="15">
        <v>45292</v>
      </c>
      <c r="AH3263" s="13" t="s">
        <v>41</v>
      </c>
      <c r="AI3263" s="13" t="s">
        <v>76</v>
      </c>
      <c r="AJ3263" s="13" t="str">
        <f>VLOOKUP(E3263,Precios!Z$2:AA$941,2,FALSE)</f>
        <v>Cloro GEL SPUM 5 Litros</v>
      </c>
      <c r="AK3263" s="14">
        <f>VLOOKUP(E3263,Precios!Z$2:BB$941,3,FALSE)*F3263</f>
        <v>-1</v>
      </c>
      <c r="AL3263" s="17"/>
      <c r="AM3263" s="17"/>
      <c r="AN3263" s="17"/>
      <c r="AO3263" s="17"/>
      <c r="AP3263" s="17"/>
      <c r="AQ3263" s="17"/>
      <c r="AR3263" s="17"/>
      <c r="AS3263" s="17"/>
      <c r="AT3263" s="17"/>
      <c r="AU3263" s="17"/>
      <c r="AV3263" s="17"/>
    </row>
    <row r="3264" spans="1:48" ht="15.75" customHeight="1">
      <c r="A3264" s="21" t="s">
        <v>35</v>
      </c>
      <c r="B3264" s="23" t="s">
        <v>1692</v>
      </c>
      <c r="C3264" s="22">
        <v>45687</v>
      </c>
      <c r="D3264" s="23" t="s">
        <v>198</v>
      </c>
      <c r="E3264" s="23" t="s">
        <v>37</v>
      </c>
      <c r="F3264" s="21">
        <v>2</v>
      </c>
      <c r="G3264" s="12">
        <v>10500</v>
      </c>
      <c r="H3264" s="12">
        <v>21000</v>
      </c>
      <c r="I3264" s="23" t="s">
        <v>52</v>
      </c>
      <c r="J3264" s="23" t="s">
        <v>61</v>
      </c>
      <c r="K3264" s="24" t="s">
        <v>177</v>
      </c>
      <c r="L3264" s="26">
        <v>96</v>
      </c>
      <c r="M3264" s="12">
        <v>8823.5294117647063</v>
      </c>
      <c r="N3264" s="12">
        <v>17647.058823529413</v>
      </c>
      <c r="O3264" s="12">
        <v>3352.9411764705874</v>
      </c>
      <c r="P3264" s="13"/>
      <c r="Q3264" s="14">
        <v>2025</v>
      </c>
      <c r="R3264" s="15">
        <v>45292</v>
      </c>
      <c r="S3264" s="11" t="s">
        <v>364</v>
      </c>
      <c r="T3264" s="16">
        <v>2000</v>
      </c>
      <c r="U3264" s="17"/>
      <c r="V3264" s="12">
        <v>4771.4285714285706</v>
      </c>
      <c r="W3264" s="12">
        <v>4771.4285714285706</v>
      </c>
      <c r="X3264" s="12">
        <v>0</v>
      </c>
      <c r="Y3264" s="18">
        <v>45684</v>
      </c>
      <c r="Z3264" s="13" t="s">
        <v>505</v>
      </c>
      <c r="AA3264" s="19" t="str">
        <f>VLOOKUP(D3264,Clientes!$A$2:$J$486,9,FALSE)</f>
        <v>Frecuente</v>
      </c>
      <c r="AB3264" s="13" t="str">
        <f>VLOOKUP(D3264,Clientes!$A$2:$K$486,11,FALSE)</f>
        <v>Persona Natural</v>
      </c>
      <c r="AC3264" s="13" t="str">
        <f>VLOOKUP(D3264,Clientes!$A$2:$B$486,2,FALSE)</f>
        <v>Curso Amalia</v>
      </c>
      <c r="AD3264" s="20"/>
      <c r="AE3264" s="20"/>
      <c r="AF3264" s="13" t="s">
        <v>40</v>
      </c>
      <c r="AG3264" s="15">
        <v>45292</v>
      </c>
      <c r="AH3264" s="13" t="s">
        <v>41</v>
      </c>
      <c r="AI3264" s="13" t="s">
        <v>35</v>
      </c>
      <c r="AJ3264" s="13" t="str">
        <f>VLOOKUP(E3264,Precios!Z$2:AA$941,2,FALSE)</f>
        <v>Queso RUNCA Mantecoso</v>
      </c>
      <c r="AK3264" s="14">
        <f>VLOOKUP(E3264,Precios!Z$2:BB$941,3,FALSE)*F3264</f>
        <v>-2</v>
      </c>
      <c r="AL3264" s="17"/>
      <c r="AM3264" s="17"/>
      <c r="AN3264" s="17"/>
      <c r="AO3264" s="17"/>
      <c r="AP3264" s="17"/>
      <c r="AQ3264" s="17"/>
      <c r="AR3264" s="17"/>
      <c r="AS3264" s="17"/>
      <c r="AT3264" s="17"/>
      <c r="AU3264" s="17"/>
      <c r="AV3264" s="17"/>
    </row>
    <row r="3265" spans="1:48" ht="15.75" customHeight="1">
      <c r="A3265" s="21" t="s">
        <v>56</v>
      </c>
      <c r="B3265" s="23" t="s">
        <v>1692</v>
      </c>
      <c r="C3265" s="22">
        <v>45687</v>
      </c>
      <c r="D3265" s="23" t="s">
        <v>198</v>
      </c>
      <c r="E3265" s="23" t="s">
        <v>112</v>
      </c>
      <c r="F3265" s="21">
        <v>1</v>
      </c>
      <c r="G3265" s="12">
        <v>7999.6031746031749</v>
      </c>
      <c r="H3265" s="12">
        <v>7999.6031746031749</v>
      </c>
      <c r="I3265" s="23" t="s">
        <v>52</v>
      </c>
      <c r="J3265" s="23" t="s">
        <v>61</v>
      </c>
      <c r="K3265" s="24" t="s">
        <v>177</v>
      </c>
      <c r="L3265" s="26">
        <v>96</v>
      </c>
      <c r="M3265" s="12">
        <v>6722.3556089102312</v>
      </c>
      <c r="N3265" s="12">
        <v>6722.3556089102312</v>
      </c>
      <c r="O3265" s="12">
        <v>1277.2475656929437</v>
      </c>
      <c r="P3265" s="13"/>
      <c r="Q3265" s="14">
        <v>2025</v>
      </c>
      <c r="R3265" s="15">
        <v>45292</v>
      </c>
      <c r="S3265" s="11" t="s">
        <v>427</v>
      </c>
      <c r="T3265" s="16">
        <v>135</v>
      </c>
      <c r="U3265" s="17"/>
      <c r="V3265" s="12">
        <v>2317.868213952248</v>
      </c>
      <c r="W3265" s="12">
        <v>2317.868213952248</v>
      </c>
      <c r="X3265" s="12">
        <v>0</v>
      </c>
      <c r="Y3265" s="18">
        <v>45684</v>
      </c>
      <c r="Z3265" s="13" t="s">
        <v>505</v>
      </c>
      <c r="AA3265" s="19" t="str">
        <f>VLOOKUP(D3265,Clientes!$A$2:$J$486,9,FALSE)</f>
        <v>Frecuente</v>
      </c>
      <c r="AB3265" s="13" t="str">
        <f>VLOOKUP(D3265,Clientes!$A$2:$K$486,11,FALSE)</f>
        <v>Persona Natural</v>
      </c>
      <c r="AC3265" s="13" t="str">
        <f>VLOOKUP(D3265,Clientes!$A$2:$B$486,2,FALSE)</f>
        <v>Curso Amalia</v>
      </c>
      <c r="AD3265" s="20"/>
      <c r="AE3265" s="20"/>
      <c r="AF3265" s="13" t="s">
        <v>40</v>
      </c>
      <c r="AG3265" s="15">
        <v>45292</v>
      </c>
      <c r="AH3265" s="13" t="s">
        <v>41</v>
      </c>
      <c r="AI3265" s="13" t="s">
        <v>56</v>
      </c>
      <c r="AJ3265" s="13" t="str">
        <f>VLOOKUP(E3265,Precios!Z$2:AA$941,2,FALSE)</f>
        <v>Provoleta Parrillera</v>
      </c>
      <c r="AK3265" s="14">
        <f>VLOOKUP(E3265,Precios!Z$2:BB$941,3,FALSE)*F3265</f>
        <v>-3</v>
      </c>
      <c r="AL3265" s="17"/>
      <c r="AM3265" s="17"/>
      <c r="AN3265" s="17"/>
      <c r="AO3265" s="17"/>
      <c r="AP3265" s="17"/>
      <c r="AQ3265" s="17"/>
      <c r="AR3265" s="17"/>
      <c r="AS3265" s="17"/>
      <c r="AT3265" s="17"/>
      <c r="AU3265" s="17"/>
      <c r="AV3265" s="17"/>
    </row>
    <row r="3266" spans="1:48" ht="15.75" customHeight="1">
      <c r="A3266" s="21" t="s">
        <v>56</v>
      </c>
      <c r="B3266" s="23" t="s">
        <v>1692</v>
      </c>
      <c r="C3266" s="22">
        <v>45687</v>
      </c>
      <c r="D3266" s="23" t="s">
        <v>198</v>
      </c>
      <c r="E3266" s="23" t="s">
        <v>60</v>
      </c>
      <c r="F3266" s="21">
        <v>1</v>
      </c>
      <c r="G3266" s="12">
        <v>7000.0000000000018</v>
      </c>
      <c r="H3266" s="12">
        <v>7000.0000000000018</v>
      </c>
      <c r="I3266" s="23" t="s">
        <v>52</v>
      </c>
      <c r="J3266" s="23" t="s">
        <v>61</v>
      </c>
      <c r="K3266" s="24" t="s">
        <v>177</v>
      </c>
      <c r="L3266" s="26">
        <v>96</v>
      </c>
      <c r="M3266" s="12">
        <v>5882.3529411764721</v>
      </c>
      <c r="N3266" s="12">
        <v>5882.3529411764721</v>
      </c>
      <c r="O3266" s="12">
        <v>1117.6470588235297</v>
      </c>
      <c r="P3266" s="13"/>
      <c r="Q3266" s="14">
        <v>2025</v>
      </c>
      <c r="R3266" s="15">
        <v>45292</v>
      </c>
      <c r="S3266" s="11" t="s">
        <v>429</v>
      </c>
      <c r="T3266" s="16">
        <v>200</v>
      </c>
      <c r="U3266" s="17"/>
      <c r="V3266" s="12">
        <v>2080.6722689075641</v>
      </c>
      <c r="W3266" s="12">
        <v>2080.6722689075641</v>
      </c>
      <c r="X3266" s="12">
        <v>0</v>
      </c>
      <c r="Y3266" s="18">
        <v>45684</v>
      </c>
      <c r="Z3266" s="13" t="s">
        <v>505</v>
      </c>
      <c r="AA3266" s="19" t="str">
        <f>VLOOKUP(D3266,Clientes!$A$2:$J$486,9,FALSE)</f>
        <v>Frecuente</v>
      </c>
      <c r="AB3266" s="13" t="str">
        <f>VLOOKUP(D3266,Clientes!$A$2:$K$486,11,FALSE)</f>
        <v>Persona Natural</v>
      </c>
      <c r="AC3266" s="13" t="str">
        <f>VLOOKUP(D3266,Clientes!$A$2:$B$486,2,FALSE)</f>
        <v>Curso Amalia</v>
      </c>
      <c r="AD3266" s="20"/>
      <c r="AE3266" s="20"/>
      <c r="AF3266" s="13" t="s">
        <v>40</v>
      </c>
      <c r="AG3266" s="15">
        <v>45292</v>
      </c>
      <c r="AH3266" s="13" t="s">
        <v>41</v>
      </c>
      <c r="AI3266" s="13" t="s">
        <v>56</v>
      </c>
      <c r="AJ3266" s="13" t="str">
        <f>VLOOKUP(E3266,Precios!Z$2:AA$941,2,FALSE)</f>
        <v>Queso Sabores</v>
      </c>
      <c r="AK3266" s="14">
        <f>VLOOKUP(E3266,Precios!Z$2:BB$941,3,FALSE)*F3266</f>
        <v>-2</v>
      </c>
      <c r="AL3266" s="17"/>
      <c r="AM3266" s="17"/>
      <c r="AN3266" s="17"/>
      <c r="AO3266" s="17"/>
      <c r="AP3266" s="17"/>
      <c r="AQ3266" s="17"/>
      <c r="AR3266" s="17"/>
      <c r="AS3266" s="17"/>
      <c r="AT3266" s="17"/>
      <c r="AU3266" s="17"/>
      <c r="AV3266" s="17"/>
    </row>
    <row r="3267" spans="1:48" ht="15.75" customHeight="1">
      <c r="A3267" s="21" t="s">
        <v>147</v>
      </c>
      <c r="B3267" s="23" t="s">
        <v>1692</v>
      </c>
      <c r="C3267" s="22">
        <v>45687</v>
      </c>
      <c r="D3267" s="23" t="s">
        <v>766</v>
      </c>
      <c r="E3267" s="23" t="s">
        <v>296</v>
      </c>
      <c r="F3267" s="21">
        <v>1</v>
      </c>
      <c r="G3267" s="12">
        <v>6000.0775704921853</v>
      </c>
      <c r="H3267" s="12">
        <v>6000.0775704921853</v>
      </c>
      <c r="I3267" s="23" t="s">
        <v>52</v>
      </c>
      <c r="J3267" s="23" t="s">
        <v>61</v>
      </c>
      <c r="K3267" s="24" t="s">
        <v>177</v>
      </c>
      <c r="L3267" s="26">
        <v>96</v>
      </c>
      <c r="M3267" s="12">
        <v>5042.0819920102404</v>
      </c>
      <c r="N3267" s="12">
        <v>5042.0819920102404</v>
      </c>
      <c r="O3267" s="12">
        <v>957.9955784819449</v>
      </c>
      <c r="P3267" s="13"/>
      <c r="Q3267" s="14">
        <v>2025</v>
      </c>
      <c r="R3267" s="15">
        <v>45292</v>
      </c>
      <c r="S3267" s="11" t="s">
        <v>455</v>
      </c>
      <c r="T3267" s="16">
        <v>0</v>
      </c>
      <c r="U3267" s="17"/>
      <c r="V3267" s="12">
        <v>2442.0819920102394</v>
      </c>
      <c r="W3267" s="12">
        <v>2442.0819920102394</v>
      </c>
      <c r="X3267" s="12">
        <v>0</v>
      </c>
      <c r="Y3267" s="18">
        <v>45684</v>
      </c>
      <c r="Z3267" s="13" t="s">
        <v>505</v>
      </c>
      <c r="AA3267" s="19" t="str">
        <f>VLOOKUP(D3267,Clientes!$A$2:$J$486,9,FALSE)</f>
        <v>Ocacional</v>
      </c>
      <c r="AB3267" s="13" t="str">
        <f>VLOOKUP(D3267,Clientes!$A$2:$K$486,11,FALSE)</f>
        <v>Persona Natural</v>
      </c>
      <c r="AC3267" s="13" t="str">
        <f>VLOOKUP(D3267,Clientes!$A$2:$B$486,2,FALSE)</f>
        <v>Jardines de la viña</v>
      </c>
      <c r="AD3267" s="20"/>
      <c r="AE3267" s="20"/>
      <c r="AF3267" s="13" t="s">
        <v>40</v>
      </c>
      <c r="AG3267" s="15">
        <v>45292</v>
      </c>
      <c r="AH3267" s="13" t="s">
        <v>41</v>
      </c>
      <c r="AI3267" s="13" t="s">
        <v>147</v>
      </c>
      <c r="AJ3267" s="13" t="str">
        <f>VLOOKUP(E3267,Precios!Z$2:AA$941,2,FALSE)</f>
        <v>Film Embalaje</v>
      </c>
      <c r="AK3267" s="14">
        <f>VLOOKUP(E3267,Precios!Z$2:BB$941,3,FALSE)*F3267</f>
        <v>-1</v>
      </c>
      <c r="AL3267" s="17"/>
      <c r="AM3267" s="17"/>
      <c r="AN3267" s="17"/>
      <c r="AO3267" s="17"/>
      <c r="AP3267" s="17"/>
      <c r="AQ3267" s="17"/>
      <c r="AR3267" s="17"/>
      <c r="AS3267" s="17"/>
      <c r="AT3267" s="17"/>
      <c r="AU3267" s="17"/>
      <c r="AV3267" s="17"/>
    </row>
    <row r="3268" spans="1:48" ht="15.75" customHeight="1">
      <c r="A3268" s="21" t="s">
        <v>35</v>
      </c>
      <c r="B3268" s="23" t="s">
        <v>1692</v>
      </c>
      <c r="C3268" s="22">
        <v>45686</v>
      </c>
      <c r="D3268" s="23" t="s">
        <v>125</v>
      </c>
      <c r="E3268" s="23" t="s">
        <v>46</v>
      </c>
      <c r="F3268" s="21">
        <v>1</v>
      </c>
      <c r="G3268" s="12">
        <v>5500</v>
      </c>
      <c r="H3268" s="12">
        <v>5500</v>
      </c>
      <c r="I3268" s="23" t="s">
        <v>52</v>
      </c>
      <c r="J3268" s="23" t="s">
        <v>61</v>
      </c>
      <c r="K3268" s="24" t="s">
        <v>177</v>
      </c>
      <c r="L3268" s="26">
        <v>97</v>
      </c>
      <c r="M3268" s="12">
        <v>4621.8487394957983</v>
      </c>
      <c r="N3268" s="12">
        <v>4621.8487394957983</v>
      </c>
      <c r="O3268" s="12">
        <v>878.15126050420167</v>
      </c>
      <c r="P3268" s="13"/>
      <c r="Q3268" s="14">
        <v>2025</v>
      </c>
      <c r="R3268" s="15">
        <v>45292</v>
      </c>
      <c r="S3268" s="11" t="s">
        <v>364</v>
      </c>
      <c r="T3268" s="16">
        <v>500</v>
      </c>
      <c r="U3268" s="17"/>
      <c r="V3268" s="12">
        <v>1365.1260504201678</v>
      </c>
      <c r="W3268" s="12">
        <v>1365.1260504201678</v>
      </c>
      <c r="X3268" s="12">
        <v>0</v>
      </c>
      <c r="Y3268" s="18">
        <v>45684</v>
      </c>
      <c r="Z3268" s="13" t="s">
        <v>515</v>
      </c>
      <c r="AA3268" s="19" t="str">
        <f>VLOOKUP(D3268,Clientes!$A$2:$J$486,9,FALSE)</f>
        <v>Frecuente</v>
      </c>
      <c r="AB3268" s="13" t="str">
        <f>VLOOKUP(D3268,Clientes!$A$2:$K$486,11,FALSE)</f>
        <v>Persona Natural</v>
      </c>
      <c r="AC3268" s="13" t="str">
        <f>VLOOKUP(D3268,Clientes!$A$2:$B$486,2,FALSE)</f>
        <v>Jardines de la Viña</v>
      </c>
      <c r="AD3268" s="20"/>
      <c r="AE3268" s="20"/>
      <c r="AF3268" s="13" t="s">
        <v>40</v>
      </c>
      <c r="AG3268" s="15">
        <v>45292</v>
      </c>
      <c r="AH3268" s="13" t="s">
        <v>41</v>
      </c>
      <c r="AI3268" s="13" t="s">
        <v>35</v>
      </c>
      <c r="AJ3268" s="13" t="str">
        <f>VLOOKUP(E3268,Precios!Z$2:AA$941,2,FALSE)</f>
        <v>Queso RUNCA Mantecoso</v>
      </c>
      <c r="AK3268" s="14">
        <f>VLOOKUP(E3268,Precios!Z$2:BB$941,3,FALSE)*F3268</f>
        <v>-0.5</v>
      </c>
      <c r="AL3268" s="17"/>
      <c r="AM3268" s="17"/>
      <c r="AN3268" s="17"/>
      <c r="AO3268" s="17"/>
      <c r="AP3268" s="17"/>
      <c r="AQ3268" s="17"/>
      <c r="AR3268" s="17"/>
      <c r="AS3268" s="17"/>
      <c r="AT3268" s="17"/>
      <c r="AU3268" s="17"/>
      <c r="AV3268" s="17"/>
    </row>
    <row r="3269" spans="1:48" ht="15.75" customHeight="1">
      <c r="A3269" s="21" t="s">
        <v>47</v>
      </c>
      <c r="B3269" s="23" t="s">
        <v>1692</v>
      </c>
      <c r="C3269" s="22">
        <v>45686</v>
      </c>
      <c r="D3269" s="23" t="s">
        <v>125</v>
      </c>
      <c r="E3269" s="23" t="s">
        <v>344</v>
      </c>
      <c r="F3269" s="21">
        <v>1</v>
      </c>
      <c r="G3269" s="12">
        <v>2400.1353637901861</v>
      </c>
      <c r="H3269" s="12">
        <v>2400.1353637901861</v>
      </c>
      <c r="I3269" s="23" t="s">
        <v>52</v>
      </c>
      <c r="J3269" s="23" t="s">
        <v>61</v>
      </c>
      <c r="K3269" s="24" t="s">
        <v>177</v>
      </c>
      <c r="L3269" s="26">
        <v>97</v>
      </c>
      <c r="M3269" s="12">
        <v>2016.9204737732657</v>
      </c>
      <c r="N3269" s="12">
        <v>2016.9204737732657</v>
      </c>
      <c r="O3269" s="12">
        <v>383.21489001692044</v>
      </c>
      <c r="P3269" s="13"/>
      <c r="Q3269" s="14">
        <v>2025</v>
      </c>
      <c r="R3269" s="15">
        <v>45292</v>
      </c>
      <c r="S3269" s="11" t="s">
        <v>372</v>
      </c>
      <c r="T3269" s="16">
        <v>0</v>
      </c>
      <c r="U3269" s="17"/>
      <c r="V3269" s="12">
        <v>824.92047377326571</v>
      </c>
      <c r="W3269" s="12">
        <v>824.92047377326571</v>
      </c>
      <c r="X3269" s="12">
        <v>0</v>
      </c>
      <c r="Y3269" s="18">
        <v>45684</v>
      </c>
      <c r="Z3269" s="13" t="s">
        <v>515</v>
      </c>
      <c r="AA3269" s="19" t="str">
        <f>VLOOKUP(D3269,Clientes!$A$2:$J$486,9,FALSE)</f>
        <v>Frecuente</v>
      </c>
      <c r="AB3269" s="13" t="str">
        <f>VLOOKUP(D3269,Clientes!$A$2:$K$486,11,FALSE)</f>
        <v>Persona Natural</v>
      </c>
      <c r="AC3269" s="13" t="str">
        <f>VLOOKUP(D3269,Clientes!$A$2:$B$486,2,FALSE)</f>
        <v>Jardines de la Viña</v>
      </c>
      <c r="AD3269" s="20"/>
      <c r="AE3269" s="20"/>
      <c r="AF3269" s="13" t="s">
        <v>40</v>
      </c>
      <c r="AG3269" s="15">
        <v>45292</v>
      </c>
      <c r="AH3269" s="13" t="s">
        <v>41</v>
      </c>
      <c r="AI3269" s="13" t="s">
        <v>47</v>
      </c>
      <c r="AJ3269" s="13" t="str">
        <f>VLOOKUP(E3269,Precios!Z$2:AA$941,2,FALSE)</f>
        <v>Traperos Humedos TEDDY</v>
      </c>
      <c r="AK3269" s="14">
        <f>VLOOKUP(E3269,Precios!Z$2:BB$941,3,FALSE)*F3269</f>
        <v>-1</v>
      </c>
      <c r="AL3269" s="17"/>
      <c r="AM3269" s="17"/>
      <c r="AN3269" s="17"/>
      <c r="AO3269" s="17"/>
      <c r="AP3269" s="17"/>
      <c r="AQ3269" s="17"/>
      <c r="AR3269" s="17"/>
      <c r="AS3269" s="17"/>
      <c r="AT3269" s="17"/>
      <c r="AU3269" s="17"/>
      <c r="AV3269" s="17"/>
    </row>
    <row r="3270" spans="1:48" ht="15.75" customHeight="1">
      <c r="A3270" s="21" t="s">
        <v>47</v>
      </c>
      <c r="B3270" s="23" t="s">
        <v>1692</v>
      </c>
      <c r="C3270" s="22">
        <v>45686</v>
      </c>
      <c r="D3270" s="23" t="s">
        <v>125</v>
      </c>
      <c r="E3270" s="23" t="s">
        <v>610</v>
      </c>
      <c r="F3270" s="21">
        <v>1</v>
      </c>
      <c r="G3270" s="12">
        <v>1600.2801610926285</v>
      </c>
      <c r="H3270" s="12">
        <v>1600.2801610926285</v>
      </c>
      <c r="I3270" s="23" t="s">
        <v>52</v>
      </c>
      <c r="J3270" s="23" t="s">
        <v>61</v>
      </c>
      <c r="K3270" s="24" t="s">
        <v>177</v>
      </c>
      <c r="L3270" s="26">
        <v>97</v>
      </c>
      <c r="M3270" s="12">
        <v>1344.7732446156542</v>
      </c>
      <c r="N3270" s="12">
        <v>1344.7732446156542</v>
      </c>
      <c r="O3270" s="12">
        <v>255.50691647697431</v>
      </c>
      <c r="P3270" s="13"/>
      <c r="Q3270" s="14">
        <v>2025</v>
      </c>
      <c r="R3270" s="15">
        <v>45292</v>
      </c>
      <c r="S3270" s="11" t="s">
        <v>600</v>
      </c>
      <c r="T3270" s="16">
        <v>0</v>
      </c>
      <c r="U3270" s="17"/>
      <c r="V3270" s="12">
        <v>576.77324461565422</v>
      </c>
      <c r="W3270" s="12">
        <v>576.77324461565422</v>
      </c>
      <c r="X3270" s="12">
        <v>0</v>
      </c>
      <c r="Y3270" s="18">
        <v>45684</v>
      </c>
      <c r="Z3270" s="13" t="s">
        <v>515</v>
      </c>
      <c r="AA3270" s="19" t="str">
        <f>VLOOKUP(D3270,Clientes!$A$2:$J$486,9,FALSE)</f>
        <v>Frecuente</v>
      </c>
      <c r="AB3270" s="13" t="str">
        <f>VLOOKUP(D3270,Clientes!$A$2:$K$486,11,FALSE)</f>
        <v>Persona Natural</v>
      </c>
      <c r="AC3270" s="13" t="str">
        <f>VLOOKUP(D3270,Clientes!$A$2:$B$486,2,FALSE)</f>
        <v>Jardines de la Viña</v>
      </c>
      <c r="AD3270" s="20"/>
      <c r="AE3270" s="20"/>
      <c r="AF3270" s="13" t="s">
        <v>40</v>
      </c>
      <c r="AG3270" s="15">
        <v>45292</v>
      </c>
      <c r="AH3270" s="13" t="s">
        <v>41</v>
      </c>
      <c r="AI3270" s="13" t="s">
        <v>47</v>
      </c>
      <c r="AJ3270" s="13" t="str">
        <f>VLOOKUP(E3270,Precios!Z$2:AA$941,2,FALSE)</f>
        <v>Toallas Humedas Bebé TEDDY 80 unidades</v>
      </c>
      <c r="AK3270" s="14">
        <f>VLOOKUP(E3270,Precios!Z$2:BB$941,3,FALSE)*F3270</f>
        <v>-1</v>
      </c>
      <c r="AL3270" s="17"/>
      <c r="AM3270" s="17"/>
      <c r="AN3270" s="17"/>
      <c r="AO3270" s="17"/>
      <c r="AP3270" s="17"/>
      <c r="AQ3270" s="17"/>
      <c r="AR3270" s="17"/>
      <c r="AS3270" s="17"/>
      <c r="AT3270" s="17"/>
      <c r="AU3270" s="17"/>
      <c r="AV3270" s="17"/>
    </row>
    <row r="3271" spans="1:48" ht="15.75" customHeight="1">
      <c r="A3271" s="21" t="s">
        <v>47</v>
      </c>
      <c r="B3271" s="23" t="s">
        <v>1692</v>
      </c>
      <c r="C3271" s="22">
        <v>45686</v>
      </c>
      <c r="D3271" s="23" t="s">
        <v>767</v>
      </c>
      <c r="E3271" s="23" t="s">
        <v>153</v>
      </c>
      <c r="F3271" s="21">
        <v>2</v>
      </c>
      <c r="G3271" s="12">
        <v>1700</v>
      </c>
      <c r="H3271" s="12">
        <v>3400</v>
      </c>
      <c r="I3271" s="23" t="s">
        <v>52</v>
      </c>
      <c r="J3271" s="23" t="s">
        <v>61</v>
      </c>
      <c r="K3271" s="24" t="s">
        <v>177</v>
      </c>
      <c r="L3271" s="26">
        <v>97</v>
      </c>
      <c r="M3271" s="12">
        <v>1428.5714285714287</v>
      </c>
      <c r="N3271" s="12">
        <v>2857.1428571428573</v>
      </c>
      <c r="O3271" s="12">
        <v>542.85714285714266</v>
      </c>
      <c r="P3271" s="13"/>
      <c r="Q3271" s="14">
        <v>2025</v>
      </c>
      <c r="R3271" s="15">
        <v>45292</v>
      </c>
      <c r="S3271" s="11" t="s">
        <v>153</v>
      </c>
      <c r="T3271" s="16">
        <v>0</v>
      </c>
      <c r="U3271" s="17"/>
      <c r="V3271" s="12">
        <v>1179.1428571428573</v>
      </c>
      <c r="W3271" s="12">
        <v>1179.1428571428573</v>
      </c>
      <c r="X3271" s="12">
        <v>0</v>
      </c>
      <c r="Y3271" s="18">
        <v>45684</v>
      </c>
      <c r="Z3271" s="13" t="s">
        <v>515</v>
      </c>
      <c r="AA3271" s="19" t="str">
        <f>VLOOKUP(D3271,Clientes!$A$2:$J$486,9,FALSE)</f>
        <v>Ocacional</v>
      </c>
      <c r="AB3271" s="13" t="str">
        <f>VLOOKUP(D3271,Clientes!$A$2:$K$486,11,FALSE)</f>
        <v>Persona Natural</v>
      </c>
      <c r="AC3271" s="13" t="str">
        <f>VLOOKUP(D3271,Clientes!$A$2:$B$486,2,FALSE)</f>
        <v>Familiar</v>
      </c>
      <c r="AD3271" s="20"/>
      <c r="AE3271" s="20"/>
      <c r="AF3271" s="13" t="s">
        <v>40</v>
      </c>
      <c r="AG3271" s="15">
        <v>45292</v>
      </c>
      <c r="AH3271" s="13" t="s">
        <v>41</v>
      </c>
      <c r="AI3271" s="13" t="s">
        <v>47</v>
      </c>
      <c r="AJ3271" s="13" t="str">
        <f>VLOOKUP(E3271,Precios!Z$2:AA$941,2,FALSE)</f>
        <v>Escobillon TEDDY</v>
      </c>
      <c r="AK3271" s="14">
        <f>VLOOKUP(E3271,Precios!Z$2:BB$941,3,FALSE)*F3271</f>
        <v>-2</v>
      </c>
      <c r="AL3271" s="17"/>
      <c r="AM3271" s="17"/>
      <c r="AN3271" s="17"/>
      <c r="AO3271" s="17"/>
      <c r="AP3271" s="17"/>
      <c r="AQ3271" s="17"/>
      <c r="AR3271" s="17"/>
      <c r="AS3271" s="17"/>
      <c r="AT3271" s="17"/>
      <c r="AU3271" s="17"/>
      <c r="AV3271" s="17"/>
    </row>
    <row r="3272" spans="1:48" ht="15.75" customHeight="1">
      <c r="A3272" s="21" t="s">
        <v>43</v>
      </c>
      <c r="B3272" s="23" t="s">
        <v>1692</v>
      </c>
      <c r="C3272" s="22">
        <v>45686</v>
      </c>
      <c r="D3272" s="23" t="s">
        <v>622</v>
      </c>
      <c r="E3272" s="23" t="s">
        <v>757</v>
      </c>
      <c r="F3272" s="14">
        <v>1</v>
      </c>
      <c r="G3272" s="12">
        <v>5999.6872875594827</v>
      </c>
      <c r="H3272" s="12">
        <v>5999.6872875594827</v>
      </c>
      <c r="I3272" s="23" t="s">
        <v>52</v>
      </c>
      <c r="J3272" s="23" t="s">
        <v>61</v>
      </c>
      <c r="K3272" s="24" t="s">
        <v>177</v>
      </c>
      <c r="L3272" s="26">
        <v>97</v>
      </c>
      <c r="M3272" s="12">
        <v>5041.7540231592293</v>
      </c>
      <c r="N3272" s="12">
        <v>5041.7540231592293</v>
      </c>
      <c r="O3272" s="12">
        <v>957.93326440025339</v>
      </c>
      <c r="P3272" s="13"/>
      <c r="Q3272" s="14">
        <v>2025</v>
      </c>
      <c r="R3272" s="15">
        <v>45292</v>
      </c>
      <c r="S3272" s="11" t="s">
        <v>758</v>
      </c>
      <c r="T3272" s="16">
        <v>0</v>
      </c>
      <c r="U3272" s="17"/>
      <c r="V3272" s="12">
        <v>1333.5439391256159</v>
      </c>
      <c r="W3272" s="12">
        <v>1333.5439391256159</v>
      </c>
      <c r="X3272" s="12">
        <v>0</v>
      </c>
      <c r="Y3272" s="18">
        <v>45684</v>
      </c>
      <c r="Z3272" s="13" t="s">
        <v>515</v>
      </c>
      <c r="AA3272" s="19" t="str">
        <f>VLOOKUP(D3272,Clientes!$A$2:$J$486,9,FALSE)</f>
        <v>Ocacional</v>
      </c>
      <c r="AB3272" s="13" t="str">
        <f>VLOOKUP(D3272,Clientes!$A$2:$K$486,11,FALSE)</f>
        <v>Persona Natural</v>
      </c>
      <c r="AC3272" s="13" t="str">
        <f>VLOOKUP(D3272,Clientes!$A$2:$B$486,2,FALSE)</f>
        <v>Domo</v>
      </c>
      <c r="AD3272" s="20"/>
      <c r="AE3272" s="20"/>
      <c r="AF3272" s="13" t="s">
        <v>40</v>
      </c>
      <c r="AG3272" s="15">
        <v>45292</v>
      </c>
      <c r="AH3272" s="13" t="s">
        <v>41</v>
      </c>
      <c r="AI3272" s="13" t="s">
        <v>43</v>
      </c>
      <c r="AJ3272" s="13" t="str">
        <f>VLOOKUP(E3272,Precios!Z$2:AA$941,2,FALSE)</f>
        <v>Bandeja Huevos JUMBO</v>
      </c>
      <c r="AK3272" s="14">
        <f>VLOOKUP(E3272,Precios!Z$2:BB$941,3,FALSE)*F3272</f>
        <v>-1</v>
      </c>
      <c r="AL3272" s="17"/>
      <c r="AM3272" s="17"/>
      <c r="AN3272" s="17"/>
      <c r="AO3272" s="17"/>
      <c r="AP3272" s="17"/>
      <c r="AQ3272" s="17"/>
      <c r="AR3272" s="17"/>
      <c r="AS3272" s="17"/>
      <c r="AT3272" s="17"/>
      <c r="AU3272" s="17"/>
      <c r="AV3272" s="17"/>
    </row>
    <row r="3273" spans="1:48" ht="15.75" customHeight="1">
      <c r="A3273" s="21" t="s">
        <v>76</v>
      </c>
      <c r="B3273" s="23" t="s">
        <v>1692</v>
      </c>
      <c r="C3273" s="22">
        <v>45686</v>
      </c>
      <c r="D3273" s="23" t="s">
        <v>301</v>
      </c>
      <c r="E3273" s="23" t="s">
        <v>137</v>
      </c>
      <c r="F3273" s="14">
        <v>1</v>
      </c>
      <c r="G3273" s="12">
        <v>3500.0000000000005</v>
      </c>
      <c r="H3273" s="12">
        <v>3500.0000000000005</v>
      </c>
      <c r="I3273" s="23" t="s">
        <v>52</v>
      </c>
      <c r="J3273" s="23" t="s">
        <v>61</v>
      </c>
      <c r="K3273" s="24" t="s">
        <v>177</v>
      </c>
      <c r="L3273" s="26">
        <v>97</v>
      </c>
      <c r="M3273" s="12">
        <v>2941.1764705882356</v>
      </c>
      <c r="N3273" s="12">
        <v>2941.1764705882356</v>
      </c>
      <c r="O3273" s="12">
        <v>558.82352941176487</v>
      </c>
      <c r="P3273" s="13"/>
      <c r="Q3273" s="14">
        <v>2025</v>
      </c>
      <c r="R3273" s="15">
        <v>45292</v>
      </c>
      <c r="S3273" s="11" t="s">
        <v>406</v>
      </c>
      <c r="T3273" s="16">
        <v>5</v>
      </c>
      <c r="U3273" s="17"/>
      <c r="V3273" s="12">
        <v>848.73949579831969</v>
      </c>
      <c r="W3273" s="12">
        <v>848.73949579831969</v>
      </c>
      <c r="X3273" s="12">
        <v>0</v>
      </c>
      <c r="Y3273" s="18">
        <v>45684</v>
      </c>
      <c r="Z3273" s="13" t="s">
        <v>515</v>
      </c>
      <c r="AA3273" s="19" t="str">
        <f>VLOOKUP(D3273,Clientes!$A$2:$J$486,9,FALSE)</f>
        <v>Regular</v>
      </c>
      <c r="AB3273" s="13" t="str">
        <f>VLOOKUP(D3273,Clientes!$A$2:$K$486,11,FALSE)</f>
        <v>Persona Natural</v>
      </c>
      <c r="AC3273" s="13" t="str">
        <f>VLOOKUP(D3273,Clientes!$A$2:$B$486,2,FALSE)</f>
        <v>Sector Chilcas</v>
      </c>
      <c r="AD3273" s="20"/>
      <c r="AE3273" s="20"/>
      <c r="AF3273" s="13" t="s">
        <v>40</v>
      </c>
      <c r="AG3273" s="15">
        <v>45292</v>
      </c>
      <c r="AH3273" s="13" t="s">
        <v>41</v>
      </c>
      <c r="AI3273" s="13" t="s">
        <v>76</v>
      </c>
      <c r="AJ3273" s="13" t="str">
        <f>VLOOKUP(E3273,Precios!Z$2:AA$941,2,FALSE)</f>
        <v>Detergente SPUM 5 Litros (Blanco)</v>
      </c>
      <c r="AK3273" s="14">
        <f>VLOOKUP(E3273,Precios!Z$2:BB$941,3,FALSE)*F3273</f>
        <v>-1</v>
      </c>
      <c r="AL3273" s="17"/>
      <c r="AM3273" s="17"/>
      <c r="AN3273" s="17"/>
      <c r="AO3273" s="17"/>
      <c r="AP3273" s="17"/>
      <c r="AQ3273" s="17"/>
      <c r="AR3273" s="17"/>
      <c r="AS3273" s="17"/>
      <c r="AT3273" s="17"/>
      <c r="AU3273" s="17"/>
      <c r="AV3273" s="17"/>
    </row>
    <row r="3274" spans="1:48" ht="15.75" customHeight="1">
      <c r="A3274" s="21" t="s">
        <v>56</v>
      </c>
      <c r="B3274" s="23" t="s">
        <v>1692</v>
      </c>
      <c r="C3274" s="22">
        <v>45686</v>
      </c>
      <c r="D3274" s="23" t="s">
        <v>915</v>
      </c>
      <c r="E3274" s="23" t="s">
        <v>190</v>
      </c>
      <c r="F3274" s="14">
        <v>1</v>
      </c>
      <c r="G3274" s="12">
        <v>2500</v>
      </c>
      <c r="H3274" s="37">
        <v>2500</v>
      </c>
      <c r="I3274" s="13" t="s">
        <v>52</v>
      </c>
      <c r="J3274" s="23" t="s">
        <v>61</v>
      </c>
      <c r="K3274" s="24" t="s">
        <v>177</v>
      </c>
      <c r="L3274" s="26">
        <v>97</v>
      </c>
      <c r="M3274" s="12">
        <v>2100.840336134454</v>
      </c>
      <c r="N3274" s="12">
        <v>2100.840336134454</v>
      </c>
      <c r="O3274" s="12">
        <v>399.15966386554601</v>
      </c>
      <c r="P3274" s="13"/>
      <c r="Q3274" s="14">
        <v>2025</v>
      </c>
      <c r="R3274" s="15">
        <v>45292</v>
      </c>
      <c r="S3274" s="11" t="s">
        <v>492</v>
      </c>
      <c r="T3274" s="16">
        <v>200</v>
      </c>
      <c r="U3274" s="17"/>
      <c r="V3274" s="12">
        <v>631.93277310924373</v>
      </c>
      <c r="W3274" s="12">
        <v>631.93277310924373</v>
      </c>
      <c r="X3274" s="12">
        <v>0</v>
      </c>
      <c r="Y3274" s="18">
        <v>45684</v>
      </c>
      <c r="Z3274" s="13" t="s">
        <v>515</v>
      </c>
      <c r="AA3274" s="19" t="str">
        <f>VLOOKUP(D3274,Clientes!$A$2:$J$486,9,FALSE)</f>
        <v>Regular</v>
      </c>
      <c r="AB3274" s="13" t="str">
        <f>VLOOKUP(D3274,Clientes!$A$2:$K$486,11,FALSE)</f>
        <v>Persona Natural</v>
      </c>
      <c r="AC3274" s="13" t="str">
        <f>VLOOKUP(D3274,Clientes!$A$2:$B$486,2,FALSE)</f>
        <v>Jardin del Eden</v>
      </c>
      <c r="AD3274" s="20"/>
      <c r="AE3274" s="20"/>
      <c r="AF3274" s="13" t="s">
        <v>40</v>
      </c>
      <c r="AG3274" s="15">
        <v>45292</v>
      </c>
      <c r="AH3274" s="13" t="s">
        <v>41</v>
      </c>
      <c r="AI3274" s="13" t="s">
        <v>56</v>
      </c>
      <c r="AJ3274" s="13" t="str">
        <f>VLOOKUP(E3274,Precios!Z$2:AA$941,2,FALSE)</f>
        <v>Mantequilla RUMAY</v>
      </c>
      <c r="AK3274" s="14">
        <f>VLOOKUP(E3274,Precios!Z$2:BB$941,3,FALSE)*F3274</f>
        <v>-1</v>
      </c>
      <c r="AL3274" s="17"/>
      <c r="AM3274" s="17"/>
      <c r="AN3274" s="17"/>
      <c r="AO3274" s="17"/>
      <c r="AP3274" s="17"/>
      <c r="AQ3274" s="17"/>
      <c r="AR3274" s="17"/>
      <c r="AS3274" s="17"/>
      <c r="AT3274" s="17"/>
      <c r="AU3274" s="17"/>
      <c r="AV3274" s="17"/>
    </row>
    <row r="3275" spans="1:48" ht="15.75" customHeight="1">
      <c r="A3275" s="21" t="s">
        <v>43</v>
      </c>
      <c r="B3275" s="23" t="s">
        <v>1692</v>
      </c>
      <c r="C3275" s="22">
        <v>45685</v>
      </c>
      <c r="D3275" s="23" t="s">
        <v>115</v>
      </c>
      <c r="E3275" s="23" t="s">
        <v>757</v>
      </c>
      <c r="F3275" s="14">
        <v>1</v>
      </c>
      <c r="G3275" s="12">
        <v>5999.6872875594827</v>
      </c>
      <c r="H3275" s="12">
        <v>5999.6872875594827</v>
      </c>
      <c r="I3275" s="23" t="s">
        <v>52</v>
      </c>
      <c r="J3275" s="23" t="s">
        <v>61</v>
      </c>
      <c r="K3275" s="24" t="s">
        <v>177</v>
      </c>
      <c r="L3275" s="26">
        <v>95</v>
      </c>
      <c r="M3275" s="12">
        <v>5041.7540231592293</v>
      </c>
      <c r="N3275" s="12">
        <v>5041.7540231592293</v>
      </c>
      <c r="O3275" s="12">
        <v>957.93326440025339</v>
      </c>
      <c r="P3275" s="13"/>
      <c r="Q3275" s="14">
        <v>2025</v>
      </c>
      <c r="R3275" s="15">
        <v>45292</v>
      </c>
      <c r="S3275" s="11" t="s">
        <v>758</v>
      </c>
      <c r="T3275" s="16">
        <v>0</v>
      </c>
      <c r="U3275" s="17"/>
      <c r="V3275" s="12">
        <v>1333.5439391256159</v>
      </c>
      <c r="W3275" s="12">
        <v>1333.5439391256159</v>
      </c>
      <c r="X3275" s="12">
        <v>0</v>
      </c>
      <c r="Y3275" s="18">
        <v>45684</v>
      </c>
      <c r="Z3275" s="13" t="s">
        <v>516</v>
      </c>
      <c r="AA3275" s="19" t="str">
        <f>VLOOKUP(D3275,Clientes!$A$2:$J$486,9,FALSE)</f>
        <v>Ocacional</v>
      </c>
      <c r="AB3275" s="13" t="str">
        <f>VLOOKUP(D3275,Clientes!$A$2:$K$486,11,FALSE)</f>
        <v>Persona Natural</v>
      </c>
      <c r="AC3275" s="13" t="str">
        <f>VLOOKUP(D3275,Clientes!$A$2:$B$486,2,FALSE)</f>
        <v>Jardines de la viña</v>
      </c>
      <c r="AD3275" s="20"/>
      <c r="AE3275" s="20"/>
      <c r="AF3275" s="13" t="s">
        <v>40</v>
      </c>
      <c r="AG3275" s="15">
        <v>45292</v>
      </c>
      <c r="AH3275" s="13" t="s">
        <v>41</v>
      </c>
      <c r="AI3275" s="13" t="s">
        <v>43</v>
      </c>
      <c r="AJ3275" s="13" t="str">
        <f>VLOOKUP(E3275,Precios!Z$2:AA$941,2,FALSE)</f>
        <v>Bandeja Huevos JUMBO</v>
      </c>
      <c r="AK3275" s="14">
        <f>VLOOKUP(E3275,Precios!Z$2:BB$941,3,FALSE)*F3275</f>
        <v>-1</v>
      </c>
      <c r="AL3275" s="17"/>
      <c r="AM3275" s="17"/>
      <c r="AN3275" s="17"/>
      <c r="AO3275" s="17"/>
      <c r="AP3275" s="17"/>
      <c r="AQ3275" s="17"/>
      <c r="AR3275" s="17"/>
      <c r="AS3275" s="17"/>
      <c r="AT3275" s="17"/>
      <c r="AU3275" s="17"/>
      <c r="AV3275" s="17"/>
    </row>
    <row r="3276" spans="1:48" ht="15.75" customHeight="1">
      <c r="A3276" s="21" t="s">
        <v>35</v>
      </c>
      <c r="B3276" s="23" t="s">
        <v>1692</v>
      </c>
      <c r="C3276" s="22">
        <v>45685</v>
      </c>
      <c r="D3276" s="23" t="s">
        <v>115</v>
      </c>
      <c r="E3276" s="23" t="s">
        <v>46</v>
      </c>
      <c r="F3276" s="14">
        <v>1</v>
      </c>
      <c r="G3276" s="12">
        <v>5500</v>
      </c>
      <c r="H3276" s="12">
        <v>5500</v>
      </c>
      <c r="I3276" s="23" t="s">
        <v>52</v>
      </c>
      <c r="J3276" s="23" t="s">
        <v>61</v>
      </c>
      <c r="K3276" s="24" t="s">
        <v>177</v>
      </c>
      <c r="L3276" s="26">
        <v>95</v>
      </c>
      <c r="M3276" s="12">
        <v>4621.8487394957983</v>
      </c>
      <c r="N3276" s="12">
        <v>4621.8487394957983</v>
      </c>
      <c r="O3276" s="12">
        <v>878.15126050420167</v>
      </c>
      <c r="P3276" s="13"/>
      <c r="Q3276" s="14">
        <v>2025</v>
      </c>
      <c r="R3276" s="15">
        <v>45292</v>
      </c>
      <c r="S3276" s="11" t="s">
        <v>364</v>
      </c>
      <c r="T3276" s="16">
        <v>500</v>
      </c>
      <c r="U3276" s="17"/>
      <c r="V3276" s="12">
        <v>1365.1260504201678</v>
      </c>
      <c r="W3276" s="12">
        <v>1365.1260504201678</v>
      </c>
      <c r="X3276" s="12">
        <v>0</v>
      </c>
      <c r="Y3276" s="18">
        <v>45684</v>
      </c>
      <c r="Z3276" s="13" t="s">
        <v>516</v>
      </c>
      <c r="AA3276" s="19" t="str">
        <f>VLOOKUP(D3276,Clientes!$A$2:$J$486,9,FALSE)</f>
        <v>Ocacional</v>
      </c>
      <c r="AB3276" s="13" t="str">
        <f>VLOOKUP(D3276,Clientes!$A$2:$K$486,11,FALSE)</f>
        <v>Persona Natural</v>
      </c>
      <c r="AC3276" s="13" t="str">
        <f>VLOOKUP(D3276,Clientes!$A$2:$B$486,2,FALSE)</f>
        <v>Jardines de la viña</v>
      </c>
      <c r="AD3276" s="20"/>
      <c r="AE3276" s="20"/>
      <c r="AF3276" s="13" t="s">
        <v>40</v>
      </c>
      <c r="AG3276" s="15">
        <v>45292</v>
      </c>
      <c r="AH3276" s="13" t="s">
        <v>41</v>
      </c>
      <c r="AI3276" s="13" t="s">
        <v>35</v>
      </c>
      <c r="AJ3276" s="13" t="str">
        <f>VLOOKUP(E3276,Precios!Z$2:AA$941,2,FALSE)</f>
        <v>Queso RUNCA Mantecoso</v>
      </c>
      <c r="AK3276" s="14">
        <f>VLOOKUP(E3276,Precios!Z$2:BB$941,3,FALSE)*F3276</f>
        <v>-0.5</v>
      </c>
      <c r="AL3276" s="17"/>
      <c r="AM3276" s="17"/>
      <c r="AN3276" s="17"/>
      <c r="AO3276" s="17"/>
      <c r="AP3276" s="17"/>
      <c r="AQ3276" s="17"/>
      <c r="AR3276" s="17"/>
      <c r="AS3276" s="17"/>
      <c r="AT3276" s="17"/>
      <c r="AU3276" s="17"/>
      <c r="AV3276" s="17"/>
    </row>
    <row r="3277" spans="1:48" ht="15.75" customHeight="1">
      <c r="A3277" s="21" t="s">
        <v>43</v>
      </c>
      <c r="B3277" s="23" t="s">
        <v>1692</v>
      </c>
      <c r="C3277" s="22">
        <v>45685</v>
      </c>
      <c r="D3277" s="23" t="s">
        <v>768</v>
      </c>
      <c r="E3277" s="23" t="s">
        <v>757</v>
      </c>
      <c r="F3277" s="14">
        <v>1</v>
      </c>
      <c r="G3277" s="12">
        <v>5999.6872875594827</v>
      </c>
      <c r="H3277" s="12">
        <v>5999.6872875594827</v>
      </c>
      <c r="I3277" s="23" t="s">
        <v>52</v>
      </c>
      <c r="J3277" s="23" t="s">
        <v>61</v>
      </c>
      <c r="K3277" s="24" t="s">
        <v>177</v>
      </c>
      <c r="L3277" s="26">
        <v>95</v>
      </c>
      <c r="M3277" s="12">
        <v>5041.7540231592293</v>
      </c>
      <c r="N3277" s="12">
        <v>5041.7540231592293</v>
      </c>
      <c r="O3277" s="12">
        <v>957.93326440025339</v>
      </c>
      <c r="P3277" s="13"/>
      <c r="Q3277" s="14">
        <v>2025</v>
      </c>
      <c r="R3277" s="15">
        <v>45292</v>
      </c>
      <c r="S3277" s="11" t="s">
        <v>758</v>
      </c>
      <c r="T3277" s="16">
        <v>0</v>
      </c>
      <c r="U3277" s="17"/>
      <c r="V3277" s="12">
        <v>1333.5439391256159</v>
      </c>
      <c r="W3277" s="12">
        <v>1333.5439391256159</v>
      </c>
      <c r="X3277" s="12">
        <v>0</v>
      </c>
      <c r="Y3277" s="18">
        <v>45684</v>
      </c>
      <c r="Z3277" s="13" t="s">
        <v>516</v>
      </c>
      <c r="AA3277" s="19" t="str">
        <f>VLOOKUP(D3277,Clientes!$A$2:$J$486,9,FALSE)</f>
        <v>Ocacional</v>
      </c>
      <c r="AB3277" s="13" t="str">
        <f>VLOOKUP(D3277,Clientes!$A$2:$K$486,11,FALSE)</f>
        <v>Persona Natural</v>
      </c>
      <c r="AC3277" s="13" t="str">
        <f>VLOOKUP(D3277,Clientes!$A$2:$B$486,2,FALSE)</f>
        <v>Jardines de la Viña</v>
      </c>
      <c r="AD3277" s="20"/>
      <c r="AE3277" s="20"/>
      <c r="AF3277" s="13" t="s">
        <v>40</v>
      </c>
      <c r="AG3277" s="15">
        <v>45292</v>
      </c>
      <c r="AH3277" s="13" t="s">
        <v>41</v>
      </c>
      <c r="AI3277" s="13" t="s">
        <v>43</v>
      </c>
      <c r="AJ3277" s="13" t="str">
        <f>VLOOKUP(E3277,Precios!Z$2:AA$941,2,FALSE)</f>
        <v>Bandeja Huevos JUMBO</v>
      </c>
      <c r="AK3277" s="14">
        <f>VLOOKUP(E3277,Precios!Z$2:BB$941,3,FALSE)*F3277</f>
        <v>-1</v>
      </c>
      <c r="AL3277" s="17"/>
      <c r="AM3277" s="17"/>
      <c r="AN3277" s="17"/>
      <c r="AO3277" s="17"/>
      <c r="AP3277" s="17"/>
      <c r="AQ3277" s="17"/>
      <c r="AR3277" s="17"/>
      <c r="AS3277" s="17"/>
      <c r="AT3277" s="17"/>
      <c r="AU3277" s="17"/>
      <c r="AV3277" s="17"/>
    </row>
    <row r="3278" spans="1:48" ht="15.75" customHeight="1">
      <c r="A3278" s="21" t="s">
        <v>35</v>
      </c>
      <c r="B3278" s="23" t="s">
        <v>1692</v>
      </c>
      <c r="C3278" s="22">
        <v>45685</v>
      </c>
      <c r="D3278" s="23" t="s">
        <v>768</v>
      </c>
      <c r="E3278" s="23" t="s">
        <v>46</v>
      </c>
      <c r="F3278" s="14">
        <v>1</v>
      </c>
      <c r="G3278" s="12">
        <v>5500</v>
      </c>
      <c r="H3278" s="12">
        <v>5500</v>
      </c>
      <c r="I3278" s="23" t="s">
        <v>52</v>
      </c>
      <c r="J3278" s="23" t="s">
        <v>61</v>
      </c>
      <c r="K3278" s="24" t="s">
        <v>177</v>
      </c>
      <c r="L3278" s="26">
        <v>95</v>
      </c>
      <c r="M3278" s="12">
        <v>4621.8487394957983</v>
      </c>
      <c r="N3278" s="12">
        <v>4621.8487394957983</v>
      </c>
      <c r="O3278" s="12">
        <v>878.15126050420167</v>
      </c>
      <c r="P3278" s="13"/>
      <c r="Q3278" s="14">
        <v>2025</v>
      </c>
      <c r="R3278" s="15">
        <v>45292</v>
      </c>
      <c r="S3278" s="11" t="s">
        <v>364</v>
      </c>
      <c r="T3278" s="16">
        <v>500</v>
      </c>
      <c r="U3278" s="17"/>
      <c r="V3278" s="12">
        <v>1365.1260504201678</v>
      </c>
      <c r="W3278" s="12">
        <v>1365.1260504201678</v>
      </c>
      <c r="X3278" s="12">
        <v>0</v>
      </c>
      <c r="Y3278" s="18">
        <v>45684</v>
      </c>
      <c r="Z3278" s="13" t="s">
        <v>516</v>
      </c>
      <c r="AA3278" s="19" t="str">
        <f>VLOOKUP(D3278,Clientes!$A$2:$J$486,9,FALSE)</f>
        <v>Ocacional</v>
      </c>
      <c r="AB3278" s="13" t="str">
        <f>VLOOKUP(D3278,Clientes!$A$2:$K$486,11,FALSE)</f>
        <v>Persona Natural</v>
      </c>
      <c r="AC3278" s="13" t="str">
        <f>VLOOKUP(D3278,Clientes!$A$2:$B$486,2,FALSE)</f>
        <v>Jardines de la Viña</v>
      </c>
      <c r="AD3278" s="20"/>
      <c r="AE3278" s="20"/>
      <c r="AF3278" s="13" t="s">
        <v>40</v>
      </c>
      <c r="AG3278" s="15">
        <v>45292</v>
      </c>
      <c r="AH3278" s="13" t="s">
        <v>41</v>
      </c>
      <c r="AI3278" s="13" t="s">
        <v>35</v>
      </c>
      <c r="AJ3278" s="13" t="str">
        <f>VLOOKUP(E3278,Precios!Z$2:AA$941,2,FALSE)</f>
        <v>Queso RUNCA Mantecoso</v>
      </c>
      <c r="AK3278" s="14">
        <f>VLOOKUP(E3278,Precios!Z$2:BB$941,3,FALSE)*F3278</f>
        <v>-0.5</v>
      </c>
      <c r="AL3278" s="17"/>
      <c r="AM3278" s="17"/>
      <c r="AN3278" s="17"/>
      <c r="AO3278" s="17"/>
      <c r="AP3278" s="17"/>
      <c r="AQ3278" s="17"/>
      <c r="AR3278" s="17"/>
      <c r="AS3278" s="17"/>
      <c r="AT3278" s="17"/>
      <c r="AU3278" s="17"/>
      <c r="AV3278" s="17"/>
    </row>
    <row r="3279" spans="1:48" ht="15.75" customHeight="1">
      <c r="A3279" s="21" t="s">
        <v>53</v>
      </c>
      <c r="B3279" s="23" t="s">
        <v>1692</v>
      </c>
      <c r="C3279" s="22">
        <v>45685</v>
      </c>
      <c r="D3279" s="23" t="s">
        <v>508</v>
      </c>
      <c r="E3279" s="23" t="s">
        <v>97</v>
      </c>
      <c r="F3279" s="14">
        <v>1</v>
      </c>
      <c r="G3279" s="12">
        <v>15500.298388701016</v>
      </c>
      <c r="H3279" s="12">
        <v>15500.298388701016</v>
      </c>
      <c r="I3279" s="23" t="s">
        <v>52</v>
      </c>
      <c r="J3279" s="23" t="s">
        <v>61</v>
      </c>
      <c r="K3279" s="24" t="s">
        <v>177</v>
      </c>
      <c r="L3279" s="26">
        <v>95</v>
      </c>
      <c r="M3279" s="12">
        <v>13025.46083084119</v>
      </c>
      <c r="N3279" s="12">
        <v>13025.46083084119</v>
      </c>
      <c r="O3279" s="12">
        <v>2474.8375578598261</v>
      </c>
      <c r="P3279" s="13"/>
      <c r="Q3279" s="14">
        <v>2025</v>
      </c>
      <c r="R3279" s="15">
        <v>45292</v>
      </c>
      <c r="S3279" s="11" t="s">
        <v>366</v>
      </c>
      <c r="T3279" s="16">
        <v>0</v>
      </c>
      <c r="U3279" s="17"/>
      <c r="V3279" s="12">
        <v>3203.6120913453906</v>
      </c>
      <c r="W3279" s="12">
        <v>3203.6120913453906</v>
      </c>
      <c r="X3279" s="12">
        <v>0</v>
      </c>
      <c r="Y3279" s="18">
        <v>45684</v>
      </c>
      <c r="Z3279" s="13" t="s">
        <v>516</v>
      </c>
      <c r="AA3279" s="19" t="str">
        <f>VLOOKUP(D3279,Clientes!$A$2:$J$486,9,FALSE)</f>
        <v>Ocacional</v>
      </c>
      <c r="AB3279" s="13" t="str">
        <f>VLOOKUP(D3279,Clientes!$A$2:$K$486,11,FALSE)</f>
        <v>Persona Natural</v>
      </c>
      <c r="AC3279" s="13" t="str">
        <f>VLOOKUP(D3279,Clientes!$A$2:$B$486,2,FALSE)</f>
        <v>Jardines de la Viña</v>
      </c>
      <c r="AD3279" s="20"/>
      <c r="AE3279" s="20"/>
      <c r="AF3279" s="13" t="s">
        <v>40</v>
      </c>
      <c r="AG3279" s="15">
        <v>45292</v>
      </c>
      <c r="AH3279" s="13" t="s">
        <v>41</v>
      </c>
      <c r="AI3279" s="13" t="s">
        <v>53</v>
      </c>
      <c r="AJ3279" s="13" t="str">
        <f>VLOOKUP(E3279,Precios!Z$2:AA$941,2,FALSE)</f>
        <v>Papel Higienico ELITE 50 metros</v>
      </c>
      <c r="AK3279" s="14">
        <f>VLOOKUP(E3279,Precios!Z$2:BB$941,3,FALSE)*F3279</f>
        <v>-6</v>
      </c>
      <c r="AL3279" s="17"/>
      <c r="AM3279" s="17"/>
      <c r="AN3279" s="17"/>
      <c r="AO3279" s="17"/>
      <c r="AP3279" s="17"/>
      <c r="AQ3279" s="17"/>
      <c r="AR3279" s="17"/>
      <c r="AS3279" s="17"/>
      <c r="AT3279" s="17"/>
      <c r="AU3279" s="17"/>
      <c r="AV3279" s="17"/>
    </row>
    <row r="3280" spans="1:48" ht="15.75" customHeight="1">
      <c r="A3280" s="21" t="s">
        <v>47</v>
      </c>
      <c r="B3280" s="23" t="s">
        <v>1692</v>
      </c>
      <c r="C3280" s="22">
        <v>45685</v>
      </c>
      <c r="D3280" s="23" t="s">
        <v>508</v>
      </c>
      <c r="E3280" s="23" t="s">
        <v>565</v>
      </c>
      <c r="F3280" s="14">
        <v>1</v>
      </c>
      <c r="G3280" s="12">
        <v>6900.2286325825753</v>
      </c>
      <c r="H3280" s="12">
        <v>6900.2286325825753</v>
      </c>
      <c r="I3280" s="23" t="s">
        <v>52</v>
      </c>
      <c r="J3280" s="23" t="s">
        <v>61</v>
      </c>
      <c r="K3280" s="24" t="s">
        <v>177</v>
      </c>
      <c r="L3280" s="26">
        <v>95</v>
      </c>
      <c r="M3280" s="12">
        <v>5798.5114559517442</v>
      </c>
      <c r="N3280" s="12">
        <v>5798.5114559517442</v>
      </c>
      <c r="O3280" s="12">
        <v>1101.7171766308311</v>
      </c>
      <c r="P3280" s="13"/>
      <c r="Q3280" s="14">
        <v>2025</v>
      </c>
      <c r="R3280" s="15">
        <v>45292</v>
      </c>
      <c r="S3280" s="11" t="s">
        <v>372</v>
      </c>
      <c r="T3280" s="16">
        <v>0</v>
      </c>
      <c r="U3280" s="17"/>
      <c r="V3280" s="12">
        <v>2222.5114559517442</v>
      </c>
      <c r="W3280" s="12">
        <v>2222.5114559517442</v>
      </c>
      <c r="X3280" s="12">
        <v>0</v>
      </c>
      <c r="Y3280" s="18">
        <v>45684</v>
      </c>
      <c r="Z3280" s="13" t="s">
        <v>516</v>
      </c>
      <c r="AA3280" s="19" t="str">
        <f>VLOOKUP(D3280,Clientes!$A$2:$J$486,9,FALSE)</f>
        <v>Ocacional</v>
      </c>
      <c r="AB3280" s="13" t="str">
        <f>VLOOKUP(D3280,Clientes!$A$2:$K$486,11,FALSE)</f>
        <v>Persona Natural</v>
      </c>
      <c r="AC3280" s="13" t="str">
        <f>VLOOKUP(D3280,Clientes!$A$2:$B$486,2,FALSE)</f>
        <v>Jardines de la Viña</v>
      </c>
      <c r="AD3280" s="20"/>
      <c r="AE3280" s="20"/>
      <c r="AF3280" s="13" t="s">
        <v>40</v>
      </c>
      <c r="AG3280" s="15">
        <v>45292</v>
      </c>
      <c r="AH3280" s="13" t="s">
        <v>41</v>
      </c>
      <c r="AI3280" s="13" t="s">
        <v>47</v>
      </c>
      <c r="AJ3280" s="13" t="str">
        <f>VLOOKUP(E3280,Precios!Z$2:AA$941,2,FALSE)</f>
        <v>Traperos Humedos TEDDY</v>
      </c>
      <c r="AK3280" s="14">
        <f>VLOOKUP(E3280,Precios!Z$2:BB$941,3,FALSE)*F3280</f>
        <v>-3</v>
      </c>
      <c r="AL3280" s="17"/>
      <c r="AM3280" s="17"/>
      <c r="AN3280" s="17"/>
      <c r="AO3280" s="17"/>
      <c r="AP3280" s="17"/>
      <c r="AQ3280" s="17"/>
      <c r="AR3280" s="17"/>
      <c r="AS3280" s="17"/>
      <c r="AT3280" s="17"/>
      <c r="AU3280" s="17"/>
      <c r="AV3280" s="17"/>
    </row>
    <row r="3281" spans="1:48" ht="15.75" customHeight="1">
      <c r="A3281" s="21" t="s">
        <v>47</v>
      </c>
      <c r="B3281" s="23" t="s">
        <v>1692</v>
      </c>
      <c r="C3281" s="22">
        <v>45685</v>
      </c>
      <c r="D3281" s="23" t="s">
        <v>508</v>
      </c>
      <c r="E3281" s="23" t="s">
        <v>49</v>
      </c>
      <c r="F3281" s="14">
        <v>1</v>
      </c>
      <c r="G3281" s="12">
        <v>4500.0000000000009</v>
      </c>
      <c r="H3281" s="12">
        <v>4500.0000000000009</v>
      </c>
      <c r="I3281" s="23" t="s">
        <v>52</v>
      </c>
      <c r="J3281" s="23" t="s">
        <v>61</v>
      </c>
      <c r="K3281" s="24" t="s">
        <v>177</v>
      </c>
      <c r="L3281" s="26">
        <v>95</v>
      </c>
      <c r="M3281" s="12">
        <v>3781.5126050420176</v>
      </c>
      <c r="N3281" s="12">
        <v>3781.5126050420176</v>
      </c>
      <c r="O3281" s="12">
        <v>718.48739495798327</v>
      </c>
      <c r="P3281" s="13"/>
      <c r="Q3281" s="14">
        <v>2025</v>
      </c>
      <c r="R3281" s="15">
        <v>45292</v>
      </c>
      <c r="S3281" s="11" t="s">
        <v>384</v>
      </c>
      <c r="T3281" s="16">
        <v>0</v>
      </c>
      <c r="U3281" s="17"/>
      <c r="V3281" s="12">
        <v>988.23529411764775</v>
      </c>
      <c r="W3281" s="12">
        <v>988.23529411764775</v>
      </c>
      <c r="X3281" s="12">
        <v>0</v>
      </c>
      <c r="Y3281" s="18">
        <v>45684</v>
      </c>
      <c r="Z3281" s="13" t="s">
        <v>516</v>
      </c>
      <c r="AA3281" s="19" t="str">
        <f>VLOOKUP(D3281,Clientes!$A$2:$J$486,9,FALSE)</f>
        <v>Ocacional</v>
      </c>
      <c r="AB3281" s="13" t="str">
        <f>VLOOKUP(D3281,Clientes!$A$2:$K$486,11,FALSE)</f>
        <v>Persona Natural</v>
      </c>
      <c r="AC3281" s="13" t="str">
        <f>VLOOKUP(D3281,Clientes!$A$2:$B$486,2,FALSE)</f>
        <v>Jardines de la Viña</v>
      </c>
      <c r="AD3281" s="20"/>
      <c r="AE3281" s="20"/>
      <c r="AF3281" s="13" t="s">
        <v>40</v>
      </c>
      <c r="AG3281" s="15">
        <v>45292</v>
      </c>
      <c r="AH3281" s="13" t="s">
        <v>41</v>
      </c>
      <c r="AI3281" s="13" t="s">
        <v>47</v>
      </c>
      <c r="AJ3281" s="13" t="str">
        <f>VLOOKUP(E3281,Precios!Z$2:AA$941,2,FALSE)</f>
        <v>Jabón Lìquido BALLERINA</v>
      </c>
      <c r="AK3281" s="14">
        <f>VLOOKUP(E3281,Precios!Z$2:BB$941,3,FALSE)*F3281</f>
        <v>-3</v>
      </c>
      <c r="AL3281" s="17"/>
      <c r="AM3281" s="17"/>
      <c r="AN3281" s="17"/>
      <c r="AO3281" s="17"/>
      <c r="AP3281" s="17"/>
      <c r="AQ3281" s="17"/>
      <c r="AR3281" s="17"/>
      <c r="AS3281" s="17"/>
      <c r="AT3281" s="17"/>
      <c r="AU3281" s="17"/>
      <c r="AV3281" s="17"/>
    </row>
    <row r="3282" spans="1:48" ht="15.75" customHeight="1">
      <c r="A3282" s="21" t="s">
        <v>53</v>
      </c>
      <c r="B3282" s="23" t="s">
        <v>1692</v>
      </c>
      <c r="C3282" s="22">
        <v>45685</v>
      </c>
      <c r="D3282" s="23" t="s">
        <v>508</v>
      </c>
      <c r="E3282" s="23" t="s">
        <v>114</v>
      </c>
      <c r="F3282" s="14">
        <v>1</v>
      </c>
      <c r="G3282" s="12">
        <v>10500</v>
      </c>
      <c r="H3282" s="12">
        <v>10500</v>
      </c>
      <c r="I3282" s="23" t="s">
        <v>52</v>
      </c>
      <c r="J3282" s="23" t="s">
        <v>61</v>
      </c>
      <c r="K3282" s="24" t="s">
        <v>177</v>
      </c>
      <c r="L3282" s="26">
        <v>95</v>
      </c>
      <c r="M3282" s="12">
        <v>8823.5294117647063</v>
      </c>
      <c r="N3282" s="12">
        <v>8823.5294117647063</v>
      </c>
      <c r="O3282" s="12">
        <v>1676.4705882352937</v>
      </c>
      <c r="P3282" s="13"/>
      <c r="Q3282" s="14">
        <v>2025</v>
      </c>
      <c r="R3282" s="15">
        <v>45292</v>
      </c>
      <c r="S3282" s="11" t="s">
        <v>369</v>
      </c>
      <c r="T3282" s="16">
        <v>0</v>
      </c>
      <c r="U3282" s="17"/>
      <c r="V3282" s="12">
        <v>2403.3613445378151</v>
      </c>
      <c r="W3282" s="12">
        <v>2403.3613445378151</v>
      </c>
      <c r="X3282" s="12">
        <v>0</v>
      </c>
      <c r="Y3282" s="18">
        <v>45684</v>
      </c>
      <c r="Z3282" s="13" t="s">
        <v>516</v>
      </c>
      <c r="AA3282" s="19" t="str">
        <f>VLOOKUP(D3282,Clientes!$A$2:$J$486,9,FALSE)</f>
        <v>Ocacional</v>
      </c>
      <c r="AB3282" s="13" t="str">
        <f>VLOOKUP(D3282,Clientes!$A$2:$K$486,11,FALSE)</f>
        <v>Persona Natural</v>
      </c>
      <c r="AC3282" s="13" t="str">
        <f>VLOOKUP(D3282,Clientes!$A$2:$B$486,2,FALSE)</f>
        <v>Jardines de la Viña</v>
      </c>
      <c r="AD3282" s="20"/>
      <c r="AE3282" s="20"/>
      <c r="AF3282" s="13" t="s">
        <v>40</v>
      </c>
      <c r="AG3282" s="15">
        <v>45292</v>
      </c>
      <c r="AH3282" s="13" t="s">
        <v>41</v>
      </c>
      <c r="AI3282" s="13" t="s">
        <v>53</v>
      </c>
      <c r="AJ3282" s="13" t="str">
        <f>VLOOKUP(E3282,Precios!Z$2:AA$941,2,FALSE)</f>
        <v>Toalla Papel NOVA 12 metros</v>
      </c>
      <c r="AK3282" s="14">
        <f>VLOOKUP(E3282,Precios!Z$2:BB$941,3,FALSE)*F3282</f>
        <v>-8</v>
      </c>
      <c r="AL3282" s="17"/>
      <c r="AM3282" s="17"/>
      <c r="AN3282" s="17"/>
      <c r="AO3282" s="17"/>
      <c r="AP3282" s="17"/>
      <c r="AQ3282" s="17"/>
      <c r="AR3282" s="17"/>
      <c r="AS3282" s="17"/>
      <c r="AT3282" s="17"/>
      <c r="AU3282" s="17"/>
      <c r="AV3282" s="17"/>
    </row>
    <row r="3283" spans="1:48" ht="15.75" customHeight="1">
      <c r="A3283" s="21" t="s">
        <v>76</v>
      </c>
      <c r="B3283" s="23" t="s">
        <v>1692</v>
      </c>
      <c r="C3283" s="22">
        <v>45685</v>
      </c>
      <c r="D3283" s="23" t="s">
        <v>348</v>
      </c>
      <c r="E3283" s="23" t="s">
        <v>110</v>
      </c>
      <c r="F3283" s="14">
        <v>1</v>
      </c>
      <c r="G3283" s="12">
        <v>2000.0000000000005</v>
      </c>
      <c r="H3283" s="12">
        <v>2000.0000000000005</v>
      </c>
      <c r="I3283" s="23" t="s">
        <v>52</v>
      </c>
      <c r="J3283" s="23" t="s">
        <v>61</v>
      </c>
      <c r="K3283" s="24" t="s">
        <v>177</v>
      </c>
      <c r="L3283" s="26">
        <v>95</v>
      </c>
      <c r="M3283" s="12">
        <v>1680.6722689075634</v>
      </c>
      <c r="N3283" s="12">
        <v>1680.6722689075634</v>
      </c>
      <c r="O3283" s="12">
        <v>319.32773109243703</v>
      </c>
      <c r="P3283" s="13"/>
      <c r="Q3283" s="14">
        <v>2025</v>
      </c>
      <c r="R3283" s="15">
        <v>45292</v>
      </c>
      <c r="S3283" s="11" t="s">
        <v>378</v>
      </c>
      <c r="T3283" s="16">
        <v>5</v>
      </c>
      <c r="U3283" s="17"/>
      <c r="V3283" s="12">
        <v>756.30252100840369</v>
      </c>
      <c r="W3283" s="12">
        <v>756.30252100840369</v>
      </c>
      <c r="X3283" s="12">
        <v>0</v>
      </c>
      <c r="Y3283" s="18">
        <v>45684</v>
      </c>
      <c r="Z3283" s="13" t="s">
        <v>516</v>
      </c>
      <c r="AA3283" s="19" t="str">
        <f>VLOOKUP(D3283,Clientes!$A$2:$J$486,9,FALSE)</f>
        <v>Regular</v>
      </c>
      <c r="AB3283" s="13" t="str">
        <f>VLOOKUP(D3283,Clientes!$A$2:$K$486,11,FALSE)</f>
        <v>Persona Natural</v>
      </c>
      <c r="AC3283" s="13" t="str">
        <f>VLOOKUP(D3283,Clientes!$A$2:$B$486,2,FALSE)</f>
        <v>Jardines de la Viña</v>
      </c>
      <c r="AD3283" s="20"/>
      <c r="AE3283" s="20"/>
      <c r="AF3283" s="13" t="s">
        <v>40</v>
      </c>
      <c r="AG3283" s="15">
        <v>45292</v>
      </c>
      <c r="AH3283" s="13" t="s">
        <v>41</v>
      </c>
      <c r="AI3283" s="13" t="s">
        <v>76</v>
      </c>
      <c r="AJ3283" s="13" t="str">
        <f>VLOOKUP(E3283,Precios!Z$2:AA$941,2,FALSE)</f>
        <v>Cloro SPUM 5 Litros</v>
      </c>
      <c r="AK3283" s="14">
        <f>VLOOKUP(E3283,Precios!Z$2:BB$941,3,FALSE)*F3283</f>
        <v>-1</v>
      </c>
      <c r="AL3283" s="17"/>
      <c r="AM3283" s="17"/>
      <c r="AN3283" s="17"/>
      <c r="AO3283" s="17"/>
      <c r="AP3283" s="17"/>
      <c r="AQ3283" s="17"/>
      <c r="AR3283" s="17"/>
      <c r="AS3283" s="17"/>
      <c r="AT3283" s="17"/>
      <c r="AU3283" s="17"/>
      <c r="AV3283" s="17"/>
    </row>
    <row r="3284" spans="1:48" ht="15.75" customHeight="1">
      <c r="A3284" s="21" t="s">
        <v>147</v>
      </c>
      <c r="B3284" s="23" t="s">
        <v>1692</v>
      </c>
      <c r="C3284" s="22">
        <v>45685</v>
      </c>
      <c r="D3284" s="23" t="s">
        <v>348</v>
      </c>
      <c r="E3284" s="23" t="s">
        <v>257</v>
      </c>
      <c r="F3284" s="14">
        <v>1</v>
      </c>
      <c r="G3284" s="12">
        <v>4000.0000000000005</v>
      </c>
      <c r="H3284" s="12">
        <v>4000.0000000000005</v>
      </c>
      <c r="I3284" s="23" t="s">
        <v>52</v>
      </c>
      <c r="J3284" s="23" t="s">
        <v>61</v>
      </c>
      <c r="K3284" s="24" t="s">
        <v>177</v>
      </c>
      <c r="L3284" s="26">
        <v>95</v>
      </c>
      <c r="M3284" s="12">
        <v>3361.3445378151264</v>
      </c>
      <c r="N3284" s="12">
        <v>3361.3445378151264</v>
      </c>
      <c r="O3284" s="12">
        <v>638.65546218487407</v>
      </c>
      <c r="P3284" s="13"/>
      <c r="Q3284" s="14">
        <v>2025</v>
      </c>
      <c r="R3284" s="15">
        <v>45292</v>
      </c>
      <c r="S3284" s="11" t="s">
        <v>412</v>
      </c>
      <c r="T3284" s="16">
        <v>0</v>
      </c>
      <c r="U3284" s="17"/>
      <c r="V3284" s="12">
        <v>1680.6722689075632</v>
      </c>
      <c r="W3284" s="12">
        <v>1680.6722689075632</v>
      </c>
      <c r="X3284" s="12">
        <v>0</v>
      </c>
      <c r="Y3284" s="18">
        <v>45684</v>
      </c>
      <c r="Z3284" s="13" t="s">
        <v>516</v>
      </c>
      <c r="AA3284" s="19" t="str">
        <f>VLOOKUP(D3284,Clientes!$A$2:$J$486,9,FALSE)</f>
        <v>Regular</v>
      </c>
      <c r="AB3284" s="13" t="str">
        <f>VLOOKUP(D3284,Clientes!$A$2:$K$486,11,FALSE)</f>
        <v>Persona Natural</v>
      </c>
      <c r="AC3284" s="13" t="str">
        <f>VLOOKUP(D3284,Clientes!$A$2:$B$486,2,FALSE)</f>
        <v>Jardines de la Viña</v>
      </c>
      <c r="AD3284" s="20"/>
      <c r="AE3284" s="20"/>
      <c r="AF3284" s="13" t="s">
        <v>40</v>
      </c>
      <c r="AG3284" s="15">
        <v>45292</v>
      </c>
      <c r="AH3284" s="13" t="s">
        <v>41</v>
      </c>
      <c r="AI3284" s="13" t="s">
        <v>147</v>
      </c>
      <c r="AJ3284" s="13" t="str">
        <f>VLOOKUP(E3284,Precios!Z$2:AA$941,2,FALSE)</f>
        <v>Film Plástico 100 metros</v>
      </c>
      <c r="AK3284" s="14">
        <f>VLOOKUP(E3284,Precios!Z$2:BB$941,3,FALSE)*F3284</f>
        <v>-1</v>
      </c>
      <c r="AL3284" s="17"/>
      <c r="AM3284" s="17"/>
      <c r="AN3284" s="17"/>
      <c r="AO3284" s="17"/>
      <c r="AP3284" s="17"/>
      <c r="AQ3284" s="17"/>
      <c r="AR3284" s="17"/>
      <c r="AS3284" s="17"/>
      <c r="AT3284" s="17"/>
      <c r="AU3284" s="17"/>
      <c r="AV3284" s="17"/>
    </row>
    <row r="3285" spans="1:48" ht="15.75" customHeight="1">
      <c r="A3285" s="21" t="s">
        <v>53</v>
      </c>
      <c r="B3285" s="23" t="s">
        <v>1692</v>
      </c>
      <c r="C3285" s="22">
        <v>45685</v>
      </c>
      <c r="D3285" s="23" t="s">
        <v>245</v>
      </c>
      <c r="E3285" s="23" t="s">
        <v>97</v>
      </c>
      <c r="F3285" s="14">
        <v>1</v>
      </c>
      <c r="G3285" s="12">
        <v>15500.298388701016</v>
      </c>
      <c r="H3285" s="12">
        <v>15500.298388701016</v>
      </c>
      <c r="I3285" s="23" t="s">
        <v>52</v>
      </c>
      <c r="J3285" s="23" t="s">
        <v>61</v>
      </c>
      <c r="K3285" s="24" t="s">
        <v>177</v>
      </c>
      <c r="L3285" s="26">
        <v>95</v>
      </c>
      <c r="M3285" s="12">
        <v>13025.46083084119</v>
      </c>
      <c r="N3285" s="12">
        <v>13025.46083084119</v>
      </c>
      <c r="O3285" s="12">
        <v>2474.8375578598261</v>
      </c>
      <c r="P3285" s="13"/>
      <c r="Q3285" s="14">
        <v>2025</v>
      </c>
      <c r="R3285" s="15">
        <v>45292</v>
      </c>
      <c r="S3285" s="11" t="s">
        <v>366</v>
      </c>
      <c r="T3285" s="16">
        <v>0</v>
      </c>
      <c r="U3285" s="17"/>
      <c r="V3285" s="12">
        <v>3203.6120913453906</v>
      </c>
      <c r="W3285" s="12">
        <v>3203.6120913453906</v>
      </c>
      <c r="X3285" s="12">
        <v>0</v>
      </c>
      <c r="Y3285" s="18">
        <v>45684</v>
      </c>
      <c r="Z3285" s="13" t="s">
        <v>516</v>
      </c>
      <c r="AA3285" s="19" t="str">
        <f>VLOOKUP(D3285,Clientes!$A$2:$J$486,9,FALSE)</f>
        <v>Ocacional</v>
      </c>
      <c r="AB3285" s="13" t="str">
        <f>VLOOKUP(D3285,Clientes!$A$2:$K$486,11,FALSE)</f>
        <v>Persona Natural</v>
      </c>
      <c r="AC3285" s="13" t="str">
        <f>VLOOKUP(D3285,Clientes!$A$2:$B$486,2,FALSE)</f>
        <v>Curso Amalia</v>
      </c>
      <c r="AD3285" s="20"/>
      <c r="AE3285" s="20"/>
      <c r="AF3285" s="13" t="s">
        <v>40</v>
      </c>
      <c r="AG3285" s="15">
        <v>45292</v>
      </c>
      <c r="AH3285" s="13" t="s">
        <v>41</v>
      </c>
      <c r="AI3285" s="13" t="s">
        <v>53</v>
      </c>
      <c r="AJ3285" s="13" t="str">
        <f>VLOOKUP(E3285,Precios!Z$2:AA$941,2,FALSE)</f>
        <v>Papel Higienico ELITE 50 metros</v>
      </c>
      <c r="AK3285" s="14">
        <f>VLOOKUP(E3285,Precios!Z$2:BB$941,3,FALSE)*F3285</f>
        <v>-6</v>
      </c>
      <c r="AL3285" s="17"/>
      <c r="AM3285" s="17"/>
      <c r="AN3285" s="17"/>
      <c r="AO3285" s="17"/>
      <c r="AP3285" s="17"/>
      <c r="AQ3285" s="17"/>
      <c r="AR3285" s="17"/>
      <c r="AS3285" s="17"/>
      <c r="AT3285" s="17"/>
      <c r="AU3285" s="17"/>
      <c r="AV3285" s="17"/>
    </row>
    <row r="3286" spans="1:48" ht="15.75" customHeight="1">
      <c r="A3286" s="21" t="s">
        <v>53</v>
      </c>
      <c r="B3286" s="23" t="s">
        <v>1692</v>
      </c>
      <c r="C3286" s="22">
        <v>45685</v>
      </c>
      <c r="D3286" s="23" t="s">
        <v>152</v>
      </c>
      <c r="E3286" s="23" t="s">
        <v>263</v>
      </c>
      <c r="F3286" s="14">
        <v>1</v>
      </c>
      <c r="G3286" s="12">
        <v>9999.6135265700505</v>
      </c>
      <c r="H3286" s="12">
        <v>9999.6135265700505</v>
      </c>
      <c r="I3286" s="23" t="s">
        <v>52</v>
      </c>
      <c r="J3286" s="23" t="s">
        <v>61</v>
      </c>
      <c r="K3286" s="24" t="s">
        <v>177</v>
      </c>
      <c r="L3286" s="26">
        <v>95</v>
      </c>
      <c r="M3286" s="12">
        <v>8403.036576949622</v>
      </c>
      <c r="N3286" s="12">
        <v>8403.036576949622</v>
      </c>
      <c r="O3286" s="12">
        <v>1596.5769496204284</v>
      </c>
      <c r="P3286" s="13"/>
      <c r="Q3286" s="14">
        <v>2025</v>
      </c>
      <c r="R3286" s="15">
        <v>45292</v>
      </c>
      <c r="S3286" s="11" t="s">
        <v>408</v>
      </c>
      <c r="T3286" s="16">
        <v>0</v>
      </c>
      <c r="U3286" s="17"/>
      <c r="V3286" s="12">
        <v>2315.036576949622</v>
      </c>
      <c r="W3286" s="12">
        <v>2315.036576949622</v>
      </c>
      <c r="X3286" s="12">
        <v>0</v>
      </c>
      <c r="Y3286" s="18">
        <v>45684</v>
      </c>
      <c r="Z3286" s="13" t="s">
        <v>516</v>
      </c>
      <c r="AA3286" s="19" t="str">
        <f>VLOOKUP(D3286,Clientes!$A$2:$J$486,9,FALSE)</f>
        <v>Ocacional</v>
      </c>
      <c r="AB3286" s="13" t="str">
        <f>VLOOKUP(D3286,Clientes!$A$2:$K$486,11,FALSE)</f>
        <v>Persona Natural</v>
      </c>
      <c r="AC3286" s="13" t="str">
        <f>VLOOKUP(D3286,Clientes!$A$2:$B$486,2,FALSE)</f>
        <v>Jardines de la viña</v>
      </c>
      <c r="AD3286" s="20"/>
      <c r="AE3286" s="20"/>
      <c r="AF3286" s="13" t="s">
        <v>40</v>
      </c>
      <c r="AG3286" s="15">
        <v>45292</v>
      </c>
      <c r="AH3286" s="13" t="s">
        <v>41</v>
      </c>
      <c r="AI3286" s="13" t="s">
        <v>53</v>
      </c>
      <c r="AJ3286" s="13" t="str">
        <f>VLOOKUP(E3286,Precios!Z$2:AA$941,2,FALSE)</f>
        <v>Toalla Papel SWAN D/H AZUL 100 metros</v>
      </c>
      <c r="AK3286" s="14">
        <f>VLOOKUP(E3286,Precios!Z$2:BB$941,3,FALSE)*F3286</f>
        <v>-3</v>
      </c>
      <c r="AL3286" s="17"/>
      <c r="AM3286" s="17"/>
      <c r="AN3286" s="17"/>
      <c r="AO3286" s="17"/>
      <c r="AP3286" s="17"/>
      <c r="AQ3286" s="17"/>
      <c r="AR3286" s="17"/>
      <c r="AS3286" s="17"/>
      <c r="AT3286" s="17"/>
      <c r="AU3286" s="17"/>
      <c r="AV3286" s="17"/>
    </row>
    <row r="3287" spans="1:48" ht="15.75" customHeight="1">
      <c r="A3287" s="21" t="s">
        <v>53</v>
      </c>
      <c r="B3287" s="23" t="s">
        <v>1692</v>
      </c>
      <c r="C3287" s="22">
        <v>45685</v>
      </c>
      <c r="D3287" s="23" t="s">
        <v>152</v>
      </c>
      <c r="E3287" s="23" t="s">
        <v>587</v>
      </c>
      <c r="F3287" s="14">
        <v>1</v>
      </c>
      <c r="G3287" s="12">
        <v>3499.8985330782161</v>
      </c>
      <c r="H3287" s="12">
        <v>3499.8985330782161</v>
      </c>
      <c r="I3287" s="23" t="s">
        <v>52</v>
      </c>
      <c r="J3287" s="23" t="s">
        <v>61</v>
      </c>
      <c r="K3287" s="24" t="s">
        <v>177</v>
      </c>
      <c r="L3287" s="26">
        <v>95</v>
      </c>
      <c r="M3287" s="12">
        <v>2941.0912042674086</v>
      </c>
      <c r="N3287" s="12">
        <v>2941.0912042674086</v>
      </c>
      <c r="O3287" s="12">
        <v>558.80732881080758</v>
      </c>
      <c r="P3287" s="13"/>
      <c r="Q3287" s="14">
        <v>2025</v>
      </c>
      <c r="R3287" s="15">
        <v>45292</v>
      </c>
      <c r="S3287" s="11" t="s">
        <v>408</v>
      </c>
      <c r="T3287" s="16">
        <v>0</v>
      </c>
      <c r="U3287" s="17"/>
      <c r="V3287" s="12">
        <v>912.09120426740856</v>
      </c>
      <c r="W3287" s="12">
        <v>912.09120426740856</v>
      </c>
      <c r="X3287" s="12">
        <v>0</v>
      </c>
      <c r="Y3287" s="18">
        <v>45684</v>
      </c>
      <c r="Z3287" s="13" t="s">
        <v>516</v>
      </c>
      <c r="AA3287" s="19" t="str">
        <f>VLOOKUP(D3287,Clientes!$A$2:$J$486,9,FALSE)</f>
        <v>Ocacional</v>
      </c>
      <c r="AB3287" s="13" t="str">
        <f>VLOOKUP(D3287,Clientes!$A$2:$K$486,11,FALSE)</f>
        <v>Persona Natural</v>
      </c>
      <c r="AC3287" s="13" t="str">
        <f>VLOOKUP(D3287,Clientes!$A$2:$B$486,2,FALSE)</f>
        <v>Jardines de la viña</v>
      </c>
      <c r="AD3287" s="20"/>
      <c r="AE3287" s="20"/>
      <c r="AF3287" s="13" t="s">
        <v>40</v>
      </c>
      <c r="AG3287" s="15">
        <v>45292</v>
      </c>
      <c r="AH3287" s="13" t="s">
        <v>41</v>
      </c>
      <c r="AI3287" s="13" t="s">
        <v>53</v>
      </c>
      <c r="AJ3287" s="13" t="str">
        <f>VLOOKUP(E3287,Precios!Z$2:AA$941,2,FALSE)</f>
        <v>Toalla Papel SWAN D/H AZUL 100 metros</v>
      </c>
      <c r="AK3287" s="14">
        <f>VLOOKUP(E3287,Precios!Z$2:BB$941,3,FALSE)*F3287</f>
        <v>-1</v>
      </c>
      <c r="AL3287" s="17"/>
      <c r="AM3287" s="17"/>
      <c r="AN3287" s="17"/>
      <c r="AO3287" s="17"/>
      <c r="AP3287" s="17"/>
      <c r="AQ3287" s="17"/>
      <c r="AR3287" s="17"/>
      <c r="AS3287" s="17"/>
      <c r="AT3287" s="17"/>
      <c r="AU3287" s="17"/>
      <c r="AV3287" s="17"/>
    </row>
    <row r="3288" spans="1:48" ht="15.75" customHeight="1">
      <c r="A3288" s="21" t="s">
        <v>53</v>
      </c>
      <c r="B3288" s="23" t="s">
        <v>1692</v>
      </c>
      <c r="C3288" s="22">
        <v>45685</v>
      </c>
      <c r="D3288" s="23" t="s">
        <v>184</v>
      </c>
      <c r="E3288" s="23" t="s">
        <v>55</v>
      </c>
      <c r="F3288" s="14">
        <v>1</v>
      </c>
      <c r="G3288" s="12">
        <v>19989.738327347361</v>
      </c>
      <c r="H3288" s="12">
        <v>19989.738327347361</v>
      </c>
      <c r="I3288" s="23" t="s">
        <v>52</v>
      </c>
      <c r="J3288" s="23" t="s">
        <v>61</v>
      </c>
      <c r="K3288" s="24" t="s">
        <v>177</v>
      </c>
      <c r="L3288" s="26">
        <v>95</v>
      </c>
      <c r="M3288" s="12">
        <v>16798.099434745684</v>
      </c>
      <c r="N3288" s="12">
        <v>16798.099434745684</v>
      </c>
      <c r="O3288" s="12">
        <v>3191.6388926016771</v>
      </c>
      <c r="P3288" s="13"/>
      <c r="Q3288" s="14">
        <v>2025</v>
      </c>
      <c r="R3288" s="15">
        <v>45292</v>
      </c>
      <c r="S3288" s="11" t="s">
        <v>366</v>
      </c>
      <c r="T3288" s="16">
        <v>0</v>
      </c>
      <c r="U3288" s="17"/>
      <c r="V3288" s="12">
        <v>3702.3011154179476</v>
      </c>
      <c r="W3288" s="12">
        <v>3702.3011154179476</v>
      </c>
      <c r="X3288" s="12">
        <v>0</v>
      </c>
      <c r="Y3288" s="18">
        <v>45684</v>
      </c>
      <c r="Z3288" s="13" t="s">
        <v>516</v>
      </c>
      <c r="AA3288" s="19" t="str">
        <f>VLOOKUP(D3288,Clientes!$A$2:$J$486,9,FALSE)</f>
        <v>Frecuente</v>
      </c>
      <c r="AB3288" s="13" t="str">
        <f>VLOOKUP(D3288,Clientes!$A$2:$K$486,11,FALSE)</f>
        <v>Persona Natural</v>
      </c>
      <c r="AC3288" s="13" t="str">
        <f>VLOOKUP(D3288,Clientes!$A$2:$B$486,2,FALSE)</f>
        <v>Jardin del Eden</v>
      </c>
      <c r="AD3288" s="20"/>
      <c r="AE3288" s="20"/>
      <c r="AF3288" s="13" t="s">
        <v>40</v>
      </c>
      <c r="AG3288" s="15">
        <v>45292</v>
      </c>
      <c r="AH3288" s="13" t="s">
        <v>41</v>
      </c>
      <c r="AI3288" s="13" t="s">
        <v>53</v>
      </c>
      <c r="AJ3288" s="13" t="str">
        <f>VLOOKUP(E3288,Precios!Z$2:AA$941,2,FALSE)</f>
        <v>Papel Higienico ELITE 50 metros</v>
      </c>
      <c r="AK3288" s="14">
        <f>VLOOKUP(E3288,Precios!Z$2:BB$941,3,FALSE)*F3288</f>
        <v>-8</v>
      </c>
      <c r="AL3288" s="17"/>
      <c r="AM3288" s="17"/>
      <c r="AN3288" s="17"/>
      <c r="AO3288" s="17"/>
      <c r="AP3288" s="17"/>
      <c r="AQ3288" s="17"/>
      <c r="AR3288" s="17"/>
      <c r="AS3288" s="17"/>
      <c r="AT3288" s="17"/>
      <c r="AU3288" s="17"/>
      <c r="AV3288" s="17"/>
    </row>
    <row r="3289" spans="1:48" ht="15.75" customHeight="1">
      <c r="A3289" s="21" t="s">
        <v>53</v>
      </c>
      <c r="B3289" s="23" t="s">
        <v>1692</v>
      </c>
      <c r="C3289" s="22">
        <v>45685</v>
      </c>
      <c r="D3289" s="23" t="s">
        <v>184</v>
      </c>
      <c r="E3289" s="23" t="s">
        <v>261</v>
      </c>
      <c r="F3289" s="14">
        <v>1</v>
      </c>
      <c r="G3289" s="12">
        <v>19499.95289684409</v>
      </c>
      <c r="H3289" s="12">
        <v>19499.95289684409</v>
      </c>
      <c r="I3289" s="23" t="s">
        <v>52</v>
      </c>
      <c r="J3289" s="23" t="s">
        <v>61</v>
      </c>
      <c r="K3289" s="24" t="s">
        <v>177</v>
      </c>
      <c r="L3289" s="26">
        <v>95</v>
      </c>
      <c r="M3289" s="12">
        <v>16386.515039364782</v>
      </c>
      <c r="N3289" s="12">
        <v>16386.515039364782</v>
      </c>
      <c r="O3289" s="12">
        <v>3113.4378574793081</v>
      </c>
      <c r="P3289" s="13"/>
      <c r="Q3289" s="14">
        <v>2025</v>
      </c>
      <c r="R3289" s="15">
        <v>45292</v>
      </c>
      <c r="S3289" s="11" t="s">
        <v>408</v>
      </c>
      <c r="T3289" s="16">
        <v>0</v>
      </c>
      <c r="U3289" s="17"/>
      <c r="V3289" s="12">
        <v>4210.5150393647818</v>
      </c>
      <c r="W3289" s="12">
        <v>4210.5150393647818</v>
      </c>
      <c r="X3289" s="12">
        <v>0</v>
      </c>
      <c r="Y3289" s="18">
        <v>45684</v>
      </c>
      <c r="Z3289" s="13" t="s">
        <v>516</v>
      </c>
      <c r="AA3289" s="19" t="str">
        <f>VLOOKUP(D3289,Clientes!$A$2:$J$486,9,FALSE)</f>
        <v>Frecuente</v>
      </c>
      <c r="AB3289" s="13" t="str">
        <f>VLOOKUP(D3289,Clientes!$A$2:$K$486,11,FALSE)</f>
        <v>Persona Natural</v>
      </c>
      <c r="AC3289" s="13" t="str">
        <f>VLOOKUP(D3289,Clientes!$A$2:$B$486,2,FALSE)</f>
        <v>Jardin del Eden</v>
      </c>
      <c r="AD3289" s="20"/>
      <c r="AE3289" s="20"/>
      <c r="AF3289" s="13" t="s">
        <v>40</v>
      </c>
      <c r="AG3289" s="15">
        <v>45292</v>
      </c>
      <c r="AH3289" s="13" t="s">
        <v>41</v>
      </c>
      <c r="AI3289" s="13" t="s">
        <v>53</v>
      </c>
      <c r="AJ3289" s="13" t="str">
        <f>VLOOKUP(E3289,Precios!Z$2:AA$941,2,FALSE)</f>
        <v>Toalla Papel SWAN D/H AZUL 100 metros</v>
      </c>
      <c r="AK3289" s="14">
        <f>VLOOKUP(E3289,Precios!Z$2:BB$941,3,FALSE)*F3289</f>
        <v>-6</v>
      </c>
      <c r="AL3289" s="17"/>
      <c r="AM3289" s="17"/>
      <c r="AN3289" s="17"/>
      <c r="AO3289" s="17"/>
      <c r="AP3289" s="17"/>
      <c r="AQ3289" s="17"/>
      <c r="AR3289" s="17"/>
      <c r="AS3289" s="17"/>
      <c r="AT3289" s="17"/>
      <c r="AU3289" s="17"/>
      <c r="AV3289" s="17"/>
    </row>
    <row r="3290" spans="1:48" ht="15.75" customHeight="1">
      <c r="A3290" s="21" t="s">
        <v>47</v>
      </c>
      <c r="B3290" s="23" t="s">
        <v>1692</v>
      </c>
      <c r="C3290" s="22">
        <v>45685</v>
      </c>
      <c r="D3290" s="23" t="s">
        <v>184</v>
      </c>
      <c r="E3290" s="23" t="s">
        <v>217</v>
      </c>
      <c r="F3290" s="14">
        <v>1</v>
      </c>
      <c r="G3290" s="12">
        <v>1500.1443464314357</v>
      </c>
      <c r="H3290" s="12">
        <v>1500.1443464314357</v>
      </c>
      <c r="I3290" s="23" t="s">
        <v>52</v>
      </c>
      <c r="J3290" s="23" t="s">
        <v>61</v>
      </c>
      <c r="K3290" s="24" t="s">
        <v>177</v>
      </c>
      <c r="L3290" s="26">
        <v>95</v>
      </c>
      <c r="M3290" s="12">
        <v>1260.6255012028871</v>
      </c>
      <c r="N3290" s="12">
        <v>1260.6255012028871</v>
      </c>
      <c r="O3290" s="12">
        <v>239.51884522854857</v>
      </c>
      <c r="P3290" s="13"/>
      <c r="Q3290" s="14">
        <v>2025</v>
      </c>
      <c r="R3290" s="15">
        <v>45292</v>
      </c>
      <c r="S3290" s="11" t="s">
        <v>544</v>
      </c>
      <c r="T3290" s="16">
        <v>0</v>
      </c>
      <c r="U3290" s="17"/>
      <c r="V3290" s="12">
        <v>474.62550120288711</v>
      </c>
      <c r="W3290" s="12">
        <v>474.62550120288711</v>
      </c>
      <c r="X3290" s="12">
        <v>0</v>
      </c>
      <c r="Y3290" s="18">
        <v>45684</v>
      </c>
      <c r="Z3290" s="13" t="s">
        <v>516</v>
      </c>
      <c r="AA3290" s="19" t="str">
        <f>VLOOKUP(D3290,Clientes!$A$2:$J$486,9,FALSE)</f>
        <v>Frecuente</v>
      </c>
      <c r="AB3290" s="13" t="str">
        <f>VLOOKUP(D3290,Clientes!$A$2:$K$486,11,FALSE)</f>
        <v>Persona Natural</v>
      </c>
      <c r="AC3290" s="13" t="str">
        <f>VLOOKUP(D3290,Clientes!$A$2:$B$486,2,FALSE)</f>
        <v>Jardin del Eden</v>
      </c>
      <c r="AD3290" s="20"/>
      <c r="AE3290" s="20"/>
      <c r="AF3290" s="13" t="s">
        <v>40</v>
      </c>
      <c r="AG3290" s="15">
        <v>45292</v>
      </c>
      <c r="AH3290" s="13" t="s">
        <v>41</v>
      </c>
      <c r="AI3290" s="13" t="s">
        <v>47</v>
      </c>
      <c r="AJ3290" s="13" t="str">
        <f>VLOOKUP(E3290,Precios!Z$2:AA$941,2,FALSE)</f>
        <v>Lustra Mueble TEDDY</v>
      </c>
      <c r="AK3290" s="14">
        <f>VLOOKUP(E3290,Precios!Z$2:BB$941,3,FALSE)*F3290</f>
        <v>-1</v>
      </c>
      <c r="AL3290" s="17"/>
      <c r="AM3290" s="17"/>
      <c r="AN3290" s="17"/>
      <c r="AO3290" s="17"/>
      <c r="AP3290" s="17"/>
      <c r="AQ3290" s="17"/>
      <c r="AR3290" s="17"/>
      <c r="AS3290" s="17"/>
      <c r="AT3290" s="17"/>
      <c r="AU3290" s="17"/>
      <c r="AV3290" s="17"/>
    </row>
    <row r="3291" spans="1:48" ht="15.75" customHeight="1">
      <c r="A3291" s="21" t="s">
        <v>76</v>
      </c>
      <c r="B3291" s="23" t="s">
        <v>1692</v>
      </c>
      <c r="C3291" s="22">
        <v>45685</v>
      </c>
      <c r="D3291" s="23" t="s">
        <v>184</v>
      </c>
      <c r="E3291" s="23" t="s">
        <v>166</v>
      </c>
      <c r="F3291" s="14">
        <v>1</v>
      </c>
      <c r="G3291" s="12">
        <v>3500.0000000000005</v>
      </c>
      <c r="H3291" s="12">
        <v>3500.0000000000005</v>
      </c>
      <c r="I3291" s="23" t="s">
        <v>52</v>
      </c>
      <c r="J3291" s="23" t="s">
        <v>61</v>
      </c>
      <c r="K3291" s="24" t="s">
        <v>177</v>
      </c>
      <c r="L3291" s="26">
        <v>95</v>
      </c>
      <c r="M3291" s="12">
        <v>2941.1764705882356</v>
      </c>
      <c r="N3291" s="12">
        <v>2941.1764705882356</v>
      </c>
      <c r="O3291" s="12">
        <v>558.82352941176487</v>
      </c>
      <c r="P3291" s="13"/>
      <c r="Q3291" s="14">
        <v>2025</v>
      </c>
      <c r="R3291" s="15">
        <v>45292</v>
      </c>
      <c r="S3291" s="11" t="s">
        <v>448</v>
      </c>
      <c r="T3291" s="16">
        <v>5</v>
      </c>
      <c r="U3291" s="17"/>
      <c r="V3291" s="12">
        <v>1016.8067226890757</v>
      </c>
      <c r="W3291" s="12">
        <v>1016.8067226890757</v>
      </c>
      <c r="X3291" s="12">
        <v>0</v>
      </c>
      <c r="Y3291" s="18">
        <v>45684</v>
      </c>
      <c r="Z3291" s="13" t="s">
        <v>516</v>
      </c>
      <c r="AA3291" s="19" t="str">
        <f>VLOOKUP(D3291,Clientes!$A$2:$J$486,9,FALSE)</f>
        <v>Frecuente</v>
      </c>
      <c r="AB3291" s="13" t="str">
        <f>VLOOKUP(D3291,Clientes!$A$2:$K$486,11,FALSE)</f>
        <v>Persona Natural</v>
      </c>
      <c r="AC3291" s="13" t="str">
        <f>VLOOKUP(D3291,Clientes!$A$2:$B$486,2,FALSE)</f>
        <v>Jardin del Eden</v>
      </c>
      <c r="AD3291" s="20"/>
      <c r="AE3291" s="20"/>
      <c r="AF3291" s="13" t="s">
        <v>40</v>
      </c>
      <c r="AG3291" s="15">
        <v>45292</v>
      </c>
      <c r="AH3291" s="13" t="s">
        <v>41</v>
      </c>
      <c r="AI3291" s="13" t="s">
        <v>76</v>
      </c>
      <c r="AJ3291" s="13" t="str">
        <f>VLOOKUP(E3291,Precios!Z$2:AA$941,2,FALSE)</f>
        <v>Cloro GEL SPUM 5 Litros</v>
      </c>
      <c r="AK3291" s="14">
        <f>VLOOKUP(E3291,Precios!Z$2:BB$941,3,FALSE)*F3291</f>
        <v>-1</v>
      </c>
      <c r="AL3291" s="17"/>
      <c r="AM3291" s="17"/>
      <c r="AN3291" s="17"/>
      <c r="AO3291" s="17"/>
      <c r="AP3291" s="17"/>
      <c r="AQ3291" s="17"/>
      <c r="AR3291" s="17"/>
      <c r="AS3291" s="17"/>
      <c r="AT3291" s="17"/>
      <c r="AU3291" s="17"/>
      <c r="AV3291" s="17"/>
    </row>
    <row r="3292" spans="1:48" ht="15.75" customHeight="1">
      <c r="A3292" s="21" t="s">
        <v>76</v>
      </c>
      <c r="B3292" s="23" t="s">
        <v>1692</v>
      </c>
      <c r="C3292" s="22">
        <v>45685</v>
      </c>
      <c r="D3292" s="23" t="s">
        <v>184</v>
      </c>
      <c r="E3292" s="23" t="s">
        <v>82</v>
      </c>
      <c r="F3292" s="14">
        <v>1</v>
      </c>
      <c r="G3292" s="12">
        <v>2000.0000000000002</v>
      </c>
      <c r="H3292" s="12">
        <v>2000.0000000000002</v>
      </c>
      <c r="I3292" s="23" t="s">
        <v>52</v>
      </c>
      <c r="J3292" s="23" t="s">
        <v>61</v>
      </c>
      <c r="K3292" s="24" t="s">
        <v>177</v>
      </c>
      <c r="L3292" s="26">
        <v>95</v>
      </c>
      <c r="M3292" s="12">
        <v>1680.6722689075632</v>
      </c>
      <c r="N3292" s="12">
        <v>1680.6722689075632</v>
      </c>
      <c r="O3292" s="12">
        <v>319.32773109243703</v>
      </c>
      <c r="P3292" s="13"/>
      <c r="Q3292" s="14">
        <v>2025</v>
      </c>
      <c r="R3292" s="15">
        <v>45292</v>
      </c>
      <c r="S3292" s="11" t="s">
        <v>463</v>
      </c>
      <c r="T3292" s="16">
        <v>5</v>
      </c>
      <c r="U3292" s="17"/>
      <c r="V3292" s="12">
        <v>680.67226890756319</v>
      </c>
      <c r="W3292" s="12">
        <v>680.67226890756319</v>
      </c>
      <c r="X3292" s="12">
        <v>0</v>
      </c>
      <c r="Y3292" s="18">
        <v>45684</v>
      </c>
      <c r="Z3292" s="13" t="s">
        <v>516</v>
      </c>
      <c r="AA3292" s="19" t="str">
        <f>VLOOKUP(D3292,Clientes!$A$2:$J$486,9,FALSE)</f>
        <v>Frecuente</v>
      </c>
      <c r="AB3292" s="13" t="str">
        <f>VLOOKUP(D3292,Clientes!$A$2:$K$486,11,FALSE)</f>
        <v>Persona Natural</v>
      </c>
      <c r="AC3292" s="13" t="str">
        <f>VLOOKUP(D3292,Clientes!$A$2:$B$486,2,FALSE)</f>
        <v>Jardin del Eden</v>
      </c>
      <c r="AD3292" s="20"/>
      <c r="AE3292" s="20"/>
      <c r="AF3292" s="13" t="s">
        <v>40</v>
      </c>
      <c r="AG3292" s="15">
        <v>45292</v>
      </c>
      <c r="AH3292" s="13" t="s">
        <v>41</v>
      </c>
      <c r="AI3292" s="13" t="s">
        <v>76</v>
      </c>
      <c r="AJ3292" s="13" t="str">
        <f>VLOOKUP(E3292,Precios!Z$2:AA$941,2,FALSE)</f>
        <v>Limpiapiso SPUM 5 Litros</v>
      </c>
      <c r="AK3292" s="14">
        <f>VLOOKUP(E3292,Precios!Z$2:BB$941,3,FALSE)*F3292</f>
        <v>-1</v>
      </c>
      <c r="AL3292" s="17"/>
      <c r="AM3292" s="17"/>
      <c r="AN3292" s="17"/>
      <c r="AO3292" s="17"/>
      <c r="AP3292" s="17"/>
      <c r="AQ3292" s="17"/>
      <c r="AR3292" s="17"/>
      <c r="AS3292" s="17"/>
      <c r="AT3292" s="17"/>
      <c r="AU3292" s="17"/>
      <c r="AV3292" s="17"/>
    </row>
    <row r="3293" spans="1:48" ht="15.75" customHeight="1">
      <c r="A3293" s="21" t="s">
        <v>47</v>
      </c>
      <c r="B3293" s="23" t="s">
        <v>1692</v>
      </c>
      <c r="C3293" s="22">
        <v>45685</v>
      </c>
      <c r="D3293" s="23" t="s">
        <v>184</v>
      </c>
      <c r="E3293" s="23" t="s">
        <v>94</v>
      </c>
      <c r="F3293" s="14">
        <v>1</v>
      </c>
      <c r="G3293" s="12">
        <v>1650.3649635036495</v>
      </c>
      <c r="H3293" s="12">
        <v>1650.3649635036495</v>
      </c>
      <c r="I3293" s="23" t="s">
        <v>52</v>
      </c>
      <c r="J3293" s="23" t="s">
        <v>61</v>
      </c>
      <c r="K3293" s="24" t="s">
        <v>177</v>
      </c>
      <c r="L3293" s="26">
        <v>95</v>
      </c>
      <c r="M3293" s="12">
        <v>1386.861313868613</v>
      </c>
      <c r="N3293" s="12">
        <v>1386.861313868613</v>
      </c>
      <c r="O3293" s="12">
        <v>263.50364963503648</v>
      </c>
      <c r="P3293" s="13"/>
      <c r="Q3293" s="14">
        <v>2025</v>
      </c>
      <c r="R3293" s="15">
        <v>45292</v>
      </c>
      <c r="S3293" s="11" t="s">
        <v>384</v>
      </c>
      <c r="T3293" s="16">
        <v>0</v>
      </c>
      <c r="U3293" s="17"/>
      <c r="V3293" s="12">
        <v>436.86131386861302</v>
      </c>
      <c r="W3293" s="12">
        <v>436.86131386861302</v>
      </c>
      <c r="X3293" s="12">
        <v>0</v>
      </c>
      <c r="Y3293" s="18">
        <v>45684</v>
      </c>
      <c r="Z3293" s="13" t="s">
        <v>516</v>
      </c>
      <c r="AA3293" s="19" t="str">
        <f>VLOOKUP(D3293,Clientes!$A$2:$J$486,9,FALSE)</f>
        <v>Frecuente</v>
      </c>
      <c r="AB3293" s="13" t="str">
        <f>VLOOKUP(D3293,Clientes!$A$2:$K$486,11,FALSE)</f>
        <v>Persona Natural</v>
      </c>
      <c r="AC3293" s="13" t="str">
        <f>VLOOKUP(D3293,Clientes!$A$2:$B$486,2,FALSE)</f>
        <v>Jardin del Eden</v>
      </c>
      <c r="AD3293" s="20"/>
      <c r="AE3293" s="20"/>
      <c r="AF3293" s="13" t="s">
        <v>40</v>
      </c>
      <c r="AG3293" s="15">
        <v>45292</v>
      </c>
      <c r="AH3293" s="13" t="s">
        <v>41</v>
      </c>
      <c r="AI3293" s="13" t="s">
        <v>47</v>
      </c>
      <c r="AJ3293" s="13" t="str">
        <f>VLOOKUP(E3293,Precios!Z$2:AA$941,2,FALSE)</f>
        <v>Jabón Lìquido BALLERINA</v>
      </c>
      <c r="AK3293" s="14">
        <f>VLOOKUP(E3293,Precios!Z$2:BB$941,3,FALSE)*F3293</f>
        <v>-3</v>
      </c>
      <c r="AL3293" s="17"/>
      <c r="AM3293" s="17"/>
      <c r="AN3293" s="17"/>
      <c r="AO3293" s="17"/>
      <c r="AP3293" s="17"/>
      <c r="AQ3293" s="17"/>
      <c r="AR3293" s="17"/>
      <c r="AS3293" s="17"/>
      <c r="AT3293" s="17"/>
      <c r="AU3293" s="17"/>
      <c r="AV3293" s="17"/>
    </row>
    <row r="3294" spans="1:48" ht="15.75" customHeight="1">
      <c r="A3294" s="21" t="s">
        <v>43</v>
      </c>
      <c r="B3294" s="23" t="s">
        <v>1692</v>
      </c>
      <c r="C3294" s="22">
        <v>45685</v>
      </c>
      <c r="D3294" s="23" t="s">
        <v>184</v>
      </c>
      <c r="E3294" s="23" t="s">
        <v>757</v>
      </c>
      <c r="F3294" s="14">
        <v>1</v>
      </c>
      <c r="G3294" s="12">
        <v>5999.6872875594827</v>
      </c>
      <c r="H3294" s="12">
        <v>5999.6872875594827</v>
      </c>
      <c r="I3294" s="23" t="s">
        <v>52</v>
      </c>
      <c r="J3294" s="23" t="s">
        <v>61</v>
      </c>
      <c r="K3294" s="24" t="s">
        <v>177</v>
      </c>
      <c r="L3294" s="26">
        <v>95</v>
      </c>
      <c r="M3294" s="12">
        <v>5041.7540231592293</v>
      </c>
      <c r="N3294" s="12">
        <v>5041.7540231592293</v>
      </c>
      <c r="O3294" s="12">
        <v>957.93326440025339</v>
      </c>
      <c r="P3294" s="13"/>
      <c r="Q3294" s="14">
        <v>2025</v>
      </c>
      <c r="R3294" s="15">
        <v>45292</v>
      </c>
      <c r="S3294" s="11" t="s">
        <v>758</v>
      </c>
      <c r="T3294" s="16">
        <v>0</v>
      </c>
      <c r="U3294" s="17"/>
      <c r="V3294" s="12">
        <v>1333.5439391256159</v>
      </c>
      <c r="W3294" s="12">
        <v>1333.5439391256159</v>
      </c>
      <c r="X3294" s="12">
        <v>0</v>
      </c>
      <c r="Y3294" s="18">
        <v>45684</v>
      </c>
      <c r="Z3294" s="13" t="s">
        <v>516</v>
      </c>
      <c r="AA3294" s="19" t="str">
        <f>VLOOKUP(D3294,Clientes!$A$2:$J$486,9,FALSE)</f>
        <v>Frecuente</v>
      </c>
      <c r="AB3294" s="13" t="str">
        <f>VLOOKUP(D3294,Clientes!$A$2:$K$486,11,FALSE)</f>
        <v>Persona Natural</v>
      </c>
      <c r="AC3294" s="13" t="str">
        <f>VLOOKUP(D3294,Clientes!$A$2:$B$486,2,FALSE)</f>
        <v>Jardin del Eden</v>
      </c>
      <c r="AD3294" s="20"/>
      <c r="AE3294" s="20"/>
      <c r="AF3294" s="13" t="s">
        <v>40</v>
      </c>
      <c r="AG3294" s="15">
        <v>45292</v>
      </c>
      <c r="AH3294" s="13" t="s">
        <v>41</v>
      </c>
      <c r="AI3294" s="13" t="s">
        <v>43</v>
      </c>
      <c r="AJ3294" s="13" t="str">
        <f>VLOOKUP(E3294,Precios!Z$2:AA$941,2,FALSE)</f>
        <v>Bandeja Huevos JUMBO</v>
      </c>
      <c r="AK3294" s="14">
        <f>VLOOKUP(E3294,Precios!Z$2:BB$941,3,FALSE)*F3294</f>
        <v>-1</v>
      </c>
      <c r="AL3294" s="17"/>
      <c r="AM3294" s="17"/>
      <c r="AN3294" s="17"/>
      <c r="AO3294" s="17"/>
      <c r="AP3294" s="17"/>
      <c r="AQ3294" s="17"/>
      <c r="AR3294" s="17"/>
      <c r="AS3294" s="17"/>
      <c r="AT3294" s="17"/>
      <c r="AU3294" s="17"/>
      <c r="AV3294" s="17"/>
    </row>
    <row r="3295" spans="1:48" ht="15.75" customHeight="1">
      <c r="A3295" s="21" t="s">
        <v>76</v>
      </c>
      <c r="B3295" s="23" t="s">
        <v>1692</v>
      </c>
      <c r="C3295" s="22">
        <v>45685</v>
      </c>
      <c r="D3295" s="23" t="s">
        <v>184</v>
      </c>
      <c r="E3295" s="23" t="s">
        <v>137</v>
      </c>
      <c r="F3295" s="14">
        <v>1</v>
      </c>
      <c r="G3295" s="12">
        <v>3500.0000000000005</v>
      </c>
      <c r="H3295" s="12">
        <v>3500.0000000000005</v>
      </c>
      <c r="I3295" s="23" t="s">
        <v>52</v>
      </c>
      <c r="J3295" s="23" t="s">
        <v>61</v>
      </c>
      <c r="K3295" s="24" t="s">
        <v>177</v>
      </c>
      <c r="L3295" s="26">
        <v>95</v>
      </c>
      <c r="M3295" s="12">
        <v>2941.1764705882356</v>
      </c>
      <c r="N3295" s="12">
        <v>2941.1764705882356</v>
      </c>
      <c r="O3295" s="12">
        <v>558.82352941176487</v>
      </c>
      <c r="P3295" s="13"/>
      <c r="Q3295" s="14">
        <v>2025</v>
      </c>
      <c r="R3295" s="15">
        <v>45292</v>
      </c>
      <c r="S3295" s="11" t="s">
        <v>406</v>
      </c>
      <c r="T3295" s="16">
        <v>5</v>
      </c>
      <c r="U3295" s="17"/>
      <c r="V3295" s="12">
        <v>848.73949579831969</v>
      </c>
      <c r="W3295" s="12">
        <v>848.73949579831969</v>
      </c>
      <c r="X3295" s="12">
        <v>0</v>
      </c>
      <c r="Y3295" s="18">
        <v>45684</v>
      </c>
      <c r="Z3295" s="13" t="s">
        <v>516</v>
      </c>
      <c r="AA3295" s="19" t="str">
        <f>VLOOKUP(D3295,Clientes!$A$2:$J$486,9,FALSE)</f>
        <v>Frecuente</v>
      </c>
      <c r="AB3295" s="13" t="str">
        <f>VLOOKUP(D3295,Clientes!$A$2:$K$486,11,FALSE)</f>
        <v>Persona Natural</v>
      </c>
      <c r="AC3295" s="13" t="str">
        <f>VLOOKUP(D3295,Clientes!$A$2:$B$486,2,FALSE)</f>
        <v>Jardin del Eden</v>
      </c>
      <c r="AD3295" s="20"/>
      <c r="AE3295" s="20"/>
      <c r="AF3295" s="13" t="s">
        <v>40</v>
      </c>
      <c r="AG3295" s="15">
        <v>45292</v>
      </c>
      <c r="AH3295" s="13" t="s">
        <v>41</v>
      </c>
      <c r="AI3295" s="13" t="s">
        <v>76</v>
      </c>
      <c r="AJ3295" s="13" t="str">
        <f>VLOOKUP(E3295,Precios!Z$2:AA$941,2,FALSE)</f>
        <v>Detergente SPUM 5 Litros (Blanco)</v>
      </c>
      <c r="AK3295" s="14">
        <f>VLOOKUP(E3295,Precios!Z$2:BB$941,3,FALSE)*F3295</f>
        <v>-1</v>
      </c>
      <c r="AL3295" s="17"/>
      <c r="AM3295" s="17"/>
      <c r="AN3295" s="17"/>
      <c r="AO3295" s="17"/>
      <c r="AP3295" s="17"/>
      <c r="AQ3295" s="17"/>
      <c r="AR3295" s="17"/>
      <c r="AS3295" s="17"/>
      <c r="AT3295" s="17"/>
      <c r="AU3295" s="17"/>
      <c r="AV3295" s="17"/>
    </row>
    <row r="3296" spans="1:48" ht="15.75" customHeight="1">
      <c r="A3296" s="14" t="s">
        <v>43</v>
      </c>
      <c r="B3296" s="23" t="s">
        <v>1692</v>
      </c>
      <c r="C3296" s="22">
        <v>45685</v>
      </c>
      <c r="D3296" s="23" t="s">
        <v>142</v>
      </c>
      <c r="E3296" s="13" t="s">
        <v>757</v>
      </c>
      <c r="F3296" s="14">
        <v>1</v>
      </c>
      <c r="G3296" s="12">
        <v>5999.6872875594827</v>
      </c>
      <c r="H3296" s="12">
        <v>5999.6872875594827</v>
      </c>
      <c r="I3296" s="13" t="s">
        <v>52</v>
      </c>
      <c r="J3296" s="23" t="s">
        <v>61</v>
      </c>
      <c r="K3296" s="24" t="s">
        <v>177</v>
      </c>
      <c r="L3296" s="26">
        <v>95</v>
      </c>
      <c r="M3296" s="12">
        <v>5041.7540231592293</v>
      </c>
      <c r="N3296" s="12">
        <v>5041.7540231592293</v>
      </c>
      <c r="O3296" s="12">
        <v>957.93326440025339</v>
      </c>
      <c r="P3296" s="13"/>
      <c r="Q3296" s="14">
        <v>2025</v>
      </c>
      <c r="R3296" s="15">
        <v>45292</v>
      </c>
      <c r="S3296" s="11" t="s">
        <v>758</v>
      </c>
      <c r="T3296" s="16">
        <v>0</v>
      </c>
      <c r="U3296" s="17"/>
      <c r="V3296" s="12">
        <v>1333.5439391256159</v>
      </c>
      <c r="W3296" s="12">
        <v>1333.5439391256159</v>
      </c>
      <c r="X3296" s="12">
        <v>0</v>
      </c>
      <c r="Y3296" s="18">
        <v>45684</v>
      </c>
      <c r="Z3296" s="13" t="s">
        <v>516</v>
      </c>
      <c r="AA3296" s="19" t="str">
        <f>VLOOKUP(D3296,Clientes!$A$2:$J$486,9,FALSE)</f>
        <v>Frecuente</v>
      </c>
      <c r="AB3296" s="13" t="str">
        <f>VLOOKUP(D3296,Clientes!$A$2:$K$486,11,FALSE)</f>
        <v>Persona Natural</v>
      </c>
      <c r="AC3296" s="13" t="str">
        <f>VLOOKUP(D3296,Clientes!$A$2:$B$486,2,FALSE)</f>
        <v>Curso Amalia</v>
      </c>
      <c r="AD3296" s="20"/>
      <c r="AE3296" s="20"/>
      <c r="AF3296" s="13" t="s">
        <v>40</v>
      </c>
      <c r="AG3296" s="15">
        <v>45292</v>
      </c>
      <c r="AH3296" s="13" t="s">
        <v>41</v>
      </c>
      <c r="AI3296" s="13" t="s">
        <v>43</v>
      </c>
      <c r="AJ3296" s="13" t="str">
        <f>VLOOKUP(E3296,Precios!Z$2:AA$941,2,FALSE)</f>
        <v>Bandeja Huevos JUMBO</v>
      </c>
      <c r="AK3296" s="14">
        <f>VLOOKUP(E3296,Precios!Z$2:BB$941,3,FALSE)*F3296</f>
        <v>-1</v>
      </c>
      <c r="AL3296" s="17"/>
      <c r="AM3296" s="17"/>
      <c r="AN3296" s="17"/>
      <c r="AO3296" s="17"/>
      <c r="AP3296" s="17"/>
      <c r="AQ3296" s="17"/>
      <c r="AR3296" s="17"/>
      <c r="AS3296" s="17"/>
      <c r="AT3296" s="17"/>
      <c r="AU3296" s="17"/>
      <c r="AV3296" s="17"/>
    </row>
    <row r="3297" spans="1:48" ht="15.75" customHeight="1">
      <c r="A3297" s="14" t="s">
        <v>43</v>
      </c>
      <c r="B3297" s="23" t="s">
        <v>1692</v>
      </c>
      <c r="C3297" s="22">
        <v>45685</v>
      </c>
      <c r="D3297" s="23" t="s">
        <v>131</v>
      </c>
      <c r="E3297" s="13" t="s">
        <v>757</v>
      </c>
      <c r="F3297" s="14">
        <v>1</v>
      </c>
      <c r="G3297" s="12">
        <v>5999.6872875594827</v>
      </c>
      <c r="H3297" s="12">
        <v>5999.6872875594827</v>
      </c>
      <c r="I3297" s="13" t="s">
        <v>52</v>
      </c>
      <c r="J3297" s="23" t="s">
        <v>61</v>
      </c>
      <c r="K3297" s="24" t="s">
        <v>177</v>
      </c>
      <c r="L3297" s="26">
        <v>95</v>
      </c>
      <c r="M3297" s="12">
        <v>5041.7540231592293</v>
      </c>
      <c r="N3297" s="12">
        <v>5041.7540231592293</v>
      </c>
      <c r="O3297" s="12">
        <v>957.93326440025339</v>
      </c>
      <c r="P3297" s="13"/>
      <c r="Q3297" s="14">
        <v>2025</v>
      </c>
      <c r="R3297" s="15">
        <v>45292</v>
      </c>
      <c r="S3297" s="11" t="s">
        <v>758</v>
      </c>
      <c r="T3297" s="16">
        <v>0</v>
      </c>
      <c r="U3297" s="17"/>
      <c r="V3297" s="12">
        <v>1333.5439391256159</v>
      </c>
      <c r="W3297" s="12">
        <v>1333.5439391256159</v>
      </c>
      <c r="X3297" s="12">
        <v>0</v>
      </c>
      <c r="Y3297" s="18">
        <v>45684</v>
      </c>
      <c r="Z3297" s="13" t="s">
        <v>516</v>
      </c>
      <c r="AA3297" s="19" t="str">
        <f>VLOOKUP(D3297,Clientes!$A$2:$J$486,9,FALSE)</f>
        <v>Frecuente</v>
      </c>
      <c r="AB3297" s="13" t="str">
        <f>VLOOKUP(D3297,Clientes!$A$2:$K$486,11,FALSE)</f>
        <v>Persona Natural</v>
      </c>
      <c r="AC3297" s="13" t="str">
        <f>VLOOKUP(D3297,Clientes!$A$2:$B$486,2,FALSE)</f>
        <v>Jardines de la viña</v>
      </c>
      <c r="AD3297" s="20"/>
      <c r="AE3297" s="20"/>
      <c r="AF3297" s="13" t="s">
        <v>40</v>
      </c>
      <c r="AG3297" s="15">
        <v>45292</v>
      </c>
      <c r="AH3297" s="13" t="s">
        <v>41</v>
      </c>
      <c r="AI3297" s="13" t="s">
        <v>43</v>
      </c>
      <c r="AJ3297" s="13" t="str">
        <f>VLOOKUP(E3297,Precios!Z$2:AA$941,2,FALSE)</f>
        <v>Bandeja Huevos JUMBO</v>
      </c>
      <c r="AK3297" s="14">
        <f>VLOOKUP(E3297,Precios!Z$2:BB$941,3,FALSE)*F3297</f>
        <v>-1</v>
      </c>
      <c r="AL3297" s="17"/>
      <c r="AM3297" s="17"/>
      <c r="AN3297" s="17"/>
      <c r="AO3297" s="17"/>
      <c r="AP3297" s="17"/>
      <c r="AQ3297" s="17"/>
      <c r="AR3297" s="17"/>
      <c r="AS3297" s="17"/>
      <c r="AT3297" s="17"/>
      <c r="AU3297" s="17"/>
      <c r="AV3297" s="17"/>
    </row>
    <row r="3298" spans="1:48" ht="15.75" customHeight="1">
      <c r="A3298" s="21" t="s">
        <v>35</v>
      </c>
      <c r="B3298" s="23" t="s">
        <v>1692</v>
      </c>
      <c r="C3298" s="22">
        <v>45685</v>
      </c>
      <c r="D3298" s="23" t="s">
        <v>128</v>
      </c>
      <c r="E3298" s="23" t="s">
        <v>37</v>
      </c>
      <c r="F3298" s="21">
        <v>1</v>
      </c>
      <c r="G3298" s="12">
        <v>10500</v>
      </c>
      <c r="H3298" s="12">
        <v>10500</v>
      </c>
      <c r="I3298" s="23" t="s">
        <v>52</v>
      </c>
      <c r="J3298" s="23" t="s">
        <v>61</v>
      </c>
      <c r="K3298" s="24" t="s">
        <v>177</v>
      </c>
      <c r="L3298" s="26">
        <v>95</v>
      </c>
      <c r="M3298" s="12">
        <v>8823.5294117647063</v>
      </c>
      <c r="N3298" s="12">
        <v>8823.5294117647063</v>
      </c>
      <c r="O3298" s="12">
        <v>1676.4705882352937</v>
      </c>
      <c r="P3298" s="13"/>
      <c r="Q3298" s="14">
        <v>2025</v>
      </c>
      <c r="R3298" s="15">
        <v>45292</v>
      </c>
      <c r="S3298" s="11" t="s">
        <v>364</v>
      </c>
      <c r="T3298" s="16">
        <v>1000</v>
      </c>
      <c r="U3298" s="17"/>
      <c r="V3298" s="12">
        <v>2385.7142857142853</v>
      </c>
      <c r="W3298" s="12">
        <v>2385.7142857142853</v>
      </c>
      <c r="X3298" s="12">
        <v>0</v>
      </c>
      <c r="Y3298" s="18">
        <v>45684</v>
      </c>
      <c r="Z3298" s="13" t="s">
        <v>516</v>
      </c>
      <c r="AA3298" s="19" t="str">
        <f>VLOOKUP(D3298,Clientes!$A$2:$J$486,9,FALSE)</f>
        <v>Ocacional</v>
      </c>
      <c r="AB3298" s="13" t="str">
        <f>VLOOKUP(D3298,Clientes!$A$2:$K$486,11,FALSE)</f>
        <v>Persona Natural</v>
      </c>
      <c r="AC3298" s="13" t="str">
        <f>VLOOKUP(D3298,Clientes!$A$2:$B$486,2,FALSE)</f>
        <v>Jardin del Eden</v>
      </c>
      <c r="AD3298" s="20"/>
      <c r="AE3298" s="20"/>
      <c r="AF3298" s="13" t="s">
        <v>40</v>
      </c>
      <c r="AG3298" s="15">
        <v>45292</v>
      </c>
      <c r="AH3298" s="13" t="s">
        <v>41</v>
      </c>
      <c r="AI3298" s="13" t="s">
        <v>35</v>
      </c>
      <c r="AJ3298" s="13" t="str">
        <f>VLOOKUP(E3298,Precios!Z$2:AA$941,2,FALSE)</f>
        <v>Queso RUNCA Mantecoso</v>
      </c>
      <c r="AK3298" s="14">
        <f>VLOOKUP(E3298,Precios!Z$2:BB$941,3,FALSE)*F3298</f>
        <v>-1</v>
      </c>
      <c r="AL3298" s="17"/>
      <c r="AM3298" s="17"/>
      <c r="AN3298" s="17"/>
      <c r="AO3298" s="17"/>
      <c r="AP3298" s="17"/>
      <c r="AQ3298" s="17"/>
      <c r="AR3298" s="17"/>
      <c r="AS3298" s="17"/>
      <c r="AT3298" s="17"/>
      <c r="AU3298" s="17"/>
      <c r="AV3298" s="17"/>
    </row>
    <row r="3299" spans="1:48" ht="15.75" customHeight="1">
      <c r="A3299" s="21" t="s">
        <v>50</v>
      </c>
      <c r="B3299" s="23" t="s">
        <v>1692</v>
      </c>
      <c r="C3299" s="22">
        <v>45685</v>
      </c>
      <c r="D3299" s="23" t="s">
        <v>128</v>
      </c>
      <c r="E3299" s="23" t="s">
        <v>51</v>
      </c>
      <c r="F3299" s="21">
        <v>2</v>
      </c>
      <c r="G3299" s="12">
        <v>1000</v>
      </c>
      <c r="H3299" s="12">
        <v>2000</v>
      </c>
      <c r="I3299" s="23" t="s">
        <v>52</v>
      </c>
      <c r="J3299" s="23" t="s">
        <v>61</v>
      </c>
      <c r="K3299" s="24" t="s">
        <v>177</v>
      </c>
      <c r="L3299" s="26">
        <v>95</v>
      </c>
      <c r="M3299" s="12">
        <v>840.3361344537816</v>
      </c>
      <c r="N3299" s="12">
        <v>1680.6722689075632</v>
      </c>
      <c r="O3299" s="12">
        <v>319.32773109243681</v>
      </c>
      <c r="P3299" s="13"/>
      <c r="Q3299" s="14">
        <v>2025</v>
      </c>
      <c r="R3299" s="15">
        <v>45292</v>
      </c>
      <c r="S3299" s="11" t="s">
        <v>51</v>
      </c>
      <c r="T3299" s="16">
        <v>0</v>
      </c>
      <c r="U3299" s="17"/>
      <c r="V3299" s="12">
        <v>966.38655462184863</v>
      </c>
      <c r="W3299" s="12">
        <v>966.38655462184863</v>
      </c>
      <c r="X3299" s="12">
        <v>0</v>
      </c>
      <c r="Y3299" s="18">
        <v>45684</v>
      </c>
      <c r="Z3299" s="13" t="s">
        <v>516</v>
      </c>
      <c r="AA3299" s="19" t="str">
        <f>VLOOKUP(D3299,Clientes!$A$2:$J$486,9,FALSE)</f>
        <v>Ocacional</v>
      </c>
      <c r="AB3299" s="13" t="str">
        <f>VLOOKUP(D3299,Clientes!$A$2:$K$486,11,FALSE)</f>
        <v>Persona Natural</v>
      </c>
      <c r="AC3299" s="13" t="str">
        <f>VLOOKUP(D3299,Clientes!$A$2:$B$486,2,FALSE)</f>
        <v>Jardin del Eden</v>
      </c>
      <c r="AD3299" s="20"/>
      <c r="AE3299" s="20"/>
      <c r="AF3299" s="13" t="s">
        <v>40</v>
      </c>
      <c r="AG3299" s="15">
        <v>45292</v>
      </c>
      <c r="AH3299" s="13" t="s">
        <v>41</v>
      </c>
      <c r="AI3299" s="13" t="s">
        <v>50</v>
      </c>
      <c r="AJ3299" s="13" t="str">
        <f>VLOOKUP(E3299,Precios!Z$2:AA$941,2,FALSE)</f>
        <v>Hielo 1 Kilo</v>
      </c>
      <c r="AK3299" s="14">
        <f>VLOOKUP(E3299,Precios!Z$2:BB$941,3,FALSE)*F3299</f>
        <v>-2</v>
      </c>
      <c r="AL3299" s="17"/>
      <c r="AM3299" s="17"/>
      <c r="AN3299" s="17"/>
      <c r="AO3299" s="17"/>
      <c r="AP3299" s="17"/>
      <c r="AQ3299" s="17"/>
      <c r="AR3299" s="17"/>
      <c r="AS3299" s="17"/>
      <c r="AT3299" s="17"/>
      <c r="AU3299" s="17"/>
      <c r="AV3299" s="17"/>
    </row>
    <row r="3300" spans="1:48" ht="15.75" customHeight="1">
      <c r="A3300" s="21" t="s">
        <v>53</v>
      </c>
      <c r="B3300" s="23" t="s">
        <v>1692</v>
      </c>
      <c r="C3300" s="22">
        <v>45684</v>
      </c>
      <c r="D3300" s="23" t="s">
        <v>219</v>
      </c>
      <c r="E3300" s="23" t="s">
        <v>114</v>
      </c>
      <c r="F3300" s="21">
        <v>2</v>
      </c>
      <c r="G3300" s="12">
        <v>10500</v>
      </c>
      <c r="H3300" s="12">
        <v>21000</v>
      </c>
      <c r="I3300" s="13" t="s">
        <v>52</v>
      </c>
      <c r="J3300" s="23" t="s">
        <v>61</v>
      </c>
      <c r="K3300" s="24" t="s">
        <v>177</v>
      </c>
      <c r="L3300" s="26">
        <v>95</v>
      </c>
      <c r="M3300" s="12">
        <v>8823.5294117647063</v>
      </c>
      <c r="N3300" s="12">
        <v>17647.058823529413</v>
      </c>
      <c r="O3300" s="12">
        <v>3352.9411764705874</v>
      </c>
      <c r="P3300" s="13"/>
      <c r="Q3300" s="14">
        <v>2025</v>
      </c>
      <c r="R3300" s="15">
        <v>45292</v>
      </c>
      <c r="S3300" s="11" t="s">
        <v>369</v>
      </c>
      <c r="T3300" s="16">
        <v>0</v>
      </c>
      <c r="U3300" s="17"/>
      <c r="V3300" s="12">
        <v>4806.7226890756301</v>
      </c>
      <c r="W3300" s="12">
        <v>4806.7226890756301</v>
      </c>
      <c r="X3300" s="12">
        <v>0</v>
      </c>
      <c r="Y3300" s="18">
        <v>45684</v>
      </c>
      <c r="Z3300" s="13" t="s">
        <v>523</v>
      </c>
      <c r="AA3300" s="19" t="str">
        <f>VLOOKUP(D3300,Clientes!$A$2:$J$486,9,FALSE)</f>
        <v>Ocacional</v>
      </c>
      <c r="AB3300" s="13" t="str">
        <f>VLOOKUP(D3300,Clientes!$A$2:$K$486,11,FALSE)</f>
        <v>Persona Natural</v>
      </c>
      <c r="AC3300" s="13" t="str">
        <f>VLOOKUP(D3300,Clientes!$A$2:$B$486,2,FALSE)</f>
        <v>Jardines de la Viña</v>
      </c>
      <c r="AD3300" s="20"/>
      <c r="AE3300" s="20"/>
      <c r="AF3300" s="13" t="s">
        <v>40</v>
      </c>
      <c r="AG3300" s="15">
        <v>45292</v>
      </c>
      <c r="AH3300" s="13" t="s">
        <v>41</v>
      </c>
      <c r="AI3300" s="13" t="s">
        <v>53</v>
      </c>
      <c r="AJ3300" s="13" t="str">
        <f>VLOOKUP(E3300,Precios!Z$2:AA$941,2,FALSE)</f>
        <v>Toalla Papel NOVA 12 metros</v>
      </c>
      <c r="AK3300" s="14">
        <f>VLOOKUP(E3300,Precios!Z$2:BB$941,3,FALSE)*F3300</f>
        <v>-16</v>
      </c>
      <c r="AL3300" s="17"/>
      <c r="AM3300" s="17"/>
      <c r="AN3300" s="17"/>
      <c r="AO3300" s="17"/>
      <c r="AP3300" s="17"/>
      <c r="AQ3300" s="17"/>
      <c r="AR3300" s="17"/>
      <c r="AS3300" s="17"/>
      <c r="AT3300" s="17"/>
      <c r="AU3300" s="17"/>
      <c r="AV3300" s="17"/>
    </row>
    <row r="3301" spans="1:48" ht="15.75" customHeight="1">
      <c r="A3301" s="14" t="s">
        <v>43</v>
      </c>
      <c r="B3301" s="23" t="s">
        <v>1692</v>
      </c>
      <c r="C3301" s="22">
        <v>45684</v>
      </c>
      <c r="D3301" s="23" t="s">
        <v>466</v>
      </c>
      <c r="E3301" s="13" t="s">
        <v>757</v>
      </c>
      <c r="F3301" s="14">
        <v>1</v>
      </c>
      <c r="G3301" s="12">
        <v>5999.6872875594827</v>
      </c>
      <c r="H3301" s="12">
        <v>5999.6872875594827</v>
      </c>
      <c r="I3301" s="13" t="s">
        <v>52</v>
      </c>
      <c r="J3301" s="23" t="s">
        <v>61</v>
      </c>
      <c r="K3301" s="24" t="s">
        <v>177</v>
      </c>
      <c r="L3301" s="26">
        <v>95</v>
      </c>
      <c r="M3301" s="12">
        <v>5041.7540231592293</v>
      </c>
      <c r="N3301" s="12">
        <v>5041.7540231592293</v>
      </c>
      <c r="O3301" s="12">
        <v>957.93326440025339</v>
      </c>
      <c r="P3301" s="13"/>
      <c r="Q3301" s="14">
        <v>2025</v>
      </c>
      <c r="R3301" s="15">
        <v>45292</v>
      </c>
      <c r="S3301" s="11" t="s">
        <v>758</v>
      </c>
      <c r="T3301" s="16">
        <v>0</v>
      </c>
      <c r="U3301" s="17"/>
      <c r="V3301" s="12">
        <v>1333.5439391256159</v>
      </c>
      <c r="W3301" s="12">
        <v>1333.5439391256159</v>
      </c>
      <c r="X3301" s="12">
        <v>0</v>
      </c>
      <c r="Y3301" s="18">
        <v>45684</v>
      </c>
      <c r="Z3301" s="13" t="s">
        <v>523</v>
      </c>
      <c r="AA3301" s="19" t="str">
        <f>VLOOKUP(D3301,Clientes!$A$2:$J$486,9,FALSE)</f>
        <v>Ocacional</v>
      </c>
      <c r="AB3301" s="13" t="str">
        <f>VLOOKUP(D3301,Clientes!$A$2:$K$486,11,FALSE)</f>
        <v>Persona Natural</v>
      </c>
      <c r="AC3301" s="13" t="str">
        <f>VLOOKUP(D3301,Clientes!$A$2:$B$486,2,FALSE)</f>
        <v>Santa Amalia</v>
      </c>
      <c r="AD3301" s="20"/>
      <c r="AE3301" s="20"/>
      <c r="AF3301" s="13" t="s">
        <v>40</v>
      </c>
      <c r="AG3301" s="15">
        <v>45292</v>
      </c>
      <c r="AH3301" s="13" t="s">
        <v>41</v>
      </c>
      <c r="AI3301" s="13" t="s">
        <v>43</v>
      </c>
      <c r="AJ3301" s="13" t="str">
        <f>VLOOKUP(E3301,Precios!Z$2:AA$941,2,FALSE)</f>
        <v>Bandeja Huevos JUMBO</v>
      </c>
      <c r="AK3301" s="14">
        <f>VLOOKUP(E3301,Precios!Z$2:BB$941,3,FALSE)*F3301</f>
        <v>-1</v>
      </c>
      <c r="AL3301" s="17"/>
      <c r="AM3301" s="17"/>
      <c r="AN3301" s="17"/>
      <c r="AO3301" s="17"/>
      <c r="AP3301" s="17"/>
      <c r="AQ3301" s="17"/>
      <c r="AR3301" s="17"/>
      <c r="AS3301" s="17"/>
      <c r="AT3301" s="17"/>
      <c r="AU3301" s="17"/>
      <c r="AV3301" s="17"/>
    </row>
    <row r="3302" spans="1:48" ht="15.75" customHeight="1">
      <c r="A3302" s="21" t="s">
        <v>50</v>
      </c>
      <c r="B3302" s="23" t="s">
        <v>1692</v>
      </c>
      <c r="C3302" s="22">
        <v>45684</v>
      </c>
      <c r="D3302" s="23" t="s">
        <v>229</v>
      </c>
      <c r="E3302" s="23" t="s">
        <v>51</v>
      </c>
      <c r="F3302" s="21">
        <v>3</v>
      </c>
      <c r="G3302" s="12">
        <v>1000</v>
      </c>
      <c r="H3302" s="12">
        <v>3000</v>
      </c>
      <c r="I3302" s="13" t="s">
        <v>52</v>
      </c>
      <c r="J3302" s="23" t="s">
        <v>61</v>
      </c>
      <c r="K3302" s="24" t="s">
        <v>177</v>
      </c>
      <c r="L3302" s="26">
        <v>95</v>
      </c>
      <c r="M3302" s="12">
        <v>840.3361344537816</v>
      </c>
      <c r="N3302" s="12">
        <v>2521.0084033613448</v>
      </c>
      <c r="O3302" s="12">
        <v>478.99159663865521</v>
      </c>
      <c r="P3302" s="13"/>
      <c r="Q3302" s="14">
        <v>2025</v>
      </c>
      <c r="R3302" s="15">
        <v>45292</v>
      </c>
      <c r="S3302" s="11" t="s">
        <v>51</v>
      </c>
      <c r="T3302" s="16">
        <v>0</v>
      </c>
      <c r="U3302" s="17"/>
      <c r="V3302" s="12">
        <v>1449.579831932773</v>
      </c>
      <c r="W3302" s="12">
        <v>1449.579831932773</v>
      </c>
      <c r="X3302" s="12">
        <v>0</v>
      </c>
      <c r="Y3302" s="18">
        <v>45684</v>
      </c>
      <c r="Z3302" s="13" t="s">
        <v>523</v>
      </c>
      <c r="AA3302" s="19" t="str">
        <f>VLOOKUP(D3302,Clientes!$A$2:$J$486,9,FALSE)</f>
        <v>Frecuente</v>
      </c>
      <c r="AB3302" s="13" t="str">
        <f>VLOOKUP(D3302,Clientes!$A$2:$K$486,11,FALSE)</f>
        <v>Persona Natural</v>
      </c>
      <c r="AC3302" s="13" t="str">
        <f>VLOOKUP(D3302,Clientes!$A$2:$B$486,2,FALSE)</f>
        <v>Sector Santa Delia</v>
      </c>
      <c r="AD3302" s="20"/>
      <c r="AE3302" s="20"/>
      <c r="AF3302" s="13" t="s">
        <v>40</v>
      </c>
      <c r="AG3302" s="15">
        <v>45292</v>
      </c>
      <c r="AH3302" s="13" t="s">
        <v>41</v>
      </c>
      <c r="AI3302" s="13" t="s">
        <v>50</v>
      </c>
      <c r="AJ3302" s="13" t="str">
        <f>VLOOKUP(E3302,Precios!Z$2:AA$941,2,FALSE)</f>
        <v>Hielo 1 Kilo</v>
      </c>
      <c r="AK3302" s="14">
        <f>VLOOKUP(E3302,Precios!Z$2:BB$941,3,FALSE)*F3302</f>
        <v>-3</v>
      </c>
      <c r="AL3302" s="17"/>
      <c r="AM3302" s="17"/>
      <c r="AN3302" s="17"/>
      <c r="AO3302" s="17"/>
      <c r="AP3302" s="17"/>
      <c r="AQ3302" s="17"/>
      <c r="AR3302" s="17"/>
      <c r="AS3302" s="17"/>
      <c r="AT3302" s="17"/>
      <c r="AU3302" s="17"/>
      <c r="AV3302" s="17"/>
    </row>
    <row r="3303" spans="1:48" ht="15.75" customHeight="1">
      <c r="A3303" s="21" t="s">
        <v>43</v>
      </c>
      <c r="B3303" s="23" t="s">
        <v>1692</v>
      </c>
      <c r="C3303" s="25">
        <v>45683</v>
      </c>
      <c r="D3303" s="23" t="s">
        <v>236</v>
      </c>
      <c r="E3303" s="23" t="s">
        <v>757</v>
      </c>
      <c r="F3303" s="21">
        <v>1</v>
      </c>
      <c r="G3303" s="12">
        <v>5999.6872875594827</v>
      </c>
      <c r="H3303" s="12">
        <v>5999.6872875594827</v>
      </c>
      <c r="I3303" s="13" t="s">
        <v>52</v>
      </c>
      <c r="J3303" s="23" t="s">
        <v>61</v>
      </c>
      <c r="K3303" s="24" t="s">
        <v>177</v>
      </c>
      <c r="L3303" s="24">
        <v>94</v>
      </c>
      <c r="M3303" s="12">
        <v>5041.7540231592293</v>
      </c>
      <c r="N3303" s="12">
        <v>5041.7540231592293</v>
      </c>
      <c r="O3303" s="12">
        <v>957.93326440025339</v>
      </c>
      <c r="P3303" s="13"/>
      <c r="Q3303" s="14">
        <v>2025</v>
      </c>
      <c r="R3303" s="15">
        <v>45292</v>
      </c>
      <c r="S3303" s="11" t="s">
        <v>758</v>
      </c>
      <c r="T3303" s="16">
        <v>0</v>
      </c>
      <c r="U3303" s="17"/>
      <c r="V3303" s="12">
        <v>1333.5439391256159</v>
      </c>
      <c r="W3303" s="12">
        <v>1333.5439391256159</v>
      </c>
      <c r="X3303" s="12">
        <v>0</v>
      </c>
      <c r="Y3303" s="18">
        <v>45677</v>
      </c>
      <c r="Z3303" s="13" t="s">
        <v>497</v>
      </c>
      <c r="AA3303" s="19" t="str">
        <f>VLOOKUP(D3303,Clientes!$A$2:$J$486,9,FALSE)</f>
        <v>Familiar</v>
      </c>
      <c r="AB3303" s="13" t="str">
        <f>VLOOKUP(D3303,Clientes!$A$2:$K$486,11,FALSE)</f>
        <v>Persona Natural</v>
      </c>
      <c r="AC3303" s="13" t="str">
        <f>VLOOKUP(D3303,Clientes!$A$2:$B$486,2,FALSE)</f>
        <v>Familiar</v>
      </c>
      <c r="AD3303" s="20"/>
      <c r="AE3303" s="20"/>
      <c r="AF3303" s="13" t="s">
        <v>40</v>
      </c>
      <c r="AG3303" s="15">
        <v>45292</v>
      </c>
      <c r="AH3303" s="13" t="s">
        <v>41</v>
      </c>
      <c r="AI3303" s="13" t="s">
        <v>43</v>
      </c>
      <c r="AJ3303" s="13" t="str">
        <f>VLOOKUP(E3303,Precios!Z$2:AA$941,2,FALSE)</f>
        <v>Bandeja Huevos JUMBO</v>
      </c>
      <c r="AK3303" s="14">
        <f>VLOOKUP(E3303,Precios!Z$2:BB$941,3,FALSE)*F3303</f>
        <v>-1</v>
      </c>
      <c r="AL3303" s="17"/>
      <c r="AM3303" s="17"/>
      <c r="AN3303" s="17"/>
      <c r="AO3303" s="17"/>
      <c r="AP3303" s="17"/>
      <c r="AQ3303" s="17"/>
      <c r="AR3303" s="17"/>
      <c r="AS3303" s="17"/>
      <c r="AT3303" s="17"/>
      <c r="AU3303" s="17"/>
      <c r="AV3303" s="17"/>
    </row>
    <row r="3304" spans="1:48" ht="15.75" customHeight="1">
      <c r="A3304" s="21" t="s">
        <v>43</v>
      </c>
      <c r="B3304" s="23" t="s">
        <v>1692</v>
      </c>
      <c r="C3304" s="25">
        <v>45683</v>
      </c>
      <c r="D3304" s="23" t="s">
        <v>122</v>
      </c>
      <c r="E3304" s="23" t="s">
        <v>757</v>
      </c>
      <c r="F3304" s="21">
        <v>1</v>
      </c>
      <c r="G3304" s="12">
        <v>5999.6872875594827</v>
      </c>
      <c r="H3304" s="12">
        <v>5999.6872875594827</v>
      </c>
      <c r="I3304" s="13" t="s">
        <v>52</v>
      </c>
      <c r="J3304" s="23" t="s">
        <v>61</v>
      </c>
      <c r="K3304" s="24" t="s">
        <v>177</v>
      </c>
      <c r="L3304" s="24">
        <v>94</v>
      </c>
      <c r="M3304" s="12">
        <v>5041.7540231592293</v>
      </c>
      <c r="N3304" s="12">
        <v>5041.7540231592293</v>
      </c>
      <c r="O3304" s="12">
        <v>957.93326440025339</v>
      </c>
      <c r="P3304" s="13"/>
      <c r="Q3304" s="14">
        <v>2025</v>
      </c>
      <c r="R3304" s="15">
        <v>45292</v>
      </c>
      <c r="S3304" s="11" t="s">
        <v>758</v>
      </c>
      <c r="T3304" s="16">
        <v>0</v>
      </c>
      <c r="U3304" s="17"/>
      <c r="V3304" s="12">
        <v>1333.5439391256159</v>
      </c>
      <c r="W3304" s="12">
        <v>1333.5439391256159</v>
      </c>
      <c r="X3304" s="12">
        <v>0</v>
      </c>
      <c r="Y3304" s="18">
        <v>45677</v>
      </c>
      <c r="Z3304" s="13" t="s">
        <v>497</v>
      </c>
      <c r="AA3304" s="19" t="str">
        <f>VLOOKUP(D3304,Clientes!$A$2:$J$486,9,FALSE)</f>
        <v>Frecuente</v>
      </c>
      <c r="AB3304" s="13" t="str">
        <f>VLOOKUP(D3304,Clientes!$A$2:$K$486,11,FALSE)</f>
        <v>Persona Natural</v>
      </c>
      <c r="AC3304" s="13" t="str">
        <f>VLOOKUP(D3304,Clientes!$A$2:$B$486,2,FALSE)</f>
        <v>Jardines de la Viña</v>
      </c>
      <c r="AD3304" s="20"/>
      <c r="AE3304" s="20"/>
      <c r="AF3304" s="13" t="s">
        <v>40</v>
      </c>
      <c r="AG3304" s="15">
        <v>45292</v>
      </c>
      <c r="AH3304" s="13" t="s">
        <v>41</v>
      </c>
      <c r="AI3304" s="13" t="s">
        <v>43</v>
      </c>
      <c r="AJ3304" s="13" t="str">
        <f>VLOOKUP(E3304,Precios!Z$2:AA$941,2,FALSE)</f>
        <v>Bandeja Huevos JUMBO</v>
      </c>
      <c r="AK3304" s="14">
        <f>VLOOKUP(E3304,Precios!Z$2:BB$941,3,FALSE)*F3304</f>
        <v>-1</v>
      </c>
      <c r="AL3304" s="17"/>
      <c r="AM3304" s="17"/>
      <c r="AN3304" s="17"/>
      <c r="AO3304" s="17"/>
      <c r="AP3304" s="17"/>
      <c r="AQ3304" s="17"/>
      <c r="AR3304" s="17"/>
      <c r="AS3304" s="17"/>
      <c r="AT3304" s="17"/>
      <c r="AU3304" s="17"/>
      <c r="AV3304" s="17"/>
    </row>
    <row r="3305" spans="1:48" ht="15.75" customHeight="1">
      <c r="A3305" s="21" t="s">
        <v>56</v>
      </c>
      <c r="B3305" s="23" t="s">
        <v>1692</v>
      </c>
      <c r="C3305" s="22">
        <v>45683</v>
      </c>
      <c r="D3305" s="23" t="s">
        <v>915</v>
      </c>
      <c r="E3305" s="23" t="s">
        <v>617</v>
      </c>
      <c r="F3305" s="21">
        <v>2</v>
      </c>
      <c r="G3305" s="12">
        <v>8200</v>
      </c>
      <c r="H3305" s="37">
        <v>16400</v>
      </c>
      <c r="I3305" s="23" t="s">
        <v>52</v>
      </c>
      <c r="J3305" s="23" t="s">
        <v>61</v>
      </c>
      <c r="K3305" s="24" t="s">
        <v>177</v>
      </c>
      <c r="L3305" s="24">
        <v>94</v>
      </c>
      <c r="M3305" s="12">
        <v>6890.7563025210084</v>
      </c>
      <c r="N3305" s="12">
        <v>13781.512605042017</v>
      </c>
      <c r="O3305" s="12">
        <v>2618.4873949579833</v>
      </c>
      <c r="P3305" s="13"/>
      <c r="Q3305" s="14">
        <v>2025</v>
      </c>
      <c r="R3305" s="15">
        <v>45292</v>
      </c>
      <c r="S3305" s="11" t="s">
        <v>429</v>
      </c>
      <c r="T3305" s="16">
        <v>400</v>
      </c>
      <c r="U3305" s="17"/>
      <c r="V3305" s="12">
        <v>3905.8823529411766</v>
      </c>
      <c r="W3305" s="12">
        <v>3905.8823529411766</v>
      </c>
      <c r="X3305" s="12">
        <v>0</v>
      </c>
      <c r="Y3305" s="18">
        <v>45677</v>
      </c>
      <c r="Z3305" s="13" t="s">
        <v>497</v>
      </c>
      <c r="AA3305" s="19" t="str">
        <f>VLOOKUP(D3305,Clientes!$A$2:$J$486,9,FALSE)</f>
        <v>Regular</v>
      </c>
      <c r="AB3305" s="13" t="str">
        <f>VLOOKUP(D3305,Clientes!$A$2:$K$486,11,FALSE)</f>
        <v>Persona Natural</v>
      </c>
      <c r="AC3305" s="13" t="str">
        <f>VLOOKUP(D3305,Clientes!$A$2:$B$486,2,FALSE)</f>
        <v>Jardin del Eden</v>
      </c>
      <c r="AD3305" s="20"/>
      <c r="AE3305" s="20"/>
      <c r="AF3305" s="13" t="s">
        <v>40</v>
      </c>
      <c r="AG3305" s="15">
        <v>45292</v>
      </c>
      <c r="AH3305" s="13" t="s">
        <v>41</v>
      </c>
      <c r="AI3305" s="13" t="s">
        <v>56</v>
      </c>
      <c r="AJ3305" s="13" t="str">
        <f>VLOOKUP(E3305,Precios!Z$2:AA$941,2,FALSE)</f>
        <v>Queso Cabra</v>
      </c>
      <c r="AK3305" s="14">
        <f>VLOOKUP(E3305,Precios!Z$2:BB$941,3,FALSE)*F3305</f>
        <v>-4</v>
      </c>
      <c r="AL3305" s="17"/>
      <c r="AM3305" s="17"/>
      <c r="AN3305" s="17"/>
      <c r="AO3305" s="17"/>
      <c r="AP3305" s="17"/>
      <c r="AQ3305" s="17"/>
      <c r="AR3305" s="17"/>
      <c r="AS3305" s="17"/>
      <c r="AT3305" s="17"/>
      <c r="AU3305" s="17"/>
      <c r="AV3305" s="17"/>
    </row>
    <row r="3306" spans="1:48" ht="15.75" customHeight="1">
      <c r="A3306" s="21" t="s">
        <v>47</v>
      </c>
      <c r="B3306" s="23" t="s">
        <v>1692</v>
      </c>
      <c r="C3306" s="22">
        <v>45683</v>
      </c>
      <c r="D3306" s="23" t="s">
        <v>141</v>
      </c>
      <c r="E3306" s="23" t="s">
        <v>92</v>
      </c>
      <c r="F3306" s="14">
        <v>1</v>
      </c>
      <c r="G3306" s="12">
        <v>3400.2970989164628</v>
      </c>
      <c r="H3306" s="34">
        <v>3400.2970989164628</v>
      </c>
      <c r="I3306" s="23" t="s">
        <v>52</v>
      </c>
      <c r="J3306" s="23" t="s">
        <v>61</v>
      </c>
      <c r="K3306" s="24" t="s">
        <v>177</v>
      </c>
      <c r="L3306" s="24">
        <v>94</v>
      </c>
      <c r="M3306" s="12">
        <v>2857.3925200978679</v>
      </c>
      <c r="N3306" s="12">
        <v>2857.3925200978679</v>
      </c>
      <c r="O3306" s="12">
        <v>542.90457881859493</v>
      </c>
      <c r="P3306" s="13"/>
      <c r="Q3306" s="14">
        <v>2025</v>
      </c>
      <c r="R3306" s="15">
        <v>45292</v>
      </c>
      <c r="S3306" s="11" t="s">
        <v>453</v>
      </c>
      <c r="T3306" s="16">
        <v>0</v>
      </c>
      <c r="U3306" s="17"/>
      <c r="V3306" s="12">
        <v>1222.3925200978679</v>
      </c>
      <c r="W3306" s="12">
        <v>1222.3925200978679</v>
      </c>
      <c r="X3306" s="12">
        <v>0</v>
      </c>
      <c r="Y3306" s="18">
        <v>45677</v>
      </c>
      <c r="Z3306" s="13" t="s">
        <v>497</v>
      </c>
      <c r="AA3306" s="19" t="str">
        <f>VLOOKUP(D3306,Clientes!$A$2:$J$486,9,FALSE)</f>
        <v>Familiar</v>
      </c>
      <c r="AB3306" s="13" t="str">
        <f>VLOOKUP(D3306,Clientes!$A$2:$K$486,11,FALSE)</f>
        <v>Persona Natural</v>
      </c>
      <c r="AC3306" s="13" t="str">
        <f>VLOOKUP(D3306,Clientes!$A$2:$B$486,2,FALSE)</f>
        <v>Familiar</v>
      </c>
      <c r="AD3306" s="20"/>
      <c r="AE3306" s="20"/>
      <c r="AF3306" s="13" t="s">
        <v>40</v>
      </c>
      <c r="AG3306" s="15">
        <v>45292</v>
      </c>
      <c r="AH3306" s="13" t="s">
        <v>41</v>
      </c>
      <c r="AI3306" s="13" t="s">
        <v>47</v>
      </c>
      <c r="AJ3306" s="13" t="str">
        <f>VLOOKUP(E3306,Precios!Z$2:AA$941,2,FALSE)</f>
        <v xml:space="preserve">Bolsas Basura TEDDY 70x90 </v>
      </c>
      <c r="AK3306" s="14">
        <f>VLOOKUP(E3306,Precios!Z$2:BB$941,3,FALSE)*F3306</f>
        <v>-3</v>
      </c>
      <c r="AL3306" s="17"/>
      <c r="AM3306" s="17"/>
      <c r="AN3306" s="17"/>
      <c r="AO3306" s="17"/>
      <c r="AP3306" s="17"/>
      <c r="AQ3306" s="17"/>
      <c r="AR3306" s="17"/>
      <c r="AS3306" s="17"/>
      <c r="AT3306" s="17"/>
      <c r="AU3306" s="17"/>
      <c r="AV3306" s="17"/>
    </row>
    <row r="3307" spans="1:48" ht="15.75" customHeight="1">
      <c r="A3307" s="21" t="s">
        <v>35</v>
      </c>
      <c r="B3307" s="23" t="s">
        <v>1692</v>
      </c>
      <c r="C3307" s="22">
        <v>45683</v>
      </c>
      <c r="D3307" s="23" t="s">
        <v>285</v>
      </c>
      <c r="E3307" s="23" t="s">
        <v>46</v>
      </c>
      <c r="F3307" s="14">
        <v>1</v>
      </c>
      <c r="G3307" s="12">
        <v>5500</v>
      </c>
      <c r="H3307" s="12">
        <v>5500</v>
      </c>
      <c r="I3307" s="23" t="s">
        <v>52</v>
      </c>
      <c r="J3307" s="23" t="s">
        <v>61</v>
      </c>
      <c r="K3307" s="24" t="s">
        <v>177</v>
      </c>
      <c r="L3307" s="24">
        <v>94</v>
      </c>
      <c r="M3307" s="12">
        <v>4621.8487394957983</v>
      </c>
      <c r="N3307" s="12">
        <v>4621.8487394957983</v>
      </c>
      <c r="O3307" s="12">
        <v>878.15126050420167</v>
      </c>
      <c r="P3307" s="13"/>
      <c r="Q3307" s="14">
        <v>2025</v>
      </c>
      <c r="R3307" s="15">
        <v>45292</v>
      </c>
      <c r="S3307" s="11" t="s">
        <v>364</v>
      </c>
      <c r="T3307" s="16">
        <v>500</v>
      </c>
      <c r="U3307" s="17"/>
      <c r="V3307" s="12">
        <v>1365.1260504201678</v>
      </c>
      <c r="W3307" s="12">
        <v>1365.1260504201678</v>
      </c>
      <c r="X3307" s="12">
        <v>0</v>
      </c>
      <c r="Y3307" s="18">
        <v>45677</v>
      </c>
      <c r="Z3307" s="13" t="s">
        <v>497</v>
      </c>
      <c r="AA3307" s="19" t="str">
        <f>VLOOKUP(D3307,Clientes!$A$2:$J$486,9,FALSE)</f>
        <v>Familiar</v>
      </c>
      <c r="AB3307" s="13" t="str">
        <f>VLOOKUP(D3307,Clientes!$A$2:$K$486,11,FALSE)</f>
        <v>Persona Natural</v>
      </c>
      <c r="AC3307" s="13" t="str">
        <f>VLOOKUP(D3307,Clientes!$A$2:$B$486,2,FALSE)</f>
        <v>Familiar</v>
      </c>
      <c r="AD3307" s="20"/>
      <c r="AE3307" s="20"/>
      <c r="AF3307" s="13" t="s">
        <v>40</v>
      </c>
      <c r="AG3307" s="15">
        <v>45292</v>
      </c>
      <c r="AH3307" s="13" t="s">
        <v>41</v>
      </c>
      <c r="AI3307" s="13" t="s">
        <v>35</v>
      </c>
      <c r="AJ3307" s="13" t="str">
        <f>VLOOKUP(E3307,Precios!Z$2:AA$941,2,FALSE)</f>
        <v>Queso RUNCA Mantecoso</v>
      </c>
      <c r="AK3307" s="14">
        <f>VLOOKUP(E3307,Precios!Z$2:BB$941,3,FALSE)*F3307</f>
        <v>-0.5</v>
      </c>
      <c r="AL3307" s="17"/>
      <c r="AM3307" s="17"/>
      <c r="AN3307" s="17"/>
      <c r="AO3307" s="17"/>
      <c r="AP3307" s="17"/>
      <c r="AQ3307" s="17"/>
      <c r="AR3307" s="17"/>
      <c r="AS3307" s="17"/>
      <c r="AT3307" s="17"/>
      <c r="AU3307" s="17"/>
      <c r="AV3307" s="17"/>
    </row>
    <row r="3308" spans="1:48" ht="15.75" customHeight="1">
      <c r="A3308" s="21" t="s">
        <v>56</v>
      </c>
      <c r="B3308" s="23" t="s">
        <v>1692</v>
      </c>
      <c r="C3308" s="22">
        <v>45683</v>
      </c>
      <c r="D3308" s="23" t="s">
        <v>285</v>
      </c>
      <c r="E3308" s="23" t="s">
        <v>67</v>
      </c>
      <c r="F3308" s="14">
        <v>1</v>
      </c>
      <c r="G3308" s="12">
        <v>7000.0000000000009</v>
      </c>
      <c r="H3308" s="12">
        <v>7000.0000000000009</v>
      </c>
      <c r="I3308" s="23" t="s">
        <v>52</v>
      </c>
      <c r="J3308" s="23" t="s">
        <v>61</v>
      </c>
      <c r="K3308" s="24" t="s">
        <v>177</v>
      </c>
      <c r="L3308" s="24">
        <v>94</v>
      </c>
      <c r="M3308" s="12">
        <v>5882.3529411764712</v>
      </c>
      <c r="N3308" s="12">
        <v>5882.3529411764712</v>
      </c>
      <c r="O3308" s="12">
        <v>1117.6470588235297</v>
      </c>
      <c r="P3308" s="13"/>
      <c r="Q3308" s="14">
        <v>2025</v>
      </c>
      <c r="R3308" s="15">
        <v>45292</v>
      </c>
      <c r="S3308" s="11" t="s">
        <v>492</v>
      </c>
      <c r="T3308" s="16">
        <v>200</v>
      </c>
      <c r="U3308" s="17"/>
      <c r="V3308" s="12">
        <v>1512.6050420168067</v>
      </c>
      <c r="W3308" s="12">
        <v>1512.6050420168067</v>
      </c>
      <c r="X3308" s="12">
        <v>0</v>
      </c>
      <c r="Y3308" s="18">
        <v>45677</v>
      </c>
      <c r="Z3308" s="13" t="s">
        <v>497</v>
      </c>
      <c r="AA3308" s="19" t="str">
        <f>VLOOKUP(D3308,Clientes!$A$2:$J$486,9,FALSE)</f>
        <v>Familiar</v>
      </c>
      <c r="AB3308" s="13" t="str">
        <f>VLOOKUP(D3308,Clientes!$A$2:$K$486,11,FALSE)</f>
        <v>Persona Natural</v>
      </c>
      <c r="AC3308" s="13" t="str">
        <f>VLOOKUP(D3308,Clientes!$A$2:$B$486,2,FALSE)</f>
        <v>Familiar</v>
      </c>
      <c r="AD3308" s="20"/>
      <c r="AE3308" s="20"/>
      <c r="AF3308" s="13" t="s">
        <v>40</v>
      </c>
      <c r="AG3308" s="15">
        <v>45292</v>
      </c>
      <c r="AH3308" s="13" t="s">
        <v>41</v>
      </c>
      <c r="AI3308" s="13" t="s">
        <v>56</v>
      </c>
      <c r="AJ3308" s="13" t="str">
        <f>VLOOKUP(E3308,Precios!Z$2:AA$941,2,FALSE)</f>
        <v>Mantequilla RUMAY</v>
      </c>
      <c r="AK3308" s="14">
        <f>VLOOKUP(E3308,Precios!Z$2:BB$941,3,FALSE)*F3308</f>
        <v>-3</v>
      </c>
      <c r="AL3308" s="17"/>
      <c r="AM3308" s="17"/>
      <c r="AN3308" s="17"/>
      <c r="AO3308" s="17"/>
      <c r="AP3308" s="17"/>
      <c r="AQ3308" s="17"/>
      <c r="AR3308" s="17"/>
      <c r="AS3308" s="17"/>
      <c r="AT3308" s="17"/>
      <c r="AU3308" s="17"/>
      <c r="AV3308" s="17"/>
    </row>
    <row r="3309" spans="1:48" ht="15.75" customHeight="1">
      <c r="A3309" s="21" t="s">
        <v>43</v>
      </c>
      <c r="B3309" s="23" t="s">
        <v>1692</v>
      </c>
      <c r="C3309" s="25">
        <v>45682</v>
      </c>
      <c r="D3309" s="23" t="s">
        <v>189</v>
      </c>
      <c r="E3309" s="23" t="s">
        <v>757</v>
      </c>
      <c r="F3309" s="14">
        <v>1</v>
      </c>
      <c r="G3309" s="12">
        <v>5999.6872875594827</v>
      </c>
      <c r="H3309" s="12">
        <v>5999.6872875594827</v>
      </c>
      <c r="I3309" s="23" t="s">
        <v>52</v>
      </c>
      <c r="J3309" s="23" t="s">
        <v>61</v>
      </c>
      <c r="K3309" s="24" t="s">
        <v>177</v>
      </c>
      <c r="L3309" s="24">
        <v>94</v>
      </c>
      <c r="M3309" s="12">
        <v>5041.7540231592293</v>
      </c>
      <c r="N3309" s="12">
        <v>5041.7540231592293</v>
      </c>
      <c r="O3309" s="12">
        <v>957.93326440025339</v>
      </c>
      <c r="P3309" s="13"/>
      <c r="Q3309" s="14">
        <v>2025</v>
      </c>
      <c r="R3309" s="15">
        <v>45292</v>
      </c>
      <c r="S3309" s="11" t="s">
        <v>758</v>
      </c>
      <c r="T3309" s="16">
        <v>0</v>
      </c>
      <c r="U3309" s="17"/>
      <c r="V3309" s="12">
        <v>1333.5439391256159</v>
      </c>
      <c r="W3309" s="12">
        <v>1333.5439391256159</v>
      </c>
      <c r="X3309" s="12">
        <v>0</v>
      </c>
      <c r="Y3309" s="18">
        <v>45677</v>
      </c>
      <c r="Z3309" s="13" t="s">
        <v>501</v>
      </c>
      <c r="AA3309" s="19" t="str">
        <f>VLOOKUP(D3309,Clientes!$A$2:$J$486,9,FALSE)</f>
        <v>Frecuente</v>
      </c>
      <c r="AB3309" s="13" t="str">
        <f>VLOOKUP(D3309,Clientes!$A$2:$K$486,11,FALSE)</f>
        <v>Persona Natural</v>
      </c>
      <c r="AC3309" s="13" t="str">
        <f>VLOOKUP(D3309,Clientes!$A$2:$B$486,2,FALSE)</f>
        <v>Jardines de la Viña</v>
      </c>
      <c r="AD3309" s="20"/>
      <c r="AE3309" s="20"/>
      <c r="AF3309" s="13" t="s">
        <v>40</v>
      </c>
      <c r="AG3309" s="15">
        <v>45292</v>
      </c>
      <c r="AH3309" s="13" t="s">
        <v>41</v>
      </c>
      <c r="AI3309" s="13" t="s">
        <v>43</v>
      </c>
      <c r="AJ3309" s="13" t="str">
        <f>VLOOKUP(E3309,Precios!Z$2:AA$941,2,FALSE)</f>
        <v>Bandeja Huevos JUMBO</v>
      </c>
      <c r="AK3309" s="14">
        <f>VLOOKUP(E3309,Precios!Z$2:BB$941,3,FALSE)*F3309</f>
        <v>-1</v>
      </c>
      <c r="AL3309" s="17"/>
      <c r="AM3309" s="17"/>
      <c r="AN3309" s="17"/>
      <c r="AO3309" s="17"/>
      <c r="AP3309" s="17"/>
      <c r="AQ3309" s="17"/>
      <c r="AR3309" s="17"/>
      <c r="AS3309" s="17"/>
      <c r="AT3309" s="17"/>
      <c r="AU3309" s="17"/>
      <c r="AV3309" s="17"/>
    </row>
    <row r="3310" spans="1:48" ht="15.75" customHeight="1">
      <c r="A3310" s="21" t="s">
        <v>35</v>
      </c>
      <c r="B3310" s="23" t="s">
        <v>1692</v>
      </c>
      <c r="C3310" s="25">
        <v>45682</v>
      </c>
      <c r="D3310" s="23" t="s">
        <v>189</v>
      </c>
      <c r="E3310" s="23" t="s">
        <v>46</v>
      </c>
      <c r="F3310" s="14">
        <v>1</v>
      </c>
      <c r="G3310" s="12">
        <v>5500</v>
      </c>
      <c r="H3310" s="12">
        <v>5500</v>
      </c>
      <c r="I3310" s="23" t="s">
        <v>52</v>
      </c>
      <c r="J3310" s="23" t="s">
        <v>61</v>
      </c>
      <c r="K3310" s="24" t="s">
        <v>177</v>
      </c>
      <c r="L3310" s="24">
        <v>94</v>
      </c>
      <c r="M3310" s="12">
        <v>4621.8487394957983</v>
      </c>
      <c r="N3310" s="12">
        <v>4621.8487394957983</v>
      </c>
      <c r="O3310" s="12">
        <v>878.15126050420167</v>
      </c>
      <c r="P3310" s="13"/>
      <c r="Q3310" s="14">
        <v>2025</v>
      </c>
      <c r="R3310" s="15">
        <v>45292</v>
      </c>
      <c r="S3310" s="11" t="s">
        <v>364</v>
      </c>
      <c r="T3310" s="16">
        <v>500</v>
      </c>
      <c r="U3310" s="17"/>
      <c r="V3310" s="12">
        <v>1365.1260504201678</v>
      </c>
      <c r="W3310" s="12">
        <v>1365.1260504201678</v>
      </c>
      <c r="X3310" s="12">
        <v>0</v>
      </c>
      <c r="Y3310" s="18">
        <v>45677</v>
      </c>
      <c r="Z3310" s="13" t="s">
        <v>501</v>
      </c>
      <c r="AA3310" s="19" t="str">
        <f>VLOOKUP(D3310,Clientes!$A$2:$J$486,9,FALSE)</f>
        <v>Frecuente</v>
      </c>
      <c r="AB3310" s="13" t="str">
        <f>VLOOKUP(D3310,Clientes!$A$2:$K$486,11,FALSE)</f>
        <v>Persona Natural</v>
      </c>
      <c r="AC3310" s="13" t="str">
        <f>VLOOKUP(D3310,Clientes!$A$2:$B$486,2,FALSE)</f>
        <v>Jardines de la Viña</v>
      </c>
      <c r="AD3310" s="20"/>
      <c r="AE3310" s="20"/>
      <c r="AF3310" s="13" t="s">
        <v>40</v>
      </c>
      <c r="AG3310" s="15">
        <v>45292</v>
      </c>
      <c r="AH3310" s="13" t="s">
        <v>41</v>
      </c>
      <c r="AI3310" s="13" t="s">
        <v>35</v>
      </c>
      <c r="AJ3310" s="13" t="str">
        <f>VLOOKUP(E3310,Precios!Z$2:AA$941,2,FALSE)</f>
        <v>Queso RUNCA Mantecoso</v>
      </c>
      <c r="AK3310" s="14">
        <f>VLOOKUP(E3310,Precios!Z$2:BB$941,3,FALSE)*F3310</f>
        <v>-0.5</v>
      </c>
      <c r="AL3310" s="17"/>
      <c r="AM3310" s="17"/>
      <c r="AN3310" s="17"/>
      <c r="AO3310" s="17"/>
      <c r="AP3310" s="17"/>
      <c r="AQ3310" s="17"/>
      <c r="AR3310" s="17"/>
      <c r="AS3310" s="17"/>
      <c r="AT3310" s="17"/>
      <c r="AU3310" s="17"/>
      <c r="AV3310" s="17"/>
    </row>
    <row r="3311" spans="1:48" ht="15.75" customHeight="1">
      <c r="A3311" s="21" t="s">
        <v>53</v>
      </c>
      <c r="B3311" s="23" t="s">
        <v>1692</v>
      </c>
      <c r="C3311" s="25">
        <v>45682</v>
      </c>
      <c r="D3311" s="23" t="s">
        <v>189</v>
      </c>
      <c r="E3311" s="23" t="s">
        <v>150</v>
      </c>
      <c r="F3311" s="14">
        <v>1</v>
      </c>
      <c r="G3311" s="12">
        <v>1799.8965445892823</v>
      </c>
      <c r="H3311" s="12">
        <v>1799.8965445892823</v>
      </c>
      <c r="I3311" s="23" t="s">
        <v>52</v>
      </c>
      <c r="J3311" s="23" t="s">
        <v>61</v>
      </c>
      <c r="K3311" s="24" t="s">
        <v>177</v>
      </c>
      <c r="L3311" s="24">
        <v>94</v>
      </c>
      <c r="M3311" s="12">
        <v>1512.518104696876</v>
      </c>
      <c r="N3311" s="12">
        <v>1512.518104696876</v>
      </c>
      <c r="O3311" s="12">
        <v>287.37843989240628</v>
      </c>
      <c r="P3311" s="13"/>
      <c r="Q3311" s="14">
        <v>2025</v>
      </c>
      <c r="R3311" s="15">
        <v>45292</v>
      </c>
      <c r="S3311" s="11" t="s">
        <v>381</v>
      </c>
      <c r="T3311" s="16">
        <v>300</v>
      </c>
      <c r="U3311" s="17"/>
      <c r="V3311" s="12">
        <v>781.51810469687575</v>
      </c>
      <c r="W3311" s="12">
        <v>781.51810469687575</v>
      </c>
      <c r="X3311" s="12">
        <v>0</v>
      </c>
      <c r="Y3311" s="18">
        <v>45677</v>
      </c>
      <c r="Z3311" s="13" t="s">
        <v>501</v>
      </c>
      <c r="AA3311" s="19" t="str">
        <f>VLOOKUP(D3311,Clientes!$A$2:$J$486,9,FALSE)</f>
        <v>Frecuente</v>
      </c>
      <c r="AB3311" s="13" t="str">
        <f>VLOOKUP(D3311,Clientes!$A$2:$K$486,11,FALSE)</f>
        <v>Persona Natural</v>
      </c>
      <c r="AC3311" s="13" t="str">
        <f>VLOOKUP(D3311,Clientes!$A$2:$B$486,2,FALSE)</f>
        <v>Jardines de la Viña</v>
      </c>
      <c r="AD3311" s="20"/>
      <c r="AE3311" s="20"/>
      <c r="AF3311" s="13" t="s">
        <v>40</v>
      </c>
      <c r="AG3311" s="15">
        <v>45292</v>
      </c>
      <c r="AH3311" s="13" t="s">
        <v>41</v>
      </c>
      <c r="AI3311" s="13" t="s">
        <v>53</v>
      </c>
      <c r="AJ3311" s="13" t="str">
        <f>VLOOKUP(E3311,Precios!Z$2:AA$941,2,FALSE)</f>
        <v>Servilletas SOFTQUALITY 300 unidades</v>
      </c>
      <c r="AK3311" s="14">
        <f>VLOOKUP(E3311,Precios!Z$2:BB$941,3,FALSE)*F3311</f>
        <v>-1</v>
      </c>
      <c r="AL3311" s="17"/>
      <c r="AM3311" s="17"/>
      <c r="AN3311" s="17"/>
      <c r="AO3311" s="17"/>
      <c r="AP3311" s="17"/>
      <c r="AQ3311" s="17"/>
      <c r="AR3311" s="17"/>
      <c r="AS3311" s="17"/>
      <c r="AT3311" s="17"/>
      <c r="AU3311" s="17"/>
      <c r="AV3311" s="17"/>
    </row>
    <row r="3312" spans="1:48" ht="15.75" customHeight="1">
      <c r="A3312" s="21" t="s">
        <v>47</v>
      </c>
      <c r="B3312" s="23" t="s">
        <v>1692</v>
      </c>
      <c r="C3312" s="25">
        <v>45682</v>
      </c>
      <c r="D3312" s="23" t="s">
        <v>189</v>
      </c>
      <c r="E3312" s="23" t="s">
        <v>99</v>
      </c>
      <c r="F3312" s="21">
        <v>2</v>
      </c>
      <c r="G3312" s="12">
        <v>1100</v>
      </c>
      <c r="H3312" s="12">
        <v>2200</v>
      </c>
      <c r="I3312" s="23" t="s">
        <v>52</v>
      </c>
      <c r="J3312" s="23" t="s">
        <v>61</v>
      </c>
      <c r="K3312" s="24" t="s">
        <v>177</v>
      </c>
      <c r="L3312" s="24">
        <v>94</v>
      </c>
      <c r="M3312" s="12">
        <v>924.36974789915973</v>
      </c>
      <c r="N3312" s="12">
        <v>1848.7394957983195</v>
      </c>
      <c r="O3312" s="12">
        <v>351.26050420168053</v>
      </c>
      <c r="P3312" s="13"/>
      <c r="Q3312" s="14">
        <v>2025</v>
      </c>
      <c r="R3312" s="15">
        <v>45292</v>
      </c>
      <c r="S3312" s="11" t="s">
        <v>453</v>
      </c>
      <c r="T3312" s="16">
        <v>0</v>
      </c>
      <c r="U3312" s="17"/>
      <c r="V3312" s="12">
        <v>709.24369747899163</v>
      </c>
      <c r="W3312" s="12">
        <v>709.24369747899163</v>
      </c>
      <c r="X3312" s="12">
        <v>0</v>
      </c>
      <c r="Y3312" s="18">
        <v>45677</v>
      </c>
      <c r="Z3312" s="13" t="s">
        <v>501</v>
      </c>
      <c r="AA3312" s="19" t="str">
        <f>VLOOKUP(D3312,Clientes!$A$2:$J$486,9,FALSE)</f>
        <v>Frecuente</v>
      </c>
      <c r="AB3312" s="13" t="str">
        <f>VLOOKUP(D3312,Clientes!$A$2:$K$486,11,FALSE)</f>
        <v>Persona Natural</v>
      </c>
      <c r="AC3312" s="13" t="str">
        <f>VLOOKUP(D3312,Clientes!$A$2:$B$486,2,FALSE)</f>
        <v>Jardines de la Viña</v>
      </c>
      <c r="AD3312" s="20"/>
      <c r="AE3312" s="20"/>
      <c r="AF3312" s="13" t="s">
        <v>40</v>
      </c>
      <c r="AG3312" s="15">
        <v>45292</v>
      </c>
      <c r="AH3312" s="13" t="s">
        <v>41</v>
      </c>
      <c r="AI3312" s="13" t="s">
        <v>47</v>
      </c>
      <c r="AJ3312" s="13" t="str">
        <f>VLOOKUP(E3312,Precios!Z$2:AA$941,2,FALSE)</f>
        <v xml:space="preserve">Bolsas Basura TEDDY 70x90 </v>
      </c>
      <c r="AK3312" s="14">
        <f>VLOOKUP(E3312,Precios!Z$2:BB$941,3,FALSE)*F3312</f>
        <v>-2</v>
      </c>
      <c r="AL3312" s="17"/>
      <c r="AM3312" s="17"/>
      <c r="AN3312" s="17"/>
      <c r="AO3312" s="17"/>
      <c r="AP3312" s="17"/>
      <c r="AQ3312" s="17"/>
      <c r="AR3312" s="17"/>
      <c r="AS3312" s="17"/>
      <c r="AT3312" s="17"/>
      <c r="AU3312" s="17"/>
      <c r="AV3312" s="17"/>
    </row>
    <row r="3313" spans="1:48" ht="15.75" customHeight="1">
      <c r="A3313" s="21" t="s">
        <v>35</v>
      </c>
      <c r="B3313" s="23" t="s">
        <v>1692</v>
      </c>
      <c r="C3313" s="22">
        <v>45682</v>
      </c>
      <c r="D3313" s="23" t="s">
        <v>240</v>
      </c>
      <c r="E3313" s="23" t="s">
        <v>37</v>
      </c>
      <c r="F3313" s="14">
        <v>1</v>
      </c>
      <c r="G3313" s="12">
        <v>10500</v>
      </c>
      <c r="H3313" s="12">
        <v>10500</v>
      </c>
      <c r="I3313" s="23" t="s">
        <v>52</v>
      </c>
      <c r="J3313" s="23" t="s">
        <v>61</v>
      </c>
      <c r="K3313" s="24" t="s">
        <v>177</v>
      </c>
      <c r="L3313" s="24">
        <v>94</v>
      </c>
      <c r="M3313" s="12">
        <v>8823.5294117647063</v>
      </c>
      <c r="N3313" s="12">
        <v>8823.5294117647063</v>
      </c>
      <c r="O3313" s="12">
        <v>1676.4705882352937</v>
      </c>
      <c r="P3313" s="13"/>
      <c r="Q3313" s="14">
        <v>2025</v>
      </c>
      <c r="R3313" s="15">
        <v>45292</v>
      </c>
      <c r="S3313" s="11" t="s">
        <v>364</v>
      </c>
      <c r="T3313" s="16">
        <v>1000</v>
      </c>
      <c r="U3313" s="17"/>
      <c r="V3313" s="12">
        <v>2385.7142857142853</v>
      </c>
      <c r="W3313" s="12">
        <v>2385.7142857142853</v>
      </c>
      <c r="X3313" s="12">
        <v>0</v>
      </c>
      <c r="Y3313" s="18">
        <v>45677</v>
      </c>
      <c r="Z3313" s="13" t="s">
        <v>501</v>
      </c>
      <c r="AA3313" s="19" t="str">
        <f>VLOOKUP(D3313,Clientes!$A$2:$J$486,9,FALSE)</f>
        <v>Ocacional</v>
      </c>
      <c r="AB3313" s="13" t="str">
        <f>VLOOKUP(D3313,Clientes!$A$2:$K$486,11,FALSE)</f>
        <v>Persona Natural</v>
      </c>
      <c r="AC3313" s="13" t="str">
        <f>VLOOKUP(D3313,Clientes!$A$2:$B$486,2,FALSE)</f>
        <v>Jardines de la viña</v>
      </c>
      <c r="AD3313" s="20"/>
      <c r="AE3313" s="20"/>
      <c r="AF3313" s="13" t="s">
        <v>40</v>
      </c>
      <c r="AG3313" s="15">
        <v>45292</v>
      </c>
      <c r="AH3313" s="13" t="s">
        <v>41</v>
      </c>
      <c r="AI3313" s="13" t="s">
        <v>35</v>
      </c>
      <c r="AJ3313" s="13" t="str">
        <f>VLOOKUP(E3313,Precios!Z$2:AA$941,2,FALSE)</f>
        <v>Queso RUNCA Mantecoso</v>
      </c>
      <c r="AK3313" s="14">
        <f>VLOOKUP(E3313,Precios!Z$2:BB$941,3,FALSE)*F3313</f>
        <v>-1</v>
      </c>
      <c r="AL3313" s="17"/>
      <c r="AM3313" s="17"/>
      <c r="AN3313" s="17"/>
      <c r="AO3313" s="17"/>
      <c r="AP3313" s="17"/>
      <c r="AQ3313" s="17"/>
      <c r="AR3313" s="17"/>
      <c r="AS3313" s="17"/>
      <c r="AT3313" s="17"/>
      <c r="AU3313" s="17"/>
      <c r="AV3313" s="17"/>
    </row>
    <row r="3314" spans="1:48" ht="15.75" customHeight="1">
      <c r="A3314" s="21" t="s">
        <v>76</v>
      </c>
      <c r="B3314" s="23" t="s">
        <v>1692</v>
      </c>
      <c r="C3314" s="22">
        <v>45681</v>
      </c>
      <c r="D3314" s="23" t="s">
        <v>915</v>
      </c>
      <c r="E3314" s="23" t="s">
        <v>137</v>
      </c>
      <c r="F3314" s="14">
        <v>1</v>
      </c>
      <c r="G3314" s="12">
        <v>3500.0000000000005</v>
      </c>
      <c r="H3314" s="37">
        <v>3500.0000000000005</v>
      </c>
      <c r="I3314" s="23" t="s">
        <v>52</v>
      </c>
      <c r="J3314" s="23" t="s">
        <v>61</v>
      </c>
      <c r="K3314" s="24" t="s">
        <v>177</v>
      </c>
      <c r="L3314" s="24">
        <v>94</v>
      </c>
      <c r="M3314" s="12">
        <v>2941.1764705882356</v>
      </c>
      <c r="N3314" s="12">
        <v>2941.1764705882356</v>
      </c>
      <c r="O3314" s="12">
        <v>558.82352941176487</v>
      </c>
      <c r="P3314" s="13"/>
      <c r="Q3314" s="14">
        <v>2025</v>
      </c>
      <c r="R3314" s="15">
        <v>45292</v>
      </c>
      <c r="S3314" s="11" t="s">
        <v>406</v>
      </c>
      <c r="T3314" s="16">
        <v>5</v>
      </c>
      <c r="U3314" s="17"/>
      <c r="V3314" s="12">
        <v>848.73949579831969</v>
      </c>
      <c r="W3314" s="12">
        <v>848.73949579831969</v>
      </c>
      <c r="X3314" s="12">
        <v>0</v>
      </c>
      <c r="Y3314" s="18">
        <v>45677</v>
      </c>
      <c r="Z3314" s="13" t="s">
        <v>503</v>
      </c>
      <c r="AA3314" s="19" t="str">
        <f>VLOOKUP(D3314,Clientes!$A$2:$J$486,9,FALSE)</f>
        <v>Regular</v>
      </c>
      <c r="AB3314" s="13" t="str">
        <f>VLOOKUP(D3314,Clientes!$A$2:$K$486,11,FALSE)</f>
        <v>Persona Natural</v>
      </c>
      <c r="AC3314" s="13" t="str">
        <f>VLOOKUP(D3314,Clientes!$A$2:$B$486,2,FALSE)</f>
        <v>Jardin del Eden</v>
      </c>
      <c r="AD3314" s="20"/>
      <c r="AE3314" s="20"/>
      <c r="AF3314" s="13" t="s">
        <v>40</v>
      </c>
      <c r="AG3314" s="15">
        <v>45292</v>
      </c>
      <c r="AH3314" s="13" t="s">
        <v>41</v>
      </c>
      <c r="AI3314" s="13" t="s">
        <v>76</v>
      </c>
      <c r="AJ3314" s="13" t="str">
        <f>VLOOKUP(E3314,Precios!Z$2:AA$941,2,FALSE)</f>
        <v>Detergente SPUM 5 Litros (Blanco)</v>
      </c>
      <c r="AK3314" s="14">
        <f>VLOOKUP(E3314,Precios!Z$2:BB$941,3,FALSE)*F3314</f>
        <v>-1</v>
      </c>
      <c r="AL3314" s="17"/>
      <c r="AM3314" s="17"/>
      <c r="AN3314" s="17"/>
      <c r="AO3314" s="17"/>
      <c r="AP3314" s="17"/>
      <c r="AQ3314" s="17"/>
      <c r="AR3314" s="17"/>
      <c r="AS3314" s="17"/>
      <c r="AT3314" s="17"/>
      <c r="AU3314" s="17"/>
      <c r="AV3314" s="17"/>
    </row>
    <row r="3315" spans="1:48" ht="15.75" customHeight="1">
      <c r="A3315" s="21" t="s">
        <v>76</v>
      </c>
      <c r="B3315" s="23" t="s">
        <v>1692</v>
      </c>
      <c r="C3315" s="22">
        <v>45681</v>
      </c>
      <c r="D3315" s="23" t="s">
        <v>152</v>
      </c>
      <c r="E3315" s="23" t="s">
        <v>81</v>
      </c>
      <c r="F3315" s="14">
        <v>1</v>
      </c>
      <c r="G3315" s="12">
        <v>3500.0000000000005</v>
      </c>
      <c r="H3315" s="12">
        <v>3500.0000000000005</v>
      </c>
      <c r="I3315" s="23" t="s">
        <v>52</v>
      </c>
      <c r="J3315" s="23" t="s">
        <v>61</v>
      </c>
      <c r="K3315" s="24" t="s">
        <v>177</v>
      </c>
      <c r="L3315" s="24">
        <v>94</v>
      </c>
      <c r="M3315" s="12">
        <v>2941.1764705882356</v>
      </c>
      <c r="N3315" s="12">
        <v>2941.1764705882356</v>
      </c>
      <c r="O3315" s="12">
        <v>558.82352941176487</v>
      </c>
      <c r="P3315" s="13"/>
      <c r="Q3315" s="14">
        <v>2025</v>
      </c>
      <c r="R3315" s="15">
        <v>45292</v>
      </c>
      <c r="S3315" s="11" t="s">
        <v>397</v>
      </c>
      <c r="T3315" s="16">
        <v>5</v>
      </c>
      <c r="U3315" s="17"/>
      <c r="V3315" s="12">
        <v>764.70588235294144</v>
      </c>
      <c r="W3315" s="12">
        <v>764.70588235294144</v>
      </c>
      <c r="X3315" s="12">
        <v>0</v>
      </c>
      <c r="Y3315" s="18">
        <v>45677</v>
      </c>
      <c r="Z3315" s="13" t="s">
        <v>503</v>
      </c>
      <c r="AA3315" s="19" t="str">
        <f>VLOOKUP(D3315,Clientes!$A$2:$J$486,9,FALSE)</f>
        <v>Ocacional</v>
      </c>
      <c r="AB3315" s="13" t="str">
        <f>VLOOKUP(D3315,Clientes!$A$2:$K$486,11,FALSE)</f>
        <v>Persona Natural</v>
      </c>
      <c r="AC3315" s="13" t="str">
        <f>VLOOKUP(D3315,Clientes!$A$2:$B$486,2,FALSE)</f>
        <v>Jardines de la viña</v>
      </c>
      <c r="AD3315" s="20"/>
      <c r="AE3315" s="20"/>
      <c r="AF3315" s="13" t="s">
        <v>40</v>
      </c>
      <c r="AG3315" s="15">
        <v>45292</v>
      </c>
      <c r="AH3315" s="13" t="s">
        <v>41</v>
      </c>
      <c r="AI3315" s="13" t="s">
        <v>76</v>
      </c>
      <c r="AJ3315" s="13" t="str">
        <f>VLOOKUP(E3315,Precios!Z$2:AA$941,2,FALSE)</f>
        <v>Detergente SPUM 5 Litros (Verde)</v>
      </c>
      <c r="AK3315" s="14">
        <f>VLOOKUP(E3315,Precios!Z$2:BB$941,3,FALSE)*F3315</f>
        <v>-1</v>
      </c>
      <c r="AL3315" s="17"/>
      <c r="AM3315" s="17"/>
      <c r="AN3315" s="17"/>
      <c r="AO3315" s="17"/>
      <c r="AP3315" s="17"/>
      <c r="AQ3315" s="17"/>
      <c r="AR3315" s="17"/>
      <c r="AS3315" s="17"/>
      <c r="AT3315" s="17"/>
      <c r="AU3315" s="17"/>
      <c r="AV3315" s="17"/>
    </row>
    <row r="3316" spans="1:48" ht="15.75" customHeight="1">
      <c r="A3316" s="21" t="s">
        <v>53</v>
      </c>
      <c r="B3316" s="23" t="s">
        <v>1692</v>
      </c>
      <c r="C3316" s="22">
        <v>45681</v>
      </c>
      <c r="D3316" s="23" t="s">
        <v>152</v>
      </c>
      <c r="E3316" s="23" t="s">
        <v>192</v>
      </c>
      <c r="F3316" s="14">
        <v>1</v>
      </c>
      <c r="G3316" s="12">
        <v>15990.211345939933</v>
      </c>
      <c r="H3316" s="12">
        <v>15990.211345939933</v>
      </c>
      <c r="I3316" s="23" t="s">
        <v>52</v>
      </c>
      <c r="J3316" s="23" t="s">
        <v>61</v>
      </c>
      <c r="K3316" s="24" t="s">
        <v>177</v>
      </c>
      <c r="L3316" s="24">
        <v>94</v>
      </c>
      <c r="M3316" s="12">
        <v>13437.152391546164</v>
      </c>
      <c r="N3316" s="12">
        <v>13437.152391546164</v>
      </c>
      <c r="O3316" s="12">
        <v>2553.0589543937695</v>
      </c>
      <c r="P3316" s="13"/>
      <c r="Q3316" s="14">
        <v>2025</v>
      </c>
      <c r="R3316" s="15">
        <v>45292</v>
      </c>
      <c r="S3316" s="11" t="s">
        <v>435</v>
      </c>
      <c r="T3316" s="16">
        <v>0</v>
      </c>
      <c r="U3316" s="17"/>
      <c r="V3316" s="12">
        <v>3773.1523915461621</v>
      </c>
      <c r="W3316" s="12">
        <v>3773.1523915461621</v>
      </c>
      <c r="X3316" s="12">
        <v>0</v>
      </c>
      <c r="Y3316" s="18">
        <v>45677</v>
      </c>
      <c r="Z3316" s="13" t="s">
        <v>503</v>
      </c>
      <c r="AA3316" s="19" t="str">
        <f>VLOOKUP(D3316,Clientes!$A$2:$J$486,9,FALSE)</f>
        <v>Ocacional</v>
      </c>
      <c r="AB3316" s="13" t="str">
        <f>VLOOKUP(D3316,Clientes!$A$2:$K$486,11,FALSE)</f>
        <v>Persona Natural</v>
      </c>
      <c r="AC3316" s="13" t="str">
        <f>VLOOKUP(D3316,Clientes!$A$2:$B$486,2,FALSE)</f>
        <v>Jardines de la viña</v>
      </c>
      <c r="AD3316" s="20"/>
      <c r="AE3316" s="20"/>
      <c r="AF3316" s="13" t="s">
        <v>40</v>
      </c>
      <c r="AG3316" s="15">
        <v>45292</v>
      </c>
      <c r="AH3316" s="13" t="s">
        <v>41</v>
      </c>
      <c r="AI3316" s="13" t="s">
        <v>53</v>
      </c>
      <c r="AJ3316" s="13" t="str">
        <f>VLOOKUP(E3316,Precios!Z$2:AA$941,2,FALSE)</f>
        <v>Papel Higienico SWAN 400 hojas</v>
      </c>
      <c r="AK3316" s="14">
        <f>VLOOKUP(E3316,Precios!Z$2:BB$941,3,FALSE)*F3316</f>
        <v>-8</v>
      </c>
      <c r="AL3316" s="17"/>
      <c r="AM3316" s="17"/>
      <c r="AN3316" s="17"/>
      <c r="AO3316" s="17"/>
      <c r="AP3316" s="17"/>
      <c r="AQ3316" s="17"/>
      <c r="AR3316" s="17"/>
      <c r="AS3316" s="17"/>
      <c r="AT3316" s="17"/>
      <c r="AU3316" s="17"/>
      <c r="AV3316" s="17"/>
    </row>
    <row r="3317" spans="1:48" ht="15.75" customHeight="1">
      <c r="A3317" s="21" t="s">
        <v>43</v>
      </c>
      <c r="B3317" s="23" t="s">
        <v>1692</v>
      </c>
      <c r="C3317" s="25">
        <v>45680</v>
      </c>
      <c r="D3317" s="23" t="s">
        <v>598</v>
      </c>
      <c r="E3317" s="23" t="s">
        <v>757</v>
      </c>
      <c r="F3317" s="14">
        <v>1</v>
      </c>
      <c r="G3317" s="12">
        <v>5999.6872875594827</v>
      </c>
      <c r="H3317" s="12">
        <v>5999.6872875594827</v>
      </c>
      <c r="I3317" s="13" t="s">
        <v>52</v>
      </c>
      <c r="J3317" s="23" t="s">
        <v>61</v>
      </c>
      <c r="K3317" s="24" t="s">
        <v>177</v>
      </c>
      <c r="L3317" s="24">
        <v>94</v>
      </c>
      <c r="M3317" s="12">
        <v>5041.7540231592293</v>
      </c>
      <c r="N3317" s="12">
        <v>5041.7540231592293</v>
      </c>
      <c r="O3317" s="12">
        <v>957.93326440025339</v>
      </c>
      <c r="P3317" s="13"/>
      <c r="Q3317" s="14">
        <v>2025</v>
      </c>
      <c r="R3317" s="15">
        <v>45292</v>
      </c>
      <c r="S3317" s="11" t="s">
        <v>758</v>
      </c>
      <c r="T3317" s="16">
        <v>0</v>
      </c>
      <c r="U3317" s="17"/>
      <c r="V3317" s="12">
        <v>1333.5439391256159</v>
      </c>
      <c r="W3317" s="12">
        <v>1333.5439391256159</v>
      </c>
      <c r="X3317" s="12">
        <v>0</v>
      </c>
      <c r="Y3317" s="18">
        <v>45677</v>
      </c>
      <c r="Z3317" s="13" t="s">
        <v>505</v>
      </c>
      <c r="AA3317" s="19" t="str">
        <f>VLOOKUP(D3317,Clientes!$A$2:$J$486,9,FALSE)</f>
        <v>Ocacional</v>
      </c>
      <c r="AB3317" s="13" t="str">
        <f>VLOOKUP(D3317,Clientes!$A$2:$K$486,11,FALSE)</f>
        <v>Persona Natural</v>
      </c>
      <c r="AC3317" s="13" t="str">
        <f>VLOOKUP(D3317,Clientes!$A$2:$B$486,2,FALSE)</f>
        <v>Sector Ongolmo</v>
      </c>
      <c r="AD3317" s="20"/>
      <c r="AE3317" s="20"/>
      <c r="AF3317" s="13" t="s">
        <v>40</v>
      </c>
      <c r="AG3317" s="15">
        <v>45292</v>
      </c>
      <c r="AH3317" s="13" t="s">
        <v>41</v>
      </c>
      <c r="AI3317" s="13" t="s">
        <v>43</v>
      </c>
      <c r="AJ3317" s="13" t="str">
        <f>VLOOKUP(E3317,Precios!Z$2:AA$941,2,FALSE)</f>
        <v>Bandeja Huevos JUMBO</v>
      </c>
      <c r="AK3317" s="14">
        <f>VLOOKUP(E3317,Precios!Z$2:BB$941,3,FALSE)*F3317</f>
        <v>-1</v>
      </c>
      <c r="AL3317" s="17"/>
      <c r="AM3317" s="17"/>
      <c r="AN3317" s="17"/>
      <c r="AO3317" s="17"/>
      <c r="AP3317" s="17"/>
      <c r="AQ3317" s="17"/>
      <c r="AR3317" s="17"/>
      <c r="AS3317" s="17"/>
      <c r="AT3317" s="17"/>
      <c r="AU3317" s="17"/>
      <c r="AV3317" s="17"/>
    </row>
    <row r="3318" spans="1:48" ht="15.75" customHeight="1">
      <c r="A3318" s="14" t="s">
        <v>76</v>
      </c>
      <c r="B3318" s="23" t="s">
        <v>1692</v>
      </c>
      <c r="C3318" s="25">
        <v>45680</v>
      </c>
      <c r="D3318" s="23" t="s">
        <v>125</v>
      </c>
      <c r="E3318" s="23" t="s">
        <v>137</v>
      </c>
      <c r="F3318" s="14">
        <v>1</v>
      </c>
      <c r="G3318" s="12">
        <v>3500.0000000000005</v>
      </c>
      <c r="H3318" s="12">
        <v>3500.0000000000005</v>
      </c>
      <c r="I3318" s="13" t="s">
        <v>52</v>
      </c>
      <c r="J3318" s="23" t="s">
        <v>61</v>
      </c>
      <c r="K3318" s="24" t="s">
        <v>177</v>
      </c>
      <c r="L3318" s="24">
        <v>94</v>
      </c>
      <c r="M3318" s="12">
        <v>2941.1764705882356</v>
      </c>
      <c r="N3318" s="12">
        <v>2941.1764705882356</v>
      </c>
      <c r="O3318" s="12">
        <v>558.82352941176487</v>
      </c>
      <c r="P3318" s="13"/>
      <c r="Q3318" s="14">
        <v>2025</v>
      </c>
      <c r="R3318" s="15">
        <v>45292</v>
      </c>
      <c r="S3318" s="11" t="s">
        <v>406</v>
      </c>
      <c r="T3318" s="16">
        <v>5</v>
      </c>
      <c r="U3318" s="17"/>
      <c r="V3318" s="12">
        <v>848.73949579831969</v>
      </c>
      <c r="W3318" s="12">
        <v>848.73949579831969</v>
      </c>
      <c r="X3318" s="12">
        <v>0</v>
      </c>
      <c r="Y3318" s="18">
        <v>45677</v>
      </c>
      <c r="Z3318" s="13" t="s">
        <v>505</v>
      </c>
      <c r="AA3318" s="19" t="str">
        <f>VLOOKUP(D3318,Clientes!$A$2:$J$486,9,FALSE)</f>
        <v>Frecuente</v>
      </c>
      <c r="AB3318" s="13" t="str">
        <f>VLOOKUP(D3318,Clientes!$A$2:$K$486,11,FALSE)</f>
        <v>Persona Natural</v>
      </c>
      <c r="AC3318" s="13" t="str">
        <f>VLOOKUP(D3318,Clientes!$A$2:$B$486,2,FALSE)</f>
        <v>Jardines de la Viña</v>
      </c>
      <c r="AD3318" s="20"/>
      <c r="AE3318" s="20"/>
      <c r="AF3318" s="13" t="s">
        <v>40</v>
      </c>
      <c r="AG3318" s="15">
        <v>45292</v>
      </c>
      <c r="AH3318" s="13" t="s">
        <v>41</v>
      </c>
      <c r="AI3318" s="13" t="s">
        <v>76</v>
      </c>
      <c r="AJ3318" s="13" t="str">
        <f>VLOOKUP(E3318,Precios!Z$2:AA$941,2,FALSE)</f>
        <v>Detergente SPUM 5 Litros (Blanco)</v>
      </c>
      <c r="AK3318" s="14">
        <f>VLOOKUP(E3318,Precios!Z$2:BB$941,3,FALSE)*F3318</f>
        <v>-1</v>
      </c>
      <c r="AL3318" s="17"/>
      <c r="AM3318" s="17"/>
      <c r="AN3318" s="17"/>
      <c r="AO3318" s="17"/>
      <c r="AP3318" s="17"/>
      <c r="AQ3318" s="17"/>
      <c r="AR3318" s="17"/>
      <c r="AS3318" s="17"/>
      <c r="AT3318" s="17"/>
      <c r="AU3318" s="17"/>
      <c r="AV3318" s="17"/>
    </row>
    <row r="3319" spans="1:48" ht="15.75" customHeight="1">
      <c r="A3319" s="21" t="s">
        <v>53</v>
      </c>
      <c r="B3319" s="23" t="s">
        <v>1692</v>
      </c>
      <c r="C3319" s="25">
        <v>45680</v>
      </c>
      <c r="D3319" s="23" t="s">
        <v>125</v>
      </c>
      <c r="E3319" s="23" t="s">
        <v>69</v>
      </c>
      <c r="F3319" s="14">
        <v>1</v>
      </c>
      <c r="G3319" s="12">
        <v>2999.9553810458683</v>
      </c>
      <c r="H3319" s="12">
        <v>2999.9553810458683</v>
      </c>
      <c r="I3319" s="13" t="s">
        <v>52</v>
      </c>
      <c r="J3319" s="23" t="s">
        <v>61</v>
      </c>
      <c r="K3319" s="24" t="s">
        <v>177</v>
      </c>
      <c r="L3319" s="24">
        <v>94</v>
      </c>
      <c r="M3319" s="12">
        <v>2520.9709084419064</v>
      </c>
      <c r="N3319" s="12">
        <v>2520.9709084419064</v>
      </c>
      <c r="O3319" s="12">
        <v>478.98447260396188</v>
      </c>
      <c r="P3319" s="13"/>
      <c r="Q3319" s="14">
        <v>2025</v>
      </c>
      <c r="R3319" s="15">
        <v>45292</v>
      </c>
      <c r="S3319" s="11" t="s">
        <v>376</v>
      </c>
      <c r="T3319" s="16">
        <v>0</v>
      </c>
      <c r="U3319" s="17"/>
      <c r="V3319" s="12">
        <v>825.97090844190598</v>
      </c>
      <c r="W3319" s="12">
        <v>825.97090844190598</v>
      </c>
      <c r="X3319" s="12">
        <v>0</v>
      </c>
      <c r="Y3319" s="18">
        <v>45677</v>
      </c>
      <c r="Z3319" s="13" t="s">
        <v>505</v>
      </c>
      <c r="AA3319" s="19" t="str">
        <f>VLOOKUP(D3319,Clientes!$A$2:$J$486,9,FALSE)</f>
        <v>Frecuente</v>
      </c>
      <c r="AB3319" s="13" t="str">
        <f>VLOOKUP(D3319,Clientes!$A$2:$K$486,11,FALSE)</f>
        <v>Persona Natural</v>
      </c>
      <c r="AC3319" s="13" t="str">
        <f>VLOOKUP(D3319,Clientes!$A$2:$B$486,2,FALSE)</f>
        <v>Jardines de la Viña</v>
      </c>
      <c r="AD3319" s="20"/>
      <c r="AE3319" s="20"/>
      <c r="AF3319" s="13" t="s">
        <v>40</v>
      </c>
      <c r="AG3319" s="15">
        <v>45292</v>
      </c>
      <c r="AH3319" s="13" t="s">
        <v>41</v>
      </c>
      <c r="AI3319" s="13" t="s">
        <v>53</v>
      </c>
      <c r="AJ3319" s="13" t="str">
        <f>VLOOKUP(E3319,Precios!Z$2:AA$941,2,FALSE)</f>
        <v>Toalla Papel NOVA 70 metros</v>
      </c>
      <c r="AK3319" s="14">
        <f>VLOOKUP(E3319,Precios!Z$2:BB$941,3,FALSE)*F3319</f>
        <v>-1</v>
      </c>
      <c r="AL3319" s="17"/>
      <c r="AM3319" s="17"/>
      <c r="AN3319" s="17"/>
      <c r="AO3319" s="17"/>
      <c r="AP3319" s="17"/>
      <c r="AQ3319" s="17"/>
      <c r="AR3319" s="17"/>
      <c r="AS3319" s="17"/>
      <c r="AT3319" s="17"/>
      <c r="AU3319" s="17"/>
      <c r="AV3319" s="17"/>
    </row>
    <row r="3320" spans="1:48" ht="15.75" customHeight="1">
      <c r="A3320" s="21" t="s">
        <v>47</v>
      </c>
      <c r="B3320" s="23" t="s">
        <v>1692</v>
      </c>
      <c r="C3320" s="25">
        <v>45680</v>
      </c>
      <c r="D3320" s="23" t="s">
        <v>125</v>
      </c>
      <c r="E3320" s="23" t="s">
        <v>107</v>
      </c>
      <c r="F3320" s="14">
        <v>1</v>
      </c>
      <c r="G3320" s="12">
        <v>3000.0000000000005</v>
      </c>
      <c r="H3320" s="12">
        <v>3000.0000000000005</v>
      </c>
      <c r="I3320" s="13" t="s">
        <v>52</v>
      </c>
      <c r="J3320" s="23" t="s">
        <v>61</v>
      </c>
      <c r="K3320" s="24" t="s">
        <v>177</v>
      </c>
      <c r="L3320" s="24">
        <v>94</v>
      </c>
      <c r="M3320" s="12">
        <v>2521.0084033613452</v>
      </c>
      <c r="N3320" s="12">
        <v>2521.0084033613452</v>
      </c>
      <c r="O3320" s="12">
        <v>478.99159663865521</v>
      </c>
      <c r="P3320" s="13"/>
      <c r="Q3320" s="14">
        <v>2025</v>
      </c>
      <c r="R3320" s="15">
        <v>45292</v>
      </c>
      <c r="S3320" s="11" t="s">
        <v>453</v>
      </c>
      <c r="T3320" s="16">
        <v>0</v>
      </c>
      <c r="U3320" s="17"/>
      <c r="V3320" s="12">
        <v>758.82352941176487</v>
      </c>
      <c r="W3320" s="12">
        <v>758.82352941176487</v>
      </c>
      <c r="X3320" s="12">
        <v>0</v>
      </c>
      <c r="Y3320" s="18">
        <v>45677</v>
      </c>
      <c r="Z3320" s="13" t="s">
        <v>505</v>
      </c>
      <c r="AA3320" s="19" t="str">
        <f>VLOOKUP(D3320,Clientes!$A$2:$J$486,9,FALSE)</f>
        <v>Frecuente</v>
      </c>
      <c r="AB3320" s="13" t="str">
        <f>VLOOKUP(D3320,Clientes!$A$2:$K$486,11,FALSE)</f>
        <v>Persona Natural</v>
      </c>
      <c r="AC3320" s="13" t="str">
        <f>VLOOKUP(D3320,Clientes!$A$2:$B$486,2,FALSE)</f>
        <v>Jardines de la Viña</v>
      </c>
      <c r="AD3320" s="20"/>
      <c r="AE3320" s="20"/>
      <c r="AF3320" s="13" t="s">
        <v>40</v>
      </c>
      <c r="AG3320" s="15">
        <v>45292</v>
      </c>
      <c r="AH3320" s="13" t="s">
        <v>41</v>
      </c>
      <c r="AI3320" s="13" t="s">
        <v>47</v>
      </c>
      <c r="AJ3320" s="13" t="str">
        <f>VLOOKUP(E3320,Precios!Z$2:AA$941,2,FALSE)</f>
        <v xml:space="preserve">Bolsas Basura TEDDY 90x120 </v>
      </c>
      <c r="AK3320" s="14">
        <f>VLOOKUP(E3320,Precios!Z$2:BB$941,3,FALSE)*F3320</f>
        <v>-1</v>
      </c>
      <c r="AL3320" s="17"/>
      <c r="AM3320" s="17"/>
      <c r="AN3320" s="17"/>
      <c r="AO3320" s="17"/>
      <c r="AP3320" s="17"/>
      <c r="AQ3320" s="17"/>
      <c r="AR3320" s="17"/>
      <c r="AS3320" s="17"/>
      <c r="AT3320" s="17"/>
      <c r="AU3320" s="17"/>
      <c r="AV3320" s="17"/>
    </row>
    <row r="3321" spans="1:48" ht="15.75" customHeight="1">
      <c r="A3321" s="21" t="s">
        <v>76</v>
      </c>
      <c r="B3321" s="23" t="s">
        <v>1692</v>
      </c>
      <c r="C3321" s="22">
        <v>45680</v>
      </c>
      <c r="D3321" s="23" t="s">
        <v>301</v>
      </c>
      <c r="E3321" s="23" t="s">
        <v>166</v>
      </c>
      <c r="F3321" s="21">
        <v>1</v>
      </c>
      <c r="G3321" s="12">
        <v>3500.0000000000005</v>
      </c>
      <c r="H3321" s="12">
        <v>3500.0000000000005</v>
      </c>
      <c r="I3321" s="23" t="s">
        <v>52</v>
      </c>
      <c r="J3321" s="23" t="s">
        <v>61</v>
      </c>
      <c r="K3321" s="24" t="s">
        <v>177</v>
      </c>
      <c r="L3321" s="24">
        <v>94</v>
      </c>
      <c r="M3321" s="12">
        <v>2941.1764705882356</v>
      </c>
      <c r="N3321" s="12">
        <v>2941.1764705882356</v>
      </c>
      <c r="O3321" s="12">
        <v>558.82352941176487</v>
      </c>
      <c r="P3321" s="13"/>
      <c r="Q3321" s="14">
        <v>2025</v>
      </c>
      <c r="R3321" s="15">
        <v>45292</v>
      </c>
      <c r="S3321" s="11" t="s">
        <v>448</v>
      </c>
      <c r="T3321" s="16">
        <v>5</v>
      </c>
      <c r="U3321" s="17"/>
      <c r="V3321" s="12">
        <v>1016.8067226890757</v>
      </c>
      <c r="W3321" s="12">
        <v>1016.8067226890757</v>
      </c>
      <c r="X3321" s="12">
        <v>0</v>
      </c>
      <c r="Y3321" s="18">
        <v>45677</v>
      </c>
      <c r="Z3321" s="13" t="s">
        <v>505</v>
      </c>
      <c r="AA3321" s="19" t="str">
        <f>VLOOKUP(D3321,Clientes!$A$2:$J$486,9,FALSE)</f>
        <v>Regular</v>
      </c>
      <c r="AB3321" s="13" t="str">
        <f>VLOOKUP(D3321,Clientes!$A$2:$K$486,11,FALSE)</f>
        <v>Persona Natural</v>
      </c>
      <c r="AC3321" s="13" t="str">
        <f>VLOOKUP(D3321,Clientes!$A$2:$B$486,2,FALSE)</f>
        <v>Sector Chilcas</v>
      </c>
      <c r="AD3321" s="20"/>
      <c r="AE3321" s="20"/>
      <c r="AF3321" s="13" t="s">
        <v>40</v>
      </c>
      <c r="AG3321" s="15">
        <v>45292</v>
      </c>
      <c r="AH3321" s="13" t="s">
        <v>41</v>
      </c>
      <c r="AI3321" s="13" t="s">
        <v>76</v>
      </c>
      <c r="AJ3321" s="13" t="str">
        <f>VLOOKUP(E3321,Precios!Z$2:AA$941,2,FALSE)</f>
        <v>Cloro GEL SPUM 5 Litros</v>
      </c>
      <c r="AK3321" s="14">
        <f>VLOOKUP(E3321,Precios!Z$2:BB$941,3,FALSE)*F3321</f>
        <v>-1</v>
      </c>
      <c r="AL3321" s="17"/>
      <c r="AM3321" s="17"/>
      <c r="AN3321" s="17"/>
      <c r="AO3321" s="17"/>
      <c r="AP3321" s="17"/>
      <c r="AQ3321" s="17"/>
      <c r="AR3321" s="17"/>
      <c r="AS3321" s="17"/>
      <c r="AT3321" s="17"/>
      <c r="AU3321" s="17"/>
      <c r="AV3321" s="17"/>
    </row>
    <row r="3322" spans="1:48" ht="15.75" customHeight="1">
      <c r="A3322" s="21" t="s">
        <v>47</v>
      </c>
      <c r="B3322" s="23" t="s">
        <v>1692</v>
      </c>
      <c r="C3322" s="22">
        <v>45680</v>
      </c>
      <c r="D3322" s="23" t="s">
        <v>301</v>
      </c>
      <c r="E3322" s="23" t="s">
        <v>295</v>
      </c>
      <c r="F3322" s="21">
        <v>1</v>
      </c>
      <c r="G3322" s="12">
        <v>2599.7755362977696</v>
      </c>
      <c r="H3322" s="12">
        <v>2599.7755362977696</v>
      </c>
      <c r="I3322" s="23" t="s">
        <v>52</v>
      </c>
      <c r="J3322" s="23" t="s">
        <v>61</v>
      </c>
      <c r="K3322" s="24" t="s">
        <v>177</v>
      </c>
      <c r="L3322" s="24">
        <v>94</v>
      </c>
      <c r="M3322" s="12">
        <v>2184.6853246199744</v>
      </c>
      <c r="N3322" s="12">
        <v>2184.6853246199744</v>
      </c>
      <c r="O3322" s="12">
        <v>415.0902116777952</v>
      </c>
      <c r="P3322" s="13"/>
      <c r="Q3322" s="14">
        <v>2025</v>
      </c>
      <c r="R3322" s="15">
        <v>45292</v>
      </c>
      <c r="S3322" s="11" t="s">
        <v>372</v>
      </c>
      <c r="T3322" s="16">
        <v>0</v>
      </c>
      <c r="U3322" s="17"/>
      <c r="V3322" s="12">
        <v>646.88532461997443</v>
      </c>
      <c r="W3322" s="12">
        <v>646.88532461997443</v>
      </c>
      <c r="X3322" s="12">
        <v>0</v>
      </c>
      <c r="Y3322" s="18">
        <v>45677</v>
      </c>
      <c r="Z3322" s="13" t="s">
        <v>505</v>
      </c>
      <c r="AA3322" s="19" t="str">
        <f>VLOOKUP(D3322,Clientes!$A$2:$J$486,9,FALSE)</f>
        <v>Regular</v>
      </c>
      <c r="AB3322" s="13" t="str">
        <f>VLOOKUP(D3322,Clientes!$A$2:$K$486,11,FALSE)</f>
        <v>Persona Natural</v>
      </c>
      <c r="AC3322" s="13" t="str">
        <f>VLOOKUP(D3322,Clientes!$A$2:$B$486,2,FALSE)</f>
        <v>Sector Chilcas</v>
      </c>
      <c r="AD3322" s="20"/>
      <c r="AE3322" s="20"/>
      <c r="AF3322" s="13" t="s">
        <v>40</v>
      </c>
      <c r="AG3322" s="15">
        <v>45292</v>
      </c>
      <c r="AH3322" s="13" t="s">
        <v>41</v>
      </c>
      <c r="AI3322" s="13" t="s">
        <v>47</v>
      </c>
      <c r="AJ3322" s="13" t="str">
        <f>VLOOKUP(E3322,Precios!Z$2:AA$941,2,FALSE)</f>
        <v>Traperos Humedos EXCELL</v>
      </c>
      <c r="AK3322" s="14">
        <f>VLOOKUP(E3322,Precios!Z$2:BB$941,3,FALSE)*F3322</f>
        <v>-1</v>
      </c>
      <c r="AL3322" s="17"/>
      <c r="AM3322" s="17"/>
      <c r="AN3322" s="17"/>
      <c r="AO3322" s="17"/>
      <c r="AP3322" s="17"/>
      <c r="AQ3322" s="17"/>
      <c r="AR3322" s="17"/>
      <c r="AS3322" s="17"/>
      <c r="AT3322" s="17"/>
      <c r="AU3322" s="17"/>
      <c r="AV3322" s="17"/>
    </row>
    <row r="3323" spans="1:48" ht="15.75" customHeight="1">
      <c r="A3323" s="21" t="s">
        <v>43</v>
      </c>
      <c r="B3323" s="23" t="s">
        <v>1692</v>
      </c>
      <c r="C3323" s="22">
        <v>45680</v>
      </c>
      <c r="D3323" s="23" t="s">
        <v>548</v>
      </c>
      <c r="E3323" s="23" t="s">
        <v>45</v>
      </c>
      <c r="F3323" s="21">
        <v>1</v>
      </c>
      <c r="G3323" s="12">
        <v>6199.9861072520143</v>
      </c>
      <c r="H3323" s="12">
        <v>6199.9861072520143</v>
      </c>
      <c r="I3323" s="23" t="s">
        <v>52</v>
      </c>
      <c r="J3323" s="23" t="s">
        <v>61</v>
      </c>
      <c r="K3323" s="24" t="s">
        <v>177</v>
      </c>
      <c r="L3323" s="24">
        <v>94</v>
      </c>
      <c r="M3323" s="12">
        <v>5210.0723590353064</v>
      </c>
      <c r="N3323" s="12">
        <v>5210.0723590353064</v>
      </c>
      <c r="O3323" s="12">
        <v>989.91374821670797</v>
      </c>
      <c r="P3323" s="13"/>
      <c r="Q3323" s="14">
        <v>2025</v>
      </c>
      <c r="R3323" s="15">
        <v>45292</v>
      </c>
      <c r="S3323" s="11" t="s">
        <v>355</v>
      </c>
      <c r="T3323" s="16">
        <v>0</v>
      </c>
      <c r="U3323" s="17"/>
      <c r="V3323" s="12">
        <v>1459.862275001693</v>
      </c>
      <c r="W3323" s="12">
        <v>1459.862275001693</v>
      </c>
      <c r="X3323" s="12">
        <v>0</v>
      </c>
      <c r="Y3323" s="18">
        <v>45677</v>
      </c>
      <c r="Z3323" s="13" t="s">
        <v>505</v>
      </c>
      <c r="AA3323" s="19" t="str">
        <f>VLOOKUP(D3323,Clientes!$A$2:$J$486,9,FALSE)</f>
        <v>Ocacional</v>
      </c>
      <c r="AB3323" s="13" t="str">
        <f>VLOOKUP(D3323,Clientes!$A$2:$K$486,11,FALSE)</f>
        <v>Persona Natural</v>
      </c>
      <c r="AC3323" s="13" t="str">
        <f>VLOOKUP(D3323,Clientes!$A$2:$B$486,2,FALSE)</f>
        <v>Curso Amalia</v>
      </c>
      <c r="AD3323" s="20"/>
      <c r="AE3323" s="20"/>
      <c r="AF3323" s="13" t="s">
        <v>40</v>
      </c>
      <c r="AG3323" s="15">
        <v>45292</v>
      </c>
      <c r="AH3323" s="13" t="s">
        <v>41</v>
      </c>
      <c r="AI3323" s="13" t="s">
        <v>43</v>
      </c>
      <c r="AJ3323" s="13" t="str">
        <f>VLOOKUP(E3323,Precios!Z$2:AA$941,2,FALSE)</f>
        <v>Bandeja Huevos EXTRA</v>
      </c>
      <c r="AK3323" s="14">
        <f>VLOOKUP(E3323,Precios!Z$2:BB$941,3,FALSE)*F3323</f>
        <v>-1</v>
      </c>
      <c r="AL3323" s="17"/>
      <c r="AM3323" s="17"/>
      <c r="AN3323" s="17"/>
      <c r="AO3323" s="17"/>
      <c r="AP3323" s="17"/>
      <c r="AQ3323" s="17"/>
      <c r="AR3323" s="17"/>
      <c r="AS3323" s="17"/>
      <c r="AT3323" s="17"/>
      <c r="AU3323" s="17"/>
      <c r="AV3323" s="17"/>
    </row>
    <row r="3324" spans="1:48" ht="15.75" customHeight="1">
      <c r="A3324" s="21" t="s">
        <v>76</v>
      </c>
      <c r="B3324" s="23" t="s">
        <v>1692</v>
      </c>
      <c r="C3324" s="22">
        <v>45680</v>
      </c>
      <c r="D3324" s="23" t="s">
        <v>68</v>
      </c>
      <c r="E3324" s="23" t="s">
        <v>81</v>
      </c>
      <c r="F3324" s="21">
        <v>1</v>
      </c>
      <c r="G3324" s="12">
        <v>3500.0000000000005</v>
      </c>
      <c r="H3324" s="12">
        <v>3500.0000000000005</v>
      </c>
      <c r="I3324" s="23" t="s">
        <v>52</v>
      </c>
      <c r="J3324" s="23" t="s">
        <v>61</v>
      </c>
      <c r="K3324" s="24" t="s">
        <v>86</v>
      </c>
      <c r="L3324" s="24">
        <v>53</v>
      </c>
      <c r="M3324" s="12">
        <v>2941.1764705882356</v>
      </c>
      <c r="N3324" s="12">
        <v>2941.1764705882356</v>
      </c>
      <c r="O3324" s="12">
        <v>558.82352941176487</v>
      </c>
      <c r="P3324" s="13"/>
      <c r="Q3324" s="14">
        <v>2025</v>
      </c>
      <c r="R3324" s="15">
        <v>45292</v>
      </c>
      <c r="S3324" s="11" t="s">
        <v>397</v>
      </c>
      <c r="T3324" s="16">
        <v>5</v>
      </c>
      <c r="U3324" s="17"/>
      <c r="V3324" s="12">
        <v>764.70588235294144</v>
      </c>
      <c r="W3324" s="12">
        <v>764.70588235294144</v>
      </c>
      <c r="X3324" s="12">
        <v>0</v>
      </c>
      <c r="Y3324" s="18">
        <v>45677</v>
      </c>
      <c r="Z3324" s="13" t="s">
        <v>505</v>
      </c>
      <c r="AA3324" s="19" t="str">
        <f>VLOOKUP(D3324,Clientes!$A$2:$J$486,9,FALSE)</f>
        <v>Frecuente</v>
      </c>
      <c r="AB3324" s="13" t="str">
        <f>VLOOKUP(D3324,Clientes!$A$2:$K$486,11,FALSE)</f>
        <v>Empresa</v>
      </c>
      <c r="AC3324" s="13" t="str">
        <f>VLOOKUP(D3324,Clientes!$A$2:$B$486,2,FALSE)</f>
        <v>Jardines de la viña</v>
      </c>
      <c r="AD3324" s="20"/>
      <c r="AE3324" s="20"/>
      <c r="AF3324" s="13" t="s">
        <v>40</v>
      </c>
      <c r="AG3324" s="15">
        <v>45292</v>
      </c>
      <c r="AH3324" s="13" t="s">
        <v>41</v>
      </c>
      <c r="AI3324" s="13" t="s">
        <v>76</v>
      </c>
      <c r="AJ3324" s="13" t="str">
        <f>VLOOKUP(E3324,Precios!Z$2:AA$941,2,FALSE)</f>
        <v>Detergente SPUM 5 Litros (Verde)</v>
      </c>
      <c r="AK3324" s="14">
        <f>VLOOKUP(E3324,Precios!Z$2:BB$941,3,FALSE)*F3324</f>
        <v>-1</v>
      </c>
      <c r="AL3324" s="17"/>
      <c r="AM3324" s="17"/>
      <c r="AN3324" s="17"/>
      <c r="AO3324" s="17"/>
      <c r="AP3324" s="17"/>
      <c r="AQ3324" s="17"/>
      <c r="AR3324" s="17"/>
      <c r="AS3324" s="17"/>
      <c r="AT3324" s="17"/>
      <c r="AU3324" s="17"/>
      <c r="AV3324" s="17"/>
    </row>
    <row r="3325" spans="1:48" ht="15.75" customHeight="1">
      <c r="A3325" s="21" t="s">
        <v>53</v>
      </c>
      <c r="B3325" s="23" t="s">
        <v>1692</v>
      </c>
      <c r="C3325" s="22">
        <v>45680</v>
      </c>
      <c r="D3325" s="23" t="s">
        <v>180</v>
      </c>
      <c r="E3325" s="23" t="s">
        <v>97</v>
      </c>
      <c r="F3325" s="21">
        <v>1</v>
      </c>
      <c r="G3325" s="12">
        <v>15500.298388701016</v>
      </c>
      <c r="H3325" s="12">
        <v>15500.298388701016</v>
      </c>
      <c r="I3325" s="23" t="s">
        <v>52</v>
      </c>
      <c r="J3325" s="23" t="s">
        <v>61</v>
      </c>
      <c r="K3325" s="24" t="s">
        <v>177</v>
      </c>
      <c r="L3325" s="24">
        <v>94</v>
      </c>
      <c r="M3325" s="12">
        <v>13025.46083084119</v>
      </c>
      <c r="N3325" s="12">
        <v>13025.46083084119</v>
      </c>
      <c r="O3325" s="12">
        <v>2474.8375578598261</v>
      </c>
      <c r="P3325" s="13"/>
      <c r="Q3325" s="14">
        <v>2025</v>
      </c>
      <c r="R3325" s="15">
        <v>45292</v>
      </c>
      <c r="S3325" s="11" t="s">
        <v>366</v>
      </c>
      <c r="T3325" s="16">
        <v>0</v>
      </c>
      <c r="U3325" s="17"/>
      <c r="V3325" s="12">
        <v>3203.6120913453906</v>
      </c>
      <c r="W3325" s="12">
        <v>3203.6120913453906</v>
      </c>
      <c r="X3325" s="12">
        <v>0</v>
      </c>
      <c r="Y3325" s="18">
        <v>45677</v>
      </c>
      <c r="Z3325" s="13" t="s">
        <v>505</v>
      </c>
      <c r="AA3325" s="19" t="str">
        <f>VLOOKUP(D3325,Clientes!$A$2:$J$486,9,FALSE)</f>
        <v>Familiar</v>
      </c>
      <c r="AB3325" s="13" t="str">
        <f>VLOOKUP(D3325,Clientes!$A$2:$K$486,11,FALSE)</f>
        <v>Persona Natural</v>
      </c>
      <c r="AC3325" s="13" t="str">
        <f>VLOOKUP(D3325,Clientes!$A$2:$B$486,2,FALSE)</f>
        <v>Familiar</v>
      </c>
      <c r="AD3325" s="20"/>
      <c r="AE3325" s="20"/>
      <c r="AF3325" s="13" t="s">
        <v>40</v>
      </c>
      <c r="AG3325" s="15">
        <v>45292</v>
      </c>
      <c r="AH3325" s="13" t="s">
        <v>41</v>
      </c>
      <c r="AI3325" s="13" t="s">
        <v>53</v>
      </c>
      <c r="AJ3325" s="13" t="str">
        <f>VLOOKUP(E3325,Precios!Z$2:AA$941,2,FALSE)</f>
        <v>Papel Higienico ELITE 50 metros</v>
      </c>
      <c r="AK3325" s="14">
        <f>VLOOKUP(E3325,Precios!Z$2:BB$941,3,FALSE)*F3325</f>
        <v>-6</v>
      </c>
      <c r="AL3325" s="17"/>
      <c r="AM3325" s="17"/>
      <c r="AN3325" s="17"/>
      <c r="AO3325" s="17"/>
      <c r="AP3325" s="17"/>
      <c r="AQ3325" s="17"/>
      <c r="AR3325" s="17"/>
      <c r="AS3325" s="17"/>
      <c r="AT3325" s="17"/>
      <c r="AU3325" s="17"/>
      <c r="AV3325" s="17"/>
    </row>
    <row r="3326" spans="1:48" ht="15.75" customHeight="1">
      <c r="A3326" s="21" t="s">
        <v>76</v>
      </c>
      <c r="B3326" s="23" t="s">
        <v>1692</v>
      </c>
      <c r="C3326" s="22">
        <v>45680</v>
      </c>
      <c r="D3326" s="23" t="s">
        <v>180</v>
      </c>
      <c r="E3326" s="23" t="s">
        <v>98</v>
      </c>
      <c r="F3326" s="21">
        <v>1</v>
      </c>
      <c r="G3326" s="12">
        <v>2600.0000000000005</v>
      </c>
      <c r="H3326" s="12">
        <v>2600.0000000000005</v>
      </c>
      <c r="I3326" s="23" t="s">
        <v>52</v>
      </c>
      <c r="J3326" s="23" t="s">
        <v>61</v>
      </c>
      <c r="K3326" s="24" t="s">
        <v>177</v>
      </c>
      <c r="L3326" s="24">
        <v>94</v>
      </c>
      <c r="M3326" s="12">
        <v>2184.8739495798322</v>
      </c>
      <c r="N3326" s="12">
        <v>2184.8739495798322</v>
      </c>
      <c r="O3326" s="12">
        <v>415.12605042016821</v>
      </c>
      <c r="P3326" s="13"/>
      <c r="Q3326" s="14">
        <v>2025</v>
      </c>
      <c r="R3326" s="15">
        <v>45292</v>
      </c>
      <c r="S3326" s="11" t="s">
        <v>479</v>
      </c>
      <c r="T3326" s="16">
        <v>0</v>
      </c>
      <c r="U3326" s="17"/>
      <c r="V3326" s="12">
        <v>1052.1008403361348</v>
      </c>
      <c r="W3326" s="12">
        <v>1052.1008403361348</v>
      </c>
      <c r="X3326" s="12">
        <v>0</v>
      </c>
      <c r="Y3326" s="18">
        <v>45677</v>
      </c>
      <c r="Z3326" s="13" t="s">
        <v>505</v>
      </c>
      <c r="AA3326" s="19" t="str">
        <f>VLOOKUP(D3326,Clientes!$A$2:$J$486,9,FALSE)</f>
        <v>Familiar</v>
      </c>
      <c r="AB3326" s="13" t="str">
        <f>VLOOKUP(D3326,Clientes!$A$2:$K$486,11,FALSE)</f>
        <v>Persona Natural</v>
      </c>
      <c r="AC3326" s="13" t="str">
        <f>VLOOKUP(D3326,Clientes!$A$2:$B$486,2,FALSE)</f>
        <v>Familiar</v>
      </c>
      <c r="AD3326" s="20"/>
      <c r="AE3326" s="20"/>
      <c r="AF3326" s="13" t="s">
        <v>40</v>
      </c>
      <c r="AG3326" s="15">
        <v>45292</v>
      </c>
      <c r="AH3326" s="13" t="s">
        <v>41</v>
      </c>
      <c r="AI3326" s="13" t="s">
        <v>76</v>
      </c>
      <c r="AJ3326" s="13" t="str">
        <f>VLOOKUP(E3326,Precios!Z$2:AA$941,2,FALSE)</f>
        <v>Lavaloza QUIX 750 cc</v>
      </c>
      <c r="AK3326" s="14">
        <f>VLOOKUP(E3326,Precios!Z$2:BB$941,3,FALSE)*F3326</f>
        <v>-1</v>
      </c>
      <c r="AL3326" s="17"/>
      <c r="AM3326" s="17"/>
      <c r="AN3326" s="17"/>
      <c r="AO3326" s="17"/>
      <c r="AP3326" s="17"/>
      <c r="AQ3326" s="17"/>
      <c r="AR3326" s="17"/>
      <c r="AS3326" s="17"/>
      <c r="AT3326" s="17"/>
      <c r="AU3326" s="17"/>
      <c r="AV3326" s="17"/>
    </row>
    <row r="3327" spans="1:48" ht="15.75" customHeight="1">
      <c r="A3327" s="21" t="s">
        <v>43</v>
      </c>
      <c r="B3327" s="23" t="s">
        <v>1692</v>
      </c>
      <c r="C3327" s="25">
        <v>45679</v>
      </c>
      <c r="D3327" s="23" t="s">
        <v>108</v>
      </c>
      <c r="E3327" s="23" t="s">
        <v>45</v>
      </c>
      <c r="F3327" s="21">
        <v>1</v>
      </c>
      <c r="G3327" s="12">
        <v>6199.9861072520143</v>
      </c>
      <c r="H3327" s="12">
        <v>6199.9861072520143</v>
      </c>
      <c r="I3327" s="23" t="s">
        <v>52</v>
      </c>
      <c r="J3327" s="23" t="s">
        <v>61</v>
      </c>
      <c r="K3327" s="24" t="s">
        <v>177</v>
      </c>
      <c r="L3327" s="26">
        <v>93</v>
      </c>
      <c r="M3327" s="12">
        <v>5210.0723590353064</v>
      </c>
      <c r="N3327" s="12">
        <v>5210.0723590353064</v>
      </c>
      <c r="O3327" s="12">
        <v>989.91374821670797</v>
      </c>
      <c r="P3327" s="13"/>
      <c r="Q3327" s="14">
        <v>2025</v>
      </c>
      <c r="R3327" s="15">
        <v>45292</v>
      </c>
      <c r="S3327" s="11" t="s">
        <v>355</v>
      </c>
      <c r="T3327" s="16">
        <v>0</v>
      </c>
      <c r="U3327" s="17"/>
      <c r="V3327" s="12">
        <v>1459.862275001693</v>
      </c>
      <c r="W3327" s="12">
        <v>1459.862275001693</v>
      </c>
      <c r="X3327" s="12">
        <v>0</v>
      </c>
      <c r="Y3327" s="18">
        <v>45677</v>
      </c>
      <c r="Z3327" s="13" t="s">
        <v>515</v>
      </c>
      <c r="AA3327" s="19" t="str">
        <f>VLOOKUP(D3327,Clientes!$A$2:$J$486,9,FALSE)</f>
        <v>Frecuente</v>
      </c>
      <c r="AB3327" s="13" t="str">
        <f>VLOOKUP(D3327,Clientes!$A$2:$K$486,11,FALSE)</f>
        <v>Persona Natural</v>
      </c>
      <c r="AC3327" s="13" t="str">
        <f>VLOOKUP(D3327,Clientes!$A$2:$B$486,2,FALSE)</f>
        <v>Jardines de la Viña</v>
      </c>
      <c r="AD3327" s="20"/>
      <c r="AE3327" s="20"/>
      <c r="AF3327" s="13" t="s">
        <v>40</v>
      </c>
      <c r="AG3327" s="15">
        <v>45292</v>
      </c>
      <c r="AH3327" s="13" t="s">
        <v>41</v>
      </c>
      <c r="AI3327" s="13" t="s">
        <v>43</v>
      </c>
      <c r="AJ3327" s="13" t="str">
        <f>VLOOKUP(E3327,Precios!Z$2:AA$941,2,FALSE)</f>
        <v>Bandeja Huevos EXTRA</v>
      </c>
      <c r="AK3327" s="14">
        <f>VLOOKUP(E3327,Precios!Z$2:BB$941,3,FALSE)*F3327</f>
        <v>-1</v>
      </c>
      <c r="AL3327" s="17"/>
      <c r="AM3327" s="17"/>
      <c r="AN3327" s="17"/>
      <c r="AO3327" s="17"/>
      <c r="AP3327" s="17"/>
      <c r="AQ3327" s="17"/>
      <c r="AR3327" s="17"/>
      <c r="AS3327" s="17"/>
      <c r="AT3327" s="17"/>
      <c r="AU3327" s="17"/>
      <c r="AV3327" s="17"/>
    </row>
    <row r="3328" spans="1:48" ht="15.75" customHeight="1">
      <c r="A3328" s="21" t="s">
        <v>56</v>
      </c>
      <c r="B3328" s="23" t="s">
        <v>1692</v>
      </c>
      <c r="C3328" s="25">
        <v>45679</v>
      </c>
      <c r="D3328" s="23" t="s">
        <v>116</v>
      </c>
      <c r="E3328" s="23" t="s">
        <v>190</v>
      </c>
      <c r="F3328" s="21">
        <v>2</v>
      </c>
      <c r="G3328" s="12">
        <v>2500</v>
      </c>
      <c r="H3328" s="12">
        <v>5000</v>
      </c>
      <c r="I3328" s="23" t="s">
        <v>52</v>
      </c>
      <c r="J3328" s="23" t="s">
        <v>61</v>
      </c>
      <c r="K3328" s="24" t="s">
        <v>177</v>
      </c>
      <c r="L3328" s="26">
        <v>93</v>
      </c>
      <c r="M3328" s="12">
        <v>2100.840336134454</v>
      </c>
      <c r="N3328" s="12">
        <v>4201.680672268908</v>
      </c>
      <c r="O3328" s="12">
        <v>798.31932773109202</v>
      </c>
      <c r="P3328" s="13"/>
      <c r="Q3328" s="14">
        <v>2025</v>
      </c>
      <c r="R3328" s="15">
        <v>45292</v>
      </c>
      <c r="S3328" s="11" t="s">
        <v>492</v>
      </c>
      <c r="T3328" s="16">
        <v>400</v>
      </c>
      <c r="U3328" s="17"/>
      <c r="V3328" s="12">
        <v>1263.8655462184875</v>
      </c>
      <c r="W3328" s="12">
        <v>1263.8655462184875</v>
      </c>
      <c r="X3328" s="12">
        <v>0</v>
      </c>
      <c r="Y3328" s="18">
        <v>45677</v>
      </c>
      <c r="Z3328" s="13" t="s">
        <v>515</v>
      </c>
      <c r="AA3328" s="19" t="str">
        <f>VLOOKUP(D3328,Clientes!$A$2:$J$486,9,FALSE)</f>
        <v>Ocacional</v>
      </c>
      <c r="AB3328" s="13" t="str">
        <f>VLOOKUP(D3328,Clientes!$A$2:$K$486,11,FALSE)</f>
        <v>Persona Natural</v>
      </c>
      <c r="AC3328" s="13">
        <f>VLOOKUP(D3328,Clientes!$A$2:$B$486,2,FALSE)</f>
        <v>0</v>
      </c>
      <c r="AD3328" s="20"/>
      <c r="AE3328" s="20"/>
      <c r="AF3328" s="13" t="s">
        <v>40</v>
      </c>
      <c r="AG3328" s="15">
        <v>45292</v>
      </c>
      <c r="AH3328" s="13" t="s">
        <v>41</v>
      </c>
      <c r="AI3328" s="13" t="s">
        <v>56</v>
      </c>
      <c r="AJ3328" s="13" t="str">
        <f>VLOOKUP(E3328,Precios!Z$2:AA$941,2,FALSE)</f>
        <v>Mantequilla RUMAY</v>
      </c>
      <c r="AK3328" s="14">
        <f>VLOOKUP(E3328,Precios!Z$2:BB$941,3,FALSE)*F3328</f>
        <v>-2</v>
      </c>
      <c r="AL3328" s="17"/>
      <c r="AM3328" s="17"/>
      <c r="AN3328" s="17"/>
      <c r="AO3328" s="17"/>
      <c r="AP3328" s="17"/>
      <c r="AQ3328" s="17"/>
      <c r="AR3328" s="17"/>
      <c r="AS3328" s="17"/>
      <c r="AT3328" s="17"/>
      <c r="AU3328" s="17"/>
      <c r="AV3328" s="17"/>
    </row>
    <row r="3329" spans="1:48" ht="15.75" customHeight="1">
      <c r="A3329" s="21" t="s">
        <v>35</v>
      </c>
      <c r="B3329" s="23" t="s">
        <v>1692</v>
      </c>
      <c r="C3329" s="25">
        <v>45679</v>
      </c>
      <c r="D3329" s="23" t="s">
        <v>116</v>
      </c>
      <c r="E3329" s="23" t="s">
        <v>46</v>
      </c>
      <c r="F3329" s="14">
        <v>1</v>
      </c>
      <c r="G3329" s="12">
        <v>5500</v>
      </c>
      <c r="H3329" s="12">
        <v>5500</v>
      </c>
      <c r="I3329" s="23" t="s">
        <v>52</v>
      </c>
      <c r="J3329" s="23" t="s">
        <v>61</v>
      </c>
      <c r="K3329" s="24" t="s">
        <v>177</v>
      </c>
      <c r="L3329" s="26">
        <v>93</v>
      </c>
      <c r="M3329" s="12">
        <v>4621.8487394957983</v>
      </c>
      <c r="N3329" s="12">
        <v>4621.8487394957983</v>
      </c>
      <c r="O3329" s="12">
        <v>878.15126050420167</v>
      </c>
      <c r="P3329" s="13"/>
      <c r="Q3329" s="14">
        <v>2025</v>
      </c>
      <c r="R3329" s="15">
        <v>45292</v>
      </c>
      <c r="S3329" s="11" t="s">
        <v>364</v>
      </c>
      <c r="T3329" s="16">
        <v>500</v>
      </c>
      <c r="U3329" s="17"/>
      <c r="V3329" s="12">
        <v>1365.1260504201678</v>
      </c>
      <c r="W3329" s="12">
        <v>1365.1260504201678</v>
      </c>
      <c r="X3329" s="12">
        <v>0</v>
      </c>
      <c r="Y3329" s="18">
        <v>45677</v>
      </c>
      <c r="Z3329" s="13" t="s">
        <v>515</v>
      </c>
      <c r="AA3329" s="19" t="str">
        <f>VLOOKUP(D3329,Clientes!$A$2:$J$486,9,FALSE)</f>
        <v>Ocacional</v>
      </c>
      <c r="AB3329" s="13" t="str">
        <f>VLOOKUP(D3329,Clientes!$A$2:$K$486,11,FALSE)</f>
        <v>Persona Natural</v>
      </c>
      <c r="AC3329" s="13">
        <f>VLOOKUP(D3329,Clientes!$A$2:$B$486,2,FALSE)</f>
        <v>0</v>
      </c>
      <c r="AD3329" s="20"/>
      <c r="AE3329" s="20"/>
      <c r="AF3329" s="13" t="s">
        <v>40</v>
      </c>
      <c r="AG3329" s="15">
        <v>45292</v>
      </c>
      <c r="AH3329" s="13" t="s">
        <v>41</v>
      </c>
      <c r="AI3329" s="13" t="s">
        <v>35</v>
      </c>
      <c r="AJ3329" s="13" t="str">
        <f>VLOOKUP(E3329,Precios!Z$2:AA$941,2,FALSE)</f>
        <v>Queso RUNCA Mantecoso</v>
      </c>
      <c r="AK3329" s="14">
        <f>VLOOKUP(E3329,Precios!Z$2:BB$941,3,FALSE)*F3329</f>
        <v>-0.5</v>
      </c>
      <c r="AL3329" s="17"/>
      <c r="AM3329" s="17"/>
      <c r="AN3329" s="17"/>
      <c r="AO3329" s="17"/>
      <c r="AP3329" s="17"/>
      <c r="AQ3329" s="17"/>
      <c r="AR3329" s="17"/>
      <c r="AS3329" s="17"/>
      <c r="AT3329" s="17"/>
      <c r="AU3329" s="17"/>
      <c r="AV3329" s="17"/>
    </row>
    <row r="3330" spans="1:48" ht="15.75" customHeight="1">
      <c r="A3330" s="21" t="s">
        <v>53</v>
      </c>
      <c r="B3330" s="23" t="s">
        <v>1692</v>
      </c>
      <c r="C3330" s="25">
        <v>45679</v>
      </c>
      <c r="D3330" s="23" t="s">
        <v>116</v>
      </c>
      <c r="E3330" s="23" t="s">
        <v>69</v>
      </c>
      <c r="F3330" s="14">
        <v>1</v>
      </c>
      <c r="G3330" s="12">
        <v>2999.9553810458683</v>
      </c>
      <c r="H3330" s="12">
        <v>2999.9553810458683</v>
      </c>
      <c r="I3330" s="23" t="s">
        <v>52</v>
      </c>
      <c r="J3330" s="23" t="s">
        <v>61</v>
      </c>
      <c r="K3330" s="24" t="s">
        <v>177</v>
      </c>
      <c r="L3330" s="26">
        <v>93</v>
      </c>
      <c r="M3330" s="12">
        <v>2520.9709084419064</v>
      </c>
      <c r="N3330" s="12">
        <v>2520.9709084419064</v>
      </c>
      <c r="O3330" s="12">
        <v>478.98447260396188</v>
      </c>
      <c r="P3330" s="13"/>
      <c r="Q3330" s="14">
        <v>2025</v>
      </c>
      <c r="R3330" s="15">
        <v>45292</v>
      </c>
      <c r="S3330" s="11" t="s">
        <v>376</v>
      </c>
      <c r="T3330" s="16">
        <v>0</v>
      </c>
      <c r="U3330" s="17"/>
      <c r="V3330" s="12">
        <v>825.97090844190598</v>
      </c>
      <c r="W3330" s="12">
        <v>825.97090844190598</v>
      </c>
      <c r="X3330" s="12">
        <v>0</v>
      </c>
      <c r="Y3330" s="18">
        <v>45677</v>
      </c>
      <c r="Z3330" s="13" t="s">
        <v>515</v>
      </c>
      <c r="AA3330" s="19" t="str">
        <f>VLOOKUP(D3330,Clientes!$A$2:$J$486,9,FALSE)</f>
        <v>Ocacional</v>
      </c>
      <c r="AB3330" s="13" t="str">
        <f>VLOOKUP(D3330,Clientes!$A$2:$K$486,11,FALSE)</f>
        <v>Persona Natural</v>
      </c>
      <c r="AC3330" s="13">
        <f>VLOOKUP(D3330,Clientes!$A$2:$B$486,2,FALSE)</f>
        <v>0</v>
      </c>
      <c r="AD3330" s="20"/>
      <c r="AE3330" s="20"/>
      <c r="AF3330" s="13" t="s">
        <v>40</v>
      </c>
      <c r="AG3330" s="15">
        <v>45292</v>
      </c>
      <c r="AH3330" s="13" t="s">
        <v>41</v>
      </c>
      <c r="AI3330" s="13" t="s">
        <v>53</v>
      </c>
      <c r="AJ3330" s="13" t="str">
        <f>VLOOKUP(E3330,Precios!Z$2:AA$941,2,FALSE)</f>
        <v>Toalla Papel NOVA 70 metros</v>
      </c>
      <c r="AK3330" s="14">
        <f>VLOOKUP(E3330,Precios!Z$2:BB$941,3,FALSE)*F3330</f>
        <v>-1</v>
      </c>
      <c r="AL3330" s="17"/>
      <c r="AM3330" s="17"/>
      <c r="AN3330" s="17"/>
      <c r="AO3330" s="17"/>
      <c r="AP3330" s="17"/>
      <c r="AQ3330" s="17"/>
      <c r="AR3330" s="17"/>
      <c r="AS3330" s="17"/>
      <c r="AT3330" s="17"/>
      <c r="AU3330" s="17"/>
      <c r="AV3330" s="17"/>
    </row>
    <row r="3331" spans="1:48" ht="15.75" customHeight="1">
      <c r="A3331" s="21" t="s">
        <v>47</v>
      </c>
      <c r="B3331" s="23" t="s">
        <v>1692</v>
      </c>
      <c r="C3331" s="25">
        <v>45679</v>
      </c>
      <c r="D3331" s="23" t="s">
        <v>760</v>
      </c>
      <c r="E3331" s="23" t="s">
        <v>100</v>
      </c>
      <c r="F3331" s="14">
        <v>1</v>
      </c>
      <c r="G3331" s="12">
        <v>650.00000000000011</v>
      </c>
      <c r="H3331" s="12">
        <v>650.00000000000011</v>
      </c>
      <c r="I3331" s="23" t="s">
        <v>52</v>
      </c>
      <c r="J3331" s="23" t="s">
        <v>61</v>
      </c>
      <c r="K3331" s="24" t="s">
        <v>177</v>
      </c>
      <c r="L3331" s="26">
        <v>93</v>
      </c>
      <c r="M3331" s="12">
        <v>546.21848739495806</v>
      </c>
      <c r="N3331" s="12">
        <v>546.21848739495806</v>
      </c>
      <c r="O3331" s="12">
        <v>103.78151260504205</v>
      </c>
      <c r="P3331" s="13"/>
      <c r="Q3331" s="14">
        <v>2025</v>
      </c>
      <c r="R3331" s="15">
        <v>45292</v>
      </c>
      <c r="S3331" s="11" t="s">
        <v>453</v>
      </c>
      <c r="T3331" s="16">
        <v>0</v>
      </c>
      <c r="U3331" s="17"/>
      <c r="V3331" s="12">
        <v>231.09243697478996</v>
      </c>
      <c r="W3331" s="12">
        <v>231.09243697478996</v>
      </c>
      <c r="X3331" s="12">
        <v>0</v>
      </c>
      <c r="Y3331" s="18">
        <v>45677</v>
      </c>
      <c r="Z3331" s="13" t="s">
        <v>515</v>
      </c>
      <c r="AA3331" s="19" t="str">
        <f>VLOOKUP(D3331,Clientes!$A$2:$J$486,9,FALSE)</f>
        <v>Ocacional</v>
      </c>
      <c r="AB3331" s="13" t="str">
        <f>VLOOKUP(D3331,Clientes!$A$2:$K$486,11,FALSE)</f>
        <v>Persona Natural</v>
      </c>
      <c r="AC3331" s="13" t="str">
        <f>VLOOKUP(D3331,Clientes!$A$2:$B$486,2,FALSE)</f>
        <v>Negrillo</v>
      </c>
      <c r="AD3331" s="20"/>
      <c r="AE3331" s="20"/>
      <c r="AF3331" s="13" t="s">
        <v>40</v>
      </c>
      <c r="AG3331" s="15">
        <v>45292</v>
      </c>
      <c r="AH3331" s="13" t="s">
        <v>41</v>
      </c>
      <c r="AI3331" s="13" t="s">
        <v>47</v>
      </c>
      <c r="AJ3331" s="13" t="str">
        <f>VLOOKUP(E3331,Precios!Z$2:AA$941,2,FALSE)</f>
        <v xml:space="preserve">Bolsas Basura TEDDY 50x70 </v>
      </c>
      <c r="AK3331" s="14">
        <f>VLOOKUP(E3331,Precios!Z$2:BB$941,3,FALSE)*F3331</f>
        <v>-1</v>
      </c>
      <c r="AL3331" s="17"/>
      <c r="AM3331" s="17"/>
      <c r="AN3331" s="17"/>
      <c r="AO3331" s="17"/>
      <c r="AP3331" s="17"/>
      <c r="AQ3331" s="17"/>
      <c r="AR3331" s="17"/>
      <c r="AS3331" s="17"/>
      <c r="AT3331" s="17"/>
      <c r="AU3331" s="17"/>
      <c r="AV3331" s="17"/>
    </row>
    <row r="3332" spans="1:48" ht="15.75" customHeight="1">
      <c r="A3332" s="21" t="s">
        <v>47</v>
      </c>
      <c r="B3332" s="23" t="s">
        <v>1692</v>
      </c>
      <c r="C3332" s="25">
        <v>45679</v>
      </c>
      <c r="D3332" s="23" t="s">
        <v>760</v>
      </c>
      <c r="E3332" s="23" t="s">
        <v>94</v>
      </c>
      <c r="F3332" s="14">
        <v>1</v>
      </c>
      <c r="G3332" s="12">
        <v>1650.3649635036495</v>
      </c>
      <c r="H3332" s="12">
        <v>1650.3649635036495</v>
      </c>
      <c r="I3332" s="23" t="s">
        <v>52</v>
      </c>
      <c r="J3332" s="23" t="s">
        <v>61</v>
      </c>
      <c r="K3332" s="24" t="s">
        <v>177</v>
      </c>
      <c r="L3332" s="26">
        <v>93</v>
      </c>
      <c r="M3332" s="12">
        <v>1386.861313868613</v>
      </c>
      <c r="N3332" s="12">
        <v>1386.861313868613</v>
      </c>
      <c r="O3332" s="12">
        <v>263.50364963503648</v>
      </c>
      <c r="P3332" s="13"/>
      <c r="Q3332" s="14">
        <v>2025</v>
      </c>
      <c r="R3332" s="15">
        <v>45292</v>
      </c>
      <c r="S3332" s="11" t="s">
        <v>384</v>
      </c>
      <c r="T3332" s="16">
        <v>0</v>
      </c>
      <c r="U3332" s="17"/>
      <c r="V3332" s="12">
        <v>436.86131386861302</v>
      </c>
      <c r="W3332" s="12">
        <v>436.86131386861302</v>
      </c>
      <c r="X3332" s="12">
        <v>0</v>
      </c>
      <c r="Y3332" s="18">
        <v>45677</v>
      </c>
      <c r="Z3332" s="13" t="s">
        <v>515</v>
      </c>
      <c r="AA3332" s="19" t="str">
        <f>VLOOKUP(D3332,Clientes!$A$2:$J$486,9,FALSE)</f>
        <v>Ocacional</v>
      </c>
      <c r="AB3332" s="13" t="str">
        <f>VLOOKUP(D3332,Clientes!$A$2:$K$486,11,FALSE)</f>
        <v>Persona Natural</v>
      </c>
      <c r="AC3332" s="13" t="str">
        <f>VLOOKUP(D3332,Clientes!$A$2:$B$486,2,FALSE)</f>
        <v>Negrillo</v>
      </c>
      <c r="AD3332" s="20"/>
      <c r="AE3332" s="20"/>
      <c r="AF3332" s="13" t="s">
        <v>40</v>
      </c>
      <c r="AG3332" s="15">
        <v>45292</v>
      </c>
      <c r="AH3332" s="13" t="s">
        <v>41</v>
      </c>
      <c r="AI3332" s="13" t="s">
        <v>47</v>
      </c>
      <c r="AJ3332" s="13" t="str">
        <f>VLOOKUP(E3332,Precios!Z$2:AA$941,2,FALSE)</f>
        <v>Jabón Lìquido BALLERINA</v>
      </c>
      <c r="AK3332" s="14">
        <f>VLOOKUP(E3332,Precios!Z$2:BB$941,3,FALSE)*F3332</f>
        <v>-3</v>
      </c>
      <c r="AL3332" s="17"/>
      <c r="AM3332" s="17"/>
      <c r="AN3332" s="17"/>
      <c r="AO3332" s="17"/>
      <c r="AP3332" s="17"/>
      <c r="AQ3332" s="17"/>
      <c r="AR3332" s="17"/>
      <c r="AS3332" s="17"/>
      <c r="AT3332" s="17"/>
      <c r="AU3332" s="17"/>
      <c r="AV3332" s="17"/>
    </row>
    <row r="3333" spans="1:48" ht="15.75" customHeight="1">
      <c r="A3333" s="21" t="s">
        <v>76</v>
      </c>
      <c r="B3333" s="23" t="s">
        <v>1692</v>
      </c>
      <c r="C3333" s="25">
        <v>45679</v>
      </c>
      <c r="D3333" s="23" t="s">
        <v>760</v>
      </c>
      <c r="E3333" s="23" t="s">
        <v>77</v>
      </c>
      <c r="F3333" s="14">
        <v>1</v>
      </c>
      <c r="G3333" s="12">
        <v>1500.0000000000002</v>
      </c>
      <c r="H3333" s="12">
        <v>1500.0000000000002</v>
      </c>
      <c r="I3333" s="23" t="s">
        <v>52</v>
      </c>
      <c r="J3333" s="23" t="s">
        <v>61</v>
      </c>
      <c r="K3333" s="24" t="s">
        <v>177</v>
      </c>
      <c r="L3333" s="26">
        <v>93</v>
      </c>
      <c r="M3333" s="12">
        <v>1260.5042016806726</v>
      </c>
      <c r="N3333" s="12">
        <v>1260.5042016806726</v>
      </c>
      <c r="O3333" s="12">
        <v>239.4957983193276</v>
      </c>
      <c r="P3333" s="13"/>
      <c r="Q3333" s="14">
        <v>2025</v>
      </c>
      <c r="R3333" s="15">
        <v>45292</v>
      </c>
      <c r="S3333" s="11" t="s">
        <v>448</v>
      </c>
      <c r="T3333" s="16">
        <v>0</v>
      </c>
      <c r="U3333" s="17"/>
      <c r="V3333" s="12">
        <v>421.00840336134468</v>
      </c>
      <c r="W3333" s="12">
        <v>421.00840336134468</v>
      </c>
      <c r="X3333" s="12">
        <v>0</v>
      </c>
      <c r="Y3333" s="18">
        <v>45677</v>
      </c>
      <c r="Z3333" s="13" t="s">
        <v>515</v>
      </c>
      <c r="AA3333" s="19" t="str">
        <f>VLOOKUP(D3333,Clientes!$A$2:$J$486,9,FALSE)</f>
        <v>Ocacional</v>
      </c>
      <c r="AB3333" s="13" t="str">
        <f>VLOOKUP(D3333,Clientes!$A$2:$K$486,11,FALSE)</f>
        <v>Persona Natural</v>
      </c>
      <c r="AC3333" s="13" t="str">
        <f>VLOOKUP(D3333,Clientes!$A$2:$B$486,2,FALSE)</f>
        <v>Negrillo</v>
      </c>
      <c r="AD3333" s="20"/>
      <c r="AE3333" s="20"/>
      <c r="AF3333" s="13" t="s">
        <v>40</v>
      </c>
      <c r="AG3333" s="15">
        <v>45292</v>
      </c>
      <c r="AH3333" s="13" t="s">
        <v>41</v>
      </c>
      <c r="AI3333" s="13" t="s">
        <v>76</v>
      </c>
      <c r="AJ3333" s="13" t="str">
        <f>VLOOKUP(E3333,Precios!Z$2:AA$941,2,FALSE)</f>
        <v>Cloro GEL IGENIX 900ml</v>
      </c>
      <c r="AK3333" s="14">
        <f>VLOOKUP(E3333,Precios!Z$2:BB$941,3,FALSE)*F3333</f>
        <v>-1</v>
      </c>
      <c r="AL3333" s="17"/>
      <c r="AM3333" s="17"/>
      <c r="AN3333" s="17"/>
      <c r="AO3333" s="17"/>
      <c r="AP3333" s="17"/>
      <c r="AQ3333" s="17"/>
      <c r="AR3333" s="17"/>
      <c r="AS3333" s="17"/>
      <c r="AT3333" s="17"/>
      <c r="AU3333" s="17"/>
      <c r="AV3333" s="17"/>
    </row>
    <row r="3334" spans="1:48" ht="15.75" customHeight="1">
      <c r="A3334" s="21" t="s">
        <v>76</v>
      </c>
      <c r="B3334" s="23" t="s">
        <v>1692</v>
      </c>
      <c r="C3334" s="25">
        <v>45679</v>
      </c>
      <c r="D3334" s="23" t="s">
        <v>760</v>
      </c>
      <c r="E3334" s="23" t="s">
        <v>201</v>
      </c>
      <c r="F3334" s="14">
        <v>1</v>
      </c>
      <c r="G3334" s="12">
        <v>1499.6316758747698</v>
      </c>
      <c r="H3334" s="12">
        <v>1499.6316758747698</v>
      </c>
      <c r="I3334" s="23" t="s">
        <v>52</v>
      </c>
      <c r="J3334" s="23" t="s">
        <v>61</v>
      </c>
      <c r="K3334" s="24" t="s">
        <v>177</v>
      </c>
      <c r="L3334" s="26">
        <v>93</v>
      </c>
      <c r="M3334" s="12">
        <v>1260.1946856090503</v>
      </c>
      <c r="N3334" s="12">
        <v>1260.1946856090503</v>
      </c>
      <c r="O3334" s="12">
        <v>239.43699026571949</v>
      </c>
      <c r="P3334" s="13"/>
      <c r="Q3334" s="14">
        <v>2025</v>
      </c>
      <c r="R3334" s="15">
        <v>45292</v>
      </c>
      <c r="S3334" s="11" t="s">
        <v>479</v>
      </c>
      <c r="T3334" s="16">
        <v>0</v>
      </c>
      <c r="U3334" s="17"/>
      <c r="V3334" s="12">
        <v>461.86135227571697</v>
      </c>
      <c r="W3334" s="12">
        <v>461.86135227571697</v>
      </c>
      <c r="X3334" s="12">
        <v>0</v>
      </c>
      <c r="Y3334" s="18">
        <v>45677</v>
      </c>
      <c r="Z3334" s="13" t="s">
        <v>515</v>
      </c>
      <c r="AA3334" s="19" t="str">
        <f>VLOOKUP(D3334,Clientes!$A$2:$J$486,9,FALSE)</f>
        <v>Ocacional</v>
      </c>
      <c r="AB3334" s="13" t="str">
        <f>VLOOKUP(D3334,Clientes!$A$2:$K$486,11,FALSE)</f>
        <v>Persona Natural</v>
      </c>
      <c r="AC3334" s="13" t="str">
        <f>VLOOKUP(D3334,Clientes!$A$2:$B$486,2,FALSE)</f>
        <v>Negrillo</v>
      </c>
      <c r="AD3334" s="20"/>
      <c r="AE3334" s="20"/>
      <c r="AF3334" s="13" t="s">
        <v>40</v>
      </c>
      <c r="AG3334" s="15">
        <v>45292</v>
      </c>
      <c r="AH3334" s="13" t="s">
        <v>41</v>
      </c>
      <c r="AI3334" s="13" t="s">
        <v>76</v>
      </c>
      <c r="AJ3334" s="13" t="str">
        <f>VLOOKUP(E3334,Precios!Z$2:AA$941,2,FALSE)</f>
        <v>Lavaloza WYN 750 ml</v>
      </c>
      <c r="AK3334" s="14">
        <f>VLOOKUP(E3334,Precios!Z$2:BB$941,3,FALSE)*F3334</f>
        <v>-1</v>
      </c>
      <c r="AL3334" s="17"/>
      <c r="AM3334" s="17"/>
      <c r="AN3334" s="17"/>
      <c r="AO3334" s="17"/>
      <c r="AP3334" s="17"/>
      <c r="AQ3334" s="17"/>
      <c r="AR3334" s="17"/>
      <c r="AS3334" s="17"/>
      <c r="AT3334" s="17"/>
      <c r="AU3334" s="17"/>
      <c r="AV3334" s="17"/>
    </row>
    <row r="3335" spans="1:48" ht="15.75" customHeight="1">
      <c r="A3335" s="21" t="s">
        <v>53</v>
      </c>
      <c r="B3335" s="23" t="s">
        <v>1692</v>
      </c>
      <c r="C3335" s="25">
        <v>45679</v>
      </c>
      <c r="D3335" s="23" t="s">
        <v>329</v>
      </c>
      <c r="E3335" s="23" t="s">
        <v>55</v>
      </c>
      <c r="F3335" s="14">
        <v>1</v>
      </c>
      <c r="G3335" s="12">
        <v>19989.738327347361</v>
      </c>
      <c r="H3335" s="12">
        <v>19989.738327347361</v>
      </c>
      <c r="I3335" s="23" t="s">
        <v>52</v>
      </c>
      <c r="J3335" s="23" t="s">
        <v>61</v>
      </c>
      <c r="K3335" s="24" t="s">
        <v>177</v>
      </c>
      <c r="L3335" s="26">
        <v>93</v>
      </c>
      <c r="M3335" s="12">
        <v>16798.099434745684</v>
      </c>
      <c r="N3335" s="12">
        <v>16798.099434745684</v>
      </c>
      <c r="O3335" s="12">
        <v>3191.6388926016771</v>
      </c>
      <c r="P3335" s="13"/>
      <c r="Q3335" s="14">
        <v>2025</v>
      </c>
      <c r="R3335" s="15">
        <v>45292</v>
      </c>
      <c r="S3335" s="11" t="s">
        <v>366</v>
      </c>
      <c r="T3335" s="16">
        <v>0</v>
      </c>
      <c r="U3335" s="17"/>
      <c r="V3335" s="12">
        <v>3702.3011154179476</v>
      </c>
      <c r="W3335" s="12">
        <v>3702.3011154179476</v>
      </c>
      <c r="X3335" s="12">
        <v>0</v>
      </c>
      <c r="Y3335" s="18">
        <v>45677</v>
      </c>
      <c r="Z3335" s="13" t="s">
        <v>515</v>
      </c>
      <c r="AA3335" s="19" t="str">
        <f>VLOOKUP(D3335,Clientes!$A$2:$J$486,9,FALSE)</f>
        <v>Ocacional</v>
      </c>
      <c r="AB3335" s="13" t="str">
        <f>VLOOKUP(D3335,Clientes!$A$2:$K$486,11,FALSE)</f>
        <v>Persona Natural</v>
      </c>
      <c r="AC3335" s="13" t="str">
        <f>VLOOKUP(D3335,Clientes!$A$2:$B$486,2,FALSE)</f>
        <v>Sector Enrique Olivares</v>
      </c>
      <c r="AD3335" s="20"/>
      <c r="AE3335" s="20"/>
      <c r="AF3335" s="13" t="s">
        <v>40</v>
      </c>
      <c r="AG3335" s="15">
        <v>45292</v>
      </c>
      <c r="AH3335" s="13" t="s">
        <v>41</v>
      </c>
      <c r="AI3335" s="13" t="s">
        <v>53</v>
      </c>
      <c r="AJ3335" s="13" t="str">
        <f>VLOOKUP(E3335,Precios!Z$2:AA$941,2,FALSE)</f>
        <v>Papel Higienico ELITE 50 metros</v>
      </c>
      <c r="AK3335" s="14">
        <f>VLOOKUP(E3335,Precios!Z$2:BB$941,3,FALSE)*F3335</f>
        <v>-8</v>
      </c>
      <c r="AL3335" s="17"/>
      <c r="AM3335" s="17"/>
      <c r="AN3335" s="17"/>
      <c r="AO3335" s="17"/>
      <c r="AP3335" s="17"/>
      <c r="AQ3335" s="17"/>
      <c r="AR3335" s="17"/>
      <c r="AS3335" s="17"/>
      <c r="AT3335" s="17"/>
      <c r="AU3335" s="17"/>
      <c r="AV3335" s="17"/>
    </row>
    <row r="3336" spans="1:48" ht="15.75" customHeight="1">
      <c r="A3336" s="21" t="s">
        <v>53</v>
      </c>
      <c r="B3336" s="23" t="s">
        <v>1692</v>
      </c>
      <c r="C3336" s="25">
        <v>45679</v>
      </c>
      <c r="D3336" s="23" t="s">
        <v>329</v>
      </c>
      <c r="E3336" s="23" t="s">
        <v>70</v>
      </c>
      <c r="F3336" s="14">
        <v>1</v>
      </c>
      <c r="G3336" s="12">
        <v>5000.3257328990221</v>
      </c>
      <c r="H3336" s="12">
        <v>5000.3257328990221</v>
      </c>
      <c r="I3336" s="23" t="s">
        <v>52</v>
      </c>
      <c r="J3336" s="23" t="s">
        <v>61</v>
      </c>
      <c r="K3336" s="24" t="s">
        <v>177</v>
      </c>
      <c r="L3336" s="26">
        <v>93</v>
      </c>
      <c r="M3336" s="12">
        <v>4201.9543973941363</v>
      </c>
      <c r="N3336" s="12">
        <v>4201.9543973941363</v>
      </c>
      <c r="O3336" s="12">
        <v>798.37133550488579</v>
      </c>
      <c r="P3336" s="13"/>
      <c r="Q3336" s="14">
        <v>2025</v>
      </c>
      <c r="R3336" s="15">
        <v>45292</v>
      </c>
      <c r="S3336" s="11" t="s">
        <v>381</v>
      </c>
      <c r="T3336" s="16">
        <v>300</v>
      </c>
      <c r="U3336" s="17"/>
      <c r="V3336" s="12">
        <v>2008.9543973941363</v>
      </c>
      <c r="W3336" s="12">
        <v>2008.9543973941363</v>
      </c>
      <c r="X3336" s="12">
        <v>0</v>
      </c>
      <c r="Y3336" s="18">
        <v>45677</v>
      </c>
      <c r="Z3336" s="13" t="s">
        <v>515</v>
      </c>
      <c r="AA3336" s="19" t="str">
        <f>VLOOKUP(D3336,Clientes!$A$2:$J$486,9,FALSE)</f>
        <v>Ocacional</v>
      </c>
      <c r="AB3336" s="13" t="str">
        <f>VLOOKUP(D3336,Clientes!$A$2:$K$486,11,FALSE)</f>
        <v>Persona Natural</v>
      </c>
      <c r="AC3336" s="13" t="str">
        <f>VLOOKUP(D3336,Clientes!$A$2:$B$486,2,FALSE)</f>
        <v>Sector Enrique Olivares</v>
      </c>
      <c r="AD3336" s="20"/>
      <c r="AE3336" s="20"/>
      <c r="AF3336" s="13" t="s">
        <v>40</v>
      </c>
      <c r="AG3336" s="15">
        <v>45292</v>
      </c>
      <c r="AH3336" s="13" t="s">
        <v>41</v>
      </c>
      <c r="AI3336" s="13" t="s">
        <v>53</v>
      </c>
      <c r="AJ3336" s="13" t="str">
        <f>VLOOKUP(E3336,Precios!Z$2:AA$941,2,FALSE)</f>
        <v>Servilletas SOFTQUALITY 300 unidades</v>
      </c>
      <c r="AK3336" s="14">
        <f>VLOOKUP(E3336,Precios!Z$2:BB$941,3,FALSE)*F3336</f>
        <v>-3</v>
      </c>
      <c r="AL3336" s="17"/>
      <c r="AM3336" s="17"/>
      <c r="AN3336" s="17"/>
      <c r="AO3336" s="17"/>
      <c r="AP3336" s="17"/>
      <c r="AQ3336" s="17"/>
      <c r="AR3336" s="17"/>
      <c r="AS3336" s="17"/>
      <c r="AT3336" s="17"/>
      <c r="AU3336" s="17"/>
      <c r="AV3336" s="17"/>
    </row>
    <row r="3337" spans="1:48" ht="15.75" customHeight="1">
      <c r="A3337" s="21" t="s">
        <v>47</v>
      </c>
      <c r="B3337" s="23" t="s">
        <v>1692</v>
      </c>
      <c r="C3337" s="25">
        <v>45679</v>
      </c>
      <c r="D3337" s="23" t="s">
        <v>236</v>
      </c>
      <c r="E3337" s="23" t="s">
        <v>92</v>
      </c>
      <c r="F3337" s="14">
        <v>1</v>
      </c>
      <c r="G3337" s="12">
        <v>3400.2970989164628</v>
      </c>
      <c r="H3337" s="12">
        <v>3400.2970989164628</v>
      </c>
      <c r="I3337" s="23" t="s">
        <v>52</v>
      </c>
      <c r="J3337" s="23" t="s">
        <v>61</v>
      </c>
      <c r="K3337" s="24" t="s">
        <v>177</v>
      </c>
      <c r="L3337" s="26">
        <v>93</v>
      </c>
      <c r="M3337" s="12">
        <v>2857.3925200978679</v>
      </c>
      <c r="N3337" s="12">
        <v>2857.3925200978679</v>
      </c>
      <c r="O3337" s="12">
        <v>542.90457881859493</v>
      </c>
      <c r="P3337" s="13"/>
      <c r="Q3337" s="14">
        <v>2025</v>
      </c>
      <c r="R3337" s="15">
        <v>45292</v>
      </c>
      <c r="S3337" s="11" t="s">
        <v>453</v>
      </c>
      <c r="T3337" s="16">
        <v>0</v>
      </c>
      <c r="U3337" s="17"/>
      <c r="V3337" s="12">
        <v>1222.3925200978679</v>
      </c>
      <c r="W3337" s="12">
        <v>1222.3925200978679</v>
      </c>
      <c r="X3337" s="12">
        <v>0</v>
      </c>
      <c r="Y3337" s="18">
        <v>45677</v>
      </c>
      <c r="Z3337" s="13" t="s">
        <v>515</v>
      </c>
      <c r="AA3337" s="19" t="str">
        <f>VLOOKUP(D3337,Clientes!$A$2:$J$486,9,FALSE)</f>
        <v>Familiar</v>
      </c>
      <c r="AB3337" s="13" t="str">
        <f>VLOOKUP(D3337,Clientes!$A$2:$K$486,11,FALSE)</f>
        <v>Persona Natural</v>
      </c>
      <c r="AC3337" s="13" t="str">
        <f>VLOOKUP(D3337,Clientes!$A$2:$B$486,2,FALSE)</f>
        <v>Familiar</v>
      </c>
      <c r="AD3337" s="20"/>
      <c r="AE3337" s="20"/>
      <c r="AF3337" s="13" t="s">
        <v>40</v>
      </c>
      <c r="AG3337" s="15">
        <v>45292</v>
      </c>
      <c r="AH3337" s="13" t="s">
        <v>41</v>
      </c>
      <c r="AI3337" s="13" t="s">
        <v>47</v>
      </c>
      <c r="AJ3337" s="13" t="str">
        <f>VLOOKUP(E3337,Precios!Z$2:AA$941,2,FALSE)</f>
        <v xml:space="preserve">Bolsas Basura TEDDY 70x90 </v>
      </c>
      <c r="AK3337" s="14">
        <f>VLOOKUP(E3337,Precios!Z$2:BB$941,3,FALSE)*F3337</f>
        <v>-3</v>
      </c>
      <c r="AL3337" s="17"/>
      <c r="AM3337" s="17"/>
      <c r="AN3337" s="17"/>
      <c r="AO3337" s="17"/>
      <c r="AP3337" s="17"/>
      <c r="AQ3337" s="17"/>
      <c r="AR3337" s="17"/>
      <c r="AS3337" s="17"/>
      <c r="AT3337" s="17"/>
      <c r="AU3337" s="17"/>
      <c r="AV3337" s="17"/>
    </row>
    <row r="3338" spans="1:48" ht="15.75" customHeight="1">
      <c r="A3338" s="21" t="s">
        <v>56</v>
      </c>
      <c r="B3338" s="23" t="s">
        <v>1692</v>
      </c>
      <c r="C3338" s="25">
        <v>45679</v>
      </c>
      <c r="D3338" s="23" t="s">
        <v>915</v>
      </c>
      <c r="E3338" s="23" t="s">
        <v>190</v>
      </c>
      <c r="F3338" s="14">
        <v>1</v>
      </c>
      <c r="G3338" s="12">
        <v>2500</v>
      </c>
      <c r="H3338" s="37">
        <v>2500</v>
      </c>
      <c r="I3338" s="23" t="s">
        <v>52</v>
      </c>
      <c r="J3338" s="23" t="s">
        <v>61</v>
      </c>
      <c r="K3338" s="24" t="s">
        <v>177</v>
      </c>
      <c r="L3338" s="26">
        <v>93</v>
      </c>
      <c r="M3338" s="12">
        <v>2100.840336134454</v>
      </c>
      <c r="N3338" s="12">
        <v>2100.840336134454</v>
      </c>
      <c r="O3338" s="12">
        <v>399.15966386554601</v>
      </c>
      <c r="P3338" s="13"/>
      <c r="Q3338" s="14">
        <v>2025</v>
      </c>
      <c r="R3338" s="15">
        <v>45292</v>
      </c>
      <c r="S3338" s="11" t="s">
        <v>492</v>
      </c>
      <c r="T3338" s="16">
        <v>200</v>
      </c>
      <c r="U3338" s="17"/>
      <c r="V3338" s="12">
        <v>631.93277310924373</v>
      </c>
      <c r="W3338" s="12">
        <v>631.93277310924373</v>
      </c>
      <c r="X3338" s="12">
        <v>0</v>
      </c>
      <c r="Y3338" s="18">
        <v>45677</v>
      </c>
      <c r="Z3338" s="13" t="s">
        <v>515</v>
      </c>
      <c r="AA3338" s="19" t="str">
        <f>VLOOKUP(D3338,Clientes!$A$2:$J$486,9,FALSE)</f>
        <v>Regular</v>
      </c>
      <c r="AB3338" s="13" t="str">
        <f>VLOOKUP(D3338,Clientes!$A$2:$K$486,11,FALSE)</f>
        <v>Persona Natural</v>
      </c>
      <c r="AC3338" s="13" t="str">
        <f>VLOOKUP(D3338,Clientes!$A$2:$B$486,2,FALSE)</f>
        <v>Jardin del Eden</v>
      </c>
      <c r="AD3338" s="20"/>
      <c r="AE3338" s="20"/>
      <c r="AF3338" s="13" t="s">
        <v>40</v>
      </c>
      <c r="AG3338" s="15">
        <v>45292</v>
      </c>
      <c r="AH3338" s="13" t="s">
        <v>41</v>
      </c>
      <c r="AI3338" s="13" t="s">
        <v>56</v>
      </c>
      <c r="AJ3338" s="13" t="str">
        <f>VLOOKUP(E3338,Precios!Z$2:AA$941,2,FALSE)</f>
        <v>Mantequilla RUMAY</v>
      </c>
      <c r="AK3338" s="14">
        <f>VLOOKUP(E3338,Precios!Z$2:BB$941,3,FALSE)*F3338</f>
        <v>-1</v>
      </c>
      <c r="AL3338" s="17"/>
      <c r="AM3338" s="17"/>
      <c r="AN3338" s="17"/>
      <c r="AO3338" s="17"/>
      <c r="AP3338" s="17"/>
      <c r="AQ3338" s="17"/>
      <c r="AR3338" s="17"/>
      <c r="AS3338" s="17"/>
      <c r="AT3338" s="17"/>
      <c r="AU3338" s="17"/>
      <c r="AV3338" s="17"/>
    </row>
    <row r="3339" spans="1:48" ht="15.75" customHeight="1">
      <c r="A3339" s="21" t="s">
        <v>43</v>
      </c>
      <c r="B3339" s="23" t="s">
        <v>1692</v>
      </c>
      <c r="C3339" s="22">
        <v>45679</v>
      </c>
      <c r="D3339" s="23" t="s">
        <v>331</v>
      </c>
      <c r="E3339" s="23" t="s">
        <v>45</v>
      </c>
      <c r="F3339" s="21">
        <v>1</v>
      </c>
      <c r="G3339" s="12">
        <v>6199.9861072520143</v>
      </c>
      <c r="H3339" s="12">
        <v>6199.9861072520143</v>
      </c>
      <c r="I3339" s="23" t="s">
        <v>52</v>
      </c>
      <c r="J3339" s="23" t="s">
        <v>61</v>
      </c>
      <c r="K3339" s="24" t="s">
        <v>177</v>
      </c>
      <c r="L3339" s="26">
        <v>93</v>
      </c>
      <c r="M3339" s="12">
        <v>5210.0723590353064</v>
      </c>
      <c r="N3339" s="12">
        <v>5210.0723590353064</v>
      </c>
      <c r="O3339" s="12">
        <v>989.91374821670797</v>
      </c>
      <c r="P3339" s="13"/>
      <c r="Q3339" s="14">
        <v>2025</v>
      </c>
      <c r="R3339" s="15">
        <v>45292</v>
      </c>
      <c r="S3339" s="11" t="s">
        <v>355</v>
      </c>
      <c r="T3339" s="16">
        <v>0</v>
      </c>
      <c r="U3339" s="17"/>
      <c r="V3339" s="12">
        <v>1459.862275001693</v>
      </c>
      <c r="W3339" s="12">
        <v>1459.862275001693</v>
      </c>
      <c r="X3339" s="12">
        <v>0</v>
      </c>
      <c r="Y3339" s="18">
        <v>45677</v>
      </c>
      <c r="Z3339" s="13" t="s">
        <v>515</v>
      </c>
      <c r="AA3339" s="19" t="str">
        <f>VLOOKUP(D3339,Clientes!$A$2:$J$486,9,FALSE)</f>
        <v>Frecuente</v>
      </c>
      <c r="AB3339" s="13" t="str">
        <f>VLOOKUP(D3339,Clientes!$A$2:$K$486,11,FALSE)</f>
        <v>Persona Natural</v>
      </c>
      <c r="AC3339" s="13" t="str">
        <f>VLOOKUP(D3339,Clientes!$A$2:$B$486,2,FALSE)</f>
        <v>Sector Palena</v>
      </c>
      <c r="AD3339" s="20"/>
      <c r="AE3339" s="20"/>
      <c r="AF3339" s="13" t="s">
        <v>40</v>
      </c>
      <c r="AG3339" s="15">
        <v>45292</v>
      </c>
      <c r="AH3339" s="13" t="s">
        <v>41</v>
      </c>
      <c r="AI3339" s="13" t="s">
        <v>43</v>
      </c>
      <c r="AJ3339" s="13" t="str">
        <f>VLOOKUP(E3339,Precios!Z$2:AA$941,2,FALSE)</f>
        <v>Bandeja Huevos EXTRA</v>
      </c>
      <c r="AK3339" s="14">
        <f>VLOOKUP(E3339,Precios!Z$2:BB$941,3,FALSE)*F3339</f>
        <v>-1</v>
      </c>
      <c r="AL3339" s="17"/>
      <c r="AM3339" s="17"/>
      <c r="AN3339" s="17"/>
      <c r="AO3339" s="17"/>
      <c r="AP3339" s="17"/>
      <c r="AQ3339" s="17"/>
      <c r="AR3339" s="17"/>
      <c r="AS3339" s="17"/>
      <c r="AT3339" s="17"/>
      <c r="AU3339" s="17"/>
      <c r="AV3339" s="17"/>
    </row>
    <row r="3340" spans="1:48" ht="15.75" customHeight="1">
      <c r="A3340" s="21" t="s">
        <v>35</v>
      </c>
      <c r="B3340" s="23" t="s">
        <v>1692</v>
      </c>
      <c r="C3340" s="25">
        <v>45678</v>
      </c>
      <c r="D3340" s="23" t="s">
        <v>119</v>
      </c>
      <c r="E3340" s="23" t="s">
        <v>37</v>
      </c>
      <c r="F3340" s="21">
        <v>1</v>
      </c>
      <c r="G3340" s="12">
        <v>10500</v>
      </c>
      <c r="H3340" s="12">
        <v>10500</v>
      </c>
      <c r="I3340" s="23" t="s">
        <v>52</v>
      </c>
      <c r="J3340" s="23" t="s">
        <v>61</v>
      </c>
      <c r="K3340" s="24" t="s">
        <v>177</v>
      </c>
      <c r="L3340" s="26">
        <v>92</v>
      </c>
      <c r="M3340" s="12">
        <v>8823.5294117647063</v>
      </c>
      <c r="N3340" s="12">
        <v>8823.5294117647063</v>
      </c>
      <c r="O3340" s="12">
        <v>1676.4705882352937</v>
      </c>
      <c r="P3340" s="13"/>
      <c r="Q3340" s="14">
        <v>2025</v>
      </c>
      <c r="R3340" s="15">
        <v>45292</v>
      </c>
      <c r="S3340" s="11" t="s">
        <v>364</v>
      </c>
      <c r="T3340" s="16">
        <v>1000</v>
      </c>
      <c r="U3340" s="17"/>
      <c r="V3340" s="12">
        <v>2385.7142857142853</v>
      </c>
      <c r="W3340" s="12">
        <v>2385.7142857142853</v>
      </c>
      <c r="X3340" s="12">
        <v>0</v>
      </c>
      <c r="Y3340" s="18">
        <v>45677</v>
      </c>
      <c r="Z3340" s="13" t="s">
        <v>516</v>
      </c>
      <c r="AA3340" s="19" t="str">
        <f>VLOOKUP(D3340,Clientes!$A$2:$J$486,9,FALSE)</f>
        <v>Ocacional</v>
      </c>
      <c r="AB3340" s="13" t="str">
        <f>VLOOKUP(D3340,Clientes!$A$2:$K$486,11,FALSE)</f>
        <v>Persona Natural</v>
      </c>
      <c r="AC3340" s="13" t="str">
        <f>VLOOKUP(D3340,Clientes!$A$2:$B$486,2,FALSE)</f>
        <v>Conjunto Ingles</v>
      </c>
      <c r="AD3340" s="20"/>
      <c r="AE3340" s="20"/>
      <c r="AF3340" s="13" t="s">
        <v>40</v>
      </c>
      <c r="AG3340" s="15">
        <v>45292</v>
      </c>
      <c r="AH3340" s="13" t="s">
        <v>41</v>
      </c>
      <c r="AI3340" s="13" t="s">
        <v>35</v>
      </c>
      <c r="AJ3340" s="13" t="str">
        <f>VLOOKUP(E3340,Precios!Z$2:AA$941,2,FALSE)</f>
        <v>Queso RUNCA Mantecoso</v>
      </c>
      <c r="AK3340" s="14">
        <f>VLOOKUP(E3340,Precios!Z$2:BB$941,3,FALSE)*F3340</f>
        <v>-1</v>
      </c>
      <c r="AL3340" s="17"/>
      <c r="AM3340" s="17"/>
      <c r="AN3340" s="17"/>
      <c r="AO3340" s="17"/>
      <c r="AP3340" s="17"/>
      <c r="AQ3340" s="17"/>
      <c r="AR3340" s="17"/>
      <c r="AS3340" s="17"/>
      <c r="AT3340" s="17"/>
      <c r="AU3340" s="17"/>
      <c r="AV3340" s="17"/>
    </row>
    <row r="3341" spans="1:48" ht="15.75" customHeight="1">
      <c r="A3341" s="21" t="s">
        <v>50</v>
      </c>
      <c r="B3341" s="23" t="s">
        <v>1692</v>
      </c>
      <c r="C3341" s="25">
        <v>45678</v>
      </c>
      <c r="D3341" s="23" t="s">
        <v>229</v>
      </c>
      <c r="E3341" s="23" t="s">
        <v>51</v>
      </c>
      <c r="F3341" s="21">
        <v>3</v>
      </c>
      <c r="G3341" s="12">
        <v>1000</v>
      </c>
      <c r="H3341" s="12">
        <v>3000</v>
      </c>
      <c r="I3341" s="23" t="s">
        <v>52</v>
      </c>
      <c r="J3341" s="23" t="s">
        <v>61</v>
      </c>
      <c r="K3341" s="24" t="s">
        <v>177</v>
      </c>
      <c r="L3341" s="26">
        <v>92</v>
      </c>
      <c r="M3341" s="12">
        <v>840.3361344537816</v>
      </c>
      <c r="N3341" s="12">
        <v>2521.0084033613448</v>
      </c>
      <c r="O3341" s="12">
        <v>478.99159663865521</v>
      </c>
      <c r="P3341" s="13"/>
      <c r="Q3341" s="14">
        <v>2025</v>
      </c>
      <c r="R3341" s="15">
        <v>45292</v>
      </c>
      <c r="S3341" s="11" t="s">
        <v>51</v>
      </c>
      <c r="T3341" s="16">
        <v>0</v>
      </c>
      <c r="U3341" s="17"/>
      <c r="V3341" s="12">
        <v>1449.579831932773</v>
      </c>
      <c r="W3341" s="12">
        <v>1449.579831932773</v>
      </c>
      <c r="X3341" s="12">
        <v>0</v>
      </c>
      <c r="Y3341" s="18">
        <v>45677</v>
      </c>
      <c r="Z3341" s="13" t="s">
        <v>516</v>
      </c>
      <c r="AA3341" s="19" t="str">
        <f>VLOOKUP(D3341,Clientes!$A$2:$J$486,9,FALSE)</f>
        <v>Frecuente</v>
      </c>
      <c r="AB3341" s="13" t="str">
        <f>VLOOKUP(D3341,Clientes!$A$2:$K$486,11,FALSE)</f>
        <v>Persona Natural</v>
      </c>
      <c r="AC3341" s="13" t="str">
        <f>VLOOKUP(D3341,Clientes!$A$2:$B$486,2,FALSE)</f>
        <v>Sector Santa Delia</v>
      </c>
      <c r="AD3341" s="20"/>
      <c r="AE3341" s="20"/>
      <c r="AF3341" s="13" t="s">
        <v>40</v>
      </c>
      <c r="AG3341" s="15">
        <v>45292</v>
      </c>
      <c r="AH3341" s="13" t="s">
        <v>41</v>
      </c>
      <c r="AI3341" s="13" t="s">
        <v>50</v>
      </c>
      <c r="AJ3341" s="13" t="str">
        <f>VLOOKUP(E3341,Precios!Z$2:AA$941,2,FALSE)</f>
        <v>Hielo 1 Kilo</v>
      </c>
      <c r="AK3341" s="14">
        <f>VLOOKUP(E3341,Precios!Z$2:BB$941,3,FALSE)*F3341</f>
        <v>-3</v>
      </c>
      <c r="AL3341" s="17"/>
      <c r="AM3341" s="17"/>
      <c r="AN3341" s="17"/>
      <c r="AO3341" s="17"/>
      <c r="AP3341" s="17"/>
      <c r="AQ3341" s="17"/>
      <c r="AR3341" s="17"/>
      <c r="AS3341" s="17"/>
      <c r="AT3341" s="17"/>
      <c r="AU3341" s="17"/>
      <c r="AV3341" s="17"/>
    </row>
    <row r="3342" spans="1:48" ht="15.75" customHeight="1">
      <c r="A3342" s="21" t="s">
        <v>53</v>
      </c>
      <c r="B3342" s="23" t="s">
        <v>1692</v>
      </c>
      <c r="C3342" s="25">
        <v>45678</v>
      </c>
      <c r="D3342" s="23" t="s">
        <v>769</v>
      </c>
      <c r="E3342" s="23" t="s">
        <v>192</v>
      </c>
      <c r="F3342" s="14">
        <v>1</v>
      </c>
      <c r="G3342" s="12">
        <v>15990.211345939933</v>
      </c>
      <c r="H3342" s="12">
        <v>15990.211345939933</v>
      </c>
      <c r="I3342" s="23" t="s">
        <v>52</v>
      </c>
      <c r="J3342" s="23" t="s">
        <v>61</v>
      </c>
      <c r="K3342" s="24" t="s">
        <v>177</v>
      </c>
      <c r="L3342" s="26">
        <v>92</v>
      </c>
      <c r="M3342" s="12">
        <v>13437.152391546164</v>
      </c>
      <c r="N3342" s="12">
        <v>13437.152391546164</v>
      </c>
      <c r="O3342" s="12">
        <v>2553.0589543937695</v>
      </c>
      <c r="P3342" s="13"/>
      <c r="Q3342" s="14">
        <v>2025</v>
      </c>
      <c r="R3342" s="15">
        <v>45292</v>
      </c>
      <c r="S3342" s="11" t="s">
        <v>435</v>
      </c>
      <c r="T3342" s="16">
        <v>0</v>
      </c>
      <c r="U3342" s="17"/>
      <c r="V3342" s="12">
        <v>3773.1523915461621</v>
      </c>
      <c r="W3342" s="12">
        <v>3773.1523915461621</v>
      </c>
      <c r="X3342" s="12">
        <v>0</v>
      </c>
      <c r="Y3342" s="18">
        <v>45677</v>
      </c>
      <c r="Z3342" s="13" t="s">
        <v>516</v>
      </c>
      <c r="AA3342" s="19" t="str">
        <f>VLOOKUP(D3342,Clientes!$A$2:$J$486,9,FALSE)</f>
        <v>Ocacional</v>
      </c>
      <c r="AB3342" s="13" t="str">
        <f>VLOOKUP(D3342,Clientes!$A$2:$K$486,11,FALSE)</f>
        <v>Persona Natural</v>
      </c>
      <c r="AC3342" s="13" t="str">
        <f>VLOOKUP(D3342,Clientes!$A$2:$B$486,2,FALSE)</f>
        <v>Sector Marcela Paz</v>
      </c>
      <c r="AD3342" s="20"/>
      <c r="AE3342" s="20"/>
      <c r="AF3342" s="13" t="s">
        <v>40</v>
      </c>
      <c r="AG3342" s="15">
        <v>45292</v>
      </c>
      <c r="AH3342" s="13" t="s">
        <v>41</v>
      </c>
      <c r="AI3342" s="13" t="s">
        <v>53</v>
      </c>
      <c r="AJ3342" s="13" t="str">
        <f>VLOOKUP(E3342,Precios!Z$2:AA$941,2,FALSE)</f>
        <v>Papel Higienico SWAN 400 hojas</v>
      </c>
      <c r="AK3342" s="14">
        <f>VLOOKUP(E3342,Precios!Z$2:BB$941,3,FALSE)*F3342</f>
        <v>-8</v>
      </c>
      <c r="AL3342" s="17"/>
      <c r="AM3342" s="17"/>
      <c r="AN3342" s="17"/>
      <c r="AO3342" s="17"/>
      <c r="AP3342" s="17"/>
      <c r="AQ3342" s="17"/>
      <c r="AR3342" s="17"/>
      <c r="AS3342" s="17"/>
      <c r="AT3342" s="17"/>
      <c r="AU3342" s="17"/>
      <c r="AV3342" s="17"/>
    </row>
    <row r="3343" spans="1:48" ht="15.75" customHeight="1">
      <c r="A3343" s="21" t="s">
        <v>76</v>
      </c>
      <c r="B3343" s="23" t="s">
        <v>1692</v>
      </c>
      <c r="C3343" s="25">
        <v>45678</v>
      </c>
      <c r="D3343" s="23" t="s">
        <v>769</v>
      </c>
      <c r="E3343" s="23" t="s">
        <v>202</v>
      </c>
      <c r="F3343" s="21">
        <v>2</v>
      </c>
      <c r="G3343" s="12">
        <v>1500.2338716794634</v>
      </c>
      <c r="H3343" s="12">
        <v>3000.4677433589268</v>
      </c>
      <c r="I3343" s="23" t="s">
        <v>52</v>
      </c>
      <c r="J3343" s="23" t="s">
        <v>61</v>
      </c>
      <c r="K3343" s="24" t="s">
        <v>177</v>
      </c>
      <c r="L3343" s="26">
        <v>92</v>
      </c>
      <c r="M3343" s="12">
        <v>1260.7007325037507</v>
      </c>
      <c r="N3343" s="12">
        <v>2521.4014650075014</v>
      </c>
      <c r="O3343" s="12">
        <v>479.06627835142535</v>
      </c>
      <c r="P3343" s="13"/>
      <c r="Q3343" s="14">
        <v>2025</v>
      </c>
      <c r="R3343" s="15">
        <v>45292</v>
      </c>
      <c r="S3343" s="11" t="s">
        <v>448</v>
      </c>
      <c r="T3343" s="16">
        <v>0</v>
      </c>
      <c r="U3343" s="17"/>
      <c r="V3343" s="12">
        <v>1092.9014650075014</v>
      </c>
      <c r="W3343" s="12">
        <v>1092.9014650075014</v>
      </c>
      <c r="X3343" s="12">
        <v>0</v>
      </c>
      <c r="Y3343" s="18">
        <v>45677</v>
      </c>
      <c r="Z3343" s="13" t="s">
        <v>516</v>
      </c>
      <c r="AA3343" s="19" t="str">
        <f>VLOOKUP(D3343,Clientes!$A$2:$J$486,9,FALSE)</f>
        <v>Ocacional</v>
      </c>
      <c r="AB3343" s="13" t="str">
        <f>VLOOKUP(D3343,Clientes!$A$2:$K$486,11,FALSE)</f>
        <v>Persona Natural</v>
      </c>
      <c r="AC3343" s="13" t="str">
        <f>VLOOKUP(D3343,Clientes!$A$2:$B$486,2,FALSE)</f>
        <v>Sector Marcela Paz</v>
      </c>
      <c r="AD3343" s="20"/>
      <c r="AE3343" s="20"/>
      <c r="AF3343" s="13" t="s">
        <v>40</v>
      </c>
      <c r="AG3343" s="15">
        <v>45292</v>
      </c>
      <c r="AH3343" s="13" t="s">
        <v>41</v>
      </c>
      <c r="AI3343" s="13" t="s">
        <v>76</v>
      </c>
      <c r="AJ3343" s="13" t="str">
        <f>VLOOKUP(E3343,Precios!Z$2:AA$941,2,FALSE)</f>
        <v>Cloro GEL EXCELL 900ml</v>
      </c>
      <c r="AK3343" s="14">
        <f>VLOOKUP(E3343,Precios!Z$2:BB$941,3,FALSE)*F3343</f>
        <v>-2</v>
      </c>
      <c r="AL3343" s="17"/>
      <c r="AM3343" s="17"/>
      <c r="AN3343" s="17"/>
      <c r="AO3343" s="17"/>
      <c r="AP3343" s="17"/>
      <c r="AQ3343" s="17"/>
      <c r="AR3343" s="17"/>
      <c r="AS3343" s="17"/>
      <c r="AT3343" s="17"/>
      <c r="AU3343" s="17"/>
      <c r="AV3343" s="17"/>
    </row>
    <row r="3344" spans="1:48" ht="15.75" customHeight="1">
      <c r="A3344" s="21" t="s">
        <v>76</v>
      </c>
      <c r="B3344" s="23" t="s">
        <v>1692</v>
      </c>
      <c r="C3344" s="25">
        <v>45678</v>
      </c>
      <c r="D3344" s="23" t="s">
        <v>769</v>
      </c>
      <c r="E3344" s="23" t="s">
        <v>82</v>
      </c>
      <c r="F3344" s="21">
        <v>1</v>
      </c>
      <c r="G3344" s="12">
        <v>2000.0000000000002</v>
      </c>
      <c r="H3344" s="12">
        <v>2000.0000000000002</v>
      </c>
      <c r="I3344" s="23" t="s">
        <v>52</v>
      </c>
      <c r="J3344" s="23" t="s">
        <v>61</v>
      </c>
      <c r="K3344" s="24" t="s">
        <v>177</v>
      </c>
      <c r="L3344" s="26">
        <v>92</v>
      </c>
      <c r="M3344" s="12">
        <v>1680.6722689075632</v>
      </c>
      <c r="N3344" s="12">
        <v>1680.6722689075632</v>
      </c>
      <c r="O3344" s="12">
        <v>319.32773109243703</v>
      </c>
      <c r="P3344" s="13"/>
      <c r="Q3344" s="14">
        <v>2025</v>
      </c>
      <c r="R3344" s="15">
        <v>45292</v>
      </c>
      <c r="S3344" s="11" t="s">
        <v>463</v>
      </c>
      <c r="T3344" s="16">
        <v>5</v>
      </c>
      <c r="U3344" s="17"/>
      <c r="V3344" s="12">
        <v>680.67226890756319</v>
      </c>
      <c r="W3344" s="12">
        <v>680.67226890756319</v>
      </c>
      <c r="X3344" s="12">
        <v>0</v>
      </c>
      <c r="Y3344" s="18">
        <v>45677</v>
      </c>
      <c r="Z3344" s="13" t="s">
        <v>516</v>
      </c>
      <c r="AA3344" s="19" t="str">
        <f>VLOOKUP(D3344,Clientes!$A$2:$J$486,9,FALSE)</f>
        <v>Ocacional</v>
      </c>
      <c r="AB3344" s="13" t="str">
        <f>VLOOKUP(D3344,Clientes!$A$2:$K$486,11,FALSE)</f>
        <v>Persona Natural</v>
      </c>
      <c r="AC3344" s="13" t="str">
        <f>VLOOKUP(D3344,Clientes!$A$2:$B$486,2,FALSE)</f>
        <v>Sector Marcela Paz</v>
      </c>
      <c r="AD3344" s="20"/>
      <c r="AE3344" s="20"/>
      <c r="AF3344" s="13" t="s">
        <v>40</v>
      </c>
      <c r="AG3344" s="15">
        <v>45292</v>
      </c>
      <c r="AH3344" s="13" t="s">
        <v>41</v>
      </c>
      <c r="AI3344" s="13" t="s">
        <v>76</v>
      </c>
      <c r="AJ3344" s="13" t="str">
        <f>VLOOKUP(E3344,Precios!Z$2:AA$941,2,FALSE)</f>
        <v>Limpiapiso SPUM 5 Litros</v>
      </c>
      <c r="AK3344" s="14">
        <f>VLOOKUP(E3344,Precios!Z$2:BB$941,3,FALSE)*F3344</f>
        <v>-1</v>
      </c>
      <c r="AL3344" s="17"/>
      <c r="AM3344" s="17"/>
      <c r="AN3344" s="17"/>
      <c r="AO3344" s="17"/>
      <c r="AP3344" s="17"/>
      <c r="AQ3344" s="17"/>
      <c r="AR3344" s="17"/>
      <c r="AS3344" s="17"/>
      <c r="AT3344" s="17"/>
      <c r="AU3344" s="17"/>
      <c r="AV3344" s="17"/>
    </row>
    <row r="3345" spans="1:48" ht="15.75" customHeight="1">
      <c r="A3345" s="21" t="s">
        <v>76</v>
      </c>
      <c r="B3345" s="23" t="s">
        <v>1692</v>
      </c>
      <c r="C3345" s="25">
        <v>45678</v>
      </c>
      <c r="D3345" s="23" t="s">
        <v>769</v>
      </c>
      <c r="E3345" s="23" t="s">
        <v>349</v>
      </c>
      <c r="F3345" s="21">
        <v>1</v>
      </c>
      <c r="G3345" s="12">
        <v>3999.8127946357149</v>
      </c>
      <c r="H3345" s="12">
        <v>3999.8127946357149</v>
      </c>
      <c r="I3345" s="23" t="s">
        <v>52</v>
      </c>
      <c r="J3345" s="23" t="s">
        <v>61</v>
      </c>
      <c r="K3345" s="24" t="s">
        <v>177</v>
      </c>
      <c r="L3345" s="26">
        <v>92</v>
      </c>
      <c r="M3345" s="12">
        <v>3361.1872223829537</v>
      </c>
      <c r="N3345" s="12">
        <v>3361.1872223829537</v>
      </c>
      <c r="O3345" s="12">
        <v>638.62557225276123</v>
      </c>
      <c r="P3345" s="13"/>
      <c r="Q3345" s="14">
        <v>2025</v>
      </c>
      <c r="R3345" s="15">
        <v>45292</v>
      </c>
      <c r="S3345" s="11" t="s">
        <v>550</v>
      </c>
      <c r="T3345" s="16">
        <v>5</v>
      </c>
      <c r="U3345" s="17"/>
      <c r="V3345" s="12">
        <v>1386.1872223829537</v>
      </c>
      <c r="W3345" s="12">
        <v>1386.1872223829537</v>
      </c>
      <c r="X3345" s="12">
        <v>0</v>
      </c>
      <c r="Y3345" s="18">
        <v>45677</v>
      </c>
      <c r="Z3345" s="13" t="s">
        <v>516</v>
      </c>
      <c r="AA3345" s="19" t="str">
        <f>VLOOKUP(D3345,Clientes!$A$2:$J$486,9,FALSE)</f>
        <v>Ocacional</v>
      </c>
      <c r="AB3345" s="13" t="str">
        <f>VLOOKUP(D3345,Clientes!$A$2:$K$486,11,FALSE)</f>
        <v>Persona Natural</v>
      </c>
      <c r="AC3345" s="13" t="str">
        <f>VLOOKUP(D3345,Clientes!$A$2:$B$486,2,FALSE)</f>
        <v>Sector Marcela Paz</v>
      </c>
      <c r="AD3345" s="20"/>
      <c r="AE3345" s="20"/>
      <c r="AF3345" s="13" t="s">
        <v>40</v>
      </c>
      <c r="AG3345" s="15">
        <v>45292</v>
      </c>
      <c r="AH3345" s="13" t="s">
        <v>41</v>
      </c>
      <c r="AI3345" s="13" t="s">
        <v>76</v>
      </c>
      <c r="AJ3345" s="13" t="str">
        <f>VLOOKUP(E3345,Precios!Z$2:AA$941,2,FALSE)</f>
        <v>Antigrasa SPUM 5 Litros</v>
      </c>
      <c r="AK3345" s="14">
        <f>VLOOKUP(E3345,Precios!Z$2:BB$941,3,FALSE)*F3345</f>
        <v>-1</v>
      </c>
      <c r="AL3345" s="17"/>
      <c r="AM3345" s="17"/>
      <c r="AN3345" s="17"/>
      <c r="AO3345" s="17"/>
      <c r="AP3345" s="17"/>
      <c r="AQ3345" s="17"/>
      <c r="AR3345" s="17"/>
      <c r="AS3345" s="17"/>
      <c r="AT3345" s="17"/>
      <c r="AU3345" s="17"/>
      <c r="AV3345" s="17"/>
    </row>
    <row r="3346" spans="1:48" ht="15.75" customHeight="1">
      <c r="A3346" s="21" t="s">
        <v>76</v>
      </c>
      <c r="B3346" s="23" t="s">
        <v>1692</v>
      </c>
      <c r="C3346" s="25">
        <v>45678</v>
      </c>
      <c r="D3346" s="23" t="s">
        <v>769</v>
      </c>
      <c r="E3346" s="23" t="s">
        <v>81</v>
      </c>
      <c r="F3346" s="21">
        <v>1</v>
      </c>
      <c r="G3346" s="12">
        <v>3500.0000000000005</v>
      </c>
      <c r="H3346" s="12">
        <v>3500.0000000000005</v>
      </c>
      <c r="I3346" s="23" t="s">
        <v>52</v>
      </c>
      <c r="J3346" s="23" t="s">
        <v>61</v>
      </c>
      <c r="K3346" s="24" t="s">
        <v>177</v>
      </c>
      <c r="L3346" s="26">
        <v>92</v>
      </c>
      <c r="M3346" s="12">
        <v>2941.1764705882356</v>
      </c>
      <c r="N3346" s="12">
        <v>2941.1764705882356</v>
      </c>
      <c r="O3346" s="12">
        <v>558.82352941176487</v>
      </c>
      <c r="P3346" s="13"/>
      <c r="Q3346" s="14">
        <v>2025</v>
      </c>
      <c r="R3346" s="15">
        <v>45292</v>
      </c>
      <c r="S3346" s="11" t="s">
        <v>397</v>
      </c>
      <c r="T3346" s="16">
        <v>5</v>
      </c>
      <c r="U3346" s="17"/>
      <c r="V3346" s="12">
        <v>764.70588235294144</v>
      </c>
      <c r="W3346" s="12">
        <v>764.70588235294144</v>
      </c>
      <c r="X3346" s="12">
        <v>0</v>
      </c>
      <c r="Y3346" s="18">
        <v>45677</v>
      </c>
      <c r="Z3346" s="13" t="s">
        <v>516</v>
      </c>
      <c r="AA3346" s="19" t="str">
        <f>VLOOKUP(D3346,Clientes!$A$2:$J$486,9,FALSE)</f>
        <v>Ocacional</v>
      </c>
      <c r="AB3346" s="13" t="str">
        <f>VLOOKUP(D3346,Clientes!$A$2:$K$486,11,FALSE)</f>
        <v>Persona Natural</v>
      </c>
      <c r="AC3346" s="13" t="str">
        <f>VLOOKUP(D3346,Clientes!$A$2:$B$486,2,FALSE)</f>
        <v>Sector Marcela Paz</v>
      </c>
      <c r="AD3346" s="20"/>
      <c r="AE3346" s="20"/>
      <c r="AF3346" s="13" t="s">
        <v>40</v>
      </c>
      <c r="AG3346" s="15">
        <v>45292</v>
      </c>
      <c r="AH3346" s="13" t="s">
        <v>41</v>
      </c>
      <c r="AI3346" s="13" t="s">
        <v>76</v>
      </c>
      <c r="AJ3346" s="13" t="str">
        <f>VLOOKUP(E3346,Precios!Z$2:AA$941,2,FALSE)</f>
        <v>Detergente SPUM 5 Litros (Verde)</v>
      </c>
      <c r="AK3346" s="14">
        <f>VLOOKUP(E3346,Precios!Z$2:BB$941,3,FALSE)*F3346</f>
        <v>-1</v>
      </c>
      <c r="AL3346" s="17"/>
      <c r="AM3346" s="17"/>
      <c r="AN3346" s="17"/>
      <c r="AO3346" s="17"/>
      <c r="AP3346" s="17"/>
      <c r="AQ3346" s="17"/>
      <c r="AR3346" s="17"/>
      <c r="AS3346" s="17"/>
      <c r="AT3346" s="17"/>
      <c r="AU3346" s="17"/>
      <c r="AV3346" s="17"/>
    </row>
    <row r="3347" spans="1:48" ht="15.75" customHeight="1">
      <c r="A3347" s="21" t="s">
        <v>76</v>
      </c>
      <c r="B3347" s="23" t="s">
        <v>1692</v>
      </c>
      <c r="C3347" s="25">
        <v>45678</v>
      </c>
      <c r="D3347" s="23" t="s">
        <v>769</v>
      </c>
      <c r="E3347" s="23" t="s">
        <v>137</v>
      </c>
      <c r="F3347" s="21">
        <v>1</v>
      </c>
      <c r="G3347" s="12">
        <v>3500.0000000000005</v>
      </c>
      <c r="H3347" s="12">
        <v>3500.0000000000005</v>
      </c>
      <c r="I3347" s="23" t="s">
        <v>52</v>
      </c>
      <c r="J3347" s="23" t="s">
        <v>61</v>
      </c>
      <c r="K3347" s="24" t="s">
        <v>177</v>
      </c>
      <c r="L3347" s="26">
        <v>92</v>
      </c>
      <c r="M3347" s="12">
        <v>2941.1764705882356</v>
      </c>
      <c r="N3347" s="12">
        <v>2941.1764705882356</v>
      </c>
      <c r="O3347" s="12">
        <v>558.82352941176487</v>
      </c>
      <c r="P3347" s="13"/>
      <c r="Q3347" s="14">
        <v>2025</v>
      </c>
      <c r="R3347" s="15">
        <v>45292</v>
      </c>
      <c r="S3347" s="11" t="s">
        <v>406</v>
      </c>
      <c r="T3347" s="16">
        <v>5</v>
      </c>
      <c r="U3347" s="17"/>
      <c r="V3347" s="12">
        <v>848.73949579831969</v>
      </c>
      <c r="W3347" s="12">
        <v>848.73949579831969</v>
      </c>
      <c r="X3347" s="12">
        <v>0</v>
      </c>
      <c r="Y3347" s="18">
        <v>45677</v>
      </c>
      <c r="Z3347" s="13" t="s">
        <v>516</v>
      </c>
      <c r="AA3347" s="19" t="str">
        <f>VLOOKUP(D3347,Clientes!$A$2:$J$486,9,FALSE)</f>
        <v>Ocacional</v>
      </c>
      <c r="AB3347" s="13" t="str">
        <f>VLOOKUP(D3347,Clientes!$A$2:$K$486,11,FALSE)</f>
        <v>Persona Natural</v>
      </c>
      <c r="AC3347" s="13" t="str">
        <f>VLOOKUP(D3347,Clientes!$A$2:$B$486,2,FALSE)</f>
        <v>Sector Marcela Paz</v>
      </c>
      <c r="AD3347" s="20"/>
      <c r="AE3347" s="20"/>
      <c r="AF3347" s="13" t="s">
        <v>40</v>
      </c>
      <c r="AG3347" s="15">
        <v>45292</v>
      </c>
      <c r="AH3347" s="13" t="s">
        <v>41</v>
      </c>
      <c r="AI3347" s="13" t="s">
        <v>76</v>
      </c>
      <c r="AJ3347" s="13" t="str">
        <f>VLOOKUP(E3347,Precios!Z$2:AA$941,2,FALSE)</f>
        <v>Detergente SPUM 5 Litros (Blanco)</v>
      </c>
      <c r="AK3347" s="14">
        <f>VLOOKUP(E3347,Precios!Z$2:BB$941,3,FALSE)*F3347</f>
        <v>-1</v>
      </c>
      <c r="AL3347" s="17"/>
      <c r="AM3347" s="17"/>
      <c r="AN3347" s="17"/>
      <c r="AO3347" s="17"/>
      <c r="AP3347" s="17"/>
      <c r="AQ3347" s="17"/>
      <c r="AR3347" s="17"/>
      <c r="AS3347" s="17"/>
      <c r="AT3347" s="17"/>
      <c r="AU3347" s="17"/>
      <c r="AV3347" s="17"/>
    </row>
    <row r="3348" spans="1:48" ht="15.75" customHeight="1">
      <c r="A3348" s="21" t="s">
        <v>53</v>
      </c>
      <c r="B3348" s="23" t="s">
        <v>1692</v>
      </c>
      <c r="C3348" s="25">
        <v>45678</v>
      </c>
      <c r="D3348" s="23" t="s">
        <v>769</v>
      </c>
      <c r="E3348" s="23" t="s">
        <v>88</v>
      </c>
      <c r="F3348" s="21">
        <v>2</v>
      </c>
      <c r="G3348" s="12">
        <v>1999.9551032624961</v>
      </c>
      <c r="H3348" s="12">
        <v>3999.9102065249922</v>
      </c>
      <c r="I3348" s="23" t="s">
        <v>52</v>
      </c>
      <c r="J3348" s="23" t="s">
        <v>61</v>
      </c>
      <c r="K3348" s="24" t="s">
        <v>177</v>
      </c>
      <c r="L3348" s="26">
        <v>92</v>
      </c>
      <c r="M3348" s="12">
        <v>1680.6345405567195</v>
      </c>
      <c r="N3348" s="12">
        <v>3361.2690811134389</v>
      </c>
      <c r="O3348" s="12">
        <v>638.64112541155328</v>
      </c>
      <c r="P3348" s="13"/>
      <c r="Q3348" s="14">
        <v>2025</v>
      </c>
      <c r="R3348" s="15">
        <v>45292</v>
      </c>
      <c r="S3348" s="11" t="s">
        <v>410</v>
      </c>
      <c r="T3348" s="16">
        <v>0</v>
      </c>
      <c r="U3348" s="17"/>
      <c r="V3348" s="12">
        <v>1115.2690811134389</v>
      </c>
      <c r="W3348" s="12">
        <v>1115.2690811134389</v>
      </c>
      <c r="X3348" s="12">
        <v>0</v>
      </c>
      <c r="Y3348" s="18">
        <v>45677</v>
      </c>
      <c r="Z3348" s="13" t="s">
        <v>516</v>
      </c>
      <c r="AA3348" s="19" t="str">
        <f>VLOOKUP(D3348,Clientes!$A$2:$J$486,9,FALSE)</f>
        <v>Ocacional</v>
      </c>
      <c r="AB3348" s="13" t="str">
        <f>VLOOKUP(D3348,Clientes!$A$2:$K$486,11,FALSE)</f>
        <v>Persona Natural</v>
      </c>
      <c r="AC3348" s="13" t="str">
        <f>VLOOKUP(D3348,Clientes!$A$2:$B$486,2,FALSE)</f>
        <v>Sector Marcela Paz</v>
      </c>
      <c r="AD3348" s="20"/>
      <c r="AE3348" s="20"/>
      <c r="AF3348" s="13" t="s">
        <v>40</v>
      </c>
      <c r="AG3348" s="15">
        <v>45292</v>
      </c>
      <c r="AH3348" s="13" t="s">
        <v>41</v>
      </c>
      <c r="AI3348" s="13" t="s">
        <v>53</v>
      </c>
      <c r="AJ3348" s="13" t="str">
        <f>VLOOKUP(E3348,Precios!Z$2:AA$941,2,FALSE)</f>
        <v>Toalla Papel NOVA 26 metros</v>
      </c>
      <c r="AK3348" s="14">
        <f>VLOOKUP(E3348,Precios!Z$2:BB$941,3,FALSE)*F3348</f>
        <v>-2</v>
      </c>
      <c r="AL3348" s="17"/>
      <c r="AM3348" s="17"/>
      <c r="AN3348" s="17"/>
      <c r="AO3348" s="17"/>
      <c r="AP3348" s="17"/>
      <c r="AQ3348" s="17"/>
      <c r="AR3348" s="17"/>
      <c r="AS3348" s="17"/>
      <c r="AT3348" s="17"/>
      <c r="AU3348" s="17"/>
      <c r="AV3348" s="17"/>
    </row>
    <row r="3349" spans="1:48" ht="15.75" customHeight="1">
      <c r="A3349" s="21" t="s">
        <v>76</v>
      </c>
      <c r="B3349" s="23" t="s">
        <v>1692</v>
      </c>
      <c r="C3349" s="25">
        <v>45678</v>
      </c>
      <c r="D3349" s="23" t="s">
        <v>769</v>
      </c>
      <c r="E3349" s="23" t="s">
        <v>212</v>
      </c>
      <c r="F3349" s="21">
        <v>1</v>
      </c>
      <c r="G3349" s="12">
        <v>3000.0000000000005</v>
      </c>
      <c r="H3349" s="12">
        <v>3000.0000000000005</v>
      </c>
      <c r="I3349" s="23" t="s">
        <v>52</v>
      </c>
      <c r="J3349" s="23" t="s">
        <v>61</v>
      </c>
      <c r="K3349" s="24" t="s">
        <v>177</v>
      </c>
      <c r="L3349" s="26">
        <v>92</v>
      </c>
      <c r="M3349" s="12">
        <v>2521.0084033613452</v>
      </c>
      <c r="N3349" s="12">
        <v>2521.0084033613452</v>
      </c>
      <c r="O3349" s="12">
        <v>478.99159663865521</v>
      </c>
      <c r="P3349" s="13"/>
      <c r="Q3349" s="14">
        <v>2025</v>
      </c>
      <c r="R3349" s="15">
        <v>45292</v>
      </c>
      <c r="S3349" s="11" t="s">
        <v>446</v>
      </c>
      <c r="T3349" s="16">
        <v>5</v>
      </c>
      <c r="U3349" s="17"/>
      <c r="V3349" s="12">
        <v>764.70588235294144</v>
      </c>
      <c r="W3349" s="12">
        <v>764.70588235294144</v>
      </c>
      <c r="X3349" s="12">
        <v>0</v>
      </c>
      <c r="Y3349" s="18">
        <v>45677</v>
      </c>
      <c r="Z3349" s="13" t="s">
        <v>516</v>
      </c>
      <c r="AA3349" s="19" t="str">
        <f>VLOOKUP(D3349,Clientes!$A$2:$J$486,9,FALSE)</f>
        <v>Ocacional</v>
      </c>
      <c r="AB3349" s="13" t="str">
        <f>VLOOKUP(D3349,Clientes!$A$2:$K$486,11,FALSE)</f>
        <v>Persona Natural</v>
      </c>
      <c r="AC3349" s="13" t="str">
        <f>VLOOKUP(D3349,Clientes!$A$2:$B$486,2,FALSE)</f>
        <v>Sector Marcela Paz</v>
      </c>
      <c r="AD3349" s="20"/>
      <c r="AE3349" s="20"/>
      <c r="AF3349" s="13" t="s">
        <v>40</v>
      </c>
      <c r="AG3349" s="15">
        <v>45292</v>
      </c>
      <c r="AH3349" s="13" t="s">
        <v>41</v>
      </c>
      <c r="AI3349" s="13" t="s">
        <v>76</v>
      </c>
      <c r="AJ3349" s="13" t="str">
        <f>VLOOKUP(E3349,Precios!Z$2:AA$941,2,FALSE)</f>
        <v>Suavizante SPUM 5 Litros</v>
      </c>
      <c r="AK3349" s="14">
        <f>VLOOKUP(E3349,Precios!Z$2:BB$941,3,FALSE)*F3349</f>
        <v>-1</v>
      </c>
      <c r="AL3349" s="17"/>
      <c r="AM3349" s="17"/>
      <c r="AN3349" s="17"/>
      <c r="AO3349" s="17"/>
      <c r="AP3349" s="17"/>
      <c r="AQ3349" s="17"/>
      <c r="AR3349" s="17"/>
      <c r="AS3349" s="17"/>
      <c r="AT3349" s="17"/>
      <c r="AU3349" s="17"/>
      <c r="AV3349" s="17"/>
    </row>
    <row r="3350" spans="1:48" ht="15.75" customHeight="1">
      <c r="A3350" s="21" t="s">
        <v>76</v>
      </c>
      <c r="B3350" s="23" t="s">
        <v>1692</v>
      </c>
      <c r="C3350" s="25">
        <v>45678</v>
      </c>
      <c r="D3350" s="23" t="s">
        <v>769</v>
      </c>
      <c r="E3350" s="23" t="s">
        <v>216</v>
      </c>
      <c r="F3350" s="21">
        <v>1</v>
      </c>
      <c r="G3350" s="12">
        <v>4300</v>
      </c>
      <c r="H3350" s="12">
        <v>4300</v>
      </c>
      <c r="I3350" s="23" t="s">
        <v>52</v>
      </c>
      <c r="J3350" s="23" t="s">
        <v>61</v>
      </c>
      <c r="K3350" s="24" t="s">
        <v>177</v>
      </c>
      <c r="L3350" s="26">
        <v>92</v>
      </c>
      <c r="M3350" s="12">
        <v>3613.4453781512607</v>
      </c>
      <c r="N3350" s="12">
        <v>3613.4453781512607</v>
      </c>
      <c r="O3350" s="12">
        <v>686.55462184873932</v>
      </c>
      <c r="P3350" s="13"/>
      <c r="Q3350" s="14">
        <v>2025</v>
      </c>
      <c r="R3350" s="15">
        <v>45292</v>
      </c>
      <c r="S3350" s="11" t="s">
        <v>479</v>
      </c>
      <c r="T3350" s="16">
        <v>5</v>
      </c>
      <c r="U3350" s="17"/>
      <c r="V3350" s="12">
        <v>1134.453781512605</v>
      </c>
      <c r="W3350" s="12">
        <v>1134.453781512605</v>
      </c>
      <c r="X3350" s="12">
        <v>0</v>
      </c>
      <c r="Y3350" s="18">
        <v>45677</v>
      </c>
      <c r="Z3350" s="13" t="s">
        <v>516</v>
      </c>
      <c r="AA3350" s="19" t="str">
        <f>VLOOKUP(D3350,Clientes!$A$2:$J$486,9,FALSE)</f>
        <v>Ocacional</v>
      </c>
      <c r="AB3350" s="13" t="str">
        <f>VLOOKUP(D3350,Clientes!$A$2:$K$486,11,FALSE)</f>
        <v>Persona Natural</v>
      </c>
      <c r="AC3350" s="13" t="str">
        <f>VLOOKUP(D3350,Clientes!$A$2:$B$486,2,FALSE)</f>
        <v>Sector Marcela Paz</v>
      </c>
      <c r="AD3350" s="20"/>
      <c r="AE3350" s="20"/>
      <c r="AF3350" s="13" t="s">
        <v>40</v>
      </c>
      <c r="AG3350" s="15">
        <v>45292</v>
      </c>
      <c r="AH3350" s="13" t="s">
        <v>41</v>
      </c>
      <c r="AI3350" s="13" t="s">
        <v>76</v>
      </c>
      <c r="AJ3350" s="13" t="str">
        <f>VLOOKUP(E3350,Precios!Z$2:AA$941,2,FALSE)</f>
        <v>Lavaloza SPUM 5 Litros</v>
      </c>
      <c r="AK3350" s="14">
        <f>VLOOKUP(E3350,Precios!Z$2:BB$941,3,FALSE)*F3350</f>
        <v>-1</v>
      </c>
      <c r="AL3350" s="17"/>
      <c r="AM3350" s="17"/>
      <c r="AN3350" s="17"/>
      <c r="AO3350" s="17"/>
      <c r="AP3350" s="17"/>
      <c r="AQ3350" s="17"/>
      <c r="AR3350" s="17"/>
      <c r="AS3350" s="17"/>
      <c r="AT3350" s="17"/>
      <c r="AU3350" s="17"/>
      <c r="AV3350" s="17"/>
    </row>
    <row r="3351" spans="1:48" ht="15.75" customHeight="1">
      <c r="A3351" s="21" t="s">
        <v>47</v>
      </c>
      <c r="B3351" s="23" t="s">
        <v>1692</v>
      </c>
      <c r="C3351" s="25">
        <v>45678</v>
      </c>
      <c r="D3351" s="23" t="s">
        <v>769</v>
      </c>
      <c r="E3351" s="23" t="s">
        <v>504</v>
      </c>
      <c r="F3351" s="21">
        <v>1</v>
      </c>
      <c r="G3351" s="12">
        <v>3000.0000000000005</v>
      </c>
      <c r="H3351" s="12">
        <v>3000.0000000000005</v>
      </c>
      <c r="I3351" s="23" t="s">
        <v>52</v>
      </c>
      <c r="J3351" s="23" t="s">
        <v>61</v>
      </c>
      <c r="K3351" s="24" t="s">
        <v>177</v>
      </c>
      <c r="L3351" s="26">
        <v>92</v>
      </c>
      <c r="M3351" s="12">
        <v>2521.0084033613452</v>
      </c>
      <c r="N3351" s="12">
        <v>2521.0084033613452</v>
      </c>
      <c r="O3351" s="12">
        <v>478.99159663865521</v>
      </c>
      <c r="P3351" s="13"/>
      <c r="Q3351" s="14">
        <v>2025</v>
      </c>
      <c r="R3351" s="15">
        <v>45292</v>
      </c>
      <c r="S3351" s="11" t="s">
        <v>105</v>
      </c>
      <c r="T3351" s="16">
        <v>0</v>
      </c>
      <c r="U3351" s="17"/>
      <c r="V3351" s="12">
        <v>776.47058823529437</v>
      </c>
      <c r="W3351" s="12">
        <v>776.47058823529437</v>
      </c>
      <c r="X3351" s="12">
        <v>0</v>
      </c>
      <c r="Y3351" s="18">
        <v>45677</v>
      </c>
      <c r="Z3351" s="13" t="s">
        <v>516</v>
      </c>
      <c r="AA3351" s="19" t="str">
        <f>VLOOKUP(D3351,Clientes!$A$2:$J$486,9,FALSE)</f>
        <v>Ocacional</v>
      </c>
      <c r="AB3351" s="13" t="str">
        <f>VLOOKUP(D3351,Clientes!$A$2:$K$486,11,FALSE)</f>
        <v>Persona Natural</v>
      </c>
      <c r="AC3351" s="13" t="str">
        <f>VLOOKUP(D3351,Clientes!$A$2:$B$486,2,FALSE)</f>
        <v>Sector Marcela Paz</v>
      </c>
      <c r="AD3351" s="20"/>
      <c r="AE3351" s="20"/>
      <c r="AF3351" s="13" t="s">
        <v>40</v>
      </c>
      <c r="AG3351" s="15">
        <v>45292</v>
      </c>
      <c r="AH3351" s="13" t="s">
        <v>41</v>
      </c>
      <c r="AI3351" s="13" t="s">
        <v>47</v>
      </c>
      <c r="AJ3351" s="13" t="str">
        <f>VLOOKUP(E3351,Precios!Z$2:AA$941,2,FALSE)</f>
        <v>Paños Esponja TEDDY</v>
      </c>
      <c r="AK3351" s="14">
        <f>VLOOKUP(E3351,Precios!Z$2:BB$941,3,FALSE)*F3351</f>
        <v>-3</v>
      </c>
      <c r="AL3351" s="17"/>
      <c r="AM3351" s="17"/>
      <c r="AN3351" s="17"/>
      <c r="AO3351" s="17"/>
      <c r="AP3351" s="17"/>
      <c r="AQ3351" s="17"/>
      <c r="AR3351" s="17"/>
      <c r="AS3351" s="17"/>
      <c r="AT3351" s="17"/>
      <c r="AU3351" s="17"/>
      <c r="AV3351" s="17"/>
    </row>
    <row r="3352" spans="1:48" ht="15.75" customHeight="1">
      <c r="A3352" s="21" t="s">
        <v>47</v>
      </c>
      <c r="B3352" s="23" t="s">
        <v>1692</v>
      </c>
      <c r="C3352" s="25">
        <v>45678</v>
      </c>
      <c r="D3352" s="23" t="s">
        <v>769</v>
      </c>
      <c r="E3352" s="23" t="s">
        <v>48</v>
      </c>
      <c r="F3352" s="21">
        <v>1</v>
      </c>
      <c r="G3352" s="12">
        <v>1000</v>
      </c>
      <c r="H3352" s="12">
        <v>1000</v>
      </c>
      <c r="I3352" s="23" t="s">
        <v>52</v>
      </c>
      <c r="J3352" s="23" t="s">
        <v>61</v>
      </c>
      <c r="K3352" s="24" t="s">
        <v>177</v>
      </c>
      <c r="L3352" s="26">
        <v>92</v>
      </c>
      <c r="M3352" s="12">
        <v>840.3361344537816</v>
      </c>
      <c r="N3352" s="12">
        <v>840.3361344537816</v>
      </c>
      <c r="O3352" s="12">
        <v>159.6638655462184</v>
      </c>
      <c r="P3352" s="13"/>
      <c r="Q3352" s="14">
        <v>2025</v>
      </c>
      <c r="R3352" s="15">
        <v>45292</v>
      </c>
      <c r="S3352" s="11" t="s">
        <v>416</v>
      </c>
      <c r="T3352" s="16">
        <v>0</v>
      </c>
      <c r="U3352" s="17"/>
      <c r="V3352" s="12">
        <v>330.33613445378148</v>
      </c>
      <c r="W3352" s="12">
        <v>330.33613445378148</v>
      </c>
      <c r="X3352" s="12">
        <v>0</v>
      </c>
      <c r="Y3352" s="18">
        <v>45677</v>
      </c>
      <c r="Z3352" s="13" t="s">
        <v>516</v>
      </c>
      <c r="AA3352" s="19" t="str">
        <f>VLOOKUP(D3352,Clientes!$A$2:$J$486,9,FALSE)</f>
        <v>Ocacional</v>
      </c>
      <c r="AB3352" s="13" t="str">
        <f>VLOOKUP(D3352,Clientes!$A$2:$K$486,11,FALSE)</f>
        <v>Persona Natural</v>
      </c>
      <c r="AC3352" s="13" t="str">
        <f>VLOOKUP(D3352,Clientes!$A$2:$B$486,2,FALSE)</f>
        <v>Sector Marcela Paz</v>
      </c>
      <c r="AD3352" s="20"/>
      <c r="AE3352" s="20"/>
      <c r="AF3352" s="13" t="s">
        <v>40</v>
      </c>
      <c r="AG3352" s="15">
        <v>45292</v>
      </c>
      <c r="AH3352" s="13" t="s">
        <v>41</v>
      </c>
      <c r="AI3352" s="13" t="s">
        <v>47</v>
      </c>
      <c r="AJ3352" s="13" t="str">
        <f>VLOOKUP(E3352,Precios!Z$2:AA$941,2,FALSE)</f>
        <v>Esponja Acanalada TEDDY</v>
      </c>
      <c r="AK3352" s="14">
        <f>VLOOKUP(E3352,Precios!Z$2:BB$941,3,FALSE)*F3352</f>
        <v>-5</v>
      </c>
      <c r="AL3352" s="17"/>
      <c r="AM3352" s="17"/>
      <c r="AN3352" s="17"/>
      <c r="AO3352" s="17"/>
      <c r="AP3352" s="17"/>
      <c r="AQ3352" s="17"/>
      <c r="AR3352" s="17"/>
      <c r="AS3352" s="17"/>
      <c r="AT3352" s="17"/>
      <c r="AU3352" s="17"/>
      <c r="AV3352" s="17"/>
    </row>
    <row r="3353" spans="1:48" ht="15.75" customHeight="1">
      <c r="A3353" s="21" t="s">
        <v>47</v>
      </c>
      <c r="B3353" s="23" t="s">
        <v>1692</v>
      </c>
      <c r="C3353" s="25">
        <v>45678</v>
      </c>
      <c r="D3353" s="23" t="s">
        <v>769</v>
      </c>
      <c r="E3353" s="23" t="s">
        <v>107</v>
      </c>
      <c r="F3353" s="21">
        <v>1</v>
      </c>
      <c r="G3353" s="12">
        <v>3000.0000000000005</v>
      </c>
      <c r="H3353" s="12">
        <v>3000.0000000000005</v>
      </c>
      <c r="I3353" s="23" t="s">
        <v>52</v>
      </c>
      <c r="J3353" s="23" t="s">
        <v>61</v>
      </c>
      <c r="K3353" s="24" t="s">
        <v>177</v>
      </c>
      <c r="L3353" s="26">
        <v>92</v>
      </c>
      <c r="M3353" s="12">
        <v>2521.0084033613452</v>
      </c>
      <c r="N3353" s="12">
        <v>2521.0084033613452</v>
      </c>
      <c r="O3353" s="12">
        <v>478.99159663865521</v>
      </c>
      <c r="P3353" s="13"/>
      <c r="Q3353" s="14">
        <v>2025</v>
      </c>
      <c r="R3353" s="15">
        <v>45292</v>
      </c>
      <c r="S3353" s="11" t="s">
        <v>453</v>
      </c>
      <c r="T3353" s="16">
        <v>0</v>
      </c>
      <c r="U3353" s="17"/>
      <c r="V3353" s="12">
        <v>758.82352941176487</v>
      </c>
      <c r="W3353" s="12">
        <v>758.82352941176487</v>
      </c>
      <c r="X3353" s="12">
        <v>0</v>
      </c>
      <c r="Y3353" s="18">
        <v>45677</v>
      </c>
      <c r="Z3353" s="13" t="s">
        <v>516</v>
      </c>
      <c r="AA3353" s="19" t="str">
        <f>VLOOKUP(D3353,Clientes!$A$2:$J$486,9,FALSE)</f>
        <v>Ocacional</v>
      </c>
      <c r="AB3353" s="13" t="str">
        <f>VLOOKUP(D3353,Clientes!$A$2:$K$486,11,FALSE)</f>
        <v>Persona Natural</v>
      </c>
      <c r="AC3353" s="13" t="str">
        <f>VLOOKUP(D3353,Clientes!$A$2:$B$486,2,FALSE)</f>
        <v>Sector Marcela Paz</v>
      </c>
      <c r="AD3353" s="20"/>
      <c r="AE3353" s="20"/>
      <c r="AF3353" s="13" t="s">
        <v>40</v>
      </c>
      <c r="AG3353" s="15">
        <v>45292</v>
      </c>
      <c r="AH3353" s="13" t="s">
        <v>41</v>
      </c>
      <c r="AI3353" s="13" t="s">
        <v>47</v>
      </c>
      <c r="AJ3353" s="13" t="str">
        <f>VLOOKUP(E3353,Precios!Z$2:AA$941,2,FALSE)</f>
        <v xml:space="preserve">Bolsas Basura TEDDY 90x120 </v>
      </c>
      <c r="AK3353" s="14">
        <f>VLOOKUP(E3353,Precios!Z$2:BB$941,3,FALSE)*F3353</f>
        <v>-1</v>
      </c>
      <c r="AL3353" s="17"/>
      <c r="AM3353" s="17"/>
      <c r="AN3353" s="17"/>
      <c r="AO3353" s="17"/>
      <c r="AP3353" s="17"/>
      <c r="AQ3353" s="17"/>
      <c r="AR3353" s="17"/>
      <c r="AS3353" s="17"/>
      <c r="AT3353" s="17"/>
      <c r="AU3353" s="17"/>
      <c r="AV3353" s="17"/>
    </row>
    <row r="3354" spans="1:48" ht="15.75" customHeight="1">
      <c r="A3354" s="21" t="s">
        <v>47</v>
      </c>
      <c r="B3354" s="23" t="s">
        <v>1692</v>
      </c>
      <c r="C3354" s="25">
        <v>45678</v>
      </c>
      <c r="D3354" s="23" t="s">
        <v>769</v>
      </c>
      <c r="E3354" s="23" t="s">
        <v>85</v>
      </c>
      <c r="F3354" s="21">
        <v>1</v>
      </c>
      <c r="G3354" s="12">
        <v>3000.268216361198</v>
      </c>
      <c r="H3354" s="12">
        <v>3000.268216361198</v>
      </c>
      <c r="I3354" s="23" t="s">
        <v>52</v>
      </c>
      <c r="J3354" s="23" t="s">
        <v>61</v>
      </c>
      <c r="K3354" s="24" t="s">
        <v>177</v>
      </c>
      <c r="L3354" s="26">
        <v>92</v>
      </c>
      <c r="M3354" s="12">
        <v>2521.2337952615112</v>
      </c>
      <c r="N3354" s="12">
        <v>2521.2337952615112</v>
      </c>
      <c r="O3354" s="12">
        <v>479.03442109968682</v>
      </c>
      <c r="P3354" s="13"/>
      <c r="Q3354" s="14">
        <v>2025</v>
      </c>
      <c r="R3354" s="15">
        <v>45292</v>
      </c>
      <c r="S3354" s="11" t="s">
        <v>453</v>
      </c>
      <c r="T3354" s="16">
        <v>0</v>
      </c>
      <c r="U3354" s="17"/>
      <c r="V3354" s="12">
        <v>829.23379526151075</v>
      </c>
      <c r="W3354" s="12">
        <v>829.23379526151075</v>
      </c>
      <c r="X3354" s="12">
        <v>0</v>
      </c>
      <c r="Y3354" s="18">
        <v>45677</v>
      </c>
      <c r="Z3354" s="13" t="s">
        <v>516</v>
      </c>
      <c r="AA3354" s="19" t="str">
        <f>VLOOKUP(D3354,Clientes!$A$2:$J$486,9,FALSE)</f>
        <v>Ocacional</v>
      </c>
      <c r="AB3354" s="13" t="str">
        <f>VLOOKUP(D3354,Clientes!$A$2:$K$486,11,FALSE)</f>
        <v>Persona Natural</v>
      </c>
      <c r="AC3354" s="13" t="str">
        <f>VLOOKUP(D3354,Clientes!$A$2:$B$486,2,FALSE)</f>
        <v>Sector Marcela Paz</v>
      </c>
      <c r="AD3354" s="20"/>
      <c r="AE3354" s="20"/>
      <c r="AF3354" s="13" t="s">
        <v>40</v>
      </c>
      <c r="AG3354" s="15">
        <v>45292</v>
      </c>
      <c r="AH3354" s="13" t="s">
        <v>41</v>
      </c>
      <c r="AI3354" s="13" t="s">
        <v>47</v>
      </c>
      <c r="AJ3354" s="13" t="str">
        <f>VLOOKUP(E3354,Precios!Z$2:AA$941,2,FALSE)</f>
        <v xml:space="preserve">Bolsas Basura TEDDY 45x55 con Asas </v>
      </c>
      <c r="AK3354" s="14">
        <f>VLOOKUP(E3354,Precios!Z$2:BB$941,3,FALSE)*F3354</f>
        <v>-6</v>
      </c>
      <c r="AL3354" s="17"/>
      <c r="AM3354" s="17"/>
      <c r="AN3354" s="17"/>
      <c r="AO3354" s="17"/>
      <c r="AP3354" s="17"/>
      <c r="AQ3354" s="17"/>
      <c r="AR3354" s="17"/>
      <c r="AS3354" s="17"/>
      <c r="AT3354" s="17"/>
      <c r="AU3354" s="17"/>
      <c r="AV3354" s="17"/>
    </row>
    <row r="3355" spans="1:48" ht="15.75" customHeight="1">
      <c r="A3355" s="21" t="s">
        <v>47</v>
      </c>
      <c r="B3355" s="23" t="s">
        <v>1692</v>
      </c>
      <c r="C3355" s="25">
        <v>45678</v>
      </c>
      <c r="D3355" s="23" t="s">
        <v>769</v>
      </c>
      <c r="E3355" s="23" t="s">
        <v>251</v>
      </c>
      <c r="F3355" s="21">
        <v>1</v>
      </c>
      <c r="G3355" s="12">
        <v>4199.9016948855005</v>
      </c>
      <c r="H3355" s="12">
        <v>4199.9016948855005</v>
      </c>
      <c r="I3355" s="23" t="s">
        <v>52</v>
      </c>
      <c r="J3355" s="23" t="s">
        <v>61</v>
      </c>
      <c r="K3355" s="24" t="s">
        <v>177</v>
      </c>
      <c r="L3355" s="26">
        <v>92</v>
      </c>
      <c r="M3355" s="12">
        <v>3529.3291553659669</v>
      </c>
      <c r="N3355" s="12">
        <v>3529.3291553659669</v>
      </c>
      <c r="O3355" s="12">
        <v>670.57253951953362</v>
      </c>
      <c r="P3355" s="13"/>
      <c r="Q3355" s="14">
        <v>2025</v>
      </c>
      <c r="R3355" s="15">
        <v>45292</v>
      </c>
      <c r="S3355" s="11" t="s">
        <v>621</v>
      </c>
      <c r="T3355" s="16">
        <v>0</v>
      </c>
      <c r="U3355" s="17"/>
      <c r="V3355" s="12">
        <v>848.66248869930041</v>
      </c>
      <c r="W3355" s="12">
        <v>848.66248869930041</v>
      </c>
      <c r="X3355" s="12">
        <v>0</v>
      </c>
      <c r="Y3355" s="18">
        <v>45677</v>
      </c>
      <c r="Z3355" s="13" t="s">
        <v>516</v>
      </c>
      <c r="AA3355" s="19" t="str">
        <f>VLOOKUP(D3355,Clientes!$A$2:$J$486,9,FALSE)</f>
        <v>Ocacional</v>
      </c>
      <c r="AB3355" s="13" t="str">
        <f>VLOOKUP(D3355,Clientes!$A$2:$K$486,11,FALSE)</f>
        <v>Persona Natural</v>
      </c>
      <c r="AC3355" s="13" t="str">
        <f>VLOOKUP(D3355,Clientes!$A$2:$B$486,2,FALSE)</f>
        <v>Sector Marcela Paz</v>
      </c>
      <c r="AD3355" s="20"/>
      <c r="AE3355" s="20"/>
      <c r="AF3355" s="13" t="s">
        <v>40</v>
      </c>
      <c r="AG3355" s="15">
        <v>45292</v>
      </c>
      <c r="AH3355" s="13" t="s">
        <v>41</v>
      </c>
      <c r="AI3355" s="13" t="s">
        <v>47</v>
      </c>
      <c r="AJ3355" s="13" t="str">
        <f>VLOOKUP(E3355,Precios!Z$2:AA$941,2,FALSE)</f>
        <v>Insecticida RAID 360 cc Casa Jardin (Naranjo)</v>
      </c>
      <c r="AK3355" s="14">
        <f>VLOOKUP(E3355,Precios!Z$2:BB$941,3,FALSE)*F3355</f>
        <v>-1</v>
      </c>
      <c r="AL3355" s="17"/>
      <c r="AM3355" s="17"/>
      <c r="AN3355" s="17"/>
      <c r="AO3355" s="17"/>
      <c r="AP3355" s="17"/>
      <c r="AQ3355" s="17"/>
      <c r="AR3355" s="17"/>
      <c r="AS3355" s="17"/>
      <c r="AT3355" s="17"/>
      <c r="AU3355" s="17"/>
      <c r="AV3355" s="17"/>
    </row>
    <row r="3356" spans="1:48" ht="15.75" customHeight="1">
      <c r="A3356" s="21" t="s">
        <v>47</v>
      </c>
      <c r="B3356" s="23" t="s">
        <v>1692</v>
      </c>
      <c r="C3356" s="25">
        <v>45678</v>
      </c>
      <c r="D3356" s="23" t="s">
        <v>769</v>
      </c>
      <c r="E3356" s="23" t="s">
        <v>724</v>
      </c>
      <c r="F3356" s="21">
        <v>1</v>
      </c>
      <c r="G3356" s="12">
        <v>4199.9016948855005</v>
      </c>
      <c r="H3356" s="12">
        <v>4199.9016948855005</v>
      </c>
      <c r="I3356" s="23" t="s">
        <v>52</v>
      </c>
      <c r="J3356" s="23" t="s">
        <v>61</v>
      </c>
      <c r="K3356" s="24" t="s">
        <v>177</v>
      </c>
      <c r="L3356" s="26">
        <v>92</v>
      </c>
      <c r="M3356" s="12">
        <v>3529.3291553659669</v>
      </c>
      <c r="N3356" s="12">
        <v>3529.3291553659669</v>
      </c>
      <c r="O3356" s="12">
        <v>670.57253951953362</v>
      </c>
      <c r="P3356" s="13"/>
      <c r="Q3356" s="14">
        <v>2025</v>
      </c>
      <c r="R3356" s="15">
        <v>45292</v>
      </c>
      <c r="S3356" s="11" t="s">
        <v>621</v>
      </c>
      <c r="T3356" s="16">
        <v>0</v>
      </c>
      <c r="U3356" s="17"/>
      <c r="V3356" s="12">
        <v>848.66248869930041</v>
      </c>
      <c r="W3356" s="12">
        <v>848.66248869930041</v>
      </c>
      <c r="X3356" s="12">
        <v>0</v>
      </c>
      <c r="Y3356" s="18">
        <v>45677</v>
      </c>
      <c r="Z3356" s="13" t="s">
        <v>516</v>
      </c>
      <c r="AA3356" s="19" t="str">
        <f>VLOOKUP(D3356,Clientes!$A$2:$J$486,9,FALSE)</f>
        <v>Ocacional</v>
      </c>
      <c r="AB3356" s="13" t="str">
        <f>VLOOKUP(D3356,Clientes!$A$2:$K$486,11,FALSE)</f>
        <v>Persona Natural</v>
      </c>
      <c r="AC3356" s="13" t="str">
        <f>VLOOKUP(D3356,Clientes!$A$2:$B$486,2,FALSE)</f>
        <v>Sector Marcela Paz</v>
      </c>
      <c r="AD3356" s="20"/>
      <c r="AE3356" s="20"/>
      <c r="AF3356" s="13" t="s">
        <v>40</v>
      </c>
      <c r="AG3356" s="15">
        <v>45292</v>
      </c>
      <c r="AH3356" s="13" t="s">
        <v>41</v>
      </c>
      <c r="AI3356" s="13" t="s">
        <v>47</v>
      </c>
      <c r="AJ3356" s="13" t="str">
        <f>VLOOKUP(E3356,Precios!Z$2:AA$941,2,FALSE)</f>
        <v>Insecticida RAID 360 cc Mata en 10 seg (Azul)</v>
      </c>
      <c r="AK3356" s="14">
        <f>VLOOKUP(E3356,Precios!Z$2:BB$941,3,FALSE)*F3356</f>
        <v>-1</v>
      </c>
      <c r="AL3356" s="17"/>
      <c r="AM3356" s="17"/>
      <c r="AN3356" s="17"/>
      <c r="AO3356" s="17"/>
      <c r="AP3356" s="17"/>
      <c r="AQ3356" s="17"/>
      <c r="AR3356" s="17"/>
      <c r="AS3356" s="17"/>
      <c r="AT3356" s="17"/>
      <c r="AU3356" s="17"/>
      <c r="AV3356" s="17"/>
    </row>
    <row r="3357" spans="1:48" ht="15.75" customHeight="1">
      <c r="A3357" s="21" t="s">
        <v>76</v>
      </c>
      <c r="B3357" s="23" t="s">
        <v>1692</v>
      </c>
      <c r="C3357" s="25">
        <v>45678</v>
      </c>
      <c r="D3357" s="23" t="s">
        <v>769</v>
      </c>
      <c r="E3357" s="23" t="s">
        <v>181</v>
      </c>
      <c r="F3357" s="21">
        <v>1</v>
      </c>
      <c r="G3357" s="12">
        <v>2999.8783639957433</v>
      </c>
      <c r="H3357" s="12">
        <v>2999.8783639957433</v>
      </c>
      <c r="I3357" s="23" t="s">
        <v>52</v>
      </c>
      <c r="J3357" s="23" t="s">
        <v>61</v>
      </c>
      <c r="K3357" s="24" t="s">
        <v>177</v>
      </c>
      <c r="L3357" s="26">
        <v>92</v>
      </c>
      <c r="M3357" s="12">
        <v>2520.9061882317174</v>
      </c>
      <c r="N3357" s="12">
        <v>2520.9061882317174</v>
      </c>
      <c r="O3357" s="12">
        <v>478.97217576402591</v>
      </c>
      <c r="P3357" s="13"/>
      <c r="Q3357" s="14">
        <v>2025</v>
      </c>
      <c r="R3357" s="15">
        <v>45292</v>
      </c>
      <c r="S3357" s="11" t="s">
        <v>620</v>
      </c>
      <c r="T3357" s="16">
        <v>0</v>
      </c>
      <c r="U3357" s="17"/>
      <c r="V3357" s="12">
        <v>862.9061882317169</v>
      </c>
      <c r="W3357" s="12">
        <v>862.9061882317169</v>
      </c>
      <c r="X3357" s="12">
        <v>0</v>
      </c>
      <c r="Y3357" s="18">
        <v>45677</v>
      </c>
      <c r="Z3357" s="13" t="s">
        <v>516</v>
      </c>
      <c r="AA3357" s="19" t="str">
        <f>VLOOKUP(D3357,Clientes!$A$2:$J$486,9,FALSE)</f>
        <v>Ocacional</v>
      </c>
      <c r="AB3357" s="13" t="str">
        <f>VLOOKUP(D3357,Clientes!$A$2:$K$486,11,FALSE)</f>
        <v>Persona Natural</v>
      </c>
      <c r="AC3357" s="13" t="str">
        <f>VLOOKUP(D3357,Clientes!$A$2:$B$486,2,FALSE)</f>
        <v>Sector Marcela Paz</v>
      </c>
      <c r="AD3357" s="20"/>
      <c r="AE3357" s="20"/>
      <c r="AF3357" s="13" t="s">
        <v>40</v>
      </c>
      <c r="AG3357" s="15">
        <v>45292</v>
      </c>
      <c r="AH3357" s="13" t="s">
        <v>41</v>
      </c>
      <c r="AI3357" s="13" t="s">
        <v>76</v>
      </c>
      <c r="AJ3357" s="13" t="str">
        <f>VLOOKUP(E3357,Precios!Z$2:AA$941,2,FALSE)</f>
        <v>Aromatizante Cono TEDDY Gel LAVANDA</v>
      </c>
      <c r="AK3357" s="14">
        <f>VLOOKUP(E3357,Precios!Z$2:BB$941,3,FALSE)*F3357</f>
        <v>-2</v>
      </c>
      <c r="AL3357" s="17"/>
      <c r="AM3357" s="17"/>
      <c r="AN3357" s="17"/>
      <c r="AO3357" s="17"/>
      <c r="AP3357" s="17"/>
      <c r="AQ3357" s="17"/>
      <c r="AR3357" s="17"/>
      <c r="AS3357" s="17"/>
      <c r="AT3357" s="17"/>
      <c r="AU3357" s="17"/>
      <c r="AV3357" s="17"/>
    </row>
    <row r="3358" spans="1:48" ht="15.75" customHeight="1">
      <c r="A3358" s="21" t="s">
        <v>47</v>
      </c>
      <c r="B3358" s="23" t="s">
        <v>1692</v>
      </c>
      <c r="C3358" s="25">
        <v>45678</v>
      </c>
      <c r="D3358" s="23" t="s">
        <v>769</v>
      </c>
      <c r="E3358" s="23" t="s">
        <v>770</v>
      </c>
      <c r="F3358" s="21">
        <v>1</v>
      </c>
      <c r="G3358" s="12">
        <v>1599.7931747673217</v>
      </c>
      <c r="H3358" s="12">
        <v>1599.7931747673217</v>
      </c>
      <c r="I3358" s="23" t="s">
        <v>52</v>
      </c>
      <c r="J3358" s="23" t="s">
        <v>61</v>
      </c>
      <c r="K3358" s="24" t="s">
        <v>177</v>
      </c>
      <c r="L3358" s="26">
        <v>92</v>
      </c>
      <c r="M3358" s="12">
        <v>1344.3640124095141</v>
      </c>
      <c r="N3358" s="12">
        <v>1344.3640124095141</v>
      </c>
      <c r="O3358" s="12">
        <v>255.42916235780763</v>
      </c>
      <c r="P3358" s="13"/>
      <c r="Q3358" s="14">
        <v>2025</v>
      </c>
      <c r="R3358" s="15">
        <v>45292</v>
      </c>
      <c r="S3358" s="11" t="s">
        <v>495</v>
      </c>
      <c r="T3358" s="16">
        <v>0</v>
      </c>
      <c r="U3358" s="17"/>
      <c r="V3358" s="12">
        <v>369.36401240951409</v>
      </c>
      <c r="W3358" s="12">
        <v>369.36401240951409</v>
      </c>
      <c r="X3358" s="12">
        <v>0</v>
      </c>
      <c r="Y3358" s="18">
        <v>45677</v>
      </c>
      <c r="Z3358" s="13" t="s">
        <v>516</v>
      </c>
      <c r="AA3358" s="19" t="str">
        <f>VLOOKUP(D3358,Clientes!$A$2:$J$486,9,FALSE)</f>
        <v>Ocacional</v>
      </c>
      <c r="AB3358" s="13" t="str">
        <f>VLOOKUP(D3358,Clientes!$A$2:$K$486,11,FALSE)</f>
        <v>Persona Natural</v>
      </c>
      <c r="AC3358" s="13" t="str">
        <f>VLOOKUP(D3358,Clientes!$A$2:$B$486,2,FALSE)</f>
        <v>Sector Marcela Paz</v>
      </c>
      <c r="AD3358" s="20"/>
      <c r="AE3358" s="20"/>
      <c r="AF3358" s="13" t="s">
        <v>40</v>
      </c>
      <c r="AG3358" s="15">
        <v>45292</v>
      </c>
      <c r="AH3358" s="13" t="s">
        <v>41</v>
      </c>
      <c r="AI3358" s="13" t="s">
        <v>47</v>
      </c>
      <c r="AJ3358" s="13" t="str">
        <f>VLOOKUP(E3358,Precios!Z$2:AA$941,2,FALSE)</f>
        <v>Cera Amarilla Brillina</v>
      </c>
      <c r="AK3358" s="14">
        <f>VLOOKUP(E3358,Precios!Z$2:BB$941,3,FALSE)*F3358</f>
        <v>-1</v>
      </c>
      <c r="AL3358" s="17"/>
      <c r="AM3358" s="17"/>
      <c r="AN3358" s="17"/>
      <c r="AO3358" s="17"/>
      <c r="AP3358" s="17"/>
      <c r="AQ3358" s="17"/>
      <c r="AR3358" s="17"/>
      <c r="AS3358" s="17"/>
      <c r="AT3358" s="17"/>
      <c r="AU3358" s="17"/>
      <c r="AV3358" s="17"/>
    </row>
    <row r="3359" spans="1:48" ht="15.75" customHeight="1">
      <c r="A3359" s="21" t="s">
        <v>47</v>
      </c>
      <c r="B3359" s="23" t="s">
        <v>1692</v>
      </c>
      <c r="C3359" s="25">
        <v>45678</v>
      </c>
      <c r="D3359" s="23" t="s">
        <v>769</v>
      </c>
      <c r="E3359" s="23" t="s">
        <v>94</v>
      </c>
      <c r="F3359" s="21">
        <v>1</v>
      </c>
      <c r="G3359" s="12">
        <v>1650.3649635036495</v>
      </c>
      <c r="H3359" s="12">
        <v>1650.3649635036495</v>
      </c>
      <c r="I3359" s="23" t="s">
        <v>52</v>
      </c>
      <c r="J3359" s="23" t="s">
        <v>61</v>
      </c>
      <c r="K3359" s="24" t="s">
        <v>177</v>
      </c>
      <c r="L3359" s="26">
        <v>92</v>
      </c>
      <c r="M3359" s="12">
        <v>1386.861313868613</v>
      </c>
      <c r="N3359" s="12">
        <v>1386.861313868613</v>
      </c>
      <c r="O3359" s="12">
        <v>263.50364963503648</v>
      </c>
      <c r="P3359" s="13"/>
      <c r="Q3359" s="14">
        <v>2025</v>
      </c>
      <c r="R3359" s="15">
        <v>45292</v>
      </c>
      <c r="S3359" s="11" t="s">
        <v>384</v>
      </c>
      <c r="T3359" s="16">
        <v>0</v>
      </c>
      <c r="U3359" s="17"/>
      <c r="V3359" s="12">
        <v>436.86131386861302</v>
      </c>
      <c r="W3359" s="12">
        <v>436.86131386861302</v>
      </c>
      <c r="X3359" s="12">
        <v>0</v>
      </c>
      <c r="Y3359" s="18">
        <v>45677</v>
      </c>
      <c r="Z3359" s="13" t="s">
        <v>516</v>
      </c>
      <c r="AA3359" s="19" t="str">
        <f>VLOOKUP(D3359,Clientes!$A$2:$J$486,9,FALSE)</f>
        <v>Ocacional</v>
      </c>
      <c r="AB3359" s="13" t="str">
        <f>VLOOKUP(D3359,Clientes!$A$2:$K$486,11,FALSE)</f>
        <v>Persona Natural</v>
      </c>
      <c r="AC3359" s="13" t="str">
        <f>VLOOKUP(D3359,Clientes!$A$2:$B$486,2,FALSE)</f>
        <v>Sector Marcela Paz</v>
      </c>
      <c r="AD3359" s="20"/>
      <c r="AE3359" s="20"/>
      <c r="AF3359" s="13" t="s">
        <v>40</v>
      </c>
      <c r="AG3359" s="15">
        <v>45292</v>
      </c>
      <c r="AH3359" s="13" t="s">
        <v>41</v>
      </c>
      <c r="AI3359" s="13" t="s">
        <v>47</v>
      </c>
      <c r="AJ3359" s="13" t="str">
        <f>VLOOKUP(E3359,Precios!Z$2:AA$941,2,FALSE)</f>
        <v>Jabón Lìquido BALLERINA</v>
      </c>
      <c r="AK3359" s="14">
        <f>VLOOKUP(E3359,Precios!Z$2:BB$941,3,FALSE)*F3359</f>
        <v>-3</v>
      </c>
      <c r="AL3359" s="17"/>
      <c r="AM3359" s="17"/>
      <c r="AN3359" s="17"/>
      <c r="AO3359" s="17"/>
      <c r="AP3359" s="17"/>
      <c r="AQ3359" s="17"/>
      <c r="AR3359" s="17"/>
      <c r="AS3359" s="17"/>
      <c r="AT3359" s="17"/>
      <c r="AU3359" s="17"/>
      <c r="AV3359" s="17"/>
    </row>
    <row r="3360" spans="1:48" ht="15.75" customHeight="1">
      <c r="A3360" s="21" t="s">
        <v>147</v>
      </c>
      <c r="B3360" s="23" t="s">
        <v>1692</v>
      </c>
      <c r="C3360" s="25">
        <v>45678</v>
      </c>
      <c r="D3360" s="23" t="s">
        <v>769</v>
      </c>
      <c r="E3360" s="23" t="s">
        <v>148</v>
      </c>
      <c r="F3360" s="21">
        <v>1</v>
      </c>
      <c r="G3360" s="12">
        <v>1200.0000000000002</v>
      </c>
      <c r="H3360" s="12">
        <v>1200.0000000000002</v>
      </c>
      <c r="I3360" s="23" t="s">
        <v>52</v>
      </c>
      <c r="J3360" s="23" t="s">
        <v>61</v>
      </c>
      <c r="K3360" s="24" t="s">
        <v>177</v>
      </c>
      <c r="L3360" s="26">
        <v>92</v>
      </c>
      <c r="M3360" s="12">
        <v>1008.4033613445381</v>
      </c>
      <c r="N3360" s="12">
        <v>1008.4033613445381</v>
      </c>
      <c r="O3360" s="12">
        <v>191.59663865546213</v>
      </c>
      <c r="P3360" s="13"/>
      <c r="Q3360" s="14">
        <v>2025</v>
      </c>
      <c r="R3360" s="15">
        <v>45292</v>
      </c>
      <c r="S3360" s="11" t="s">
        <v>360</v>
      </c>
      <c r="T3360" s="16">
        <v>0</v>
      </c>
      <c r="U3360" s="17"/>
      <c r="V3360" s="12">
        <v>357.9831932773111</v>
      </c>
      <c r="W3360" s="12">
        <v>357.9831932773111</v>
      </c>
      <c r="X3360" s="12">
        <v>0</v>
      </c>
      <c r="Y3360" s="18">
        <v>45677</v>
      </c>
      <c r="Z3360" s="13" t="s">
        <v>516</v>
      </c>
      <c r="AA3360" s="19" t="str">
        <f>VLOOKUP(D3360,Clientes!$A$2:$J$486,9,FALSE)</f>
        <v>Ocacional</v>
      </c>
      <c r="AB3360" s="13" t="str">
        <f>VLOOKUP(D3360,Clientes!$A$2:$K$486,11,FALSE)</f>
        <v>Persona Natural</v>
      </c>
      <c r="AC3360" s="13" t="str">
        <f>VLOOKUP(D3360,Clientes!$A$2:$B$486,2,FALSE)</f>
        <v>Sector Marcela Paz</v>
      </c>
      <c r="AD3360" s="20"/>
      <c r="AE3360" s="20"/>
      <c r="AF3360" s="13" t="s">
        <v>40</v>
      </c>
      <c r="AG3360" s="15">
        <v>45292</v>
      </c>
      <c r="AH3360" s="13" t="s">
        <v>41</v>
      </c>
      <c r="AI3360" s="13" t="s">
        <v>147</v>
      </c>
      <c r="AJ3360" s="13" t="str">
        <f>VLOOKUP(E3360,Precios!Z$2:AA$941,2,FALSE)</f>
        <v>Papel Aluminio 7.5 metros</v>
      </c>
      <c r="AK3360" s="14">
        <f>VLOOKUP(E3360,Precios!Z$2:BB$941,3,FALSE)*F3360</f>
        <v>-1</v>
      </c>
      <c r="AL3360" s="17"/>
      <c r="AM3360" s="17"/>
      <c r="AN3360" s="17"/>
      <c r="AO3360" s="17"/>
      <c r="AP3360" s="17"/>
      <c r="AQ3360" s="17"/>
      <c r="AR3360" s="17"/>
      <c r="AS3360" s="17"/>
      <c r="AT3360" s="17"/>
      <c r="AU3360" s="17"/>
      <c r="AV3360" s="17"/>
    </row>
    <row r="3361" spans="1:48" ht="15.75" customHeight="1">
      <c r="A3361" s="21" t="s">
        <v>147</v>
      </c>
      <c r="B3361" s="23" t="s">
        <v>1692</v>
      </c>
      <c r="C3361" s="25">
        <v>45678</v>
      </c>
      <c r="D3361" s="23" t="s">
        <v>769</v>
      </c>
      <c r="E3361" s="23" t="s">
        <v>149</v>
      </c>
      <c r="F3361" s="21">
        <v>1</v>
      </c>
      <c r="G3361" s="12">
        <v>1700</v>
      </c>
      <c r="H3361" s="12">
        <v>1700</v>
      </c>
      <c r="I3361" s="23" t="s">
        <v>52</v>
      </c>
      <c r="J3361" s="23" t="s">
        <v>61</v>
      </c>
      <c r="K3361" s="24" t="s">
        <v>177</v>
      </c>
      <c r="L3361" s="26">
        <v>92</v>
      </c>
      <c r="M3361" s="12">
        <v>1428.5714285714287</v>
      </c>
      <c r="N3361" s="12">
        <v>1428.5714285714287</v>
      </c>
      <c r="O3361" s="12">
        <v>271.42857142857133</v>
      </c>
      <c r="P3361" s="13"/>
      <c r="Q3361" s="14">
        <v>2025</v>
      </c>
      <c r="R3361" s="15">
        <v>45292</v>
      </c>
      <c r="S3361" s="11" t="s">
        <v>412</v>
      </c>
      <c r="T3361" s="16">
        <v>0</v>
      </c>
      <c r="U3361" s="17"/>
      <c r="V3361" s="12">
        <v>774.78991596638662</v>
      </c>
      <c r="W3361" s="12">
        <v>774.78991596638662</v>
      </c>
      <c r="X3361" s="12">
        <v>0</v>
      </c>
      <c r="Y3361" s="18">
        <v>45677</v>
      </c>
      <c r="Z3361" s="13" t="s">
        <v>516</v>
      </c>
      <c r="AA3361" s="19" t="str">
        <f>VLOOKUP(D3361,Clientes!$A$2:$J$486,9,FALSE)</f>
        <v>Ocacional</v>
      </c>
      <c r="AB3361" s="13" t="str">
        <f>VLOOKUP(D3361,Clientes!$A$2:$K$486,11,FALSE)</f>
        <v>Persona Natural</v>
      </c>
      <c r="AC3361" s="13" t="str">
        <f>VLOOKUP(D3361,Clientes!$A$2:$B$486,2,FALSE)</f>
        <v>Sector Marcela Paz</v>
      </c>
      <c r="AD3361" s="20"/>
      <c r="AE3361" s="20"/>
      <c r="AF3361" s="13" t="s">
        <v>40</v>
      </c>
      <c r="AG3361" s="15">
        <v>45292</v>
      </c>
      <c r="AH3361" s="13" t="s">
        <v>41</v>
      </c>
      <c r="AI3361" s="13" t="s">
        <v>147</v>
      </c>
      <c r="AJ3361" s="13" t="str">
        <f>VLOOKUP(E3361,Precios!Z$2:AA$941,2,FALSE)</f>
        <v>Film Plástico 30 metros</v>
      </c>
      <c r="AK3361" s="14">
        <f>VLOOKUP(E3361,Precios!Z$2:BB$941,3,FALSE)*F3361</f>
        <v>-1</v>
      </c>
      <c r="AL3361" s="17"/>
      <c r="AM3361" s="17"/>
      <c r="AN3361" s="17"/>
      <c r="AO3361" s="17"/>
      <c r="AP3361" s="17"/>
      <c r="AQ3361" s="17"/>
      <c r="AR3361" s="17"/>
      <c r="AS3361" s="17"/>
      <c r="AT3361" s="17"/>
      <c r="AU3361" s="17"/>
      <c r="AV3361" s="17"/>
    </row>
    <row r="3362" spans="1:48" ht="15.75" customHeight="1">
      <c r="A3362" s="21" t="s">
        <v>76</v>
      </c>
      <c r="B3362" s="23" t="s">
        <v>1692</v>
      </c>
      <c r="C3362" s="22">
        <v>45678</v>
      </c>
      <c r="D3362" s="23" t="s">
        <v>236</v>
      </c>
      <c r="E3362" s="23" t="s">
        <v>187</v>
      </c>
      <c r="F3362" s="21">
        <v>1</v>
      </c>
      <c r="G3362" s="12">
        <v>2699.9280057595392</v>
      </c>
      <c r="H3362" s="12">
        <v>2699.9280057595392</v>
      </c>
      <c r="I3362" s="23" t="s">
        <v>52</v>
      </c>
      <c r="J3362" s="23" t="s">
        <v>61</v>
      </c>
      <c r="K3362" s="24" t="s">
        <v>177</v>
      </c>
      <c r="L3362" s="26">
        <v>92</v>
      </c>
      <c r="M3362" s="12">
        <v>2268.8470636634784</v>
      </c>
      <c r="N3362" s="11">
        <v>2268.8470636634784</v>
      </c>
      <c r="O3362" s="11">
        <v>431.08094209606088</v>
      </c>
      <c r="P3362" s="13"/>
      <c r="Q3362" s="14">
        <v>2025</v>
      </c>
      <c r="R3362" s="15">
        <v>45292</v>
      </c>
      <c r="S3362" s="11" t="s">
        <v>479</v>
      </c>
      <c r="T3362" s="16">
        <v>0</v>
      </c>
      <c r="U3362" s="17"/>
      <c r="V3362" s="12">
        <v>798.18039699681162</v>
      </c>
      <c r="W3362" s="12">
        <v>798.18039699681162</v>
      </c>
      <c r="X3362" s="12">
        <v>0</v>
      </c>
      <c r="Y3362" s="18">
        <v>45677</v>
      </c>
      <c r="Z3362" s="13" t="s">
        <v>516</v>
      </c>
      <c r="AA3362" s="19" t="str">
        <f>VLOOKUP(D3362,Clientes!$A$2:$J$486,9,FALSE)</f>
        <v>Familiar</v>
      </c>
      <c r="AB3362" s="13" t="str">
        <f>VLOOKUP(D3362,Clientes!$A$2:$K$486,11,FALSE)</f>
        <v>Persona Natural</v>
      </c>
      <c r="AC3362" s="13" t="str">
        <f>VLOOKUP(D3362,Clientes!$A$2:$B$486,2,FALSE)</f>
        <v>Familiar</v>
      </c>
      <c r="AD3362" s="20"/>
      <c r="AE3362" s="20"/>
      <c r="AF3362" s="13" t="s">
        <v>40</v>
      </c>
      <c r="AG3362" s="15">
        <v>45292</v>
      </c>
      <c r="AH3362" s="13" t="s">
        <v>41</v>
      </c>
      <c r="AI3362" s="13" t="s">
        <v>76</v>
      </c>
      <c r="AJ3362" s="13" t="str">
        <f>VLOOKUP(E3362,Precios!Z$2:AA$941,2,FALSE)</f>
        <v>Lavaloza WYN 1.5 Litros (recarga)</v>
      </c>
      <c r="AK3362" s="14">
        <f>VLOOKUP(E3362,Precios!Z$2:BB$941,3,FALSE)*F3362</f>
        <v>-1</v>
      </c>
      <c r="AL3362" s="17"/>
      <c r="AM3362" s="17"/>
      <c r="AN3362" s="17"/>
      <c r="AO3362" s="17"/>
      <c r="AP3362" s="17"/>
      <c r="AQ3362" s="17"/>
      <c r="AR3362" s="17"/>
      <c r="AS3362" s="17"/>
      <c r="AT3362" s="17"/>
      <c r="AU3362" s="17"/>
      <c r="AV3362" s="17"/>
    </row>
    <row r="3363" spans="1:48" ht="15.75" customHeight="1">
      <c r="A3363" s="21" t="s">
        <v>47</v>
      </c>
      <c r="B3363" s="23" t="s">
        <v>1692</v>
      </c>
      <c r="C3363" s="22">
        <v>45678</v>
      </c>
      <c r="D3363" s="23" t="s">
        <v>236</v>
      </c>
      <c r="E3363" s="23" t="s">
        <v>169</v>
      </c>
      <c r="F3363" s="21">
        <v>1</v>
      </c>
      <c r="G3363" s="12">
        <v>1650.3934426229507</v>
      </c>
      <c r="H3363" s="12">
        <v>1650.3934426229507</v>
      </c>
      <c r="I3363" s="23" t="s">
        <v>52</v>
      </c>
      <c r="J3363" s="23" t="s">
        <v>61</v>
      </c>
      <c r="K3363" s="24" t="s">
        <v>177</v>
      </c>
      <c r="L3363" s="26">
        <v>92</v>
      </c>
      <c r="M3363" s="12">
        <v>1386.8852459016393</v>
      </c>
      <c r="N3363" s="11">
        <v>1386.8852459016393</v>
      </c>
      <c r="O3363" s="11">
        <v>263.50819672131138</v>
      </c>
      <c r="P3363" s="13"/>
      <c r="Q3363" s="14">
        <v>2025</v>
      </c>
      <c r="R3363" s="15">
        <v>45292</v>
      </c>
      <c r="S3363" s="11" t="s">
        <v>453</v>
      </c>
      <c r="T3363" s="16">
        <v>0</v>
      </c>
      <c r="U3363" s="17"/>
      <c r="V3363" s="12">
        <v>540.88524590163934</v>
      </c>
      <c r="W3363" s="12">
        <v>540.88524590163934</v>
      </c>
      <c r="X3363" s="12">
        <v>0</v>
      </c>
      <c r="Y3363" s="18">
        <v>45677</v>
      </c>
      <c r="Z3363" s="13" t="s">
        <v>516</v>
      </c>
      <c r="AA3363" s="19" t="str">
        <f>VLOOKUP(D3363,Clientes!$A$2:$J$486,9,FALSE)</f>
        <v>Familiar</v>
      </c>
      <c r="AB3363" s="13" t="str">
        <f>VLOOKUP(D3363,Clientes!$A$2:$K$486,11,FALSE)</f>
        <v>Persona Natural</v>
      </c>
      <c r="AC3363" s="13" t="str">
        <f>VLOOKUP(D3363,Clientes!$A$2:$B$486,2,FALSE)</f>
        <v>Familiar</v>
      </c>
      <c r="AD3363" s="20"/>
      <c r="AE3363" s="20"/>
      <c r="AF3363" s="13" t="s">
        <v>40</v>
      </c>
      <c r="AG3363" s="15">
        <v>45292</v>
      </c>
      <c r="AH3363" s="13" t="s">
        <v>41</v>
      </c>
      <c r="AI3363" s="13" t="s">
        <v>47</v>
      </c>
      <c r="AJ3363" s="13" t="str">
        <f>VLOOKUP(E3363,Precios!Z$2:AA$941,2,FALSE)</f>
        <v xml:space="preserve">Bolsas Basura TEDDY 45x55 con Asas </v>
      </c>
      <c r="AK3363" s="14">
        <f>VLOOKUP(E3363,Precios!Z$2:BB$941,3,FALSE)*F3363</f>
        <v>-3</v>
      </c>
      <c r="AL3363" s="17"/>
      <c r="AM3363" s="17"/>
      <c r="AN3363" s="17"/>
      <c r="AO3363" s="17"/>
      <c r="AP3363" s="17"/>
      <c r="AQ3363" s="17"/>
      <c r="AR3363" s="17"/>
      <c r="AS3363" s="17"/>
      <c r="AT3363" s="17"/>
      <c r="AU3363" s="17"/>
      <c r="AV3363" s="17"/>
    </row>
    <row r="3364" spans="1:48" ht="15.75" customHeight="1">
      <c r="A3364" s="21" t="s">
        <v>43</v>
      </c>
      <c r="B3364" s="23" t="s">
        <v>1692</v>
      </c>
      <c r="C3364" s="22">
        <v>45677</v>
      </c>
      <c r="D3364" s="23" t="s">
        <v>729</v>
      </c>
      <c r="E3364" s="23" t="s">
        <v>45</v>
      </c>
      <c r="F3364" s="21">
        <v>1</v>
      </c>
      <c r="G3364" s="12">
        <v>6199.9861072520143</v>
      </c>
      <c r="H3364" s="12">
        <v>6199.9861072520143</v>
      </c>
      <c r="I3364" s="23" t="s">
        <v>52</v>
      </c>
      <c r="J3364" s="23" t="s">
        <v>61</v>
      </c>
      <c r="K3364" s="24" t="s">
        <v>177</v>
      </c>
      <c r="L3364" s="26">
        <v>91</v>
      </c>
      <c r="M3364" s="12">
        <v>5210.0723590353064</v>
      </c>
      <c r="N3364" s="11">
        <v>5210.0723590353064</v>
      </c>
      <c r="O3364" s="11">
        <v>989.91374821670797</v>
      </c>
      <c r="P3364" s="13"/>
      <c r="Q3364" s="14">
        <v>2025</v>
      </c>
      <c r="R3364" s="15">
        <v>45292</v>
      </c>
      <c r="S3364" s="11" t="s">
        <v>355</v>
      </c>
      <c r="T3364" s="16">
        <v>0</v>
      </c>
      <c r="U3364" s="17"/>
      <c r="V3364" s="12">
        <v>1459.862275001693</v>
      </c>
      <c r="W3364" s="12">
        <v>1459.862275001693</v>
      </c>
      <c r="X3364" s="12">
        <v>0</v>
      </c>
      <c r="Y3364" s="18">
        <v>45677</v>
      </c>
      <c r="Z3364" s="13" t="s">
        <v>523</v>
      </c>
      <c r="AA3364" s="19" t="str">
        <f>VLOOKUP(D3364,Clientes!$A$2:$J$486,9,FALSE)</f>
        <v>Ocacional</v>
      </c>
      <c r="AB3364" s="13" t="str">
        <f>VLOOKUP(D3364,Clientes!$A$2:$K$486,11,FALSE)</f>
        <v>Persona Natural</v>
      </c>
      <c r="AC3364" s="13" t="str">
        <f>VLOOKUP(D3364,Clientes!$A$2:$B$486,2,FALSE)</f>
        <v>Araucania</v>
      </c>
      <c r="AD3364" s="20"/>
      <c r="AE3364" s="20"/>
      <c r="AF3364" s="13" t="s">
        <v>40</v>
      </c>
      <c r="AG3364" s="15">
        <v>45292</v>
      </c>
      <c r="AH3364" s="13" t="s">
        <v>41</v>
      </c>
      <c r="AI3364" s="13" t="s">
        <v>43</v>
      </c>
      <c r="AJ3364" s="13" t="str">
        <f>VLOOKUP(E3364,Precios!Z$2:AA$941,2,FALSE)</f>
        <v>Bandeja Huevos EXTRA</v>
      </c>
      <c r="AK3364" s="14">
        <f>VLOOKUP(E3364,Precios!Z$2:BB$941,3,FALSE)*F3364</f>
        <v>-1</v>
      </c>
      <c r="AL3364" s="17"/>
      <c r="AM3364" s="17"/>
      <c r="AN3364" s="17"/>
      <c r="AO3364" s="17"/>
      <c r="AP3364" s="17"/>
      <c r="AQ3364" s="17"/>
      <c r="AR3364" s="17"/>
      <c r="AS3364" s="17"/>
      <c r="AT3364" s="17"/>
      <c r="AU3364" s="17"/>
      <c r="AV3364" s="17"/>
    </row>
    <row r="3365" spans="1:48" ht="15.75" customHeight="1">
      <c r="A3365" s="21" t="s">
        <v>76</v>
      </c>
      <c r="B3365" s="23" t="s">
        <v>1692</v>
      </c>
      <c r="C3365" s="22">
        <v>45677</v>
      </c>
      <c r="D3365" s="23" t="s">
        <v>333</v>
      </c>
      <c r="E3365" s="23" t="s">
        <v>81</v>
      </c>
      <c r="F3365" s="21">
        <v>2</v>
      </c>
      <c r="G3365" s="12">
        <v>3500.0000000000005</v>
      </c>
      <c r="H3365" s="12">
        <v>7000.0000000000009</v>
      </c>
      <c r="I3365" s="23" t="s">
        <v>52</v>
      </c>
      <c r="J3365" s="23" t="s">
        <v>61</v>
      </c>
      <c r="K3365" s="24" t="s">
        <v>177</v>
      </c>
      <c r="L3365" s="26">
        <v>91</v>
      </c>
      <c r="M3365" s="12">
        <v>2941.1764705882356</v>
      </c>
      <c r="N3365" s="11">
        <v>5882.3529411764712</v>
      </c>
      <c r="O3365" s="11">
        <v>1117.6470588235297</v>
      </c>
      <c r="P3365" s="13"/>
      <c r="Q3365" s="14">
        <v>2025</v>
      </c>
      <c r="R3365" s="15">
        <v>45292</v>
      </c>
      <c r="S3365" s="11" t="s">
        <v>397</v>
      </c>
      <c r="T3365" s="16">
        <v>10</v>
      </c>
      <c r="U3365" s="17"/>
      <c r="V3365" s="12">
        <v>1529.4117647058829</v>
      </c>
      <c r="W3365" s="12">
        <v>1529.4117647058829</v>
      </c>
      <c r="X3365" s="12">
        <v>0</v>
      </c>
      <c r="Y3365" s="18">
        <v>45677</v>
      </c>
      <c r="Z3365" s="13" t="s">
        <v>523</v>
      </c>
      <c r="AA3365" s="19" t="str">
        <f>VLOOKUP(D3365,Clientes!$A$2:$J$486,9,FALSE)</f>
        <v>Ocacional</v>
      </c>
      <c r="AB3365" s="13" t="str">
        <f>VLOOKUP(D3365,Clientes!$A$2:$K$486,11,FALSE)</f>
        <v>Persona Natural</v>
      </c>
      <c r="AC3365" s="13" t="str">
        <f>VLOOKUP(D3365,Clientes!$A$2:$B$486,2,FALSE)</f>
        <v>Curso Amalia</v>
      </c>
      <c r="AD3365" s="20"/>
      <c r="AE3365" s="20"/>
      <c r="AF3365" s="13" t="s">
        <v>40</v>
      </c>
      <c r="AG3365" s="15">
        <v>45292</v>
      </c>
      <c r="AH3365" s="13" t="s">
        <v>41</v>
      </c>
      <c r="AI3365" s="13" t="s">
        <v>76</v>
      </c>
      <c r="AJ3365" s="13" t="str">
        <f>VLOOKUP(E3365,Precios!Z$2:AA$941,2,FALSE)</f>
        <v>Detergente SPUM 5 Litros (Verde)</v>
      </c>
      <c r="AK3365" s="14">
        <f>VLOOKUP(E3365,Precios!Z$2:BB$941,3,FALSE)*F3365</f>
        <v>-2</v>
      </c>
      <c r="AL3365" s="17"/>
      <c r="AM3365" s="17"/>
      <c r="AN3365" s="17"/>
      <c r="AO3365" s="17"/>
      <c r="AP3365" s="17"/>
      <c r="AQ3365" s="17"/>
      <c r="AR3365" s="17"/>
      <c r="AS3365" s="17"/>
      <c r="AT3365" s="17"/>
      <c r="AU3365" s="17"/>
      <c r="AV3365" s="17"/>
    </row>
    <row r="3366" spans="1:48" ht="15.75" customHeight="1">
      <c r="A3366" s="21" t="s">
        <v>147</v>
      </c>
      <c r="B3366" s="23" t="s">
        <v>1692</v>
      </c>
      <c r="C3366" s="22">
        <v>45677</v>
      </c>
      <c r="D3366" s="23" t="s">
        <v>158</v>
      </c>
      <c r="E3366" s="23" t="s">
        <v>159</v>
      </c>
      <c r="F3366" s="21">
        <v>1</v>
      </c>
      <c r="G3366" s="12">
        <v>24000.000000000004</v>
      </c>
      <c r="H3366" s="12">
        <v>24000.000000000004</v>
      </c>
      <c r="I3366" s="23" t="s">
        <v>52</v>
      </c>
      <c r="J3366" s="23" t="s">
        <v>61</v>
      </c>
      <c r="K3366" s="24" t="s">
        <v>86</v>
      </c>
      <c r="L3366" s="26">
        <v>52</v>
      </c>
      <c r="M3366" s="12">
        <v>20168.067226890762</v>
      </c>
      <c r="N3366" s="11">
        <v>20168.067226890762</v>
      </c>
      <c r="O3366" s="11">
        <v>3831.9327731092417</v>
      </c>
      <c r="P3366" s="13"/>
      <c r="Q3366" s="14">
        <v>2025</v>
      </c>
      <c r="R3366" s="15">
        <v>45292</v>
      </c>
      <c r="S3366" s="11" t="s">
        <v>412</v>
      </c>
      <c r="T3366" s="16">
        <v>0</v>
      </c>
      <c r="U3366" s="17"/>
      <c r="V3366" s="12">
        <v>6861.3445378151282</v>
      </c>
      <c r="W3366" s="12">
        <v>6861.3445378151282</v>
      </c>
      <c r="X3366" s="12">
        <v>0</v>
      </c>
      <c r="Y3366" s="18">
        <v>45677</v>
      </c>
      <c r="Z3366" s="13" t="s">
        <v>523</v>
      </c>
      <c r="AA3366" s="19" t="str">
        <f>VLOOKUP(D3366,Clientes!$A$2:$J$486,9,FALSE)</f>
        <v>Frecuente</v>
      </c>
      <c r="AB3366" s="13" t="str">
        <f>VLOOKUP(D3366,Clientes!$A$2:$K$486,11,FALSE)</f>
        <v>Empresa</v>
      </c>
      <c r="AC3366" s="13" t="str">
        <f>VLOOKUP(D3366,Clientes!$A$2:$B$486,2,FALSE)</f>
        <v>Departamental</v>
      </c>
      <c r="AD3366" s="20"/>
      <c r="AE3366" s="20"/>
      <c r="AF3366" s="13" t="s">
        <v>40</v>
      </c>
      <c r="AG3366" s="15">
        <v>45292</v>
      </c>
      <c r="AH3366" s="13" t="s">
        <v>41</v>
      </c>
      <c r="AI3366" s="13" t="s">
        <v>147</v>
      </c>
      <c r="AJ3366" s="13" t="str">
        <f>VLOOKUP(E3366,Precios!Z$2:AA$941,2,FALSE)</f>
        <v>Film Plástico 1400 metros</v>
      </c>
      <c r="AK3366" s="14">
        <f>VLOOKUP(E3366,Precios!Z$2:BB$941,3,FALSE)*F3366</f>
        <v>-1</v>
      </c>
      <c r="AL3366" s="17"/>
      <c r="AM3366" s="17"/>
      <c r="AN3366" s="17"/>
      <c r="AO3366" s="17"/>
      <c r="AP3366" s="17"/>
      <c r="AQ3366" s="17"/>
      <c r="AR3366" s="17"/>
      <c r="AS3366" s="17"/>
      <c r="AT3366" s="17"/>
      <c r="AU3366" s="17"/>
      <c r="AV3366" s="17"/>
    </row>
    <row r="3367" spans="1:48" ht="15.75" customHeight="1">
      <c r="A3367" s="21" t="s">
        <v>147</v>
      </c>
      <c r="B3367" s="23" t="s">
        <v>1692</v>
      </c>
      <c r="C3367" s="22">
        <v>45677</v>
      </c>
      <c r="D3367" s="23" t="s">
        <v>158</v>
      </c>
      <c r="E3367" s="23" t="s">
        <v>160</v>
      </c>
      <c r="F3367" s="21">
        <v>1</v>
      </c>
      <c r="G3367" s="26">
        <v>-500</v>
      </c>
      <c r="H3367" s="12">
        <v>-500</v>
      </c>
      <c r="I3367" s="23" t="s">
        <v>52</v>
      </c>
      <c r="J3367" s="23" t="s">
        <v>61</v>
      </c>
      <c r="K3367" s="24" t="s">
        <v>86</v>
      </c>
      <c r="L3367" s="26">
        <v>52</v>
      </c>
      <c r="M3367" s="12">
        <v>-420.1680672268908</v>
      </c>
      <c r="N3367" s="11">
        <v>-420.1680672268908</v>
      </c>
      <c r="O3367" s="11">
        <v>-79.831932773109202</v>
      </c>
      <c r="P3367" s="13"/>
      <c r="Q3367" s="14">
        <v>2025</v>
      </c>
      <c r="R3367" s="15">
        <v>45292</v>
      </c>
      <c r="S3367" s="11" t="s">
        <v>160</v>
      </c>
      <c r="T3367" s="16">
        <v>1000</v>
      </c>
      <c r="U3367" s="17"/>
      <c r="V3367" s="26">
        <v>-500</v>
      </c>
      <c r="W3367" s="12">
        <v>-500</v>
      </c>
      <c r="X3367" s="12">
        <v>0</v>
      </c>
      <c r="Y3367" s="18">
        <v>45677</v>
      </c>
      <c r="Z3367" s="13" t="s">
        <v>523</v>
      </c>
      <c r="AA3367" s="19" t="str">
        <f>VLOOKUP(D3367,Clientes!$A$2:$J$486,9,FALSE)</f>
        <v>Frecuente</v>
      </c>
      <c r="AB3367" s="13" t="str">
        <f>VLOOKUP(D3367,Clientes!$A$2:$K$486,11,FALSE)</f>
        <v>Empresa</v>
      </c>
      <c r="AC3367" s="13" t="str">
        <f>VLOOKUP(D3367,Clientes!$A$2:$B$486,2,FALSE)</f>
        <v>Departamental</v>
      </c>
      <c r="AD3367" s="20"/>
      <c r="AE3367" s="20"/>
      <c r="AF3367" s="13" t="s">
        <v>40</v>
      </c>
      <c r="AG3367" s="15">
        <v>45292</v>
      </c>
      <c r="AH3367" s="13" t="s">
        <v>41</v>
      </c>
      <c r="AI3367" s="13" t="s">
        <v>147</v>
      </c>
      <c r="AJ3367" s="13" t="str">
        <f>VLOOKUP(E3367,Precios!Z$2:AA$941,2,FALSE)</f>
        <v>Descuentos</v>
      </c>
      <c r="AK3367" s="14">
        <f>VLOOKUP(E3367,Precios!Z$2:BB$941,3,FALSE)*F3367</f>
        <v>-1</v>
      </c>
      <c r="AL3367" s="17"/>
      <c r="AM3367" s="17"/>
      <c r="AN3367" s="17"/>
      <c r="AO3367" s="17"/>
      <c r="AP3367" s="17"/>
      <c r="AQ3367" s="17"/>
      <c r="AR3367" s="17"/>
      <c r="AS3367" s="17"/>
      <c r="AT3367" s="17"/>
      <c r="AU3367" s="17"/>
      <c r="AV3367" s="17"/>
    </row>
    <row r="3368" spans="1:48" ht="15.75" customHeight="1">
      <c r="A3368" s="21" t="s">
        <v>53</v>
      </c>
      <c r="B3368" s="23" t="s">
        <v>1692</v>
      </c>
      <c r="C3368" s="22">
        <v>45677</v>
      </c>
      <c r="D3368" s="23" t="s">
        <v>158</v>
      </c>
      <c r="E3368" s="23" t="s">
        <v>580</v>
      </c>
      <c r="F3368" s="21">
        <v>2</v>
      </c>
      <c r="G3368" s="12">
        <v>11499.993390876765</v>
      </c>
      <c r="H3368" s="12">
        <v>22999.986781753531</v>
      </c>
      <c r="I3368" s="23" t="s">
        <v>52</v>
      </c>
      <c r="J3368" s="23" t="s">
        <v>61</v>
      </c>
      <c r="K3368" s="24" t="s">
        <v>86</v>
      </c>
      <c r="L3368" s="26">
        <v>52</v>
      </c>
      <c r="M3368" s="12">
        <v>9663.8599923334168</v>
      </c>
      <c r="N3368" s="11">
        <v>19327.719984666834</v>
      </c>
      <c r="O3368" s="11">
        <v>3672.2667970866969</v>
      </c>
      <c r="P3368" s="13"/>
      <c r="Q3368" s="14">
        <v>2025</v>
      </c>
      <c r="R3368" s="15">
        <v>45292</v>
      </c>
      <c r="S3368" s="11" t="s">
        <v>381</v>
      </c>
      <c r="T3368" s="16">
        <v>600</v>
      </c>
      <c r="U3368" s="17"/>
      <c r="V3368" s="12">
        <v>4705.7199846668336</v>
      </c>
      <c r="W3368" s="12">
        <v>4705.7199846668336</v>
      </c>
      <c r="X3368" s="12">
        <v>0</v>
      </c>
      <c r="Y3368" s="18">
        <v>45677</v>
      </c>
      <c r="Z3368" s="13" t="s">
        <v>523</v>
      </c>
      <c r="AA3368" s="19" t="str">
        <f>VLOOKUP(D3368,Clientes!$A$2:$J$486,9,FALSE)</f>
        <v>Frecuente</v>
      </c>
      <c r="AB3368" s="13" t="str">
        <f>VLOOKUP(D3368,Clientes!$A$2:$K$486,11,FALSE)</f>
        <v>Empresa</v>
      </c>
      <c r="AC3368" s="13" t="str">
        <f>VLOOKUP(D3368,Clientes!$A$2:$B$486,2,FALSE)</f>
        <v>Departamental</v>
      </c>
      <c r="AD3368" s="20"/>
      <c r="AE3368" s="20"/>
      <c r="AF3368" s="13" t="s">
        <v>40</v>
      </c>
      <c r="AG3368" s="15">
        <v>45292</v>
      </c>
      <c r="AH3368" s="13" t="s">
        <v>41</v>
      </c>
      <c r="AI3368" s="13" t="s">
        <v>53</v>
      </c>
      <c r="AJ3368" s="13" t="str">
        <f>VLOOKUP(E3368,Precios!Z$2:AA$941,2,FALSE)</f>
        <v>Servilletas SOFTQUALITY 300 unidades</v>
      </c>
      <c r="AK3368" s="14">
        <f>VLOOKUP(E3368,Precios!Z$2:BB$941,3,FALSE)*F3368</f>
        <v>-20</v>
      </c>
      <c r="AL3368" s="17"/>
      <c r="AM3368" s="17"/>
      <c r="AN3368" s="17"/>
      <c r="AO3368" s="17"/>
      <c r="AP3368" s="17"/>
      <c r="AQ3368" s="17"/>
      <c r="AR3368" s="17"/>
      <c r="AS3368" s="17"/>
      <c r="AT3368" s="17"/>
      <c r="AU3368" s="17"/>
      <c r="AV3368" s="17"/>
    </row>
    <row r="3369" spans="1:48" ht="15.75" customHeight="1">
      <c r="A3369" s="21" t="s">
        <v>53</v>
      </c>
      <c r="B3369" s="23" t="s">
        <v>1692</v>
      </c>
      <c r="C3369" s="22">
        <v>45677</v>
      </c>
      <c r="D3369" s="23" t="s">
        <v>158</v>
      </c>
      <c r="E3369" s="23" t="s">
        <v>162</v>
      </c>
      <c r="F3369" s="21">
        <v>2</v>
      </c>
      <c r="G3369" s="12">
        <v>9500.0304006809747</v>
      </c>
      <c r="H3369" s="12">
        <v>19000.060801361949</v>
      </c>
      <c r="I3369" s="23" t="s">
        <v>52</v>
      </c>
      <c r="J3369" s="23" t="s">
        <v>61</v>
      </c>
      <c r="K3369" s="24" t="s">
        <v>86</v>
      </c>
      <c r="L3369" s="26">
        <v>52</v>
      </c>
      <c r="M3369" s="12">
        <v>7983.2188241016602</v>
      </c>
      <c r="N3369" s="11">
        <v>15966.43764820332</v>
      </c>
      <c r="O3369" s="11">
        <v>3033.6231531586291</v>
      </c>
      <c r="P3369" s="13"/>
      <c r="Q3369" s="14">
        <v>2025</v>
      </c>
      <c r="R3369" s="15">
        <v>45292</v>
      </c>
      <c r="S3369" s="11" t="s">
        <v>437</v>
      </c>
      <c r="T3369" s="16">
        <v>0</v>
      </c>
      <c r="U3369" s="17"/>
      <c r="V3369" s="12">
        <v>5462.4376482033185</v>
      </c>
      <c r="W3369" s="12">
        <v>5462.4376482033185</v>
      </c>
      <c r="X3369" s="12">
        <v>0</v>
      </c>
      <c r="Y3369" s="18">
        <v>45677</v>
      </c>
      <c r="Z3369" s="13" t="s">
        <v>523</v>
      </c>
      <c r="AA3369" s="19" t="str">
        <f>VLOOKUP(D3369,Clientes!$A$2:$J$486,9,FALSE)</f>
        <v>Frecuente</v>
      </c>
      <c r="AB3369" s="13" t="str">
        <f>VLOOKUP(D3369,Clientes!$A$2:$K$486,11,FALSE)</f>
        <v>Empresa</v>
      </c>
      <c r="AC3369" s="13" t="str">
        <f>VLOOKUP(D3369,Clientes!$A$2:$B$486,2,FALSE)</f>
        <v>Departamental</v>
      </c>
      <c r="AD3369" s="20"/>
      <c r="AE3369" s="20"/>
      <c r="AF3369" s="13" t="s">
        <v>40</v>
      </c>
      <c r="AG3369" s="15">
        <v>45292</v>
      </c>
      <c r="AH3369" s="13" t="s">
        <v>41</v>
      </c>
      <c r="AI3369" s="13" t="s">
        <v>53</v>
      </c>
      <c r="AJ3369" s="13" t="str">
        <f>VLOOKUP(E3369,Precios!Z$2:AA$941,2,FALSE)</f>
        <v>Toalla Papel 250 metros dipensador</v>
      </c>
      <c r="AK3369" s="14">
        <f>VLOOKUP(E3369,Precios!Z$2:BB$941,3,FALSE)*F3369</f>
        <v>-2</v>
      </c>
      <c r="AL3369" s="17"/>
      <c r="AM3369" s="17"/>
      <c r="AN3369" s="17"/>
      <c r="AO3369" s="17"/>
      <c r="AP3369" s="17"/>
      <c r="AQ3369" s="17"/>
      <c r="AR3369" s="17"/>
      <c r="AS3369" s="17"/>
      <c r="AT3369" s="17"/>
      <c r="AU3369" s="17"/>
      <c r="AV3369" s="17"/>
    </row>
    <row r="3370" spans="1:48" ht="15.75" customHeight="1">
      <c r="A3370" s="21" t="s">
        <v>53</v>
      </c>
      <c r="B3370" s="23" t="s">
        <v>1692</v>
      </c>
      <c r="C3370" s="22">
        <v>45677</v>
      </c>
      <c r="D3370" s="23" t="s">
        <v>158</v>
      </c>
      <c r="E3370" s="23" t="s">
        <v>163</v>
      </c>
      <c r="F3370" s="21">
        <v>1</v>
      </c>
      <c r="G3370" s="12">
        <v>18990</v>
      </c>
      <c r="H3370" s="12">
        <v>18990</v>
      </c>
      <c r="I3370" s="23" t="s">
        <v>52</v>
      </c>
      <c r="J3370" s="23" t="s">
        <v>61</v>
      </c>
      <c r="K3370" s="24" t="s">
        <v>86</v>
      </c>
      <c r="L3370" s="26">
        <v>52</v>
      </c>
      <c r="M3370" s="12">
        <v>15957.983193277312</v>
      </c>
      <c r="N3370" s="11">
        <v>15957.983193277312</v>
      </c>
      <c r="O3370" s="11">
        <v>3032.0168067226878</v>
      </c>
      <c r="P3370" s="13"/>
      <c r="Q3370" s="14">
        <v>2025</v>
      </c>
      <c r="R3370" s="15">
        <v>45292</v>
      </c>
      <c r="S3370" s="11" t="s">
        <v>435</v>
      </c>
      <c r="T3370" s="16">
        <v>0</v>
      </c>
      <c r="U3370" s="17"/>
      <c r="V3370" s="12">
        <v>4112.6050420168067</v>
      </c>
      <c r="W3370" s="12">
        <v>4112.6050420168067</v>
      </c>
      <c r="X3370" s="12">
        <v>0</v>
      </c>
      <c r="Y3370" s="18">
        <v>45677</v>
      </c>
      <c r="Z3370" s="13" t="s">
        <v>523</v>
      </c>
      <c r="AA3370" s="19" t="str">
        <f>VLOOKUP(D3370,Clientes!$A$2:$J$486,9,FALSE)</f>
        <v>Frecuente</v>
      </c>
      <c r="AB3370" s="13" t="str">
        <f>VLOOKUP(D3370,Clientes!$A$2:$K$486,11,FALSE)</f>
        <v>Empresa</v>
      </c>
      <c r="AC3370" s="13" t="str">
        <f>VLOOKUP(D3370,Clientes!$A$2:$B$486,2,FALSE)</f>
        <v>Departamental</v>
      </c>
      <c r="AD3370" s="20"/>
      <c r="AE3370" s="20"/>
      <c r="AF3370" s="13" t="s">
        <v>40</v>
      </c>
      <c r="AG3370" s="15">
        <v>45292</v>
      </c>
      <c r="AH3370" s="13" t="s">
        <v>41</v>
      </c>
      <c r="AI3370" s="13" t="s">
        <v>53</v>
      </c>
      <c r="AJ3370" s="13" t="str">
        <f>VLOOKUP(E3370,Precios!Z$2:AA$941,2,FALSE)</f>
        <v>Papel Higienico SWAN 50 metros</v>
      </c>
      <c r="AK3370" s="14">
        <f>VLOOKUP(E3370,Precios!Z$2:BB$941,3,FALSE)*F3370</f>
        <v>-8</v>
      </c>
      <c r="AL3370" s="17"/>
      <c r="AM3370" s="17"/>
      <c r="AN3370" s="17"/>
      <c r="AO3370" s="17"/>
      <c r="AP3370" s="17"/>
      <c r="AQ3370" s="17"/>
      <c r="AR3370" s="17"/>
      <c r="AS3370" s="17"/>
      <c r="AT3370" s="17"/>
      <c r="AU3370" s="17"/>
      <c r="AV3370" s="17"/>
    </row>
    <row r="3371" spans="1:48" ht="15.75" customHeight="1">
      <c r="A3371" s="21" t="s">
        <v>53</v>
      </c>
      <c r="B3371" s="23" t="s">
        <v>1692</v>
      </c>
      <c r="C3371" s="22">
        <v>45677</v>
      </c>
      <c r="D3371" s="23" t="s">
        <v>142</v>
      </c>
      <c r="E3371" s="23" t="s">
        <v>704</v>
      </c>
      <c r="F3371" s="21">
        <v>1</v>
      </c>
      <c r="G3371" s="12">
        <v>9000</v>
      </c>
      <c r="H3371" s="12">
        <v>9000</v>
      </c>
      <c r="I3371" s="23" t="s">
        <v>52</v>
      </c>
      <c r="J3371" s="23" t="s">
        <v>61</v>
      </c>
      <c r="K3371" s="24" t="s">
        <v>177</v>
      </c>
      <c r="L3371" s="26">
        <v>91</v>
      </c>
      <c r="M3371" s="12">
        <v>7563.0252100840344</v>
      </c>
      <c r="N3371" s="11">
        <v>7563.0252100840344</v>
      </c>
      <c r="O3371" s="11">
        <v>1436.9747899159656</v>
      </c>
      <c r="P3371" s="13"/>
      <c r="Q3371" s="14">
        <v>2025</v>
      </c>
      <c r="R3371" s="15">
        <v>45292</v>
      </c>
      <c r="S3371" s="11" t="s">
        <v>435</v>
      </c>
      <c r="T3371" s="16">
        <v>0</v>
      </c>
      <c r="U3371" s="17"/>
      <c r="V3371" s="12">
        <v>3121.0084033613448</v>
      </c>
      <c r="W3371" s="12">
        <v>3121.0084033613448</v>
      </c>
      <c r="X3371" s="12">
        <v>0</v>
      </c>
      <c r="Y3371" s="18">
        <v>45677</v>
      </c>
      <c r="Z3371" s="13" t="s">
        <v>523</v>
      </c>
      <c r="AA3371" s="19" t="str">
        <f>VLOOKUP(D3371,Clientes!$A$2:$J$486,9,FALSE)</f>
        <v>Frecuente</v>
      </c>
      <c r="AB3371" s="13" t="str">
        <f>VLOOKUP(D3371,Clientes!$A$2:$K$486,11,FALSE)</f>
        <v>Persona Natural</v>
      </c>
      <c r="AC3371" s="13" t="str">
        <f>VLOOKUP(D3371,Clientes!$A$2:$B$486,2,FALSE)</f>
        <v>Curso Amalia</v>
      </c>
      <c r="AD3371" s="20"/>
      <c r="AE3371" s="20"/>
      <c r="AF3371" s="13" t="s">
        <v>40</v>
      </c>
      <c r="AG3371" s="15">
        <v>45292</v>
      </c>
      <c r="AH3371" s="13" t="s">
        <v>41</v>
      </c>
      <c r="AI3371" s="13" t="s">
        <v>53</v>
      </c>
      <c r="AJ3371" s="13" t="str">
        <f>VLOOKUP(E3371,Precios!Z$2:AA$941,2,FALSE)</f>
        <v>Papel Higienico SWAN 50 metros</v>
      </c>
      <c r="AK3371" s="14">
        <f>VLOOKUP(E3371,Precios!Z$2:BB$941,3,FALSE)*F3371</f>
        <v>-3</v>
      </c>
      <c r="AL3371" s="17"/>
      <c r="AM3371" s="17"/>
      <c r="AN3371" s="17"/>
      <c r="AO3371" s="17"/>
      <c r="AP3371" s="17"/>
      <c r="AQ3371" s="17"/>
      <c r="AR3371" s="17"/>
      <c r="AS3371" s="17"/>
      <c r="AT3371" s="17"/>
      <c r="AU3371" s="17"/>
      <c r="AV3371" s="17"/>
    </row>
    <row r="3372" spans="1:48" ht="15.75" customHeight="1">
      <c r="A3372" s="21" t="s">
        <v>53</v>
      </c>
      <c r="B3372" s="23" t="s">
        <v>1692</v>
      </c>
      <c r="C3372" s="22">
        <v>45677</v>
      </c>
      <c r="D3372" s="23" t="s">
        <v>142</v>
      </c>
      <c r="E3372" s="23" t="s">
        <v>339</v>
      </c>
      <c r="F3372" s="21">
        <v>1</v>
      </c>
      <c r="G3372" s="12">
        <v>4000.0000000000005</v>
      </c>
      <c r="H3372" s="12">
        <v>4000.0000000000005</v>
      </c>
      <c r="I3372" s="23" t="s">
        <v>52</v>
      </c>
      <c r="J3372" s="23" t="s">
        <v>61</v>
      </c>
      <c r="K3372" s="24" t="s">
        <v>177</v>
      </c>
      <c r="L3372" s="26">
        <v>91</v>
      </c>
      <c r="M3372" s="12">
        <v>3361.3445378151264</v>
      </c>
      <c r="N3372" s="11">
        <v>3361.3445378151264</v>
      </c>
      <c r="O3372" s="11">
        <v>638.65546218487407</v>
      </c>
      <c r="P3372" s="13"/>
      <c r="Q3372" s="14">
        <v>2025</v>
      </c>
      <c r="R3372" s="15">
        <v>45292</v>
      </c>
      <c r="S3372" s="11" t="s">
        <v>369</v>
      </c>
      <c r="T3372" s="16">
        <v>0</v>
      </c>
      <c r="U3372" s="17"/>
      <c r="V3372" s="12">
        <v>953.78151260504228</v>
      </c>
      <c r="W3372" s="12">
        <v>953.78151260504228</v>
      </c>
      <c r="X3372" s="12">
        <v>0</v>
      </c>
      <c r="Y3372" s="18">
        <v>45677</v>
      </c>
      <c r="Z3372" s="13" t="s">
        <v>523</v>
      </c>
      <c r="AA3372" s="19" t="str">
        <f>VLOOKUP(D3372,Clientes!$A$2:$J$486,9,FALSE)</f>
        <v>Frecuente</v>
      </c>
      <c r="AB3372" s="13" t="str">
        <f>VLOOKUP(D3372,Clientes!$A$2:$K$486,11,FALSE)</f>
        <v>Persona Natural</v>
      </c>
      <c r="AC3372" s="13" t="str">
        <f>VLOOKUP(D3372,Clientes!$A$2:$B$486,2,FALSE)</f>
        <v>Curso Amalia</v>
      </c>
      <c r="AD3372" s="20"/>
      <c r="AE3372" s="20"/>
      <c r="AF3372" s="13" t="s">
        <v>40</v>
      </c>
      <c r="AG3372" s="15">
        <v>45292</v>
      </c>
      <c r="AH3372" s="13" t="s">
        <v>41</v>
      </c>
      <c r="AI3372" s="13" t="s">
        <v>53</v>
      </c>
      <c r="AJ3372" s="13" t="str">
        <f>VLOOKUP(E3372,Precios!Z$2:AA$941,2,FALSE)</f>
        <v>Toalla Papel NOVA 12 metros</v>
      </c>
      <c r="AK3372" s="14">
        <f>VLOOKUP(E3372,Precios!Z$2:BB$941,3,FALSE)*F3372</f>
        <v>-3</v>
      </c>
      <c r="AL3372" s="17"/>
      <c r="AM3372" s="17"/>
      <c r="AN3372" s="17"/>
      <c r="AO3372" s="17"/>
      <c r="AP3372" s="17"/>
      <c r="AQ3372" s="17"/>
      <c r="AR3372" s="17"/>
      <c r="AS3372" s="17"/>
      <c r="AT3372" s="17"/>
      <c r="AU3372" s="17"/>
      <c r="AV3372" s="17"/>
    </row>
    <row r="3373" spans="1:48" ht="15.75" customHeight="1">
      <c r="A3373" s="21" t="s">
        <v>147</v>
      </c>
      <c r="B3373" s="23" t="s">
        <v>1692</v>
      </c>
      <c r="C3373" s="22">
        <v>45677</v>
      </c>
      <c r="D3373" s="23" t="s">
        <v>142</v>
      </c>
      <c r="E3373" s="23" t="s">
        <v>149</v>
      </c>
      <c r="F3373" s="21">
        <v>1</v>
      </c>
      <c r="G3373" s="12">
        <v>1700</v>
      </c>
      <c r="H3373" s="12">
        <v>1700</v>
      </c>
      <c r="I3373" s="23" t="s">
        <v>52</v>
      </c>
      <c r="J3373" s="23" t="s">
        <v>61</v>
      </c>
      <c r="K3373" s="24" t="s">
        <v>177</v>
      </c>
      <c r="L3373" s="26">
        <v>91</v>
      </c>
      <c r="M3373" s="12">
        <v>1428.5714285714287</v>
      </c>
      <c r="N3373" s="11">
        <v>1428.5714285714287</v>
      </c>
      <c r="O3373" s="11">
        <v>271.42857142857133</v>
      </c>
      <c r="P3373" s="13"/>
      <c r="Q3373" s="14">
        <v>2025</v>
      </c>
      <c r="R3373" s="15">
        <v>45292</v>
      </c>
      <c r="S3373" s="11" t="s">
        <v>412</v>
      </c>
      <c r="T3373" s="16">
        <v>0</v>
      </c>
      <c r="U3373" s="17"/>
      <c r="V3373" s="12">
        <v>774.78991596638662</v>
      </c>
      <c r="W3373" s="12">
        <v>774.78991596638662</v>
      </c>
      <c r="X3373" s="12">
        <v>0</v>
      </c>
      <c r="Y3373" s="18">
        <v>45677</v>
      </c>
      <c r="Z3373" s="13" t="s">
        <v>523</v>
      </c>
      <c r="AA3373" s="19" t="str">
        <f>VLOOKUP(D3373,Clientes!$A$2:$J$486,9,FALSE)</f>
        <v>Frecuente</v>
      </c>
      <c r="AB3373" s="13" t="str">
        <f>VLOOKUP(D3373,Clientes!$A$2:$K$486,11,FALSE)</f>
        <v>Persona Natural</v>
      </c>
      <c r="AC3373" s="13" t="str">
        <f>VLOOKUP(D3373,Clientes!$A$2:$B$486,2,FALSE)</f>
        <v>Curso Amalia</v>
      </c>
      <c r="AD3373" s="20"/>
      <c r="AE3373" s="20"/>
      <c r="AF3373" s="13" t="s">
        <v>40</v>
      </c>
      <c r="AG3373" s="15">
        <v>45292</v>
      </c>
      <c r="AH3373" s="13" t="s">
        <v>41</v>
      </c>
      <c r="AI3373" s="13" t="s">
        <v>147</v>
      </c>
      <c r="AJ3373" s="13" t="str">
        <f>VLOOKUP(E3373,Precios!Z$2:AA$941,2,FALSE)</f>
        <v>Film Plástico 30 metros</v>
      </c>
      <c r="AK3373" s="14">
        <f>VLOOKUP(E3373,Precios!Z$2:BB$941,3,FALSE)*F3373</f>
        <v>-1</v>
      </c>
      <c r="AL3373" s="17"/>
      <c r="AM3373" s="17"/>
      <c r="AN3373" s="17"/>
      <c r="AO3373" s="17"/>
      <c r="AP3373" s="17"/>
      <c r="AQ3373" s="17"/>
      <c r="AR3373" s="17"/>
      <c r="AS3373" s="17"/>
      <c r="AT3373" s="17"/>
      <c r="AU3373" s="17"/>
      <c r="AV3373" s="17"/>
    </row>
    <row r="3374" spans="1:48" ht="15.75" customHeight="1">
      <c r="A3374" s="21" t="s">
        <v>47</v>
      </c>
      <c r="B3374" s="23" t="s">
        <v>1692</v>
      </c>
      <c r="C3374" s="22">
        <v>45677</v>
      </c>
      <c r="D3374" s="23" t="s">
        <v>142</v>
      </c>
      <c r="E3374" s="23" t="s">
        <v>71</v>
      </c>
      <c r="F3374" s="21">
        <v>1</v>
      </c>
      <c r="G3374" s="12">
        <v>2500</v>
      </c>
      <c r="H3374" s="12">
        <v>2500</v>
      </c>
      <c r="I3374" s="23" t="s">
        <v>52</v>
      </c>
      <c r="J3374" s="23" t="s">
        <v>61</v>
      </c>
      <c r="K3374" s="24" t="s">
        <v>177</v>
      </c>
      <c r="L3374" s="26">
        <v>91</v>
      </c>
      <c r="M3374" s="12">
        <v>2100.840336134454</v>
      </c>
      <c r="N3374" s="11">
        <v>2100.840336134454</v>
      </c>
      <c r="O3374" s="11">
        <v>399.15966386554601</v>
      </c>
      <c r="P3374" s="13"/>
      <c r="Q3374" s="14">
        <v>2025</v>
      </c>
      <c r="R3374" s="15">
        <v>45292</v>
      </c>
      <c r="S3374" s="11" t="s">
        <v>414</v>
      </c>
      <c r="T3374" s="16">
        <v>0</v>
      </c>
      <c r="U3374" s="17"/>
      <c r="V3374" s="12">
        <v>621.84873949579855</v>
      </c>
      <c r="W3374" s="12">
        <v>621.84873949579855</v>
      </c>
      <c r="X3374" s="12">
        <v>0</v>
      </c>
      <c r="Y3374" s="18">
        <v>45677</v>
      </c>
      <c r="Z3374" s="13" t="s">
        <v>523</v>
      </c>
      <c r="AA3374" s="19" t="str">
        <f>VLOOKUP(D3374,Clientes!$A$2:$J$486,9,FALSE)</f>
        <v>Frecuente</v>
      </c>
      <c r="AB3374" s="13" t="str">
        <f>VLOOKUP(D3374,Clientes!$A$2:$K$486,11,FALSE)</f>
        <v>Persona Natural</v>
      </c>
      <c r="AC3374" s="13" t="str">
        <f>VLOOKUP(D3374,Clientes!$A$2:$B$486,2,FALSE)</f>
        <v>Curso Amalia</v>
      </c>
      <c r="AD3374" s="20"/>
      <c r="AE3374" s="20"/>
      <c r="AF3374" s="13" t="s">
        <v>40</v>
      </c>
      <c r="AG3374" s="15">
        <v>45292</v>
      </c>
      <c r="AH3374" s="13" t="s">
        <v>41</v>
      </c>
      <c r="AI3374" s="13" t="s">
        <v>47</v>
      </c>
      <c r="AJ3374" s="13" t="str">
        <f>VLOOKUP(E3374,Precios!Z$2:AA$941,2,FALSE)</f>
        <v>Toalla desinfectante IGENIX 50 unidades</v>
      </c>
      <c r="AK3374" s="14">
        <f>VLOOKUP(E3374,Precios!Z$2:BB$941,3,FALSE)*F3374</f>
        <v>-1</v>
      </c>
      <c r="AL3374" s="17"/>
      <c r="AM3374" s="17"/>
      <c r="AN3374" s="17"/>
      <c r="AO3374" s="17"/>
      <c r="AP3374" s="17"/>
      <c r="AQ3374" s="17"/>
      <c r="AR3374" s="17"/>
      <c r="AS3374" s="17"/>
      <c r="AT3374" s="17"/>
      <c r="AU3374" s="17"/>
      <c r="AV3374" s="17"/>
    </row>
    <row r="3375" spans="1:48" ht="15.75" customHeight="1">
      <c r="A3375" s="21" t="s">
        <v>47</v>
      </c>
      <c r="B3375" s="23" t="s">
        <v>1692</v>
      </c>
      <c r="C3375" s="22">
        <v>45677</v>
      </c>
      <c r="D3375" s="23" t="s">
        <v>142</v>
      </c>
      <c r="E3375" s="23" t="s">
        <v>49</v>
      </c>
      <c r="F3375" s="21">
        <v>1</v>
      </c>
      <c r="G3375" s="12">
        <v>4500.0000000000009</v>
      </c>
      <c r="H3375" s="12">
        <v>4500.0000000000009</v>
      </c>
      <c r="I3375" s="23" t="s">
        <v>52</v>
      </c>
      <c r="J3375" s="23" t="s">
        <v>61</v>
      </c>
      <c r="K3375" s="24" t="s">
        <v>177</v>
      </c>
      <c r="L3375" s="26">
        <v>91</v>
      </c>
      <c r="M3375" s="12">
        <v>3781.5126050420176</v>
      </c>
      <c r="N3375" s="11">
        <v>3781.5126050420176</v>
      </c>
      <c r="O3375" s="11">
        <v>718.48739495798327</v>
      </c>
      <c r="P3375" s="13"/>
      <c r="Q3375" s="14">
        <v>2025</v>
      </c>
      <c r="R3375" s="15">
        <v>45292</v>
      </c>
      <c r="S3375" s="11" t="s">
        <v>384</v>
      </c>
      <c r="T3375" s="16">
        <v>0</v>
      </c>
      <c r="U3375" s="17"/>
      <c r="V3375" s="12">
        <v>988.23529411764775</v>
      </c>
      <c r="W3375" s="12">
        <v>988.23529411764775</v>
      </c>
      <c r="X3375" s="12">
        <v>0</v>
      </c>
      <c r="Y3375" s="18">
        <v>45677</v>
      </c>
      <c r="Z3375" s="13" t="s">
        <v>523</v>
      </c>
      <c r="AA3375" s="19" t="str">
        <f>VLOOKUP(D3375,Clientes!$A$2:$J$486,9,FALSE)</f>
        <v>Frecuente</v>
      </c>
      <c r="AB3375" s="13" t="str">
        <f>VLOOKUP(D3375,Clientes!$A$2:$K$486,11,FALSE)</f>
        <v>Persona Natural</v>
      </c>
      <c r="AC3375" s="13" t="str">
        <f>VLOOKUP(D3375,Clientes!$A$2:$B$486,2,FALSE)</f>
        <v>Curso Amalia</v>
      </c>
      <c r="AD3375" s="20"/>
      <c r="AE3375" s="20"/>
      <c r="AF3375" s="13" t="s">
        <v>40</v>
      </c>
      <c r="AG3375" s="15">
        <v>45292</v>
      </c>
      <c r="AH3375" s="13" t="s">
        <v>41</v>
      </c>
      <c r="AI3375" s="13" t="s">
        <v>47</v>
      </c>
      <c r="AJ3375" s="13" t="str">
        <f>VLOOKUP(E3375,Precios!Z$2:AA$941,2,FALSE)</f>
        <v>Jabón Lìquido BALLERINA</v>
      </c>
      <c r="AK3375" s="14">
        <f>VLOOKUP(E3375,Precios!Z$2:BB$941,3,FALSE)*F3375</f>
        <v>-3</v>
      </c>
      <c r="AL3375" s="17"/>
      <c r="AM3375" s="17"/>
      <c r="AN3375" s="17"/>
      <c r="AO3375" s="17"/>
      <c r="AP3375" s="17"/>
      <c r="AQ3375" s="17"/>
      <c r="AR3375" s="17"/>
      <c r="AS3375" s="17"/>
      <c r="AT3375" s="17"/>
      <c r="AU3375" s="17"/>
      <c r="AV3375" s="17"/>
    </row>
    <row r="3376" spans="1:48" ht="15.75" customHeight="1">
      <c r="A3376" s="21" t="s">
        <v>47</v>
      </c>
      <c r="B3376" s="23" t="s">
        <v>1692</v>
      </c>
      <c r="C3376" s="22">
        <v>45677</v>
      </c>
      <c r="D3376" s="23" t="s">
        <v>142</v>
      </c>
      <c r="E3376" s="23" t="s">
        <v>251</v>
      </c>
      <c r="F3376" s="21">
        <v>1</v>
      </c>
      <c r="G3376" s="12">
        <v>4199.9016948855005</v>
      </c>
      <c r="H3376" s="12">
        <v>4199.9016948855005</v>
      </c>
      <c r="I3376" s="23" t="s">
        <v>52</v>
      </c>
      <c r="J3376" s="23" t="s">
        <v>61</v>
      </c>
      <c r="K3376" s="24" t="s">
        <v>177</v>
      </c>
      <c r="L3376" s="26">
        <v>91</v>
      </c>
      <c r="M3376" s="12">
        <v>3529.3291553659669</v>
      </c>
      <c r="N3376" s="11">
        <v>3529.3291553659669</v>
      </c>
      <c r="O3376" s="11">
        <v>670.57253951953362</v>
      </c>
      <c r="P3376" s="13"/>
      <c r="Q3376" s="14">
        <v>2025</v>
      </c>
      <c r="R3376" s="15">
        <v>45292</v>
      </c>
      <c r="S3376" s="11" t="s">
        <v>621</v>
      </c>
      <c r="T3376" s="16">
        <v>0</v>
      </c>
      <c r="U3376" s="17"/>
      <c r="V3376" s="12">
        <v>848.66248869930041</v>
      </c>
      <c r="W3376" s="12">
        <v>848.66248869930041</v>
      </c>
      <c r="X3376" s="12">
        <v>0</v>
      </c>
      <c r="Y3376" s="18">
        <v>45677</v>
      </c>
      <c r="Z3376" s="13" t="s">
        <v>523</v>
      </c>
      <c r="AA3376" s="19" t="str">
        <f>VLOOKUP(D3376,Clientes!$A$2:$J$486,9,FALSE)</f>
        <v>Frecuente</v>
      </c>
      <c r="AB3376" s="13" t="str">
        <f>VLOOKUP(D3376,Clientes!$A$2:$K$486,11,FALSE)</f>
        <v>Persona Natural</v>
      </c>
      <c r="AC3376" s="13" t="str">
        <f>VLOOKUP(D3376,Clientes!$A$2:$B$486,2,FALSE)</f>
        <v>Curso Amalia</v>
      </c>
      <c r="AD3376" s="20"/>
      <c r="AE3376" s="20"/>
      <c r="AF3376" s="13" t="s">
        <v>40</v>
      </c>
      <c r="AG3376" s="15">
        <v>45292</v>
      </c>
      <c r="AH3376" s="13" t="s">
        <v>41</v>
      </c>
      <c r="AI3376" s="13" t="s">
        <v>47</v>
      </c>
      <c r="AJ3376" s="13" t="str">
        <f>VLOOKUP(E3376,Precios!Z$2:AA$941,2,FALSE)</f>
        <v>Insecticida RAID 360 cc Casa Jardin (Naranjo)</v>
      </c>
      <c r="AK3376" s="14">
        <f>VLOOKUP(E3376,Precios!Z$2:BB$941,3,FALSE)*F3376</f>
        <v>-1</v>
      </c>
      <c r="AL3376" s="17"/>
      <c r="AM3376" s="17"/>
      <c r="AN3376" s="17"/>
      <c r="AO3376" s="17"/>
      <c r="AP3376" s="17"/>
      <c r="AQ3376" s="17"/>
      <c r="AR3376" s="17"/>
      <c r="AS3376" s="17"/>
      <c r="AT3376" s="17"/>
      <c r="AU3376" s="17"/>
      <c r="AV3376" s="17"/>
    </row>
    <row r="3377" spans="1:48" ht="15.75" customHeight="1">
      <c r="A3377" s="21" t="s">
        <v>76</v>
      </c>
      <c r="B3377" s="23" t="s">
        <v>1692</v>
      </c>
      <c r="C3377" s="22">
        <v>45677</v>
      </c>
      <c r="D3377" s="23" t="s">
        <v>142</v>
      </c>
      <c r="E3377" s="23" t="s">
        <v>156</v>
      </c>
      <c r="F3377" s="21">
        <v>1</v>
      </c>
      <c r="G3377" s="12">
        <v>4800</v>
      </c>
      <c r="H3377" s="12">
        <v>4800</v>
      </c>
      <c r="I3377" s="23" t="s">
        <v>52</v>
      </c>
      <c r="J3377" s="23" t="s">
        <v>61</v>
      </c>
      <c r="K3377" s="24" t="s">
        <v>177</v>
      </c>
      <c r="L3377" s="26">
        <v>91</v>
      </c>
      <c r="M3377" s="12">
        <v>4033.6134453781515</v>
      </c>
      <c r="N3377" s="11">
        <v>4033.6134453781515</v>
      </c>
      <c r="O3377" s="11">
        <v>766.38655462184852</v>
      </c>
      <c r="P3377" s="13"/>
      <c r="Q3377" s="14">
        <v>2025</v>
      </c>
      <c r="R3377" s="15">
        <v>45292</v>
      </c>
      <c r="S3377" s="11" t="s">
        <v>479</v>
      </c>
      <c r="T3377" s="16">
        <v>0</v>
      </c>
      <c r="U3377" s="17"/>
      <c r="V3377" s="12">
        <v>1768.0672268907565</v>
      </c>
      <c r="W3377" s="12">
        <v>1768.0672268907565</v>
      </c>
      <c r="X3377" s="12">
        <v>0</v>
      </c>
      <c r="Y3377" s="18">
        <v>45677</v>
      </c>
      <c r="Z3377" s="13" t="s">
        <v>523</v>
      </c>
      <c r="AA3377" s="19" t="str">
        <f>VLOOKUP(D3377,Clientes!$A$2:$J$486,9,FALSE)</f>
        <v>Frecuente</v>
      </c>
      <c r="AB3377" s="13" t="str">
        <f>VLOOKUP(D3377,Clientes!$A$2:$K$486,11,FALSE)</f>
        <v>Persona Natural</v>
      </c>
      <c r="AC3377" s="13" t="str">
        <f>VLOOKUP(D3377,Clientes!$A$2:$B$486,2,FALSE)</f>
        <v>Curso Amalia</v>
      </c>
      <c r="AD3377" s="20"/>
      <c r="AE3377" s="20"/>
      <c r="AF3377" s="13" t="s">
        <v>40</v>
      </c>
      <c r="AG3377" s="15">
        <v>45292</v>
      </c>
      <c r="AH3377" s="13" t="s">
        <v>41</v>
      </c>
      <c r="AI3377" s="13" t="s">
        <v>76</v>
      </c>
      <c r="AJ3377" s="13" t="str">
        <f>VLOOKUP(E3377,Precios!Z$2:AA$941,2,FALSE)</f>
        <v>Lavaloza QUIX 750 cc</v>
      </c>
      <c r="AK3377" s="14">
        <f>VLOOKUP(E3377,Precios!Z$2:BB$941,3,FALSE)*F3377</f>
        <v>-2</v>
      </c>
      <c r="AL3377" s="17"/>
      <c r="AM3377" s="17"/>
      <c r="AN3377" s="17"/>
      <c r="AO3377" s="17"/>
      <c r="AP3377" s="17"/>
      <c r="AQ3377" s="17"/>
      <c r="AR3377" s="17"/>
      <c r="AS3377" s="17"/>
      <c r="AT3377" s="17"/>
      <c r="AU3377" s="17"/>
      <c r="AV3377" s="17"/>
    </row>
    <row r="3378" spans="1:48" ht="15.75" customHeight="1">
      <c r="A3378" s="21" t="s">
        <v>76</v>
      </c>
      <c r="B3378" s="23" t="s">
        <v>1692</v>
      </c>
      <c r="C3378" s="22">
        <v>45677</v>
      </c>
      <c r="D3378" s="23" t="s">
        <v>142</v>
      </c>
      <c r="E3378" s="23" t="s">
        <v>202</v>
      </c>
      <c r="F3378" s="21">
        <v>2</v>
      </c>
      <c r="G3378" s="12">
        <v>1500.2338716794634</v>
      </c>
      <c r="H3378" s="12">
        <v>3000.4677433589268</v>
      </c>
      <c r="I3378" s="23" t="s">
        <v>52</v>
      </c>
      <c r="J3378" s="23" t="s">
        <v>61</v>
      </c>
      <c r="K3378" s="24" t="s">
        <v>177</v>
      </c>
      <c r="L3378" s="26">
        <v>91</v>
      </c>
      <c r="M3378" s="12">
        <v>1260.7007325037507</v>
      </c>
      <c r="N3378" s="11">
        <v>2521.4014650075014</v>
      </c>
      <c r="O3378" s="11">
        <v>479.06627835142535</v>
      </c>
      <c r="P3378" s="13"/>
      <c r="Q3378" s="14">
        <v>2025</v>
      </c>
      <c r="R3378" s="15">
        <v>45292</v>
      </c>
      <c r="S3378" s="11" t="s">
        <v>448</v>
      </c>
      <c r="T3378" s="16">
        <v>0</v>
      </c>
      <c r="U3378" s="17"/>
      <c r="V3378" s="12">
        <v>1092.9014650075014</v>
      </c>
      <c r="W3378" s="12">
        <v>1092.9014650075014</v>
      </c>
      <c r="X3378" s="12">
        <v>0</v>
      </c>
      <c r="Y3378" s="18">
        <v>45677</v>
      </c>
      <c r="Z3378" s="13" t="s">
        <v>523</v>
      </c>
      <c r="AA3378" s="19" t="str">
        <f>VLOOKUP(D3378,Clientes!$A$2:$J$486,9,FALSE)</f>
        <v>Frecuente</v>
      </c>
      <c r="AB3378" s="13" t="str">
        <f>VLOOKUP(D3378,Clientes!$A$2:$K$486,11,FALSE)</f>
        <v>Persona Natural</v>
      </c>
      <c r="AC3378" s="13" t="str">
        <f>VLOOKUP(D3378,Clientes!$A$2:$B$486,2,FALSE)</f>
        <v>Curso Amalia</v>
      </c>
      <c r="AD3378" s="20"/>
      <c r="AE3378" s="20"/>
      <c r="AF3378" s="13" t="s">
        <v>40</v>
      </c>
      <c r="AG3378" s="15">
        <v>45292</v>
      </c>
      <c r="AH3378" s="13" t="s">
        <v>41</v>
      </c>
      <c r="AI3378" s="13" t="s">
        <v>76</v>
      </c>
      <c r="AJ3378" s="13" t="str">
        <f>VLOOKUP(E3378,Precios!Z$2:AA$941,2,FALSE)</f>
        <v>Cloro GEL EXCELL 900ml</v>
      </c>
      <c r="AK3378" s="14">
        <f>VLOOKUP(E3378,Precios!Z$2:BB$941,3,FALSE)*F3378</f>
        <v>-2</v>
      </c>
      <c r="AL3378" s="17"/>
      <c r="AM3378" s="17"/>
      <c r="AN3378" s="17"/>
      <c r="AO3378" s="17"/>
      <c r="AP3378" s="17"/>
      <c r="AQ3378" s="17"/>
      <c r="AR3378" s="17"/>
      <c r="AS3378" s="17"/>
      <c r="AT3378" s="17"/>
      <c r="AU3378" s="17"/>
      <c r="AV3378" s="17"/>
    </row>
    <row r="3379" spans="1:48" ht="15.75" customHeight="1">
      <c r="A3379" s="21" t="s">
        <v>76</v>
      </c>
      <c r="B3379" s="23" t="s">
        <v>1692</v>
      </c>
      <c r="C3379" s="22">
        <v>45677</v>
      </c>
      <c r="D3379" s="23" t="s">
        <v>142</v>
      </c>
      <c r="E3379" s="23" t="s">
        <v>82</v>
      </c>
      <c r="F3379" s="21">
        <v>2</v>
      </c>
      <c r="G3379" s="12">
        <v>2000.0000000000002</v>
      </c>
      <c r="H3379" s="12">
        <v>4000.0000000000005</v>
      </c>
      <c r="I3379" s="23" t="s">
        <v>52</v>
      </c>
      <c r="J3379" s="23" t="s">
        <v>61</v>
      </c>
      <c r="K3379" s="24" t="s">
        <v>177</v>
      </c>
      <c r="L3379" s="26">
        <v>91</v>
      </c>
      <c r="M3379" s="12">
        <v>1680.6722689075632</v>
      </c>
      <c r="N3379" s="11">
        <v>3361.3445378151264</v>
      </c>
      <c r="O3379" s="11">
        <v>638.65546218487407</v>
      </c>
      <c r="P3379" s="13"/>
      <c r="Q3379" s="14">
        <v>2025</v>
      </c>
      <c r="R3379" s="15">
        <v>45292</v>
      </c>
      <c r="S3379" s="11" t="s">
        <v>463</v>
      </c>
      <c r="T3379" s="16">
        <v>10</v>
      </c>
      <c r="U3379" s="17"/>
      <c r="V3379" s="12">
        <v>1361.3445378151264</v>
      </c>
      <c r="W3379" s="12">
        <v>1361.3445378151264</v>
      </c>
      <c r="X3379" s="12">
        <v>0</v>
      </c>
      <c r="Y3379" s="18">
        <v>45677</v>
      </c>
      <c r="Z3379" s="13" t="s">
        <v>523</v>
      </c>
      <c r="AA3379" s="19" t="str">
        <f>VLOOKUP(D3379,Clientes!$A$2:$J$486,9,FALSE)</f>
        <v>Frecuente</v>
      </c>
      <c r="AB3379" s="13" t="str">
        <f>VLOOKUP(D3379,Clientes!$A$2:$K$486,11,FALSE)</f>
        <v>Persona Natural</v>
      </c>
      <c r="AC3379" s="13" t="str">
        <f>VLOOKUP(D3379,Clientes!$A$2:$B$486,2,FALSE)</f>
        <v>Curso Amalia</v>
      </c>
      <c r="AD3379" s="20"/>
      <c r="AE3379" s="20"/>
      <c r="AF3379" s="13" t="s">
        <v>40</v>
      </c>
      <c r="AG3379" s="15">
        <v>45292</v>
      </c>
      <c r="AH3379" s="13" t="s">
        <v>41</v>
      </c>
      <c r="AI3379" s="13" t="s">
        <v>76</v>
      </c>
      <c r="AJ3379" s="13" t="str">
        <f>VLOOKUP(E3379,Precios!Z$2:AA$941,2,FALSE)</f>
        <v>Limpiapiso SPUM 5 Litros</v>
      </c>
      <c r="AK3379" s="14">
        <f>VLOOKUP(E3379,Precios!Z$2:BB$941,3,FALSE)*F3379</f>
        <v>-2</v>
      </c>
      <c r="AL3379" s="17"/>
      <c r="AM3379" s="17"/>
      <c r="AN3379" s="17"/>
      <c r="AO3379" s="17"/>
      <c r="AP3379" s="17"/>
      <c r="AQ3379" s="17"/>
      <c r="AR3379" s="17"/>
      <c r="AS3379" s="17"/>
      <c r="AT3379" s="17"/>
      <c r="AU3379" s="17"/>
      <c r="AV3379" s="17"/>
    </row>
    <row r="3380" spans="1:48" ht="15.75" customHeight="1">
      <c r="A3380" s="21" t="s">
        <v>76</v>
      </c>
      <c r="B3380" s="23" t="s">
        <v>1692</v>
      </c>
      <c r="C3380" s="22">
        <v>45677</v>
      </c>
      <c r="D3380" s="23" t="s">
        <v>142</v>
      </c>
      <c r="E3380" s="23" t="s">
        <v>137</v>
      </c>
      <c r="F3380" s="21">
        <v>2</v>
      </c>
      <c r="G3380" s="12">
        <v>3500.0000000000005</v>
      </c>
      <c r="H3380" s="12">
        <v>7000.0000000000009</v>
      </c>
      <c r="I3380" s="23" t="s">
        <v>52</v>
      </c>
      <c r="J3380" s="23" t="s">
        <v>61</v>
      </c>
      <c r="K3380" s="24" t="s">
        <v>177</v>
      </c>
      <c r="L3380" s="26">
        <v>91</v>
      </c>
      <c r="M3380" s="12">
        <v>2941.1764705882356</v>
      </c>
      <c r="N3380" s="11">
        <v>5882.3529411764712</v>
      </c>
      <c r="O3380" s="11">
        <v>1117.6470588235297</v>
      </c>
      <c r="P3380" s="13"/>
      <c r="Q3380" s="14">
        <v>2025</v>
      </c>
      <c r="R3380" s="15">
        <v>45292</v>
      </c>
      <c r="S3380" s="11" t="s">
        <v>406</v>
      </c>
      <c r="T3380" s="16">
        <v>10</v>
      </c>
      <c r="U3380" s="17"/>
      <c r="V3380" s="12">
        <v>1697.4789915966394</v>
      </c>
      <c r="W3380" s="12">
        <v>1697.4789915966394</v>
      </c>
      <c r="X3380" s="12">
        <v>0</v>
      </c>
      <c r="Y3380" s="18">
        <v>45677</v>
      </c>
      <c r="Z3380" s="13" t="s">
        <v>523</v>
      </c>
      <c r="AA3380" s="19" t="str">
        <f>VLOOKUP(D3380,Clientes!$A$2:$J$486,9,FALSE)</f>
        <v>Frecuente</v>
      </c>
      <c r="AB3380" s="13" t="str">
        <f>VLOOKUP(D3380,Clientes!$A$2:$K$486,11,FALSE)</f>
        <v>Persona Natural</v>
      </c>
      <c r="AC3380" s="13" t="str">
        <f>VLOOKUP(D3380,Clientes!$A$2:$B$486,2,FALSE)</f>
        <v>Curso Amalia</v>
      </c>
      <c r="AD3380" s="20"/>
      <c r="AE3380" s="20"/>
      <c r="AF3380" s="13" t="s">
        <v>40</v>
      </c>
      <c r="AG3380" s="15">
        <v>45292</v>
      </c>
      <c r="AH3380" s="13" t="s">
        <v>41</v>
      </c>
      <c r="AI3380" s="13" t="s">
        <v>76</v>
      </c>
      <c r="AJ3380" s="13" t="str">
        <f>VLOOKUP(E3380,Precios!Z$2:AA$941,2,FALSE)</f>
        <v>Detergente SPUM 5 Litros (Blanco)</v>
      </c>
      <c r="AK3380" s="14">
        <f>VLOOKUP(E3380,Precios!Z$2:BB$941,3,FALSE)*F3380</f>
        <v>-2</v>
      </c>
      <c r="AL3380" s="17"/>
      <c r="AM3380" s="17"/>
      <c r="AN3380" s="17"/>
      <c r="AO3380" s="17"/>
      <c r="AP3380" s="17"/>
      <c r="AQ3380" s="17"/>
      <c r="AR3380" s="17"/>
      <c r="AS3380" s="17"/>
      <c r="AT3380" s="17"/>
      <c r="AU3380" s="17"/>
      <c r="AV3380" s="17"/>
    </row>
    <row r="3381" spans="1:48" ht="15.75" customHeight="1">
      <c r="A3381" s="21" t="s">
        <v>76</v>
      </c>
      <c r="B3381" s="23" t="s">
        <v>1692</v>
      </c>
      <c r="C3381" s="22">
        <v>45677</v>
      </c>
      <c r="D3381" s="23" t="s">
        <v>141</v>
      </c>
      <c r="E3381" s="23" t="s">
        <v>81</v>
      </c>
      <c r="F3381" s="21">
        <v>1</v>
      </c>
      <c r="G3381" s="12">
        <v>3500.0000000000005</v>
      </c>
      <c r="H3381" s="34">
        <v>3500.0000000000005</v>
      </c>
      <c r="I3381" s="23" t="s">
        <v>52</v>
      </c>
      <c r="J3381" s="23" t="s">
        <v>61</v>
      </c>
      <c r="K3381" s="24" t="s">
        <v>177</v>
      </c>
      <c r="L3381" s="26">
        <v>91</v>
      </c>
      <c r="M3381" s="12">
        <v>2941.1764705882356</v>
      </c>
      <c r="N3381" s="11">
        <v>2941.1764705882356</v>
      </c>
      <c r="O3381" s="11">
        <v>558.82352941176487</v>
      </c>
      <c r="P3381" s="13"/>
      <c r="Q3381" s="14">
        <v>2025</v>
      </c>
      <c r="R3381" s="15">
        <v>45292</v>
      </c>
      <c r="S3381" s="11" t="s">
        <v>397</v>
      </c>
      <c r="T3381" s="16">
        <v>5</v>
      </c>
      <c r="U3381" s="17"/>
      <c r="V3381" s="12">
        <v>764.70588235294144</v>
      </c>
      <c r="W3381" s="12">
        <v>764.70588235294144</v>
      </c>
      <c r="X3381" s="12">
        <v>0</v>
      </c>
      <c r="Y3381" s="18">
        <v>45677</v>
      </c>
      <c r="Z3381" s="13" t="s">
        <v>523</v>
      </c>
      <c r="AA3381" s="19" t="str">
        <f>VLOOKUP(D3381,Clientes!$A$2:$J$486,9,FALSE)</f>
        <v>Familiar</v>
      </c>
      <c r="AB3381" s="13" t="str">
        <f>VLOOKUP(D3381,Clientes!$A$2:$K$486,11,FALSE)</f>
        <v>Persona Natural</v>
      </c>
      <c r="AC3381" s="13" t="str">
        <f>VLOOKUP(D3381,Clientes!$A$2:$B$486,2,FALSE)</f>
        <v>Familiar</v>
      </c>
      <c r="AD3381" s="20"/>
      <c r="AE3381" s="20"/>
      <c r="AF3381" s="13" t="s">
        <v>40</v>
      </c>
      <c r="AG3381" s="15">
        <v>45292</v>
      </c>
      <c r="AH3381" s="13" t="s">
        <v>41</v>
      </c>
      <c r="AI3381" s="13" t="s">
        <v>76</v>
      </c>
      <c r="AJ3381" s="13" t="str">
        <f>VLOOKUP(E3381,Precios!Z$2:AA$941,2,FALSE)</f>
        <v>Detergente SPUM 5 Litros (Verde)</v>
      </c>
      <c r="AK3381" s="14">
        <f>VLOOKUP(E3381,Precios!Z$2:BB$941,3,FALSE)*F3381</f>
        <v>-1</v>
      </c>
      <c r="AL3381" s="17"/>
      <c r="AM3381" s="17"/>
      <c r="AN3381" s="17"/>
      <c r="AO3381" s="17"/>
      <c r="AP3381" s="17"/>
      <c r="AQ3381" s="17"/>
      <c r="AR3381" s="17"/>
      <c r="AS3381" s="17"/>
      <c r="AT3381" s="17"/>
      <c r="AU3381" s="17"/>
      <c r="AV3381" s="17"/>
    </row>
    <row r="3382" spans="1:48" ht="15.75" customHeight="1">
      <c r="A3382" s="21" t="s">
        <v>53</v>
      </c>
      <c r="B3382" s="23" t="s">
        <v>1692</v>
      </c>
      <c r="C3382" s="22">
        <v>45677</v>
      </c>
      <c r="D3382" s="23" t="s">
        <v>141</v>
      </c>
      <c r="E3382" s="23" t="s">
        <v>369</v>
      </c>
      <c r="F3382" s="21">
        <v>2</v>
      </c>
      <c r="G3382" s="12">
        <v>1500.0000000000002</v>
      </c>
      <c r="H3382" s="12">
        <v>3000.0000000000005</v>
      </c>
      <c r="I3382" s="23" t="s">
        <v>52</v>
      </c>
      <c r="J3382" s="23" t="s">
        <v>61</v>
      </c>
      <c r="K3382" s="24" t="s">
        <v>177</v>
      </c>
      <c r="L3382" s="26">
        <v>91</v>
      </c>
      <c r="M3382" s="12">
        <v>1260.5042016806726</v>
      </c>
      <c r="N3382" s="11">
        <v>2521.0084033613452</v>
      </c>
      <c r="O3382" s="11">
        <v>478.99159663865521</v>
      </c>
      <c r="P3382" s="13"/>
      <c r="Q3382" s="14">
        <v>2025</v>
      </c>
      <c r="R3382" s="15">
        <v>45292</v>
      </c>
      <c r="S3382" s="11" t="s">
        <v>369</v>
      </c>
      <c r="T3382" s="16">
        <v>0</v>
      </c>
      <c r="U3382" s="17"/>
      <c r="V3382" s="12">
        <v>915.96638655462198</v>
      </c>
      <c r="W3382" s="12">
        <v>915.96638655462198</v>
      </c>
      <c r="X3382" s="12">
        <v>0</v>
      </c>
      <c r="Y3382" s="18">
        <v>45677</v>
      </c>
      <c r="Z3382" s="13" t="s">
        <v>523</v>
      </c>
      <c r="AA3382" s="19" t="str">
        <f>VLOOKUP(D3382,Clientes!$A$2:$J$486,9,FALSE)</f>
        <v>Familiar</v>
      </c>
      <c r="AB3382" s="13" t="str">
        <f>VLOOKUP(D3382,Clientes!$A$2:$K$486,11,FALSE)</f>
        <v>Persona Natural</v>
      </c>
      <c r="AC3382" s="13" t="str">
        <f>VLOOKUP(D3382,Clientes!$A$2:$B$486,2,FALSE)</f>
        <v>Familiar</v>
      </c>
      <c r="AD3382" s="20"/>
      <c r="AE3382" s="20"/>
      <c r="AF3382" s="13" t="s">
        <v>40</v>
      </c>
      <c r="AG3382" s="15">
        <v>45292</v>
      </c>
      <c r="AH3382" s="13" t="s">
        <v>41</v>
      </c>
      <c r="AI3382" s="13" t="s">
        <v>53</v>
      </c>
      <c r="AJ3382" s="13" t="str">
        <f>VLOOKUP(E3382,Precios!Z$2:AA$941,2,FALSE)</f>
        <v>Toalla Papel NOVA 12 metros</v>
      </c>
      <c r="AK3382" s="14">
        <f>VLOOKUP(E3382,Precios!Z$2:BB$941,3,FALSE)*F3382</f>
        <v>-2</v>
      </c>
      <c r="AL3382" s="17"/>
      <c r="AM3382" s="17"/>
      <c r="AN3382" s="17"/>
      <c r="AO3382" s="17"/>
      <c r="AP3382" s="17"/>
      <c r="AQ3382" s="17"/>
      <c r="AR3382" s="17"/>
      <c r="AS3382" s="17"/>
      <c r="AT3382" s="17"/>
      <c r="AU3382" s="17"/>
      <c r="AV3382" s="17"/>
    </row>
    <row r="3383" spans="1:48" ht="15.75" customHeight="1">
      <c r="A3383" s="21" t="s">
        <v>53</v>
      </c>
      <c r="B3383" s="23" t="s">
        <v>1692</v>
      </c>
      <c r="C3383" s="22">
        <v>45677</v>
      </c>
      <c r="D3383" s="23" t="s">
        <v>141</v>
      </c>
      <c r="E3383" s="23" t="s">
        <v>287</v>
      </c>
      <c r="F3383" s="21">
        <v>2</v>
      </c>
      <c r="G3383" s="12">
        <v>3500.0000000000005</v>
      </c>
      <c r="H3383" s="34">
        <v>7000.0000000000009</v>
      </c>
      <c r="I3383" s="23" t="s">
        <v>52</v>
      </c>
      <c r="J3383" s="23" t="s">
        <v>61</v>
      </c>
      <c r="K3383" s="24" t="s">
        <v>177</v>
      </c>
      <c r="L3383" s="26">
        <v>91</v>
      </c>
      <c r="M3383" s="12">
        <v>2941.1764705882356</v>
      </c>
      <c r="N3383" s="11">
        <v>5882.3529411764712</v>
      </c>
      <c r="O3383" s="11">
        <v>1117.6470588235297</v>
      </c>
      <c r="P3383" s="13"/>
      <c r="Q3383" s="14">
        <v>2025</v>
      </c>
      <c r="R3383" s="15">
        <v>45292</v>
      </c>
      <c r="S3383" s="11" t="s">
        <v>366</v>
      </c>
      <c r="T3383" s="16">
        <v>0</v>
      </c>
      <c r="U3383" s="17"/>
      <c r="V3383" s="12">
        <v>2608.4033613445381</v>
      </c>
      <c r="W3383" s="12">
        <v>2608.4033613445381</v>
      </c>
      <c r="X3383" s="12">
        <v>0</v>
      </c>
      <c r="Y3383" s="18">
        <v>45677</v>
      </c>
      <c r="Z3383" s="13" t="s">
        <v>523</v>
      </c>
      <c r="AA3383" s="19" t="str">
        <f>VLOOKUP(D3383,Clientes!$A$2:$J$486,9,FALSE)</f>
        <v>Familiar</v>
      </c>
      <c r="AB3383" s="13" t="str">
        <f>VLOOKUP(D3383,Clientes!$A$2:$K$486,11,FALSE)</f>
        <v>Persona Natural</v>
      </c>
      <c r="AC3383" s="13" t="str">
        <f>VLOOKUP(D3383,Clientes!$A$2:$B$486,2,FALSE)</f>
        <v>Familiar</v>
      </c>
      <c r="AD3383" s="20"/>
      <c r="AE3383" s="20"/>
      <c r="AF3383" s="13" t="s">
        <v>40</v>
      </c>
      <c r="AG3383" s="15">
        <v>45292</v>
      </c>
      <c r="AH3383" s="13" t="s">
        <v>41</v>
      </c>
      <c r="AI3383" s="13" t="s">
        <v>53</v>
      </c>
      <c r="AJ3383" s="13" t="str">
        <f>VLOOKUP(E3383,Precios!Z$2:AA$941,2,FALSE)</f>
        <v>Papel Higienico ELITE 50 metros</v>
      </c>
      <c r="AK3383" s="14">
        <f>VLOOKUP(E3383,Precios!Z$2:BB$941,3,FALSE)*F3383</f>
        <v>-2</v>
      </c>
      <c r="AL3383" s="17"/>
      <c r="AM3383" s="17"/>
      <c r="AN3383" s="17"/>
      <c r="AO3383" s="17"/>
      <c r="AP3383" s="17"/>
      <c r="AQ3383" s="17"/>
      <c r="AR3383" s="17"/>
      <c r="AS3383" s="17"/>
      <c r="AT3383" s="17"/>
      <c r="AU3383" s="17"/>
      <c r="AV3383" s="17"/>
    </row>
    <row r="3384" spans="1:48" ht="15.75" customHeight="1">
      <c r="A3384" s="21" t="s">
        <v>47</v>
      </c>
      <c r="B3384" s="23" t="s">
        <v>1692</v>
      </c>
      <c r="C3384" s="22">
        <v>45677</v>
      </c>
      <c r="D3384" s="23" t="s">
        <v>141</v>
      </c>
      <c r="E3384" s="23" t="s">
        <v>344</v>
      </c>
      <c r="F3384" s="21">
        <v>2</v>
      </c>
      <c r="G3384" s="12">
        <v>2400.1353637901861</v>
      </c>
      <c r="H3384" s="12">
        <v>4800.2707275803723</v>
      </c>
      <c r="I3384" s="23" t="s">
        <v>52</v>
      </c>
      <c r="J3384" s="23" t="s">
        <v>61</v>
      </c>
      <c r="K3384" s="24" t="s">
        <v>177</v>
      </c>
      <c r="L3384" s="26">
        <v>91</v>
      </c>
      <c r="M3384" s="12">
        <v>2016.9204737732657</v>
      </c>
      <c r="N3384" s="11">
        <v>4033.8409475465314</v>
      </c>
      <c r="O3384" s="11">
        <v>766.42978003384087</v>
      </c>
      <c r="P3384" s="13"/>
      <c r="Q3384" s="14">
        <v>2025</v>
      </c>
      <c r="R3384" s="15">
        <v>45292</v>
      </c>
      <c r="S3384" s="11" t="s">
        <v>372</v>
      </c>
      <c r="T3384" s="16">
        <v>0</v>
      </c>
      <c r="U3384" s="17"/>
      <c r="V3384" s="12">
        <v>1649.8409475465314</v>
      </c>
      <c r="W3384" s="12">
        <v>1649.8409475465314</v>
      </c>
      <c r="X3384" s="12">
        <v>0</v>
      </c>
      <c r="Y3384" s="18">
        <v>45677</v>
      </c>
      <c r="Z3384" s="13" t="s">
        <v>523</v>
      </c>
      <c r="AA3384" s="19" t="str">
        <f>VLOOKUP(D3384,Clientes!$A$2:$J$486,9,FALSE)</f>
        <v>Familiar</v>
      </c>
      <c r="AB3384" s="13" t="str">
        <f>VLOOKUP(D3384,Clientes!$A$2:$K$486,11,FALSE)</f>
        <v>Persona Natural</v>
      </c>
      <c r="AC3384" s="13" t="str">
        <f>VLOOKUP(D3384,Clientes!$A$2:$B$486,2,FALSE)</f>
        <v>Familiar</v>
      </c>
      <c r="AD3384" s="20"/>
      <c r="AE3384" s="20"/>
      <c r="AF3384" s="13" t="s">
        <v>40</v>
      </c>
      <c r="AG3384" s="15">
        <v>45292</v>
      </c>
      <c r="AH3384" s="13" t="s">
        <v>41</v>
      </c>
      <c r="AI3384" s="13" t="s">
        <v>47</v>
      </c>
      <c r="AJ3384" s="13" t="str">
        <f>VLOOKUP(E3384,Precios!Z$2:AA$941,2,FALSE)</f>
        <v>Traperos Humedos TEDDY</v>
      </c>
      <c r="AK3384" s="14">
        <f>VLOOKUP(E3384,Precios!Z$2:BB$941,3,FALSE)*F3384</f>
        <v>-2</v>
      </c>
      <c r="AL3384" s="17"/>
      <c r="AM3384" s="17"/>
      <c r="AN3384" s="17"/>
      <c r="AO3384" s="17"/>
      <c r="AP3384" s="17"/>
      <c r="AQ3384" s="17"/>
      <c r="AR3384" s="17"/>
      <c r="AS3384" s="17"/>
      <c r="AT3384" s="17"/>
      <c r="AU3384" s="17"/>
      <c r="AV3384" s="17"/>
    </row>
    <row r="3385" spans="1:48" ht="15.75" customHeight="1">
      <c r="A3385" s="21" t="s">
        <v>35</v>
      </c>
      <c r="B3385" s="23" t="s">
        <v>1692</v>
      </c>
      <c r="C3385" s="22">
        <v>45677</v>
      </c>
      <c r="D3385" s="23" t="s">
        <v>915</v>
      </c>
      <c r="E3385" s="23" t="s">
        <v>46</v>
      </c>
      <c r="F3385" s="21">
        <v>1</v>
      </c>
      <c r="G3385" s="12">
        <v>5500</v>
      </c>
      <c r="H3385" s="37">
        <v>5500</v>
      </c>
      <c r="I3385" s="23" t="s">
        <v>52</v>
      </c>
      <c r="J3385" s="23" t="s">
        <v>61</v>
      </c>
      <c r="K3385" s="24" t="s">
        <v>177</v>
      </c>
      <c r="L3385" s="26">
        <v>91</v>
      </c>
      <c r="M3385" s="12">
        <v>4621.8487394957983</v>
      </c>
      <c r="N3385" s="11">
        <v>4621.8487394957983</v>
      </c>
      <c r="O3385" s="11">
        <v>878.15126050420167</v>
      </c>
      <c r="P3385" s="13"/>
      <c r="Q3385" s="14">
        <v>2025</v>
      </c>
      <c r="R3385" s="15">
        <v>45292</v>
      </c>
      <c r="S3385" s="11" t="s">
        <v>364</v>
      </c>
      <c r="T3385" s="16">
        <v>500</v>
      </c>
      <c r="U3385" s="17"/>
      <c r="V3385" s="12">
        <v>1365.1260504201678</v>
      </c>
      <c r="W3385" s="12">
        <v>1365.1260504201678</v>
      </c>
      <c r="X3385" s="12">
        <v>0</v>
      </c>
      <c r="Y3385" s="18">
        <v>45677</v>
      </c>
      <c r="Z3385" s="13" t="s">
        <v>523</v>
      </c>
      <c r="AA3385" s="19" t="str">
        <f>VLOOKUP(D3385,Clientes!$A$2:$J$486,9,FALSE)</f>
        <v>Regular</v>
      </c>
      <c r="AB3385" s="13" t="str">
        <f>VLOOKUP(D3385,Clientes!$A$2:$K$486,11,FALSE)</f>
        <v>Persona Natural</v>
      </c>
      <c r="AC3385" s="13" t="str">
        <f>VLOOKUP(D3385,Clientes!$A$2:$B$486,2,FALSE)</f>
        <v>Jardin del Eden</v>
      </c>
      <c r="AD3385" s="20"/>
      <c r="AE3385" s="20"/>
      <c r="AF3385" s="13" t="s">
        <v>40</v>
      </c>
      <c r="AG3385" s="15">
        <v>45292</v>
      </c>
      <c r="AH3385" s="13" t="s">
        <v>41</v>
      </c>
      <c r="AI3385" s="13" t="s">
        <v>35</v>
      </c>
      <c r="AJ3385" s="13" t="str">
        <f>VLOOKUP(E3385,Precios!Z$2:AA$941,2,FALSE)</f>
        <v>Queso RUNCA Mantecoso</v>
      </c>
      <c r="AK3385" s="14">
        <f>VLOOKUP(E3385,Precios!Z$2:BB$941,3,FALSE)*F3385</f>
        <v>-0.5</v>
      </c>
      <c r="AL3385" s="17"/>
      <c r="AM3385" s="17"/>
      <c r="AN3385" s="17"/>
      <c r="AO3385" s="17"/>
      <c r="AP3385" s="17"/>
      <c r="AQ3385" s="17"/>
      <c r="AR3385" s="17"/>
      <c r="AS3385" s="17"/>
      <c r="AT3385" s="17"/>
      <c r="AU3385" s="17"/>
      <c r="AV3385" s="17"/>
    </row>
    <row r="3386" spans="1:48" ht="15.75" customHeight="1">
      <c r="A3386" s="21" t="s">
        <v>53</v>
      </c>
      <c r="B3386" s="23" t="s">
        <v>1692</v>
      </c>
      <c r="C3386" s="22">
        <v>45676</v>
      </c>
      <c r="D3386" s="23" t="s">
        <v>670</v>
      </c>
      <c r="E3386" s="23" t="s">
        <v>203</v>
      </c>
      <c r="F3386" s="21">
        <v>1</v>
      </c>
      <c r="G3386" s="12">
        <v>9500</v>
      </c>
      <c r="H3386" s="12">
        <v>9500</v>
      </c>
      <c r="I3386" s="23" t="s">
        <v>52</v>
      </c>
      <c r="J3386" s="23" t="s">
        <v>61</v>
      </c>
      <c r="K3386" s="24" t="s">
        <v>177</v>
      </c>
      <c r="L3386" s="26">
        <v>91</v>
      </c>
      <c r="M3386" s="12">
        <v>7983.1932773109247</v>
      </c>
      <c r="N3386" s="11">
        <v>7983.1932773109247</v>
      </c>
      <c r="O3386" s="11">
        <v>1516.8067226890753</v>
      </c>
      <c r="P3386" s="13"/>
      <c r="Q3386" s="14">
        <v>2025</v>
      </c>
      <c r="R3386" s="15">
        <v>45292</v>
      </c>
      <c r="S3386" s="11" t="s">
        <v>366</v>
      </c>
      <c r="T3386" s="16">
        <v>0</v>
      </c>
      <c r="U3386" s="17"/>
      <c r="V3386" s="12">
        <v>3072.2689075630251</v>
      </c>
      <c r="W3386" s="12">
        <v>3072.2689075630251</v>
      </c>
      <c r="X3386" s="12">
        <v>0</v>
      </c>
      <c r="Y3386" s="18">
        <v>45670</v>
      </c>
      <c r="Z3386" s="13" t="s">
        <v>497</v>
      </c>
      <c r="AA3386" s="19" t="str">
        <f>VLOOKUP(D3386,Clientes!$A$2:$J$486,9,FALSE)</f>
        <v>Ocacional</v>
      </c>
      <c r="AB3386" s="13" t="str">
        <f>VLOOKUP(D3386,Clientes!$A$2:$K$486,11,FALSE)</f>
        <v>Persona Natural</v>
      </c>
      <c r="AC3386" s="13" t="str">
        <f>VLOOKUP(D3386,Clientes!$A$2:$B$486,2,FALSE)</f>
        <v>Jardines de la viña</v>
      </c>
      <c r="AD3386" s="20"/>
      <c r="AE3386" s="20"/>
      <c r="AF3386" s="13" t="s">
        <v>40</v>
      </c>
      <c r="AG3386" s="15">
        <v>45292</v>
      </c>
      <c r="AH3386" s="13" t="s">
        <v>41</v>
      </c>
      <c r="AI3386" s="13" t="s">
        <v>53</v>
      </c>
      <c r="AJ3386" s="13" t="str">
        <f>VLOOKUP(E3386,Precios!Z$2:AA$941,2,FALSE)</f>
        <v>Papel Higienico ELITE 50 metros</v>
      </c>
      <c r="AK3386" s="14">
        <f>VLOOKUP(E3386,Precios!Z$2:BB$941,3,FALSE)*F3386</f>
        <v>-3</v>
      </c>
      <c r="AL3386" s="17"/>
      <c r="AM3386" s="17"/>
      <c r="AN3386" s="17"/>
      <c r="AO3386" s="17"/>
      <c r="AP3386" s="17"/>
      <c r="AQ3386" s="17"/>
      <c r="AR3386" s="17"/>
      <c r="AS3386" s="17"/>
      <c r="AT3386" s="17"/>
      <c r="AU3386" s="17"/>
      <c r="AV3386" s="17"/>
    </row>
    <row r="3387" spans="1:48" ht="15.75" customHeight="1">
      <c r="A3387" s="21" t="s">
        <v>53</v>
      </c>
      <c r="B3387" s="23" t="s">
        <v>1692</v>
      </c>
      <c r="C3387" s="22">
        <v>45676</v>
      </c>
      <c r="D3387" s="23" t="s">
        <v>279</v>
      </c>
      <c r="E3387" s="23" t="s">
        <v>587</v>
      </c>
      <c r="F3387" s="21">
        <v>1</v>
      </c>
      <c r="G3387" s="12">
        <v>3499.8985330782161</v>
      </c>
      <c r="H3387" s="12">
        <v>3499.8985330782161</v>
      </c>
      <c r="I3387" s="23" t="s">
        <v>52</v>
      </c>
      <c r="J3387" s="23" t="s">
        <v>61</v>
      </c>
      <c r="K3387" s="24" t="s">
        <v>177</v>
      </c>
      <c r="L3387" s="26">
        <v>91</v>
      </c>
      <c r="M3387" s="12">
        <v>2941.0912042674086</v>
      </c>
      <c r="N3387" s="11">
        <v>2941.0912042674086</v>
      </c>
      <c r="O3387" s="11">
        <v>558.80732881080758</v>
      </c>
      <c r="P3387" s="13"/>
      <c r="Q3387" s="14">
        <v>2025</v>
      </c>
      <c r="R3387" s="15">
        <v>45292</v>
      </c>
      <c r="S3387" s="11" t="s">
        <v>408</v>
      </c>
      <c r="T3387" s="16">
        <v>0</v>
      </c>
      <c r="U3387" s="17"/>
      <c r="V3387" s="12">
        <v>912.09120426740856</v>
      </c>
      <c r="W3387" s="12">
        <v>912.09120426740856</v>
      </c>
      <c r="X3387" s="12">
        <v>0</v>
      </c>
      <c r="Y3387" s="18">
        <v>45670</v>
      </c>
      <c r="Z3387" s="13" t="s">
        <v>497</v>
      </c>
      <c r="AA3387" s="19" t="str">
        <f>VLOOKUP(D3387,Clientes!$A$2:$J$486,9,FALSE)</f>
        <v>Ocacional</v>
      </c>
      <c r="AB3387" s="13" t="str">
        <f>VLOOKUP(D3387,Clientes!$A$2:$K$486,11,FALSE)</f>
        <v>Persona Natural</v>
      </c>
      <c r="AC3387" s="13" t="str">
        <f>VLOOKUP(D3387,Clientes!$A$2:$B$486,2,FALSE)</f>
        <v>Jardin del eden</v>
      </c>
      <c r="AD3387" s="20"/>
      <c r="AE3387" s="20"/>
      <c r="AF3387" s="13" t="s">
        <v>40</v>
      </c>
      <c r="AG3387" s="15">
        <v>45292</v>
      </c>
      <c r="AH3387" s="13" t="s">
        <v>41</v>
      </c>
      <c r="AI3387" s="13" t="s">
        <v>53</v>
      </c>
      <c r="AJ3387" s="13" t="str">
        <f>VLOOKUP(E3387,Precios!Z$2:AA$941,2,FALSE)</f>
        <v>Toalla Papel SWAN D/H AZUL 100 metros</v>
      </c>
      <c r="AK3387" s="14">
        <f>VLOOKUP(E3387,Precios!Z$2:BB$941,3,FALSE)*F3387</f>
        <v>-1</v>
      </c>
      <c r="AL3387" s="17"/>
      <c r="AM3387" s="17"/>
      <c r="AN3387" s="17"/>
      <c r="AO3387" s="17"/>
      <c r="AP3387" s="17"/>
      <c r="AQ3387" s="17"/>
      <c r="AR3387" s="17"/>
      <c r="AS3387" s="17"/>
      <c r="AT3387" s="17"/>
      <c r="AU3387" s="17"/>
      <c r="AV3387" s="17"/>
    </row>
    <row r="3388" spans="1:48" ht="15.75" customHeight="1">
      <c r="A3388" s="21" t="s">
        <v>47</v>
      </c>
      <c r="B3388" s="23" t="s">
        <v>1692</v>
      </c>
      <c r="C3388" s="22">
        <v>45676</v>
      </c>
      <c r="D3388" s="23" t="s">
        <v>279</v>
      </c>
      <c r="E3388" s="23" t="s">
        <v>676</v>
      </c>
      <c r="F3388" s="21">
        <v>1</v>
      </c>
      <c r="G3388" s="12">
        <v>4000.134998312521</v>
      </c>
      <c r="H3388" s="12">
        <v>4000.134998312521</v>
      </c>
      <c r="I3388" s="23" t="s">
        <v>52</v>
      </c>
      <c r="J3388" s="23" t="s">
        <v>61</v>
      </c>
      <c r="K3388" s="24" t="s">
        <v>177</v>
      </c>
      <c r="L3388" s="26">
        <v>91</v>
      </c>
      <c r="M3388" s="12">
        <v>3361.4579817752278</v>
      </c>
      <c r="N3388" s="11">
        <v>3361.4579817752278</v>
      </c>
      <c r="O3388" s="11">
        <v>638.67701653729318</v>
      </c>
      <c r="P3388" s="13"/>
      <c r="Q3388" s="14">
        <v>2025</v>
      </c>
      <c r="R3388" s="15">
        <v>45292</v>
      </c>
      <c r="S3388" s="11" t="s">
        <v>384</v>
      </c>
      <c r="T3388" s="16">
        <v>0</v>
      </c>
      <c r="U3388" s="17"/>
      <c r="V3388" s="12">
        <v>1369.4579817752278</v>
      </c>
      <c r="W3388" s="12">
        <v>1369.4579817752278</v>
      </c>
      <c r="X3388" s="12">
        <v>0</v>
      </c>
      <c r="Y3388" s="18">
        <v>45670</v>
      </c>
      <c r="Z3388" s="13" t="s">
        <v>497</v>
      </c>
      <c r="AA3388" s="19" t="str">
        <f>VLOOKUP(D3388,Clientes!$A$2:$J$486,9,FALSE)</f>
        <v>Ocacional</v>
      </c>
      <c r="AB3388" s="13" t="str">
        <f>VLOOKUP(D3388,Clientes!$A$2:$K$486,11,FALSE)</f>
        <v>Persona Natural</v>
      </c>
      <c r="AC3388" s="13" t="str">
        <f>VLOOKUP(D3388,Clientes!$A$2:$B$486,2,FALSE)</f>
        <v>Jardin del eden</v>
      </c>
      <c r="AD3388" s="20"/>
      <c r="AE3388" s="20"/>
      <c r="AF3388" s="13" t="s">
        <v>40</v>
      </c>
      <c r="AG3388" s="15">
        <v>45292</v>
      </c>
      <c r="AH3388" s="13" t="s">
        <v>41</v>
      </c>
      <c r="AI3388" s="13" t="s">
        <v>47</v>
      </c>
      <c r="AJ3388" s="13" t="str">
        <f>VLOOKUP(E3388,Precios!Z$2:AA$941,2,FALSE)</f>
        <v>Jabón Líquido TEDDY</v>
      </c>
      <c r="AK3388" s="14">
        <f>VLOOKUP(E3388,Precios!Z$2:BB$941,3,FALSE)*F3388</f>
        <v>-3</v>
      </c>
      <c r="AL3388" s="17"/>
      <c r="AM3388" s="17"/>
      <c r="AN3388" s="17"/>
      <c r="AO3388" s="17"/>
      <c r="AP3388" s="17"/>
      <c r="AQ3388" s="17"/>
      <c r="AR3388" s="17"/>
      <c r="AS3388" s="17"/>
      <c r="AT3388" s="17"/>
      <c r="AU3388" s="17"/>
      <c r="AV3388" s="17"/>
    </row>
    <row r="3389" spans="1:48" ht="15.75" customHeight="1">
      <c r="A3389" s="21" t="s">
        <v>76</v>
      </c>
      <c r="B3389" s="23" t="s">
        <v>1692</v>
      </c>
      <c r="C3389" s="22">
        <v>45676</v>
      </c>
      <c r="D3389" s="23" t="s">
        <v>279</v>
      </c>
      <c r="E3389" s="23" t="s">
        <v>110</v>
      </c>
      <c r="F3389" s="21">
        <v>1</v>
      </c>
      <c r="G3389" s="12">
        <v>2000.0000000000005</v>
      </c>
      <c r="H3389" s="12">
        <v>2000.0000000000005</v>
      </c>
      <c r="I3389" s="23" t="s">
        <v>52</v>
      </c>
      <c r="J3389" s="23" t="s">
        <v>61</v>
      </c>
      <c r="K3389" s="24" t="s">
        <v>177</v>
      </c>
      <c r="L3389" s="26">
        <v>91</v>
      </c>
      <c r="M3389" s="12">
        <v>1680.6722689075634</v>
      </c>
      <c r="N3389" s="11">
        <v>1680.6722689075634</v>
      </c>
      <c r="O3389" s="11">
        <v>319.32773109243703</v>
      </c>
      <c r="P3389" s="13"/>
      <c r="Q3389" s="14">
        <v>2025</v>
      </c>
      <c r="R3389" s="15">
        <v>45292</v>
      </c>
      <c r="S3389" s="11" t="s">
        <v>378</v>
      </c>
      <c r="T3389" s="16">
        <v>5</v>
      </c>
      <c r="U3389" s="17"/>
      <c r="V3389" s="12">
        <v>756.30252100840369</v>
      </c>
      <c r="W3389" s="12">
        <v>756.30252100840369</v>
      </c>
      <c r="X3389" s="12">
        <v>0</v>
      </c>
      <c r="Y3389" s="18">
        <v>45670</v>
      </c>
      <c r="Z3389" s="13" t="s">
        <v>497</v>
      </c>
      <c r="AA3389" s="19" t="str">
        <f>VLOOKUP(D3389,Clientes!$A$2:$J$486,9,FALSE)</f>
        <v>Ocacional</v>
      </c>
      <c r="AB3389" s="13" t="str">
        <f>VLOOKUP(D3389,Clientes!$A$2:$K$486,11,FALSE)</f>
        <v>Persona Natural</v>
      </c>
      <c r="AC3389" s="13" t="str">
        <f>VLOOKUP(D3389,Clientes!$A$2:$B$486,2,FALSE)</f>
        <v>Jardin del eden</v>
      </c>
      <c r="AD3389" s="20"/>
      <c r="AE3389" s="20"/>
      <c r="AF3389" s="13" t="s">
        <v>40</v>
      </c>
      <c r="AG3389" s="15">
        <v>45292</v>
      </c>
      <c r="AH3389" s="13" t="s">
        <v>41</v>
      </c>
      <c r="AI3389" s="13" t="s">
        <v>76</v>
      </c>
      <c r="AJ3389" s="13" t="str">
        <f>VLOOKUP(E3389,Precios!Z$2:AA$941,2,FALSE)</f>
        <v>Cloro SPUM 5 Litros</v>
      </c>
      <c r="AK3389" s="14">
        <f>VLOOKUP(E3389,Precios!Z$2:BB$941,3,FALSE)*F3389</f>
        <v>-1</v>
      </c>
      <c r="AL3389" s="17"/>
      <c r="AM3389" s="17"/>
      <c r="AN3389" s="17"/>
      <c r="AO3389" s="17"/>
      <c r="AP3389" s="17"/>
      <c r="AQ3389" s="17"/>
      <c r="AR3389" s="17"/>
      <c r="AS3389" s="17"/>
      <c r="AT3389" s="17"/>
      <c r="AU3389" s="17"/>
      <c r="AV3389" s="17"/>
    </row>
    <row r="3390" spans="1:48" ht="15.75" customHeight="1">
      <c r="A3390" s="21" t="s">
        <v>47</v>
      </c>
      <c r="B3390" s="23" t="s">
        <v>1692</v>
      </c>
      <c r="C3390" s="22">
        <v>45676</v>
      </c>
      <c r="D3390" s="23" t="s">
        <v>279</v>
      </c>
      <c r="E3390" s="23" t="s">
        <v>565</v>
      </c>
      <c r="F3390" s="21">
        <v>1</v>
      </c>
      <c r="G3390" s="12">
        <v>6900.2286325825753</v>
      </c>
      <c r="H3390" s="12">
        <v>6900.2286325825753</v>
      </c>
      <c r="I3390" s="23" t="s">
        <v>52</v>
      </c>
      <c r="J3390" s="23" t="s">
        <v>61</v>
      </c>
      <c r="K3390" s="24" t="s">
        <v>177</v>
      </c>
      <c r="L3390" s="26">
        <v>91</v>
      </c>
      <c r="M3390" s="12">
        <v>5798.5114559517442</v>
      </c>
      <c r="N3390" s="11">
        <v>5798.5114559517442</v>
      </c>
      <c r="O3390" s="11">
        <v>1101.7171766308311</v>
      </c>
      <c r="P3390" s="13"/>
      <c r="Q3390" s="14">
        <v>2025</v>
      </c>
      <c r="R3390" s="15">
        <v>45292</v>
      </c>
      <c r="S3390" s="11" t="s">
        <v>372</v>
      </c>
      <c r="T3390" s="16">
        <v>0</v>
      </c>
      <c r="U3390" s="17"/>
      <c r="V3390" s="12">
        <v>2222.5114559517442</v>
      </c>
      <c r="W3390" s="12">
        <v>2222.5114559517442</v>
      </c>
      <c r="X3390" s="12">
        <v>0</v>
      </c>
      <c r="Y3390" s="18">
        <v>45670</v>
      </c>
      <c r="Z3390" s="13" t="s">
        <v>497</v>
      </c>
      <c r="AA3390" s="19" t="str">
        <f>VLOOKUP(D3390,Clientes!$A$2:$J$486,9,FALSE)</f>
        <v>Ocacional</v>
      </c>
      <c r="AB3390" s="13" t="str">
        <f>VLOOKUP(D3390,Clientes!$A$2:$K$486,11,FALSE)</f>
        <v>Persona Natural</v>
      </c>
      <c r="AC3390" s="13" t="str">
        <f>VLOOKUP(D3390,Clientes!$A$2:$B$486,2,FALSE)</f>
        <v>Jardin del eden</v>
      </c>
      <c r="AD3390" s="20"/>
      <c r="AE3390" s="20"/>
      <c r="AF3390" s="13" t="s">
        <v>40</v>
      </c>
      <c r="AG3390" s="15">
        <v>45292</v>
      </c>
      <c r="AH3390" s="13" t="s">
        <v>41</v>
      </c>
      <c r="AI3390" s="13" t="s">
        <v>47</v>
      </c>
      <c r="AJ3390" s="13" t="str">
        <f>VLOOKUP(E3390,Precios!Z$2:AA$941,2,FALSE)</f>
        <v>Traperos Humedos TEDDY</v>
      </c>
      <c r="AK3390" s="14">
        <f>VLOOKUP(E3390,Precios!Z$2:BB$941,3,FALSE)*F3390</f>
        <v>-3</v>
      </c>
      <c r="AL3390" s="17"/>
      <c r="AM3390" s="17"/>
      <c r="AN3390" s="17"/>
      <c r="AO3390" s="17"/>
      <c r="AP3390" s="17"/>
      <c r="AQ3390" s="17"/>
      <c r="AR3390" s="17"/>
      <c r="AS3390" s="17"/>
      <c r="AT3390" s="17"/>
      <c r="AU3390" s="17"/>
      <c r="AV3390" s="17"/>
    </row>
    <row r="3391" spans="1:48" ht="15.75" customHeight="1">
      <c r="A3391" s="21" t="s">
        <v>53</v>
      </c>
      <c r="B3391" s="23" t="s">
        <v>1692</v>
      </c>
      <c r="C3391" s="22">
        <v>45676</v>
      </c>
      <c r="D3391" s="23" t="s">
        <v>279</v>
      </c>
      <c r="E3391" s="23" t="s">
        <v>163</v>
      </c>
      <c r="F3391" s="21">
        <v>1</v>
      </c>
      <c r="G3391" s="12">
        <v>18990</v>
      </c>
      <c r="H3391" s="12">
        <v>18990</v>
      </c>
      <c r="I3391" s="23" t="s">
        <v>52</v>
      </c>
      <c r="J3391" s="23" t="s">
        <v>61</v>
      </c>
      <c r="K3391" s="24" t="s">
        <v>177</v>
      </c>
      <c r="L3391" s="26">
        <v>91</v>
      </c>
      <c r="M3391" s="12">
        <v>15957.983193277312</v>
      </c>
      <c r="N3391" s="11">
        <v>15957.983193277312</v>
      </c>
      <c r="O3391" s="11">
        <v>3032.0168067226878</v>
      </c>
      <c r="P3391" s="13"/>
      <c r="Q3391" s="14">
        <v>2025</v>
      </c>
      <c r="R3391" s="15">
        <v>45292</v>
      </c>
      <c r="S3391" s="11" t="s">
        <v>435</v>
      </c>
      <c r="T3391" s="16">
        <v>0</v>
      </c>
      <c r="U3391" s="17"/>
      <c r="V3391" s="12">
        <v>4112.6050420168067</v>
      </c>
      <c r="W3391" s="12">
        <v>4112.6050420168067</v>
      </c>
      <c r="X3391" s="12">
        <v>0</v>
      </c>
      <c r="Y3391" s="18">
        <v>45670</v>
      </c>
      <c r="Z3391" s="13" t="s">
        <v>497</v>
      </c>
      <c r="AA3391" s="19" t="str">
        <f>VLOOKUP(D3391,Clientes!$A$2:$J$486,9,FALSE)</f>
        <v>Ocacional</v>
      </c>
      <c r="AB3391" s="13" t="str">
        <f>VLOOKUP(D3391,Clientes!$A$2:$K$486,11,FALSE)</f>
        <v>Persona Natural</v>
      </c>
      <c r="AC3391" s="13" t="str">
        <f>VLOOKUP(D3391,Clientes!$A$2:$B$486,2,FALSE)</f>
        <v>Jardin del eden</v>
      </c>
      <c r="AD3391" s="20"/>
      <c r="AE3391" s="20"/>
      <c r="AF3391" s="13" t="s">
        <v>40</v>
      </c>
      <c r="AG3391" s="15">
        <v>45292</v>
      </c>
      <c r="AH3391" s="13" t="s">
        <v>41</v>
      </c>
      <c r="AI3391" s="13" t="s">
        <v>53</v>
      </c>
      <c r="AJ3391" s="13" t="str">
        <f>VLOOKUP(E3391,Precios!Z$2:AA$941,2,FALSE)</f>
        <v>Papel Higienico SWAN 50 metros</v>
      </c>
      <c r="AK3391" s="14">
        <f>VLOOKUP(E3391,Precios!Z$2:BB$941,3,FALSE)*F3391</f>
        <v>-8</v>
      </c>
      <c r="AL3391" s="17"/>
      <c r="AM3391" s="17"/>
      <c r="AN3391" s="17"/>
      <c r="AO3391" s="17"/>
      <c r="AP3391" s="17"/>
      <c r="AQ3391" s="17"/>
      <c r="AR3391" s="17"/>
      <c r="AS3391" s="17"/>
      <c r="AT3391" s="17"/>
      <c r="AU3391" s="17"/>
      <c r="AV3391" s="17"/>
    </row>
    <row r="3392" spans="1:48" ht="15.75" customHeight="1">
      <c r="A3392" s="21" t="s">
        <v>43</v>
      </c>
      <c r="B3392" s="23" t="s">
        <v>1692</v>
      </c>
      <c r="C3392" s="22">
        <v>45676</v>
      </c>
      <c r="D3392" s="23" t="s">
        <v>279</v>
      </c>
      <c r="E3392" s="23" t="s">
        <v>45</v>
      </c>
      <c r="F3392" s="21">
        <v>1</v>
      </c>
      <c r="G3392" s="12">
        <v>6199.9861072520143</v>
      </c>
      <c r="H3392" s="12">
        <v>6199.9861072520143</v>
      </c>
      <c r="I3392" s="23" t="s">
        <v>52</v>
      </c>
      <c r="J3392" s="23" t="s">
        <v>61</v>
      </c>
      <c r="K3392" s="24" t="s">
        <v>177</v>
      </c>
      <c r="L3392" s="26">
        <v>91</v>
      </c>
      <c r="M3392" s="12">
        <v>5210.0723590353064</v>
      </c>
      <c r="N3392" s="11">
        <v>5210.0723590353064</v>
      </c>
      <c r="O3392" s="11">
        <v>989.91374821670797</v>
      </c>
      <c r="P3392" s="13"/>
      <c r="Q3392" s="14">
        <v>2025</v>
      </c>
      <c r="R3392" s="15">
        <v>45292</v>
      </c>
      <c r="S3392" s="11" t="s">
        <v>355</v>
      </c>
      <c r="T3392" s="16">
        <v>0</v>
      </c>
      <c r="U3392" s="17"/>
      <c r="V3392" s="12">
        <v>1459.862275001693</v>
      </c>
      <c r="W3392" s="12">
        <v>1459.862275001693</v>
      </c>
      <c r="X3392" s="12">
        <v>0</v>
      </c>
      <c r="Y3392" s="18">
        <v>45670</v>
      </c>
      <c r="Z3392" s="13" t="s">
        <v>497</v>
      </c>
      <c r="AA3392" s="19" t="str">
        <f>VLOOKUP(D3392,Clientes!$A$2:$J$486,9,FALSE)</f>
        <v>Ocacional</v>
      </c>
      <c r="AB3392" s="13" t="str">
        <f>VLOOKUP(D3392,Clientes!$A$2:$K$486,11,FALSE)</f>
        <v>Persona Natural</v>
      </c>
      <c r="AC3392" s="13" t="str">
        <f>VLOOKUP(D3392,Clientes!$A$2:$B$486,2,FALSE)</f>
        <v>Jardin del eden</v>
      </c>
      <c r="AD3392" s="20"/>
      <c r="AE3392" s="20"/>
      <c r="AF3392" s="13" t="s">
        <v>40</v>
      </c>
      <c r="AG3392" s="15">
        <v>45292</v>
      </c>
      <c r="AH3392" s="13" t="s">
        <v>41</v>
      </c>
      <c r="AI3392" s="13" t="s">
        <v>43</v>
      </c>
      <c r="AJ3392" s="13" t="str">
        <f>VLOOKUP(E3392,Precios!Z$2:AA$941,2,FALSE)</f>
        <v>Bandeja Huevos EXTRA</v>
      </c>
      <c r="AK3392" s="14">
        <f>VLOOKUP(E3392,Precios!Z$2:BB$941,3,FALSE)*F3392</f>
        <v>-1</v>
      </c>
      <c r="AL3392" s="17"/>
      <c r="AM3392" s="17"/>
      <c r="AN3392" s="17"/>
      <c r="AO3392" s="17"/>
      <c r="AP3392" s="17"/>
      <c r="AQ3392" s="17"/>
      <c r="AR3392" s="17"/>
      <c r="AS3392" s="17"/>
      <c r="AT3392" s="17"/>
      <c r="AU3392" s="17"/>
      <c r="AV3392" s="17"/>
    </row>
    <row r="3393" spans="1:48" ht="15.75" customHeight="1">
      <c r="A3393" s="21" t="s">
        <v>47</v>
      </c>
      <c r="B3393" s="23" t="s">
        <v>1692</v>
      </c>
      <c r="C3393" s="22">
        <v>45676</v>
      </c>
      <c r="D3393" s="23" t="s">
        <v>915</v>
      </c>
      <c r="E3393" s="23" t="s">
        <v>100</v>
      </c>
      <c r="F3393" s="21">
        <v>1</v>
      </c>
      <c r="G3393" s="12">
        <v>650.00000000000011</v>
      </c>
      <c r="H3393" s="37">
        <v>650.00000000000011</v>
      </c>
      <c r="I3393" s="23" t="s">
        <v>52</v>
      </c>
      <c r="J3393" s="23" t="s">
        <v>61</v>
      </c>
      <c r="K3393" s="24" t="s">
        <v>177</v>
      </c>
      <c r="L3393" s="26">
        <v>91</v>
      </c>
      <c r="M3393" s="12">
        <v>546.21848739495806</v>
      </c>
      <c r="N3393" s="11">
        <v>546.21848739495806</v>
      </c>
      <c r="O3393" s="11">
        <v>103.78151260504205</v>
      </c>
      <c r="P3393" s="13"/>
      <c r="Q3393" s="14">
        <v>2025</v>
      </c>
      <c r="R3393" s="15">
        <v>45292</v>
      </c>
      <c r="S3393" s="11" t="s">
        <v>453</v>
      </c>
      <c r="T3393" s="16">
        <v>0</v>
      </c>
      <c r="U3393" s="17"/>
      <c r="V3393" s="12">
        <v>231.09243697478996</v>
      </c>
      <c r="W3393" s="12">
        <v>231.09243697478996</v>
      </c>
      <c r="X3393" s="12">
        <v>0</v>
      </c>
      <c r="Y3393" s="18">
        <v>45670</v>
      </c>
      <c r="Z3393" s="13" t="s">
        <v>497</v>
      </c>
      <c r="AA3393" s="19" t="str">
        <f>VLOOKUP(D3393,Clientes!$A$2:$J$486,9,FALSE)</f>
        <v>Regular</v>
      </c>
      <c r="AB3393" s="13" t="str">
        <f>VLOOKUP(D3393,Clientes!$A$2:$K$486,11,FALSE)</f>
        <v>Persona Natural</v>
      </c>
      <c r="AC3393" s="13" t="str">
        <f>VLOOKUP(D3393,Clientes!$A$2:$B$486,2,FALSE)</f>
        <v>Jardin del Eden</v>
      </c>
      <c r="AD3393" s="20"/>
      <c r="AE3393" s="20"/>
      <c r="AF3393" s="13" t="s">
        <v>40</v>
      </c>
      <c r="AG3393" s="15">
        <v>45292</v>
      </c>
      <c r="AH3393" s="13" t="s">
        <v>41</v>
      </c>
      <c r="AI3393" s="13" t="s">
        <v>47</v>
      </c>
      <c r="AJ3393" s="13" t="str">
        <f>VLOOKUP(E3393,Precios!Z$2:AA$941,2,FALSE)</f>
        <v xml:space="preserve">Bolsas Basura TEDDY 50x70 </v>
      </c>
      <c r="AK3393" s="14">
        <f>VLOOKUP(E3393,Precios!Z$2:BB$941,3,FALSE)*F3393</f>
        <v>-1</v>
      </c>
      <c r="AL3393" s="17"/>
      <c r="AM3393" s="17"/>
      <c r="AN3393" s="17"/>
      <c r="AO3393" s="17"/>
      <c r="AP3393" s="17"/>
      <c r="AQ3393" s="17"/>
      <c r="AR3393" s="17"/>
      <c r="AS3393" s="17"/>
      <c r="AT3393" s="17"/>
      <c r="AU3393" s="17"/>
      <c r="AV3393" s="17"/>
    </row>
    <row r="3394" spans="1:48" ht="15.75" customHeight="1">
      <c r="A3394" s="21" t="s">
        <v>43</v>
      </c>
      <c r="B3394" s="23" t="s">
        <v>1692</v>
      </c>
      <c r="C3394" s="22">
        <v>45676</v>
      </c>
      <c r="D3394" s="23" t="s">
        <v>567</v>
      </c>
      <c r="E3394" s="23" t="s">
        <v>45</v>
      </c>
      <c r="F3394" s="21">
        <v>1</v>
      </c>
      <c r="G3394" s="12">
        <v>6199.9861072520143</v>
      </c>
      <c r="H3394" s="12">
        <v>6199.9861072520143</v>
      </c>
      <c r="I3394" s="23" t="s">
        <v>52</v>
      </c>
      <c r="J3394" s="23" t="s">
        <v>61</v>
      </c>
      <c r="K3394" s="24" t="s">
        <v>177</v>
      </c>
      <c r="L3394" s="26">
        <v>91</v>
      </c>
      <c r="M3394" s="12">
        <v>5210.0723590353064</v>
      </c>
      <c r="N3394" s="11">
        <v>5210.0723590353064</v>
      </c>
      <c r="O3394" s="11">
        <v>989.91374821670797</v>
      </c>
      <c r="P3394" s="13"/>
      <c r="Q3394" s="14">
        <v>2025</v>
      </c>
      <c r="R3394" s="15">
        <v>45292</v>
      </c>
      <c r="S3394" s="11" t="s">
        <v>355</v>
      </c>
      <c r="T3394" s="16">
        <v>0</v>
      </c>
      <c r="U3394" s="17"/>
      <c r="V3394" s="12">
        <v>1459.862275001693</v>
      </c>
      <c r="W3394" s="12">
        <v>1459.862275001693</v>
      </c>
      <c r="X3394" s="12">
        <v>0</v>
      </c>
      <c r="Y3394" s="18">
        <v>45670</v>
      </c>
      <c r="Z3394" s="13" t="s">
        <v>497</v>
      </c>
      <c r="AA3394" s="19" t="str">
        <f>VLOOKUP(D3394,Clientes!$A$2:$J$486,9,FALSE)</f>
        <v>Ocacional</v>
      </c>
      <c r="AB3394" s="13" t="str">
        <f>VLOOKUP(D3394,Clientes!$A$2:$K$486,11,FALSE)</f>
        <v>Persona Natural</v>
      </c>
      <c r="AC3394" s="13" t="str">
        <f>VLOOKUP(D3394,Clientes!$A$2:$B$486,2,FALSE)</f>
        <v>Enrique Olivares</v>
      </c>
      <c r="AD3394" s="20"/>
      <c r="AE3394" s="20"/>
      <c r="AF3394" s="13" t="s">
        <v>40</v>
      </c>
      <c r="AG3394" s="15">
        <v>45292</v>
      </c>
      <c r="AH3394" s="13" t="s">
        <v>41</v>
      </c>
      <c r="AI3394" s="13" t="s">
        <v>43</v>
      </c>
      <c r="AJ3394" s="13" t="str">
        <f>VLOOKUP(E3394,Precios!Z$2:AA$941,2,FALSE)</f>
        <v>Bandeja Huevos EXTRA</v>
      </c>
      <c r="AK3394" s="14">
        <f>VLOOKUP(E3394,Precios!Z$2:BB$941,3,FALSE)*F3394</f>
        <v>-1</v>
      </c>
      <c r="AL3394" s="17"/>
      <c r="AM3394" s="17"/>
      <c r="AN3394" s="17"/>
      <c r="AO3394" s="17"/>
      <c r="AP3394" s="17"/>
      <c r="AQ3394" s="17"/>
      <c r="AR3394" s="17"/>
      <c r="AS3394" s="17"/>
      <c r="AT3394" s="17"/>
      <c r="AU3394" s="17"/>
      <c r="AV3394" s="17"/>
    </row>
    <row r="3395" spans="1:48" ht="15.75" customHeight="1">
      <c r="A3395" s="21" t="s">
        <v>147</v>
      </c>
      <c r="B3395" s="23" t="s">
        <v>1692</v>
      </c>
      <c r="C3395" s="22">
        <v>45676</v>
      </c>
      <c r="D3395" s="23" t="s">
        <v>567</v>
      </c>
      <c r="E3395" s="23" t="s">
        <v>148</v>
      </c>
      <c r="F3395" s="21">
        <v>1</v>
      </c>
      <c r="G3395" s="12">
        <v>1200.0000000000002</v>
      </c>
      <c r="H3395" s="12">
        <v>1200.0000000000002</v>
      </c>
      <c r="I3395" s="23" t="s">
        <v>52</v>
      </c>
      <c r="J3395" s="23" t="s">
        <v>61</v>
      </c>
      <c r="K3395" s="24" t="s">
        <v>177</v>
      </c>
      <c r="L3395" s="26">
        <v>91</v>
      </c>
      <c r="M3395" s="12">
        <v>1008.4033613445381</v>
      </c>
      <c r="N3395" s="11">
        <v>1008.4033613445381</v>
      </c>
      <c r="O3395" s="11">
        <v>191.59663865546213</v>
      </c>
      <c r="P3395" s="13"/>
      <c r="Q3395" s="14">
        <v>2025</v>
      </c>
      <c r="R3395" s="15">
        <v>45292</v>
      </c>
      <c r="S3395" s="11" t="s">
        <v>360</v>
      </c>
      <c r="T3395" s="16">
        <v>0</v>
      </c>
      <c r="U3395" s="17"/>
      <c r="V3395" s="12">
        <v>357.9831932773111</v>
      </c>
      <c r="W3395" s="12">
        <v>357.9831932773111</v>
      </c>
      <c r="X3395" s="12">
        <v>0</v>
      </c>
      <c r="Y3395" s="18">
        <v>45670</v>
      </c>
      <c r="Z3395" s="13" t="s">
        <v>497</v>
      </c>
      <c r="AA3395" s="19" t="str">
        <f>VLOOKUP(D3395,Clientes!$A$2:$J$486,9,FALSE)</f>
        <v>Ocacional</v>
      </c>
      <c r="AB3395" s="13" t="str">
        <f>VLOOKUP(D3395,Clientes!$A$2:$K$486,11,FALSE)</f>
        <v>Persona Natural</v>
      </c>
      <c r="AC3395" s="13" t="str">
        <f>VLOOKUP(D3395,Clientes!$A$2:$B$486,2,FALSE)</f>
        <v>Enrique Olivares</v>
      </c>
      <c r="AD3395" s="20"/>
      <c r="AE3395" s="20"/>
      <c r="AF3395" s="13" t="s">
        <v>40</v>
      </c>
      <c r="AG3395" s="15">
        <v>45292</v>
      </c>
      <c r="AH3395" s="13" t="s">
        <v>41</v>
      </c>
      <c r="AI3395" s="13" t="s">
        <v>147</v>
      </c>
      <c r="AJ3395" s="13" t="str">
        <f>VLOOKUP(E3395,Precios!Z$2:AA$941,2,FALSE)</f>
        <v>Papel Aluminio 7.5 metros</v>
      </c>
      <c r="AK3395" s="14">
        <f>VLOOKUP(E3395,Precios!Z$2:BB$941,3,FALSE)*F3395</f>
        <v>-1</v>
      </c>
      <c r="AL3395" s="17"/>
      <c r="AM3395" s="17"/>
      <c r="AN3395" s="17"/>
      <c r="AO3395" s="17"/>
      <c r="AP3395" s="17"/>
      <c r="AQ3395" s="17"/>
      <c r="AR3395" s="17"/>
      <c r="AS3395" s="17"/>
      <c r="AT3395" s="17"/>
      <c r="AU3395" s="17"/>
      <c r="AV3395" s="17"/>
    </row>
    <row r="3396" spans="1:48" ht="15.75" customHeight="1">
      <c r="A3396" s="21" t="s">
        <v>147</v>
      </c>
      <c r="B3396" s="23" t="s">
        <v>1692</v>
      </c>
      <c r="C3396" s="22">
        <v>45676</v>
      </c>
      <c r="D3396" s="23" t="s">
        <v>567</v>
      </c>
      <c r="E3396" s="23" t="s">
        <v>257</v>
      </c>
      <c r="F3396" s="21">
        <v>1</v>
      </c>
      <c r="G3396" s="12">
        <v>4000.0000000000005</v>
      </c>
      <c r="H3396" s="12">
        <v>4000.0000000000005</v>
      </c>
      <c r="I3396" s="23" t="s">
        <v>52</v>
      </c>
      <c r="J3396" s="23" t="s">
        <v>61</v>
      </c>
      <c r="K3396" s="24" t="s">
        <v>177</v>
      </c>
      <c r="L3396" s="26">
        <v>91</v>
      </c>
      <c r="M3396" s="12">
        <v>3361.3445378151264</v>
      </c>
      <c r="N3396" s="11">
        <v>3361.3445378151264</v>
      </c>
      <c r="O3396" s="11">
        <v>638.65546218487407</v>
      </c>
      <c r="P3396" s="13"/>
      <c r="Q3396" s="14">
        <v>2025</v>
      </c>
      <c r="R3396" s="15">
        <v>45292</v>
      </c>
      <c r="S3396" s="11" t="s">
        <v>412</v>
      </c>
      <c r="T3396" s="16">
        <v>0</v>
      </c>
      <c r="U3396" s="17"/>
      <c r="V3396" s="12">
        <v>1680.6722689075632</v>
      </c>
      <c r="W3396" s="12">
        <v>1680.6722689075632</v>
      </c>
      <c r="X3396" s="12">
        <v>0</v>
      </c>
      <c r="Y3396" s="18">
        <v>45670</v>
      </c>
      <c r="Z3396" s="13" t="s">
        <v>497</v>
      </c>
      <c r="AA3396" s="19" t="str">
        <f>VLOOKUP(D3396,Clientes!$A$2:$J$486,9,FALSE)</f>
        <v>Ocacional</v>
      </c>
      <c r="AB3396" s="13" t="str">
        <f>VLOOKUP(D3396,Clientes!$A$2:$K$486,11,FALSE)</f>
        <v>Persona Natural</v>
      </c>
      <c r="AC3396" s="13" t="str">
        <f>VLOOKUP(D3396,Clientes!$A$2:$B$486,2,FALSE)</f>
        <v>Enrique Olivares</v>
      </c>
      <c r="AD3396" s="20"/>
      <c r="AE3396" s="20"/>
      <c r="AF3396" s="13" t="s">
        <v>40</v>
      </c>
      <c r="AG3396" s="15">
        <v>45292</v>
      </c>
      <c r="AH3396" s="13" t="s">
        <v>41</v>
      </c>
      <c r="AI3396" s="13" t="s">
        <v>147</v>
      </c>
      <c r="AJ3396" s="13" t="str">
        <f>VLOOKUP(E3396,Precios!Z$2:AA$941,2,FALSE)</f>
        <v>Film Plástico 100 metros</v>
      </c>
      <c r="AK3396" s="14">
        <f>VLOOKUP(E3396,Precios!Z$2:BB$941,3,FALSE)*F3396</f>
        <v>-1</v>
      </c>
      <c r="AL3396" s="17"/>
      <c r="AM3396" s="17"/>
      <c r="AN3396" s="17"/>
      <c r="AO3396" s="17"/>
      <c r="AP3396" s="17"/>
      <c r="AQ3396" s="17"/>
      <c r="AR3396" s="17"/>
      <c r="AS3396" s="17"/>
      <c r="AT3396" s="17"/>
      <c r="AU3396" s="17"/>
      <c r="AV3396" s="17"/>
    </row>
    <row r="3397" spans="1:48" ht="15.75" customHeight="1">
      <c r="A3397" s="21" t="s">
        <v>76</v>
      </c>
      <c r="B3397" s="23" t="s">
        <v>1692</v>
      </c>
      <c r="C3397" s="22">
        <v>45676</v>
      </c>
      <c r="D3397" s="23" t="s">
        <v>915</v>
      </c>
      <c r="E3397" s="23" t="s">
        <v>187</v>
      </c>
      <c r="F3397" s="21">
        <v>1</v>
      </c>
      <c r="G3397" s="12">
        <v>2699.9280057595392</v>
      </c>
      <c r="H3397" s="37">
        <v>2699.9280057595392</v>
      </c>
      <c r="I3397" s="23" t="s">
        <v>52</v>
      </c>
      <c r="J3397" s="23" t="s">
        <v>61</v>
      </c>
      <c r="K3397" s="24" t="s">
        <v>177</v>
      </c>
      <c r="L3397" s="26">
        <v>91</v>
      </c>
      <c r="M3397" s="12">
        <v>2268.8470636634784</v>
      </c>
      <c r="N3397" s="11">
        <v>2268.8470636634784</v>
      </c>
      <c r="O3397" s="11">
        <v>431.08094209606088</v>
      </c>
      <c r="P3397" s="13"/>
      <c r="Q3397" s="14">
        <v>2025</v>
      </c>
      <c r="R3397" s="15">
        <v>45292</v>
      </c>
      <c r="S3397" s="11" t="s">
        <v>479</v>
      </c>
      <c r="T3397" s="16">
        <v>0</v>
      </c>
      <c r="U3397" s="17"/>
      <c r="V3397" s="12">
        <v>798.18039699681162</v>
      </c>
      <c r="W3397" s="12">
        <v>798.18039699681162</v>
      </c>
      <c r="X3397" s="12">
        <v>0</v>
      </c>
      <c r="Y3397" s="18">
        <v>45670</v>
      </c>
      <c r="Z3397" s="13" t="s">
        <v>497</v>
      </c>
      <c r="AA3397" s="19" t="str">
        <f>VLOOKUP(D3397,Clientes!$A$2:$J$486,9,FALSE)</f>
        <v>Regular</v>
      </c>
      <c r="AB3397" s="13" t="str">
        <f>VLOOKUP(D3397,Clientes!$A$2:$K$486,11,FALSE)</f>
        <v>Persona Natural</v>
      </c>
      <c r="AC3397" s="13" t="str">
        <f>VLOOKUP(D3397,Clientes!$A$2:$B$486,2,FALSE)</f>
        <v>Jardin del Eden</v>
      </c>
      <c r="AD3397" s="20"/>
      <c r="AE3397" s="20"/>
      <c r="AF3397" s="13" t="s">
        <v>40</v>
      </c>
      <c r="AG3397" s="15">
        <v>45292</v>
      </c>
      <c r="AH3397" s="13" t="s">
        <v>41</v>
      </c>
      <c r="AI3397" s="13" t="s">
        <v>76</v>
      </c>
      <c r="AJ3397" s="13" t="str">
        <f>VLOOKUP(E3397,Precios!Z$2:AA$941,2,FALSE)</f>
        <v>Lavaloza WYN 1.5 Litros (recarga)</v>
      </c>
      <c r="AK3397" s="14">
        <f>VLOOKUP(E3397,Precios!Z$2:BB$941,3,FALSE)*F3397</f>
        <v>-1</v>
      </c>
      <c r="AL3397" s="17"/>
      <c r="AM3397" s="17"/>
      <c r="AN3397" s="17"/>
      <c r="AO3397" s="17"/>
      <c r="AP3397" s="17"/>
      <c r="AQ3397" s="17"/>
      <c r="AR3397" s="17"/>
      <c r="AS3397" s="17"/>
      <c r="AT3397" s="17"/>
      <c r="AU3397" s="17"/>
      <c r="AV3397" s="17"/>
    </row>
    <row r="3398" spans="1:48" ht="15.75" customHeight="1">
      <c r="A3398" s="21" t="s">
        <v>76</v>
      </c>
      <c r="B3398" s="23" t="s">
        <v>1692</v>
      </c>
      <c r="C3398" s="22">
        <v>45676</v>
      </c>
      <c r="D3398" s="23" t="s">
        <v>915</v>
      </c>
      <c r="E3398" s="23" t="s">
        <v>82</v>
      </c>
      <c r="F3398" s="21">
        <v>1</v>
      </c>
      <c r="G3398" s="12">
        <v>2000.0000000000002</v>
      </c>
      <c r="H3398" s="37">
        <v>2000.0000000000002</v>
      </c>
      <c r="I3398" s="23" t="s">
        <v>52</v>
      </c>
      <c r="J3398" s="23" t="s">
        <v>61</v>
      </c>
      <c r="K3398" s="24" t="s">
        <v>177</v>
      </c>
      <c r="L3398" s="26">
        <v>91</v>
      </c>
      <c r="M3398" s="12">
        <v>1680.6722689075632</v>
      </c>
      <c r="N3398" s="11">
        <v>1680.6722689075632</v>
      </c>
      <c r="O3398" s="11">
        <v>319.32773109243703</v>
      </c>
      <c r="P3398" s="13"/>
      <c r="Q3398" s="14">
        <v>2025</v>
      </c>
      <c r="R3398" s="15">
        <v>45292</v>
      </c>
      <c r="S3398" s="11" t="s">
        <v>463</v>
      </c>
      <c r="T3398" s="16">
        <v>5</v>
      </c>
      <c r="U3398" s="17"/>
      <c r="V3398" s="12">
        <v>680.67226890756319</v>
      </c>
      <c r="W3398" s="12">
        <v>680.67226890756319</v>
      </c>
      <c r="X3398" s="12">
        <v>0</v>
      </c>
      <c r="Y3398" s="18">
        <v>45670</v>
      </c>
      <c r="Z3398" s="13" t="s">
        <v>497</v>
      </c>
      <c r="AA3398" s="19" t="str">
        <f>VLOOKUP(D3398,Clientes!$A$2:$J$486,9,FALSE)</f>
        <v>Regular</v>
      </c>
      <c r="AB3398" s="13" t="str">
        <f>VLOOKUP(D3398,Clientes!$A$2:$K$486,11,FALSE)</f>
        <v>Persona Natural</v>
      </c>
      <c r="AC3398" s="13" t="str">
        <f>VLOOKUP(D3398,Clientes!$A$2:$B$486,2,FALSE)</f>
        <v>Jardin del Eden</v>
      </c>
      <c r="AD3398" s="20"/>
      <c r="AE3398" s="20"/>
      <c r="AF3398" s="13" t="s">
        <v>40</v>
      </c>
      <c r="AG3398" s="15">
        <v>45292</v>
      </c>
      <c r="AH3398" s="13" t="s">
        <v>41</v>
      </c>
      <c r="AI3398" s="13" t="s">
        <v>76</v>
      </c>
      <c r="AJ3398" s="13" t="str">
        <f>VLOOKUP(E3398,Precios!Z$2:AA$941,2,FALSE)</f>
        <v>Limpiapiso SPUM 5 Litros</v>
      </c>
      <c r="AK3398" s="14">
        <f>VLOOKUP(E3398,Precios!Z$2:BB$941,3,FALSE)*F3398</f>
        <v>-1</v>
      </c>
      <c r="AL3398" s="17"/>
      <c r="AM3398" s="17"/>
      <c r="AN3398" s="17"/>
      <c r="AO3398" s="17"/>
      <c r="AP3398" s="17"/>
      <c r="AQ3398" s="17"/>
      <c r="AR3398" s="17"/>
      <c r="AS3398" s="17"/>
      <c r="AT3398" s="17"/>
      <c r="AU3398" s="17"/>
      <c r="AV3398" s="17"/>
    </row>
    <row r="3399" spans="1:48" ht="15.75" customHeight="1">
      <c r="A3399" s="21" t="s">
        <v>43</v>
      </c>
      <c r="B3399" s="23" t="s">
        <v>1692</v>
      </c>
      <c r="C3399" s="22">
        <v>45676</v>
      </c>
      <c r="D3399" s="23" t="s">
        <v>219</v>
      </c>
      <c r="E3399" s="23" t="s">
        <v>45</v>
      </c>
      <c r="F3399" s="21">
        <v>1</v>
      </c>
      <c r="G3399" s="12">
        <v>6199.9861072520143</v>
      </c>
      <c r="H3399" s="12">
        <v>6199.9861072520143</v>
      </c>
      <c r="I3399" s="23" t="s">
        <v>52</v>
      </c>
      <c r="J3399" s="23" t="s">
        <v>61</v>
      </c>
      <c r="K3399" s="24" t="s">
        <v>177</v>
      </c>
      <c r="L3399" s="26">
        <v>91</v>
      </c>
      <c r="M3399" s="12">
        <v>5210.0723590353064</v>
      </c>
      <c r="N3399" s="11">
        <v>5210.0723590353064</v>
      </c>
      <c r="O3399" s="11">
        <v>989.91374821670797</v>
      </c>
      <c r="P3399" s="13"/>
      <c r="Q3399" s="14">
        <v>2025</v>
      </c>
      <c r="R3399" s="15">
        <v>45292</v>
      </c>
      <c r="S3399" s="11" t="s">
        <v>355</v>
      </c>
      <c r="T3399" s="16">
        <v>0</v>
      </c>
      <c r="U3399" s="17"/>
      <c r="V3399" s="12">
        <v>1459.862275001693</v>
      </c>
      <c r="W3399" s="12">
        <v>1459.862275001693</v>
      </c>
      <c r="X3399" s="12">
        <v>0</v>
      </c>
      <c r="Y3399" s="18">
        <v>45670</v>
      </c>
      <c r="Z3399" s="13" t="s">
        <v>497</v>
      </c>
      <c r="AA3399" s="19" t="str">
        <f>VLOOKUP(D3399,Clientes!$A$2:$J$486,9,FALSE)</f>
        <v>Ocacional</v>
      </c>
      <c r="AB3399" s="13" t="str">
        <f>VLOOKUP(D3399,Clientes!$A$2:$K$486,11,FALSE)</f>
        <v>Persona Natural</v>
      </c>
      <c r="AC3399" s="13" t="str">
        <f>VLOOKUP(D3399,Clientes!$A$2:$B$486,2,FALSE)</f>
        <v>Jardines de la Viña</v>
      </c>
      <c r="AD3399" s="20"/>
      <c r="AE3399" s="20"/>
      <c r="AF3399" s="13" t="s">
        <v>40</v>
      </c>
      <c r="AG3399" s="15">
        <v>45292</v>
      </c>
      <c r="AH3399" s="13" t="s">
        <v>41</v>
      </c>
      <c r="AI3399" s="13" t="s">
        <v>43</v>
      </c>
      <c r="AJ3399" s="13" t="str">
        <f>VLOOKUP(E3399,Precios!Z$2:AA$941,2,FALSE)</f>
        <v>Bandeja Huevos EXTRA</v>
      </c>
      <c r="AK3399" s="14">
        <f>VLOOKUP(E3399,Precios!Z$2:BB$941,3,FALSE)*F3399</f>
        <v>-1</v>
      </c>
      <c r="AL3399" s="17"/>
      <c r="AM3399" s="17"/>
      <c r="AN3399" s="17"/>
      <c r="AO3399" s="17"/>
      <c r="AP3399" s="17"/>
      <c r="AQ3399" s="17"/>
      <c r="AR3399" s="17"/>
      <c r="AS3399" s="17"/>
      <c r="AT3399" s="17"/>
      <c r="AU3399" s="17"/>
      <c r="AV3399" s="17"/>
    </row>
    <row r="3400" spans="1:48" ht="15.75" customHeight="1">
      <c r="A3400" s="21" t="s">
        <v>147</v>
      </c>
      <c r="B3400" s="23" t="s">
        <v>1692</v>
      </c>
      <c r="C3400" s="22">
        <v>45675</v>
      </c>
      <c r="D3400" s="23" t="s">
        <v>771</v>
      </c>
      <c r="E3400" s="23" t="s">
        <v>257</v>
      </c>
      <c r="F3400" s="21">
        <v>1</v>
      </c>
      <c r="G3400" s="12">
        <v>4000.0000000000005</v>
      </c>
      <c r="H3400" s="12">
        <v>4000.0000000000005</v>
      </c>
      <c r="I3400" s="23" t="s">
        <v>52</v>
      </c>
      <c r="J3400" s="23" t="s">
        <v>61</v>
      </c>
      <c r="K3400" s="24" t="s">
        <v>177</v>
      </c>
      <c r="L3400" s="26">
        <v>91</v>
      </c>
      <c r="M3400" s="12">
        <v>3361.3445378151264</v>
      </c>
      <c r="N3400" s="11">
        <v>3361.3445378151264</v>
      </c>
      <c r="O3400" s="11">
        <v>638.65546218487407</v>
      </c>
      <c r="P3400" s="13"/>
      <c r="Q3400" s="14">
        <v>2025</v>
      </c>
      <c r="R3400" s="15">
        <v>45292</v>
      </c>
      <c r="S3400" s="11" t="s">
        <v>412</v>
      </c>
      <c r="T3400" s="16">
        <v>0</v>
      </c>
      <c r="U3400" s="17"/>
      <c r="V3400" s="12">
        <v>1680.6722689075632</v>
      </c>
      <c r="W3400" s="12">
        <v>1680.6722689075632</v>
      </c>
      <c r="X3400" s="12">
        <v>0</v>
      </c>
      <c r="Y3400" s="18">
        <v>45670</v>
      </c>
      <c r="Z3400" s="13" t="s">
        <v>501</v>
      </c>
      <c r="AA3400" s="19" t="str">
        <f>VLOOKUP(D3400,Clientes!$A$2:$J$486,9,FALSE)</f>
        <v>Ocacional</v>
      </c>
      <c r="AB3400" s="13" t="str">
        <f>VLOOKUP(D3400,Clientes!$A$2:$K$486,11,FALSE)</f>
        <v>Persona Natural</v>
      </c>
      <c r="AC3400" s="13" t="str">
        <f>VLOOKUP(D3400,Clientes!$A$2:$B$486,2,FALSE)</f>
        <v>Jardin del eden</v>
      </c>
      <c r="AD3400" s="20"/>
      <c r="AE3400" s="20"/>
      <c r="AF3400" s="13" t="s">
        <v>40</v>
      </c>
      <c r="AG3400" s="15">
        <v>45292</v>
      </c>
      <c r="AH3400" s="13" t="s">
        <v>41</v>
      </c>
      <c r="AI3400" s="13" t="s">
        <v>147</v>
      </c>
      <c r="AJ3400" s="13" t="str">
        <f>VLOOKUP(E3400,Precios!Z$2:AA$941,2,FALSE)</f>
        <v>Film Plástico 100 metros</v>
      </c>
      <c r="AK3400" s="14">
        <f>VLOOKUP(E3400,Precios!Z$2:BB$941,3,FALSE)*F3400</f>
        <v>-1</v>
      </c>
      <c r="AL3400" s="17"/>
      <c r="AM3400" s="17"/>
      <c r="AN3400" s="17"/>
      <c r="AO3400" s="17"/>
      <c r="AP3400" s="17"/>
      <c r="AQ3400" s="17"/>
      <c r="AR3400" s="17"/>
      <c r="AS3400" s="17"/>
      <c r="AT3400" s="17"/>
      <c r="AU3400" s="17"/>
      <c r="AV3400" s="17"/>
    </row>
    <row r="3401" spans="1:48" ht="15.75" customHeight="1">
      <c r="A3401" s="21" t="s">
        <v>53</v>
      </c>
      <c r="B3401" s="23" t="s">
        <v>1692</v>
      </c>
      <c r="C3401" s="22">
        <v>45675</v>
      </c>
      <c r="D3401" s="23" t="s">
        <v>771</v>
      </c>
      <c r="E3401" s="23" t="s">
        <v>704</v>
      </c>
      <c r="F3401" s="21">
        <v>1</v>
      </c>
      <c r="G3401" s="12">
        <v>9000</v>
      </c>
      <c r="H3401" s="12">
        <v>9000</v>
      </c>
      <c r="I3401" s="23" t="s">
        <v>52</v>
      </c>
      <c r="J3401" s="23" t="s">
        <v>61</v>
      </c>
      <c r="K3401" s="24" t="s">
        <v>177</v>
      </c>
      <c r="L3401" s="26">
        <v>91</v>
      </c>
      <c r="M3401" s="12">
        <v>7563.0252100840344</v>
      </c>
      <c r="N3401" s="11">
        <v>7563.0252100840344</v>
      </c>
      <c r="O3401" s="11">
        <v>1436.9747899159656</v>
      </c>
      <c r="P3401" s="13"/>
      <c r="Q3401" s="14">
        <v>2025</v>
      </c>
      <c r="R3401" s="15">
        <v>45292</v>
      </c>
      <c r="S3401" s="11" t="s">
        <v>435</v>
      </c>
      <c r="T3401" s="16">
        <v>0</v>
      </c>
      <c r="U3401" s="17"/>
      <c r="V3401" s="12">
        <v>3121.0084033613448</v>
      </c>
      <c r="W3401" s="12">
        <v>3121.0084033613448</v>
      </c>
      <c r="X3401" s="12">
        <v>0</v>
      </c>
      <c r="Y3401" s="18">
        <v>45670</v>
      </c>
      <c r="Z3401" s="13" t="s">
        <v>501</v>
      </c>
      <c r="AA3401" s="19" t="str">
        <f>VLOOKUP(D3401,Clientes!$A$2:$J$486,9,FALSE)</f>
        <v>Ocacional</v>
      </c>
      <c r="AB3401" s="13" t="str">
        <f>VLOOKUP(D3401,Clientes!$A$2:$K$486,11,FALSE)</f>
        <v>Persona Natural</v>
      </c>
      <c r="AC3401" s="13" t="str">
        <f>VLOOKUP(D3401,Clientes!$A$2:$B$486,2,FALSE)</f>
        <v>Jardin del eden</v>
      </c>
      <c r="AD3401" s="20"/>
      <c r="AE3401" s="20"/>
      <c r="AF3401" s="13" t="s">
        <v>40</v>
      </c>
      <c r="AG3401" s="15">
        <v>45292</v>
      </c>
      <c r="AH3401" s="13" t="s">
        <v>41</v>
      </c>
      <c r="AI3401" s="13" t="s">
        <v>53</v>
      </c>
      <c r="AJ3401" s="13" t="str">
        <f>VLOOKUP(E3401,Precios!Z$2:AA$941,2,FALSE)</f>
        <v>Papel Higienico SWAN 50 metros</v>
      </c>
      <c r="AK3401" s="14">
        <f>VLOOKUP(E3401,Precios!Z$2:BB$941,3,FALSE)*F3401</f>
        <v>-3</v>
      </c>
      <c r="AL3401" s="17"/>
      <c r="AM3401" s="17"/>
      <c r="AN3401" s="17"/>
      <c r="AO3401" s="17"/>
      <c r="AP3401" s="17"/>
      <c r="AQ3401" s="17"/>
      <c r="AR3401" s="17"/>
      <c r="AS3401" s="17"/>
      <c r="AT3401" s="17"/>
      <c r="AU3401" s="17"/>
      <c r="AV3401" s="17"/>
    </row>
    <row r="3402" spans="1:48" ht="15.75" customHeight="1">
      <c r="A3402" s="21" t="s">
        <v>76</v>
      </c>
      <c r="B3402" s="23" t="s">
        <v>1692</v>
      </c>
      <c r="C3402" s="22">
        <v>45675</v>
      </c>
      <c r="D3402" s="23" t="s">
        <v>771</v>
      </c>
      <c r="E3402" s="23" t="s">
        <v>216</v>
      </c>
      <c r="F3402" s="21">
        <v>1</v>
      </c>
      <c r="G3402" s="12">
        <v>4300</v>
      </c>
      <c r="H3402" s="12">
        <v>4300</v>
      </c>
      <c r="I3402" s="23" t="s">
        <v>52</v>
      </c>
      <c r="J3402" s="23" t="s">
        <v>61</v>
      </c>
      <c r="K3402" s="24" t="s">
        <v>177</v>
      </c>
      <c r="L3402" s="26">
        <v>91</v>
      </c>
      <c r="M3402" s="12">
        <v>3613.4453781512607</v>
      </c>
      <c r="N3402" s="11">
        <v>3613.4453781512607</v>
      </c>
      <c r="O3402" s="11">
        <v>686.55462184873932</v>
      </c>
      <c r="P3402" s="13"/>
      <c r="Q3402" s="14">
        <v>2025</v>
      </c>
      <c r="R3402" s="15">
        <v>45292</v>
      </c>
      <c r="S3402" s="11" t="s">
        <v>479</v>
      </c>
      <c r="T3402" s="16">
        <v>5</v>
      </c>
      <c r="U3402" s="17"/>
      <c r="V3402" s="12">
        <v>1134.453781512605</v>
      </c>
      <c r="W3402" s="12">
        <v>1134.453781512605</v>
      </c>
      <c r="X3402" s="12">
        <v>0</v>
      </c>
      <c r="Y3402" s="18">
        <v>45670</v>
      </c>
      <c r="Z3402" s="13" t="s">
        <v>501</v>
      </c>
      <c r="AA3402" s="19" t="str">
        <f>VLOOKUP(D3402,Clientes!$A$2:$J$486,9,FALSE)</f>
        <v>Ocacional</v>
      </c>
      <c r="AB3402" s="13" t="str">
        <f>VLOOKUP(D3402,Clientes!$A$2:$K$486,11,FALSE)</f>
        <v>Persona Natural</v>
      </c>
      <c r="AC3402" s="13" t="str">
        <f>VLOOKUP(D3402,Clientes!$A$2:$B$486,2,FALSE)</f>
        <v>Jardin del eden</v>
      </c>
      <c r="AD3402" s="20"/>
      <c r="AE3402" s="20"/>
      <c r="AF3402" s="13" t="s">
        <v>40</v>
      </c>
      <c r="AG3402" s="15">
        <v>45292</v>
      </c>
      <c r="AH3402" s="13" t="s">
        <v>41</v>
      </c>
      <c r="AI3402" s="13" t="s">
        <v>76</v>
      </c>
      <c r="AJ3402" s="13" t="str">
        <f>VLOOKUP(E3402,Precios!Z$2:AA$941,2,FALSE)</f>
        <v>Lavaloza SPUM 5 Litros</v>
      </c>
      <c r="AK3402" s="14">
        <f>VLOOKUP(E3402,Precios!Z$2:BB$941,3,FALSE)*F3402</f>
        <v>-1</v>
      </c>
      <c r="AL3402" s="17"/>
      <c r="AM3402" s="17"/>
      <c r="AN3402" s="17"/>
      <c r="AO3402" s="17"/>
      <c r="AP3402" s="17"/>
      <c r="AQ3402" s="17"/>
      <c r="AR3402" s="17"/>
      <c r="AS3402" s="17"/>
      <c r="AT3402" s="17"/>
      <c r="AU3402" s="17"/>
      <c r="AV3402" s="17"/>
    </row>
    <row r="3403" spans="1:48" ht="15.75" customHeight="1">
      <c r="A3403" s="21" t="s">
        <v>76</v>
      </c>
      <c r="B3403" s="23" t="s">
        <v>1692</v>
      </c>
      <c r="C3403" s="22">
        <v>45675</v>
      </c>
      <c r="D3403" s="23" t="s">
        <v>266</v>
      </c>
      <c r="E3403" s="23" t="s">
        <v>218</v>
      </c>
      <c r="F3403" s="21">
        <v>1</v>
      </c>
      <c r="G3403" s="12">
        <v>1500.0000000000002</v>
      </c>
      <c r="H3403" s="12">
        <v>1500.0000000000002</v>
      </c>
      <c r="I3403" s="23" t="s">
        <v>52</v>
      </c>
      <c r="J3403" s="23" t="s">
        <v>61</v>
      </c>
      <c r="K3403" s="24" t="s">
        <v>177</v>
      </c>
      <c r="L3403" s="26">
        <v>91</v>
      </c>
      <c r="M3403" s="12">
        <v>1260.5042016806726</v>
      </c>
      <c r="N3403" s="11">
        <v>1260.5042016806726</v>
      </c>
      <c r="O3403" s="11">
        <v>239.4957983193276</v>
      </c>
      <c r="P3403" s="13"/>
      <c r="Q3403" s="14">
        <v>2025</v>
      </c>
      <c r="R3403" s="15">
        <v>45292</v>
      </c>
      <c r="S3403" s="11" t="s">
        <v>444</v>
      </c>
      <c r="T3403" s="16">
        <v>500</v>
      </c>
      <c r="U3403" s="17"/>
      <c r="V3403" s="12">
        <v>504.20168067226905</v>
      </c>
      <c r="W3403" s="12">
        <v>504.20168067226905</v>
      </c>
      <c r="X3403" s="12">
        <v>0</v>
      </c>
      <c r="Y3403" s="18">
        <v>45670</v>
      </c>
      <c r="Z3403" s="13" t="s">
        <v>501</v>
      </c>
      <c r="AA3403" s="19" t="str">
        <f>VLOOKUP(D3403,Clientes!$A$2:$J$486,9,FALSE)</f>
        <v>Regular</v>
      </c>
      <c r="AB3403" s="13" t="str">
        <f>VLOOKUP(D3403,Clientes!$A$2:$K$486,11,FALSE)</f>
        <v>Persona Natural</v>
      </c>
      <c r="AC3403" s="13" t="str">
        <f>VLOOKUP(D3403,Clientes!$A$2:$B$486,2,FALSE)</f>
        <v>Sector Santa Delia</v>
      </c>
      <c r="AD3403" s="20"/>
      <c r="AE3403" s="20"/>
      <c r="AF3403" s="13" t="s">
        <v>40</v>
      </c>
      <c r="AG3403" s="15">
        <v>45292</v>
      </c>
      <c r="AH3403" s="13" t="s">
        <v>41</v>
      </c>
      <c r="AI3403" s="13" t="s">
        <v>76</v>
      </c>
      <c r="AJ3403" s="13" t="str">
        <f>VLOOKUP(E3403,Precios!Z$2:AA$941,2,FALSE)</f>
        <v>Limpia Vidrio SPUM 500 ml</v>
      </c>
      <c r="AK3403" s="14">
        <f>VLOOKUP(E3403,Precios!Z$2:BB$941,3,FALSE)*F3403</f>
        <v>-1</v>
      </c>
      <c r="AL3403" s="17"/>
      <c r="AM3403" s="17"/>
      <c r="AN3403" s="17"/>
      <c r="AO3403" s="17"/>
      <c r="AP3403" s="17"/>
      <c r="AQ3403" s="17"/>
      <c r="AR3403" s="17"/>
      <c r="AS3403" s="17"/>
      <c r="AT3403" s="17"/>
      <c r="AU3403" s="17"/>
      <c r="AV3403" s="17"/>
    </row>
    <row r="3404" spans="1:48" ht="15.75" customHeight="1">
      <c r="A3404" s="21" t="s">
        <v>47</v>
      </c>
      <c r="B3404" s="23" t="s">
        <v>1692</v>
      </c>
      <c r="C3404" s="22">
        <v>45675</v>
      </c>
      <c r="D3404" s="23" t="s">
        <v>772</v>
      </c>
      <c r="E3404" s="23" t="s">
        <v>169</v>
      </c>
      <c r="F3404" s="21">
        <v>1</v>
      </c>
      <c r="G3404" s="12">
        <v>1650.3934426229507</v>
      </c>
      <c r="H3404" s="12">
        <v>1650.3934426229507</v>
      </c>
      <c r="I3404" s="23" t="s">
        <v>52</v>
      </c>
      <c r="J3404" s="23" t="s">
        <v>61</v>
      </c>
      <c r="K3404" s="24" t="s">
        <v>177</v>
      </c>
      <c r="L3404" s="26">
        <v>91</v>
      </c>
      <c r="M3404" s="12">
        <v>1386.8852459016393</v>
      </c>
      <c r="N3404" s="11">
        <v>1386.8852459016393</v>
      </c>
      <c r="O3404" s="11">
        <v>263.50819672131138</v>
      </c>
      <c r="P3404" s="13"/>
      <c r="Q3404" s="14">
        <v>2025</v>
      </c>
      <c r="R3404" s="15">
        <v>45292</v>
      </c>
      <c r="S3404" s="11" t="s">
        <v>453</v>
      </c>
      <c r="T3404" s="16">
        <v>0</v>
      </c>
      <c r="U3404" s="17"/>
      <c r="V3404" s="12">
        <v>540.88524590163934</v>
      </c>
      <c r="W3404" s="12">
        <v>540.88524590163934</v>
      </c>
      <c r="X3404" s="12">
        <v>0</v>
      </c>
      <c r="Y3404" s="18">
        <v>45670</v>
      </c>
      <c r="Z3404" s="13" t="s">
        <v>501</v>
      </c>
      <c r="AA3404" s="19" t="str">
        <f>VLOOKUP(D3404,Clientes!$A$2:$J$486,9,FALSE)</f>
        <v>Ocacional</v>
      </c>
      <c r="AB3404" s="13" t="str">
        <f>VLOOKUP(D3404,Clientes!$A$2:$K$486,11,FALSE)</f>
        <v>Persona Natural</v>
      </c>
      <c r="AC3404" s="13" t="str">
        <f>VLOOKUP(D3404,Clientes!$A$2:$B$486,2,FALSE)</f>
        <v>Santa Ines</v>
      </c>
      <c r="AD3404" s="20"/>
      <c r="AE3404" s="20"/>
      <c r="AF3404" s="13" t="s">
        <v>40</v>
      </c>
      <c r="AG3404" s="15">
        <v>45292</v>
      </c>
      <c r="AH3404" s="13" t="s">
        <v>41</v>
      </c>
      <c r="AI3404" s="13" t="s">
        <v>47</v>
      </c>
      <c r="AJ3404" s="13" t="str">
        <f>VLOOKUP(E3404,Precios!Z$2:AA$941,2,FALSE)</f>
        <v xml:space="preserve">Bolsas Basura TEDDY 45x55 con Asas </v>
      </c>
      <c r="AK3404" s="14">
        <f>VLOOKUP(E3404,Precios!Z$2:BB$941,3,FALSE)*F3404</f>
        <v>-3</v>
      </c>
      <c r="AL3404" s="17"/>
      <c r="AM3404" s="17"/>
      <c r="AN3404" s="17"/>
      <c r="AO3404" s="17"/>
      <c r="AP3404" s="17"/>
      <c r="AQ3404" s="17"/>
      <c r="AR3404" s="17"/>
      <c r="AS3404" s="17"/>
      <c r="AT3404" s="17"/>
      <c r="AU3404" s="17"/>
      <c r="AV3404" s="17"/>
    </row>
    <row r="3405" spans="1:48" ht="15.75" customHeight="1">
      <c r="A3405" s="21" t="s">
        <v>47</v>
      </c>
      <c r="B3405" s="23" t="s">
        <v>1692</v>
      </c>
      <c r="C3405" s="22">
        <v>45675</v>
      </c>
      <c r="D3405" s="23" t="s">
        <v>772</v>
      </c>
      <c r="E3405" s="23" t="s">
        <v>107</v>
      </c>
      <c r="F3405" s="21">
        <v>2</v>
      </c>
      <c r="G3405" s="12">
        <v>3000.0000000000005</v>
      </c>
      <c r="H3405" s="12">
        <v>6000.0000000000009</v>
      </c>
      <c r="I3405" s="23" t="s">
        <v>52</v>
      </c>
      <c r="J3405" s="23" t="s">
        <v>61</v>
      </c>
      <c r="K3405" s="24" t="s">
        <v>177</v>
      </c>
      <c r="L3405" s="26">
        <v>91</v>
      </c>
      <c r="M3405" s="12">
        <v>2521.0084033613452</v>
      </c>
      <c r="N3405" s="11">
        <v>5042.0168067226905</v>
      </c>
      <c r="O3405" s="11">
        <v>957.98319327731042</v>
      </c>
      <c r="P3405" s="13"/>
      <c r="Q3405" s="14">
        <v>2025</v>
      </c>
      <c r="R3405" s="15">
        <v>45292</v>
      </c>
      <c r="S3405" s="11" t="s">
        <v>453</v>
      </c>
      <c r="T3405" s="16">
        <v>0</v>
      </c>
      <c r="U3405" s="17"/>
      <c r="V3405" s="12">
        <v>1517.6470588235297</v>
      </c>
      <c r="W3405" s="12">
        <v>1517.6470588235297</v>
      </c>
      <c r="X3405" s="12">
        <v>0</v>
      </c>
      <c r="Y3405" s="18">
        <v>45670</v>
      </c>
      <c r="Z3405" s="13" t="s">
        <v>501</v>
      </c>
      <c r="AA3405" s="19" t="str">
        <f>VLOOKUP(D3405,Clientes!$A$2:$J$486,9,FALSE)</f>
        <v>Ocacional</v>
      </c>
      <c r="AB3405" s="13" t="str">
        <f>VLOOKUP(D3405,Clientes!$A$2:$K$486,11,FALSE)</f>
        <v>Persona Natural</v>
      </c>
      <c r="AC3405" s="13" t="str">
        <f>VLOOKUP(D3405,Clientes!$A$2:$B$486,2,FALSE)</f>
        <v>Santa Ines</v>
      </c>
      <c r="AD3405" s="20"/>
      <c r="AE3405" s="20"/>
      <c r="AF3405" s="13" t="s">
        <v>40</v>
      </c>
      <c r="AG3405" s="15">
        <v>45292</v>
      </c>
      <c r="AH3405" s="13" t="s">
        <v>41</v>
      </c>
      <c r="AI3405" s="13" t="s">
        <v>47</v>
      </c>
      <c r="AJ3405" s="13" t="str">
        <f>VLOOKUP(E3405,Precios!Z$2:AA$941,2,FALSE)</f>
        <v xml:space="preserve">Bolsas Basura TEDDY 90x120 </v>
      </c>
      <c r="AK3405" s="14">
        <f>VLOOKUP(E3405,Precios!Z$2:BB$941,3,FALSE)*F3405</f>
        <v>-2</v>
      </c>
      <c r="AL3405" s="17"/>
      <c r="AM3405" s="17"/>
      <c r="AN3405" s="17"/>
      <c r="AO3405" s="17"/>
      <c r="AP3405" s="17"/>
      <c r="AQ3405" s="17"/>
      <c r="AR3405" s="17"/>
      <c r="AS3405" s="17"/>
      <c r="AT3405" s="17"/>
      <c r="AU3405" s="17"/>
      <c r="AV3405" s="17"/>
    </row>
    <row r="3406" spans="1:48" ht="15.75" customHeight="1">
      <c r="A3406" s="21" t="s">
        <v>47</v>
      </c>
      <c r="B3406" s="23" t="s">
        <v>1692</v>
      </c>
      <c r="C3406" s="22">
        <v>45675</v>
      </c>
      <c r="D3406" s="23" t="s">
        <v>772</v>
      </c>
      <c r="E3406" s="23" t="s">
        <v>92</v>
      </c>
      <c r="F3406" s="21">
        <v>1</v>
      </c>
      <c r="G3406" s="12">
        <v>3400.2970989164628</v>
      </c>
      <c r="H3406" s="12">
        <v>3400.2970989164628</v>
      </c>
      <c r="I3406" s="23" t="s">
        <v>52</v>
      </c>
      <c r="J3406" s="23" t="s">
        <v>61</v>
      </c>
      <c r="K3406" s="24" t="s">
        <v>177</v>
      </c>
      <c r="L3406" s="26">
        <v>91</v>
      </c>
      <c r="M3406" s="12">
        <v>2857.3925200978679</v>
      </c>
      <c r="N3406" s="11">
        <v>2857.3925200978679</v>
      </c>
      <c r="O3406" s="11">
        <v>542.90457881859493</v>
      </c>
      <c r="P3406" s="13"/>
      <c r="Q3406" s="14">
        <v>2025</v>
      </c>
      <c r="R3406" s="15">
        <v>45292</v>
      </c>
      <c r="S3406" s="11" t="s">
        <v>453</v>
      </c>
      <c r="T3406" s="16">
        <v>0</v>
      </c>
      <c r="U3406" s="17"/>
      <c r="V3406" s="12">
        <v>1222.3925200978679</v>
      </c>
      <c r="W3406" s="12">
        <v>1222.3925200978679</v>
      </c>
      <c r="X3406" s="12">
        <v>0</v>
      </c>
      <c r="Y3406" s="18">
        <v>45670</v>
      </c>
      <c r="Z3406" s="13" t="s">
        <v>501</v>
      </c>
      <c r="AA3406" s="19" t="str">
        <f>VLOOKUP(D3406,Clientes!$A$2:$J$486,9,FALSE)</f>
        <v>Ocacional</v>
      </c>
      <c r="AB3406" s="13" t="str">
        <f>VLOOKUP(D3406,Clientes!$A$2:$K$486,11,FALSE)</f>
        <v>Persona Natural</v>
      </c>
      <c r="AC3406" s="13" t="str">
        <f>VLOOKUP(D3406,Clientes!$A$2:$B$486,2,FALSE)</f>
        <v>Santa Ines</v>
      </c>
      <c r="AD3406" s="20"/>
      <c r="AE3406" s="20"/>
      <c r="AF3406" s="13" t="s">
        <v>40</v>
      </c>
      <c r="AG3406" s="15">
        <v>45292</v>
      </c>
      <c r="AH3406" s="13" t="s">
        <v>41</v>
      </c>
      <c r="AI3406" s="13" t="s">
        <v>47</v>
      </c>
      <c r="AJ3406" s="13" t="str">
        <f>VLOOKUP(E3406,Precios!Z$2:AA$941,2,FALSE)</f>
        <v xml:space="preserve">Bolsas Basura TEDDY 70x90 </v>
      </c>
      <c r="AK3406" s="14">
        <f>VLOOKUP(E3406,Precios!Z$2:BB$941,3,FALSE)*F3406</f>
        <v>-3</v>
      </c>
      <c r="AL3406" s="17"/>
      <c r="AM3406" s="17"/>
      <c r="AN3406" s="17"/>
      <c r="AO3406" s="17"/>
      <c r="AP3406" s="17"/>
      <c r="AQ3406" s="17"/>
      <c r="AR3406" s="17"/>
      <c r="AS3406" s="17"/>
      <c r="AT3406" s="17"/>
      <c r="AU3406" s="17"/>
      <c r="AV3406" s="17"/>
    </row>
    <row r="3407" spans="1:48" ht="15.75" customHeight="1">
      <c r="A3407" s="21" t="s">
        <v>47</v>
      </c>
      <c r="B3407" s="23" t="s">
        <v>1692</v>
      </c>
      <c r="C3407" s="22">
        <v>45675</v>
      </c>
      <c r="D3407" s="23" t="s">
        <v>772</v>
      </c>
      <c r="E3407" s="23" t="s">
        <v>251</v>
      </c>
      <c r="F3407" s="21">
        <v>2</v>
      </c>
      <c r="G3407" s="12">
        <v>4199.9016948855005</v>
      </c>
      <c r="H3407" s="12">
        <v>8399.8033897710011</v>
      </c>
      <c r="I3407" s="23" t="s">
        <v>52</v>
      </c>
      <c r="J3407" s="23" t="s">
        <v>61</v>
      </c>
      <c r="K3407" s="24" t="s">
        <v>177</v>
      </c>
      <c r="L3407" s="26">
        <v>91</v>
      </c>
      <c r="M3407" s="12">
        <v>3529.3291553659669</v>
      </c>
      <c r="N3407" s="11">
        <v>7058.6583107319339</v>
      </c>
      <c r="O3407" s="11">
        <v>1341.1450790390672</v>
      </c>
      <c r="P3407" s="13"/>
      <c r="Q3407" s="14">
        <v>2025</v>
      </c>
      <c r="R3407" s="15">
        <v>45292</v>
      </c>
      <c r="S3407" s="11" t="s">
        <v>621</v>
      </c>
      <c r="T3407" s="16">
        <v>0</v>
      </c>
      <c r="U3407" s="17"/>
      <c r="V3407" s="12">
        <v>1697.3249773986008</v>
      </c>
      <c r="W3407" s="12">
        <v>1697.3249773986008</v>
      </c>
      <c r="X3407" s="12">
        <v>0</v>
      </c>
      <c r="Y3407" s="18">
        <v>45670</v>
      </c>
      <c r="Z3407" s="13" t="s">
        <v>501</v>
      </c>
      <c r="AA3407" s="19" t="str">
        <f>VLOOKUP(D3407,Clientes!$A$2:$J$486,9,FALSE)</f>
        <v>Ocacional</v>
      </c>
      <c r="AB3407" s="13" t="str">
        <f>VLOOKUP(D3407,Clientes!$A$2:$K$486,11,FALSE)</f>
        <v>Persona Natural</v>
      </c>
      <c r="AC3407" s="13" t="str">
        <f>VLOOKUP(D3407,Clientes!$A$2:$B$486,2,FALSE)</f>
        <v>Santa Ines</v>
      </c>
      <c r="AD3407" s="20"/>
      <c r="AE3407" s="20"/>
      <c r="AF3407" s="13" t="s">
        <v>40</v>
      </c>
      <c r="AG3407" s="15">
        <v>45292</v>
      </c>
      <c r="AH3407" s="13" t="s">
        <v>41</v>
      </c>
      <c r="AI3407" s="13" t="s">
        <v>47</v>
      </c>
      <c r="AJ3407" s="13" t="str">
        <f>VLOOKUP(E3407,Precios!Z$2:AA$941,2,FALSE)</f>
        <v>Insecticida RAID 360 cc Casa Jardin (Naranjo)</v>
      </c>
      <c r="AK3407" s="14">
        <f>VLOOKUP(E3407,Precios!Z$2:BB$941,3,FALSE)*F3407</f>
        <v>-2</v>
      </c>
      <c r="AL3407" s="17"/>
      <c r="AM3407" s="17"/>
      <c r="AN3407" s="17"/>
      <c r="AO3407" s="17"/>
      <c r="AP3407" s="17"/>
      <c r="AQ3407" s="17"/>
      <c r="AR3407" s="17"/>
      <c r="AS3407" s="17"/>
      <c r="AT3407" s="17"/>
      <c r="AU3407" s="17"/>
      <c r="AV3407" s="17"/>
    </row>
    <row r="3408" spans="1:48" ht="15.75" customHeight="1">
      <c r="A3408" s="21" t="s">
        <v>47</v>
      </c>
      <c r="B3408" s="23" t="s">
        <v>1692</v>
      </c>
      <c r="C3408" s="22">
        <v>45675</v>
      </c>
      <c r="D3408" s="23" t="s">
        <v>772</v>
      </c>
      <c r="E3408" s="23" t="s">
        <v>641</v>
      </c>
      <c r="F3408" s="21">
        <v>1</v>
      </c>
      <c r="G3408" s="12">
        <v>6800</v>
      </c>
      <c r="H3408" s="12">
        <v>6800</v>
      </c>
      <c r="I3408" s="23" t="s">
        <v>52</v>
      </c>
      <c r="J3408" s="23" t="s">
        <v>61</v>
      </c>
      <c r="K3408" s="24" t="s">
        <v>177</v>
      </c>
      <c r="L3408" s="26">
        <v>91</v>
      </c>
      <c r="M3408" s="12">
        <v>5714.2857142857147</v>
      </c>
      <c r="N3408" s="11">
        <v>5714.2857142857147</v>
      </c>
      <c r="O3408" s="11">
        <v>1085.7142857142853</v>
      </c>
      <c r="P3408" s="13"/>
      <c r="Q3408" s="14">
        <v>2025</v>
      </c>
      <c r="R3408" s="15">
        <v>45292</v>
      </c>
      <c r="S3408" s="11" t="s">
        <v>694</v>
      </c>
      <c r="T3408" s="16">
        <v>0</v>
      </c>
      <c r="U3408" s="17"/>
      <c r="V3408" s="12">
        <v>1460.5042016806728</v>
      </c>
      <c r="W3408" s="12">
        <v>1460.5042016806728</v>
      </c>
      <c r="X3408" s="12">
        <v>0</v>
      </c>
      <c r="Y3408" s="18">
        <v>45670</v>
      </c>
      <c r="Z3408" s="13" t="s">
        <v>501</v>
      </c>
      <c r="AA3408" s="19" t="str">
        <f>VLOOKUP(D3408,Clientes!$A$2:$J$486,9,FALSE)</f>
        <v>Ocacional</v>
      </c>
      <c r="AB3408" s="13" t="str">
        <f>VLOOKUP(D3408,Clientes!$A$2:$K$486,11,FALSE)</f>
        <v>Persona Natural</v>
      </c>
      <c r="AC3408" s="13" t="str">
        <f>VLOOKUP(D3408,Clientes!$A$2:$B$486,2,FALSE)</f>
        <v>Santa Ines</v>
      </c>
      <c r="AD3408" s="20"/>
      <c r="AE3408" s="20"/>
      <c r="AF3408" s="13" t="s">
        <v>40</v>
      </c>
      <c r="AG3408" s="15">
        <v>45292</v>
      </c>
      <c r="AH3408" s="13" t="s">
        <v>41</v>
      </c>
      <c r="AI3408" s="13" t="s">
        <v>47</v>
      </c>
      <c r="AJ3408" s="13" t="str">
        <f>VLOOKUP(E3408,Precios!Z$2:AA$941,2,FALSE)</f>
        <v>Lysoform 420 cc</v>
      </c>
      <c r="AK3408" s="14">
        <f>VLOOKUP(E3408,Precios!Z$2:BB$941,3,FALSE)*F3408</f>
        <v>-2</v>
      </c>
      <c r="AL3408" s="17"/>
      <c r="AM3408" s="17"/>
      <c r="AN3408" s="17"/>
      <c r="AO3408" s="17"/>
      <c r="AP3408" s="17"/>
      <c r="AQ3408" s="17"/>
      <c r="AR3408" s="17"/>
      <c r="AS3408" s="17"/>
      <c r="AT3408" s="17"/>
      <c r="AU3408" s="17"/>
      <c r="AV3408" s="17"/>
    </row>
    <row r="3409" spans="1:48" ht="15.75" customHeight="1">
      <c r="A3409" s="21" t="s">
        <v>76</v>
      </c>
      <c r="B3409" s="23" t="s">
        <v>1692</v>
      </c>
      <c r="C3409" s="22">
        <v>45675</v>
      </c>
      <c r="D3409" s="23" t="s">
        <v>772</v>
      </c>
      <c r="E3409" s="23" t="s">
        <v>218</v>
      </c>
      <c r="F3409" s="21">
        <v>1</v>
      </c>
      <c r="G3409" s="12">
        <v>1500.0000000000002</v>
      </c>
      <c r="H3409" s="12">
        <v>1500.0000000000002</v>
      </c>
      <c r="I3409" s="23" t="s">
        <v>52</v>
      </c>
      <c r="J3409" s="23" t="s">
        <v>61</v>
      </c>
      <c r="K3409" s="24" t="s">
        <v>177</v>
      </c>
      <c r="L3409" s="26">
        <v>91</v>
      </c>
      <c r="M3409" s="12">
        <v>1260.5042016806726</v>
      </c>
      <c r="N3409" s="11">
        <v>1260.5042016806726</v>
      </c>
      <c r="O3409" s="11">
        <v>239.4957983193276</v>
      </c>
      <c r="P3409" s="13"/>
      <c r="Q3409" s="14">
        <v>2025</v>
      </c>
      <c r="R3409" s="15">
        <v>45292</v>
      </c>
      <c r="S3409" s="11" t="s">
        <v>444</v>
      </c>
      <c r="T3409" s="16">
        <v>500</v>
      </c>
      <c r="U3409" s="17"/>
      <c r="V3409" s="12">
        <v>504.20168067226905</v>
      </c>
      <c r="W3409" s="12">
        <v>504.20168067226905</v>
      </c>
      <c r="X3409" s="12">
        <v>0</v>
      </c>
      <c r="Y3409" s="18">
        <v>45670</v>
      </c>
      <c r="Z3409" s="13" t="s">
        <v>501</v>
      </c>
      <c r="AA3409" s="19" t="str">
        <f>VLOOKUP(D3409,Clientes!$A$2:$J$486,9,FALSE)</f>
        <v>Ocacional</v>
      </c>
      <c r="AB3409" s="13" t="str">
        <f>VLOOKUP(D3409,Clientes!$A$2:$K$486,11,FALSE)</f>
        <v>Persona Natural</v>
      </c>
      <c r="AC3409" s="13" t="str">
        <f>VLOOKUP(D3409,Clientes!$A$2:$B$486,2,FALSE)</f>
        <v>Santa Ines</v>
      </c>
      <c r="AD3409" s="20"/>
      <c r="AE3409" s="20"/>
      <c r="AF3409" s="13" t="s">
        <v>40</v>
      </c>
      <c r="AG3409" s="15">
        <v>45292</v>
      </c>
      <c r="AH3409" s="13" t="s">
        <v>41</v>
      </c>
      <c r="AI3409" s="13" t="s">
        <v>76</v>
      </c>
      <c r="AJ3409" s="13" t="str">
        <f>VLOOKUP(E3409,Precios!Z$2:AA$941,2,FALSE)</f>
        <v>Limpia Vidrio SPUM 500 ml</v>
      </c>
      <c r="AK3409" s="14">
        <f>VLOOKUP(E3409,Precios!Z$2:BB$941,3,FALSE)*F3409</f>
        <v>-1</v>
      </c>
      <c r="AL3409" s="17"/>
      <c r="AM3409" s="17"/>
      <c r="AN3409" s="17"/>
      <c r="AO3409" s="17"/>
      <c r="AP3409" s="17"/>
      <c r="AQ3409" s="17"/>
      <c r="AR3409" s="17"/>
      <c r="AS3409" s="17"/>
      <c r="AT3409" s="17"/>
      <c r="AU3409" s="17"/>
      <c r="AV3409" s="17"/>
    </row>
    <row r="3410" spans="1:48" ht="15.75" customHeight="1">
      <c r="A3410" s="21" t="s">
        <v>76</v>
      </c>
      <c r="B3410" s="23" t="s">
        <v>1692</v>
      </c>
      <c r="C3410" s="22">
        <v>45675</v>
      </c>
      <c r="D3410" s="23" t="s">
        <v>772</v>
      </c>
      <c r="E3410" s="23" t="s">
        <v>166</v>
      </c>
      <c r="F3410" s="21">
        <v>1</v>
      </c>
      <c r="G3410" s="12">
        <v>3500.0000000000005</v>
      </c>
      <c r="H3410" s="12">
        <v>3500.0000000000005</v>
      </c>
      <c r="I3410" s="23" t="s">
        <v>52</v>
      </c>
      <c r="J3410" s="23" t="s">
        <v>61</v>
      </c>
      <c r="K3410" s="24" t="s">
        <v>177</v>
      </c>
      <c r="L3410" s="26">
        <v>91</v>
      </c>
      <c r="M3410" s="12">
        <v>2941.1764705882356</v>
      </c>
      <c r="N3410" s="11">
        <v>2941.1764705882356</v>
      </c>
      <c r="O3410" s="11">
        <v>558.82352941176487</v>
      </c>
      <c r="P3410" s="13"/>
      <c r="Q3410" s="14">
        <v>2025</v>
      </c>
      <c r="R3410" s="15">
        <v>45292</v>
      </c>
      <c r="S3410" s="11" t="s">
        <v>448</v>
      </c>
      <c r="T3410" s="16">
        <v>5</v>
      </c>
      <c r="U3410" s="17"/>
      <c r="V3410" s="12">
        <v>1016.8067226890757</v>
      </c>
      <c r="W3410" s="12">
        <v>1016.8067226890757</v>
      </c>
      <c r="X3410" s="12">
        <v>0</v>
      </c>
      <c r="Y3410" s="18">
        <v>45670</v>
      </c>
      <c r="Z3410" s="13" t="s">
        <v>501</v>
      </c>
      <c r="AA3410" s="19" t="str">
        <f>VLOOKUP(D3410,Clientes!$A$2:$J$486,9,FALSE)</f>
        <v>Ocacional</v>
      </c>
      <c r="AB3410" s="13" t="str">
        <f>VLOOKUP(D3410,Clientes!$A$2:$K$486,11,FALSE)</f>
        <v>Persona Natural</v>
      </c>
      <c r="AC3410" s="13" t="str">
        <f>VLOOKUP(D3410,Clientes!$A$2:$B$486,2,FALSE)</f>
        <v>Santa Ines</v>
      </c>
      <c r="AD3410" s="20"/>
      <c r="AE3410" s="20"/>
      <c r="AF3410" s="13" t="s">
        <v>40</v>
      </c>
      <c r="AG3410" s="15">
        <v>45292</v>
      </c>
      <c r="AH3410" s="13" t="s">
        <v>41</v>
      </c>
      <c r="AI3410" s="13" t="s">
        <v>76</v>
      </c>
      <c r="AJ3410" s="13" t="str">
        <f>VLOOKUP(E3410,Precios!Z$2:AA$941,2,FALSE)</f>
        <v>Cloro GEL SPUM 5 Litros</v>
      </c>
      <c r="AK3410" s="14">
        <f>VLOOKUP(E3410,Precios!Z$2:BB$941,3,FALSE)*F3410</f>
        <v>-1</v>
      </c>
      <c r="AL3410" s="17"/>
      <c r="AM3410" s="17"/>
      <c r="AN3410" s="17"/>
      <c r="AO3410" s="17"/>
      <c r="AP3410" s="17"/>
      <c r="AQ3410" s="17"/>
      <c r="AR3410" s="17"/>
      <c r="AS3410" s="17"/>
      <c r="AT3410" s="17"/>
      <c r="AU3410" s="17"/>
      <c r="AV3410" s="17"/>
    </row>
    <row r="3411" spans="1:48" ht="15.75" customHeight="1">
      <c r="A3411" s="21" t="s">
        <v>76</v>
      </c>
      <c r="B3411" s="23" t="s">
        <v>1692</v>
      </c>
      <c r="C3411" s="22">
        <v>45675</v>
      </c>
      <c r="D3411" s="23" t="s">
        <v>772</v>
      </c>
      <c r="E3411" s="23" t="s">
        <v>137</v>
      </c>
      <c r="F3411" s="21">
        <v>2</v>
      </c>
      <c r="G3411" s="12">
        <v>3500.0000000000005</v>
      </c>
      <c r="H3411" s="12">
        <v>7000.0000000000009</v>
      </c>
      <c r="I3411" s="23" t="s">
        <v>52</v>
      </c>
      <c r="J3411" s="23" t="s">
        <v>61</v>
      </c>
      <c r="K3411" s="24" t="s">
        <v>177</v>
      </c>
      <c r="L3411" s="26">
        <v>91</v>
      </c>
      <c r="M3411" s="12">
        <v>2941.1764705882356</v>
      </c>
      <c r="N3411" s="11">
        <v>5882.3529411764712</v>
      </c>
      <c r="O3411" s="11">
        <v>1117.6470588235297</v>
      </c>
      <c r="P3411" s="13"/>
      <c r="Q3411" s="14">
        <v>2025</v>
      </c>
      <c r="R3411" s="15">
        <v>45292</v>
      </c>
      <c r="S3411" s="11" t="s">
        <v>406</v>
      </c>
      <c r="T3411" s="16">
        <v>10</v>
      </c>
      <c r="U3411" s="17"/>
      <c r="V3411" s="12">
        <v>1697.4789915966394</v>
      </c>
      <c r="W3411" s="12">
        <v>1697.4789915966394</v>
      </c>
      <c r="X3411" s="12">
        <v>0</v>
      </c>
      <c r="Y3411" s="18">
        <v>45670</v>
      </c>
      <c r="Z3411" s="13" t="s">
        <v>501</v>
      </c>
      <c r="AA3411" s="19" t="str">
        <f>VLOOKUP(D3411,Clientes!$A$2:$J$486,9,FALSE)</f>
        <v>Ocacional</v>
      </c>
      <c r="AB3411" s="13" t="str">
        <f>VLOOKUP(D3411,Clientes!$A$2:$K$486,11,FALSE)</f>
        <v>Persona Natural</v>
      </c>
      <c r="AC3411" s="13" t="str">
        <f>VLOOKUP(D3411,Clientes!$A$2:$B$486,2,FALSE)</f>
        <v>Santa Ines</v>
      </c>
      <c r="AD3411" s="20"/>
      <c r="AE3411" s="20"/>
      <c r="AF3411" s="13" t="s">
        <v>40</v>
      </c>
      <c r="AG3411" s="15">
        <v>45292</v>
      </c>
      <c r="AH3411" s="13" t="s">
        <v>41</v>
      </c>
      <c r="AI3411" s="13" t="s">
        <v>76</v>
      </c>
      <c r="AJ3411" s="13" t="str">
        <f>VLOOKUP(E3411,Precios!Z$2:AA$941,2,FALSE)</f>
        <v>Detergente SPUM 5 Litros (Blanco)</v>
      </c>
      <c r="AK3411" s="14">
        <f>VLOOKUP(E3411,Precios!Z$2:BB$941,3,FALSE)*F3411</f>
        <v>-2</v>
      </c>
      <c r="AL3411" s="17"/>
      <c r="AM3411" s="17"/>
      <c r="AN3411" s="17"/>
      <c r="AO3411" s="17"/>
      <c r="AP3411" s="17"/>
      <c r="AQ3411" s="17"/>
      <c r="AR3411" s="17"/>
      <c r="AS3411" s="17"/>
      <c r="AT3411" s="17"/>
      <c r="AU3411" s="17"/>
      <c r="AV3411" s="17"/>
    </row>
    <row r="3412" spans="1:48" ht="15.75" customHeight="1">
      <c r="A3412" s="21" t="s">
        <v>47</v>
      </c>
      <c r="B3412" s="23" t="s">
        <v>1692</v>
      </c>
      <c r="C3412" s="22">
        <v>45675</v>
      </c>
      <c r="D3412" s="23" t="s">
        <v>772</v>
      </c>
      <c r="E3412" s="23" t="s">
        <v>336</v>
      </c>
      <c r="F3412" s="21">
        <v>1</v>
      </c>
      <c r="G3412" s="12">
        <v>2800</v>
      </c>
      <c r="H3412" s="12">
        <v>2800</v>
      </c>
      <c r="I3412" s="23" t="s">
        <v>52</v>
      </c>
      <c r="J3412" s="23" t="s">
        <v>61</v>
      </c>
      <c r="K3412" s="24" t="s">
        <v>177</v>
      </c>
      <c r="L3412" s="26">
        <v>91</v>
      </c>
      <c r="M3412" s="12">
        <v>2352.9411764705883</v>
      </c>
      <c r="N3412" s="11">
        <v>2352.9411764705883</v>
      </c>
      <c r="O3412" s="11">
        <v>447.05882352941171</v>
      </c>
      <c r="P3412" s="13"/>
      <c r="Q3412" s="14">
        <v>2025</v>
      </c>
      <c r="R3412" s="15">
        <v>45292</v>
      </c>
      <c r="S3412" s="11" t="s">
        <v>476</v>
      </c>
      <c r="T3412" s="16">
        <v>0</v>
      </c>
      <c r="U3412" s="17"/>
      <c r="V3412" s="12">
        <v>896.94117647058829</v>
      </c>
      <c r="W3412" s="12">
        <v>896.94117647058829</v>
      </c>
      <c r="X3412" s="12">
        <v>0</v>
      </c>
      <c r="Y3412" s="18">
        <v>45670</v>
      </c>
      <c r="Z3412" s="13" t="s">
        <v>501</v>
      </c>
      <c r="AA3412" s="19" t="str">
        <f>VLOOKUP(D3412,Clientes!$A$2:$J$486,9,FALSE)</f>
        <v>Ocacional</v>
      </c>
      <c r="AB3412" s="13" t="str">
        <f>VLOOKUP(D3412,Clientes!$A$2:$K$486,11,FALSE)</f>
        <v>Persona Natural</v>
      </c>
      <c r="AC3412" s="13" t="str">
        <f>VLOOKUP(D3412,Clientes!$A$2:$B$486,2,FALSE)</f>
        <v>Santa Ines</v>
      </c>
      <c r="AD3412" s="20"/>
      <c r="AE3412" s="20"/>
      <c r="AF3412" s="13" t="s">
        <v>40</v>
      </c>
      <c r="AG3412" s="15">
        <v>45292</v>
      </c>
      <c r="AH3412" s="13" t="s">
        <v>41</v>
      </c>
      <c r="AI3412" s="13" t="s">
        <v>47</v>
      </c>
      <c r="AJ3412" s="13" t="str">
        <f>VLOOKUP(E3412,Precios!Z$2:AA$941,2,FALSE)</f>
        <v>Ambiental Tubo TEDDY</v>
      </c>
      <c r="AK3412" s="14">
        <f>VLOOKUP(E3412,Precios!Z$2:BB$941,3,FALSE)*F3412</f>
        <v>-2</v>
      </c>
      <c r="AL3412" s="17"/>
      <c r="AM3412" s="17"/>
      <c r="AN3412" s="17"/>
      <c r="AO3412" s="17"/>
      <c r="AP3412" s="17"/>
      <c r="AQ3412" s="17"/>
      <c r="AR3412" s="17"/>
      <c r="AS3412" s="17"/>
      <c r="AT3412" s="17"/>
      <c r="AU3412" s="17"/>
      <c r="AV3412" s="17"/>
    </row>
    <row r="3413" spans="1:48" ht="15.75" customHeight="1">
      <c r="A3413" s="21" t="s">
        <v>53</v>
      </c>
      <c r="B3413" s="23" t="s">
        <v>1692</v>
      </c>
      <c r="C3413" s="22">
        <v>45675</v>
      </c>
      <c r="D3413" s="23" t="s">
        <v>772</v>
      </c>
      <c r="E3413" s="23" t="s">
        <v>243</v>
      </c>
      <c r="F3413" s="21">
        <v>1</v>
      </c>
      <c r="G3413" s="12">
        <v>14500.068577698534</v>
      </c>
      <c r="H3413" s="12">
        <v>14500.068577698534</v>
      </c>
      <c r="I3413" s="23" t="s">
        <v>52</v>
      </c>
      <c r="J3413" s="23" t="s">
        <v>61</v>
      </c>
      <c r="K3413" s="24" t="s">
        <v>177</v>
      </c>
      <c r="L3413" s="26">
        <v>91</v>
      </c>
      <c r="M3413" s="12">
        <v>12184.931577897929</v>
      </c>
      <c r="N3413" s="11">
        <v>12184.931577897929</v>
      </c>
      <c r="O3413" s="11">
        <v>2315.1369998006048</v>
      </c>
      <c r="P3413" s="13"/>
      <c r="Q3413" s="14">
        <v>2025</v>
      </c>
      <c r="R3413" s="15">
        <v>45292</v>
      </c>
      <c r="S3413" s="11" t="s">
        <v>435</v>
      </c>
      <c r="T3413" s="16">
        <v>0</v>
      </c>
      <c r="U3413" s="17"/>
      <c r="V3413" s="12">
        <v>3300.897964452548</v>
      </c>
      <c r="W3413" s="12">
        <v>3300.897964452548</v>
      </c>
      <c r="X3413" s="12">
        <v>0</v>
      </c>
      <c r="Y3413" s="18">
        <v>45670</v>
      </c>
      <c r="Z3413" s="13" t="s">
        <v>501</v>
      </c>
      <c r="AA3413" s="19" t="str">
        <f>VLOOKUP(D3413,Clientes!$A$2:$J$486,9,FALSE)</f>
        <v>Ocacional</v>
      </c>
      <c r="AB3413" s="13" t="str">
        <f>VLOOKUP(D3413,Clientes!$A$2:$K$486,11,FALSE)</f>
        <v>Persona Natural</v>
      </c>
      <c r="AC3413" s="13" t="str">
        <f>VLOOKUP(D3413,Clientes!$A$2:$B$486,2,FALSE)</f>
        <v>Santa Ines</v>
      </c>
      <c r="AD3413" s="20"/>
      <c r="AE3413" s="20"/>
      <c r="AF3413" s="13" t="s">
        <v>40</v>
      </c>
      <c r="AG3413" s="15">
        <v>45292</v>
      </c>
      <c r="AH3413" s="13" t="s">
        <v>41</v>
      </c>
      <c r="AI3413" s="13" t="s">
        <v>53</v>
      </c>
      <c r="AJ3413" s="13" t="str">
        <f>VLOOKUP(E3413,Precios!Z$2:AA$941,2,FALSE)</f>
        <v>Papel Higienico SWAN 50 metros</v>
      </c>
      <c r="AK3413" s="14">
        <f>VLOOKUP(E3413,Precios!Z$2:BB$941,3,FALSE)*F3413</f>
        <v>-6</v>
      </c>
      <c r="AL3413" s="17"/>
      <c r="AM3413" s="17"/>
      <c r="AN3413" s="17"/>
      <c r="AO3413" s="17"/>
      <c r="AP3413" s="17"/>
      <c r="AQ3413" s="17"/>
      <c r="AR3413" s="17"/>
      <c r="AS3413" s="17"/>
      <c r="AT3413" s="17"/>
      <c r="AU3413" s="17"/>
      <c r="AV3413" s="17"/>
    </row>
    <row r="3414" spans="1:48" ht="15.75" customHeight="1">
      <c r="A3414" s="21" t="s">
        <v>53</v>
      </c>
      <c r="B3414" s="23" t="s">
        <v>1692</v>
      </c>
      <c r="C3414" s="22">
        <v>45675</v>
      </c>
      <c r="D3414" s="23" t="s">
        <v>772</v>
      </c>
      <c r="E3414" s="23" t="s">
        <v>773</v>
      </c>
      <c r="F3414" s="21">
        <v>1</v>
      </c>
      <c r="G3414" s="12">
        <v>3500.0000000000005</v>
      </c>
      <c r="H3414" s="12">
        <v>3500.0000000000005</v>
      </c>
      <c r="I3414" s="23" t="s">
        <v>52</v>
      </c>
      <c r="J3414" s="23" t="s">
        <v>61</v>
      </c>
      <c r="K3414" s="24" t="s">
        <v>177</v>
      </c>
      <c r="L3414" s="26">
        <v>91</v>
      </c>
      <c r="M3414" s="12">
        <v>2941.1764705882356</v>
      </c>
      <c r="N3414" s="11">
        <v>2941.1764705882356</v>
      </c>
      <c r="O3414" s="11">
        <v>558.82352941176487</v>
      </c>
      <c r="P3414" s="13"/>
      <c r="Q3414" s="14">
        <v>2025</v>
      </c>
      <c r="R3414" s="15">
        <v>45292</v>
      </c>
      <c r="S3414" s="11" t="s">
        <v>727</v>
      </c>
      <c r="T3414" s="16">
        <v>0</v>
      </c>
      <c r="U3414" s="17"/>
      <c r="V3414" s="12">
        <v>1015.1260504201682</v>
      </c>
      <c r="W3414" s="12">
        <v>1015.1260504201682</v>
      </c>
      <c r="X3414" s="12">
        <v>0</v>
      </c>
      <c r="Y3414" s="18">
        <v>45670</v>
      </c>
      <c r="Z3414" s="13" t="s">
        <v>501</v>
      </c>
      <c r="AA3414" s="19" t="str">
        <f>VLOOKUP(D3414,Clientes!$A$2:$J$486,9,FALSE)</f>
        <v>Ocacional</v>
      </c>
      <c r="AB3414" s="13" t="str">
        <f>VLOOKUP(D3414,Clientes!$A$2:$K$486,11,FALSE)</f>
        <v>Persona Natural</v>
      </c>
      <c r="AC3414" s="13" t="str">
        <f>VLOOKUP(D3414,Clientes!$A$2:$B$486,2,FALSE)</f>
        <v>Santa Ines</v>
      </c>
      <c r="AD3414" s="20"/>
      <c r="AE3414" s="20"/>
      <c r="AF3414" s="13" t="s">
        <v>40</v>
      </c>
      <c r="AG3414" s="15">
        <v>45292</v>
      </c>
      <c r="AH3414" s="13" t="s">
        <v>41</v>
      </c>
      <c r="AI3414" s="13" t="s">
        <v>53</v>
      </c>
      <c r="AJ3414" s="13" t="str">
        <f>VLOOKUP(E3414,Precios!Z$2:AA$941,2,FALSE)</f>
        <v>Toalla Papel SWAN 12 metros</v>
      </c>
      <c r="AK3414" s="14">
        <f>VLOOKUP(E3414,Precios!Z$2:BB$941,3,FALSE)*F3414</f>
        <v>-3</v>
      </c>
      <c r="AL3414" s="17"/>
      <c r="AM3414" s="17"/>
      <c r="AN3414" s="17"/>
      <c r="AO3414" s="17"/>
      <c r="AP3414" s="17"/>
      <c r="AQ3414" s="17"/>
      <c r="AR3414" s="17"/>
      <c r="AS3414" s="17"/>
      <c r="AT3414" s="17"/>
      <c r="AU3414" s="17"/>
      <c r="AV3414" s="17"/>
    </row>
    <row r="3415" spans="1:48" ht="15.75" customHeight="1">
      <c r="A3415" s="21" t="s">
        <v>147</v>
      </c>
      <c r="B3415" s="23" t="s">
        <v>1692</v>
      </c>
      <c r="C3415" s="22">
        <v>45675</v>
      </c>
      <c r="D3415" s="23" t="s">
        <v>772</v>
      </c>
      <c r="E3415" s="23" t="s">
        <v>257</v>
      </c>
      <c r="F3415" s="21">
        <v>1</v>
      </c>
      <c r="G3415" s="12">
        <v>4000.0000000000005</v>
      </c>
      <c r="H3415" s="12">
        <v>4000.0000000000005</v>
      </c>
      <c r="I3415" s="23" t="s">
        <v>52</v>
      </c>
      <c r="J3415" s="23" t="s">
        <v>61</v>
      </c>
      <c r="K3415" s="24" t="s">
        <v>177</v>
      </c>
      <c r="L3415" s="26">
        <v>91</v>
      </c>
      <c r="M3415" s="12">
        <v>3361.3445378151264</v>
      </c>
      <c r="N3415" s="11">
        <v>3361.3445378151264</v>
      </c>
      <c r="O3415" s="11">
        <v>638.65546218487407</v>
      </c>
      <c r="P3415" s="13"/>
      <c r="Q3415" s="14">
        <v>2025</v>
      </c>
      <c r="R3415" s="15">
        <v>45292</v>
      </c>
      <c r="S3415" s="11" t="s">
        <v>412</v>
      </c>
      <c r="T3415" s="16">
        <v>0</v>
      </c>
      <c r="U3415" s="17"/>
      <c r="V3415" s="12">
        <v>1680.6722689075632</v>
      </c>
      <c r="W3415" s="12">
        <v>1680.6722689075632</v>
      </c>
      <c r="X3415" s="12">
        <v>0</v>
      </c>
      <c r="Y3415" s="18">
        <v>45670</v>
      </c>
      <c r="Z3415" s="13" t="s">
        <v>501</v>
      </c>
      <c r="AA3415" s="19" t="str">
        <f>VLOOKUP(D3415,Clientes!$A$2:$J$486,9,FALSE)</f>
        <v>Ocacional</v>
      </c>
      <c r="AB3415" s="13" t="str">
        <f>VLOOKUP(D3415,Clientes!$A$2:$K$486,11,FALSE)</f>
        <v>Persona Natural</v>
      </c>
      <c r="AC3415" s="13" t="str">
        <f>VLOOKUP(D3415,Clientes!$A$2:$B$486,2,FALSE)</f>
        <v>Santa Ines</v>
      </c>
      <c r="AD3415" s="20"/>
      <c r="AE3415" s="20"/>
      <c r="AF3415" s="13" t="s">
        <v>40</v>
      </c>
      <c r="AG3415" s="15">
        <v>45292</v>
      </c>
      <c r="AH3415" s="13" t="s">
        <v>41</v>
      </c>
      <c r="AI3415" s="13" t="s">
        <v>147</v>
      </c>
      <c r="AJ3415" s="13" t="str">
        <f>VLOOKUP(E3415,Precios!Z$2:AA$941,2,FALSE)</f>
        <v>Film Plástico 100 metros</v>
      </c>
      <c r="AK3415" s="14">
        <f>VLOOKUP(E3415,Precios!Z$2:BB$941,3,FALSE)*F3415</f>
        <v>-1</v>
      </c>
      <c r="AL3415" s="17"/>
      <c r="AM3415" s="17"/>
      <c r="AN3415" s="17"/>
      <c r="AO3415" s="17"/>
      <c r="AP3415" s="17"/>
      <c r="AQ3415" s="17"/>
      <c r="AR3415" s="17"/>
      <c r="AS3415" s="17"/>
      <c r="AT3415" s="17"/>
      <c r="AU3415" s="17"/>
      <c r="AV3415" s="17"/>
    </row>
    <row r="3416" spans="1:48" ht="15.75" customHeight="1">
      <c r="A3416" s="21" t="s">
        <v>47</v>
      </c>
      <c r="B3416" s="23" t="s">
        <v>1692</v>
      </c>
      <c r="C3416" s="22">
        <v>45675</v>
      </c>
      <c r="D3416" s="23" t="s">
        <v>772</v>
      </c>
      <c r="E3416" s="23" t="s">
        <v>565</v>
      </c>
      <c r="F3416" s="21">
        <v>1</v>
      </c>
      <c r="G3416" s="12">
        <v>6900.2286325825753</v>
      </c>
      <c r="H3416" s="12">
        <v>6900.2286325825753</v>
      </c>
      <c r="I3416" s="23" t="s">
        <v>52</v>
      </c>
      <c r="J3416" s="23" t="s">
        <v>61</v>
      </c>
      <c r="K3416" s="24" t="s">
        <v>177</v>
      </c>
      <c r="L3416" s="26">
        <v>91</v>
      </c>
      <c r="M3416" s="12">
        <v>5798.5114559517442</v>
      </c>
      <c r="N3416" s="11">
        <v>5798.5114559517442</v>
      </c>
      <c r="O3416" s="11">
        <v>1101.7171766308311</v>
      </c>
      <c r="P3416" s="13"/>
      <c r="Q3416" s="14">
        <v>2025</v>
      </c>
      <c r="R3416" s="15">
        <v>45292</v>
      </c>
      <c r="S3416" s="11" t="s">
        <v>372</v>
      </c>
      <c r="T3416" s="16">
        <v>0</v>
      </c>
      <c r="U3416" s="17"/>
      <c r="V3416" s="12">
        <v>2222.5114559517442</v>
      </c>
      <c r="W3416" s="12">
        <v>2222.5114559517442</v>
      </c>
      <c r="X3416" s="12">
        <v>0</v>
      </c>
      <c r="Y3416" s="18">
        <v>45670</v>
      </c>
      <c r="Z3416" s="13" t="s">
        <v>501</v>
      </c>
      <c r="AA3416" s="19" t="str">
        <f>VLOOKUP(D3416,Clientes!$A$2:$J$486,9,FALSE)</f>
        <v>Ocacional</v>
      </c>
      <c r="AB3416" s="13" t="str">
        <f>VLOOKUP(D3416,Clientes!$A$2:$K$486,11,FALSE)</f>
        <v>Persona Natural</v>
      </c>
      <c r="AC3416" s="13" t="str">
        <f>VLOOKUP(D3416,Clientes!$A$2:$B$486,2,FALSE)</f>
        <v>Santa Ines</v>
      </c>
      <c r="AD3416" s="20"/>
      <c r="AE3416" s="20"/>
      <c r="AF3416" s="13" t="s">
        <v>40</v>
      </c>
      <c r="AG3416" s="15">
        <v>45292</v>
      </c>
      <c r="AH3416" s="13" t="s">
        <v>41</v>
      </c>
      <c r="AI3416" s="13" t="s">
        <v>47</v>
      </c>
      <c r="AJ3416" s="13" t="str">
        <f>VLOOKUP(E3416,Precios!Z$2:AA$941,2,FALSE)</f>
        <v>Traperos Humedos TEDDY</v>
      </c>
      <c r="AK3416" s="14">
        <f>VLOOKUP(E3416,Precios!Z$2:BB$941,3,FALSE)*F3416</f>
        <v>-3</v>
      </c>
      <c r="AL3416" s="17"/>
      <c r="AM3416" s="17"/>
      <c r="AN3416" s="17"/>
      <c r="AO3416" s="17"/>
      <c r="AP3416" s="17"/>
      <c r="AQ3416" s="17"/>
      <c r="AR3416" s="17"/>
      <c r="AS3416" s="17"/>
      <c r="AT3416" s="17"/>
      <c r="AU3416" s="17"/>
      <c r="AV3416" s="17"/>
    </row>
    <row r="3417" spans="1:48" ht="15.75" customHeight="1">
      <c r="A3417" s="21" t="s">
        <v>47</v>
      </c>
      <c r="B3417" s="23" t="s">
        <v>1692</v>
      </c>
      <c r="C3417" s="22">
        <v>45675</v>
      </c>
      <c r="D3417" s="23" t="s">
        <v>772</v>
      </c>
      <c r="E3417" s="23" t="s">
        <v>255</v>
      </c>
      <c r="F3417" s="21">
        <v>2</v>
      </c>
      <c r="G3417" s="12">
        <v>1800</v>
      </c>
      <c r="H3417" s="12">
        <v>3600</v>
      </c>
      <c r="I3417" s="23" t="s">
        <v>52</v>
      </c>
      <c r="J3417" s="23" t="s">
        <v>61</v>
      </c>
      <c r="K3417" s="24" t="s">
        <v>177</v>
      </c>
      <c r="L3417" s="26">
        <v>91</v>
      </c>
      <c r="M3417" s="12">
        <v>1512.6050420168067</v>
      </c>
      <c r="N3417" s="11">
        <v>3025.2100840336134</v>
      </c>
      <c r="O3417" s="11">
        <v>574.78991596638662</v>
      </c>
      <c r="P3417" s="13"/>
      <c r="Q3417" s="14">
        <v>2025</v>
      </c>
      <c r="R3417" s="15">
        <v>45292</v>
      </c>
      <c r="S3417" s="11" t="s">
        <v>414</v>
      </c>
      <c r="T3417" s="16">
        <v>0</v>
      </c>
      <c r="U3417" s="17"/>
      <c r="V3417" s="12">
        <v>1062.1848739495797</v>
      </c>
      <c r="W3417" s="12">
        <v>1062.1848739495797</v>
      </c>
      <c r="X3417" s="12">
        <v>0</v>
      </c>
      <c r="Y3417" s="18">
        <v>45670</v>
      </c>
      <c r="Z3417" s="13" t="s">
        <v>501</v>
      </c>
      <c r="AA3417" s="19" t="str">
        <f>VLOOKUP(D3417,Clientes!$A$2:$J$486,9,FALSE)</f>
        <v>Ocacional</v>
      </c>
      <c r="AB3417" s="13" t="str">
        <f>VLOOKUP(D3417,Clientes!$A$2:$K$486,11,FALSE)</f>
        <v>Persona Natural</v>
      </c>
      <c r="AC3417" s="13" t="str">
        <f>VLOOKUP(D3417,Clientes!$A$2:$B$486,2,FALSE)</f>
        <v>Santa Ines</v>
      </c>
      <c r="AD3417" s="20"/>
      <c r="AE3417" s="20"/>
      <c r="AF3417" s="13" t="s">
        <v>40</v>
      </c>
      <c r="AG3417" s="15">
        <v>45292</v>
      </c>
      <c r="AH3417" s="13" t="s">
        <v>41</v>
      </c>
      <c r="AI3417" s="13" t="s">
        <v>47</v>
      </c>
      <c r="AJ3417" s="13" t="str">
        <f>VLOOKUP(E3417,Precios!Z$2:AA$941,2,FALSE)</f>
        <v>Toalla desinfectante VIRUTEX 30 unidades</v>
      </c>
      <c r="AK3417" s="14">
        <f>VLOOKUP(E3417,Precios!Z$2:BB$941,3,FALSE)*F3417</f>
        <v>-2</v>
      </c>
      <c r="AL3417" s="17"/>
      <c r="AM3417" s="17"/>
      <c r="AN3417" s="17"/>
      <c r="AO3417" s="17"/>
      <c r="AP3417" s="17"/>
      <c r="AQ3417" s="17"/>
      <c r="AR3417" s="17"/>
      <c r="AS3417" s="17"/>
      <c r="AT3417" s="17"/>
      <c r="AU3417" s="17"/>
      <c r="AV3417" s="17"/>
    </row>
    <row r="3418" spans="1:48" ht="15.75" customHeight="1">
      <c r="A3418" s="21" t="s">
        <v>47</v>
      </c>
      <c r="B3418" s="23" t="s">
        <v>1692</v>
      </c>
      <c r="C3418" s="22">
        <v>45675</v>
      </c>
      <c r="D3418" s="23" t="s">
        <v>772</v>
      </c>
      <c r="E3418" s="23" t="s">
        <v>494</v>
      </c>
      <c r="F3418" s="21">
        <v>2</v>
      </c>
      <c r="G3418" s="12">
        <v>1599.7931747673217</v>
      </c>
      <c r="H3418" s="12">
        <v>3199.5863495346434</v>
      </c>
      <c r="I3418" s="23" t="s">
        <v>52</v>
      </c>
      <c r="J3418" s="23" t="s">
        <v>61</v>
      </c>
      <c r="K3418" s="24" t="s">
        <v>177</v>
      </c>
      <c r="L3418" s="26">
        <v>91</v>
      </c>
      <c r="M3418" s="12">
        <v>1344.3640124095141</v>
      </c>
      <c r="N3418" s="11">
        <v>2688.7280248190282</v>
      </c>
      <c r="O3418" s="11">
        <v>510.85832471561525</v>
      </c>
      <c r="P3418" s="13"/>
      <c r="Q3418" s="14">
        <v>2025</v>
      </c>
      <c r="R3418" s="15">
        <v>45292</v>
      </c>
      <c r="S3418" s="11" t="s">
        <v>495</v>
      </c>
      <c r="T3418" s="16">
        <v>0</v>
      </c>
      <c r="U3418" s="17"/>
      <c r="V3418" s="12">
        <v>738.72802481902818</v>
      </c>
      <c r="W3418" s="12">
        <v>738.72802481902818</v>
      </c>
      <c r="X3418" s="12">
        <v>0</v>
      </c>
      <c r="Y3418" s="18">
        <v>45670</v>
      </c>
      <c r="Z3418" s="13" t="s">
        <v>501</v>
      </c>
      <c r="AA3418" s="19" t="str">
        <f>VLOOKUP(D3418,Clientes!$A$2:$J$486,9,FALSE)</f>
        <v>Ocacional</v>
      </c>
      <c r="AB3418" s="13" t="str">
        <f>VLOOKUP(D3418,Clientes!$A$2:$K$486,11,FALSE)</f>
        <v>Persona Natural</v>
      </c>
      <c r="AC3418" s="13" t="str">
        <f>VLOOKUP(D3418,Clientes!$A$2:$B$486,2,FALSE)</f>
        <v>Santa Ines</v>
      </c>
      <c r="AD3418" s="20"/>
      <c r="AE3418" s="20"/>
      <c r="AF3418" s="13" t="s">
        <v>40</v>
      </c>
      <c r="AG3418" s="15">
        <v>45292</v>
      </c>
      <c r="AH3418" s="13" t="s">
        <v>41</v>
      </c>
      <c r="AI3418" s="13" t="s">
        <v>47</v>
      </c>
      <c r="AJ3418" s="13" t="str">
        <f>VLOOKUP(E3418,Precios!Z$2:AA$941,2,FALSE)</f>
        <v>Cera Incolora Brillina</v>
      </c>
      <c r="AK3418" s="14">
        <f>VLOOKUP(E3418,Precios!Z$2:BB$941,3,FALSE)*F3418</f>
        <v>-2</v>
      </c>
      <c r="AL3418" s="17"/>
      <c r="AM3418" s="17"/>
      <c r="AN3418" s="17"/>
      <c r="AO3418" s="17"/>
      <c r="AP3418" s="17"/>
      <c r="AQ3418" s="17"/>
      <c r="AR3418" s="17"/>
      <c r="AS3418" s="17"/>
      <c r="AT3418" s="17"/>
      <c r="AU3418" s="17"/>
      <c r="AV3418" s="17"/>
    </row>
    <row r="3419" spans="1:48" ht="15.75" customHeight="1">
      <c r="A3419" s="21" t="s">
        <v>43</v>
      </c>
      <c r="B3419" s="23" t="s">
        <v>1692</v>
      </c>
      <c r="C3419" s="22">
        <v>45675</v>
      </c>
      <c r="D3419" s="23" t="s">
        <v>774</v>
      </c>
      <c r="E3419" s="23" t="s">
        <v>45</v>
      </c>
      <c r="F3419" s="21">
        <v>1</v>
      </c>
      <c r="G3419" s="12">
        <v>6199.9861072520143</v>
      </c>
      <c r="H3419" s="12">
        <v>6199.9861072520143</v>
      </c>
      <c r="I3419" s="23" t="s">
        <v>52</v>
      </c>
      <c r="J3419" s="23" t="s">
        <v>61</v>
      </c>
      <c r="K3419" s="24" t="s">
        <v>177</v>
      </c>
      <c r="L3419" s="26">
        <v>91</v>
      </c>
      <c r="M3419" s="12">
        <v>5210.0723590353064</v>
      </c>
      <c r="N3419" s="11">
        <v>5210.0723590353064</v>
      </c>
      <c r="O3419" s="11">
        <v>989.91374821670797</v>
      </c>
      <c r="P3419" s="13"/>
      <c r="Q3419" s="14">
        <v>2025</v>
      </c>
      <c r="R3419" s="15">
        <v>45292</v>
      </c>
      <c r="S3419" s="11" t="s">
        <v>355</v>
      </c>
      <c r="T3419" s="16">
        <v>0</v>
      </c>
      <c r="U3419" s="17"/>
      <c r="V3419" s="12">
        <v>1459.862275001693</v>
      </c>
      <c r="W3419" s="12">
        <v>1459.862275001693</v>
      </c>
      <c r="X3419" s="12">
        <v>0</v>
      </c>
      <c r="Y3419" s="18">
        <v>45670</v>
      </c>
      <c r="Z3419" s="13" t="s">
        <v>501</v>
      </c>
      <c r="AA3419" s="19" t="str">
        <f>VLOOKUP(D3419,Clientes!$A$2:$J$486,9,FALSE)</f>
        <v>Ocacional</v>
      </c>
      <c r="AB3419" s="13" t="str">
        <f>VLOOKUP(D3419,Clientes!$A$2:$K$486,11,FALSE)</f>
        <v>Persona Natural</v>
      </c>
      <c r="AC3419" s="13" t="str">
        <f>VLOOKUP(D3419,Clientes!$A$2:$B$486,2,FALSE)</f>
        <v>Sector Santa Delia</v>
      </c>
      <c r="AD3419" s="20"/>
      <c r="AE3419" s="20"/>
      <c r="AF3419" s="13" t="s">
        <v>40</v>
      </c>
      <c r="AG3419" s="15">
        <v>45292</v>
      </c>
      <c r="AH3419" s="13" t="s">
        <v>41</v>
      </c>
      <c r="AI3419" s="13" t="s">
        <v>43</v>
      </c>
      <c r="AJ3419" s="13" t="str">
        <f>VLOOKUP(E3419,Precios!Z$2:AA$941,2,FALSE)</f>
        <v>Bandeja Huevos EXTRA</v>
      </c>
      <c r="AK3419" s="14">
        <f>VLOOKUP(E3419,Precios!Z$2:BB$941,3,FALSE)*F3419</f>
        <v>-1</v>
      </c>
      <c r="AL3419" s="17"/>
      <c r="AM3419" s="17"/>
      <c r="AN3419" s="17"/>
      <c r="AO3419" s="17"/>
      <c r="AP3419" s="17"/>
      <c r="AQ3419" s="17"/>
      <c r="AR3419" s="17"/>
      <c r="AS3419" s="17"/>
      <c r="AT3419" s="17"/>
      <c r="AU3419" s="17"/>
      <c r="AV3419" s="17"/>
    </row>
    <row r="3420" spans="1:48" ht="15.75" customHeight="1">
      <c r="A3420" s="21" t="s">
        <v>53</v>
      </c>
      <c r="B3420" s="23" t="s">
        <v>1692</v>
      </c>
      <c r="C3420" s="22">
        <v>45675</v>
      </c>
      <c r="D3420" s="23" t="s">
        <v>526</v>
      </c>
      <c r="E3420" s="23" t="s">
        <v>55</v>
      </c>
      <c r="F3420" s="21">
        <v>1</v>
      </c>
      <c r="G3420" s="12">
        <v>19989.738327347361</v>
      </c>
      <c r="H3420" s="12">
        <v>19989.738327347361</v>
      </c>
      <c r="I3420" s="23" t="s">
        <v>52</v>
      </c>
      <c r="J3420" s="13" t="s">
        <v>61</v>
      </c>
      <c r="K3420" s="24" t="s">
        <v>177</v>
      </c>
      <c r="L3420" s="26">
        <v>91</v>
      </c>
      <c r="M3420" s="12">
        <v>16798.099434745684</v>
      </c>
      <c r="N3420" s="11">
        <v>16798.099434745684</v>
      </c>
      <c r="O3420" s="11">
        <v>3191.6388926016771</v>
      </c>
      <c r="P3420" s="13"/>
      <c r="Q3420" s="14">
        <v>2025</v>
      </c>
      <c r="R3420" s="15">
        <v>45292</v>
      </c>
      <c r="S3420" s="11" t="s">
        <v>366</v>
      </c>
      <c r="T3420" s="16">
        <v>0</v>
      </c>
      <c r="U3420" s="17"/>
      <c r="V3420" s="12">
        <v>3702.3011154179476</v>
      </c>
      <c r="W3420" s="12">
        <v>3702.3011154179476</v>
      </c>
      <c r="X3420" s="12">
        <v>0</v>
      </c>
      <c r="Y3420" s="18">
        <v>45670</v>
      </c>
      <c r="Z3420" s="13" t="s">
        <v>501</v>
      </c>
      <c r="AA3420" s="19" t="str">
        <f>VLOOKUP(D3420,Clientes!$A$2:$J$486,9,FALSE)</f>
        <v>Ocacional</v>
      </c>
      <c r="AB3420" s="13" t="str">
        <f>VLOOKUP(D3420,Clientes!$A$2:$K$486,11,FALSE)</f>
        <v>Persona Natural</v>
      </c>
      <c r="AC3420" s="13" t="str">
        <f>VLOOKUP(D3420,Clientes!$A$2:$B$486,2,FALSE)</f>
        <v>Las Cumbres</v>
      </c>
      <c r="AD3420" s="20"/>
      <c r="AE3420" s="20"/>
      <c r="AF3420" s="13" t="s">
        <v>40</v>
      </c>
      <c r="AG3420" s="15">
        <v>45292</v>
      </c>
      <c r="AH3420" s="13" t="s">
        <v>41</v>
      </c>
      <c r="AI3420" s="13" t="s">
        <v>53</v>
      </c>
      <c r="AJ3420" s="13" t="str">
        <f>VLOOKUP(E3420,Precios!Z$2:AA$941,2,FALSE)</f>
        <v>Papel Higienico ELITE 50 metros</v>
      </c>
      <c r="AK3420" s="14">
        <f>VLOOKUP(E3420,Precios!Z$2:BB$941,3,FALSE)*F3420</f>
        <v>-8</v>
      </c>
      <c r="AL3420" s="17"/>
      <c r="AM3420" s="17"/>
      <c r="AN3420" s="17"/>
      <c r="AO3420" s="17"/>
      <c r="AP3420" s="17"/>
      <c r="AQ3420" s="17"/>
      <c r="AR3420" s="17"/>
      <c r="AS3420" s="17"/>
      <c r="AT3420" s="17"/>
      <c r="AU3420" s="17"/>
      <c r="AV3420" s="17"/>
    </row>
    <row r="3421" spans="1:48" ht="15.75" customHeight="1">
      <c r="A3421" s="21" t="s">
        <v>56</v>
      </c>
      <c r="B3421" s="23" t="s">
        <v>1692</v>
      </c>
      <c r="C3421" s="22">
        <v>45674</v>
      </c>
      <c r="D3421" s="23" t="s">
        <v>189</v>
      </c>
      <c r="E3421" s="23" t="s">
        <v>190</v>
      </c>
      <c r="F3421" s="21">
        <v>2</v>
      </c>
      <c r="G3421" s="12">
        <v>2500</v>
      </c>
      <c r="H3421" s="12">
        <v>5000</v>
      </c>
      <c r="I3421" s="23" t="s">
        <v>52</v>
      </c>
      <c r="J3421" s="23" t="s">
        <v>61</v>
      </c>
      <c r="K3421" s="24" t="s">
        <v>177</v>
      </c>
      <c r="L3421" s="26">
        <v>90</v>
      </c>
      <c r="M3421" s="12">
        <v>2100.840336134454</v>
      </c>
      <c r="N3421" s="11">
        <v>4201.680672268908</v>
      </c>
      <c r="O3421" s="11">
        <v>798.31932773109202</v>
      </c>
      <c r="P3421" s="13"/>
      <c r="Q3421" s="14">
        <v>2025</v>
      </c>
      <c r="R3421" s="15">
        <v>45292</v>
      </c>
      <c r="S3421" s="11" t="s">
        <v>492</v>
      </c>
      <c r="T3421" s="16">
        <v>400</v>
      </c>
      <c r="U3421" s="17"/>
      <c r="V3421" s="12">
        <v>1263.8655462184875</v>
      </c>
      <c r="W3421" s="12">
        <v>1263.8655462184875</v>
      </c>
      <c r="X3421" s="12">
        <v>0</v>
      </c>
      <c r="Y3421" s="18">
        <v>45670</v>
      </c>
      <c r="Z3421" s="13" t="s">
        <v>503</v>
      </c>
      <c r="AA3421" s="19" t="str">
        <f>VLOOKUP(D3421,Clientes!$A$2:$J$486,9,FALSE)</f>
        <v>Frecuente</v>
      </c>
      <c r="AB3421" s="13" t="str">
        <f>VLOOKUP(D3421,Clientes!$A$2:$K$486,11,FALSE)</f>
        <v>Persona Natural</v>
      </c>
      <c r="AC3421" s="13" t="str">
        <f>VLOOKUP(D3421,Clientes!$A$2:$B$486,2,FALSE)</f>
        <v>Jardines de la Viña</v>
      </c>
      <c r="AD3421" s="20"/>
      <c r="AE3421" s="20"/>
      <c r="AF3421" s="13" t="s">
        <v>40</v>
      </c>
      <c r="AG3421" s="15">
        <v>45292</v>
      </c>
      <c r="AH3421" s="13" t="s">
        <v>41</v>
      </c>
      <c r="AI3421" s="13" t="s">
        <v>56</v>
      </c>
      <c r="AJ3421" s="13" t="str">
        <f>VLOOKUP(E3421,Precios!Z$2:AA$941,2,FALSE)</f>
        <v>Mantequilla RUMAY</v>
      </c>
      <c r="AK3421" s="14">
        <f>VLOOKUP(E3421,Precios!Z$2:BB$941,3,FALSE)*F3421</f>
        <v>-2</v>
      </c>
      <c r="AL3421" s="17"/>
      <c r="AM3421" s="17"/>
      <c r="AN3421" s="17"/>
      <c r="AO3421" s="17"/>
      <c r="AP3421" s="17"/>
      <c r="AQ3421" s="17"/>
      <c r="AR3421" s="17"/>
      <c r="AS3421" s="17"/>
      <c r="AT3421" s="17"/>
      <c r="AU3421" s="17"/>
      <c r="AV3421" s="17"/>
    </row>
    <row r="3422" spans="1:48" ht="15.75" customHeight="1">
      <c r="A3422" s="21" t="s">
        <v>35</v>
      </c>
      <c r="B3422" s="23" t="s">
        <v>1692</v>
      </c>
      <c r="C3422" s="22">
        <v>45674</v>
      </c>
      <c r="D3422" s="23" t="s">
        <v>189</v>
      </c>
      <c r="E3422" s="23" t="s">
        <v>46</v>
      </c>
      <c r="F3422" s="21">
        <v>1</v>
      </c>
      <c r="G3422" s="12">
        <v>5500</v>
      </c>
      <c r="H3422" s="12">
        <v>5500</v>
      </c>
      <c r="I3422" s="23" t="s">
        <v>52</v>
      </c>
      <c r="J3422" s="23" t="s">
        <v>61</v>
      </c>
      <c r="K3422" s="24" t="s">
        <v>177</v>
      </c>
      <c r="L3422" s="26">
        <v>90</v>
      </c>
      <c r="M3422" s="12">
        <v>4621.8487394957983</v>
      </c>
      <c r="N3422" s="11">
        <v>4621.8487394957983</v>
      </c>
      <c r="O3422" s="11">
        <v>878.15126050420167</v>
      </c>
      <c r="P3422" s="13"/>
      <c r="Q3422" s="14">
        <v>2025</v>
      </c>
      <c r="R3422" s="15">
        <v>45292</v>
      </c>
      <c r="S3422" s="11" t="s">
        <v>364</v>
      </c>
      <c r="T3422" s="16">
        <v>500</v>
      </c>
      <c r="U3422" s="17"/>
      <c r="V3422" s="12">
        <v>1365.1260504201678</v>
      </c>
      <c r="W3422" s="12">
        <v>1365.1260504201678</v>
      </c>
      <c r="X3422" s="12">
        <v>0</v>
      </c>
      <c r="Y3422" s="18">
        <v>45670</v>
      </c>
      <c r="Z3422" s="13" t="s">
        <v>503</v>
      </c>
      <c r="AA3422" s="19" t="str">
        <f>VLOOKUP(D3422,Clientes!$A$2:$J$486,9,FALSE)</f>
        <v>Frecuente</v>
      </c>
      <c r="AB3422" s="13" t="str">
        <f>VLOOKUP(D3422,Clientes!$A$2:$K$486,11,FALSE)</f>
        <v>Persona Natural</v>
      </c>
      <c r="AC3422" s="13" t="str">
        <f>VLOOKUP(D3422,Clientes!$A$2:$B$486,2,FALSE)</f>
        <v>Jardines de la Viña</v>
      </c>
      <c r="AD3422" s="20"/>
      <c r="AE3422" s="20"/>
      <c r="AF3422" s="13" t="s">
        <v>40</v>
      </c>
      <c r="AG3422" s="15">
        <v>45292</v>
      </c>
      <c r="AH3422" s="13" t="s">
        <v>41</v>
      </c>
      <c r="AI3422" s="13" t="s">
        <v>35</v>
      </c>
      <c r="AJ3422" s="13" t="str">
        <f>VLOOKUP(E3422,Precios!Z$2:AA$941,2,FALSE)</f>
        <v>Queso RUNCA Mantecoso</v>
      </c>
      <c r="AK3422" s="14">
        <f>VLOOKUP(E3422,Precios!Z$2:BB$941,3,FALSE)*F3422</f>
        <v>-0.5</v>
      </c>
      <c r="AL3422" s="17"/>
      <c r="AM3422" s="17"/>
      <c r="AN3422" s="17"/>
      <c r="AO3422" s="17"/>
      <c r="AP3422" s="17"/>
      <c r="AQ3422" s="17"/>
      <c r="AR3422" s="17"/>
      <c r="AS3422" s="17"/>
      <c r="AT3422" s="17"/>
      <c r="AU3422" s="17"/>
      <c r="AV3422" s="17"/>
    </row>
    <row r="3423" spans="1:48" ht="15.75" customHeight="1">
      <c r="A3423" s="21" t="s">
        <v>76</v>
      </c>
      <c r="B3423" s="23" t="s">
        <v>1692</v>
      </c>
      <c r="C3423" s="22">
        <v>45674</v>
      </c>
      <c r="D3423" s="23" t="s">
        <v>301</v>
      </c>
      <c r="E3423" s="23" t="s">
        <v>137</v>
      </c>
      <c r="F3423" s="21">
        <v>1</v>
      </c>
      <c r="G3423" s="12">
        <v>3500.0000000000005</v>
      </c>
      <c r="H3423" s="12">
        <v>3500.0000000000005</v>
      </c>
      <c r="I3423" s="23" t="s">
        <v>52</v>
      </c>
      <c r="J3423" s="23" t="s">
        <v>61</v>
      </c>
      <c r="K3423" s="24" t="s">
        <v>177</v>
      </c>
      <c r="L3423" s="26">
        <v>90</v>
      </c>
      <c r="M3423" s="12">
        <v>2941.1764705882356</v>
      </c>
      <c r="N3423" s="11">
        <v>2941.1764705882356</v>
      </c>
      <c r="O3423" s="11">
        <v>558.82352941176487</v>
      </c>
      <c r="P3423" s="13"/>
      <c r="Q3423" s="14">
        <v>2025</v>
      </c>
      <c r="R3423" s="15">
        <v>45292</v>
      </c>
      <c r="S3423" s="11" t="s">
        <v>406</v>
      </c>
      <c r="T3423" s="16">
        <v>5</v>
      </c>
      <c r="U3423" s="17"/>
      <c r="V3423" s="12">
        <v>848.73949579831969</v>
      </c>
      <c r="W3423" s="12">
        <v>848.73949579831969</v>
      </c>
      <c r="X3423" s="12">
        <v>0</v>
      </c>
      <c r="Y3423" s="18">
        <v>45670</v>
      </c>
      <c r="Z3423" s="13" t="s">
        <v>503</v>
      </c>
      <c r="AA3423" s="19" t="str">
        <f>VLOOKUP(D3423,Clientes!$A$2:$J$486,9,FALSE)</f>
        <v>Regular</v>
      </c>
      <c r="AB3423" s="13" t="str">
        <f>VLOOKUP(D3423,Clientes!$A$2:$K$486,11,FALSE)</f>
        <v>Persona Natural</v>
      </c>
      <c r="AC3423" s="13" t="str">
        <f>VLOOKUP(D3423,Clientes!$A$2:$B$486,2,FALSE)</f>
        <v>Sector Chilcas</v>
      </c>
      <c r="AD3423" s="20"/>
      <c r="AE3423" s="20"/>
      <c r="AF3423" s="13" t="s">
        <v>40</v>
      </c>
      <c r="AG3423" s="15">
        <v>45292</v>
      </c>
      <c r="AH3423" s="13" t="s">
        <v>41</v>
      </c>
      <c r="AI3423" s="13" t="s">
        <v>76</v>
      </c>
      <c r="AJ3423" s="13" t="str">
        <f>VLOOKUP(E3423,Precios!Z$2:AA$941,2,FALSE)</f>
        <v>Detergente SPUM 5 Litros (Blanco)</v>
      </c>
      <c r="AK3423" s="14">
        <f>VLOOKUP(E3423,Precios!Z$2:BB$941,3,FALSE)*F3423</f>
        <v>-1</v>
      </c>
      <c r="AL3423" s="17"/>
      <c r="AM3423" s="17"/>
      <c r="AN3423" s="17"/>
      <c r="AO3423" s="17"/>
      <c r="AP3423" s="17"/>
      <c r="AQ3423" s="17"/>
      <c r="AR3423" s="17"/>
      <c r="AS3423" s="17"/>
      <c r="AT3423" s="17"/>
      <c r="AU3423" s="17"/>
      <c r="AV3423" s="17"/>
    </row>
    <row r="3424" spans="1:48" ht="15.75" customHeight="1">
      <c r="A3424" s="21" t="s">
        <v>76</v>
      </c>
      <c r="B3424" s="23" t="s">
        <v>1692</v>
      </c>
      <c r="C3424" s="22">
        <v>45674</v>
      </c>
      <c r="D3424" s="23" t="s">
        <v>301</v>
      </c>
      <c r="E3424" s="23" t="s">
        <v>82</v>
      </c>
      <c r="F3424" s="21">
        <v>1</v>
      </c>
      <c r="G3424" s="12">
        <v>2000.0000000000002</v>
      </c>
      <c r="H3424" s="12">
        <v>2000.0000000000002</v>
      </c>
      <c r="I3424" s="23" t="s">
        <v>52</v>
      </c>
      <c r="J3424" s="23" t="s">
        <v>61</v>
      </c>
      <c r="K3424" s="24" t="s">
        <v>177</v>
      </c>
      <c r="L3424" s="26">
        <v>90</v>
      </c>
      <c r="M3424" s="12">
        <v>1680.6722689075632</v>
      </c>
      <c r="N3424" s="11">
        <v>1680.6722689075632</v>
      </c>
      <c r="O3424" s="11">
        <v>319.32773109243703</v>
      </c>
      <c r="P3424" s="13"/>
      <c r="Q3424" s="14">
        <v>2025</v>
      </c>
      <c r="R3424" s="15">
        <v>45292</v>
      </c>
      <c r="S3424" s="11" t="s">
        <v>463</v>
      </c>
      <c r="T3424" s="16">
        <v>5</v>
      </c>
      <c r="U3424" s="17"/>
      <c r="V3424" s="12">
        <v>680.67226890756319</v>
      </c>
      <c r="W3424" s="12">
        <v>680.67226890756319</v>
      </c>
      <c r="X3424" s="12">
        <v>0</v>
      </c>
      <c r="Y3424" s="18">
        <v>45670</v>
      </c>
      <c r="Z3424" s="13" t="s">
        <v>503</v>
      </c>
      <c r="AA3424" s="19" t="str">
        <f>VLOOKUP(D3424,Clientes!$A$2:$J$486,9,FALSE)</f>
        <v>Regular</v>
      </c>
      <c r="AB3424" s="13" t="str">
        <f>VLOOKUP(D3424,Clientes!$A$2:$K$486,11,FALSE)</f>
        <v>Persona Natural</v>
      </c>
      <c r="AC3424" s="13" t="str">
        <f>VLOOKUP(D3424,Clientes!$A$2:$B$486,2,FALSE)</f>
        <v>Sector Chilcas</v>
      </c>
      <c r="AD3424" s="20"/>
      <c r="AE3424" s="20"/>
      <c r="AF3424" s="13" t="s">
        <v>40</v>
      </c>
      <c r="AG3424" s="15">
        <v>45292</v>
      </c>
      <c r="AH3424" s="13" t="s">
        <v>41</v>
      </c>
      <c r="AI3424" s="13" t="s">
        <v>76</v>
      </c>
      <c r="AJ3424" s="13" t="str">
        <f>VLOOKUP(E3424,Precios!Z$2:AA$941,2,FALSE)</f>
        <v>Limpiapiso SPUM 5 Litros</v>
      </c>
      <c r="AK3424" s="14">
        <f>VLOOKUP(E3424,Precios!Z$2:BB$941,3,FALSE)*F3424</f>
        <v>-1</v>
      </c>
      <c r="AL3424" s="17"/>
      <c r="AM3424" s="17"/>
      <c r="AN3424" s="17"/>
      <c r="AO3424" s="17"/>
      <c r="AP3424" s="17"/>
      <c r="AQ3424" s="17"/>
      <c r="AR3424" s="17"/>
      <c r="AS3424" s="17"/>
      <c r="AT3424" s="17"/>
      <c r="AU3424" s="17"/>
      <c r="AV3424" s="17"/>
    </row>
    <row r="3425" spans="1:48" ht="15.75" customHeight="1">
      <c r="A3425" s="21" t="s">
        <v>35</v>
      </c>
      <c r="B3425" s="23" t="s">
        <v>1692</v>
      </c>
      <c r="C3425" s="22">
        <v>45674</v>
      </c>
      <c r="D3425" s="23" t="s">
        <v>125</v>
      </c>
      <c r="E3425" s="23" t="s">
        <v>46</v>
      </c>
      <c r="F3425" s="21">
        <v>1</v>
      </c>
      <c r="G3425" s="12">
        <v>5500</v>
      </c>
      <c r="H3425" s="12">
        <v>5500</v>
      </c>
      <c r="I3425" s="23" t="s">
        <v>52</v>
      </c>
      <c r="J3425" s="23" t="s">
        <v>61</v>
      </c>
      <c r="K3425" s="24" t="s">
        <v>177</v>
      </c>
      <c r="L3425" s="26">
        <v>90</v>
      </c>
      <c r="M3425" s="12">
        <v>4621.8487394957983</v>
      </c>
      <c r="N3425" s="11">
        <v>4621.8487394957983</v>
      </c>
      <c r="O3425" s="11">
        <v>878.15126050420167</v>
      </c>
      <c r="P3425" s="13"/>
      <c r="Q3425" s="14">
        <v>2025</v>
      </c>
      <c r="R3425" s="15">
        <v>45292</v>
      </c>
      <c r="S3425" s="11" t="s">
        <v>364</v>
      </c>
      <c r="T3425" s="16">
        <v>500</v>
      </c>
      <c r="U3425" s="17"/>
      <c r="V3425" s="12">
        <v>1365.1260504201678</v>
      </c>
      <c r="W3425" s="12">
        <v>1365.1260504201678</v>
      </c>
      <c r="X3425" s="12">
        <v>0</v>
      </c>
      <c r="Y3425" s="18">
        <v>45670</v>
      </c>
      <c r="Z3425" s="13" t="s">
        <v>503</v>
      </c>
      <c r="AA3425" s="19" t="str">
        <f>VLOOKUP(D3425,Clientes!$A$2:$J$486,9,FALSE)</f>
        <v>Frecuente</v>
      </c>
      <c r="AB3425" s="13" t="str">
        <f>VLOOKUP(D3425,Clientes!$A$2:$K$486,11,FALSE)</f>
        <v>Persona Natural</v>
      </c>
      <c r="AC3425" s="13" t="str">
        <f>VLOOKUP(D3425,Clientes!$A$2:$B$486,2,FALSE)</f>
        <v>Jardines de la Viña</v>
      </c>
      <c r="AD3425" s="20"/>
      <c r="AE3425" s="20"/>
      <c r="AF3425" s="13" t="s">
        <v>40</v>
      </c>
      <c r="AG3425" s="15">
        <v>45292</v>
      </c>
      <c r="AH3425" s="13" t="s">
        <v>41</v>
      </c>
      <c r="AI3425" s="13" t="s">
        <v>35</v>
      </c>
      <c r="AJ3425" s="13" t="str">
        <f>VLOOKUP(E3425,Precios!Z$2:AA$941,2,FALSE)</f>
        <v>Queso RUNCA Mantecoso</v>
      </c>
      <c r="AK3425" s="14">
        <f>VLOOKUP(E3425,Precios!Z$2:BB$941,3,FALSE)*F3425</f>
        <v>-0.5</v>
      </c>
      <c r="AL3425" s="17"/>
      <c r="AM3425" s="17"/>
      <c r="AN3425" s="17"/>
      <c r="AO3425" s="17"/>
      <c r="AP3425" s="17"/>
      <c r="AQ3425" s="17"/>
      <c r="AR3425" s="17"/>
      <c r="AS3425" s="17"/>
      <c r="AT3425" s="17"/>
      <c r="AU3425" s="17"/>
      <c r="AV3425" s="17"/>
    </row>
    <row r="3426" spans="1:48" ht="15.75" customHeight="1">
      <c r="A3426" s="21" t="s">
        <v>76</v>
      </c>
      <c r="B3426" s="23" t="s">
        <v>1692</v>
      </c>
      <c r="C3426" s="22">
        <v>45674</v>
      </c>
      <c r="D3426" s="23" t="s">
        <v>80</v>
      </c>
      <c r="E3426" s="23" t="s">
        <v>349</v>
      </c>
      <c r="F3426" s="21">
        <v>2</v>
      </c>
      <c r="G3426" s="12">
        <v>3999.8127946357149</v>
      </c>
      <c r="H3426" s="12">
        <v>7999.6255892714298</v>
      </c>
      <c r="I3426" s="23" t="s">
        <v>52</v>
      </c>
      <c r="J3426" s="23" t="s">
        <v>61</v>
      </c>
      <c r="K3426" s="24" t="s">
        <v>177</v>
      </c>
      <c r="L3426" s="26">
        <v>90</v>
      </c>
      <c r="M3426" s="12">
        <v>3361.1872223829537</v>
      </c>
      <c r="N3426" s="11">
        <v>6722.3744447659074</v>
      </c>
      <c r="O3426" s="11">
        <v>1277.2511445055225</v>
      </c>
      <c r="P3426" s="13"/>
      <c r="Q3426" s="14">
        <v>2025</v>
      </c>
      <c r="R3426" s="15">
        <v>45292</v>
      </c>
      <c r="S3426" s="11" t="s">
        <v>550</v>
      </c>
      <c r="T3426" s="16">
        <v>10</v>
      </c>
      <c r="U3426" s="17"/>
      <c r="V3426" s="12">
        <v>2772.3744447659074</v>
      </c>
      <c r="W3426" s="12">
        <v>2772.3744447659074</v>
      </c>
      <c r="X3426" s="12">
        <v>0</v>
      </c>
      <c r="Y3426" s="18">
        <v>45670</v>
      </c>
      <c r="Z3426" s="13" t="s">
        <v>503</v>
      </c>
      <c r="AA3426" s="19" t="str">
        <f>VLOOKUP(D3426,Clientes!$A$2:$J$486,9,FALSE)</f>
        <v>Frecuente</v>
      </c>
      <c r="AB3426" s="13" t="str">
        <f>VLOOKUP(D3426,Clientes!$A$2:$K$486,11,FALSE)</f>
        <v>Persona Natural</v>
      </c>
      <c r="AC3426" s="13" t="str">
        <f>VLOOKUP(D3426,Clientes!$A$2:$B$486,2,FALSE)</f>
        <v>Jardines de la Viña</v>
      </c>
      <c r="AD3426" s="20"/>
      <c r="AE3426" s="20"/>
      <c r="AF3426" s="13" t="s">
        <v>40</v>
      </c>
      <c r="AG3426" s="15">
        <v>45292</v>
      </c>
      <c r="AH3426" s="13" t="s">
        <v>41</v>
      </c>
      <c r="AI3426" s="13" t="s">
        <v>76</v>
      </c>
      <c r="AJ3426" s="13" t="str">
        <f>VLOOKUP(E3426,Precios!Z$2:AA$941,2,FALSE)</f>
        <v>Antigrasa SPUM 5 Litros</v>
      </c>
      <c r="AK3426" s="14">
        <f>VLOOKUP(E3426,Precios!Z$2:BB$941,3,FALSE)*F3426</f>
        <v>-2</v>
      </c>
      <c r="AL3426" s="17"/>
      <c r="AM3426" s="17"/>
      <c r="AN3426" s="17"/>
      <c r="AO3426" s="17"/>
      <c r="AP3426" s="17"/>
      <c r="AQ3426" s="17"/>
      <c r="AR3426" s="17"/>
      <c r="AS3426" s="17"/>
      <c r="AT3426" s="17"/>
      <c r="AU3426" s="17"/>
      <c r="AV3426" s="17"/>
    </row>
    <row r="3427" spans="1:48" ht="15.75" customHeight="1">
      <c r="A3427" s="21" t="s">
        <v>43</v>
      </c>
      <c r="B3427" s="23" t="s">
        <v>1692</v>
      </c>
      <c r="C3427" s="22">
        <v>45674</v>
      </c>
      <c r="D3427" s="23" t="s">
        <v>292</v>
      </c>
      <c r="E3427" s="23" t="s">
        <v>45</v>
      </c>
      <c r="F3427" s="21">
        <v>1</v>
      </c>
      <c r="G3427" s="12">
        <v>6199.9861072520143</v>
      </c>
      <c r="H3427" s="12">
        <v>6199.9861072520143</v>
      </c>
      <c r="I3427" s="23" t="s">
        <v>52</v>
      </c>
      <c r="J3427" s="23" t="s">
        <v>61</v>
      </c>
      <c r="K3427" s="24" t="s">
        <v>177</v>
      </c>
      <c r="L3427" s="26">
        <v>90</v>
      </c>
      <c r="M3427" s="12">
        <v>5210.0723590353064</v>
      </c>
      <c r="N3427" s="11">
        <v>5210.0723590353064</v>
      </c>
      <c r="O3427" s="11">
        <v>989.91374821670797</v>
      </c>
      <c r="P3427" s="13"/>
      <c r="Q3427" s="14">
        <v>2025</v>
      </c>
      <c r="R3427" s="15">
        <v>45292</v>
      </c>
      <c r="S3427" s="11" t="s">
        <v>355</v>
      </c>
      <c r="T3427" s="16">
        <v>0</v>
      </c>
      <c r="U3427" s="17"/>
      <c r="V3427" s="12">
        <v>1459.862275001693</v>
      </c>
      <c r="W3427" s="12">
        <v>1459.862275001693</v>
      </c>
      <c r="X3427" s="12">
        <v>0</v>
      </c>
      <c r="Y3427" s="18">
        <v>45670</v>
      </c>
      <c r="Z3427" s="13" t="s">
        <v>503</v>
      </c>
      <c r="AA3427" s="19" t="str">
        <f>VLOOKUP(D3427,Clientes!$A$2:$J$486,9,FALSE)</f>
        <v>Regular</v>
      </c>
      <c r="AB3427" s="13" t="str">
        <f>VLOOKUP(D3427,Clientes!$A$2:$K$486,11,FALSE)</f>
        <v>Persona Natural</v>
      </c>
      <c r="AC3427" s="13" t="str">
        <f>VLOOKUP(D3427,Clientes!$A$2:$B$486,2,FALSE)</f>
        <v>Jardines de la viña</v>
      </c>
      <c r="AD3427" s="20"/>
      <c r="AE3427" s="20"/>
      <c r="AF3427" s="13" t="s">
        <v>40</v>
      </c>
      <c r="AG3427" s="15">
        <v>45292</v>
      </c>
      <c r="AH3427" s="13" t="s">
        <v>41</v>
      </c>
      <c r="AI3427" s="13" t="s">
        <v>43</v>
      </c>
      <c r="AJ3427" s="13" t="str">
        <f>VLOOKUP(E3427,Precios!Z$2:AA$941,2,FALSE)</f>
        <v>Bandeja Huevos EXTRA</v>
      </c>
      <c r="AK3427" s="14">
        <f>VLOOKUP(E3427,Precios!Z$2:BB$941,3,FALSE)*F3427</f>
        <v>-1</v>
      </c>
      <c r="AL3427" s="17"/>
      <c r="AM3427" s="17"/>
      <c r="AN3427" s="17"/>
      <c r="AO3427" s="17"/>
      <c r="AP3427" s="17"/>
      <c r="AQ3427" s="17"/>
      <c r="AR3427" s="17"/>
      <c r="AS3427" s="17"/>
      <c r="AT3427" s="17"/>
      <c r="AU3427" s="17"/>
      <c r="AV3427" s="17"/>
    </row>
    <row r="3428" spans="1:48" ht="15.75" customHeight="1">
      <c r="A3428" s="21" t="s">
        <v>53</v>
      </c>
      <c r="B3428" s="23" t="s">
        <v>1692</v>
      </c>
      <c r="C3428" s="22">
        <v>45674</v>
      </c>
      <c r="D3428" s="23" t="s">
        <v>775</v>
      </c>
      <c r="E3428" s="23" t="s">
        <v>243</v>
      </c>
      <c r="F3428" s="21">
        <v>1</v>
      </c>
      <c r="G3428" s="12">
        <v>14500.068577698534</v>
      </c>
      <c r="H3428" s="12">
        <v>14500.068577698534</v>
      </c>
      <c r="I3428" s="23" t="s">
        <v>52</v>
      </c>
      <c r="J3428" s="23" t="s">
        <v>61</v>
      </c>
      <c r="K3428" s="24" t="s">
        <v>177</v>
      </c>
      <c r="L3428" s="26">
        <v>90</v>
      </c>
      <c r="M3428" s="12">
        <v>12184.931577897929</v>
      </c>
      <c r="N3428" s="11">
        <v>12184.931577897929</v>
      </c>
      <c r="O3428" s="11">
        <v>2315.1369998006048</v>
      </c>
      <c r="P3428" s="13"/>
      <c r="Q3428" s="14">
        <v>2025</v>
      </c>
      <c r="R3428" s="15">
        <v>45292</v>
      </c>
      <c r="S3428" s="11" t="s">
        <v>435</v>
      </c>
      <c r="T3428" s="16">
        <v>0</v>
      </c>
      <c r="U3428" s="17"/>
      <c r="V3428" s="12">
        <v>3300.897964452548</v>
      </c>
      <c r="W3428" s="12">
        <v>3300.897964452548</v>
      </c>
      <c r="X3428" s="12">
        <v>0</v>
      </c>
      <c r="Y3428" s="18">
        <v>45670</v>
      </c>
      <c r="Z3428" s="13" t="s">
        <v>503</v>
      </c>
      <c r="AA3428" s="19" t="str">
        <f>VLOOKUP(D3428,Clientes!$A$2:$J$486,9,FALSE)</f>
        <v>Ocacional</v>
      </c>
      <c r="AB3428" s="13" t="str">
        <f>VLOOKUP(D3428,Clientes!$A$2:$K$486,11,FALSE)</f>
        <v>Persona Natural</v>
      </c>
      <c r="AC3428" s="13" t="str">
        <f>VLOOKUP(D3428,Clientes!$A$2:$B$486,2,FALSE)</f>
        <v>Antilhue Emprende</v>
      </c>
      <c r="AD3428" s="20"/>
      <c r="AE3428" s="20"/>
      <c r="AF3428" s="13" t="s">
        <v>40</v>
      </c>
      <c r="AG3428" s="15">
        <v>45292</v>
      </c>
      <c r="AH3428" s="13" t="s">
        <v>41</v>
      </c>
      <c r="AI3428" s="13" t="s">
        <v>53</v>
      </c>
      <c r="AJ3428" s="13" t="str">
        <f>VLOOKUP(E3428,Precios!Z$2:AA$941,2,FALSE)</f>
        <v>Papel Higienico SWAN 50 metros</v>
      </c>
      <c r="AK3428" s="14">
        <f>VLOOKUP(E3428,Precios!Z$2:BB$941,3,FALSE)*F3428</f>
        <v>-6</v>
      </c>
      <c r="AL3428" s="17"/>
      <c r="AM3428" s="17"/>
      <c r="AN3428" s="17"/>
      <c r="AO3428" s="17"/>
      <c r="AP3428" s="17"/>
      <c r="AQ3428" s="17"/>
      <c r="AR3428" s="17"/>
      <c r="AS3428" s="17"/>
      <c r="AT3428" s="17"/>
      <c r="AU3428" s="17"/>
      <c r="AV3428" s="17"/>
    </row>
    <row r="3429" spans="1:48" ht="15.75" customHeight="1">
      <c r="A3429" s="21" t="s">
        <v>53</v>
      </c>
      <c r="B3429" s="23" t="s">
        <v>1692</v>
      </c>
      <c r="C3429" s="22">
        <v>45674</v>
      </c>
      <c r="D3429" s="23" t="s">
        <v>775</v>
      </c>
      <c r="E3429" s="23" t="s">
        <v>69</v>
      </c>
      <c r="F3429" s="21">
        <v>1</v>
      </c>
      <c r="G3429" s="12">
        <v>2999.9553810458683</v>
      </c>
      <c r="H3429" s="12">
        <v>2999.9553810458683</v>
      </c>
      <c r="I3429" s="23" t="s">
        <v>52</v>
      </c>
      <c r="J3429" s="23" t="s">
        <v>61</v>
      </c>
      <c r="K3429" s="24" t="s">
        <v>177</v>
      </c>
      <c r="L3429" s="26">
        <v>90</v>
      </c>
      <c r="M3429" s="12">
        <v>2520.9709084419064</v>
      </c>
      <c r="N3429" s="11">
        <v>2520.9709084419064</v>
      </c>
      <c r="O3429" s="11">
        <v>478.98447260396188</v>
      </c>
      <c r="P3429" s="13"/>
      <c r="Q3429" s="14">
        <v>2025</v>
      </c>
      <c r="R3429" s="15">
        <v>45292</v>
      </c>
      <c r="S3429" s="11" t="s">
        <v>376</v>
      </c>
      <c r="T3429" s="16">
        <v>0</v>
      </c>
      <c r="U3429" s="17"/>
      <c r="V3429" s="12">
        <v>825.97090844190598</v>
      </c>
      <c r="W3429" s="12">
        <v>825.97090844190598</v>
      </c>
      <c r="X3429" s="12">
        <v>0</v>
      </c>
      <c r="Y3429" s="18">
        <v>45670</v>
      </c>
      <c r="Z3429" s="13" t="s">
        <v>503</v>
      </c>
      <c r="AA3429" s="19" t="str">
        <f>VLOOKUP(D3429,Clientes!$A$2:$J$486,9,FALSE)</f>
        <v>Ocacional</v>
      </c>
      <c r="AB3429" s="13" t="str">
        <f>VLOOKUP(D3429,Clientes!$A$2:$K$486,11,FALSE)</f>
        <v>Persona Natural</v>
      </c>
      <c r="AC3429" s="13" t="str">
        <f>VLOOKUP(D3429,Clientes!$A$2:$B$486,2,FALSE)</f>
        <v>Antilhue Emprende</v>
      </c>
      <c r="AD3429" s="20"/>
      <c r="AE3429" s="20"/>
      <c r="AF3429" s="13" t="s">
        <v>40</v>
      </c>
      <c r="AG3429" s="15">
        <v>45292</v>
      </c>
      <c r="AH3429" s="13" t="s">
        <v>41</v>
      </c>
      <c r="AI3429" s="13" t="s">
        <v>53</v>
      </c>
      <c r="AJ3429" s="13" t="str">
        <f>VLOOKUP(E3429,Precios!Z$2:AA$941,2,FALSE)</f>
        <v>Toalla Papel NOVA 70 metros</v>
      </c>
      <c r="AK3429" s="14">
        <f>VLOOKUP(E3429,Precios!Z$2:BB$941,3,FALSE)*F3429</f>
        <v>-1</v>
      </c>
      <c r="AL3429" s="17"/>
      <c r="AM3429" s="17"/>
      <c r="AN3429" s="17"/>
      <c r="AO3429" s="17"/>
      <c r="AP3429" s="17"/>
      <c r="AQ3429" s="17"/>
      <c r="AR3429" s="17"/>
      <c r="AS3429" s="17"/>
      <c r="AT3429" s="17"/>
      <c r="AU3429" s="17"/>
      <c r="AV3429" s="17"/>
    </row>
    <row r="3430" spans="1:48" ht="15.75" customHeight="1">
      <c r="A3430" s="21" t="s">
        <v>47</v>
      </c>
      <c r="B3430" s="23" t="s">
        <v>1692</v>
      </c>
      <c r="C3430" s="22">
        <v>45674</v>
      </c>
      <c r="D3430" s="23" t="s">
        <v>775</v>
      </c>
      <c r="E3430" s="23" t="s">
        <v>94</v>
      </c>
      <c r="F3430" s="21">
        <v>2</v>
      </c>
      <c r="G3430" s="12">
        <v>1650.3649635036495</v>
      </c>
      <c r="H3430" s="12">
        <v>3300.729927007299</v>
      </c>
      <c r="I3430" s="23" t="s">
        <v>52</v>
      </c>
      <c r="J3430" s="23" t="s">
        <v>61</v>
      </c>
      <c r="K3430" s="24" t="s">
        <v>177</v>
      </c>
      <c r="L3430" s="26">
        <v>90</v>
      </c>
      <c r="M3430" s="12">
        <v>1386.861313868613</v>
      </c>
      <c r="N3430" s="11">
        <v>2773.722627737226</v>
      </c>
      <c r="O3430" s="11">
        <v>527.00729927007296</v>
      </c>
      <c r="P3430" s="13"/>
      <c r="Q3430" s="14">
        <v>2025</v>
      </c>
      <c r="R3430" s="15">
        <v>45292</v>
      </c>
      <c r="S3430" s="11" t="s">
        <v>384</v>
      </c>
      <c r="T3430" s="16">
        <v>0</v>
      </c>
      <c r="U3430" s="17"/>
      <c r="V3430" s="12">
        <v>873.72262773722605</v>
      </c>
      <c r="W3430" s="12">
        <v>873.72262773722605</v>
      </c>
      <c r="X3430" s="12">
        <v>0</v>
      </c>
      <c r="Y3430" s="18">
        <v>45670</v>
      </c>
      <c r="Z3430" s="13" t="s">
        <v>503</v>
      </c>
      <c r="AA3430" s="19" t="str">
        <f>VLOOKUP(D3430,Clientes!$A$2:$J$486,9,FALSE)</f>
        <v>Ocacional</v>
      </c>
      <c r="AB3430" s="13" t="str">
        <f>VLOOKUP(D3430,Clientes!$A$2:$K$486,11,FALSE)</f>
        <v>Persona Natural</v>
      </c>
      <c r="AC3430" s="13" t="str">
        <f>VLOOKUP(D3430,Clientes!$A$2:$B$486,2,FALSE)</f>
        <v>Antilhue Emprende</v>
      </c>
      <c r="AD3430" s="20"/>
      <c r="AE3430" s="20"/>
      <c r="AF3430" s="13" t="s">
        <v>40</v>
      </c>
      <c r="AG3430" s="15">
        <v>45292</v>
      </c>
      <c r="AH3430" s="13" t="s">
        <v>41</v>
      </c>
      <c r="AI3430" s="13" t="s">
        <v>47</v>
      </c>
      <c r="AJ3430" s="13" t="str">
        <f>VLOOKUP(E3430,Precios!Z$2:AA$941,2,FALSE)</f>
        <v>Jabón Lìquido BALLERINA</v>
      </c>
      <c r="AK3430" s="14">
        <f>VLOOKUP(E3430,Precios!Z$2:BB$941,3,FALSE)*F3430</f>
        <v>-6</v>
      </c>
      <c r="AL3430" s="17"/>
      <c r="AM3430" s="17"/>
      <c r="AN3430" s="17"/>
      <c r="AO3430" s="17"/>
      <c r="AP3430" s="17"/>
      <c r="AQ3430" s="17"/>
      <c r="AR3430" s="17"/>
      <c r="AS3430" s="17"/>
      <c r="AT3430" s="17"/>
      <c r="AU3430" s="17"/>
      <c r="AV3430" s="17"/>
    </row>
    <row r="3431" spans="1:48" ht="15.75" customHeight="1">
      <c r="A3431" s="21" t="s">
        <v>76</v>
      </c>
      <c r="B3431" s="23" t="s">
        <v>1692</v>
      </c>
      <c r="C3431" s="22">
        <v>45674</v>
      </c>
      <c r="D3431" s="23" t="s">
        <v>775</v>
      </c>
      <c r="E3431" s="23" t="s">
        <v>349</v>
      </c>
      <c r="F3431" s="21">
        <v>1</v>
      </c>
      <c r="G3431" s="12">
        <v>3999.8127946357149</v>
      </c>
      <c r="H3431" s="12">
        <v>3999.8127946357149</v>
      </c>
      <c r="I3431" s="23" t="s">
        <v>52</v>
      </c>
      <c r="J3431" s="23" t="s">
        <v>61</v>
      </c>
      <c r="K3431" s="24" t="s">
        <v>177</v>
      </c>
      <c r="L3431" s="26">
        <v>90</v>
      </c>
      <c r="M3431" s="12">
        <v>3361.1872223829537</v>
      </c>
      <c r="N3431" s="11">
        <v>3361.1872223829537</v>
      </c>
      <c r="O3431" s="11">
        <v>638.62557225276123</v>
      </c>
      <c r="P3431" s="13"/>
      <c r="Q3431" s="14">
        <v>2025</v>
      </c>
      <c r="R3431" s="15">
        <v>45292</v>
      </c>
      <c r="S3431" s="11" t="s">
        <v>550</v>
      </c>
      <c r="T3431" s="16">
        <v>5</v>
      </c>
      <c r="U3431" s="17"/>
      <c r="V3431" s="12">
        <v>1386.1872223829537</v>
      </c>
      <c r="W3431" s="12">
        <v>1386.1872223829537</v>
      </c>
      <c r="X3431" s="12">
        <v>0</v>
      </c>
      <c r="Y3431" s="18">
        <v>45670</v>
      </c>
      <c r="Z3431" s="13" t="s">
        <v>503</v>
      </c>
      <c r="AA3431" s="19" t="str">
        <f>VLOOKUP(D3431,Clientes!$A$2:$J$486,9,FALSE)</f>
        <v>Ocacional</v>
      </c>
      <c r="AB3431" s="13" t="str">
        <f>VLOOKUP(D3431,Clientes!$A$2:$K$486,11,FALSE)</f>
        <v>Persona Natural</v>
      </c>
      <c r="AC3431" s="13" t="str">
        <f>VLOOKUP(D3431,Clientes!$A$2:$B$486,2,FALSE)</f>
        <v>Antilhue Emprende</v>
      </c>
      <c r="AD3431" s="20"/>
      <c r="AE3431" s="20"/>
      <c r="AF3431" s="13" t="s">
        <v>40</v>
      </c>
      <c r="AG3431" s="15">
        <v>45292</v>
      </c>
      <c r="AH3431" s="13" t="s">
        <v>41</v>
      </c>
      <c r="AI3431" s="13" t="s">
        <v>76</v>
      </c>
      <c r="AJ3431" s="13" t="str">
        <f>VLOOKUP(E3431,Precios!Z$2:AA$941,2,FALSE)</f>
        <v>Antigrasa SPUM 5 Litros</v>
      </c>
      <c r="AK3431" s="14">
        <f>VLOOKUP(E3431,Precios!Z$2:BB$941,3,FALSE)*F3431</f>
        <v>-1</v>
      </c>
      <c r="AL3431" s="17"/>
      <c r="AM3431" s="17"/>
      <c r="AN3431" s="17"/>
      <c r="AO3431" s="17"/>
      <c r="AP3431" s="17"/>
      <c r="AQ3431" s="17"/>
      <c r="AR3431" s="17"/>
      <c r="AS3431" s="17"/>
      <c r="AT3431" s="17"/>
      <c r="AU3431" s="17"/>
      <c r="AV3431" s="17"/>
    </row>
    <row r="3432" spans="1:48" ht="15.75" customHeight="1">
      <c r="A3432" s="21" t="s">
        <v>43</v>
      </c>
      <c r="B3432" s="23" t="s">
        <v>1692</v>
      </c>
      <c r="C3432" s="22">
        <v>45674</v>
      </c>
      <c r="D3432" s="23" t="s">
        <v>115</v>
      </c>
      <c r="E3432" s="23" t="s">
        <v>45</v>
      </c>
      <c r="F3432" s="21">
        <v>1</v>
      </c>
      <c r="G3432" s="12">
        <v>6199.9861072520143</v>
      </c>
      <c r="H3432" s="12">
        <v>6199.9861072520143</v>
      </c>
      <c r="I3432" s="23" t="s">
        <v>52</v>
      </c>
      <c r="J3432" s="23" t="s">
        <v>61</v>
      </c>
      <c r="K3432" s="24" t="s">
        <v>177</v>
      </c>
      <c r="L3432" s="26">
        <v>90</v>
      </c>
      <c r="M3432" s="12">
        <v>5210.0723590353064</v>
      </c>
      <c r="N3432" s="11">
        <v>5210.0723590353064</v>
      </c>
      <c r="O3432" s="11">
        <v>989.91374821670797</v>
      </c>
      <c r="P3432" s="13"/>
      <c r="Q3432" s="14">
        <v>2025</v>
      </c>
      <c r="R3432" s="15">
        <v>45292</v>
      </c>
      <c r="S3432" s="11" t="s">
        <v>355</v>
      </c>
      <c r="T3432" s="16">
        <v>0</v>
      </c>
      <c r="U3432" s="17"/>
      <c r="V3432" s="12">
        <v>1459.862275001693</v>
      </c>
      <c r="W3432" s="12">
        <v>1459.862275001693</v>
      </c>
      <c r="X3432" s="12">
        <v>0</v>
      </c>
      <c r="Y3432" s="18">
        <v>45670</v>
      </c>
      <c r="Z3432" s="13" t="s">
        <v>503</v>
      </c>
      <c r="AA3432" s="19" t="str">
        <f>VLOOKUP(D3432,Clientes!$A$2:$J$486,9,FALSE)</f>
        <v>Ocacional</v>
      </c>
      <c r="AB3432" s="13" t="str">
        <f>VLOOKUP(D3432,Clientes!$A$2:$K$486,11,FALSE)</f>
        <v>Persona Natural</v>
      </c>
      <c r="AC3432" s="13" t="str">
        <f>VLOOKUP(D3432,Clientes!$A$2:$B$486,2,FALSE)</f>
        <v>Jardines de la viña</v>
      </c>
      <c r="AD3432" s="20"/>
      <c r="AE3432" s="20"/>
      <c r="AF3432" s="13" t="s">
        <v>40</v>
      </c>
      <c r="AG3432" s="15">
        <v>45292</v>
      </c>
      <c r="AH3432" s="13" t="s">
        <v>41</v>
      </c>
      <c r="AI3432" s="13" t="s">
        <v>43</v>
      </c>
      <c r="AJ3432" s="13" t="str">
        <f>VLOOKUP(E3432,Precios!Z$2:AA$941,2,FALSE)</f>
        <v>Bandeja Huevos EXTRA</v>
      </c>
      <c r="AK3432" s="14">
        <f>VLOOKUP(E3432,Precios!Z$2:BB$941,3,FALSE)*F3432</f>
        <v>-1</v>
      </c>
      <c r="AL3432" s="17"/>
      <c r="AM3432" s="17"/>
      <c r="AN3432" s="17"/>
      <c r="AO3432" s="17"/>
      <c r="AP3432" s="17"/>
      <c r="AQ3432" s="17"/>
      <c r="AR3432" s="17"/>
      <c r="AS3432" s="17"/>
      <c r="AT3432" s="17"/>
      <c r="AU3432" s="17"/>
      <c r="AV3432" s="17"/>
    </row>
    <row r="3433" spans="1:48" ht="15.75" customHeight="1">
      <c r="A3433" s="21" t="s">
        <v>43</v>
      </c>
      <c r="B3433" s="23" t="s">
        <v>1692</v>
      </c>
      <c r="C3433" s="22">
        <v>45673</v>
      </c>
      <c r="D3433" s="23" t="s">
        <v>189</v>
      </c>
      <c r="E3433" s="23" t="s">
        <v>757</v>
      </c>
      <c r="F3433" s="21">
        <v>1</v>
      </c>
      <c r="G3433" s="12">
        <v>5999.6872875594827</v>
      </c>
      <c r="H3433" s="12">
        <v>5999.6872875594827</v>
      </c>
      <c r="I3433" s="23" t="s">
        <v>52</v>
      </c>
      <c r="J3433" s="23" t="s">
        <v>61</v>
      </c>
      <c r="K3433" s="24" t="s">
        <v>177</v>
      </c>
      <c r="L3433" s="26">
        <v>89</v>
      </c>
      <c r="M3433" s="12">
        <v>5041.7540231592293</v>
      </c>
      <c r="N3433" s="11">
        <v>5041.7540231592293</v>
      </c>
      <c r="O3433" s="11">
        <v>957.93326440025339</v>
      </c>
      <c r="P3433" s="13"/>
      <c r="Q3433" s="14">
        <v>2025</v>
      </c>
      <c r="R3433" s="15">
        <v>45292</v>
      </c>
      <c r="S3433" s="11" t="s">
        <v>758</v>
      </c>
      <c r="T3433" s="16">
        <v>0</v>
      </c>
      <c r="U3433" s="17"/>
      <c r="V3433" s="12">
        <v>1333.5439391256159</v>
      </c>
      <c r="W3433" s="12">
        <v>1333.5439391256159</v>
      </c>
      <c r="X3433" s="12">
        <v>0</v>
      </c>
      <c r="Y3433" s="18">
        <v>45670</v>
      </c>
      <c r="Z3433" s="13" t="s">
        <v>505</v>
      </c>
      <c r="AA3433" s="19" t="str">
        <f>VLOOKUP(D3433,Clientes!$A$2:$J$486,9,FALSE)</f>
        <v>Frecuente</v>
      </c>
      <c r="AB3433" s="13" t="str">
        <f>VLOOKUP(D3433,Clientes!$A$2:$K$486,11,FALSE)</f>
        <v>Persona Natural</v>
      </c>
      <c r="AC3433" s="13" t="str">
        <f>VLOOKUP(D3433,Clientes!$A$2:$B$486,2,FALSE)</f>
        <v>Jardines de la Viña</v>
      </c>
      <c r="AD3433" s="20"/>
      <c r="AE3433" s="20"/>
      <c r="AF3433" s="13" t="s">
        <v>40</v>
      </c>
      <c r="AG3433" s="15">
        <v>45292</v>
      </c>
      <c r="AH3433" s="13" t="s">
        <v>41</v>
      </c>
      <c r="AI3433" s="13" t="s">
        <v>43</v>
      </c>
      <c r="AJ3433" s="13" t="str">
        <f>VLOOKUP(E3433,Precios!Z$2:AA$941,2,FALSE)</f>
        <v>Bandeja Huevos JUMBO</v>
      </c>
      <c r="AK3433" s="14">
        <f>VLOOKUP(E3433,Precios!Z$2:BB$941,3,FALSE)*F3433</f>
        <v>-1</v>
      </c>
      <c r="AL3433" s="17"/>
      <c r="AM3433" s="17"/>
      <c r="AN3433" s="17"/>
      <c r="AO3433" s="17"/>
      <c r="AP3433" s="17"/>
      <c r="AQ3433" s="17"/>
      <c r="AR3433" s="17"/>
      <c r="AS3433" s="17"/>
      <c r="AT3433" s="17"/>
      <c r="AU3433" s="17"/>
      <c r="AV3433" s="17"/>
    </row>
    <row r="3434" spans="1:48" ht="15.75" customHeight="1">
      <c r="A3434" s="21" t="s">
        <v>53</v>
      </c>
      <c r="B3434" s="23" t="s">
        <v>1692</v>
      </c>
      <c r="C3434" s="22">
        <v>45673</v>
      </c>
      <c r="D3434" s="23" t="s">
        <v>189</v>
      </c>
      <c r="E3434" s="23" t="s">
        <v>587</v>
      </c>
      <c r="F3434" s="21">
        <v>2</v>
      </c>
      <c r="G3434" s="12">
        <v>3499.8985330782161</v>
      </c>
      <c r="H3434" s="12">
        <v>6999.7970661564323</v>
      </c>
      <c r="I3434" s="23" t="s">
        <v>52</v>
      </c>
      <c r="J3434" s="23" t="s">
        <v>61</v>
      </c>
      <c r="K3434" s="24" t="s">
        <v>177</v>
      </c>
      <c r="L3434" s="26">
        <v>89</v>
      </c>
      <c r="M3434" s="12">
        <v>2941.0912042674086</v>
      </c>
      <c r="N3434" s="11">
        <v>5882.1824085348171</v>
      </c>
      <c r="O3434" s="11">
        <v>1117.6146576216152</v>
      </c>
      <c r="P3434" s="13"/>
      <c r="Q3434" s="14">
        <v>2025</v>
      </c>
      <c r="R3434" s="15">
        <v>45292</v>
      </c>
      <c r="S3434" s="11" t="s">
        <v>408</v>
      </c>
      <c r="T3434" s="16">
        <v>0</v>
      </c>
      <c r="U3434" s="17"/>
      <c r="V3434" s="12">
        <v>1824.1824085348171</v>
      </c>
      <c r="W3434" s="12">
        <v>1824.1824085348171</v>
      </c>
      <c r="X3434" s="12">
        <v>0</v>
      </c>
      <c r="Y3434" s="18">
        <v>45670</v>
      </c>
      <c r="Z3434" s="13" t="s">
        <v>505</v>
      </c>
      <c r="AA3434" s="19" t="str">
        <f>VLOOKUP(D3434,Clientes!$A$2:$J$486,9,FALSE)</f>
        <v>Frecuente</v>
      </c>
      <c r="AB3434" s="13" t="str">
        <f>VLOOKUP(D3434,Clientes!$A$2:$K$486,11,FALSE)</f>
        <v>Persona Natural</v>
      </c>
      <c r="AC3434" s="13" t="str">
        <f>VLOOKUP(D3434,Clientes!$A$2:$B$486,2,FALSE)</f>
        <v>Jardines de la Viña</v>
      </c>
      <c r="AD3434" s="20"/>
      <c r="AE3434" s="20"/>
      <c r="AF3434" s="13" t="s">
        <v>40</v>
      </c>
      <c r="AG3434" s="15">
        <v>45292</v>
      </c>
      <c r="AH3434" s="13" t="s">
        <v>41</v>
      </c>
      <c r="AI3434" s="13" t="s">
        <v>53</v>
      </c>
      <c r="AJ3434" s="13" t="str">
        <f>VLOOKUP(E3434,Precios!Z$2:AA$941,2,FALSE)</f>
        <v>Toalla Papel SWAN D/H AZUL 100 metros</v>
      </c>
      <c r="AK3434" s="14">
        <f>VLOOKUP(E3434,Precios!Z$2:BB$941,3,FALSE)*F3434</f>
        <v>-2</v>
      </c>
      <c r="AL3434" s="17"/>
      <c r="AM3434" s="17"/>
      <c r="AN3434" s="17"/>
      <c r="AO3434" s="17"/>
      <c r="AP3434" s="17"/>
      <c r="AQ3434" s="17"/>
      <c r="AR3434" s="17"/>
      <c r="AS3434" s="17"/>
      <c r="AT3434" s="17"/>
      <c r="AU3434" s="17"/>
      <c r="AV3434" s="17"/>
    </row>
    <row r="3435" spans="1:48" ht="15.75" customHeight="1">
      <c r="A3435" s="21" t="s">
        <v>53</v>
      </c>
      <c r="B3435" s="23" t="s">
        <v>1692</v>
      </c>
      <c r="C3435" s="22">
        <v>45673</v>
      </c>
      <c r="D3435" s="23" t="s">
        <v>189</v>
      </c>
      <c r="E3435" s="23" t="s">
        <v>203</v>
      </c>
      <c r="F3435" s="21">
        <v>1</v>
      </c>
      <c r="G3435" s="12">
        <v>9500</v>
      </c>
      <c r="H3435" s="12">
        <v>9500</v>
      </c>
      <c r="I3435" s="23" t="s">
        <v>52</v>
      </c>
      <c r="J3435" s="23" t="s">
        <v>61</v>
      </c>
      <c r="K3435" s="24" t="s">
        <v>177</v>
      </c>
      <c r="L3435" s="26">
        <v>89</v>
      </c>
      <c r="M3435" s="12">
        <v>7983.1932773109247</v>
      </c>
      <c r="N3435" s="11">
        <v>7983.1932773109247</v>
      </c>
      <c r="O3435" s="11">
        <v>1516.8067226890753</v>
      </c>
      <c r="P3435" s="13"/>
      <c r="Q3435" s="14">
        <v>2025</v>
      </c>
      <c r="R3435" s="15">
        <v>45292</v>
      </c>
      <c r="S3435" s="11" t="s">
        <v>366</v>
      </c>
      <c r="T3435" s="16">
        <v>0</v>
      </c>
      <c r="U3435" s="17"/>
      <c r="V3435" s="12">
        <v>3072.2689075630251</v>
      </c>
      <c r="W3435" s="12">
        <v>3072.2689075630251</v>
      </c>
      <c r="X3435" s="12">
        <v>0</v>
      </c>
      <c r="Y3435" s="18">
        <v>45670</v>
      </c>
      <c r="Z3435" s="13" t="s">
        <v>505</v>
      </c>
      <c r="AA3435" s="19" t="str">
        <f>VLOOKUP(D3435,Clientes!$A$2:$J$486,9,FALSE)</f>
        <v>Frecuente</v>
      </c>
      <c r="AB3435" s="13" t="str">
        <f>VLOOKUP(D3435,Clientes!$A$2:$K$486,11,FALSE)</f>
        <v>Persona Natural</v>
      </c>
      <c r="AC3435" s="13" t="str">
        <f>VLOOKUP(D3435,Clientes!$A$2:$B$486,2,FALSE)</f>
        <v>Jardines de la Viña</v>
      </c>
      <c r="AD3435" s="20"/>
      <c r="AE3435" s="20"/>
      <c r="AF3435" s="13" t="s">
        <v>40</v>
      </c>
      <c r="AG3435" s="15">
        <v>45292</v>
      </c>
      <c r="AH3435" s="13" t="s">
        <v>41</v>
      </c>
      <c r="AI3435" s="13" t="s">
        <v>53</v>
      </c>
      <c r="AJ3435" s="13" t="str">
        <f>VLOOKUP(E3435,Precios!Z$2:AA$941,2,FALSE)</f>
        <v>Papel Higienico ELITE 50 metros</v>
      </c>
      <c r="AK3435" s="14">
        <f>VLOOKUP(E3435,Precios!Z$2:BB$941,3,FALSE)*F3435</f>
        <v>-3</v>
      </c>
      <c r="AL3435" s="17"/>
      <c r="AM3435" s="17"/>
      <c r="AN3435" s="17"/>
      <c r="AO3435" s="17"/>
      <c r="AP3435" s="17"/>
      <c r="AQ3435" s="17"/>
      <c r="AR3435" s="17"/>
      <c r="AS3435" s="17"/>
      <c r="AT3435" s="17"/>
      <c r="AU3435" s="17"/>
      <c r="AV3435" s="17"/>
    </row>
    <row r="3436" spans="1:48" ht="15.75" customHeight="1">
      <c r="A3436" s="21" t="s">
        <v>47</v>
      </c>
      <c r="B3436" s="23" t="s">
        <v>1692</v>
      </c>
      <c r="C3436" s="22">
        <v>45673</v>
      </c>
      <c r="D3436" s="23" t="s">
        <v>189</v>
      </c>
      <c r="E3436" s="23" t="s">
        <v>94</v>
      </c>
      <c r="F3436" s="21">
        <v>2</v>
      </c>
      <c r="G3436" s="12">
        <v>1650.3649635036495</v>
      </c>
      <c r="H3436" s="12">
        <v>3300.729927007299</v>
      </c>
      <c r="I3436" s="23" t="s">
        <v>52</v>
      </c>
      <c r="J3436" s="23" t="s">
        <v>61</v>
      </c>
      <c r="K3436" s="24" t="s">
        <v>177</v>
      </c>
      <c r="L3436" s="26">
        <v>89</v>
      </c>
      <c r="M3436" s="12">
        <v>1386.861313868613</v>
      </c>
      <c r="N3436" s="11">
        <v>2773.722627737226</v>
      </c>
      <c r="O3436" s="11">
        <v>527.00729927007296</v>
      </c>
      <c r="P3436" s="13"/>
      <c r="Q3436" s="14">
        <v>2025</v>
      </c>
      <c r="R3436" s="15">
        <v>45292</v>
      </c>
      <c r="S3436" s="11" t="s">
        <v>384</v>
      </c>
      <c r="T3436" s="16">
        <v>0</v>
      </c>
      <c r="U3436" s="17"/>
      <c r="V3436" s="12">
        <v>873.72262773722605</v>
      </c>
      <c r="W3436" s="12">
        <v>873.72262773722605</v>
      </c>
      <c r="X3436" s="12">
        <v>0</v>
      </c>
      <c r="Y3436" s="18">
        <v>45670</v>
      </c>
      <c r="Z3436" s="13" t="s">
        <v>505</v>
      </c>
      <c r="AA3436" s="19" t="str">
        <f>VLOOKUP(D3436,Clientes!$A$2:$J$486,9,FALSE)</f>
        <v>Frecuente</v>
      </c>
      <c r="AB3436" s="13" t="str">
        <f>VLOOKUP(D3436,Clientes!$A$2:$K$486,11,FALSE)</f>
        <v>Persona Natural</v>
      </c>
      <c r="AC3436" s="13" t="str">
        <f>VLOOKUP(D3436,Clientes!$A$2:$B$486,2,FALSE)</f>
        <v>Jardines de la Viña</v>
      </c>
      <c r="AD3436" s="20"/>
      <c r="AE3436" s="20"/>
      <c r="AF3436" s="13" t="s">
        <v>40</v>
      </c>
      <c r="AG3436" s="15">
        <v>45292</v>
      </c>
      <c r="AH3436" s="13" t="s">
        <v>41</v>
      </c>
      <c r="AI3436" s="13" t="s">
        <v>47</v>
      </c>
      <c r="AJ3436" s="13" t="str">
        <f>VLOOKUP(E3436,Precios!Z$2:AA$941,2,FALSE)</f>
        <v>Jabón Lìquido BALLERINA</v>
      </c>
      <c r="AK3436" s="14">
        <f>VLOOKUP(E3436,Precios!Z$2:BB$941,3,FALSE)*F3436</f>
        <v>-6</v>
      </c>
      <c r="AL3436" s="17"/>
      <c r="AM3436" s="17"/>
      <c r="AN3436" s="17"/>
      <c r="AO3436" s="17"/>
      <c r="AP3436" s="17"/>
      <c r="AQ3436" s="17"/>
      <c r="AR3436" s="17"/>
      <c r="AS3436" s="17"/>
      <c r="AT3436" s="17"/>
      <c r="AU3436" s="17"/>
      <c r="AV3436" s="17"/>
    </row>
    <row r="3437" spans="1:48" ht="15.75" customHeight="1">
      <c r="A3437" s="21" t="s">
        <v>76</v>
      </c>
      <c r="B3437" s="23" t="s">
        <v>1692</v>
      </c>
      <c r="C3437" s="22">
        <v>45673</v>
      </c>
      <c r="D3437" s="23" t="s">
        <v>189</v>
      </c>
      <c r="E3437" s="23" t="s">
        <v>110</v>
      </c>
      <c r="F3437" s="21">
        <v>1</v>
      </c>
      <c r="G3437" s="12">
        <v>2000.0000000000005</v>
      </c>
      <c r="H3437" s="12">
        <v>2000.0000000000005</v>
      </c>
      <c r="I3437" s="23" t="s">
        <v>52</v>
      </c>
      <c r="J3437" s="23" t="s">
        <v>61</v>
      </c>
      <c r="K3437" s="24" t="s">
        <v>177</v>
      </c>
      <c r="L3437" s="26">
        <v>89</v>
      </c>
      <c r="M3437" s="12">
        <v>1680.6722689075634</v>
      </c>
      <c r="N3437" s="11">
        <v>1680.6722689075634</v>
      </c>
      <c r="O3437" s="11">
        <v>319.32773109243703</v>
      </c>
      <c r="P3437" s="13"/>
      <c r="Q3437" s="14">
        <v>2025</v>
      </c>
      <c r="R3437" s="15">
        <v>45292</v>
      </c>
      <c r="S3437" s="11" t="s">
        <v>378</v>
      </c>
      <c r="T3437" s="16">
        <v>5</v>
      </c>
      <c r="U3437" s="17"/>
      <c r="V3437" s="12">
        <v>756.30252100840369</v>
      </c>
      <c r="W3437" s="12">
        <v>756.30252100840369</v>
      </c>
      <c r="X3437" s="12">
        <v>0</v>
      </c>
      <c r="Y3437" s="18">
        <v>45670</v>
      </c>
      <c r="Z3437" s="13" t="s">
        <v>505</v>
      </c>
      <c r="AA3437" s="19" t="str">
        <f>VLOOKUP(D3437,Clientes!$A$2:$J$486,9,FALSE)</f>
        <v>Frecuente</v>
      </c>
      <c r="AB3437" s="13" t="str">
        <f>VLOOKUP(D3437,Clientes!$A$2:$K$486,11,FALSE)</f>
        <v>Persona Natural</v>
      </c>
      <c r="AC3437" s="13" t="str">
        <f>VLOOKUP(D3437,Clientes!$A$2:$B$486,2,FALSE)</f>
        <v>Jardines de la Viña</v>
      </c>
      <c r="AD3437" s="20"/>
      <c r="AE3437" s="20"/>
      <c r="AF3437" s="13" t="s">
        <v>40</v>
      </c>
      <c r="AG3437" s="15">
        <v>45292</v>
      </c>
      <c r="AH3437" s="13" t="s">
        <v>41</v>
      </c>
      <c r="AI3437" s="13" t="s">
        <v>76</v>
      </c>
      <c r="AJ3437" s="13" t="str">
        <f>VLOOKUP(E3437,Precios!Z$2:AA$941,2,FALSE)</f>
        <v>Cloro SPUM 5 Litros</v>
      </c>
      <c r="AK3437" s="14">
        <f>VLOOKUP(E3437,Precios!Z$2:BB$941,3,FALSE)*F3437</f>
        <v>-1</v>
      </c>
      <c r="AL3437" s="17"/>
      <c r="AM3437" s="17"/>
      <c r="AN3437" s="17"/>
      <c r="AO3437" s="17"/>
      <c r="AP3437" s="17"/>
      <c r="AQ3437" s="17"/>
      <c r="AR3437" s="17"/>
      <c r="AS3437" s="17"/>
      <c r="AT3437" s="17"/>
      <c r="AU3437" s="17"/>
      <c r="AV3437" s="17"/>
    </row>
    <row r="3438" spans="1:48" ht="15.75" customHeight="1">
      <c r="A3438" s="21" t="s">
        <v>53</v>
      </c>
      <c r="B3438" s="23" t="s">
        <v>1692</v>
      </c>
      <c r="C3438" s="22">
        <v>45673</v>
      </c>
      <c r="D3438" s="23" t="s">
        <v>915</v>
      </c>
      <c r="E3438" s="23" t="s">
        <v>88</v>
      </c>
      <c r="F3438" s="21">
        <v>2</v>
      </c>
      <c r="G3438" s="12">
        <v>1999.9551032624961</v>
      </c>
      <c r="H3438" s="37">
        <v>3999.9102065249922</v>
      </c>
      <c r="I3438" s="23" t="s">
        <v>52</v>
      </c>
      <c r="J3438" s="23" t="s">
        <v>61</v>
      </c>
      <c r="K3438" s="24" t="s">
        <v>177</v>
      </c>
      <c r="L3438" s="26">
        <v>89</v>
      </c>
      <c r="M3438" s="12">
        <v>1680.6345405567195</v>
      </c>
      <c r="N3438" s="11">
        <v>3361.2690811134389</v>
      </c>
      <c r="O3438" s="11">
        <v>638.64112541155328</v>
      </c>
      <c r="P3438" s="13"/>
      <c r="Q3438" s="14">
        <v>2025</v>
      </c>
      <c r="R3438" s="15">
        <v>45292</v>
      </c>
      <c r="S3438" s="11" t="s">
        <v>410</v>
      </c>
      <c r="T3438" s="16">
        <v>0</v>
      </c>
      <c r="U3438" s="17"/>
      <c r="V3438" s="12">
        <v>1115.2690811134389</v>
      </c>
      <c r="W3438" s="12">
        <v>1115.2690811134389</v>
      </c>
      <c r="X3438" s="12">
        <v>0</v>
      </c>
      <c r="Y3438" s="18">
        <v>45670</v>
      </c>
      <c r="Z3438" s="13" t="s">
        <v>505</v>
      </c>
      <c r="AA3438" s="19" t="str">
        <f>VLOOKUP(D3438,Clientes!$A$2:$J$486,9,FALSE)</f>
        <v>Regular</v>
      </c>
      <c r="AB3438" s="13" t="str">
        <f>VLOOKUP(D3438,Clientes!$A$2:$K$486,11,FALSE)</f>
        <v>Persona Natural</v>
      </c>
      <c r="AC3438" s="13" t="str">
        <f>VLOOKUP(D3438,Clientes!$A$2:$B$486,2,FALSE)</f>
        <v>Jardin del Eden</v>
      </c>
      <c r="AD3438" s="20"/>
      <c r="AE3438" s="20"/>
      <c r="AF3438" s="13" t="s">
        <v>40</v>
      </c>
      <c r="AG3438" s="15">
        <v>45292</v>
      </c>
      <c r="AH3438" s="13" t="s">
        <v>41</v>
      </c>
      <c r="AI3438" s="13" t="s">
        <v>53</v>
      </c>
      <c r="AJ3438" s="13" t="str">
        <f>VLOOKUP(E3438,Precios!Z$2:AA$941,2,FALSE)</f>
        <v>Toalla Papel NOVA 26 metros</v>
      </c>
      <c r="AK3438" s="14">
        <f>VLOOKUP(E3438,Precios!Z$2:BB$941,3,FALSE)*F3438</f>
        <v>-2</v>
      </c>
      <c r="AL3438" s="17"/>
      <c r="AM3438" s="17"/>
      <c r="AN3438" s="17"/>
      <c r="AO3438" s="17"/>
      <c r="AP3438" s="17"/>
      <c r="AQ3438" s="17"/>
      <c r="AR3438" s="17"/>
      <c r="AS3438" s="17"/>
      <c r="AT3438" s="17"/>
      <c r="AU3438" s="17"/>
      <c r="AV3438" s="17"/>
    </row>
    <row r="3439" spans="1:48" ht="15.75" customHeight="1">
      <c r="A3439" s="21" t="s">
        <v>53</v>
      </c>
      <c r="B3439" s="23" t="s">
        <v>1692</v>
      </c>
      <c r="C3439" s="22">
        <v>45673</v>
      </c>
      <c r="D3439" s="23" t="s">
        <v>614</v>
      </c>
      <c r="E3439" s="23" t="s">
        <v>203</v>
      </c>
      <c r="F3439" s="14">
        <v>1</v>
      </c>
      <c r="G3439" s="12">
        <v>9500</v>
      </c>
      <c r="H3439" s="12">
        <v>9500</v>
      </c>
      <c r="I3439" s="23" t="s">
        <v>52</v>
      </c>
      <c r="J3439" s="23" t="s">
        <v>61</v>
      </c>
      <c r="K3439" s="24" t="s">
        <v>177</v>
      </c>
      <c r="L3439" s="26">
        <v>89</v>
      </c>
      <c r="M3439" s="12">
        <v>7983.1932773109247</v>
      </c>
      <c r="N3439" s="11">
        <v>7983.1932773109247</v>
      </c>
      <c r="O3439" s="11">
        <v>1516.8067226890753</v>
      </c>
      <c r="P3439" s="13"/>
      <c r="Q3439" s="14">
        <v>2025</v>
      </c>
      <c r="R3439" s="15">
        <v>45292</v>
      </c>
      <c r="S3439" s="11" t="s">
        <v>366</v>
      </c>
      <c r="T3439" s="16">
        <v>0</v>
      </c>
      <c r="U3439" s="17"/>
      <c r="V3439" s="12">
        <v>3072.2689075630251</v>
      </c>
      <c r="W3439" s="12">
        <v>3072.2689075630251</v>
      </c>
      <c r="X3439" s="12">
        <v>0</v>
      </c>
      <c r="Y3439" s="18">
        <v>45670</v>
      </c>
      <c r="Z3439" s="13" t="s">
        <v>505</v>
      </c>
      <c r="AA3439" s="19" t="str">
        <f>VLOOKUP(D3439,Clientes!$A$2:$J$486,9,FALSE)</f>
        <v>Regular</v>
      </c>
      <c r="AB3439" s="13" t="str">
        <f>VLOOKUP(D3439,Clientes!$A$2:$K$486,11,FALSE)</f>
        <v>Persona Natural</v>
      </c>
      <c r="AC3439" s="13" t="str">
        <f>VLOOKUP(D3439,Clientes!$A$2:$B$486,2,FALSE)</f>
        <v xml:space="preserve">Condominio Lo Cañas
</v>
      </c>
      <c r="AD3439" s="20"/>
      <c r="AE3439" s="20"/>
      <c r="AF3439" s="13" t="s">
        <v>40</v>
      </c>
      <c r="AG3439" s="15">
        <v>45292</v>
      </c>
      <c r="AH3439" s="13" t="s">
        <v>41</v>
      </c>
      <c r="AI3439" s="13" t="s">
        <v>53</v>
      </c>
      <c r="AJ3439" s="13" t="str">
        <f>VLOOKUP(E3439,Precios!Z$2:AA$941,2,FALSE)</f>
        <v>Papel Higienico ELITE 50 metros</v>
      </c>
      <c r="AK3439" s="14">
        <f>VLOOKUP(E3439,Precios!Z$2:BB$941,3,FALSE)*F3439</f>
        <v>-3</v>
      </c>
      <c r="AL3439" s="17"/>
      <c r="AM3439" s="17"/>
      <c r="AN3439" s="17"/>
      <c r="AO3439" s="17"/>
      <c r="AP3439" s="17"/>
      <c r="AQ3439" s="17"/>
      <c r="AR3439" s="17"/>
      <c r="AS3439" s="17"/>
      <c r="AT3439" s="17"/>
      <c r="AU3439" s="17"/>
      <c r="AV3439" s="17"/>
    </row>
    <row r="3440" spans="1:48" ht="15.75" customHeight="1">
      <c r="A3440" s="21" t="s">
        <v>53</v>
      </c>
      <c r="B3440" s="23" t="s">
        <v>1692</v>
      </c>
      <c r="C3440" s="22">
        <v>45673</v>
      </c>
      <c r="D3440" s="23" t="s">
        <v>614</v>
      </c>
      <c r="E3440" s="23" t="s">
        <v>326</v>
      </c>
      <c r="F3440" s="14">
        <v>1</v>
      </c>
      <c r="G3440" s="12">
        <v>7600.2445509220424</v>
      </c>
      <c r="H3440" s="12">
        <v>7600.2445509220424</v>
      </c>
      <c r="I3440" s="23" t="s">
        <v>52</v>
      </c>
      <c r="J3440" s="23" t="s">
        <v>61</v>
      </c>
      <c r="K3440" s="24" t="s">
        <v>177</v>
      </c>
      <c r="L3440" s="26">
        <v>89</v>
      </c>
      <c r="M3440" s="12">
        <v>6386.7601268252456</v>
      </c>
      <c r="N3440" s="11">
        <v>6386.7601268252456</v>
      </c>
      <c r="O3440" s="11">
        <v>1213.4844240967968</v>
      </c>
      <c r="P3440" s="13"/>
      <c r="Q3440" s="14">
        <v>2025</v>
      </c>
      <c r="R3440" s="15">
        <v>45292</v>
      </c>
      <c r="S3440" s="11" t="s">
        <v>410</v>
      </c>
      <c r="T3440" s="16">
        <v>0</v>
      </c>
      <c r="U3440" s="17"/>
      <c r="V3440" s="12">
        <v>1894.7601268252456</v>
      </c>
      <c r="W3440" s="12">
        <v>1894.7601268252456</v>
      </c>
      <c r="X3440" s="12">
        <v>0</v>
      </c>
      <c r="Y3440" s="18">
        <v>45670</v>
      </c>
      <c r="Z3440" s="13" t="s">
        <v>505</v>
      </c>
      <c r="AA3440" s="19" t="str">
        <f>VLOOKUP(D3440,Clientes!$A$2:$J$486,9,FALSE)</f>
        <v>Regular</v>
      </c>
      <c r="AB3440" s="13" t="str">
        <f>VLOOKUP(D3440,Clientes!$A$2:$K$486,11,FALSE)</f>
        <v>Persona Natural</v>
      </c>
      <c r="AC3440" s="13" t="str">
        <f>VLOOKUP(D3440,Clientes!$A$2:$B$486,2,FALSE)</f>
        <v xml:space="preserve">Condominio Lo Cañas
</v>
      </c>
      <c r="AD3440" s="20"/>
      <c r="AE3440" s="20"/>
      <c r="AF3440" s="13" t="s">
        <v>40</v>
      </c>
      <c r="AG3440" s="15">
        <v>45292</v>
      </c>
      <c r="AH3440" s="13" t="s">
        <v>41</v>
      </c>
      <c r="AI3440" s="13" t="s">
        <v>53</v>
      </c>
      <c r="AJ3440" s="13" t="str">
        <f>VLOOKUP(E3440,Precios!Z$2:AA$941,2,FALSE)</f>
        <v>Toalla Papel NOVA 26 metros</v>
      </c>
      <c r="AK3440" s="14">
        <f>VLOOKUP(E3440,Precios!Z$2:BB$941,3,FALSE)*F3440</f>
        <v>-4</v>
      </c>
      <c r="AL3440" s="17"/>
      <c r="AM3440" s="17"/>
      <c r="AN3440" s="17"/>
      <c r="AO3440" s="17"/>
      <c r="AP3440" s="17"/>
      <c r="AQ3440" s="17"/>
      <c r="AR3440" s="17"/>
      <c r="AS3440" s="17"/>
      <c r="AT3440" s="17"/>
      <c r="AU3440" s="17"/>
      <c r="AV3440" s="17"/>
    </row>
    <row r="3441" spans="1:48" ht="15.75" customHeight="1">
      <c r="A3441" s="21" t="s">
        <v>53</v>
      </c>
      <c r="B3441" s="23" t="s">
        <v>1692</v>
      </c>
      <c r="C3441" s="22">
        <v>45673</v>
      </c>
      <c r="D3441" s="23" t="s">
        <v>614</v>
      </c>
      <c r="E3441" s="23" t="s">
        <v>70</v>
      </c>
      <c r="F3441" s="14">
        <v>1</v>
      </c>
      <c r="G3441" s="12">
        <v>5000.3257328990221</v>
      </c>
      <c r="H3441" s="12">
        <v>5000.3257328990221</v>
      </c>
      <c r="I3441" s="23" t="s">
        <v>52</v>
      </c>
      <c r="J3441" s="23" t="s">
        <v>61</v>
      </c>
      <c r="K3441" s="24" t="s">
        <v>177</v>
      </c>
      <c r="L3441" s="26">
        <v>89</v>
      </c>
      <c r="M3441" s="12">
        <v>4201.9543973941363</v>
      </c>
      <c r="N3441" s="11">
        <v>4201.9543973941363</v>
      </c>
      <c r="O3441" s="11">
        <v>798.37133550488579</v>
      </c>
      <c r="P3441" s="13"/>
      <c r="Q3441" s="14">
        <v>2025</v>
      </c>
      <c r="R3441" s="15">
        <v>45292</v>
      </c>
      <c r="S3441" s="11" t="s">
        <v>381</v>
      </c>
      <c r="T3441" s="16">
        <v>300</v>
      </c>
      <c r="U3441" s="17"/>
      <c r="V3441" s="12">
        <v>2008.9543973941363</v>
      </c>
      <c r="W3441" s="12">
        <v>2008.9543973941363</v>
      </c>
      <c r="X3441" s="12">
        <v>0</v>
      </c>
      <c r="Y3441" s="18">
        <v>45670</v>
      </c>
      <c r="Z3441" s="13" t="s">
        <v>505</v>
      </c>
      <c r="AA3441" s="19" t="str">
        <f>VLOOKUP(D3441,Clientes!$A$2:$J$486,9,FALSE)</f>
        <v>Regular</v>
      </c>
      <c r="AB3441" s="13" t="str">
        <f>VLOOKUP(D3441,Clientes!$A$2:$K$486,11,FALSE)</f>
        <v>Persona Natural</v>
      </c>
      <c r="AC3441" s="13" t="str">
        <f>VLOOKUP(D3441,Clientes!$A$2:$B$486,2,FALSE)</f>
        <v xml:space="preserve">Condominio Lo Cañas
</v>
      </c>
      <c r="AD3441" s="20"/>
      <c r="AE3441" s="20"/>
      <c r="AF3441" s="13" t="s">
        <v>40</v>
      </c>
      <c r="AG3441" s="15">
        <v>45292</v>
      </c>
      <c r="AH3441" s="13" t="s">
        <v>41</v>
      </c>
      <c r="AI3441" s="13" t="s">
        <v>53</v>
      </c>
      <c r="AJ3441" s="13" t="str">
        <f>VLOOKUP(E3441,Precios!Z$2:AA$941,2,FALSE)</f>
        <v>Servilletas SOFTQUALITY 300 unidades</v>
      </c>
      <c r="AK3441" s="14">
        <f>VLOOKUP(E3441,Precios!Z$2:BB$941,3,FALSE)*F3441</f>
        <v>-3</v>
      </c>
      <c r="AL3441" s="17"/>
      <c r="AM3441" s="17"/>
      <c r="AN3441" s="17"/>
      <c r="AO3441" s="17"/>
      <c r="AP3441" s="17"/>
      <c r="AQ3441" s="17"/>
      <c r="AR3441" s="17"/>
      <c r="AS3441" s="17"/>
      <c r="AT3441" s="17"/>
      <c r="AU3441" s="17"/>
      <c r="AV3441" s="17"/>
    </row>
    <row r="3442" spans="1:48" ht="15.75" customHeight="1">
      <c r="A3442" s="21" t="s">
        <v>47</v>
      </c>
      <c r="B3442" s="23" t="s">
        <v>1692</v>
      </c>
      <c r="C3442" s="22">
        <v>45673</v>
      </c>
      <c r="D3442" s="23" t="s">
        <v>614</v>
      </c>
      <c r="E3442" s="23" t="s">
        <v>49</v>
      </c>
      <c r="F3442" s="14">
        <v>1</v>
      </c>
      <c r="G3442" s="12">
        <v>4500.0000000000009</v>
      </c>
      <c r="H3442" s="12">
        <v>4500.0000000000009</v>
      </c>
      <c r="I3442" s="23" t="s">
        <v>52</v>
      </c>
      <c r="J3442" s="23" t="s">
        <v>61</v>
      </c>
      <c r="K3442" s="24" t="s">
        <v>177</v>
      </c>
      <c r="L3442" s="26">
        <v>89</v>
      </c>
      <c r="M3442" s="12">
        <v>3781.5126050420176</v>
      </c>
      <c r="N3442" s="11">
        <v>3781.5126050420176</v>
      </c>
      <c r="O3442" s="11">
        <v>718.48739495798327</v>
      </c>
      <c r="P3442" s="13"/>
      <c r="Q3442" s="14">
        <v>2025</v>
      </c>
      <c r="R3442" s="15">
        <v>45292</v>
      </c>
      <c r="S3442" s="11" t="s">
        <v>384</v>
      </c>
      <c r="T3442" s="16">
        <v>0</v>
      </c>
      <c r="U3442" s="17"/>
      <c r="V3442" s="12">
        <v>988.23529411764775</v>
      </c>
      <c r="W3442" s="12">
        <v>988.23529411764775</v>
      </c>
      <c r="X3442" s="12">
        <v>0</v>
      </c>
      <c r="Y3442" s="18">
        <v>45670</v>
      </c>
      <c r="Z3442" s="13" t="s">
        <v>505</v>
      </c>
      <c r="AA3442" s="19" t="str">
        <f>VLOOKUP(D3442,Clientes!$A$2:$J$486,9,FALSE)</f>
        <v>Regular</v>
      </c>
      <c r="AB3442" s="13" t="str">
        <f>VLOOKUP(D3442,Clientes!$A$2:$K$486,11,FALSE)</f>
        <v>Persona Natural</v>
      </c>
      <c r="AC3442" s="13" t="str">
        <f>VLOOKUP(D3442,Clientes!$A$2:$B$486,2,FALSE)</f>
        <v xml:space="preserve">Condominio Lo Cañas
</v>
      </c>
      <c r="AD3442" s="20"/>
      <c r="AE3442" s="20"/>
      <c r="AF3442" s="13" t="s">
        <v>40</v>
      </c>
      <c r="AG3442" s="15">
        <v>45292</v>
      </c>
      <c r="AH3442" s="13" t="s">
        <v>41</v>
      </c>
      <c r="AI3442" s="13" t="s">
        <v>47</v>
      </c>
      <c r="AJ3442" s="13" t="str">
        <f>VLOOKUP(E3442,Precios!Z$2:AA$941,2,FALSE)</f>
        <v>Jabón Lìquido BALLERINA</v>
      </c>
      <c r="AK3442" s="14">
        <f>VLOOKUP(E3442,Precios!Z$2:BB$941,3,FALSE)*F3442</f>
        <v>-3</v>
      </c>
      <c r="AL3442" s="17"/>
      <c r="AM3442" s="17"/>
      <c r="AN3442" s="17"/>
      <c r="AO3442" s="17"/>
      <c r="AP3442" s="17"/>
      <c r="AQ3442" s="17"/>
      <c r="AR3442" s="17"/>
      <c r="AS3442" s="17"/>
      <c r="AT3442" s="17"/>
      <c r="AU3442" s="17"/>
      <c r="AV3442" s="17"/>
    </row>
    <row r="3443" spans="1:48" ht="15.75" customHeight="1">
      <c r="A3443" s="21" t="s">
        <v>147</v>
      </c>
      <c r="B3443" s="23" t="s">
        <v>1692</v>
      </c>
      <c r="C3443" s="22">
        <v>45673</v>
      </c>
      <c r="D3443" s="23" t="s">
        <v>614</v>
      </c>
      <c r="E3443" s="23" t="s">
        <v>249</v>
      </c>
      <c r="F3443" s="14">
        <v>1</v>
      </c>
      <c r="G3443" s="12">
        <v>8000.4228329809721</v>
      </c>
      <c r="H3443" s="12">
        <v>8000.4228329809721</v>
      </c>
      <c r="I3443" s="23" t="s">
        <v>52</v>
      </c>
      <c r="J3443" s="23" t="s">
        <v>61</v>
      </c>
      <c r="K3443" s="24" t="s">
        <v>177</v>
      </c>
      <c r="L3443" s="26">
        <v>89</v>
      </c>
      <c r="M3443" s="12">
        <v>6723.0443974630025</v>
      </c>
      <c r="N3443" s="11">
        <v>6723.0443974630025</v>
      </c>
      <c r="O3443" s="11">
        <v>1277.3784355179696</v>
      </c>
      <c r="P3443" s="13"/>
      <c r="Q3443" s="14">
        <v>2025</v>
      </c>
      <c r="R3443" s="15">
        <v>45292</v>
      </c>
      <c r="S3443" s="11" t="s">
        <v>360</v>
      </c>
      <c r="T3443" s="16">
        <v>0</v>
      </c>
      <c r="U3443" s="17"/>
      <c r="V3443" s="12">
        <v>2271.0443974630016</v>
      </c>
      <c r="W3443" s="12">
        <v>2271.0443974630016</v>
      </c>
      <c r="X3443" s="12">
        <v>0</v>
      </c>
      <c r="Y3443" s="18">
        <v>45670</v>
      </c>
      <c r="Z3443" s="13" t="s">
        <v>505</v>
      </c>
      <c r="AA3443" s="19" t="str">
        <f>VLOOKUP(D3443,Clientes!$A$2:$J$486,9,FALSE)</f>
        <v>Regular</v>
      </c>
      <c r="AB3443" s="13" t="str">
        <f>VLOOKUP(D3443,Clientes!$A$2:$K$486,11,FALSE)</f>
        <v>Persona Natural</v>
      </c>
      <c r="AC3443" s="13" t="str">
        <f>VLOOKUP(D3443,Clientes!$A$2:$B$486,2,FALSE)</f>
        <v xml:space="preserve">Condominio Lo Cañas
</v>
      </c>
      <c r="AD3443" s="20"/>
      <c r="AE3443" s="20"/>
      <c r="AF3443" s="13" t="s">
        <v>40</v>
      </c>
      <c r="AG3443" s="15">
        <v>45292</v>
      </c>
      <c r="AH3443" s="13" t="s">
        <v>41</v>
      </c>
      <c r="AI3443" s="13" t="s">
        <v>147</v>
      </c>
      <c r="AJ3443" s="13" t="str">
        <f>VLOOKUP(E3443,Precios!Z$2:AA$941,2,FALSE)</f>
        <v>Papel Aluminio 100 metros</v>
      </c>
      <c r="AK3443" s="14">
        <f>VLOOKUP(E3443,Precios!Z$2:BB$941,3,FALSE)*F3443</f>
        <v>-1</v>
      </c>
      <c r="AL3443" s="17"/>
      <c r="AM3443" s="17"/>
      <c r="AN3443" s="17"/>
      <c r="AO3443" s="17"/>
      <c r="AP3443" s="17"/>
      <c r="AQ3443" s="17"/>
      <c r="AR3443" s="17"/>
      <c r="AS3443" s="17"/>
      <c r="AT3443" s="17"/>
      <c r="AU3443" s="17"/>
      <c r="AV3443" s="17"/>
    </row>
    <row r="3444" spans="1:48" ht="15.75" customHeight="1">
      <c r="A3444" s="21" t="s">
        <v>47</v>
      </c>
      <c r="B3444" s="23" t="s">
        <v>1692</v>
      </c>
      <c r="C3444" s="22">
        <v>45673</v>
      </c>
      <c r="D3444" s="23" t="s">
        <v>614</v>
      </c>
      <c r="E3444" s="23" t="s">
        <v>504</v>
      </c>
      <c r="F3444" s="14">
        <v>1</v>
      </c>
      <c r="G3444" s="12">
        <v>3000.0000000000005</v>
      </c>
      <c r="H3444" s="12">
        <v>3000.0000000000005</v>
      </c>
      <c r="I3444" s="23" t="s">
        <v>52</v>
      </c>
      <c r="J3444" s="23" t="s">
        <v>61</v>
      </c>
      <c r="K3444" s="24" t="s">
        <v>177</v>
      </c>
      <c r="L3444" s="26">
        <v>89</v>
      </c>
      <c r="M3444" s="12">
        <v>2521.0084033613452</v>
      </c>
      <c r="N3444" s="11">
        <v>2521.0084033613452</v>
      </c>
      <c r="O3444" s="11">
        <v>478.99159663865521</v>
      </c>
      <c r="P3444" s="13"/>
      <c r="Q3444" s="14">
        <v>2025</v>
      </c>
      <c r="R3444" s="15">
        <v>45292</v>
      </c>
      <c r="S3444" s="11" t="s">
        <v>105</v>
      </c>
      <c r="T3444" s="16">
        <v>0</v>
      </c>
      <c r="U3444" s="17"/>
      <c r="V3444" s="12">
        <v>776.47058823529437</v>
      </c>
      <c r="W3444" s="12">
        <v>776.47058823529437</v>
      </c>
      <c r="X3444" s="12">
        <v>0</v>
      </c>
      <c r="Y3444" s="18">
        <v>45670</v>
      </c>
      <c r="Z3444" s="13" t="s">
        <v>505</v>
      </c>
      <c r="AA3444" s="19" t="str">
        <f>VLOOKUP(D3444,Clientes!$A$2:$J$486,9,FALSE)</f>
        <v>Regular</v>
      </c>
      <c r="AB3444" s="13" t="str">
        <f>VLOOKUP(D3444,Clientes!$A$2:$K$486,11,FALSE)</f>
        <v>Persona Natural</v>
      </c>
      <c r="AC3444" s="13" t="str">
        <f>VLOOKUP(D3444,Clientes!$A$2:$B$486,2,FALSE)</f>
        <v xml:space="preserve">Condominio Lo Cañas
</v>
      </c>
      <c r="AD3444" s="20"/>
      <c r="AE3444" s="20"/>
      <c r="AF3444" s="13" t="s">
        <v>40</v>
      </c>
      <c r="AG3444" s="15">
        <v>45292</v>
      </c>
      <c r="AH3444" s="13" t="s">
        <v>41</v>
      </c>
      <c r="AI3444" s="13" t="s">
        <v>47</v>
      </c>
      <c r="AJ3444" s="13" t="str">
        <f>VLOOKUP(E3444,Precios!Z$2:AA$941,2,FALSE)</f>
        <v>Paños Esponja TEDDY</v>
      </c>
      <c r="AK3444" s="14">
        <f>VLOOKUP(E3444,Precios!Z$2:BB$941,3,FALSE)*F3444</f>
        <v>-3</v>
      </c>
      <c r="AL3444" s="17"/>
      <c r="AM3444" s="17"/>
      <c r="AN3444" s="17"/>
      <c r="AO3444" s="17"/>
      <c r="AP3444" s="17"/>
      <c r="AQ3444" s="17"/>
      <c r="AR3444" s="17"/>
      <c r="AS3444" s="17"/>
      <c r="AT3444" s="17"/>
      <c r="AU3444" s="17"/>
      <c r="AV3444" s="17"/>
    </row>
    <row r="3445" spans="1:48" ht="15.75" customHeight="1">
      <c r="A3445" s="21" t="s">
        <v>47</v>
      </c>
      <c r="B3445" s="23" t="s">
        <v>1692</v>
      </c>
      <c r="C3445" s="22">
        <v>45673</v>
      </c>
      <c r="D3445" s="23" t="s">
        <v>614</v>
      </c>
      <c r="E3445" s="23" t="s">
        <v>48</v>
      </c>
      <c r="F3445" s="14">
        <v>1</v>
      </c>
      <c r="G3445" s="12">
        <v>1000</v>
      </c>
      <c r="H3445" s="12">
        <v>1000</v>
      </c>
      <c r="I3445" s="23" t="s">
        <v>52</v>
      </c>
      <c r="J3445" s="23" t="s">
        <v>61</v>
      </c>
      <c r="K3445" s="24" t="s">
        <v>177</v>
      </c>
      <c r="L3445" s="26">
        <v>89</v>
      </c>
      <c r="M3445" s="12">
        <v>840.3361344537816</v>
      </c>
      <c r="N3445" s="11">
        <v>840.3361344537816</v>
      </c>
      <c r="O3445" s="11">
        <v>159.6638655462184</v>
      </c>
      <c r="P3445" s="13"/>
      <c r="Q3445" s="14">
        <v>2025</v>
      </c>
      <c r="R3445" s="15">
        <v>45292</v>
      </c>
      <c r="S3445" s="11" t="s">
        <v>416</v>
      </c>
      <c r="T3445" s="16">
        <v>0</v>
      </c>
      <c r="U3445" s="17"/>
      <c r="V3445" s="12">
        <v>330.33613445378148</v>
      </c>
      <c r="W3445" s="12">
        <v>330.33613445378148</v>
      </c>
      <c r="X3445" s="12">
        <v>0</v>
      </c>
      <c r="Y3445" s="18">
        <v>45670</v>
      </c>
      <c r="Z3445" s="13" t="s">
        <v>505</v>
      </c>
      <c r="AA3445" s="19" t="str">
        <f>VLOOKUP(D3445,Clientes!$A$2:$J$486,9,FALSE)</f>
        <v>Regular</v>
      </c>
      <c r="AB3445" s="13" t="str">
        <f>VLOOKUP(D3445,Clientes!$A$2:$K$486,11,FALSE)</f>
        <v>Persona Natural</v>
      </c>
      <c r="AC3445" s="13" t="str">
        <f>VLOOKUP(D3445,Clientes!$A$2:$B$486,2,FALSE)</f>
        <v xml:space="preserve">Condominio Lo Cañas
</v>
      </c>
      <c r="AD3445" s="20"/>
      <c r="AE3445" s="20"/>
      <c r="AF3445" s="13" t="s">
        <v>40</v>
      </c>
      <c r="AG3445" s="15">
        <v>45292</v>
      </c>
      <c r="AH3445" s="13" t="s">
        <v>41</v>
      </c>
      <c r="AI3445" s="13" t="s">
        <v>47</v>
      </c>
      <c r="AJ3445" s="13" t="str">
        <f>VLOOKUP(E3445,Precios!Z$2:AA$941,2,FALSE)</f>
        <v>Esponja Acanalada TEDDY</v>
      </c>
      <c r="AK3445" s="14">
        <f>VLOOKUP(E3445,Precios!Z$2:BB$941,3,FALSE)*F3445</f>
        <v>-5</v>
      </c>
      <c r="AL3445" s="17"/>
      <c r="AM3445" s="17"/>
      <c r="AN3445" s="17"/>
      <c r="AO3445" s="17"/>
      <c r="AP3445" s="17"/>
      <c r="AQ3445" s="17"/>
      <c r="AR3445" s="17"/>
      <c r="AS3445" s="17"/>
      <c r="AT3445" s="17"/>
      <c r="AU3445" s="17"/>
      <c r="AV3445" s="17"/>
    </row>
    <row r="3446" spans="1:48" ht="15.75" customHeight="1">
      <c r="A3446" s="21" t="s">
        <v>47</v>
      </c>
      <c r="B3446" s="23" t="s">
        <v>1692</v>
      </c>
      <c r="C3446" s="22">
        <v>45673</v>
      </c>
      <c r="D3446" s="23" t="s">
        <v>614</v>
      </c>
      <c r="E3446" s="23" t="s">
        <v>155</v>
      </c>
      <c r="F3446" s="14">
        <v>1</v>
      </c>
      <c r="G3446" s="12">
        <v>3400</v>
      </c>
      <c r="H3446" s="12">
        <v>3400</v>
      </c>
      <c r="I3446" s="23" t="s">
        <v>52</v>
      </c>
      <c r="J3446" s="23" t="s">
        <v>61</v>
      </c>
      <c r="K3446" s="24" t="s">
        <v>177</v>
      </c>
      <c r="L3446" s="26">
        <v>89</v>
      </c>
      <c r="M3446" s="12">
        <v>2857.1428571428573</v>
      </c>
      <c r="N3446" s="11">
        <v>2857.1428571428573</v>
      </c>
      <c r="O3446" s="11">
        <v>542.85714285714266</v>
      </c>
      <c r="P3446" s="13"/>
      <c r="Q3446" s="14">
        <v>2025</v>
      </c>
      <c r="R3446" s="15">
        <v>45292</v>
      </c>
      <c r="S3446" s="11" t="s">
        <v>453</v>
      </c>
      <c r="T3446" s="16">
        <v>0</v>
      </c>
      <c r="U3446" s="17"/>
      <c r="V3446" s="12">
        <v>1255.1428571428573</v>
      </c>
      <c r="W3446" s="12">
        <v>1255.1428571428573</v>
      </c>
      <c r="X3446" s="12">
        <v>0</v>
      </c>
      <c r="Y3446" s="18">
        <v>45670</v>
      </c>
      <c r="Z3446" s="13" t="s">
        <v>505</v>
      </c>
      <c r="AA3446" s="19" t="str">
        <f>VLOOKUP(D3446,Clientes!$A$2:$J$486,9,FALSE)</f>
        <v>Regular</v>
      </c>
      <c r="AB3446" s="13" t="str">
        <f>VLOOKUP(D3446,Clientes!$A$2:$K$486,11,FALSE)</f>
        <v>Persona Natural</v>
      </c>
      <c r="AC3446" s="13" t="str">
        <f>VLOOKUP(D3446,Clientes!$A$2:$B$486,2,FALSE)</f>
        <v xml:space="preserve">Condominio Lo Cañas
</v>
      </c>
      <c r="AD3446" s="20"/>
      <c r="AE3446" s="20"/>
      <c r="AF3446" s="13" t="s">
        <v>40</v>
      </c>
      <c r="AG3446" s="15">
        <v>45292</v>
      </c>
      <c r="AH3446" s="13" t="s">
        <v>41</v>
      </c>
      <c r="AI3446" s="13" t="s">
        <v>47</v>
      </c>
      <c r="AJ3446" s="13" t="str">
        <f>VLOOKUP(E3446,Precios!Z$2:AA$941,2,FALSE)</f>
        <v xml:space="preserve">Bolsas Basura TEDDY 50x70 </v>
      </c>
      <c r="AK3446" s="14">
        <f>VLOOKUP(E3446,Precios!Z$2:BB$941,3,FALSE)*F3446</f>
        <v>-6</v>
      </c>
      <c r="AL3446" s="17"/>
      <c r="AM3446" s="17"/>
      <c r="AN3446" s="17"/>
      <c r="AO3446" s="17"/>
      <c r="AP3446" s="17"/>
      <c r="AQ3446" s="17"/>
      <c r="AR3446" s="17"/>
      <c r="AS3446" s="17"/>
      <c r="AT3446" s="17"/>
      <c r="AU3446" s="17"/>
      <c r="AV3446" s="17"/>
    </row>
    <row r="3447" spans="1:48" ht="15.75" customHeight="1">
      <c r="A3447" s="21" t="s">
        <v>76</v>
      </c>
      <c r="B3447" s="23" t="s">
        <v>1692</v>
      </c>
      <c r="C3447" s="22">
        <v>45673</v>
      </c>
      <c r="D3447" s="23" t="s">
        <v>80</v>
      </c>
      <c r="E3447" s="23" t="s">
        <v>81</v>
      </c>
      <c r="F3447" s="14">
        <v>1</v>
      </c>
      <c r="G3447" s="12">
        <v>3500.0000000000005</v>
      </c>
      <c r="H3447" s="12">
        <v>3500.0000000000005</v>
      </c>
      <c r="I3447" s="23" t="s">
        <v>52</v>
      </c>
      <c r="J3447" s="23" t="s">
        <v>61</v>
      </c>
      <c r="K3447" s="24" t="s">
        <v>177</v>
      </c>
      <c r="L3447" s="26">
        <v>89</v>
      </c>
      <c r="M3447" s="12">
        <v>2941.1764705882356</v>
      </c>
      <c r="N3447" s="11">
        <v>2941.1764705882356</v>
      </c>
      <c r="O3447" s="11">
        <v>558.82352941176487</v>
      </c>
      <c r="P3447" s="13"/>
      <c r="Q3447" s="14">
        <v>2025</v>
      </c>
      <c r="R3447" s="15">
        <v>45292</v>
      </c>
      <c r="S3447" s="11" t="s">
        <v>397</v>
      </c>
      <c r="T3447" s="16">
        <v>5</v>
      </c>
      <c r="U3447" s="17"/>
      <c r="V3447" s="12">
        <v>764.70588235294144</v>
      </c>
      <c r="W3447" s="12">
        <v>764.70588235294144</v>
      </c>
      <c r="X3447" s="12">
        <v>0</v>
      </c>
      <c r="Y3447" s="18">
        <v>45670</v>
      </c>
      <c r="Z3447" s="13" t="s">
        <v>505</v>
      </c>
      <c r="AA3447" s="19" t="str">
        <f>VLOOKUP(D3447,Clientes!$A$2:$J$486,9,FALSE)</f>
        <v>Frecuente</v>
      </c>
      <c r="AB3447" s="13" t="str">
        <f>VLOOKUP(D3447,Clientes!$A$2:$K$486,11,FALSE)</f>
        <v>Persona Natural</v>
      </c>
      <c r="AC3447" s="13" t="str">
        <f>VLOOKUP(D3447,Clientes!$A$2:$B$486,2,FALSE)</f>
        <v>Jardines de la Viña</v>
      </c>
      <c r="AD3447" s="20"/>
      <c r="AE3447" s="20"/>
      <c r="AF3447" s="13" t="s">
        <v>40</v>
      </c>
      <c r="AG3447" s="15">
        <v>45292</v>
      </c>
      <c r="AH3447" s="13" t="s">
        <v>41</v>
      </c>
      <c r="AI3447" s="13" t="s">
        <v>76</v>
      </c>
      <c r="AJ3447" s="13" t="str">
        <f>VLOOKUP(E3447,Precios!Z$2:AA$941,2,FALSE)</f>
        <v>Detergente SPUM 5 Litros (Verde)</v>
      </c>
      <c r="AK3447" s="14">
        <f>VLOOKUP(E3447,Precios!Z$2:BB$941,3,FALSE)*F3447</f>
        <v>-1</v>
      </c>
      <c r="AL3447" s="17"/>
      <c r="AM3447" s="17"/>
      <c r="AN3447" s="17"/>
      <c r="AO3447" s="17"/>
      <c r="AP3447" s="17"/>
      <c r="AQ3447" s="17"/>
      <c r="AR3447" s="17"/>
      <c r="AS3447" s="17"/>
      <c r="AT3447" s="17"/>
      <c r="AU3447" s="17"/>
      <c r="AV3447" s="17"/>
    </row>
    <row r="3448" spans="1:48" ht="15.75" customHeight="1">
      <c r="A3448" s="21" t="s">
        <v>47</v>
      </c>
      <c r="B3448" s="23" t="s">
        <v>1692</v>
      </c>
      <c r="C3448" s="22">
        <v>45672</v>
      </c>
      <c r="D3448" s="23" t="s">
        <v>915</v>
      </c>
      <c r="E3448" s="23" t="s">
        <v>99</v>
      </c>
      <c r="F3448" s="14">
        <v>1</v>
      </c>
      <c r="G3448" s="12">
        <v>1200</v>
      </c>
      <c r="H3448" s="37">
        <v>1200</v>
      </c>
      <c r="I3448" s="23" t="s">
        <v>52</v>
      </c>
      <c r="J3448" s="23" t="s">
        <v>61</v>
      </c>
      <c r="K3448" s="24" t="s">
        <v>177</v>
      </c>
      <c r="L3448" s="26">
        <v>88</v>
      </c>
      <c r="M3448" s="12">
        <v>1008.4033613445379</v>
      </c>
      <c r="N3448" s="11">
        <v>1008.4033613445379</v>
      </c>
      <c r="O3448" s="11">
        <v>191.59663865546213</v>
      </c>
      <c r="P3448" s="13"/>
      <c r="Q3448" s="14">
        <v>2025</v>
      </c>
      <c r="R3448" s="15">
        <v>45292</v>
      </c>
      <c r="S3448" s="11" t="s">
        <v>453</v>
      </c>
      <c r="T3448" s="16">
        <v>0</v>
      </c>
      <c r="U3448" s="17"/>
      <c r="V3448" s="12">
        <v>294.11764705882354</v>
      </c>
      <c r="W3448" s="12">
        <v>294.11764705882354</v>
      </c>
      <c r="X3448" s="12">
        <v>0</v>
      </c>
      <c r="Y3448" s="18">
        <v>45670</v>
      </c>
      <c r="Z3448" s="13" t="s">
        <v>515</v>
      </c>
      <c r="AA3448" s="19" t="str">
        <f>VLOOKUP(D3448,Clientes!$A$2:$J$486,9,FALSE)</f>
        <v>Regular</v>
      </c>
      <c r="AB3448" s="13" t="str">
        <f>VLOOKUP(D3448,Clientes!$A$2:$K$486,11,FALSE)</f>
        <v>Persona Natural</v>
      </c>
      <c r="AC3448" s="13" t="str">
        <f>VLOOKUP(D3448,Clientes!$A$2:$B$486,2,FALSE)</f>
        <v>Jardin del Eden</v>
      </c>
      <c r="AD3448" s="20"/>
      <c r="AE3448" s="20"/>
      <c r="AF3448" s="13" t="s">
        <v>40</v>
      </c>
      <c r="AG3448" s="15">
        <v>45292</v>
      </c>
      <c r="AH3448" s="13" t="s">
        <v>41</v>
      </c>
      <c r="AI3448" s="13" t="s">
        <v>47</v>
      </c>
      <c r="AJ3448" s="13" t="str">
        <f>VLOOKUP(E3448,Precios!Z$2:AA$941,2,FALSE)</f>
        <v xml:space="preserve">Bolsas Basura TEDDY 70x90 </v>
      </c>
      <c r="AK3448" s="14">
        <f>VLOOKUP(E3448,Precios!Z$2:BB$941,3,FALSE)*F3448</f>
        <v>-1</v>
      </c>
      <c r="AL3448" s="17"/>
      <c r="AM3448" s="17"/>
      <c r="AN3448" s="17"/>
      <c r="AO3448" s="17"/>
      <c r="AP3448" s="17"/>
      <c r="AQ3448" s="17"/>
      <c r="AR3448" s="17"/>
      <c r="AS3448" s="17"/>
      <c r="AT3448" s="17"/>
      <c r="AU3448" s="17"/>
      <c r="AV3448" s="17"/>
    </row>
    <row r="3449" spans="1:48" ht="15.75" customHeight="1">
      <c r="A3449" s="21" t="s">
        <v>47</v>
      </c>
      <c r="B3449" s="23" t="s">
        <v>1692</v>
      </c>
      <c r="C3449" s="22">
        <v>45672</v>
      </c>
      <c r="D3449" s="23" t="s">
        <v>915</v>
      </c>
      <c r="E3449" s="23" t="s">
        <v>305</v>
      </c>
      <c r="F3449" s="14">
        <v>1</v>
      </c>
      <c r="G3449" s="12">
        <v>2999.9015263417036</v>
      </c>
      <c r="H3449" s="37">
        <v>2999.9015263417036</v>
      </c>
      <c r="I3449" s="23" t="s">
        <v>52</v>
      </c>
      <c r="J3449" s="23" t="s">
        <v>61</v>
      </c>
      <c r="K3449" s="24" t="s">
        <v>177</v>
      </c>
      <c r="L3449" s="26">
        <v>88</v>
      </c>
      <c r="M3449" s="12">
        <v>2520.9256523879862</v>
      </c>
      <c r="N3449" s="11">
        <v>2520.9256523879862</v>
      </c>
      <c r="O3449" s="11">
        <v>478.97587395371738</v>
      </c>
      <c r="P3449" s="13"/>
      <c r="Q3449" s="14">
        <v>2025</v>
      </c>
      <c r="R3449" s="15">
        <v>45292</v>
      </c>
      <c r="S3449" s="11" t="s">
        <v>600</v>
      </c>
      <c r="T3449" s="16">
        <v>0</v>
      </c>
      <c r="U3449" s="17"/>
      <c r="V3449" s="12">
        <v>984.92565238798625</v>
      </c>
      <c r="W3449" s="12">
        <v>984.92565238798625</v>
      </c>
      <c r="X3449" s="12">
        <v>0</v>
      </c>
      <c r="Y3449" s="18">
        <v>45670</v>
      </c>
      <c r="Z3449" s="13" t="s">
        <v>515</v>
      </c>
      <c r="AA3449" s="19" t="str">
        <f>VLOOKUP(D3449,Clientes!$A$2:$J$486,9,FALSE)</f>
        <v>Regular</v>
      </c>
      <c r="AB3449" s="13" t="str">
        <f>VLOOKUP(D3449,Clientes!$A$2:$K$486,11,FALSE)</f>
        <v>Persona Natural</v>
      </c>
      <c r="AC3449" s="13" t="str">
        <f>VLOOKUP(D3449,Clientes!$A$2:$B$486,2,FALSE)</f>
        <v>Jardin del Eden</v>
      </c>
      <c r="AD3449" s="20"/>
      <c r="AE3449" s="20"/>
      <c r="AF3449" s="13" t="s">
        <v>40</v>
      </c>
      <c r="AG3449" s="15">
        <v>45292</v>
      </c>
      <c r="AH3449" s="13" t="s">
        <v>41</v>
      </c>
      <c r="AI3449" s="13" t="s">
        <v>47</v>
      </c>
      <c r="AJ3449" s="13" t="str">
        <f>VLOOKUP(E3449,Precios!Z$2:AA$941,2,FALSE)</f>
        <v>Toallas Humedas Bebé TEDDY 80 unidades</v>
      </c>
      <c r="AK3449" s="14">
        <f>VLOOKUP(E3449,Precios!Z$2:BB$941,3,FALSE)*F3449</f>
        <v>-2</v>
      </c>
      <c r="AL3449" s="17"/>
      <c r="AM3449" s="17"/>
      <c r="AN3449" s="17"/>
      <c r="AO3449" s="17"/>
      <c r="AP3449" s="17"/>
      <c r="AQ3449" s="17"/>
      <c r="AR3449" s="17"/>
      <c r="AS3449" s="17"/>
      <c r="AT3449" s="17"/>
      <c r="AU3449" s="17"/>
      <c r="AV3449" s="17"/>
    </row>
    <row r="3450" spans="1:48" ht="15.75" customHeight="1">
      <c r="A3450" s="21" t="s">
        <v>35</v>
      </c>
      <c r="B3450" s="23" t="s">
        <v>1692</v>
      </c>
      <c r="C3450" s="22">
        <v>45672</v>
      </c>
      <c r="D3450" s="23" t="s">
        <v>915</v>
      </c>
      <c r="E3450" s="23" t="s">
        <v>37</v>
      </c>
      <c r="F3450" s="14">
        <v>1</v>
      </c>
      <c r="G3450" s="12">
        <v>10500</v>
      </c>
      <c r="H3450" s="37">
        <v>10500</v>
      </c>
      <c r="I3450" s="23" t="s">
        <v>52</v>
      </c>
      <c r="J3450" s="23" t="s">
        <v>61</v>
      </c>
      <c r="K3450" s="24" t="s">
        <v>177</v>
      </c>
      <c r="L3450" s="26">
        <v>88</v>
      </c>
      <c r="M3450" s="12">
        <v>8823.5294117647063</v>
      </c>
      <c r="N3450" s="11">
        <v>8823.5294117647063</v>
      </c>
      <c r="O3450" s="11">
        <v>1676.4705882352937</v>
      </c>
      <c r="P3450" s="13"/>
      <c r="Q3450" s="14">
        <v>2025</v>
      </c>
      <c r="R3450" s="15">
        <v>45292</v>
      </c>
      <c r="S3450" s="11" t="s">
        <v>364</v>
      </c>
      <c r="T3450" s="16">
        <v>1000</v>
      </c>
      <c r="U3450" s="17"/>
      <c r="V3450" s="12">
        <v>2385.7142857142853</v>
      </c>
      <c r="W3450" s="12">
        <v>2385.7142857142853</v>
      </c>
      <c r="X3450" s="12">
        <v>0</v>
      </c>
      <c r="Y3450" s="18">
        <v>45670</v>
      </c>
      <c r="Z3450" s="13" t="s">
        <v>515</v>
      </c>
      <c r="AA3450" s="19" t="str">
        <f>VLOOKUP(D3450,Clientes!$A$2:$J$486,9,FALSE)</f>
        <v>Regular</v>
      </c>
      <c r="AB3450" s="13" t="str">
        <f>VLOOKUP(D3450,Clientes!$A$2:$K$486,11,FALSE)</f>
        <v>Persona Natural</v>
      </c>
      <c r="AC3450" s="13" t="str">
        <f>VLOOKUP(D3450,Clientes!$A$2:$B$486,2,FALSE)</f>
        <v>Jardin del Eden</v>
      </c>
      <c r="AD3450" s="20"/>
      <c r="AE3450" s="20"/>
      <c r="AF3450" s="13" t="s">
        <v>40</v>
      </c>
      <c r="AG3450" s="15">
        <v>45292</v>
      </c>
      <c r="AH3450" s="13" t="s">
        <v>41</v>
      </c>
      <c r="AI3450" s="13" t="s">
        <v>35</v>
      </c>
      <c r="AJ3450" s="13" t="str">
        <f>VLOOKUP(E3450,Precios!Z$2:AA$941,2,FALSE)</f>
        <v>Queso RUNCA Mantecoso</v>
      </c>
      <c r="AK3450" s="14">
        <f>VLOOKUP(E3450,Precios!Z$2:BB$941,3,FALSE)*F3450</f>
        <v>-1</v>
      </c>
      <c r="AL3450" s="17"/>
      <c r="AM3450" s="17"/>
      <c r="AN3450" s="17"/>
      <c r="AO3450" s="17"/>
      <c r="AP3450" s="17"/>
      <c r="AQ3450" s="17"/>
      <c r="AR3450" s="17"/>
      <c r="AS3450" s="17"/>
      <c r="AT3450" s="17"/>
      <c r="AU3450" s="17"/>
      <c r="AV3450" s="17"/>
    </row>
    <row r="3451" spans="1:48" ht="15.75" customHeight="1">
      <c r="A3451" s="21" t="s">
        <v>53</v>
      </c>
      <c r="B3451" s="23" t="s">
        <v>1692</v>
      </c>
      <c r="C3451" s="22">
        <v>45672</v>
      </c>
      <c r="D3451" s="23" t="s">
        <v>238</v>
      </c>
      <c r="E3451" s="23" t="s">
        <v>97</v>
      </c>
      <c r="F3451" s="14">
        <v>1</v>
      </c>
      <c r="G3451" s="12">
        <v>15500.298388701016</v>
      </c>
      <c r="H3451" s="12">
        <v>15500.298388701016</v>
      </c>
      <c r="I3451" s="23" t="s">
        <v>52</v>
      </c>
      <c r="J3451" s="23" t="s">
        <v>61</v>
      </c>
      <c r="K3451" s="24" t="s">
        <v>177</v>
      </c>
      <c r="L3451" s="26">
        <v>88</v>
      </c>
      <c r="M3451" s="12">
        <v>13025.46083084119</v>
      </c>
      <c r="N3451" s="11">
        <v>13025.46083084119</v>
      </c>
      <c r="O3451" s="11">
        <v>2474.8375578598261</v>
      </c>
      <c r="P3451" s="13"/>
      <c r="Q3451" s="14">
        <v>2025</v>
      </c>
      <c r="R3451" s="15">
        <v>45292</v>
      </c>
      <c r="S3451" s="11" t="s">
        <v>366</v>
      </c>
      <c r="T3451" s="16">
        <v>0</v>
      </c>
      <c r="U3451" s="17"/>
      <c r="V3451" s="12">
        <v>3203.6120913453906</v>
      </c>
      <c r="W3451" s="12">
        <v>3203.6120913453906</v>
      </c>
      <c r="X3451" s="12">
        <v>0</v>
      </c>
      <c r="Y3451" s="18">
        <v>45670</v>
      </c>
      <c r="Z3451" s="13" t="s">
        <v>515</v>
      </c>
      <c r="AA3451" s="19" t="str">
        <f>VLOOKUP(D3451,Clientes!$A$2:$J$486,9,FALSE)</f>
        <v>Ocacional</v>
      </c>
      <c r="AB3451" s="13" t="str">
        <f>VLOOKUP(D3451,Clientes!$A$2:$K$486,11,FALSE)</f>
        <v>Persona Natural</v>
      </c>
      <c r="AC3451" s="13" t="str">
        <f>VLOOKUP(D3451,Clientes!$A$2:$B$486,2,FALSE)</f>
        <v>Araucana</v>
      </c>
      <c r="AD3451" s="20"/>
      <c r="AE3451" s="20"/>
      <c r="AF3451" s="13" t="s">
        <v>40</v>
      </c>
      <c r="AG3451" s="15">
        <v>45292</v>
      </c>
      <c r="AH3451" s="13" t="s">
        <v>41</v>
      </c>
      <c r="AI3451" s="13" t="s">
        <v>53</v>
      </c>
      <c r="AJ3451" s="13" t="str">
        <f>VLOOKUP(E3451,Precios!Z$2:AA$941,2,FALSE)</f>
        <v>Papel Higienico ELITE 50 metros</v>
      </c>
      <c r="AK3451" s="14">
        <f>VLOOKUP(E3451,Precios!Z$2:BB$941,3,FALSE)*F3451</f>
        <v>-6</v>
      </c>
      <c r="AL3451" s="17"/>
      <c r="AM3451" s="17"/>
      <c r="AN3451" s="17"/>
      <c r="AO3451" s="17"/>
      <c r="AP3451" s="17"/>
      <c r="AQ3451" s="17"/>
      <c r="AR3451" s="17"/>
      <c r="AS3451" s="17"/>
      <c r="AT3451" s="17"/>
      <c r="AU3451" s="17"/>
      <c r="AV3451" s="17"/>
    </row>
    <row r="3452" spans="1:48" ht="15.75" customHeight="1">
      <c r="A3452" s="21" t="s">
        <v>53</v>
      </c>
      <c r="B3452" s="23" t="s">
        <v>1692</v>
      </c>
      <c r="C3452" s="22">
        <v>45672</v>
      </c>
      <c r="D3452" s="23" t="s">
        <v>238</v>
      </c>
      <c r="E3452" s="23" t="s">
        <v>88</v>
      </c>
      <c r="F3452" s="14">
        <v>1</v>
      </c>
      <c r="G3452" s="12">
        <v>1999.9551032624961</v>
      </c>
      <c r="H3452" s="12">
        <v>1999.9551032624961</v>
      </c>
      <c r="I3452" s="23" t="s">
        <v>52</v>
      </c>
      <c r="J3452" s="23" t="s">
        <v>61</v>
      </c>
      <c r="K3452" s="24" t="s">
        <v>177</v>
      </c>
      <c r="L3452" s="26">
        <v>88</v>
      </c>
      <c r="M3452" s="12">
        <v>1680.6345405567195</v>
      </c>
      <c r="N3452" s="11">
        <v>1680.6345405567195</v>
      </c>
      <c r="O3452" s="11">
        <v>319.32056270577664</v>
      </c>
      <c r="P3452" s="13"/>
      <c r="Q3452" s="14">
        <v>2025</v>
      </c>
      <c r="R3452" s="15">
        <v>45292</v>
      </c>
      <c r="S3452" s="11" t="s">
        <v>410</v>
      </c>
      <c r="T3452" s="16">
        <v>0</v>
      </c>
      <c r="U3452" s="17"/>
      <c r="V3452" s="12">
        <v>557.63454055671946</v>
      </c>
      <c r="W3452" s="12">
        <v>557.63454055671946</v>
      </c>
      <c r="X3452" s="12">
        <v>0</v>
      </c>
      <c r="Y3452" s="18">
        <v>45670</v>
      </c>
      <c r="Z3452" s="13" t="s">
        <v>515</v>
      </c>
      <c r="AA3452" s="19" t="str">
        <f>VLOOKUP(D3452,Clientes!$A$2:$J$486,9,FALSE)</f>
        <v>Ocacional</v>
      </c>
      <c r="AB3452" s="13" t="str">
        <f>VLOOKUP(D3452,Clientes!$A$2:$K$486,11,FALSE)</f>
        <v>Persona Natural</v>
      </c>
      <c r="AC3452" s="13" t="str">
        <f>VLOOKUP(D3452,Clientes!$A$2:$B$486,2,FALSE)</f>
        <v>Araucana</v>
      </c>
      <c r="AD3452" s="20"/>
      <c r="AE3452" s="20"/>
      <c r="AF3452" s="13" t="s">
        <v>40</v>
      </c>
      <c r="AG3452" s="15">
        <v>45292</v>
      </c>
      <c r="AH3452" s="13" t="s">
        <v>41</v>
      </c>
      <c r="AI3452" s="13" t="s">
        <v>53</v>
      </c>
      <c r="AJ3452" s="13" t="str">
        <f>VLOOKUP(E3452,Precios!Z$2:AA$941,2,FALSE)</f>
        <v>Toalla Papel NOVA 26 metros</v>
      </c>
      <c r="AK3452" s="14">
        <f>VLOOKUP(E3452,Precios!Z$2:BB$941,3,FALSE)*F3452</f>
        <v>-1</v>
      </c>
      <c r="AL3452" s="17"/>
      <c r="AM3452" s="17"/>
      <c r="AN3452" s="17"/>
      <c r="AO3452" s="17"/>
      <c r="AP3452" s="17"/>
      <c r="AQ3452" s="17"/>
      <c r="AR3452" s="17"/>
      <c r="AS3452" s="17"/>
      <c r="AT3452" s="17"/>
      <c r="AU3452" s="17"/>
      <c r="AV3452" s="17"/>
    </row>
    <row r="3453" spans="1:48" ht="15.75" customHeight="1">
      <c r="A3453" s="21" t="s">
        <v>35</v>
      </c>
      <c r="B3453" s="23" t="s">
        <v>1692</v>
      </c>
      <c r="C3453" s="22">
        <v>45672</v>
      </c>
      <c r="D3453" s="23" t="s">
        <v>238</v>
      </c>
      <c r="E3453" s="23" t="s">
        <v>46</v>
      </c>
      <c r="F3453" s="14">
        <v>1</v>
      </c>
      <c r="G3453" s="12">
        <v>5500</v>
      </c>
      <c r="H3453" s="12">
        <v>5500</v>
      </c>
      <c r="I3453" s="23" t="s">
        <v>52</v>
      </c>
      <c r="J3453" s="23" t="s">
        <v>61</v>
      </c>
      <c r="K3453" s="24" t="s">
        <v>177</v>
      </c>
      <c r="L3453" s="26">
        <v>88</v>
      </c>
      <c r="M3453" s="12">
        <v>4621.8487394957983</v>
      </c>
      <c r="N3453" s="11">
        <v>4621.8487394957983</v>
      </c>
      <c r="O3453" s="11">
        <v>878.15126050420167</v>
      </c>
      <c r="P3453" s="13"/>
      <c r="Q3453" s="14">
        <v>2025</v>
      </c>
      <c r="R3453" s="15">
        <v>45292</v>
      </c>
      <c r="S3453" s="11" t="s">
        <v>364</v>
      </c>
      <c r="T3453" s="16">
        <v>500</v>
      </c>
      <c r="U3453" s="17"/>
      <c r="V3453" s="12">
        <v>1365.1260504201678</v>
      </c>
      <c r="W3453" s="12">
        <v>1365.1260504201678</v>
      </c>
      <c r="X3453" s="12">
        <v>0</v>
      </c>
      <c r="Y3453" s="18">
        <v>45670</v>
      </c>
      <c r="Z3453" s="13" t="s">
        <v>515</v>
      </c>
      <c r="AA3453" s="19" t="str">
        <f>VLOOKUP(D3453,Clientes!$A$2:$J$486,9,FALSE)</f>
        <v>Ocacional</v>
      </c>
      <c r="AB3453" s="13" t="str">
        <f>VLOOKUP(D3453,Clientes!$A$2:$K$486,11,FALSE)</f>
        <v>Persona Natural</v>
      </c>
      <c r="AC3453" s="13" t="str">
        <f>VLOOKUP(D3453,Clientes!$A$2:$B$486,2,FALSE)</f>
        <v>Araucana</v>
      </c>
      <c r="AD3453" s="20"/>
      <c r="AE3453" s="20"/>
      <c r="AF3453" s="13" t="s">
        <v>40</v>
      </c>
      <c r="AG3453" s="15">
        <v>45292</v>
      </c>
      <c r="AH3453" s="13" t="s">
        <v>41</v>
      </c>
      <c r="AI3453" s="13" t="s">
        <v>35</v>
      </c>
      <c r="AJ3453" s="13" t="str">
        <f>VLOOKUP(E3453,Precios!Z$2:AA$941,2,FALSE)</f>
        <v>Queso RUNCA Mantecoso</v>
      </c>
      <c r="AK3453" s="14">
        <f>VLOOKUP(E3453,Precios!Z$2:BB$941,3,FALSE)*F3453</f>
        <v>-0.5</v>
      </c>
      <c r="AL3453" s="17"/>
      <c r="AM3453" s="17"/>
      <c r="AN3453" s="17"/>
      <c r="AO3453" s="17"/>
      <c r="AP3453" s="17"/>
      <c r="AQ3453" s="17"/>
      <c r="AR3453" s="17"/>
      <c r="AS3453" s="17"/>
      <c r="AT3453" s="17"/>
      <c r="AU3453" s="17"/>
      <c r="AV3453" s="17"/>
    </row>
    <row r="3454" spans="1:48" ht="15.75" customHeight="1">
      <c r="A3454" s="21" t="s">
        <v>35</v>
      </c>
      <c r="B3454" s="23" t="s">
        <v>1692</v>
      </c>
      <c r="C3454" s="22">
        <v>45672</v>
      </c>
      <c r="D3454" s="23" t="s">
        <v>624</v>
      </c>
      <c r="E3454" s="23" t="s">
        <v>37</v>
      </c>
      <c r="F3454" s="14">
        <v>1</v>
      </c>
      <c r="G3454" s="12">
        <v>10500</v>
      </c>
      <c r="H3454" s="12">
        <v>10500</v>
      </c>
      <c r="I3454" s="23" t="s">
        <v>52</v>
      </c>
      <c r="J3454" s="23" t="s">
        <v>61</v>
      </c>
      <c r="K3454" s="24" t="s">
        <v>177</v>
      </c>
      <c r="L3454" s="26">
        <v>88</v>
      </c>
      <c r="M3454" s="12">
        <v>8823.5294117647063</v>
      </c>
      <c r="N3454" s="11">
        <v>8823.5294117647063</v>
      </c>
      <c r="O3454" s="11">
        <v>1676.4705882352937</v>
      </c>
      <c r="P3454" s="13"/>
      <c r="Q3454" s="14">
        <v>2025</v>
      </c>
      <c r="R3454" s="15">
        <v>45292</v>
      </c>
      <c r="S3454" s="11" t="s">
        <v>364</v>
      </c>
      <c r="T3454" s="16">
        <v>1000</v>
      </c>
      <c r="U3454" s="17"/>
      <c r="V3454" s="12">
        <v>2385.7142857142853</v>
      </c>
      <c r="W3454" s="12">
        <v>2385.7142857142853</v>
      </c>
      <c r="X3454" s="12">
        <v>0</v>
      </c>
      <c r="Y3454" s="18">
        <v>45670</v>
      </c>
      <c r="Z3454" s="13" t="s">
        <v>515</v>
      </c>
      <c r="AA3454" s="19" t="str">
        <f>VLOOKUP(D3454,Clientes!$A$2:$J$486,9,FALSE)</f>
        <v>Ocacional</v>
      </c>
      <c r="AB3454" s="13" t="str">
        <f>VLOOKUP(D3454,Clientes!$A$2:$K$486,11,FALSE)</f>
        <v>Persona Natural</v>
      </c>
      <c r="AC3454" s="13" t="str">
        <f>VLOOKUP(D3454,Clientes!$A$2:$B$486,2,FALSE)</f>
        <v>Sector Enrique Olivares</v>
      </c>
      <c r="AD3454" s="20"/>
      <c r="AE3454" s="20"/>
      <c r="AF3454" s="13" t="s">
        <v>40</v>
      </c>
      <c r="AG3454" s="15">
        <v>45292</v>
      </c>
      <c r="AH3454" s="13" t="s">
        <v>41</v>
      </c>
      <c r="AI3454" s="13" t="s">
        <v>35</v>
      </c>
      <c r="AJ3454" s="13" t="str">
        <f>VLOOKUP(E3454,Precios!Z$2:AA$941,2,FALSE)</f>
        <v>Queso RUNCA Mantecoso</v>
      </c>
      <c r="AK3454" s="14">
        <f>VLOOKUP(E3454,Precios!Z$2:BB$941,3,FALSE)*F3454</f>
        <v>-1</v>
      </c>
      <c r="AL3454" s="17"/>
      <c r="AM3454" s="17"/>
      <c r="AN3454" s="17"/>
      <c r="AO3454" s="17"/>
      <c r="AP3454" s="17"/>
      <c r="AQ3454" s="17"/>
      <c r="AR3454" s="17"/>
      <c r="AS3454" s="17"/>
      <c r="AT3454" s="17"/>
      <c r="AU3454" s="17"/>
      <c r="AV3454" s="17"/>
    </row>
    <row r="3455" spans="1:48" ht="15.75" customHeight="1">
      <c r="A3455" s="21" t="s">
        <v>76</v>
      </c>
      <c r="B3455" s="23" t="s">
        <v>1692</v>
      </c>
      <c r="C3455" s="22">
        <v>45672</v>
      </c>
      <c r="D3455" s="23" t="s">
        <v>624</v>
      </c>
      <c r="E3455" s="23" t="s">
        <v>77</v>
      </c>
      <c r="F3455" s="14">
        <v>1</v>
      </c>
      <c r="G3455" s="12">
        <v>1500.0000000000002</v>
      </c>
      <c r="H3455" s="12">
        <v>1500.0000000000002</v>
      </c>
      <c r="I3455" s="23" t="s">
        <v>52</v>
      </c>
      <c r="J3455" s="23" t="s">
        <v>61</v>
      </c>
      <c r="K3455" s="24" t="s">
        <v>177</v>
      </c>
      <c r="L3455" s="26">
        <v>88</v>
      </c>
      <c r="M3455" s="12">
        <v>1260.5042016806726</v>
      </c>
      <c r="N3455" s="11">
        <v>1260.5042016806726</v>
      </c>
      <c r="O3455" s="11">
        <v>239.4957983193276</v>
      </c>
      <c r="P3455" s="13"/>
      <c r="Q3455" s="14">
        <v>2025</v>
      </c>
      <c r="R3455" s="15">
        <v>45292</v>
      </c>
      <c r="S3455" s="11" t="s">
        <v>448</v>
      </c>
      <c r="T3455" s="16">
        <v>0</v>
      </c>
      <c r="U3455" s="17"/>
      <c r="V3455" s="12">
        <v>421.00840336134468</v>
      </c>
      <c r="W3455" s="12">
        <v>421.00840336134468</v>
      </c>
      <c r="X3455" s="12">
        <v>0</v>
      </c>
      <c r="Y3455" s="18">
        <v>45670</v>
      </c>
      <c r="Z3455" s="13" t="s">
        <v>515</v>
      </c>
      <c r="AA3455" s="19" t="str">
        <f>VLOOKUP(D3455,Clientes!$A$2:$J$486,9,FALSE)</f>
        <v>Ocacional</v>
      </c>
      <c r="AB3455" s="13" t="str">
        <f>VLOOKUP(D3455,Clientes!$A$2:$K$486,11,FALSE)</f>
        <v>Persona Natural</v>
      </c>
      <c r="AC3455" s="13" t="str">
        <f>VLOOKUP(D3455,Clientes!$A$2:$B$486,2,FALSE)</f>
        <v>Sector Enrique Olivares</v>
      </c>
      <c r="AD3455" s="20"/>
      <c r="AE3455" s="20"/>
      <c r="AF3455" s="13" t="s">
        <v>40</v>
      </c>
      <c r="AG3455" s="15">
        <v>45292</v>
      </c>
      <c r="AH3455" s="13" t="s">
        <v>41</v>
      </c>
      <c r="AI3455" s="13" t="s">
        <v>76</v>
      </c>
      <c r="AJ3455" s="13" t="str">
        <f>VLOOKUP(E3455,Precios!Z$2:AA$941,2,FALSE)</f>
        <v>Cloro GEL IGENIX 900ml</v>
      </c>
      <c r="AK3455" s="14">
        <f>VLOOKUP(E3455,Precios!Z$2:BB$941,3,FALSE)*F3455</f>
        <v>-1</v>
      </c>
      <c r="AL3455" s="17"/>
      <c r="AM3455" s="17"/>
      <c r="AN3455" s="17"/>
      <c r="AO3455" s="17"/>
      <c r="AP3455" s="17"/>
      <c r="AQ3455" s="17"/>
      <c r="AR3455" s="17"/>
      <c r="AS3455" s="17"/>
      <c r="AT3455" s="17"/>
      <c r="AU3455" s="17"/>
      <c r="AV3455" s="17"/>
    </row>
    <row r="3456" spans="1:48" ht="15.75" customHeight="1">
      <c r="A3456" s="21" t="s">
        <v>43</v>
      </c>
      <c r="B3456" s="23" t="s">
        <v>1692</v>
      </c>
      <c r="C3456" s="22">
        <v>45672</v>
      </c>
      <c r="D3456" s="23" t="s">
        <v>624</v>
      </c>
      <c r="E3456" s="23" t="s">
        <v>45</v>
      </c>
      <c r="F3456" s="14">
        <v>1</v>
      </c>
      <c r="G3456" s="12">
        <v>6499.7815321875905</v>
      </c>
      <c r="H3456" s="12">
        <v>6499.7815321875905</v>
      </c>
      <c r="I3456" s="23" t="s">
        <v>52</v>
      </c>
      <c r="J3456" s="23" t="s">
        <v>61</v>
      </c>
      <c r="K3456" s="24" t="s">
        <v>177</v>
      </c>
      <c r="L3456" s="26">
        <v>90</v>
      </c>
      <c r="M3456" s="12">
        <v>5462.0012875525972</v>
      </c>
      <c r="N3456" s="11">
        <v>5462.0012875525972</v>
      </c>
      <c r="O3456" s="11">
        <v>1037.7802446349933</v>
      </c>
      <c r="P3456" s="13"/>
      <c r="Q3456" s="14">
        <v>2025</v>
      </c>
      <c r="R3456" s="15">
        <v>45292</v>
      </c>
      <c r="S3456" s="11" t="s">
        <v>355</v>
      </c>
      <c r="T3456" s="16">
        <v>0</v>
      </c>
      <c r="U3456" s="17"/>
      <c r="V3456" s="12">
        <v>1711.7912035189838</v>
      </c>
      <c r="W3456" s="12">
        <v>1711.7912035189838</v>
      </c>
      <c r="X3456" s="12">
        <v>0</v>
      </c>
      <c r="Y3456" s="18">
        <v>45670</v>
      </c>
      <c r="Z3456" s="13" t="s">
        <v>515</v>
      </c>
      <c r="AA3456" s="19" t="str">
        <f>VLOOKUP(D3456,Clientes!$A$2:$J$486,9,FALSE)</f>
        <v>Ocacional</v>
      </c>
      <c r="AB3456" s="13" t="str">
        <f>VLOOKUP(D3456,Clientes!$A$2:$K$486,11,FALSE)</f>
        <v>Persona Natural</v>
      </c>
      <c r="AC3456" s="13" t="str">
        <f>VLOOKUP(D3456,Clientes!$A$2:$B$486,2,FALSE)</f>
        <v>Sector Enrique Olivares</v>
      </c>
      <c r="AD3456" s="20"/>
      <c r="AE3456" s="20"/>
      <c r="AF3456" s="13" t="s">
        <v>40</v>
      </c>
      <c r="AG3456" s="15">
        <v>45292</v>
      </c>
      <c r="AH3456" s="13" t="s">
        <v>41</v>
      </c>
      <c r="AI3456" s="13" t="s">
        <v>43</v>
      </c>
      <c r="AJ3456" s="13" t="str">
        <f>VLOOKUP(E3456,Precios!Z$2:AA$941,2,FALSE)</f>
        <v>Bandeja Huevos EXTRA</v>
      </c>
      <c r="AK3456" s="14">
        <f>VLOOKUP(E3456,Precios!Z$2:BB$941,3,FALSE)*F3456</f>
        <v>-1</v>
      </c>
      <c r="AL3456" s="17"/>
      <c r="AM3456" s="17"/>
      <c r="AN3456" s="17"/>
      <c r="AO3456" s="17"/>
      <c r="AP3456" s="17"/>
      <c r="AQ3456" s="17"/>
      <c r="AR3456" s="17"/>
      <c r="AS3456" s="17"/>
      <c r="AT3456" s="17"/>
      <c r="AU3456" s="17"/>
      <c r="AV3456" s="17"/>
    </row>
    <row r="3457" spans="1:48" ht="15.75" customHeight="1">
      <c r="A3457" s="21" t="s">
        <v>53</v>
      </c>
      <c r="B3457" s="23" t="s">
        <v>1692</v>
      </c>
      <c r="C3457" s="22">
        <v>45672</v>
      </c>
      <c r="D3457" s="23" t="s">
        <v>68</v>
      </c>
      <c r="E3457" s="23" t="s">
        <v>55</v>
      </c>
      <c r="F3457" s="14">
        <v>1</v>
      </c>
      <c r="G3457" s="12">
        <v>19989.738327347361</v>
      </c>
      <c r="H3457" s="12">
        <v>19989.738327347361</v>
      </c>
      <c r="I3457" s="23" t="s">
        <v>52</v>
      </c>
      <c r="J3457" s="23" t="s">
        <v>61</v>
      </c>
      <c r="K3457" s="24" t="s">
        <v>86</v>
      </c>
      <c r="L3457" s="26">
        <v>51</v>
      </c>
      <c r="M3457" s="12">
        <v>16798.099434745684</v>
      </c>
      <c r="N3457" s="11">
        <v>16798.099434745684</v>
      </c>
      <c r="O3457" s="11">
        <v>3191.6388926016771</v>
      </c>
      <c r="P3457" s="13"/>
      <c r="Q3457" s="14">
        <v>2025</v>
      </c>
      <c r="R3457" s="15">
        <v>45292</v>
      </c>
      <c r="S3457" s="11" t="s">
        <v>366</v>
      </c>
      <c r="T3457" s="16">
        <v>0</v>
      </c>
      <c r="U3457" s="17"/>
      <c r="V3457" s="12">
        <v>3702.3011154179476</v>
      </c>
      <c r="W3457" s="12">
        <v>3702.3011154179476</v>
      </c>
      <c r="X3457" s="12">
        <v>0</v>
      </c>
      <c r="Y3457" s="18">
        <v>45670</v>
      </c>
      <c r="Z3457" s="13" t="s">
        <v>515</v>
      </c>
      <c r="AA3457" s="19" t="str">
        <f>VLOOKUP(D3457,Clientes!$A$2:$J$486,9,FALSE)</f>
        <v>Frecuente</v>
      </c>
      <c r="AB3457" s="13" t="str">
        <f>VLOOKUP(D3457,Clientes!$A$2:$K$486,11,FALSE)</f>
        <v>Empresa</v>
      </c>
      <c r="AC3457" s="13" t="str">
        <f>VLOOKUP(D3457,Clientes!$A$2:$B$486,2,FALSE)</f>
        <v>Jardines de la viña</v>
      </c>
      <c r="AD3457" s="20"/>
      <c r="AE3457" s="20"/>
      <c r="AF3457" s="13" t="s">
        <v>40</v>
      </c>
      <c r="AG3457" s="15">
        <v>45292</v>
      </c>
      <c r="AH3457" s="13" t="s">
        <v>41</v>
      </c>
      <c r="AI3457" s="13" t="s">
        <v>53</v>
      </c>
      <c r="AJ3457" s="13" t="str">
        <f>VLOOKUP(E3457,Precios!Z$2:AA$941,2,FALSE)</f>
        <v>Papel Higienico ELITE 50 metros</v>
      </c>
      <c r="AK3457" s="14">
        <f>VLOOKUP(E3457,Precios!Z$2:BB$941,3,FALSE)*F3457</f>
        <v>-8</v>
      </c>
      <c r="AL3457" s="17"/>
      <c r="AM3457" s="17"/>
      <c r="AN3457" s="17"/>
      <c r="AO3457" s="17"/>
      <c r="AP3457" s="17"/>
      <c r="AQ3457" s="17"/>
      <c r="AR3457" s="17"/>
      <c r="AS3457" s="17"/>
      <c r="AT3457" s="17"/>
      <c r="AU3457" s="17"/>
      <c r="AV3457" s="17"/>
    </row>
    <row r="3458" spans="1:48" ht="15.75" customHeight="1">
      <c r="A3458" s="21" t="s">
        <v>53</v>
      </c>
      <c r="B3458" s="23" t="s">
        <v>1692</v>
      </c>
      <c r="C3458" s="22">
        <v>45672</v>
      </c>
      <c r="D3458" s="23" t="s">
        <v>68</v>
      </c>
      <c r="E3458" s="23" t="s">
        <v>109</v>
      </c>
      <c r="F3458" s="14">
        <v>1</v>
      </c>
      <c r="G3458" s="12">
        <v>10000</v>
      </c>
      <c r="H3458" s="12">
        <v>10000</v>
      </c>
      <c r="I3458" s="23" t="s">
        <v>52</v>
      </c>
      <c r="J3458" s="23" t="s">
        <v>61</v>
      </c>
      <c r="K3458" s="24" t="s">
        <v>86</v>
      </c>
      <c r="L3458" s="26">
        <v>51</v>
      </c>
      <c r="M3458" s="12">
        <v>8403.361344537816</v>
      </c>
      <c r="N3458" s="11">
        <v>8403.361344537816</v>
      </c>
      <c r="O3458" s="11">
        <v>1596.638655462184</v>
      </c>
      <c r="P3458" s="13"/>
      <c r="Q3458" s="14">
        <v>2025</v>
      </c>
      <c r="R3458" s="15">
        <v>45292</v>
      </c>
      <c r="S3458" s="11" t="s">
        <v>395</v>
      </c>
      <c r="T3458" s="16">
        <v>400</v>
      </c>
      <c r="U3458" s="17"/>
      <c r="V3458" s="12">
        <v>2100.8403361344544</v>
      </c>
      <c r="W3458" s="12">
        <v>2100.8403361344544</v>
      </c>
      <c r="X3458" s="12">
        <v>0</v>
      </c>
      <c r="Y3458" s="18">
        <v>45670</v>
      </c>
      <c r="Z3458" s="13" t="s">
        <v>515</v>
      </c>
      <c r="AA3458" s="19" t="str">
        <f>VLOOKUP(D3458,Clientes!$A$2:$J$486,9,FALSE)</f>
        <v>Frecuente</v>
      </c>
      <c r="AB3458" s="13" t="str">
        <f>VLOOKUP(D3458,Clientes!$A$2:$K$486,11,FALSE)</f>
        <v>Empresa</v>
      </c>
      <c r="AC3458" s="13" t="str">
        <f>VLOOKUP(D3458,Clientes!$A$2:$B$486,2,FALSE)</f>
        <v>Jardines de la viña</v>
      </c>
      <c r="AD3458" s="20"/>
      <c r="AE3458" s="20"/>
      <c r="AF3458" s="13" t="s">
        <v>40</v>
      </c>
      <c r="AG3458" s="15">
        <v>45292</v>
      </c>
      <c r="AH3458" s="13" t="s">
        <v>41</v>
      </c>
      <c r="AI3458" s="13" t="s">
        <v>53</v>
      </c>
      <c r="AJ3458" s="13" t="str">
        <f>VLOOKUP(E3458,Precios!Z$2:AA$941,2,FALSE)</f>
        <v>Toalla Papel SPUM D/H 100 metros</v>
      </c>
      <c r="AK3458" s="14">
        <f>VLOOKUP(E3458,Precios!Z$2:BB$941,3,FALSE)*F3458</f>
        <v>-4</v>
      </c>
      <c r="AL3458" s="17"/>
      <c r="AM3458" s="17"/>
      <c r="AN3458" s="17"/>
      <c r="AO3458" s="17"/>
      <c r="AP3458" s="17"/>
      <c r="AQ3458" s="17"/>
      <c r="AR3458" s="17"/>
      <c r="AS3458" s="17"/>
      <c r="AT3458" s="17"/>
      <c r="AU3458" s="17"/>
      <c r="AV3458" s="17"/>
    </row>
    <row r="3459" spans="1:48" ht="15.75" customHeight="1">
      <c r="A3459" s="21" t="s">
        <v>47</v>
      </c>
      <c r="B3459" s="23" t="s">
        <v>1692</v>
      </c>
      <c r="C3459" s="22">
        <v>45672</v>
      </c>
      <c r="D3459" s="23" t="s">
        <v>68</v>
      </c>
      <c r="E3459" s="23" t="s">
        <v>306</v>
      </c>
      <c r="F3459" s="14">
        <v>1</v>
      </c>
      <c r="G3459" s="12">
        <v>8000.0000000000009</v>
      </c>
      <c r="H3459" s="12">
        <v>8000.0000000000009</v>
      </c>
      <c r="I3459" s="23" t="s">
        <v>52</v>
      </c>
      <c r="J3459" s="23" t="s">
        <v>61</v>
      </c>
      <c r="K3459" s="24" t="s">
        <v>86</v>
      </c>
      <c r="L3459" s="26">
        <v>51</v>
      </c>
      <c r="M3459" s="12">
        <v>6722.6890756302528</v>
      </c>
      <c r="N3459" s="11">
        <v>6722.6890756302528</v>
      </c>
      <c r="O3459" s="11">
        <v>1277.3109243697481</v>
      </c>
      <c r="P3459" s="13"/>
      <c r="Q3459" s="14">
        <v>2025</v>
      </c>
      <c r="R3459" s="15">
        <v>45292</v>
      </c>
      <c r="S3459" s="11" t="s">
        <v>372</v>
      </c>
      <c r="T3459" s="16">
        <v>0</v>
      </c>
      <c r="U3459" s="17"/>
      <c r="V3459" s="12">
        <v>1781.5126050420176</v>
      </c>
      <c r="W3459" s="12">
        <v>1781.5126050420176</v>
      </c>
      <c r="X3459" s="12">
        <v>0</v>
      </c>
      <c r="Y3459" s="18">
        <v>45670</v>
      </c>
      <c r="Z3459" s="13" t="s">
        <v>515</v>
      </c>
      <c r="AA3459" s="19" t="str">
        <f>VLOOKUP(D3459,Clientes!$A$2:$J$486,9,FALSE)</f>
        <v>Frecuente</v>
      </c>
      <c r="AB3459" s="13" t="str">
        <f>VLOOKUP(D3459,Clientes!$A$2:$K$486,11,FALSE)</f>
        <v>Empresa</v>
      </c>
      <c r="AC3459" s="13" t="str">
        <f>VLOOKUP(D3459,Clientes!$A$2:$B$486,2,FALSE)</f>
        <v>Jardines de la viña</v>
      </c>
      <c r="AD3459" s="20"/>
      <c r="AE3459" s="20"/>
      <c r="AF3459" s="13" t="s">
        <v>40</v>
      </c>
      <c r="AG3459" s="15">
        <v>45292</v>
      </c>
      <c r="AH3459" s="13" t="s">
        <v>41</v>
      </c>
      <c r="AI3459" s="13" t="s">
        <v>47</v>
      </c>
      <c r="AJ3459" s="13" t="str">
        <f>VLOOKUP(E3459,Precios!Z$2:AA$941,2,FALSE)</f>
        <v>Traperos Humedos VIRGINIA</v>
      </c>
      <c r="AK3459" s="14">
        <f>VLOOKUP(E3459,Precios!Z$2:BB$941,3,FALSE)*F3459</f>
        <v>-3</v>
      </c>
      <c r="AL3459" s="17"/>
      <c r="AM3459" s="17"/>
      <c r="AN3459" s="17"/>
      <c r="AO3459" s="17"/>
      <c r="AP3459" s="17"/>
      <c r="AQ3459" s="17"/>
      <c r="AR3459" s="17"/>
      <c r="AS3459" s="17"/>
      <c r="AT3459" s="17"/>
      <c r="AU3459" s="17"/>
      <c r="AV3459" s="17"/>
    </row>
    <row r="3460" spans="1:48" ht="15.75" customHeight="1">
      <c r="A3460" s="21" t="s">
        <v>47</v>
      </c>
      <c r="B3460" s="23" t="s">
        <v>1692</v>
      </c>
      <c r="C3460" s="22">
        <v>45672</v>
      </c>
      <c r="D3460" s="23" t="s">
        <v>68</v>
      </c>
      <c r="E3460" s="23" t="s">
        <v>48</v>
      </c>
      <c r="F3460" s="14">
        <v>1</v>
      </c>
      <c r="G3460" s="12">
        <v>1000</v>
      </c>
      <c r="H3460" s="12">
        <v>1000</v>
      </c>
      <c r="I3460" s="23" t="s">
        <v>52</v>
      </c>
      <c r="J3460" s="23" t="s">
        <v>61</v>
      </c>
      <c r="K3460" s="24" t="s">
        <v>86</v>
      </c>
      <c r="L3460" s="26">
        <v>51</v>
      </c>
      <c r="M3460" s="12">
        <v>840.3361344537816</v>
      </c>
      <c r="N3460" s="11">
        <v>840.3361344537816</v>
      </c>
      <c r="O3460" s="11">
        <v>159.6638655462184</v>
      </c>
      <c r="P3460" s="13"/>
      <c r="Q3460" s="14">
        <v>2025</v>
      </c>
      <c r="R3460" s="15">
        <v>45292</v>
      </c>
      <c r="S3460" s="11" t="s">
        <v>416</v>
      </c>
      <c r="T3460" s="16">
        <v>0</v>
      </c>
      <c r="U3460" s="17"/>
      <c r="V3460" s="12">
        <v>330.33613445378148</v>
      </c>
      <c r="W3460" s="12">
        <v>330.33613445378148</v>
      </c>
      <c r="X3460" s="12">
        <v>0</v>
      </c>
      <c r="Y3460" s="18">
        <v>45670</v>
      </c>
      <c r="Z3460" s="13" t="s">
        <v>515</v>
      </c>
      <c r="AA3460" s="19" t="str">
        <f>VLOOKUP(D3460,Clientes!$A$2:$J$486,9,FALSE)</f>
        <v>Frecuente</v>
      </c>
      <c r="AB3460" s="13" t="str">
        <f>VLOOKUP(D3460,Clientes!$A$2:$K$486,11,FALSE)</f>
        <v>Empresa</v>
      </c>
      <c r="AC3460" s="13" t="str">
        <f>VLOOKUP(D3460,Clientes!$A$2:$B$486,2,FALSE)</f>
        <v>Jardines de la viña</v>
      </c>
      <c r="AD3460" s="20"/>
      <c r="AE3460" s="20"/>
      <c r="AF3460" s="13" t="s">
        <v>40</v>
      </c>
      <c r="AG3460" s="15">
        <v>45292</v>
      </c>
      <c r="AH3460" s="13" t="s">
        <v>41</v>
      </c>
      <c r="AI3460" s="13" t="s">
        <v>47</v>
      </c>
      <c r="AJ3460" s="13" t="str">
        <f>VLOOKUP(E3460,Precios!Z$2:AA$941,2,FALSE)</f>
        <v>Esponja Acanalada TEDDY</v>
      </c>
      <c r="AK3460" s="14">
        <f>VLOOKUP(E3460,Precios!Z$2:BB$941,3,FALSE)*F3460</f>
        <v>-5</v>
      </c>
      <c r="AL3460" s="17"/>
      <c r="AM3460" s="17"/>
      <c r="AN3460" s="17"/>
      <c r="AO3460" s="17"/>
      <c r="AP3460" s="17"/>
      <c r="AQ3460" s="17"/>
      <c r="AR3460" s="17"/>
      <c r="AS3460" s="17"/>
      <c r="AT3460" s="17"/>
      <c r="AU3460" s="17"/>
      <c r="AV3460" s="17"/>
    </row>
    <row r="3461" spans="1:48" ht="15.75" customHeight="1">
      <c r="A3461" s="21" t="s">
        <v>43</v>
      </c>
      <c r="B3461" s="23" t="s">
        <v>1692</v>
      </c>
      <c r="C3461" s="22">
        <v>45672</v>
      </c>
      <c r="D3461" s="23" t="s">
        <v>215</v>
      </c>
      <c r="E3461" s="23" t="s">
        <v>776</v>
      </c>
      <c r="F3461" s="14">
        <v>1</v>
      </c>
      <c r="G3461" s="12">
        <v>12500</v>
      </c>
      <c r="H3461" s="12">
        <v>12500</v>
      </c>
      <c r="I3461" s="23" t="s">
        <v>52</v>
      </c>
      <c r="J3461" s="23" t="s">
        <v>61</v>
      </c>
      <c r="K3461" s="24" t="s">
        <v>177</v>
      </c>
      <c r="L3461" s="26">
        <v>88</v>
      </c>
      <c r="M3461" s="12">
        <v>10504.20168067227</v>
      </c>
      <c r="N3461" s="11">
        <v>10504.20168067227</v>
      </c>
      <c r="O3461" s="11">
        <v>1995.7983193277305</v>
      </c>
      <c r="P3461" s="13"/>
      <c r="Q3461" s="14">
        <v>2025</v>
      </c>
      <c r="R3461" s="15">
        <v>45292</v>
      </c>
      <c r="S3461" s="11" t="s">
        <v>355</v>
      </c>
      <c r="T3461" s="16">
        <v>0</v>
      </c>
      <c r="U3461" s="17"/>
      <c r="V3461" s="12">
        <v>3004.2016806722695</v>
      </c>
      <c r="W3461" s="12">
        <v>3004.2016806722695</v>
      </c>
      <c r="X3461" s="12">
        <v>0</v>
      </c>
      <c r="Y3461" s="18">
        <v>45670</v>
      </c>
      <c r="Z3461" s="13" t="s">
        <v>515</v>
      </c>
      <c r="AA3461" s="19" t="str">
        <f>VLOOKUP(D3461,Clientes!$A$2:$J$486,9,FALSE)</f>
        <v>Ocacional</v>
      </c>
      <c r="AB3461" s="13" t="str">
        <f>VLOOKUP(D3461,Clientes!$A$2:$K$486,11,FALSE)</f>
        <v>Persona Natural</v>
      </c>
      <c r="AC3461" s="13" t="str">
        <f>VLOOKUP(D3461,Clientes!$A$2:$B$486,2,FALSE)</f>
        <v>Palena</v>
      </c>
      <c r="AD3461" s="20"/>
      <c r="AE3461" s="20"/>
      <c r="AF3461" s="13" t="s">
        <v>40</v>
      </c>
      <c r="AG3461" s="15">
        <v>45292</v>
      </c>
      <c r="AH3461" s="13" t="s">
        <v>41</v>
      </c>
      <c r="AI3461" s="13" t="s">
        <v>43</v>
      </c>
      <c r="AJ3461" s="13" t="str">
        <f>VLOOKUP(E3461,Precios!Z$2:AA$941,2,FALSE)</f>
        <v>Bandeja Huevos EXTRA</v>
      </c>
      <c r="AK3461" s="14">
        <f>VLOOKUP(E3461,Precios!Z$2:BB$941,3,FALSE)*F3461</f>
        <v>-2</v>
      </c>
      <c r="AL3461" s="17"/>
      <c r="AM3461" s="17"/>
      <c r="AN3461" s="17"/>
      <c r="AO3461" s="17"/>
      <c r="AP3461" s="17"/>
      <c r="AQ3461" s="17"/>
      <c r="AR3461" s="17"/>
      <c r="AS3461" s="17"/>
      <c r="AT3461" s="17"/>
      <c r="AU3461" s="17"/>
      <c r="AV3461" s="17"/>
    </row>
    <row r="3462" spans="1:48" ht="15.75" customHeight="1">
      <c r="A3462" s="21" t="s">
        <v>43</v>
      </c>
      <c r="B3462" s="23" t="s">
        <v>1692</v>
      </c>
      <c r="C3462" s="22">
        <v>45672</v>
      </c>
      <c r="D3462" s="23" t="s">
        <v>391</v>
      </c>
      <c r="E3462" s="23" t="s">
        <v>45</v>
      </c>
      <c r="F3462" s="14">
        <v>1</v>
      </c>
      <c r="G3462" s="12">
        <v>6499.7815321875905</v>
      </c>
      <c r="H3462" s="12">
        <v>6499.7815321875905</v>
      </c>
      <c r="I3462" s="23" t="s">
        <v>52</v>
      </c>
      <c r="J3462" s="23" t="s">
        <v>61</v>
      </c>
      <c r="K3462" s="24" t="s">
        <v>177</v>
      </c>
      <c r="L3462" s="26">
        <v>88</v>
      </c>
      <c r="M3462" s="12">
        <v>5462.0012875525972</v>
      </c>
      <c r="N3462" s="11">
        <v>5462.0012875525972</v>
      </c>
      <c r="O3462" s="11">
        <v>1037.7802446349933</v>
      </c>
      <c r="P3462" s="13"/>
      <c r="Q3462" s="14">
        <v>2025</v>
      </c>
      <c r="R3462" s="15">
        <v>45292</v>
      </c>
      <c r="S3462" s="11" t="s">
        <v>355</v>
      </c>
      <c r="T3462" s="16">
        <v>0</v>
      </c>
      <c r="U3462" s="17"/>
      <c r="V3462" s="12">
        <v>1711.7912035189838</v>
      </c>
      <c r="W3462" s="12">
        <v>1711.7912035189838</v>
      </c>
      <c r="X3462" s="12">
        <v>0</v>
      </c>
      <c r="Y3462" s="18">
        <v>45670</v>
      </c>
      <c r="Z3462" s="13" t="s">
        <v>515</v>
      </c>
      <c r="AA3462" s="19" t="str">
        <f>VLOOKUP(D3462,Clientes!$A$2:$J$486,9,FALSE)</f>
        <v>Ocacional</v>
      </c>
      <c r="AB3462" s="13" t="str">
        <f>VLOOKUP(D3462,Clientes!$A$2:$K$486,11,FALSE)</f>
        <v>Persona Natural</v>
      </c>
      <c r="AC3462" s="13" t="str">
        <f>VLOOKUP(D3462,Clientes!$A$2:$B$486,2,FALSE)</f>
        <v>Santa Ines</v>
      </c>
      <c r="AD3462" s="20"/>
      <c r="AE3462" s="20"/>
      <c r="AF3462" s="13" t="s">
        <v>40</v>
      </c>
      <c r="AG3462" s="15">
        <v>45292</v>
      </c>
      <c r="AH3462" s="13" t="s">
        <v>41</v>
      </c>
      <c r="AI3462" s="13" t="s">
        <v>43</v>
      </c>
      <c r="AJ3462" s="13" t="str">
        <f>VLOOKUP(E3462,Precios!Z$2:AA$941,2,FALSE)</f>
        <v>Bandeja Huevos EXTRA</v>
      </c>
      <c r="AK3462" s="14">
        <f>VLOOKUP(E3462,Precios!Z$2:BB$941,3,FALSE)*F3462</f>
        <v>-1</v>
      </c>
      <c r="AL3462" s="17"/>
      <c r="AM3462" s="17"/>
      <c r="AN3462" s="17"/>
      <c r="AO3462" s="17"/>
      <c r="AP3462" s="17"/>
      <c r="AQ3462" s="17"/>
      <c r="AR3462" s="17"/>
      <c r="AS3462" s="17"/>
      <c r="AT3462" s="17"/>
      <c r="AU3462" s="17"/>
      <c r="AV3462" s="17"/>
    </row>
    <row r="3463" spans="1:48" ht="15.75" customHeight="1">
      <c r="A3463" s="21" t="s">
        <v>43</v>
      </c>
      <c r="B3463" s="23" t="s">
        <v>1692</v>
      </c>
      <c r="C3463" s="22">
        <v>45671</v>
      </c>
      <c r="D3463" s="23" t="s">
        <v>108</v>
      </c>
      <c r="E3463" s="23" t="s">
        <v>45</v>
      </c>
      <c r="F3463" s="14">
        <v>1</v>
      </c>
      <c r="G3463" s="12">
        <v>6499.7815321875905</v>
      </c>
      <c r="H3463" s="12">
        <v>6499.7815321875905</v>
      </c>
      <c r="I3463" s="23" t="s">
        <v>52</v>
      </c>
      <c r="J3463" s="23" t="s">
        <v>61</v>
      </c>
      <c r="K3463" s="24" t="s">
        <v>177</v>
      </c>
      <c r="L3463" s="26">
        <v>88</v>
      </c>
      <c r="M3463" s="12">
        <v>5462.0012875525972</v>
      </c>
      <c r="N3463" s="11">
        <v>5462.0012875525972</v>
      </c>
      <c r="O3463" s="11">
        <v>1037.7802446349933</v>
      </c>
      <c r="P3463" s="13"/>
      <c r="Q3463" s="14">
        <v>2025</v>
      </c>
      <c r="R3463" s="15">
        <v>45292</v>
      </c>
      <c r="S3463" s="11" t="s">
        <v>355</v>
      </c>
      <c r="T3463" s="16">
        <v>0</v>
      </c>
      <c r="U3463" s="17"/>
      <c r="V3463" s="12">
        <v>1711.7912035189838</v>
      </c>
      <c r="W3463" s="12">
        <v>1711.7912035189838</v>
      </c>
      <c r="X3463" s="12">
        <v>0</v>
      </c>
      <c r="Y3463" s="18">
        <v>45670</v>
      </c>
      <c r="Z3463" s="13" t="s">
        <v>516</v>
      </c>
      <c r="AA3463" s="19" t="str">
        <f>VLOOKUP(D3463,Clientes!$A$2:$J$486,9,FALSE)</f>
        <v>Frecuente</v>
      </c>
      <c r="AB3463" s="13" t="str">
        <f>VLOOKUP(D3463,Clientes!$A$2:$K$486,11,FALSE)</f>
        <v>Persona Natural</v>
      </c>
      <c r="AC3463" s="13" t="str">
        <f>VLOOKUP(D3463,Clientes!$A$2:$B$486,2,FALSE)</f>
        <v>Jardines de la Viña</v>
      </c>
      <c r="AD3463" s="20"/>
      <c r="AE3463" s="20"/>
      <c r="AF3463" s="13" t="s">
        <v>40</v>
      </c>
      <c r="AG3463" s="15">
        <v>45292</v>
      </c>
      <c r="AH3463" s="13" t="s">
        <v>41</v>
      </c>
      <c r="AI3463" s="13" t="s">
        <v>43</v>
      </c>
      <c r="AJ3463" s="13" t="str">
        <f>VLOOKUP(E3463,Precios!Z$2:AA$941,2,FALSE)</f>
        <v>Bandeja Huevos EXTRA</v>
      </c>
      <c r="AK3463" s="14">
        <f>VLOOKUP(E3463,Precios!Z$2:BB$941,3,FALSE)*F3463</f>
        <v>-1</v>
      </c>
      <c r="AL3463" s="17"/>
      <c r="AM3463" s="17"/>
      <c r="AN3463" s="17"/>
      <c r="AO3463" s="17"/>
      <c r="AP3463" s="17"/>
      <c r="AQ3463" s="17"/>
      <c r="AR3463" s="17"/>
      <c r="AS3463" s="17"/>
      <c r="AT3463" s="17"/>
      <c r="AU3463" s="17"/>
      <c r="AV3463" s="17"/>
    </row>
    <row r="3464" spans="1:48" ht="15.75" customHeight="1">
      <c r="A3464" s="21" t="s">
        <v>76</v>
      </c>
      <c r="B3464" s="23" t="s">
        <v>1692</v>
      </c>
      <c r="C3464" s="22">
        <v>45671</v>
      </c>
      <c r="D3464" s="23" t="s">
        <v>108</v>
      </c>
      <c r="E3464" s="23" t="s">
        <v>81</v>
      </c>
      <c r="F3464" s="14">
        <v>1</v>
      </c>
      <c r="G3464" s="12">
        <v>3500.0000000000005</v>
      </c>
      <c r="H3464" s="12">
        <v>3500.0000000000005</v>
      </c>
      <c r="I3464" s="23" t="s">
        <v>52</v>
      </c>
      <c r="J3464" s="23" t="s">
        <v>61</v>
      </c>
      <c r="K3464" s="24" t="s">
        <v>177</v>
      </c>
      <c r="L3464" s="26">
        <v>88</v>
      </c>
      <c r="M3464" s="12">
        <v>2941.1764705882356</v>
      </c>
      <c r="N3464" s="11">
        <v>2941.1764705882356</v>
      </c>
      <c r="O3464" s="11">
        <v>558.82352941176487</v>
      </c>
      <c r="P3464" s="13"/>
      <c r="Q3464" s="14">
        <v>2025</v>
      </c>
      <c r="R3464" s="15">
        <v>45292</v>
      </c>
      <c r="S3464" s="11" t="s">
        <v>397</v>
      </c>
      <c r="T3464" s="16">
        <v>5</v>
      </c>
      <c r="U3464" s="17"/>
      <c r="V3464" s="12">
        <v>764.70588235294144</v>
      </c>
      <c r="W3464" s="12">
        <v>764.70588235294144</v>
      </c>
      <c r="X3464" s="12">
        <v>0</v>
      </c>
      <c r="Y3464" s="18">
        <v>45670</v>
      </c>
      <c r="Z3464" s="13" t="s">
        <v>516</v>
      </c>
      <c r="AA3464" s="19" t="str">
        <f>VLOOKUP(D3464,Clientes!$A$2:$J$486,9,FALSE)</f>
        <v>Frecuente</v>
      </c>
      <c r="AB3464" s="13" t="str">
        <f>VLOOKUP(D3464,Clientes!$A$2:$K$486,11,FALSE)</f>
        <v>Persona Natural</v>
      </c>
      <c r="AC3464" s="13" t="str">
        <f>VLOOKUP(D3464,Clientes!$A$2:$B$486,2,FALSE)</f>
        <v>Jardines de la Viña</v>
      </c>
      <c r="AD3464" s="20"/>
      <c r="AE3464" s="20"/>
      <c r="AF3464" s="13" t="s">
        <v>40</v>
      </c>
      <c r="AG3464" s="15">
        <v>45292</v>
      </c>
      <c r="AH3464" s="13" t="s">
        <v>41</v>
      </c>
      <c r="AI3464" s="13" t="s">
        <v>76</v>
      </c>
      <c r="AJ3464" s="13" t="str">
        <f>VLOOKUP(E3464,Precios!Z$2:AA$941,2,FALSE)</f>
        <v>Detergente SPUM 5 Litros (Verde)</v>
      </c>
      <c r="AK3464" s="14">
        <f>VLOOKUP(E3464,Precios!Z$2:BB$941,3,FALSE)*F3464</f>
        <v>-1</v>
      </c>
      <c r="AL3464" s="17"/>
      <c r="AM3464" s="17"/>
      <c r="AN3464" s="17"/>
      <c r="AO3464" s="17"/>
      <c r="AP3464" s="17"/>
      <c r="AQ3464" s="17"/>
      <c r="AR3464" s="17"/>
      <c r="AS3464" s="17"/>
      <c r="AT3464" s="17"/>
      <c r="AU3464" s="17"/>
      <c r="AV3464" s="17"/>
    </row>
    <row r="3465" spans="1:48" ht="15.75" customHeight="1">
      <c r="A3465" s="21" t="s">
        <v>43</v>
      </c>
      <c r="B3465" s="23" t="s">
        <v>1692</v>
      </c>
      <c r="C3465" s="22">
        <v>45671</v>
      </c>
      <c r="D3465" s="23" t="s">
        <v>184</v>
      </c>
      <c r="E3465" s="23" t="s">
        <v>45</v>
      </c>
      <c r="F3465" s="14">
        <v>1</v>
      </c>
      <c r="G3465" s="12">
        <v>6499.7815321875905</v>
      </c>
      <c r="H3465" s="12">
        <v>6499.7815321875905</v>
      </c>
      <c r="I3465" s="23" t="s">
        <v>52</v>
      </c>
      <c r="J3465" s="23" t="s">
        <v>61</v>
      </c>
      <c r="K3465" s="24" t="s">
        <v>177</v>
      </c>
      <c r="L3465" s="26">
        <v>88</v>
      </c>
      <c r="M3465" s="12">
        <v>5462.0012875525972</v>
      </c>
      <c r="N3465" s="11">
        <v>5462.0012875525972</v>
      </c>
      <c r="O3465" s="11">
        <v>1037.7802446349933</v>
      </c>
      <c r="P3465" s="13"/>
      <c r="Q3465" s="14">
        <v>2025</v>
      </c>
      <c r="R3465" s="15">
        <v>45292</v>
      </c>
      <c r="S3465" s="11" t="s">
        <v>355</v>
      </c>
      <c r="T3465" s="16">
        <v>0</v>
      </c>
      <c r="U3465" s="17"/>
      <c r="V3465" s="12">
        <v>1711.7912035189838</v>
      </c>
      <c r="W3465" s="12">
        <v>1711.7912035189838</v>
      </c>
      <c r="X3465" s="12">
        <v>0</v>
      </c>
      <c r="Y3465" s="18">
        <v>45670</v>
      </c>
      <c r="Z3465" s="13" t="s">
        <v>516</v>
      </c>
      <c r="AA3465" s="19" t="str">
        <f>VLOOKUP(D3465,Clientes!$A$2:$J$486,9,FALSE)</f>
        <v>Frecuente</v>
      </c>
      <c r="AB3465" s="13" t="str">
        <f>VLOOKUP(D3465,Clientes!$A$2:$K$486,11,FALSE)</f>
        <v>Persona Natural</v>
      </c>
      <c r="AC3465" s="13" t="str">
        <f>VLOOKUP(D3465,Clientes!$A$2:$B$486,2,FALSE)</f>
        <v>Jardin del Eden</v>
      </c>
      <c r="AD3465" s="20"/>
      <c r="AE3465" s="20"/>
      <c r="AF3465" s="13" t="s">
        <v>40</v>
      </c>
      <c r="AG3465" s="15">
        <v>45292</v>
      </c>
      <c r="AH3465" s="13" t="s">
        <v>41</v>
      </c>
      <c r="AI3465" s="13" t="s">
        <v>43</v>
      </c>
      <c r="AJ3465" s="13" t="str">
        <f>VLOOKUP(E3465,Precios!Z$2:AA$941,2,FALSE)</f>
        <v>Bandeja Huevos EXTRA</v>
      </c>
      <c r="AK3465" s="14">
        <f>VLOOKUP(E3465,Precios!Z$2:BB$941,3,FALSE)*F3465</f>
        <v>-1</v>
      </c>
      <c r="AL3465" s="17"/>
      <c r="AM3465" s="17"/>
      <c r="AN3465" s="17"/>
      <c r="AO3465" s="17"/>
      <c r="AP3465" s="17"/>
      <c r="AQ3465" s="17"/>
      <c r="AR3465" s="17"/>
      <c r="AS3465" s="17"/>
      <c r="AT3465" s="17"/>
      <c r="AU3465" s="17"/>
      <c r="AV3465" s="17"/>
    </row>
    <row r="3466" spans="1:48" ht="15.75" customHeight="1">
      <c r="A3466" s="21" t="s">
        <v>53</v>
      </c>
      <c r="B3466" s="23" t="s">
        <v>1692</v>
      </c>
      <c r="C3466" s="22">
        <v>45671</v>
      </c>
      <c r="D3466" s="23" t="s">
        <v>184</v>
      </c>
      <c r="E3466" s="23" t="s">
        <v>70</v>
      </c>
      <c r="F3466" s="14">
        <v>1</v>
      </c>
      <c r="G3466" s="12">
        <v>5000.3257328990221</v>
      </c>
      <c r="H3466" s="12">
        <v>5000.3257328990221</v>
      </c>
      <c r="I3466" s="23" t="s">
        <v>52</v>
      </c>
      <c r="J3466" s="23" t="s">
        <v>61</v>
      </c>
      <c r="K3466" s="24" t="s">
        <v>177</v>
      </c>
      <c r="L3466" s="26">
        <v>88</v>
      </c>
      <c r="M3466" s="12">
        <v>4201.9543973941363</v>
      </c>
      <c r="N3466" s="11">
        <v>4201.9543973941363</v>
      </c>
      <c r="O3466" s="11">
        <v>798.37133550488579</v>
      </c>
      <c r="P3466" s="13"/>
      <c r="Q3466" s="14">
        <v>2025</v>
      </c>
      <c r="R3466" s="15">
        <v>45292</v>
      </c>
      <c r="S3466" s="11" t="s">
        <v>381</v>
      </c>
      <c r="T3466" s="16">
        <v>300</v>
      </c>
      <c r="U3466" s="17"/>
      <c r="V3466" s="12">
        <v>2008.9543973941363</v>
      </c>
      <c r="W3466" s="12">
        <v>2008.9543973941363</v>
      </c>
      <c r="X3466" s="12">
        <v>0</v>
      </c>
      <c r="Y3466" s="18">
        <v>45670</v>
      </c>
      <c r="Z3466" s="13" t="s">
        <v>516</v>
      </c>
      <c r="AA3466" s="19" t="str">
        <f>VLOOKUP(D3466,Clientes!$A$2:$J$486,9,FALSE)</f>
        <v>Frecuente</v>
      </c>
      <c r="AB3466" s="13" t="str">
        <f>VLOOKUP(D3466,Clientes!$A$2:$K$486,11,FALSE)</f>
        <v>Persona Natural</v>
      </c>
      <c r="AC3466" s="13" t="str">
        <f>VLOOKUP(D3466,Clientes!$A$2:$B$486,2,FALSE)</f>
        <v>Jardin del Eden</v>
      </c>
      <c r="AD3466" s="20"/>
      <c r="AE3466" s="20"/>
      <c r="AF3466" s="13" t="s">
        <v>40</v>
      </c>
      <c r="AG3466" s="15">
        <v>45292</v>
      </c>
      <c r="AH3466" s="13" t="s">
        <v>41</v>
      </c>
      <c r="AI3466" s="13" t="s">
        <v>53</v>
      </c>
      <c r="AJ3466" s="13" t="str">
        <f>VLOOKUP(E3466,Precios!Z$2:AA$941,2,FALSE)</f>
        <v>Servilletas SOFTQUALITY 300 unidades</v>
      </c>
      <c r="AK3466" s="14">
        <f>VLOOKUP(E3466,Precios!Z$2:BB$941,3,FALSE)*F3466</f>
        <v>-3</v>
      </c>
      <c r="AL3466" s="17"/>
      <c r="AM3466" s="17"/>
      <c r="AN3466" s="17"/>
      <c r="AO3466" s="17"/>
      <c r="AP3466" s="17"/>
      <c r="AQ3466" s="17"/>
      <c r="AR3466" s="17"/>
      <c r="AS3466" s="17"/>
      <c r="AT3466" s="17"/>
      <c r="AU3466" s="17"/>
      <c r="AV3466" s="17"/>
    </row>
    <row r="3467" spans="1:48" ht="15.75" customHeight="1">
      <c r="A3467" s="21" t="s">
        <v>76</v>
      </c>
      <c r="B3467" s="23" t="s">
        <v>1692</v>
      </c>
      <c r="C3467" s="22">
        <v>45671</v>
      </c>
      <c r="D3467" s="23" t="s">
        <v>184</v>
      </c>
      <c r="E3467" s="23" t="s">
        <v>137</v>
      </c>
      <c r="F3467" s="21">
        <v>2</v>
      </c>
      <c r="G3467" s="12">
        <v>3500.0000000000005</v>
      </c>
      <c r="H3467" s="12">
        <v>7000.0000000000009</v>
      </c>
      <c r="I3467" s="23" t="s">
        <v>52</v>
      </c>
      <c r="J3467" s="23" t="s">
        <v>61</v>
      </c>
      <c r="K3467" s="24" t="s">
        <v>177</v>
      </c>
      <c r="L3467" s="26">
        <v>88</v>
      </c>
      <c r="M3467" s="12">
        <v>2941.1764705882356</v>
      </c>
      <c r="N3467" s="11">
        <v>5882.3529411764712</v>
      </c>
      <c r="O3467" s="11">
        <v>1117.6470588235297</v>
      </c>
      <c r="P3467" s="13"/>
      <c r="Q3467" s="14">
        <v>2025</v>
      </c>
      <c r="R3467" s="15">
        <v>45292</v>
      </c>
      <c r="S3467" s="11" t="s">
        <v>406</v>
      </c>
      <c r="T3467" s="16">
        <v>10</v>
      </c>
      <c r="U3467" s="17"/>
      <c r="V3467" s="12">
        <v>1697.4789915966394</v>
      </c>
      <c r="W3467" s="12">
        <v>1697.4789915966394</v>
      </c>
      <c r="X3467" s="12">
        <v>0</v>
      </c>
      <c r="Y3467" s="18">
        <v>45670</v>
      </c>
      <c r="Z3467" s="13" t="s">
        <v>516</v>
      </c>
      <c r="AA3467" s="19" t="str">
        <f>VLOOKUP(D3467,Clientes!$A$2:$J$486,9,FALSE)</f>
        <v>Frecuente</v>
      </c>
      <c r="AB3467" s="13" t="str">
        <f>VLOOKUP(D3467,Clientes!$A$2:$K$486,11,FALSE)</f>
        <v>Persona Natural</v>
      </c>
      <c r="AC3467" s="13" t="str">
        <f>VLOOKUP(D3467,Clientes!$A$2:$B$486,2,FALSE)</f>
        <v>Jardin del Eden</v>
      </c>
      <c r="AD3467" s="20"/>
      <c r="AE3467" s="20"/>
      <c r="AF3467" s="13" t="s">
        <v>40</v>
      </c>
      <c r="AG3467" s="15">
        <v>45292</v>
      </c>
      <c r="AH3467" s="13" t="s">
        <v>41</v>
      </c>
      <c r="AI3467" s="13" t="s">
        <v>76</v>
      </c>
      <c r="AJ3467" s="13" t="str">
        <f>VLOOKUP(E3467,Precios!Z$2:AA$941,2,FALSE)</f>
        <v>Detergente SPUM 5 Litros (Blanco)</v>
      </c>
      <c r="AK3467" s="14">
        <f>VLOOKUP(E3467,Precios!Z$2:BB$941,3,FALSE)*F3467</f>
        <v>-2</v>
      </c>
      <c r="AL3467" s="17"/>
      <c r="AM3467" s="17"/>
      <c r="AN3467" s="17"/>
      <c r="AO3467" s="17"/>
      <c r="AP3467" s="17"/>
      <c r="AQ3467" s="17"/>
      <c r="AR3467" s="17"/>
      <c r="AS3467" s="17"/>
      <c r="AT3467" s="17"/>
      <c r="AU3467" s="17"/>
      <c r="AV3467" s="17"/>
    </row>
    <row r="3468" spans="1:48" ht="15.75" customHeight="1">
      <c r="A3468" s="21" t="s">
        <v>47</v>
      </c>
      <c r="B3468" s="23" t="s">
        <v>1692</v>
      </c>
      <c r="C3468" s="22">
        <v>45671</v>
      </c>
      <c r="D3468" s="23" t="s">
        <v>184</v>
      </c>
      <c r="E3468" s="23" t="s">
        <v>92</v>
      </c>
      <c r="F3468" s="21">
        <v>1</v>
      </c>
      <c r="G3468" s="12">
        <v>3400.2970989164628</v>
      </c>
      <c r="H3468" s="12">
        <v>3400.2970989164628</v>
      </c>
      <c r="I3468" s="23" t="s">
        <v>52</v>
      </c>
      <c r="J3468" s="23" t="s">
        <v>61</v>
      </c>
      <c r="K3468" s="24" t="s">
        <v>177</v>
      </c>
      <c r="L3468" s="26">
        <v>88</v>
      </c>
      <c r="M3468" s="12">
        <v>2857.3925200978679</v>
      </c>
      <c r="N3468" s="11">
        <v>2857.3925200978679</v>
      </c>
      <c r="O3468" s="11">
        <v>542.90457881859493</v>
      </c>
      <c r="P3468" s="13"/>
      <c r="Q3468" s="14">
        <v>2025</v>
      </c>
      <c r="R3468" s="15">
        <v>45292</v>
      </c>
      <c r="S3468" s="11" t="s">
        <v>453</v>
      </c>
      <c r="T3468" s="16">
        <v>0</v>
      </c>
      <c r="U3468" s="17"/>
      <c r="V3468" s="12">
        <v>1222.3925200978679</v>
      </c>
      <c r="W3468" s="12">
        <v>1222.3925200978679</v>
      </c>
      <c r="X3468" s="12">
        <v>0</v>
      </c>
      <c r="Y3468" s="18">
        <v>45670</v>
      </c>
      <c r="Z3468" s="13" t="s">
        <v>516</v>
      </c>
      <c r="AA3468" s="19" t="str">
        <f>VLOOKUP(D3468,Clientes!$A$2:$J$486,9,FALSE)</f>
        <v>Frecuente</v>
      </c>
      <c r="AB3468" s="13" t="str">
        <f>VLOOKUP(D3468,Clientes!$A$2:$K$486,11,FALSE)</f>
        <v>Persona Natural</v>
      </c>
      <c r="AC3468" s="13" t="str">
        <f>VLOOKUP(D3468,Clientes!$A$2:$B$486,2,FALSE)</f>
        <v>Jardin del Eden</v>
      </c>
      <c r="AD3468" s="20"/>
      <c r="AE3468" s="20"/>
      <c r="AF3468" s="13" t="s">
        <v>40</v>
      </c>
      <c r="AG3468" s="15">
        <v>45292</v>
      </c>
      <c r="AH3468" s="13" t="s">
        <v>41</v>
      </c>
      <c r="AI3468" s="13" t="s">
        <v>47</v>
      </c>
      <c r="AJ3468" s="13" t="str">
        <f>VLOOKUP(E3468,Precios!Z$2:AA$941,2,FALSE)</f>
        <v xml:space="preserve">Bolsas Basura TEDDY 70x90 </v>
      </c>
      <c r="AK3468" s="14">
        <f>VLOOKUP(E3468,Precios!Z$2:BB$941,3,FALSE)*F3468</f>
        <v>-3</v>
      </c>
      <c r="AL3468" s="17"/>
      <c r="AM3468" s="17"/>
      <c r="AN3468" s="17"/>
      <c r="AO3468" s="17"/>
      <c r="AP3468" s="17"/>
      <c r="AQ3468" s="17"/>
      <c r="AR3468" s="17"/>
      <c r="AS3468" s="17"/>
      <c r="AT3468" s="17"/>
      <c r="AU3468" s="17"/>
      <c r="AV3468" s="17"/>
    </row>
    <row r="3469" spans="1:48" ht="15.75" customHeight="1">
      <c r="A3469" s="21" t="s">
        <v>64</v>
      </c>
      <c r="B3469" s="23" t="s">
        <v>1692</v>
      </c>
      <c r="C3469" s="22">
        <v>45671</v>
      </c>
      <c r="D3469" s="23" t="s">
        <v>184</v>
      </c>
      <c r="E3469" s="23" t="s">
        <v>65</v>
      </c>
      <c r="F3469" s="21">
        <v>1</v>
      </c>
      <c r="G3469" s="12">
        <v>8199.8671738211688</v>
      </c>
      <c r="H3469" s="12">
        <v>8199.8671738211688</v>
      </c>
      <c r="I3469" s="23" t="s">
        <v>52</v>
      </c>
      <c r="J3469" s="23" t="s">
        <v>61</v>
      </c>
      <c r="K3469" s="24" t="s">
        <v>177</v>
      </c>
      <c r="L3469" s="26">
        <v>88</v>
      </c>
      <c r="M3469" s="12">
        <v>6890.6446838833353</v>
      </c>
      <c r="N3469" s="11">
        <v>6890.6446838833353</v>
      </c>
      <c r="O3469" s="11">
        <v>1309.2224899378334</v>
      </c>
      <c r="P3469" s="13"/>
      <c r="Q3469" s="14">
        <v>2025</v>
      </c>
      <c r="R3469" s="15">
        <v>45292</v>
      </c>
      <c r="S3469" s="11" t="s">
        <v>64</v>
      </c>
      <c r="T3469" s="16">
        <v>1</v>
      </c>
      <c r="U3469" s="17"/>
      <c r="V3469" s="12">
        <v>1184.1572889253512</v>
      </c>
      <c r="W3469" s="12">
        <v>1184.1572889253512</v>
      </c>
      <c r="X3469" s="12">
        <v>0</v>
      </c>
      <c r="Y3469" s="18">
        <v>45670</v>
      </c>
      <c r="Z3469" s="13" t="s">
        <v>516</v>
      </c>
      <c r="AA3469" s="19" t="str">
        <f>VLOOKUP(D3469,Clientes!$A$2:$J$486,9,FALSE)</f>
        <v>Frecuente</v>
      </c>
      <c r="AB3469" s="13" t="str">
        <f>VLOOKUP(D3469,Clientes!$A$2:$K$486,11,FALSE)</f>
        <v>Persona Natural</v>
      </c>
      <c r="AC3469" s="13" t="str">
        <f>VLOOKUP(D3469,Clientes!$A$2:$B$486,2,FALSE)</f>
        <v>Jardin del Eden</v>
      </c>
      <c r="AD3469" s="20"/>
      <c r="AE3469" s="20"/>
      <c r="AF3469" s="13" t="s">
        <v>40</v>
      </c>
      <c r="AG3469" s="15">
        <v>45292</v>
      </c>
      <c r="AH3469" s="13" t="s">
        <v>41</v>
      </c>
      <c r="AI3469" s="13" t="s">
        <v>64</v>
      </c>
      <c r="AJ3469" s="13" t="str">
        <f>VLOOKUP(E3469,Precios!Z$2:AA$941,2,FALSE)</f>
        <v>Longanizas VILLABLANCA</v>
      </c>
      <c r="AK3469" s="14">
        <f>VLOOKUP(E3469,Precios!Z$2:BB$941,3,FALSE)*F3469</f>
        <v>-1</v>
      </c>
      <c r="AL3469" s="17"/>
      <c r="AM3469" s="17"/>
      <c r="AN3469" s="17"/>
      <c r="AO3469" s="17"/>
      <c r="AP3469" s="17"/>
      <c r="AQ3469" s="17"/>
      <c r="AR3469" s="17"/>
      <c r="AS3469" s="17"/>
      <c r="AT3469" s="17"/>
      <c r="AU3469" s="17"/>
      <c r="AV3469" s="17"/>
    </row>
    <row r="3470" spans="1:48" ht="15.75" customHeight="1">
      <c r="A3470" s="21" t="s">
        <v>147</v>
      </c>
      <c r="B3470" s="23" t="s">
        <v>1692</v>
      </c>
      <c r="C3470" s="22">
        <v>45671</v>
      </c>
      <c r="D3470" s="23" t="s">
        <v>297</v>
      </c>
      <c r="E3470" s="23" t="s">
        <v>257</v>
      </c>
      <c r="F3470" s="14">
        <v>1</v>
      </c>
      <c r="G3470" s="12">
        <v>4000.0000000000005</v>
      </c>
      <c r="H3470" s="12">
        <v>4000.0000000000005</v>
      </c>
      <c r="I3470" s="23" t="s">
        <v>52</v>
      </c>
      <c r="J3470" s="23" t="s">
        <v>61</v>
      </c>
      <c r="K3470" s="24" t="s">
        <v>177</v>
      </c>
      <c r="L3470" s="26">
        <v>88</v>
      </c>
      <c r="M3470" s="12">
        <v>3361.3445378151264</v>
      </c>
      <c r="N3470" s="11">
        <v>3361.3445378151264</v>
      </c>
      <c r="O3470" s="11">
        <v>638.65546218487407</v>
      </c>
      <c r="P3470" s="13"/>
      <c r="Q3470" s="14">
        <v>2025</v>
      </c>
      <c r="R3470" s="15">
        <v>45292</v>
      </c>
      <c r="S3470" s="11" t="s">
        <v>412</v>
      </c>
      <c r="T3470" s="16">
        <v>0</v>
      </c>
      <c r="U3470" s="17"/>
      <c r="V3470" s="12">
        <v>1680.6722689075632</v>
      </c>
      <c r="W3470" s="12">
        <v>1680.6722689075632</v>
      </c>
      <c r="X3470" s="12">
        <v>0</v>
      </c>
      <c r="Y3470" s="18">
        <v>45670</v>
      </c>
      <c r="Z3470" s="13" t="s">
        <v>516</v>
      </c>
      <c r="AA3470" s="19" t="str">
        <f>VLOOKUP(D3470,Clientes!$A$2:$J$486,9,FALSE)</f>
        <v>Ocacional</v>
      </c>
      <c r="AB3470" s="13" t="str">
        <f>VLOOKUP(D3470,Clientes!$A$2:$K$486,11,FALSE)</f>
        <v>Persona Natural</v>
      </c>
      <c r="AC3470" s="13" t="str">
        <f>VLOOKUP(D3470,Clientes!$A$2:$B$486,2,FALSE)</f>
        <v>Jardines de la viña</v>
      </c>
      <c r="AD3470" s="20"/>
      <c r="AE3470" s="20"/>
      <c r="AF3470" s="13" t="s">
        <v>40</v>
      </c>
      <c r="AG3470" s="15">
        <v>45292</v>
      </c>
      <c r="AH3470" s="13" t="s">
        <v>41</v>
      </c>
      <c r="AI3470" s="13" t="s">
        <v>147</v>
      </c>
      <c r="AJ3470" s="13" t="str">
        <f>VLOOKUP(E3470,Precios!Z$2:AA$941,2,FALSE)</f>
        <v>Film Plástico 100 metros</v>
      </c>
      <c r="AK3470" s="14">
        <f>VLOOKUP(E3470,Precios!Z$2:BB$941,3,FALSE)*F3470</f>
        <v>-1</v>
      </c>
      <c r="AL3470" s="17"/>
      <c r="AM3470" s="17"/>
      <c r="AN3470" s="17"/>
      <c r="AO3470" s="17"/>
      <c r="AP3470" s="17"/>
      <c r="AQ3470" s="17"/>
      <c r="AR3470" s="17"/>
      <c r="AS3470" s="17"/>
      <c r="AT3470" s="17"/>
      <c r="AU3470" s="17"/>
      <c r="AV3470" s="17"/>
    </row>
    <row r="3471" spans="1:48" ht="15.75" customHeight="1">
      <c r="A3471" s="21" t="s">
        <v>56</v>
      </c>
      <c r="B3471" s="23" t="s">
        <v>1692</v>
      </c>
      <c r="C3471" s="22">
        <v>45671</v>
      </c>
      <c r="D3471" s="23" t="s">
        <v>915</v>
      </c>
      <c r="E3471" s="23" t="s">
        <v>190</v>
      </c>
      <c r="F3471" s="14">
        <v>1</v>
      </c>
      <c r="G3471" s="12">
        <v>2500</v>
      </c>
      <c r="H3471" s="37">
        <v>2500</v>
      </c>
      <c r="I3471" s="23" t="s">
        <v>52</v>
      </c>
      <c r="J3471" s="23" t="s">
        <v>61</v>
      </c>
      <c r="K3471" s="24" t="s">
        <v>177</v>
      </c>
      <c r="L3471" s="26">
        <v>88</v>
      </c>
      <c r="M3471" s="12">
        <v>2100.840336134454</v>
      </c>
      <c r="N3471" s="11">
        <v>2100.840336134454</v>
      </c>
      <c r="O3471" s="11">
        <v>399.15966386554601</v>
      </c>
      <c r="P3471" s="13"/>
      <c r="Q3471" s="14">
        <v>2025</v>
      </c>
      <c r="R3471" s="15">
        <v>45292</v>
      </c>
      <c r="S3471" s="11" t="s">
        <v>492</v>
      </c>
      <c r="T3471" s="16">
        <v>200</v>
      </c>
      <c r="U3471" s="17"/>
      <c r="V3471" s="12">
        <v>631.93277310924373</v>
      </c>
      <c r="W3471" s="12">
        <v>631.93277310924373</v>
      </c>
      <c r="X3471" s="12">
        <v>0</v>
      </c>
      <c r="Y3471" s="18">
        <v>45670</v>
      </c>
      <c r="Z3471" s="13" t="s">
        <v>516</v>
      </c>
      <c r="AA3471" s="19" t="str">
        <f>VLOOKUP(D3471,Clientes!$A$2:$J$486,9,FALSE)</f>
        <v>Regular</v>
      </c>
      <c r="AB3471" s="13" t="str">
        <f>VLOOKUP(D3471,Clientes!$A$2:$K$486,11,FALSE)</f>
        <v>Persona Natural</v>
      </c>
      <c r="AC3471" s="13" t="str">
        <f>VLOOKUP(D3471,Clientes!$A$2:$B$486,2,FALSE)</f>
        <v>Jardin del Eden</v>
      </c>
      <c r="AD3471" s="20"/>
      <c r="AE3471" s="20"/>
      <c r="AF3471" s="13" t="s">
        <v>40</v>
      </c>
      <c r="AG3471" s="15">
        <v>45292</v>
      </c>
      <c r="AH3471" s="13" t="s">
        <v>41</v>
      </c>
      <c r="AI3471" s="13" t="s">
        <v>56</v>
      </c>
      <c r="AJ3471" s="13" t="str">
        <f>VLOOKUP(E3471,Precios!Z$2:AA$941,2,FALSE)</f>
        <v>Mantequilla RUMAY</v>
      </c>
      <c r="AK3471" s="14">
        <f>VLOOKUP(E3471,Precios!Z$2:BB$941,3,FALSE)*F3471</f>
        <v>-1</v>
      </c>
      <c r="AL3471" s="17"/>
      <c r="AM3471" s="17"/>
      <c r="AN3471" s="17"/>
      <c r="AO3471" s="17"/>
      <c r="AP3471" s="17"/>
      <c r="AQ3471" s="17"/>
      <c r="AR3471" s="17"/>
      <c r="AS3471" s="17"/>
      <c r="AT3471" s="17"/>
      <c r="AU3471" s="17"/>
      <c r="AV3471" s="17"/>
    </row>
    <row r="3472" spans="1:48" ht="15.75" customHeight="1">
      <c r="A3472" s="21" t="s">
        <v>43</v>
      </c>
      <c r="B3472" s="23" t="s">
        <v>1692</v>
      </c>
      <c r="C3472" s="22">
        <v>45671</v>
      </c>
      <c r="D3472" s="23" t="s">
        <v>258</v>
      </c>
      <c r="E3472" s="23" t="s">
        <v>776</v>
      </c>
      <c r="F3472" s="14">
        <v>1</v>
      </c>
      <c r="G3472" s="12">
        <v>12500</v>
      </c>
      <c r="H3472" s="12">
        <v>12500</v>
      </c>
      <c r="I3472" s="23" t="s">
        <v>52</v>
      </c>
      <c r="J3472" s="23" t="s">
        <v>61</v>
      </c>
      <c r="K3472" s="24" t="s">
        <v>177</v>
      </c>
      <c r="L3472" s="26">
        <v>88</v>
      </c>
      <c r="M3472" s="12">
        <v>10504.20168067227</v>
      </c>
      <c r="N3472" s="11">
        <v>10504.20168067227</v>
      </c>
      <c r="O3472" s="11">
        <v>1995.7983193277305</v>
      </c>
      <c r="P3472" s="13"/>
      <c r="Q3472" s="14">
        <v>2025</v>
      </c>
      <c r="R3472" s="15">
        <v>45292</v>
      </c>
      <c r="S3472" s="11" t="s">
        <v>355</v>
      </c>
      <c r="T3472" s="16">
        <v>0</v>
      </c>
      <c r="U3472" s="17"/>
      <c r="V3472" s="12">
        <v>3004.2016806722695</v>
      </c>
      <c r="W3472" s="12">
        <v>3004.2016806722695</v>
      </c>
      <c r="X3472" s="12">
        <v>0</v>
      </c>
      <c r="Y3472" s="18">
        <v>45670</v>
      </c>
      <c r="Z3472" s="13" t="s">
        <v>516</v>
      </c>
      <c r="AA3472" s="19" t="str">
        <f>VLOOKUP(D3472,Clientes!$A$2:$J$486,9,FALSE)</f>
        <v>Regular</v>
      </c>
      <c r="AB3472" s="13" t="str">
        <f>VLOOKUP(D3472,Clientes!$A$2:$K$486,11,FALSE)</f>
        <v>Persona Natural</v>
      </c>
      <c r="AC3472" s="13" t="str">
        <f>VLOOKUP(D3472,Clientes!$A$2:$B$486,2,FALSE)</f>
        <v>Colegio Antilhue</v>
      </c>
      <c r="AD3472" s="20"/>
      <c r="AE3472" s="20"/>
      <c r="AF3472" s="13" t="s">
        <v>40</v>
      </c>
      <c r="AG3472" s="15">
        <v>45292</v>
      </c>
      <c r="AH3472" s="13" t="s">
        <v>41</v>
      </c>
      <c r="AI3472" s="13" t="s">
        <v>43</v>
      </c>
      <c r="AJ3472" s="13" t="str">
        <f>VLOOKUP(E3472,Precios!Z$2:AA$941,2,FALSE)</f>
        <v>Bandeja Huevos EXTRA</v>
      </c>
      <c r="AK3472" s="14">
        <f>VLOOKUP(E3472,Precios!Z$2:BB$941,3,FALSE)*F3472</f>
        <v>-2</v>
      </c>
      <c r="AL3472" s="17"/>
      <c r="AM3472" s="17"/>
      <c r="AN3472" s="17"/>
      <c r="AO3472" s="17"/>
      <c r="AP3472" s="17"/>
      <c r="AQ3472" s="17"/>
      <c r="AR3472" s="17"/>
      <c r="AS3472" s="17"/>
      <c r="AT3472" s="17"/>
      <c r="AU3472" s="17"/>
      <c r="AV3472" s="17"/>
    </row>
    <row r="3473" spans="1:48" ht="15.75" customHeight="1">
      <c r="A3473" s="21" t="s">
        <v>56</v>
      </c>
      <c r="B3473" s="23" t="s">
        <v>1692</v>
      </c>
      <c r="C3473" s="22">
        <v>45671</v>
      </c>
      <c r="D3473" s="23" t="s">
        <v>258</v>
      </c>
      <c r="E3473" s="23" t="s">
        <v>60</v>
      </c>
      <c r="F3473" s="14">
        <v>1</v>
      </c>
      <c r="G3473" s="12">
        <v>7000.0000000000018</v>
      </c>
      <c r="H3473" s="12">
        <v>7000.0000000000018</v>
      </c>
      <c r="I3473" s="23" t="s">
        <v>52</v>
      </c>
      <c r="J3473" s="23" t="s">
        <v>61</v>
      </c>
      <c r="K3473" s="24" t="s">
        <v>177</v>
      </c>
      <c r="L3473" s="26">
        <v>88</v>
      </c>
      <c r="M3473" s="12">
        <v>5882.3529411764721</v>
      </c>
      <c r="N3473" s="11">
        <v>5882.3529411764721</v>
      </c>
      <c r="O3473" s="11">
        <v>1117.6470588235297</v>
      </c>
      <c r="P3473" s="13"/>
      <c r="Q3473" s="14">
        <v>2025</v>
      </c>
      <c r="R3473" s="15">
        <v>45292</v>
      </c>
      <c r="S3473" s="11" t="s">
        <v>429</v>
      </c>
      <c r="T3473" s="16">
        <v>200</v>
      </c>
      <c r="U3473" s="17"/>
      <c r="V3473" s="12">
        <v>2080.6722689075641</v>
      </c>
      <c r="W3473" s="12">
        <v>2080.6722689075641</v>
      </c>
      <c r="X3473" s="12">
        <v>0</v>
      </c>
      <c r="Y3473" s="18">
        <v>45670</v>
      </c>
      <c r="Z3473" s="13" t="s">
        <v>516</v>
      </c>
      <c r="AA3473" s="19" t="str">
        <f>VLOOKUP(D3473,Clientes!$A$2:$J$486,9,FALSE)</f>
        <v>Regular</v>
      </c>
      <c r="AB3473" s="13" t="str">
        <f>VLOOKUP(D3473,Clientes!$A$2:$K$486,11,FALSE)</f>
        <v>Persona Natural</v>
      </c>
      <c r="AC3473" s="13" t="str">
        <f>VLOOKUP(D3473,Clientes!$A$2:$B$486,2,FALSE)</f>
        <v>Colegio Antilhue</v>
      </c>
      <c r="AD3473" s="20"/>
      <c r="AE3473" s="20"/>
      <c r="AF3473" s="13" t="s">
        <v>40</v>
      </c>
      <c r="AG3473" s="15">
        <v>45292</v>
      </c>
      <c r="AH3473" s="13" t="s">
        <v>41</v>
      </c>
      <c r="AI3473" s="13" t="s">
        <v>56</v>
      </c>
      <c r="AJ3473" s="13" t="str">
        <f>VLOOKUP(E3473,Precios!Z$2:AA$941,2,FALSE)</f>
        <v>Queso Sabores</v>
      </c>
      <c r="AK3473" s="14">
        <f>VLOOKUP(E3473,Precios!Z$2:BB$941,3,FALSE)*F3473</f>
        <v>-2</v>
      </c>
      <c r="AL3473" s="17"/>
      <c r="AM3473" s="17"/>
      <c r="AN3473" s="17"/>
      <c r="AO3473" s="17"/>
      <c r="AP3473" s="17"/>
      <c r="AQ3473" s="17"/>
      <c r="AR3473" s="17"/>
      <c r="AS3473" s="17"/>
      <c r="AT3473" s="17"/>
      <c r="AU3473" s="17"/>
      <c r="AV3473" s="17"/>
    </row>
    <row r="3474" spans="1:48" ht="15.75" customHeight="1">
      <c r="A3474" s="21" t="s">
        <v>76</v>
      </c>
      <c r="B3474" s="23" t="s">
        <v>1692</v>
      </c>
      <c r="C3474" s="22">
        <v>45671</v>
      </c>
      <c r="D3474" s="23" t="s">
        <v>258</v>
      </c>
      <c r="E3474" s="23" t="s">
        <v>185</v>
      </c>
      <c r="F3474" s="14">
        <v>1</v>
      </c>
      <c r="G3474" s="12">
        <v>3200.1383843625663</v>
      </c>
      <c r="H3474" s="12">
        <v>3200.1383843625663</v>
      </c>
      <c r="I3474" s="23" t="s">
        <v>52</v>
      </c>
      <c r="J3474" s="23" t="s">
        <v>61</v>
      </c>
      <c r="K3474" s="24" t="s">
        <v>177</v>
      </c>
      <c r="L3474" s="26">
        <v>88</v>
      </c>
      <c r="M3474" s="12">
        <v>2689.1919196324088</v>
      </c>
      <c r="N3474" s="11">
        <v>2689.1919196324088</v>
      </c>
      <c r="O3474" s="11">
        <v>510.94646473015746</v>
      </c>
      <c r="P3474" s="13"/>
      <c r="Q3474" s="14">
        <v>2025</v>
      </c>
      <c r="R3474" s="15">
        <v>45292</v>
      </c>
      <c r="S3474" s="11" t="s">
        <v>444</v>
      </c>
      <c r="T3474" s="16">
        <v>5</v>
      </c>
      <c r="U3474" s="17"/>
      <c r="V3474" s="12">
        <v>1134.570070892913</v>
      </c>
      <c r="W3474" s="12">
        <v>1134.570070892913</v>
      </c>
      <c r="X3474" s="12">
        <v>0</v>
      </c>
      <c r="Y3474" s="18">
        <v>45670</v>
      </c>
      <c r="Z3474" s="13" t="s">
        <v>516</v>
      </c>
      <c r="AA3474" s="19" t="str">
        <f>VLOOKUP(D3474,Clientes!$A$2:$J$486,9,FALSE)</f>
        <v>Regular</v>
      </c>
      <c r="AB3474" s="13" t="str">
        <f>VLOOKUP(D3474,Clientes!$A$2:$K$486,11,FALSE)</f>
        <v>Persona Natural</v>
      </c>
      <c r="AC3474" s="13" t="str">
        <f>VLOOKUP(D3474,Clientes!$A$2:$B$486,2,FALSE)</f>
        <v>Colegio Antilhue</v>
      </c>
      <c r="AD3474" s="20"/>
      <c r="AE3474" s="20"/>
      <c r="AF3474" s="13" t="s">
        <v>40</v>
      </c>
      <c r="AG3474" s="15">
        <v>45292</v>
      </c>
      <c r="AH3474" s="13" t="s">
        <v>41</v>
      </c>
      <c r="AI3474" s="13" t="s">
        <v>76</v>
      </c>
      <c r="AJ3474" s="13" t="str">
        <f>VLOOKUP(E3474,Precios!Z$2:AA$941,2,FALSE)</f>
        <v>Limpia Vidrio SPUM 5 litros</v>
      </c>
      <c r="AK3474" s="14">
        <f>VLOOKUP(E3474,Precios!Z$2:BB$941,3,FALSE)*F3474</f>
        <v>-1</v>
      </c>
      <c r="AL3474" s="17"/>
      <c r="AM3474" s="17"/>
      <c r="AN3474" s="17"/>
      <c r="AO3474" s="17"/>
      <c r="AP3474" s="17"/>
      <c r="AQ3474" s="17"/>
      <c r="AR3474" s="17"/>
      <c r="AS3474" s="17"/>
      <c r="AT3474" s="17"/>
      <c r="AU3474" s="17"/>
      <c r="AV3474" s="17"/>
    </row>
    <row r="3475" spans="1:48" ht="15.75" customHeight="1">
      <c r="A3475" s="21" t="s">
        <v>43</v>
      </c>
      <c r="B3475" s="23" t="s">
        <v>1692</v>
      </c>
      <c r="C3475" s="22">
        <v>45671</v>
      </c>
      <c r="D3475" s="23" t="s">
        <v>666</v>
      </c>
      <c r="E3475" s="23" t="s">
        <v>45</v>
      </c>
      <c r="F3475" s="14">
        <v>1</v>
      </c>
      <c r="G3475" s="12">
        <v>6499.7815321875905</v>
      </c>
      <c r="H3475" s="12">
        <v>6499.7815321875905</v>
      </c>
      <c r="I3475" s="13" t="s">
        <v>52</v>
      </c>
      <c r="J3475" s="23" t="s">
        <v>61</v>
      </c>
      <c r="K3475" s="24" t="s">
        <v>177</v>
      </c>
      <c r="L3475" s="26">
        <v>88</v>
      </c>
      <c r="M3475" s="12">
        <v>5462.0012875525972</v>
      </c>
      <c r="N3475" s="11">
        <v>5462.0012875525972</v>
      </c>
      <c r="O3475" s="11">
        <v>1037.7802446349933</v>
      </c>
      <c r="P3475" s="13"/>
      <c r="Q3475" s="14">
        <v>2025</v>
      </c>
      <c r="R3475" s="15">
        <v>45292</v>
      </c>
      <c r="S3475" s="11" t="s">
        <v>355</v>
      </c>
      <c r="T3475" s="16">
        <v>0</v>
      </c>
      <c r="U3475" s="17"/>
      <c r="V3475" s="12">
        <v>1711.7912035189838</v>
      </c>
      <c r="W3475" s="12">
        <v>1711.7912035189838</v>
      </c>
      <c r="X3475" s="12">
        <v>0</v>
      </c>
      <c r="Y3475" s="18">
        <v>45670</v>
      </c>
      <c r="Z3475" s="13" t="s">
        <v>516</v>
      </c>
      <c r="AA3475" s="19" t="str">
        <f>VLOOKUP(D3475,Clientes!$A$2:$J$486,9,FALSE)</f>
        <v>Ocacional</v>
      </c>
      <c r="AB3475" s="13" t="str">
        <f>VLOOKUP(D3475,Clientes!$A$2:$K$486,11,FALSE)</f>
        <v>persona Natural</v>
      </c>
      <c r="AC3475" s="13" t="str">
        <f>VLOOKUP(D3475,Clientes!$A$2:$B$486,2,FALSE)</f>
        <v>Jardin del eden</v>
      </c>
      <c r="AD3475" s="20"/>
      <c r="AE3475" s="20"/>
      <c r="AF3475" s="13" t="s">
        <v>40</v>
      </c>
      <c r="AG3475" s="15">
        <v>45292</v>
      </c>
      <c r="AH3475" s="13" t="s">
        <v>41</v>
      </c>
      <c r="AI3475" s="13" t="s">
        <v>43</v>
      </c>
      <c r="AJ3475" s="13" t="str">
        <f>VLOOKUP(E3475,Precios!Z$2:AA$941,2,FALSE)</f>
        <v>Bandeja Huevos EXTRA</v>
      </c>
      <c r="AK3475" s="14">
        <f>VLOOKUP(E3475,Precios!Z$2:BB$941,3,FALSE)*F3475</f>
        <v>-1</v>
      </c>
      <c r="AL3475" s="17"/>
      <c r="AM3475" s="17"/>
      <c r="AN3475" s="17"/>
      <c r="AO3475" s="17"/>
      <c r="AP3475" s="17"/>
      <c r="AQ3475" s="17"/>
      <c r="AR3475" s="17"/>
      <c r="AS3475" s="17"/>
      <c r="AT3475" s="17"/>
      <c r="AU3475" s="17"/>
      <c r="AV3475" s="17"/>
    </row>
    <row r="3476" spans="1:48" ht="15.75" customHeight="1">
      <c r="A3476" s="21" t="s">
        <v>35</v>
      </c>
      <c r="B3476" s="23" t="s">
        <v>1692</v>
      </c>
      <c r="C3476" s="25">
        <v>45670</v>
      </c>
      <c r="D3476" s="23" t="s">
        <v>915</v>
      </c>
      <c r="E3476" s="23" t="s">
        <v>46</v>
      </c>
      <c r="F3476" s="14">
        <v>1</v>
      </c>
      <c r="G3476" s="12">
        <v>5500</v>
      </c>
      <c r="H3476" s="37">
        <v>5500</v>
      </c>
      <c r="I3476" s="13" t="s">
        <v>52</v>
      </c>
      <c r="J3476" s="23" t="s">
        <v>61</v>
      </c>
      <c r="K3476" s="24" t="s">
        <v>177</v>
      </c>
      <c r="L3476" s="26">
        <v>88</v>
      </c>
      <c r="M3476" s="12">
        <v>4621.8487394957983</v>
      </c>
      <c r="N3476" s="11">
        <v>4621.8487394957983</v>
      </c>
      <c r="O3476" s="11">
        <v>878.15126050420167</v>
      </c>
      <c r="P3476" s="13"/>
      <c r="Q3476" s="14">
        <v>2025</v>
      </c>
      <c r="R3476" s="15">
        <v>45292</v>
      </c>
      <c r="S3476" s="11" t="s">
        <v>364</v>
      </c>
      <c r="T3476" s="16">
        <v>500</v>
      </c>
      <c r="U3476" s="17"/>
      <c r="V3476" s="12">
        <v>1365.1260504201678</v>
      </c>
      <c r="W3476" s="12">
        <v>1365.1260504201678</v>
      </c>
      <c r="X3476" s="12">
        <v>0</v>
      </c>
      <c r="Y3476" s="18">
        <v>45670</v>
      </c>
      <c r="Z3476" s="13" t="s">
        <v>523</v>
      </c>
      <c r="AA3476" s="19" t="str">
        <f>VLOOKUP(D3476,Clientes!$A$2:$J$486,9,FALSE)</f>
        <v>Regular</v>
      </c>
      <c r="AB3476" s="13" t="str">
        <f>VLOOKUP(D3476,Clientes!$A$2:$K$486,11,FALSE)</f>
        <v>Persona Natural</v>
      </c>
      <c r="AC3476" s="13" t="str">
        <f>VLOOKUP(D3476,Clientes!$A$2:$B$486,2,FALSE)</f>
        <v>Jardin del Eden</v>
      </c>
      <c r="AD3476" s="20"/>
      <c r="AE3476" s="20"/>
      <c r="AF3476" s="13" t="s">
        <v>40</v>
      </c>
      <c r="AG3476" s="15">
        <v>45292</v>
      </c>
      <c r="AH3476" s="13" t="s">
        <v>41</v>
      </c>
      <c r="AI3476" s="13" t="s">
        <v>35</v>
      </c>
      <c r="AJ3476" s="13" t="str">
        <f>VLOOKUP(E3476,Precios!Z$2:AA$941,2,FALSE)</f>
        <v>Queso RUNCA Mantecoso</v>
      </c>
      <c r="AK3476" s="14">
        <f>VLOOKUP(E3476,Precios!Z$2:BB$941,3,FALSE)*F3476</f>
        <v>-0.5</v>
      </c>
      <c r="AL3476" s="17"/>
      <c r="AM3476" s="17"/>
      <c r="AN3476" s="17"/>
      <c r="AO3476" s="17"/>
      <c r="AP3476" s="17"/>
      <c r="AQ3476" s="17"/>
      <c r="AR3476" s="17"/>
      <c r="AS3476" s="17"/>
      <c r="AT3476" s="17"/>
      <c r="AU3476" s="17"/>
      <c r="AV3476" s="17"/>
    </row>
    <row r="3477" spans="1:48" ht="15.75" customHeight="1">
      <c r="A3477" s="21" t="s">
        <v>53</v>
      </c>
      <c r="B3477" s="23" t="s">
        <v>1692</v>
      </c>
      <c r="C3477" s="22">
        <v>45670</v>
      </c>
      <c r="D3477" s="23" t="s">
        <v>321</v>
      </c>
      <c r="E3477" s="23" t="s">
        <v>97</v>
      </c>
      <c r="F3477" s="14">
        <v>1</v>
      </c>
      <c r="G3477" s="12">
        <v>15500.298388701016</v>
      </c>
      <c r="H3477" s="12">
        <v>15500.298388701016</v>
      </c>
      <c r="I3477" s="23" t="s">
        <v>52</v>
      </c>
      <c r="J3477" s="23" t="s">
        <v>61</v>
      </c>
      <c r="K3477" s="24" t="s">
        <v>177</v>
      </c>
      <c r="L3477" s="26">
        <v>88</v>
      </c>
      <c r="M3477" s="12">
        <v>13025.46083084119</v>
      </c>
      <c r="N3477" s="11">
        <v>13025.46083084119</v>
      </c>
      <c r="O3477" s="11">
        <v>2474.8375578598261</v>
      </c>
      <c r="P3477" s="13"/>
      <c r="Q3477" s="14">
        <v>2025</v>
      </c>
      <c r="R3477" s="15">
        <v>45292</v>
      </c>
      <c r="S3477" s="11" t="s">
        <v>366</v>
      </c>
      <c r="T3477" s="16">
        <v>0</v>
      </c>
      <c r="U3477" s="17"/>
      <c r="V3477" s="12">
        <v>3203.6120913453906</v>
      </c>
      <c r="W3477" s="12">
        <v>3203.6120913453906</v>
      </c>
      <c r="X3477" s="12">
        <v>0</v>
      </c>
      <c r="Y3477" s="18">
        <v>45670</v>
      </c>
      <c r="Z3477" s="13" t="s">
        <v>523</v>
      </c>
      <c r="AA3477" s="19" t="str">
        <f>VLOOKUP(D3477,Clientes!$A$2:$J$486,9,FALSE)</f>
        <v>Frecuente</v>
      </c>
      <c r="AB3477" s="13" t="str">
        <f>VLOOKUP(D3477,Clientes!$A$2:$K$486,11,FALSE)</f>
        <v>Persona Natural</v>
      </c>
      <c r="AC3477" s="13" t="str">
        <f>VLOOKUP(D3477,Clientes!$A$2:$B$486,2,FALSE)</f>
        <v>Colegio Antilhue</v>
      </c>
      <c r="AD3477" s="20"/>
      <c r="AE3477" s="20"/>
      <c r="AF3477" s="13" t="s">
        <v>40</v>
      </c>
      <c r="AG3477" s="15">
        <v>45292</v>
      </c>
      <c r="AH3477" s="13" t="s">
        <v>41</v>
      </c>
      <c r="AI3477" s="13" t="s">
        <v>53</v>
      </c>
      <c r="AJ3477" s="13" t="str">
        <f>VLOOKUP(E3477,Precios!Z$2:AA$941,2,FALSE)</f>
        <v>Papel Higienico ELITE 50 metros</v>
      </c>
      <c r="AK3477" s="14">
        <f>VLOOKUP(E3477,Precios!Z$2:BB$941,3,FALSE)*F3477</f>
        <v>-6</v>
      </c>
      <c r="AL3477" s="17"/>
      <c r="AM3477" s="17"/>
      <c r="AN3477" s="17"/>
      <c r="AO3477" s="17"/>
      <c r="AP3477" s="17"/>
      <c r="AQ3477" s="17"/>
      <c r="AR3477" s="17"/>
      <c r="AS3477" s="17"/>
      <c r="AT3477" s="17"/>
      <c r="AU3477" s="17"/>
      <c r="AV3477" s="17"/>
    </row>
    <row r="3478" spans="1:48" ht="15.75" customHeight="1">
      <c r="A3478" s="21" t="s">
        <v>76</v>
      </c>
      <c r="B3478" s="23" t="s">
        <v>1692</v>
      </c>
      <c r="C3478" s="22">
        <v>45670</v>
      </c>
      <c r="D3478" s="23" t="s">
        <v>321</v>
      </c>
      <c r="E3478" s="23" t="s">
        <v>81</v>
      </c>
      <c r="F3478" s="14">
        <v>1</v>
      </c>
      <c r="G3478" s="12">
        <v>3500.0000000000005</v>
      </c>
      <c r="H3478" s="12">
        <v>3500.0000000000005</v>
      </c>
      <c r="I3478" s="23" t="s">
        <v>52</v>
      </c>
      <c r="J3478" s="23" t="s">
        <v>61</v>
      </c>
      <c r="K3478" s="24" t="s">
        <v>177</v>
      </c>
      <c r="L3478" s="26">
        <v>88</v>
      </c>
      <c r="M3478" s="12">
        <v>2941.1764705882356</v>
      </c>
      <c r="N3478" s="11">
        <v>2941.1764705882356</v>
      </c>
      <c r="O3478" s="11">
        <v>558.82352941176487</v>
      </c>
      <c r="P3478" s="13"/>
      <c r="Q3478" s="14">
        <v>2025</v>
      </c>
      <c r="R3478" s="15">
        <v>45292</v>
      </c>
      <c r="S3478" s="11" t="s">
        <v>397</v>
      </c>
      <c r="T3478" s="16">
        <v>5</v>
      </c>
      <c r="U3478" s="17"/>
      <c r="V3478" s="12">
        <v>764.70588235294144</v>
      </c>
      <c r="W3478" s="12">
        <v>764.70588235294144</v>
      </c>
      <c r="X3478" s="12">
        <v>0</v>
      </c>
      <c r="Y3478" s="18">
        <v>45670</v>
      </c>
      <c r="Z3478" s="13" t="s">
        <v>523</v>
      </c>
      <c r="AA3478" s="19" t="str">
        <f>VLOOKUP(D3478,Clientes!$A$2:$J$486,9,FALSE)</f>
        <v>Frecuente</v>
      </c>
      <c r="AB3478" s="13" t="str">
        <f>VLOOKUP(D3478,Clientes!$A$2:$K$486,11,FALSE)</f>
        <v>Persona Natural</v>
      </c>
      <c r="AC3478" s="13" t="str">
        <f>VLOOKUP(D3478,Clientes!$A$2:$B$486,2,FALSE)</f>
        <v>Colegio Antilhue</v>
      </c>
      <c r="AD3478" s="20"/>
      <c r="AE3478" s="20"/>
      <c r="AF3478" s="13" t="s">
        <v>40</v>
      </c>
      <c r="AG3478" s="15">
        <v>45292</v>
      </c>
      <c r="AH3478" s="13" t="s">
        <v>41</v>
      </c>
      <c r="AI3478" s="13" t="s">
        <v>76</v>
      </c>
      <c r="AJ3478" s="13" t="str">
        <f>VLOOKUP(E3478,Precios!Z$2:AA$941,2,FALSE)</f>
        <v>Detergente SPUM 5 Litros (Verde)</v>
      </c>
      <c r="AK3478" s="14">
        <f>VLOOKUP(E3478,Precios!Z$2:BB$941,3,FALSE)*F3478</f>
        <v>-1</v>
      </c>
      <c r="AL3478" s="17"/>
      <c r="AM3478" s="17"/>
      <c r="AN3478" s="17"/>
      <c r="AO3478" s="17"/>
      <c r="AP3478" s="17"/>
      <c r="AQ3478" s="17"/>
      <c r="AR3478" s="17"/>
      <c r="AS3478" s="17"/>
      <c r="AT3478" s="17"/>
      <c r="AU3478" s="17"/>
      <c r="AV3478" s="17"/>
    </row>
    <row r="3479" spans="1:48" ht="15.75" customHeight="1">
      <c r="A3479" s="21" t="s">
        <v>76</v>
      </c>
      <c r="B3479" s="23" t="s">
        <v>1692</v>
      </c>
      <c r="C3479" s="22">
        <v>45670</v>
      </c>
      <c r="D3479" s="23" t="s">
        <v>321</v>
      </c>
      <c r="E3479" s="23" t="s">
        <v>77</v>
      </c>
      <c r="F3479" s="14">
        <v>1</v>
      </c>
      <c r="G3479" s="12">
        <v>1500.0000000000002</v>
      </c>
      <c r="H3479" s="12">
        <v>1500.0000000000002</v>
      </c>
      <c r="I3479" s="23" t="s">
        <v>52</v>
      </c>
      <c r="J3479" s="23" t="s">
        <v>61</v>
      </c>
      <c r="K3479" s="24" t="s">
        <v>177</v>
      </c>
      <c r="L3479" s="26">
        <v>88</v>
      </c>
      <c r="M3479" s="12">
        <v>1260.5042016806726</v>
      </c>
      <c r="N3479" s="11">
        <v>1260.5042016806726</v>
      </c>
      <c r="O3479" s="11">
        <v>239.4957983193276</v>
      </c>
      <c r="P3479" s="13"/>
      <c r="Q3479" s="14">
        <v>2025</v>
      </c>
      <c r="R3479" s="15">
        <v>45292</v>
      </c>
      <c r="S3479" s="11" t="s">
        <v>448</v>
      </c>
      <c r="T3479" s="16">
        <v>0</v>
      </c>
      <c r="U3479" s="17"/>
      <c r="V3479" s="12">
        <v>421.00840336134468</v>
      </c>
      <c r="W3479" s="12">
        <v>421.00840336134468</v>
      </c>
      <c r="X3479" s="12">
        <v>0</v>
      </c>
      <c r="Y3479" s="18">
        <v>45670</v>
      </c>
      <c r="Z3479" s="13" t="s">
        <v>523</v>
      </c>
      <c r="AA3479" s="19" t="str">
        <f>VLOOKUP(D3479,Clientes!$A$2:$J$486,9,FALSE)</f>
        <v>Frecuente</v>
      </c>
      <c r="AB3479" s="13" t="str">
        <f>VLOOKUP(D3479,Clientes!$A$2:$K$486,11,FALSE)</f>
        <v>Persona Natural</v>
      </c>
      <c r="AC3479" s="13" t="str">
        <f>VLOOKUP(D3479,Clientes!$A$2:$B$486,2,FALSE)</f>
        <v>Colegio Antilhue</v>
      </c>
      <c r="AD3479" s="20"/>
      <c r="AE3479" s="20"/>
      <c r="AF3479" s="13" t="s">
        <v>40</v>
      </c>
      <c r="AG3479" s="15">
        <v>45292</v>
      </c>
      <c r="AH3479" s="13" t="s">
        <v>41</v>
      </c>
      <c r="AI3479" s="13" t="s">
        <v>76</v>
      </c>
      <c r="AJ3479" s="13" t="str">
        <f>VLOOKUP(E3479,Precios!Z$2:AA$941,2,FALSE)</f>
        <v>Cloro GEL IGENIX 900ml</v>
      </c>
      <c r="AK3479" s="14">
        <f>VLOOKUP(E3479,Precios!Z$2:BB$941,3,FALSE)*F3479</f>
        <v>-1</v>
      </c>
      <c r="AL3479" s="17"/>
      <c r="AM3479" s="17"/>
      <c r="AN3479" s="17"/>
      <c r="AO3479" s="17"/>
      <c r="AP3479" s="17"/>
      <c r="AQ3479" s="17"/>
      <c r="AR3479" s="17"/>
      <c r="AS3479" s="17"/>
      <c r="AT3479" s="17"/>
      <c r="AU3479" s="17"/>
      <c r="AV3479" s="17"/>
    </row>
    <row r="3480" spans="1:48" ht="15.75" customHeight="1">
      <c r="A3480" s="21" t="s">
        <v>53</v>
      </c>
      <c r="B3480" s="23" t="s">
        <v>1692</v>
      </c>
      <c r="C3480" s="22">
        <v>45669</v>
      </c>
      <c r="D3480" s="23" t="s">
        <v>246</v>
      </c>
      <c r="E3480" s="23" t="s">
        <v>55</v>
      </c>
      <c r="F3480" s="14">
        <v>1</v>
      </c>
      <c r="G3480" s="12">
        <v>19989.738327347361</v>
      </c>
      <c r="H3480" s="12">
        <v>19989.738327347361</v>
      </c>
      <c r="I3480" s="23" t="s">
        <v>52</v>
      </c>
      <c r="J3480" s="23" t="s">
        <v>61</v>
      </c>
      <c r="K3480" s="24" t="s">
        <v>177</v>
      </c>
      <c r="L3480" s="26">
        <v>87</v>
      </c>
      <c r="M3480" s="12">
        <v>16798.099434745684</v>
      </c>
      <c r="N3480" s="11">
        <v>16798.099434745684</v>
      </c>
      <c r="O3480" s="11">
        <v>3191.6388926016771</v>
      </c>
      <c r="P3480" s="13"/>
      <c r="Q3480" s="14">
        <v>2025</v>
      </c>
      <c r="R3480" s="15">
        <v>45292</v>
      </c>
      <c r="S3480" s="11" t="s">
        <v>366</v>
      </c>
      <c r="T3480" s="16">
        <v>0</v>
      </c>
      <c r="U3480" s="17"/>
      <c r="V3480" s="12">
        <v>3702.3011154179476</v>
      </c>
      <c r="W3480" s="12">
        <v>3702.3011154179476</v>
      </c>
      <c r="X3480" s="12">
        <v>0</v>
      </c>
      <c r="Y3480" s="18">
        <v>45663</v>
      </c>
      <c r="Z3480" s="13" t="s">
        <v>497</v>
      </c>
      <c r="AA3480" s="19" t="str">
        <f>VLOOKUP(D3480,Clientes!$A$2:$J$486,9,FALSE)</f>
        <v>Ocacional</v>
      </c>
      <c r="AB3480" s="13" t="str">
        <f>VLOOKUP(D3480,Clientes!$A$2:$K$486,11,FALSE)</f>
        <v>Persona Natural</v>
      </c>
      <c r="AC3480" s="13" t="str">
        <f>VLOOKUP(D3480,Clientes!$A$2:$B$486,2,FALSE)</f>
        <v>Walker Martinez</v>
      </c>
      <c r="AD3480" s="20"/>
      <c r="AE3480" s="20"/>
      <c r="AF3480" s="13" t="s">
        <v>40</v>
      </c>
      <c r="AG3480" s="15">
        <v>45292</v>
      </c>
      <c r="AH3480" s="13" t="s">
        <v>41</v>
      </c>
      <c r="AI3480" s="13" t="s">
        <v>53</v>
      </c>
      <c r="AJ3480" s="13" t="str">
        <f>VLOOKUP(E3480,Precios!Z$2:AA$941,2,FALSE)</f>
        <v>Papel Higienico ELITE 50 metros</v>
      </c>
      <c r="AK3480" s="14">
        <f>VLOOKUP(E3480,Precios!Z$2:BB$941,3,FALSE)*F3480</f>
        <v>-8</v>
      </c>
      <c r="AL3480" s="17"/>
      <c r="AM3480" s="17"/>
      <c r="AN3480" s="17"/>
      <c r="AO3480" s="17"/>
      <c r="AP3480" s="17"/>
      <c r="AQ3480" s="17"/>
      <c r="AR3480" s="17"/>
      <c r="AS3480" s="17"/>
      <c r="AT3480" s="17"/>
      <c r="AU3480" s="17"/>
      <c r="AV3480" s="17"/>
    </row>
    <row r="3481" spans="1:48" ht="15.75" customHeight="1">
      <c r="A3481" s="21" t="s">
        <v>53</v>
      </c>
      <c r="B3481" s="23" t="s">
        <v>1692</v>
      </c>
      <c r="C3481" s="22">
        <v>45669</v>
      </c>
      <c r="D3481" s="23" t="s">
        <v>777</v>
      </c>
      <c r="E3481" s="23" t="s">
        <v>243</v>
      </c>
      <c r="F3481" s="14">
        <v>1</v>
      </c>
      <c r="G3481" s="12">
        <v>14500.068577698534</v>
      </c>
      <c r="H3481" s="12">
        <v>14500.068577698534</v>
      </c>
      <c r="I3481" s="23" t="s">
        <v>52</v>
      </c>
      <c r="J3481" s="23" t="s">
        <v>61</v>
      </c>
      <c r="K3481" s="24" t="s">
        <v>177</v>
      </c>
      <c r="L3481" s="26">
        <v>87</v>
      </c>
      <c r="M3481" s="12">
        <v>12184.931577897929</v>
      </c>
      <c r="N3481" s="11">
        <v>12184.931577897929</v>
      </c>
      <c r="O3481" s="11">
        <v>2315.1369998006048</v>
      </c>
      <c r="P3481" s="13"/>
      <c r="Q3481" s="14">
        <v>2025</v>
      </c>
      <c r="R3481" s="15">
        <v>45292</v>
      </c>
      <c r="S3481" s="11" t="s">
        <v>435</v>
      </c>
      <c r="T3481" s="16">
        <v>0</v>
      </c>
      <c r="U3481" s="17"/>
      <c r="V3481" s="12">
        <v>3300.897964452548</v>
      </c>
      <c r="W3481" s="12">
        <v>3300.897964452548</v>
      </c>
      <c r="X3481" s="12">
        <v>0</v>
      </c>
      <c r="Y3481" s="18">
        <v>45663</v>
      </c>
      <c r="Z3481" s="13" t="s">
        <v>497</v>
      </c>
      <c r="AA3481" s="19" t="str">
        <f>VLOOKUP(D3481,Clientes!$A$2:$J$486,9,FALSE)</f>
        <v>Ocacional</v>
      </c>
      <c r="AB3481" s="13" t="str">
        <f>VLOOKUP(D3481,Clientes!$A$2:$K$486,11,FALSE)</f>
        <v>Persona Natural</v>
      </c>
      <c r="AC3481" s="13" t="str">
        <f>VLOOKUP(D3481,Clientes!$A$2:$B$486,2,FALSE)</f>
        <v>Curso Amalia</v>
      </c>
      <c r="AD3481" s="20"/>
      <c r="AE3481" s="20"/>
      <c r="AF3481" s="13" t="s">
        <v>40</v>
      </c>
      <c r="AG3481" s="15">
        <v>45292</v>
      </c>
      <c r="AH3481" s="13" t="s">
        <v>41</v>
      </c>
      <c r="AI3481" s="13" t="s">
        <v>53</v>
      </c>
      <c r="AJ3481" s="13" t="str">
        <f>VLOOKUP(E3481,Precios!Z$2:AA$941,2,FALSE)</f>
        <v>Papel Higienico SWAN 50 metros</v>
      </c>
      <c r="AK3481" s="14">
        <f>VLOOKUP(E3481,Precios!Z$2:BB$941,3,FALSE)*F3481</f>
        <v>-6</v>
      </c>
      <c r="AL3481" s="17"/>
      <c r="AM3481" s="17"/>
      <c r="AN3481" s="17"/>
      <c r="AO3481" s="17"/>
      <c r="AP3481" s="17"/>
      <c r="AQ3481" s="17"/>
      <c r="AR3481" s="17"/>
      <c r="AS3481" s="17"/>
      <c r="AT3481" s="17"/>
      <c r="AU3481" s="17"/>
      <c r="AV3481" s="17"/>
    </row>
    <row r="3482" spans="1:48" ht="15.75" customHeight="1">
      <c r="A3482" s="21" t="s">
        <v>43</v>
      </c>
      <c r="B3482" s="23" t="s">
        <v>1692</v>
      </c>
      <c r="C3482" s="22">
        <v>45669</v>
      </c>
      <c r="D3482" s="23" t="s">
        <v>915</v>
      </c>
      <c r="E3482" s="23" t="s">
        <v>778</v>
      </c>
      <c r="F3482" s="14">
        <v>1</v>
      </c>
      <c r="G3482" s="12">
        <v>18500.013849648218</v>
      </c>
      <c r="H3482" s="37">
        <v>18500.013849648218</v>
      </c>
      <c r="I3482" s="13" t="s">
        <v>52</v>
      </c>
      <c r="J3482" s="23" t="s">
        <v>61</v>
      </c>
      <c r="K3482" s="24" t="s">
        <v>177</v>
      </c>
      <c r="L3482" s="26">
        <v>87</v>
      </c>
      <c r="M3482" s="12">
        <v>15546.230125754806</v>
      </c>
      <c r="N3482" s="11">
        <v>15546.230125754806</v>
      </c>
      <c r="O3482" s="11">
        <v>2953.7837238934117</v>
      </c>
      <c r="P3482" s="13"/>
      <c r="Q3482" s="14">
        <v>2025</v>
      </c>
      <c r="R3482" s="15">
        <v>45292</v>
      </c>
      <c r="S3482" s="11" t="s">
        <v>355</v>
      </c>
      <c r="T3482" s="16">
        <v>0</v>
      </c>
      <c r="U3482" s="17"/>
      <c r="V3482" s="12">
        <v>4321.2301257548061</v>
      </c>
      <c r="W3482" s="12">
        <v>4321.2301257548061</v>
      </c>
      <c r="X3482" s="12">
        <v>0</v>
      </c>
      <c r="Y3482" s="18">
        <v>45663</v>
      </c>
      <c r="Z3482" s="13" t="s">
        <v>497</v>
      </c>
      <c r="AA3482" s="19" t="str">
        <f>VLOOKUP(D3482,Clientes!$A$2:$J$486,9,FALSE)</f>
        <v>Regular</v>
      </c>
      <c r="AB3482" s="13" t="str">
        <f>VLOOKUP(D3482,Clientes!$A$2:$K$486,11,FALSE)</f>
        <v>Persona Natural</v>
      </c>
      <c r="AC3482" s="13" t="str">
        <f>VLOOKUP(D3482,Clientes!$A$2:$B$486,2,FALSE)</f>
        <v>Jardin del Eden</v>
      </c>
      <c r="AD3482" s="20"/>
      <c r="AE3482" s="20"/>
      <c r="AF3482" s="13" t="s">
        <v>40</v>
      </c>
      <c r="AG3482" s="15">
        <v>45292</v>
      </c>
      <c r="AH3482" s="13" t="s">
        <v>41</v>
      </c>
      <c r="AI3482" s="13" t="s">
        <v>43</v>
      </c>
      <c r="AJ3482" s="13" t="str">
        <f>VLOOKUP(E3482,Precios!Z$2:AA$941,2,FALSE)</f>
        <v>Bandeja Huevos EXTRA</v>
      </c>
      <c r="AK3482" s="14">
        <f>VLOOKUP(E3482,Precios!Z$2:BB$941,3,FALSE)*F3482</f>
        <v>-3</v>
      </c>
      <c r="AL3482" s="17"/>
      <c r="AM3482" s="17"/>
      <c r="AN3482" s="17"/>
      <c r="AO3482" s="17"/>
      <c r="AP3482" s="17"/>
      <c r="AQ3482" s="17"/>
      <c r="AR3482" s="17"/>
      <c r="AS3482" s="17"/>
      <c r="AT3482" s="17"/>
      <c r="AU3482" s="17"/>
      <c r="AV3482" s="17"/>
    </row>
    <row r="3483" spans="1:48" ht="15.75" customHeight="1">
      <c r="A3483" s="21" t="s">
        <v>43</v>
      </c>
      <c r="B3483" s="23" t="s">
        <v>1692</v>
      </c>
      <c r="C3483" s="25">
        <v>45668</v>
      </c>
      <c r="D3483" s="23" t="s">
        <v>236</v>
      </c>
      <c r="E3483" s="23" t="s">
        <v>776</v>
      </c>
      <c r="F3483" s="14">
        <v>1</v>
      </c>
      <c r="G3483" s="12">
        <v>12500</v>
      </c>
      <c r="H3483" s="12">
        <v>12500</v>
      </c>
      <c r="I3483" s="13" t="s">
        <v>52</v>
      </c>
      <c r="J3483" s="23" t="s">
        <v>61</v>
      </c>
      <c r="K3483" s="24" t="s">
        <v>177</v>
      </c>
      <c r="L3483" s="26">
        <v>87</v>
      </c>
      <c r="M3483" s="12">
        <v>10504.20168067227</v>
      </c>
      <c r="N3483" s="11">
        <v>10504.20168067227</v>
      </c>
      <c r="O3483" s="11">
        <v>1995.7983193277305</v>
      </c>
      <c r="P3483" s="13"/>
      <c r="Q3483" s="14">
        <v>2025</v>
      </c>
      <c r="R3483" s="15">
        <v>45292</v>
      </c>
      <c r="S3483" s="11" t="s">
        <v>355</v>
      </c>
      <c r="T3483" s="16">
        <v>0</v>
      </c>
      <c r="U3483" s="17"/>
      <c r="V3483" s="12">
        <v>3004.2016806722695</v>
      </c>
      <c r="W3483" s="12">
        <v>3004.2016806722695</v>
      </c>
      <c r="X3483" s="12">
        <v>0</v>
      </c>
      <c r="Y3483" s="18">
        <v>45663</v>
      </c>
      <c r="Z3483" s="13" t="s">
        <v>501</v>
      </c>
      <c r="AA3483" s="19" t="str">
        <f>VLOOKUP(D3483,Clientes!$A$2:$J$486,9,FALSE)</f>
        <v>Familiar</v>
      </c>
      <c r="AB3483" s="13" t="str">
        <f>VLOOKUP(D3483,Clientes!$A$2:$K$486,11,FALSE)</f>
        <v>Persona Natural</v>
      </c>
      <c r="AC3483" s="13" t="str">
        <f>VLOOKUP(D3483,Clientes!$A$2:$B$486,2,FALSE)</f>
        <v>Familiar</v>
      </c>
      <c r="AD3483" s="20"/>
      <c r="AE3483" s="20"/>
      <c r="AF3483" s="13" t="s">
        <v>40</v>
      </c>
      <c r="AG3483" s="15">
        <v>45292</v>
      </c>
      <c r="AH3483" s="13" t="s">
        <v>41</v>
      </c>
      <c r="AI3483" s="13" t="s">
        <v>43</v>
      </c>
      <c r="AJ3483" s="13" t="str">
        <f>VLOOKUP(E3483,Precios!Z$2:AA$941,2,FALSE)</f>
        <v>Bandeja Huevos EXTRA</v>
      </c>
      <c r="AK3483" s="14">
        <f>VLOOKUP(E3483,Precios!Z$2:BB$941,3,FALSE)*F3483</f>
        <v>-2</v>
      </c>
      <c r="AL3483" s="17"/>
      <c r="AM3483" s="17"/>
      <c r="AN3483" s="17"/>
      <c r="AO3483" s="17"/>
      <c r="AP3483" s="17"/>
      <c r="AQ3483" s="17"/>
      <c r="AR3483" s="17"/>
      <c r="AS3483" s="17"/>
      <c r="AT3483" s="17"/>
      <c r="AU3483" s="17"/>
      <c r="AV3483" s="17"/>
    </row>
    <row r="3484" spans="1:48" ht="15.75" customHeight="1">
      <c r="A3484" s="21" t="s">
        <v>76</v>
      </c>
      <c r="B3484" s="23" t="s">
        <v>1692</v>
      </c>
      <c r="C3484" s="22">
        <v>45668</v>
      </c>
      <c r="D3484" s="23" t="s">
        <v>68</v>
      </c>
      <c r="E3484" s="23" t="s">
        <v>137</v>
      </c>
      <c r="F3484" s="21">
        <v>1</v>
      </c>
      <c r="G3484" s="12">
        <v>3500.0000000000005</v>
      </c>
      <c r="H3484" s="12">
        <v>3500.0000000000005</v>
      </c>
      <c r="I3484" s="23" t="s">
        <v>52</v>
      </c>
      <c r="J3484" s="23" t="s">
        <v>61</v>
      </c>
      <c r="K3484" s="24" t="s">
        <v>86</v>
      </c>
      <c r="L3484" s="26">
        <v>51</v>
      </c>
      <c r="M3484" s="12">
        <v>2941.1764705882356</v>
      </c>
      <c r="N3484" s="11">
        <v>2941.1764705882356</v>
      </c>
      <c r="O3484" s="11">
        <v>558.82352941176487</v>
      </c>
      <c r="P3484" s="13"/>
      <c r="Q3484" s="14">
        <v>2025</v>
      </c>
      <c r="R3484" s="15">
        <v>45292</v>
      </c>
      <c r="S3484" s="11" t="s">
        <v>406</v>
      </c>
      <c r="T3484" s="16">
        <v>5</v>
      </c>
      <c r="U3484" s="17"/>
      <c r="V3484" s="12">
        <v>848.73949579831969</v>
      </c>
      <c r="W3484" s="12">
        <v>848.73949579831969</v>
      </c>
      <c r="X3484" s="12">
        <v>0</v>
      </c>
      <c r="Y3484" s="18">
        <v>45663</v>
      </c>
      <c r="Z3484" s="13" t="s">
        <v>501</v>
      </c>
      <c r="AA3484" s="19" t="str">
        <f>VLOOKUP(D3484,Clientes!$A$2:$J$486,9,FALSE)</f>
        <v>Frecuente</v>
      </c>
      <c r="AB3484" s="13" t="str">
        <f>VLOOKUP(D3484,Clientes!$A$2:$K$486,11,FALSE)</f>
        <v>Empresa</v>
      </c>
      <c r="AC3484" s="13" t="str">
        <f>VLOOKUP(D3484,Clientes!$A$2:$B$486,2,FALSE)</f>
        <v>Jardines de la viña</v>
      </c>
      <c r="AD3484" s="20"/>
      <c r="AE3484" s="20"/>
      <c r="AF3484" s="13" t="s">
        <v>40</v>
      </c>
      <c r="AG3484" s="15">
        <v>45292</v>
      </c>
      <c r="AH3484" s="13" t="s">
        <v>41</v>
      </c>
      <c r="AI3484" s="13" t="s">
        <v>76</v>
      </c>
      <c r="AJ3484" s="13" t="str">
        <f>VLOOKUP(E3484,Precios!Z$2:AA$941,2,FALSE)</f>
        <v>Detergente SPUM 5 Litros (Blanco)</v>
      </c>
      <c r="AK3484" s="14">
        <f>VLOOKUP(E3484,Precios!Z$2:BB$941,3,FALSE)*F3484</f>
        <v>-1</v>
      </c>
      <c r="AL3484" s="17"/>
      <c r="AM3484" s="17"/>
      <c r="AN3484" s="17"/>
      <c r="AO3484" s="17"/>
      <c r="AP3484" s="17"/>
      <c r="AQ3484" s="17"/>
      <c r="AR3484" s="17"/>
      <c r="AS3484" s="17"/>
      <c r="AT3484" s="17"/>
      <c r="AU3484" s="17"/>
      <c r="AV3484" s="17"/>
    </row>
    <row r="3485" spans="1:48" ht="15.75" customHeight="1">
      <c r="A3485" s="21" t="s">
        <v>47</v>
      </c>
      <c r="B3485" s="23" t="s">
        <v>1692</v>
      </c>
      <c r="C3485" s="22">
        <v>45668</v>
      </c>
      <c r="D3485" s="23" t="s">
        <v>68</v>
      </c>
      <c r="E3485" s="23" t="s">
        <v>71</v>
      </c>
      <c r="F3485" s="21">
        <v>1</v>
      </c>
      <c r="G3485" s="12">
        <v>2500</v>
      </c>
      <c r="H3485" s="12">
        <v>2500</v>
      </c>
      <c r="I3485" s="23" t="s">
        <v>52</v>
      </c>
      <c r="J3485" s="23" t="s">
        <v>61</v>
      </c>
      <c r="K3485" s="24" t="s">
        <v>86</v>
      </c>
      <c r="L3485" s="26">
        <v>51</v>
      </c>
      <c r="M3485" s="12">
        <v>2100.840336134454</v>
      </c>
      <c r="N3485" s="11">
        <v>2100.840336134454</v>
      </c>
      <c r="O3485" s="11">
        <v>399.15966386554601</v>
      </c>
      <c r="P3485" s="13"/>
      <c r="Q3485" s="14">
        <v>2025</v>
      </c>
      <c r="R3485" s="15">
        <v>45292</v>
      </c>
      <c r="S3485" s="11" t="s">
        <v>414</v>
      </c>
      <c r="T3485" s="16">
        <v>0</v>
      </c>
      <c r="U3485" s="17"/>
      <c r="V3485" s="12">
        <v>621.84873949579855</v>
      </c>
      <c r="W3485" s="12">
        <v>621.84873949579855</v>
      </c>
      <c r="X3485" s="12">
        <v>0</v>
      </c>
      <c r="Y3485" s="18">
        <v>45663</v>
      </c>
      <c r="Z3485" s="13" t="s">
        <v>501</v>
      </c>
      <c r="AA3485" s="19" t="str">
        <f>VLOOKUP(D3485,Clientes!$A$2:$J$486,9,FALSE)</f>
        <v>Frecuente</v>
      </c>
      <c r="AB3485" s="13" t="str">
        <f>VLOOKUP(D3485,Clientes!$A$2:$K$486,11,FALSE)</f>
        <v>Empresa</v>
      </c>
      <c r="AC3485" s="13" t="str">
        <f>VLOOKUP(D3485,Clientes!$A$2:$B$486,2,FALSE)</f>
        <v>Jardines de la viña</v>
      </c>
      <c r="AD3485" s="20"/>
      <c r="AE3485" s="20"/>
      <c r="AF3485" s="13" t="s">
        <v>40</v>
      </c>
      <c r="AG3485" s="15">
        <v>45292</v>
      </c>
      <c r="AH3485" s="13" t="s">
        <v>41</v>
      </c>
      <c r="AI3485" s="13" t="s">
        <v>47</v>
      </c>
      <c r="AJ3485" s="13" t="str">
        <f>VLOOKUP(E3485,Precios!Z$2:AA$941,2,FALSE)</f>
        <v>Toalla desinfectante IGENIX 50 unidades</v>
      </c>
      <c r="AK3485" s="14">
        <f>VLOOKUP(E3485,Precios!Z$2:BB$941,3,FALSE)*F3485</f>
        <v>-1</v>
      </c>
      <c r="AL3485" s="17"/>
      <c r="AM3485" s="17"/>
      <c r="AN3485" s="17"/>
      <c r="AO3485" s="17"/>
      <c r="AP3485" s="17"/>
      <c r="AQ3485" s="17"/>
      <c r="AR3485" s="17"/>
      <c r="AS3485" s="17"/>
      <c r="AT3485" s="17"/>
      <c r="AU3485" s="17"/>
      <c r="AV3485" s="17"/>
    </row>
    <row r="3486" spans="1:48" ht="15.75" customHeight="1">
      <c r="A3486" s="21" t="s">
        <v>53</v>
      </c>
      <c r="B3486" s="23" t="s">
        <v>1692</v>
      </c>
      <c r="C3486" s="22">
        <v>45668</v>
      </c>
      <c r="D3486" s="23" t="s">
        <v>292</v>
      </c>
      <c r="E3486" s="23" t="s">
        <v>55</v>
      </c>
      <c r="F3486" s="21">
        <v>1</v>
      </c>
      <c r="G3486" s="12">
        <v>19989.738327347361</v>
      </c>
      <c r="H3486" s="12">
        <v>19989.738327347361</v>
      </c>
      <c r="I3486" s="23" t="s">
        <v>52</v>
      </c>
      <c r="J3486" s="23" t="s">
        <v>61</v>
      </c>
      <c r="K3486" s="24" t="s">
        <v>177</v>
      </c>
      <c r="L3486" s="26">
        <v>87</v>
      </c>
      <c r="M3486" s="12">
        <v>16798.099434745684</v>
      </c>
      <c r="N3486" s="11">
        <v>16798.099434745684</v>
      </c>
      <c r="O3486" s="11">
        <v>3191.6388926016771</v>
      </c>
      <c r="P3486" s="13"/>
      <c r="Q3486" s="14">
        <v>2025</v>
      </c>
      <c r="R3486" s="15">
        <v>45292</v>
      </c>
      <c r="S3486" s="11" t="s">
        <v>366</v>
      </c>
      <c r="T3486" s="16">
        <v>0</v>
      </c>
      <c r="U3486" s="17"/>
      <c r="V3486" s="12">
        <v>3702.3011154179476</v>
      </c>
      <c r="W3486" s="12">
        <v>3702.3011154179476</v>
      </c>
      <c r="X3486" s="12">
        <v>0</v>
      </c>
      <c r="Y3486" s="18">
        <v>45663</v>
      </c>
      <c r="Z3486" s="13" t="s">
        <v>501</v>
      </c>
      <c r="AA3486" s="19" t="str">
        <f>VLOOKUP(D3486,Clientes!$A$2:$J$486,9,FALSE)</f>
        <v>Regular</v>
      </c>
      <c r="AB3486" s="13" t="str">
        <f>VLOOKUP(D3486,Clientes!$A$2:$K$486,11,FALSE)</f>
        <v>Persona Natural</v>
      </c>
      <c r="AC3486" s="13" t="str">
        <f>VLOOKUP(D3486,Clientes!$A$2:$B$486,2,FALSE)</f>
        <v>Jardines de la viña</v>
      </c>
      <c r="AD3486" s="20"/>
      <c r="AE3486" s="20"/>
      <c r="AF3486" s="13" t="s">
        <v>40</v>
      </c>
      <c r="AG3486" s="15">
        <v>45292</v>
      </c>
      <c r="AH3486" s="13" t="s">
        <v>41</v>
      </c>
      <c r="AI3486" s="13" t="s">
        <v>53</v>
      </c>
      <c r="AJ3486" s="13" t="str">
        <f>VLOOKUP(E3486,Precios!Z$2:AA$941,2,FALSE)</f>
        <v>Papel Higienico ELITE 50 metros</v>
      </c>
      <c r="AK3486" s="14">
        <f>VLOOKUP(E3486,Precios!Z$2:BB$941,3,FALSE)*F3486</f>
        <v>-8</v>
      </c>
      <c r="AL3486" s="17"/>
      <c r="AM3486" s="17"/>
      <c r="AN3486" s="17"/>
      <c r="AO3486" s="17"/>
      <c r="AP3486" s="17"/>
      <c r="AQ3486" s="17"/>
      <c r="AR3486" s="17"/>
      <c r="AS3486" s="17"/>
      <c r="AT3486" s="17"/>
      <c r="AU3486" s="17"/>
      <c r="AV3486" s="17"/>
    </row>
    <row r="3487" spans="1:48" ht="15.75" customHeight="1">
      <c r="A3487" s="21" t="s">
        <v>53</v>
      </c>
      <c r="B3487" s="23" t="s">
        <v>1692</v>
      </c>
      <c r="C3487" s="22">
        <v>45668</v>
      </c>
      <c r="D3487" s="23" t="s">
        <v>734</v>
      </c>
      <c r="E3487" s="23" t="s">
        <v>55</v>
      </c>
      <c r="F3487" s="21">
        <v>1</v>
      </c>
      <c r="G3487" s="12">
        <v>19989.738327347361</v>
      </c>
      <c r="H3487" s="12">
        <v>19989.738327347361</v>
      </c>
      <c r="I3487" s="23" t="s">
        <v>52</v>
      </c>
      <c r="J3487" s="23" t="s">
        <v>61</v>
      </c>
      <c r="K3487" s="24" t="s">
        <v>177</v>
      </c>
      <c r="L3487" s="26">
        <v>87</v>
      </c>
      <c r="M3487" s="12">
        <v>16798.099434745684</v>
      </c>
      <c r="N3487" s="11">
        <v>16798.099434745684</v>
      </c>
      <c r="O3487" s="11">
        <v>3191.6388926016771</v>
      </c>
      <c r="P3487" s="13"/>
      <c r="Q3487" s="14">
        <v>2025</v>
      </c>
      <c r="R3487" s="15">
        <v>45292</v>
      </c>
      <c r="S3487" s="11" t="s">
        <v>366</v>
      </c>
      <c r="T3487" s="16">
        <v>0</v>
      </c>
      <c r="U3487" s="17"/>
      <c r="V3487" s="12">
        <v>3702.3011154179476</v>
      </c>
      <c r="W3487" s="12">
        <v>3702.3011154179476</v>
      </c>
      <c r="X3487" s="12">
        <v>0</v>
      </c>
      <c r="Y3487" s="18">
        <v>45663</v>
      </c>
      <c r="Z3487" s="13" t="s">
        <v>501</v>
      </c>
      <c r="AA3487" s="19" t="str">
        <f>VLOOKUP(D3487,Clientes!$A$2:$J$486,9,FALSE)</f>
        <v>Ocacional</v>
      </c>
      <c r="AB3487" s="13" t="str">
        <f>VLOOKUP(D3487,Clientes!$A$2:$K$486,11,FALSE)</f>
        <v>Persona Natural</v>
      </c>
      <c r="AC3487" s="13" t="str">
        <f>VLOOKUP(D3487,Clientes!$A$2:$B$486,2,FALSE)</f>
        <v>Geronimo</v>
      </c>
      <c r="AD3487" s="20"/>
      <c r="AE3487" s="20"/>
      <c r="AF3487" s="13" t="s">
        <v>40</v>
      </c>
      <c r="AG3487" s="15">
        <v>45292</v>
      </c>
      <c r="AH3487" s="13" t="s">
        <v>41</v>
      </c>
      <c r="AI3487" s="13" t="s">
        <v>53</v>
      </c>
      <c r="AJ3487" s="13" t="str">
        <f>VLOOKUP(E3487,Precios!Z$2:AA$941,2,FALSE)</f>
        <v>Papel Higienico ELITE 50 metros</v>
      </c>
      <c r="AK3487" s="14">
        <f>VLOOKUP(E3487,Precios!Z$2:BB$941,3,FALSE)*F3487</f>
        <v>-8</v>
      </c>
      <c r="AL3487" s="17"/>
      <c r="AM3487" s="17"/>
      <c r="AN3487" s="17"/>
      <c r="AO3487" s="17"/>
      <c r="AP3487" s="17"/>
      <c r="AQ3487" s="17"/>
      <c r="AR3487" s="17"/>
      <c r="AS3487" s="17"/>
      <c r="AT3487" s="17"/>
      <c r="AU3487" s="17"/>
      <c r="AV3487" s="17"/>
    </row>
    <row r="3488" spans="1:48" ht="15.75" customHeight="1">
      <c r="A3488" s="21" t="s">
        <v>53</v>
      </c>
      <c r="B3488" s="23" t="s">
        <v>1692</v>
      </c>
      <c r="C3488" s="22">
        <v>45668</v>
      </c>
      <c r="D3488" s="23" t="s">
        <v>734</v>
      </c>
      <c r="E3488" s="23" t="s">
        <v>69</v>
      </c>
      <c r="F3488" s="21">
        <v>2</v>
      </c>
      <c r="G3488" s="12">
        <v>2999.9553810458683</v>
      </c>
      <c r="H3488" s="12">
        <v>5999.9107620917366</v>
      </c>
      <c r="I3488" s="23" t="s">
        <v>52</v>
      </c>
      <c r="J3488" s="23" t="s">
        <v>61</v>
      </c>
      <c r="K3488" s="24" t="s">
        <v>177</v>
      </c>
      <c r="L3488" s="26">
        <v>87</v>
      </c>
      <c r="M3488" s="12">
        <v>2520.9709084419064</v>
      </c>
      <c r="N3488" s="11">
        <v>5041.9418168838129</v>
      </c>
      <c r="O3488" s="11">
        <v>957.96894520792375</v>
      </c>
      <c r="P3488" s="13"/>
      <c r="Q3488" s="14">
        <v>2025</v>
      </c>
      <c r="R3488" s="15">
        <v>45292</v>
      </c>
      <c r="S3488" s="11" t="s">
        <v>376</v>
      </c>
      <c r="T3488" s="16">
        <v>0</v>
      </c>
      <c r="U3488" s="17"/>
      <c r="V3488" s="12">
        <v>1651.941816883812</v>
      </c>
      <c r="W3488" s="12">
        <v>1651.941816883812</v>
      </c>
      <c r="X3488" s="12">
        <v>0</v>
      </c>
      <c r="Y3488" s="18">
        <v>45663</v>
      </c>
      <c r="Z3488" s="13" t="s">
        <v>501</v>
      </c>
      <c r="AA3488" s="19" t="str">
        <f>VLOOKUP(D3488,Clientes!$A$2:$J$486,9,FALSE)</f>
        <v>Ocacional</v>
      </c>
      <c r="AB3488" s="13" t="str">
        <f>VLOOKUP(D3488,Clientes!$A$2:$K$486,11,FALSE)</f>
        <v>Persona Natural</v>
      </c>
      <c r="AC3488" s="13" t="str">
        <f>VLOOKUP(D3488,Clientes!$A$2:$B$486,2,FALSE)</f>
        <v>Geronimo</v>
      </c>
      <c r="AD3488" s="20"/>
      <c r="AE3488" s="20"/>
      <c r="AF3488" s="13" t="s">
        <v>40</v>
      </c>
      <c r="AG3488" s="15">
        <v>45292</v>
      </c>
      <c r="AH3488" s="13" t="s">
        <v>41</v>
      </c>
      <c r="AI3488" s="13" t="s">
        <v>53</v>
      </c>
      <c r="AJ3488" s="13" t="str">
        <f>VLOOKUP(E3488,Precios!Z$2:AA$941,2,FALSE)</f>
        <v>Toalla Papel NOVA 70 metros</v>
      </c>
      <c r="AK3488" s="14">
        <f>VLOOKUP(E3488,Precios!Z$2:BB$941,3,FALSE)*F3488</f>
        <v>-2</v>
      </c>
      <c r="AL3488" s="17"/>
      <c r="AM3488" s="17"/>
      <c r="AN3488" s="17"/>
      <c r="AO3488" s="17"/>
      <c r="AP3488" s="17"/>
      <c r="AQ3488" s="17"/>
      <c r="AR3488" s="17"/>
      <c r="AS3488" s="17"/>
      <c r="AT3488" s="17"/>
      <c r="AU3488" s="17"/>
      <c r="AV3488" s="17"/>
    </row>
    <row r="3489" spans="1:48" ht="15.75" customHeight="1">
      <c r="A3489" s="21" t="s">
        <v>43</v>
      </c>
      <c r="B3489" s="23" t="s">
        <v>1692</v>
      </c>
      <c r="C3489" s="22">
        <v>45668</v>
      </c>
      <c r="D3489" s="23" t="s">
        <v>567</v>
      </c>
      <c r="E3489" s="23" t="s">
        <v>45</v>
      </c>
      <c r="F3489" s="21">
        <v>1</v>
      </c>
      <c r="G3489" s="12">
        <v>6499.7815321875905</v>
      </c>
      <c r="H3489" s="12">
        <v>6499.7815321875905</v>
      </c>
      <c r="I3489" s="23" t="s">
        <v>52</v>
      </c>
      <c r="J3489" s="23" t="s">
        <v>61</v>
      </c>
      <c r="K3489" s="24" t="s">
        <v>177</v>
      </c>
      <c r="L3489" s="26">
        <v>87</v>
      </c>
      <c r="M3489" s="12">
        <v>5462.0012875525972</v>
      </c>
      <c r="N3489" s="11">
        <v>5462.0012875525972</v>
      </c>
      <c r="O3489" s="11">
        <v>1037.7802446349933</v>
      </c>
      <c r="P3489" s="13"/>
      <c r="Q3489" s="14">
        <v>2025</v>
      </c>
      <c r="R3489" s="15">
        <v>45292</v>
      </c>
      <c r="S3489" s="11" t="s">
        <v>355</v>
      </c>
      <c r="T3489" s="16">
        <v>0</v>
      </c>
      <c r="U3489" s="17"/>
      <c r="V3489" s="12">
        <v>1711.7912035189838</v>
      </c>
      <c r="W3489" s="12">
        <v>1711.7912035189838</v>
      </c>
      <c r="X3489" s="12">
        <v>0</v>
      </c>
      <c r="Y3489" s="18">
        <v>45663</v>
      </c>
      <c r="Z3489" s="13" t="s">
        <v>501</v>
      </c>
      <c r="AA3489" s="19" t="str">
        <f>VLOOKUP(D3489,Clientes!$A$2:$J$486,9,FALSE)</f>
        <v>Ocacional</v>
      </c>
      <c r="AB3489" s="13" t="str">
        <f>VLOOKUP(D3489,Clientes!$A$2:$K$486,11,FALSE)</f>
        <v>Persona Natural</v>
      </c>
      <c r="AC3489" s="13" t="str">
        <f>VLOOKUP(D3489,Clientes!$A$2:$B$486,2,FALSE)</f>
        <v>Enrique Olivares</v>
      </c>
      <c r="AD3489" s="20"/>
      <c r="AE3489" s="20"/>
      <c r="AF3489" s="13" t="s">
        <v>40</v>
      </c>
      <c r="AG3489" s="15">
        <v>45292</v>
      </c>
      <c r="AH3489" s="13" t="s">
        <v>41</v>
      </c>
      <c r="AI3489" s="13" t="s">
        <v>43</v>
      </c>
      <c r="AJ3489" s="13" t="str">
        <f>VLOOKUP(E3489,Precios!Z$2:AA$941,2,FALSE)</f>
        <v>Bandeja Huevos EXTRA</v>
      </c>
      <c r="AK3489" s="14">
        <f>VLOOKUP(E3489,Precios!Z$2:BB$941,3,FALSE)*F3489</f>
        <v>-1</v>
      </c>
      <c r="AL3489" s="17"/>
      <c r="AM3489" s="17"/>
      <c r="AN3489" s="17"/>
      <c r="AO3489" s="17"/>
      <c r="AP3489" s="17"/>
      <c r="AQ3489" s="17"/>
      <c r="AR3489" s="17"/>
      <c r="AS3489" s="17"/>
      <c r="AT3489" s="17"/>
      <c r="AU3489" s="17"/>
      <c r="AV3489" s="17"/>
    </row>
    <row r="3490" spans="1:48" ht="15.75" customHeight="1">
      <c r="A3490" s="21" t="s">
        <v>53</v>
      </c>
      <c r="B3490" s="23" t="s">
        <v>1692</v>
      </c>
      <c r="C3490" s="22">
        <v>45668</v>
      </c>
      <c r="D3490" s="23" t="s">
        <v>348</v>
      </c>
      <c r="E3490" s="23" t="s">
        <v>287</v>
      </c>
      <c r="F3490" s="21">
        <v>2</v>
      </c>
      <c r="G3490" s="12">
        <v>3500.0000000000005</v>
      </c>
      <c r="H3490" s="12">
        <v>7000.0000000000009</v>
      </c>
      <c r="I3490" s="23" t="s">
        <v>52</v>
      </c>
      <c r="J3490" s="23" t="s">
        <v>61</v>
      </c>
      <c r="K3490" s="24" t="s">
        <v>177</v>
      </c>
      <c r="L3490" s="26">
        <v>87</v>
      </c>
      <c r="M3490" s="12">
        <v>2941.1764705882356</v>
      </c>
      <c r="N3490" s="11">
        <v>5882.3529411764712</v>
      </c>
      <c r="O3490" s="11">
        <v>1117.6470588235297</v>
      </c>
      <c r="P3490" s="13"/>
      <c r="Q3490" s="14">
        <v>2025</v>
      </c>
      <c r="R3490" s="15">
        <v>45292</v>
      </c>
      <c r="S3490" s="11" t="s">
        <v>366</v>
      </c>
      <c r="T3490" s="16">
        <v>0</v>
      </c>
      <c r="U3490" s="17"/>
      <c r="V3490" s="12">
        <v>2608.4033613445381</v>
      </c>
      <c r="W3490" s="12">
        <v>2608.4033613445381</v>
      </c>
      <c r="X3490" s="12">
        <v>0</v>
      </c>
      <c r="Y3490" s="18">
        <v>45663</v>
      </c>
      <c r="Z3490" s="13" t="s">
        <v>501</v>
      </c>
      <c r="AA3490" s="19" t="str">
        <f>VLOOKUP(D3490,Clientes!$A$2:$J$486,9,FALSE)</f>
        <v>Regular</v>
      </c>
      <c r="AB3490" s="13" t="str">
        <f>VLOOKUP(D3490,Clientes!$A$2:$K$486,11,FALSE)</f>
        <v>Persona Natural</v>
      </c>
      <c r="AC3490" s="13" t="str">
        <f>VLOOKUP(D3490,Clientes!$A$2:$B$486,2,FALSE)</f>
        <v>Jardines de la Viña</v>
      </c>
      <c r="AD3490" s="20"/>
      <c r="AE3490" s="20"/>
      <c r="AF3490" s="13" t="s">
        <v>40</v>
      </c>
      <c r="AG3490" s="15">
        <v>45292</v>
      </c>
      <c r="AH3490" s="13" t="s">
        <v>41</v>
      </c>
      <c r="AI3490" s="13" t="s">
        <v>53</v>
      </c>
      <c r="AJ3490" s="13" t="str">
        <f>VLOOKUP(E3490,Precios!Z$2:AA$941,2,FALSE)</f>
        <v>Papel Higienico ELITE 50 metros</v>
      </c>
      <c r="AK3490" s="14">
        <f>VLOOKUP(E3490,Precios!Z$2:BB$941,3,FALSE)*F3490</f>
        <v>-2</v>
      </c>
      <c r="AL3490" s="17"/>
      <c r="AM3490" s="17"/>
      <c r="AN3490" s="17"/>
      <c r="AO3490" s="17"/>
      <c r="AP3490" s="17"/>
      <c r="AQ3490" s="17"/>
      <c r="AR3490" s="17"/>
      <c r="AS3490" s="17"/>
      <c r="AT3490" s="17"/>
      <c r="AU3490" s="17"/>
      <c r="AV3490" s="17"/>
    </row>
    <row r="3491" spans="1:48" ht="15.75" customHeight="1">
      <c r="A3491" s="21" t="s">
        <v>53</v>
      </c>
      <c r="B3491" s="23" t="s">
        <v>1692</v>
      </c>
      <c r="C3491" s="22">
        <v>45668</v>
      </c>
      <c r="D3491" s="23" t="s">
        <v>113</v>
      </c>
      <c r="E3491" s="23" t="s">
        <v>55</v>
      </c>
      <c r="F3491" s="21">
        <v>1</v>
      </c>
      <c r="G3491" s="12">
        <v>19989.738327347361</v>
      </c>
      <c r="H3491" s="12">
        <v>19989.738327347361</v>
      </c>
      <c r="I3491" s="23" t="s">
        <v>52</v>
      </c>
      <c r="J3491" s="23" t="s">
        <v>61</v>
      </c>
      <c r="K3491" s="24" t="s">
        <v>177</v>
      </c>
      <c r="L3491" s="26">
        <v>87</v>
      </c>
      <c r="M3491" s="12">
        <v>16798.099434745684</v>
      </c>
      <c r="N3491" s="11">
        <v>16798.099434745684</v>
      </c>
      <c r="O3491" s="11">
        <v>3191.6388926016771</v>
      </c>
      <c r="P3491" s="13"/>
      <c r="Q3491" s="14">
        <v>2025</v>
      </c>
      <c r="R3491" s="15">
        <v>45292</v>
      </c>
      <c r="S3491" s="11" t="s">
        <v>366</v>
      </c>
      <c r="T3491" s="16">
        <v>0</v>
      </c>
      <c r="U3491" s="17"/>
      <c r="V3491" s="12">
        <v>3702.3011154179476</v>
      </c>
      <c r="W3491" s="12">
        <v>3702.3011154179476</v>
      </c>
      <c r="X3491" s="12">
        <v>0</v>
      </c>
      <c r="Y3491" s="18">
        <v>45663</v>
      </c>
      <c r="Z3491" s="13" t="s">
        <v>501</v>
      </c>
      <c r="AA3491" s="19" t="str">
        <f>VLOOKUP(D3491,Clientes!$A$2:$J$486,9,FALSE)</f>
        <v>Ocacional</v>
      </c>
      <c r="AB3491" s="13" t="str">
        <f>VLOOKUP(D3491,Clientes!$A$2:$K$486,11,FALSE)</f>
        <v>Persona Natural</v>
      </c>
      <c r="AC3491" s="13" t="str">
        <f>VLOOKUP(D3491,Clientes!$A$2:$B$486,2,FALSE)</f>
        <v>Jardines de la viña</v>
      </c>
      <c r="AD3491" s="20"/>
      <c r="AE3491" s="20"/>
      <c r="AF3491" s="13" t="s">
        <v>40</v>
      </c>
      <c r="AG3491" s="15">
        <v>45292</v>
      </c>
      <c r="AH3491" s="13" t="s">
        <v>41</v>
      </c>
      <c r="AI3491" s="13" t="s">
        <v>53</v>
      </c>
      <c r="AJ3491" s="13" t="str">
        <f>VLOOKUP(E3491,Precios!Z$2:AA$941,2,FALSE)</f>
        <v>Papel Higienico ELITE 50 metros</v>
      </c>
      <c r="AK3491" s="14">
        <f>VLOOKUP(E3491,Precios!Z$2:BB$941,3,FALSE)*F3491</f>
        <v>-8</v>
      </c>
      <c r="AL3491" s="17"/>
      <c r="AM3491" s="17"/>
      <c r="AN3491" s="17"/>
      <c r="AO3491" s="17"/>
      <c r="AP3491" s="17"/>
      <c r="AQ3491" s="17"/>
      <c r="AR3491" s="17"/>
      <c r="AS3491" s="17"/>
      <c r="AT3491" s="17"/>
      <c r="AU3491" s="17"/>
      <c r="AV3491" s="17"/>
    </row>
    <row r="3492" spans="1:48" ht="15.75" customHeight="1">
      <c r="A3492" s="21" t="s">
        <v>147</v>
      </c>
      <c r="B3492" s="23" t="s">
        <v>1692</v>
      </c>
      <c r="C3492" s="22">
        <v>45668</v>
      </c>
      <c r="D3492" s="23" t="s">
        <v>113</v>
      </c>
      <c r="E3492" s="23" t="s">
        <v>248</v>
      </c>
      <c r="F3492" s="21">
        <v>1</v>
      </c>
      <c r="G3492" s="12">
        <v>9000</v>
      </c>
      <c r="H3492" s="12">
        <v>9000</v>
      </c>
      <c r="I3492" s="23" t="s">
        <v>52</v>
      </c>
      <c r="J3492" s="23" t="s">
        <v>61</v>
      </c>
      <c r="K3492" s="24" t="s">
        <v>177</v>
      </c>
      <c r="L3492" s="26">
        <v>87</v>
      </c>
      <c r="M3492" s="12">
        <v>7563.0252100840344</v>
      </c>
      <c r="N3492" s="11">
        <v>7563.0252100840344</v>
      </c>
      <c r="O3492" s="11">
        <v>1436.9747899159656</v>
      </c>
      <c r="P3492" s="13"/>
      <c r="Q3492" s="14">
        <v>2025</v>
      </c>
      <c r="R3492" s="15">
        <v>45292</v>
      </c>
      <c r="S3492" s="11" t="s">
        <v>412</v>
      </c>
      <c r="T3492" s="16">
        <v>0</v>
      </c>
      <c r="U3492" s="17"/>
      <c r="V3492" s="12">
        <v>2773.1092436974795</v>
      </c>
      <c r="W3492" s="12">
        <v>2773.1092436974795</v>
      </c>
      <c r="X3492" s="12">
        <v>0</v>
      </c>
      <c r="Y3492" s="18">
        <v>45663</v>
      </c>
      <c r="Z3492" s="13" t="s">
        <v>501</v>
      </c>
      <c r="AA3492" s="19" t="str">
        <f>VLOOKUP(D3492,Clientes!$A$2:$J$486,9,FALSE)</f>
        <v>Ocacional</v>
      </c>
      <c r="AB3492" s="13" t="str">
        <f>VLOOKUP(D3492,Clientes!$A$2:$K$486,11,FALSE)</f>
        <v>Persona Natural</v>
      </c>
      <c r="AC3492" s="13" t="str">
        <f>VLOOKUP(D3492,Clientes!$A$2:$B$486,2,FALSE)</f>
        <v>Jardines de la viña</v>
      </c>
      <c r="AD3492" s="20"/>
      <c r="AE3492" s="20"/>
      <c r="AF3492" s="13" t="s">
        <v>40</v>
      </c>
      <c r="AG3492" s="15">
        <v>45292</v>
      </c>
      <c r="AH3492" s="13" t="s">
        <v>41</v>
      </c>
      <c r="AI3492" s="13" t="s">
        <v>147</v>
      </c>
      <c r="AJ3492" s="13" t="str">
        <f>VLOOKUP(E3492,Precios!Z$2:AA$941,2,FALSE)</f>
        <v>Film Plástico 300 metros</v>
      </c>
      <c r="AK3492" s="14">
        <f>VLOOKUP(E3492,Precios!Z$2:BB$941,3,FALSE)*F3492</f>
        <v>-1</v>
      </c>
      <c r="AL3492" s="17"/>
      <c r="AM3492" s="17"/>
      <c r="AN3492" s="17"/>
      <c r="AO3492" s="17"/>
      <c r="AP3492" s="17"/>
      <c r="AQ3492" s="17"/>
      <c r="AR3492" s="17"/>
      <c r="AS3492" s="17"/>
      <c r="AT3492" s="17"/>
      <c r="AU3492" s="17"/>
      <c r="AV3492" s="17"/>
    </row>
    <row r="3493" spans="1:48" ht="15.75" customHeight="1">
      <c r="A3493" s="21" t="s">
        <v>53</v>
      </c>
      <c r="B3493" s="23" t="s">
        <v>1692</v>
      </c>
      <c r="C3493" s="22">
        <v>45668</v>
      </c>
      <c r="D3493" s="23" t="s">
        <v>151</v>
      </c>
      <c r="E3493" s="23" t="s">
        <v>55</v>
      </c>
      <c r="F3493" s="21">
        <v>1</v>
      </c>
      <c r="G3493" s="12">
        <v>19989.738327347361</v>
      </c>
      <c r="H3493" s="12">
        <v>19989.738327347361</v>
      </c>
      <c r="I3493" s="23" t="s">
        <v>52</v>
      </c>
      <c r="J3493" s="23" t="s">
        <v>61</v>
      </c>
      <c r="K3493" s="24" t="s">
        <v>177</v>
      </c>
      <c r="L3493" s="26">
        <v>87</v>
      </c>
      <c r="M3493" s="12">
        <v>16798.099434745684</v>
      </c>
      <c r="N3493" s="11">
        <v>16798.099434745684</v>
      </c>
      <c r="O3493" s="11">
        <v>3191.6388926016771</v>
      </c>
      <c r="P3493" s="13"/>
      <c r="Q3493" s="14">
        <v>2025</v>
      </c>
      <c r="R3493" s="15">
        <v>45292</v>
      </c>
      <c r="S3493" s="11" t="s">
        <v>366</v>
      </c>
      <c r="T3493" s="16">
        <v>0</v>
      </c>
      <c r="U3493" s="17"/>
      <c r="V3493" s="12">
        <v>3702.3011154179476</v>
      </c>
      <c r="W3493" s="12">
        <v>3702.3011154179476</v>
      </c>
      <c r="X3493" s="12">
        <v>0</v>
      </c>
      <c r="Y3493" s="18">
        <v>45663</v>
      </c>
      <c r="Z3493" s="13" t="s">
        <v>501</v>
      </c>
      <c r="AA3493" s="19" t="str">
        <f>VLOOKUP(D3493,Clientes!$A$2:$J$486,9,FALSE)</f>
        <v>Ocacional</v>
      </c>
      <c r="AB3493" s="13" t="str">
        <f>VLOOKUP(D3493,Clientes!$A$2:$K$486,11,FALSE)</f>
        <v>Persona Natural</v>
      </c>
      <c r="AC3493" s="13" t="str">
        <f>VLOOKUP(D3493,Clientes!$A$2:$B$486,2,FALSE)</f>
        <v>El Domo</v>
      </c>
      <c r="AD3493" s="20"/>
      <c r="AE3493" s="20"/>
      <c r="AF3493" s="13" t="s">
        <v>40</v>
      </c>
      <c r="AG3493" s="15">
        <v>45292</v>
      </c>
      <c r="AH3493" s="13" t="s">
        <v>41</v>
      </c>
      <c r="AI3493" s="13" t="s">
        <v>53</v>
      </c>
      <c r="AJ3493" s="13" t="str">
        <f>VLOOKUP(E3493,Precios!Z$2:AA$941,2,FALSE)</f>
        <v>Papel Higienico ELITE 50 metros</v>
      </c>
      <c r="AK3493" s="14">
        <f>VLOOKUP(E3493,Precios!Z$2:BB$941,3,FALSE)*F3493</f>
        <v>-8</v>
      </c>
      <c r="AL3493" s="17"/>
      <c r="AM3493" s="17"/>
      <c r="AN3493" s="17"/>
      <c r="AO3493" s="17"/>
      <c r="AP3493" s="17"/>
      <c r="AQ3493" s="17"/>
      <c r="AR3493" s="17"/>
      <c r="AS3493" s="17"/>
      <c r="AT3493" s="17"/>
      <c r="AU3493" s="17"/>
      <c r="AV3493" s="17"/>
    </row>
    <row r="3494" spans="1:48" ht="15.75" customHeight="1">
      <c r="A3494" s="21" t="s">
        <v>35</v>
      </c>
      <c r="B3494" s="23" t="s">
        <v>1692</v>
      </c>
      <c r="C3494" s="22">
        <v>45668</v>
      </c>
      <c r="D3494" s="23" t="s">
        <v>232</v>
      </c>
      <c r="E3494" s="23" t="s">
        <v>37</v>
      </c>
      <c r="F3494" s="21">
        <v>1</v>
      </c>
      <c r="G3494" s="12">
        <v>10500</v>
      </c>
      <c r="H3494" s="12">
        <v>10500</v>
      </c>
      <c r="I3494" s="23" t="s">
        <v>52</v>
      </c>
      <c r="J3494" s="23" t="s">
        <v>61</v>
      </c>
      <c r="K3494" s="24" t="s">
        <v>177</v>
      </c>
      <c r="L3494" s="26">
        <v>87</v>
      </c>
      <c r="M3494" s="12">
        <v>8823.5294117647063</v>
      </c>
      <c r="N3494" s="11">
        <v>8823.5294117647063</v>
      </c>
      <c r="O3494" s="11">
        <v>1676.4705882352937</v>
      </c>
      <c r="P3494" s="13"/>
      <c r="Q3494" s="14">
        <v>2025</v>
      </c>
      <c r="R3494" s="15">
        <v>45292</v>
      </c>
      <c r="S3494" s="11" t="s">
        <v>364</v>
      </c>
      <c r="T3494" s="16">
        <v>1000</v>
      </c>
      <c r="U3494" s="17"/>
      <c r="V3494" s="12">
        <v>2385.7142857142853</v>
      </c>
      <c r="W3494" s="12">
        <v>2385.7142857142853</v>
      </c>
      <c r="X3494" s="12">
        <v>0</v>
      </c>
      <c r="Y3494" s="18">
        <v>45663</v>
      </c>
      <c r="Z3494" s="13" t="s">
        <v>501</v>
      </c>
      <c r="AA3494" s="19" t="str">
        <f>VLOOKUP(D3494,Clientes!$A$2:$J$486,9,FALSE)</f>
        <v>Regular</v>
      </c>
      <c r="AB3494" s="13" t="str">
        <f>VLOOKUP(D3494,Clientes!$A$2:$K$486,11,FALSE)</f>
        <v>Persona Natural</v>
      </c>
      <c r="AC3494" s="13" t="str">
        <f>VLOOKUP(D3494,Clientes!$A$2:$B$486,2,FALSE)</f>
        <v>Colegio Antilhue</v>
      </c>
      <c r="AD3494" s="20"/>
      <c r="AE3494" s="20"/>
      <c r="AF3494" s="13" t="s">
        <v>40</v>
      </c>
      <c r="AG3494" s="15">
        <v>45292</v>
      </c>
      <c r="AH3494" s="13" t="s">
        <v>41</v>
      </c>
      <c r="AI3494" s="13" t="s">
        <v>35</v>
      </c>
      <c r="AJ3494" s="13" t="str">
        <f>VLOOKUP(E3494,Precios!Z$2:AA$941,2,FALSE)</f>
        <v>Queso RUNCA Mantecoso</v>
      </c>
      <c r="AK3494" s="14">
        <f>VLOOKUP(E3494,Precios!Z$2:BB$941,3,FALSE)*F3494</f>
        <v>-1</v>
      </c>
      <c r="AL3494" s="17"/>
      <c r="AM3494" s="17"/>
      <c r="AN3494" s="17"/>
      <c r="AO3494" s="17"/>
      <c r="AP3494" s="17"/>
      <c r="AQ3494" s="17"/>
      <c r="AR3494" s="17"/>
      <c r="AS3494" s="17"/>
      <c r="AT3494" s="17"/>
      <c r="AU3494" s="17"/>
      <c r="AV3494" s="17"/>
    </row>
    <row r="3495" spans="1:48" ht="15.75" customHeight="1">
      <c r="A3495" s="21" t="s">
        <v>76</v>
      </c>
      <c r="B3495" s="23" t="s">
        <v>1692</v>
      </c>
      <c r="C3495" s="22">
        <v>45668</v>
      </c>
      <c r="D3495" s="23" t="s">
        <v>126</v>
      </c>
      <c r="E3495" s="23" t="s">
        <v>98</v>
      </c>
      <c r="F3495" s="21">
        <v>1</v>
      </c>
      <c r="G3495" s="12">
        <v>2600.0000000000005</v>
      </c>
      <c r="H3495" s="12">
        <v>2600.0000000000005</v>
      </c>
      <c r="I3495" s="23" t="s">
        <v>52</v>
      </c>
      <c r="J3495" s="23" t="s">
        <v>61</v>
      </c>
      <c r="K3495" s="24" t="s">
        <v>177</v>
      </c>
      <c r="L3495" s="26">
        <v>87</v>
      </c>
      <c r="M3495" s="12">
        <v>2184.8739495798322</v>
      </c>
      <c r="N3495" s="11">
        <v>2184.8739495798322</v>
      </c>
      <c r="O3495" s="11">
        <v>415.12605042016821</v>
      </c>
      <c r="P3495" s="13"/>
      <c r="Q3495" s="14">
        <v>2025</v>
      </c>
      <c r="R3495" s="15">
        <v>45292</v>
      </c>
      <c r="S3495" s="11" t="s">
        <v>479</v>
      </c>
      <c r="T3495" s="16">
        <v>0</v>
      </c>
      <c r="U3495" s="17"/>
      <c r="V3495" s="12">
        <v>1052.1008403361348</v>
      </c>
      <c r="W3495" s="12">
        <v>1052.1008403361348</v>
      </c>
      <c r="X3495" s="12">
        <v>0</v>
      </c>
      <c r="Y3495" s="18">
        <v>45663</v>
      </c>
      <c r="Z3495" s="13" t="s">
        <v>501</v>
      </c>
      <c r="AA3495" s="19" t="str">
        <f>VLOOKUP(D3495,Clientes!$A$2:$J$486,9,FALSE)</f>
        <v>Frecuente</v>
      </c>
      <c r="AB3495" s="13" t="str">
        <f>VLOOKUP(D3495,Clientes!$A$2:$K$486,11,FALSE)</f>
        <v>Persona Natural</v>
      </c>
      <c r="AC3495" s="13" t="str">
        <f>VLOOKUP(D3495,Clientes!$A$2:$B$486,2,FALSE)</f>
        <v>Jardines de la Viña</v>
      </c>
      <c r="AD3495" s="20"/>
      <c r="AE3495" s="20"/>
      <c r="AF3495" s="13" t="s">
        <v>40</v>
      </c>
      <c r="AG3495" s="15">
        <v>45292</v>
      </c>
      <c r="AH3495" s="13" t="s">
        <v>41</v>
      </c>
      <c r="AI3495" s="13" t="s">
        <v>76</v>
      </c>
      <c r="AJ3495" s="13" t="str">
        <f>VLOOKUP(E3495,Precios!Z$2:AA$941,2,FALSE)</f>
        <v>Lavaloza QUIX 750 cc</v>
      </c>
      <c r="AK3495" s="14">
        <f>VLOOKUP(E3495,Precios!Z$2:BB$941,3,FALSE)*F3495</f>
        <v>-1</v>
      </c>
      <c r="AL3495" s="17"/>
      <c r="AM3495" s="17"/>
      <c r="AN3495" s="17"/>
      <c r="AO3495" s="17"/>
      <c r="AP3495" s="17"/>
      <c r="AQ3495" s="17"/>
      <c r="AR3495" s="17"/>
      <c r="AS3495" s="17"/>
      <c r="AT3495" s="17"/>
      <c r="AU3495" s="17"/>
      <c r="AV3495" s="17"/>
    </row>
    <row r="3496" spans="1:48" ht="15.75" customHeight="1">
      <c r="A3496" s="21" t="s">
        <v>147</v>
      </c>
      <c r="B3496" s="23" t="s">
        <v>1692</v>
      </c>
      <c r="C3496" s="22">
        <v>45668</v>
      </c>
      <c r="D3496" s="23" t="s">
        <v>779</v>
      </c>
      <c r="E3496" s="23" t="s">
        <v>257</v>
      </c>
      <c r="F3496" s="21">
        <v>1</v>
      </c>
      <c r="G3496" s="12">
        <v>4000.0000000000005</v>
      </c>
      <c r="H3496" s="12">
        <v>4000.0000000000005</v>
      </c>
      <c r="I3496" s="23" t="s">
        <v>52</v>
      </c>
      <c r="J3496" s="23" t="s">
        <v>61</v>
      </c>
      <c r="K3496" s="24" t="s">
        <v>177</v>
      </c>
      <c r="L3496" s="26">
        <v>87</v>
      </c>
      <c r="M3496" s="12">
        <v>3361.3445378151264</v>
      </c>
      <c r="N3496" s="11">
        <v>3361.3445378151264</v>
      </c>
      <c r="O3496" s="11">
        <v>638.65546218487407</v>
      </c>
      <c r="P3496" s="13"/>
      <c r="Q3496" s="14">
        <v>2025</v>
      </c>
      <c r="R3496" s="15">
        <v>45292</v>
      </c>
      <c r="S3496" s="11" t="s">
        <v>412</v>
      </c>
      <c r="T3496" s="16">
        <v>0</v>
      </c>
      <c r="U3496" s="17"/>
      <c r="V3496" s="12">
        <v>1680.6722689075632</v>
      </c>
      <c r="W3496" s="12">
        <v>1680.6722689075632</v>
      </c>
      <c r="X3496" s="12">
        <v>0</v>
      </c>
      <c r="Y3496" s="18">
        <v>45663</v>
      </c>
      <c r="Z3496" s="13" t="s">
        <v>501</v>
      </c>
      <c r="AA3496" s="19" t="str">
        <f>VLOOKUP(D3496,Clientes!$A$2:$J$486,9,FALSE)</f>
        <v>Ocacional</v>
      </c>
      <c r="AB3496" s="13" t="str">
        <f>VLOOKUP(D3496,Clientes!$A$2:$K$486,11,FALSE)</f>
        <v>Persona Natural</v>
      </c>
      <c r="AC3496" s="13" t="str">
        <f>VLOOKUP(D3496,Clientes!$A$2:$B$486,2,FALSE)</f>
        <v>Jardin del eden</v>
      </c>
      <c r="AD3496" s="20"/>
      <c r="AE3496" s="20"/>
      <c r="AF3496" s="13" t="s">
        <v>40</v>
      </c>
      <c r="AG3496" s="15">
        <v>45292</v>
      </c>
      <c r="AH3496" s="13" t="s">
        <v>41</v>
      </c>
      <c r="AI3496" s="13" t="s">
        <v>147</v>
      </c>
      <c r="AJ3496" s="13" t="str">
        <f>VLOOKUP(E3496,Precios!Z$2:AA$941,2,FALSE)</f>
        <v>Film Plástico 100 metros</v>
      </c>
      <c r="AK3496" s="14">
        <f>VLOOKUP(E3496,Precios!Z$2:BB$941,3,FALSE)*F3496</f>
        <v>-1</v>
      </c>
      <c r="AL3496" s="17"/>
      <c r="AM3496" s="17"/>
      <c r="AN3496" s="17"/>
      <c r="AO3496" s="17"/>
      <c r="AP3496" s="17"/>
      <c r="AQ3496" s="17"/>
      <c r="AR3496" s="17"/>
      <c r="AS3496" s="17"/>
      <c r="AT3496" s="17"/>
      <c r="AU3496" s="17"/>
      <c r="AV3496" s="17"/>
    </row>
    <row r="3497" spans="1:48" ht="15.75" customHeight="1">
      <c r="A3497" s="21" t="s">
        <v>147</v>
      </c>
      <c r="B3497" s="23" t="s">
        <v>1692</v>
      </c>
      <c r="C3497" s="22">
        <v>45668</v>
      </c>
      <c r="D3497" s="23" t="s">
        <v>779</v>
      </c>
      <c r="E3497" s="23" t="s">
        <v>249</v>
      </c>
      <c r="F3497" s="21">
        <v>1</v>
      </c>
      <c r="G3497" s="12">
        <v>8000.4228329809721</v>
      </c>
      <c r="H3497" s="12">
        <v>8000.4228329809721</v>
      </c>
      <c r="I3497" s="23" t="s">
        <v>52</v>
      </c>
      <c r="J3497" s="23" t="s">
        <v>61</v>
      </c>
      <c r="K3497" s="24" t="s">
        <v>177</v>
      </c>
      <c r="L3497" s="26">
        <v>87</v>
      </c>
      <c r="M3497" s="12">
        <v>6723.0443974630025</v>
      </c>
      <c r="N3497" s="11">
        <v>6723.0443974630025</v>
      </c>
      <c r="O3497" s="11">
        <v>1277.3784355179696</v>
      </c>
      <c r="P3497" s="13"/>
      <c r="Q3497" s="14">
        <v>2025</v>
      </c>
      <c r="R3497" s="15">
        <v>45292</v>
      </c>
      <c r="S3497" s="11" t="s">
        <v>360</v>
      </c>
      <c r="T3497" s="16">
        <v>0</v>
      </c>
      <c r="U3497" s="17"/>
      <c r="V3497" s="12">
        <v>2271.0443974630016</v>
      </c>
      <c r="W3497" s="12">
        <v>2271.0443974630016</v>
      </c>
      <c r="X3497" s="12">
        <v>0</v>
      </c>
      <c r="Y3497" s="18">
        <v>45663</v>
      </c>
      <c r="Z3497" s="13" t="s">
        <v>501</v>
      </c>
      <c r="AA3497" s="19" t="str">
        <f>VLOOKUP(D3497,Clientes!$A$2:$J$486,9,FALSE)</f>
        <v>Ocacional</v>
      </c>
      <c r="AB3497" s="13" t="str">
        <f>VLOOKUP(D3497,Clientes!$A$2:$K$486,11,FALSE)</f>
        <v>Persona Natural</v>
      </c>
      <c r="AC3497" s="13" t="str">
        <f>VLOOKUP(D3497,Clientes!$A$2:$B$486,2,FALSE)</f>
        <v>Jardin del eden</v>
      </c>
      <c r="AD3497" s="20"/>
      <c r="AE3497" s="20"/>
      <c r="AF3497" s="13" t="s">
        <v>40</v>
      </c>
      <c r="AG3497" s="15">
        <v>45292</v>
      </c>
      <c r="AH3497" s="13" t="s">
        <v>41</v>
      </c>
      <c r="AI3497" s="13" t="s">
        <v>147</v>
      </c>
      <c r="AJ3497" s="13" t="str">
        <f>VLOOKUP(E3497,Precios!Z$2:AA$941,2,FALSE)</f>
        <v>Papel Aluminio 100 metros</v>
      </c>
      <c r="AK3497" s="14">
        <f>VLOOKUP(E3497,Precios!Z$2:BB$941,3,FALSE)*F3497</f>
        <v>-1</v>
      </c>
      <c r="AL3497" s="17"/>
      <c r="AM3497" s="17"/>
      <c r="AN3497" s="17"/>
      <c r="AO3497" s="17"/>
      <c r="AP3497" s="17"/>
      <c r="AQ3497" s="17"/>
      <c r="AR3497" s="17"/>
      <c r="AS3497" s="17"/>
      <c r="AT3497" s="17"/>
      <c r="AU3497" s="17"/>
      <c r="AV3497" s="17"/>
    </row>
    <row r="3498" spans="1:48" ht="15.75" customHeight="1">
      <c r="A3498" s="21" t="s">
        <v>47</v>
      </c>
      <c r="B3498" s="23" t="s">
        <v>1692</v>
      </c>
      <c r="C3498" s="22">
        <v>45668</v>
      </c>
      <c r="D3498" s="23" t="s">
        <v>915</v>
      </c>
      <c r="E3498" s="23" t="s">
        <v>94</v>
      </c>
      <c r="F3498" s="21">
        <v>1</v>
      </c>
      <c r="G3498" s="12">
        <v>1650.3649635036495</v>
      </c>
      <c r="H3498" s="37">
        <v>1650.3649635036495</v>
      </c>
      <c r="I3498" s="13" t="s">
        <v>52</v>
      </c>
      <c r="J3498" s="23" t="s">
        <v>61</v>
      </c>
      <c r="K3498" s="24" t="s">
        <v>177</v>
      </c>
      <c r="L3498" s="26">
        <v>87</v>
      </c>
      <c r="M3498" s="12">
        <v>1386.861313868613</v>
      </c>
      <c r="N3498" s="11">
        <v>1386.861313868613</v>
      </c>
      <c r="O3498" s="11">
        <v>263.50364963503648</v>
      </c>
      <c r="P3498" s="13"/>
      <c r="Q3498" s="14">
        <v>2025</v>
      </c>
      <c r="R3498" s="15">
        <v>45292</v>
      </c>
      <c r="S3498" s="11" t="s">
        <v>384</v>
      </c>
      <c r="T3498" s="16">
        <v>0</v>
      </c>
      <c r="U3498" s="17"/>
      <c r="V3498" s="12">
        <v>436.86131386861302</v>
      </c>
      <c r="W3498" s="12">
        <v>436.86131386861302</v>
      </c>
      <c r="X3498" s="12">
        <v>0</v>
      </c>
      <c r="Y3498" s="18">
        <v>45663</v>
      </c>
      <c r="Z3498" s="13" t="s">
        <v>501</v>
      </c>
      <c r="AA3498" s="19" t="str">
        <f>VLOOKUP(D3498,Clientes!$A$2:$J$486,9,FALSE)</f>
        <v>Regular</v>
      </c>
      <c r="AB3498" s="13" t="str">
        <f>VLOOKUP(D3498,Clientes!$A$2:$K$486,11,FALSE)</f>
        <v>Persona Natural</v>
      </c>
      <c r="AC3498" s="13" t="str">
        <f>VLOOKUP(D3498,Clientes!$A$2:$B$486,2,FALSE)</f>
        <v>Jardin del Eden</v>
      </c>
      <c r="AD3498" s="20"/>
      <c r="AE3498" s="20"/>
      <c r="AF3498" s="13" t="s">
        <v>40</v>
      </c>
      <c r="AG3498" s="15">
        <v>45292</v>
      </c>
      <c r="AH3498" s="13" t="s">
        <v>41</v>
      </c>
      <c r="AI3498" s="13" t="s">
        <v>47</v>
      </c>
      <c r="AJ3498" s="13" t="str">
        <f>VLOOKUP(E3498,Precios!Z$2:AA$941,2,FALSE)</f>
        <v>Jabón Lìquido BALLERINA</v>
      </c>
      <c r="AK3498" s="14">
        <f>VLOOKUP(E3498,Precios!Z$2:BB$941,3,FALSE)*F3498</f>
        <v>-3</v>
      </c>
      <c r="AL3498" s="17"/>
      <c r="AM3498" s="17"/>
      <c r="AN3498" s="17"/>
      <c r="AO3498" s="17"/>
      <c r="AP3498" s="17"/>
      <c r="AQ3498" s="17"/>
      <c r="AR3498" s="17"/>
      <c r="AS3498" s="17"/>
      <c r="AT3498" s="17"/>
      <c r="AU3498" s="17"/>
      <c r="AV3498" s="17"/>
    </row>
    <row r="3499" spans="1:48" ht="15.75" customHeight="1">
      <c r="A3499" s="21" t="s">
        <v>76</v>
      </c>
      <c r="B3499" s="23" t="s">
        <v>1692</v>
      </c>
      <c r="C3499" s="22">
        <v>45668</v>
      </c>
      <c r="D3499" s="23" t="s">
        <v>915</v>
      </c>
      <c r="E3499" s="23" t="s">
        <v>194</v>
      </c>
      <c r="F3499" s="21">
        <v>1</v>
      </c>
      <c r="G3499" s="12">
        <v>2400</v>
      </c>
      <c r="H3499" s="37">
        <v>2400</v>
      </c>
      <c r="I3499" s="13" t="s">
        <v>52</v>
      </c>
      <c r="J3499" s="23" t="s">
        <v>61</v>
      </c>
      <c r="K3499" s="24" t="s">
        <v>177</v>
      </c>
      <c r="L3499" s="26">
        <v>87</v>
      </c>
      <c r="M3499" s="12">
        <v>2016.8067226890757</v>
      </c>
      <c r="N3499" s="11">
        <v>2016.8067226890757</v>
      </c>
      <c r="O3499" s="11">
        <v>383.19327731092426</v>
      </c>
      <c r="P3499" s="13"/>
      <c r="Q3499" s="14">
        <v>2025</v>
      </c>
      <c r="R3499" s="15">
        <v>45292</v>
      </c>
      <c r="S3499" s="11" t="s">
        <v>442</v>
      </c>
      <c r="T3499" s="16">
        <v>0</v>
      </c>
      <c r="U3499" s="17"/>
      <c r="V3499" s="12">
        <v>959.6638655462184</v>
      </c>
      <c r="W3499" s="12">
        <v>959.6638655462184</v>
      </c>
      <c r="X3499" s="12">
        <v>0</v>
      </c>
      <c r="Y3499" s="18">
        <v>45663</v>
      </c>
      <c r="Z3499" s="13" t="s">
        <v>501</v>
      </c>
      <c r="AA3499" s="19" t="str">
        <f>VLOOKUP(D3499,Clientes!$A$2:$J$486,9,FALSE)</f>
        <v>Regular</v>
      </c>
      <c r="AB3499" s="13" t="str">
        <f>VLOOKUP(D3499,Clientes!$A$2:$K$486,11,FALSE)</f>
        <v>Persona Natural</v>
      </c>
      <c r="AC3499" s="13" t="str">
        <f>VLOOKUP(D3499,Clientes!$A$2:$B$486,2,FALSE)</f>
        <v>Jardin del Eden</v>
      </c>
      <c r="AD3499" s="20"/>
      <c r="AE3499" s="20"/>
      <c r="AF3499" s="13" t="s">
        <v>40</v>
      </c>
      <c r="AG3499" s="15">
        <v>45292</v>
      </c>
      <c r="AH3499" s="13" t="s">
        <v>41</v>
      </c>
      <c r="AI3499" s="13" t="s">
        <v>76</v>
      </c>
      <c r="AJ3499" s="13" t="str">
        <f>VLOOKUP(E3499,Precios!Z$2:AA$941,2,FALSE)</f>
        <v>CIF 750 cc</v>
      </c>
      <c r="AK3499" s="14">
        <f>VLOOKUP(E3499,Precios!Z$2:BB$941,3,FALSE)*F3499</f>
        <v>-1</v>
      </c>
      <c r="AL3499" s="17"/>
      <c r="AM3499" s="17"/>
      <c r="AN3499" s="17"/>
      <c r="AO3499" s="17"/>
      <c r="AP3499" s="17"/>
      <c r="AQ3499" s="17"/>
      <c r="AR3499" s="17"/>
      <c r="AS3499" s="17"/>
      <c r="AT3499" s="17"/>
      <c r="AU3499" s="17"/>
      <c r="AV3499" s="17"/>
    </row>
    <row r="3500" spans="1:48" ht="15.75" customHeight="1">
      <c r="A3500" s="21" t="s">
        <v>47</v>
      </c>
      <c r="B3500" s="23" t="s">
        <v>1692</v>
      </c>
      <c r="C3500" s="22">
        <v>45668</v>
      </c>
      <c r="D3500" s="23" t="s">
        <v>915</v>
      </c>
      <c r="E3500" s="23" t="s">
        <v>169</v>
      </c>
      <c r="F3500" s="21">
        <v>1</v>
      </c>
      <c r="G3500" s="12">
        <v>1650.3934426229507</v>
      </c>
      <c r="H3500" s="37">
        <v>1650.3934426229507</v>
      </c>
      <c r="I3500" s="13" t="s">
        <v>52</v>
      </c>
      <c r="J3500" s="23" t="s">
        <v>61</v>
      </c>
      <c r="K3500" s="24" t="s">
        <v>177</v>
      </c>
      <c r="L3500" s="26">
        <v>87</v>
      </c>
      <c r="M3500" s="12">
        <v>1386.8852459016393</v>
      </c>
      <c r="N3500" s="11">
        <v>1386.8852459016393</v>
      </c>
      <c r="O3500" s="11">
        <v>263.50819672131138</v>
      </c>
      <c r="P3500" s="13"/>
      <c r="Q3500" s="14">
        <v>2025</v>
      </c>
      <c r="R3500" s="15">
        <v>45292</v>
      </c>
      <c r="S3500" s="11" t="s">
        <v>453</v>
      </c>
      <c r="T3500" s="16">
        <v>0</v>
      </c>
      <c r="U3500" s="17"/>
      <c r="V3500" s="12">
        <v>540.88524590163934</v>
      </c>
      <c r="W3500" s="12">
        <v>540.88524590163934</v>
      </c>
      <c r="X3500" s="12">
        <v>0</v>
      </c>
      <c r="Y3500" s="18">
        <v>45663</v>
      </c>
      <c r="Z3500" s="13" t="s">
        <v>501</v>
      </c>
      <c r="AA3500" s="19" t="str">
        <f>VLOOKUP(D3500,Clientes!$A$2:$J$486,9,FALSE)</f>
        <v>Regular</v>
      </c>
      <c r="AB3500" s="13" t="str">
        <f>VLOOKUP(D3500,Clientes!$A$2:$K$486,11,FALSE)</f>
        <v>Persona Natural</v>
      </c>
      <c r="AC3500" s="13" t="str">
        <f>VLOOKUP(D3500,Clientes!$A$2:$B$486,2,FALSE)</f>
        <v>Jardin del Eden</v>
      </c>
      <c r="AD3500" s="20"/>
      <c r="AE3500" s="20"/>
      <c r="AF3500" s="13" t="s">
        <v>40</v>
      </c>
      <c r="AG3500" s="15">
        <v>45292</v>
      </c>
      <c r="AH3500" s="13" t="s">
        <v>41</v>
      </c>
      <c r="AI3500" s="13" t="s">
        <v>47</v>
      </c>
      <c r="AJ3500" s="13" t="str">
        <f>VLOOKUP(E3500,Precios!Z$2:AA$941,2,FALSE)</f>
        <v xml:space="preserve">Bolsas Basura TEDDY 45x55 con Asas </v>
      </c>
      <c r="AK3500" s="14">
        <f>VLOOKUP(E3500,Precios!Z$2:BB$941,3,FALSE)*F3500</f>
        <v>-3</v>
      </c>
      <c r="AL3500" s="17"/>
      <c r="AM3500" s="17"/>
      <c r="AN3500" s="17"/>
      <c r="AO3500" s="17"/>
      <c r="AP3500" s="17"/>
      <c r="AQ3500" s="17"/>
      <c r="AR3500" s="17"/>
      <c r="AS3500" s="17"/>
      <c r="AT3500" s="17"/>
      <c r="AU3500" s="17"/>
      <c r="AV3500" s="17"/>
    </row>
    <row r="3501" spans="1:48" ht="15.75" customHeight="1">
      <c r="A3501" s="21" t="s">
        <v>147</v>
      </c>
      <c r="B3501" s="23" t="s">
        <v>1692</v>
      </c>
      <c r="C3501" s="22">
        <v>45668</v>
      </c>
      <c r="D3501" s="23" t="s">
        <v>780</v>
      </c>
      <c r="E3501" s="23" t="s">
        <v>296</v>
      </c>
      <c r="F3501" s="21">
        <v>1</v>
      </c>
      <c r="G3501" s="12">
        <v>6000.0775704921853</v>
      </c>
      <c r="H3501" s="12">
        <v>6000.0775704921853</v>
      </c>
      <c r="I3501" s="13" t="s">
        <v>52</v>
      </c>
      <c r="J3501" s="13" t="s">
        <v>61</v>
      </c>
      <c r="K3501" s="24" t="s">
        <v>177</v>
      </c>
      <c r="L3501" s="26">
        <v>87</v>
      </c>
      <c r="M3501" s="12">
        <v>5042.0819920102404</v>
      </c>
      <c r="N3501" s="11">
        <v>5042.0819920102404</v>
      </c>
      <c r="O3501" s="11">
        <v>957.9955784819449</v>
      </c>
      <c r="P3501" s="13"/>
      <c r="Q3501" s="14">
        <v>2025</v>
      </c>
      <c r="R3501" s="15">
        <v>45292</v>
      </c>
      <c r="S3501" s="11" t="s">
        <v>455</v>
      </c>
      <c r="T3501" s="16">
        <v>0</v>
      </c>
      <c r="U3501" s="17"/>
      <c r="V3501" s="12">
        <v>2442.0819920102394</v>
      </c>
      <c r="W3501" s="12">
        <v>2442.0819920102394</v>
      </c>
      <c r="X3501" s="12">
        <v>0</v>
      </c>
      <c r="Y3501" s="18">
        <v>45663</v>
      </c>
      <c r="Z3501" s="13" t="s">
        <v>501</v>
      </c>
      <c r="AA3501" s="19" t="str">
        <f>VLOOKUP(D3501,Clientes!$A$2:$J$486,9,FALSE)</f>
        <v>Ocacional</v>
      </c>
      <c r="AB3501" s="13" t="str">
        <f>VLOOKUP(D3501,Clientes!$A$2:$K$486,11,FALSE)</f>
        <v>Persona Natural</v>
      </c>
      <c r="AC3501" s="13" t="str">
        <f>VLOOKUP(D3501,Clientes!$A$2:$B$486,2,FALSE)</f>
        <v>Santa Ines</v>
      </c>
      <c r="AD3501" s="20"/>
      <c r="AE3501" s="20"/>
      <c r="AF3501" s="13" t="s">
        <v>40</v>
      </c>
      <c r="AG3501" s="15">
        <v>45292</v>
      </c>
      <c r="AH3501" s="13" t="s">
        <v>41</v>
      </c>
      <c r="AI3501" s="13" t="s">
        <v>147</v>
      </c>
      <c r="AJ3501" s="13" t="str">
        <f>VLOOKUP(E3501,Precios!Z$2:AA$941,2,FALSE)</f>
        <v>Film Embalaje</v>
      </c>
      <c r="AK3501" s="14">
        <f>VLOOKUP(E3501,Precios!Z$2:BB$941,3,FALSE)*F3501</f>
        <v>-1</v>
      </c>
      <c r="AL3501" s="17"/>
      <c r="AM3501" s="17"/>
      <c r="AN3501" s="17"/>
      <c r="AO3501" s="17"/>
      <c r="AP3501" s="17"/>
      <c r="AQ3501" s="17"/>
      <c r="AR3501" s="17"/>
      <c r="AS3501" s="17"/>
      <c r="AT3501" s="17"/>
      <c r="AU3501" s="17"/>
      <c r="AV3501" s="17"/>
    </row>
    <row r="3502" spans="1:48" ht="15.75" customHeight="1">
      <c r="A3502" s="21" t="s">
        <v>47</v>
      </c>
      <c r="B3502" s="23" t="s">
        <v>1692</v>
      </c>
      <c r="C3502" s="25">
        <v>45667</v>
      </c>
      <c r="D3502" s="23" t="s">
        <v>236</v>
      </c>
      <c r="E3502" s="23" t="s">
        <v>264</v>
      </c>
      <c r="F3502" s="21">
        <v>2</v>
      </c>
      <c r="G3502" s="12">
        <v>1599.7931747673217</v>
      </c>
      <c r="H3502" s="12">
        <v>3199.5863495346434</v>
      </c>
      <c r="I3502" s="23" t="s">
        <v>52</v>
      </c>
      <c r="J3502" s="23" t="s">
        <v>61</v>
      </c>
      <c r="K3502" s="24" t="s">
        <v>177</v>
      </c>
      <c r="L3502" s="24">
        <v>86</v>
      </c>
      <c r="M3502" s="12">
        <v>1344.3640124095141</v>
      </c>
      <c r="N3502" s="11">
        <v>2688.7280248190282</v>
      </c>
      <c r="O3502" s="11">
        <v>510.85832471561525</v>
      </c>
      <c r="P3502" s="13"/>
      <c r="Q3502" s="14">
        <v>2025</v>
      </c>
      <c r="R3502" s="15">
        <v>45292</v>
      </c>
      <c r="S3502" s="11" t="s">
        <v>495</v>
      </c>
      <c r="T3502" s="16">
        <v>0</v>
      </c>
      <c r="U3502" s="17"/>
      <c r="V3502" s="12">
        <v>738.72802481902818</v>
      </c>
      <c r="W3502" s="12">
        <v>738.72802481902818</v>
      </c>
      <c r="X3502" s="12">
        <v>0</v>
      </c>
      <c r="Y3502" s="18">
        <v>45663</v>
      </c>
      <c r="Z3502" s="13" t="s">
        <v>503</v>
      </c>
      <c r="AA3502" s="19" t="str">
        <f>VLOOKUP(D3502,Clientes!$A$2:$J$486,9,FALSE)</f>
        <v>Familiar</v>
      </c>
      <c r="AB3502" s="13" t="str">
        <f>VLOOKUP(D3502,Clientes!$A$2:$K$486,11,FALSE)</f>
        <v>Persona Natural</v>
      </c>
      <c r="AC3502" s="13" t="str">
        <f>VLOOKUP(D3502,Clientes!$A$2:$B$486,2,FALSE)</f>
        <v>Familiar</v>
      </c>
      <c r="AD3502" s="20"/>
      <c r="AE3502" s="20"/>
      <c r="AF3502" s="13" t="s">
        <v>40</v>
      </c>
      <c r="AG3502" s="15">
        <v>45292</v>
      </c>
      <c r="AH3502" s="13" t="s">
        <v>41</v>
      </c>
      <c r="AI3502" s="13" t="s">
        <v>47</v>
      </c>
      <c r="AJ3502" s="13" t="str">
        <f>VLOOKUP(E3502,Precios!Z$2:AA$941,2,FALSE)</f>
        <v>Cera Roja Brillina</v>
      </c>
      <c r="AK3502" s="14">
        <f>VLOOKUP(E3502,Precios!Z$2:BB$941,3,FALSE)*F3502</f>
        <v>-2</v>
      </c>
      <c r="AL3502" s="17"/>
      <c r="AM3502" s="17"/>
      <c r="AN3502" s="17"/>
      <c r="AO3502" s="17"/>
      <c r="AP3502" s="17"/>
      <c r="AQ3502" s="17"/>
      <c r="AR3502" s="17"/>
      <c r="AS3502" s="17"/>
      <c r="AT3502" s="17"/>
      <c r="AU3502" s="17"/>
      <c r="AV3502" s="17"/>
    </row>
    <row r="3503" spans="1:48" ht="15.75" customHeight="1">
      <c r="A3503" s="21" t="s">
        <v>76</v>
      </c>
      <c r="B3503" s="23" t="s">
        <v>1692</v>
      </c>
      <c r="C3503" s="25">
        <v>45667</v>
      </c>
      <c r="D3503" s="23" t="s">
        <v>236</v>
      </c>
      <c r="E3503" s="23" t="s">
        <v>216</v>
      </c>
      <c r="F3503" s="21">
        <v>1</v>
      </c>
      <c r="G3503" s="12">
        <v>4300</v>
      </c>
      <c r="H3503" s="12">
        <v>4300</v>
      </c>
      <c r="I3503" s="23" t="s">
        <v>52</v>
      </c>
      <c r="J3503" s="23" t="s">
        <v>61</v>
      </c>
      <c r="K3503" s="24" t="s">
        <v>177</v>
      </c>
      <c r="L3503" s="24">
        <v>86</v>
      </c>
      <c r="M3503" s="12">
        <v>3613.4453781512607</v>
      </c>
      <c r="N3503" s="11">
        <v>3613.4453781512607</v>
      </c>
      <c r="O3503" s="11">
        <v>686.55462184873932</v>
      </c>
      <c r="P3503" s="13"/>
      <c r="Q3503" s="14">
        <v>2025</v>
      </c>
      <c r="R3503" s="15">
        <v>45292</v>
      </c>
      <c r="S3503" s="11" t="s">
        <v>479</v>
      </c>
      <c r="T3503" s="16">
        <v>5</v>
      </c>
      <c r="U3503" s="17"/>
      <c r="V3503" s="12">
        <v>1134.453781512605</v>
      </c>
      <c r="W3503" s="12">
        <v>1134.453781512605</v>
      </c>
      <c r="X3503" s="12">
        <v>0</v>
      </c>
      <c r="Y3503" s="18">
        <v>45663</v>
      </c>
      <c r="Z3503" s="13" t="s">
        <v>503</v>
      </c>
      <c r="AA3503" s="19" t="str">
        <f>VLOOKUP(D3503,Clientes!$A$2:$J$486,9,FALSE)</f>
        <v>Familiar</v>
      </c>
      <c r="AB3503" s="13" t="str">
        <f>VLOOKUP(D3503,Clientes!$A$2:$K$486,11,FALSE)</f>
        <v>Persona Natural</v>
      </c>
      <c r="AC3503" s="13" t="str">
        <f>VLOOKUP(D3503,Clientes!$A$2:$B$486,2,FALSE)</f>
        <v>Familiar</v>
      </c>
      <c r="AD3503" s="20"/>
      <c r="AE3503" s="20"/>
      <c r="AF3503" s="13" t="s">
        <v>40</v>
      </c>
      <c r="AG3503" s="15">
        <v>45292</v>
      </c>
      <c r="AH3503" s="13" t="s">
        <v>41</v>
      </c>
      <c r="AI3503" s="13" t="s">
        <v>76</v>
      </c>
      <c r="AJ3503" s="13" t="str">
        <f>VLOOKUP(E3503,Precios!Z$2:AA$941,2,FALSE)</f>
        <v>Lavaloza SPUM 5 Litros</v>
      </c>
      <c r="AK3503" s="14">
        <f>VLOOKUP(E3503,Precios!Z$2:BB$941,3,FALSE)*F3503</f>
        <v>-1</v>
      </c>
      <c r="AL3503" s="17"/>
      <c r="AM3503" s="17"/>
      <c r="AN3503" s="17"/>
      <c r="AO3503" s="17"/>
      <c r="AP3503" s="17"/>
      <c r="AQ3503" s="17"/>
      <c r="AR3503" s="17"/>
      <c r="AS3503" s="17"/>
      <c r="AT3503" s="17"/>
      <c r="AU3503" s="17"/>
      <c r="AV3503" s="17"/>
    </row>
    <row r="3504" spans="1:48" ht="15.75" customHeight="1">
      <c r="A3504" s="21" t="s">
        <v>76</v>
      </c>
      <c r="B3504" s="23" t="s">
        <v>1692</v>
      </c>
      <c r="C3504" s="25">
        <v>45667</v>
      </c>
      <c r="D3504" s="23" t="s">
        <v>236</v>
      </c>
      <c r="E3504" s="23" t="s">
        <v>194</v>
      </c>
      <c r="F3504" s="21">
        <v>1</v>
      </c>
      <c r="G3504" s="12">
        <v>2400</v>
      </c>
      <c r="H3504" s="12">
        <v>2400</v>
      </c>
      <c r="I3504" s="23" t="s">
        <v>52</v>
      </c>
      <c r="J3504" s="23" t="s">
        <v>61</v>
      </c>
      <c r="K3504" s="24" t="s">
        <v>177</v>
      </c>
      <c r="L3504" s="24">
        <v>86</v>
      </c>
      <c r="M3504" s="12">
        <v>2016.8067226890757</v>
      </c>
      <c r="N3504" s="11">
        <v>2016.8067226890757</v>
      </c>
      <c r="O3504" s="11">
        <v>383.19327731092426</v>
      </c>
      <c r="P3504" s="13"/>
      <c r="Q3504" s="14">
        <v>2025</v>
      </c>
      <c r="R3504" s="15">
        <v>45292</v>
      </c>
      <c r="S3504" s="11" t="s">
        <v>442</v>
      </c>
      <c r="T3504" s="16">
        <v>0</v>
      </c>
      <c r="U3504" s="17"/>
      <c r="V3504" s="12">
        <v>959.6638655462184</v>
      </c>
      <c r="W3504" s="12">
        <v>959.6638655462184</v>
      </c>
      <c r="X3504" s="12">
        <v>0</v>
      </c>
      <c r="Y3504" s="18">
        <v>45663</v>
      </c>
      <c r="Z3504" s="13" t="s">
        <v>503</v>
      </c>
      <c r="AA3504" s="19" t="str">
        <f>VLOOKUP(D3504,Clientes!$A$2:$J$486,9,FALSE)</f>
        <v>Familiar</v>
      </c>
      <c r="AB3504" s="13" t="str">
        <f>VLOOKUP(D3504,Clientes!$A$2:$K$486,11,FALSE)</f>
        <v>Persona Natural</v>
      </c>
      <c r="AC3504" s="13" t="str">
        <f>VLOOKUP(D3504,Clientes!$A$2:$B$486,2,FALSE)</f>
        <v>Familiar</v>
      </c>
      <c r="AD3504" s="20"/>
      <c r="AE3504" s="20"/>
      <c r="AF3504" s="13" t="s">
        <v>40</v>
      </c>
      <c r="AG3504" s="15">
        <v>45292</v>
      </c>
      <c r="AH3504" s="13" t="s">
        <v>41</v>
      </c>
      <c r="AI3504" s="13" t="s">
        <v>76</v>
      </c>
      <c r="AJ3504" s="13" t="str">
        <f>VLOOKUP(E3504,Precios!Z$2:AA$941,2,FALSE)</f>
        <v>CIF 750 cc</v>
      </c>
      <c r="AK3504" s="14">
        <f>VLOOKUP(E3504,Precios!Z$2:BB$941,3,FALSE)*F3504</f>
        <v>-1</v>
      </c>
      <c r="AL3504" s="17"/>
      <c r="AM3504" s="17"/>
      <c r="AN3504" s="17"/>
      <c r="AO3504" s="17"/>
      <c r="AP3504" s="17"/>
      <c r="AQ3504" s="17"/>
      <c r="AR3504" s="17"/>
      <c r="AS3504" s="17"/>
      <c r="AT3504" s="17"/>
      <c r="AU3504" s="17"/>
      <c r="AV3504" s="17"/>
    </row>
    <row r="3505" spans="1:48" ht="15.75" customHeight="1">
      <c r="A3505" s="21" t="s">
        <v>76</v>
      </c>
      <c r="B3505" s="23" t="s">
        <v>1692</v>
      </c>
      <c r="C3505" s="25">
        <v>45667</v>
      </c>
      <c r="D3505" s="23" t="s">
        <v>236</v>
      </c>
      <c r="E3505" s="23" t="s">
        <v>110</v>
      </c>
      <c r="F3505" s="21">
        <v>1</v>
      </c>
      <c r="G3505" s="12">
        <v>2000.0000000000005</v>
      </c>
      <c r="H3505" s="12">
        <v>2000.0000000000005</v>
      </c>
      <c r="I3505" s="23" t="s">
        <v>52</v>
      </c>
      <c r="J3505" s="23" t="s">
        <v>61</v>
      </c>
      <c r="K3505" s="24" t="s">
        <v>177</v>
      </c>
      <c r="L3505" s="24">
        <v>86</v>
      </c>
      <c r="M3505" s="12">
        <v>1680.6722689075634</v>
      </c>
      <c r="N3505" s="11">
        <v>1680.6722689075634</v>
      </c>
      <c r="O3505" s="11">
        <v>319.32773109243703</v>
      </c>
      <c r="P3505" s="13"/>
      <c r="Q3505" s="14">
        <v>2025</v>
      </c>
      <c r="R3505" s="15">
        <v>45292</v>
      </c>
      <c r="S3505" s="11" t="s">
        <v>378</v>
      </c>
      <c r="T3505" s="16">
        <v>5</v>
      </c>
      <c r="U3505" s="17"/>
      <c r="V3505" s="12">
        <v>756.30252100840369</v>
      </c>
      <c r="W3505" s="12">
        <v>756.30252100840369</v>
      </c>
      <c r="X3505" s="12">
        <v>0</v>
      </c>
      <c r="Y3505" s="18">
        <v>45663</v>
      </c>
      <c r="Z3505" s="13" t="s">
        <v>503</v>
      </c>
      <c r="AA3505" s="19" t="str">
        <f>VLOOKUP(D3505,Clientes!$A$2:$J$486,9,FALSE)</f>
        <v>Familiar</v>
      </c>
      <c r="AB3505" s="13" t="str">
        <f>VLOOKUP(D3505,Clientes!$A$2:$K$486,11,FALSE)</f>
        <v>Persona Natural</v>
      </c>
      <c r="AC3505" s="13" t="str">
        <f>VLOOKUP(D3505,Clientes!$A$2:$B$486,2,FALSE)</f>
        <v>Familiar</v>
      </c>
      <c r="AD3505" s="20"/>
      <c r="AE3505" s="20"/>
      <c r="AF3505" s="13" t="s">
        <v>40</v>
      </c>
      <c r="AG3505" s="15">
        <v>45292</v>
      </c>
      <c r="AH3505" s="13" t="s">
        <v>41</v>
      </c>
      <c r="AI3505" s="13" t="s">
        <v>76</v>
      </c>
      <c r="AJ3505" s="13" t="str">
        <f>VLOOKUP(E3505,Precios!Z$2:AA$941,2,FALSE)</f>
        <v>Cloro SPUM 5 Litros</v>
      </c>
      <c r="AK3505" s="14">
        <f>VLOOKUP(E3505,Precios!Z$2:BB$941,3,FALSE)*F3505</f>
        <v>-1</v>
      </c>
      <c r="AL3505" s="17"/>
      <c r="AM3505" s="17"/>
      <c r="AN3505" s="17"/>
      <c r="AO3505" s="17"/>
      <c r="AP3505" s="17"/>
      <c r="AQ3505" s="17"/>
      <c r="AR3505" s="17"/>
      <c r="AS3505" s="17"/>
      <c r="AT3505" s="17"/>
      <c r="AU3505" s="17"/>
      <c r="AV3505" s="17"/>
    </row>
    <row r="3506" spans="1:48" ht="15.75" customHeight="1">
      <c r="A3506" s="21" t="s">
        <v>56</v>
      </c>
      <c r="B3506" s="23" t="s">
        <v>1692</v>
      </c>
      <c r="C3506" s="25">
        <v>45667</v>
      </c>
      <c r="D3506" s="23" t="s">
        <v>236</v>
      </c>
      <c r="E3506" s="23" t="s">
        <v>67</v>
      </c>
      <c r="F3506" s="21">
        <v>1</v>
      </c>
      <c r="G3506" s="12">
        <v>7000.0000000000009</v>
      </c>
      <c r="H3506" s="12">
        <v>7000.0000000000009</v>
      </c>
      <c r="I3506" s="23" t="s">
        <v>52</v>
      </c>
      <c r="J3506" s="23" t="s">
        <v>61</v>
      </c>
      <c r="K3506" s="24" t="s">
        <v>177</v>
      </c>
      <c r="L3506" s="24">
        <v>86</v>
      </c>
      <c r="M3506" s="12">
        <v>5882.3529411764712</v>
      </c>
      <c r="N3506" s="11">
        <v>5882.3529411764712</v>
      </c>
      <c r="O3506" s="11">
        <v>1117.6470588235297</v>
      </c>
      <c r="P3506" s="13"/>
      <c r="Q3506" s="14">
        <v>2025</v>
      </c>
      <c r="R3506" s="15">
        <v>45292</v>
      </c>
      <c r="S3506" s="11" t="s">
        <v>492</v>
      </c>
      <c r="T3506" s="16">
        <v>200</v>
      </c>
      <c r="U3506" s="17"/>
      <c r="V3506" s="12">
        <v>1512.6050420168067</v>
      </c>
      <c r="W3506" s="12">
        <v>1512.6050420168067</v>
      </c>
      <c r="X3506" s="12">
        <v>0</v>
      </c>
      <c r="Y3506" s="18">
        <v>45663</v>
      </c>
      <c r="Z3506" s="13" t="s">
        <v>503</v>
      </c>
      <c r="AA3506" s="19" t="str">
        <f>VLOOKUP(D3506,Clientes!$A$2:$J$486,9,FALSE)</f>
        <v>Familiar</v>
      </c>
      <c r="AB3506" s="13" t="str">
        <f>VLOOKUP(D3506,Clientes!$A$2:$K$486,11,FALSE)</f>
        <v>Persona Natural</v>
      </c>
      <c r="AC3506" s="13" t="str">
        <f>VLOOKUP(D3506,Clientes!$A$2:$B$486,2,FALSE)</f>
        <v>Familiar</v>
      </c>
      <c r="AD3506" s="20"/>
      <c r="AE3506" s="20"/>
      <c r="AF3506" s="13" t="s">
        <v>40</v>
      </c>
      <c r="AG3506" s="15">
        <v>45292</v>
      </c>
      <c r="AH3506" s="13" t="s">
        <v>41</v>
      </c>
      <c r="AI3506" s="13" t="s">
        <v>56</v>
      </c>
      <c r="AJ3506" s="13" t="str">
        <f>VLOOKUP(E3506,Precios!Z$2:AA$941,2,FALSE)</f>
        <v>Mantequilla RUMAY</v>
      </c>
      <c r="AK3506" s="14">
        <f>VLOOKUP(E3506,Precios!Z$2:BB$941,3,FALSE)*F3506</f>
        <v>-3</v>
      </c>
      <c r="AL3506" s="17"/>
      <c r="AM3506" s="17"/>
      <c r="AN3506" s="17"/>
      <c r="AO3506" s="17"/>
      <c r="AP3506" s="17"/>
      <c r="AQ3506" s="17"/>
      <c r="AR3506" s="17"/>
      <c r="AS3506" s="17"/>
      <c r="AT3506" s="17"/>
      <c r="AU3506" s="17"/>
      <c r="AV3506" s="17"/>
    </row>
    <row r="3507" spans="1:48" ht="15.75" customHeight="1">
      <c r="A3507" s="21" t="s">
        <v>147</v>
      </c>
      <c r="B3507" s="23" t="s">
        <v>1692</v>
      </c>
      <c r="C3507" s="25">
        <v>45667</v>
      </c>
      <c r="D3507" s="23" t="s">
        <v>737</v>
      </c>
      <c r="E3507" s="23" t="s">
        <v>594</v>
      </c>
      <c r="F3507" s="21">
        <v>1</v>
      </c>
      <c r="G3507" s="12">
        <v>16000.413714640326</v>
      </c>
      <c r="H3507" s="12">
        <v>16000.413714640326</v>
      </c>
      <c r="I3507" s="23" t="s">
        <v>52</v>
      </c>
      <c r="J3507" s="23" t="s">
        <v>61</v>
      </c>
      <c r="K3507" s="24" t="s">
        <v>177</v>
      </c>
      <c r="L3507" s="24">
        <v>86</v>
      </c>
      <c r="M3507" s="12">
        <v>13445.725810622123</v>
      </c>
      <c r="N3507" s="11">
        <v>13445.725810622123</v>
      </c>
      <c r="O3507" s="11">
        <v>2554.687904018203</v>
      </c>
      <c r="P3507" s="13"/>
      <c r="Q3507" s="14">
        <v>2025</v>
      </c>
      <c r="R3507" s="15">
        <v>45292</v>
      </c>
      <c r="S3507" s="11" t="s">
        <v>455</v>
      </c>
      <c r="T3507" s="16">
        <v>0</v>
      </c>
      <c r="U3507" s="17"/>
      <c r="V3507" s="12">
        <v>5645.7258106221234</v>
      </c>
      <c r="W3507" s="12">
        <v>5645.7258106221234</v>
      </c>
      <c r="X3507" s="12">
        <v>0</v>
      </c>
      <c r="Y3507" s="18">
        <v>45663</v>
      </c>
      <c r="Z3507" s="13" t="s">
        <v>503</v>
      </c>
      <c r="AA3507" s="19" t="str">
        <f>VLOOKUP(D3507,Clientes!$A$2:$J$486,9,FALSE)</f>
        <v>Ocacional</v>
      </c>
      <c r="AB3507" s="13" t="str">
        <f>VLOOKUP(D3507,Clientes!$A$2:$K$486,11,FALSE)</f>
        <v>Persona Natural</v>
      </c>
      <c r="AC3507" s="13" t="str">
        <f>VLOOKUP(D3507,Clientes!$A$2:$B$486,2,FALSE)</f>
        <v>Jardin del eden</v>
      </c>
      <c r="AD3507" s="20"/>
      <c r="AE3507" s="20"/>
      <c r="AF3507" s="13" t="s">
        <v>40</v>
      </c>
      <c r="AG3507" s="15">
        <v>45292</v>
      </c>
      <c r="AH3507" s="13" t="s">
        <v>41</v>
      </c>
      <c r="AI3507" s="13" t="s">
        <v>147</v>
      </c>
      <c r="AJ3507" s="13" t="str">
        <f>VLOOKUP(E3507,Precios!Z$2:AA$941,2,FALSE)</f>
        <v>Film Embalaje</v>
      </c>
      <c r="AK3507" s="14">
        <f>VLOOKUP(E3507,Precios!Z$2:BB$941,3,FALSE)*F3507</f>
        <v>-3</v>
      </c>
      <c r="AL3507" s="17"/>
      <c r="AM3507" s="17"/>
      <c r="AN3507" s="17"/>
      <c r="AO3507" s="17"/>
      <c r="AP3507" s="17"/>
      <c r="AQ3507" s="17"/>
      <c r="AR3507" s="17"/>
      <c r="AS3507" s="17"/>
      <c r="AT3507" s="17"/>
      <c r="AU3507" s="17"/>
      <c r="AV3507" s="17"/>
    </row>
    <row r="3508" spans="1:48" ht="15.75" customHeight="1">
      <c r="A3508" s="21" t="s">
        <v>43</v>
      </c>
      <c r="B3508" s="23" t="s">
        <v>1692</v>
      </c>
      <c r="C3508" s="25">
        <v>45667</v>
      </c>
      <c r="D3508" s="23" t="s">
        <v>241</v>
      </c>
      <c r="E3508" s="23" t="s">
        <v>45</v>
      </c>
      <c r="F3508" s="21">
        <v>1</v>
      </c>
      <c r="G3508" s="12">
        <v>6499.7815321875905</v>
      </c>
      <c r="H3508" s="12">
        <v>6499.7815321875905</v>
      </c>
      <c r="I3508" s="23" t="s">
        <v>52</v>
      </c>
      <c r="J3508" s="23" t="s">
        <v>61</v>
      </c>
      <c r="K3508" s="24" t="s">
        <v>177</v>
      </c>
      <c r="L3508" s="24">
        <v>86</v>
      </c>
      <c r="M3508" s="12">
        <v>5462.0012875525972</v>
      </c>
      <c r="N3508" s="11">
        <v>5462.0012875525972</v>
      </c>
      <c r="O3508" s="11">
        <v>1037.7802446349933</v>
      </c>
      <c r="P3508" s="13"/>
      <c r="Q3508" s="14">
        <v>2025</v>
      </c>
      <c r="R3508" s="15">
        <v>45292</v>
      </c>
      <c r="S3508" s="11" t="s">
        <v>355</v>
      </c>
      <c r="T3508" s="16">
        <v>0</v>
      </c>
      <c r="U3508" s="17"/>
      <c r="V3508" s="12">
        <v>1711.7912035189838</v>
      </c>
      <c r="W3508" s="12">
        <v>1711.7912035189838</v>
      </c>
      <c r="X3508" s="12">
        <v>0</v>
      </c>
      <c r="Y3508" s="18">
        <v>45663</v>
      </c>
      <c r="Z3508" s="13" t="s">
        <v>503</v>
      </c>
      <c r="AA3508" s="19" t="str">
        <f>VLOOKUP(D3508,Clientes!$A$2:$J$486,9,FALSE)</f>
        <v>Ocacional</v>
      </c>
      <c r="AB3508" s="13" t="str">
        <f>VLOOKUP(D3508,Clientes!$A$2:$K$486,11,FALSE)</f>
        <v>Persona Natural</v>
      </c>
      <c r="AC3508" s="13" t="str">
        <f>VLOOKUP(D3508,Clientes!$A$2:$B$486,2,FALSE)</f>
        <v>Colombia</v>
      </c>
      <c r="AD3508" s="20"/>
      <c r="AE3508" s="20"/>
      <c r="AF3508" s="13" t="s">
        <v>40</v>
      </c>
      <c r="AG3508" s="15">
        <v>45292</v>
      </c>
      <c r="AH3508" s="13" t="s">
        <v>41</v>
      </c>
      <c r="AI3508" s="13" t="s">
        <v>43</v>
      </c>
      <c r="AJ3508" s="13" t="str">
        <f>VLOOKUP(E3508,Precios!Z$2:AA$941,2,FALSE)</f>
        <v>Bandeja Huevos EXTRA</v>
      </c>
      <c r="AK3508" s="14">
        <f>VLOOKUP(E3508,Precios!Z$2:BB$941,3,FALSE)*F3508</f>
        <v>-1</v>
      </c>
      <c r="AL3508" s="17"/>
      <c r="AM3508" s="17"/>
      <c r="AN3508" s="17"/>
      <c r="AO3508" s="17"/>
      <c r="AP3508" s="17"/>
      <c r="AQ3508" s="17"/>
      <c r="AR3508" s="17"/>
      <c r="AS3508" s="17"/>
      <c r="AT3508" s="17"/>
      <c r="AU3508" s="17"/>
      <c r="AV3508" s="17"/>
    </row>
    <row r="3509" spans="1:48" ht="15.75" customHeight="1">
      <c r="A3509" s="21" t="s">
        <v>147</v>
      </c>
      <c r="B3509" s="23" t="s">
        <v>1692</v>
      </c>
      <c r="C3509" s="25">
        <v>45667</v>
      </c>
      <c r="D3509" s="23" t="s">
        <v>125</v>
      </c>
      <c r="E3509" s="23" t="s">
        <v>296</v>
      </c>
      <c r="F3509" s="21">
        <v>1</v>
      </c>
      <c r="G3509" s="12">
        <v>6000.0775704921853</v>
      </c>
      <c r="H3509" s="12">
        <v>6000.0775704921853</v>
      </c>
      <c r="I3509" s="23" t="s">
        <v>52</v>
      </c>
      <c r="J3509" s="23" t="s">
        <v>61</v>
      </c>
      <c r="K3509" s="24" t="s">
        <v>177</v>
      </c>
      <c r="L3509" s="24">
        <v>86</v>
      </c>
      <c r="M3509" s="12">
        <v>5042.0819920102404</v>
      </c>
      <c r="N3509" s="11">
        <v>5042.0819920102404</v>
      </c>
      <c r="O3509" s="11">
        <v>957.9955784819449</v>
      </c>
      <c r="P3509" s="13"/>
      <c r="Q3509" s="14">
        <v>2025</v>
      </c>
      <c r="R3509" s="15">
        <v>45292</v>
      </c>
      <c r="S3509" s="11" t="s">
        <v>455</v>
      </c>
      <c r="T3509" s="16">
        <v>0</v>
      </c>
      <c r="U3509" s="17"/>
      <c r="V3509" s="12">
        <v>2442.0819920102394</v>
      </c>
      <c r="W3509" s="12">
        <v>2442.0819920102394</v>
      </c>
      <c r="X3509" s="12">
        <v>0</v>
      </c>
      <c r="Y3509" s="18">
        <v>45663</v>
      </c>
      <c r="Z3509" s="13" t="s">
        <v>503</v>
      </c>
      <c r="AA3509" s="19" t="str">
        <f>VLOOKUP(D3509,Clientes!$A$2:$J$486,9,FALSE)</f>
        <v>Frecuente</v>
      </c>
      <c r="AB3509" s="13" t="str">
        <f>VLOOKUP(D3509,Clientes!$A$2:$K$486,11,FALSE)</f>
        <v>Persona Natural</v>
      </c>
      <c r="AC3509" s="13" t="str">
        <f>VLOOKUP(D3509,Clientes!$A$2:$B$486,2,FALSE)</f>
        <v>Jardines de la Viña</v>
      </c>
      <c r="AD3509" s="20"/>
      <c r="AE3509" s="20"/>
      <c r="AF3509" s="13" t="s">
        <v>40</v>
      </c>
      <c r="AG3509" s="15">
        <v>45292</v>
      </c>
      <c r="AH3509" s="13" t="s">
        <v>41</v>
      </c>
      <c r="AI3509" s="13" t="s">
        <v>147</v>
      </c>
      <c r="AJ3509" s="13" t="str">
        <f>VLOOKUP(E3509,Precios!Z$2:AA$941,2,FALSE)</f>
        <v>Film Embalaje</v>
      </c>
      <c r="AK3509" s="14">
        <f>VLOOKUP(E3509,Precios!Z$2:BB$941,3,FALSE)*F3509</f>
        <v>-1</v>
      </c>
      <c r="AL3509" s="17"/>
      <c r="AM3509" s="17"/>
      <c r="AN3509" s="17"/>
      <c r="AO3509" s="17"/>
      <c r="AP3509" s="17"/>
      <c r="AQ3509" s="17"/>
      <c r="AR3509" s="17"/>
      <c r="AS3509" s="17"/>
      <c r="AT3509" s="17"/>
      <c r="AU3509" s="17"/>
      <c r="AV3509" s="17"/>
    </row>
    <row r="3510" spans="1:48" ht="15.75" customHeight="1">
      <c r="A3510" s="21" t="s">
        <v>35</v>
      </c>
      <c r="B3510" s="23" t="s">
        <v>1692</v>
      </c>
      <c r="C3510" s="25">
        <v>45667</v>
      </c>
      <c r="D3510" s="23" t="s">
        <v>125</v>
      </c>
      <c r="E3510" s="23" t="s">
        <v>46</v>
      </c>
      <c r="F3510" s="21">
        <v>1</v>
      </c>
      <c r="G3510" s="12">
        <v>5500</v>
      </c>
      <c r="H3510" s="12">
        <v>5500</v>
      </c>
      <c r="I3510" s="23" t="s">
        <v>52</v>
      </c>
      <c r="J3510" s="23" t="s">
        <v>61</v>
      </c>
      <c r="K3510" s="24" t="s">
        <v>177</v>
      </c>
      <c r="L3510" s="24">
        <v>86</v>
      </c>
      <c r="M3510" s="12">
        <v>4621.8487394957983</v>
      </c>
      <c r="N3510" s="11">
        <v>4621.8487394957983</v>
      </c>
      <c r="O3510" s="11">
        <v>878.15126050420167</v>
      </c>
      <c r="P3510" s="13"/>
      <c r="Q3510" s="14">
        <v>2025</v>
      </c>
      <c r="R3510" s="15">
        <v>45292</v>
      </c>
      <c r="S3510" s="11" t="s">
        <v>364</v>
      </c>
      <c r="T3510" s="16">
        <v>500</v>
      </c>
      <c r="U3510" s="17"/>
      <c r="V3510" s="12">
        <v>1365.1260504201678</v>
      </c>
      <c r="W3510" s="12">
        <v>1365.1260504201678</v>
      </c>
      <c r="X3510" s="12">
        <v>0</v>
      </c>
      <c r="Y3510" s="18">
        <v>45663</v>
      </c>
      <c r="Z3510" s="13" t="s">
        <v>503</v>
      </c>
      <c r="AA3510" s="19" t="str">
        <f>VLOOKUP(D3510,Clientes!$A$2:$J$486,9,FALSE)</f>
        <v>Frecuente</v>
      </c>
      <c r="AB3510" s="13" t="str">
        <f>VLOOKUP(D3510,Clientes!$A$2:$K$486,11,FALSE)</f>
        <v>Persona Natural</v>
      </c>
      <c r="AC3510" s="13" t="str">
        <f>VLOOKUP(D3510,Clientes!$A$2:$B$486,2,FALSE)</f>
        <v>Jardines de la Viña</v>
      </c>
      <c r="AD3510" s="20"/>
      <c r="AE3510" s="20"/>
      <c r="AF3510" s="13" t="s">
        <v>40</v>
      </c>
      <c r="AG3510" s="15">
        <v>45292</v>
      </c>
      <c r="AH3510" s="13" t="s">
        <v>41</v>
      </c>
      <c r="AI3510" s="13" t="s">
        <v>35</v>
      </c>
      <c r="AJ3510" s="13" t="str">
        <f>VLOOKUP(E3510,Precios!Z$2:AA$941,2,FALSE)</f>
        <v>Queso RUNCA Mantecoso</v>
      </c>
      <c r="AK3510" s="14">
        <f>VLOOKUP(E3510,Precios!Z$2:BB$941,3,FALSE)*F3510</f>
        <v>-0.5</v>
      </c>
      <c r="AL3510" s="17"/>
      <c r="AM3510" s="17"/>
      <c r="AN3510" s="17"/>
      <c r="AO3510" s="17"/>
      <c r="AP3510" s="17"/>
      <c r="AQ3510" s="17"/>
      <c r="AR3510" s="17"/>
      <c r="AS3510" s="17"/>
      <c r="AT3510" s="17"/>
      <c r="AU3510" s="17"/>
      <c r="AV3510" s="17"/>
    </row>
    <row r="3511" spans="1:48" ht="15.75" customHeight="1">
      <c r="A3511" s="21" t="s">
        <v>35</v>
      </c>
      <c r="B3511" s="23" t="s">
        <v>1692</v>
      </c>
      <c r="C3511" s="25">
        <v>45667</v>
      </c>
      <c r="D3511" s="23" t="s">
        <v>58</v>
      </c>
      <c r="E3511" s="23" t="s">
        <v>37</v>
      </c>
      <c r="F3511" s="21">
        <v>1</v>
      </c>
      <c r="G3511" s="12">
        <v>10500</v>
      </c>
      <c r="H3511" s="12">
        <v>10500</v>
      </c>
      <c r="I3511" s="23" t="s">
        <v>52</v>
      </c>
      <c r="J3511" s="23" t="s">
        <v>61</v>
      </c>
      <c r="K3511" s="24" t="s">
        <v>177</v>
      </c>
      <c r="L3511" s="24">
        <v>86</v>
      </c>
      <c r="M3511" s="12">
        <v>8823.5294117647063</v>
      </c>
      <c r="N3511" s="11">
        <v>8823.5294117647063</v>
      </c>
      <c r="O3511" s="11">
        <v>1676.4705882352937</v>
      </c>
      <c r="P3511" s="13"/>
      <c r="Q3511" s="14">
        <v>2025</v>
      </c>
      <c r="R3511" s="15">
        <v>45292</v>
      </c>
      <c r="S3511" s="11" t="s">
        <v>364</v>
      </c>
      <c r="T3511" s="16">
        <v>1000</v>
      </c>
      <c r="U3511" s="17"/>
      <c r="V3511" s="12">
        <v>2385.7142857142853</v>
      </c>
      <c r="W3511" s="12">
        <v>2385.7142857142853</v>
      </c>
      <c r="X3511" s="12">
        <v>0</v>
      </c>
      <c r="Y3511" s="18">
        <v>45663</v>
      </c>
      <c r="Z3511" s="13" t="s">
        <v>503</v>
      </c>
      <c r="AA3511" s="19" t="str">
        <f>VLOOKUP(D3511,Clientes!$A$2:$J$486,9,FALSE)</f>
        <v>Regular</v>
      </c>
      <c r="AB3511" s="13" t="str">
        <f>VLOOKUP(D3511,Clientes!$A$2:$K$486,11,FALSE)</f>
        <v>Persona Natural</v>
      </c>
      <c r="AC3511" s="13" t="str">
        <f>VLOOKUP(D3511,Clientes!$A$2:$B$486,2,FALSE)</f>
        <v>Jardines de la Viña</v>
      </c>
      <c r="AD3511" s="20"/>
      <c r="AE3511" s="20"/>
      <c r="AF3511" s="13" t="s">
        <v>40</v>
      </c>
      <c r="AG3511" s="15">
        <v>45292</v>
      </c>
      <c r="AH3511" s="13" t="s">
        <v>41</v>
      </c>
      <c r="AI3511" s="13" t="s">
        <v>35</v>
      </c>
      <c r="AJ3511" s="13" t="str">
        <f>VLOOKUP(E3511,Precios!Z$2:AA$941,2,FALSE)</f>
        <v>Queso RUNCA Mantecoso</v>
      </c>
      <c r="AK3511" s="14">
        <f>VLOOKUP(E3511,Precios!Z$2:BB$941,3,FALSE)*F3511</f>
        <v>-1</v>
      </c>
      <c r="AL3511" s="17"/>
      <c r="AM3511" s="17"/>
      <c r="AN3511" s="17"/>
      <c r="AO3511" s="17"/>
      <c r="AP3511" s="17"/>
      <c r="AQ3511" s="17"/>
      <c r="AR3511" s="17"/>
      <c r="AS3511" s="17"/>
      <c r="AT3511" s="17"/>
      <c r="AU3511" s="17"/>
      <c r="AV3511" s="17"/>
    </row>
    <row r="3512" spans="1:48" ht="15.75" customHeight="1">
      <c r="A3512" s="21" t="s">
        <v>53</v>
      </c>
      <c r="B3512" s="23" t="s">
        <v>1692</v>
      </c>
      <c r="C3512" s="25">
        <v>45667</v>
      </c>
      <c r="D3512" s="23" t="s">
        <v>168</v>
      </c>
      <c r="E3512" s="23" t="s">
        <v>55</v>
      </c>
      <c r="F3512" s="21">
        <v>2</v>
      </c>
      <c r="G3512" s="12">
        <v>19989.738327347361</v>
      </c>
      <c r="H3512" s="12">
        <v>39979.476654694721</v>
      </c>
      <c r="I3512" s="23" t="s">
        <v>52</v>
      </c>
      <c r="J3512" s="23" t="s">
        <v>61</v>
      </c>
      <c r="K3512" s="24" t="s">
        <v>177</v>
      </c>
      <c r="L3512" s="24">
        <v>86</v>
      </c>
      <c r="M3512" s="12">
        <v>16798.099434745684</v>
      </c>
      <c r="N3512" s="11">
        <v>33596.198869491367</v>
      </c>
      <c r="O3512" s="11">
        <v>6383.2777852033541</v>
      </c>
      <c r="P3512" s="13"/>
      <c r="Q3512" s="14">
        <v>2025</v>
      </c>
      <c r="R3512" s="15">
        <v>45292</v>
      </c>
      <c r="S3512" s="11" t="s">
        <v>366</v>
      </c>
      <c r="T3512" s="16">
        <v>0</v>
      </c>
      <c r="U3512" s="17"/>
      <c r="V3512" s="12">
        <v>7404.6022308358952</v>
      </c>
      <c r="W3512" s="12">
        <v>7404.6022308358952</v>
      </c>
      <c r="X3512" s="12">
        <v>0</v>
      </c>
      <c r="Y3512" s="18">
        <v>45663</v>
      </c>
      <c r="Z3512" s="13" t="s">
        <v>503</v>
      </c>
      <c r="AA3512" s="19" t="str">
        <f>VLOOKUP(D3512,Clientes!$A$2:$J$486,9,FALSE)</f>
        <v>Frecuente</v>
      </c>
      <c r="AB3512" s="13" t="str">
        <f>VLOOKUP(D3512,Clientes!$A$2:$K$486,11,FALSE)</f>
        <v>Persona Natural</v>
      </c>
      <c r="AC3512" s="13" t="str">
        <f>VLOOKUP(D3512,Clientes!$A$2:$B$486,2,FALSE)</f>
        <v>Jardin del Eden</v>
      </c>
      <c r="AD3512" s="20"/>
      <c r="AE3512" s="20"/>
      <c r="AF3512" s="13" t="s">
        <v>40</v>
      </c>
      <c r="AG3512" s="15">
        <v>45292</v>
      </c>
      <c r="AH3512" s="13" t="s">
        <v>41</v>
      </c>
      <c r="AI3512" s="13" t="s">
        <v>53</v>
      </c>
      <c r="AJ3512" s="13" t="str">
        <f>VLOOKUP(E3512,Precios!Z$2:AA$941,2,FALSE)</f>
        <v>Papel Higienico ELITE 50 metros</v>
      </c>
      <c r="AK3512" s="14">
        <f>VLOOKUP(E3512,Precios!Z$2:BB$941,3,FALSE)*F3512</f>
        <v>-16</v>
      </c>
      <c r="AL3512" s="17"/>
      <c r="AM3512" s="17"/>
      <c r="AN3512" s="17"/>
      <c r="AO3512" s="17"/>
      <c r="AP3512" s="17"/>
      <c r="AQ3512" s="17"/>
      <c r="AR3512" s="17"/>
      <c r="AS3512" s="17"/>
      <c r="AT3512" s="17"/>
      <c r="AU3512" s="17"/>
      <c r="AV3512" s="17"/>
    </row>
    <row r="3513" spans="1:48" ht="15.75" customHeight="1">
      <c r="A3513" s="21" t="s">
        <v>53</v>
      </c>
      <c r="B3513" s="23" t="s">
        <v>1692</v>
      </c>
      <c r="C3513" s="25">
        <v>45667</v>
      </c>
      <c r="D3513" s="23" t="s">
        <v>168</v>
      </c>
      <c r="E3513" s="23" t="s">
        <v>69</v>
      </c>
      <c r="F3513" s="21">
        <v>2</v>
      </c>
      <c r="G3513" s="12">
        <v>2999.9553810458683</v>
      </c>
      <c r="H3513" s="12">
        <v>5999.9107620917366</v>
      </c>
      <c r="I3513" s="23" t="s">
        <v>52</v>
      </c>
      <c r="J3513" s="23" t="s">
        <v>61</v>
      </c>
      <c r="K3513" s="24" t="s">
        <v>177</v>
      </c>
      <c r="L3513" s="24">
        <v>86</v>
      </c>
      <c r="M3513" s="12">
        <v>2520.9709084419064</v>
      </c>
      <c r="N3513" s="11">
        <v>5041.9418168838129</v>
      </c>
      <c r="O3513" s="11">
        <v>957.96894520792375</v>
      </c>
      <c r="P3513" s="13"/>
      <c r="Q3513" s="14">
        <v>2025</v>
      </c>
      <c r="R3513" s="15">
        <v>45292</v>
      </c>
      <c r="S3513" s="11" t="s">
        <v>376</v>
      </c>
      <c r="T3513" s="16">
        <v>0</v>
      </c>
      <c r="U3513" s="17"/>
      <c r="V3513" s="12">
        <v>1651.941816883812</v>
      </c>
      <c r="W3513" s="12">
        <v>1651.941816883812</v>
      </c>
      <c r="X3513" s="12">
        <v>0</v>
      </c>
      <c r="Y3513" s="18">
        <v>45663</v>
      </c>
      <c r="Z3513" s="13" t="s">
        <v>503</v>
      </c>
      <c r="AA3513" s="19" t="str">
        <f>VLOOKUP(D3513,Clientes!$A$2:$J$486,9,FALSE)</f>
        <v>Frecuente</v>
      </c>
      <c r="AB3513" s="13" t="str">
        <f>VLOOKUP(D3513,Clientes!$A$2:$K$486,11,FALSE)</f>
        <v>Persona Natural</v>
      </c>
      <c r="AC3513" s="13" t="str">
        <f>VLOOKUP(D3513,Clientes!$A$2:$B$486,2,FALSE)</f>
        <v>Jardin del Eden</v>
      </c>
      <c r="AD3513" s="20"/>
      <c r="AE3513" s="20"/>
      <c r="AF3513" s="13" t="s">
        <v>40</v>
      </c>
      <c r="AG3513" s="15">
        <v>45292</v>
      </c>
      <c r="AH3513" s="13" t="s">
        <v>41</v>
      </c>
      <c r="AI3513" s="13" t="s">
        <v>53</v>
      </c>
      <c r="AJ3513" s="13" t="str">
        <f>VLOOKUP(E3513,Precios!Z$2:AA$941,2,FALSE)</f>
        <v>Toalla Papel NOVA 70 metros</v>
      </c>
      <c r="AK3513" s="14">
        <f>VLOOKUP(E3513,Precios!Z$2:BB$941,3,FALSE)*F3513</f>
        <v>-2</v>
      </c>
      <c r="AL3513" s="17"/>
      <c r="AM3513" s="17"/>
      <c r="AN3513" s="17"/>
      <c r="AO3513" s="17"/>
      <c r="AP3513" s="17"/>
      <c r="AQ3513" s="17"/>
      <c r="AR3513" s="17"/>
      <c r="AS3513" s="17"/>
      <c r="AT3513" s="17"/>
      <c r="AU3513" s="17"/>
      <c r="AV3513" s="17"/>
    </row>
    <row r="3514" spans="1:48" ht="15.75" customHeight="1">
      <c r="A3514" s="21" t="s">
        <v>53</v>
      </c>
      <c r="B3514" s="23" t="s">
        <v>1692</v>
      </c>
      <c r="C3514" s="25">
        <v>45667</v>
      </c>
      <c r="D3514" s="23" t="s">
        <v>168</v>
      </c>
      <c r="E3514" s="23" t="s">
        <v>70</v>
      </c>
      <c r="F3514" s="21">
        <v>1</v>
      </c>
      <c r="G3514" s="12">
        <v>5000.3257328990221</v>
      </c>
      <c r="H3514" s="12">
        <v>5000.3257328990221</v>
      </c>
      <c r="I3514" s="23" t="s">
        <v>52</v>
      </c>
      <c r="J3514" s="23" t="s">
        <v>61</v>
      </c>
      <c r="K3514" s="24" t="s">
        <v>177</v>
      </c>
      <c r="L3514" s="24">
        <v>86</v>
      </c>
      <c r="M3514" s="12">
        <v>4201.9543973941363</v>
      </c>
      <c r="N3514" s="11">
        <v>4201.9543973941363</v>
      </c>
      <c r="O3514" s="11">
        <v>798.37133550488579</v>
      </c>
      <c r="P3514" s="13"/>
      <c r="Q3514" s="14">
        <v>2025</v>
      </c>
      <c r="R3514" s="15">
        <v>45292</v>
      </c>
      <c r="S3514" s="11" t="s">
        <v>381</v>
      </c>
      <c r="T3514" s="16">
        <v>300</v>
      </c>
      <c r="U3514" s="17"/>
      <c r="V3514" s="12">
        <v>2008.9543973941363</v>
      </c>
      <c r="W3514" s="12">
        <v>2008.9543973941363</v>
      </c>
      <c r="X3514" s="12">
        <v>0</v>
      </c>
      <c r="Y3514" s="18">
        <v>45663</v>
      </c>
      <c r="Z3514" s="13" t="s">
        <v>503</v>
      </c>
      <c r="AA3514" s="19" t="str">
        <f>VLOOKUP(D3514,Clientes!$A$2:$J$486,9,FALSE)</f>
        <v>Frecuente</v>
      </c>
      <c r="AB3514" s="13" t="str">
        <f>VLOOKUP(D3514,Clientes!$A$2:$K$486,11,FALSE)</f>
        <v>Persona Natural</v>
      </c>
      <c r="AC3514" s="13" t="str">
        <f>VLOOKUP(D3514,Clientes!$A$2:$B$486,2,FALSE)</f>
        <v>Jardin del Eden</v>
      </c>
      <c r="AD3514" s="20"/>
      <c r="AE3514" s="20"/>
      <c r="AF3514" s="13" t="s">
        <v>40</v>
      </c>
      <c r="AG3514" s="15">
        <v>45292</v>
      </c>
      <c r="AH3514" s="13" t="s">
        <v>41</v>
      </c>
      <c r="AI3514" s="13" t="s">
        <v>53</v>
      </c>
      <c r="AJ3514" s="13" t="str">
        <f>VLOOKUP(E3514,Precios!Z$2:AA$941,2,FALSE)</f>
        <v>Servilletas SOFTQUALITY 300 unidades</v>
      </c>
      <c r="AK3514" s="14">
        <f>VLOOKUP(E3514,Precios!Z$2:BB$941,3,FALSE)*F3514</f>
        <v>-3</v>
      </c>
      <c r="AL3514" s="17"/>
      <c r="AM3514" s="17"/>
      <c r="AN3514" s="17"/>
      <c r="AO3514" s="17"/>
      <c r="AP3514" s="17"/>
      <c r="AQ3514" s="17"/>
      <c r="AR3514" s="17"/>
      <c r="AS3514" s="17"/>
      <c r="AT3514" s="17"/>
      <c r="AU3514" s="17"/>
      <c r="AV3514" s="17"/>
    </row>
    <row r="3515" spans="1:48" ht="15.75" customHeight="1">
      <c r="A3515" s="21" t="s">
        <v>47</v>
      </c>
      <c r="B3515" s="23" t="s">
        <v>1692</v>
      </c>
      <c r="C3515" s="25">
        <v>45667</v>
      </c>
      <c r="D3515" s="23" t="s">
        <v>168</v>
      </c>
      <c r="E3515" s="23" t="s">
        <v>71</v>
      </c>
      <c r="F3515" s="21">
        <v>1</v>
      </c>
      <c r="G3515" s="12">
        <v>2500</v>
      </c>
      <c r="H3515" s="12">
        <v>2500</v>
      </c>
      <c r="I3515" s="23" t="s">
        <v>52</v>
      </c>
      <c r="J3515" s="23" t="s">
        <v>61</v>
      </c>
      <c r="K3515" s="24" t="s">
        <v>177</v>
      </c>
      <c r="L3515" s="24">
        <v>86</v>
      </c>
      <c r="M3515" s="12">
        <v>2100.840336134454</v>
      </c>
      <c r="N3515" s="11">
        <v>2100.840336134454</v>
      </c>
      <c r="O3515" s="11">
        <v>399.15966386554601</v>
      </c>
      <c r="P3515" s="13"/>
      <c r="Q3515" s="14">
        <v>2025</v>
      </c>
      <c r="R3515" s="15">
        <v>45292</v>
      </c>
      <c r="S3515" s="11" t="s">
        <v>414</v>
      </c>
      <c r="T3515" s="16">
        <v>0</v>
      </c>
      <c r="U3515" s="17"/>
      <c r="V3515" s="12">
        <v>621.84873949579855</v>
      </c>
      <c r="W3515" s="12">
        <v>621.84873949579855</v>
      </c>
      <c r="X3515" s="12">
        <v>0</v>
      </c>
      <c r="Y3515" s="18">
        <v>45663</v>
      </c>
      <c r="Z3515" s="13" t="s">
        <v>503</v>
      </c>
      <c r="AA3515" s="19" t="str">
        <f>VLOOKUP(D3515,Clientes!$A$2:$J$486,9,FALSE)</f>
        <v>Frecuente</v>
      </c>
      <c r="AB3515" s="13" t="str">
        <f>VLOOKUP(D3515,Clientes!$A$2:$K$486,11,FALSE)</f>
        <v>Persona Natural</v>
      </c>
      <c r="AC3515" s="13" t="str">
        <f>VLOOKUP(D3515,Clientes!$A$2:$B$486,2,FALSE)</f>
        <v>Jardin del Eden</v>
      </c>
      <c r="AD3515" s="20"/>
      <c r="AE3515" s="20"/>
      <c r="AF3515" s="13" t="s">
        <v>40</v>
      </c>
      <c r="AG3515" s="15">
        <v>45292</v>
      </c>
      <c r="AH3515" s="13" t="s">
        <v>41</v>
      </c>
      <c r="AI3515" s="13" t="s">
        <v>47</v>
      </c>
      <c r="AJ3515" s="13" t="str">
        <f>VLOOKUP(E3515,Precios!Z$2:AA$941,2,FALSE)</f>
        <v>Toalla desinfectante IGENIX 50 unidades</v>
      </c>
      <c r="AK3515" s="14">
        <f>VLOOKUP(E3515,Precios!Z$2:BB$941,3,FALSE)*F3515</f>
        <v>-1</v>
      </c>
      <c r="AL3515" s="17"/>
      <c r="AM3515" s="17"/>
      <c r="AN3515" s="17"/>
      <c r="AO3515" s="17"/>
      <c r="AP3515" s="17"/>
      <c r="AQ3515" s="17"/>
      <c r="AR3515" s="17"/>
      <c r="AS3515" s="17"/>
      <c r="AT3515" s="17"/>
      <c r="AU3515" s="17"/>
      <c r="AV3515" s="17"/>
    </row>
    <row r="3516" spans="1:48" ht="15.75" customHeight="1">
      <c r="A3516" s="21" t="s">
        <v>47</v>
      </c>
      <c r="B3516" s="23" t="s">
        <v>1692</v>
      </c>
      <c r="C3516" s="25">
        <v>45667</v>
      </c>
      <c r="D3516" s="23" t="s">
        <v>168</v>
      </c>
      <c r="E3516" s="23" t="s">
        <v>72</v>
      </c>
      <c r="F3516" s="21">
        <v>1</v>
      </c>
      <c r="G3516" s="12">
        <v>2750</v>
      </c>
      <c r="H3516" s="12">
        <v>2750</v>
      </c>
      <c r="I3516" s="23" t="s">
        <v>52</v>
      </c>
      <c r="J3516" s="23" t="s">
        <v>61</v>
      </c>
      <c r="K3516" s="24" t="s">
        <v>177</v>
      </c>
      <c r="L3516" s="24">
        <v>86</v>
      </c>
      <c r="M3516" s="12">
        <v>2310.9243697478992</v>
      </c>
      <c r="N3516" s="11">
        <v>2310.9243697478992</v>
      </c>
      <c r="O3516" s="11">
        <v>439.07563025210084</v>
      </c>
      <c r="P3516" s="13"/>
      <c r="Q3516" s="14">
        <v>2025</v>
      </c>
      <c r="R3516" s="15">
        <v>45292</v>
      </c>
      <c r="S3516" s="11" t="s">
        <v>372</v>
      </c>
      <c r="T3516" s="16">
        <v>0</v>
      </c>
      <c r="U3516" s="17"/>
      <c r="V3516" s="12">
        <v>663.86554621848722</v>
      </c>
      <c r="W3516" s="12">
        <v>663.86554621848722</v>
      </c>
      <c r="X3516" s="12">
        <v>0</v>
      </c>
      <c r="Y3516" s="18">
        <v>45663</v>
      </c>
      <c r="Z3516" s="13" t="s">
        <v>503</v>
      </c>
      <c r="AA3516" s="19" t="str">
        <f>VLOOKUP(D3516,Clientes!$A$2:$J$486,9,FALSE)</f>
        <v>Frecuente</v>
      </c>
      <c r="AB3516" s="13" t="str">
        <f>VLOOKUP(D3516,Clientes!$A$2:$K$486,11,FALSE)</f>
        <v>Persona Natural</v>
      </c>
      <c r="AC3516" s="13" t="str">
        <f>VLOOKUP(D3516,Clientes!$A$2:$B$486,2,FALSE)</f>
        <v>Jardin del Eden</v>
      </c>
      <c r="AD3516" s="20"/>
      <c r="AE3516" s="20"/>
      <c r="AF3516" s="13" t="s">
        <v>40</v>
      </c>
      <c r="AG3516" s="15">
        <v>45292</v>
      </c>
      <c r="AH3516" s="13" t="s">
        <v>41</v>
      </c>
      <c r="AI3516" s="13" t="s">
        <v>47</v>
      </c>
      <c r="AJ3516" s="13" t="str">
        <f>VLOOKUP(E3516,Precios!Z$2:AA$941,2,FALSE)</f>
        <v>Traperos Humedos VIRGINIA</v>
      </c>
      <c r="AK3516" s="14">
        <f>VLOOKUP(E3516,Precios!Z$2:BB$941,3,FALSE)*F3516</f>
        <v>-1</v>
      </c>
      <c r="AL3516" s="17"/>
      <c r="AM3516" s="17"/>
      <c r="AN3516" s="17"/>
      <c r="AO3516" s="17"/>
      <c r="AP3516" s="17"/>
      <c r="AQ3516" s="17"/>
      <c r="AR3516" s="17"/>
      <c r="AS3516" s="17"/>
      <c r="AT3516" s="17"/>
      <c r="AU3516" s="17"/>
      <c r="AV3516" s="17"/>
    </row>
    <row r="3517" spans="1:48" ht="15.75" customHeight="1">
      <c r="A3517" s="21" t="s">
        <v>47</v>
      </c>
      <c r="B3517" s="23" t="s">
        <v>1692</v>
      </c>
      <c r="C3517" s="25">
        <v>45667</v>
      </c>
      <c r="D3517" s="23" t="s">
        <v>168</v>
      </c>
      <c r="E3517" s="23" t="s">
        <v>693</v>
      </c>
      <c r="F3517" s="21">
        <v>1</v>
      </c>
      <c r="G3517" s="12">
        <v>3600</v>
      </c>
      <c r="H3517" s="12">
        <v>3600</v>
      </c>
      <c r="I3517" s="23" t="s">
        <v>52</v>
      </c>
      <c r="J3517" s="23" t="s">
        <v>61</v>
      </c>
      <c r="K3517" s="24" t="s">
        <v>177</v>
      </c>
      <c r="L3517" s="24">
        <v>86</v>
      </c>
      <c r="M3517" s="12">
        <v>3025.2100840336134</v>
      </c>
      <c r="N3517" s="11">
        <v>3025.2100840336134</v>
      </c>
      <c r="O3517" s="11">
        <v>574.78991596638662</v>
      </c>
      <c r="P3517" s="13"/>
      <c r="Q3517" s="14">
        <v>2025</v>
      </c>
      <c r="R3517" s="15">
        <v>45292</v>
      </c>
      <c r="S3517" s="11" t="s">
        <v>694</v>
      </c>
      <c r="T3517" s="16">
        <v>0</v>
      </c>
      <c r="U3517" s="17"/>
      <c r="V3517" s="12">
        <v>898.31932773109247</v>
      </c>
      <c r="W3517" s="12">
        <v>898.31932773109247</v>
      </c>
      <c r="X3517" s="12">
        <v>0</v>
      </c>
      <c r="Y3517" s="18">
        <v>45663</v>
      </c>
      <c r="Z3517" s="13" t="s">
        <v>503</v>
      </c>
      <c r="AA3517" s="19" t="str">
        <f>VLOOKUP(D3517,Clientes!$A$2:$J$486,9,FALSE)</f>
        <v>Frecuente</v>
      </c>
      <c r="AB3517" s="13" t="str">
        <f>VLOOKUP(D3517,Clientes!$A$2:$K$486,11,FALSE)</f>
        <v>Persona Natural</v>
      </c>
      <c r="AC3517" s="13" t="str">
        <f>VLOOKUP(D3517,Clientes!$A$2:$B$486,2,FALSE)</f>
        <v>Jardin del Eden</v>
      </c>
      <c r="AD3517" s="20"/>
      <c r="AE3517" s="20"/>
      <c r="AF3517" s="13" t="s">
        <v>40</v>
      </c>
      <c r="AG3517" s="15">
        <v>45292</v>
      </c>
      <c r="AH3517" s="13" t="s">
        <v>41</v>
      </c>
      <c r="AI3517" s="13" t="s">
        <v>47</v>
      </c>
      <c r="AJ3517" s="13" t="str">
        <f>VLOOKUP(E3517,Precios!Z$2:AA$941,2,FALSE)</f>
        <v>Lysoform 420 cc</v>
      </c>
      <c r="AK3517" s="14">
        <f>VLOOKUP(E3517,Precios!Z$2:BB$941,3,FALSE)*F3517</f>
        <v>-1</v>
      </c>
      <c r="AL3517" s="17"/>
      <c r="AM3517" s="17"/>
      <c r="AN3517" s="17"/>
      <c r="AO3517" s="17"/>
      <c r="AP3517" s="17"/>
      <c r="AQ3517" s="17"/>
      <c r="AR3517" s="17"/>
      <c r="AS3517" s="17"/>
      <c r="AT3517" s="17"/>
      <c r="AU3517" s="17"/>
      <c r="AV3517" s="17"/>
    </row>
    <row r="3518" spans="1:48" ht="15.75" customHeight="1">
      <c r="A3518" s="21" t="s">
        <v>43</v>
      </c>
      <c r="B3518" s="23" t="s">
        <v>1692</v>
      </c>
      <c r="C3518" s="22">
        <v>45667</v>
      </c>
      <c r="D3518" s="23" t="s">
        <v>781</v>
      </c>
      <c r="E3518" s="23" t="s">
        <v>45</v>
      </c>
      <c r="F3518" s="21">
        <v>1</v>
      </c>
      <c r="G3518" s="12">
        <v>6499.7815321875905</v>
      </c>
      <c r="H3518" s="12">
        <v>6499.7815321875905</v>
      </c>
      <c r="I3518" s="23" t="s">
        <v>52</v>
      </c>
      <c r="J3518" s="23" t="s">
        <v>61</v>
      </c>
      <c r="K3518" s="24" t="s">
        <v>177</v>
      </c>
      <c r="L3518" s="24">
        <v>86</v>
      </c>
      <c r="M3518" s="12">
        <v>5462.0012875525972</v>
      </c>
      <c r="N3518" s="11">
        <v>5462.0012875525972</v>
      </c>
      <c r="O3518" s="11">
        <v>1037.7802446349933</v>
      </c>
      <c r="P3518" s="13"/>
      <c r="Q3518" s="14">
        <v>2025</v>
      </c>
      <c r="R3518" s="15">
        <v>45292</v>
      </c>
      <c r="S3518" s="11" t="s">
        <v>355</v>
      </c>
      <c r="T3518" s="16">
        <v>0</v>
      </c>
      <c r="U3518" s="17"/>
      <c r="V3518" s="12">
        <v>1711.7912035189838</v>
      </c>
      <c r="W3518" s="12">
        <v>1711.7912035189838</v>
      </c>
      <c r="X3518" s="12">
        <v>0</v>
      </c>
      <c r="Y3518" s="18">
        <v>45663</v>
      </c>
      <c r="Z3518" s="13" t="s">
        <v>503</v>
      </c>
      <c r="AA3518" s="19" t="str">
        <f>VLOOKUP(D3518,Clientes!$A$2:$J$486,9,FALSE)</f>
        <v>Ocacional</v>
      </c>
      <c r="AB3518" s="13" t="str">
        <f>VLOOKUP(D3518,Clientes!$A$2:$K$486,11,FALSE)</f>
        <v>Persona Natural</v>
      </c>
      <c r="AC3518" s="13" t="str">
        <f>VLOOKUP(D3518,Clientes!$A$2:$B$486,2,FALSE)</f>
        <v>Las Cumbres</v>
      </c>
      <c r="AD3518" s="20"/>
      <c r="AE3518" s="20"/>
      <c r="AF3518" s="13" t="s">
        <v>40</v>
      </c>
      <c r="AG3518" s="15">
        <v>45292</v>
      </c>
      <c r="AH3518" s="13" t="s">
        <v>41</v>
      </c>
      <c r="AI3518" s="13" t="s">
        <v>43</v>
      </c>
      <c r="AJ3518" s="13" t="str">
        <f>VLOOKUP(E3518,Precios!Z$2:AA$941,2,FALSE)</f>
        <v>Bandeja Huevos EXTRA</v>
      </c>
      <c r="AK3518" s="14">
        <f>VLOOKUP(E3518,Precios!Z$2:BB$941,3,FALSE)*F3518</f>
        <v>-1</v>
      </c>
      <c r="AL3518" s="17"/>
      <c r="AM3518" s="17"/>
      <c r="AN3518" s="17"/>
      <c r="AO3518" s="17"/>
      <c r="AP3518" s="17"/>
      <c r="AQ3518" s="17"/>
      <c r="AR3518" s="17"/>
      <c r="AS3518" s="17"/>
      <c r="AT3518" s="17"/>
      <c r="AU3518" s="17"/>
      <c r="AV3518" s="17"/>
    </row>
    <row r="3519" spans="1:48" ht="15.75" customHeight="1">
      <c r="A3519" s="21" t="s">
        <v>35</v>
      </c>
      <c r="B3519" s="23" t="s">
        <v>1692</v>
      </c>
      <c r="C3519" s="22">
        <v>45667</v>
      </c>
      <c r="D3519" s="23" t="s">
        <v>781</v>
      </c>
      <c r="E3519" s="23" t="s">
        <v>46</v>
      </c>
      <c r="F3519" s="21">
        <v>1</v>
      </c>
      <c r="G3519" s="12">
        <v>5500</v>
      </c>
      <c r="H3519" s="12">
        <v>5500</v>
      </c>
      <c r="I3519" s="23" t="s">
        <v>52</v>
      </c>
      <c r="J3519" s="23" t="s">
        <v>61</v>
      </c>
      <c r="K3519" s="24" t="s">
        <v>177</v>
      </c>
      <c r="L3519" s="24">
        <v>86</v>
      </c>
      <c r="M3519" s="12">
        <v>4621.8487394957983</v>
      </c>
      <c r="N3519" s="11">
        <v>4621.8487394957983</v>
      </c>
      <c r="O3519" s="11">
        <v>878.15126050420167</v>
      </c>
      <c r="P3519" s="13"/>
      <c r="Q3519" s="14">
        <v>2025</v>
      </c>
      <c r="R3519" s="15">
        <v>45292</v>
      </c>
      <c r="S3519" s="11" t="s">
        <v>364</v>
      </c>
      <c r="T3519" s="16">
        <v>500</v>
      </c>
      <c r="U3519" s="17"/>
      <c r="V3519" s="12">
        <v>1365.1260504201678</v>
      </c>
      <c r="W3519" s="12">
        <v>1365.1260504201678</v>
      </c>
      <c r="X3519" s="12">
        <v>0</v>
      </c>
      <c r="Y3519" s="18">
        <v>45663</v>
      </c>
      <c r="Z3519" s="13" t="s">
        <v>503</v>
      </c>
      <c r="AA3519" s="19" t="str">
        <f>VLOOKUP(D3519,Clientes!$A$2:$J$486,9,FALSE)</f>
        <v>Ocacional</v>
      </c>
      <c r="AB3519" s="13" t="str">
        <f>VLOOKUP(D3519,Clientes!$A$2:$K$486,11,FALSE)</f>
        <v>Persona Natural</v>
      </c>
      <c r="AC3519" s="13" t="str">
        <f>VLOOKUP(D3519,Clientes!$A$2:$B$486,2,FALSE)</f>
        <v>Las Cumbres</v>
      </c>
      <c r="AD3519" s="20"/>
      <c r="AE3519" s="20"/>
      <c r="AF3519" s="13" t="s">
        <v>40</v>
      </c>
      <c r="AG3519" s="15">
        <v>45292</v>
      </c>
      <c r="AH3519" s="13" t="s">
        <v>41</v>
      </c>
      <c r="AI3519" s="13" t="s">
        <v>35</v>
      </c>
      <c r="AJ3519" s="13" t="str">
        <f>VLOOKUP(E3519,Precios!Z$2:AA$941,2,FALSE)</f>
        <v>Queso RUNCA Mantecoso</v>
      </c>
      <c r="AK3519" s="14">
        <f>VLOOKUP(E3519,Precios!Z$2:BB$941,3,FALSE)*F3519</f>
        <v>-0.5</v>
      </c>
      <c r="AL3519" s="17"/>
      <c r="AM3519" s="17"/>
      <c r="AN3519" s="17"/>
      <c r="AO3519" s="17"/>
      <c r="AP3519" s="17"/>
      <c r="AQ3519" s="17"/>
      <c r="AR3519" s="17"/>
      <c r="AS3519" s="17"/>
      <c r="AT3519" s="17"/>
      <c r="AU3519" s="17"/>
      <c r="AV3519" s="17"/>
    </row>
    <row r="3520" spans="1:48" ht="15.75" customHeight="1">
      <c r="A3520" s="21" t="s">
        <v>35</v>
      </c>
      <c r="B3520" s="23" t="s">
        <v>1692</v>
      </c>
      <c r="C3520" s="22">
        <v>45666</v>
      </c>
      <c r="D3520" s="23" t="s">
        <v>126</v>
      </c>
      <c r="E3520" s="23" t="s">
        <v>46</v>
      </c>
      <c r="F3520" s="21">
        <v>1</v>
      </c>
      <c r="G3520" s="12">
        <v>5500</v>
      </c>
      <c r="H3520" s="12">
        <v>5500</v>
      </c>
      <c r="I3520" s="23" t="s">
        <v>52</v>
      </c>
      <c r="J3520" s="23" t="s">
        <v>61</v>
      </c>
      <c r="K3520" s="24" t="s">
        <v>177</v>
      </c>
      <c r="L3520" s="24">
        <v>85</v>
      </c>
      <c r="M3520" s="12">
        <v>4621.8487394957983</v>
      </c>
      <c r="N3520" s="11">
        <v>4621.8487394957983</v>
      </c>
      <c r="O3520" s="11">
        <v>878.15126050420167</v>
      </c>
      <c r="P3520" s="13"/>
      <c r="Q3520" s="14">
        <v>2025</v>
      </c>
      <c r="R3520" s="15">
        <v>45292</v>
      </c>
      <c r="S3520" s="11" t="s">
        <v>364</v>
      </c>
      <c r="T3520" s="16">
        <v>500</v>
      </c>
      <c r="U3520" s="17"/>
      <c r="V3520" s="12">
        <v>1365.1260504201678</v>
      </c>
      <c r="W3520" s="12">
        <v>1365.1260504201678</v>
      </c>
      <c r="X3520" s="12">
        <v>0</v>
      </c>
      <c r="Y3520" s="18">
        <v>45663</v>
      </c>
      <c r="Z3520" s="13" t="s">
        <v>505</v>
      </c>
      <c r="AA3520" s="19" t="str">
        <f>VLOOKUP(D3520,Clientes!$A$2:$J$486,9,FALSE)</f>
        <v>Frecuente</v>
      </c>
      <c r="AB3520" s="13" t="str">
        <f>VLOOKUP(D3520,Clientes!$A$2:$K$486,11,FALSE)</f>
        <v>Persona Natural</v>
      </c>
      <c r="AC3520" s="13" t="str">
        <f>VLOOKUP(D3520,Clientes!$A$2:$B$486,2,FALSE)</f>
        <v>Jardines de la Viña</v>
      </c>
      <c r="AD3520" s="20"/>
      <c r="AE3520" s="20"/>
      <c r="AF3520" s="13" t="s">
        <v>40</v>
      </c>
      <c r="AG3520" s="15">
        <v>45292</v>
      </c>
      <c r="AH3520" s="13" t="s">
        <v>41</v>
      </c>
      <c r="AI3520" s="13" t="s">
        <v>35</v>
      </c>
      <c r="AJ3520" s="13" t="str">
        <f>VLOOKUP(E3520,Precios!Z$2:AA$941,2,FALSE)</f>
        <v>Queso RUNCA Mantecoso</v>
      </c>
      <c r="AK3520" s="14">
        <f>VLOOKUP(E3520,Precios!Z$2:BB$941,3,FALSE)*F3520</f>
        <v>-0.5</v>
      </c>
      <c r="AL3520" s="17"/>
      <c r="AM3520" s="17"/>
      <c r="AN3520" s="17"/>
      <c r="AO3520" s="17"/>
      <c r="AP3520" s="17"/>
      <c r="AQ3520" s="17"/>
      <c r="AR3520" s="17"/>
      <c r="AS3520" s="17"/>
      <c r="AT3520" s="17"/>
      <c r="AU3520" s="17"/>
      <c r="AV3520" s="17"/>
    </row>
    <row r="3521" spans="1:48" ht="15.75" customHeight="1">
      <c r="A3521" s="21" t="s">
        <v>47</v>
      </c>
      <c r="B3521" s="23" t="s">
        <v>1692</v>
      </c>
      <c r="C3521" s="22">
        <v>45666</v>
      </c>
      <c r="D3521" s="23" t="s">
        <v>348</v>
      </c>
      <c r="E3521" s="23" t="s">
        <v>107</v>
      </c>
      <c r="F3521" s="21">
        <v>1</v>
      </c>
      <c r="G3521" s="12">
        <v>3000.0000000000005</v>
      </c>
      <c r="H3521" s="12">
        <v>3000.0000000000005</v>
      </c>
      <c r="I3521" s="23" t="s">
        <v>52</v>
      </c>
      <c r="J3521" s="23" t="s">
        <v>61</v>
      </c>
      <c r="K3521" s="24" t="s">
        <v>177</v>
      </c>
      <c r="L3521" s="24">
        <v>85</v>
      </c>
      <c r="M3521" s="12">
        <v>2521.0084033613452</v>
      </c>
      <c r="N3521" s="11">
        <v>2521.0084033613452</v>
      </c>
      <c r="O3521" s="11">
        <v>478.99159663865521</v>
      </c>
      <c r="P3521" s="13"/>
      <c r="Q3521" s="14">
        <v>2025</v>
      </c>
      <c r="R3521" s="15">
        <v>45292</v>
      </c>
      <c r="S3521" s="11" t="s">
        <v>453</v>
      </c>
      <c r="T3521" s="16">
        <v>0</v>
      </c>
      <c r="U3521" s="17"/>
      <c r="V3521" s="12">
        <v>758.82352941176487</v>
      </c>
      <c r="W3521" s="12">
        <v>758.82352941176487</v>
      </c>
      <c r="X3521" s="12">
        <v>0</v>
      </c>
      <c r="Y3521" s="18">
        <v>45663</v>
      </c>
      <c r="Z3521" s="13" t="s">
        <v>505</v>
      </c>
      <c r="AA3521" s="19" t="str">
        <f>VLOOKUP(D3521,Clientes!$A$2:$J$486,9,FALSE)</f>
        <v>Regular</v>
      </c>
      <c r="AB3521" s="13" t="str">
        <f>VLOOKUP(D3521,Clientes!$A$2:$K$486,11,FALSE)</f>
        <v>Persona Natural</v>
      </c>
      <c r="AC3521" s="13" t="str">
        <f>VLOOKUP(D3521,Clientes!$A$2:$B$486,2,FALSE)</f>
        <v>Jardines de la Viña</v>
      </c>
      <c r="AD3521" s="20"/>
      <c r="AE3521" s="20"/>
      <c r="AF3521" s="13" t="s">
        <v>40</v>
      </c>
      <c r="AG3521" s="15">
        <v>45292</v>
      </c>
      <c r="AH3521" s="13" t="s">
        <v>41</v>
      </c>
      <c r="AI3521" s="13" t="s">
        <v>47</v>
      </c>
      <c r="AJ3521" s="13" t="str">
        <f>VLOOKUP(E3521,Precios!Z$2:AA$941,2,FALSE)</f>
        <v xml:space="preserve">Bolsas Basura TEDDY 90x120 </v>
      </c>
      <c r="AK3521" s="14">
        <f>VLOOKUP(E3521,Precios!Z$2:BB$941,3,FALSE)*F3521</f>
        <v>-1</v>
      </c>
      <c r="AL3521" s="17"/>
      <c r="AM3521" s="17"/>
      <c r="AN3521" s="17"/>
      <c r="AO3521" s="17"/>
      <c r="AP3521" s="17"/>
      <c r="AQ3521" s="17"/>
      <c r="AR3521" s="17"/>
      <c r="AS3521" s="17"/>
      <c r="AT3521" s="17"/>
      <c r="AU3521" s="17"/>
      <c r="AV3521" s="17"/>
    </row>
    <row r="3522" spans="1:48" ht="15.75" customHeight="1">
      <c r="A3522" s="21" t="s">
        <v>43</v>
      </c>
      <c r="B3522" s="23" t="s">
        <v>1692</v>
      </c>
      <c r="C3522" s="22">
        <v>45666</v>
      </c>
      <c r="D3522" s="23" t="s">
        <v>348</v>
      </c>
      <c r="E3522" s="23" t="s">
        <v>45</v>
      </c>
      <c r="F3522" s="21">
        <v>1</v>
      </c>
      <c r="G3522" s="12">
        <v>6499.7815321875905</v>
      </c>
      <c r="H3522" s="12">
        <v>6499.7815321875905</v>
      </c>
      <c r="I3522" s="23" t="s">
        <v>52</v>
      </c>
      <c r="J3522" s="23" t="s">
        <v>61</v>
      </c>
      <c r="K3522" s="24" t="s">
        <v>177</v>
      </c>
      <c r="L3522" s="24">
        <v>85</v>
      </c>
      <c r="M3522" s="12">
        <v>5462.0012875525972</v>
      </c>
      <c r="N3522" s="11">
        <v>5462.0012875525972</v>
      </c>
      <c r="O3522" s="11">
        <v>1037.7802446349933</v>
      </c>
      <c r="P3522" s="13"/>
      <c r="Q3522" s="14">
        <v>2025</v>
      </c>
      <c r="R3522" s="15">
        <v>45292</v>
      </c>
      <c r="S3522" s="11" t="s">
        <v>355</v>
      </c>
      <c r="T3522" s="16">
        <v>0</v>
      </c>
      <c r="U3522" s="17"/>
      <c r="V3522" s="12">
        <v>1711.7912035189838</v>
      </c>
      <c r="W3522" s="12">
        <v>1711.7912035189838</v>
      </c>
      <c r="X3522" s="12">
        <v>0</v>
      </c>
      <c r="Y3522" s="18">
        <v>45663</v>
      </c>
      <c r="Z3522" s="13" t="s">
        <v>505</v>
      </c>
      <c r="AA3522" s="19" t="str">
        <f>VLOOKUP(D3522,Clientes!$A$2:$J$486,9,FALSE)</f>
        <v>Regular</v>
      </c>
      <c r="AB3522" s="13" t="str">
        <f>VLOOKUP(D3522,Clientes!$A$2:$K$486,11,FALSE)</f>
        <v>Persona Natural</v>
      </c>
      <c r="AC3522" s="13" t="str">
        <f>VLOOKUP(D3522,Clientes!$A$2:$B$486,2,FALSE)</f>
        <v>Jardines de la Viña</v>
      </c>
      <c r="AD3522" s="20"/>
      <c r="AE3522" s="20"/>
      <c r="AF3522" s="13" t="s">
        <v>40</v>
      </c>
      <c r="AG3522" s="15">
        <v>45292</v>
      </c>
      <c r="AH3522" s="13" t="s">
        <v>41</v>
      </c>
      <c r="AI3522" s="13" t="s">
        <v>43</v>
      </c>
      <c r="AJ3522" s="13" t="str">
        <f>VLOOKUP(E3522,Precios!Z$2:AA$941,2,FALSE)</f>
        <v>Bandeja Huevos EXTRA</v>
      </c>
      <c r="AK3522" s="14">
        <f>VLOOKUP(E3522,Precios!Z$2:BB$941,3,FALSE)*F3522</f>
        <v>-1</v>
      </c>
      <c r="AL3522" s="17"/>
      <c r="AM3522" s="17"/>
      <c r="AN3522" s="17"/>
      <c r="AO3522" s="17"/>
      <c r="AP3522" s="17"/>
      <c r="AQ3522" s="17"/>
      <c r="AR3522" s="17"/>
      <c r="AS3522" s="17"/>
      <c r="AT3522" s="17"/>
      <c r="AU3522" s="17"/>
      <c r="AV3522" s="17"/>
    </row>
    <row r="3523" spans="1:48" ht="15.75" customHeight="1">
      <c r="A3523" s="21" t="s">
        <v>47</v>
      </c>
      <c r="B3523" s="23" t="s">
        <v>1692</v>
      </c>
      <c r="C3523" s="22">
        <v>45666</v>
      </c>
      <c r="D3523" s="23" t="s">
        <v>348</v>
      </c>
      <c r="E3523" s="23" t="s">
        <v>336</v>
      </c>
      <c r="F3523" s="21">
        <v>1</v>
      </c>
      <c r="G3523" s="12">
        <v>2800</v>
      </c>
      <c r="H3523" s="12">
        <v>2800</v>
      </c>
      <c r="I3523" s="23" t="s">
        <v>52</v>
      </c>
      <c r="J3523" s="23" t="s">
        <v>61</v>
      </c>
      <c r="K3523" s="24" t="s">
        <v>177</v>
      </c>
      <c r="L3523" s="24">
        <v>85</v>
      </c>
      <c r="M3523" s="12">
        <v>2352.9411764705883</v>
      </c>
      <c r="N3523" s="11">
        <v>2352.9411764705883</v>
      </c>
      <c r="O3523" s="11">
        <v>447.05882352941171</v>
      </c>
      <c r="P3523" s="13"/>
      <c r="Q3523" s="14">
        <v>2025</v>
      </c>
      <c r="R3523" s="15">
        <v>45292</v>
      </c>
      <c r="S3523" s="11" t="s">
        <v>476</v>
      </c>
      <c r="T3523" s="16">
        <v>0</v>
      </c>
      <c r="U3523" s="17"/>
      <c r="V3523" s="12">
        <v>896.94117647058829</v>
      </c>
      <c r="W3523" s="12">
        <v>896.94117647058829</v>
      </c>
      <c r="X3523" s="12">
        <v>0</v>
      </c>
      <c r="Y3523" s="18">
        <v>45663</v>
      </c>
      <c r="Z3523" s="13" t="s">
        <v>505</v>
      </c>
      <c r="AA3523" s="19" t="str">
        <f>VLOOKUP(D3523,Clientes!$A$2:$J$486,9,FALSE)</f>
        <v>Regular</v>
      </c>
      <c r="AB3523" s="13" t="str">
        <f>VLOOKUP(D3523,Clientes!$A$2:$K$486,11,FALSE)</f>
        <v>Persona Natural</v>
      </c>
      <c r="AC3523" s="13" t="str">
        <f>VLOOKUP(D3523,Clientes!$A$2:$B$486,2,FALSE)</f>
        <v>Jardines de la Viña</v>
      </c>
      <c r="AD3523" s="20"/>
      <c r="AE3523" s="20"/>
      <c r="AF3523" s="13" t="s">
        <v>40</v>
      </c>
      <c r="AG3523" s="15">
        <v>45292</v>
      </c>
      <c r="AH3523" s="13" t="s">
        <v>41</v>
      </c>
      <c r="AI3523" s="13" t="s">
        <v>47</v>
      </c>
      <c r="AJ3523" s="13" t="str">
        <f>VLOOKUP(E3523,Precios!Z$2:AA$941,2,FALSE)</f>
        <v>Ambiental Tubo TEDDY</v>
      </c>
      <c r="AK3523" s="14">
        <f>VLOOKUP(E3523,Precios!Z$2:BB$941,3,FALSE)*F3523</f>
        <v>-2</v>
      </c>
      <c r="AL3523" s="17"/>
      <c r="AM3523" s="17"/>
      <c r="AN3523" s="17"/>
      <c r="AO3523" s="17"/>
      <c r="AP3523" s="17"/>
      <c r="AQ3523" s="17"/>
      <c r="AR3523" s="17"/>
      <c r="AS3523" s="17"/>
      <c r="AT3523" s="17"/>
      <c r="AU3523" s="17"/>
      <c r="AV3523" s="17"/>
    </row>
    <row r="3524" spans="1:48" ht="15.75" customHeight="1">
      <c r="A3524" s="21" t="s">
        <v>53</v>
      </c>
      <c r="B3524" s="23" t="s">
        <v>1692</v>
      </c>
      <c r="C3524" s="22">
        <v>45666</v>
      </c>
      <c r="D3524" s="23" t="s">
        <v>135</v>
      </c>
      <c r="E3524" s="23" t="s">
        <v>97</v>
      </c>
      <c r="F3524" s="21">
        <v>1</v>
      </c>
      <c r="G3524" s="12">
        <v>15500.298388701016</v>
      </c>
      <c r="H3524" s="12">
        <v>15500.298388701016</v>
      </c>
      <c r="I3524" s="23" t="s">
        <v>52</v>
      </c>
      <c r="J3524" s="23" t="s">
        <v>61</v>
      </c>
      <c r="K3524" s="24" t="s">
        <v>177</v>
      </c>
      <c r="L3524" s="24">
        <v>85</v>
      </c>
      <c r="M3524" s="12">
        <v>13025.46083084119</v>
      </c>
      <c r="N3524" s="11">
        <v>13025.46083084119</v>
      </c>
      <c r="O3524" s="11">
        <v>2474.8375578598261</v>
      </c>
      <c r="P3524" s="13"/>
      <c r="Q3524" s="14">
        <v>2025</v>
      </c>
      <c r="R3524" s="15">
        <v>45292</v>
      </c>
      <c r="S3524" s="11" t="s">
        <v>366</v>
      </c>
      <c r="T3524" s="16">
        <v>0</v>
      </c>
      <c r="U3524" s="17"/>
      <c r="V3524" s="12">
        <v>3203.6120913453906</v>
      </c>
      <c r="W3524" s="12">
        <v>3203.6120913453906</v>
      </c>
      <c r="X3524" s="12">
        <v>0</v>
      </c>
      <c r="Y3524" s="18">
        <v>45663</v>
      </c>
      <c r="Z3524" s="13" t="s">
        <v>505</v>
      </c>
      <c r="AA3524" s="19" t="str">
        <f>VLOOKUP(D3524,Clientes!$A$2:$J$486,9,FALSE)</f>
        <v>Frecuente</v>
      </c>
      <c r="AB3524" s="13" t="str">
        <f>VLOOKUP(D3524,Clientes!$A$2:$K$486,11,FALSE)</f>
        <v>Persona Natural</v>
      </c>
      <c r="AC3524" s="13" t="str">
        <f>VLOOKUP(D3524,Clientes!$A$2:$B$486,2,FALSE)</f>
        <v>Ex 4to Antilhue</v>
      </c>
      <c r="AD3524" s="20"/>
      <c r="AE3524" s="20"/>
      <c r="AF3524" s="13" t="s">
        <v>40</v>
      </c>
      <c r="AG3524" s="15">
        <v>45292</v>
      </c>
      <c r="AH3524" s="13" t="s">
        <v>41</v>
      </c>
      <c r="AI3524" s="13" t="s">
        <v>53</v>
      </c>
      <c r="AJ3524" s="13" t="str">
        <f>VLOOKUP(E3524,Precios!Z$2:AA$941,2,FALSE)</f>
        <v>Papel Higienico ELITE 50 metros</v>
      </c>
      <c r="AK3524" s="14">
        <f>VLOOKUP(E3524,Precios!Z$2:BB$941,3,FALSE)*F3524</f>
        <v>-6</v>
      </c>
      <c r="AL3524" s="17"/>
      <c r="AM3524" s="17"/>
      <c r="AN3524" s="17"/>
      <c r="AO3524" s="17"/>
      <c r="AP3524" s="17"/>
      <c r="AQ3524" s="17"/>
      <c r="AR3524" s="17"/>
      <c r="AS3524" s="17"/>
      <c r="AT3524" s="17"/>
      <c r="AU3524" s="17"/>
      <c r="AV3524" s="17"/>
    </row>
    <row r="3525" spans="1:48" ht="15.75" customHeight="1">
      <c r="A3525" s="21" t="s">
        <v>53</v>
      </c>
      <c r="B3525" s="23" t="s">
        <v>1692</v>
      </c>
      <c r="C3525" s="22">
        <v>45666</v>
      </c>
      <c r="D3525" s="23" t="s">
        <v>135</v>
      </c>
      <c r="E3525" s="23" t="s">
        <v>69</v>
      </c>
      <c r="F3525" s="21">
        <v>1</v>
      </c>
      <c r="G3525" s="12">
        <v>2999.9553810458683</v>
      </c>
      <c r="H3525" s="12">
        <v>2999.9553810458683</v>
      </c>
      <c r="I3525" s="23" t="s">
        <v>52</v>
      </c>
      <c r="J3525" s="23" t="s">
        <v>61</v>
      </c>
      <c r="K3525" s="24" t="s">
        <v>177</v>
      </c>
      <c r="L3525" s="24">
        <v>85</v>
      </c>
      <c r="M3525" s="12">
        <v>2520.9709084419064</v>
      </c>
      <c r="N3525" s="11">
        <v>2520.9709084419064</v>
      </c>
      <c r="O3525" s="11">
        <v>478.98447260396188</v>
      </c>
      <c r="P3525" s="13"/>
      <c r="Q3525" s="14">
        <v>2025</v>
      </c>
      <c r="R3525" s="15">
        <v>45292</v>
      </c>
      <c r="S3525" s="11" t="s">
        <v>376</v>
      </c>
      <c r="T3525" s="16">
        <v>0</v>
      </c>
      <c r="U3525" s="17"/>
      <c r="V3525" s="12">
        <v>825.97090844190598</v>
      </c>
      <c r="W3525" s="12">
        <v>825.97090844190598</v>
      </c>
      <c r="X3525" s="12">
        <v>0</v>
      </c>
      <c r="Y3525" s="18">
        <v>45663</v>
      </c>
      <c r="Z3525" s="13" t="s">
        <v>505</v>
      </c>
      <c r="AA3525" s="19" t="str">
        <f>VLOOKUP(D3525,Clientes!$A$2:$J$486,9,FALSE)</f>
        <v>Frecuente</v>
      </c>
      <c r="AB3525" s="13" t="str">
        <f>VLOOKUP(D3525,Clientes!$A$2:$K$486,11,FALSE)</f>
        <v>Persona Natural</v>
      </c>
      <c r="AC3525" s="13" t="str">
        <f>VLOOKUP(D3525,Clientes!$A$2:$B$486,2,FALSE)</f>
        <v>Ex 4to Antilhue</v>
      </c>
      <c r="AD3525" s="20"/>
      <c r="AE3525" s="20"/>
      <c r="AF3525" s="13" t="s">
        <v>40</v>
      </c>
      <c r="AG3525" s="15">
        <v>45292</v>
      </c>
      <c r="AH3525" s="13" t="s">
        <v>41</v>
      </c>
      <c r="AI3525" s="13" t="s">
        <v>53</v>
      </c>
      <c r="AJ3525" s="13" t="str">
        <f>VLOOKUP(E3525,Precios!Z$2:AA$941,2,FALSE)</f>
        <v>Toalla Papel NOVA 70 metros</v>
      </c>
      <c r="AK3525" s="14">
        <f>VLOOKUP(E3525,Precios!Z$2:BB$941,3,FALSE)*F3525</f>
        <v>-1</v>
      </c>
      <c r="AL3525" s="17"/>
      <c r="AM3525" s="17"/>
      <c r="AN3525" s="17"/>
      <c r="AO3525" s="17"/>
      <c r="AP3525" s="17"/>
      <c r="AQ3525" s="17"/>
      <c r="AR3525" s="17"/>
      <c r="AS3525" s="17"/>
      <c r="AT3525" s="17"/>
      <c r="AU3525" s="17"/>
      <c r="AV3525" s="17"/>
    </row>
    <row r="3526" spans="1:48" ht="15.75" customHeight="1">
      <c r="A3526" s="21" t="s">
        <v>76</v>
      </c>
      <c r="B3526" s="23" t="s">
        <v>1692</v>
      </c>
      <c r="C3526" s="22">
        <v>45666</v>
      </c>
      <c r="D3526" s="23" t="s">
        <v>135</v>
      </c>
      <c r="E3526" s="23" t="s">
        <v>82</v>
      </c>
      <c r="F3526" s="21">
        <v>1</v>
      </c>
      <c r="G3526" s="12">
        <v>2000.0000000000002</v>
      </c>
      <c r="H3526" s="12">
        <v>2000.0000000000002</v>
      </c>
      <c r="I3526" s="23" t="s">
        <v>52</v>
      </c>
      <c r="J3526" s="23" t="s">
        <v>61</v>
      </c>
      <c r="K3526" s="24" t="s">
        <v>177</v>
      </c>
      <c r="L3526" s="24">
        <v>85</v>
      </c>
      <c r="M3526" s="12">
        <v>1680.6722689075632</v>
      </c>
      <c r="N3526" s="11">
        <v>1680.6722689075632</v>
      </c>
      <c r="O3526" s="11">
        <v>319.32773109243703</v>
      </c>
      <c r="P3526" s="13"/>
      <c r="Q3526" s="14">
        <v>2025</v>
      </c>
      <c r="R3526" s="15">
        <v>45292</v>
      </c>
      <c r="S3526" s="11" t="s">
        <v>463</v>
      </c>
      <c r="T3526" s="16">
        <v>5</v>
      </c>
      <c r="U3526" s="17"/>
      <c r="V3526" s="12">
        <v>680.67226890756319</v>
      </c>
      <c r="W3526" s="12">
        <v>680.67226890756319</v>
      </c>
      <c r="X3526" s="12">
        <v>0</v>
      </c>
      <c r="Y3526" s="18">
        <v>45663</v>
      </c>
      <c r="Z3526" s="13" t="s">
        <v>505</v>
      </c>
      <c r="AA3526" s="19" t="str">
        <f>VLOOKUP(D3526,Clientes!$A$2:$J$486,9,FALSE)</f>
        <v>Frecuente</v>
      </c>
      <c r="AB3526" s="13" t="str">
        <f>VLOOKUP(D3526,Clientes!$A$2:$K$486,11,FALSE)</f>
        <v>Persona Natural</v>
      </c>
      <c r="AC3526" s="13" t="str">
        <f>VLOOKUP(D3526,Clientes!$A$2:$B$486,2,FALSE)</f>
        <v>Ex 4to Antilhue</v>
      </c>
      <c r="AD3526" s="20"/>
      <c r="AE3526" s="20"/>
      <c r="AF3526" s="13" t="s">
        <v>40</v>
      </c>
      <c r="AG3526" s="15">
        <v>45292</v>
      </c>
      <c r="AH3526" s="13" t="s">
        <v>41</v>
      </c>
      <c r="AI3526" s="13" t="s">
        <v>76</v>
      </c>
      <c r="AJ3526" s="13" t="str">
        <f>VLOOKUP(E3526,Precios!Z$2:AA$941,2,FALSE)</f>
        <v>Limpiapiso SPUM 5 Litros</v>
      </c>
      <c r="AK3526" s="14">
        <f>VLOOKUP(E3526,Precios!Z$2:BB$941,3,FALSE)*F3526</f>
        <v>-1</v>
      </c>
      <c r="AL3526" s="17"/>
      <c r="AM3526" s="17"/>
      <c r="AN3526" s="17"/>
      <c r="AO3526" s="17"/>
      <c r="AP3526" s="17"/>
      <c r="AQ3526" s="17"/>
      <c r="AR3526" s="17"/>
      <c r="AS3526" s="17"/>
      <c r="AT3526" s="17"/>
      <c r="AU3526" s="17"/>
      <c r="AV3526" s="17"/>
    </row>
    <row r="3527" spans="1:48" ht="15.75" customHeight="1">
      <c r="A3527" s="21" t="s">
        <v>76</v>
      </c>
      <c r="B3527" s="23" t="s">
        <v>1692</v>
      </c>
      <c r="C3527" s="22">
        <v>45665</v>
      </c>
      <c r="D3527" s="23" t="s">
        <v>431</v>
      </c>
      <c r="E3527" s="23" t="s">
        <v>252</v>
      </c>
      <c r="F3527" s="21">
        <v>1</v>
      </c>
      <c r="G3527" s="12">
        <v>1599.969512195122</v>
      </c>
      <c r="H3527" s="12">
        <v>1599.969512195122</v>
      </c>
      <c r="I3527" s="23" t="s">
        <v>52</v>
      </c>
      <c r="J3527" s="23" t="s">
        <v>61</v>
      </c>
      <c r="K3527" s="24" t="s">
        <v>86</v>
      </c>
      <c r="L3527" s="24">
        <v>50</v>
      </c>
      <c r="M3527" s="12">
        <v>1344.5121951219512</v>
      </c>
      <c r="N3527" s="11">
        <v>1344.5121951219512</v>
      </c>
      <c r="O3527" s="11">
        <v>255.45731707317077</v>
      </c>
      <c r="P3527" s="13"/>
      <c r="Q3527" s="14">
        <v>2025</v>
      </c>
      <c r="R3527" s="15">
        <v>45292</v>
      </c>
      <c r="S3527" s="11" t="s">
        <v>252</v>
      </c>
      <c r="T3527" s="16">
        <v>0</v>
      </c>
      <c r="U3527" s="17"/>
      <c r="V3527" s="12">
        <v>462.51219512195121</v>
      </c>
      <c r="W3527" s="12">
        <v>462.51219512195121</v>
      </c>
      <c r="X3527" s="12">
        <v>0</v>
      </c>
      <c r="Y3527" s="18">
        <v>45663</v>
      </c>
      <c r="Z3527" s="13" t="s">
        <v>515</v>
      </c>
      <c r="AA3527" s="19" t="str">
        <f>VLOOKUP(D3527,Clientes!$A$2:$J$486,9,FALSE)</f>
        <v>Frecuente</v>
      </c>
      <c r="AB3527" s="13" t="str">
        <f>VLOOKUP(D3527,Clientes!$A$2:$K$486,11,FALSE)</f>
        <v>Empresa</v>
      </c>
      <c r="AC3527" s="13" t="str">
        <f>VLOOKUP(D3527,Clientes!$A$2:$B$486,2,FALSE)</f>
        <v>Jardin del eden</v>
      </c>
      <c r="AD3527" s="20"/>
      <c r="AE3527" s="20"/>
      <c r="AF3527" s="13" t="s">
        <v>40</v>
      </c>
      <c r="AG3527" s="15">
        <v>45292</v>
      </c>
      <c r="AH3527" s="13" t="s">
        <v>41</v>
      </c>
      <c r="AI3527" s="13" t="s">
        <v>76</v>
      </c>
      <c r="AJ3527" s="13" t="str">
        <f>VLOOKUP(E3527,Precios!Z$2:AA$941,2,FALSE)</f>
        <v>Limpiapiso POETT 900 ml</v>
      </c>
      <c r="AK3527" s="14">
        <f>VLOOKUP(E3527,Precios!Z$2:BB$941,3,FALSE)*F3527</f>
        <v>-1</v>
      </c>
      <c r="AL3527" s="17"/>
      <c r="AM3527" s="17"/>
      <c r="AN3527" s="17"/>
      <c r="AO3527" s="17"/>
      <c r="AP3527" s="17"/>
      <c r="AQ3527" s="17"/>
      <c r="AR3527" s="17"/>
      <c r="AS3527" s="17"/>
      <c r="AT3527" s="17"/>
      <c r="AU3527" s="17"/>
      <c r="AV3527" s="17"/>
    </row>
    <row r="3528" spans="1:48" ht="15.75" customHeight="1">
      <c r="A3528" s="21" t="s">
        <v>76</v>
      </c>
      <c r="B3528" s="23" t="s">
        <v>1692</v>
      </c>
      <c r="C3528" s="22">
        <v>45665</v>
      </c>
      <c r="D3528" s="23" t="s">
        <v>431</v>
      </c>
      <c r="E3528" s="23" t="s">
        <v>322</v>
      </c>
      <c r="F3528" s="21">
        <v>1</v>
      </c>
      <c r="G3528" s="12">
        <v>4500.0000000000009</v>
      </c>
      <c r="H3528" s="12">
        <v>4500.0000000000009</v>
      </c>
      <c r="I3528" s="23" t="s">
        <v>52</v>
      </c>
      <c r="J3528" s="23" t="s">
        <v>61</v>
      </c>
      <c r="K3528" s="24" t="s">
        <v>86</v>
      </c>
      <c r="L3528" s="24">
        <v>50</v>
      </c>
      <c r="M3528" s="12">
        <v>3781.5126050420176</v>
      </c>
      <c r="N3528" s="11">
        <v>3781.5126050420176</v>
      </c>
      <c r="O3528" s="11">
        <v>718.48739495798327</v>
      </c>
      <c r="P3528" s="13"/>
      <c r="Q3528" s="14">
        <v>2025</v>
      </c>
      <c r="R3528" s="15">
        <v>45292</v>
      </c>
      <c r="S3528" s="11" t="s">
        <v>442</v>
      </c>
      <c r="T3528" s="16">
        <v>0</v>
      </c>
      <c r="U3528" s="17"/>
      <c r="V3528" s="12">
        <v>1667.2268907563034</v>
      </c>
      <c r="W3528" s="12">
        <v>1667.2268907563034</v>
      </c>
      <c r="X3528" s="12">
        <v>0</v>
      </c>
      <c r="Y3528" s="18">
        <v>45663</v>
      </c>
      <c r="Z3528" s="13" t="s">
        <v>515</v>
      </c>
      <c r="AA3528" s="19" t="str">
        <f>VLOOKUP(D3528,Clientes!$A$2:$J$486,9,FALSE)</f>
        <v>Frecuente</v>
      </c>
      <c r="AB3528" s="13" t="str">
        <f>VLOOKUP(D3528,Clientes!$A$2:$K$486,11,FALSE)</f>
        <v>Empresa</v>
      </c>
      <c r="AC3528" s="13" t="str">
        <f>VLOOKUP(D3528,Clientes!$A$2:$B$486,2,FALSE)</f>
        <v>Jardin del eden</v>
      </c>
      <c r="AD3528" s="20"/>
      <c r="AE3528" s="20"/>
      <c r="AF3528" s="13" t="s">
        <v>40</v>
      </c>
      <c r="AG3528" s="15">
        <v>45292</v>
      </c>
      <c r="AH3528" s="13" t="s">
        <v>41</v>
      </c>
      <c r="AI3528" s="13" t="s">
        <v>76</v>
      </c>
      <c r="AJ3528" s="13" t="str">
        <f>VLOOKUP(E3528,Precios!Z$2:AA$941,2,FALSE)</f>
        <v>CIF 750 cc</v>
      </c>
      <c r="AK3528" s="14">
        <f>VLOOKUP(E3528,Precios!Z$2:BB$941,3,FALSE)*F3528</f>
        <v>-2</v>
      </c>
      <c r="AL3528" s="17"/>
      <c r="AM3528" s="17"/>
      <c r="AN3528" s="17"/>
      <c r="AO3528" s="17"/>
      <c r="AP3528" s="17"/>
      <c r="AQ3528" s="17"/>
      <c r="AR3528" s="17"/>
      <c r="AS3528" s="17"/>
      <c r="AT3528" s="17"/>
      <c r="AU3528" s="17"/>
      <c r="AV3528" s="17"/>
    </row>
    <row r="3529" spans="1:48" ht="15.75" customHeight="1">
      <c r="A3529" s="21" t="s">
        <v>76</v>
      </c>
      <c r="B3529" s="23" t="s">
        <v>1692</v>
      </c>
      <c r="C3529" s="22">
        <v>45665</v>
      </c>
      <c r="D3529" s="23" t="s">
        <v>431</v>
      </c>
      <c r="E3529" s="23" t="s">
        <v>216</v>
      </c>
      <c r="F3529" s="21">
        <v>1</v>
      </c>
      <c r="G3529" s="12">
        <v>4300</v>
      </c>
      <c r="H3529" s="12">
        <v>4300</v>
      </c>
      <c r="I3529" s="23" t="s">
        <v>52</v>
      </c>
      <c r="J3529" s="23" t="s">
        <v>61</v>
      </c>
      <c r="K3529" s="24" t="s">
        <v>86</v>
      </c>
      <c r="L3529" s="24">
        <v>50</v>
      </c>
      <c r="M3529" s="12">
        <v>3613.4453781512607</v>
      </c>
      <c r="N3529" s="11">
        <v>3613.4453781512607</v>
      </c>
      <c r="O3529" s="11">
        <v>686.55462184873932</v>
      </c>
      <c r="P3529" s="13"/>
      <c r="Q3529" s="14">
        <v>2025</v>
      </c>
      <c r="R3529" s="15">
        <v>45292</v>
      </c>
      <c r="S3529" s="11" t="s">
        <v>479</v>
      </c>
      <c r="T3529" s="16">
        <v>5</v>
      </c>
      <c r="U3529" s="17"/>
      <c r="V3529" s="12">
        <v>1134.453781512605</v>
      </c>
      <c r="W3529" s="12">
        <v>1134.453781512605</v>
      </c>
      <c r="X3529" s="12">
        <v>0</v>
      </c>
      <c r="Y3529" s="18">
        <v>45663</v>
      </c>
      <c r="Z3529" s="13" t="s">
        <v>515</v>
      </c>
      <c r="AA3529" s="19" t="str">
        <f>VLOOKUP(D3529,Clientes!$A$2:$J$486,9,FALSE)</f>
        <v>Frecuente</v>
      </c>
      <c r="AB3529" s="13" t="str">
        <f>VLOOKUP(D3529,Clientes!$A$2:$K$486,11,FALSE)</f>
        <v>Empresa</v>
      </c>
      <c r="AC3529" s="13" t="str">
        <f>VLOOKUP(D3529,Clientes!$A$2:$B$486,2,FALSE)</f>
        <v>Jardin del eden</v>
      </c>
      <c r="AD3529" s="20"/>
      <c r="AE3529" s="20"/>
      <c r="AF3529" s="13" t="s">
        <v>40</v>
      </c>
      <c r="AG3529" s="15">
        <v>45292</v>
      </c>
      <c r="AH3529" s="13" t="s">
        <v>41</v>
      </c>
      <c r="AI3529" s="13" t="s">
        <v>76</v>
      </c>
      <c r="AJ3529" s="13" t="str">
        <f>VLOOKUP(E3529,Precios!Z$2:AA$941,2,FALSE)</f>
        <v>Lavaloza SPUM 5 Litros</v>
      </c>
      <c r="AK3529" s="14">
        <f>VLOOKUP(E3529,Precios!Z$2:BB$941,3,FALSE)*F3529</f>
        <v>-1</v>
      </c>
      <c r="AL3529" s="17"/>
      <c r="AM3529" s="17"/>
      <c r="AN3529" s="17"/>
      <c r="AO3529" s="17"/>
      <c r="AP3529" s="17"/>
      <c r="AQ3529" s="17"/>
      <c r="AR3529" s="17"/>
      <c r="AS3529" s="17"/>
      <c r="AT3529" s="17"/>
      <c r="AU3529" s="17"/>
      <c r="AV3529" s="17"/>
    </row>
    <row r="3530" spans="1:48" ht="15.75" customHeight="1">
      <c r="A3530" s="21" t="s">
        <v>76</v>
      </c>
      <c r="B3530" s="23" t="s">
        <v>1692</v>
      </c>
      <c r="C3530" s="22">
        <v>45665</v>
      </c>
      <c r="D3530" s="23" t="s">
        <v>431</v>
      </c>
      <c r="E3530" s="23" t="s">
        <v>137</v>
      </c>
      <c r="F3530" s="21">
        <v>1</v>
      </c>
      <c r="G3530" s="12">
        <v>3500.0000000000005</v>
      </c>
      <c r="H3530" s="12">
        <v>3500.0000000000005</v>
      </c>
      <c r="I3530" s="23" t="s">
        <v>52</v>
      </c>
      <c r="J3530" s="23" t="s">
        <v>61</v>
      </c>
      <c r="K3530" s="24" t="s">
        <v>86</v>
      </c>
      <c r="L3530" s="24">
        <v>50</v>
      </c>
      <c r="M3530" s="12">
        <v>2941.1764705882356</v>
      </c>
      <c r="N3530" s="11">
        <v>2941.1764705882356</v>
      </c>
      <c r="O3530" s="11">
        <v>558.82352941176487</v>
      </c>
      <c r="P3530" s="13"/>
      <c r="Q3530" s="14">
        <v>2025</v>
      </c>
      <c r="R3530" s="15">
        <v>45292</v>
      </c>
      <c r="S3530" s="11" t="s">
        <v>406</v>
      </c>
      <c r="T3530" s="16">
        <v>5</v>
      </c>
      <c r="U3530" s="17"/>
      <c r="V3530" s="12">
        <v>848.73949579831969</v>
      </c>
      <c r="W3530" s="12">
        <v>848.73949579831969</v>
      </c>
      <c r="X3530" s="12">
        <v>0</v>
      </c>
      <c r="Y3530" s="18">
        <v>45663</v>
      </c>
      <c r="Z3530" s="13" t="s">
        <v>515</v>
      </c>
      <c r="AA3530" s="19" t="str">
        <f>VLOOKUP(D3530,Clientes!$A$2:$J$486,9,FALSE)</f>
        <v>Frecuente</v>
      </c>
      <c r="AB3530" s="13" t="str">
        <f>VLOOKUP(D3530,Clientes!$A$2:$K$486,11,FALSE)</f>
        <v>Empresa</v>
      </c>
      <c r="AC3530" s="13" t="str">
        <f>VLOOKUP(D3530,Clientes!$A$2:$B$486,2,FALSE)</f>
        <v>Jardin del eden</v>
      </c>
      <c r="AD3530" s="20"/>
      <c r="AE3530" s="20"/>
      <c r="AF3530" s="13" t="s">
        <v>40</v>
      </c>
      <c r="AG3530" s="15">
        <v>45292</v>
      </c>
      <c r="AH3530" s="13" t="s">
        <v>41</v>
      </c>
      <c r="AI3530" s="13" t="s">
        <v>76</v>
      </c>
      <c r="AJ3530" s="13" t="str">
        <f>VLOOKUP(E3530,Precios!Z$2:AA$941,2,FALSE)</f>
        <v>Detergente SPUM 5 Litros (Blanco)</v>
      </c>
      <c r="AK3530" s="14">
        <f>VLOOKUP(E3530,Precios!Z$2:BB$941,3,FALSE)*F3530</f>
        <v>-1</v>
      </c>
      <c r="AL3530" s="17"/>
      <c r="AM3530" s="17"/>
      <c r="AN3530" s="17"/>
      <c r="AO3530" s="17"/>
      <c r="AP3530" s="17"/>
      <c r="AQ3530" s="17"/>
      <c r="AR3530" s="17"/>
      <c r="AS3530" s="17"/>
      <c r="AT3530" s="17"/>
      <c r="AU3530" s="17"/>
      <c r="AV3530" s="17"/>
    </row>
    <row r="3531" spans="1:48" ht="15.75" customHeight="1">
      <c r="A3531" s="21" t="s">
        <v>47</v>
      </c>
      <c r="B3531" s="23" t="s">
        <v>1692</v>
      </c>
      <c r="C3531" s="22">
        <v>45665</v>
      </c>
      <c r="D3531" s="23" t="s">
        <v>431</v>
      </c>
      <c r="E3531" s="23" t="s">
        <v>170</v>
      </c>
      <c r="F3531" s="21">
        <v>1</v>
      </c>
      <c r="G3531" s="12">
        <v>1800.1699716713879</v>
      </c>
      <c r="H3531" s="12">
        <v>1800.1699716713879</v>
      </c>
      <c r="I3531" s="23" t="s">
        <v>52</v>
      </c>
      <c r="J3531" s="23" t="s">
        <v>61</v>
      </c>
      <c r="K3531" s="24" t="s">
        <v>86</v>
      </c>
      <c r="L3531" s="24">
        <v>50</v>
      </c>
      <c r="M3531" s="12">
        <v>1512.7478753541075</v>
      </c>
      <c r="N3531" s="11">
        <v>1512.7478753541075</v>
      </c>
      <c r="O3531" s="11">
        <v>287.42209631728042</v>
      </c>
      <c r="P3531" s="13"/>
      <c r="Q3531" s="14">
        <v>2025</v>
      </c>
      <c r="R3531" s="15">
        <v>45292</v>
      </c>
      <c r="S3531" s="11" t="s">
        <v>453</v>
      </c>
      <c r="T3531" s="16">
        <v>0</v>
      </c>
      <c r="U3531" s="17"/>
      <c r="V3531" s="12">
        <v>711.74787535410746</v>
      </c>
      <c r="W3531" s="12">
        <v>711.74787535410746</v>
      </c>
      <c r="X3531" s="12">
        <v>0</v>
      </c>
      <c r="Y3531" s="18">
        <v>45663</v>
      </c>
      <c r="Z3531" s="13" t="s">
        <v>515</v>
      </c>
      <c r="AA3531" s="19" t="str">
        <f>VLOOKUP(D3531,Clientes!$A$2:$J$486,9,FALSE)</f>
        <v>Frecuente</v>
      </c>
      <c r="AB3531" s="13" t="str">
        <f>VLOOKUP(D3531,Clientes!$A$2:$K$486,11,FALSE)</f>
        <v>Empresa</v>
      </c>
      <c r="AC3531" s="13" t="str">
        <f>VLOOKUP(D3531,Clientes!$A$2:$B$486,2,FALSE)</f>
        <v>Jardin del eden</v>
      </c>
      <c r="AD3531" s="20"/>
      <c r="AE3531" s="20"/>
      <c r="AF3531" s="13" t="s">
        <v>40</v>
      </c>
      <c r="AG3531" s="15">
        <v>45292</v>
      </c>
      <c r="AH3531" s="13" t="s">
        <v>41</v>
      </c>
      <c r="AI3531" s="13" t="s">
        <v>47</v>
      </c>
      <c r="AJ3531" s="13" t="str">
        <f>VLOOKUP(E3531,Precios!Z$2:AA$941,2,FALSE)</f>
        <v xml:space="preserve">Bolsas Basura TEDDY 50x70 </v>
      </c>
      <c r="AK3531" s="14">
        <f>VLOOKUP(E3531,Precios!Z$2:BB$941,3,FALSE)*F3531</f>
        <v>-3</v>
      </c>
      <c r="AL3531" s="17"/>
      <c r="AM3531" s="17"/>
      <c r="AN3531" s="17"/>
      <c r="AO3531" s="17"/>
      <c r="AP3531" s="17"/>
      <c r="AQ3531" s="17"/>
      <c r="AR3531" s="17"/>
      <c r="AS3531" s="17"/>
      <c r="AT3531" s="17"/>
      <c r="AU3531" s="17"/>
      <c r="AV3531" s="17"/>
    </row>
    <row r="3532" spans="1:48" ht="15.75" customHeight="1">
      <c r="A3532" s="21" t="s">
        <v>47</v>
      </c>
      <c r="B3532" s="23" t="s">
        <v>1692</v>
      </c>
      <c r="C3532" s="22">
        <v>45665</v>
      </c>
      <c r="D3532" s="23" t="s">
        <v>431</v>
      </c>
      <c r="E3532" s="23" t="s">
        <v>100</v>
      </c>
      <c r="F3532" s="21">
        <v>1</v>
      </c>
      <c r="G3532" s="12">
        <v>650.00000000000011</v>
      </c>
      <c r="H3532" s="12">
        <v>650.00000000000011</v>
      </c>
      <c r="I3532" s="23" t="s">
        <v>52</v>
      </c>
      <c r="J3532" s="23" t="s">
        <v>61</v>
      </c>
      <c r="K3532" s="24" t="s">
        <v>86</v>
      </c>
      <c r="L3532" s="24">
        <v>50</v>
      </c>
      <c r="M3532" s="12">
        <v>546.21848739495806</v>
      </c>
      <c r="N3532" s="11">
        <v>546.21848739495806</v>
      </c>
      <c r="O3532" s="11">
        <v>103.78151260504205</v>
      </c>
      <c r="P3532" s="13"/>
      <c r="Q3532" s="14">
        <v>2025</v>
      </c>
      <c r="R3532" s="15">
        <v>45292</v>
      </c>
      <c r="S3532" s="11" t="s">
        <v>453</v>
      </c>
      <c r="T3532" s="16">
        <v>0</v>
      </c>
      <c r="U3532" s="17"/>
      <c r="V3532" s="12">
        <v>231.09243697478996</v>
      </c>
      <c r="W3532" s="12">
        <v>231.09243697478996</v>
      </c>
      <c r="X3532" s="12">
        <v>0</v>
      </c>
      <c r="Y3532" s="18">
        <v>45663</v>
      </c>
      <c r="Z3532" s="13" t="s">
        <v>515</v>
      </c>
      <c r="AA3532" s="19" t="str">
        <f>VLOOKUP(D3532,Clientes!$A$2:$J$486,9,FALSE)</f>
        <v>Frecuente</v>
      </c>
      <c r="AB3532" s="13" t="str">
        <f>VLOOKUP(D3532,Clientes!$A$2:$K$486,11,FALSE)</f>
        <v>Empresa</v>
      </c>
      <c r="AC3532" s="13" t="str">
        <f>VLOOKUP(D3532,Clientes!$A$2:$B$486,2,FALSE)</f>
        <v>Jardin del eden</v>
      </c>
      <c r="AD3532" s="20"/>
      <c r="AE3532" s="20"/>
      <c r="AF3532" s="13" t="s">
        <v>40</v>
      </c>
      <c r="AG3532" s="15">
        <v>45292</v>
      </c>
      <c r="AH3532" s="13" t="s">
        <v>41</v>
      </c>
      <c r="AI3532" s="13" t="s">
        <v>47</v>
      </c>
      <c r="AJ3532" s="13" t="str">
        <f>VLOOKUP(E3532,Precios!Z$2:AA$941,2,FALSE)</f>
        <v xml:space="preserve">Bolsas Basura TEDDY 50x70 </v>
      </c>
      <c r="AK3532" s="14">
        <f>VLOOKUP(E3532,Precios!Z$2:BB$941,3,FALSE)*F3532</f>
        <v>-1</v>
      </c>
      <c r="AL3532" s="17"/>
      <c r="AM3532" s="17"/>
      <c r="AN3532" s="17"/>
      <c r="AO3532" s="17"/>
      <c r="AP3532" s="17"/>
      <c r="AQ3532" s="17"/>
      <c r="AR3532" s="17"/>
      <c r="AS3532" s="17"/>
      <c r="AT3532" s="17"/>
      <c r="AU3532" s="17"/>
      <c r="AV3532" s="17"/>
    </row>
    <row r="3533" spans="1:48" ht="15.75" customHeight="1">
      <c r="A3533" s="21" t="s">
        <v>76</v>
      </c>
      <c r="B3533" s="23" t="s">
        <v>1692</v>
      </c>
      <c r="C3533" s="22">
        <v>45665</v>
      </c>
      <c r="D3533" s="23" t="s">
        <v>431</v>
      </c>
      <c r="E3533" s="23" t="s">
        <v>212</v>
      </c>
      <c r="F3533" s="21">
        <v>1</v>
      </c>
      <c r="G3533" s="12">
        <v>3000.0000000000005</v>
      </c>
      <c r="H3533" s="12">
        <v>3000.0000000000005</v>
      </c>
      <c r="I3533" s="23" t="s">
        <v>52</v>
      </c>
      <c r="J3533" s="23" t="s">
        <v>61</v>
      </c>
      <c r="K3533" s="24" t="s">
        <v>86</v>
      </c>
      <c r="L3533" s="24">
        <v>50</v>
      </c>
      <c r="M3533" s="12">
        <v>2521.0084033613452</v>
      </c>
      <c r="N3533" s="11">
        <v>2521.0084033613452</v>
      </c>
      <c r="O3533" s="11">
        <v>478.99159663865521</v>
      </c>
      <c r="P3533" s="13"/>
      <c r="Q3533" s="14">
        <v>2025</v>
      </c>
      <c r="R3533" s="15">
        <v>45292</v>
      </c>
      <c r="S3533" s="11" t="s">
        <v>446</v>
      </c>
      <c r="T3533" s="16">
        <v>5</v>
      </c>
      <c r="U3533" s="17"/>
      <c r="V3533" s="12">
        <v>764.70588235294144</v>
      </c>
      <c r="W3533" s="12">
        <v>764.70588235294144</v>
      </c>
      <c r="X3533" s="12">
        <v>0</v>
      </c>
      <c r="Y3533" s="18">
        <v>45663</v>
      </c>
      <c r="Z3533" s="13" t="s">
        <v>515</v>
      </c>
      <c r="AA3533" s="19" t="str">
        <f>VLOOKUP(D3533,Clientes!$A$2:$J$486,9,FALSE)</f>
        <v>Frecuente</v>
      </c>
      <c r="AB3533" s="13" t="str">
        <f>VLOOKUP(D3533,Clientes!$A$2:$K$486,11,FALSE)</f>
        <v>Empresa</v>
      </c>
      <c r="AC3533" s="13" t="str">
        <f>VLOOKUP(D3533,Clientes!$A$2:$B$486,2,FALSE)</f>
        <v>Jardin del eden</v>
      </c>
      <c r="AD3533" s="20"/>
      <c r="AE3533" s="20"/>
      <c r="AF3533" s="13" t="s">
        <v>40</v>
      </c>
      <c r="AG3533" s="15">
        <v>45292</v>
      </c>
      <c r="AH3533" s="13" t="s">
        <v>41</v>
      </c>
      <c r="AI3533" s="13" t="s">
        <v>76</v>
      </c>
      <c r="AJ3533" s="13" t="str">
        <f>VLOOKUP(E3533,Precios!Z$2:AA$941,2,FALSE)</f>
        <v>Suavizante SPUM 5 Litros</v>
      </c>
      <c r="AK3533" s="14">
        <f>VLOOKUP(E3533,Precios!Z$2:BB$941,3,FALSE)*F3533</f>
        <v>-1</v>
      </c>
      <c r="AL3533" s="17"/>
      <c r="AM3533" s="17"/>
      <c r="AN3533" s="17"/>
      <c r="AO3533" s="17"/>
      <c r="AP3533" s="17"/>
      <c r="AQ3533" s="17"/>
      <c r="AR3533" s="17"/>
      <c r="AS3533" s="17"/>
      <c r="AT3533" s="17"/>
      <c r="AU3533" s="17"/>
      <c r="AV3533" s="17"/>
    </row>
    <row r="3534" spans="1:48" ht="15.75" customHeight="1">
      <c r="A3534" s="21" t="s">
        <v>43</v>
      </c>
      <c r="B3534" s="23" t="s">
        <v>1692</v>
      </c>
      <c r="C3534" s="22">
        <v>45665</v>
      </c>
      <c r="D3534" s="23" t="s">
        <v>431</v>
      </c>
      <c r="E3534" s="23" t="s">
        <v>45</v>
      </c>
      <c r="F3534" s="21">
        <v>1</v>
      </c>
      <c r="G3534" s="12">
        <v>6499.7815321875905</v>
      </c>
      <c r="H3534" s="12">
        <v>6499.7815321875905</v>
      </c>
      <c r="I3534" s="23" t="s">
        <v>52</v>
      </c>
      <c r="J3534" s="23" t="s">
        <v>61</v>
      </c>
      <c r="K3534" s="24" t="s">
        <v>86</v>
      </c>
      <c r="L3534" s="24">
        <v>50</v>
      </c>
      <c r="M3534" s="12">
        <v>5462.0012875525972</v>
      </c>
      <c r="N3534" s="11">
        <v>5462.0012875525972</v>
      </c>
      <c r="O3534" s="11">
        <v>1037.7802446349933</v>
      </c>
      <c r="P3534" s="13"/>
      <c r="Q3534" s="14">
        <v>2025</v>
      </c>
      <c r="R3534" s="15">
        <v>45292</v>
      </c>
      <c r="S3534" s="11" t="s">
        <v>355</v>
      </c>
      <c r="T3534" s="16">
        <v>0</v>
      </c>
      <c r="U3534" s="17"/>
      <c r="V3534" s="12">
        <v>1711.7912035189838</v>
      </c>
      <c r="W3534" s="12">
        <v>1711.7912035189838</v>
      </c>
      <c r="X3534" s="12">
        <v>0</v>
      </c>
      <c r="Y3534" s="18">
        <v>45663</v>
      </c>
      <c r="Z3534" s="13" t="s">
        <v>515</v>
      </c>
      <c r="AA3534" s="19" t="str">
        <f>VLOOKUP(D3534,Clientes!$A$2:$J$486,9,FALSE)</f>
        <v>Frecuente</v>
      </c>
      <c r="AB3534" s="13" t="str">
        <f>VLOOKUP(D3534,Clientes!$A$2:$K$486,11,FALSE)</f>
        <v>Empresa</v>
      </c>
      <c r="AC3534" s="13" t="str">
        <f>VLOOKUP(D3534,Clientes!$A$2:$B$486,2,FALSE)</f>
        <v>Jardin del eden</v>
      </c>
      <c r="AD3534" s="20"/>
      <c r="AE3534" s="20"/>
      <c r="AF3534" s="13" t="s">
        <v>40</v>
      </c>
      <c r="AG3534" s="15">
        <v>45292</v>
      </c>
      <c r="AH3534" s="13" t="s">
        <v>41</v>
      </c>
      <c r="AI3534" s="13" t="s">
        <v>43</v>
      </c>
      <c r="AJ3534" s="13" t="str">
        <f>VLOOKUP(E3534,Precios!Z$2:AA$941,2,FALSE)</f>
        <v>Bandeja Huevos EXTRA</v>
      </c>
      <c r="AK3534" s="14">
        <f>VLOOKUP(E3534,Precios!Z$2:BB$941,3,FALSE)*F3534</f>
        <v>-1</v>
      </c>
      <c r="AL3534" s="17"/>
      <c r="AM3534" s="17"/>
      <c r="AN3534" s="17"/>
      <c r="AO3534" s="17"/>
      <c r="AP3534" s="17"/>
      <c r="AQ3534" s="17"/>
      <c r="AR3534" s="17"/>
      <c r="AS3534" s="17"/>
      <c r="AT3534" s="17"/>
      <c r="AU3534" s="17"/>
      <c r="AV3534" s="17"/>
    </row>
    <row r="3535" spans="1:48" ht="15.75" customHeight="1">
      <c r="A3535" s="21" t="s">
        <v>35</v>
      </c>
      <c r="B3535" s="23" t="s">
        <v>1692</v>
      </c>
      <c r="C3535" s="22">
        <v>45665</v>
      </c>
      <c r="D3535" s="23" t="s">
        <v>431</v>
      </c>
      <c r="E3535" s="23" t="s">
        <v>37</v>
      </c>
      <c r="F3535" s="21">
        <v>1</v>
      </c>
      <c r="G3535" s="12">
        <v>10500</v>
      </c>
      <c r="H3535" s="12">
        <v>10500</v>
      </c>
      <c r="I3535" s="23" t="s">
        <v>52</v>
      </c>
      <c r="J3535" s="23" t="s">
        <v>61</v>
      </c>
      <c r="K3535" s="24" t="s">
        <v>86</v>
      </c>
      <c r="L3535" s="24">
        <v>50</v>
      </c>
      <c r="M3535" s="12">
        <v>8823.5294117647063</v>
      </c>
      <c r="N3535" s="11">
        <v>8823.5294117647063</v>
      </c>
      <c r="O3535" s="11">
        <v>1676.4705882352937</v>
      </c>
      <c r="P3535" s="13"/>
      <c r="Q3535" s="14">
        <v>2025</v>
      </c>
      <c r="R3535" s="15">
        <v>45292</v>
      </c>
      <c r="S3535" s="11" t="s">
        <v>364</v>
      </c>
      <c r="T3535" s="16">
        <v>1000</v>
      </c>
      <c r="U3535" s="17"/>
      <c r="V3535" s="12">
        <v>2385.7142857142853</v>
      </c>
      <c r="W3535" s="12">
        <v>2385.7142857142853</v>
      </c>
      <c r="X3535" s="12">
        <v>0</v>
      </c>
      <c r="Y3535" s="18">
        <v>45663</v>
      </c>
      <c r="Z3535" s="13" t="s">
        <v>515</v>
      </c>
      <c r="AA3535" s="19" t="str">
        <f>VLOOKUP(D3535,Clientes!$A$2:$J$486,9,FALSE)</f>
        <v>Frecuente</v>
      </c>
      <c r="AB3535" s="13" t="str">
        <f>VLOOKUP(D3535,Clientes!$A$2:$K$486,11,FALSE)</f>
        <v>Empresa</v>
      </c>
      <c r="AC3535" s="13" t="str">
        <f>VLOOKUP(D3535,Clientes!$A$2:$B$486,2,FALSE)</f>
        <v>Jardin del eden</v>
      </c>
      <c r="AD3535" s="20"/>
      <c r="AE3535" s="20"/>
      <c r="AF3535" s="13" t="s">
        <v>40</v>
      </c>
      <c r="AG3535" s="15">
        <v>45292</v>
      </c>
      <c r="AH3535" s="13" t="s">
        <v>41</v>
      </c>
      <c r="AI3535" s="13" t="s">
        <v>35</v>
      </c>
      <c r="AJ3535" s="13" t="str">
        <f>VLOOKUP(E3535,Precios!Z$2:AA$941,2,FALSE)</f>
        <v>Queso RUNCA Mantecoso</v>
      </c>
      <c r="AK3535" s="14">
        <f>VLOOKUP(E3535,Precios!Z$2:BB$941,3,FALSE)*F3535</f>
        <v>-1</v>
      </c>
      <c r="AL3535" s="17"/>
      <c r="AM3535" s="17"/>
      <c r="AN3535" s="17"/>
      <c r="AO3535" s="17"/>
      <c r="AP3535" s="17"/>
      <c r="AQ3535" s="17"/>
      <c r="AR3535" s="17"/>
      <c r="AS3535" s="17"/>
      <c r="AT3535" s="17"/>
      <c r="AU3535" s="17"/>
      <c r="AV3535" s="17"/>
    </row>
    <row r="3536" spans="1:48" ht="15.75" customHeight="1">
      <c r="A3536" s="21" t="s">
        <v>53</v>
      </c>
      <c r="B3536" s="23" t="s">
        <v>1692</v>
      </c>
      <c r="C3536" s="22">
        <v>45665</v>
      </c>
      <c r="D3536" s="23" t="s">
        <v>431</v>
      </c>
      <c r="E3536" s="23" t="s">
        <v>320</v>
      </c>
      <c r="F3536" s="21">
        <v>1</v>
      </c>
      <c r="G3536" s="12">
        <v>6999.7727641616621</v>
      </c>
      <c r="H3536" s="12">
        <v>6999.7727641616621</v>
      </c>
      <c r="I3536" s="23" t="s">
        <v>52</v>
      </c>
      <c r="J3536" s="23" t="s">
        <v>61</v>
      </c>
      <c r="K3536" s="24" t="s">
        <v>86</v>
      </c>
      <c r="L3536" s="24">
        <v>50</v>
      </c>
      <c r="M3536" s="12">
        <v>5882.161986690473</v>
      </c>
      <c r="N3536" s="11">
        <v>5882.161986690473</v>
      </c>
      <c r="O3536" s="11">
        <v>1117.6107774711891</v>
      </c>
      <c r="P3536" s="13"/>
      <c r="Q3536" s="14">
        <v>2025</v>
      </c>
      <c r="R3536" s="15">
        <v>45292</v>
      </c>
      <c r="S3536" s="11" t="s">
        <v>435</v>
      </c>
      <c r="T3536" s="16">
        <v>0</v>
      </c>
      <c r="U3536" s="17"/>
      <c r="V3536" s="12">
        <v>2258.1619866904721</v>
      </c>
      <c r="W3536" s="12">
        <v>2258.1619866904721</v>
      </c>
      <c r="X3536" s="12">
        <v>0</v>
      </c>
      <c r="Y3536" s="18">
        <v>45663</v>
      </c>
      <c r="Z3536" s="13" t="s">
        <v>515</v>
      </c>
      <c r="AA3536" s="19" t="str">
        <f>VLOOKUP(D3536,Clientes!$A$2:$J$486,9,FALSE)</f>
        <v>Frecuente</v>
      </c>
      <c r="AB3536" s="13" t="str">
        <f>VLOOKUP(D3536,Clientes!$A$2:$K$486,11,FALSE)</f>
        <v>Empresa</v>
      </c>
      <c r="AC3536" s="13" t="str">
        <f>VLOOKUP(D3536,Clientes!$A$2:$B$486,2,FALSE)</f>
        <v>Jardin del eden</v>
      </c>
      <c r="AD3536" s="20"/>
      <c r="AE3536" s="20"/>
      <c r="AF3536" s="13" t="s">
        <v>40</v>
      </c>
      <c r="AG3536" s="15">
        <v>45292</v>
      </c>
      <c r="AH3536" s="13" t="s">
        <v>41</v>
      </c>
      <c r="AI3536" s="13" t="s">
        <v>53</v>
      </c>
      <c r="AJ3536" s="13" t="str">
        <f>VLOOKUP(E3536,Precios!Z$2:AA$941,2,FALSE)</f>
        <v>Papel Higienico SWAN 400 hojas</v>
      </c>
      <c r="AK3536" s="14">
        <f>VLOOKUP(E3536,Precios!Z$2:BB$941,3,FALSE)*F3536</f>
        <v>-3</v>
      </c>
      <c r="AL3536" s="17"/>
      <c r="AM3536" s="17"/>
      <c r="AN3536" s="17"/>
      <c r="AO3536" s="17"/>
      <c r="AP3536" s="17"/>
      <c r="AQ3536" s="17"/>
      <c r="AR3536" s="17"/>
      <c r="AS3536" s="17"/>
      <c r="AT3536" s="17"/>
      <c r="AU3536" s="17"/>
      <c r="AV3536" s="17"/>
    </row>
    <row r="3537" spans="1:48" ht="15.75" customHeight="1">
      <c r="A3537" s="21" t="s">
        <v>53</v>
      </c>
      <c r="B3537" s="23" t="s">
        <v>1692</v>
      </c>
      <c r="C3537" s="22">
        <v>45665</v>
      </c>
      <c r="D3537" s="23" t="s">
        <v>431</v>
      </c>
      <c r="E3537" s="23" t="s">
        <v>167</v>
      </c>
      <c r="F3537" s="21">
        <v>1</v>
      </c>
      <c r="G3537" s="12">
        <v>9499.8792270531412</v>
      </c>
      <c r="H3537" s="12">
        <v>9499.8792270531412</v>
      </c>
      <c r="I3537" s="23" t="s">
        <v>52</v>
      </c>
      <c r="J3537" s="23" t="s">
        <v>61</v>
      </c>
      <c r="K3537" s="24" t="s">
        <v>86</v>
      </c>
      <c r="L3537" s="24">
        <v>50</v>
      </c>
      <c r="M3537" s="12">
        <v>7983.0917874396146</v>
      </c>
      <c r="N3537" s="11">
        <v>7983.0917874396146</v>
      </c>
      <c r="O3537" s="11">
        <v>1516.7874396135267</v>
      </c>
      <c r="P3537" s="13"/>
      <c r="Q3537" s="14">
        <v>2025</v>
      </c>
      <c r="R3537" s="15">
        <v>45292</v>
      </c>
      <c r="S3537" s="11" t="s">
        <v>408</v>
      </c>
      <c r="T3537" s="16">
        <v>100</v>
      </c>
      <c r="U3537" s="17"/>
      <c r="V3537" s="12">
        <v>2695.0917874396137</v>
      </c>
      <c r="W3537" s="12">
        <v>2695.0917874396137</v>
      </c>
      <c r="X3537" s="12">
        <v>0</v>
      </c>
      <c r="Y3537" s="18">
        <v>45663</v>
      </c>
      <c r="Z3537" s="13" t="s">
        <v>515</v>
      </c>
      <c r="AA3537" s="19" t="str">
        <f>VLOOKUP(D3537,Clientes!$A$2:$J$486,9,FALSE)</f>
        <v>Frecuente</v>
      </c>
      <c r="AB3537" s="13" t="str">
        <f>VLOOKUP(D3537,Clientes!$A$2:$K$486,11,FALSE)</f>
        <v>Empresa</v>
      </c>
      <c r="AC3537" s="13" t="str">
        <f>VLOOKUP(D3537,Clientes!$A$2:$B$486,2,FALSE)</f>
        <v>Jardin del eden</v>
      </c>
      <c r="AD3537" s="20"/>
      <c r="AE3537" s="20"/>
      <c r="AF3537" s="13" t="s">
        <v>40</v>
      </c>
      <c r="AG3537" s="15">
        <v>45292</v>
      </c>
      <c r="AH3537" s="13" t="s">
        <v>41</v>
      </c>
      <c r="AI3537" s="13" t="s">
        <v>53</v>
      </c>
      <c r="AJ3537" s="13" t="str">
        <f>VLOOKUP(E3537,Precios!Z$2:AA$941,2,FALSE)</f>
        <v>Toalla Papel SWAN D/H NARANJA 100 metros</v>
      </c>
      <c r="AK3537" s="14">
        <f>VLOOKUP(E3537,Precios!Z$2:BB$941,3,FALSE)*F3537</f>
        <v>-3</v>
      </c>
      <c r="AL3537" s="17"/>
      <c r="AM3537" s="17"/>
      <c r="AN3537" s="17"/>
      <c r="AO3537" s="17"/>
      <c r="AP3537" s="17"/>
      <c r="AQ3537" s="17"/>
      <c r="AR3537" s="17"/>
      <c r="AS3537" s="17"/>
      <c r="AT3537" s="17"/>
      <c r="AU3537" s="17"/>
      <c r="AV3537" s="17"/>
    </row>
    <row r="3538" spans="1:48" ht="15.75" customHeight="1">
      <c r="A3538" s="21" t="s">
        <v>47</v>
      </c>
      <c r="B3538" s="23" t="s">
        <v>1692</v>
      </c>
      <c r="C3538" s="22">
        <v>45665</v>
      </c>
      <c r="D3538" s="23" t="s">
        <v>431</v>
      </c>
      <c r="E3538" s="23" t="s">
        <v>295</v>
      </c>
      <c r="F3538" s="21">
        <v>1</v>
      </c>
      <c r="G3538" s="12">
        <v>2599.7755362977696</v>
      </c>
      <c r="H3538" s="12">
        <v>2599.7755362977696</v>
      </c>
      <c r="I3538" s="23" t="s">
        <v>52</v>
      </c>
      <c r="J3538" s="23" t="s">
        <v>61</v>
      </c>
      <c r="K3538" s="24" t="s">
        <v>86</v>
      </c>
      <c r="L3538" s="24">
        <v>50</v>
      </c>
      <c r="M3538" s="12">
        <v>2184.6853246199744</v>
      </c>
      <c r="N3538" s="11">
        <v>2184.6853246199744</v>
      </c>
      <c r="O3538" s="11">
        <v>415.0902116777952</v>
      </c>
      <c r="P3538" s="13"/>
      <c r="Q3538" s="14">
        <v>2025</v>
      </c>
      <c r="R3538" s="15">
        <v>45292</v>
      </c>
      <c r="S3538" s="11" t="s">
        <v>372</v>
      </c>
      <c r="T3538" s="16">
        <v>0</v>
      </c>
      <c r="U3538" s="17"/>
      <c r="V3538" s="12">
        <v>646.88532461997443</v>
      </c>
      <c r="W3538" s="12">
        <v>646.88532461997443</v>
      </c>
      <c r="X3538" s="12">
        <v>0</v>
      </c>
      <c r="Y3538" s="18">
        <v>45663</v>
      </c>
      <c r="Z3538" s="13" t="s">
        <v>515</v>
      </c>
      <c r="AA3538" s="19" t="str">
        <f>VLOOKUP(D3538,Clientes!$A$2:$J$486,9,FALSE)</f>
        <v>Frecuente</v>
      </c>
      <c r="AB3538" s="13" t="str">
        <f>VLOOKUP(D3538,Clientes!$A$2:$K$486,11,FALSE)</f>
        <v>Empresa</v>
      </c>
      <c r="AC3538" s="13" t="str">
        <f>VLOOKUP(D3538,Clientes!$A$2:$B$486,2,FALSE)</f>
        <v>Jardin del eden</v>
      </c>
      <c r="AD3538" s="20"/>
      <c r="AE3538" s="20"/>
      <c r="AF3538" s="13" t="s">
        <v>40</v>
      </c>
      <c r="AG3538" s="15">
        <v>45292</v>
      </c>
      <c r="AH3538" s="13" t="s">
        <v>41</v>
      </c>
      <c r="AI3538" s="13" t="s">
        <v>47</v>
      </c>
      <c r="AJ3538" s="13" t="str">
        <f>VLOOKUP(E3538,Precios!Z$2:AA$941,2,FALSE)</f>
        <v>Traperos Humedos EXCELL</v>
      </c>
      <c r="AK3538" s="14">
        <f>VLOOKUP(E3538,Precios!Z$2:BB$941,3,FALSE)*F3538</f>
        <v>-1</v>
      </c>
      <c r="AL3538" s="17"/>
      <c r="AM3538" s="17"/>
      <c r="AN3538" s="17"/>
      <c r="AO3538" s="17"/>
      <c r="AP3538" s="17"/>
      <c r="AQ3538" s="17"/>
      <c r="AR3538" s="17"/>
      <c r="AS3538" s="17"/>
      <c r="AT3538" s="17"/>
      <c r="AU3538" s="17"/>
      <c r="AV3538" s="17"/>
    </row>
    <row r="3539" spans="1:48" ht="15.75" customHeight="1">
      <c r="A3539" s="21" t="s">
        <v>47</v>
      </c>
      <c r="B3539" s="23" t="s">
        <v>1692</v>
      </c>
      <c r="C3539" s="22">
        <v>45665</v>
      </c>
      <c r="D3539" s="23" t="s">
        <v>431</v>
      </c>
      <c r="E3539" s="23" t="s">
        <v>94</v>
      </c>
      <c r="F3539" s="21">
        <v>2</v>
      </c>
      <c r="G3539" s="12">
        <v>1650.3649635036495</v>
      </c>
      <c r="H3539" s="12">
        <v>3300.729927007299</v>
      </c>
      <c r="I3539" s="23" t="s">
        <v>52</v>
      </c>
      <c r="J3539" s="23" t="s">
        <v>61</v>
      </c>
      <c r="K3539" s="24" t="s">
        <v>86</v>
      </c>
      <c r="L3539" s="24">
        <v>50</v>
      </c>
      <c r="M3539" s="12">
        <v>1386.861313868613</v>
      </c>
      <c r="N3539" s="11">
        <v>2773.722627737226</v>
      </c>
      <c r="O3539" s="11">
        <v>527.00729927007296</v>
      </c>
      <c r="P3539" s="13"/>
      <c r="Q3539" s="14">
        <v>2025</v>
      </c>
      <c r="R3539" s="15">
        <v>45292</v>
      </c>
      <c r="S3539" s="11" t="s">
        <v>384</v>
      </c>
      <c r="T3539" s="16">
        <v>0</v>
      </c>
      <c r="U3539" s="17"/>
      <c r="V3539" s="12">
        <v>873.72262773722605</v>
      </c>
      <c r="W3539" s="12">
        <v>873.72262773722605</v>
      </c>
      <c r="X3539" s="12">
        <v>0</v>
      </c>
      <c r="Y3539" s="18">
        <v>45663</v>
      </c>
      <c r="Z3539" s="13" t="s">
        <v>515</v>
      </c>
      <c r="AA3539" s="19" t="str">
        <f>VLOOKUP(D3539,Clientes!$A$2:$J$486,9,FALSE)</f>
        <v>Frecuente</v>
      </c>
      <c r="AB3539" s="13" t="str">
        <f>VLOOKUP(D3539,Clientes!$A$2:$K$486,11,FALSE)</f>
        <v>Empresa</v>
      </c>
      <c r="AC3539" s="13" t="str">
        <f>VLOOKUP(D3539,Clientes!$A$2:$B$486,2,FALSE)</f>
        <v>Jardin del eden</v>
      </c>
      <c r="AD3539" s="20"/>
      <c r="AE3539" s="20"/>
      <c r="AF3539" s="13" t="s">
        <v>40</v>
      </c>
      <c r="AG3539" s="15">
        <v>45292</v>
      </c>
      <c r="AH3539" s="13" t="s">
        <v>41</v>
      </c>
      <c r="AI3539" s="13" t="s">
        <v>47</v>
      </c>
      <c r="AJ3539" s="13" t="str">
        <f>VLOOKUP(E3539,Precios!Z$2:AA$941,2,FALSE)</f>
        <v>Jabón Lìquido BALLERINA</v>
      </c>
      <c r="AK3539" s="14">
        <f>VLOOKUP(E3539,Precios!Z$2:BB$941,3,FALSE)*F3539</f>
        <v>-6</v>
      </c>
      <c r="AL3539" s="17"/>
      <c r="AM3539" s="17"/>
      <c r="AN3539" s="17"/>
      <c r="AO3539" s="17"/>
      <c r="AP3539" s="17"/>
      <c r="AQ3539" s="17"/>
      <c r="AR3539" s="17"/>
      <c r="AS3539" s="17"/>
      <c r="AT3539" s="17"/>
      <c r="AU3539" s="17"/>
      <c r="AV3539" s="17"/>
    </row>
    <row r="3540" spans="1:48" ht="15.75" customHeight="1">
      <c r="A3540" s="21" t="s">
        <v>53</v>
      </c>
      <c r="B3540" s="23" t="s">
        <v>1692</v>
      </c>
      <c r="C3540" s="22">
        <v>45665</v>
      </c>
      <c r="D3540" s="23" t="s">
        <v>431</v>
      </c>
      <c r="E3540" s="23" t="s">
        <v>150</v>
      </c>
      <c r="F3540" s="21">
        <v>1</v>
      </c>
      <c r="G3540" s="12">
        <v>1799.8965445892823</v>
      </c>
      <c r="H3540" s="12">
        <v>1799.8965445892823</v>
      </c>
      <c r="I3540" s="23" t="s">
        <v>52</v>
      </c>
      <c r="J3540" s="23" t="s">
        <v>61</v>
      </c>
      <c r="K3540" s="24" t="s">
        <v>86</v>
      </c>
      <c r="L3540" s="24">
        <v>50</v>
      </c>
      <c r="M3540" s="12">
        <v>1512.518104696876</v>
      </c>
      <c r="N3540" s="11">
        <v>1512.518104696876</v>
      </c>
      <c r="O3540" s="11">
        <v>287.37843989240628</v>
      </c>
      <c r="P3540" s="13"/>
      <c r="Q3540" s="14">
        <v>2025</v>
      </c>
      <c r="R3540" s="15">
        <v>45292</v>
      </c>
      <c r="S3540" s="11" t="s">
        <v>381</v>
      </c>
      <c r="T3540" s="16">
        <v>300</v>
      </c>
      <c r="U3540" s="17"/>
      <c r="V3540" s="12">
        <v>781.51810469687575</v>
      </c>
      <c r="W3540" s="12">
        <v>781.51810469687575</v>
      </c>
      <c r="X3540" s="12">
        <v>0</v>
      </c>
      <c r="Y3540" s="18">
        <v>45663</v>
      </c>
      <c r="Z3540" s="13" t="s">
        <v>515</v>
      </c>
      <c r="AA3540" s="19" t="str">
        <f>VLOOKUP(D3540,Clientes!$A$2:$J$486,9,FALSE)</f>
        <v>Frecuente</v>
      </c>
      <c r="AB3540" s="13" t="str">
        <f>VLOOKUP(D3540,Clientes!$A$2:$K$486,11,FALSE)</f>
        <v>Empresa</v>
      </c>
      <c r="AC3540" s="13" t="str">
        <f>VLOOKUP(D3540,Clientes!$A$2:$B$486,2,FALSE)</f>
        <v>Jardin del eden</v>
      </c>
      <c r="AD3540" s="20"/>
      <c r="AE3540" s="20"/>
      <c r="AF3540" s="13" t="s">
        <v>40</v>
      </c>
      <c r="AG3540" s="15">
        <v>45292</v>
      </c>
      <c r="AH3540" s="13" t="s">
        <v>41</v>
      </c>
      <c r="AI3540" s="13" t="s">
        <v>53</v>
      </c>
      <c r="AJ3540" s="13" t="str">
        <f>VLOOKUP(E3540,Precios!Z$2:AA$941,2,FALSE)</f>
        <v>Servilletas SOFTQUALITY 300 unidades</v>
      </c>
      <c r="AK3540" s="14">
        <f>VLOOKUP(E3540,Precios!Z$2:BB$941,3,FALSE)*F3540</f>
        <v>-1</v>
      </c>
      <c r="AL3540" s="17"/>
      <c r="AM3540" s="17"/>
      <c r="AN3540" s="17"/>
      <c r="AO3540" s="17"/>
      <c r="AP3540" s="17"/>
      <c r="AQ3540" s="17"/>
      <c r="AR3540" s="17"/>
      <c r="AS3540" s="17"/>
      <c r="AT3540" s="17"/>
      <c r="AU3540" s="17"/>
      <c r="AV3540" s="17"/>
    </row>
    <row r="3541" spans="1:48" ht="15.75" customHeight="1">
      <c r="A3541" s="21" t="s">
        <v>76</v>
      </c>
      <c r="B3541" s="23" t="s">
        <v>1692</v>
      </c>
      <c r="C3541" s="22">
        <v>45665</v>
      </c>
      <c r="D3541" s="23" t="s">
        <v>330</v>
      </c>
      <c r="E3541" s="23" t="s">
        <v>349</v>
      </c>
      <c r="F3541" s="21">
        <v>1</v>
      </c>
      <c r="G3541" s="12">
        <v>3999.8127946357149</v>
      </c>
      <c r="H3541" s="12">
        <v>3999.8127946357149</v>
      </c>
      <c r="I3541" s="23" t="s">
        <v>52</v>
      </c>
      <c r="J3541" s="23" t="s">
        <v>61</v>
      </c>
      <c r="K3541" s="24" t="s">
        <v>177</v>
      </c>
      <c r="L3541" s="24">
        <v>84</v>
      </c>
      <c r="M3541" s="12">
        <v>3361.1872223829537</v>
      </c>
      <c r="N3541" s="11">
        <v>3361.1872223829537</v>
      </c>
      <c r="O3541" s="11">
        <v>638.62557225276123</v>
      </c>
      <c r="P3541" s="13"/>
      <c r="Q3541" s="14">
        <v>2025</v>
      </c>
      <c r="R3541" s="15">
        <v>45292</v>
      </c>
      <c r="S3541" s="11" t="s">
        <v>550</v>
      </c>
      <c r="T3541" s="16">
        <v>5</v>
      </c>
      <c r="U3541" s="17"/>
      <c r="V3541" s="12">
        <v>1386.1872223829537</v>
      </c>
      <c r="W3541" s="12">
        <v>1386.1872223829537</v>
      </c>
      <c r="X3541" s="12">
        <v>0</v>
      </c>
      <c r="Y3541" s="18">
        <v>45663</v>
      </c>
      <c r="Z3541" s="13" t="s">
        <v>515</v>
      </c>
      <c r="AA3541" s="19" t="str">
        <f>VLOOKUP(D3541,Clientes!$A$2:$J$486,9,FALSE)</f>
        <v>Ocacional</v>
      </c>
      <c r="AB3541" s="13" t="str">
        <f>VLOOKUP(D3541,Clientes!$A$2:$K$486,11,FALSE)</f>
        <v>Persona Natural</v>
      </c>
      <c r="AC3541" s="13" t="str">
        <f>VLOOKUP(D3541,Clientes!$A$2:$B$486,2,FALSE)</f>
        <v>Jardin Alto</v>
      </c>
      <c r="AD3541" s="20"/>
      <c r="AE3541" s="20"/>
      <c r="AF3541" s="13" t="s">
        <v>40</v>
      </c>
      <c r="AG3541" s="15">
        <v>45292</v>
      </c>
      <c r="AH3541" s="13" t="s">
        <v>41</v>
      </c>
      <c r="AI3541" s="13" t="s">
        <v>76</v>
      </c>
      <c r="AJ3541" s="13" t="str">
        <f>VLOOKUP(E3541,Precios!Z$2:AA$941,2,FALSE)</f>
        <v>Antigrasa SPUM 5 Litros</v>
      </c>
      <c r="AK3541" s="14">
        <f>VLOOKUP(E3541,Precios!Z$2:BB$941,3,FALSE)*F3541</f>
        <v>-1</v>
      </c>
      <c r="AL3541" s="17"/>
      <c r="AM3541" s="17"/>
      <c r="AN3541" s="17"/>
      <c r="AO3541" s="17"/>
      <c r="AP3541" s="17"/>
      <c r="AQ3541" s="17"/>
      <c r="AR3541" s="17"/>
      <c r="AS3541" s="17"/>
      <c r="AT3541" s="17"/>
      <c r="AU3541" s="17"/>
      <c r="AV3541" s="17"/>
    </row>
    <row r="3542" spans="1:48" ht="15.75" customHeight="1">
      <c r="A3542" s="21" t="s">
        <v>76</v>
      </c>
      <c r="B3542" s="23" t="s">
        <v>1692</v>
      </c>
      <c r="C3542" s="22">
        <v>45665</v>
      </c>
      <c r="D3542" s="23" t="s">
        <v>330</v>
      </c>
      <c r="E3542" s="23" t="s">
        <v>185</v>
      </c>
      <c r="F3542" s="21">
        <v>1</v>
      </c>
      <c r="G3542" s="12">
        <v>3200.1383843625663</v>
      </c>
      <c r="H3542" s="12">
        <v>3200.1383843625663</v>
      </c>
      <c r="I3542" s="23" t="s">
        <v>52</v>
      </c>
      <c r="J3542" s="23" t="s">
        <v>61</v>
      </c>
      <c r="K3542" s="24" t="s">
        <v>177</v>
      </c>
      <c r="L3542" s="24">
        <v>84</v>
      </c>
      <c r="M3542" s="12">
        <v>2689.1919196324088</v>
      </c>
      <c r="N3542" s="11">
        <v>2689.1919196324088</v>
      </c>
      <c r="O3542" s="11">
        <v>510.94646473015746</v>
      </c>
      <c r="P3542" s="13"/>
      <c r="Q3542" s="14">
        <v>2025</v>
      </c>
      <c r="R3542" s="15">
        <v>45292</v>
      </c>
      <c r="S3542" s="11" t="s">
        <v>444</v>
      </c>
      <c r="T3542" s="16">
        <v>5</v>
      </c>
      <c r="U3542" s="17"/>
      <c r="V3542" s="12">
        <v>1134.570070892913</v>
      </c>
      <c r="W3542" s="12">
        <v>1134.570070892913</v>
      </c>
      <c r="X3542" s="12">
        <v>0</v>
      </c>
      <c r="Y3542" s="18">
        <v>45663</v>
      </c>
      <c r="Z3542" s="13" t="s">
        <v>515</v>
      </c>
      <c r="AA3542" s="19" t="str">
        <f>VLOOKUP(D3542,Clientes!$A$2:$J$486,9,FALSE)</f>
        <v>Ocacional</v>
      </c>
      <c r="AB3542" s="13" t="str">
        <f>VLOOKUP(D3542,Clientes!$A$2:$K$486,11,FALSE)</f>
        <v>Persona Natural</v>
      </c>
      <c r="AC3542" s="13" t="str">
        <f>VLOOKUP(D3542,Clientes!$A$2:$B$486,2,FALSE)</f>
        <v>Jardin Alto</v>
      </c>
      <c r="AD3542" s="20"/>
      <c r="AE3542" s="20"/>
      <c r="AF3542" s="13" t="s">
        <v>40</v>
      </c>
      <c r="AG3542" s="15">
        <v>45292</v>
      </c>
      <c r="AH3542" s="13" t="s">
        <v>41</v>
      </c>
      <c r="AI3542" s="13" t="s">
        <v>76</v>
      </c>
      <c r="AJ3542" s="13" t="str">
        <f>VLOOKUP(E3542,Precios!Z$2:AA$941,2,FALSE)</f>
        <v>Limpia Vidrio SPUM 5 litros</v>
      </c>
      <c r="AK3542" s="14">
        <f>VLOOKUP(E3542,Precios!Z$2:BB$941,3,FALSE)*F3542</f>
        <v>-1</v>
      </c>
      <c r="AL3542" s="17"/>
      <c r="AM3542" s="17"/>
      <c r="AN3542" s="17"/>
      <c r="AO3542" s="17"/>
      <c r="AP3542" s="17"/>
      <c r="AQ3542" s="17"/>
      <c r="AR3542" s="17"/>
      <c r="AS3542" s="17"/>
      <c r="AT3542" s="17"/>
      <c r="AU3542" s="17"/>
      <c r="AV3542" s="17"/>
    </row>
    <row r="3543" spans="1:48" ht="15.75" customHeight="1">
      <c r="A3543" s="21" t="s">
        <v>47</v>
      </c>
      <c r="B3543" s="23" t="s">
        <v>1692</v>
      </c>
      <c r="C3543" s="22">
        <v>45665</v>
      </c>
      <c r="D3543" s="23" t="s">
        <v>330</v>
      </c>
      <c r="E3543" s="23" t="s">
        <v>306</v>
      </c>
      <c r="F3543" s="21">
        <v>1</v>
      </c>
      <c r="G3543" s="12">
        <v>8000.0000000000009</v>
      </c>
      <c r="H3543" s="12">
        <v>8000.0000000000009</v>
      </c>
      <c r="I3543" s="23" t="s">
        <v>52</v>
      </c>
      <c r="J3543" s="23" t="s">
        <v>61</v>
      </c>
      <c r="K3543" s="24" t="s">
        <v>177</v>
      </c>
      <c r="L3543" s="24">
        <v>84</v>
      </c>
      <c r="M3543" s="12">
        <v>6722.6890756302528</v>
      </c>
      <c r="N3543" s="11">
        <v>6722.6890756302528</v>
      </c>
      <c r="O3543" s="11">
        <v>1277.3109243697481</v>
      </c>
      <c r="P3543" s="13"/>
      <c r="Q3543" s="14">
        <v>2025</v>
      </c>
      <c r="R3543" s="15">
        <v>45292</v>
      </c>
      <c r="S3543" s="11" t="s">
        <v>372</v>
      </c>
      <c r="T3543" s="16">
        <v>0</v>
      </c>
      <c r="U3543" s="17"/>
      <c r="V3543" s="12">
        <v>1781.5126050420176</v>
      </c>
      <c r="W3543" s="12">
        <v>1781.5126050420176</v>
      </c>
      <c r="X3543" s="12">
        <v>0</v>
      </c>
      <c r="Y3543" s="18">
        <v>45663</v>
      </c>
      <c r="Z3543" s="13" t="s">
        <v>515</v>
      </c>
      <c r="AA3543" s="19" t="str">
        <f>VLOOKUP(D3543,Clientes!$A$2:$J$486,9,FALSE)</f>
        <v>Ocacional</v>
      </c>
      <c r="AB3543" s="13" t="str">
        <f>VLOOKUP(D3543,Clientes!$A$2:$K$486,11,FALSE)</f>
        <v>Persona Natural</v>
      </c>
      <c r="AC3543" s="13" t="str">
        <f>VLOOKUP(D3543,Clientes!$A$2:$B$486,2,FALSE)</f>
        <v>Jardin Alto</v>
      </c>
      <c r="AD3543" s="20"/>
      <c r="AE3543" s="20"/>
      <c r="AF3543" s="13" t="s">
        <v>40</v>
      </c>
      <c r="AG3543" s="15">
        <v>45292</v>
      </c>
      <c r="AH3543" s="13" t="s">
        <v>41</v>
      </c>
      <c r="AI3543" s="13" t="s">
        <v>47</v>
      </c>
      <c r="AJ3543" s="13" t="str">
        <f>VLOOKUP(E3543,Precios!Z$2:AA$941,2,FALSE)</f>
        <v>Traperos Humedos VIRGINIA</v>
      </c>
      <c r="AK3543" s="14">
        <f>VLOOKUP(E3543,Precios!Z$2:BB$941,3,FALSE)*F3543</f>
        <v>-3</v>
      </c>
      <c r="AL3543" s="17"/>
      <c r="AM3543" s="17"/>
      <c r="AN3543" s="17"/>
      <c r="AO3543" s="17"/>
      <c r="AP3543" s="17"/>
      <c r="AQ3543" s="17"/>
      <c r="AR3543" s="17"/>
      <c r="AS3543" s="17"/>
      <c r="AT3543" s="17"/>
      <c r="AU3543" s="17"/>
      <c r="AV3543" s="17"/>
    </row>
    <row r="3544" spans="1:48" ht="15.75" customHeight="1">
      <c r="A3544" s="21" t="s">
        <v>53</v>
      </c>
      <c r="B3544" s="23" t="s">
        <v>1692</v>
      </c>
      <c r="C3544" s="22">
        <v>45665</v>
      </c>
      <c r="D3544" s="23" t="s">
        <v>330</v>
      </c>
      <c r="E3544" s="23" t="s">
        <v>97</v>
      </c>
      <c r="F3544" s="21">
        <v>1</v>
      </c>
      <c r="G3544" s="12">
        <v>15500.298388701016</v>
      </c>
      <c r="H3544" s="12">
        <v>15500.298388701016</v>
      </c>
      <c r="I3544" s="23" t="s">
        <v>52</v>
      </c>
      <c r="J3544" s="23" t="s">
        <v>61</v>
      </c>
      <c r="K3544" s="24" t="s">
        <v>177</v>
      </c>
      <c r="L3544" s="24">
        <v>84</v>
      </c>
      <c r="M3544" s="12">
        <v>13025.46083084119</v>
      </c>
      <c r="N3544" s="11">
        <v>13025.46083084119</v>
      </c>
      <c r="O3544" s="11">
        <v>2474.8375578598261</v>
      </c>
      <c r="P3544" s="13"/>
      <c r="Q3544" s="14">
        <v>2025</v>
      </c>
      <c r="R3544" s="15">
        <v>45292</v>
      </c>
      <c r="S3544" s="11" t="s">
        <v>366</v>
      </c>
      <c r="T3544" s="16">
        <v>0</v>
      </c>
      <c r="U3544" s="17"/>
      <c r="V3544" s="12">
        <v>3203.6120913453906</v>
      </c>
      <c r="W3544" s="12">
        <v>3203.6120913453906</v>
      </c>
      <c r="X3544" s="12">
        <v>0</v>
      </c>
      <c r="Y3544" s="18">
        <v>45663</v>
      </c>
      <c r="Z3544" s="13" t="s">
        <v>515</v>
      </c>
      <c r="AA3544" s="19" t="str">
        <f>VLOOKUP(D3544,Clientes!$A$2:$J$486,9,FALSE)</f>
        <v>Ocacional</v>
      </c>
      <c r="AB3544" s="13" t="str">
        <f>VLOOKUP(D3544,Clientes!$A$2:$K$486,11,FALSE)</f>
        <v>Persona Natural</v>
      </c>
      <c r="AC3544" s="13" t="str">
        <f>VLOOKUP(D3544,Clientes!$A$2:$B$486,2,FALSE)</f>
        <v>Jardin Alto</v>
      </c>
      <c r="AD3544" s="20"/>
      <c r="AE3544" s="20"/>
      <c r="AF3544" s="13" t="s">
        <v>40</v>
      </c>
      <c r="AG3544" s="15">
        <v>45292</v>
      </c>
      <c r="AH3544" s="13" t="s">
        <v>41</v>
      </c>
      <c r="AI3544" s="13" t="s">
        <v>53</v>
      </c>
      <c r="AJ3544" s="13" t="str">
        <f>VLOOKUP(E3544,Precios!Z$2:AA$941,2,FALSE)</f>
        <v>Papel Higienico ELITE 50 metros</v>
      </c>
      <c r="AK3544" s="14">
        <f>VLOOKUP(E3544,Precios!Z$2:BB$941,3,FALSE)*F3544</f>
        <v>-6</v>
      </c>
      <c r="AL3544" s="17"/>
      <c r="AM3544" s="17"/>
      <c r="AN3544" s="17"/>
      <c r="AO3544" s="17"/>
      <c r="AP3544" s="17"/>
      <c r="AQ3544" s="17"/>
      <c r="AR3544" s="17"/>
      <c r="AS3544" s="17"/>
      <c r="AT3544" s="17"/>
      <c r="AU3544" s="17"/>
      <c r="AV3544" s="17"/>
    </row>
    <row r="3545" spans="1:48" ht="15.75" customHeight="1">
      <c r="A3545" s="21" t="s">
        <v>147</v>
      </c>
      <c r="B3545" s="23" t="s">
        <v>1692</v>
      </c>
      <c r="C3545" s="22">
        <v>45665</v>
      </c>
      <c r="D3545" s="23" t="s">
        <v>330</v>
      </c>
      <c r="E3545" s="23" t="s">
        <v>148</v>
      </c>
      <c r="F3545" s="21">
        <v>1</v>
      </c>
      <c r="G3545" s="12">
        <v>1200.0000000000002</v>
      </c>
      <c r="H3545" s="12">
        <v>1200.0000000000002</v>
      </c>
      <c r="I3545" s="23" t="s">
        <v>52</v>
      </c>
      <c r="J3545" s="23" t="s">
        <v>61</v>
      </c>
      <c r="K3545" s="24" t="s">
        <v>177</v>
      </c>
      <c r="L3545" s="24">
        <v>84</v>
      </c>
      <c r="M3545" s="12">
        <v>1008.4033613445381</v>
      </c>
      <c r="N3545" s="11">
        <v>1008.4033613445381</v>
      </c>
      <c r="O3545" s="11">
        <v>191.59663865546213</v>
      </c>
      <c r="P3545" s="13"/>
      <c r="Q3545" s="14">
        <v>2025</v>
      </c>
      <c r="R3545" s="15">
        <v>45292</v>
      </c>
      <c r="S3545" s="11" t="s">
        <v>360</v>
      </c>
      <c r="T3545" s="16">
        <v>0</v>
      </c>
      <c r="U3545" s="17"/>
      <c r="V3545" s="12">
        <v>357.9831932773111</v>
      </c>
      <c r="W3545" s="12">
        <v>357.9831932773111</v>
      </c>
      <c r="X3545" s="12">
        <v>0</v>
      </c>
      <c r="Y3545" s="18">
        <v>45663</v>
      </c>
      <c r="Z3545" s="13" t="s">
        <v>515</v>
      </c>
      <c r="AA3545" s="19" t="str">
        <f>VLOOKUP(D3545,Clientes!$A$2:$J$486,9,FALSE)</f>
        <v>Ocacional</v>
      </c>
      <c r="AB3545" s="13" t="str">
        <f>VLOOKUP(D3545,Clientes!$A$2:$K$486,11,FALSE)</f>
        <v>Persona Natural</v>
      </c>
      <c r="AC3545" s="13" t="str">
        <f>VLOOKUP(D3545,Clientes!$A$2:$B$486,2,FALSE)</f>
        <v>Jardin Alto</v>
      </c>
      <c r="AD3545" s="20"/>
      <c r="AE3545" s="20"/>
      <c r="AF3545" s="13" t="s">
        <v>40</v>
      </c>
      <c r="AG3545" s="15">
        <v>45292</v>
      </c>
      <c r="AH3545" s="13" t="s">
        <v>41</v>
      </c>
      <c r="AI3545" s="13" t="s">
        <v>147</v>
      </c>
      <c r="AJ3545" s="13" t="str">
        <f>VLOOKUP(E3545,Precios!Z$2:AA$941,2,FALSE)</f>
        <v>Papel Aluminio 7.5 metros</v>
      </c>
      <c r="AK3545" s="14">
        <f>VLOOKUP(E3545,Precios!Z$2:BB$941,3,FALSE)*F3545</f>
        <v>-1</v>
      </c>
      <c r="AL3545" s="17"/>
      <c r="AM3545" s="17"/>
      <c r="AN3545" s="17"/>
      <c r="AO3545" s="17"/>
      <c r="AP3545" s="17"/>
      <c r="AQ3545" s="17"/>
      <c r="AR3545" s="17"/>
      <c r="AS3545" s="17"/>
      <c r="AT3545" s="17"/>
      <c r="AU3545" s="17"/>
      <c r="AV3545" s="17"/>
    </row>
    <row r="3546" spans="1:48" ht="15.75" customHeight="1">
      <c r="A3546" s="21" t="s">
        <v>147</v>
      </c>
      <c r="B3546" s="23" t="s">
        <v>1692</v>
      </c>
      <c r="C3546" s="22">
        <v>45665</v>
      </c>
      <c r="D3546" s="23" t="s">
        <v>330</v>
      </c>
      <c r="E3546" s="23" t="s">
        <v>149</v>
      </c>
      <c r="F3546" s="21">
        <v>1</v>
      </c>
      <c r="G3546" s="12">
        <v>1700</v>
      </c>
      <c r="H3546" s="12">
        <v>1700</v>
      </c>
      <c r="I3546" s="23" t="s">
        <v>52</v>
      </c>
      <c r="J3546" s="23" t="s">
        <v>61</v>
      </c>
      <c r="K3546" s="24" t="s">
        <v>177</v>
      </c>
      <c r="L3546" s="24">
        <v>84</v>
      </c>
      <c r="M3546" s="12">
        <v>1428.5714285714287</v>
      </c>
      <c r="N3546" s="11">
        <v>1428.5714285714287</v>
      </c>
      <c r="O3546" s="11">
        <v>271.42857142857133</v>
      </c>
      <c r="P3546" s="13"/>
      <c r="Q3546" s="14">
        <v>2025</v>
      </c>
      <c r="R3546" s="15">
        <v>45292</v>
      </c>
      <c r="S3546" s="11" t="s">
        <v>412</v>
      </c>
      <c r="T3546" s="16">
        <v>0</v>
      </c>
      <c r="U3546" s="17"/>
      <c r="V3546" s="12">
        <v>774.78991596638662</v>
      </c>
      <c r="W3546" s="12">
        <v>774.78991596638662</v>
      </c>
      <c r="X3546" s="12">
        <v>0</v>
      </c>
      <c r="Y3546" s="18">
        <v>45663</v>
      </c>
      <c r="Z3546" s="13" t="s">
        <v>515</v>
      </c>
      <c r="AA3546" s="19" t="str">
        <f>VLOOKUP(D3546,Clientes!$A$2:$J$486,9,FALSE)</f>
        <v>Ocacional</v>
      </c>
      <c r="AB3546" s="13" t="str">
        <f>VLOOKUP(D3546,Clientes!$A$2:$K$486,11,FALSE)</f>
        <v>Persona Natural</v>
      </c>
      <c r="AC3546" s="13" t="str">
        <f>VLOOKUP(D3546,Clientes!$A$2:$B$486,2,FALSE)</f>
        <v>Jardin Alto</v>
      </c>
      <c r="AD3546" s="20"/>
      <c r="AE3546" s="20"/>
      <c r="AF3546" s="13" t="s">
        <v>40</v>
      </c>
      <c r="AG3546" s="15">
        <v>45292</v>
      </c>
      <c r="AH3546" s="13" t="s">
        <v>41</v>
      </c>
      <c r="AI3546" s="13" t="s">
        <v>147</v>
      </c>
      <c r="AJ3546" s="13" t="str">
        <f>VLOOKUP(E3546,Precios!Z$2:AA$941,2,FALSE)</f>
        <v>Film Plástico 30 metros</v>
      </c>
      <c r="AK3546" s="14">
        <f>VLOOKUP(E3546,Precios!Z$2:BB$941,3,FALSE)*F3546</f>
        <v>-1</v>
      </c>
      <c r="AL3546" s="17"/>
      <c r="AM3546" s="17"/>
      <c r="AN3546" s="17"/>
      <c r="AO3546" s="17"/>
      <c r="AP3546" s="17"/>
      <c r="AQ3546" s="17"/>
      <c r="AR3546" s="17"/>
      <c r="AS3546" s="17"/>
      <c r="AT3546" s="17"/>
      <c r="AU3546" s="17"/>
      <c r="AV3546" s="17"/>
    </row>
    <row r="3547" spans="1:48" ht="15.75" customHeight="1">
      <c r="A3547" s="21" t="s">
        <v>53</v>
      </c>
      <c r="B3547" s="23" t="s">
        <v>1692</v>
      </c>
      <c r="C3547" s="22">
        <v>45665</v>
      </c>
      <c r="D3547" s="23" t="s">
        <v>330</v>
      </c>
      <c r="E3547" s="23" t="s">
        <v>150</v>
      </c>
      <c r="F3547" s="21">
        <v>1</v>
      </c>
      <c r="G3547" s="12">
        <v>1799.8965445892823</v>
      </c>
      <c r="H3547" s="12">
        <v>1799.8965445892823</v>
      </c>
      <c r="I3547" s="23" t="s">
        <v>52</v>
      </c>
      <c r="J3547" s="23" t="s">
        <v>61</v>
      </c>
      <c r="K3547" s="24" t="s">
        <v>177</v>
      </c>
      <c r="L3547" s="24">
        <v>84</v>
      </c>
      <c r="M3547" s="12">
        <v>1512.518104696876</v>
      </c>
      <c r="N3547" s="11">
        <v>1512.518104696876</v>
      </c>
      <c r="O3547" s="11">
        <v>287.37843989240628</v>
      </c>
      <c r="P3547" s="13"/>
      <c r="Q3547" s="14">
        <v>2025</v>
      </c>
      <c r="R3547" s="15">
        <v>45292</v>
      </c>
      <c r="S3547" s="11" t="s">
        <v>381</v>
      </c>
      <c r="T3547" s="16">
        <v>300</v>
      </c>
      <c r="U3547" s="17"/>
      <c r="V3547" s="12">
        <v>781.51810469687575</v>
      </c>
      <c r="W3547" s="12">
        <v>781.51810469687575</v>
      </c>
      <c r="X3547" s="12">
        <v>0</v>
      </c>
      <c r="Y3547" s="18">
        <v>45663</v>
      </c>
      <c r="Z3547" s="13" t="s">
        <v>515</v>
      </c>
      <c r="AA3547" s="19" t="str">
        <f>VLOOKUP(D3547,Clientes!$A$2:$J$486,9,FALSE)</f>
        <v>Ocacional</v>
      </c>
      <c r="AB3547" s="13" t="str">
        <f>VLOOKUP(D3547,Clientes!$A$2:$K$486,11,FALSE)</f>
        <v>Persona Natural</v>
      </c>
      <c r="AC3547" s="13" t="str">
        <f>VLOOKUP(D3547,Clientes!$A$2:$B$486,2,FALSE)</f>
        <v>Jardin Alto</v>
      </c>
      <c r="AD3547" s="20"/>
      <c r="AE3547" s="20"/>
      <c r="AF3547" s="13" t="s">
        <v>40</v>
      </c>
      <c r="AG3547" s="15">
        <v>45292</v>
      </c>
      <c r="AH3547" s="13" t="s">
        <v>41</v>
      </c>
      <c r="AI3547" s="13" t="s">
        <v>53</v>
      </c>
      <c r="AJ3547" s="13" t="str">
        <f>VLOOKUP(E3547,Precios!Z$2:AA$941,2,FALSE)</f>
        <v>Servilletas SOFTQUALITY 300 unidades</v>
      </c>
      <c r="AK3547" s="14">
        <f>VLOOKUP(E3547,Precios!Z$2:BB$941,3,FALSE)*F3547</f>
        <v>-1</v>
      </c>
      <c r="AL3547" s="17"/>
      <c r="AM3547" s="17"/>
      <c r="AN3547" s="17"/>
      <c r="AO3547" s="17"/>
      <c r="AP3547" s="17"/>
      <c r="AQ3547" s="17"/>
      <c r="AR3547" s="17"/>
      <c r="AS3547" s="17"/>
      <c r="AT3547" s="17"/>
      <c r="AU3547" s="17"/>
      <c r="AV3547" s="17"/>
    </row>
    <row r="3548" spans="1:48" ht="15.75" customHeight="1">
      <c r="A3548" s="21" t="s">
        <v>53</v>
      </c>
      <c r="B3548" s="23" t="s">
        <v>1692</v>
      </c>
      <c r="C3548" s="22">
        <v>45665</v>
      </c>
      <c r="D3548" s="23" t="s">
        <v>330</v>
      </c>
      <c r="E3548" s="23" t="s">
        <v>726</v>
      </c>
      <c r="F3548" s="21">
        <v>1</v>
      </c>
      <c r="G3548" s="12">
        <v>1300.0000000000002</v>
      </c>
      <c r="H3548" s="12">
        <v>1300.0000000000002</v>
      </c>
      <c r="I3548" s="23" t="s">
        <v>52</v>
      </c>
      <c r="J3548" s="23" t="s">
        <v>61</v>
      </c>
      <c r="K3548" s="24" t="s">
        <v>177</v>
      </c>
      <c r="L3548" s="24">
        <v>84</v>
      </c>
      <c r="M3548" s="12">
        <v>1092.4369747899161</v>
      </c>
      <c r="N3548" s="11">
        <v>1092.4369747899161</v>
      </c>
      <c r="O3548" s="11">
        <v>207.56302521008411</v>
      </c>
      <c r="P3548" s="13"/>
      <c r="Q3548" s="14">
        <v>2025</v>
      </c>
      <c r="R3548" s="15">
        <v>45292</v>
      </c>
      <c r="S3548" s="11" t="s">
        <v>727</v>
      </c>
      <c r="T3548" s="16">
        <v>0</v>
      </c>
      <c r="U3548" s="17"/>
      <c r="V3548" s="12">
        <v>450.420168067227</v>
      </c>
      <c r="W3548" s="12">
        <v>450.420168067227</v>
      </c>
      <c r="X3548" s="12">
        <v>0</v>
      </c>
      <c r="Y3548" s="18">
        <v>45663</v>
      </c>
      <c r="Z3548" s="13" t="s">
        <v>515</v>
      </c>
      <c r="AA3548" s="19" t="str">
        <f>VLOOKUP(D3548,Clientes!$A$2:$J$486,9,FALSE)</f>
        <v>Ocacional</v>
      </c>
      <c r="AB3548" s="13" t="str">
        <f>VLOOKUP(D3548,Clientes!$A$2:$K$486,11,FALSE)</f>
        <v>Persona Natural</v>
      </c>
      <c r="AC3548" s="13" t="str">
        <f>VLOOKUP(D3548,Clientes!$A$2:$B$486,2,FALSE)</f>
        <v>Jardin Alto</v>
      </c>
      <c r="AD3548" s="20"/>
      <c r="AE3548" s="20"/>
      <c r="AF3548" s="13" t="s">
        <v>40</v>
      </c>
      <c r="AG3548" s="15">
        <v>45292</v>
      </c>
      <c r="AH3548" s="13" t="s">
        <v>41</v>
      </c>
      <c r="AI3548" s="13" t="s">
        <v>53</v>
      </c>
      <c r="AJ3548" s="13" t="str">
        <f>VLOOKUP(E3548,Precios!Z$2:AA$941,2,FALSE)</f>
        <v>Toalla Papel SWAN 12 metros</v>
      </c>
      <c r="AK3548" s="14">
        <f>VLOOKUP(E3548,Precios!Z$2:BB$941,3,FALSE)*F3548</f>
        <v>-1</v>
      </c>
      <c r="AL3548" s="17"/>
      <c r="AM3548" s="17"/>
      <c r="AN3548" s="17"/>
      <c r="AO3548" s="17"/>
      <c r="AP3548" s="17"/>
      <c r="AQ3548" s="17"/>
      <c r="AR3548" s="17"/>
      <c r="AS3548" s="17"/>
      <c r="AT3548" s="17"/>
      <c r="AU3548" s="17"/>
      <c r="AV3548" s="17"/>
    </row>
    <row r="3549" spans="1:48" ht="15.75" customHeight="1">
      <c r="A3549" s="21" t="s">
        <v>47</v>
      </c>
      <c r="B3549" s="23" t="s">
        <v>1692</v>
      </c>
      <c r="C3549" s="22">
        <v>45665</v>
      </c>
      <c r="D3549" s="23" t="s">
        <v>172</v>
      </c>
      <c r="E3549" s="23" t="s">
        <v>204</v>
      </c>
      <c r="F3549" s="21">
        <v>1</v>
      </c>
      <c r="G3549" s="12">
        <v>1200.1927194860814</v>
      </c>
      <c r="H3549" s="12">
        <v>1200.1927194860814</v>
      </c>
      <c r="I3549" s="23" t="s">
        <v>52</v>
      </c>
      <c r="J3549" s="23" t="s">
        <v>61</v>
      </c>
      <c r="K3549" s="24" t="s">
        <v>177</v>
      </c>
      <c r="L3549" s="24">
        <v>84</v>
      </c>
      <c r="M3549" s="12">
        <v>1008.5653104925054</v>
      </c>
      <c r="N3549" s="11">
        <v>1008.5653104925054</v>
      </c>
      <c r="O3549" s="11">
        <v>191.62740899357595</v>
      </c>
      <c r="P3549" s="13"/>
      <c r="Q3549" s="14">
        <v>2025</v>
      </c>
      <c r="R3549" s="15">
        <v>45292</v>
      </c>
      <c r="S3549" s="11" t="s">
        <v>400</v>
      </c>
      <c r="T3549" s="16">
        <v>0</v>
      </c>
      <c r="U3549" s="17"/>
      <c r="V3549" s="12">
        <v>537.56531049250543</v>
      </c>
      <c r="W3549" s="12">
        <v>537.56531049250543</v>
      </c>
      <c r="X3549" s="12">
        <v>0</v>
      </c>
      <c r="Y3549" s="18">
        <v>45663</v>
      </c>
      <c r="Z3549" s="13" t="s">
        <v>515</v>
      </c>
      <c r="AA3549" s="19" t="str">
        <f>VLOOKUP(D3549,Clientes!$A$2:$J$486,9,FALSE)</f>
        <v>Frecuente</v>
      </c>
      <c r="AB3549" s="13" t="str">
        <f>VLOOKUP(D3549,Clientes!$A$2:$K$486,11,FALSE)</f>
        <v>Persona Natural</v>
      </c>
      <c r="AC3549" s="13" t="str">
        <f>VLOOKUP(D3549,Clientes!$A$2:$B$486,2,FALSE)</f>
        <v>Jardin del Eden</v>
      </c>
      <c r="AD3549" s="20"/>
      <c r="AE3549" s="20"/>
      <c r="AF3549" s="13" t="s">
        <v>40</v>
      </c>
      <c r="AG3549" s="15">
        <v>45292</v>
      </c>
      <c r="AH3549" s="13" t="s">
        <v>41</v>
      </c>
      <c r="AI3549" s="13" t="s">
        <v>47</v>
      </c>
      <c r="AJ3549" s="13" t="str">
        <f>VLOOKUP(E3549,Precios!Z$2:AA$941,2,FALSE)</f>
        <v>Trapero Algodón TEDDY</v>
      </c>
      <c r="AK3549" s="14">
        <f>VLOOKUP(E3549,Precios!Z$2:BB$941,3,FALSE)*F3549</f>
        <v>-1</v>
      </c>
      <c r="AL3549" s="17"/>
      <c r="AM3549" s="17"/>
      <c r="AN3549" s="17"/>
      <c r="AO3549" s="17"/>
      <c r="AP3549" s="17"/>
      <c r="AQ3549" s="17"/>
      <c r="AR3549" s="17"/>
      <c r="AS3549" s="17"/>
      <c r="AT3549" s="17"/>
      <c r="AU3549" s="17"/>
      <c r="AV3549" s="17"/>
    </row>
    <row r="3550" spans="1:48" ht="15.75" customHeight="1">
      <c r="A3550" s="21" t="s">
        <v>76</v>
      </c>
      <c r="B3550" s="23" t="s">
        <v>1692</v>
      </c>
      <c r="C3550" s="22">
        <v>45665</v>
      </c>
      <c r="D3550" s="23" t="s">
        <v>172</v>
      </c>
      <c r="E3550" s="23" t="s">
        <v>137</v>
      </c>
      <c r="F3550" s="21">
        <v>4</v>
      </c>
      <c r="G3550" s="12">
        <v>3500.0000000000005</v>
      </c>
      <c r="H3550" s="12">
        <v>14000.000000000002</v>
      </c>
      <c r="I3550" s="23" t="s">
        <v>52</v>
      </c>
      <c r="J3550" s="23" t="s">
        <v>61</v>
      </c>
      <c r="K3550" s="24" t="s">
        <v>177</v>
      </c>
      <c r="L3550" s="24">
        <v>84</v>
      </c>
      <c r="M3550" s="12">
        <v>2941.1764705882356</v>
      </c>
      <c r="N3550" s="11">
        <v>11764.705882352942</v>
      </c>
      <c r="O3550" s="11">
        <v>2235.2941176470595</v>
      </c>
      <c r="P3550" s="13"/>
      <c r="Q3550" s="14">
        <v>2025</v>
      </c>
      <c r="R3550" s="15">
        <v>45292</v>
      </c>
      <c r="S3550" s="11" t="s">
        <v>406</v>
      </c>
      <c r="T3550" s="16">
        <v>20</v>
      </c>
      <c r="U3550" s="17"/>
      <c r="V3550" s="12">
        <v>3394.9579831932788</v>
      </c>
      <c r="W3550" s="12">
        <v>3394.9579831932788</v>
      </c>
      <c r="X3550" s="12">
        <v>0</v>
      </c>
      <c r="Y3550" s="18">
        <v>45663</v>
      </c>
      <c r="Z3550" s="13" t="s">
        <v>515</v>
      </c>
      <c r="AA3550" s="19" t="str">
        <f>VLOOKUP(D3550,Clientes!$A$2:$J$486,9,FALSE)</f>
        <v>Frecuente</v>
      </c>
      <c r="AB3550" s="13" t="str">
        <f>VLOOKUP(D3550,Clientes!$A$2:$K$486,11,FALSE)</f>
        <v>Persona Natural</v>
      </c>
      <c r="AC3550" s="13" t="str">
        <f>VLOOKUP(D3550,Clientes!$A$2:$B$486,2,FALSE)</f>
        <v>Jardin del Eden</v>
      </c>
      <c r="AD3550" s="20"/>
      <c r="AE3550" s="20"/>
      <c r="AF3550" s="13" t="s">
        <v>40</v>
      </c>
      <c r="AG3550" s="15">
        <v>45292</v>
      </c>
      <c r="AH3550" s="13" t="s">
        <v>41</v>
      </c>
      <c r="AI3550" s="13" t="s">
        <v>76</v>
      </c>
      <c r="AJ3550" s="13" t="str">
        <f>VLOOKUP(E3550,Precios!Z$2:AA$941,2,FALSE)</f>
        <v>Detergente SPUM 5 Litros (Blanco)</v>
      </c>
      <c r="AK3550" s="14">
        <f>VLOOKUP(E3550,Precios!Z$2:BB$941,3,FALSE)*F3550</f>
        <v>-4</v>
      </c>
      <c r="AL3550" s="17"/>
      <c r="AM3550" s="17"/>
      <c r="AN3550" s="17"/>
      <c r="AO3550" s="17"/>
      <c r="AP3550" s="17"/>
      <c r="AQ3550" s="17"/>
      <c r="AR3550" s="17"/>
      <c r="AS3550" s="17"/>
      <c r="AT3550" s="17"/>
      <c r="AU3550" s="17"/>
      <c r="AV3550" s="17"/>
    </row>
    <row r="3551" spans="1:48" ht="15.75" customHeight="1">
      <c r="A3551" s="21" t="s">
        <v>76</v>
      </c>
      <c r="B3551" s="23" t="s">
        <v>1692</v>
      </c>
      <c r="C3551" s="22">
        <v>45665</v>
      </c>
      <c r="D3551" s="23" t="s">
        <v>172</v>
      </c>
      <c r="E3551" s="23" t="s">
        <v>110</v>
      </c>
      <c r="F3551" s="21">
        <v>1</v>
      </c>
      <c r="G3551" s="12">
        <v>2000.0000000000005</v>
      </c>
      <c r="H3551" s="12">
        <v>2000.0000000000005</v>
      </c>
      <c r="I3551" s="23" t="s">
        <v>52</v>
      </c>
      <c r="J3551" s="23" t="s">
        <v>61</v>
      </c>
      <c r="K3551" s="24" t="s">
        <v>177</v>
      </c>
      <c r="L3551" s="24">
        <v>84</v>
      </c>
      <c r="M3551" s="12">
        <v>1680.6722689075634</v>
      </c>
      <c r="N3551" s="11">
        <v>1680.6722689075634</v>
      </c>
      <c r="O3551" s="11">
        <v>319.32773109243703</v>
      </c>
      <c r="P3551" s="13"/>
      <c r="Q3551" s="14">
        <v>2025</v>
      </c>
      <c r="R3551" s="15">
        <v>45292</v>
      </c>
      <c r="S3551" s="11" t="s">
        <v>378</v>
      </c>
      <c r="T3551" s="16">
        <v>5</v>
      </c>
      <c r="U3551" s="17"/>
      <c r="V3551" s="12">
        <v>756.30252100840369</v>
      </c>
      <c r="W3551" s="12">
        <v>756.30252100840369</v>
      </c>
      <c r="X3551" s="12">
        <v>0</v>
      </c>
      <c r="Y3551" s="18">
        <v>45663</v>
      </c>
      <c r="Z3551" s="13" t="s">
        <v>515</v>
      </c>
      <c r="AA3551" s="19" t="str">
        <f>VLOOKUP(D3551,Clientes!$A$2:$J$486,9,FALSE)</f>
        <v>Frecuente</v>
      </c>
      <c r="AB3551" s="13" t="str">
        <f>VLOOKUP(D3551,Clientes!$A$2:$K$486,11,FALSE)</f>
        <v>Persona Natural</v>
      </c>
      <c r="AC3551" s="13" t="str">
        <f>VLOOKUP(D3551,Clientes!$A$2:$B$486,2,FALSE)</f>
        <v>Jardin del Eden</v>
      </c>
      <c r="AD3551" s="20"/>
      <c r="AE3551" s="20"/>
      <c r="AF3551" s="13" t="s">
        <v>40</v>
      </c>
      <c r="AG3551" s="15">
        <v>45292</v>
      </c>
      <c r="AH3551" s="13" t="s">
        <v>41</v>
      </c>
      <c r="AI3551" s="13" t="s">
        <v>76</v>
      </c>
      <c r="AJ3551" s="13" t="str">
        <f>VLOOKUP(E3551,Precios!Z$2:AA$941,2,FALSE)</f>
        <v>Cloro SPUM 5 Litros</v>
      </c>
      <c r="AK3551" s="14">
        <f>VLOOKUP(E3551,Precios!Z$2:BB$941,3,FALSE)*F3551</f>
        <v>-1</v>
      </c>
      <c r="AL3551" s="17"/>
      <c r="AM3551" s="17"/>
      <c r="AN3551" s="17"/>
      <c r="AO3551" s="17"/>
      <c r="AP3551" s="17"/>
      <c r="AQ3551" s="17"/>
      <c r="AR3551" s="17"/>
      <c r="AS3551" s="17"/>
      <c r="AT3551" s="17"/>
      <c r="AU3551" s="17"/>
      <c r="AV3551" s="17"/>
    </row>
    <row r="3552" spans="1:48" ht="15.75" customHeight="1">
      <c r="A3552" s="21" t="s">
        <v>53</v>
      </c>
      <c r="B3552" s="23" t="s">
        <v>1692</v>
      </c>
      <c r="C3552" s="22">
        <v>45665</v>
      </c>
      <c r="D3552" s="23" t="s">
        <v>172</v>
      </c>
      <c r="E3552" s="23" t="s">
        <v>55</v>
      </c>
      <c r="F3552" s="21">
        <v>1</v>
      </c>
      <c r="G3552" s="12">
        <v>19989.738327347361</v>
      </c>
      <c r="H3552" s="12">
        <v>19989.738327347361</v>
      </c>
      <c r="I3552" s="23" t="s">
        <v>52</v>
      </c>
      <c r="J3552" s="23" t="s">
        <v>61</v>
      </c>
      <c r="K3552" s="24" t="s">
        <v>177</v>
      </c>
      <c r="L3552" s="24">
        <v>84</v>
      </c>
      <c r="M3552" s="12">
        <v>16798.099434745684</v>
      </c>
      <c r="N3552" s="11">
        <v>16798.099434745684</v>
      </c>
      <c r="O3552" s="11">
        <v>3191.6388926016771</v>
      </c>
      <c r="P3552" s="13"/>
      <c r="Q3552" s="14">
        <v>2025</v>
      </c>
      <c r="R3552" s="15">
        <v>45292</v>
      </c>
      <c r="S3552" s="11" t="s">
        <v>366</v>
      </c>
      <c r="T3552" s="16">
        <v>0</v>
      </c>
      <c r="U3552" s="17"/>
      <c r="V3552" s="12">
        <v>3702.3011154179476</v>
      </c>
      <c r="W3552" s="12">
        <v>3702.3011154179476</v>
      </c>
      <c r="X3552" s="12">
        <v>0</v>
      </c>
      <c r="Y3552" s="18">
        <v>45663</v>
      </c>
      <c r="Z3552" s="13" t="s">
        <v>515</v>
      </c>
      <c r="AA3552" s="19" t="str">
        <f>VLOOKUP(D3552,Clientes!$A$2:$J$486,9,FALSE)</f>
        <v>Frecuente</v>
      </c>
      <c r="AB3552" s="13" t="str">
        <f>VLOOKUP(D3552,Clientes!$A$2:$K$486,11,FALSE)</f>
        <v>Persona Natural</v>
      </c>
      <c r="AC3552" s="13" t="str">
        <f>VLOOKUP(D3552,Clientes!$A$2:$B$486,2,FALSE)</f>
        <v>Jardin del Eden</v>
      </c>
      <c r="AD3552" s="20"/>
      <c r="AE3552" s="20"/>
      <c r="AF3552" s="13" t="s">
        <v>40</v>
      </c>
      <c r="AG3552" s="15">
        <v>45292</v>
      </c>
      <c r="AH3552" s="13" t="s">
        <v>41</v>
      </c>
      <c r="AI3552" s="13" t="s">
        <v>53</v>
      </c>
      <c r="AJ3552" s="13" t="str">
        <f>VLOOKUP(E3552,Precios!Z$2:AA$941,2,FALSE)</f>
        <v>Papel Higienico ELITE 50 metros</v>
      </c>
      <c r="AK3552" s="14">
        <f>VLOOKUP(E3552,Precios!Z$2:BB$941,3,FALSE)*F3552</f>
        <v>-8</v>
      </c>
      <c r="AL3552" s="17"/>
      <c r="AM3552" s="17"/>
      <c r="AN3552" s="17"/>
      <c r="AO3552" s="17"/>
      <c r="AP3552" s="17"/>
      <c r="AQ3552" s="17"/>
      <c r="AR3552" s="17"/>
      <c r="AS3552" s="17"/>
      <c r="AT3552" s="17"/>
      <c r="AU3552" s="17"/>
      <c r="AV3552" s="17"/>
    </row>
    <row r="3553" spans="1:48" ht="15.75" customHeight="1">
      <c r="A3553" s="21" t="s">
        <v>76</v>
      </c>
      <c r="B3553" s="23" t="s">
        <v>1692</v>
      </c>
      <c r="C3553" s="22">
        <v>45665</v>
      </c>
      <c r="D3553" s="23" t="s">
        <v>172</v>
      </c>
      <c r="E3553" s="23" t="s">
        <v>212</v>
      </c>
      <c r="F3553" s="21">
        <v>1</v>
      </c>
      <c r="G3553" s="12">
        <v>3000.0000000000005</v>
      </c>
      <c r="H3553" s="12">
        <v>3000.0000000000005</v>
      </c>
      <c r="I3553" s="23" t="s">
        <v>52</v>
      </c>
      <c r="J3553" s="23" t="s">
        <v>61</v>
      </c>
      <c r="K3553" s="24" t="s">
        <v>177</v>
      </c>
      <c r="L3553" s="24">
        <v>84</v>
      </c>
      <c r="M3553" s="12">
        <v>2521.0084033613452</v>
      </c>
      <c r="N3553" s="11">
        <v>2521.0084033613452</v>
      </c>
      <c r="O3553" s="11">
        <v>478.99159663865521</v>
      </c>
      <c r="P3553" s="13"/>
      <c r="Q3553" s="14">
        <v>2025</v>
      </c>
      <c r="R3553" s="15">
        <v>45292</v>
      </c>
      <c r="S3553" s="11" t="s">
        <v>446</v>
      </c>
      <c r="T3553" s="16">
        <v>5</v>
      </c>
      <c r="U3553" s="17"/>
      <c r="V3553" s="12">
        <v>764.70588235294144</v>
      </c>
      <c r="W3553" s="12">
        <v>764.70588235294144</v>
      </c>
      <c r="X3553" s="12">
        <v>0</v>
      </c>
      <c r="Y3553" s="18">
        <v>45663</v>
      </c>
      <c r="Z3553" s="13" t="s">
        <v>515</v>
      </c>
      <c r="AA3553" s="19" t="str">
        <f>VLOOKUP(D3553,Clientes!$A$2:$J$486,9,FALSE)</f>
        <v>Frecuente</v>
      </c>
      <c r="AB3553" s="13" t="str">
        <f>VLOOKUP(D3553,Clientes!$A$2:$K$486,11,FALSE)</f>
        <v>Persona Natural</v>
      </c>
      <c r="AC3553" s="13" t="str">
        <f>VLOOKUP(D3553,Clientes!$A$2:$B$486,2,FALSE)</f>
        <v>Jardin del Eden</v>
      </c>
      <c r="AD3553" s="20"/>
      <c r="AE3553" s="20"/>
      <c r="AF3553" s="13" t="s">
        <v>40</v>
      </c>
      <c r="AG3553" s="15">
        <v>45292</v>
      </c>
      <c r="AH3553" s="13" t="s">
        <v>41</v>
      </c>
      <c r="AI3553" s="13" t="s">
        <v>76</v>
      </c>
      <c r="AJ3553" s="13" t="str">
        <f>VLOOKUP(E3553,Precios!Z$2:AA$941,2,FALSE)</f>
        <v>Suavizante SPUM 5 Litros</v>
      </c>
      <c r="AK3553" s="14">
        <f>VLOOKUP(E3553,Precios!Z$2:BB$941,3,FALSE)*F3553</f>
        <v>-1</v>
      </c>
      <c r="AL3553" s="17"/>
      <c r="AM3553" s="17"/>
      <c r="AN3553" s="17"/>
      <c r="AO3553" s="17"/>
      <c r="AP3553" s="17"/>
      <c r="AQ3553" s="17"/>
      <c r="AR3553" s="17"/>
      <c r="AS3553" s="17"/>
      <c r="AT3553" s="17"/>
      <c r="AU3553" s="17"/>
      <c r="AV3553" s="17"/>
    </row>
    <row r="3554" spans="1:48" ht="15.75" customHeight="1">
      <c r="A3554" s="21" t="s">
        <v>76</v>
      </c>
      <c r="B3554" s="23" t="s">
        <v>1692</v>
      </c>
      <c r="C3554" s="22">
        <v>45665</v>
      </c>
      <c r="D3554" s="23" t="s">
        <v>172</v>
      </c>
      <c r="E3554" s="23" t="s">
        <v>337</v>
      </c>
      <c r="F3554" s="21">
        <v>2</v>
      </c>
      <c r="G3554" s="12">
        <v>1599.9448225124147</v>
      </c>
      <c r="H3554" s="12">
        <v>3199.8896450248294</v>
      </c>
      <c r="I3554" s="23" t="s">
        <v>52</v>
      </c>
      <c r="J3554" s="23" t="s">
        <v>61</v>
      </c>
      <c r="K3554" s="24" t="s">
        <v>177</v>
      </c>
      <c r="L3554" s="24">
        <v>84</v>
      </c>
      <c r="M3554" s="12">
        <v>1344.4914474894242</v>
      </c>
      <c r="N3554" s="11">
        <v>2688.9828949788484</v>
      </c>
      <c r="O3554" s="11">
        <v>510.90675004598097</v>
      </c>
      <c r="P3554" s="13"/>
      <c r="Q3554" s="14">
        <v>2025</v>
      </c>
      <c r="R3554" s="15">
        <v>45292</v>
      </c>
      <c r="S3554" s="11" t="s">
        <v>529</v>
      </c>
      <c r="T3554" s="16">
        <v>0</v>
      </c>
      <c r="U3554" s="17"/>
      <c r="V3554" s="12">
        <v>1226.9828949788484</v>
      </c>
      <c r="W3554" s="12">
        <v>1226.9828949788484</v>
      </c>
      <c r="X3554" s="12">
        <v>0</v>
      </c>
      <c r="Y3554" s="18">
        <v>45663</v>
      </c>
      <c r="Z3554" s="13" t="s">
        <v>515</v>
      </c>
      <c r="AA3554" s="19" t="str">
        <f>VLOOKUP(D3554,Clientes!$A$2:$J$486,9,FALSE)</f>
        <v>Frecuente</v>
      </c>
      <c r="AB3554" s="13" t="str">
        <f>VLOOKUP(D3554,Clientes!$A$2:$K$486,11,FALSE)</f>
        <v>Persona Natural</v>
      </c>
      <c r="AC3554" s="13" t="str">
        <f>VLOOKUP(D3554,Clientes!$A$2:$B$486,2,FALSE)</f>
        <v>Jardin del Eden</v>
      </c>
      <c r="AD3554" s="20"/>
      <c r="AE3554" s="20"/>
      <c r="AF3554" s="13" t="s">
        <v>40</v>
      </c>
      <c r="AG3554" s="15">
        <v>45292</v>
      </c>
      <c r="AH3554" s="13" t="s">
        <v>41</v>
      </c>
      <c r="AI3554" s="13" t="s">
        <v>76</v>
      </c>
      <c r="AJ3554" s="13" t="str">
        <f>VLOOKUP(E3554,Precios!Z$2:AA$941,2,FALSE)</f>
        <v>Limpia Inodoro TEDDY</v>
      </c>
      <c r="AK3554" s="14">
        <f>VLOOKUP(E3554,Precios!Z$2:BB$941,3,FALSE)*F3554</f>
        <v>-2</v>
      </c>
      <c r="AL3554" s="17"/>
      <c r="AM3554" s="17"/>
      <c r="AN3554" s="17"/>
      <c r="AO3554" s="17"/>
      <c r="AP3554" s="17"/>
      <c r="AQ3554" s="17"/>
      <c r="AR3554" s="17"/>
      <c r="AS3554" s="17"/>
      <c r="AT3554" s="17"/>
      <c r="AU3554" s="17"/>
      <c r="AV3554" s="17"/>
    </row>
    <row r="3555" spans="1:48" ht="15.75" customHeight="1">
      <c r="A3555" s="21" t="s">
        <v>47</v>
      </c>
      <c r="B3555" s="23" t="s">
        <v>1692</v>
      </c>
      <c r="C3555" s="22">
        <v>45665</v>
      </c>
      <c r="D3555" s="23" t="s">
        <v>172</v>
      </c>
      <c r="E3555" s="23" t="s">
        <v>336</v>
      </c>
      <c r="F3555" s="21">
        <v>1</v>
      </c>
      <c r="G3555" s="12">
        <v>2800</v>
      </c>
      <c r="H3555" s="12">
        <v>2800</v>
      </c>
      <c r="I3555" s="23" t="s">
        <v>52</v>
      </c>
      <c r="J3555" s="23" t="s">
        <v>61</v>
      </c>
      <c r="K3555" s="24" t="s">
        <v>177</v>
      </c>
      <c r="L3555" s="24">
        <v>84</v>
      </c>
      <c r="M3555" s="12">
        <v>2352.9411764705883</v>
      </c>
      <c r="N3555" s="11">
        <v>2352.9411764705883</v>
      </c>
      <c r="O3555" s="11">
        <v>447.05882352941171</v>
      </c>
      <c r="P3555" s="13"/>
      <c r="Q3555" s="14">
        <v>2025</v>
      </c>
      <c r="R3555" s="15">
        <v>45292</v>
      </c>
      <c r="S3555" s="11" t="s">
        <v>476</v>
      </c>
      <c r="T3555" s="16">
        <v>0</v>
      </c>
      <c r="U3555" s="17"/>
      <c r="V3555" s="12">
        <v>896.94117647058829</v>
      </c>
      <c r="W3555" s="12">
        <v>896.94117647058829</v>
      </c>
      <c r="X3555" s="12">
        <v>0</v>
      </c>
      <c r="Y3555" s="18">
        <v>45663</v>
      </c>
      <c r="Z3555" s="13" t="s">
        <v>515</v>
      </c>
      <c r="AA3555" s="19" t="str">
        <f>VLOOKUP(D3555,Clientes!$A$2:$J$486,9,FALSE)</f>
        <v>Frecuente</v>
      </c>
      <c r="AB3555" s="13" t="str">
        <f>VLOOKUP(D3555,Clientes!$A$2:$K$486,11,FALSE)</f>
        <v>Persona Natural</v>
      </c>
      <c r="AC3555" s="13" t="str">
        <f>VLOOKUP(D3555,Clientes!$A$2:$B$486,2,FALSE)</f>
        <v>Jardin del Eden</v>
      </c>
      <c r="AD3555" s="20"/>
      <c r="AE3555" s="20"/>
      <c r="AF3555" s="13" t="s">
        <v>40</v>
      </c>
      <c r="AG3555" s="15">
        <v>45292</v>
      </c>
      <c r="AH3555" s="13" t="s">
        <v>41</v>
      </c>
      <c r="AI3555" s="13" t="s">
        <v>47</v>
      </c>
      <c r="AJ3555" s="13" t="str">
        <f>VLOOKUP(E3555,Precios!Z$2:AA$941,2,FALSE)</f>
        <v>Ambiental Tubo TEDDY</v>
      </c>
      <c r="AK3555" s="14">
        <f>VLOOKUP(E3555,Precios!Z$2:BB$941,3,FALSE)*F3555</f>
        <v>-2</v>
      </c>
      <c r="AL3555" s="17"/>
      <c r="AM3555" s="17"/>
      <c r="AN3555" s="17"/>
      <c r="AO3555" s="17"/>
      <c r="AP3555" s="17"/>
      <c r="AQ3555" s="17"/>
      <c r="AR3555" s="17"/>
      <c r="AS3555" s="17"/>
      <c r="AT3555" s="17"/>
      <c r="AU3555" s="17"/>
      <c r="AV3555" s="17"/>
    </row>
    <row r="3556" spans="1:48" ht="15.75" customHeight="1">
      <c r="A3556" s="21" t="s">
        <v>47</v>
      </c>
      <c r="B3556" s="23" t="s">
        <v>1692</v>
      </c>
      <c r="C3556" s="22">
        <v>45665</v>
      </c>
      <c r="D3556" s="23" t="s">
        <v>172</v>
      </c>
      <c r="E3556" s="23" t="s">
        <v>171</v>
      </c>
      <c r="F3556" s="21">
        <v>1</v>
      </c>
      <c r="G3556" s="12">
        <v>1599.7931747673217</v>
      </c>
      <c r="H3556" s="12">
        <v>1599.7931747673217</v>
      </c>
      <c r="I3556" s="23" t="s">
        <v>52</v>
      </c>
      <c r="J3556" s="23" t="s">
        <v>61</v>
      </c>
      <c r="K3556" s="24" t="s">
        <v>177</v>
      </c>
      <c r="L3556" s="24">
        <v>84</v>
      </c>
      <c r="M3556" s="12">
        <v>1344.3640124095141</v>
      </c>
      <c r="N3556" s="11">
        <v>1344.3640124095141</v>
      </c>
      <c r="O3556" s="11">
        <v>255.42916235780763</v>
      </c>
      <c r="P3556" s="13"/>
      <c r="Q3556" s="14">
        <v>2025</v>
      </c>
      <c r="R3556" s="15">
        <v>45292</v>
      </c>
      <c r="S3556" s="11" t="s">
        <v>495</v>
      </c>
      <c r="T3556" s="16">
        <v>0</v>
      </c>
      <c r="U3556" s="17"/>
      <c r="V3556" s="12">
        <v>369.36401240951409</v>
      </c>
      <c r="W3556" s="12">
        <v>369.36401240951409</v>
      </c>
      <c r="X3556" s="12">
        <v>0</v>
      </c>
      <c r="Y3556" s="18">
        <v>45663</v>
      </c>
      <c r="Z3556" s="13" t="s">
        <v>515</v>
      </c>
      <c r="AA3556" s="19" t="str">
        <f>VLOOKUP(D3556,Clientes!$A$2:$J$486,9,FALSE)</f>
        <v>Frecuente</v>
      </c>
      <c r="AB3556" s="13" t="str">
        <f>VLOOKUP(D3556,Clientes!$A$2:$K$486,11,FALSE)</f>
        <v>Persona Natural</v>
      </c>
      <c r="AC3556" s="13" t="str">
        <f>VLOOKUP(D3556,Clientes!$A$2:$B$486,2,FALSE)</f>
        <v>Jardin del Eden</v>
      </c>
      <c r="AD3556" s="20"/>
      <c r="AE3556" s="20"/>
      <c r="AF3556" s="13" t="s">
        <v>40</v>
      </c>
      <c r="AG3556" s="15">
        <v>45292</v>
      </c>
      <c r="AH3556" s="13" t="s">
        <v>41</v>
      </c>
      <c r="AI3556" s="13" t="s">
        <v>47</v>
      </c>
      <c r="AJ3556" s="13" t="str">
        <f>VLOOKUP(E3556,Precios!Z$2:AA$941,2,FALSE)</f>
        <v>Cera Tierra Color Brillina</v>
      </c>
      <c r="AK3556" s="14">
        <f>VLOOKUP(E3556,Precios!Z$2:BB$941,3,FALSE)*F3556</f>
        <v>-1</v>
      </c>
      <c r="AL3556" s="17"/>
      <c r="AM3556" s="17"/>
      <c r="AN3556" s="17"/>
      <c r="AO3556" s="17"/>
      <c r="AP3556" s="17"/>
      <c r="AQ3556" s="17"/>
      <c r="AR3556" s="17"/>
      <c r="AS3556" s="17"/>
      <c r="AT3556" s="17"/>
      <c r="AU3556" s="17"/>
      <c r="AV3556" s="17"/>
    </row>
    <row r="3557" spans="1:48" ht="15.75" customHeight="1">
      <c r="A3557" s="21" t="s">
        <v>76</v>
      </c>
      <c r="B3557" s="23" t="s">
        <v>1692</v>
      </c>
      <c r="C3557" s="22">
        <v>45665</v>
      </c>
      <c r="D3557" s="23" t="s">
        <v>172</v>
      </c>
      <c r="E3557" s="23" t="s">
        <v>187</v>
      </c>
      <c r="F3557" s="21">
        <v>3</v>
      </c>
      <c r="G3557" s="12">
        <v>2699.9280057595392</v>
      </c>
      <c r="H3557" s="12">
        <v>8099.7840172786182</v>
      </c>
      <c r="I3557" s="23" t="s">
        <v>52</v>
      </c>
      <c r="J3557" s="23" t="s">
        <v>61</v>
      </c>
      <c r="K3557" s="24" t="s">
        <v>177</v>
      </c>
      <c r="L3557" s="24">
        <v>84</v>
      </c>
      <c r="M3557" s="12">
        <v>2268.8470636634784</v>
      </c>
      <c r="N3557" s="11">
        <v>6806.541190990436</v>
      </c>
      <c r="O3557" s="11">
        <v>1293.2428262881822</v>
      </c>
      <c r="P3557" s="13"/>
      <c r="Q3557" s="14">
        <v>2025</v>
      </c>
      <c r="R3557" s="15">
        <v>45292</v>
      </c>
      <c r="S3557" s="11" t="s">
        <v>479</v>
      </c>
      <c r="T3557" s="16">
        <v>0</v>
      </c>
      <c r="U3557" s="17"/>
      <c r="V3557" s="12">
        <v>2394.5411909904351</v>
      </c>
      <c r="W3557" s="12">
        <v>2394.5411909904351</v>
      </c>
      <c r="X3557" s="12">
        <v>0</v>
      </c>
      <c r="Y3557" s="18">
        <v>45663</v>
      </c>
      <c r="Z3557" s="13" t="s">
        <v>515</v>
      </c>
      <c r="AA3557" s="19" t="str">
        <f>VLOOKUP(D3557,Clientes!$A$2:$J$486,9,FALSE)</f>
        <v>Frecuente</v>
      </c>
      <c r="AB3557" s="13" t="str">
        <f>VLOOKUP(D3557,Clientes!$A$2:$K$486,11,FALSE)</f>
        <v>Persona Natural</v>
      </c>
      <c r="AC3557" s="13" t="str">
        <f>VLOOKUP(D3557,Clientes!$A$2:$B$486,2,FALSE)</f>
        <v>Jardin del Eden</v>
      </c>
      <c r="AD3557" s="20"/>
      <c r="AE3557" s="20"/>
      <c r="AF3557" s="13" t="s">
        <v>40</v>
      </c>
      <c r="AG3557" s="15">
        <v>45292</v>
      </c>
      <c r="AH3557" s="13" t="s">
        <v>41</v>
      </c>
      <c r="AI3557" s="13" t="s">
        <v>76</v>
      </c>
      <c r="AJ3557" s="13" t="str">
        <f>VLOOKUP(E3557,Precios!Z$2:AA$941,2,FALSE)</f>
        <v>Lavaloza WYN 1.5 Litros (recarga)</v>
      </c>
      <c r="AK3557" s="14">
        <f>VLOOKUP(E3557,Precios!Z$2:BB$941,3,FALSE)*F3557</f>
        <v>-3</v>
      </c>
      <c r="AL3557" s="17"/>
      <c r="AM3557" s="17"/>
      <c r="AN3557" s="17"/>
      <c r="AO3557" s="17"/>
      <c r="AP3557" s="17"/>
      <c r="AQ3557" s="17"/>
      <c r="AR3557" s="17"/>
      <c r="AS3557" s="17"/>
      <c r="AT3557" s="17"/>
      <c r="AU3557" s="17"/>
      <c r="AV3557" s="17"/>
    </row>
    <row r="3558" spans="1:48" ht="15.75" customHeight="1">
      <c r="A3558" s="21" t="s">
        <v>47</v>
      </c>
      <c r="B3558" s="23" t="s">
        <v>1692</v>
      </c>
      <c r="C3558" s="22">
        <v>45665</v>
      </c>
      <c r="D3558" s="23" t="s">
        <v>172</v>
      </c>
      <c r="E3558" s="23" t="s">
        <v>100</v>
      </c>
      <c r="F3558" s="21">
        <v>2</v>
      </c>
      <c r="G3558" s="12">
        <v>650.00000000000011</v>
      </c>
      <c r="H3558" s="12">
        <v>1300.0000000000002</v>
      </c>
      <c r="I3558" s="23" t="s">
        <v>52</v>
      </c>
      <c r="J3558" s="23" t="s">
        <v>61</v>
      </c>
      <c r="K3558" s="24" t="s">
        <v>177</v>
      </c>
      <c r="L3558" s="24">
        <v>84</v>
      </c>
      <c r="M3558" s="12">
        <v>546.21848739495806</v>
      </c>
      <c r="N3558" s="11">
        <v>1092.4369747899161</v>
      </c>
      <c r="O3558" s="11">
        <v>207.56302521008411</v>
      </c>
      <c r="P3558" s="13"/>
      <c r="Q3558" s="14">
        <v>2025</v>
      </c>
      <c r="R3558" s="15">
        <v>45292</v>
      </c>
      <c r="S3558" s="11" t="s">
        <v>453</v>
      </c>
      <c r="T3558" s="16">
        <v>0</v>
      </c>
      <c r="U3558" s="17"/>
      <c r="V3558" s="12">
        <v>462.18487394957992</v>
      </c>
      <c r="W3558" s="12">
        <v>462.18487394957992</v>
      </c>
      <c r="X3558" s="12">
        <v>0</v>
      </c>
      <c r="Y3558" s="18">
        <v>45663</v>
      </c>
      <c r="Z3558" s="13" t="s">
        <v>515</v>
      </c>
      <c r="AA3558" s="19" t="str">
        <f>VLOOKUP(D3558,Clientes!$A$2:$J$486,9,FALSE)</f>
        <v>Frecuente</v>
      </c>
      <c r="AB3558" s="13" t="str">
        <f>VLOOKUP(D3558,Clientes!$A$2:$K$486,11,FALSE)</f>
        <v>Persona Natural</v>
      </c>
      <c r="AC3558" s="13" t="str">
        <f>VLOOKUP(D3558,Clientes!$A$2:$B$486,2,FALSE)</f>
        <v>Jardin del Eden</v>
      </c>
      <c r="AD3558" s="20"/>
      <c r="AE3558" s="20"/>
      <c r="AF3558" s="13" t="s">
        <v>40</v>
      </c>
      <c r="AG3558" s="15">
        <v>45292</v>
      </c>
      <c r="AH3558" s="13" t="s">
        <v>41</v>
      </c>
      <c r="AI3558" s="13" t="s">
        <v>47</v>
      </c>
      <c r="AJ3558" s="13" t="str">
        <f>VLOOKUP(E3558,Precios!Z$2:AA$941,2,FALSE)</f>
        <v xml:space="preserve">Bolsas Basura TEDDY 50x70 </v>
      </c>
      <c r="AK3558" s="14">
        <f>VLOOKUP(E3558,Precios!Z$2:BB$941,3,FALSE)*F3558</f>
        <v>-2</v>
      </c>
      <c r="AL3558" s="17"/>
      <c r="AM3558" s="17"/>
      <c r="AN3558" s="17"/>
      <c r="AO3558" s="17"/>
      <c r="AP3558" s="17"/>
      <c r="AQ3558" s="17"/>
      <c r="AR3558" s="17"/>
      <c r="AS3558" s="17"/>
      <c r="AT3558" s="17"/>
      <c r="AU3558" s="17"/>
      <c r="AV3558" s="17"/>
    </row>
    <row r="3559" spans="1:48" ht="15.75" customHeight="1">
      <c r="A3559" s="21" t="s">
        <v>47</v>
      </c>
      <c r="B3559" s="23" t="s">
        <v>1692</v>
      </c>
      <c r="C3559" s="22">
        <v>45665</v>
      </c>
      <c r="D3559" s="23" t="s">
        <v>172</v>
      </c>
      <c r="E3559" s="23" t="s">
        <v>107</v>
      </c>
      <c r="F3559" s="21">
        <v>1</v>
      </c>
      <c r="G3559" s="12">
        <v>3000.0000000000005</v>
      </c>
      <c r="H3559" s="12">
        <v>3000.0000000000005</v>
      </c>
      <c r="I3559" s="23" t="s">
        <v>52</v>
      </c>
      <c r="J3559" s="23" t="s">
        <v>61</v>
      </c>
      <c r="K3559" s="24" t="s">
        <v>177</v>
      </c>
      <c r="L3559" s="24">
        <v>84</v>
      </c>
      <c r="M3559" s="12">
        <v>2521.0084033613452</v>
      </c>
      <c r="N3559" s="11">
        <v>2521.0084033613452</v>
      </c>
      <c r="O3559" s="11">
        <v>478.99159663865521</v>
      </c>
      <c r="P3559" s="13"/>
      <c r="Q3559" s="14">
        <v>2025</v>
      </c>
      <c r="R3559" s="15">
        <v>45292</v>
      </c>
      <c r="S3559" s="11" t="s">
        <v>453</v>
      </c>
      <c r="T3559" s="16">
        <v>0</v>
      </c>
      <c r="U3559" s="17"/>
      <c r="V3559" s="12">
        <v>758.82352941176487</v>
      </c>
      <c r="W3559" s="12">
        <v>758.82352941176487</v>
      </c>
      <c r="X3559" s="12">
        <v>0</v>
      </c>
      <c r="Y3559" s="18">
        <v>45663</v>
      </c>
      <c r="Z3559" s="13" t="s">
        <v>515</v>
      </c>
      <c r="AA3559" s="19" t="str">
        <f>VLOOKUP(D3559,Clientes!$A$2:$J$486,9,FALSE)</f>
        <v>Frecuente</v>
      </c>
      <c r="AB3559" s="13" t="str">
        <f>VLOOKUP(D3559,Clientes!$A$2:$K$486,11,FALSE)</f>
        <v>Persona Natural</v>
      </c>
      <c r="AC3559" s="13" t="str">
        <f>VLOOKUP(D3559,Clientes!$A$2:$B$486,2,FALSE)</f>
        <v>Jardin del Eden</v>
      </c>
      <c r="AD3559" s="20"/>
      <c r="AE3559" s="20"/>
      <c r="AF3559" s="13" t="s">
        <v>40</v>
      </c>
      <c r="AG3559" s="15">
        <v>45292</v>
      </c>
      <c r="AH3559" s="13" t="s">
        <v>41</v>
      </c>
      <c r="AI3559" s="13" t="s">
        <v>47</v>
      </c>
      <c r="AJ3559" s="13" t="str">
        <f>VLOOKUP(E3559,Precios!Z$2:AA$941,2,FALSE)</f>
        <v xml:space="preserve">Bolsas Basura TEDDY 90x120 </v>
      </c>
      <c r="AK3559" s="14">
        <f>VLOOKUP(E3559,Precios!Z$2:BB$941,3,FALSE)*F3559</f>
        <v>-1</v>
      </c>
      <c r="AL3559" s="17"/>
      <c r="AM3559" s="17"/>
      <c r="AN3559" s="17"/>
      <c r="AO3559" s="17"/>
      <c r="AP3559" s="17"/>
      <c r="AQ3559" s="17"/>
      <c r="AR3559" s="17"/>
      <c r="AS3559" s="17"/>
      <c r="AT3559" s="17"/>
      <c r="AU3559" s="17"/>
      <c r="AV3559" s="17"/>
    </row>
    <row r="3560" spans="1:48" ht="15.75" customHeight="1">
      <c r="A3560" s="21" t="s">
        <v>53</v>
      </c>
      <c r="B3560" s="23" t="s">
        <v>1692</v>
      </c>
      <c r="C3560" s="22">
        <v>45665</v>
      </c>
      <c r="D3560" s="23" t="s">
        <v>172</v>
      </c>
      <c r="E3560" s="23" t="s">
        <v>69</v>
      </c>
      <c r="F3560" s="21">
        <v>3</v>
      </c>
      <c r="G3560" s="12">
        <v>2999.9553810458683</v>
      </c>
      <c r="H3560" s="12">
        <v>8999.8661431376058</v>
      </c>
      <c r="I3560" s="23" t="s">
        <v>52</v>
      </c>
      <c r="J3560" s="23" t="s">
        <v>61</v>
      </c>
      <c r="K3560" s="24" t="s">
        <v>177</v>
      </c>
      <c r="L3560" s="24">
        <v>84</v>
      </c>
      <c r="M3560" s="12">
        <v>2520.9709084419064</v>
      </c>
      <c r="N3560" s="11">
        <v>7562.9127253257193</v>
      </c>
      <c r="O3560" s="11">
        <v>1436.9534178118865</v>
      </c>
      <c r="P3560" s="13"/>
      <c r="Q3560" s="14">
        <v>2025</v>
      </c>
      <c r="R3560" s="15">
        <v>45292</v>
      </c>
      <c r="S3560" s="11" t="s">
        <v>376</v>
      </c>
      <c r="T3560" s="16">
        <v>0</v>
      </c>
      <c r="U3560" s="17"/>
      <c r="V3560" s="12">
        <v>2477.9127253257179</v>
      </c>
      <c r="W3560" s="12">
        <v>2477.9127253257179</v>
      </c>
      <c r="X3560" s="12">
        <v>0</v>
      </c>
      <c r="Y3560" s="18">
        <v>45663</v>
      </c>
      <c r="Z3560" s="13" t="s">
        <v>515</v>
      </c>
      <c r="AA3560" s="19" t="str">
        <f>VLOOKUP(D3560,Clientes!$A$2:$J$486,9,FALSE)</f>
        <v>Frecuente</v>
      </c>
      <c r="AB3560" s="13" t="str">
        <f>VLOOKUP(D3560,Clientes!$A$2:$K$486,11,FALSE)</f>
        <v>Persona Natural</v>
      </c>
      <c r="AC3560" s="13" t="str">
        <f>VLOOKUP(D3560,Clientes!$A$2:$B$486,2,FALSE)</f>
        <v>Jardin del Eden</v>
      </c>
      <c r="AD3560" s="20"/>
      <c r="AE3560" s="20"/>
      <c r="AF3560" s="13" t="s">
        <v>40</v>
      </c>
      <c r="AG3560" s="15">
        <v>45292</v>
      </c>
      <c r="AH3560" s="13" t="s">
        <v>41</v>
      </c>
      <c r="AI3560" s="13" t="s">
        <v>53</v>
      </c>
      <c r="AJ3560" s="13" t="str">
        <f>VLOOKUP(E3560,Precios!Z$2:AA$941,2,FALSE)</f>
        <v>Toalla Papel NOVA 70 metros</v>
      </c>
      <c r="AK3560" s="14">
        <f>VLOOKUP(E3560,Precios!Z$2:BB$941,3,FALSE)*F3560</f>
        <v>-3</v>
      </c>
      <c r="AL3560" s="17"/>
      <c r="AM3560" s="17"/>
      <c r="AN3560" s="17"/>
      <c r="AO3560" s="17"/>
      <c r="AP3560" s="17"/>
      <c r="AQ3560" s="17"/>
      <c r="AR3560" s="17"/>
      <c r="AS3560" s="17"/>
      <c r="AT3560" s="17"/>
      <c r="AU3560" s="17"/>
      <c r="AV3560" s="17"/>
    </row>
    <row r="3561" spans="1:48" ht="15.75" customHeight="1">
      <c r="A3561" s="21" t="s">
        <v>53</v>
      </c>
      <c r="B3561" s="23" t="s">
        <v>1692</v>
      </c>
      <c r="C3561" s="22">
        <v>45665</v>
      </c>
      <c r="D3561" s="23" t="s">
        <v>191</v>
      </c>
      <c r="E3561" s="23" t="s">
        <v>274</v>
      </c>
      <c r="F3561" s="21">
        <v>1</v>
      </c>
      <c r="G3561" s="12">
        <v>22500.104577715188</v>
      </c>
      <c r="H3561" s="12">
        <v>22500.104577715188</v>
      </c>
      <c r="I3561" s="23" t="s">
        <v>52</v>
      </c>
      <c r="J3561" s="23" t="s">
        <v>61</v>
      </c>
      <c r="K3561" s="24" t="s">
        <v>177</v>
      </c>
      <c r="L3561" s="24">
        <v>84</v>
      </c>
      <c r="M3561" s="12">
        <v>18907.650905643015</v>
      </c>
      <c r="N3561" s="11">
        <v>18907.650905643015</v>
      </c>
      <c r="O3561" s="11">
        <v>3592.4536720721735</v>
      </c>
      <c r="P3561" s="13"/>
      <c r="Q3561" s="14">
        <v>2025</v>
      </c>
      <c r="R3561" s="15">
        <v>45292</v>
      </c>
      <c r="S3561" s="11" t="s">
        <v>376</v>
      </c>
      <c r="T3561" s="16">
        <v>0</v>
      </c>
      <c r="U3561" s="17"/>
      <c r="V3561" s="12">
        <v>5347.650905643015</v>
      </c>
      <c r="W3561" s="12">
        <v>5347.650905643015</v>
      </c>
      <c r="X3561" s="12">
        <v>0</v>
      </c>
      <c r="Y3561" s="18">
        <v>45663</v>
      </c>
      <c r="Z3561" s="13" t="s">
        <v>515</v>
      </c>
      <c r="AA3561" s="19" t="str">
        <f>VLOOKUP(D3561,Clientes!$A$2:$J$486,9,FALSE)</f>
        <v>Ocacional</v>
      </c>
      <c r="AB3561" s="13" t="str">
        <f>VLOOKUP(D3561,Clientes!$A$2:$K$486,11,FALSE)</f>
        <v>Persona Natural</v>
      </c>
      <c r="AC3561" s="13" t="str">
        <f>VLOOKUP(D3561,Clientes!$A$2:$B$486,2,FALSE)</f>
        <v>Jardin del Eden</v>
      </c>
      <c r="AD3561" s="20"/>
      <c r="AE3561" s="20"/>
      <c r="AF3561" s="13" t="s">
        <v>40</v>
      </c>
      <c r="AG3561" s="15">
        <v>45292</v>
      </c>
      <c r="AH3561" s="13" t="s">
        <v>41</v>
      </c>
      <c r="AI3561" s="13" t="s">
        <v>53</v>
      </c>
      <c r="AJ3561" s="13" t="str">
        <f>VLOOKUP(E3561,Precios!Z$2:AA$941,2,FALSE)</f>
        <v>Toalla Papel NOVA 70 metros</v>
      </c>
      <c r="AK3561" s="14">
        <f>VLOOKUP(E3561,Precios!Z$2:BB$941,3,FALSE)*F3561</f>
        <v>-8</v>
      </c>
      <c r="AL3561" s="17"/>
      <c r="AM3561" s="17"/>
      <c r="AN3561" s="17"/>
      <c r="AO3561" s="17"/>
      <c r="AP3561" s="17"/>
      <c r="AQ3561" s="17"/>
      <c r="AR3561" s="17"/>
      <c r="AS3561" s="17"/>
      <c r="AT3561" s="17"/>
      <c r="AU3561" s="17"/>
      <c r="AV3561" s="17"/>
    </row>
    <row r="3562" spans="1:48" ht="15.75" customHeight="1">
      <c r="A3562" s="21" t="s">
        <v>56</v>
      </c>
      <c r="B3562" s="23" t="s">
        <v>1692</v>
      </c>
      <c r="C3562" s="22">
        <v>45664</v>
      </c>
      <c r="D3562" s="23" t="s">
        <v>116</v>
      </c>
      <c r="E3562" s="23" t="s">
        <v>190</v>
      </c>
      <c r="F3562" s="21">
        <v>2</v>
      </c>
      <c r="G3562" s="12">
        <v>2500</v>
      </c>
      <c r="H3562" s="12">
        <v>5000</v>
      </c>
      <c r="I3562" s="23" t="s">
        <v>52</v>
      </c>
      <c r="J3562" s="23" t="s">
        <v>61</v>
      </c>
      <c r="K3562" s="24" t="s">
        <v>177</v>
      </c>
      <c r="L3562" s="24">
        <v>84</v>
      </c>
      <c r="M3562" s="12">
        <v>2100.840336134454</v>
      </c>
      <c r="N3562" s="11">
        <v>4201.680672268908</v>
      </c>
      <c r="O3562" s="11">
        <v>798.31932773109202</v>
      </c>
      <c r="P3562" s="13"/>
      <c r="Q3562" s="14">
        <v>2025</v>
      </c>
      <c r="R3562" s="15">
        <v>45292</v>
      </c>
      <c r="S3562" s="11" t="s">
        <v>492</v>
      </c>
      <c r="T3562" s="16">
        <v>400</v>
      </c>
      <c r="U3562" s="17"/>
      <c r="V3562" s="12">
        <v>1263.8655462184875</v>
      </c>
      <c r="W3562" s="12">
        <v>1263.8655462184875</v>
      </c>
      <c r="X3562" s="12">
        <v>0</v>
      </c>
      <c r="Y3562" s="18">
        <v>45663</v>
      </c>
      <c r="Z3562" s="13" t="s">
        <v>516</v>
      </c>
      <c r="AA3562" s="19" t="str">
        <f>VLOOKUP(D3562,Clientes!$A$2:$J$486,9,FALSE)</f>
        <v>Ocacional</v>
      </c>
      <c r="AB3562" s="13" t="str">
        <f>VLOOKUP(D3562,Clientes!$A$2:$K$486,11,FALSE)</f>
        <v>Persona Natural</v>
      </c>
      <c r="AC3562" s="13">
        <f>VLOOKUP(D3562,Clientes!$A$2:$B$486,2,FALSE)</f>
        <v>0</v>
      </c>
      <c r="AD3562" s="20"/>
      <c r="AE3562" s="20"/>
      <c r="AF3562" s="23" t="s">
        <v>40</v>
      </c>
      <c r="AG3562" s="38">
        <v>45292</v>
      </c>
      <c r="AH3562" s="23" t="s">
        <v>41</v>
      </c>
      <c r="AI3562" s="13" t="s">
        <v>56</v>
      </c>
      <c r="AJ3562" s="13" t="str">
        <f>VLOOKUP(E3562,Precios!Z$2:AA$941,2,FALSE)</f>
        <v>Mantequilla RUMAY</v>
      </c>
      <c r="AK3562" s="14">
        <f>VLOOKUP(E3562,Precios!Z$2:BB$941,3,FALSE)*F3562</f>
        <v>-2</v>
      </c>
      <c r="AL3562" s="17"/>
      <c r="AM3562" s="17"/>
      <c r="AN3562" s="17"/>
      <c r="AO3562" s="17"/>
      <c r="AP3562" s="17"/>
      <c r="AQ3562" s="17"/>
      <c r="AR3562" s="17"/>
      <c r="AS3562" s="17"/>
      <c r="AT3562" s="17"/>
      <c r="AU3562" s="17"/>
      <c r="AV3562" s="17"/>
    </row>
    <row r="3563" spans="1:48" ht="15.75" customHeight="1">
      <c r="A3563" s="21" t="s">
        <v>35</v>
      </c>
      <c r="B3563" s="23" t="s">
        <v>1692</v>
      </c>
      <c r="C3563" s="22">
        <v>45664</v>
      </c>
      <c r="D3563" s="23" t="s">
        <v>116</v>
      </c>
      <c r="E3563" s="23" t="s">
        <v>46</v>
      </c>
      <c r="F3563" s="21">
        <v>1</v>
      </c>
      <c r="G3563" s="12">
        <v>5500</v>
      </c>
      <c r="H3563" s="12">
        <v>5500</v>
      </c>
      <c r="I3563" s="23" t="s">
        <v>52</v>
      </c>
      <c r="J3563" s="23" t="s">
        <v>61</v>
      </c>
      <c r="K3563" s="24" t="s">
        <v>177</v>
      </c>
      <c r="L3563" s="24">
        <v>84</v>
      </c>
      <c r="M3563" s="12">
        <v>4621.8487394957983</v>
      </c>
      <c r="N3563" s="11">
        <v>4621.8487394957983</v>
      </c>
      <c r="O3563" s="11">
        <v>878.15126050420167</v>
      </c>
      <c r="P3563" s="13"/>
      <c r="Q3563" s="14">
        <v>2025</v>
      </c>
      <c r="R3563" s="15">
        <v>45292</v>
      </c>
      <c r="S3563" s="11" t="s">
        <v>364</v>
      </c>
      <c r="T3563" s="16">
        <v>500</v>
      </c>
      <c r="U3563" s="17"/>
      <c r="V3563" s="12">
        <v>1365.1260504201678</v>
      </c>
      <c r="W3563" s="12">
        <v>1365.1260504201678</v>
      </c>
      <c r="X3563" s="12">
        <v>0</v>
      </c>
      <c r="Y3563" s="18">
        <v>45663</v>
      </c>
      <c r="Z3563" s="13" t="s">
        <v>516</v>
      </c>
      <c r="AA3563" s="19" t="str">
        <f>VLOOKUP(D3563,Clientes!$A$2:$J$486,9,FALSE)</f>
        <v>Ocacional</v>
      </c>
      <c r="AB3563" s="13" t="str">
        <f>VLOOKUP(D3563,Clientes!$A$2:$K$486,11,FALSE)</f>
        <v>Persona Natural</v>
      </c>
      <c r="AC3563" s="13">
        <f>VLOOKUP(D3563,Clientes!$A$2:$B$486,2,FALSE)</f>
        <v>0</v>
      </c>
      <c r="AD3563" s="20"/>
      <c r="AE3563" s="20"/>
      <c r="AF3563" s="23" t="s">
        <v>40</v>
      </c>
      <c r="AG3563" s="38">
        <v>45292</v>
      </c>
      <c r="AH3563" s="23" t="s">
        <v>41</v>
      </c>
      <c r="AI3563" s="13" t="s">
        <v>35</v>
      </c>
      <c r="AJ3563" s="13" t="str">
        <f>VLOOKUP(E3563,Precios!Z$2:AA$941,2,FALSE)</f>
        <v>Queso RUNCA Mantecoso</v>
      </c>
      <c r="AK3563" s="14">
        <f>VLOOKUP(E3563,Precios!Z$2:BB$941,3,FALSE)*F3563</f>
        <v>-0.5</v>
      </c>
      <c r="AL3563" s="17"/>
      <c r="AM3563" s="17"/>
      <c r="AN3563" s="17"/>
      <c r="AO3563" s="17"/>
      <c r="AP3563" s="17"/>
      <c r="AQ3563" s="17"/>
      <c r="AR3563" s="17"/>
      <c r="AS3563" s="17"/>
      <c r="AT3563" s="17"/>
      <c r="AU3563" s="17"/>
      <c r="AV3563" s="17"/>
    </row>
    <row r="3564" spans="1:48" ht="15.75" customHeight="1">
      <c r="A3564" s="21" t="s">
        <v>53</v>
      </c>
      <c r="B3564" s="23" t="s">
        <v>1692</v>
      </c>
      <c r="C3564" s="22">
        <v>45664</v>
      </c>
      <c r="D3564" s="23" t="s">
        <v>116</v>
      </c>
      <c r="E3564" s="23" t="s">
        <v>69</v>
      </c>
      <c r="F3564" s="21">
        <v>1</v>
      </c>
      <c r="G3564" s="12">
        <v>2999.9553810458683</v>
      </c>
      <c r="H3564" s="12">
        <v>2999.9553810458683</v>
      </c>
      <c r="I3564" s="23" t="s">
        <v>52</v>
      </c>
      <c r="J3564" s="23" t="s">
        <v>61</v>
      </c>
      <c r="K3564" s="24" t="s">
        <v>177</v>
      </c>
      <c r="L3564" s="24">
        <v>84</v>
      </c>
      <c r="M3564" s="12">
        <v>2520.9709084419064</v>
      </c>
      <c r="N3564" s="11">
        <v>2520.9709084419064</v>
      </c>
      <c r="O3564" s="11">
        <v>478.98447260396188</v>
      </c>
      <c r="P3564" s="13"/>
      <c r="Q3564" s="14">
        <v>2025</v>
      </c>
      <c r="R3564" s="15">
        <v>45292</v>
      </c>
      <c r="S3564" s="11" t="s">
        <v>376</v>
      </c>
      <c r="T3564" s="16">
        <v>0</v>
      </c>
      <c r="U3564" s="17"/>
      <c r="V3564" s="12">
        <v>825.97090844190598</v>
      </c>
      <c r="W3564" s="12">
        <v>825.97090844190598</v>
      </c>
      <c r="X3564" s="12">
        <v>0</v>
      </c>
      <c r="Y3564" s="18">
        <v>45663</v>
      </c>
      <c r="Z3564" s="13" t="s">
        <v>516</v>
      </c>
      <c r="AA3564" s="19" t="str">
        <f>VLOOKUP(D3564,Clientes!$A$2:$J$486,9,FALSE)</f>
        <v>Ocacional</v>
      </c>
      <c r="AB3564" s="13" t="str">
        <f>VLOOKUP(D3564,Clientes!$A$2:$K$486,11,FALSE)</f>
        <v>Persona Natural</v>
      </c>
      <c r="AC3564" s="13">
        <f>VLOOKUP(D3564,Clientes!$A$2:$B$486,2,FALSE)</f>
        <v>0</v>
      </c>
      <c r="AD3564" s="20"/>
      <c r="AE3564" s="20"/>
      <c r="AF3564" s="23" t="s">
        <v>40</v>
      </c>
      <c r="AG3564" s="38">
        <v>45292</v>
      </c>
      <c r="AH3564" s="23" t="s">
        <v>41</v>
      </c>
      <c r="AI3564" s="13" t="s">
        <v>53</v>
      </c>
      <c r="AJ3564" s="13" t="str">
        <f>VLOOKUP(E3564,Precios!Z$2:AA$941,2,FALSE)</f>
        <v>Toalla Papel NOVA 70 metros</v>
      </c>
      <c r="AK3564" s="14">
        <f>VLOOKUP(E3564,Precios!Z$2:BB$941,3,FALSE)*F3564</f>
        <v>-1</v>
      </c>
      <c r="AL3564" s="17"/>
      <c r="AM3564" s="17"/>
      <c r="AN3564" s="17"/>
      <c r="AO3564" s="17"/>
      <c r="AP3564" s="17"/>
      <c r="AQ3564" s="17"/>
      <c r="AR3564" s="17"/>
      <c r="AS3564" s="17"/>
      <c r="AT3564" s="17"/>
      <c r="AU3564" s="17"/>
      <c r="AV3564" s="17"/>
    </row>
    <row r="3565" spans="1:48" ht="15.75" customHeight="1">
      <c r="A3565" s="21" t="s">
        <v>76</v>
      </c>
      <c r="B3565" s="23" t="s">
        <v>1692</v>
      </c>
      <c r="C3565" s="22">
        <v>45664</v>
      </c>
      <c r="D3565" s="23" t="s">
        <v>915</v>
      </c>
      <c r="E3565" s="23" t="s">
        <v>137</v>
      </c>
      <c r="F3565" s="21">
        <v>1</v>
      </c>
      <c r="G3565" s="12">
        <v>3500.0000000000005</v>
      </c>
      <c r="H3565" s="37">
        <v>3500.0000000000005</v>
      </c>
      <c r="I3565" s="23" t="s">
        <v>52</v>
      </c>
      <c r="J3565" s="23" t="s">
        <v>61</v>
      </c>
      <c r="K3565" s="24" t="s">
        <v>177</v>
      </c>
      <c r="L3565" s="24">
        <v>84</v>
      </c>
      <c r="M3565" s="12">
        <v>2941.1764705882356</v>
      </c>
      <c r="N3565" s="11">
        <v>2941.1764705882356</v>
      </c>
      <c r="O3565" s="11">
        <v>558.82352941176487</v>
      </c>
      <c r="P3565" s="13"/>
      <c r="Q3565" s="14">
        <v>2025</v>
      </c>
      <c r="R3565" s="15">
        <v>45292</v>
      </c>
      <c r="S3565" s="11" t="s">
        <v>406</v>
      </c>
      <c r="T3565" s="16">
        <v>5</v>
      </c>
      <c r="U3565" s="17"/>
      <c r="V3565" s="12">
        <v>848.73949579831969</v>
      </c>
      <c r="W3565" s="12">
        <v>848.73949579831969</v>
      </c>
      <c r="X3565" s="12">
        <v>0</v>
      </c>
      <c r="Y3565" s="18">
        <v>45663</v>
      </c>
      <c r="Z3565" s="13" t="s">
        <v>516</v>
      </c>
      <c r="AA3565" s="19" t="str">
        <f>VLOOKUP(D3565,Clientes!$A$2:$J$486,9,FALSE)</f>
        <v>Regular</v>
      </c>
      <c r="AB3565" s="13" t="str">
        <f>VLOOKUP(D3565,Clientes!$A$2:$K$486,11,FALSE)</f>
        <v>Persona Natural</v>
      </c>
      <c r="AC3565" s="13" t="str">
        <f>VLOOKUP(D3565,Clientes!$A$2:$B$486,2,FALSE)</f>
        <v>Jardin del Eden</v>
      </c>
      <c r="AD3565" s="20"/>
      <c r="AE3565" s="20"/>
      <c r="AF3565" s="23" t="s">
        <v>40</v>
      </c>
      <c r="AG3565" s="38">
        <v>45292</v>
      </c>
      <c r="AH3565" s="23" t="s">
        <v>41</v>
      </c>
      <c r="AI3565" s="13" t="s">
        <v>76</v>
      </c>
      <c r="AJ3565" s="13" t="str">
        <f>VLOOKUP(E3565,Precios!Z$2:AA$941,2,FALSE)</f>
        <v>Detergente SPUM 5 Litros (Blanco)</v>
      </c>
      <c r="AK3565" s="14">
        <f>VLOOKUP(E3565,Precios!Z$2:BB$941,3,FALSE)*F3565</f>
        <v>-1</v>
      </c>
      <c r="AL3565" s="17"/>
      <c r="AM3565" s="17"/>
      <c r="AN3565" s="17"/>
      <c r="AO3565" s="17"/>
      <c r="AP3565" s="17"/>
      <c r="AQ3565" s="17"/>
      <c r="AR3565" s="17"/>
      <c r="AS3565" s="17"/>
      <c r="AT3565" s="17"/>
      <c r="AU3565" s="17"/>
      <c r="AV3565" s="17"/>
    </row>
    <row r="3566" spans="1:48" ht="15.75" customHeight="1">
      <c r="A3566" s="21" t="s">
        <v>76</v>
      </c>
      <c r="B3566" s="23" t="s">
        <v>1692</v>
      </c>
      <c r="C3566" s="22">
        <v>45664</v>
      </c>
      <c r="D3566" s="23" t="s">
        <v>915</v>
      </c>
      <c r="E3566" s="23" t="s">
        <v>81</v>
      </c>
      <c r="F3566" s="21">
        <v>1</v>
      </c>
      <c r="G3566" s="12">
        <v>3500.0000000000005</v>
      </c>
      <c r="H3566" s="37">
        <v>3500.0000000000005</v>
      </c>
      <c r="I3566" s="23" t="s">
        <v>52</v>
      </c>
      <c r="J3566" s="23" t="s">
        <v>61</v>
      </c>
      <c r="K3566" s="24" t="s">
        <v>177</v>
      </c>
      <c r="L3566" s="24">
        <v>84</v>
      </c>
      <c r="M3566" s="12">
        <v>2941.1764705882356</v>
      </c>
      <c r="N3566" s="11">
        <v>2941.1764705882356</v>
      </c>
      <c r="O3566" s="11">
        <v>558.82352941176487</v>
      </c>
      <c r="P3566" s="13"/>
      <c r="Q3566" s="14">
        <v>2025</v>
      </c>
      <c r="R3566" s="15">
        <v>45292</v>
      </c>
      <c r="S3566" s="11" t="s">
        <v>397</v>
      </c>
      <c r="T3566" s="16">
        <v>5</v>
      </c>
      <c r="U3566" s="17"/>
      <c r="V3566" s="12">
        <v>764.70588235294144</v>
      </c>
      <c r="W3566" s="12">
        <v>764.70588235294144</v>
      </c>
      <c r="X3566" s="12">
        <v>0</v>
      </c>
      <c r="Y3566" s="18">
        <v>45663</v>
      </c>
      <c r="Z3566" s="13" t="s">
        <v>516</v>
      </c>
      <c r="AA3566" s="19" t="str">
        <f>VLOOKUP(D3566,Clientes!$A$2:$J$486,9,FALSE)</f>
        <v>Regular</v>
      </c>
      <c r="AB3566" s="13" t="str">
        <f>VLOOKUP(D3566,Clientes!$A$2:$K$486,11,FALSE)</f>
        <v>Persona Natural</v>
      </c>
      <c r="AC3566" s="13" t="str">
        <f>VLOOKUP(D3566,Clientes!$A$2:$B$486,2,FALSE)</f>
        <v>Jardin del Eden</v>
      </c>
      <c r="AD3566" s="20"/>
      <c r="AE3566" s="20"/>
      <c r="AF3566" s="23" t="s">
        <v>40</v>
      </c>
      <c r="AG3566" s="38">
        <v>45292</v>
      </c>
      <c r="AH3566" s="23" t="s">
        <v>41</v>
      </c>
      <c r="AI3566" s="13" t="s">
        <v>76</v>
      </c>
      <c r="AJ3566" s="13" t="str">
        <f>VLOOKUP(E3566,Precios!Z$2:AA$941,2,FALSE)</f>
        <v>Detergente SPUM 5 Litros (Verde)</v>
      </c>
      <c r="AK3566" s="14">
        <f>VLOOKUP(E3566,Precios!Z$2:BB$941,3,FALSE)*F3566</f>
        <v>-1</v>
      </c>
      <c r="AL3566" s="17"/>
      <c r="AM3566" s="17"/>
      <c r="AN3566" s="17"/>
      <c r="AO3566" s="17"/>
      <c r="AP3566" s="17"/>
      <c r="AQ3566" s="17"/>
      <c r="AR3566" s="17"/>
      <c r="AS3566" s="17"/>
      <c r="AT3566" s="17"/>
      <c r="AU3566" s="17"/>
      <c r="AV3566" s="17"/>
    </row>
    <row r="3567" spans="1:48" ht="15.75" customHeight="1">
      <c r="A3567" s="21" t="s">
        <v>47</v>
      </c>
      <c r="B3567" s="23" t="s">
        <v>1692</v>
      </c>
      <c r="C3567" s="22">
        <v>45664</v>
      </c>
      <c r="D3567" s="23" t="s">
        <v>915</v>
      </c>
      <c r="E3567" s="23" t="s">
        <v>305</v>
      </c>
      <c r="F3567" s="21">
        <v>1</v>
      </c>
      <c r="G3567" s="12">
        <v>2999.9015263417036</v>
      </c>
      <c r="H3567" s="37">
        <v>2999.9015263417036</v>
      </c>
      <c r="I3567" s="23" t="s">
        <v>52</v>
      </c>
      <c r="J3567" s="23" t="s">
        <v>61</v>
      </c>
      <c r="K3567" s="24" t="s">
        <v>177</v>
      </c>
      <c r="L3567" s="24">
        <v>84</v>
      </c>
      <c r="M3567" s="12">
        <v>2520.9256523879862</v>
      </c>
      <c r="N3567" s="11">
        <v>2520.9256523879862</v>
      </c>
      <c r="O3567" s="11">
        <v>478.97587395371738</v>
      </c>
      <c r="P3567" s="13"/>
      <c r="Q3567" s="14">
        <v>2025</v>
      </c>
      <c r="R3567" s="15">
        <v>45292</v>
      </c>
      <c r="S3567" s="11" t="s">
        <v>600</v>
      </c>
      <c r="T3567" s="16">
        <v>0</v>
      </c>
      <c r="U3567" s="17"/>
      <c r="V3567" s="12">
        <v>984.92565238798625</v>
      </c>
      <c r="W3567" s="12">
        <v>984.92565238798625</v>
      </c>
      <c r="X3567" s="12">
        <v>0</v>
      </c>
      <c r="Y3567" s="18">
        <v>45663</v>
      </c>
      <c r="Z3567" s="13" t="s">
        <v>516</v>
      </c>
      <c r="AA3567" s="19" t="str">
        <f>VLOOKUP(D3567,Clientes!$A$2:$J$486,9,FALSE)</f>
        <v>Regular</v>
      </c>
      <c r="AB3567" s="13" t="str">
        <f>VLOOKUP(D3567,Clientes!$A$2:$K$486,11,FALSE)</f>
        <v>Persona Natural</v>
      </c>
      <c r="AC3567" s="13" t="str">
        <f>VLOOKUP(D3567,Clientes!$A$2:$B$486,2,FALSE)</f>
        <v>Jardin del Eden</v>
      </c>
      <c r="AD3567" s="20"/>
      <c r="AE3567" s="20"/>
      <c r="AF3567" s="23" t="s">
        <v>40</v>
      </c>
      <c r="AG3567" s="38">
        <v>45292</v>
      </c>
      <c r="AH3567" s="23" t="s">
        <v>41</v>
      </c>
      <c r="AI3567" s="13" t="s">
        <v>47</v>
      </c>
      <c r="AJ3567" s="13" t="str">
        <f>VLOOKUP(E3567,Precios!Z$2:AA$941,2,FALSE)</f>
        <v>Toallas Humedas Bebé TEDDY 80 unidades</v>
      </c>
      <c r="AK3567" s="14">
        <f>VLOOKUP(E3567,Precios!Z$2:BB$941,3,FALSE)*F3567</f>
        <v>-2</v>
      </c>
      <c r="AL3567" s="17"/>
      <c r="AM3567" s="17"/>
      <c r="AN3567" s="17"/>
      <c r="AO3567" s="17"/>
      <c r="AP3567" s="17"/>
      <c r="AQ3567" s="17"/>
      <c r="AR3567" s="17"/>
      <c r="AS3567" s="17"/>
      <c r="AT3567" s="17"/>
      <c r="AU3567" s="17"/>
      <c r="AV3567" s="17"/>
    </row>
    <row r="3568" spans="1:48" ht="15.75" customHeight="1">
      <c r="A3568" s="21" t="s">
        <v>64</v>
      </c>
      <c r="B3568" s="23" t="s">
        <v>1692</v>
      </c>
      <c r="C3568" s="22">
        <v>45664</v>
      </c>
      <c r="D3568" s="23" t="s">
        <v>915</v>
      </c>
      <c r="E3568" s="23" t="s">
        <v>65</v>
      </c>
      <c r="F3568" s="21">
        <v>1</v>
      </c>
      <c r="G3568" s="12">
        <v>8199.8671738211688</v>
      </c>
      <c r="H3568" s="37">
        <v>8199.8671738211688</v>
      </c>
      <c r="I3568" s="23" t="s">
        <v>52</v>
      </c>
      <c r="J3568" s="23" t="s">
        <v>61</v>
      </c>
      <c r="K3568" s="24" t="s">
        <v>177</v>
      </c>
      <c r="L3568" s="24">
        <v>84</v>
      </c>
      <c r="M3568" s="12">
        <v>6890.6446838833353</v>
      </c>
      <c r="N3568" s="11">
        <v>6890.6446838833353</v>
      </c>
      <c r="O3568" s="11">
        <v>1309.2224899378334</v>
      </c>
      <c r="P3568" s="13"/>
      <c r="Q3568" s="14">
        <v>2025</v>
      </c>
      <c r="R3568" s="15">
        <v>45292</v>
      </c>
      <c r="S3568" s="11" t="s">
        <v>64</v>
      </c>
      <c r="T3568" s="16">
        <v>1</v>
      </c>
      <c r="U3568" s="17"/>
      <c r="V3568" s="12">
        <v>1184.1572889253512</v>
      </c>
      <c r="W3568" s="12">
        <v>1184.1572889253512</v>
      </c>
      <c r="X3568" s="12">
        <v>0</v>
      </c>
      <c r="Y3568" s="18">
        <v>45663</v>
      </c>
      <c r="Z3568" s="13" t="s">
        <v>516</v>
      </c>
      <c r="AA3568" s="19" t="str">
        <f>VLOOKUP(D3568,Clientes!$A$2:$J$486,9,FALSE)</f>
        <v>Regular</v>
      </c>
      <c r="AB3568" s="13" t="str">
        <f>VLOOKUP(D3568,Clientes!$A$2:$K$486,11,FALSE)</f>
        <v>Persona Natural</v>
      </c>
      <c r="AC3568" s="13" t="str">
        <f>VLOOKUP(D3568,Clientes!$A$2:$B$486,2,FALSE)</f>
        <v>Jardin del Eden</v>
      </c>
      <c r="AD3568" s="20"/>
      <c r="AE3568" s="20"/>
      <c r="AF3568" s="23" t="s">
        <v>40</v>
      </c>
      <c r="AG3568" s="38">
        <v>45292</v>
      </c>
      <c r="AH3568" s="23" t="s">
        <v>41</v>
      </c>
      <c r="AI3568" s="13" t="s">
        <v>64</v>
      </c>
      <c r="AJ3568" s="13" t="str">
        <f>VLOOKUP(E3568,Precios!Z$2:AA$941,2,FALSE)</f>
        <v>Longanizas VILLABLANCA</v>
      </c>
      <c r="AK3568" s="14">
        <f>VLOOKUP(E3568,Precios!Z$2:BB$941,3,FALSE)*F3568</f>
        <v>-1</v>
      </c>
      <c r="AL3568" s="17"/>
      <c r="AM3568" s="17"/>
      <c r="AN3568" s="17"/>
      <c r="AO3568" s="17"/>
      <c r="AP3568" s="17"/>
      <c r="AQ3568" s="17"/>
      <c r="AR3568" s="17"/>
      <c r="AS3568" s="17"/>
      <c r="AT3568" s="17"/>
      <c r="AU3568" s="17"/>
      <c r="AV3568" s="17"/>
    </row>
    <row r="3569" spans="1:48" ht="15.75" customHeight="1">
      <c r="A3569" s="21" t="s">
        <v>43</v>
      </c>
      <c r="B3569" s="23" t="s">
        <v>1692</v>
      </c>
      <c r="C3569" s="22">
        <v>45663</v>
      </c>
      <c r="D3569" s="23" t="s">
        <v>120</v>
      </c>
      <c r="E3569" s="23" t="s">
        <v>776</v>
      </c>
      <c r="F3569" s="21">
        <v>1</v>
      </c>
      <c r="G3569" s="12">
        <v>12500</v>
      </c>
      <c r="H3569" s="12">
        <v>12500</v>
      </c>
      <c r="I3569" s="23" t="s">
        <v>52</v>
      </c>
      <c r="J3569" s="23" t="s">
        <v>61</v>
      </c>
      <c r="K3569" s="24" t="s">
        <v>177</v>
      </c>
      <c r="L3569" s="24">
        <v>84</v>
      </c>
      <c r="M3569" s="12">
        <v>10504.20168067227</v>
      </c>
      <c r="N3569" s="11">
        <v>10504.20168067227</v>
      </c>
      <c r="O3569" s="11">
        <v>1995.7983193277305</v>
      </c>
      <c r="P3569" s="13"/>
      <c r="Q3569" s="14">
        <v>2025</v>
      </c>
      <c r="R3569" s="15">
        <v>45292</v>
      </c>
      <c r="S3569" s="11" t="s">
        <v>355</v>
      </c>
      <c r="T3569" s="16">
        <v>0</v>
      </c>
      <c r="U3569" s="17"/>
      <c r="V3569" s="12">
        <v>3004.2016806722695</v>
      </c>
      <c r="W3569" s="12">
        <v>3004.2016806722695</v>
      </c>
      <c r="X3569" s="12">
        <v>0</v>
      </c>
      <c r="Y3569" s="18">
        <v>45663</v>
      </c>
      <c r="Z3569" s="13" t="s">
        <v>523</v>
      </c>
      <c r="AA3569" s="19" t="str">
        <f>VLOOKUP(D3569,Clientes!$A$2:$J$486,9,FALSE)</f>
        <v>Ocacional</v>
      </c>
      <c r="AB3569" s="13" t="str">
        <f>VLOOKUP(D3569,Clientes!$A$2:$K$486,11,FALSE)</f>
        <v>Persona Natural</v>
      </c>
      <c r="AC3569" s="13" t="str">
        <f>VLOOKUP(D3569,Clientes!$A$2:$B$486,2,FALSE)</f>
        <v>Jardines de la viña</v>
      </c>
      <c r="AD3569" s="20"/>
      <c r="AE3569" s="20"/>
      <c r="AF3569" s="23" t="s">
        <v>40</v>
      </c>
      <c r="AG3569" s="38">
        <v>45292</v>
      </c>
      <c r="AH3569" s="23" t="s">
        <v>41</v>
      </c>
      <c r="AI3569" s="13" t="s">
        <v>43</v>
      </c>
      <c r="AJ3569" s="13" t="str">
        <f>VLOOKUP(E3569,Precios!Z$2:AA$941,2,FALSE)</f>
        <v>Bandeja Huevos EXTRA</v>
      </c>
      <c r="AK3569" s="14">
        <f>VLOOKUP(E3569,Precios!Z$2:BB$941,3,FALSE)*F3569</f>
        <v>-2</v>
      </c>
      <c r="AL3569" s="17"/>
      <c r="AM3569" s="17"/>
      <c r="AN3569" s="17"/>
      <c r="AO3569" s="17"/>
      <c r="AP3569" s="17"/>
      <c r="AQ3569" s="17"/>
      <c r="AR3569" s="17"/>
      <c r="AS3569" s="17"/>
      <c r="AT3569" s="17"/>
      <c r="AU3569" s="17"/>
      <c r="AV3569" s="17"/>
    </row>
    <row r="3570" spans="1:48" ht="15.75" customHeight="1">
      <c r="A3570" s="21" t="s">
        <v>47</v>
      </c>
      <c r="B3570" s="23" t="s">
        <v>1692</v>
      </c>
      <c r="C3570" s="22">
        <v>45663</v>
      </c>
      <c r="D3570" s="23" t="s">
        <v>324</v>
      </c>
      <c r="E3570" s="23" t="s">
        <v>306</v>
      </c>
      <c r="F3570" s="21">
        <v>3</v>
      </c>
      <c r="G3570" s="12">
        <v>8000.0000000000009</v>
      </c>
      <c r="H3570" s="12">
        <v>24000.000000000004</v>
      </c>
      <c r="I3570" s="23" t="s">
        <v>52</v>
      </c>
      <c r="J3570" s="23" t="s">
        <v>61</v>
      </c>
      <c r="K3570" s="24" t="s">
        <v>86</v>
      </c>
      <c r="L3570" s="24">
        <v>49</v>
      </c>
      <c r="M3570" s="12">
        <v>6722.6890756302528</v>
      </c>
      <c r="N3570" s="11">
        <v>20168.067226890762</v>
      </c>
      <c r="O3570" s="11">
        <v>3831.9327731092417</v>
      </c>
      <c r="P3570" s="13"/>
      <c r="Q3570" s="14">
        <v>2025</v>
      </c>
      <c r="R3570" s="15">
        <v>45292</v>
      </c>
      <c r="S3570" s="11" t="s">
        <v>372</v>
      </c>
      <c r="T3570" s="16">
        <v>0</v>
      </c>
      <c r="U3570" s="17"/>
      <c r="V3570" s="12">
        <v>5344.5378151260529</v>
      </c>
      <c r="W3570" s="12">
        <v>5344.5378151260529</v>
      </c>
      <c r="X3570" s="12">
        <v>0</v>
      </c>
      <c r="Y3570" s="18">
        <v>45663</v>
      </c>
      <c r="Z3570" s="13" t="s">
        <v>523</v>
      </c>
      <c r="AA3570" s="19" t="str">
        <f>VLOOKUP(D3570,Clientes!$A$2:$J$486,9,FALSE)</f>
        <v>Frecuente</v>
      </c>
      <c r="AB3570" s="13" t="str">
        <f>VLOOKUP(D3570,Clientes!$A$2:$K$486,11,FALSE)</f>
        <v>Empresa</v>
      </c>
      <c r="AC3570" s="13" t="str">
        <f>VLOOKUP(D3570,Clientes!$A$2:$B$486,2,FALSE)</f>
        <v>Jardin de la viña</v>
      </c>
      <c r="AD3570" s="20"/>
      <c r="AE3570" s="20"/>
      <c r="AF3570" s="23" t="s">
        <v>40</v>
      </c>
      <c r="AG3570" s="38">
        <v>45292</v>
      </c>
      <c r="AH3570" s="23" t="s">
        <v>41</v>
      </c>
      <c r="AI3570" s="13" t="s">
        <v>47</v>
      </c>
      <c r="AJ3570" s="13" t="str">
        <f>VLOOKUP(E3570,Precios!Z$2:AA$941,2,FALSE)</f>
        <v>Traperos Humedos VIRGINIA</v>
      </c>
      <c r="AK3570" s="14">
        <f>VLOOKUP(E3570,Precios!Z$2:BB$941,3,FALSE)*F3570</f>
        <v>-9</v>
      </c>
      <c r="AL3570" s="17"/>
      <c r="AM3570" s="17"/>
      <c r="AN3570" s="17"/>
      <c r="AO3570" s="17"/>
      <c r="AP3570" s="17"/>
      <c r="AQ3570" s="17"/>
      <c r="AR3570" s="17"/>
      <c r="AS3570" s="17"/>
      <c r="AT3570" s="17"/>
      <c r="AU3570" s="17"/>
      <c r="AV3570" s="17"/>
    </row>
    <row r="3571" spans="1:48" ht="15.75" customHeight="1">
      <c r="A3571" s="21" t="s">
        <v>53</v>
      </c>
      <c r="B3571" s="23" t="s">
        <v>1692</v>
      </c>
      <c r="C3571" s="22">
        <v>45663</v>
      </c>
      <c r="D3571" s="23" t="s">
        <v>324</v>
      </c>
      <c r="E3571" s="23" t="s">
        <v>203</v>
      </c>
      <c r="F3571" s="21">
        <v>1</v>
      </c>
      <c r="G3571" s="12">
        <v>9500</v>
      </c>
      <c r="H3571" s="12">
        <v>9500</v>
      </c>
      <c r="I3571" s="23" t="s">
        <v>52</v>
      </c>
      <c r="J3571" s="23" t="s">
        <v>61</v>
      </c>
      <c r="K3571" s="24" t="s">
        <v>86</v>
      </c>
      <c r="L3571" s="24">
        <v>49</v>
      </c>
      <c r="M3571" s="12">
        <v>7983.1932773109247</v>
      </c>
      <c r="N3571" s="11">
        <v>7983.1932773109247</v>
      </c>
      <c r="O3571" s="11">
        <v>1516.8067226890753</v>
      </c>
      <c r="P3571" s="13"/>
      <c r="Q3571" s="14">
        <v>2025</v>
      </c>
      <c r="R3571" s="15">
        <v>45292</v>
      </c>
      <c r="S3571" s="11" t="s">
        <v>366</v>
      </c>
      <c r="T3571" s="16">
        <v>0</v>
      </c>
      <c r="U3571" s="17"/>
      <c r="V3571" s="12">
        <v>3072.2689075630251</v>
      </c>
      <c r="W3571" s="12">
        <v>3072.2689075630251</v>
      </c>
      <c r="X3571" s="12">
        <v>0</v>
      </c>
      <c r="Y3571" s="18">
        <v>45663</v>
      </c>
      <c r="Z3571" s="13" t="s">
        <v>523</v>
      </c>
      <c r="AA3571" s="19" t="str">
        <f>VLOOKUP(D3571,Clientes!$A$2:$J$486,9,FALSE)</f>
        <v>Frecuente</v>
      </c>
      <c r="AB3571" s="13" t="str">
        <f>VLOOKUP(D3571,Clientes!$A$2:$K$486,11,FALSE)</f>
        <v>Empresa</v>
      </c>
      <c r="AC3571" s="13" t="str">
        <f>VLOOKUP(D3571,Clientes!$A$2:$B$486,2,FALSE)</f>
        <v>Jardin de la viña</v>
      </c>
      <c r="AD3571" s="20"/>
      <c r="AE3571" s="20"/>
      <c r="AF3571" s="23" t="s">
        <v>40</v>
      </c>
      <c r="AG3571" s="38">
        <v>45292</v>
      </c>
      <c r="AH3571" s="23" t="s">
        <v>41</v>
      </c>
      <c r="AI3571" s="13" t="s">
        <v>53</v>
      </c>
      <c r="AJ3571" s="13" t="str">
        <f>VLOOKUP(E3571,Precios!Z$2:AA$941,2,FALSE)</f>
        <v>Papel Higienico ELITE 50 metros</v>
      </c>
      <c r="AK3571" s="14">
        <f>VLOOKUP(E3571,Precios!Z$2:BB$941,3,FALSE)*F3571</f>
        <v>-3</v>
      </c>
      <c r="AL3571" s="17"/>
      <c r="AM3571" s="17"/>
      <c r="AN3571" s="17"/>
      <c r="AO3571" s="17"/>
      <c r="AP3571" s="17"/>
      <c r="AQ3571" s="17"/>
      <c r="AR3571" s="17"/>
      <c r="AS3571" s="17"/>
      <c r="AT3571" s="17"/>
      <c r="AU3571" s="17"/>
      <c r="AV3571" s="17"/>
    </row>
    <row r="3572" spans="1:48" ht="15.75" customHeight="1">
      <c r="A3572" s="21" t="s">
        <v>53</v>
      </c>
      <c r="B3572" s="23" t="s">
        <v>1692</v>
      </c>
      <c r="C3572" s="22">
        <v>45663</v>
      </c>
      <c r="D3572" s="23" t="s">
        <v>324</v>
      </c>
      <c r="E3572" s="23" t="s">
        <v>157</v>
      </c>
      <c r="F3572" s="21">
        <v>1</v>
      </c>
      <c r="G3572" s="12">
        <v>11499.714937286204</v>
      </c>
      <c r="H3572" s="12">
        <v>11499.714937286204</v>
      </c>
      <c r="I3572" s="23" t="s">
        <v>52</v>
      </c>
      <c r="J3572" s="23" t="s">
        <v>61</v>
      </c>
      <c r="K3572" s="24" t="s">
        <v>86</v>
      </c>
      <c r="L3572" s="24">
        <v>49</v>
      </c>
      <c r="M3572" s="12">
        <v>9663.6259977195004</v>
      </c>
      <c r="N3572" s="11">
        <v>9663.6259977195004</v>
      </c>
      <c r="O3572" s="11">
        <v>1836.0889395667036</v>
      </c>
      <c r="P3572" s="13"/>
      <c r="Q3572" s="14">
        <v>2025</v>
      </c>
      <c r="R3572" s="15">
        <v>45292</v>
      </c>
      <c r="S3572" s="11" t="s">
        <v>376</v>
      </c>
      <c r="T3572" s="16">
        <v>0</v>
      </c>
      <c r="U3572" s="17"/>
      <c r="V3572" s="12">
        <v>2883.6259977194986</v>
      </c>
      <c r="W3572" s="12">
        <v>2883.6259977194986</v>
      </c>
      <c r="X3572" s="12">
        <v>0</v>
      </c>
      <c r="Y3572" s="18">
        <v>45663</v>
      </c>
      <c r="Z3572" s="13" t="s">
        <v>523</v>
      </c>
      <c r="AA3572" s="19" t="str">
        <f>VLOOKUP(D3572,Clientes!$A$2:$J$486,9,FALSE)</f>
        <v>Frecuente</v>
      </c>
      <c r="AB3572" s="13" t="str">
        <f>VLOOKUP(D3572,Clientes!$A$2:$K$486,11,FALSE)</f>
        <v>Empresa</v>
      </c>
      <c r="AC3572" s="13" t="str">
        <f>VLOOKUP(D3572,Clientes!$A$2:$B$486,2,FALSE)</f>
        <v>Jardin de la viña</v>
      </c>
      <c r="AD3572" s="20"/>
      <c r="AE3572" s="20"/>
      <c r="AF3572" s="23" t="s">
        <v>40</v>
      </c>
      <c r="AG3572" s="38">
        <v>45292</v>
      </c>
      <c r="AH3572" s="23" t="s">
        <v>41</v>
      </c>
      <c r="AI3572" s="13" t="s">
        <v>53</v>
      </c>
      <c r="AJ3572" s="13" t="str">
        <f>VLOOKUP(E3572,Precios!Z$2:AA$941,2,FALSE)</f>
        <v>Toalla Papel NOVA 70 metros</v>
      </c>
      <c r="AK3572" s="14">
        <f>VLOOKUP(E3572,Precios!Z$2:BB$941,3,FALSE)*F3572</f>
        <v>-4</v>
      </c>
      <c r="AL3572" s="17"/>
      <c r="AM3572" s="17"/>
      <c r="AN3572" s="17"/>
      <c r="AO3572" s="17"/>
      <c r="AP3572" s="17"/>
      <c r="AQ3572" s="17"/>
      <c r="AR3572" s="17"/>
      <c r="AS3572" s="17"/>
      <c r="AT3572" s="17"/>
      <c r="AU3572" s="17"/>
      <c r="AV3572" s="17"/>
    </row>
    <row r="3573" spans="1:48" ht="15.75" customHeight="1">
      <c r="A3573" s="21" t="s">
        <v>53</v>
      </c>
      <c r="B3573" s="23" t="s">
        <v>1692</v>
      </c>
      <c r="C3573" s="22">
        <v>45663</v>
      </c>
      <c r="D3573" s="23" t="s">
        <v>324</v>
      </c>
      <c r="E3573" s="23" t="s">
        <v>114</v>
      </c>
      <c r="F3573" s="21">
        <v>1</v>
      </c>
      <c r="G3573" s="12">
        <v>10500</v>
      </c>
      <c r="H3573" s="12">
        <v>10500</v>
      </c>
      <c r="I3573" s="23" t="s">
        <v>52</v>
      </c>
      <c r="J3573" s="23" t="s">
        <v>61</v>
      </c>
      <c r="K3573" s="24" t="s">
        <v>86</v>
      </c>
      <c r="L3573" s="24">
        <v>49</v>
      </c>
      <c r="M3573" s="12">
        <v>8823.5294117647063</v>
      </c>
      <c r="N3573" s="11">
        <v>8823.5294117647063</v>
      </c>
      <c r="O3573" s="11">
        <v>1676.4705882352937</v>
      </c>
      <c r="P3573" s="13"/>
      <c r="Q3573" s="14">
        <v>2025</v>
      </c>
      <c r="R3573" s="15">
        <v>45292</v>
      </c>
      <c r="S3573" s="11" t="s">
        <v>369</v>
      </c>
      <c r="T3573" s="16">
        <v>0</v>
      </c>
      <c r="U3573" s="17"/>
      <c r="V3573" s="12">
        <v>2403.3613445378151</v>
      </c>
      <c r="W3573" s="12">
        <v>2403.3613445378151</v>
      </c>
      <c r="X3573" s="12">
        <v>0</v>
      </c>
      <c r="Y3573" s="18">
        <v>45663</v>
      </c>
      <c r="Z3573" s="13" t="s">
        <v>523</v>
      </c>
      <c r="AA3573" s="19" t="str">
        <f>VLOOKUP(D3573,Clientes!$A$2:$J$486,9,FALSE)</f>
        <v>Frecuente</v>
      </c>
      <c r="AB3573" s="13" t="str">
        <f>VLOOKUP(D3573,Clientes!$A$2:$K$486,11,FALSE)</f>
        <v>Empresa</v>
      </c>
      <c r="AC3573" s="13" t="str">
        <f>VLOOKUP(D3573,Clientes!$A$2:$B$486,2,FALSE)</f>
        <v>Jardin de la viña</v>
      </c>
      <c r="AD3573" s="20"/>
      <c r="AE3573" s="20"/>
      <c r="AF3573" s="23" t="s">
        <v>40</v>
      </c>
      <c r="AG3573" s="38">
        <v>45292</v>
      </c>
      <c r="AH3573" s="23" t="s">
        <v>41</v>
      </c>
      <c r="AI3573" s="13" t="s">
        <v>53</v>
      </c>
      <c r="AJ3573" s="13" t="str">
        <f>VLOOKUP(E3573,Precios!Z$2:AA$941,2,FALSE)</f>
        <v>Toalla Papel NOVA 12 metros</v>
      </c>
      <c r="AK3573" s="14">
        <f>VLOOKUP(E3573,Precios!Z$2:BB$941,3,FALSE)*F3573</f>
        <v>-8</v>
      </c>
      <c r="AL3573" s="17"/>
      <c r="AM3573" s="17"/>
      <c r="AN3573" s="17"/>
      <c r="AO3573" s="17"/>
      <c r="AP3573" s="17"/>
      <c r="AQ3573" s="17"/>
      <c r="AR3573" s="17"/>
      <c r="AS3573" s="17"/>
      <c r="AT3573" s="17"/>
      <c r="AU3573" s="17"/>
      <c r="AV3573" s="17"/>
    </row>
    <row r="3574" spans="1:48" ht="15.75" customHeight="1">
      <c r="A3574" s="21" t="s">
        <v>47</v>
      </c>
      <c r="B3574" s="23" t="s">
        <v>1692</v>
      </c>
      <c r="C3574" s="22">
        <v>45663</v>
      </c>
      <c r="D3574" s="23" t="s">
        <v>324</v>
      </c>
      <c r="E3574" s="23" t="s">
        <v>155</v>
      </c>
      <c r="F3574" s="21">
        <v>2</v>
      </c>
      <c r="G3574" s="12">
        <v>3400</v>
      </c>
      <c r="H3574" s="12">
        <v>6800</v>
      </c>
      <c r="I3574" s="23" t="s">
        <v>52</v>
      </c>
      <c r="J3574" s="23" t="s">
        <v>61</v>
      </c>
      <c r="K3574" s="24" t="s">
        <v>86</v>
      </c>
      <c r="L3574" s="24">
        <v>49</v>
      </c>
      <c r="M3574" s="12">
        <v>2857.1428571428573</v>
      </c>
      <c r="N3574" s="11">
        <v>5714.2857142857147</v>
      </c>
      <c r="O3574" s="11">
        <v>1085.7142857142853</v>
      </c>
      <c r="P3574" s="13"/>
      <c r="Q3574" s="14">
        <v>2025</v>
      </c>
      <c r="R3574" s="15">
        <v>45292</v>
      </c>
      <c r="S3574" s="11" t="s">
        <v>453</v>
      </c>
      <c r="T3574" s="16">
        <v>0</v>
      </c>
      <c r="U3574" s="17"/>
      <c r="V3574" s="12">
        <v>2510.2857142857147</v>
      </c>
      <c r="W3574" s="12">
        <v>2510.2857142857147</v>
      </c>
      <c r="X3574" s="12">
        <v>0</v>
      </c>
      <c r="Y3574" s="18">
        <v>45663</v>
      </c>
      <c r="Z3574" s="13" t="s">
        <v>523</v>
      </c>
      <c r="AA3574" s="19" t="str">
        <f>VLOOKUP(D3574,Clientes!$A$2:$J$486,9,FALSE)</f>
        <v>Frecuente</v>
      </c>
      <c r="AB3574" s="13" t="str">
        <f>VLOOKUP(D3574,Clientes!$A$2:$K$486,11,FALSE)</f>
        <v>Empresa</v>
      </c>
      <c r="AC3574" s="13" t="str">
        <f>VLOOKUP(D3574,Clientes!$A$2:$B$486,2,FALSE)</f>
        <v>Jardin de la viña</v>
      </c>
      <c r="AD3574" s="20"/>
      <c r="AE3574" s="20"/>
      <c r="AF3574" s="23" t="s">
        <v>40</v>
      </c>
      <c r="AG3574" s="38">
        <v>45292</v>
      </c>
      <c r="AH3574" s="23" t="s">
        <v>41</v>
      </c>
      <c r="AI3574" s="13" t="s">
        <v>47</v>
      </c>
      <c r="AJ3574" s="13" t="str">
        <f>VLOOKUP(E3574,Precios!Z$2:AA$941,2,FALSE)</f>
        <v xml:space="preserve">Bolsas Basura TEDDY 50x70 </v>
      </c>
      <c r="AK3574" s="14">
        <f>VLOOKUP(E3574,Precios!Z$2:BB$941,3,FALSE)*F3574</f>
        <v>-12</v>
      </c>
      <c r="AL3574" s="17"/>
      <c r="AM3574" s="17"/>
      <c r="AN3574" s="17"/>
      <c r="AO3574" s="17"/>
      <c r="AP3574" s="17"/>
      <c r="AQ3574" s="17"/>
      <c r="AR3574" s="17"/>
      <c r="AS3574" s="17"/>
      <c r="AT3574" s="17"/>
      <c r="AU3574" s="17"/>
      <c r="AV3574" s="17"/>
    </row>
    <row r="3575" spans="1:48" ht="15.75" customHeight="1">
      <c r="A3575" s="21" t="s">
        <v>43</v>
      </c>
      <c r="B3575" s="23" t="s">
        <v>1692</v>
      </c>
      <c r="C3575" s="22">
        <v>45663</v>
      </c>
      <c r="D3575" s="23" t="s">
        <v>178</v>
      </c>
      <c r="E3575" s="23" t="s">
        <v>45</v>
      </c>
      <c r="F3575" s="21">
        <v>1</v>
      </c>
      <c r="G3575" s="12">
        <v>6499.7815321875905</v>
      </c>
      <c r="H3575" s="12">
        <v>6499.7815321875905</v>
      </c>
      <c r="I3575" s="23" t="s">
        <v>52</v>
      </c>
      <c r="J3575" s="23" t="s">
        <v>61</v>
      </c>
      <c r="K3575" s="24" t="s">
        <v>177</v>
      </c>
      <c r="L3575" s="24">
        <v>84</v>
      </c>
      <c r="M3575" s="12">
        <v>5462.0012875525972</v>
      </c>
      <c r="N3575" s="11">
        <v>5462.0012875525972</v>
      </c>
      <c r="O3575" s="11">
        <v>1037.7802446349933</v>
      </c>
      <c r="P3575" s="13"/>
      <c r="Q3575" s="14">
        <v>2025</v>
      </c>
      <c r="R3575" s="15">
        <v>45292</v>
      </c>
      <c r="S3575" s="11" t="s">
        <v>355</v>
      </c>
      <c r="T3575" s="16">
        <v>0</v>
      </c>
      <c r="U3575" s="17"/>
      <c r="V3575" s="12">
        <v>1711.7912035189838</v>
      </c>
      <c r="W3575" s="12">
        <v>1711.7912035189838</v>
      </c>
      <c r="X3575" s="12">
        <v>0</v>
      </c>
      <c r="Y3575" s="18">
        <v>45663</v>
      </c>
      <c r="Z3575" s="13" t="s">
        <v>523</v>
      </c>
      <c r="AA3575" s="19" t="str">
        <f>VLOOKUP(D3575,Clientes!$A$2:$J$486,9,FALSE)</f>
        <v>Ocacional</v>
      </c>
      <c r="AB3575" s="13" t="str">
        <f>VLOOKUP(D3575,Clientes!$A$2:$K$486,11,FALSE)</f>
        <v>Persona Natural</v>
      </c>
      <c r="AC3575" s="13" t="str">
        <f>VLOOKUP(D3575,Clientes!$A$2:$B$486,2,FALSE)</f>
        <v>Jardin del eden</v>
      </c>
      <c r="AD3575" s="20"/>
      <c r="AE3575" s="20"/>
      <c r="AF3575" s="23" t="s">
        <v>40</v>
      </c>
      <c r="AG3575" s="38">
        <v>45292</v>
      </c>
      <c r="AH3575" s="23" t="s">
        <v>41</v>
      </c>
      <c r="AI3575" s="13" t="s">
        <v>43</v>
      </c>
      <c r="AJ3575" s="13" t="str">
        <f>VLOOKUP(E3575,Precios!Z$2:AA$941,2,FALSE)</f>
        <v>Bandeja Huevos EXTRA</v>
      </c>
      <c r="AK3575" s="14">
        <f>VLOOKUP(E3575,Precios!Z$2:BB$941,3,FALSE)*F3575</f>
        <v>-1</v>
      </c>
      <c r="AL3575" s="17"/>
      <c r="AM3575" s="17"/>
      <c r="AN3575" s="17"/>
      <c r="AO3575" s="17"/>
      <c r="AP3575" s="17"/>
      <c r="AQ3575" s="17"/>
      <c r="AR3575" s="17"/>
      <c r="AS3575" s="17"/>
      <c r="AT3575" s="17"/>
      <c r="AU3575" s="17"/>
      <c r="AV3575" s="17"/>
    </row>
    <row r="3576" spans="1:48" ht="15.75" customHeight="1">
      <c r="A3576" s="21" t="s">
        <v>76</v>
      </c>
      <c r="B3576" s="23" t="s">
        <v>1692</v>
      </c>
      <c r="C3576" s="22">
        <v>45662</v>
      </c>
      <c r="D3576" s="23" t="s">
        <v>108</v>
      </c>
      <c r="E3576" s="23" t="s">
        <v>81</v>
      </c>
      <c r="F3576" s="21">
        <v>1</v>
      </c>
      <c r="G3576" s="12">
        <v>3500.0000000000005</v>
      </c>
      <c r="H3576" s="12">
        <v>3500.0000000000005</v>
      </c>
      <c r="I3576" s="23" t="s">
        <v>52</v>
      </c>
      <c r="J3576" s="23" t="s">
        <v>61</v>
      </c>
      <c r="K3576" s="24" t="s">
        <v>177</v>
      </c>
      <c r="L3576" s="24">
        <v>83</v>
      </c>
      <c r="M3576" s="12">
        <v>2941.1764705882356</v>
      </c>
      <c r="N3576" s="11">
        <v>2941.1764705882356</v>
      </c>
      <c r="O3576" s="11">
        <v>558.82352941176487</v>
      </c>
      <c r="P3576" s="13"/>
      <c r="Q3576" s="14">
        <v>2025</v>
      </c>
      <c r="R3576" s="15">
        <v>45292</v>
      </c>
      <c r="S3576" s="11" t="s">
        <v>397</v>
      </c>
      <c r="T3576" s="16">
        <v>5</v>
      </c>
      <c r="U3576" s="17"/>
      <c r="V3576" s="12">
        <v>764.70588235294144</v>
      </c>
      <c r="W3576" s="12">
        <v>764.70588235294144</v>
      </c>
      <c r="X3576" s="12">
        <v>0</v>
      </c>
      <c r="Y3576" s="18">
        <v>45656</v>
      </c>
      <c r="Z3576" s="13" t="s">
        <v>497</v>
      </c>
      <c r="AA3576" s="19" t="str">
        <f>VLOOKUP(D3576,Clientes!$A$2:$J$486,9,FALSE)</f>
        <v>Frecuente</v>
      </c>
      <c r="AB3576" s="13" t="str">
        <f>VLOOKUP(D3576,Clientes!$A$2:$K$486,11,FALSE)</f>
        <v>Persona Natural</v>
      </c>
      <c r="AC3576" s="13" t="str">
        <f>VLOOKUP(D3576,Clientes!$A$2:$B$486,2,FALSE)</f>
        <v>Jardines de la Viña</v>
      </c>
      <c r="AD3576" s="20"/>
      <c r="AE3576" s="20"/>
      <c r="AF3576" s="23" t="s">
        <v>40</v>
      </c>
      <c r="AG3576" s="38">
        <v>45292</v>
      </c>
      <c r="AH3576" s="23" t="s">
        <v>41</v>
      </c>
      <c r="AI3576" s="13" t="s">
        <v>76</v>
      </c>
      <c r="AJ3576" s="13" t="str">
        <f>VLOOKUP(E3576,Precios!Z$2:AA$941,2,FALSE)</f>
        <v>Detergente SPUM 5 Litros (Verde)</v>
      </c>
      <c r="AK3576" s="14">
        <f>VLOOKUP(E3576,Precios!Z$2:BB$941,3,FALSE)*F3576</f>
        <v>-1</v>
      </c>
      <c r="AL3576" s="17"/>
      <c r="AM3576" s="17"/>
      <c r="AN3576" s="17"/>
      <c r="AO3576" s="17"/>
      <c r="AP3576" s="17"/>
      <c r="AQ3576" s="17"/>
      <c r="AR3576" s="17"/>
      <c r="AS3576" s="17"/>
      <c r="AT3576" s="17"/>
      <c r="AU3576" s="17"/>
      <c r="AV3576" s="17"/>
    </row>
    <row r="3577" spans="1:48" ht="15.75" customHeight="1">
      <c r="A3577" s="21" t="s">
        <v>35</v>
      </c>
      <c r="B3577" s="23" t="s">
        <v>1692</v>
      </c>
      <c r="C3577" s="22">
        <v>45662</v>
      </c>
      <c r="D3577" s="23" t="s">
        <v>235</v>
      </c>
      <c r="E3577" s="23" t="s">
        <v>37</v>
      </c>
      <c r="F3577" s="21">
        <v>1</v>
      </c>
      <c r="G3577" s="12">
        <v>10500</v>
      </c>
      <c r="H3577" s="12">
        <v>10500</v>
      </c>
      <c r="I3577" s="23" t="s">
        <v>52</v>
      </c>
      <c r="J3577" s="23" t="s">
        <v>61</v>
      </c>
      <c r="K3577" s="24" t="s">
        <v>177</v>
      </c>
      <c r="L3577" s="24">
        <v>83</v>
      </c>
      <c r="M3577" s="12">
        <v>8823.5294117647063</v>
      </c>
      <c r="N3577" s="11">
        <v>8823.5294117647063</v>
      </c>
      <c r="O3577" s="11">
        <v>1676.4705882352937</v>
      </c>
      <c r="P3577" s="13"/>
      <c r="Q3577" s="14">
        <v>2025</v>
      </c>
      <c r="R3577" s="15">
        <v>45292</v>
      </c>
      <c r="S3577" s="11" t="s">
        <v>364</v>
      </c>
      <c r="T3577" s="16">
        <v>1000</v>
      </c>
      <c r="U3577" s="17"/>
      <c r="V3577" s="12">
        <v>2385.7142857142853</v>
      </c>
      <c r="W3577" s="12">
        <v>2385.7142857142853</v>
      </c>
      <c r="X3577" s="12">
        <v>0</v>
      </c>
      <c r="Y3577" s="18">
        <v>45656</v>
      </c>
      <c r="Z3577" s="13" t="s">
        <v>497</v>
      </c>
      <c r="AA3577" s="19" t="str">
        <f>VLOOKUP(D3577,Clientes!$A$2:$J$486,9,FALSE)</f>
        <v>Familiar</v>
      </c>
      <c r="AB3577" s="13" t="str">
        <f>VLOOKUP(D3577,Clientes!$A$2:$K$486,11,FALSE)</f>
        <v>Persona Natural</v>
      </c>
      <c r="AC3577" s="13" t="str">
        <f>VLOOKUP(D3577,Clientes!$A$2:$B$486,2,FALSE)</f>
        <v>Familiar</v>
      </c>
      <c r="AD3577" s="20"/>
      <c r="AE3577" s="20"/>
      <c r="AF3577" s="23" t="s">
        <v>40</v>
      </c>
      <c r="AG3577" s="38">
        <v>45292</v>
      </c>
      <c r="AH3577" s="23" t="s">
        <v>41</v>
      </c>
      <c r="AI3577" s="13" t="s">
        <v>35</v>
      </c>
      <c r="AJ3577" s="13" t="str">
        <f>VLOOKUP(E3577,Precios!Z$2:AA$941,2,FALSE)</f>
        <v>Queso RUNCA Mantecoso</v>
      </c>
      <c r="AK3577" s="14">
        <f>VLOOKUP(E3577,Precios!Z$2:BB$941,3,FALSE)*F3577</f>
        <v>-1</v>
      </c>
      <c r="AL3577" s="17"/>
      <c r="AM3577" s="17"/>
      <c r="AN3577" s="17"/>
      <c r="AO3577" s="17"/>
      <c r="AP3577" s="17"/>
      <c r="AQ3577" s="17"/>
      <c r="AR3577" s="17"/>
      <c r="AS3577" s="17"/>
      <c r="AT3577" s="17"/>
      <c r="AU3577" s="17"/>
      <c r="AV3577" s="17"/>
    </row>
    <row r="3578" spans="1:48" ht="15.75" customHeight="1">
      <c r="A3578" s="21" t="s">
        <v>76</v>
      </c>
      <c r="B3578" s="23" t="s">
        <v>1692</v>
      </c>
      <c r="C3578" s="22">
        <v>45662</v>
      </c>
      <c r="D3578" s="23" t="s">
        <v>262</v>
      </c>
      <c r="E3578" s="23" t="s">
        <v>82</v>
      </c>
      <c r="F3578" s="21">
        <v>1</v>
      </c>
      <c r="G3578" s="12">
        <v>2000.0000000000002</v>
      </c>
      <c r="H3578" s="12">
        <v>2000.0000000000002</v>
      </c>
      <c r="I3578" s="23" t="s">
        <v>52</v>
      </c>
      <c r="J3578" s="23" t="s">
        <v>61</v>
      </c>
      <c r="K3578" s="24" t="s">
        <v>177</v>
      </c>
      <c r="L3578" s="24">
        <v>83</v>
      </c>
      <c r="M3578" s="12">
        <v>1680.6722689075632</v>
      </c>
      <c r="N3578" s="11">
        <v>1680.6722689075632</v>
      </c>
      <c r="O3578" s="11">
        <v>319.32773109243703</v>
      </c>
      <c r="P3578" s="13"/>
      <c r="Q3578" s="14">
        <v>2025</v>
      </c>
      <c r="R3578" s="15">
        <v>45292</v>
      </c>
      <c r="S3578" s="11" t="s">
        <v>463</v>
      </c>
      <c r="T3578" s="16">
        <v>5</v>
      </c>
      <c r="U3578" s="17"/>
      <c r="V3578" s="12">
        <v>680.67226890756319</v>
      </c>
      <c r="W3578" s="12">
        <v>680.67226890756319</v>
      </c>
      <c r="X3578" s="12">
        <v>0</v>
      </c>
      <c r="Y3578" s="18">
        <v>45656</v>
      </c>
      <c r="Z3578" s="13" t="s">
        <v>497</v>
      </c>
      <c r="AA3578" s="19" t="str">
        <f>VLOOKUP(D3578,Clientes!$A$2:$J$486,9,FALSE)</f>
        <v>Frecuente</v>
      </c>
      <c r="AB3578" s="13" t="str">
        <f>VLOOKUP(D3578,Clientes!$A$2:$K$486,11,FALSE)</f>
        <v>Persona Natural</v>
      </c>
      <c r="AC3578" s="13" t="str">
        <f>VLOOKUP(D3578,Clientes!$A$2:$B$486,2,FALSE)</f>
        <v>Jardines de la Viña</v>
      </c>
      <c r="AD3578" s="20"/>
      <c r="AE3578" s="20"/>
      <c r="AF3578" s="23" t="s">
        <v>40</v>
      </c>
      <c r="AG3578" s="38">
        <v>45292</v>
      </c>
      <c r="AH3578" s="23" t="s">
        <v>41</v>
      </c>
      <c r="AI3578" s="13" t="s">
        <v>76</v>
      </c>
      <c r="AJ3578" s="13" t="str">
        <f>VLOOKUP(E3578,Precios!Z$2:AA$941,2,FALSE)</f>
        <v>Limpiapiso SPUM 5 Litros</v>
      </c>
      <c r="AK3578" s="14">
        <f>VLOOKUP(E3578,Precios!Z$2:BB$941,3,FALSE)*F3578</f>
        <v>-1</v>
      </c>
      <c r="AL3578" s="17"/>
      <c r="AM3578" s="17"/>
      <c r="AN3578" s="17"/>
      <c r="AO3578" s="17"/>
      <c r="AP3578" s="17"/>
      <c r="AQ3578" s="17"/>
      <c r="AR3578" s="17"/>
      <c r="AS3578" s="17"/>
      <c r="AT3578" s="17"/>
      <c r="AU3578" s="17"/>
      <c r="AV3578" s="17"/>
    </row>
    <row r="3579" spans="1:48" ht="15.75" customHeight="1">
      <c r="A3579" s="21" t="s">
        <v>53</v>
      </c>
      <c r="B3579" s="23" t="s">
        <v>1692</v>
      </c>
      <c r="C3579" s="22">
        <v>45662</v>
      </c>
      <c r="D3579" s="23" t="s">
        <v>245</v>
      </c>
      <c r="E3579" s="23" t="s">
        <v>97</v>
      </c>
      <c r="F3579" s="21">
        <v>1</v>
      </c>
      <c r="G3579" s="12">
        <v>15500.298388701016</v>
      </c>
      <c r="H3579" s="12">
        <v>15500.298388701016</v>
      </c>
      <c r="I3579" s="23" t="s">
        <v>52</v>
      </c>
      <c r="J3579" s="23" t="s">
        <v>61</v>
      </c>
      <c r="K3579" s="24" t="s">
        <v>177</v>
      </c>
      <c r="L3579" s="24">
        <v>83</v>
      </c>
      <c r="M3579" s="12">
        <v>13025.46083084119</v>
      </c>
      <c r="N3579" s="11">
        <v>13025.46083084119</v>
      </c>
      <c r="O3579" s="11">
        <v>2474.8375578598261</v>
      </c>
      <c r="P3579" s="13"/>
      <c r="Q3579" s="14">
        <v>2025</v>
      </c>
      <c r="R3579" s="15">
        <v>45292</v>
      </c>
      <c r="S3579" s="11" t="s">
        <v>366</v>
      </c>
      <c r="T3579" s="16">
        <v>0</v>
      </c>
      <c r="U3579" s="17"/>
      <c r="V3579" s="12">
        <v>3203.6120913453906</v>
      </c>
      <c r="W3579" s="12">
        <v>3203.6120913453906</v>
      </c>
      <c r="X3579" s="12">
        <v>0</v>
      </c>
      <c r="Y3579" s="18">
        <v>45656</v>
      </c>
      <c r="Z3579" s="13" t="s">
        <v>497</v>
      </c>
      <c r="AA3579" s="19" t="str">
        <f>VLOOKUP(D3579,Clientes!$A$2:$J$486,9,FALSE)</f>
        <v>Ocacional</v>
      </c>
      <c r="AB3579" s="13" t="str">
        <f>VLOOKUP(D3579,Clientes!$A$2:$K$486,11,FALSE)</f>
        <v>Persona Natural</v>
      </c>
      <c r="AC3579" s="13" t="str">
        <f>VLOOKUP(D3579,Clientes!$A$2:$B$486,2,FALSE)</f>
        <v>Curso Amalia</v>
      </c>
      <c r="AD3579" s="20"/>
      <c r="AE3579" s="20"/>
      <c r="AF3579" s="23" t="s">
        <v>40</v>
      </c>
      <c r="AG3579" s="38">
        <v>45292</v>
      </c>
      <c r="AH3579" s="23" t="s">
        <v>41</v>
      </c>
      <c r="AI3579" s="13" t="s">
        <v>53</v>
      </c>
      <c r="AJ3579" s="13" t="str">
        <f>VLOOKUP(E3579,Precios!Z$2:AA$941,2,FALSE)</f>
        <v>Papel Higienico ELITE 50 metros</v>
      </c>
      <c r="AK3579" s="14">
        <f>VLOOKUP(E3579,Precios!Z$2:BB$941,3,FALSE)*F3579</f>
        <v>-6</v>
      </c>
      <c r="AL3579" s="17"/>
      <c r="AM3579" s="17"/>
      <c r="AN3579" s="17"/>
      <c r="AO3579" s="17"/>
      <c r="AP3579" s="17"/>
      <c r="AQ3579" s="17"/>
      <c r="AR3579" s="17"/>
      <c r="AS3579" s="17"/>
      <c r="AT3579" s="17"/>
      <c r="AU3579" s="17"/>
      <c r="AV3579" s="17"/>
    </row>
    <row r="3580" spans="1:48" ht="15.75" customHeight="1">
      <c r="A3580" s="21" t="s">
        <v>76</v>
      </c>
      <c r="B3580" s="23" t="s">
        <v>1692</v>
      </c>
      <c r="C3580" s="22">
        <v>45662</v>
      </c>
      <c r="D3580" s="23" t="s">
        <v>245</v>
      </c>
      <c r="E3580" s="23" t="s">
        <v>82</v>
      </c>
      <c r="F3580" s="21">
        <v>1</v>
      </c>
      <c r="G3580" s="12">
        <v>2000.0000000000002</v>
      </c>
      <c r="H3580" s="12">
        <v>2000.0000000000002</v>
      </c>
      <c r="I3580" s="23" t="s">
        <v>52</v>
      </c>
      <c r="J3580" s="23" t="s">
        <v>61</v>
      </c>
      <c r="K3580" s="24" t="s">
        <v>177</v>
      </c>
      <c r="L3580" s="24">
        <v>83</v>
      </c>
      <c r="M3580" s="12">
        <v>1680.6722689075632</v>
      </c>
      <c r="N3580" s="11">
        <v>1680.6722689075632</v>
      </c>
      <c r="O3580" s="11">
        <v>319.32773109243703</v>
      </c>
      <c r="P3580" s="13"/>
      <c r="Q3580" s="14">
        <v>2025</v>
      </c>
      <c r="R3580" s="15">
        <v>45292</v>
      </c>
      <c r="S3580" s="11" t="s">
        <v>463</v>
      </c>
      <c r="T3580" s="16">
        <v>5</v>
      </c>
      <c r="U3580" s="17"/>
      <c r="V3580" s="12">
        <v>680.67226890756319</v>
      </c>
      <c r="W3580" s="12">
        <v>680.67226890756319</v>
      </c>
      <c r="X3580" s="12">
        <v>0</v>
      </c>
      <c r="Y3580" s="18">
        <v>45656</v>
      </c>
      <c r="Z3580" s="13" t="s">
        <v>497</v>
      </c>
      <c r="AA3580" s="19" t="str">
        <f>VLOOKUP(D3580,Clientes!$A$2:$J$486,9,FALSE)</f>
        <v>Ocacional</v>
      </c>
      <c r="AB3580" s="13" t="str">
        <f>VLOOKUP(D3580,Clientes!$A$2:$K$486,11,FALSE)</f>
        <v>Persona Natural</v>
      </c>
      <c r="AC3580" s="13" t="str">
        <f>VLOOKUP(D3580,Clientes!$A$2:$B$486,2,FALSE)</f>
        <v>Curso Amalia</v>
      </c>
      <c r="AD3580" s="20"/>
      <c r="AE3580" s="20"/>
      <c r="AF3580" s="23" t="s">
        <v>40</v>
      </c>
      <c r="AG3580" s="38">
        <v>45292</v>
      </c>
      <c r="AH3580" s="23" t="s">
        <v>41</v>
      </c>
      <c r="AI3580" s="13" t="s">
        <v>76</v>
      </c>
      <c r="AJ3580" s="13" t="str">
        <f>VLOOKUP(E3580,Precios!Z$2:AA$941,2,FALSE)</f>
        <v>Limpiapiso SPUM 5 Litros</v>
      </c>
      <c r="AK3580" s="14">
        <f>VLOOKUP(E3580,Precios!Z$2:BB$941,3,FALSE)*F3580</f>
        <v>-1</v>
      </c>
      <c r="AL3580" s="17"/>
      <c r="AM3580" s="17"/>
      <c r="AN3580" s="17"/>
      <c r="AO3580" s="17"/>
      <c r="AP3580" s="17"/>
      <c r="AQ3580" s="17"/>
      <c r="AR3580" s="17"/>
      <c r="AS3580" s="17"/>
      <c r="AT3580" s="17"/>
      <c r="AU3580" s="17"/>
      <c r="AV3580" s="17"/>
    </row>
    <row r="3581" spans="1:48" ht="15.75" customHeight="1">
      <c r="A3581" s="21" t="s">
        <v>43</v>
      </c>
      <c r="B3581" s="23" t="s">
        <v>1692</v>
      </c>
      <c r="C3581" s="22">
        <v>45661</v>
      </c>
      <c r="D3581" s="23" t="s">
        <v>124</v>
      </c>
      <c r="E3581" s="23" t="s">
        <v>45</v>
      </c>
      <c r="F3581" s="21">
        <v>1</v>
      </c>
      <c r="G3581" s="12">
        <v>6499.7815321875905</v>
      </c>
      <c r="H3581" s="12">
        <v>6499.7815321875905</v>
      </c>
      <c r="I3581" s="23" t="s">
        <v>52</v>
      </c>
      <c r="J3581" s="23" t="s">
        <v>61</v>
      </c>
      <c r="K3581" s="24" t="s">
        <v>177</v>
      </c>
      <c r="L3581" s="24">
        <v>82</v>
      </c>
      <c r="M3581" s="12">
        <v>5462.0012875525972</v>
      </c>
      <c r="N3581" s="11">
        <v>5462.0012875525972</v>
      </c>
      <c r="O3581" s="11">
        <v>1037.7802446349933</v>
      </c>
      <c r="P3581" s="13"/>
      <c r="Q3581" s="14">
        <v>2025</v>
      </c>
      <c r="R3581" s="15">
        <v>45292</v>
      </c>
      <c r="S3581" s="11" t="s">
        <v>355</v>
      </c>
      <c r="T3581" s="16">
        <v>0</v>
      </c>
      <c r="U3581" s="17"/>
      <c r="V3581" s="12">
        <v>1711.7912035189838</v>
      </c>
      <c r="W3581" s="12">
        <v>1711.7912035189838</v>
      </c>
      <c r="X3581" s="12">
        <v>0</v>
      </c>
      <c r="Y3581" s="18">
        <v>45656</v>
      </c>
      <c r="Z3581" s="13" t="s">
        <v>501</v>
      </c>
      <c r="AA3581" s="19" t="str">
        <f>VLOOKUP(D3581,Clientes!$A$2:$J$486,9,FALSE)</f>
        <v>Regular</v>
      </c>
      <c r="AB3581" s="13" t="str">
        <f>VLOOKUP(D3581,Clientes!$A$2:$K$486,11,FALSE)</f>
        <v>Persona Natural</v>
      </c>
      <c r="AC3581" s="13" t="str">
        <f>VLOOKUP(D3581,Clientes!$A$2:$B$486,2,FALSE)</f>
        <v>Jardines de la viña</v>
      </c>
      <c r="AD3581" s="20"/>
      <c r="AE3581" s="20"/>
      <c r="AF3581" s="23" t="s">
        <v>782</v>
      </c>
      <c r="AG3581" s="13"/>
      <c r="AH3581" s="13"/>
      <c r="AI3581" s="13" t="s">
        <v>43</v>
      </c>
      <c r="AJ3581" s="13"/>
      <c r="AK3581" s="17"/>
      <c r="AL3581" s="17"/>
      <c r="AM3581" s="17"/>
      <c r="AN3581" s="17"/>
      <c r="AO3581" s="17"/>
      <c r="AP3581" s="17"/>
      <c r="AQ3581" s="17"/>
      <c r="AR3581" s="17"/>
      <c r="AS3581" s="17"/>
      <c r="AT3581" s="17"/>
      <c r="AU3581" s="17"/>
      <c r="AV3581" s="17"/>
    </row>
    <row r="3582" spans="1:48" ht="15.75" customHeight="1">
      <c r="A3582" s="21" t="s">
        <v>35</v>
      </c>
      <c r="B3582" s="23" t="s">
        <v>1692</v>
      </c>
      <c r="C3582" s="22">
        <v>45661</v>
      </c>
      <c r="D3582" s="23" t="s">
        <v>240</v>
      </c>
      <c r="E3582" s="23" t="s">
        <v>37</v>
      </c>
      <c r="F3582" s="21">
        <v>1</v>
      </c>
      <c r="G3582" s="12">
        <v>10500</v>
      </c>
      <c r="H3582" s="12">
        <v>10500</v>
      </c>
      <c r="I3582" s="23" t="s">
        <v>52</v>
      </c>
      <c r="J3582" s="23" t="s">
        <v>61</v>
      </c>
      <c r="K3582" s="24" t="s">
        <v>177</v>
      </c>
      <c r="L3582" s="24">
        <v>82</v>
      </c>
      <c r="M3582" s="12">
        <v>8823.5294117647063</v>
      </c>
      <c r="N3582" s="11">
        <v>8823.5294117647063</v>
      </c>
      <c r="O3582" s="11">
        <v>1676.4705882352937</v>
      </c>
      <c r="P3582" s="13"/>
      <c r="Q3582" s="14">
        <v>2025</v>
      </c>
      <c r="R3582" s="15">
        <v>45292</v>
      </c>
      <c r="S3582" s="11" t="s">
        <v>364</v>
      </c>
      <c r="T3582" s="16">
        <v>1000</v>
      </c>
      <c r="U3582" s="17"/>
      <c r="V3582" s="12">
        <v>2385.7142857142853</v>
      </c>
      <c r="W3582" s="12">
        <v>2385.7142857142853</v>
      </c>
      <c r="X3582" s="12">
        <v>0</v>
      </c>
      <c r="Y3582" s="18">
        <v>45656</v>
      </c>
      <c r="Z3582" s="13" t="s">
        <v>501</v>
      </c>
      <c r="AA3582" s="19" t="str">
        <f>VLOOKUP(D3582,Clientes!$A$2:$J$486,9,FALSE)</f>
        <v>Ocacional</v>
      </c>
      <c r="AB3582" s="13" t="str">
        <f>VLOOKUP(D3582,Clientes!$A$2:$K$486,11,FALSE)</f>
        <v>Persona Natural</v>
      </c>
      <c r="AC3582" s="13" t="str">
        <f>VLOOKUP(D3582,Clientes!$A$2:$B$486,2,FALSE)</f>
        <v>Jardines de la viña</v>
      </c>
      <c r="AD3582" s="20"/>
      <c r="AE3582" s="20"/>
      <c r="AF3582" s="23" t="s">
        <v>782</v>
      </c>
      <c r="AG3582" s="13"/>
      <c r="AH3582" s="13"/>
      <c r="AI3582" s="13" t="s">
        <v>35</v>
      </c>
      <c r="AJ3582" s="13"/>
      <c r="AK3582" s="17"/>
      <c r="AL3582" s="17"/>
      <c r="AM3582" s="17"/>
      <c r="AN3582" s="17"/>
      <c r="AO3582" s="17"/>
      <c r="AP3582" s="17"/>
      <c r="AQ3582" s="17"/>
      <c r="AR3582" s="17"/>
      <c r="AS3582" s="17"/>
      <c r="AT3582" s="17"/>
      <c r="AU3582" s="17"/>
      <c r="AV3582" s="17"/>
    </row>
    <row r="3583" spans="1:48" ht="15.75" customHeight="1">
      <c r="A3583" s="21" t="s">
        <v>35</v>
      </c>
      <c r="B3583" s="23" t="s">
        <v>1692</v>
      </c>
      <c r="C3583" s="22">
        <v>45661</v>
      </c>
      <c r="D3583" s="23" t="s">
        <v>132</v>
      </c>
      <c r="E3583" s="23" t="s">
        <v>46</v>
      </c>
      <c r="F3583" s="21">
        <v>1</v>
      </c>
      <c r="G3583" s="12">
        <v>5500</v>
      </c>
      <c r="H3583" s="12">
        <v>5500</v>
      </c>
      <c r="I3583" s="23" t="s">
        <v>52</v>
      </c>
      <c r="J3583" s="23" t="s">
        <v>61</v>
      </c>
      <c r="K3583" s="24" t="s">
        <v>177</v>
      </c>
      <c r="L3583" s="24">
        <v>82</v>
      </c>
      <c r="M3583" s="12">
        <v>4621.8487394957983</v>
      </c>
      <c r="N3583" s="11">
        <v>4621.8487394957983</v>
      </c>
      <c r="O3583" s="11">
        <v>878.15126050420167</v>
      </c>
      <c r="P3583" s="13"/>
      <c r="Q3583" s="14">
        <v>2025</v>
      </c>
      <c r="R3583" s="15">
        <v>45292</v>
      </c>
      <c r="S3583" s="11" t="s">
        <v>364</v>
      </c>
      <c r="T3583" s="16">
        <v>500</v>
      </c>
      <c r="U3583" s="17"/>
      <c r="V3583" s="12">
        <v>1365.1260504201678</v>
      </c>
      <c r="W3583" s="12">
        <v>1365.1260504201678</v>
      </c>
      <c r="X3583" s="12">
        <v>0</v>
      </c>
      <c r="Y3583" s="18">
        <v>45656</v>
      </c>
      <c r="Z3583" s="13" t="s">
        <v>501</v>
      </c>
      <c r="AA3583" s="19" t="str">
        <f>VLOOKUP(D3583,Clientes!$A$2:$J$486,9,FALSE)</f>
        <v>Ocacional</v>
      </c>
      <c r="AB3583" s="13" t="str">
        <f>VLOOKUP(D3583,Clientes!$A$2:$K$486,11,FALSE)</f>
        <v>Persona Natural</v>
      </c>
      <c r="AC3583" s="13" t="str">
        <f>VLOOKUP(D3583,Clientes!$A$2:$B$486,2,FALSE)</f>
        <v>Walker Martinez</v>
      </c>
      <c r="AD3583" s="20"/>
      <c r="AE3583" s="20"/>
      <c r="AF3583" s="23" t="s">
        <v>782</v>
      </c>
      <c r="AG3583" s="13"/>
      <c r="AH3583" s="13"/>
      <c r="AI3583" s="13" t="s">
        <v>35</v>
      </c>
      <c r="AJ3583" s="13"/>
      <c r="AK3583" s="17"/>
      <c r="AL3583" s="17"/>
      <c r="AM3583" s="17"/>
      <c r="AN3583" s="17"/>
      <c r="AO3583" s="17"/>
      <c r="AP3583" s="17"/>
      <c r="AQ3583" s="17"/>
      <c r="AR3583" s="17"/>
      <c r="AS3583" s="17"/>
      <c r="AT3583" s="17"/>
      <c r="AU3583" s="17"/>
      <c r="AV3583" s="17"/>
    </row>
    <row r="3584" spans="1:48" ht="15.75" customHeight="1">
      <c r="A3584" s="21" t="s">
        <v>43</v>
      </c>
      <c r="B3584" s="23" t="s">
        <v>1692</v>
      </c>
      <c r="C3584" s="22">
        <v>45661</v>
      </c>
      <c r="D3584" s="23" t="s">
        <v>729</v>
      </c>
      <c r="E3584" s="23" t="s">
        <v>45</v>
      </c>
      <c r="F3584" s="21">
        <v>1</v>
      </c>
      <c r="G3584" s="12">
        <v>6499.7815321875905</v>
      </c>
      <c r="H3584" s="12">
        <v>6499.7815321875905</v>
      </c>
      <c r="I3584" s="23" t="s">
        <v>52</v>
      </c>
      <c r="J3584" s="23" t="s">
        <v>61</v>
      </c>
      <c r="K3584" s="24" t="s">
        <v>177</v>
      </c>
      <c r="L3584" s="24">
        <v>82</v>
      </c>
      <c r="M3584" s="12">
        <v>5462.0012875525972</v>
      </c>
      <c r="N3584" s="11">
        <v>5462.0012875525972</v>
      </c>
      <c r="O3584" s="11">
        <v>1037.7802446349933</v>
      </c>
      <c r="P3584" s="13"/>
      <c r="Q3584" s="14">
        <v>2025</v>
      </c>
      <c r="R3584" s="15">
        <v>45292</v>
      </c>
      <c r="S3584" s="11" t="s">
        <v>355</v>
      </c>
      <c r="T3584" s="16">
        <v>0</v>
      </c>
      <c r="U3584" s="17"/>
      <c r="V3584" s="12">
        <v>1711.7912035189838</v>
      </c>
      <c r="W3584" s="12">
        <v>1711.7912035189838</v>
      </c>
      <c r="X3584" s="12">
        <v>0</v>
      </c>
      <c r="Y3584" s="18">
        <v>45656</v>
      </c>
      <c r="Z3584" s="13" t="s">
        <v>501</v>
      </c>
      <c r="AA3584" s="19" t="str">
        <f>VLOOKUP(D3584,Clientes!$A$2:$J$486,9,FALSE)</f>
        <v>Ocacional</v>
      </c>
      <c r="AB3584" s="13" t="str">
        <f>VLOOKUP(D3584,Clientes!$A$2:$K$486,11,FALSE)</f>
        <v>Persona Natural</v>
      </c>
      <c r="AC3584" s="13" t="str">
        <f>VLOOKUP(D3584,Clientes!$A$2:$B$486,2,FALSE)</f>
        <v>Araucania</v>
      </c>
      <c r="AD3584" s="20"/>
      <c r="AE3584" s="20"/>
      <c r="AF3584" s="23" t="s">
        <v>782</v>
      </c>
      <c r="AG3584" s="13"/>
      <c r="AH3584" s="13"/>
      <c r="AI3584" s="13" t="s">
        <v>43</v>
      </c>
      <c r="AJ3584" s="13"/>
      <c r="AK3584" s="17"/>
      <c r="AL3584" s="17"/>
      <c r="AM3584" s="17"/>
      <c r="AN3584" s="17"/>
      <c r="AO3584" s="17"/>
      <c r="AP3584" s="17"/>
      <c r="AQ3584" s="17"/>
      <c r="AR3584" s="17"/>
      <c r="AS3584" s="17"/>
      <c r="AT3584" s="17"/>
      <c r="AU3584" s="17"/>
      <c r="AV3584" s="17"/>
    </row>
    <row r="3585" spans="1:48" ht="15.75" customHeight="1">
      <c r="A3585" s="21" t="s">
        <v>53</v>
      </c>
      <c r="B3585" s="23" t="s">
        <v>1692</v>
      </c>
      <c r="C3585" s="22">
        <v>45661</v>
      </c>
      <c r="D3585" s="23" t="s">
        <v>225</v>
      </c>
      <c r="E3585" s="23" t="s">
        <v>192</v>
      </c>
      <c r="F3585" s="21">
        <v>1</v>
      </c>
      <c r="G3585" s="12">
        <v>15990.211345939933</v>
      </c>
      <c r="H3585" s="12">
        <v>15990.211345939933</v>
      </c>
      <c r="I3585" s="23" t="s">
        <v>52</v>
      </c>
      <c r="J3585" s="23" t="s">
        <v>61</v>
      </c>
      <c r="K3585" s="24" t="s">
        <v>177</v>
      </c>
      <c r="L3585" s="24">
        <v>82</v>
      </c>
      <c r="M3585" s="12">
        <v>13437.152391546164</v>
      </c>
      <c r="N3585" s="11">
        <v>13437.152391546164</v>
      </c>
      <c r="O3585" s="11">
        <v>2553.0589543937695</v>
      </c>
      <c r="P3585" s="13"/>
      <c r="Q3585" s="14">
        <v>2025</v>
      </c>
      <c r="R3585" s="15">
        <v>45292</v>
      </c>
      <c r="S3585" s="11" t="s">
        <v>435</v>
      </c>
      <c r="T3585" s="16">
        <v>0</v>
      </c>
      <c r="U3585" s="17"/>
      <c r="V3585" s="12">
        <v>3773.1523915461621</v>
      </c>
      <c r="W3585" s="12">
        <v>3773.1523915461621</v>
      </c>
      <c r="X3585" s="12">
        <v>0</v>
      </c>
      <c r="Y3585" s="18">
        <v>45656</v>
      </c>
      <c r="Z3585" s="13" t="s">
        <v>501</v>
      </c>
      <c r="AA3585" s="19" t="str">
        <f>VLOOKUP(D3585,Clientes!$A$2:$J$486,9,FALSE)</f>
        <v>Ocacional</v>
      </c>
      <c r="AB3585" s="13" t="str">
        <f>VLOOKUP(D3585,Clientes!$A$2:$K$486,11,FALSE)</f>
        <v>Persona Natural</v>
      </c>
      <c r="AC3585" s="13" t="str">
        <f>VLOOKUP(D3585,Clientes!$A$2:$B$486,2,FALSE)</f>
        <v>Geronimo</v>
      </c>
      <c r="AD3585" s="20"/>
      <c r="AE3585" s="20"/>
      <c r="AF3585" s="23" t="s">
        <v>782</v>
      </c>
      <c r="AG3585" s="13"/>
      <c r="AH3585" s="13"/>
      <c r="AI3585" s="13" t="s">
        <v>53</v>
      </c>
      <c r="AJ3585" s="13"/>
      <c r="AK3585" s="17"/>
      <c r="AL3585" s="17"/>
      <c r="AM3585" s="17"/>
      <c r="AN3585" s="17"/>
      <c r="AO3585" s="17"/>
      <c r="AP3585" s="17"/>
      <c r="AQ3585" s="17"/>
      <c r="AR3585" s="17"/>
      <c r="AS3585" s="17"/>
      <c r="AT3585" s="17"/>
      <c r="AU3585" s="17"/>
      <c r="AV3585" s="17"/>
    </row>
    <row r="3586" spans="1:48" ht="15.75" customHeight="1">
      <c r="A3586" s="21" t="s">
        <v>53</v>
      </c>
      <c r="B3586" s="23" t="s">
        <v>1692</v>
      </c>
      <c r="C3586" s="22">
        <v>45661</v>
      </c>
      <c r="D3586" s="23" t="s">
        <v>158</v>
      </c>
      <c r="E3586" s="23" t="s">
        <v>162</v>
      </c>
      <c r="F3586" s="21">
        <v>3</v>
      </c>
      <c r="G3586" s="12">
        <v>9500.0304006809747</v>
      </c>
      <c r="H3586" s="12">
        <v>28500.091202042924</v>
      </c>
      <c r="I3586" s="23" t="s">
        <v>52</v>
      </c>
      <c r="J3586" s="23" t="s">
        <v>61</v>
      </c>
      <c r="K3586" s="24" t="s">
        <v>86</v>
      </c>
      <c r="L3586" s="24">
        <v>48</v>
      </c>
      <c r="M3586" s="12">
        <v>7983.2188241016602</v>
      </c>
      <c r="N3586" s="11">
        <v>23949.656472304978</v>
      </c>
      <c r="O3586" s="11">
        <v>4550.4347297379463</v>
      </c>
      <c r="P3586" s="13"/>
      <c r="Q3586" s="14">
        <v>2025</v>
      </c>
      <c r="R3586" s="15">
        <v>45292</v>
      </c>
      <c r="S3586" s="11" t="s">
        <v>437</v>
      </c>
      <c r="T3586" s="16">
        <v>0</v>
      </c>
      <c r="U3586" s="17"/>
      <c r="V3586" s="12">
        <v>8193.6564723049778</v>
      </c>
      <c r="W3586" s="12">
        <v>8193.6564723049778</v>
      </c>
      <c r="X3586" s="12">
        <v>0</v>
      </c>
      <c r="Y3586" s="18">
        <v>45656</v>
      </c>
      <c r="Z3586" s="13" t="s">
        <v>501</v>
      </c>
      <c r="AA3586" s="19" t="str">
        <f>VLOOKUP(D3586,Clientes!$A$2:$J$486,9,FALSE)</f>
        <v>Frecuente</v>
      </c>
      <c r="AB3586" s="13" t="str">
        <f>VLOOKUP(D3586,Clientes!$A$2:$K$486,11,FALSE)</f>
        <v>Empresa</v>
      </c>
      <c r="AC3586" s="13" t="str">
        <f>VLOOKUP(D3586,Clientes!$A$2:$B$486,2,FALSE)</f>
        <v>Departamental</v>
      </c>
      <c r="AD3586" s="20"/>
      <c r="AE3586" s="20"/>
      <c r="AF3586" s="23" t="s">
        <v>782</v>
      </c>
      <c r="AG3586" s="13"/>
      <c r="AH3586" s="13"/>
      <c r="AI3586" s="13" t="s">
        <v>53</v>
      </c>
      <c r="AJ3586" s="13"/>
      <c r="AK3586" s="17"/>
      <c r="AL3586" s="17"/>
      <c r="AM3586" s="17"/>
      <c r="AN3586" s="17"/>
      <c r="AO3586" s="17"/>
      <c r="AP3586" s="17"/>
      <c r="AQ3586" s="17"/>
      <c r="AR3586" s="17"/>
      <c r="AS3586" s="17"/>
      <c r="AT3586" s="17"/>
      <c r="AU3586" s="17"/>
      <c r="AV3586" s="17"/>
    </row>
    <row r="3587" spans="1:48" ht="15.75" customHeight="1">
      <c r="A3587" s="21" t="s">
        <v>53</v>
      </c>
      <c r="B3587" s="23" t="s">
        <v>1692</v>
      </c>
      <c r="C3587" s="22">
        <v>45661</v>
      </c>
      <c r="D3587" s="23" t="s">
        <v>158</v>
      </c>
      <c r="E3587" s="23" t="s">
        <v>580</v>
      </c>
      <c r="F3587" s="21">
        <v>1</v>
      </c>
      <c r="G3587" s="12">
        <v>11499.993390876765</v>
      </c>
      <c r="H3587" s="12">
        <v>11499.993390876765</v>
      </c>
      <c r="I3587" s="23" t="s">
        <v>52</v>
      </c>
      <c r="J3587" s="23" t="s">
        <v>61</v>
      </c>
      <c r="K3587" s="24" t="s">
        <v>86</v>
      </c>
      <c r="L3587" s="24">
        <v>48</v>
      </c>
      <c r="M3587" s="12">
        <v>9663.8599923334168</v>
      </c>
      <c r="N3587" s="11">
        <v>9663.8599923334168</v>
      </c>
      <c r="O3587" s="11">
        <v>1836.1333985433484</v>
      </c>
      <c r="P3587" s="13"/>
      <c r="Q3587" s="14">
        <v>2025</v>
      </c>
      <c r="R3587" s="15">
        <v>45292</v>
      </c>
      <c r="S3587" s="11" t="s">
        <v>381</v>
      </c>
      <c r="T3587" s="16">
        <v>300</v>
      </c>
      <c r="U3587" s="17"/>
      <c r="V3587" s="12">
        <v>2352.8599923334168</v>
      </c>
      <c r="W3587" s="12">
        <v>2352.8599923334168</v>
      </c>
      <c r="X3587" s="12">
        <v>0</v>
      </c>
      <c r="Y3587" s="18">
        <v>45656</v>
      </c>
      <c r="Z3587" s="13" t="s">
        <v>501</v>
      </c>
      <c r="AA3587" s="19" t="str">
        <f>VLOOKUP(D3587,Clientes!$A$2:$J$486,9,FALSE)</f>
        <v>Frecuente</v>
      </c>
      <c r="AB3587" s="13" t="str">
        <f>VLOOKUP(D3587,Clientes!$A$2:$K$486,11,FALSE)</f>
        <v>Empresa</v>
      </c>
      <c r="AC3587" s="13" t="str">
        <f>VLOOKUP(D3587,Clientes!$A$2:$B$486,2,FALSE)</f>
        <v>Departamental</v>
      </c>
      <c r="AD3587" s="20"/>
      <c r="AE3587" s="20"/>
      <c r="AF3587" s="23" t="s">
        <v>782</v>
      </c>
      <c r="AG3587" s="13"/>
      <c r="AH3587" s="13"/>
      <c r="AI3587" s="13" t="s">
        <v>53</v>
      </c>
      <c r="AJ3587" s="13"/>
      <c r="AK3587" s="17"/>
      <c r="AL3587" s="17"/>
      <c r="AM3587" s="17"/>
      <c r="AN3587" s="17"/>
      <c r="AO3587" s="17"/>
      <c r="AP3587" s="17"/>
      <c r="AQ3587" s="17"/>
      <c r="AR3587" s="17"/>
      <c r="AS3587" s="17"/>
      <c r="AT3587" s="17"/>
      <c r="AU3587" s="17"/>
      <c r="AV3587" s="17"/>
    </row>
    <row r="3588" spans="1:48" ht="15.75" customHeight="1">
      <c r="A3588" s="21" t="s">
        <v>53</v>
      </c>
      <c r="B3588" s="23" t="s">
        <v>1692</v>
      </c>
      <c r="C3588" s="22">
        <v>45661</v>
      </c>
      <c r="D3588" s="23" t="s">
        <v>158</v>
      </c>
      <c r="E3588" s="23" t="s">
        <v>55</v>
      </c>
      <c r="F3588" s="21">
        <v>1</v>
      </c>
      <c r="G3588" s="12">
        <v>19990</v>
      </c>
      <c r="H3588" s="12">
        <v>19990</v>
      </c>
      <c r="I3588" s="23" t="s">
        <v>52</v>
      </c>
      <c r="J3588" s="23" t="s">
        <v>61</v>
      </c>
      <c r="K3588" s="24" t="s">
        <v>86</v>
      </c>
      <c r="L3588" s="24">
        <v>48</v>
      </c>
      <c r="M3588" s="12">
        <v>16798.319327731093</v>
      </c>
      <c r="N3588" s="11">
        <v>16798.319327731093</v>
      </c>
      <c r="O3588" s="11">
        <v>3191.6806722689071</v>
      </c>
      <c r="P3588" s="13"/>
      <c r="Q3588" s="14">
        <v>2025</v>
      </c>
      <c r="R3588" s="15">
        <v>45292</v>
      </c>
      <c r="S3588" s="11" t="s">
        <v>366</v>
      </c>
      <c r="T3588" s="16">
        <v>0</v>
      </c>
      <c r="U3588" s="17"/>
      <c r="V3588" s="12">
        <v>3702.5210084033606</v>
      </c>
      <c r="W3588" s="12">
        <v>3702.5210084033606</v>
      </c>
      <c r="X3588" s="12">
        <v>0</v>
      </c>
      <c r="Y3588" s="18">
        <v>45656</v>
      </c>
      <c r="Z3588" s="13" t="s">
        <v>501</v>
      </c>
      <c r="AA3588" s="19" t="str">
        <f>VLOOKUP(D3588,Clientes!$A$2:$J$486,9,FALSE)</f>
        <v>Frecuente</v>
      </c>
      <c r="AB3588" s="13" t="str">
        <f>VLOOKUP(D3588,Clientes!$A$2:$K$486,11,FALSE)</f>
        <v>Empresa</v>
      </c>
      <c r="AC3588" s="13" t="str">
        <f>VLOOKUP(D3588,Clientes!$A$2:$B$486,2,FALSE)</f>
        <v>Departamental</v>
      </c>
      <c r="AD3588" s="20"/>
      <c r="AE3588" s="20"/>
      <c r="AF3588" s="23" t="s">
        <v>782</v>
      </c>
      <c r="AG3588" s="13"/>
      <c r="AH3588" s="13"/>
      <c r="AI3588" s="13" t="s">
        <v>53</v>
      </c>
      <c r="AJ3588" s="13"/>
      <c r="AK3588" s="17"/>
      <c r="AL3588" s="17"/>
      <c r="AM3588" s="17"/>
      <c r="AN3588" s="17"/>
      <c r="AO3588" s="17"/>
      <c r="AP3588" s="17"/>
      <c r="AQ3588" s="17"/>
      <c r="AR3588" s="17"/>
      <c r="AS3588" s="17"/>
      <c r="AT3588" s="17"/>
      <c r="AU3588" s="17"/>
      <c r="AV3588" s="17"/>
    </row>
    <row r="3589" spans="1:48" ht="15.75" customHeight="1">
      <c r="A3589" s="21" t="s">
        <v>47</v>
      </c>
      <c r="B3589" s="23" t="s">
        <v>1692</v>
      </c>
      <c r="C3589" s="22">
        <v>45661</v>
      </c>
      <c r="D3589" s="23" t="s">
        <v>759</v>
      </c>
      <c r="E3589" s="23" t="s">
        <v>107</v>
      </c>
      <c r="F3589" s="21">
        <v>1</v>
      </c>
      <c r="G3589" s="12">
        <v>3000.0000000000005</v>
      </c>
      <c r="H3589" s="12">
        <v>3000.0000000000005</v>
      </c>
      <c r="I3589" s="23" t="s">
        <v>52</v>
      </c>
      <c r="J3589" s="23" t="s">
        <v>61</v>
      </c>
      <c r="K3589" s="24" t="s">
        <v>177</v>
      </c>
      <c r="L3589" s="24">
        <v>82</v>
      </c>
      <c r="M3589" s="12">
        <v>2521.0084033613452</v>
      </c>
      <c r="N3589" s="11">
        <v>2521.0084033613452</v>
      </c>
      <c r="O3589" s="11">
        <v>478.99159663865521</v>
      </c>
      <c r="P3589" s="13"/>
      <c r="Q3589" s="14">
        <v>2025</v>
      </c>
      <c r="R3589" s="15">
        <v>45292</v>
      </c>
      <c r="S3589" s="11" t="s">
        <v>453</v>
      </c>
      <c r="T3589" s="16">
        <v>0</v>
      </c>
      <c r="U3589" s="17"/>
      <c r="V3589" s="12">
        <v>758.82352941176487</v>
      </c>
      <c r="W3589" s="12">
        <v>758.82352941176487</v>
      </c>
      <c r="X3589" s="12">
        <v>0</v>
      </c>
      <c r="Y3589" s="18">
        <v>45656</v>
      </c>
      <c r="Z3589" s="13" t="s">
        <v>501</v>
      </c>
      <c r="AA3589" s="19" t="str">
        <f>VLOOKUP(D3589,Clientes!$A$2:$J$486,9,FALSE)</f>
        <v>Ocacional</v>
      </c>
      <c r="AB3589" s="13" t="str">
        <f>VLOOKUP(D3589,Clientes!$A$2:$K$486,11,FALSE)</f>
        <v>Persona Natural</v>
      </c>
      <c r="AC3589" s="13" t="str">
        <f>VLOOKUP(D3589,Clientes!$A$2:$B$486,2,FALSE)</f>
        <v>Alonso Ercilla</v>
      </c>
      <c r="AD3589" s="20"/>
      <c r="AE3589" s="20"/>
      <c r="AF3589" s="23" t="s">
        <v>782</v>
      </c>
      <c r="AG3589" s="13"/>
      <c r="AH3589" s="13"/>
      <c r="AI3589" s="13" t="s">
        <v>47</v>
      </c>
      <c r="AJ3589" s="13"/>
      <c r="AK3589" s="17"/>
      <c r="AL3589" s="17"/>
      <c r="AM3589" s="17"/>
      <c r="AN3589" s="17"/>
      <c r="AO3589" s="17"/>
      <c r="AP3589" s="17"/>
      <c r="AQ3589" s="17"/>
      <c r="AR3589" s="17"/>
      <c r="AS3589" s="17"/>
      <c r="AT3589" s="17"/>
      <c r="AU3589" s="17"/>
      <c r="AV3589" s="17"/>
    </row>
    <row r="3590" spans="1:48" ht="15.75" customHeight="1">
      <c r="A3590" s="21" t="s">
        <v>76</v>
      </c>
      <c r="B3590" s="23" t="s">
        <v>1692</v>
      </c>
      <c r="C3590" s="22">
        <v>45661</v>
      </c>
      <c r="D3590" s="23" t="s">
        <v>759</v>
      </c>
      <c r="E3590" s="23" t="s">
        <v>137</v>
      </c>
      <c r="F3590" s="21">
        <v>1</v>
      </c>
      <c r="G3590" s="12">
        <v>3500.0000000000005</v>
      </c>
      <c r="H3590" s="12">
        <v>3500.0000000000005</v>
      </c>
      <c r="I3590" s="23" t="s">
        <v>52</v>
      </c>
      <c r="J3590" s="23" t="s">
        <v>61</v>
      </c>
      <c r="K3590" s="24" t="s">
        <v>177</v>
      </c>
      <c r="L3590" s="24">
        <v>82</v>
      </c>
      <c r="M3590" s="12">
        <v>2941.1764705882356</v>
      </c>
      <c r="N3590" s="11">
        <v>2941.1764705882356</v>
      </c>
      <c r="O3590" s="11">
        <v>558.82352941176487</v>
      </c>
      <c r="P3590" s="13"/>
      <c r="Q3590" s="14">
        <v>2025</v>
      </c>
      <c r="R3590" s="15">
        <v>45292</v>
      </c>
      <c r="S3590" s="11" t="s">
        <v>406</v>
      </c>
      <c r="T3590" s="16">
        <v>5</v>
      </c>
      <c r="U3590" s="17"/>
      <c r="V3590" s="12">
        <v>848.73949579831969</v>
      </c>
      <c r="W3590" s="12">
        <v>848.73949579831969</v>
      </c>
      <c r="X3590" s="12">
        <v>0</v>
      </c>
      <c r="Y3590" s="18">
        <v>45656</v>
      </c>
      <c r="Z3590" s="13" t="s">
        <v>501</v>
      </c>
      <c r="AA3590" s="19" t="str">
        <f>VLOOKUP(D3590,Clientes!$A$2:$J$486,9,FALSE)</f>
        <v>Ocacional</v>
      </c>
      <c r="AB3590" s="13" t="str">
        <f>VLOOKUP(D3590,Clientes!$A$2:$K$486,11,FALSE)</f>
        <v>Persona Natural</v>
      </c>
      <c r="AC3590" s="13" t="str">
        <f>VLOOKUP(D3590,Clientes!$A$2:$B$486,2,FALSE)</f>
        <v>Alonso Ercilla</v>
      </c>
      <c r="AD3590" s="20"/>
      <c r="AE3590" s="20"/>
      <c r="AF3590" s="23" t="s">
        <v>782</v>
      </c>
      <c r="AG3590" s="13"/>
      <c r="AH3590" s="13"/>
      <c r="AI3590" s="13" t="s">
        <v>76</v>
      </c>
      <c r="AJ3590" s="13"/>
      <c r="AK3590" s="17"/>
      <c r="AL3590" s="17"/>
      <c r="AM3590" s="17"/>
      <c r="AN3590" s="17"/>
      <c r="AO3590" s="17"/>
      <c r="AP3590" s="17"/>
      <c r="AQ3590" s="17"/>
      <c r="AR3590" s="17"/>
      <c r="AS3590" s="17"/>
      <c r="AT3590" s="17"/>
      <c r="AU3590" s="17"/>
      <c r="AV3590" s="17"/>
    </row>
    <row r="3591" spans="1:48" ht="15.75" customHeight="1">
      <c r="A3591" s="21" t="s">
        <v>53</v>
      </c>
      <c r="B3591" s="23" t="s">
        <v>1692</v>
      </c>
      <c r="C3591" s="22">
        <v>45660</v>
      </c>
      <c r="D3591" s="23" t="s">
        <v>122</v>
      </c>
      <c r="E3591" s="23" t="s">
        <v>97</v>
      </c>
      <c r="F3591" s="21">
        <v>1</v>
      </c>
      <c r="G3591" s="12">
        <v>15500.298388701016</v>
      </c>
      <c r="H3591" s="12">
        <v>15500.298388701016</v>
      </c>
      <c r="I3591" s="23" t="s">
        <v>52</v>
      </c>
      <c r="J3591" s="23" t="s">
        <v>61</v>
      </c>
      <c r="K3591" s="24" t="s">
        <v>177</v>
      </c>
      <c r="L3591" s="24">
        <v>81</v>
      </c>
      <c r="M3591" s="12">
        <v>13025.46083084119</v>
      </c>
      <c r="N3591" s="11">
        <v>13025.46083084119</v>
      </c>
      <c r="O3591" s="11">
        <v>2474.8375578598261</v>
      </c>
      <c r="P3591" s="13"/>
      <c r="Q3591" s="14">
        <v>2025</v>
      </c>
      <c r="R3591" s="15">
        <v>45292</v>
      </c>
      <c r="S3591" s="11" t="s">
        <v>366</v>
      </c>
      <c r="T3591" s="16">
        <v>0</v>
      </c>
      <c r="U3591" s="17"/>
      <c r="V3591" s="12">
        <v>3203.6120913453906</v>
      </c>
      <c r="W3591" s="12">
        <v>3203.6120913453906</v>
      </c>
      <c r="X3591" s="12">
        <v>0</v>
      </c>
      <c r="Y3591" s="18">
        <v>45656</v>
      </c>
      <c r="Z3591" s="13" t="s">
        <v>503</v>
      </c>
      <c r="AA3591" s="19" t="str">
        <f>VLOOKUP(D3591,Clientes!$A$2:$J$486,9,FALSE)</f>
        <v>Frecuente</v>
      </c>
      <c r="AB3591" s="13" t="str">
        <f>VLOOKUP(D3591,Clientes!$A$2:$K$486,11,FALSE)</f>
        <v>Persona Natural</v>
      </c>
      <c r="AC3591" s="13" t="str">
        <f>VLOOKUP(D3591,Clientes!$A$2:$B$486,2,FALSE)</f>
        <v>Jardines de la Viña</v>
      </c>
      <c r="AD3591" s="20"/>
      <c r="AE3591" s="20"/>
      <c r="AF3591" s="23" t="s">
        <v>782</v>
      </c>
      <c r="AG3591" s="13"/>
      <c r="AH3591" s="13"/>
      <c r="AI3591" s="13" t="s">
        <v>53</v>
      </c>
      <c r="AJ3591" s="13"/>
      <c r="AK3591" s="17"/>
      <c r="AL3591" s="17"/>
      <c r="AM3591" s="17"/>
      <c r="AN3591" s="17"/>
      <c r="AO3591" s="17"/>
      <c r="AP3591" s="17"/>
      <c r="AQ3591" s="17"/>
      <c r="AR3591" s="17"/>
      <c r="AS3591" s="17"/>
      <c r="AT3591" s="17"/>
      <c r="AU3591" s="17"/>
      <c r="AV3591" s="17"/>
    </row>
    <row r="3592" spans="1:48" ht="15.75" customHeight="1">
      <c r="A3592" s="21" t="s">
        <v>53</v>
      </c>
      <c r="B3592" s="23" t="s">
        <v>1692</v>
      </c>
      <c r="C3592" s="22">
        <v>45660</v>
      </c>
      <c r="D3592" s="23" t="s">
        <v>122</v>
      </c>
      <c r="E3592" s="23" t="s">
        <v>254</v>
      </c>
      <c r="F3592" s="21">
        <v>1</v>
      </c>
      <c r="G3592" s="12">
        <v>18500.059701492541</v>
      </c>
      <c r="H3592" s="12">
        <v>18500.059701492541</v>
      </c>
      <c r="I3592" s="23" t="s">
        <v>52</v>
      </c>
      <c r="J3592" s="23" t="s">
        <v>61</v>
      </c>
      <c r="K3592" s="24" t="s">
        <v>177</v>
      </c>
      <c r="L3592" s="24">
        <v>81</v>
      </c>
      <c r="M3592" s="12">
        <v>15546.268656716422</v>
      </c>
      <c r="N3592" s="11">
        <v>15546.268656716422</v>
      </c>
      <c r="O3592" s="11">
        <v>2953.7910447761187</v>
      </c>
      <c r="P3592" s="13"/>
      <c r="Q3592" s="14">
        <v>2025</v>
      </c>
      <c r="R3592" s="15">
        <v>45292</v>
      </c>
      <c r="S3592" s="11" t="s">
        <v>408</v>
      </c>
      <c r="T3592" s="16">
        <v>100</v>
      </c>
      <c r="U3592" s="17"/>
      <c r="V3592" s="12">
        <v>5130.2686567164201</v>
      </c>
      <c r="W3592" s="12">
        <v>5130.2686567164201</v>
      </c>
      <c r="X3592" s="12">
        <v>0</v>
      </c>
      <c r="Y3592" s="18">
        <v>45656</v>
      </c>
      <c r="Z3592" s="13" t="s">
        <v>503</v>
      </c>
      <c r="AA3592" s="19" t="str">
        <f>VLOOKUP(D3592,Clientes!$A$2:$J$486,9,FALSE)</f>
        <v>Frecuente</v>
      </c>
      <c r="AB3592" s="13" t="str">
        <f>VLOOKUP(D3592,Clientes!$A$2:$K$486,11,FALSE)</f>
        <v>Persona Natural</v>
      </c>
      <c r="AC3592" s="13" t="str">
        <f>VLOOKUP(D3592,Clientes!$A$2:$B$486,2,FALSE)</f>
        <v>Jardines de la Viña</v>
      </c>
      <c r="AD3592" s="20"/>
      <c r="AE3592" s="20"/>
      <c r="AF3592" s="23" t="s">
        <v>782</v>
      </c>
      <c r="AG3592" s="13"/>
      <c r="AH3592" s="13"/>
      <c r="AI3592" s="13" t="s">
        <v>53</v>
      </c>
      <c r="AJ3592" s="13"/>
      <c r="AK3592" s="17"/>
      <c r="AL3592" s="17"/>
      <c r="AM3592" s="17"/>
      <c r="AN3592" s="17"/>
      <c r="AO3592" s="17"/>
      <c r="AP3592" s="17"/>
      <c r="AQ3592" s="17"/>
      <c r="AR3592" s="17"/>
      <c r="AS3592" s="17"/>
      <c r="AT3592" s="17"/>
      <c r="AU3592" s="17"/>
      <c r="AV3592" s="17"/>
    </row>
    <row r="3593" spans="1:48" ht="15.75" customHeight="1">
      <c r="A3593" s="21" t="s">
        <v>47</v>
      </c>
      <c r="B3593" s="23" t="s">
        <v>1692</v>
      </c>
      <c r="C3593" s="22">
        <v>45660</v>
      </c>
      <c r="D3593" s="23" t="s">
        <v>122</v>
      </c>
      <c r="E3593" s="23" t="s">
        <v>49</v>
      </c>
      <c r="F3593" s="21">
        <v>1</v>
      </c>
      <c r="G3593" s="12">
        <v>4500.0000000000009</v>
      </c>
      <c r="H3593" s="12">
        <v>4500.0000000000009</v>
      </c>
      <c r="I3593" s="23" t="s">
        <v>52</v>
      </c>
      <c r="J3593" s="23" t="s">
        <v>61</v>
      </c>
      <c r="K3593" s="24" t="s">
        <v>177</v>
      </c>
      <c r="L3593" s="24">
        <v>81</v>
      </c>
      <c r="M3593" s="12">
        <v>3781.5126050420176</v>
      </c>
      <c r="N3593" s="11">
        <v>3781.5126050420176</v>
      </c>
      <c r="O3593" s="11">
        <v>718.48739495798327</v>
      </c>
      <c r="P3593" s="13"/>
      <c r="Q3593" s="14">
        <v>2025</v>
      </c>
      <c r="R3593" s="15">
        <v>45292</v>
      </c>
      <c r="S3593" s="11" t="s">
        <v>384</v>
      </c>
      <c r="T3593" s="16">
        <v>0</v>
      </c>
      <c r="U3593" s="17"/>
      <c r="V3593" s="12">
        <v>988.23529411764775</v>
      </c>
      <c r="W3593" s="12">
        <v>988.23529411764775</v>
      </c>
      <c r="X3593" s="12">
        <v>0</v>
      </c>
      <c r="Y3593" s="18">
        <v>45656</v>
      </c>
      <c r="Z3593" s="13" t="s">
        <v>503</v>
      </c>
      <c r="AA3593" s="19" t="str">
        <f>VLOOKUP(D3593,Clientes!$A$2:$J$486,9,FALSE)</f>
        <v>Frecuente</v>
      </c>
      <c r="AB3593" s="13" t="str">
        <f>VLOOKUP(D3593,Clientes!$A$2:$K$486,11,FALSE)</f>
        <v>Persona Natural</v>
      </c>
      <c r="AC3593" s="13" t="str">
        <f>VLOOKUP(D3593,Clientes!$A$2:$B$486,2,FALSE)</f>
        <v>Jardines de la Viña</v>
      </c>
      <c r="AD3593" s="20"/>
      <c r="AE3593" s="20"/>
      <c r="AF3593" s="23" t="s">
        <v>782</v>
      </c>
      <c r="AG3593" s="13"/>
      <c r="AH3593" s="13"/>
      <c r="AI3593" s="13" t="s">
        <v>47</v>
      </c>
      <c r="AJ3593" s="13"/>
      <c r="AK3593" s="17"/>
      <c r="AL3593" s="17"/>
      <c r="AM3593" s="17"/>
      <c r="AN3593" s="17"/>
      <c r="AO3593" s="17"/>
      <c r="AP3593" s="17"/>
      <c r="AQ3593" s="17"/>
      <c r="AR3593" s="17"/>
      <c r="AS3593" s="17"/>
      <c r="AT3593" s="17"/>
      <c r="AU3593" s="17"/>
      <c r="AV3593" s="17"/>
    </row>
    <row r="3594" spans="1:48" ht="15.75" customHeight="1">
      <c r="A3594" s="21" t="s">
        <v>43</v>
      </c>
      <c r="B3594" s="23" t="s">
        <v>1692</v>
      </c>
      <c r="C3594" s="22">
        <v>45660</v>
      </c>
      <c r="D3594" s="23" t="s">
        <v>548</v>
      </c>
      <c r="E3594" s="23" t="s">
        <v>778</v>
      </c>
      <c r="F3594" s="21">
        <v>1</v>
      </c>
      <c r="G3594" s="12">
        <v>18500.013849648218</v>
      </c>
      <c r="H3594" s="12">
        <v>18500.013849648218</v>
      </c>
      <c r="I3594" s="23" t="s">
        <v>52</v>
      </c>
      <c r="J3594" s="23" t="s">
        <v>61</v>
      </c>
      <c r="K3594" s="24" t="s">
        <v>177</v>
      </c>
      <c r="L3594" s="24">
        <v>81</v>
      </c>
      <c r="M3594" s="12">
        <v>15546.230125754806</v>
      </c>
      <c r="N3594" s="11">
        <v>15546.230125754806</v>
      </c>
      <c r="O3594" s="11">
        <v>2953.7837238934117</v>
      </c>
      <c r="P3594" s="13"/>
      <c r="Q3594" s="14">
        <v>2025</v>
      </c>
      <c r="R3594" s="15">
        <v>45292</v>
      </c>
      <c r="S3594" s="11" t="s">
        <v>355</v>
      </c>
      <c r="T3594" s="16">
        <v>0</v>
      </c>
      <c r="U3594" s="17"/>
      <c r="V3594" s="12">
        <v>4321.2301257548061</v>
      </c>
      <c r="W3594" s="12">
        <v>4321.2301257548061</v>
      </c>
      <c r="X3594" s="12">
        <v>0</v>
      </c>
      <c r="Y3594" s="18">
        <v>45656</v>
      </c>
      <c r="Z3594" s="13" t="s">
        <v>503</v>
      </c>
      <c r="AA3594" s="19" t="str">
        <f>VLOOKUP(D3594,Clientes!$A$2:$J$486,9,FALSE)</f>
        <v>Ocacional</v>
      </c>
      <c r="AB3594" s="13" t="str">
        <f>VLOOKUP(D3594,Clientes!$A$2:$K$486,11,FALSE)</f>
        <v>Persona Natural</v>
      </c>
      <c r="AC3594" s="13" t="str">
        <f>VLOOKUP(D3594,Clientes!$A$2:$B$486,2,FALSE)</f>
        <v>Curso Amalia</v>
      </c>
      <c r="AD3594" s="20"/>
      <c r="AE3594" s="20"/>
      <c r="AF3594" s="23" t="s">
        <v>782</v>
      </c>
      <c r="AG3594" s="13"/>
      <c r="AH3594" s="13"/>
      <c r="AI3594" s="13" t="s">
        <v>43</v>
      </c>
      <c r="AJ3594" s="13"/>
      <c r="AK3594" s="17"/>
      <c r="AL3594" s="17"/>
      <c r="AM3594" s="17"/>
      <c r="AN3594" s="17"/>
      <c r="AO3594" s="17"/>
      <c r="AP3594" s="17"/>
      <c r="AQ3594" s="17"/>
      <c r="AR3594" s="17"/>
      <c r="AS3594" s="17"/>
      <c r="AT3594" s="17"/>
      <c r="AU3594" s="17"/>
      <c r="AV3594" s="17"/>
    </row>
    <row r="3595" spans="1:48" ht="15.75" customHeight="1">
      <c r="A3595" s="21" t="s">
        <v>35</v>
      </c>
      <c r="B3595" s="23" t="s">
        <v>1692</v>
      </c>
      <c r="C3595" s="22">
        <v>45660</v>
      </c>
      <c r="D3595" s="23" t="s">
        <v>122</v>
      </c>
      <c r="E3595" s="23" t="s">
        <v>37</v>
      </c>
      <c r="F3595" s="21">
        <v>1</v>
      </c>
      <c r="G3595" s="12">
        <v>10500</v>
      </c>
      <c r="H3595" s="12">
        <v>10500</v>
      </c>
      <c r="I3595" s="23" t="s">
        <v>52</v>
      </c>
      <c r="J3595" s="23" t="s">
        <v>61</v>
      </c>
      <c r="K3595" s="24" t="s">
        <v>177</v>
      </c>
      <c r="L3595" s="24">
        <v>81</v>
      </c>
      <c r="M3595" s="12">
        <v>8823.5294117647063</v>
      </c>
      <c r="N3595" s="11">
        <v>8823.5294117647063</v>
      </c>
      <c r="O3595" s="11">
        <v>1676.4705882352937</v>
      </c>
      <c r="P3595" s="13"/>
      <c r="Q3595" s="14">
        <v>2025</v>
      </c>
      <c r="R3595" s="15">
        <v>45292</v>
      </c>
      <c r="S3595" s="11" t="s">
        <v>364</v>
      </c>
      <c r="T3595" s="16">
        <v>1000</v>
      </c>
      <c r="U3595" s="17"/>
      <c r="V3595" s="12">
        <v>2385.7142857142853</v>
      </c>
      <c r="W3595" s="12">
        <v>2385.7142857142853</v>
      </c>
      <c r="X3595" s="12">
        <v>0</v>
      </c>
      <c r="Y3595" s="18">
        <v>45656</v>
      </c>
      <c r="Z3595" s="13" t="s">
        <v>503</v>
      </c>
      <c r="AA3595" s="19" t="str">
        <f>VLOOKUP(D3595,Clientes!$A$2:$J$486,9,FALSE)</f>
        <v>Frecuente</v>
      </c>
      <c r="AB3595" s="13" t="str">
        <f>VLOOKUP(D3595,Clientes!$A$2:$K$486,11,FALSE)</f>
        <v>Persona Natural</v>
      </c>
      <c r="AC3595" s="13" t="str">
        <f>VLOOKUP(D3595,Clientes!$A$2:$B$486,2,FALSE)</f>
        <v>Jardines de la Viña</v>
      </c>
      <c r="AD3595" s="20"/>
      <c r="AE3595" s="20"/>
      <c r="AF3595" s="23" t="s">
        <v>782</v>
      </c>
      <c r="AG3595" s="13"/>
      <c r="AH3595" s="13"/>
      <c r="AI3595" s="13" t="s">
        <v>35</v>
      </c>
      <c r="AJ3595" s="13"/>
      <c r="AK3595" s="17"/>
      <c r="AL3595" s="17"/>
      <c r="AM3595" s="17"/>
      <c r="AN3595" s="17"/>
      <c r="AO3595" s="17"/>
      <c r="AP3595" s="17"/>
      <c r="AQ3595" s="17"/>
      <c r="AR3595" s="17"/>
      <c r="AS3595" s="17"/>
      <c r="AT3595" s="17"/>
      <c r="AU3595" s="17"/>
      <c r="AV3595" s="17"/>
    </row>
    <row r="3596" spans="1:48" ht="15.75" customHeight="1">
      <c r="A3596" s="21" t="s">
        <v>53</v>
      </c>
      <c r="B3596" s="23" t="s">
        <v>1692</v>
      </c>
      <c r="C3596" s="22">
        <v>45660</v>
      </c>
      <c r="D3596" s="23" t="s">
        <v>309</v>
      </c>
      <c r="E3596" s="23" t="s">
        <v>192</v>
      </c>
      <c r="F3596" s="21">
        <v>2</v>
      </c>
      <c r="G3596" s="12">
        <v>15990.211345939933</v>
      </c>
      <c r="H3596" s="12">
        <v>31980.422691879867</v>
      </c>
      <c r="I3596" s="23" t="s">
        <v>52</v>
      </c>
      <c r="J3596" s="23" t="s">
        <v>61</v>
      </c>
      <c r="K3596" s="24" t="s">
        <v>177</v>
      </c>
      <c r="L3596" s="24">
        <v>81</v>
      </c>
      <c r="M3596" s="12">
        <v>13437.152391546164</v>
      </c>
      <c r="N3596" s="11">
        <v>26874.304783092328</v>
      </c>
      <c r="O3596" s="11">
        <v>5106.1179087875389</v>
      </c>
      <c r="P3596" s="13"/>
      <c r="Q3596" s="14">
        <v>2025</v>
      </c>
      <c r="R3596" s="15">
        <v>45292</v>
      </c>
      <c r="S3596" s="11" t="s">
        <v>435</v>
      </c>
      <c r="T3596" s="16">
        <v>0</v>
      </c>
      <c r="U3596" s="17"/>
      <c r="V3596" s="12">
        <v>7546.3047830923242</v>
      </c>
      <c r="W3596" s="12">
        <v>7546.3047830923242</v>
      </c>
      <c r="X3596" s="12">
        <v>0</v>
      </c>
      <c r="Y3596" s="18">
        <v>45656</v>
      </c>
      <c r="Z3596" s="13" t="s">
        <v>503</v>
      </c>
      <c r="AA3596" s="19" t="str">
        <f>VLOOKUP(D3596,Clientes!$A$2:$J$486,9,FALSE)</f>
        <v>Ocacional</v>
      </c>
      <c r="AB3596" s="13" t="str">
        <f>VLOOKUP(D3596,Clientes!$A$2:$K$486,11,FALSE)</f>
        <v>Persona Natural</v>
      </c>
      <c r="AC3596" s="13" t="str">
        <f>VLOOKUP(D3596,Clientes!$A$2:$B$486,2,FALSE)</f>
        <v>Jardines de la Viña</v>
      </c>
      <c r="AD3596" s="20"/>
      <c r="AE3596" s="20"/>
      <c r="AF3596" s="23" t="s">
        <v>782</v>
      </c>
      <c r="AG3596" s="13"/>
      <c r="AH3596" s="13"/>
      <c r="AI3596" s="13" t="s">
        <v>53</v>
      </c>
      <c r="AJ3596" s="13"/>
      <c r="AK3596" s="17"/>
      <c r="AL3596" s="17"/>
      <c r="AM3596" s="17"/>
      <c r="AN3596" s="17"/>
      <c r="AO3596" s="17"/>
      <c r="AP3596" s="17"/>
      <c r="AQ3596" s="17"/>
      <c r="AR3596" s="17"/>
      <c r="AS3596" s="17"/>
      <c r="AT3596" s="17"/>
      <c r="AU3596" s="17"/>
      <c r="AV3596" s="17"/>
    </row>
    <row r="3597" spans="1:48" ht="15.75" customHeight="1">
      <c r="A3597" s="21" t="s">
        <v>76</v>
      </c>
      <c r="B3597" s="23" t="s">
        <v>1692</v>
      </c>
      <c r="C3597" s="22">
        <v>45660</v>
      </c>
      <c r="D3597" s="23" t="s">
        <v>307</v>
      </c>
      <c r="E3597" s="23" t="s">
        <v>166</v>
      </c>
      <c r="F3597" s="21">
        <v>1</v>
      </c>
      <c r="G3597" s="12">
        <v>3500.0000000000005</v>
      </c>
      <c r="H3597" s="12">
        <v>3500.0000000000005</v>
      </c>
      <c r="I3597" s="23" t="s">
        <v>52</v>
      </c>
      <c r="J3597" s="23" t="s">
        <v>61</v>
      </c>
      <c r="K3597" s="24" t="s">
        <v>177</v>
      </c>
      <c r="L3597" s="24">
        <v>81</v>
      </c>
      <c r="M3597" s="12">
        <v>2941.1764705882356</v>
      </c>
      <c r="N3597" s="11">
        <v>2941.1764705882356</v>
      </c>
      <c r="O3597" s="11">
        <v>558.82352941176487</v>
      </c>
      <c r="P3597" s="13"/>
      <c r="Q3597" s="14">
        <v>2025</v>
      </c>
      <c r="R3597" s="15">
        <v>45292</v>
      </c>
      <c r="S3597" s="11" t="s">
        <v>448</v>
      </c>
      <c r="T3597" s="16">
        <v>5</v>
      </c>
      <c r="U3597" s="17"/>
      <c r="V3597" s="12">
        <v>1016.8067226890757</v>
      </c>
      <c r="W3597" s="12">
        <v>1016.8067226890757</v>
      </c>
      <c r="X3597" s="12">
        <v>0</v>
      </c>
      <c r="Y3597" s="18">
        <v>45656</v>
      </c>
      <c r="Z3597" s="13" t="s">
        <v>503</v>
      </c>
      <c r="AA3597" s="19" t="str">
        <f>VLOOKUP(D3597,Clientes!$A$2:$J$486,9,FALSE)</f>
        <v>regular</v>
      </c>
      <c r="AB3597" s="13" t="str">
        <f>VLOOKUP(D3597,Clientes!$A$2:$K$486,11,FALSE)</f>
        <v>Empresa</v>
      </c>
      <c r="AC3597" s="13" t="str">
        <f>VLOOKUP(D3597,Clientes!$A$2:$B$486,2,FALSE)</f>
        <v>Jardines de la viña</v>
      </c>
      <c r="AD3597" s="20"/>
      <c r="AE3597" s="20"/>
      <c r="AF3597" s="23" t="s">
        <v>782</v>
      </c>
      <c r="AG3597" s="13"/>
      <c r="AH3597" s="13"/>
      <c r="AI3597" s="13" t="s">
        <v>76</v>
      </c>
      <c r="AJ3597" s="13"/>
      <c r="AK3597" s="17"/>
      <c r="AL3597" s="17"/>
      <c r="AM3597" s="17"/>
      <c r="AN3597" s="17"/>
      <c r="AO3597" s="17"/>
      <c r="AP3597" s="17"/>
      <c r="AQ3597" s="17"/>
      <c r="AR3597" s="17"/>
      <c r="AS3597" s="17"/>
      <c r="AT3597" s="17"/>
      <c r="AU3597" s="17"/>
      <c r="AV3597" s="17"/>
    </row>
    <row r="3598" spans="1:48" ht="15.75" customHeight="1">
      <c r="A3598" s="21" t="s">
        <v>47</v>
      </c>
      <c r="B3598" s="23" t="s">
        <v>1692</v>
      </c>
      <c r="C3598" s="22">
        <v>45660</v>
      </c>
      <c r="D3598" s="23" t="s">
        <v>307</v>
      </c>
      <c r="E3598" s="23" t="s">
        <v>565</v>
      </c>
      <c r="F3598" s="21">
        <v>1</v>
      </c>
      <c r="G3598" s="12">
        <v>6900.2286325825753</v>
      </c>
      <c r="H3598" s="12">
        <v>6900.2286325825753</v>
      </c>
      <c r="I3598" s="23" t="s">
        <v>52</v>
      </c>
      <c r="J3598" s="23" t="s">
        <v>61</v>
      </c>
      <c r="K3598" s="24" t="s">
        <v>177</v>
      </c>
      <c r="L3598" s="24">
        <v>81</v>
      </c>
      <c r="M3598" s="12">
        <v>5798.5114559517442</v>
      </c>
      <c r="N3598" s="11">
        <v>5798.5114559517442</v>
      </c>
      <c r="O3598" s="11">
        <v>1101.7171766308311</v>
      </c>
      <c r="P3598" s="13"/>
      <c r="Q3598" s="14">
        <v>2025</v>
      </c>
      <c r="R3598" s="15">
        <v>45292</v>
      </c>
      <c r="S3598" s="11" t="s">
        <v>372</v>
      </c>
      <c r="T3598" s="16">
        <v>0</v>
      </c>
      <c r="U3598" s="17"/>
      <c r="V3598" s="12">
        <v>2222.5114559517442</v>
      </c>
      <c r="W3598" s="12">
        <v>2222.5114559517442</v>
      </c>
      <c r="X3598" s="12">
        <v>0</v>
      </c>
      <c r="Y3598" s="18">
        <v>45656</v>
      </c>
      <c r="Z3598" s="13" t="s">
        <v>503</v>
      </c>
      <c r="AA3598" s="19" t="str">
        <f>VLOOKUP(D3598,Clientes!$A$2:$J$486,9,FALSE)</f>
        <v>regular</v>
      </c>
      <c r="AB3598" s="13" t="str">
        <f>VLOOKUP(D3598,Clientes!$A$2:$K$486,11,FALSE)</f>
        <v>Empresa</v>
      </c>
      <c r="AC3598" s="13" t="str">
        <f>VLOOKUP(D3598,Clientes!$A$2:$B$486,2,FALSE)</f>
        <v>Jardines de la viña</v>
      </c>
      <c r="AD3598" s="20"/>
      <c r="AE3598" s="20"/>
      <c r="AF3598" s="23" t="s">
        <v>782</v>
      </c>
      <c r="AG3598" s="13"/>
      <c r="AH3598" s="13"/>
      <c r="AI3598" s="13" t="s">
        <v>47</v>
      </c>
      <c r="AJ3598" s="13"/>
      <c r="AK3598" s="17"/>
      <c r="AL3598" s="17"/>
      <c r="AM3598" s="17"/>
      <c r="AN3598" s="17"/>
      <c r="AO3598" s="17"/>
      <c r="AP3598" s="17"/>
      <c r="AQ3598" s="17"/>
      <c r="AR3598" s="17"/>
      <c r="AS3598" s="17"/>
      <c r="AT3598" s="17"/>
      <c r="AU3598" s="17"/>
      <c r="AV3598" s="17"/>
    </row>
    <row r="3599" spans="1:48" ht="15.75" customHeight="1">
      <c r="A3599" s="21" t="s">
        <v>53</v>
      </c>
      <c r="B3599" s="23" t="s">
        <v>1692</v>
      </c>
      <c r="C3599" s="22">
        <v>45660</v>
      </c>
      <c r="D3599" s="23" t="s">
        <v>307</v>
      </c>
      <c r="E3599" s="23" t="s">
        <v>203</v>
      </c>
      <c r="F3599" s="21">
        <v>1</v>
      </c>
      <c r="G3599" s="12">
        <v>9500</v>
      </c>
      <c r="H3599" s="12">
        <v>9500</v>
      </c>
      <c r="I3599" s="23" t="s">
        <v>52</v>
      </c>
      <c r="J3599" s="23" t="s">
        <v>61</v>
      </c>
      <c r="K3599" s="24" t="s">
        <v>177</v>
      </c>
      <c r="L3599" s="24">
        <v>81</v>
      </c>
      <c r="M3599" s="12">
        <v>7983.1932773109247</v>
      </c>
      <c r="N3599" s="11">
        <v>7983.1932773109247</v>
      </c>
      <c r="O3599" s="11">
        <v>1516.8067226890753</v>
      </c>
      <c r="P3599" s="13"/>
      <c r="Q3599" s="14">
        <v>2025</v>
      </c>
      <c r="R3599" s="15">
        <v>45292</v>
      </c>
      <c r="S3599" s="11" t="s">
        <v>366</v>
      </c>
      <c r="T3599" s="16">
        <v>0</v>
      </c>
      <c r="U3599" s="17"/>
      <c r="V3599" s="12">
        <v>3072.2689075630251</v>
      </c>
      <c r="W3599" s="12">
        <v>3072.2689075630251</v>
      </c>
      <c r="X3599" s="12">
        <v>0</v>
      </c>
      <c r="Y3599" s="18">
        <v>45656</v>
      </c>
      <c r="Z3599" s="13" t="s">
        <v>503</v>
      </c>
      <c r="AA3599" s="19" t="str">
        <f>VLOOKUP(D3599,Clientes!$A$2:$J$486,9,FALSE)</f>
        <v>regular</v>
      </c>
      <c r="AB3599" s="13" t="str">
        <f>VLOOKUP(D3599,Clientes!$A$2:$K$486,11,FALSE)</f>
        <v>Empresa</v>
      </c>
      <c r="AC3599" s="13" t="str">
        <f>VLOOKUP(D3599,Clientes!$A$2:$B$486,2,FALSE)</f>
        <v>Jardines de la viña</v>
      </c>
      <c r="AD3599" s="20"/>
      <c r="AE3599" s="20"/>
      <c r="AF3599" s="23" t="s">
        <v>782</v>
      </c>
      <c r="AG3599" s="13"/>
      <c r="AH3599" s="13"/>
      <c r="AI3599" s="13" t="s">
        <v>53</v>
      </c>
      <c r="AJ3599" s="13"/>
      <c r="AK3599" s="17"/>
      <c r="AL3599" s="17"/>
      <c r="AM3599" s="17"/>
      <c r="AN3599" s="17"/>
      <c r="AO3599" s="17"/>
      <c r="AP3599" s="17"/>
      <c r="AQ3599" s="17"/>
      <c r="AR3599" s="17"/>
      <c r="AS3599" s="17"/>
      <c r="AT3599" s="17"/>
      <c r="AU3599" s="17"/>
      <c r="AV3599" s="17"/>
    </row>
    <row r="3600" spans="1:48" ht="15.75" customHeight="1">
      <c r="A3600" s="21" t="s">
        <v>47</v>
      </c>
      <c r="B3600" s="23" t="s">
        <v>1692</v>
      </c>
      <c r="C3600" s="22">
        <v>45660</v>
      </c>
      <c r="D3600" s="23" t="s">
        <v>307</v>
      </c>
      <c r="E3600" s="23" t="s">
        <v>170</v>
      </c>
      <c r="F3600" s="21">
        <v>1</v>
      </c>
      <c r="G3600" s="12">
        <v>1800.1699716713879</v>
      </c>
      <c r="H3600" s="12">
        <v>1800.1699716713879</v>
      </c>
      <c r="I3600" s="23" t="s">
        <v>52</v>
      </c>
      <c r="J3600" s="23" t="s">
        <v>61</v>
      </c>
      <c r="K3600" s="24" t="s">
        <v>177</v>
      </c>
      <c r="L3600" s="24">
        <v>81</v>
      </c>
      <c r="M3600" s="12">
        <v>1512.7478753541075</v>
      </c>
      <c r="N3600" s="11">
        <v>1512.7478753541075</v>
      </c>
      <c r="O3600" s="11">
        <v>287.42209631728042</v>
      </c>
      <c r="P3600" s="13"/>
      <c r="Q3600" s="14">
        <v>2025</v>
      </c>
      <c r="R3600" s="15">
        <v>45292</v>
      </c>
      <c r="S3600" s="11" t="s">
        <v>453</v>
      </c>
      <c r="T3600" s="16">
        <v>0</v>
      </c>
      <c r="U3600" s="17"/>
      <c r="V3600" s="12">
        <v>711.74787535410746</v>
      </c>
      <c r="W3600" s="12">
        <v>711.74787535410746</v>
      </c>
      <c r="X3600" s="12">
        <v>0</v>
      </c>
      <c r="Y3600" s="18">
        <v>45656</v>
      </c>
      <c r="Z3600" s="13" t="s">
        <v>503</v>
      </c>
      <c r="AA3600" s="19" t="str">
        <f>VLOOKUP(D3600,Clientes!$A$2:$J$486,9,FALSE)</f>
        <v>regular</v>
      </c>
      <c r="AB3600" s="13" t="str">
        <f>VLOOKUP(D3600,Clientes!$A$2:$K$486,11,FALSE)</f>
        <v>Empresa</v>
      </c>
      <c r="AC3600" s="13" t="str">
        <f>VLOOKUP(D3600,Clientes!$A$2:$B$486,2,FALSE)</f>
        <v>Jardines de la viña</v>
      </c>
      <c r="AD3600" s="20"/>
      <c r="AE3600" s="20"/>
      <c r="AF3600" s="23" t="s">
        <v>782</v>
      </c>
      <c r="AG3600" s="13"/>
      <c r="AH3600" s="13"/>
      <c r="AI3600" s="13" t="s">
        <v>47</v>
      </c>
      <c r="AJ3600" s="13"/>
      <c r="AK3600" s="17"/>
      <c r="AL3600" s="17"/>
      <c r="AM3600" s="17"/>
      <c r="AN3600" s="17"/>
      <c r="AO3600" s="17"/>
      <c r="AP3600" s="17"/>
      <c r="AQ3600" s="17"/>
      <c r="AR3600" s="17"/>
      <c r="AS3600" s="17"/>
      <c r="AT3600" s="17"/>
      <c r="AU3600" s="17"/>
      <c r="AV3600" s="17"/>
    </row>
    <row r="3601" spans="1:48" ht="15.75" customHeight="1">
      <c r="A3601" s="21" t="s">
        <v>47</v>
      </c>
      <c r="B3601" s="23" t="s">
        <v>1692</v>
      </c>
      <c r="C3601" s="22">
        <v>45660</v>
      </c>
      <c r="D3601" s="23" t="s">
        <v>307</v>
      </c>
      <c r="E3601" s="23" t="s">
        <v>92</v>
      </c>
      <c r="F3601" s="21">
        <v>1</v>
      </c>
      <c r="G3601" s="12">
        <v>3400.2970989164628</v>
      </c>
      <c r="H3601" s="12">
        <v>3400.2970989164628</v>
      </c>
      <c r="I3601" s="23" t="s">
        <v>52</v>
      </c>
      <c r="J3601" s="23" t="s">
        <v>61</v>
      </c>
      <c r="K3601" s="24" t="s">
        <v>177</v>
      </c>
      <c r="L3601" s="24">
        <v>81</v>
      </c>
      <c r="M3601" s="12">
        <v>2857.3925200978679</v>
      </c>
      <c r="N3601" s="11">
        <v>2857.3925200978679</v>
      </c>
      <c r="O3601" s="11">
        <v>542.90457881859493</v>
      </c>
      <c r="P3601" s="13"/>
      <c r="Q3601" s="14">
        <v>2025</v>
      </c>
      <c r="R3601" s="15">
        <v>45292</v>
      </c>
      <c r="S3601" s="11" t="s">
        <v>453</v>
      </c>
      <c r="T3601" s="16">
        <v>0</v>
      </c>
      <c r="U3601" s="17"/>
      <c r="V3601" s="12">
        <v>1222.3925200978679</v>
      </c>
      <c r="W3601" s="12">
        <v>1222.3925200978679</v>
      </c>
      <c r="X3601" s="12">
        <v>0</v>
      </c>
      <c r="Y3601" s="18">
        <v>45656</v>
      </c>
      <c r="Z3601" s="13" t="s">
        <v>503</v>
      </c>
      <c r="AA3601" s="19" t="str">
        <f>VLOOKUP(D3601,Clientes!$A$2:$J$486,9,FALSE)</f>
        <v>regular</v>
      </c>
      <c r="AB3601" s="13" t="str">
        <f>VLOOKUP(D3601,Clientes!$A$2:$K$486,11,FALSE)</f>
        <v>Empresa</v>
      </c>
      <c r="AC3601" s="13" t="str">
        <f>VLOOKUP(D3601,Clientes!$A$2:$B$486,2,FALSE)</f>
        <v>Jardines de la viña</v>
      </c>
      <c r="AD3601" s="20"/>
      <c r="AE3601" s="20"/>
      <c r="AF3601" s="23" t="s">
        <v>782</v>
      </c>
      <c r="AG3601" s="13"/>
      <c r="AH3601" s="13"/>
      <c r="AI3601" s="13" t="s">
        <v>47</v>
      </c>
      <c r="AJ3601" s="13"/>
      <c r="AK3601" s="17"/>
      <c r="AL3601" s="17"/>
      <c r="AM3601" s="17"/>
      <c r="AN3601" s="17"/>
      <c r="AO3601" s="17"/>
      <c r="AP3601" s="17"/>
      <c r="AQ3601" s="17"/>
      <c r="AR3601" s="17"/>
      <c r="AS3601" s="17"/>
      <c r="AT3601" s="17"/>
      <c r="AU3601" s="17"/>
      <c r="AV3601" s="17"/>
    </row>
    <row r="3602" spans="1:48" ht="15.75" customHeight="1">
      <c r="A3602" s="21" t="s">
        <v>76</v>
      </c>
      <c r="B3602" s="23" t="s">
        <v>1692</v>
      </c>
      <c r="C3602" s="22">
        <v>45660</v>
      </c>
      <c r="D3602" s="23" t="s">
        <v>307</v>
      </c>
      <c r="E3602" s="23" t="s">
        <v>82</v>
      </c>
      <c r="F3602" s="21">
        <v>1</v>
      </c>
      <c r="G3602" s="12">
        <v>2000.0000000000002</v>
      </c>
      <c r="H3602" s="12">
        <v>2000.0000000000002</v>
      </c>
      <c r="I3602" s="23" t="s">
        <v>52</v>
      </c>
      <c r="J3602" s="23" t="s">
        <v>61</v>
      </c>
      <c r="K3602" s="24" t="s">
        <v>177</v>
      </c>
      <c r="L3602" s="24">
        <v>81</v>
      </c>
      <c r="M3602" s="12">
        <v>1680.6722689075632</v>
      </c>
      <c r="N3602" s="11">
        <v>1680.6722689075632</v>
      </c>
      <c r="O3602" s="11">
        <v>319.32773109243703</v>
      </c>
      <c r="P3602" s="13"/>
      <c r="Q3602" s="14">
        <v>2025</v>
      </c>
      <c r="R3602" s="15">
        <v>45292</v>
      </c>
      <c r="S3602" s="11" t="s">
        <v>463</v>
      </c>
      <c r="T3602" s="16">
        <v>5</v>
      </c>
      <c r="U3602" s="17"/>
      <c r="V3602" s="12">
        <v>680.67226890756319</v>
      </c>
      <c r="W3602" s="12">
        <v>680.67226890756319</v>
      </c>
      <c r="X3602" s="12">
        <v>0</v>
      </c>
      <c r="Y3602" s="18">
        <v>45656</v>
      </c>
      <c r="Z3602" s="13" t="s">
        <v>503</v>
      </c>
      <c r="AA3602" s="19" t="str">
        <f>VLOOKUP(D3602,Clientes!$A$2:$J$486,9,FALSE)</f>
        <v>regular</v>
      </c>
      <c r="AB3602" s="13" t="str">
        <f>VLOOKUP(D3602,Clientes!$A$2:$K$486,11,FALSE)</f>
        <v>Empresa</v>
      </c>
      <c r="AC3602" s="13" t="str">
        <f>VLOOKUP(D3602,Clientes!$A$2:$B$486,2,FALSE)</f>
        <v>Jardines de la viña</v>
      </c>
      <c r="AD3602" s="20"/>
      <c r="AE3602" s="20"/>
      <c r="AF3602" s="23" t="s">
        <v>782</v>
      </c>
      <c r="AG3602" s="13"/>
      <c r="AH3602" s="13"/>
      <c r="AI3602" s="13" t="s">
        <v>76</v>
      </c>
      <c r="AJ3602" s="13"/>
      <c r="AK3602" s="17"/>
      <c r="AL3602" s="17"/>
      <c r="AM3602" s="17"/>
      <c r="AN3602" s="17"/>
      <c r="AO3602" s="17"/>
      <c r="AP3602" s="17"/>
      <c r="AQ3602" s="17"/>
      <c r="AR3602" s="17"/>
      <c r="AS3602" s="17"/>
      <c r="AT3602" s="17"/>
      <c r="AU3602" s="17"/>
      <c r="AV3602" s="17"/>
    </row>
    <row r="3603" spans="1:48" ht="15.75" customHeight="1">
      <c r="A3603" s="21" t="s">
        <v>47</v>
      </c>
      <c r="B3603" s="23" t="s">
        <v>1692</v>
      </c>
      <c r="C3603" s="22">
        <v>45660</v>
      </c>
      <c r="D3603" s="23" t="s">
        <v>307</v>
      </c>
      <c r="E3603" s="23" t="s">
        <v>328</v>
      </c>
      <c r="F3603" s="21">
        <v>1</v>
      </c>
      <c r="G3603" s="12">
        <v>1400</v>
      </c>
      <c r="H3603" s="12">
        <v>1400</v>
      </c>
      <c r="I3603" s="23" t="s">
        <v>52</v>
      </c>
      <c r="J3603" s="23" t="s">
        <v>61</v>
      </c>
      <c r="K3603" s="24" t="s">
        <v>177</v>
      </c>
      <c r="L3603" s="24">
        <v>81</v>
      </c>
      <c r="M3603" s="12">
        <v>1176.4705882352941</v>
      </c>
      <c r="N3603" s="11">
        <v>1176.4705882352941</v>
      </c>
      <c r="O3603" s="11">
        <v>223.52941176470586</v>
      </c>
      <c r="P3603" s="13"/>
      <c r="Q3603" s="14">
        <v>2025</v>
      </c>
      <c r="R3603" s="15">
        <v>45292</v>
      </c>
      <c r="S3603" s="11" t="s">
        <v>384</v>
      </c>
      <c r="T3603" s="16">
        <v>0</v>
      </c>
      <c r="U3603" s="17"/>
      <c r="V3603" s="12">
        <v>512.47058823529414</v>
      </c>
      <c r="W3603" s="12">
        <v>512.47058823529414</v>
      </c>
      <c r="X3603" s="12">
        <v>0</v>
      </c>
      <c r="Y3603" s="18">
        <v>45656</v>
      </c>
      <c r="Z3603" s="13" t="s">
        <v>503</v>
      </c>
      <c r="AA3603" s="19" t="str">
        <f>VLOOKUP(D3603,Clientes!$A$2:$J$486,9,FALSE)</f>
        <v>regular</v>
      </c>
      <c r="AB3603" s="13" t="str">
        <f>VLOOKUP(D3603,Clientes!$A$2:$K$486,11,FALSE)</f>
        <v>Empresa</v>
      </c>
      <c r="AC3603" s="13" t="str">
        <f>VLOOKUP(D3603,Clientes!$A$2:$B$486,2,FALSE)</f>
        <v>Jardines de la viña</v>
      </c>
      <c r="AD3603" s="20"/>
      <c r="AE3603" s="20"/>
      <c r="AF3603" s="23" t="s">
        <v>782</v>
      </c>
      <c r="AG3603" s="13"/>
      <c r="AH3603" s="13"/>
      <c r="AI3603" s="13" t="s">
        <v>47</v>
      </c>
      <c r="AJ3603" s="13"/>
      <c r="AK3603" s="17"/>
      <c r="AL3603" s="17"/>
      <c r="AM3603" s="17"/>
      <c r="AN3603" s="17"/>
      <c r="AO3603" s="17"/>
      <c r="AP3603" s="17"/>
      <c r="AQ3603" s="17"/>
      <c r="AR3603" s="17"/>
      <c r="AS3603" s="17"/>
      <c r="AT3603" s="17"/>
      <c r="AU3603" s="17"/>
      <c r="AV3603" s="17"/>
    </row>
    <row r="3604" spans="1:48" ht="15.75" customHeight="1">
      <c r="A3604" s="21" t="s">
        <v>64</v>
      </c>
      <c r="B3604" s="23" t="s">
        <v>1692</v>
      </c>
      <c r="C3604" s="22">
        <v>45660</v>
      </c>
      <c r="D3604" s="23" t="s">
        <v>213</v>
      </c>
      <c r="E3604" s="23" t="s">
        <v>65</v>
      </c>
      <c r="F3604" s="21">
        <v>2</v>
      </c>
      <c r="G3604" s="12">
        <v>8199.8671738211688</v>
      </c>
      <c r="H3604" s="12">
        <v>16399.734347642338</v>
      </c>
      <c r="I3604" s="23" t="s">
        <v>52</v>
      </c>
      <c r="J3604" s="23" t="s">
        <v>61</v>
      </c>
      <c r="K3604" s="24" t="s">
        <v>177</v>
      </c>
      <c r="L3604" s="24">
        <v>81</v>
      </c>
      <c r="M3604" s="12">
        <v>6890.6446838833353</v>
      </c>
      <c r="N3604" s="11">
        <v>13781.289367766671</v>
      </c>
      <c r="O3604" s="11">
        <v>2618.4449798756668</v>
      </c>
      <c r="P3604" s="13"/>
      <c r="Q3604" s="14">
        <v>2025</v>
      </c>
      <c r="R3604" s="15">
        <v>45292</v>
      </c>
      <c r="S3604" s="11" t="s">
        <v>64</v>
      </c>
      <c r="T3604" s="16">
        <v>2</v>
      </c>
      <c r="U3604" s="17"/>
      <c r="V3604" s="12">
        <v>2368.3145778507023</v>
      </c>
      <c r="W3604" s="12">
        <v>2368.3145778507023</v>
      </c>
      <c r="X3604" s="12">
        <v>0</v>
      </c>
      <c r="Y3604" s="18">
        <v>45656</v>
      </c>
      <c r="Z3604" s="13" t="s">
        <v>503</v>
      </c>
      <c r="AA3604" s="19" t="str">
        <f>VLOOKUP(D3604,Clientes!$A$2:$J$486,9,FALSE)</f>
        <v>Ocacional</v>
      </c>
      <c r="AB3604" s="13" t="str">
        <f>VLOOKUP(D3604,Clientes!$A$2:$K$486,11,FALSE)</f>
        <v>Persona Natural</v>
      </c>
      <c r="AC3604" s="13" t="str">
        <f>VLOOKUP(D3604,Clientes!$A$2:$B$486,2,FALSE)</f>
        <v>Jardin del eden</v>
      </c>
      <c r="AD3604" s="20"/>
      <c r="AE3604" s="20"/>
      <c r="AF3604" s="23" t="s">
        <v>782</v>
      </c>
      <c r="AG3604" s="13"/>
      <c r="AH3604" s="13"/>
      <c r="AI3604" s="13" t="s">
        <v>64</v>
      </c>
      <c r="AJ3604" s="13"/>
      <c r="AK3604" s="17"/>
      <c r="AL3604" s="17"/>
      <c r="AM3604" s="17"/>
      <c r="AN3604" s="17"/>
      <c r="AO3604" s="17"/>
      <c r="AP3604" s="17"/>
      <c r="AQ3604" s="17"/>
      <c r="AR3604" s="17"/>
      <c r="AS3604" s="17"/>
      <c r="AT3604" s="17"/>
      <c r="AU3604" s="17"/>
      <c r="AV3604" s="17"/>
    </row>
    <row r="3605" spans="1:48" ht="15.75" customHeight="1">
      <c r="A3605" s="21" t="s">
        <v>64</v>
      </c>
      <c r="B3605" s="23" t="s">
        <v>1692</v>
      </c>
      <c r="C3605" s="22">
        <v>45660</v>
      </c>
      <c r="D3605" s="23" t="s">
        <v>213</v>
      </c>
      <c r="E3605" s="23" t="s">
        <v>65</v>
      </c>
      <c r="F3605" s="21">
        <v>2</v>
      </c>
      <c r="G3605" s="12">
        <v>8199.8671738211688</v>
      </c>
      <c r="H3605" s="12">
        <v>16399.734347642338</v>
      </c>
      <c r="I3605" s="23" t="s">
        <v>52</v>
      </c>
      <c r="J3605" s="23" t="s">
        <v>61</v>
      </c>
      <c r="K3605" s="24" t="s">
        <v>177</v>
      </c>
      <c r="L3605" s="24">
        <v>81</v>
      </c>
      <c r="M3605" s="12">
        <v>6890.6446838833353</v>
      </c>
      <c r="N3605" s="11">
        <v>13781.289367766671</v>
      </c>
      <c r="O3605" s="11">
        <v>2618.4449798756668</v>
      </c>
      <c r="P3605" s="13"/>
      <c r="Q3605" s="14">
        <v>2025</v>
      </c>
      <c r="R3605" s="15">
        <v>45292</v>
      </c>
      <c r="S3605" s="11" t="s">
        <v>64</v>
      </c>
      <c r="T3605" s="16">
        <v>2</v>
      </c>
      <c r="U3605" s="17"/>
      <c r="V3605" s="12">
        <v>2368.3145778507023</v>
      </c>
      <c r="W3605" s="12">
        <v>2368.3145778507023</v>
      </c>
      <c r="X3605" s="12">
        <v>0</v>
      </c>
      <c r="Y3605" s="18">
        <v>45656</v>
      </c>
      <c r="Z3605" s="13" t="s">
        <v>503</v>
      </c>
      <c r="AA3605" s="19" t="str">
        <f>VLOOKUP(D3605,Clientes!$A$2:$J$486,9,FALSE)</f>
        <v>Ocacional</v>
      </c>
      <c r="AB3605" s="13" t="str">
        <f>VLOOKUP(D3605,Clientes!$A$2:$K$486,11,FALSE)</f>
        <v>Persona Natural</v>
      </c>
      <c r="AC3605" s="13" t="str">
        <f>VLOOKUP(D3605,Clientes!$A$2:$B$486,2,FALSE)</f>
        <v>Jardin del eden</v>
      </c>
      <c r="AD3605" s="20"/>
      <c r="AE3605" s="20"/>
      <c r="AF3605" s="23" t="s">
        <v>782</v>
      </c>
      <c r="AG3605" s="13"/>
      <c r="AH3605" s="13"/>
      <c r="AI3605" s="13" t="s">
        <v>64</v>
      </c>
      <c r="AJ3605" s="13"/>
      <c r="AK3605" s="17"/>
      <c r="AL3605" s="17"/>
      <c r="AM3605" s="17"/>
      <c r="AN3605" s="17"/>
      <c r="AO3605" s="17"/>
      <c r="AP3605" s="17"/>
      <c r="AQ3605" s="17"/>
      <c r="AR3605" s="17"/>
      <c r="AS3605" s="17"/>
      <c r="AT3605" s="17"/>
      <c r="AU3605" s="17"/>
      <c r="AV3605" s="17"/>
    </row>
    <row r="3606" spans="1:48" ht="15.75" customHeight="1">
      <c r="A3606" s="21" t="s">
        <v>56</v>
      </c>
      <c r="B3606" s="23" t="s">
        <v>1692</v>
      </c>
      <c r="C3606" s="22">
        <v>45660</v>
      </c>
      <c r="D3606" s="23" t="s">
        <v>213</v>
      </c>
      <c r="E3606" s="23" t="s">
        <v>617</v>
      </c>
      <c r="F3606" s="21">
        <v>1</v>
      </c>
      <c r="G3606" s="12">
        <v>8200</v>
      </c>
      <c r="H3606" s="12">
        <v>8200</v>
      </c>
      <c r="I3606" s="23" t="s">
        <v>52</v>
      </c>
      <c r="J3606" s="23" t="s">
        <v>61</v>
      </c>
      <c r="K3606" s="24" t="s">
        <v>177</v>
      </c>
      <c r="L3606" s="24">
        <v>81</v>
      </c>
      <c r="M3606" s="12">
        <v>6890.7563025210084</v>
      </c>
      <c r="N3606" s="11">
        <v>6890.7563025210084</v>
      </c>
      <c r="O3606" s="11">
        <v>1309.2436974789916</v>
      </c>
      <c r="P3606" s="13"/>
      <c r="Q3606" s="14">
        <v>2025</v>
      </c>
      <c r="R3606" s="15">
        <v>45292</v>
      </c>
      <c r="S3606" s="11" t="s">
        <v>429</v>
      </c>
      <c r="T3606" s="16">
        <v>200</v>
      </c>
      <c r="U3606" s="17"/>
      <c r="V3606" s="12">
        <v>1952.9411764705883</v>
      </c>
      <c r="W3606" s="12">
        <v>1952.9411764705883</v>
      </c>
      <c r="X3606" s="12">
        <v>0</v>
      </c>
      <c r="Y3606" s="18">
        <v>45656</v>
      </c>
      <c r="Z3606" s="13" t="s">
        <v>503</v>
      </c>
      <c r="AA3606" s="19" t="str">
        <f>VLOOKUP(D3606,Clientes!$A$2:$J$486,9,FALSE)</f>
        <v>Ocacional</v>
      </c>
      <c r="AB3606" s="13" t="str">
        <f>VLOOKUP(D3606,Clientes!$A$2:$K$486,11,FALSE)</f>
        <v>Persona Natural</v>
      </c>
      <c r="AC3606" s="13" t="str">
        <f>VLOOKUP(D3606,Clientes!$A$2:$B$486,2,FALSE)</f>
        <v>Jardin del eden</v>
      </c>
      <c r="AD3606" s="20"/>
      <c r="AE3606" s="20"/>
      <c r="AF3606" s="23" t="s">
        <v>782</v>
      </c>
      <c r="AG3606" s="13"/>
      <c r="AH3606" s="13"/>
      <c r="AI3606" s="13" t="s">
        <v>56</v>
      </c>
      <c r="AJ3606" s="13"/>
      <c r="AK3606" s="17"/>
      <c r="AL3606" s="17"/>
      <c r="AM3606" s="17"/>
      <c r="AN3606" s="17"/>
      <c r="AO3606" s="17"/>
      <c r="AP3606" s="17"/>
      <c r="AQ3606" s="17"/>
      <c r="AR3606" s="17"/>
      <c r="AS3606" s="17"/>
      <c r="AT3606" s="17"/>
      <c r="AU3606" s="17"/>
      <c r="AV3606" s="17"/>
    </row>
    <row r="3607" spans="1:48" ht="15.75" customHeight="1">
      <c r="A3607" s="21" t="s">
        <v>35</v>
      </c>
      <c r="B3607" s="23" t="s">
        <v>1692</v>
      </c>
      <c r="C3607" s="22">
        <v>45659</v>
      </c>
      <c r="D3607" s="23" t="s">
        <v>184</v>
      </c>
      <c r="E3607" s="23" t="s">
        <v>46</v>
      </c>
      <c r="F3607" s="21">
        <v>1</v>
      </c>
      <c r="G3607" s="12">
        <v>5500</v>
      </c>
      <c r="H3607" s="12">
        <v>5500</v>
      </c>
      <c r="I3607" s="23" t="s">
        <v>52</v>
      </c>
      <c r="J3607" s="23" t="s">
        <v>61</v>
      </c>
      <c r="K3607" s="24" t="s">
        <v>177</v>
      </c>
      <c r="L3607" s="24">
        <v>81</v>
      </c>
      <c r="M3607" s="12">
        <v>4621.8487394957983</v>
      </c>
      <c r="N3607" s="11">
        <v>4621.8487394957983</v>
      </c>
      <c r="O3607" s="11">
        <v>878.15126050420167</v>
      </c>
      <c r="P3607" s="13"/>
      <c r="Q3607" s="14">
        <v>2025</v>
      </c>
      <c r="R3607" s="15">
        <v>45292</v>
      </c>
      <c r="S3607" s="11" t="s">
        <v>364</v>
      </c>
      <c r="T3607" s="16">
        <v>500</v>
      </c>
      <c r="U3607" s="17"/>
      <c r="V3607" s="12">
        <v>1365.1260504201678</v>
      </c>
      <c r="W3607" s="12">
        <v>1365.1260504201678</v>
      </c>
      <c r="X3607" s="12">
        <v>0</v>
      </c>
      <c r="Y3607" s="18">
        <v>45656</v>
      </c>
      <c r="Z3607" s="13" t="s">
        <v>505</v>
      </c>
      <c r="AA3607" s="19" t="str">
        <f>VLOOKUP(D3607,Clientes!$A$2:$J$486,9,FALSE)</f>
        <v>Frecuente</v>
      </c>
      <c r="AB3607" s="13" t="str">
        <f>VLOOKUP(D3607,Clientes!$A$2:$K$486,11,FALSE)</f>
        <v>Persona Natural</v>
      </c>
      <c r="AC3607" s="13" t="str">
        <f>VLOOKUP(D3607,Clientes!$A$2:$B$486,2,FALSE)</f>
        <v>Jardin del Eden</v>
      </c>
      <c r="AD3607" s="20"/>
      <c r="AE3607" s="20"/>
      <c r="AF3607" s="23" t="s">
        <v>782</v>
      </c>
      <c r="AG3607" s="13"/>
      <c r="AH3607" s="13"/>
      <c r="AI3607" s="13" t="s">
        <v>35</v>
      </c>
      <c r="AJ3607" s="13"/>
      <c r="AK3607" s="17"/>
      <c r="AL3607" s="17"/>
      <c r="AM3607" s="17"/>
      <c r="AN3607" s="17"/>
      <c r="AO3607" s="17"/>
      <c r="AP3607" s="17"/>
      <c r="AQ3607" s="17"/>
      <c r="AR3607" s="17"/>
      <c r="AS3607" s="17"/>
      <c r="AT3607" s="17"/>
      <c r="AU3607" s="17"/>
      <c r="AV3607" s="17"/>
    </row>
    <row r="3608" spans="1:48" ht="15.75" customHeight="1">
      <c r="A3608" s="21" t="s">
        <v>43</v>
      </c>
      <c r="B3608" s="23" t="s">
        <v>1692</v>
      </c>
      <c r="C3608" s="22">
        <v>45659</v>
      </c>
      <c r="D3608" s="23" t="s">
        <v>184</v>
      </c>
      <c r="E3608" s="23" t="s">
        <v>45</v>
      </c>
      <c r="F3608" s="21">
        <v>1</v>
      </c>
      <c r="G3608" s="12">
        <v>6499.7815321875905</v>
      </c>
      <c r="H3608" s="12">
        <v>6499.7815321875905</v>
      </c>
      <c r="I3608" s="23" t="s">
        <v>52</v>
      </c>
      <c r="J3608" s="23" t="s">
        <v>61</v>
      </c>
      <c r="K3608" s="24" t="s">
        <v>177</v>
      </c>
      <c r="L3608" s="24">
        <v>81</v>
      </c>
      <c r="M3608" s="12">
        <v>5462.0012875525972</v>
      </c>
      <c r="N3608" s="11">
        <v>5462.0012875525972</v>
      </c>
      <c r="O3608" s="11">
        <v>1037.7802446349933</v>
      </c>
      <c r="P3608" s="13"/>
      <c r="Q3608" s="14">
        <v>2025</v>
      </c>
      <c r="R3608" s="15">
        <v>45292</v>
      </c>
      <c r="S3608" s="11" t="s">
        <v>355</v>
      </c>
      <c r="T3608" s="16">
        <v>0</v>
      </c>
      <c r="U3608" s="17"/>
      <c r="V3608" s="12">
        <v>1711.7912035189838</v>
      </c>
      <c r="W3608" s="12">
        <v>1711.7912035189838</v>
      </c>
      <c r="X3608" s="12">
        <v>0</v>
      </c>
      <c r="Y3608" s="18">
        <v>45656</v>
      </c>
      <c r="Z3608" s="13" t="s">
        <v>505</v>
      </c>
      <c r="AA3608" s="19" t="str">
        <f>VLOOKUP(D3608,Clientes!$A$2:$J$486,9,FALSE)</f>
        <v>Frecuente</v>
      </c>
      <c r="AB3608" s="13" t="str">
        <f>VLOOKUP(D3608,Clientes!$A$2:$K$486,11,FALSE)</f>
        <v>Persona Natural</v>
      </c>
      <c r="AC3608" s="13" t="str">
        <f>VLOOKUP(D3608,Clientes!$A$2:$B$486,2,FALSE)</f>
        <v>Jardin del Eden</v>
      </c>
      <c r="AD3608" s="20"/>
      <c r="AE3608" s="20"/>
      <c r="AF3608" s="23" t="s">
        <v>782</v>
      </c>
      <c r="AG3608" s="13"/>
      <c r="AH3608" s="13"/>
      <c r="AI3608" s="13" t="s">
        <v>43</v>
      </c>
      <c r="AJ3608" s="13"/>
      <c r="AK3608" s="17"/>
      <c r="AL3608" s="17"/>
      <c r="AM3608" s="17"/>
      <c r="AN3608" s="17"/>
      <c r="AO3608" s="17"/>
      <c r="AP3608" s="17"/>
      <c r="AQ3608" s="17"/>
      <c r="AR3608" s="17"/>
      <c r="AS3608" s="17"/>
      <c r="AT3608" s="17"/>
      <c r="AU3608" s="17"/>
      <c r="AV3608" s="17"/>
    </row>
    <row r="3609" spans="1:48" ht="15.75" customHeight="1">
      <c r="A3609" s="21" t="s">
        <v>35</v>
      </c>
      <c r="B3609" s="23" t="s">
        <v>1692</v>
      </c>
      <c r="C3609" s="22">
        <v>45659</v>
      </c>
      <c r="D3609" s="23" t="s">
        <v>122</v>
      </c>
      <c r="E3609" s="23" t="s">
        <v>37</v>
      </c>
      <c r="F3609" s="21">
        <v>1</v>
      </c>
      <c r="G3609" s="12">
        <v>10500</v>
      </c>
      <c r="H3609" s="12">
        <v>10500</v>
      </c>
      <c r="I3609" s="23" t="s">
        <v>52</v>
      </c>
      <c r="J3609" s="23" t="s">
        <v>61</v>
      </c>
      <c r="K3609" s="24" t="s">
        <v>177</v>
      </c>
      <c r="L3609" s="24">
        <v>81</v>
      </c>
      <c r="M3609" s="12">
        <v>8823.5294117647063</v>
      </c>
      <c r="N3609" s="11">
        <v>8823.5294117647063</v>
      </c>
      <c r="O3609" s="11">
        <v>1676.4705882352937</v>
      </c>
      <c r="P3609" s="13"/>
      <c r="Q3609" s="14">
        <v>2025</v>
      </c>
      <c r="R3609" s="15">
        <v>45292</v>
      </c>
      <c r="S3609" s="11" t="s">
        <v>364</v>
      </c>
      <c r="T3609" s="16">
        <v>1000</v>
      </c>
      <c r="U3609" s="17"/>
      <c r="V3609" s="12">
        <v>2385.7142857142853</v>
      </c>
      <c r="W3609" s="12">
        <v>2385.7142857142853</v>
      </c>
      <c r="X3609" s="12">
        <v>0</v>
      </c>
      <c r="Y3609" s="18">
        <v>45656</v>
      </c>
      <c r="Z3609" s="13" t="s">
        <v>505</v>
      </c>
      <c r="AA3609" s="19" t="str">
        <f>VLOOKUP(D3609,Clientes!$A$2:$J$486,9,FALSE)</f>
        <v>Frecuente</v>
      </c>
      <c r="AB3609" s="13" t="str">
        <f>VLOOKUP(D3609,Clientes!$A$2:$K$486,11,FALSE)</f>
        <v>Persona Natural</v>
      </c>
      <c r="AC3609" s="13" t="str">
        <f>VLOOKUP(D3609,Clientes!$A$2:$B$486,2,FALSE)</f>
        <v>Jardines de la Viña</v>
      </c>
      <c r="AD3609" s="20"/>
      <c r="AE3609" s="20"/>
      <c r="AF3609" s="23" t="s">
        <v>782</v>
      </c>
      <c r="AG3609" s="13"/>
      <c r="AH3609" s="13"/>
      <c r="AI3609" s="13" t="s">
        <v>35</v>
      </c>
      <c r="AJ3609" s="13"/>
      <c r="AK3609" s="17"/>
      <c r="AL3609" s="17"/>
      <c r="AM3609" s="17"/>
      <c r="AN3609" s="17"/>
      <c r="AO3609" s="17"/>
      <c r="AP3609" s="17"/>
      <c r="AQ3609" s="17"/>
      <c r="AR3609" s="17"/>
      <c r="AS3609" s="17"/>
      <c r="AT3609" s="17"/>
      <c r="AU3609" s="17"/>
      <c r="AV3609" s="17"/>
    </row>
    <row r="3610" spans="1:48" ht="15.75" customHeight="1">
      <c r="A3610" s="21" t="s">
        <v>35</v>
      </c>
      <c r="B3610" s="23" t="s">
        <v>1692</v>
      </c>
      <c r="C3610" s="22">
        <v>45659</v>
      </c>
      <c r="D3610" s="23" t="s">
        <v>348</v>
      </c>
      <c r="E3610" s="23" t="s">
        <v>46</v>
      </c>
      <c r="F3610" s="21">
        <v>1</v>
      </c>
      <c r="G3610" s="12">
        <v>5500</v>
      </c>
      <c r="H3610" s="12">
        <v>5500</v>
      </c>
      <c r="I3610" s="23" t="s">
        <v>52</v>
      </c>
      <c r="J3610" s="23" t="s">
        <v>61</v>
      </c>
      <c r="K3610" s="24" t="s">
        <v>177</v>
      </c>
      <c r="L3610" s="24">
        <v>81</v>
      </c>
      <c r="M3610" s="12">
        <v>4621.8487394957983</v>
      </c>
      <c r="N3610" s="11">
        <v>4621.8487394957983</v>
      </c>
      <c r="O3610" s="11">
        <v>878.15126050420167</v>
      </c>
      <c r="P3610" s="13"/>
      <c r="Q3610" s="14">
        <v>2025</v>
      </c>
      <c r="R3610" s="15">
        <v>45292</v>
      </c>
      <c r="S3610" s="11" t="s">
        <v>364</v>
      </c>
      <c r="T3610" s="16">
        <v>500</v>
      </c>
      <c r="U3610" s="17"/>
      <c r="V3610" s="12">
        <v>1365.1260504201678</v>
      </c>
      <c r="W3610" s="12">
        <v>1365.1260504201678</v>
      </c>
      <c r="X3610" s="12">
        <v>0</v>
      </c>
      <c r="Y3610" s="18">
        <v>45656</v>
      </c>
      <c r="Z3610" s="13" t="s">
        <v>505</v>
      </c>
      <c r="AA3610" s="19" t="str">
        <f>VLOOKUP(D3610,Clientes!$A$2:$J$486,9,FALSE)</f>
        <v>Regular</v>
      </c>
      <c r="AB3610" s="13" t="str">
        <f>VLOOKUP(D3610,Clientes!$A$2:$K$486,11,FALSE)</f>
        <v>Persona Natural</v>
      </c>
      <c r="AC3610" s="13" t="str">
        <f>VLOOKUP(D3610,Clientes!$A$2:$B$486,2,FALSE)</f>
        <v>Jardines de la Viña</v>
      </c>
      <c r="AD3610" s="20"/>
      <c r="AE3610" s="20"/>
      <c r="AF3610" s="23" t="s">
        <v>782</v>
      </c>
      <c r="AG3610" s="13"/>
      <c r="AH3610" s="13"/>
      <c r="AI3610" s="13" t="s">
        <v>35</v>
      </c>
      <c r="AJ3610" s="13"/>
      <c r="AK3610" s="17"/>
      <c r="AL3610" s="17"/>
      <c r="AM3610" s="17"/>
      <c r="AN3610" s="17"/>
      <c r="AO3610" s="17"/>
      <c r="AP3610" s="17"/>
      <c r="AQ3610" s="17"/>
      <c r="AR3610" s="17"/>
      <c r="AS3610" s="17"/>
      <c r="AT3610" s="17"/>
      <c r="AU3610" s="17"/>
      <c r="AV3610" s="17"/>
    </row>
    <row r="3611" spans="1:48" ht="15.75" customHeight="1">
      <c r="A3611" s="21" t="s">
        <v>47</v>
      </c>
      <c r="B3611" s="23" t="s">
        <v>1692</v>
      </c>
      <c r="C3611" s="22">
        <v>45659</v>
      </c>
      <c r="D3611" s="23" t="s">
        <v>348</v>
      </c>
      <c r="E3611" s="23" t="s">
        <v>295</v>
      </c>
      <c r="F3611" s="21">
        <v>1</v>
      </c>
      <c r="G3611" s="12">
        <v>2599.7755362977696</v>
      </c>
      <c r="H3611" s="12">
        <v>2599.7755362977696</v>
      </c>
      <c r="I3611" s="23" t="s">
        <v>52</v>
      </c>
      <c r="J3611" s="23" t="s">
        <v>61</v>
      </c>
      <c r="K3611" s="24" t="s">
        <v>177</v>
      </c>
      <c r="L3611" s="24">
        <v>81</v>
      </c>
      <c r="M3611" s="12">
        <v>2184.6853246199744</v>
      </c>
      <c r="N3611" s="11">
        <v>2184.6853246199744</v>
      </c>
      <c r="O3611" s="11">
        <v>415.0902116777952</v>
      </c>
      <c r="P3611" s="13"/>
      <c r="Q3611" s="14">
        <v>2025</v>
      </c>
      <c r="R3611" s="15">
        <v>45292</v>
      </c>
      <c r="S3611" s="11" t="s">
        <v>372</v>
      </c>
      <c r="T3611" s="16">
        <v>0</v>
      </c>
      <c r="U3611" s="17"/>
      <c r="V3611" s="12">
        <v>646.88532461997443</v>
      </c>
      <c r="W3611" s="12">
        <v>646.88532461997443</v>
      </c>
      <c r="X3611" s="12">
        <v>0</v>
      </c>
      <c r="Y3611" s="18">
        <v>45656</v>
      </c>
      <c r="Z3611" s="13" t="s">
        <v>505</v>
      </c>
      <c r="AA3611" s="19" t="str">
        <f>VLOOKUP(D3611,Clientes!$A$2:$J$486,9,FALSE)</f>
        <v>Regular</v>
      </c>
      <c r="AB3611" s="13" t="str">
        <f>VLOOKUP(D3611,Clientes!$A$2:$K$486,11,FALSE)</f>
        <v>Persona Natural</v>
      </c>
      <c r="AC3611" s="13" t="str">
        <f>VLOOKUP(D3611,Clientes!$A$2:$B$486,2,FALSE)</f>
        <v>Jardines de la Viña</v>
      </c>
      <c r="AD3611" s="20"/>
      <c r="AE3611" s="20"/>
      <c r="AF3611" s="23" t="s">
        <v>782</v>
      </c>
      <c r="AG3611" s="13"/>
      <c r="AH3611" s="13"/>
      <c r="AI3611" s="13" t="s">
        <v>47</v>
      </c>
      <c r="AJ3611" s="13"/>
      <c r="AK3611" s="17"/>
      <c r="AL3611" s="17"/>
      <c r="AM3611" s="17"/>
      <c r="AN3611" s="17"/>
      <c r="AO3611" s="17"/>
      <c r="AP3611" s="17"/>
      <c r="AQ3611" s="17"/>
      <c r="AR3611" s="17"/>
      <c r="AS3611" s="17"/>
      <c r="AT3611" s="17"/>
      <c r="AU3611" s="17"/>
      <c r="AV3611" s="17"/>
    </row>
    <row r="3612" spans="1:48" ht="15.75" customHeight="1">
      <c r="A3612" s="21" t="s">
        <v>56</v>
      </c>
      <c r="B3612" s="23" t="s">
        <v>1692</v>
      </c>
      <c r="C3612" s="22">
        <v>45659</v>
      </c>
      <c r="D3612" s="23" t="s">
        <v>348</v>
      </c>
      <c r="E3612" s="23" t="s">
        <v>190</v>
      </c>
      <c r="F3612" s="21">
        <v>1</v>
      </c>
      <c r="G3612" s="12">
        <v>2500</v>
      </c>
      <c r="H3612" s="12">
        <v>2500</v>
      </c>
      <c r="I3612" s="23" t="s">
        <v>52</v>
      </c>
      <c r="J3612" s="23" t="s">
        <v>61</v>
      </c>
      <c r="K3612" s="24" t="s">
        <v>177</v>
      </c>
      <c r="L3612" s="24">
        <v>81</v>
      </c>
      <c r="M3612" s="12">
        <v>2100.840336134454</v>
      </c>
      <c r="N3612" s="11">
        <v>2100.840336134454</v>
      </c>
      <c r="O3612" s="11">
        <v>399.15966386554601</v>
      </c>
      <c r="P3612" s="13"/>
      <c r="Q3612" s="14">
        <v>2025</v>
      </c>
      <c r="R3612" s="15">
        <v>45292</v>
      </c>
      <c r="S3612" s="11" t="s">
        <v>492</v>
      </c>
      <c r="T3612" s="16">
        <v>200</v>
      </c>
      <c r="U3612" s="17"/>
      <c r="V3612" s="12">
        <v>631.93277310924373</v>
      </c>
      <c r="W3612" s="12">
        <v>631.93277310924373</v>
      </c>
      <c r="X3612" s="12">
        <v>0</v>
      </c>
      <c r="Y3612" s="18">
        <v>45656</v>
      </c>
      <c r="Z3612" s="13" t="s">
        <v>505</v>
      </c>
      <c r="AA3612" s="19" t="str">
        <f>VLOOKUP(D3612,Clientes!$A$2:$J$486,9,FALSE)</f>
        <v>Regular</v>
      </c>
      <c r="AB3612" s="13" t="str">
        <f>VLOOKUP(D3612,Clientes!$A$2:$K$486,11,FALSE)</f>
        <v>Persona Natural</v>
      </c>
      <c r="AC3612" s="13" t="str">
        <f>VLOOKUP(D3612,Clientes!$A$2:$B$486,2,FALSE)</f>
        <v>Jardines de la Viña</v>
      </c>
      <c r="AD3612" s="20"/>
      <c r="AE3612" s="20"/>
      <c r="AF3612" s="23" t="s">
        <v>782</v>
      </c>
      <c r="AG3612" s="13"/>
      <c r="AH3612" s="13"/>
      <c r="AI3612" s="13" t="s">
        <v>56</v>
      </c>
      <c r="AJ3612" s="13"/>
      <c r="AK3612" s="17"/>
      <c r="AL3612" s="17"/>
      <c r="AM3612" s="17"/>
      <c r="AN3612" s="17"/>
      <c r="AO3612" s="17"/>
      <c r="AP3612" s="17"/>
      <c r="AQ3612" s="17"/>
      <c r="AR3612" s="17"/>
      <c r="AS3612" s="17"/>
      <c r="AT3612" s="17"/>
      <c r="AU3612" s="17"/>
      <c r="AV3612" s="17"/>
    </row>
    <row r="3613" spans="1:48" ht="15.75" customHeight="1">
      <c r="A3613" s="21" t="s">
        <v>53</v>
      </c>
      <c r="B3613" s="23" t="s">
        <v>1692</v>
      </c>
      <c r="C3613" s="22">
        <v>45659</v>
      </c>
      <c r="D3613" s="23" t="s">
        <v>133</v>
      </c>
      <c r="E3613" s="23" t="s">
        <v>97</v>
      </c>
      <c r="F3613" s="21">
        <v>1</v>
      </c>
      <c r="G3613" s="12">
        <v>15500.298388701016</v>
      </c>
      <c r="H3613" s="12">
        <v>15500.298388701016</v>
      </c>
      <c r="I3613" s="23" t="s">
        <v>52</v>
      </c>
      <c r="J3613" s="23" t="s">
        <v>61</v>
      </c>
      <c r="K3613" s="24" t="s">
        <v>177</v>
      </c>
      <c r="L3613" s="24">
        <v>81</v>
      </c>
      <c r="M3613" s="12">
        <v>13025.46083084119</v>
      </c>
      <c r="N3613" s="11">
        <v>13025.46083084119</v>
      </c>
      <c r="O3613" s="11">
        <v>2474.8375578598261</v>
      </c>
      <c r="P3613" s="13"/>
      <c r="Q3613" s="14">
        <v>2025</v>
      </c>
      <c r="R3613" s="15">
        <v>45292</v>
      </c>
      <c r="S3613" s="11" t="s">
        <v>366</v>
      </c>
      <c r="T3613" s="16">
        <v>0</v>
      </c>
      <c r="U3613" s="17"/>
      <c r="V3613" s="12">
        <v>3203.6120913453906</v>
      </c>
      <c r="W3613" s="12">
        <v>3203.6120913453906</v>
      </c>
      <c r="X3613" s="12">
        <v>0</v>
      </c>
      <c r="Y3613" s="18">
        <v>45656</v>
      </c>
      <c r="Z3613" s="13" t="s">
        <v>505</v>
      </c>
      <c r="AA3613" s="19" t="str">
        <f>VLOOKUP(D3613,Clientes!$A$2:$J$486,9,FALSE)</f>
        <v>Frecuente</v>
      </c>
      <c r="AB3613" s="13" t="str">
        <f>VLOOKUP(D3613,Clientes!$A$2:$K$486,11,FALSE)</f>
        <v>Persona Natural</v>
      </c>
      <c r="AC3613" s="13" t="str">
        <f>VLOOKUP(D3613,Clientes!$A$2:$B$486,2,FALSE)</f>
        <v>Jardines de la Viña</v>
      </c>
      <c r="AD3613" s="20"/>
      <c r="AE3613" s="20"/>
      <c r="AF3613" s="23" t="s">
        <v>782</v>
      </c>
      <c r="AG3613" s="13"/>
      <c r="AH3613" s="13"/>
      <c r="AI3613" s="13" t="s">
        <v>53</v>
      </c>
      <c r="AJ3613" s="13"/>
      <c r="AK3613" s="17"/>
      <c r="AL3613" s="17"/>
      <c r="AM3613" s="17"/>
      <c r="AN3613" s="17"/>
      <c r="AO3613" s="17"/>
      <c r="AP3613" s="17"/>
      <c r="AQ3613" s="17"/>
      <c r="AR3613" s="17"/>
      <c r="AS3613" s="17"/>
      <c r="AT3613" s="17"/>
      <c r="AU3613" s="17"/>
      <c r="AV3613" s="17"/>
    </row>
    <row r="3614" spans="1:48" ht="15.75" customHeight="1">
      <c r="A3614" s="21" t="s">
        <v>53</v>
      </c>
      <c r="B3614" s="23" t="s">
        <v>1692</v>
      </c>
      <c r="C3614" s="22">
        <v>45659</v>
      </c>
      <c r="D3614" s="23" t="s">
        <v>152</v>
      </c>
      <c r="E3614" s="23" t="s">
        <v>287</v>
      </c>
      <c r="F3614" s="21">
        <v>2</v>
      </c>
      <c r="G3614" s="12">
        <v>3500.0000000000005</v>
      </c>
      <c r="H3614" s="12">
        <v>7000.0000000000009</v>
      </c>
      <c r="I3614" s="23" t="s">
        <v>52</v>
      </c>
      <c r="J3614" s="23" t="s">
        <v>61</v>
      </c>
      <c r="K3614" s="24" t="s">
        <v>177</v>
      </c>
      <c r="L3614" s="24">
        <v>81</v>
      </c>
      <c r="M3614" s="12">
        <v>2941.1764705882356</v>
      </c>
      <c r="N3614" s="11">
        <v>5882.3529411764712</v>
      </c>
      <c r="O3614" s="11">
        <v>1117.6470588235297</v>
      </c>
      <c r="P3614" s="13"/>
      <c r="Q3614" s="14">
        <v>2025</v>
      </c>
      <c r="R3614" s="15">
        <v>45292</v>
      </c>
      <c r="S3614" s="11" t="s">
        <v>366</v>
      </c>
      <c r="T3614" s="16">
        <v>0</v>
      </c>
      <c r="U3614" s="17"/>
      <c r="V3614" s="12">
        <v>2608.4033613445381</v>
      </c>
      <c r="W3614" s="12">
        <v>2608.4033613445381</v>
      </c>
      <c r="X3614" s="12">
        <v>0</v>
      </c>
      <c r="Y3614" s="18">
        <v>45656</v>
      </c>
      <c r="Z3614" s="13" t="s">
        <v>505</v>
      </c>
      <c r="AA3614" s="19" t="str">
        <f>VLOOKUP(D3614,Clientes!$A$2:$J$486,9,FALSE)</f>
        <v>Ocacional</v>
      </c>
      <c r="AB3614" s="13" t="str">
        <f>VLOOKUP(D3614,Clientes!$A$2:$K$486,11,FALSE)</f>
        <v>Persona Natural</v>
      </c>
      <c r="AC3614" s="13" t="str">
        <f>VLOOKUP(D3614,Clientes!$A$2:$B$486,2,FALSE)</f>
        <v>Jardines de la viña</v>
      </c>
      <c r="AD3614" s="20"/>
      <c r="AE3614" s="20"/>
      <c r="AF3614" s="23" t="s">
        <v>782</v>
      </c>
      <c r="AG3614" s="13"/>
      <c r="AH3614" s="13"/>
      <c r="AI3614" s="13" t="s">
        <v>53</v>
      </c>
      <c r="AJ3614" s="13"/>
      <c r="AK3614" s="17"/>
      <c r="AL3614" s="17"/>
      <c r="AM3614" s="17"/>
      <c r="AN3614" s="17"/>
      <c r="AO3614" s="17"/>
      <c r="AP3614" s="17"/>
      <c r="AQ3614" s="17"/>
      <c r="AR3614" s="17"/>
      <c r="AS3614" s="17"/>
      <c r="AT3614" s="17"/>
      <c r="AU3614" s="17"/>
      <c r="AV3614" s="17"/>
    </row>
    <row r="3615" spans="1:48" ht="15.75" customHeight="1">
      <c r="A3615" s="21" t="s">
        <v>43</v>
      </c>
      <c r="B3615" s="23" t="s">
        <v>1692</v>
      </c>
      <c r="C3615" s="22">
        <v>45659</v>
      </c>
      <c r="D3615" s="23" t="s">
        <v>719</v>
      </c>
      <c r="E3615" s="23" t="s">
        <v>45</v>
      </c>
      <c r="F3615" s="21">
        <v>1</v>
      </c>
      <c r="G3615" s="12">
        <v>6499.7815321875905</v>
      </c>
      <c r="H3615" s="12">
        <v>6499.7815321875905</v>
      </c>
      <c r="I3615" s="23" t="s">
        <v>52</v>
      </c>
      <c r="J3615" s="23" t="s">
        <v>61</v>
      </c>
      <c r="K3615" s="24" t="s">
        <v>177</v>
      </c>
      <c r="L3615" s="24">
        <v>81</v>
      </c>
      <c r="M3615" s="12">
        <v>5462.0012875525972</v>
      </c>
      <c r="N3615" s="11">
        <v>5462.0012875525972</v>
      </c>
      <c r="O3615" s="11">
        <v>1037.7802446349933</v>
      </c>
      <c r="P3615" s="13"/>
      <c r="Q3615" s="14">
        <v>2025</v>
      </c>
      <c r="R3615" s="15">
        <v>45292</v>
      </c>
      <c r="S3615" s="11" t="s">
        <v>355</v>
      </c>
      <c r="T3615" s="16">
        <v>0</v>
      </c>
      <c r="U3615" s="17"/>
      <c r="V3615" s="12">
        <v>1711.7912035189838</v>
      </c>
      <c r="W3615" s="12">
        <v>1711.7912035189838</v>
      </c>
      <c r="X3615" s="12">
        <v>0</v>
      </c>
      <c r="Y3615" s="18">
        <v>45656</v>
      </c>
      <c r="Z3615" s="13" t="s">
        <v>505</v>
      </c>
      <c r="AA3615" s="19" t="str">
        <f>VLOOKUP(D3615,Clientes!$A$2:$J$486,9,FALSE)</f>
        <v>Frecuente</v>
      </c>
      <c r="AB3615" s="13" t="str">
        <f>VLOOKUP(D3615,Clientes!$A$2:$K$486,11,FALSE)</f>
        <v>Persona Natural</v>
      </c>
      <c r="AC3615" s="13" t="str">
        <f>VLOOKUP(D3615,Clientes!$A$2:$B$486,2,FALSE)</f>
        <v>Sector Marcela Paz</v>
      </c>
      <c r="AD3615" s="20"/>
      <c r="AE3615" s="20"/>
      <c r="AF3615" s="23" t="s">
        <v>782</v>
      </c>
      <c r="AG3615" s="13"/>
      <c r="AH3615" s="13"/>
      <c r="AI3615" s="13" t="s">
        <v>43</v>
      </c>
      <c r="AJ3615" s="13"/>
      <c r="AK3615" s="17"/>
      <c r="AL3615" s="17"/>
      <c r="AM3615" s="17"/>
      <c r="AN3615" s="17"/>
      <c r="AO3615" s="17"/>
      <c r="AP3615" s="17"/>
      <c r="AQ3615" s="17"/>
      <c r="AR3615" s="17"/>
      <c r="AS3615" s="17"/>
      <c r="AT3615" s="17"/>
      <c r="AU3615" s="17"/>
      <c r="AV3615" s="17"/>
    </row>
    <row r="3616" spans="1:48" ht="15.75" customHeight="1">
      <c r="A3616" s="21" t="s">
        <v>47</v>
      </c>
      <c r="B3616" s="23" t="s">
        <v>1692</v>
      </c>
      <c r="C3616" s="22">
        <v>45659</v>
      </c>
      <c r="D3616" s="23" t="s">
        <v>915</v>
      </c>
      <c r="E3616" s="23" t="s">
        <v>251</v>
      </c>
      <c r="F3616" s="21">
        <v>1</v>
      </c>
      <c r="G3616" s="12">
        <v>4199.5699490960151</v>
      </c>
      <c r="H3616" s="37">
        <v>4199.5699490960151</v>
      </c>
      <c r="I3616" s="23" t="s">
        <v>52</v>
      </c>
      <c r="J3616" s="23" t="s">
        <v>61</v>
      </c>
      <c r="K3616" s="24" t="s">
        <v>177</v>
      </c>
      <c r="L3616" s="24">
        <v>81</v>
      </c>
      <c r="M3616" s="12">
        <v>3529.0503773916093</v>
      </c>
      <c r="N3616" s="11">
        <v>3529.0503773916093</v>
      </c>
      <c r="O3616" s="11">
        <v>670.51957170440573</v>
      </c>
      <c r="P3616" s="13"/>
      <c r="Q3616" s="14">
        <v>2025</v>
      </c>
      <c r="R3616" s="15">
        <v>45292</v>
      </c>
      <c r="S3616" s="11" t="s">
        <v>621</v>
      </c>
      <c r="T3616" s="16">
        <v>0</v>
      </c>
      <c r="U3616" s="17"/>
      <c r="V3616" s="12">
        <v>848.38371072494283</v>
      </c>
      <c r="W3616" s="12">
        <v>848.38371072494283</v>
      </c>
      <c r="X3616" s="12">
        <v>0</v>
      </c>
      <c r="Y3616" s="18">
        <v>45656</v>
      </c>
      <c r="Z3616" s="13" t="s">
        <v>505</v>
      </c>
      <c r="AA3616" s="19" t="str">
        <f>VLOOKUP(D3616,Clientes!$A$2:$J$486,9,FALSE)</f>
        <v>Regular</v>
      </c>
      <c r="AB3616" s="13" t="str">
        <f>VLOOKUP(D3616,Clientes!$A$2:$K$486,11,FALSE)</f>
        <v>Persona Natural</v>
      </c>
      <c r="AC3616" s="13" t="str">
        <f>VLOOKUP(D3616,Clientes!$A$2:$B$486,2,FALSE)</f>
        <v>Jardin del Eden</v>
      </c>
      <c r="AD3616" s="20"/>
      <c r="AE3616" s="20"/>
      <c r="AF3616" s="23" t="s">
        <v>782</v>
      </c>
      <c r="AG3616" s="13"/>
      <c r="AH3616" s="13"/>
      <c r="AI3616" s="13" t="s">
        <v>47</v>
      </c>
      <c r="AJ3616" s="13"/>
      <c r="AK3616" s="17"/>
      <c r="AL3616" s="17"/>
      <c r="AM3616" s="17"/>
      <c r="AN3616" s="17"/>
      <c r="AO3616" s="17"/>
      <c r="AP3616" s="17"/>
      <c r="AQ3616" s="17"/>
      <c r="AR3616" s="17"/>
      <c r="AS3616" s="17"/>
      <c r="AT3616" s="17"/>
      <c r="AU3616" s="17"/>
      <c r="AV3616" s="17"/>
    </row>
    <row r="3617" spans="1:48" ht="15.75" customHeight="1">
      <c r="A3617" s="21" t="s">
        <v>47</v>
      </c>
      <c r="B3617" s="23" t="s">
        <v>1692</v>
      </c>
      <c r="C3617" s="22">
        <v>45659</v>
      </c>
      <c r="D3617" s="23" t="s">
        <v>915</v>
      </c>
      <c r="E3617" s="23" t="s">
        <v>94</v>
      </c>
      <c r="F3617" s="21">
        <v>1</v>
      </c>
      <c r="G3617" s="12">
        <v>1650</v>
      </c>
      <c r="H3617" s="37">
        <v>1650</v>
      </c>
      <c r="I3617" s="23" t="s">
        <v>52</v>
      </c>
      <c r="J3617" s="23" t="s">
        <v>61</v>
      </c>
      <c r="K3617" s="24" t="s">
        <v>177</v>
      </c>
      <c r="L3617" s="24">
        <v>81</v>
      </c>
      <c r="M3617" s="12">
        <v>1386.5546218487395</v>
      </c>
      <c r="N3617" s="11">
        <v>1386.5546218487395</v>
      </c>
      <c r="O3617" s="11">
        <v>263.44537815126046</v>
      </c>
      <c r="P3617" s="13"/>
      <c r="Q3617" s="14">
        <v>2025</v>
      </c>
      <c r="R3617" s="15">
        <v>45292</v>
      </c>
      <c r="S3617" s="11" t="s">
        <v>384</v>
      </c>
      <c r="T3617" s="16">
        <v>0</v>
      </c>
      <c r="U3617" s="17"/>
      <c r="V3617" s="12">
        <v>455.46218487394958</v>
      </c>
      <c r="W3617" s="12">
        <v>455.46218487394958</v>
      </c>
      <c r="X3617" s="12">
        <v>0</v>
      </c>
      <c r="Y3617" s="18">
        <v>45656</v>
      </c>
      <c r="Z3617" s="13" t="s">
        <v>505</v>
      </c>
      <c r="AA3617" s="19" t="str">
        <f>VLOOKUP(D3617,Clientes!$A$2:$J$486,9,FALSE)</f>
        <v>Regular</v>
      </c>
      <c r="AB3617" s="13" t="str">
        <f>VLOOKUP(D3617,Clientes!$A$2:$K$486,11,FALSE)</f>
        <v>Persona Natural</v>
      </c>
      <c r="AC3617" s="13" t="str">
        <f>VLOOKUP(D3617,Clientes!$A$2:$B$486,2,FALSE)</f>
        <v>Jardin del Eden</v>
      </c>
      <c r="AD3617" s="20"/>
      <c r="AE3617" s="20"/>
      <c r="AF3617" s="23" t="s">
        <v>782</v>
      </c>
      <c r="AG3617" s="13"/>
      <c r="AH3617" s="13"/>
      <c r="AI3617" s="13" t="s">
        <v>47</v>
      </c>
      <c r="AJ3617" s="13"/>
      <c r="AK3617" s="17"/>
      <c r="AL3617" s="17"/>
      <c r="AM3617" s="17"/>
      <c r="AN3617" s="17"/>
      <c r="AO3617" s="17"/>
      <c r="AP3617" s="17"/>
      <c r="AQ3617" s="17"/>
      <c r="AR3617" s="17"/>
      <c r="AS3617" s="17"/>
      <c r="AT3617" s="17"/>
      <c r="AU3617" s="17"/>
      <c r="AV3617" s="17"/>
    </row>
    <row r="3618" spans="1:48" ht="15.75" customHeight="1">
      <c r="A3618" s="21" t="s">
        <v>47</v>
      </c>
      <c r="B3618" s="23" t="s">
        <v>1692</v>
      </c>
      <c r="C3618" s="22">
        <v>45659</v>
      </c>
      <c r="D3618" s="23" t="s">
        <v>915</v>
      </c>
      <c r="E3618" s="23" t="s">
        <v>328</v>
      </c>
      <c r="F3618" s="21">
        <v>1</v>
      </c>
      <c r="G3618" s="12">
        <v>1400</v>
      </c>
      <c r="H3618" s="37">
        <v>1400</v>
      </c>
      <c r="I3618" s="23" t="s">
        <v>52</v>
      </c>
      <c r="J3618" s="23" t="s">
        <v>61</v>
      </c>
      <c r="K3618" s="24" t="s">
        <v>177</v>
      </c>
      <c r="L3618" s="24">
        <v>81</v>
      </c>
      <c r="M3618" s="12">
        <v>1176.4705882352941</v>
      </c>
      <c r="N3618" s="11">
        <v>1176.4705882352941</v>
      </c>
      <c r="O3618" s="11">
        <v>223.52941176470586</v>
      </c>
      <c r="P3618" s="13"/>
      <c r="Q3618" s="14">
        <v>2025</v>
      </c>
      <c r="R3618" s="15">
        <v>45292</v>
      </c>
      <c r="S3618" s="11" t="s">
        <v>384</v>
      </c>
      <c r="T3618" s="16">
        <v>0</v>
      </c>
      <c r="U3618" s="17"/>
      <c r="V3618" s="12">
        <v>512.47058823529414</v>
      </c>
      <c r="W3618" s="12">
        <v>512.47058823529414</v>
      </c>
      <c r="X3618" s="12">
        <v>0</v>
      </c>
      <c r="Y3618" s="18">
        <v>45656</v>
      </c>
      <c r="Z3618" s="13" t="s">
        <v>505</v>
      </c>
      <c r="AA3618" s="19" t="str">
        <f>VLOOKUP(D3618,Clientes!$A$2:$J$486,9,FALSE)</f>
        <v>Regular</v>
      </c>
      <c r="AB3618" s="13" t="str">
        <f>VLOOKUP(D3618,Clientes!$A$2:$K$486,11,FALSE)</f>
        <v>Persona Natural</v>
      </c>
      <c r="AC3618" s="13" t="str">
        <f>VLOOKUP(D3618,Clientes!$A$2:$B$486,2,FALSE)</f>
        <v>Jardin del Eden</v>
      </c>
      <c r="AD3618" s="20"/>
      <c r="AE3618" s="20"/>
      <c r="AF3618" s="23" t="s">
        <v>782</v>
      </c>
      <c r="AG3618" s="13"/>
      <c r="AH3618" s="13"/>
      <c r="AI3618" s="13" t="s">
        <v>47</v>
      </c>
      <c r="AJ3618" s="13"/>
      <c r="AK3618" s="17"/>
      <c r="AL3618" s="17"/>
      <c r="AM3618" s="17"/>
      <c r="AN3618" s="17"/>
      <c r="AO3618" s="17"/>
      <c r="AP3618" s="17"/>
      <c r="AQ3618" s="17"/>
      <c r="AR3618" s="17"/>
      <c r="AS3618" s="17"/>
      <c r="AT3618" s="17"/>
      <c r="AU3618" s="17"/>
      <c r="AV3618" s="17"/>
    </row>
    <row r="3619" spans="1:48" ht="15.75" customHeight="1">
      <c r="A3619" s="21" t="s">
        <v>35</v>
      </c>
      <c r="B3619" s="23" t="s">
        <v>1692</v>
      </c>
      <c r="C3619" s="22">
        <v>45659</v>
      </c>
      <c r="D3619" s="23" t="s">
        <v>125</v>
      </c>
      <c r="E3619" s="23" t="s">
        <v>46</v>
      </c>
      <c r="F3619" s="21">
        <v>1</v>
      </c>
      <c r="G3619" s="12">
        <v>5500</v>
      </c>
      <c r="H3619" s="12">
        <v>5500</v>
      </c>
      <c r="I3619" s="23" t="s">
        <v>52</v>
      </c>
      <c r="J3619" s="23" t="s">
        <v>61</v>
      </c>
      <c r="K3619" s="24" t="s">
        <v>177</v>
      </c>
      <c r="L3619" s="24">
        <v>81</v>
      </c>
      <c r="M3619" s="12">
        <v>4621.8487394957983</v>
      </c>
      <c r="N3619" s="11">
        <v>4621.8487394957983</v>
      </c>
      <c r="O3619" s="11">
        <v>878.15126050420167</v>
      </c>
      <c r="P3619" s="13"/>
      <c r="Q3619" s="14">
        <v>2025</v>
      </c>
      <c r="R3619" s="15">
        <v>45292</v>
      </c>
      <c r="S3619" s="11" t="s">
        <v>364</v>
      </c>
      <c r="T3619" s="16">
        <v>500</v>
      </c>
      <c r="U3619" s="17"/>
      <c r="V3619" s="12">
        <v>1365.1260504201678</v>
      </c>
      <c r="W3619" s="12">
        <v>1365.1260504201678</v>
      </c>
      <c r="X3619" s="12">
        <v>0</v>
      </c>
      <c r="Y3619" s="18">
        <v>45656</v>
      </c>
      <c r="Z3619" s="13" t="s">
        <v>505</v>
      </c>
      <c r="AA3619" s="19" t="str">
        <f>VLOOKUP(D3619,Clientes!$A$2:$J$486,9,FALSE)</f>
        <v>Frecuente</v>
      </c>
      <c r="AB3619" s="13" t="str">
        <f>VLOOKUP(D3619,Clientes!$A$2:$K$486,11,FALSE)</f>
        <v>Persona Natural</v>
      </c>
      <c r="AC3619" s="13" t="str">
        <f>VLOOKUP(D3619,Clientes!$A$2:$B$486,2,FALSE)</f>
        <v>Jardines de la Viña</v>
      </c>
      <c r="AD3619" s="20"/>
      <c r="AE3619" s="20"/>
      <c r="AF3619" s="23" t="s">
        <v>782</v>
      </c>
      <c r="AG3619" s="13"/>
      <c r="AH3619" s="13"/>
      <c r="AI3619" s="13" t="s">
        <v>35</v>
      </c>
      <c r="AJ3619" s="13"/>
      <c r="AK3619" s="17"/>
      <c r="AL3619" s="17"/>
      <c r="AM3619" s="17"/>
      <c r="AN3619" s="17"/>
      <c r="AO3619" s="17"/>
      <c r="AP3619" s="17"/>
      <c r="AQ3619" s="17"/>
      <c r="AR3619" s="17"/>
      <c r="AS3619" s="17"/>
      <c r="AT3619" s="17"/>
      <c r="AU3619" s="17"/>
      <c r="AV3619" s="17"/>
    </row>
    <row r="3620" spans="1:48" ht="15.75" customHeight="1">
      <c r="A3620" s="21" t="s">
        <v>47</v>
      </c>
      <c r="B3620" s="23" t="s">
        <v>1692</v>
      </c>
      <c r="C3620" s="22">
        <v>45659</v>
      </c>
      <c r="D3620" s="23" t="s">
        <v>125</v>
      </c>
      <c r="E3620" s="23" t="s">
        <v>107</v>
      </c>
      <c r="F3620" s="21">
        <v>1</v>
      </c>
      <c r="G3620" s="12">
        <v>3000.0000000000005</v>
      </c>
      <c r="H3620" s="12">
        <v>3000.0000000000005</v>
      </c>
      <c r="I3620" s="23" t="s">
        <v>52</v>
      </c>
      <c r="J3620" s="23" t="s">
        <v>61</v>
      </c>
      <c r="K3620" s="24" t="s">
        <v>177</v>
      </c>
      <c r="L3620" s="24">
        <v>81</v>
      </c>
      <c r="M3620" s="12">
        <v>2521.0084033613452</v>
      </c>
      <c r="N3620" s="11">
        <v>2521.0084033613452</v>
      </c>
      <c r="O3620" s="11">
        <v>478.99159663865521</v>
      </c>
      <c r="P3620" s="13"/>
      <c r="Q3620" s="14">
        <v>2025</v>
      </c>
      <c r="R3620" s="15">
        <v>45292</v>
      </c>
      <c r="S3620" s="11" t="s">
        <v>453</v>
      </c>
      <c r="T3620" s="16">
        <v>0</v>
      </c>
      <c r="U3620" s="17"/>
      <c r="V3620" s="12">
        <v>758.82352941176487</v>
      </c>
      <c r="W3620" s="12">
        <v>758.82352941176487</v>
      </c>
      <c r="X3620" s="12">
        <v>0</v>
      </c>
      <c r="Y3620" s="18">
        <v>45656</v>
      </c>
      <c r="Z3620" s="13" t="s">
        <v>505</v>
      </c>
      <c r="AA3620" s="19" t="str">
        <f>VLOOKUP(D3620,Clientes!$A$2:$J$486,9,FALSE)</f>
        <v>Frecuente</v>
      </c>
      <c r="AB3620" s="13" t="str">
        <f>VLOOKUP(D3620,Clientes!$A$2:$K$486,11,FALSE)</f>
        <v>Persona Natural</v>
      </c>
      <c r="AC3620" s="13" t="str">
        <f>VLOOKUP(D3620,Clientes!$A$2:$B$486,2,FALSE)</f>
        <v>Jardines de la Viña</v>
      </c>
      <c r="AD3620" s="20"/>
      <c r="AE3620" s="20"/>
      <c r="AF3620" s="23" t="s">
        <v>782</v>
      </c>
      <c r="AG3620" s="13"/>
      <c r="AH3620" s="13"/>
      <c r="AI3620" s="13" t="s">
        <v>47</v>
      </c>
      <c r="AJ3620" s="13"/>
      <c r="AK3620" s="17"/>
      <c r="AL3620" s="17"/>
      <c r="AM3620" s="17"/>
      <c r="AN3620" s="17"/>
      <c r="AO3620" s="17"/>
      <c r="AP3620" s="17"/>
      <c r="AQ3620" s="17"/>
      <c r="AR3620" s="17"/>
      <c r="AS3620" s="17"/>
      <c r="AT3620" s="17"/>
      <c r="AU3620" s="17"/>
      <c r="AV3620" s="17"/>
    </row>
    <row r="3621" spans="1:48" ht="15.75" customHeight="1">
      <c r="A3621" s="21" t="s">
        <v>53</v>
      </c>
      <c r="B3621" s="23" t="s">
        <v>1692</v>
      </c>
      <c r="C3621" s="22">
        <v>45659</v>
      </c>
      <c r="D3621" s="23" t="s">
        <v>125</v>
      </c>
      <c r="E3621" s="23" t="s">
        <v>69</v>
      </c>
      <c r="F3621" s="21">
        <v>1</v>
      </c>
      <c r="G3621" s="12">
        <v>2999.9553810458683</v>
      </c>
      <c r="H3621" s="12">
        <v>2999.9553810458683</v>
      </c>
      <c r="I3621" s="23" t="s">
        <v>52</v>
      </c>
      <c r="J3621" s="23" t="s">
        <v>61</v>
      </c>
      <c r="K3621" s="24" t="s">
        <v>177</v>
      </c>
      <c r="L3621" s="24">
        <v>81</v>
      </c>
      <c r="M3621" s="12">
        <v>2520.9709084419064</v>
      </c>
      <c r="N3621" s="11">
        <v>2520.9709084419064</v>
      </c>
      <c r="O3621" s="11">
        <v>478.98447260396188</v>
      </c>
      <c r="P3621" s="13"/>
      <c r="Q3621" s="14">
        <v>2025</v>
      </c>
      <c r="R3621" s="15">
        <v>45292</v>
      </c>
      <c r="S3621" s="11" t="s">
        <v>376</v>
      </c>
      <c r="T3621" s="16">
        <v>0</v>
      </c>
      <c r="U3621" s="17"/>
      <c r="V3621" s="12">
        <v>825.97090844190598</v>
      </c>
      <c r="W3621" s="12">
        <v>825.97090844190598</v>
      </c>
      <c r="X3621" s="12">
        <v>0</v>
      </c>
      <c r="Y3621" s="18">
        <v>45656</v>
      </c>
      <c r="Z3621" s="13" t="s">
        <v>505</v>
      </c>
      <c r="AA3621" s="19" t="str">
        <f>VLOOKUP(D3621,Clientes!$A$2:$J$486,9,FALSE)</f>
        <v>Frecuente</v>
      </c>
      <c r="AB3621" s="13" t="str">
        <f>VLOOKUP(D3621,Clientes!$A$2:$K$486,11,FALSE)</f>
        <v>Persona Natural</v>
      </c>
      <c r="AC3621" s="13" t="str">
        <f>VLOOKUP(D3621,Clientes!$A$2:$B$486,2,FALSE)</f>
        <v>Jardines de la Viña</v>
      </c>
      <c r="AD3621" s="20"/>
      <c r="AE3621" s="20"/>
      <c r="AF3621" s="23" t="s">
        <v>782</v>
      </c>
      <c r="AG3621" s="13"/>
      <c r="AH3621" s="13"/>
      <c r="AI3621" s="13" t="s">
        <v>53</v>
      </c>
      <c r="AJ3621" s="13"/>
      <c r="AK3621" s="17"/>
      <c r="AL3621" s="17"/>
      <c r="AM3621" s="17"/>
      <c r="AN3621" s="17"/>
      <c r="AO3621" s="17"/>
      <c r="AP3621" s="17"/>
      <c r="AQ3621" s="17"/>
      <c r="AR3621" s="17"/>
      <c r="AS3621" s="17"/>
      <c r="AT3621" s="17"/>
      <c r="AU3621" s="17"/>
      <c r="AV3621" s="17"/>
    </row>
    <row r="3622" spans="1:48" ht="15.75" customHeight="1">
      <c r="A3622" s="21" t="s">
        <v>53</v>
      </c>
      <c r="B3622" s="23" t="s">
        <v>1692</v>
      </c>
      <c r="C3622" s="22">
        <v>45659</v>
      </c>
      <c r="D3622" s="23" t="s">
        <v>508</v>
      </c>
      <c r="E3622" s="23" t="s">
        <v>339</v>
      </c>
      <c r="F3622" s="21">
        <v>1</v>
      </c>
      <c r="G3622" s="12">
        <v>4000.0000000000005</v>
      </c>
      <c r="H3622" s="12">
        <v>4000.0000000000005</v>
      </c>
      <c r="I3622" s="23" t="s">
        <v>52</v>
      </c>
      <c r="J3622" s="23" t="s">
        <v>61</v>
      </c>
      <c r="K3622" s="24" t="s">
        <v>177</v>
      </c>
      <c r="L3622" s="24">
        <v>81</v>
      </c>
      <c r="M3622" s="12">
        <v>3361.3445378151264</v>
      </c>
      <c r="N3622" s="11">
        <v>3361.3445378151264</v>
      </c>
      <c r="O3622" s="11">
        <v>638.65546218487407</v>
      </c>
      <c r="P3622" s="13"/>
      <c r="Q3622" s="14">
        <v>2025</v>
      </c>
      <c r="R3622" s="15">
        <v>45292</v>
      </c>
      <c r="S3622" s="11" t="s">
        <v>369</v>
      </c>
      <c r="T3622" s="16">
        <v>0</v>
      </c>
      <c r="U3622" s="17"/>
      <c r="V3622" s="12">
        <v>953.78151260504228</v>
      </c>
      <c r="W3622" s="12">
        <v>953.78151260504228</v>
      </c>
      <c r="X3622" s="12">
        <v>0</v>
      </c>
      <c r="Y3622" s="18">
        <v>45656</v>
      </c>
      <c r="Z3622" s="13" t="s">
        <v>505</v>
      </c>
      <c r="AA3622" s="19" t="str">
        <f>VLOOKUP(D3622,Clientes!$A$2:$J$486,9,FALSE)</f>
        <v>Ocacional</v>
      </c>
      <c r="AB3622" s="13" t="str">
        <f>VLOOKUP(D3622,Clientes!$A$2:$K$486,11,FALSE)</f>
        <v>Persona Natural</v>
      </c>
      <c r="AC3622" s="13" t="str">
        <f>VLOOKUP(D3622,Clientes!$A$2:$B$486,2,FALSE)</f>
        <v>Jardines de la Viña</v>
      </c>
      <c r="AD3622" s="20"/>
      <c r="AE3622" s="20"/>
      <c r="AF3622" s="23" t="s">
        <v>782</v>
      </c>
      <c r="AG3622" s="13"/>
      <c r="AH3622" s="13"/>
      <c r="AI3622" s="13" t="s">
        <v>53</v>
      </c>
      <c r="AJ3622" s="13"/>
      <c r="AK3622" s="17"/>
      <c r="AL3622" s="17"/>
      <c r="AM3622" s="17"/>
      <c r="AN3622" s="17"/>
      <c r="AO3622" s="17"/>
      <c r="AP3622" s="17"/>
      <c r="AQ3622" s="17"/>
      <c r="AR3622" s="17"/>
      <c r="AS3622" s="17"/>
      <c r="AT3622" s="17"/>
      <c r="AU3622" s="17"/>
      <c r="AV3622" s="17"/>
    </row>
    <row r="3623" spans="1:48" ht="15.75" customHeight="1">
      <c r="A3623" s="21" t="s">
        <v>47</v>
      </c>
      <c r="B3623" s="23" t="s">
        <v>1692</v>
      </c>
      <c r="C3623" s="22">
        <v>45659</v>
      </c>
      <c r="D3623" s="23" t="s">
        <v>508</v>
      </c>
      <c r="E3623" s="23" t="s">
        <v>344</v>
      </c>
      <c r="F3623" s="21">
        <v>2</v>
      </c>
      <c r="G3623" s="12">
        <v>2400.1353637901861</v>
      </c>
      <c r="H3623" s="12">
        <v>4800.2707275803723</v>
      </c>
      <c r="I3623" s="23" t="s">
        <v>52</v>
      </c>
      <c r="J3623" s="23" t="s">
        <v>61</v>
      </c>
      <c r="K3623" s="24" t="s">
        <v>177</v>
      </c>
      <c r="L3623" s="24">
        <v>81</v>
      </c>
      <c r="M3623" s="12">
        <v>2016.9204737732657</v>
      </c>
      <c r="N3623" s="11">
        <v>4033.8409475465314</v>
      </c>
      <c r="O3623" s="11">
        <v>766.42978003384087</v>
      </c>
      <c r="P3623" s="13"/>
      <c r="Q3623" s="14">
        <v>2025</v>
      </c>
      <c r="R3623" s="15">
        <v>45292</v>
      </c>
      <c r="S3623" s="11" t="s">
        <v>372</v>
      </c>
      <c r="T3623" s="16">
        <v>0</v>
      </c>
      <c r="U3623" s="17"/>
      <c r="V3623" s="12">
        <v>1649.8409475465314</v>
      </c>
      <c r="W3623" s="12">
        <v>1649.8409475465314</v>
      </c>
      <c r="X3623" s="12">
        <v>0</v>
      </c>
      <c r="Y3623" s="18">
        <v>45656</v>
      </c>
      <c r="Z3623" s="13" t="s">
        <v>505</v>
      </c>
      <c r="AA3623" s="19" t="str">
        <f>VLOOKUP(D3623,Clientes!$A$2:$J$486,9,FALSE)</f>
        <v>Ocacional</v>
      </c>
      <c r="AB3623" s="13" t="str">
        <f>VLOOKUP(D3623,Clientes!$A$2:$K$486,11,FALSE)</f>
        <v>Persona Natural</v>
      </c>
      <c r="AC3623" s="13" t="str">
        <f>VLOOKUP(D3623,Clientes!$A$2:$B$486,2,FALSE)</f>
        <v>Jardines de la Viña</v>
      </c>
      <c r="AD3623" s="20"/>
      <c r="AE3623" s="20"/>
      <c r="AF3623" s="23" t="s">
        <v>782</v>
      </c>
      <c r="AG3623" s="13"/>
      <c r="AH3623" s="13"/>
      <c r="AI3623" s="13" t="s">
        <v>47</v>
      </c>
      <c r="AJ3623" s="13"/>
      <c r="AK3623" s="17"/>
      <c r="AL3623" s="17"/>
      <c r="AM3623" s="17"/>
      <c r="AN3623" s="17"/>
      <c r="AO3623" s="17"/>
      <c r="AP3623" s="17"/>
      <c r="AQ3623" s="17"/>
      <c r="AR3623" s="17"/>
      <c r="AS3623" s="17"/>
      <c r="AT3623" s="17"/>
      <c r="AU3623" s="17"/>
      <c r="AV3623" s="17"/>
    </row>
    <row r="3624" spans="1:48" ht="15.75" customHeight="1">
      <c r="A3624" s="21" t="s">
        <v>76</v>
      </c>
      <c r="B3624" s="23" t="s">
        <v>1692</v>
      </c>
      <c r="C3624" s="22">
        <v>45659</v>
      </c>
      <c r="D3624" s="23" t="s">
        <v>508</v>
      </c>
      <c r="E3624" s="23" t="s">
        <v>82</v>
      </c>
      <c r="F3624" s="21">
        <v>1</v>
      </c>
      <c r="G3624" s="12">
        <v>2000.0000000000002</v>
      </c>
      <c r="H3624" s="12">
        <v>2000.0000000000002</v>
      </c>
      <c r="I3624" s="23" t="s">
        <v>52</v>
      </c>
      <c r="J3624" s="23" t="s">
        <v>61</v>
      </c>
      <c r="K3624" s="24" t="s">
        <v>177</v>
      </c>
      <c r="L3624" s="24">
        <v>81</v>
      </c>
      <c r="M3624" s="12">
        <v>1680.6722689075632</v>
      </c>
      <c r="N3624" s="11">
        <v>1680.6722689075632</v>
      </c>
      <c r="O3624" s="11">
        <v>319.32773109243703</v>
      </c>
      <c r="P3624" s="13"/>
      <c r="Q3624" s="14">
        <v>2025</v>
      </c>
      <c r="R3624" s="15">
        <v>45292</v>
      </c>
      <c r="S3624" s="11" t="s">
        <v>463</v>
      </c>
      <c r="T3624" s="16">
        <v>5</v>
      </c>
      <c r="U3624" s="17"/>
      <c r="V3624" s="12">
        <v>680.67226890756319</v>
      </c>
      <c r="W3624" s="12">
        <v>680.67226890756319</v>
      </c>
      <c r="X3624" s="12">
        <v>0</v>
      </c>
      <c r="Y3624" s="18">
        <v>45656</v>
      </c>
      <c r="Z3624" s="13" t="s">
        <v>505</v>
      </c>
      <c r="AA3624" s="19" t="str">
        <f>VLOOKUP(D3624,Clientes!$A$2:$J$486,9,FALSE)</f>
        <v>Ocacional</v>
      </c>
      <c r="AB3624" s="13" t="str">
        <f>VLOOKUP(D3624,Clientes!$A$2:$K$486,11,FALSE)</f>
        <v>Persona Natural</v>
      </c>
      <c r="AC3624" s="13" t="str">
        <f>VLOOKUP(D3624,Clientes!$A$2:$B$486,2,FALSE)</f>
        <v>Jardines de la Viña</v>
      </c>
      <c r="AD3624" s="20"/>
      <c r="AE3624" s="20"/>
      <c r="AF3624" s="23" t="s">
        <v>782</v>
      </c>
      <c r="AG3624" s="13"/>
      <c r="AH3624" s="13"/>
      <c r="AI3624" s="13" t="s">
        <v>76</v>
      </c>
      <c r="AJ3624" s="13"/>
      <c r="AK3624" s="17"/>
      <c r="AL3624" s="17"/>
      <c r="AM3624" s="17"/>
      <c r="AN3624" s="17"/>
      <c r="AO3624" s="17"/>
      <c r="AP3624" s="17"/>
      <c r="AQ3624" s="17"/>
      <c r="AR3624" s="17"/>
      <c r="AS3624" s="17"/>
      <c r="AT3624" s="17"/>
      <c r="AU3624" s="17"/>
      <c r="AV3624" s="17"/>
    </row>
    <row r="3625" spans="1:48" ht="15.75" customHeight="1">
      <c r="A3625" s="21" t="s">
        <v>76</v>
      </c>
      <c r="B3625" s="23" t="s">
        <v>1692</v>
      </c>
      <c r="C3625" s="22">
        <v>45659</v>
      </c>
      <c r="D3625" s="23" t="s">
        <v>508</v>
      </c>
      <c r="E3625" s="23" t="s">
        <v>216</v>
      </c>
      <c r="F3625" s="21">
        <v>1</v>
      </c>
      <c r="G3625" s="12">
        <v>4300</v>
      </c>
      <c r="H3625" s="12">
        <v>4300</v>
      </c>
      <c r="I3625" s="23" t="s">
        <v>52</v>
      </c>
      <c r="J3625" s="23" t="s">
        <v>61</v>
      </c>
      <c r="K3625" s="24" t="s">
        <v>177</v>
      </c>
      <c r="L3625" s="24">
        <v>81</v>
      </c>
      <c r="M3625" s="12">
        <v>3613.4453781512607</v>
      </c>
      <c r="N3625" s="11">
        <v>3613.4453781512607</v>
      </c>
      <c r="O3625" s="11">
        <v>686.55462184873932</v>
      </c>
      <c r="P3625" s="13"/>
      <c r="Q3625" s="14">
        <v>2025</v>
      </c>
      <c r="R3625" s="15">
        <v>45292</v>
      </c>
      <c r="S3625" s="11" t="s">
        <v>479</v>
      </c>
      <c r="T3625" s="16">
        <v>5</v>
      </c>
      <c r="U3625" s="17"/>
      <c r="V3625" s="12">
        <v>1134.453781512605</v>
      </c>
      <c r="W3625" s="12">
        <v>1134.453781512605</v>
      </c>
      <c r="X3625" s="12">
        <v>0</v>
      </c>
      <c r="Y3625" s="18">
        <v>45656</v>
      </c>
      <c r="Z3625" s="13" t="s">
        <v>505</v>
      </c>
      <c r="AA3625" s="19" t="str">
        <f>VLOOKUP(D3625,Clientes!$A$2:$J$486,9,FALSE)</f>
        <v>Ocacional</v>
      </c>
      <c r="AB3625" s="13" t="str">
        <f>VLOOKUP(D3625,Clientes!$A$2:$K$486,11,FALSE)</f>
        <v>Persona Natural</v>
      </c>
      <c r="AC3625" s="13" t="str">
        <f>VLOOKUP(D3625,Clientes!$A$2:$B$486,2,FALSE)</f>
        <v>Jardines de la Viña</v>
      </c>
      <c r="AD3625" s="20"/>
      <c r="AE3625" s="20"/>
      <c r="AF3625" s="23" t="s">
        <v>782</v>
      </c>
      <c r="AG3625" s="13"/>
      <c r="AH3625" s="13"/>
      <c r="AI3625" s="13" t="s">
        <v>76</v>
      </c>
      <c r="AJ3625" s="13"/>
      <c r="AK3625" s="17"/>
      <c r="AL3625" s="17"/>
      <c r="AM3625" s="17"/>
      <c r="AN3625" s="17"/>
      <c r="AO3625" s="17"/>
      <c r="AP3625" s="17"/>
      <c r="AQ3625" s="17"/>
      <c r="AR3625" s="17"/>
      <c r="AS3625" s="17"/>
      <c r="AT3625" s="17"/>
      <c r="AU3625" s="17"/>
      <c r="AV3625" s="17"/>
    </row>
    <row r="3626" spans="1:48" ht="15.75" customHeight="1">
      <c r="A3626" s="21" t="s">
        <v>47</v>
      </c>
      <c r="B3626" s="23" t="s">
        <v>1692</v>
      </c>
      <c r="C3626" s="22">
        <v>45659</v>
      </c>
      <c r="D3626" s="23" t="s">
        <v>508</v>
      </c>
      <c r="E3626" s="23" t="s">
        <v>48</v>
      </c>
      <c r="F3626" s="21">
        <v>1</v>
      </c>
      <c r="G3626" s="12">
        <v>999.75290338522359</v>
      </c>
      <c r="H3626" s="12">
        <v>999.75290338522359</v>
      </c>
      <c r="I3626" s="23" t="s">
        <v>52</v>
      </c>
      <c r="J3626" s="23" t="s">
        <v>61</v>
      </c>
      <c r="K3626" s="24" t="s">
        <v>177</v>
      </c>
      <c r="L3626" s="24">
        <v>81</v>
      </c>
      <c r="M3626" s="12">
        <v>840.12849023968374</v>
      </c>
      <c r="N3626" s="11">
        <v>840.12849023968374</v>
      </c>
      <c r="O3626" s="11">
        <v>159.62441314553985</v>
      </c>
      <c r="P3626" s="13"/>
      <c r="Q3626" s="14">
        <v>2025</v>
      </c>
      <c r="R3626" s="15">
        <v>45292</v>
      </c>
      <c r="S3626" s="11" t="s">
        <v>416</v>
      </c>
      <c r="T3626" s="16">
        <v>0</v>
      </c>
      <c r="U3626" s="17"/>
      <c r="V3626" s="12">
        <v>330.12849023968374</v>
      </c>
      <c r="W3626" s="12">
        <v>330.12849023968374</v>
      </c>
      <c r="X3626" s="12">
        <v>0</v>
      </c>
      <c r="Y3626" s="18">
        <v>45656</v>
      </c>
      <c r="Z3626" s="13" t="s">
        <v>505</v>
      </c>
      <c r="AA3626" s="19" t="str">
        <f>VLOOKUP(D3626,Clientes!$A$2:$J$486,9,FALSE)</f>
        <v>Ocacional</v>
      </c>
      <c r="AB3626" s="13" t="str">
        <f>VLOOKUP(D3626,Clientes!$A$2:$K$486,11,FALSE)</f>
        <v>Persona Natural</v>
      </c>
      <c r="AC3626" s="13" t="str">
        <f>VLOOKUP(D3626,Clientes!$A$2:$B$486,2,FALSE)</f>
        <v>Jardines de la Viña</v>
      </c>
      <c r="AD3626" s="20"/>
      <c r="AE3626" s="20"/>
      <c r="AF3626" s="23" t="s">
        <v>782</v>
      </c>
      <c r="AG3626" s="13"/>
      <c r="AH3626" s="13"/>
      <c r="AI3626" s="13" t="s">
        <v>47</v>
      </c>
      <c r="AJ3626" s="13"/>
      <c r="AK3626" s="17"/>
      <c r="AL3626" s="17"/>
      <c r="AM3626" s="17"/>
      <c r="AN3626" s="17"/>
      <c r="AO3626" s="17"/>
      <c r="AP3626" s="17"/>
      <c r="AQ3626" s="17"/>
      <c r="AR3626" s="17"/>
      <c r="AS3626" s="17"/>
      <c r="AT3626" s="17"/>
      <c r="AU3626" s="17"/>
      <c r="AV3626" s="17"/>
    </row>
    <row r="3627" spans="1:48" ht="15.75" customHeight="1">
      <c r="A3627" s="21" t="s">
        <v>43</v>
      </c>
      <c r="B3627" s="23" t="s">
        <v>1692</v>
      </c>
      <c r="C3627" s="22">
        <v>45659</v>
      </c>
      <c r="D3627" s="23" t="s">
        <v>219</v>
      </c>
      <c r="E3627" s="23" t="s">
        <v>757</v>
      </c>
      <c r="F3627" s="21">
        <v>1</v>
      </c>
      <c r="G3627" s="12">
        <v>6900.3440187646611</v>
      </c>
      <c r="H3627" s="12">
        <v>6900.3440187646611</v>
      </c>
      <c r="I3627" s="23" t="s">
        <v>52</v>
      </c>
      <c r="J3627" s="23" t="s">
        <v>61</v>
      </c>
      <c r="K3627" s="24" t="s">
        <v>177</v>
      </c>
      <c r="L3627" s="24">
        <v>81</v>
      </c>
      <c r="M3627" s="12">
        <v>5798.6084191299678</v>
      </c>
      <c r="N3627" s="11">
        <v>5798.6084191299678</v>
      </c>
      <c r="O3627" s="11">
        <v>1101.7355996346932</v>
      </c>
      <c r="P3627" s="13"/>
      <c r="Q3627" s="14">
        <v>2025</v>
      </c>
      <c r="R3627" s="15">
        <v>45292</v>
      </c>
      <c r="S3627" s="11" t="s">
        <v>758</v>
      </c>
      <c r="T3627" s="16">
        <v>0</v>
      </c>
      <c r="U3627" s="17"/>
      <c r="V3627" s="12">
        <v>2090.3983350963535</v>
      </c>
      <c r="W3627" s="12">
        <v>2090.3983350963535</v>
      </c>
      <c r="X3627" s="12">
        <v>0</v>
      </c>
      <c r="Y3627" s="18">
        <v>45656</v>
      </c>
      <c r="Z3627" s="13" t="s">
        <v>505</v>
      </c>
      <c r="AA3627" s="19" t="str">
        <f>VLOOKUP(D3627,Clientes!$A$2:$J$486,9,FALSE)</f>
        <v>Ocacional</v>
      </c>
      <c r="AB3627" s="13" t="str">
        <f>VLOOKUP(D3627,Clientes!$A$2:$K$486,11,FALSE)</f>
        <v>Persona Natural</v>
      </c>
      <c r="AC3627" s="13" t="str">
        <f>VLOOKUP(D3627,Clientes!$A$2:$B$486,2,FALSE)</f>
        <v>Jardines de la Viña</v>
      </c>
      <c r="AD3627" s="20"/>
      <c r="AE3627" s="20"/>
      <c r="AF3627" s="23" t="s">
        <v>782</v>
      </c>
      <c r="AG3627" s="13"/>
      <c r="AH3627" s="13"/>
      <c r="AI3627" s="13" t="s">
        <v>43</v>
      </c>
      <c r="AJ3627" s="13"/>
      <c r="AK3627" s="17"/>
      <c r="AL3627" s="17"/>
      <c r="AM3627" s="17"/>
      <c r="AN3627" s="17"/>
      <c r="AO3627" s="17"/>
      <c r="AP3627" s="17"/>
      <c r="AQ3627" s="17"/>
      <c r="AR3627" s="17"/>
      <c r="AS3627" s="17"/>
      <c r="AT3627" s="17"/>
      <c r="AU3627" s="17"/>
      <c r="AV3627" s="17"/>
    </row>
    <row r="3628" spans="1:48" ht="15.75" customHeight="1">
      <c r="A3628" s="21" t="s">
        <v>53</v>
      </c>
      <c r="B3628" s="23" t="s">
        <v>1692</v>
      </c>
      <c r="C3628" s="22">
        <v>45659</v>
      </c>
      <c r="D3628" s="23" t="s">
        <v>331</v>
      </c>
      <c r="E3628" s="23" t="s">
        <v>97</v>
      </c>
      <c r="F3628" s="21">
        <v>1</v>
      </c>
      <c r="G3628" s="12">
        <v>15500.298388701016</v>
      </c>
      <c r="H3628" s="12">
        <v>15500.298388701016</v>
      </c>
      <c r="I3628" s="23" t="s">
        <v>52</v>
      </c>
      <c r="J3628" s="23" t="s">
        <v>61</v>
      </c>
      <c r="K3628" s="24" t="s">
        <v>177</v>
      </c>
      <c r="L3628" s="24">
        <v>81</v>
      </c>
      <c r="M3628" s="12">
        <v>13025.46083084119</v>
      </c>
      <c r="N3628" s="11">
        <v>13025.46083084119</v>
      </c>
      <c r="O3628" s="11">
        <v>2474.8375578598261</v>
      </c>
      <c r="P3628" s="13"/>
      <c r="Q3628" s="14">
        <v>2025</v>
      </c>
      <c r="R3628" s="15">
        <v>45292</v>
      </c>
      <c r="S3628" s="11" t="s">
        <v>366</v>
      </c>
      <c r="T3628" s="16">
        <v>0</v>
      </c>
      <c r="U3628" s="17"/>
      <c r="V3628" s="12">
        <v>3203.6120913453906</v>
      </c>
      <c r="W3628" s="12">
        <v>3203.6120913453906</v>
      </c>
      <c r="X3628" s="12">
        <v>0</v>
      </c>
      <c r="Y3628" s="18">
        <v>45656</v>
      </c>
      <c r="Z3628" s="13" t="s">
        <v>505</v>
      </c>
      <c r="AA3628" s="19" t="str">
        <f>VLOOKUP(D3628,Clientes!$A$2:$J$486,9,FALSE)</f>
        <v>Frecuente</v>
      </c>
      <c r="AB3628" s="13" t="str">
        <f>VLOOKUP(D3628,Clientes!$A$2:$K$486,11,FALSE)</f>
        <v>Persona Natural</v>
      </c>
      <c r="AC3628" s="13" t="str">
        <f>VLOOKUP(D3628,Clientes!$A$2:$B$486,2,FALSE)</f>
        <v>Sector Palena</v>
      </c>
      <c r="AD3628" s="20"/>
      <c r="AE3628" s="20"/>
      <c r="AF3628" s="23" t="s">
        <v>782</v>
      </c>
      <c r="AG3628" s="13"/>
      <c r="AH3628" s="13"/>
      <c r="AI3628" s="13" t="s">
        <v>53</v>
      </c>
      <c r="AJ3628" s="13"/>
      <c r="AK3628" s="17"/>
      <c r="AL3628" s="17"/>
      <c r="AM3628" s="17"/>
      <c r="AN3628" s="17"/>
      <c r="AO3628" s="17"/>
      <c r="AP3628" s="17"/>
      <c r="AQ3628" s="17"/>
      <c r="AR3628" s="17"/>
      <c r="AS3628" s="17"/>
      <c r="AT3628" s="17"/>
      <c r="AU3628" s="17"/>
      <c r="AV3628" s="17"/>
    </row>
    <row r="3629" spans="1:48" ht="15.75" customHeight="1">
      <c r="A3629" s="21" t="s">
        <v>53</v>
      </c>
      <c r="B3629" s="23" t="s">
        <v>1692</v>
      </c>
      <c r="C3629" s="22">
        <v>45659</v>
      </c>
      <c r="D3629" s="23" t="s">
        <v>229</v>
      </c>
      <c r="E3629" s="23" t="s">
        <v>55</v>
      </c>
      <c r="F3629" s="21">
        <v>1</v>
      </c>
      <c r="G3629" s="12">
        <v>19990</v>
      </c>
      <c r="H3629" s="12">
        <v>19990</v>
      </c>
      <c r="I3629" s="23" t="s">
        <v>52</v>
      </c>
      <c r="J3629" s="23" t="s">
        <v>61</v>
      </c>
      <c r="K3629" s="24" t="s">
        <v>177</v>
      </c>
      <c r="L3629" s="24">
        <v>81</v>
      </c>
      <c r="M3629" s="12">
        <v>16798.319327731093</v>
      </c>
      <c r="N3629" s="11">
        <v>16798.319327731093</v>
      </c>
      <c r="O3629" s="11">
        <v>3191.6806722689071</v>
      </c>
      <c r="P3629" s="13"/>
      <c r="Q3629" s="14">
        <v>2025</v>
      </c>
      <c r="R3629" s="15">
        <v>45292</v>
      </c>
      <c r="S3629" s="11" t="s">
        <v>366</v>
      </c>
      <c r="T3629" s="16">
        <v>0</v>
      </c>
      <c r="U3629" s="17"/>
      <c r="V3629" s="12">
        <v>3702.5210084033606</v>
      </c>
      <c r="W3629" s="12">
        <v>3702.5210084033606</v>
      </c>
      <c r="X3629" s="12">
        <v>0</v>
      </c>
      <c r="Y3629" s="18">
        <v>45656</v>
      </c>
      <c r="Z3629" s="13" t="s">
        <v>505</v>
      </c>
      <c r="AA3629" s="19" t="str">
        <f>VLOOKUP(D3629,Clientes!$A$2:$J$486,9,FALSE)</f>
        <v>Frecuente</v>
      </c>
      <c r="AB3629" s="13" t="str">
        <f>VLOOKUP(D3629,Clientes!$A$2:$K$486,11,FALSE)</f>
        <v>Persona Natural</v>
      </c>
      <c r="AC3629" s="13" t="str">
        <f>VLOOKUP(D3629,Clientes!$A$2:$B$486,2,FALSE)</f>
        <v>Sector Santa Delia</v>
      </c>
      <c r="AD3629" s="20"/>
      <c r="AE3629" s="20"/>
      <c r="AF3629" s="23" t="s">
        <v>782</v>
      </c>
      <c r="AG3629" s="13"/>
      <c r="AH3629" s="13"/>
      <c r="AI3629" s="13" t="s">
        <v>53</v>
      </c>
      <c r="AJ3629" s="13"/>
      <c r="AK3629" s="17"/>
      <c r="AL3629" s="17"/>
      <c r="AM3629" s="17"/>
      <c r="AN3629" s="17"/>
      <c r="AO3629" s="17"/>
      <c r="AP3629" s="17"/>
      <c r="AQ3629" s="17"/>
      <c r="AR3629" s="17"/>
      <c r="AS3629" s="17"/>
      <c r="AT3629" s="17"/>
      <c r="AU3629" s="17"/>
      <c r="AV3629" s="17"/>
    </row>
    <row r="3630" spans="1:48" ht="15.75" customHeight="1">
      <c r="A3630" s="21" t="s">
        <v>43</v>
      </c>
      <c r="B3630" s="23" t="s">
        <v>1692</v>
      </c>
      <c r="C3630" s="22">
        <v>45659</v>
      </c>
      <c r="D3630" s="23" t="s">
        <v>227</v>
      </c>
      <c r="E3630" s="23" t="s">
        <v>45</v>
      </c>
      <c r="F3630" s="21">
        <v>1</v>
      </c>
      <c r="G3630" s="12">
        <v>6499.7815321875905</v>
      </c>
      <c r="H3630" s="12">
        <v>6499.7815321875905</v>
      </c>
      <c r="I3630" s="23" t="s">
        <v>52</v>
      </c>
      <c r="J3630" s="23" t="s">
        <v>61</v>
      </c>
      <c r="K3630" s="24" t="s">
        <v>177</v>
      </c>
      <c r="L3630" s="24">
        <v>81</v>
      </c>
      <c r="M3630" s="12">
        <v>5462.0012875525972</v>
      </c>
      <c r="N3630" s="11">
        <v>5462.0012875525972</v>
      </c>
      <c r="O3630" s="11">
        <v>1037.7802446349933</v>
      </c>
      <c r="P3630" s="13"/>
      <c r="Q3630" s="14">
        <v>2025</v>
      </c>
      <c r="R3630" s="15">
        <v>45292</v>
      </c>
      <c r="S3630" s="11" t="s">
        <v>355</v>
      </c>
      <c r="T3630" s="16">
        <v>0</v>
      </c>
      <c r="U3630" s="17"/>
      <c r="V3630" s="12">
        <v>1711.7912035189838</v>
      </c>
      <c r="W3630" s="12">
        <v>1711.7912035189838</v>
      </c>
      <c r="X3630" s="12">
        <v>0</v>
      </c>
      <c r="Y3630" s="18">
        <v>45656</v>
      </c>
      <c r="Z3630" s="13" t="s">
        <v>505</v>
      </c>
      <c r="AA3630" s="19" t="str">
        <f>VLOOKUP(D3630,Clientes!$A$2:$J$486,9,FALSE)</f>
        <v>Frecuente</v>
      </c>
      <c r="AB3630" s="13" t="str">
        <f>VLOOKUP(D3630,Clientes!$A$2:$K$486,11,FALSE)</f>
        <v>Persona Natural</v>
      </c>
      <c r="AC3630" s="13" t="str">
        <f>VLOOKUP(D3630,Clientes!$A$2:$B$486,2,FALSE)</f>
        <v>Sector Santa Amalia</v>
      </c>
      <c r="AD3630" s="20"/>
      <c r="AE3630" s="20"/>
      <c r="AF3630" s="23" t="s">
        <v>782</v>
      </c>
      <c r="AG3630" s="13"/>
      <c r="AH3630" s="13"/>
      <c r="AI3630" s="13" t="s">
        <v>43</v>
      </c>
      <c r="AJ3630" s="13"/>
      <c r="AK3630" s="17"/>
      <c r="AL3630" s="17"/>
      <c r="AM3630" s="17"/>
      <c r="AN3630" s="17"/>
      <c r="AO3630" s="17"/>
      <c r="AP3630" s="17"/>
      <c r="AQ3630" s="17"/>
      <c r="AR3630" s="17"/>
      <c r="AS3630" s="17"/>
      <c r="AT3630" s="17"/>
      <c r="AU3630" s="17"/>
      <c r="AV3630" s="17"/>
    </row>
    <row r="3631" spans="1:48" ht="15.75" customHeight="1">
      <c r="A3631" s="21" t="s">
        <v>53</v>
      </c>
      <c r="B3631" s="13" t="s">
        <v>1692</v>
      </c>
      <c r="C3631" s="22">
        <v>45659</v>
      </c>
      <c r="D3631" s="23" t="s">
        <v>227</v>
      </c>
      <c r="E3631" s="23" t="s">
        <v>55</v>
      </c>
      <c r="F3631" s="21">
        <v>1</v>
      </c>
      <c r="G3631" s="12">
        <v>19990</v>
      </c>
      <c r="H3631" s="12">
        <v>19990</v>
      </c>
      <c r="I3631" s="23" t="s">
        <v>52</v>
      </c>
      <c r="J3631" s="23" t="s">
        <v>61</v>
      </c>
      <c r="K3631" s="24" t="s">
        <v>177</v>
      </c>
      <c r="L3631" s="24">
        <v>81</v>
      </c>
      <c r="M3631" s="12">
        <v>16798.319327731093</v>
      </c>
      <c r="N3631" s="11">
        <v>16798.319327731093</v>
      </c>
      <c r="O3631" s="11">
        <v>3191.6806722689071</v>
      </c>
      <c r="P3631" s="13"/>
      <c r="Q3631" s="14">
        <v>2025</v>
      </c>
      <c r="R3631" s="15">
        <v>45292</v>
      </c>
      <c r="S3631" s="11" t="s">
        <v>366</v>
      </c>
      <c r="T3631" s="16">
        <v>0</v>
      </c>
      <c r="U3631" s="17"/>
      <c r="V3631" s="12">
        <v>3702.5210084033606</v>
      </c>
      <c r="W3631" s="12">
        <v>3702.5210084033606</v>
      </c>
      <c r="X3631" s="12">
        <v>0</v>
      </c>
      <c r="Y3631" s="18">
        <v>45656</v>
      </c>
      <c r="Z3631" s="13" t="s">
        <v>505</v>
      </c>
      <c r="AA3631" s="19" t="str">
        <f>VLOOKUP(D3631,Clientes!$A$2:$J$486,9,FALSE)</f>
        <v>Frecuente</v>
      </c>
      <c r="AB3631" s="13" t="str">
        <f>VLOOKUP(D3631,Clientes!$A$2:$K$486,11,FALSE)</f>
        <v>Persona Natural</v>
      </c>
      <c r="AC3631" s="13" t="str">
        <f>VLOOKUP(D3631,Clientes!$A$2:$B$486,2,FALSE)</f>
        <v>Sector Santa Amalia</v>
      </c>
      <c r="AD3631" s="20"/>
      <c r="AE3631" s="20"/>
      <c r="AF3631" s="23" t="s">
        <v>782</v>
      </c>
      <c r="AG3631" s="13"/>
      <c r="AH3631" s="13"/>
      <c r="AI3631" s="13" t="s">
        <v>53</v>
      </c>
      <c r="AJ3631" s="13"/>
      <c r="AK3631" s="17"/>
      <c r="AL3631" s="17"/>
      <c r="AM3631" s="17"/>
      <c r="AN3631" s="17"/>
      <c r="AO3631" s="17"/>
      <c r="AP3631" s="17"/>
      <c r="AQ3631" s="17"/>
      <c r="AR3631" s="17"/>
      <c r="AS3631" s="17"/>
      <c r="AT3631" s="17"/>
      <c r="AU3631" s="17"/>
      <c r="AV3631" s="17"/>
    </row>
    <row r="3632" spans="1:48" ht="13.2">
      <c r="G3632" s="40"/>
      <c r="H3632" s="40"/>
      <c r="K3632" s="40"/>
      <c r="L3632" s="40"/>
      <c r="M3632" s="40"/>
      <c r="N3632" s="40"/>
      <c r="O3632" s="40"/>
      <c r="R3632" s="42"/>
      <c r="V3632" s="40"/>
      <c r="W3632" s="40"/>
    </row>
    <row r="3633" spans="7:23" ht="13.2">
      <c r="G3633" s="40"/>
      <c r="H3633" s="40"/>
      <c r="K3633" s="40"/>
      <c r="L3633" s="40"/>
      <c r="M3633" s="40"/>
      <c r="N3633" s="40"/>
      <c r="O3633" s="40"/>
      <c r="R3633" s="42"/>
      <c r="V3633" s="40"/>
      <c r="W3633" s="40"/>
    </row>
    <row r="3634" spans="7:23" ht="13.2">
      <c r="G3634" s="40"/>
      <c r="H3634" s="40"/>
      <c r="K3634" s="40"/>
      <c r="L3634" s="40"/>
      <c r="M3634" s="40"/>
      <c r="N3634" s="40"/>
      <c r="O3634" s="40"/>
      <c r="R3634" s="42"/>
      <c r="V3634" s="40"/>
      <c r="W3634" s="40"/>
    </row>
    <row r="3635" spans="7:23" ht="13.2">
      <c r="G3635" s="40"/>
      <c r="H3635" s="40"/>
      <c r="K3635" s="40"/>
      <c r="L3635" s="40"/>
      <c r="M3635" s="40"/>
      <c r="N3635" s="40"/>
      <c r="O3635" s="40"/>
      <c r="R3635" s="42"/>
      <c r="V3635" s="40"/>
      <c r="W3635" s="40"/>
    </row>
    <row r="3636" spans="7:23" ht="13.2">
      <c r="G3636" s="40"/>
      <c r="H3636" s="40"/>
      <c r="K3636" s="40"/>
      <c r="L3636" s="40"/>
      <c r="M3636" s="40"/>
      <c r="N3636" s="40"/>
      <c r="O3636" s="40"/>
      <c r="R3636" s="42"/>
      <c r="V3636" s="40"/>
      <c r="W3636" s="40"/>
    </row>
    <row r="3637" spans="7:23" ht="13.2">
      <c r="G3637" s="40"/>
      <c r="H3637" s="40"/>
      <c r="K3637" s="40"/>
      <c r="L3637" s="40"/>
      <c r="M3637" s="40"/>
      <c r="N3637" s="40"/>
      <c r="O3637" s="40"/>
      <c r="R3637" s="42"/>
      <c r="V3637" s="40"/>
      <c r="W3637" s="40"/>
    </row>
    <row r="3638" spans="7:23" ht="13.2">
      <c r="G3638" s="40"/>
      <c r="H3638" s="40"/>
      <c r="K3638" s="40"/>
      <c r="L3638" s="40"/>
      <c r="M3638" s="40"/>
      <c r="N3638" s="40"/>
      <c r="O3638" s="40"/>
      <c r="R3638" s="42"/>
      <c r="V3638" s="40"/>
      <c r="W3638" s="40"/>
    </row>
    <row r="3639" spans="7:23" ht="13.2">
      <c r="G3639" s="40"/>
      <c r="H3639" s="40"/>
      <c r="K3639" s="40"/>
      <c r="L3639" s="40"/>
      <c r="M3639" s="40"/>
      <c r="N3639" s="40"/>
      <c r="O3639" s="40"/>
      <c r="R3639" s="42"/>
      <c r="V3639" s="40"/>
      <c r="W3639" s="40"/>
    </row>
    <row r="3640" spans="7:23" ht="13.2">
      <c r="G3640" s="40"/>
      <c r="H3640" s="40"/>
      <c r="K3640" s="40"/>
      <c r="L3640" s="40"/>
      <c r="M3640" s="40"/>
      <c r="N3640" s="40"/>
      <c r="O3640" s="40"/>
      <c r="R3640" s="42"/>
      <c r="V3640" s="40"/>
      <c r="W3640" s="40"/>
    </row>
    <row r="3641" spans="7:23" ht="13.2">
      <c r="G3641" s="40"/>
      <c r="H3641" s="40"/>
      <c r="K3641" s="40"/>
      <c r="L3641" s="40"/>
      <c r="M3641" s="40"/>
      <c r="N3641" s="40"/>
      <c r="O3641" s="40"/>
      <c r="R3641" s="42"/>
      <c r="V3641" s="40"/>
      <c r="W3641" s="40"/>
    </row>
    <row r="3642" spans="7:23" ht="13.2">
      <c r="G3642" s="40"/>
      <c r="H3642" s="40"/>
      <c r="K3642" s="40"/>
      <c r="L3642" s="40"/>
      <c r="M3642" s="40"/>
      <c r="N3642" s="40"/>
      <c r="O3642" s="40"/>
      <c r="R3642" s="42"/>
      <c r="V3642" s="40"/>
      <c r="W3642" s="40"/>
    </row>
    <row r="3643" spans="7:23" ht="13.2">
      <c r="G3643" s="40"/>
      <c r="H3643" s="40"/>
      <c r="K3643" s="40"/>
      <c r="L3643" s="40"/>
      <c r="M3643" s="40"/>
      <c r="N3643" s="40"/>
      <c r="O3643" s="40"/>
      <c r="R3643" s="42"/>
      <c r="V3643" s="40"/>
      <c r="W3643" s="40"/>
    </row>
    <row r="3644" spans="7:23" ht="13.2">
      <c r="G3644" s="40"/>
      <c r="H3644" s="40"/>
      <c r="K3644" s="40"/>
      <c r="L3644" s="40"/>
      <c r="M3644" s="40"/>
      <c r="N3644" s="40"/>
      <c r="O3644" s="40"/>
      <c r="R3644" s="42"/>
      <c r="V3644" s="40"/>
      <c r="W3644" s="40"/>
    </row>
    <row r="3645" spans="7:23" ht="13.2">
      <c r="G3645" s="40"/>
      <c r="H3645" s="40"/>
      <c r="K3645" s="40"/>
      <c r="L3645" s="40"/>
      <c r="M3645" s="40"/>
      <c r="N3645" s="40"/>
      <c r="O3645" s="40"/>
      <c r="R3645" s="42"/>
      <c r="V3645" s="40"/>
      <c r="W3645" s="40"/>
    </row>
    <row r="3646" spans="7:23" ht="13.2">
      <c r="G3646" s="40"/>
      <c r="H3646" s="40"/>
      <c r="K3646" s="40"/>
      <c r="L3646" s="40"/>
      <c r="M3646" s="40"/>
      <c r="N3646" s="40"/>
      <c r="O3646" s="40"/>
      <c r="R3646" s="42"/>
      <c r="V3646" s="40"/>
      <c r="W3646" s="40"/>
    </row>
    <row r="3647" spans="7:23" ht="13.2">
      <c r="G3647" s="40"/>
      <c r="H3647" s="40"/>
      <c r="K3647" s="40"/>
      <c r="L3647" s="40"/>
      <c r="M3647" s="40"/>
      <c r="N3647" s="40"/>
      <c r="O3647" s="40"/>
      <c r="R3647" s="42"/>
      <c r="V3647" s="40"/>
      <c r="W3647" s="40"/>
    </row>
    <row r="3648" spans="7:23" ht="13.2">
      <c r="G3648" s="40"/>
      <c r="H3648" s="40"/>
      <c r="K3648" s="40"/>
      <c r="L3648" s="40"/>
      <c r="M3648" s="40"/>
      <c r="N3648" s="40"/>
      <c r="O3648" s="40"/>
      <c r="R3648" s="42"/>
      <c r="V3648" s="40"/>
      <c r="W3648" s="40"/>
    </row>
    <row r="3649" spans="7:23" ht="13.2">
      <c r="G3649" s="40"/>
      <c r="H3649" s="40"/>
      <c r="K3649" s="40"/>
      <c r="L3649" s="40"/>
      <c r="M3649" s="40"/>
      <c r="N3649" s="40"/>
      <c r="O3649" s="40"/>
      <c r="R3649" s="42"/>
      <c r="V3649" s="40"/>
      <c r="W3649" s="40"/>
    </row>
    <row r="3650" spans="7:23" ht="13.2">
      <c r="G3650" s="40"/>
      <c r="H3650" s="40"/>
      <c r="K3650" s="40"/>
      <c r="L3650" s="40"/>
      <c r="M3650" s="40"/>
      <c r="N3650" s="40"/>
      <c r="O3650" s="40"/>
      <c r="R3650" s="42"/>
      <c r="V3650" s="40"/>
      <c r="W3650" s="40"/>
    </row>
    <row r="3651" spans="7:23" ht="13.2">
      <c r="G3651" s="40"/>
      <c r="H3651" s="40"/>
      <c r="K3651" s="40"/>
      <c r="L3651" s="40"/>
      <c r="M3651" s="40"/>
      <c r="N3651" s="40"/>
      <c r="O3651" s="40"/>
      <c r="R3651" s="42"/>
      <c r="V3651" s="40"/>
      <c r="W3651" s="40"/>
    </row>
    <row r="3652" spans="7:23" ht="13.2">
      <c r="G3652" s="40"/>
      <c r="H3652" s="40"/>
      <c r="K3652" s="40"/>
      <c r="L3652" s="40"/>
      <c r="M3652" s="40"/>
      <c r="N3652" s="40"/>
      <c r="O3652" s="40"/>
      <c r="R3652" s="42"/>
      <c r="V3652" s="40"/>
      <c r="W3652" s="40"/>
    </row>
    <row r="3653" spans="7:23" ht="13.2">
      <c r="G3653" s="40"/>
      <c r="H3653" s="40"/>
      <c r="K3653" s="40"/>
      <c r="L3653" s="40"/>
      <c r="M3653" s="40"/>
      <c r="N3653" s="40"/>
      <c r="O3653" s="40"/>
      <c r="R3653" s="42"/>
      <c r="V3653" s="40"/>
      <c r="W3653" s="40"/>
    </row>
    <row r="3654" spans="7:23" ht="13.2">
      <c r="G3654" s="40"/>
      <c r="H3654" s="40"/>
      <c r="K3654" s="40"/>
      <c r="L3654" s="40"/>
      <c r="M3654" s="40"/>
      <c r="N3654" s="40"/>
      <c r="O3654" s="40"/>
      <c r="R3654" s="42"/>
      <c r="V3654" s="40"/>
      <c r="W3654" s="40"/>
    </row>
    <row r="3655" spans="7:23" ht="13.2">
      <c r="G3655" s="40"/>
      <c r="H3655" s="40"/>
      <c r="K3655" s="40"/>
      <c r="L3655" s="40"/>
      <c r="M3655" s="40"/>
      <c r="N3655" s="40"/>
      <c r="O3655" s="40"/>
      <c r="R3655" s="42"/>
      <c r="V3655" s="40"/>
      <c r="W3655" s="40"/>
    </row>
    <row r="3656" spans="7:23" ht="13.2">
      <c r="G3656" s="40"/>
      <c r="H3656" s="40"/>
      <c r="K3656" s="40"/>
      <c r="L3656" s="40"/>
      <c r="M3656" s="40"/>
      <c r="N3656" s="40"/>
      <c r="O3656" s="40"/>
      <c r="R3656" s="42"/>
      <c r="V3656" s="40"/>
      <c r="W3656" s="40"/>
    </row>
    <row r="3657" spans="7:23" ht="13.2">
      <c r="G3657" s="40"/>
      <c r="H3657" s="40"/>
      <c r="K3657" s="40"/>
      <c r="L3657" s="40"/>
      <c r="M3657" s="40"/>
      <c r="N3657" s="40"/>
      <c r="O3657" s="40"/>
      <c r="R3657" s="42"/>
      <c r="V3657" s="40"/>
      <c r="W3657" s="40"/>
    </row>
    <row r="3658" spans="7:23" ht="13.2">
      <c r="G3658" s="40"/>
      <c r="H3658" s="40"/>
      <c r="K3658" s="40"/>
      <c r="L3658" s="40"/>
      <c r="M3658" s="40"/>
      <c r="N3658" s="40"/>
      <c r="O3658" s="40"/>
      <c r="R3658" s="42"/>
      <c r="V3658" s="40"/>
      <c r="W3658" s="40"/>
    </row>
    <row r="3659" spans="7:23" ht="13.2">
      <c r="G3659" s="40"/>
      <c r="H3659" s="40"/>
      <c r="K3659" s="40"/>
      <c r="L3659" s="40"/>
      <c r="M3659" s="40"/>
      <c r="N3659" s="40"/>
      <c r="O3659" s="40"/>
      <c r="R3659" s="42"/>
      <c r="V3659" s="40"/>
      <c r="W3659" s="40"/>
    </row>
    <row r="3660" spans="7:23" ht="13.2">
      <c r="G3660" s="40"/>
      <c r="H3660" s="40"/>
      <c r="K3660" s="40"/>
      <c r="L3660" s="40"/>
      <c r="M3660" s="40"/>
      <c r="N3660" s="40"/>
      <c r="O3660" s="40"/>
      <c r="R3660" s="42"/>
      <c r="V3660" s="40"/>
      <c r="W3660" s="40"/>
    </row>
    <row r="3661" spans="7:23" ht="13.2">
      <c r="G3661" s="40"/>
      <c r="H3661" s="40"/>
      <c r="K3661" s="40"/>
      <c r="L3661" s="40"/>
      <c r="M3661" s="40"/>
      <c r="N3661" s="40"/>
      <c r="O3661" s="40"/>
      <c r="R3661" s="42"/>
      <c r="V3661" s="40"/>
      <c r="W3661" s="40"/>
    </row>
    <row r="3662" spans="7:23" ht="13.2">
      <c r="G3662" s="40"/>
      <c r="H3662" s="40"/>
      <c r="K3662" s="40"/>
      <c r="L3662" s="40"/>
      <c r="M3662" s="40"/>
      <c r="N3662" s="40"/>
      <c r="O3662" s="40"/>
      <c r="R3662" s="42"/>
      <c r="V3662" s="40"/>
      <c r="W3662" s="40"/>
    </row>
    <row r="3663" spans="7:23" ht="13.2">
      <c r="G3663" s="40"/>
      <c r="H3663" s="40"/>
      <c r="K3663" s="40"/>
      <c r="L3663" s="40"/>
      <c r="M3663" s="40"/>
      <c r="N3663" s="40"/>
      <c r="O3663" s="40"/>
      <c r="R3663" s="42"/>
      <c r="V3663" s="40"/>
      <c r="W3663" s="40"/>
    </row>
    <row r="3664" spans="7:23" ht="13.2">
      <c r="G3664" s="40"/>
      <c r="H3664" s="40"/>
      <c r="K3664" s="40"/>
      <c r="L3664" s="40"/>
      <c r="M3664" s="40"/>
      <c r="N3664" s="40"/>
      <c r="O3664" s="40"/>
      <c r="R3664" s="42"/>
      <c r="V3664" s="40"/>
      <c r="W3664" s="40"/>
    </row>
    <row r="3665" spans="7:23" ht="13.2">
      <c r="G3665" s="40"/>
      <c r="H3665" s="40"/>
      <c r="K3665" s="40"/>
      <c r="L3665" s="40"/>
      <c r="M3665" s="40"/>
      <c r="N3665" s="40"/>
      <c r="O3665" s="40"/>
      <c r="R3665" s="42"/>
      <c r="V3665" s="40"/>
      <c r="W3665" s="40"/>
    </row>
    <row r="3666" spans="7:23" ht="13.2">
      <c r="G3666" s="40"/>
      <c r="H3666" s="40"/>
      <c r="K3666" s="40"/>
      <c r="L3666" s="40"/>
      <c r="M3666" s="40"/>
      <c r="N3666" s="40"/>
      <c r="O3666" s="40"/>
      <c r="R3666" s="42"/>
      <c r="V3666" s="40"/>
      <c r="W3666" s="40"/>
    </row>
    <row r="3667" spans="7:23" ht="13.2">
      <c r="G3667" s="40"/>
      <c r="H3667" s="40"/>
      <c r="K3667" s="40"/>
      <c r="L3667" s="40"/>
      <c r="M3667" s="40"/>
      <c r="N3667" s="40"/>
      <c r="O3667" s="40"/>
      <c r="R3667" s="42"/>
      <c r="V3667" s="40"/>
      <c r="W3667" s="40"/>
    </row>
    <row r="3668" spans="7:23" ht="13.2">
      <c r="G3668" s="40"/>
      <c r="H3668" s="40"/>
      <c r="K3668" s="40"/>
      <c r="L3668" s="40"/>
      <c r="M3668" s="40"/>
      <c r="N3668" s="40"/>
      <c r="O3668" s="40"/>
      <c r="R3668" s="42"/>
      <c r="V3668" s="40"/>
      <c r="W3668" s="40"/>
    </row>
    <row r="3669" spans="7:23" ht="13.2">
      <c r="G3669" s="40"/>
      <c r="H3669" s="40"/>
      <c r="K3669" s="40"/>
      <c r="L3669" s="40"/>
      <c r="M3669" s="40"/>
      <c r="N3669" s="40"/>
      <c r="O3669" s="40"/>
      <c r="R3669" s="42"/>
      <c r="V3669" s="40"/>
      <c r="W3669" s="40"/>
    </row>
    <row r="3670" spans="7:23" ht="13.2">
      <c r="G3670" s="40"/>
      <c r="H3670" s="40"/>
      <c r="K3670" s="40"/>
      <c r="L3670" s="40"/>
      <c r="M3670" s="40"/>
      <c r="N3670" s="40"/>
      <c r="O3670" s="40"/>
      <c r="R3670" s="42"/>
      <c r="V3670" s="40"/>
      <c r="W3670" s="40"/>
    </row>
    <row r="3671" spans="7:23" ht="13.2">
      <c r="G3671" s="40"/>
      <c r="H3671" s="40"/>
      <c r="K3671" s="40"/>
      <c r="L3671" s="40"/>
      <c r="M3671" s="40"/>
      <c r="N3671" s="40"/>
      <c r="O3671" s="40"/>
      <c r="R3671" s="42"/>
      <c r="V3671" s="40"/>
      <c r="W3671" s="40"/>
    </row>
    <row r="3672" spans="7:23" ht="13.2">
      <c r="G3672" s="40"/>
      <c r="H3672" s="40"/>
      <c r="K3672" s="40"/>
      <c r="L3672" s="40"/>
      <c r="M3672" s="40"/>
      <c r="N3672" s="40"/>
      <c r="O3672" s="40"/>
      <c r="R3672" s="42"/>
      <c r="V3672" s="40"/>
      <c r="W3672" s="40"/>
    </row>
    <row r="3673" spans="7:23" ht="13.2">
      <c r="G3673" s="40"/>
      <c r="H3673" s="40"/>
      <c r="K3673" s="40"/>
      <c r="L3673" s="40"/>
      <c r="M3673" s="40"/>
      <c r="N3673" s="40"/>
      <c r="O3673" s="40"/>
      <c r="R3673" s="42"/>
      <c r="V3673" s="40"/>
      <c r="W3673" s="40"/>
    </row>
    <row r="3674" spans="7:23" ht="13.2">
      <c r="G3674" s="40"/>
      <c r="H3674" s="40"/>
      <c r="K3674" s="40"/>
      <c r="L3674" s="40"/>
      <c r="M3674" s="40"/>
      <c r="N3674" s="40"/>
      <c r="O3674" s="40"/>
      <c r="R3674" s="42"/>
      <c r="V3674" s="40"/>
      <c r="W3674" s="40"/>
    </row>
    <row r="3675" spans="7:23" ht="13.2">
      <c r="G3675" s="40"/>
      <c r="H3675" s="40"/>
      <c r="K3675" s="40"/>
      <c r="L3675" s="40"/>
      <c r="M3675" s="40"/>
      <c r="N3675" s="40"/>
      <c r="O3675" s="40"/>
      <c r="R3675" s="42"/>
      <c r="V3675" s="40"/>
      <c r="W3675" s="40"/>
    </row>
    <row r="3676" spans="7:23" ht="13.2">
      <c r="G3676" s="40"/>
      <c r="H3676" s="40"/>
      <c r="K3676" s="40"/>
      <c r="L3676" s="40"/>
      <c r="M3676" s="40"/>
      <c r="N3676" s="40"/>
      <c r="O3676" s="40"/>
      <c r="R3676" s="42"/>
      <c r="V3676" s="40"/>
      <c r="W3676" s="40"/>
    </row>
    <row r="3677" spans="7:23" ht="13.2">
      <c r="G3677" s="40"/>
      <c r="H3677" s="40"/>
      <c r="K3677" s="40"/>
      <c r="L3677" s="40"/>
      <c r="M3677" s="40"/>
      <c r="N3677" s="40"/>
      <c r="O3677" s="40"/>
      <c r="R3677" s="42"/>
      <c r="V3677" s="40"/>
      <c r="W3677" s="40"/>
    </row>
    <row r="3678" spans="7:23" ht="13.2">
      <c r="G3678" s="40"/>
      <c r="H3678" s="40"/>
      <c r="K3678" s="40"/>
      <c r="L3678" s="40"/>
      <c r="M3678" s="40"/>
      <c r="N3678" s="40"/>
      <c r="O3678" s="40"/>
      <c r="R3678" s="42"/>
      <c r="V3678" s="40"/>
      <c r="W3678" s="40"/>
    </row>
    <row r="3679" spans="7:23" ht="13.2">
      <c r="G3679" s="40"/>
      <c r="H3679" s="40"/>
      <c r="K3679" s="40"/>
      <c r="L3679" s="40"/>
      <c r="M3679" s="40"/>
      <c r="N3679" s="40"/>
      <c r="O3679" s="40"/>
      <c r="R3679" s="42"/>
      <c r="V3679" s="40"/>
      <c r="W3679" s="40"/>
    </row>
    <row r="3680" spans="7:23" ht="13.2">
      <c r="G3680" s="40"/>
      <c r="H3680" s="40"/>
      <c r="K3680" s="40"/>
      <c r="L3680" s="40"/>
      <c r="M3680" s="40"/>
      <c r="N3680" s="40"/>
      <c r="O3680" s="40"/>
      <c r="R3680" s="42"/>
      <c r="V3680" s="40"/>
      <c r="W3680" s="40"/>
    </row>
    <row r="3681" spans="7:23" ht="13.2">
      <c r="G3681" s="40"/>
      <c r="H3681" s="40"/>
      <c r="K3681" s="40"/>
      <c r="L3681" s="40"/>
      <c r="M3681" s="40"/>
      <c r="N3681" s="40"/>
      <c r="O3681" s="40"/>
      <c r="R3681" s="42"/>
      <c r="V3681" s="40"/>
      <c r="W3681" s="40"/>
    </row>
    <row r="3682" spans="7:23" ht="13.2">
      <c r="G3682" s="40"/>
      <c r="H3682" s="40"/>
      <c r="K3682" s="40"/>
      <c r="L3682" s="40"/>
      <c r="M3682" s="40"/>
      <c r="N3682" s="40"/>
      <c r="O3682" s="40"/>
      <c r="R3682" s="42"/>
      <c r="V3682" s="40"/>
      <c r="W3682" s="40"/>
    </row>
    <row r="3683" spans="7:23" ht="13.2">
      <c r="G3683" s="40"/>
      <c r="H3683" s="40"/>
      <c r="K3683" s="40"/>
      <c r="L3683" s="40"/>
      <c r="M3683" s="40"/>
      <c r="N3683" s="40"/>
      <c r="O3683" s="40"/>
      <c r="R3683" s="42"/>
      <c r="V3683" s="40"/>
      <c r="W3683" s="40"/>
    </row>
    <row r="3684" spans="7:23" ht="13.2">
      <c r="G3684" s="40"/>
      <c r="H3684" s="40"/>
      <c r="K3684" s="40"/>
      <c r="L3684" s="40"/>
      <c r="M3684" s="40"/>
      <c r="N3684" s="40"/>
      <c r="O3684" s="40"/>
      <c r="R3684" s="42"/>
      <c r="V3684" s="40"/>
      <c r="W3684" s="40"/>
    </row>
    <row r="3685" spans="7:23" ht="13.2">
      <c r="G3685" s="40"/>
      <c r="H3685" s="40"/>
      <c r="K3685" s="40"/>
      <c r="L3685" s="40"/>
      <c r="M3685" s="40"/>
      <c r="N3685" s="40"/>
      <c r="O3685" s="40"/>
      <c r="R3685" s="42"/>
      <c r="V3685" s="40"/>
      <c r="W3685" s="40"/>
    </row>
    <row r="3686" spans="7:23" ht="13.2">
      <c r="G3686" s="40"/>
      <c r="H3686" s="40"/>
      <c r="K3686" s="40"/>
      <c r="L3686" s="40"/>
      <c r="M3686" s="40"/>
      <c r="N3686" s="40"/>
      <c r="O3686" s="40"/>
      <c r="R3686" s="42"/>
      <c r="V3686" s="40"/>
      <c r="W3686" s="40"/>
    </row>
    <row r="3687" spans="7:23" ht="13.2">
      <c r="G3687" s="40"/>
      <c r="H3687" s="40"/>
      <c r="K3687" s="40"/>
      <c r="L3687" s="40"/>
      <c r="M3687" s="40"/>
      <c r="N3687" s="40"/>
      <c r="O3687" s="40"/>
      <c r="R3687" s="42"/>
      <c r="V3687" s="40"/>
      <c r="W3687" s="40"/>
    </row>
    <row r="3688" spans="7:23" ht="13.2">
      <c r="G3688" s="40"/>
      <c r="H3688" s="40"/>
      <c r="K3688" s="40"/>
      <c r="L3688" s="40"/>
      <c r="M3688" s="40"/>
      <c r="N3688" s="40"/>
      <c r="O3688" s="40"/>
      <c r="R3688" s="42"/>
      <c r="V3688" s="40"/>
      <c r="W3688" s="40"/>
    </row>
    <row r="3689" spans="7:23" ht="13.2">
      <c r="G3689" s="40"/>
      <c r="H3689" s="40"/>
      <c r="K3689" s="40"/>
      <c r="L3689" s="40"/>
      <c r="M3689" s="40"/>
      <c r="N3689" s="40"/>
      <c r="O3689" s="40"/>
      <c r="R3689" s="42"/>
      <c r="V3689" s="40"/>
      <c r="W3689" s="40"/>
    </row>
    <row r="3690" spans="7:23" ht="13.2">
      <c r="G3690" s="40"/>
      <c r="H3690" s="40"/>
      <c r="K3690" s="40"/>
      <c r="L3690" s="40"/>
      <c r="M3690" s="40"/>
      <c r="N3690" s="40"/>
      <c r="O3690" s="40"/>
      <c r="R3690" s="42"/>
      <c r="V3690" s="40"/>
      <c r="W3690" s="40"/>
    </row>
    <row r="3691" spans="7:23" ht="13.2">
      <c r="G3691" s="40"/>
      <c r="H3691" s="40"/>
      <c r="K3691" s="40"/>
      <c r="L3691" s="40"/>
      <c r="M3691" s="40"/>
      <c r="N3691" s="40"/>
      <c r="O3691" s="40"/>
      <c r="R3691" s="42"/>
      <c r="V3691" s="40"/>
      <c r="W3691" s="40"/>
    </row>
    <row r="3692" spans="7:23" ht="13.2">
      <c r="G3692" s="40"/>
      <c r="H3692" s="40"/>
      <c r="K3692" s="40"/>
      <c r="L3692" s="40"/>
      <c r="M3692" s="40"/>
      <c r="N3692" s="40"/>
      <c r="O3692" s="40"/>
      <c r="R3692" s="42"/>
      <c r="V3692" s="40"/>
      <c r="W3692" s="40"/>
    </row>
    <row r="3693" spans="7:23" ht="13.2">
      <c r="G3693" s="40"/>
      <c r="H3693" s="40"/>
      <c r="K3693" s="40"/>
      <c r="L3693" s="40"/>
      <c r="M3693" s="40"/>
      <c r="N3693" s="40"/>
      <c r="O3693" s="40"/>
      <c r="R3693" s="42"/>
      <c r="V3693" s="40"/>
      <c r="W3693" s="40"/>
    </row>
    <row r="3694" spans="7:23" ht="13.2">
      <c r="G3694" s="40"/>
      <c r="H3694" s="40"/>
      <c r="K3694" s="40"/>
      <c r="L3694" s="40"/>
      <c r="M3694" s="40"/>
      <c r="N3694" s="40"/>
      <c r="O3694" s="40"/>
      <c r="R3694" s="42"/>
      <c r="V3694" s="40"/>
      <c r="W3694" s="40"/>
    </row>
    <row r="3695" spans="7:23" ht="13.2">
      <c r="G3695" s="40"/>
      <c r="H3695" s="40"/>
      <c r="K3695" s="40"/>
      <c r="L3695" s="40"/>
      <c r="M3695" s="40"/>
      <c r="N3695" s="40"/>
      <c r="O3695" s="40"/>
      <c r="R3695" s="42"/>
      <c r="V3695" s="40"/>
      <c r="W3695" s="40"/>
    </row>
    <row r="3696" spans="7:23" ht="13.2">
      <c r="G3696" s="40"/>
      <c r="H3696" s="40"/>
      <c r="K3696" s="40"/>
      <c r="L3696" s="40"/>
      <c r="M3696" s="40"/>
      <c r="N3696" s="40"/>
      <c r="O3696" s="40"/>
      <c r="R3696" s="42"/>
      <c r="V3696" s="40"/>
      <c r="W3696" s="40"/>
    </row>
    <row r="3697" spans="7:23" ht="13.2">
      <c r="G3697" s="40"/>
      <c r="H3697" s="40"/>
      <c r="K3697" s="40"/>
      <c r="L3697" s="40"/>
      <c r="M3697" s="40"/>
      <c r="N3697" s="40"/>
      <c r="O3697" s="40"/>
      <c r="R3697" s="42"/>
      <c r="V3697" s="40"/>
      <c r="W3697" s="40"/>
    </row>
    <row r="3698" spans="7:23" ht="13.2">
      <c r="G3698" s="40"/>
      <c r="H3698" s="40"/>
      <c r="K3698" s="40"/>
      <c r="L3698" s="40"/>
      <c r="M3698" s="40"/>
      <c r="N3698" s="40"/>
      <c r="O3698" s="40"/>
      <c r="R3698" s="42"/>
      <c r="V3698" s="40"/>
      <c r="W3698" s="40"/>
    </row>
    <row r="3699" spans="7:23" ht="13.2">
      <c r="G3699" s="40"/>
      <c r="H3699" s="40"/>
      <c r="K3699" s="40"/>
      <c r="L3699" s="40"/>
      <c r="M3699" s="40"/>
      <c r="N3699" s="40"/>
      <c r="O3699" s="40"/>
      <c r="R3699" s="42"/>
      <c r="V3699" s="40"/>
      <c r="W3699" s="40"/>
    </row>
    <row r="3700" spans="7:23" ht="13.2">
      <c r="G3700" s="40"/>
      <c r="H3700" s="40"/>
      <c r="K3700" s="40"/>
      <c r="L3700" s="40"/>
      <c r="M3700" s="40"/>
      <c r="N3700" s="40"/>
      <c r="O3700" s="40"/>
      <c r="R3700" s="42"/>
      <c r="V3700" s="40"/>
      <c r="W3700" s="40"/>
    </row>
    <row r="3701" spans="7:23" ht="13.2">
      <c r="G3701" s="40"/>
      <c r="H3701" s="40"/>
      <c r="K3701" s="40"/>
      <c r="L3701" s="40"/>
      <c r="M3701" s="40"/>
      <c r="N3701" s="40"/>
      <c r="O3701" s="40"/>
      <c r="R3701" s="42"/>
      <c r="V3701" s="40"/>
      <c r="W3701" s="40"/>
    </row>
    <row r="3702" spans="7:23" ht="13.2">
      <c r="G3702" s="40"/>
      <c r="H3702" s="40"/>
      <c r="K3702" s="40"/>
      <c r="L3702" s="40"/>
      <c r="M3702" s="40"/>
      <c r="N3702" s="40"/>
      <c r="O3702" s="40"/>
      <c r="R3702" s="42"/>
      <c r="V3702" s="40"/>
      <c r="W3702" s="40"/>
    </row>
    <row r="3703" spans="7:23" ht="13.2">
      <c r="G3703" s="40"/>
      <c r="H3703" s="40"/>
      <c r="K3703" s="40"/>
      <c r="L3703" s="40"/>
      <c r="M3703" s="40"/>
      <c r="N3703" s="40"/>
      <c r="O3703" s="40"/>
      <c r="R3703" s="42"/>
      <c r="V3703" s="40"/>
      <c r="W3703" s="40"/>
    </row>
    <row r="3704" spans="7:23" ht="13.2">
      <c r="G3704" s="40"/>
      <c r="H3704" s="40"/>
      <c r="K3704" s="40"/>
      <c r="L3704" s="40"/>
      <c r="M3704" s="40"/>
      <c r="N3704" s="40"/>
      <c r="O3704" s="40"/>
      <c r="R3704" s="42"/>
      <c r="V3704" s="40"/>
      <c r="W3704" s="40"/>
    </row>
    <row r="3705" spans="7:23" ht="13.2">
      <c r="G3705" s="40"/>
      <c r="H3705" s="40"/>
      <c r="K3705" s="40"/>
      <c r="L3705" s="40"/>
      <c r="M3705" s="40"/>
      <c r="N3705" s="40"/>
      <c r="O3705" s="40"/>
      <c r="R3705" s="42"/>
      <c r="V3705" s="40"/>
      <c r="W3705" s="40"/>
    </row>
    <row r="3706" spans="7:23" ht="13.2">
      <c r="G3706" s="40"/>
      <c r="H3706" s="40"/>
      <c r="K3706" s="40"/>
      <c r="L3706" s="40"/>
      <c r="M3706" s="40"/>
      <c r="N3706" s="40"/>
      <c r="O3706" s="40"/>
      <c r="R3706" s="42"/>
      <c r="V3706" s="40"/>
      <c r="W3706" s="40"/>
    </row>
    <row r="3707" spans="7:23" ht="13.2">
      <c r="G3707" s="40"/>
      <c r="H3707" s="40"/>
      <c r="K3707" s="40"/>
      <c r="L3707" s="40"/>
      <c r="M3707" s="40"/>
      <c r="N3707" s="40"/>
      <c r="O3707" s="40"/>
      <c r="R3707" s="42"/>
      <c r="V3707" s="40"/>
      <c r="W3707" s="40"/>
    </row>
    <row r="3708" spans="7:23" ht="13.2">
      <c r="G3708" s="40"/>
      <c r="H3708" s="40"/>
      <c r="K3708" s="40"/>
      <c r="L3708" s="40"/>
      <c r="M3708" s="40"/>
      <c r="N3708" s="40"/>
      <c r="O3708" s="40"/>
      <c r="R3708" s="42"/>
      <c r="V3708" s="40"/>
      <c r="W3708" s="40"/>
    </row>
    <row r="3709" spans="7:23" ht="13.2">
      <c r="G3709" s="40"/>
      <c r="H3709" s="40"/>
      <c r="K3709" s="40"/>
      <c r="L3709" s="40"/>
      <c r="M3709" s="40"/>
      <c r="N3709" s="40"/>
      <c r="O3709" s="40"/>
      <c r="R3709" s="42"/>
      <c r="V3709" s="40"/>
      <c r="W3709" s="40"/>
    </row>
    <row r="3710" spans="7:23" ht="13.2">
      <c r="G3710" s="40"/>
      <c r="H3710" s="40"/>
      <c r="K3710" s="40"/>
      <c r="L3710" s="40"/>
      <c r="M3710" s="40"/>
      <c r="N3710" s="40"/>
      <c r="O3710" s="40"/>
      <c r="R3710" s="42"/>
      <c r="V3710" s="40"/>
      <c r="W3710" s="40"/>
    </row>
    <row r="3711" spans="7:23" ht="13.2">
      <c r="G3711" s="40"/>
      <c r="H3711" s="40"/>
      <c r="K3711" s="40"/>
      <c r="L3711" s="40"/>
      <c r="M3711" s="40"/>
      <c r="N3711" s="40"/>
      <c r="O3711" s="40"/>
      <c r="R3711" s="42"/>
      <c r="V3711" s="40"/>
      <c r="W3711" s="40"/>
    </row>
    <row r="3712" spans="7:23" ht="13.2">
      <c r="G3712" s="40"/>
      <c r="H3712" s="40"/>
      <c r="K3712" s="40"/>
      <c r="L3712" s="40"/>
      <c r="M3712" s="40"/>
      <c r="N3712" s="40"/>
      <c r="O3712" s="40"/>
      <c r="R3712" s="42"/>
      <c r="V3712" s="40"/>
      <c r="W3712" s="40"/>
    </row>
    <row r="3713" spans="7:23" ht="13.2">
      <c r="G3713" s="40"/>
      <c r="H3713" s="40"/>
      <c r="K3713" s="40"/>
      <c r="L3713" s="40"/>
      <c r="M3713" s="40"/>
      <c r="N3713" s="40"/>
      <c r="O3713" s="40"/>
      <c r="R3713" s="42"/>
      <c r="V3713" s="40"/>
      <c r="W3713" s="40"/>
    </row>
    <row r="3714" spans="7:23" ht="13.2">
      <c r="G3714" s="40"/>
      <c r="H3714" s="40"/>
      <c r="K3714" s="40"/>
      <c r="L3714" s="40"/>
      <c r="M3714" s="40"/>
      <c r="N3714" s="40"/>
      <c r="O3714" s="40"/>
      <c r="R3714" s="42"/>
      <c r="V3714" s="40"/>
      <c r="W3714" s="40"/>
    </row>
    <row r="3715" spans="7:23" ht="13.2">
      <c r="G3715" s="40"/>
      <c r="H3715" s="40"/>
      <c r="K3715" s="40"/>
      <c r="L3715" s="40"/>
      <c r="M3715" s="40"/>
      <c r="N3715" s="40"/>
      <c r="O3715" s="40"/>
      <c r="R3715" s="42"/>
      <c r="V3715" s="40"/>
      <c r="W3715" s="40"/>
    </row>
    <row r="3716" spans="7:23" ht="13.2">
      <c r="G3716" s="40"/>
      <c r="H3716" s="40"/>
      <c r="K3716" s="40"/>
      <c r="L3716" s="40"/>
      <c r="M3716" s="40"/>
      <c r="N3716" s="40"/>
      <c r="O3716" s="40"/>
      <c r="R3716" s="42"/>
      <c r="V3716" s="40"/>
      <c r="W3716" s="40"/>
    </row>
    <row r="3717" spans="7:23" ht="13.2">
      <c r="G3717" s="40"/>
      <c r="H3717" s="40"/>
      <c r="K3717" s="40"/>
      <c r="L3717" s="40"/>
      <c r="M3717" s="40"/>
      <c r="N3717" s="40"/>
      <c r="O3717" s="40"/>
      <c r="R3717" s="42"/>
      <c r="V3717" s="40"/>
      <c r="W3717" s="40"/>
    </row>
    <row r="3718" spans="7:23" ht="13.2">
      <c r="G3718" s="40"/>
      <c r="H3718" s="40"/>
      <c r="K3718" s="40"/>
      <c r="L3718" s="40"/>
      <c r="M3718" s="40"/>
      <c r="N3718" s="40"/>
      <c r="O3718" s="40"/>
      <c r="R3718" s="42"/>
      <c r="V3718" s="40"/>
      <c r="W3718" s="40"/>
    </row>
    <row r="3719" spans="7:23" ht="13.2">
      <c r="G3719" s="40"/>
      <c r="H3719" s="40"/>
      <c r="K3719" s="40"/>
      <c r="L3719" s="40"/>
      <c r="M3719" s="40"/>
      <c r="N3719" s="40"/>
      <c r="O3719" s="40"/>
      <c r="R3719" s="42"/>
      <c r="V3719" s="40"/>
      <c r="W3719" s="40"/>
    </row>
    <row r="3720" spans="7:23" ht="13.2">
      <c r="G3720" s="40"/>
      <c r="H3720" s="40"/>
      <c r="K3720" s="40"/>
      <c r="L3720" s="40"/>
      <c r="M3720" s="40"/>
      <c r="N3720" s="40"/>
      <c r="O3720" s="40"/>
      <c r="R3720" s="42"/>
      <c r="V3720" s="40"/>
      <c r="W3720" s="40"/>
    </row>
    <row r="3721" spans="7:23" ht="13.2">
      <c r="G3721" s="40"/>
      <c r="H3721" s="40"/>
      <c r="K3721" s="40"/>
      <c r="L3721" s="40"/>
      <c r="M3721" s="40"/>
      <c r="N3721" s="40"/>
      <c r="O3721" s="40"/>
      <c r="R3721" s="42"/>
      <c r="V3721" s="40"/>
      <c r="W3721" s="40"/>
    </row>
    <row r="3722" spans="7:23" ht="13.2">
      <c r="G3722" s="40"/>
      <c r="H3722" s="40"/>
      <c r="K3722" s="40"/>
      <c r="L3722" s="40"/>
      <c r="M3722" s="40"/>
      <c r="N3722" s="40"/>
      <c r="O3722" s="40"/>
      <c r="R3722" s="42"/>
      <c r="V3722" s="40"/>
      <c r="W3722" s="40"/>
    </row>
    <row r="3723" spans="7:23" ht="13.2">
      <c r="G3723" s="40"/>
      <c r="H3723" s="40"/>
      <c r="K3723" s="40"/>
      <c r="L3723" s="40"/>
      <c r="M3723" s="40"/>
      <c r="N3723" s="40"/>
      <c r="O3723" s="40"/>
      <c r="R3723" s="42"/>
      <c r="V3723" s="40"/>
      <c r="W3723" s="40"/>
    </row>
    <row r="3724" spans="7:23" ht="13.2">
      <c r="G3724" s="40"/>
      <c r="H3724" s="40"/>
      <c r="K3724" s="40"/>
      <c r="L3724" s="40"/>
      <c r="M3724" s="40"/>
      <c r="N3724" s="40"/>
      <c r="O3724" s="40"/>
      <c r="R3724" s="42"/>
      <c r="V3724" s="40"/>
      <c r="W3724" s="40"/>
    </row>
    <row r="3725" spans="7:23" ht="13.2">
      <c r="G3725" s="40"/>
      <c r="H3725" s="40"/>
      <c r="K3725" s="40"/>
      <c r="L3725" s="40"/>
      <c r="M3725" s="40"/>
      <c r="N3725" s="40"/>
      <c r="O3725" s="40"/>
      <c r="R3725" s="42"/>
      <c r="V3725" s="40"/>
      <c r="W3725" s="40"/>
    </row>
    <row r="3726" spans="7:23" ht="13.2">
      <c r="G3726" s="40"/>
      <c r="H3726" s="40"/>
      <c r="K3726" s="40"/>
      <c r="L3726" s="40"/>
      <c r="M3726" s="40"/>
      <c r="N3726" s="40"/>
      <c r="O3726" s="40"/>
      <c r="R3726" s="42"/>
      <c r="V3726" s="40"/>
      <c r="W3726" s="40"/>
    </row>
    <row r="3727" spans="7:23" ht="13.2">
      <c r="G3727" s="40"/>
      <c r="H3727" s="40"/>
      <c r="K3727" s="40"/>
      <c r="L3727" s="40"/>
      <c r="M3727" s="40"/>
      <c r="N3727" s="40"/>
      <c r="O3727" s="40"/>
      <c r="R3727" s="42"/>
      <c r="V3727" s="40"/>
      <c r="W3727" s="40"/>
    </row>
    <row r="3728" spans="7:23" ht="13.2">
      <c r="G3728" s="40"/>
      <c r="H3728" s="40"/>
      <c r="K3728" s="40"/>
      <c r="L3728" s="40"/>
      <c r="M3728" s="40"/>
      <c r="N3728" s="40"/>
      <c r="O3728" s="40"/>
      <c r="R3728" s="42"/>
      <c r="V3728" s="40"/>
      <c r="W3728" s="40"/>
    </row>
    <row r="3729" spans="7:23" ht="13.2">
      <c r="G3729" s="40"/>
      <c r="H3729" s="40"/>
      <c r="K3729" s="40"/>
      <c r="L3729" s="40"/>
      <c r="M3729" s="40"/>
      <c r="N3729" s="40"/>
      <c r="O3729" s="40"/>
      <c r="R3729" s="42"/>
      <c r="V3729" s="40"/>
      <c r="W3729" s="40"/>
    </row>
    <row r="3730" spans="7:23" ht="13.2">
      <c r="G3730" s="40"/>
      <c r="H3730" s="40"/>
      <c r="K3730" s="40"/>
      <c r="L3730" s="40"/>
      <c r="M3730" s="40"/>
      <c r="N3730" s="40"/>
      <c r="O3730" s="40"/>
      <c r="R3730" s="42"/>
      <c r="V3730" s="40"/>
      <c r="W3730" s="40"/>
    </row>
    <row r="3731" spans="7:23" ht="13.2">
      <c r="G3731" s="40"/>
      <c r="H3731" s="40"/>
      <c r="K3731" s="40"/>
      <c r="L3731" s="40"/>
      <c r="M3731" s="40"/>
      <c r="N3731" s="40"/>
      <c r="O3731" s="40"/>
      <c r="R3731" s="42"/>
      <c r="V3731" s="40"/>
      <c r="W3731" s="40"/>
    </row>
    <row r="3732" spans="7:23" ht="13.2">
      <c r="G3732" s="40"/>
      <c r="H3732" s="40"/>
      <c r="K3732" s="40"/>
      <c r="L3732" s="40"/>
      <c r="M3732" s="40"/>
      <c r="N3732" s="40"/>
      <c r="O3732" s="40"/>
      <c r="R3732" s="42"/>
      <c r="V3732" s="40"/>
      <c r="W3732" s="40"/>
    </row>
    <row r="3733" spans="7:23" ht="13.2">
      <c r="G3733" s="40"/>
      <c r="H3733" s="40"/>
      <c r="K3733" s="40"/>
      <c r="L3733" s="40"/>
      <c r="M3733" s="40"/>
      <c r="N3733" s="40"/>
      <c r="O3733" s="40"/>
      <c r="R3733" s="42"/>
      <c r="V3733" s="40"/>
      <c r="W3733" s="40"/>
    </row>
    <row r="3734" spans="7:23" ht="13.2">
      <c r="G3734" s="40"/>
      <c r="H3734" s="40"/>
      <c r="K3734" s="40"/>
      <c r="L3734" s="40"/>
      <c r="M3734" s="40"/>
      <c r="N3734" s="40"/>
      <c r="O3734" s="40"/>
      <c r="R3734" s="42"/>
      <c r="V3734" s="40"/>
      <c r="W3734" s="40"/>
    </row>
    <row r="3735" spans="7:23" ht="13.2">
      <c r="G3735" s="40"/>
      <c r="H3735" s="40"/>
      <c r="K3735" s="40"/>
      <c r="L3735" s="40"/>
      <c r="M3735" s="40"/>
      <c r="N3735" s="40"/>
      <c r="O3735" s="40"/>
      <c r="R3735" s="42"/>
      <c r="V3735" s="40"/>
      <c r="W3735" s="40"/>
    </row>
    <row r="3736" spans="7:23" ht="13.2">
      <c r="G3736" s="40"/>
      <c r="H3736" s="40"/>
      <c r="K3736" s="40"/>
      <c r="L3736" s="40"/>
      <c r="M3736" s="40"/>
      <c r="N3736" s="40"/>
      <c r="O3736" s="40"/>
      <c r="R3736" s="42"/>
      <c r="V3736" s="40"/>
      <c r="W3736" s="40"/>
    </row>
    <row r="3737" spans="7:23" ht="13.2">
      <c r="G3737" s="40"/>
      <c r="H3737" s="40"/>
      <c r="K3737" s="40"/>
      <c r="L3737" s="40"/>
      <c r="M3737" s="40"/>
      <c r="N3737" s="40"/>
      <c r="O3737" s="40"/>
      <c r="R3737" s="42"/>
      <c r="V3737" s="40"/>
      <c r="W3737" s="40"/>
    </row>
    <row r="3738" spans="7:23" ht="13.2">
      <c r="G3738" s="40"/>
      <c r="H3738" s="40"/>
      <c r="K3738" s="40"/>
      <c r="L3738" s="40"/>
      <c r="M3738" s="40"/>
      <c r="N3738" s="40"/>
      <c r="O3738" s="40"/>
      <c r="R3738" s="42"/>
      <c r="V3738" s="40"/>
      <c r="W3738" s="40"/>
    </row>
    <row r="3739" spans="7:23" ht="13.2">
      <c r="G3739" s="40"/>
      <c r="H3739" s="40"/>
      <c r="K3739" s="40"/>
      <c r="L3739" s="40"/>
      <c r="M3739" s="40"/>
      <c r="N3739" s="40"/>
      <c r="O3739" s="40"/>
      <c r="R3739" s="42"/>
      <c r="V3739" s="40"/>
      <c r="W3739" s="40"/>
    </row>
    <row r="3740" spans="7:23" ht="13.2">
      <c r="G3740" s="40"/>
      <c r="H3740" s="40"/>
      <c r="K3740" s="40"/>
      <c r="L3740" s="40"/>
      <c r="M3740" s="40"/>
      <c r="N3740" s="40"/>
      <c r="O3740" s="40"/>
      <c r="R3740" s="42"/>
      <c r="V3740" s="40"/>
      <c r="W3740" s="40"/>
    </row>
    <row r="3741" spans="7:23" ht="13.2">
      <c r="G3741" s="40"/>
      <c r="H3741" s="40"/>
      <c r="K3741" s="40"/>
      <c r="L3741" s="40"/>
      <c r="M3741" s="40"/>
      <c r="N3741" s="40"/>
      <c r="O3741" s="40"/>
      <c r="R3741" s="42"/>
      <c r="V3741" s="40"/>
      <c r="W3741" s="40"/>
    </row>
    <row r="3742" spans="7:23" ht="13.2">
      <c r="G3742" s="40"/>
      <c r="H3742" s="40"/>
      <c r="K3742" s="40"/>
      <c r="L3742" s="40"/>
      <c r="M3742" s="40"/>
      <c r="N3742" s="40"/>
      <c r="O3742" s="40"/>
      <c r="R3742" s="42"/>
      <c r="V3742" s="40"/>
      <c r="W3742" s="40"/>
    </row>
    <row r="3743" spans="7:23" ht="13.2">
      <c r="G3743" s="40"/>
      <c r="H3743" s="40"/>
      <c r="K3743" s="40"/>
      <c r="L3743" s="40"/>
      <c r="M3743" s="40"/>
      <c r="N3743" s="40"/>
      <c r="O3743" s="40"/>
      <c r="R3743" s="42"/>
      <c r="V3743" s="40"/>
      <c r="W3743" s="40"/>
    </row>
    <row r="3744" spans="7:23" ht="13.2">
      <c r="G3744" s="40"/>
      <c r="H3744" s="40"/>
      <c r="K3744" s="40"/>
      <c r="L3744" s="40"/>
      <c r="M3744" s="40"/>
      <c r="N3744" s="40"/>
      <c r="O3744" s="40"/>
      <c r="R3744" s="42"/>
      <c r="V3744" s="40"/>
      <c r="W3744" s="40"/>
    </row>
    <row r="3745" spans="7:23" ht="13.2">
      <c r="G3745" s="40"/>
      <c r="H3745" s="40"/>
      <c r="K3745" s="40"/>
      <c r="L3745" s="40"/>
      <c r="M3745" s="40"/>
      <c r="N3745" s="40"/>
      <c r="O3745" s="40"/>
      <c r="R3745" s="42"/>
      <c r="V3745" s="40"/>
      <c r="W3745" s="40"/>
    </row>
    <row r="3746" spans="7:23" ht="13.2">
      <c r="G3746" s="40"/>
      <c r="H3746" s="40"/>
      <c r="K3746" s="40"/>
      <c r="L3746" s="40"/>
      <c r="M3746" s="40"/>
      <c r="N3746" s="40"/>
      <c r="O3746" s="40"/>
      <c r="R3746" s="42"/>
      <c r="V3746" s="40"/>
      <c r="W3746" s="40"/>
    </row>
    <row r="3747" spans="7:23" ht="13.2">
      <c r="G3747" s="40"/>
      <c r="H3747" s="40"/>
      <c r="K3747" s="40"/>
      <c r="L3747" s="40"/>
      <c r="M3747" s="40"/>
      <c r="N3747" s="40"/>
      <c r="O3747" s="40"/>
      <c r="R3747" s="42"/>
      <c r="V3747" s="40"/>
      <c r="W3747" s="40"/>
    </row>
    <row r="3748" spans="7:23" ht="13.2">
      <c r="G3748" s="40"/>
      <c r="H3748" s="40"/>
      <c r="K3748" s="40"/>
      <c r="L3748" s="40"/>
      <c r="M3748" s="40"/>
      <c r="N3748" s="40"/>
      <c r="O3748" s="40"/>
      <c r="R3748" s="42"/>
      <c r="V3748" s="40"/>
      <c r="W3748" s="40"/>
    </row>
    <row r="3749" spans="7:23" ht="13.2">
      <c r="G3749" s="40"/>
      <c r="H3749" s="40"/>
      <c r="K3749" s="40"/>
      <c r="L3749" s="40"/>
      <c r="M3749" s="40"/>
      <c r="N3749" s="40"/>
      <c r="O3749" s="40"/>
      <c r="R3749" s="42"/>
      <c r="V3749" s="40"/>
      <c r="W3749" s="40"/>
    </row>
    <row r="3750" spans="7:23" ht="13.2">
      <c r="G3750" s="40"/>
      <c r="H3750" s="40"/>
      <c r="K3750" s="40"/>
      <c r="L3750" s="40"/>
      <c r="M3750" s="40"/>
      <c r="N3750" s="40"/>
      <c r="O3750" s="40"/>
      <c r="R3750" s="42"/>
      <c r="V3750" s="40"/>
      <c r="W3750" s="40"/>
    </row>
    <row r="3751" spans="7:23" ht="13.2">
      <c r="G3751" s="40"/>
      <c r="H3751" s="40"/>
      <c r="K3751" s="40"/>
      <c r="L3751" s="40"/>
      <c r="M3751" s="40"/>
      <c r="N3751" s="40"/>
      <c r="O3751" s="40"/>
      <c r="R3751" s="42"/>
      <c r="V3751" s="40"/>
      <c r="W3751" s="40"/>
    </row>
    <row r="3752" spans="7:23" ht="13.2">
      <c r="G3752" s="40"/>
      <c r="H3752" s="40"/>
      <c r="K3752" s="40"/>
      <c r="L3752" s="40"/>
      <c r="M3752" s="40"/>
      <c r="N3752" s="40"/>
      <c r="O3752" s="40"/>
      <c r="R3752" s="42"/>
      <c r="V3752" s="40"/>
      <c r="W3752" s="40"/>
    </row>
    <row r="3753" spans="7:23" ht="13.2">
      <c r="G3753" s="40"/>
      <c r="H3753" s="40"/>
      <c r="K3753" s="40"/>
      <c r="L3753" s="40"/>
      <c r="M3753" s="40"/>
      <c r="N3753" s="40"/>
      <c r="O3753" s="40"/>
      <c r="R3753" s="42"/>
      <c r="V3753" s="40"/>
      <c r="W3753" s="40"/>
    </row>
    <row r="3754" spans="7:23" ht="13.2">
      <c r="G3754" s="40"/>
      <c r="H3754" s="40"/>
      <c r="K3754" s="40"/>
      <c r="L3754" s="40"/>
      <c r="M3754" s="40"/>
      <c r="N3754" s="40"/>
      <c r="O3754" s="40"/>
      <c r="R3754" s="42"/>
      <c r="V3754" s="40"/>
      <c r="W3754" s="40"/>
    </row>
    <row r="3755" spans="7:23" ht="13.2">
      <c r="G3755" s="40"/>
      <c r="H3755" s="40"/>
      <c r="K3755" s="40"/>
      <c r="L3755" s="40"/>
      <c r="M3755" s="40"/>
      <c r="N3755" s="40"/>
      <c r="O3755" s="40"/>
      <c r="R3755" s="42"/>
      <c r="V3755" s="40"/>
      <c r="W3755" s="40"/>
    </row>
    <row r="3756" spans="7:23" ht="13.2">
      <c r="G3756" s="40"/>
      <c r="H3756" s="40"/>
      <c r="K3756" s="40"/>
      <c r="L3756" s="40"/>
      <c r="M3756" s="40"/>
      <c r="N3756" s="40"/>
      <c r="O3756" s="40"/>
      <c r="R3756" s="42"/>
      <c r="V3756" s="40"/>
      <c r="W3756" s="40"/>
    </row>
    <row r="3757" spans="7:23" ht="13.2">
      <c r="G3757" s="40"/>
      <c r="H3757" s="40"/>
      <c r="K3757" s="40"/>
      <c r="L3757" s="40"/>
      <c r="M3757" s="40"/>
      <c r="N3757" s="40"/>
      <c r="O3757" s="40"/>
      <c r="R3757" s="42"/>
      <c r="V3757" s="40"/>
      <c r="W3757" s="40"/>
    </row>
    <row r="3758" spans="7:23" ht="13.2">
      <c r="G3758" s="40"/>
      <c r="H3758" s="40"/>
      <c r="K3758" s="40"/>
      <c r="L3758" s="40"/>
      <c r="M3758" s="40"/>
      <c r="N3758" s="40"/>
      <c r="O3758" s="40"/>
      <c r="R3758" s="42"/>
      <c r="V3758" s="40"/>
      <c r="W3758" s="40"/>
    </row>
    <row r="3759" spans="7:23" ht="13.2">
      <c r="G3759" s="40"/>
      <c r="H3759" s="40"/>
      <c r="K3759" s="40"/>
      <c r="L3759" s="40"/>
      <c r="M3759" s="40"/>
      <c r="N3759" s="40"/>
      <c r="O3759" s="40"/>
      <c r="R3759" s="42"/>
      <c r="V3759" s="40"/>
      <c r="W3759" s="40"/>
    </row>
    <row r="3760" spans="7:23" ht="13.2">
      <c r="G3760" s="40"/>
      <c r="H3760" s="40"/>
      <c r="K3760" s="40"/>
      <c r="L3760" s="40"/>
      <c r="M3760" s="40"/>
      <c r="N3760" s="40"/>
      <c r="O3760" s="40"/>
      <c r="R3760" s="42"/>
      <c r="V3760" s="40"/>
      <c r="W3760" s="40"/>
    </row>
    <row r="3761" spans="7:23" ht="13.2">
      <c r="G3761" s="40"/>
      <c r="H3761" s="40"/>
      <c r="K3761" s="40"/>
      <c r="L3761" s="40"/>
      <c r="M3761" s="40"/>
      <c r="N3761" s="40"/>
      <c r="O3761" s="40"/>
      <c r="R3761" s="42"/>
      <c r="V3761" s="40"/>
      <c r="W3761" s="40"/>
    </row>
    <row r="3762" spans="7:23" ht="13.2">
      <c r="G3762" s="40"/>
      <c r="H3762" s="40"/>
      <c r="K3762" s="40"/>
      <c r="L3762" s="40"/>
      <c r="M3762" s="40"/>
      <c r="N3762" s="40"/>
      <c r="O3762" s="40"/>
      <c r="R3762" s="42"/>
      <c r="V3762" s="40"/>
      <c r="W3762" s="40"/>
    </row>
    <row r="3763" spans="7:23" ht="13.2">
      <c r="G3763" s="40"/>
      <c r="H3763" s="40"/>
      <c r="K3763" s="40"/>
      <c r="L3763" s="40"/>
      <c r="M3763" s="40"/>
      <c r="N3763" s="40"/>
      <c r="O3763" s="40"/>
      <c r="R3763" s="42"/>
      <c r="V3763" s="40"/>
      <c r="W3763" s="40"/>
    </row>
    <row r="3764" spans="7:23" ht="13.2">
      <c r="G3764" s="40"/>
      <c r="H3764" s="40"/>
      <c r="K3764" s="40"/>
      <c r="L3764" s="40"/>
      <c r="M3764" s="40"/>
      <c r="N3764" s="40"/>
      <c r="O3764" s="40"/>
      <c r="R3764" s="42"/>
      <c r="V3764" s="40"/>
      <c r="W3764" s="40"/>
    </row>
    <row r="3765" spans="7:23" ht="13.2">
      <c r="G3765" s="40"/>
      <c r="H3765" s="40"/>
      <c r="K3765" s="40"/>
      <c r="L3765" s="40"/>
      <c r="M3765" s="40"/>
      <c r="N3765" s="40"/>
      <c r="O3765" s="40"/>
      <c r="R3765" s="42"/>
      <c r="V3765" s="40"/>
      <c r="W3765" s="40"/>
    </row>
    <row r="3766" spans="7:23" ht="13.2">
      <c r="G3766" s="40"/>
      <c r="H3766" s="40"/>
      <c r="K3766" s="40"/>
      <c r="L3766" s="40"/>
      <c r="M3766" s="40"/>
      <c r="N3766" s="40"/>
      <c r="O3766" s="40"/>
      <c r="R3766" s="42"/>
      <c r="V3766" s="40"/>
      <c r="W3766" s="40"/>
    </row>
    <row r="3767" spans="7:23" ht="13.2">
      <c r="G3767" s="40"/>
      <c r="H3767" s="40"/>
      <c r="K3767" s="40"/>
      <c r="L3767" s="40"/>
      <c r="M3767" s="40"/>
      <c r="N3767" s="40"/>
      <c r="O3767" s="40"/>
      <c r="R3767" s="42"/>
      <c r="V3767" s="40"/>
      <c r="W3767" s="40"/>
    </row>
    <row r="3768" spans="7:23" ht="13.2">
      <c r="G3768" s="40"/>
      <c r="H3768" s="40"/>
      <c r="K3768" s="40"/>
      <c r="L3768" s="40"/>
      <c r="M3768" s="40"/>
      <c r="N3768" s="40"/>
      <c r="O3768" s="40"/>
      <c r="R3768" s="42"/>
      <c r="V3768" s="40"/>
      <c r="W3768" s="40"/>
    </row>
    <row r="3769" spans="7:23" ht="13.2">
      <c r="G3769" s="40"/>
      <c r="H3769" s="40"/>
      <c r="K3769" s="40"/>
      <c r="L3769" s="40"/>
      <c r="M3769" s="40"/>
      <c r="N3769" s="40"/>
      <c r="O3769" s="40"/>
      <c r="R3769" s="42"/>
      <c r="V3769" s="40"/>
      <c r="W3769" s="40"/>
    </row>
    <row r="3770" spans="7:23" ht="13.2">
      <c r="G3770" s="40"/>
      <c r="H3770" s="40"/>
      <c r="K3770" s="40"/>
      <c r="L3770" s="40"/>
      <c r="M3770" s="40"/>
      <c r="N3770" s="40"/>
      <c r="O3770" s="40"/>
      <c r="R3770" s="42"/>
      <c r="V3770" s="40"/>
      <c r="W3770" s="40"/>
    </row>
    <row r="3771" spans="7:23" ht="13.2">
      <c r="G3771" s="40"/>
      <c r="H3771" s="40"/>
      <c r="K3771" s="40"/>
      <c r="L3771" s="40"/>
      <c r="M3771" s="40"/>
      <c r="N3771" s="40"/>
      <c r="O3771" s="40"/>
      <c r="R3771" s="42"/>
      <c r="V3771" s="40"/>
      <c r="W3771" s="40"/>
    </row>
    <row r="3772" spans="7:23" ht="13.2">
      <c r="G3772" s="40"/>
      <c r="H3772" s="40"/>
      <c r="K3772" s="40"/>
      <c r="L3772" s="40"/>
      <c r="M3772" s="40"/>
      <c r="N3772" s="40"/>
      <c r="O3772" s="40"/>
      <c r="R3772" s="42"/>
      <c r="V3772" s="40"/>
      <c r="W3772" s="40"/>
    </row>
    <row r="3773" spans="7:23" ht="13.2">
      <c r="G3773" s="40"/>
      <c r="H3773" s="40"/>
      <c r="K3773" s="40"/>
      <c r="L3773" s="40"/>
      <c r="M3773" s="40"/>
      <c r="N3773" s="40"/>
      <c r="O3773" s="40"/>
      <c r="R3773" s="42"/>
      <c r="V3773" s="40"/>
      <c r="W3773" s="40"/>
    </row>
    <row r="3774" spans="7:23" ht="13.2">
      <c r="G3774" s="40"/>
      <c r="H3774" s="40"/>
      <c r="K3774" s="40"/>
      <c r="L3774" s="40"/>
      <c r="M3774" s="40"/>
      <c r="N3774" s="40"/>
      <c r="O3774" s="40"/>
      <c r="R3774" s="42"/>
      <c r="V3774" s="40"/>
      <c r="W3774" s="40"/>
    </row>
    <row r="3775" spans="7:23" ht="13.2">
      <c r="G3775" s="40"/>
      <c r="H3775" s="40"/>
      <c r="K3775" s="40"/>
      <c r="L3775" s="40"/>
      <c r="M3775" s="40"/>
      <c r="N3775" s="40"/>
      <c r="O3775" s="40"/>
      <c r="R3775" s="42"/>
      <c r="V3775" s="40"/>
      <c r="W3775" s="40"/>
    </row>
    <row r="3776" spans="7:23" ht="13.2">
      <c r="G3776" s="40"/>
      <c r="H3776" s="40"/>
      <c r="K3776" s="40"/>
      <c r="L3776" s="40"/>
      <c r="M3776" s="40"/>
      <c r="N3776" s="40"/>
      <c r="O3776" s="40"/>
      <c r="R3776" s="42"/>
      <c r="V3776" s="40"/>
      <c r="W3776" s="40"/>
    </row>
    <row r="3777" spans="7:23" ht="13.2">
      <c r="G3777" s="40"/>
      <c r="H3777" s="40"/>
      <c r="K3777" s="40"/>
      <c r="L3777" s="40"/>
      <c r="M3777" s="40"/>
      <c r="N3777" s="40"/>
      <c r="O3777" s="40"/>
      <c r="R3777" s="42"/>
      <c r="V3777" s="40"/>
      <c r="W3777" s="40"/>
    </row>
    <row r="3778" spans="7:23" ht="13.2">
      <c r="G3778" s="40"/>
      <c r="H3778" s="40"/>
      <c r="K3778" s="40"/>
      <c r="L3778" s="40"/>
      <c r="M3778" s="40"/>
      <c r="N3778" s="40"/>
      <c r="O3778" s="40"/>
      <c r="R3778" s="42"/>
      <c r="V3778" s="40"/>
      <c r="W3778" s="40"/>
    </row>
    <row r="3779" spans="7:23" ht="13.2">
      <c r="G3779" s="40"/>
      <c r="H3779" s="40"/>
      <c r="K3779" s="40"/>
      <c r="L3779" s="40"/>
      <c r="M3779" s="40"/>
      <c r="N3779" s="40"/>
      <c r="O3779" s="40"/>
      <c r="R3779" s="42"/>
      <c r="V3779" s="40"/>
      <c r="W3779" s="40"/>
    </row>
    <row r="3780" spans="7:23" ht="13.2">
      <c r="G3780" s="40"/>
      <c r="H3780" s="40"/>
      <c r="K3780" s="40"/>
      <c r="L3780" s="40"/>
      <c r="M3780" s="40"/>
      <c r="N3780" s="40"/>
      <c r="O3780" s="40"/>
      <c r="R3780" s="42"/>
      <c r="V3780" s="40"/>
      <c r="W3780" s="40"/>
    </row>
    <row r="3781" spans="7:23" ht="13.2">
      <c r="G3781" s="40"/>
      <c r="H3781" s="40"/>
      <c r="K3781" s="40"/>
      <c r="L3781" s="40"/>
      <c r="M3781" s="40"/>
      <c r="N3781" s="40"/>
      <c r="O3781" s="40"/>
      <c r="R3781" s="42"/>
      <c r="V3781" s="40"/>
      <c r="W3781" s="40"/>
    </row>
    <row r="3782" spans="7:23" ht="13.2">
      <c r="G3782" s="40"/>
      <c r="H3782" s="40"/>
      <c r="K3782" s="40"/>
      <c r="L3782" s="40"/>
      <c r="M3782" s="40"/>
      <c r="N3782" s="40"/>
      <c r="O3782" s="40"/>
      <c r="R3782" s="42"/>
      <c r="V3782" s="40"/>
      <c r="W3782" s="40"/>
    </row>
    <row r="3783" spans="7:23" ht="13.2">
      <c r="G3783" s="40"/>
      <c r="H3783" s="40"/>
      <c r="K3783" s="40"/>
      <c r="L3783" s="40"/>
      <c r="M3783" s="40"/>
      <c r="N3783" s="40"/>
      <c r="O3783" s="40"/>
      <c r="R3783" s="42"/>
      <c r="V3783" s="40"/>
      <c r="W3783" s="40"/>
    </row>
    <row r="3784" spans="7:23" ht="13.2">
      <c r="G3784" s="40"/>
      <c r="H3784" s="40"/>
      <c r="K3784" s="40"/>
      <c r="L3784" s="40"/>
      <c r="M3784" s="40"/>
      <c r="N3784" s="40"/>
      <c r="O3784" s="40"/>
      <c r="R3784" s="42"/>
      <c r="V3784" s="40"/>
      <c r="W3784" s="40"/>
    </row>
    <row r="3785" spans="7:23" ht="13.2">
      <c r="G3785" s="40"/>
      <c r="H3785" s="40"/>
      <c r="K3785" s="40"/>
      <c r="L3785" s="40"/>
      <c r="M3785" s="40"/>
      <c r="N3785" s="40"/>
      <c r="O3785" s="40"/>
      <c r="R3785" s="42"/>
      <c r="V3785" s="40"/>
      <c r="W3785" s="40"/>
    </row>
    <row r="3786" spans="7:23" ht="13.2">
      <c r="G3786" s="40"/>
      <c r="H3786" s="40"/>
      <c r="K3786" s="40"/>
      <c r="L3786" s="40"/>
      <c r="M3786" s="40"/>
      <c r="N3786" s="40"/>
      <c r="O3786" s="40"/>
      <c r="R3786" s="42"/>
      <c r="V3786" s="40"/>
      <c r="W3786" s="40"/>
    </row>
    <row r="3787" spans="7:23" ht="13.2">
      <c r="G3787" s="40"/>
      <c r="H3787" s="40"/>
      <c r="K3787" s="40"/>
      <c r="L3787" s="40"/>
      <c r="M3787" s="40"/>
      <c r="N3787" s="40"/>
      <c r="O3787" s="40"/>
      <c r="R3787" s="42"/>
      <c r="V3787" s="40"/>
      <c r="W3787" s="40"/>
    </row>
    <row r="3788" spans="7:23" ht="13.2">
      <c r="G3788" s="40"/>
      <c r="H3788" s="40"/>
      <c r="K3788" s="40"/>
      <c r="L3788" s="40"/>
      <c r="M3788" s="40"/>
      <c r="N3788" s="40"/>
      <c r="O3788" s="40"/>
      <c r="R3788" s="42"/>
      <c r="V3788" s="40"/>
      <c r="W3788" s="40"/>
    </row>
    <row r="3789" spans="7:23" ht="13.2">
      <c r="G3789" s="40"/>
      <c r="H3789" s="40"/>
      <c r="K3789" s="40"/>
      <c r="L3789" s="40"/>
      <c r="M3789" s="40"/>
      <c r="N3789" s="40"/>
      <c r="O3789" s="40"/>
      <c r="R3789" s="42"/>
      <c r="V3789" s="40"/>
      <c r="W3789" s="40"/>
    </row>
    <row r="3790" spans="7:23" ht="13.2">
      <c r="G3790" s="40"/>
      <c r="H3790" s="40"/>
      <c r="K3790" s="40"/>
      <c r="L3790" s="40"/>
      <c r="M3790" s="40"/>
      <c r="N3790" s="40"/>
      <c r="O3790" s="40"/>
      <c r="R3790" s="42"/>
      <c r="V3790" s="40"/>
      <c r="W3790" s="40"/>
    </row>
    <row r="3791" spans="7:23" ht="13.2">
      <c r="G3791" s="40"/>
      <c r="H3791" s="40"/>
      <c r="K3791" s="40"/>
      <c r="L3791" s="40"/>
      <c r="M3791" s="40"/>
      <c r="N3791" s="40"/>
      <c r="O3791" s="40"/>
      <c r="R3791" s="42"/>
      <c r="V3791" s="40"/>
      <c r="W3791" s="40"/>
    </row>
    <row r="3792" spans="7:23" ht="13.2">
      <c r="G3792" s="40"/>
      <c r="H3792" s="40"/>
      <c r="K3792" s="40"/>
      <c r="L3792" s="40"/>
      <c r="M3792" s="40"/>
      <c r="N3792" s="40"/>
      <c r="O3792" s="40"/>
      <c r="R3792" s="42"/>
      <c r="V3792" s="40"/>
      <c r="W3792" s="40"/>
    </row>
    <row r="3793" spans="7:23" ht="13.2">
      <c r="G3793" s="40"/>
      <c r="H3793" s="40"/>
      <c r="K3793" s="40"/>
      <c r="L3793" s="40"/>
      <c r="M3793" s="40"/>
      <c r="N3793" s="40"/>
      <c r="O3793" s="40"/>
      <c r="R3793" s="42"/>
      <c r="V3793" s="40"/>
      <c r="W3793" s="40"/>
    </row>
    <row r="3794" spans="7:23" ht="13.2">
      <c r="G3794" s="40"/>
      <c r="H3794" s="40"/>
      <c r="K3794" s="40"/>
      <c r="L3794" s="40"/>
      <c r="M3794" s="40"/>
      <c r="N3794" s="40"/>
      <c r="O3794" s="40"/>
      <c r="R3794" s="42"/>
      <c r="V3794" s="40"/>
      <c r="W3794" s="40"/>
    </row>
    <row r="3795" spans="7:23" ht="13.2">
      <c r="G3795" s="40"/>
      <c r="H3795" s="40"/>
      <c r="K3795" s="40"/>
      <c r="L3795" s="40"/>
      <c r="M3795" s="40"/>
      <c r="N3795" s="40"/>
      <c r="O3795" s="40"/>
      <c r="R3795" s="42"/>
      <c r="V3795" s="40"/>
      <c r="W3795" s="40"/>
    </row>
    <row r="3796" spans="7:23" ht="13.2">
      <c r="G3796" s="40"/>
      <c r="H3796" s="40"/>
      <c r="K3796" s="40"/>
      <c r="L3796" s="40"/>
      <c r="M3796" s="40"/>
      <c r="N3796" s="40"/>
      <c r="O3796" s="40"/>
      <c r="R3796" s="42"/>
      <c r="V3796" s="40"/>
      <c r="W3796" s="40"/>
    </row>
    <row r="3797" spans="7:23" ht="13.2">
      <c r="G3797" s="40"/>
      <c r="H3797" s="40"/>
      <c r="K3797" s="40"/>
      <c r="L3797" s="40"/>
      <c r="M3797" s="40"/>
      <c r="N3797" s="40"/>
      <c r="O3797" s="40"/>
      <c r="R3797" s="42"/>
      <c r="V3797" s="40"/>
      <c r="W3797" s="40"/>
    </row>
    <row r="3798" spans="7:23" ht="13.2">
      <c r="G3798" s="40"/>
      <c r="H3798" s="40"/>
      <c r="K3798" s="40"/>
      <c r="L3798" s="40"/>
      <c r="M3798" s="40"/>
      <c r="N3798" s="40"/>
      <c r="O3798" s="40"/>
      <c r="R3798" s="42"/>
      <c r="V3798" s="40"/>
      <c r="W3798" s="40"/>
    </row>
    <row r="3799" spans="7:23" ht="13.2">
      <c r="G3799" s="40"/>
      <c r="H3799" s="40"/>
      <c r="K3799" s="40"/>
      <c r="L3799" s="40"/>
      <c r="M3799" s="40"/>
      <c r="N3799" s="40"/>
      <c r="O3799" s="40"/>
      <c r="R3799" s="42"/>
      <c r="V3799" s="40"/>
      <c r="W3799" s="40"/>
    </row>
    <row r="3800" spans="7:23" ht="13.2">
      <c r="G3800" s="40"/>
      <c r="H3800" s="40"/>
      <c r="K3800" s="40"/>
      <c r="L3800" s="40"/>
      <c r="M3800" s="40"/>
      <c r="N3800" s="40"/>
      <c r="O3800" s="40"/>
      <c r="R3800" s="42"/>
      <c r="V3800" s="40"/>
      <c r="W3800" s="40"/>
    </row>
    <row r="3801" spans="7:23" ht="13.2">
      <c r="G3801" s="40"/>
      <c r="H3801" s="40"/>
      <c r="K3801" s="40"/>
      <c r="L3801" s="40"/>
      <c r="M3801" s="40"/>
      <c r="N3801" s="40"/>
      <c r="O3801" s="40"/>
      <c r="R3801" s="42"/>
      <c r="V3801" s="40"/>
      <c r="W3801" s="40"/>
    </row>
    <row r="3802" spans="7:23" ht="13.2">
      <c r="G3802" s="40"/>
      <c r="H3802" s="40"/>
      <c r="K3802" s="40"/>
      <c r="L3802" s="40"/>
      <c r="M3802" s="40"/>
      <c r="N3802" s="40"/>
      <c r="O3802" s="40"/>
      <c r="R3802" s="42"/>
      <c r="V3802" s="40"/>
      <c r="W3802" s="40"/>
    </row>
    <row r="3803" spans="7:23" ht="13.2">
      <c r="G3803" s="40"/>
      <c r="H3803" s="40"/>
      <c r="K3803" s="40"/>
      <c r="L3803" s="40"/>
      <c r="M3803" s="40"/>
      <c r="N3803" s="40"/>
      <c r="O3803" s="40"/>
      <c r="R3803" s="42"/>
      <c r="V3803" s="40"/>
      <c r="W3803" s="40"/>
    </row>
    <row r="3804" spans="7:23" ht="13.2">
      <c r="G3804" s="40"/>
      <c r="H3804" s="40"/>
      <c r="K3804" s="40"/>
      <c r="L3804" s="40"/>
      <c r="M3804" s="40"/>
      <c r="N3804" s="40"/>
      <c r="O3804" s="40"/>
      <c r="R3804" s="42"/>
      <c r="V3804" s="40"/>
      <c r="W3804" s="40"/>
    </row>
    <row r="3805" spans="7:23" ht="13.2">
      <c r="G3805" s="40"/>
      <c r="H3805" s="40"/>
      <c r="K3805" s="40"/>
      <c r="L3805" s="40"/>
      <c r="M3805" s="40"/>
      <c r="N3805" s="40"/>
      <c r="O3805" s="40"/>
      <c r="R3805" s="42"/>
      <c r="V3805" s="40"/>
      <c r="W3805" s="40"/>
    </row>
    <row r="3806" spans="7:23" ht="13.2">
      <c r="G3806" s="40"/>
      <c r="H3806" s="40"/>
      <c r="K3806" s="40"/>
      <c r="L3806" s="40"/>
      <c r="M3806" s="40"/>
      <c r="N3806" s="40"/>
      <c r="O3806" s="40"/>
      <c r="R3806" s="42"/>
      <c r="V3806" s="40"/>
      <c r="W3806" s="40"/>
    </row>
    <row r="3807" spans="7:23" ht="13.2">
      <c r="G3807" s="40"/>
      <c r="H3807" s="40"/>
      <c r="K3807" s="40"/>
      <c r="L3807" s="40"/>
      <c r="M3807" s="40"/>
      <c r="N3807" s="40"/>
      <c r="O3807" s="40"/>
      <c r="R3807" s="42"/>
      <c r="V3807" s="40"/>
      <c r="W3807" s="40"/>
    </row>
    <row r="3808" spans="7:23" ht="13.2">
      <c r="G3808" s="40"/>
      <c r="H3808" s="40"/>
      <c r="K3808" s="40"/>
      <c r="L3808" s="40"/>
      <c r="M3808" s="40"/>
      <c r="N3808" s="40"/>
      <c r="O3808" s="40"/>
      <c r="R3808" s="42"/>
      <c r="V3808" s="40"/>
      <c r="W3808" s="40"/>
    </row>
    <row r="3809" spans="7:23" ht="13.2">
      <c r="G3809" s="40"/>
      <c r="H3809" s="40"/>
      <c r="K3809" s="40"/>
      <c r="L3809" s="40"/>
      <c r="M3809" s="40"/>
      <c r="N3809" s="40"/>
      <c r="O3809" s="40"/>
      <c r="R3809" s="42"/>
      <c r="V3809" s="40"/>
      <c r="W3809" s="40"/>
    </row>
    <row r="3810" spans="7:23" ht="13.2">
      <c r="G3810" s="40"/>
      <c r="H3810" s="40"/>
      <c r="K3810" s="40"/>
      <c r="L3810" s="40"/>
      <c r="M3810" s="40"/>
      <c r="N3810" s="40"/>
      <c r="O3810" s="40"/>
      <c r="R3810" s="42"/>
      <c r="V3810" s="40"/>
      <c r="W3810" s="40"/>
    </row>
    <row r="3811" spans="7:23" ht="13.2">
      <c r="G3811" s="40"/>
      <c r="H3811" s="40"/>
      <c r="K3811" s="40"/>
      <c r="L3811" s="40"/>
      <c r="M3811" s="40"/>
      <c r="N3811" s="40"/>
      <c r="O3811" s="40"/>
      <c r="R3811" s="42"/>
      <c r="V3811" s="40"/>
      <c r="W3811" s="40"/>
    </row>
    <row r="3812" spans="7:23" ht="13.2">
      <c r="G3812" s="40"/>
      <c r="H3812" s="40"/>
      <c r="K3812" s="40"/>
      <c r="L3812" s="40"/>
      <c r="M3812" s="40"/>
      <c r="N3812" s="40"/>
      <c r="O3812" s="40"/>
      <c r="R3812" s="42"/>
      <c r="V3812" s="40"/>
      <c r="W3812" s="40"/>
    </row>
    <row r="3813" spans="7:23" ht="13.2">
      <c r="G3813" s="40"/>
      <c r="H3813" s="40"/>
      <c r="K3813" s="40"/>
      <c r="L3813" s="40"/>
      <c r="M3813" s="40"/>
      <c r="N3813" s="40"/>
      <c r="O3813" s="40"/>
      <c r="R3813" s="42"/>
      <c r="V3813" s="40"/>
      <c r="W3813" s="40"/>
    </row>
    <row r="3814" spans="7:23" ht="13.2">
      <c r="G3814" s="40"/>
      <c r="H3814" s="40"/>
      <c r="K3814" s="40"/>
      <c r="L3814" s="40"/>
      <c r="M3814" s="40"/>
      <c r="N3814" s="40"/>
      <c r="O3814" s="40"/>
      <c r="R3814" s="42"/>
      <c r="V3814" s="40"/>
      <c r="W3814" s="40"/>
    </row>
    <row r="3815" spans="7:23" ht="13.2">
      <c r="G3815" s="40"/>
      <c r="H3815" s="40"/>
      <c r="K3815" s="40"/>
      <c r="L3815" s="40"/>
      <c r="M3815" s="40"/>
      <c r="N3815" s="40"/>
      <c r="O3815" s="40"/>
      <c r="R3815" s="42"/>
      <c r="V3815" s="40"/>
      <c r="W3815" s="40"/>
    </row>
    <row r="3816" spans="7:23" ht="13.2">
      <c r="G3816" s="40"/>
      <c r="H3816" s="40"/>
      <c r="K3816" s="40"/>
      <c r="L3816" s="40"/>
      <c r="M3816" s="40"/>
      <c r="N3816" s="40"/>
      <c r="O3816" s="40"/>
      <c r="R3816" s="42"/>
      <c r="V3816" s="40"/>
      <c r="W3816" s="40"/>
    </row>
    <row r="3817" spans="7:23" ht="13.2">
      <c r="G3817" s="40"/>
      <c r="H3817" s="40"/>
      <c r="K3817" s="40"/>
      <c r="L3817" s="40"/>
      <c r="M3817" s="40"/>
      <c r="N3817" s="40"/>
      <c r="O3817" s="40"/>
      <c r="R3817" s="42"/>
      <c r="V3817" s="40"/>
      <c r="W3817" s="40"/>
    </row>
    <row r="3818" spans="7:23" ht="13.2">
      <c r="G3818" s="40"/>
      <c r="H3818" s="40"/>
      <c r="K3818" s="40"/>
      <c r="L3818" s="40"/>
      <c r="M3818" s="40"/>
      <c r="N3818" s="40"/>
      <c r="O3818" s="40"/>
      <c r="R3818" s="42"/>
      <c r="V3818" s="40"/>
      <c r="W3818" s="40"/>
    </row>
    <row r="3819" spans="7:23" ht="13.2">
      <c r="G3819" s="40"/>
      <c r="H3819" s="40"/>
      <c r="K3819" s="40"/>
      <c r="L3819" s="40"/>
      <c r="M3819" s="40"/>
      <c r="N3819" s="40"/>
      <c r="O3819" s="40"/>
      <c r="R3819" s="42"/>
      <c r="V3819" s="40"/>
      <c r="W3819" s="40"/>
    </row>
    <row r="3820" spans="7:23" ht="13.2">
      <c r="G3820" s="40"/>
      <c r="H3820" s="40"/>
      <c r="K3820" s="40"/>
      <c r="L3820" s="40"/>
      <c r="M3820" s="40"/>
      <c r="N3820" s="40"/>
      <c r="O3820" s="40"/>
      <c r="R3820" s="42"/>
      <c r="V3820" s="40"/>
      <c r="W3820" s="40"/>
    </row>
    <row r="3821" spans="7:23" ht="13.2">
      <c r="G3821" s="40"/>
      <c r="H3821" s="40"/>
      <c r="K3821" s="40"/>
      <c r="L3821" s="40"/>
      <c r="M3821" s="40"/>
      <c r="N3821" s="40"/>
      <c r="O3821" s="40"/>
      <c r="R3821" s="42"/>
      <c r="V3821" s="40"/>
      <c r="W3821" s="40"/>
    </row>
    <row r="3822" spans="7:23" ht="13.2">
      <c r="G3822" s="40"/>
      <c r="H3822" s="40"/>
      <c r="K3822" s="40"/>
      <c r="L3822" s="40"/>
      <c r="M3822" s="40"/>
      <c r="N3822" s="40"/>
      <c r="O3822" s="40"/>
      <c r="R3822" s="42"/>
      <c r="V3822" s="40"/>
      <c r="W3822" s="40"/>
    </row>
    <row r="3823" spans="7:23" ht="13.2">
      <c r="G3823" s="40"/>
      <c r="H3823" s="40"/>
      <c r="K3823" s="40"/>
      <c r="L3823" s="40"/>
      <c r="M3823" s="40"/>
      <c r="N3823" s="40"/>
      <c r="O3823" s="40"/>
      <c r="R3823" s="42"/>
      <c r="V3823" s="40"/>
      <c r="W3823" s="40"/>
    </row>
    <row r="3824" spans="7:23" ht="13.2">
      <c r="G3824" s="40"/>
      <c r="H3824" s="40"/>
      <c r="K3824" s="40"/>
      <c r="L3824" s="40"/>
      <c r="M3824" s="40"/>
      <c r="N3824" s="40"/>
      <c r="O3824" s="40"/>
      <c r="R3824" s="42"/>
      <c r="V3824" s="40"/>
      <c r="W3824" s="40"/>
    </row>
    <row r="3825" spans="7:23" ht="13.2">
      <c r="G3825" s="40"/>
      <c r="H3825" s="40"/>
      <c r="K3825" s="40"/>
      <c r="L3825" s="40"/>
      <c r="M3825" s="40"/>
      <c r="N3825" s="40"/>
      <c r="O3825" s="40"/>
      <c r="R3825" s="42"/>
      <c r="V3825" s="40"/>
      <c r="W3825" s="40"/>
    </row>
    <row r="3826" spans="7:23" ht="13.2">
      <c r="G3826" s="40"/>
      <c r="H3826" s="40"/>
      <c r="K3826" s="40"/>
      <c r="L3826" s="40"/>
      <c r="M3826" s="40"/>
      <c r="N3826" s="40"/>
      <c r="O3826" s="40"/>
      <c r="R3826" s="42"/>
      <c r="V3826" s="40"/>
      <c r="W3826" s="40"/>
    </row>
    <row r="3827" spans="7:23" ht="13.2">
      <c r="G3827" s="40"/>
      <c r="H3827" s="40"/>
      <c r="K3827" s="40"/>
      <c r="L3827" s="40"/>
      <c r="M3827" s="40"/>
      <c r="N3827" s="40"/>
      <c r="O3827" s="40"/>
      <c r="R3827" s="42"/>
      <c r="V3827" s="40"/>
      <c r="W3827" s="40"/>
    </row>
    <row r="3828" spans="7:23" ht="13.2">
      <c r="G3828" s="40"/>
      <c r="H3828" s="40"/>
      <c r="K3828" s="40"/>
      <c r="L3828" s="40"/>
      <c r="M3828" s="40"/>
      <c r="N3828" s="40"/>
      <c r="O3828" s="40"/>
      <c r="R3828" s="42"/>
      <c r="V3828" s="40"/>
      <c r="W3828" s="40"/>
    </row>
    <row r="3829" spans="7:23" ht="13.2">
      <c r="G3829" s="40"/>
      <c r="H3829" s="40"/>
      <c r="K3829" s="40"/>
      <c r="L3829" s="40"/>
      <c r="M3829" s="40"/>
      <c r="N3829" s="40"/>
      <c r="O3829" s="40"/>
      <c r="R3829" s="42"/>
      <c r="V3829" s="40"/>
      <c r="W3829" s="40"/>
    </row>
    <row r="3830" spans="7:23" ht="13.2">
      <c r="G3830" s="40"/>
      <c r="H3830" s="40"/>
      <c r="K3830" s="40"/>
      <c r="L3830" s="40"/>
      <c r="M3830" s="40"/>
      <c r="N3830" s="40"/>
      <c r="O3830" s="40"/>
      <c r="R3830" s="42"/>
      <c r="V3830" s="40"/>
      <c r="W3830" s="40"/>
    </row>
    <row r="3831" spans="7:23" ht="13.2">
      <c r="G3831" s="40"/>
      <c r="H3831" s="40"/>
      <c r="K3831" s="40"/>
      <c r="L3831" s="40"/>
      <c r="M3831" s="40"/>
      <c r="N3831" s="40"/>
      <c r="O3831" s="40"/>
      <c r="R3831" s="42"/>
      <c r="V3831" s="40"/>
      <c r="W3831" s="40"/>
    </row>
    <row r="3832" spans="7:23" ht="13.2">
      <c r="G3832" s="40"/>
      <c r="H3832" s="40"/>
      <c r="K3832" s="40"/>
      <c r="L3832" s="40"/>
      <c r="M3832" s="40"/>
      <c r="N3832" s="40"/>
      <c r="O3832" s="40"/>
      <c r="R3832" s="42"/>
      <c r="V3832" s="40"/>
      <c r="W3832" s="40"/>
    </row>
    <row r="3833" spans="7:23" ht="13.2">
      <c r="G3833" s="40"/>
      <c r="H3833" s="40"/>
      <c r="K3833" s="40"/>
      <c r="L3833" s="40"/>
      <c r="M3833" s="40"/>
      <c r="N3833" s="40"/>
      <c r="O3833" s="40"/>
      <c r="R3833" s="42"/>
      <c r="V3833" s="40"/>
      <c r="W3833" s="40"/>
    </row>
    <row r="3834" spans="7:23" ht="13.2">
      <c r="G3834" s="40"/>
      <c r="H3834" s="40"/>
      <c r="K3834" s="40"/>
      <c r="L3834" s="40"/>
      <c r="M3834" s="40"/>
      <c r="N3834" s="40"/>
      <c r="O3834" s="40"/>
      <c r="R3834" s="42"/>
      <c r="V3834" s="40"/>
      <c r="W3834" s="40"/>
    </row>
    <row r="3835" spans="7:23" ht="13.2">
      <c r="G3835" s="40"/>
      <c r="H3835" s="40"/>
      <c r="K3835" s="40"/>
      <c r="L3835" s="40"/>
      <c r="M3835" s="40"/>
      <c r="N3835" s="40"/>
      <c r="O3835" s="40"/>
      <c r="R3835" s="42"/>
      <c r="V3835" s="40"/>
      <c r="W3835" s="40"/>
    </row>
    <row r="3836" spans="7:23" ht="13.2">
      <c r="G3836" s="40"/>
      <c r="H3836" s="40"/>
      <c r="K3836" s="40"/>
      <c r="L3836" s="40"/>
      <c r="M3836" s="40"/>
      <c r="N3836" s="40"/>
      <c r="O3836" s="40"/>
      <c r="R3836" s="42"/>
      <c r="V3836" s="40"/>
      <c r="W3836" s="40"/>
    </row>
    <row r="3837" spans="7:23" ht="13.2">
      <c r="G3837" s="40"/>
      <c r="H3837" s="40"/>
      <c r="K3837" s="40"/>
      <c r="L3837" s="40"/>
      <c r="M3837" s="40"/>
      <c r="N3837" s="40"/>
      <c r="O3837" s="40"/>
      <c r="R3837" s="42"/>
      <c r="V3837" s="40"/>
      <c r="W3837" s="40"/>
    </row>
    <row r="3838" spans="7:23" ht="13.2">
      <c r="G3838" s="40"/>
      <c r="H3838" s="40"/>
      <c r="K3838" s="40"/>
      <c r="L3838" s="40"/>
      <c r="M3838" s="40"/>
      <c r="N3838" s="40"/>
      <c r="O3838" s="40"/>
      <c r="R3838" s="42"/>
      <c r="V3838" s="40"/>
      <c r="W3838" s="40"/>
    </row>
    <row r="3839" spans="7:23" ht="13.2">
      <c r="G3839" s="40"/>
      <c r="H3839" s="40"/>
      <c r="K3839" s="40"/>
      <c r="L3839" s="40"/>
      <c r="M3839" s="40"/>
      <c r="N3839" s="40"/>
      <c r="O3839" s="40"/>
      <c r="R3839" s="42"/>
      <c r="V3839" s="40"/>
      <c r="W3839" s="40"/>
    </row>
    <row r="3840" spans="7:23" ht="13.2">
      <c r="G3840" s="40"/>
      <c r="H3840" s="40"/>
      <c r="K3840" s="40"/>
      <c r="L3840" s="40"/>
      <c r="M3840" s="40"/>
      <c r="N3840" s="40"/>
      <c r="O3840" s="40"/>
      <c r="R3840" s="42"/>
      <c r="V3840" s="40"/>
      <c r="W3840" s="40"/>
    </row>
    <row r="3841" spans="7:23" ht="13.2">
      <c r="G3841" s="40"/>
      <c r="H3841" s="40"/>
      <c r="K3841" s="40"/>
      <c r="L3841" s="40"/>
      <c r="M3841" s="40"/>
      <c r="N3841" s="40"/>
      <c r="O3841" s="40"/>
      <c r="R3841" s="42"/>
      <c r="V3841" s="40"/>
      <c r="W3841" s="40"/>
    </row>
    <row r="3842" spans="7:23" ht="13.2">
      <c r="G3842" s="40"/>
      <c r="H3842" s="40"/>
      <c r="K3842" s="40"/>
      <c r="L3842" s="40"/>
      <c r="M3842" s="40"/>
      <c r="N3842" s="40"/>
      <c r="O3842" s="40"/>
      <c r="R3842" s="42"/>
      <c r="V3842" s="40"/>
      <c r="W3842" s="40"/>
    </row>
    <row r="3843" spans="7:23" ht="13.2">
      <c r="G3843" s="40"/>
      <c r="H3843" s="40"/>
      <c r="K3843" s="40"/>
      <c r="L3843" s="40"/>
      <c r="M3843" s="40"/>
      <c r="N3843" s="40"/>
      <c r="O3843" s="40"/>
      <c r="R3843" s="42"/>
      <c r="V3843" s="40"/>
      <c r="W3843" s="40"/>
    </row>
    <row r="3844" spans="7:23" ht="13.2">
      <c r="G3844" s="40"/>
      <c r="H3844" s="40"/>
      <c r="K3844" s="40"/>
      <c r="L3844" s="40"/>
      <c r="M3844" s="40"/>
      <c r="N3844" s="40"/>
      <c r="O3844" s="40"/>
      <c r="R3844" s="42"/>
      <c r="V3844" s="40"/>
      <c r="W3844" s="40"/>
    </row>
    <row r="3845" spans="7:23" ht="13.2">
      <c r="G3845" s="40"/>
      <c r="H3845" s="40"/>
      <c r="K3845" s="40"/>
      <c r="L3845" s="40"/>
      <c r="M3845" s="40"/>
      <c r="N3845" s="40"/>
      <c r="O3845" s="40"/>
      <c r="R3845" s="42"/>
      <c r="V3845" s="40"/>
      <c r="W3845" s="40"/>
    </row>
    <row r="3846" spans="7:23" ht="13.2">
      <c r="G3846" s="40"/>
      <c r="H3846" s="40"/>
      <c r="K3846" s="40"/>
      <c r="L3846" s="40"/>
      <c r="M3846" s="40"/>
      <c r="N3846" s="40"/>
      <c r="O3846" s="40"/>
      <c r="R3846" s="42"/>
      <c r="V3846" s="40"/>
      <c r="W3846" s="40"/>
    </row>
    <row r="3847" spans="7:23" ht="13.2">
      <c r="G3847" s="40"/>
      <c r="H3847" s="40"/>
      <c r="K3847" s="40"/>
      <c r="L3847" s="40"/>
      <c r="M3847" s="40"/>
      <c r="N3847" s="40"/>
      <c r="O3847" s="40"/>
      <c r="R3847" s="42"/>
      <c r="V3847" s="40"/>
      <c r="W3847" s="40"/>
    </row>
    <row r="3848" spans="7:23" ht="13.2">
      <c r="G3848" s="40"/>
      <c r="H3848" s="40"/>
      <c r="K3848" s="40"/>
      <c r="L3848" s="40"/>
      <c r="M3848" s="40"/>
      <c r="N3848" s="40"/>
      <c r="O3848" s="40"/>
      <c r="R3848" s="42"/>
      <c r="V3848" s="40"/>
      <c r="W3848" s="40"/>
    </row>
    <row r="3849" spans="7:23" ht="13.2">
      <c r="G3849" s="40"/>
      <c r="H3849" s="40"/>
      <c r="K3849" s="40"/>
      <c r="L3849" s="40"/>
      <c r="M3849" s="40"/>
      <c r="N3849" s="40"/>
      <c r="O3849" s="40"/>
      <c r="R3849" s="42"/>
      <c r="V3849" s="40"/>
      <c r="W3849" s="40"/>
    </row>
    <row r="3850" spans="7:23" ht="13.2">
      <c r="G3850" s="40"/>
      <c r="H3850" s="40"/>
      <c r="K3850" s="40"/>
      <c r="L3850" s="40"/>
      <c r="M3850" s="40"/>
      <c r="N3850" s="40"/>
      <c r="O3850" s="40"/>
      <c r="R3850" s="42"/>
      <c r="V3850" s="40"/>
      <c r="W3850" s="40"/>
    </row>
    <row r="3851" spans="7:23" ht="13.2">
      <c r="G3851" s="40"/>
      <c r="H3851" s="40"/>
      <c r="K3851" s="40"/>
      <c r="L3851" s="40"/>
      <c r="M3851" s="40"/>
      <c r="N3851" s="40"/>
      <c r="O3851" s="40"/>
      <c r="R3851" s="42"/>
      <c r="V3851" s="40"/>
      <c r="W3851" s="40"/>
    </row>
    <row r="3852" spans="7:23" ht="13.2">
      <c r="G3852" s="40"/>
      <c r="H3852" s="40"/>
      <c r="K3852" s="40"/>
      <c r="L3852" s="40"/>
      <c r="M3852" s="40"/>
      <c r="N3852" s="40"/>
      <c r="O3852" s="40"/>
      <c r="R3852" s="42"/>
      <c r="V3852" s="40"/>
      <c r="W3852" s="40"/>
    </row>
    <row r="3853" spans="7:23" ht="13.2">
      <c r="G3853" s="40"/>
      <c r="H3853" s="40"/>
      <c r="K3853" s="40"/>
      <c r="L3853" s="40"/>
      <c r="M3853" s="40"/>
      <c r="N3853" s="40"/>
      <c r="O3853" s="40"/>
      <c r="R3853" s="42"/>
      <c r="V3853" s="40"/>
      <c r="W3853" s="40"/>
    </row>
    <row r="3854" spans="7:23" ht="13.2">
      <c r="G3854" s="40"/>
      <c r="H3854" s="40"/>
      <c r="K3854" s="40"/>
      <c r="L3854" s="40"/>
      <c r="M3854" s="40"/>
      <c r="N3854" s="40"/>
      <c r="O3854" s="40"/>
      <c r="R3854" s="42"/>
      <c r="V3854" s="40"/>
      <c r="W3854" s="40"/>
    </row>
    <row r="3855" spans="7:23" ht="13.2">
      <c r="G3855" s="40"/>
      <c r="H3855" s="40"/>
      <c r="K3855" s="40"/>
      <c r="L3855" s="40"/>
      <c r="M3855" s="40"/>
      <c r="N3855" s="40"/>
      <c r="O3855" s="40"/>
      <c r="R3855" s="42"/>
      <c r="V3855" s="40"/>
      <c r="W3855" s="40"/>
    </row>
    <row r="3856" spans="7:23" ht="13.2">
      <c r="G3856" s="40"/>
      <c r="H3856" s="40"/>
      <c r="K3856" s="40"/>
      <c r="L3856" s="40"/>
      <c r="M3856" s="40"/>
      <c r="N3856" s="40"/>
      <c r="O3856" s="40"/>
      <c r="R3856" s="42"/>
      <c r="V3856" s="40"/>
      <c r="W3856" s="40"/>
    </row>
    <row r="3857" spans="7:23" ht="13.2">
      <c r="G3857" s="40"/>
      <c r="H3857" s="40"/>
      <c r="K3857" s="40"/>
      <c r="L3857" s="40"/>
      <c r="M3857" s="40"/>
      <c r="N3857" s="40"/>
      <c r="O3857" s="40"/>
      <c r="R3857" s="42"/>
      <c r="V3857" s="40"/>
      <c r="W3857" s="40"/>
    </row>
    <row r="3858" spans="7:23" ht="13.2">
      <c r="G3858" s="40"/>
      <c r="H3858" s="40"/>
      <c r="K3858" s="40"/>
      <c r="L3858" s="40"/>
      <c r="M3858" s="40"/>
      <c r="N3858" s="40"/>
      <c r="O3858" s="40"/>
      <c r="R3858" s="42"/>
      <c r="V3858" s="40"/>
      <c r="W3858" s="40"/>
    </row>
    <row r="3859" spans="7:23" ht="13.2">
      <c r="G3859" s="40"/>
      <c r="H3859" s="40"/>
      <c r="K3859" s="40"/>
      <c r="L3859" s="40"/>
      <c r="M3859" s="40"/>
      <c r="N3859" s="40"/>
      <c r="O3859" s="40"/>
      <c r="R3859" s="42"/>
      <c r="V3859" s="40"/>
      <c r="W3859" s="40"/>
    </row>
    <row r="3860" spans="7:23" ht="13.2">
      <c r="G3860" s="40"/>
      <c r="H3860" s="40"/>
      <c r="K3860" s="40"/>
      <c r="L3860" s="40"/>
      <c r="M3860" s="40"/>
      <c r="N3860" s="40"/>
      <c r="O3860" s="40"/>
      <c r="R3860" s="42"/>
      <c r="V3860" s="40"/>
      <c r="W3860" s="40"/>
    </row>
    <row r="3861" spans="7:23" ht="13.2">
      <c r="G3861" s="40"/>
      <c r="H3861" s="40"/>
      <c r="K3861" s="40"/>
      <c r="L3861" s="40"/>
      <c r="M3861" s="40"/>
      <c r="N3861" s="40"/>
      <c r="O3861" s="40"/>
      <c r="R3861" s="42"/>
      <c r="V3861" s="40"/>
      <c r="W3861" s="40"/>
    </row>
    <row r="3862" spans="7:23" ht="13.2">
      <c r="G3862" s="40"/>
      <c r="H3862" s="40"/>
      <c r="K3862" s="40"/>
      <c r="L3862" s="40"/>
      <c r="M3862" s="40"/>
      <c r="N3862" s="40"/>
      <c r="O3862" s="40"/>
      <c r="R3862" s="42"/>
      <c r="V3862" s="40"/>
      <c r="W3862" s="40"/>
    </row>
    <row r="3863" spans="7:23" ht="13.2">
      <c r="G3863" s="40"/>
      <c r="H3863" s="40"/>
      <c r="K3863" s="40"/>
      <c r="L3863" s="40"/>
      <c r="M3863" s="40"/>
      <c r="N3863" s="40"/>
      <c r="O3863" s="40"/>
      <c r="R3863" s="42"/>
      <c r="V3863" s="40"/>
      <c r="W3863" s="40"/>
    </row>
    <row r="3864" spans="7:23" ht="13.2">
      <c r="G3864" s="40"/>
      <c r="H3864" s="40"/>
      <c r="K3864" s="40"/>
      <c r="L3864" s="40"/>
      <c r="M3864" s="40"/>
      <c r="N3864" s="40"/>
      <c r="O3864" s="40"/>
      <c r="R3864" s="42"/>
      <c r="V3864" s="40"/>
      <c r="W3864" s="40"/>
    </row>
    <row r="3865" spans="7:23" ht="13.2">
      <c r="G3865" s="40"/>
      <c r="H3865" s="40"/>
      <c r="K3865" s="40"/>
      <c r="L3865" s="40"/>
      <c r="M3865" s="40"/>
      <c r="N3865" s="40"/>
      <c r="O3865" s="40"/>
      <c r="R3865" s="42"/>
      <c r="V3865" s="40"/>
      <c r="W3865" s="40"/>
    </row>
    <row r="3866" spans="7:23" ht="13.2">
      <c r="G3866" s="40"/>
      <c r="H3866" s="40"/>
      <c r="K3866" s="40"/>
      <c r="L3866" s="40"/>
      <c r="M3866" s="40"/>
      <c r="N3866" s="40"/>
      <c r="O3866" s="40"/>
      <c r="R3866" s="42"/>
      <c r="V3866" s="40"/>
      <c r="W3866" s="40"/>
    </row>
    <row r="3867" spans="7:23" ht="13.2">
      <c r="G3867" s="40"/>
      <c r="H3867" s="40"/>
      <c r="K3867" s="40"/>
      <c r="L3867" s="40"/>
      <c r="M3867" s="40"/>
      <c r="N3867" s="40"/>
      <c r="O3867" s="40"/>
      <c r="R3867" s="42"/>
      <c r="V3867" s="40"/>
      <c r="W3867" s="40"/>
    </row>
    <row r="3868" spans="7:23" ht="13.2">
      <c r="G3868" s="40"/>
      <c r="H3868" s="40"/>
      <c r="K3868" s="40"/>
      <c r="L3868" s="40"/>
      <c r="M3868" s="40"/>
      <c r="N3868" s="40"/>
      <c r="O3868" s="40"/>
      <c r="R3868" s="42"/>
      <c r="V3868" s="40"/>
      <c r="W3868" s="40"/>
    </row>
    <row r="3869" spans="7:23" ht="13.2">
      <c r="G3869" s="40"/>
      <c r="H3869" s="40"/>
      <c r="K3869" s="40"/>
      <c r="L3869" s="40"/>
      <c r="M3869" s="40"/>
      <c r="N3869" s="40"/>
      <c r="O3869" s="40"/>
      <c r="R3869" s="42"/>
      <c r="V3869" s="40"/>
      <c r="W3869" s="40"/>
    </row>
    <row r="3870" spans="7:23" ht="13.2">
      <c r="G3870" s="40"/>
      <c r="H3870" s="40"/>
      <c r="K3870" s="40"/>
      <c r="L3870" s="40"/>
      <c r="M3870" s="40"/>
      <c r="N3870" s="40"/>
      <c r="O3870" s="40"/>
      <c r="R3870" s="42"/>
      <c r="V3870" s="40"/>
      <c r="W3870" s="40"/>
    </row>
    <row r="3871" spans="7:23" ht="13.2">
      <c r="G3871" s="40"/>
      <c r="H3871" s="40"/>
      <c r="K3871" s="40"/>
      <c r="L3871" s="40"/>
      <c r="M3871" s="40"/>
      <c r="N3871" s="40"/>
      <c r="O3871" s="40"/>
      <c r="R3871" s="42"/>
      <c r="V3871" s="40"/>
      <c r="W3871" s="40"/>
    </row>
    <row r="3872" spans="7:23" ht="13.2">
      <c r="G3872" s="40"/>
      <c r="H3872" s="40"/>
      <c r="K3872" s="40"/>
      <c r="L3872" s="40"/>
      <c r="M3872" s="40"/>
      <c r="N3872" s="40"/>
      <c r="O3872" s="40"/>
      <c r="R3872" s="42"/>
      <c r="V3872" s="40"/>
      <c r="W3872" s="40"/>
    </row>
    <row r="3873" spans="7:23" ht="13.2">
      <c r="G3873" s="40"/>
      <c r="H3873" s="40"/>
      <c r="K3873" s="40"/>
      <c r="L3873" s="40"/>
      <c r="M3873" s="40"/>
      <c r="N3873" s="40"/>
      <c r="O3873" s="40"/>
      <c r="R3873" s="42"/>
      <c r="V3873" s="40"/>
      <c r="W3873" s="40"/>
    </row>
    <row r="3874" spans="7:23" ht="13.2">
      <c r="G3874" s="40"/>
      <c r="H3874" s="40"/>
      <c r="K3874" s="40"/>
      <c r="L3874" s="40"/>
      <c r="M3874" s="40"/>
      <c r="N3874" s="40"/>
      <c r="O3874" s="40"/>
      <c r="R3874" s="42"/>
      <c r="V3874" s="40"/>
      <c r="W3874" s="40"/>
    </row>
    <row r="3875" spans="7:23" ht="13.2">
      <c r="G3875" s="40"/>
      <c r="H3875" s="40"/>
      <c r="K3875" s="40"/>
      <c r="L3875" s="40"/>
      <c r="M3875" s="40"/>
      <c r="N3875" s="40"/>
      <c r="O3875" s="40"/>
      <c r="R3875" s="42"/>
      <c r="V3875" s="40"/>
      <c r="W3875" s="40"/>
    </row>
    <row r="3876" spans="7:23" ht="13.2">
      <c r="G3876" s="40"/>
      <c r="H3876" s="40"/>
      <c r="K3876" s="40"/>
      <c r="L3876" s="40"/>
      <c r="M3876" s="40"/>
      <c r="N3876" s="40"/>
      <c r="O3876" s="40"/>
      <c r="R3876" s="42"/>
      <c r="V3876" s="40"/>
      <c r="W3876" s="40"/>
    </row>
    <row r="3877" spans="7:23" ht="13.2">
      <c r="G3877" s="40"/>
      <c r="H3877" s="40"/>
      <c r="K3877" s="40"/>
      <c r="L3877" s="40"/>
      <c r="M3877" s="40"/>
      <c r="N3877" s="40"/>
      <c r="O3877" s="40"/>
      <c r="R3877" s="42"/>
      <c r="V3877" s="40"/>
      <c r="W3877" s="40"/>
    </row>
    <row r="3878" spans="7:23" ht="13.2">
      <c r="G3878" s="40"/>
      <c r="H3878" s="40"/>
      <c r="K3878" s="40"/>
      <c r="L3878" s="40"/>
      <c r="M3878" s="40"/>
      <c r="N3878" s="40"/>
      <c r="O3878" s="40"/>
      <c r="R3878" s="42"/>
      <c r="V3878" s="40"/>
      <c r="W3878" s="40"/>
    </row>
    <row r="3879" spans="7:23" ht="13.2">
      <c r="G3879" s="40"/>
      <c r="H3879" s="40"/>
      <c r="K3879" s="40"/>
      <c r="L3879" s="40"/>
      <c r="M3879" s="40"/>
      <c r="N3879" s="40"/>
      <c r="O3879" s="40"/>
      <c r="R3879" s="42"/>
      <c r="V3879" s="40"/>
      <c r="W3879" s="40"/>
    </row>
    <row r="3880" spans="7:23" ht="13.2">
      <c r="G3880" s="40"/>
      <c r="H3880" s="40"/>
      <c r="K3880" s="40"/>
      <c r="L3880" s="40"/>
      <c r="M3880" s="40"/>
      <c r="N3880" s="40"/>
      <c r="O3880" s="40"/>
      <c r="R3880" s="42"/>
      <c r="V3880" s="40"/>
      <c r="W3880" s="40"/>
    </row>
    <row r="3881" spans="7:23" ht="13.2">
      <c r="G3881" s="40"/>
      <c r="H3881" s="40"/>
      <c r="K3881" s="40"/>
      <c r="L3881" s="40"/>
      <c r="M3881" s="40"/>
      <c r="N3881" s="40"/>
      <c r="O3881" s="40"/>
      <c r="R3881" s="42"/>
      <c r="V3881" s="40"/>
      <c r="W3881" s="40"/>
    </row>
    <row r="3882" spans="7:23" ht="13.2">
      <c r="G3882" s="40"/>
      <c r="H3882" s="40"/>
      <c r="K3882" s="40"/>
      <c r="L3882" s="40"/>
      <c r="M3882" s="40"/>
      <c r="N3882" s="40"/>
      <c r="O3882" s="40"/>
      <c r="R3882" s="42"/>
      <c r="V3882" s="40"/>
      <c r="W3882" s="40"/>
    </row>
    <row r="3883" spans="7:23" ht="13.2">
      <c r="G3883" s="40"/>
      <c r="H3883" s="40"/>
      <c r="K3883" s="40"/>
      <c r="L3883" s="40"/>
      <c r="M3883" s="40"/>
      <c r="N3883" s="40"/>
      <c r="O3883" s="40"/>
      <c r="R3883" s="42"/>
      <c r="V3883" s="40"/>
      <c r="W3883" s="40"/>
    </row>
    <row r="3884" spans="7:23" ht="13.2">
      <c r="G3884" s="40"/>
      <c r="H3884" s="40"/>
      <c r="K3884" s="40"/>
      <c r="L3884" s="40"/>
      <c r="M3884" s="40"/>
      <c r="N3884" s="40"/>
      <c r="O3884" s="40"/>
      <c r="R3884" s="42"/>
      <c r="V3884" s="40"/>
      <c r="W3884" s="40"/>
    </row>
    <row r="3885" spans="7:23" ht="13.2">
      <c r="G3885" s="40"/>
      <c r="H3885" s="40"/>
      <c r="K3885" s="40"/>
      <c r="L3885" s="40"/>
      <c r="M3885" s="40"/>
      <c r="N3885" s="40"/>
      <c r="O3885" s="40"/>
      <c r="R3885" s="42"/>
      <c r="V3885" s="40"/>
      <c r="W3885" s="40"/>
    </row>
    <row r="3886" spans="7:23" ht="13.2">
      <c r="G3886" s="40"/>
      <c r="H3886" s="40"/>
      <c r="K3886" s="40"/>
      <c r="L3886" s="40"/>
      <c r="M3886" s="40"/>
      <c r="N3886" s="40"/>
      <c r="O3886" s="40"/>
      <c r="R3886" s="42"/>
      <c r="V3886" s="40"/>
      <c r="W3886" s="40"/>
    </row>
    <row r="3887" spans="7:23" ht="13.2">
      <c r="G3887" s="40"/>
      <c r="H3887" s="40"/>
      <c r="K3887" s="40"/>
      <c r="L3887" s="40"/>
      <c r="M3887" s="40"/>
      <c r="N3887" s="40"/>
      <c r="O3887" s="40"/>
      <c r="R3887" s="42"/>
      <c r="V3887" s="40"/>
      <c r="W3887" s="40"/>
    </row>
    <row r="3888" spans="7:23" ht="13.2">
      <c r="G3888" s="40"/>
      <c r="H3888" s="40"/>
      <c r="K3888" s="40"/>
      <c r="L3888" s="40"/>
      <c r="M3888" s="40"/>
      <c r="N3888" s="40"/>
      <c r="O3888" s="40"/>
      <c r="R3888" s="42"/>
      <c r="V3888" s="40"/>
      <c r="W3888" s="40"/>
    </row>
    <row r="3889" spans="7:23" ht="13.2">
      <c r="G3889" s="40"/>
      <c r="H3889" s="40"/>
      <c r="K3889" s="40"/>
      <c r="L3889" s="40"/>
      <c r="M3889" s="40"/>
      <c r="N3889" s="40"/>
      <c r="O3889" s="40"/>
      <c r="R3889" s="42"/>
      <c r="V3889" s="40"/>
      <c r="W3889" s="40"/>
    </row>
    <row r="3890" spans="7:23" ht="13.2">
      <c r="G3890" s="40"/>
      <c r="H3890" s="40"/>
      <c r="K3890" s="40"/>
      <c r="L3890" s="40"/>
      <c r="M3890" s="40"/>
      <c r="N3890" s="40"/>
      <c r="O3890" s="40"/>
      <c r="R3890" s="42"/>
      <c r="V3890" s="40"/>
      <c r="W3890" s="40"/>
    </row>
    <row r="3891" spans="7:23" ht="13.2">
      <c r="G3891" s="40"/>
      <c r="H3891" s="40"/>
      <c r="K3891" s="40"/>
      <c r="L3891" s="40"/>
      <c r="M3891" s="40"/>
      <c r="N3891" s="40"/>
      <c r="O3891" s="40"/>
      <c r="R3891" s="42"/>
      <c r="V3891" s="40"/>
      <c r="W3891" s="40"/>
    </row>
    <row r="3892" spans="7:23" ht="13.2">
      <c r="G3892" s="40"/>
      <c r="H3892" s="40"/>
      <c r="K3892" s="40"/>
      <c r="L3892" s="40"/>
      <c r="M3892" s="40"/>
      <c r="N3892" s="40"/>
      <c r="O3892" s="40"/>
      <c r="R3892" s="42"/>
      <c r="V3892" s="40"/>
      <c r="W3892" s="40"/>
    </row>
    <row r="3893" spans="7:23" ht="13.2">
      <c r="G3893" s="40"/>
      <c r="H3893" s="40"/>
      <c r="K3893" s="40"/>
      <c r="L3893" s="40"/>
      <c r="M3893" s="40"/>
      <c r="N3893" s="40"/>
      <c r="O3893" s="40"/>
      <c r="R3893" s="42"/>
      <c r="V3893" s="40"/>
      <c r="W3893" s="40"/>
    </row>
    <row r="3894" spans="7:23" ht="13.2">
      <c r="G3894" s="40"/>
      <c r="H3894" s="40"/>
      <c r="K3894" s="40"/>
      <c r="L3894" s="40"/>
      <c r="M3894" s="40"/>
      <c r="N3894" s="40"/>
      <c r="O3894" s="40"/>
      <c r="R3894" s="42"/>
      <c r="V3894" s="40"/>
      <c r="W3894" s="40"/>
    </row>
    <row r="3895" spans="7:23" ht="13.2">
      <c r="G3895" s="40"/>
      <c r="H3895" s="40"/>
      <c r="K3895" s="40"/>
      <c r="L3895" s="40"/>
      <c r="M3895" s="40"/>
      <c r="N3895" s="40"/>
      <c r="O3895" s="40"/>
      <c r="R3895" s="42"/>
      <c r="V3895" s="40"/>
      <c r="W3895" s="40"/>
    </row>
    <row r="3896" spans="7:23" ht="13.2">
      <c r="G3896" s="40"/>
      <c r="H3896" s="40"/>
      <c r="K3896" s="40"/>
      <c r="L3896" s="40"/>
      <c r="M3896" s="40"/>
      <c r="N3896" s="40"/>
      <c r="O3896" s="40"/>
      <c r="R3896" s="42"/>
      <c r="V3896" s="40"/>
      <c r="W3896" s="40"/>
    </row>
    <row r="3897" spans="7:23" ht="13.2">
      <c r="G3897" s="40"/>
      <c r="H3897" s="40"/>
      <c r="K3897" s="40"/>
      <c r="L3897" s="40"/>
      <c r="M3897" s="40"/>
      <c r="N3897" s="40"/>
      <c r="O3897" s="40"/>
      <c r="R3897" s="42"/>
      <c r="V3897" s="40"/>
      <c r="W3897" s="40"/>
    </row>
    <row r="3898" spans="7:23" ht="13.2">
      <c r="G3898" s="40"/>
      <c r="H3898" s="40"/>
      <c r="K3898" s="40"/>
      <c r="L3898" s="40"/>
      <c r="M3898" s="40"/>
      <c r="N3898" s="40"/>
      <c r="O3898" s="40"/>
      <c r="R3898" s="42"/>
      <c r="V3898" s="40"/>
      <c r="W3898" s="40"/>
    </row>
    <row r="3899" spans="7:23" ht="13.2">
      <c r="G3899" s="40"/>
      <c r="H3899" s="40"/>
      <c r="K3899" s="40"/>
      <c r="L3899" s="40"/>
      <c r="M3899" s="40"/>
      <c r="N3899" s="40"/>
      <c r="O3899" s="40"/>
      <c r="R3899" s="42"/>
      <c r="V3899" s="40"/>
      <c r="W3899" s="40"/>
    </row>
    <row r="3900" spans="7:23" ht="13.2">
      <c r="G3900" s="40"/>
      <c r="H3900" s="40"/>
      <c r="K3900" s="40"/>
      <c r="L3900" s="40"/>
      <c r="M3900" s="40"/>
      <c r="N3900" s="40"/>
      <c r="O3900" s="40"/>
      <c r="R3900" s="42"/>
      <c r="V3900" s="40"/>
      <c r="W3900" s="40"/>
    </row>
    <row r="3901" spans="7:23" ht="13.2">
      <c r="G3901" s="40"/>
      <c r="H3901" s="40"/>
      <c r="K3901" s="40"/>
      <c r="L3901" s="40"/>
      <c r="M3901" s="40"/>
      <c r="N3901" s="40"/>
      <c r="O3901" s="40"/>
      <c r="R3901" s="42"/>
      <c r="V3901" s="40"/>
      <c r="W3901" s="40"/>
    </row>
    <row r="3902" spans="7:23" ht="13.2">
      <c r="G3902" s="40"/>
      <c r="H3902" s="40"/>
      <c r="K3902" s="40"/>
      <c r="L3902" s="40"/>
      <c r="M3902" s="40"/>
      <c r="N3902" s="40"/>
      <c r="O3902" s="40"/>
      <c r="R3902" s="42"/>
      <c r="V3902" s="40"/>
      <c r="W3902" s="40"/>
    </row>
    <row r="3903" spans="7:23" ht="13.2">
      <c r="G3903" s="40"/>
      <c r="H3903" s="40"/>
      <c r="K3903" s="40"/>
      <c r="L3903" s="40"/>
      <c r="M3903" s="40"/>
      <c r="N3903" s="40"/>
      <c r="O3903" s="40"/>
      <c r="R3903" s="42"/>
      <c r="V3903" s="40"/>
      <c r="W3903" s="40"/>
    </row>
    <row r="3904" spans="7:23" ht="13.2">
      <c r="G3904" s="40"/>
      <c r="H3904" s="40"/>
      <c r="K3904" s="40"/>
      <c r="L3904" s="40"/>
      <c r="M3904" s="40"/>
      <c r="N3904" s="40"/>
      <c r="O3904" s="40"/>
      <c r="R3904" s="42"/>
      <c r="V3904" s="40"/>
      <c r="W3904" s="40"/>
    </row>
    <row r="3905" spans="7:23" ht="13.2">
      <c r="G3905" s="40"/>
      <c r="H3905" s="40"/>
      <c r="K3905" s="40"/>
      <c r="L3905" s="40"/>
      <c r="M3905" s="40"/>
      <c r="N3905" s="40"/>
      <c r="O3905" s="40"/>
      <c r="R3905" s="42"/>
      <c r="V3905" s="40"/>
      <c r="W3905" s="40"/>
    </row>
    <row r="3906" spans="7:23" ht="13.2">
      <c r="G3906" s="40"/>
      <c r="H3906" s="40"/>
      <c r="K3906" s="40"/>
      <c r="L3906" s="40"/>
      <c r="M3906" s="40"/>
      <c r="N3906" s="40"/>
      <c r="O3906" s="40"/>
      <c r="R3906" s="42"/>
      <c r="V3906" s="40"/>
      <c r="W3906" s="40"/>
    </row>
    <row r="3907" spans="7:23" ht="13.2">
      <c r="G3907" s="40"/>
      <c r="H3907" s="40"/>
      <c r="K3907" s="40"/>
      <c r="L3907" s="40"/>
      <c r="M3907" s="40"/>
      <c r="N3907" s="40"/>
      <c r="O3907" s="40"/>
      <c r="R3907" s="42"/>
      <c r="V3907" s="40"/>
      <c r="W3907" s="40"/>
    </row>
    <row r="3908" spans="7:23" ht="13.2">
      <c r="G3908" s="40"/>
      <c r="H3908" s="40"/>
      <c r="K3908" s="40"/>
      <c r="L3908" s="40"/>
      <c r="M3908" s="40"/>
      <c r="N3908" s="40"/>
      <c r="O3908" s="40"/>
      <c r="R3908" s="42"/>
      <c r="V3908" s="40"/>
      <c r="W3908" s="40"/>
    </row>
    <row r="3909" spans="7:23" ht="13.2">
      <c r="G3909" s="40"/>
      <c r="H3909" s="40"/>
      <c r="K3909" s="40"/>
      <c r="L3909" s="40"/>
      <c r="M3909" s="40"/>
      <c r="N3909" s="40"/>
      <c r="O3909" s="40"/>
      <c r="R3909" s="42"/>
      <c r="V3909" s="40"/>
      <c r="W3909" s="40"/>
    </row>
    <row r="3910" spans="7:23" ht="13.2">
      <c r="G3910" s="40"/>
      <c r="H3910" s="40"/>
      <c r="K3910" s="40"/>
      <c r="L3910" s="40"/>
      <c r="M3910" s="40"/>
      <c r="N3910" s="40"/>
      <c r="O3910" s="40"/>
      <c r="R3910" s="42"/>
      <c r="V3910" s="40"/>
      <c r="W3910" s="40"/>
    </row>
    <row r="3911" spans="7:23" ht="13.2">
      <c r="G3911" s="40"/>
      <c r="H3911" s="40"/>
      <c r="K3911" s="40"/>
      <c r="L3911" s="40"/>
      <c r="M3911" s="40"/>
      <c r="N3911" s="40"/>
      <c r="O3911" s="40"/>
      <c r="R3911" s="42"/>
      <c r="V3911" s="40"/>
      <c r="W3911" s="40"/>
    </row>
    <row r="3912" spans="7:23" ht="13.2">
      <c r="G3912" s="40"/>
      <c r="H3912" s="40"/>
      <c r="K3912" s="40"/>
      <c r="L3912" s="40"/>
      <c r="M3912" s="40"/>
      <c r="N3912" s="40"/>
      <c r="O3912" s="40"/>
      <c r="R3912" s="42"/>
      <c r="V3912" s="40"/>
      <c r="W3912" s="40"/>
    </row>
    <row r="3913" spans="7:23" ht="13.2">
      <c r="G3913" s="40"/>
      <c r="H3913" s="40"/>
      <c r="K3913" s="40"/>
      <c r="L3913" s="40"/>
      <c r="M3913" s="40"/>
      <c r="N3913" s="40"/>
      <c r="O3913" s="40"/>
      <c r="R3913" s="42"/>
      <c r="V3913" s="40"/>
      <c r="W3913" s="40"/>
    </row>
    <row r="3914" spans="7:23" ht="13.2">
      <c r="G3914" s="40"/>
      <c r="H3914" s="40"/>
      <c r="K3914" s="40"/>
      <c r="L3914" s="40"/>
      <c r="M3914" s="40"/>
      <c r="N3914" s="40"/>
      <c r="O3914" s="40"/>
      <c r="R3914" s="42"/>
      <c r="V3914" s="40"/>
      <c r="W3914" s="40"/>
    </row>
    <row r="3915" spans="7:23" ht="13.2">
      <c r="G3915" s="40"/>
      <c r="H3915" s="40"/>
      <c r="K3915" s="40"/>
      <c r="L3915" s="40"/>
      <c r="M3915" s="40"/>
      <c r="N3915" s="40"/>
      <c r="O3915" s="40"/>
      <c r="R3915" s="42"/>
      <c r="V3915" s="40"/>
      <c r="W3915" s="40"/>
    </row>
    <row r="3916" spans="7:23" ht="13.2">
      <c r="G3916" s="40"/>
      <c r="H3916" s="40"/>
      <c r="K3916" s="40"/>
      <c r="L3916" s="40"/>
      <c r="M3916" s="40"/>
      <c r="N3916" s="40"/>
      <c r="O3916" s="40"/>
      <c r="R3916" s="42"/>
      <c r="V3916" s="40"/>
      <c r="W3916" s="40"/>
    </row>
    <row r="3917" spans="7:23" ht="13.2">
      <c r="G3917" s="40"/>
      <c r="H3917" s="40"/>
      <c r="K3917" s="40"/>
      <c r="L3917" s="40"/>
      <c r="M3917" s="40"/>
      <c r="N3917" s="40"/>
      <c r="O3917" s="40"/>
      <c r="R3917" s="42"/>
      <c r="V3917" s="40"/>
      <c r="W3917" s="40"/>
    </row>
    <row r="3918" spans="7:23" ht="13.2">
      <c r="G3918" s="40"/>
      <c r="H3918" s="40"/>
      <c r="K3918" s="40"/>
      <c r="L3918" s="40"/>
      <c r="M3918" s="40"/>
      <c r="N3918" s="40"/>
      <c r="O3918" s="40"/>
      <c r="R3918" s="42"/>
      <c r="V3918" s="40"/>
      <c r="W3918" s="40"/>
    </row>
    <row r="3919" spans="7:23" ht="13.2">
      <c r="G3919" s="40"/>
      <c r="H3919" s="40"/>
      <c r="K3919" s="40"/>
      <c r="L3919" s="40"/>
      <c r="M3919" s="40"/>
      <c r="N3919" s="40"/>
      <c r="O3919" s="40"/>
      <c r="R3919" s="42"/>
      <c r="V3919" s="40"/>
      <c r="W3919" s="40"/>
    </row>
    <row r="3920" spans="7:23" ht="13.2">
      <c r="G3920" s="40"/>
      <c r="H3920" s="40"/>
      <c r="K3920" s="40"/>
      <c r="L3920" s="40"/>
      <c r="M3920" s="40"/>
      <c r="N3920" s="40"/>
      <c r="O3920" s="40"/>
      <c r="R3920" s="42"/>
      <c r="V3920" s="40"/>
      <c r="W3920" s="40"/>
    </row>
    <row r="3921" spans="7:23" ht="13.2">
      <c r="G3921" s="40"/>
      <c r="H3921" s="40"/>
      <c r="K3921" s="40"/>
      <c r="L3921" s="40"/>
      <c r="M3921" s="40"/>
      <c r="N3921" s="40"/>
      <c r="O3921" s="40"/>
      <c r="R3921" s="42"/>
      <c r="V3921" s="40"/>
      <c r="W3921" s="40"/>
    </row>
    <row r="3922" spans="7:23" ht="13.2">
      <c r="G3922" s="40"/>
      <c r="H3922" s="40"/>
      <c r="K3922" s="40"/>
      <c r="L3922" s="40"/>
      <c r="M3922" s="40"/>
      <c r="N3922" s="40"/>
      <c r="O3922" s="40"/>
      <c r="R3922" s="42"/>
      <c r="V3922" s="40"/>
      <c r="W3922" s="40"/>
    </row>
    <row r="3923" spans="7:23" ht="13.2">
      <c r="G3923" s="40"/>
      <c r="H3923" s="40"/>
      <c r="K3923" s="40"/>
      <c r="L3923" s="40"/>
      <c r="M3923" s="40"/>
      <c r="N3923" s="40"/>
      <c r="O3923" s="40"/>
      <c r="R3923" s="42"/>
      <c r="V3923" s="40"/>
      <c r="W3923" s="40"/>
    </row>
    <row r="3924" spans="7:23" ht="13.2">
      <c r="G3924" s="40"/>
      <c r="H3924" s="40"/>
      <c r="K3924" s="40"/>
      <c r="L3924" s="40"/>
      <c r="M3924" s="40"/>
      <c r="N3924" s="40"/>
      <c r="O3924" s="40"/>
      <c r="R3924" s="42"/>
      <c r="V3924" s="40"/>
      <c r="W3924" s="40"/>
    </row>
    <row r="3925" spans="7:23" ht="13.2">
      <c r="G3925" s="40"/>
      <c r="H3925" s="40"/>
      <c r="K3925" s="40"/>
      <c r="L3925" s="40"/>
      <c r="M3925" s="40"/>
      <c r="N3925" s="40"/>
      <c r="O3925" s="40"/>
      <c r="R3925" s="42"/>
      <c r="V3925" s="40"/>
      <c r="W3925" s="40"/>
    </row>
    <row r="3926" spans="7:23" ht="13.2">
      <c r="G3926" s="40"/>
      <c r="H3926" s="40"/>
      <c r="K3926" s="40"/>
      <c r="L3926" s="40"/>
      <c r="M3926" s="40"/>
      <c r="N3926" s="40"/>
      <c r="O3926" s="40"/>
      <c r="R3926" s="42"/>
      <c r="V3926" s="40"/>
      <c r="W3926" s="40"/>
    </row>
    <row r="3927" spans="7:23" ht="13.2">
      <c r="G3927" s="40"/>
      <c r="H3927" s="40"/>
      <c r="K3927" s="40"/>
      <c r="L3927" s="40"/>
      <c r="M3927" s="40"/>
      <c r="N3927" s="40"/>
      <c r="O3927" s="40"/>
      <c r="R3927" s="42"/>
      <c r="V3927" s="40"/>
      <c r="W3927" s="40"/>
    </row>
    <row r="3928" spans="7:23" ht="13.2">
      <c r="G3928" s="40"/>
      <c r="H3928" s="40"/>
      <c r="K3928" s="40"/>
      <c r="L3928" s="40"/>
      <c r="M3928" s="40"/>
      <c r="N3928" s="40"/>
      <c r="O3928" s="40"/>
      <c r="R3928" s="42"/>
      <c r="V3928" s="40"/>
      <c r="W3928" s="40"/>
    </row>
    <row r="3929" spans="7:23" ht="13.2">
      <c r="G3929" s="40"/>
      <c r="H3929" s="40"/>
      <c r="K3929" s="40"/>
      <c r="L3929" s="40"/>
      <c r="M3929" s="40"/>
      <c r="N3929" s="40"/>
      <c r="O3929" s="40"/>
      <c r="R3929" s="42"/>
      <c r="V3929" s="40"/>
      <c r="W3929" s="40"/>
    </row>
    <row r="3930" spans="7:23" ht="13.2">
      <c r="G3930" s="40"/>
      <c r="H3930" s="40"/>
      <c r="K3930" s="40"/>
      <c r="L3930" s="40"/>
      <c r="M3930" s="40"/>
      <c r="N3930" s="40"/>
      <c r="O3930" s="40"/>
      <c r="R3930" s="42"/>
      <c r="V3930" s="40"/>
      <c r="W3930" s="40"/>
    </row>
    <row r="3931" spans="7:23" ht="13.2">
      <c r="G3931" s="40"/>
      <c r="H3931" s="40"/>
      <c r="K3931" s="40"/>
      <c r="L3931" s="40"/>
      <c r="M3931" s="40"/>
      <c r="N3931" s="40"/>
      <c r="O3931" s="40"/>
      <c r="R3931" s="42"/>
      <c r="V3931" s="40"/>
      <c r="W3931" s="40"/>
    </row>
    <row r="3932" spans="7:23" ht="13.2">
      <c r="G3932" s="40"/>
      <c r="H3932" s="40"/>
      <c r="K3932" s="40"/>
      <c r="L3932" s="40"/>
      <c r="M3932" s="40"/>
      <c r="N3932" s="40"/>
      <c r="O3932" s="40"/>
      <c r="R3932" s="42"/>
      <c r="V3932" s="40"/>
      <c r="W3932" s="40"/>
    </row>
    <row r="3933" spans="7:23" ht="13.2">
      <c r="G3933" s="40"/>
      <c r="H3933" s="40"/>
      <c r="K3933" s="40"/>
      <c r="L3933" s="40"/>
      <c r="M3933" s="40"/>
      <c r="N3933" s="40"/>
      <c r="O3933" s="40"/>
      <c r="R3933" s="42"/>
      <c r="V3933" s="40"/>
      <c r="W3933" s="40"/>
    </row>
    <row r="3934" spans="7:23" ht="13.2">
      <c r="G3934" s="40"/>
      <c r="H3934" s="40"/>
      <c r="K3934" s="40"/>
      <c r="L3934" s="40"/>
      <c r="M3934" s="40"/>
      <c r="N3934" s="40"/>
      <c r="O3934" s="40"/>
      <c r="R3934" s="42"/>
      <c r="V3934" s="40"/>
      <c r="W3934" s="40"/>
    </row>
    <row r="3935" spans="7:23" ht="13.2">
      <c r="G3935" s="40"/>
      <c r="H3935" s="40"/>
      <c r="K3935" s="40"/>
      <c r="L3935" s="40"/>
      <c r="M3935" s="40"/>
      <c r="N3935" s="40"/>
      <c r="O3935" s="40"/>
      <c r="R3935" s="42"/>
      <c r="V3935" s="40"/>
      <c r="W3935" s="40"/>
    </row>
    <row r="3936" spans="7:23" ht="13.2">
      <c r="G3936" s="40"/>
      <c r="H3936" s="40"/>
      <c r="K3936" s="40"/>
      <c r="L3936" s="40"/>
      <c r="M3936" s="40"/>
      <c r="N3936" s="40"/>
      <c r="O3936" s="40"/>
      <c r="R3936" s="42"/>
      <c r="V3936" s="40"/>
      <c r="W3936" s="40"/>
    </row>
    <row r="3937" spans="7:23" ht="13.2">
      <c r="G3937" s="40"/>
      <c r="H3937" s="40"/>
      <c r="K3937" s="40"/>
      <c r="L3937" s="40"/>
      <c r="M3937" s="40"/>
      <c r="N3937" s="40"/>
      <c r="O3937" s="40"/>
      <c r="R3937" s="42"/>
      <c r="V3937" s="40"/>
      <c r="W3937" s="40"/>
    </row>
    <row r="3938" spans="7:23" ht="13.2">
      <c r="G3938" s="40"/>
      <c r="H3938" s="40"/>
      <c r="K3938" s="40"/>
      <c r="L3938" s="40"/>
      <c r="M3938" s="40"/>
      <c r="N3938" s="40"/>
      <c r="O3938" s="40"/>
      <c r="R3938" s="42"/>
      <c r="V3938" s="40"/>
      <c r="W3938" s="40"/>
    </row>
    <row r="3939" spans="7:23" ht="13.2">
      <c r="G3939" s="40"/>
      <c r="H3939" s="40"/>
      <c r="K3939" s="40"/>
      <c r="L3939" s="40"/>
      <c r="M3939" s="40"/>
      <c r="N3939" s="40"/>
      <c r="O3939" s="40"/>
      <c r="R3939" s="42"/>
      <c r="V3939" s="40"/>
      <c r="W3939" s="40"/>
    </row>
    <row r="3940" spans="7:23" ht="13.2">
      <c r="G3940" s="40"/>
      <c r="H3940" s="40"/>
      <c r="K3940" s="40"/>
      <c r="L3940" s="40"/>
      <c r="M3940" s="40"/>
      <c r="N3940" s="40"/>
      <c r="O3940" s="40"/>
      <c r="R3940" s="42"/>
      <c r="V3940" s="40"/>
      <c r="W3940" s="40"/>
    </row>
    <row r="3941" spans="7:23" ht="13.2">
      <c r="G3941" s="40"/>
      <c r="H3941" s="40"/>
      <c r="K3941" s="40"/>
      <c r="L3941" s="40"/>
      <c r="M3941" s="40"/>
      <c r="N3941" s="40"/>
      <c r="O3941" s="40"/>
      <c r="R3941" s="42"/>
      <c r="V3941" s="40"/>
      <c r="W3941" s="40"/>
    </row>
    <row r="3942" spans="7:23" ht="13.2">
      <c r="G3942" s="40"/>
      <c r="H3942" s="40"/>
      <c r="K3942" s="40"/>
      <c r="L3942" s="40"/>
      <c r="M3942" s="40"/>
      <c r="N3942" s="40"/>
      <c r="O3942" s="40"/>
      <c r="R3942" s="42"/>
      <c r="V3942" s="40"/>
      <c r="W3942" s="40"/>
    </row>
    <row r="3943" spans="7:23" ht="13.2">
      <c r="G3943" s="40"/>
      <c r="H3943" s="40"/>
      <c r="K3943" s="40"/>
      <c r="L3943" s="40"/>
      <c r="M3943" s="40"/>
      <c r="N3943" s="40"/>
      <c r="O3943" s="40"/>
      <c r="R3943" s="42"/>
      <c r="V3943" s="40"/>
      <c r="W3943" s="40"/>
    </row>
    <row r="3944" spans="7:23" ht="13.2">
      <c r="G3944" s="40"/>
      <c r="H3944" s="40"/>
      <c r="K3944" s="40"/>
      <c r="L3944" s="40"/>
      <c r="M3944" s="40"/>
      <c r="N3944" s="40"/>
      <c r="O3944" s="40"/>
      <c r="R3944" s="42"/>
      <c r="V3944" s="40"/>
      <c r="W3944" s="40"/>
    </row>
    <row r="3945" spans="7:23" ht="13.2">
      <c r="G3945" s="40"/>
      <c r="H3945" s="40"/>
      <c r="K3945" s="40"/>
      <c r="L3945" s="40"/>
      <c r="M3945" s="40"/>
      <c r="N3945" s="40"/>
      <c r="O3945" s="40"/>
      <c r="R3945" s="42"/>
      <c r="V3945" s="40"/>
      <c r="W3945" s="40"/>
    </row>
    <row r="3946" spans="7:23" ht="13.2">
      <c r="G3946" s="40"/>
      <c r="H3946" s="40"/>
      <c r="K3946" s="40"/>
      <c r="L3946" s="40"/>
      <c r="M3946" s="40"/>
      <c r="N3946" s="40"/>
      <c r="O3946" s="40"/>
      <c r="R3946" s="42"/>
      <c r="V3946" s="40"/>
      <c r="W3946" s="40"/>
    </row>
    <row r="3947" spans="7:23" ht="13.2">
      <c r="G3947" s="40"/>
      <c r="H3947" s="40"/>
      <c r="K3947" s="40"/>
      <c r="L3947" s="40"/>
      <c r="M3947" s="40"/>
      <c r="N3947" s="40"/>
      <c r="O3947" s="40"/>
      <c r="R3947" s="42"/>
      <c r="V3947" s="40"/>
      <c r="W3947" s="40"/>
    </row>
    <row r="3948" spans="7:23" ht="13.2">
      <c r="G3948" s="40"/>
      <c r="H3948" s="40"/>
      <c r="K3948" s="40"/>
      <c r="L3948" s="40"/>
      <c r="M3948" s="40"/>
      <c r="N3948" s="40"/>
      <c r="O3948" s="40"/>
      <c r="R3948" s="42"/>
      <c r="V3948" s="40"/>
      <c r="W3948" s="40"/>
    </row>
    <row r="3949" spans="7:23" ht="13.2">
      <c r="G3949" s="40"/>
      <c r="H3949" s="40"/>
      <c r="K3949" s="40"/>
      <c r="L3949" s="40"/>
      <c r="M3949" s="40"/>
      <c r="N3949" s="40"/>
      <c r="O3949" s="40"/>
      <c r="R3949" s="42"/>
      <c r="V3949" s="40"/>
      <c r="W3949" s="40"/>
    </row>
    <row r="3950" spans="7:23" ht="13.2">
      <c r="G3950" s="40"/>
      <c r="H3950" s="40"/>
      <c r="K3950" s="40"/>
      <c r="L3950" s="40"/>
      <c r="M3950" s="40"/>
      <c r="N3950" s="40"/>
      <c r="O3950" s="40"/>
      <c r="R3950" s="42"/>
      <c r="V3950" s="40"/>
      <c r="W3950" s="40"/>
    </row>
    <row r="3951" spans="7:23" ht="13.2">
      <c r="G3951" s="40"/>
      <c r="H3951" s="40"/>
      <c r="K3951" s="40"/>
      <c r="L3951" s="40"/>
      <c r="M3951" s="40"/>
      <c r="N3951" s="40"/>
      <c r="O3951" s="40"/>
      <c r="R3951" s="42"/>
      <c r="V3951" s="40"/>
      <c r="W3951" s="40"/>
    </row>
    <row r="3952" spans="7:23" ht="13.2">
      <c r="G3952" s="40"/>
      <c r="H3952" s="40"/>
      <c r="K3952" s="40"/>
      <c r="L3952" s="40"/>
      <c r="M3952" s="40"/>
      <c r="N3952" s="40"/>
      <c r="O3952" s="40"/>
      <c r="R3952" s="42"/>
      <c r="V3952" s="40"/>
      <c r="W3952" s="40"/>
    </row>
    <row r="3953" spans="7:23" ht="13.2">
      <c r="G3953" s="40"/>
      <c r="H3953" s="40"/>
      <c r="K3953" s="40"/>
      <c r="L3953" s="40"/>
      <c r="M3953" s="40"/>
      <c r="N3953" s="40"/>
      <c r="O3953" s="40"/>
      <c r="R3953" s="42"/>
      <c r="V3953" s="40"/>
      <c r="W3953" s="40"/>
    </row>
    <row r="3954" spans="7:23" ht="13.2">
      <c r="G3954" s="40"/>
      <c r="H3954" s="40"/>
      <c r="K3954" s="40"/>
      <c r="L3954" s="40"/>
      <c r="M3954" s="40"/>
      <c r="N3954" s="40"/>
      <c r="O3954" s="40"/>
      <c r="R3954" s="42"/>
      <c r="V3954" s="40"/>
      <c r="W3954" s="40"/>
    </row>
    <row r="3955" spans="7:23" ht="13.2">
      <c r="G3955" s="40"/>
      <c r="H3955" s="40"/>
      <c r="K3955" s="40"/>
      <c r="L3955" s="40"/>
      <c r="M3955" s="40"/>
      <c r="N3955" s="40"/>
      <c r="O3955" s="40"/>
      <c r="R3955" s="42"/>
      <c r="V3955" s="40"/>
      <c r="W3955" s="40"/>
    </row>
    <row r="3956" spans="7:23" ht="13.2">
      <c r="G3956" s="40"/>
      <c r="H3956" s="40"/>
      <c r="K3956" s="40"/>
      <c r="L3956" s="40"/>
      <c r="M3956" s="40"/>
      <c r="N3956" s="40"/>
      <c r="O3956" s="40"/>
      <c r="R3956" s="42"/>
      <c r="V3956" s="40"/>
      <c r="W3956" s="40"/>
    </row>
    <row r="3957" spans="7:23" ht="13.2">
      <c r="G3957" s="40"/>
      <c r="H3957" s="40"/>
      <c r="K3957" s="40"/>
      <c r="L3957" s="40"/>
      <c r="M3957" s="40"/>
      <c r="N3957" s="40"/>
      <c r="O3957" s="40"/>
      <c r="R3957" s="42"/>
      <c r="V3957" s="40"/>
      <c r="W3957" s="40"/>
    </row>
    <row r="3958" spans="7:23" ht="13.2">
      <c r="G3958" s="40"/>
      <c r="H3958" s="40"/>
      <c r="K3958" s="40"/>
      <c r="L3958" s="40"/>
      <c r="M3958" s="40"/>
      <c r="N3958" s="40"/>
      <c r="O3958" s="40"/>
      <c r="R3958" s="42"/>
      <c r="V3958" s="40"/>
      <c r="W3958" s="40"/>
    </row>
    <row r="3959" spans="7:23" ht="13.2">
      <c r="G3959" s="40"/>
      <c r="H3959" s="40"/>
      <c r="K3959" s="40"/>
      <c r="L3959" s="40"/>
      <c r="M3959" s="40"/>
      <c r="N3959" s="40"/>
      <c r="O3959" s="40"/>
      <c r="R3959" s="42"/>
      <c r="V3959" s="40"/>
      <c r="W3959" s="40"/>
    </row>
    <row r="3960" spans="7:23" ht="13.2">
      <c r="G3960" s="40"/>
      <c r="H3960" s="40"/>
      <c r="K3960" s="40"/>
      <c r="L3960" s="40"/>
      <c r="M3960" s="40"/>
      <c r="N3960" s="40"/>
      <c r="O3960" s="40"/>
      <c r="R3960" s="42"/>
      <c r="V3960" s="40"/>
      <c r="W3960" s="40"/>
    </row>
    <row r="3961" spans="7:23" ht="13.2">
      <c r="G3961" s="40"/>
      <c r="H3961" s="40"/>
      <c r="K3961" s="40"/>
      <c r="L3961" s="40"/>
      <c r="M3961" s="40"/>
      <c r="N3961" s="40"/>
      <c r="O3961" s="40"/>
      <c r="R3961" s="42"/>
      <c r="V3961" s="40"/>
      <c r="W3961" s="40"/>
    </row>
    <row r="3962" spans="7:23" ht="13.2">
      <c r="G3962" s="40"/>
      <c r="H3962" s="40"/>
      <c r="K3962" s="40"/>
      <c r="L3962" s="40"/>
      <c r="M3962" s="40"/>
      <c r="N3962" s="40"/>
      <c r="O3962" s="40"/>
      <c r="R3962" s="42"/>
      <c r="V3962" s="40"/>
      <c r="W3962" s="40"/>
    </row>
    <row r="3963" spans="7:23" ht="13.2">
      <c r="G3963" s="40"/>
      <c r="H3963" s="40"/>
      <c r="K3963" s="40"/>
      <c r="L3963" s="40"/>
      <c r="M3963" s="40"/>
      <c r="N3963" s="40"/>
      <c r="O3963" s="40"/>
      <c r="R3963" s="42"/>
      <c r="V3963" s="40"/>
      <c r="W3963" s="40"/>
    </row>
    <row r="3964" spans="7:23" ht="13.2">
      <c r="G3964" s="40"/>
      <c r="H3964" s="40"/>
      <c r="K3964" s="40"/>
      <c r="L3964" s="40"/>
      <c r="M3964" s="40"/>
      <c r="N3964" s="40"/>
      <c r="O3964" s="40"/>
      <c r="R3964" s="42"/>
      <c r="V3964" s="40"/>
      <c r="W3964" s="40"/>
    </row>
    <row r="3965" spans="7:23" ht="13.2">
      <c r="G3965" s="40"/>
      <c r="H3965" s="40"/>
      <c r="K3965" s="40"/>
      <c r="L3965" s="40"/>
      <c r="M3965" s="40"/>
      <c r="N3965" s="40"/>
      <c r="O3965" s="40"/>
      <c r="R3965" s="42"/>
      <c r="V3965" s="40"/>
      <c r="W3965" s="40"/>
    </row>
    <row r="3966" spans="7:23" ht="13.2">
      <c r="G3966" s="40"/>
      <c r="H3966" s="40"/>
      <c r="K3966" s="40"/>
      <c r="L3966" s="40"/>
      <c r="M3966" s="40"/>
      <c r="N3966" s="40"/>
      <c r="O3966" s="40"/>
      <c r="R3966" s="42"/>
      <c r="V3966" s="40"/>
      <c r="W3966" s="40"/>
    </row>
    <row r="3967" spans="7:23" ht="13.2">
      <c r="G3967" s="40"/>
      <c r="H3967" s="40"/>
      <c r="K3967" s="40"/>
      <c r="L3967" s="40"/>
      <c r="M3967" s="40"/>
      <c r="N3967" s="40"/>
      <c r="O3967" s="40"/>
      <c r="R3967" s="42"/>
      <c r="V3967" s="40"/>
      <c r="W3967" s="40"/>
    </row>
    <row r="3968" spans="7:23" ht="13.2">
      <c r="G3968" s="40"/>
      <c r="H3968" s="40"/>
      <c r="K3968" s="40"/>
      <c r="L3968" s="40"/>
      <c r="M3968" s="40"/>
      <c r="N3968" s="40"/>
      <c r="O3968" s="40"/>
      <c r="R3968" s="42"/>
      <c r="V3968" s="40"/>
      <c r="W3968" s="40"/>
    </row>
    <row r="3969" spans="7:23" ht="13.2">
      <c r="G3969" s="40"/>
      <c r="H3969" s="40"/>
      <c r="K3969" s="40"/>
      <c r="L3969" s="40"/>
      <c r="M3969" s="40"/>
      <c r="N3969" s="40"/>
      <c r="O3969" s="40"/>
      <c r="R3969" s="42"/>
      <c r="V3969" s="40"/>
      <c r="W3969" s="40"/>
    </row>
    <row r="3970" spans="7:23" ht="13.2">
      <c r="G3970" s="40"/>
      <c r="H3970" s="40"/>
      <c r="K3970" s="40"/>
      <c r="L3970" s="40"/>
      <c r="M3970" s="40"/>
      <c r="N3970" s="40"/>
      <c r="O3970" s="40"/>
      <c r="R3970" s="42"/>
      <c r="V3970" s="40"/>
      <c r="W3970" s="40"/>
    </row>
    <row r="3971" spans="7:23" ht="13.2">
      <c r="G3971" s="40"/>
      <c r="H3971" s="40"/>
      <c r="K3971" s="40"/>
      <c r="L3971" s="40"/>
      <c r="M3971" s="40"/>
      <c r="N3971" s="40"/>
      <c r="O3971" s="40"/>
      <c r="R3971" s="42"/>
      <c r="V3971" s="40"/>
      <c r="W3971" s="40"/>
    </row>
    <row r="3972" spans="7:23" ht="13.2">
      <c r="G3972" s="40"/>
      <c r="H3972" s="40"/>
      <c r="K3972" s="40"/>
      <c r="L3972" s="40"/>
      <c r="M3972" s="40"/>
      <c r="N3972" s="40"/>
      <c r="O3972" s="40"/>
      <c r="R3972" s="42"/>
      <c r="V3972" s="40"/>
      <c r="W3972" s="40"/>
    </row>
    <row r="3973" spans="7:23" ht="13.2">
      <c r="G3973" s="40"/>
      <c r="H3973" s="40"/>
      <c r="K3973" s="40"/>
      <c r="L3973" s="40"/>
      <c r="M3973" s="40"/>
      <c r="N3973" s="40"/>
      <c r="O3973" s="40"/>
      <c r="R3973" s="42"/>
      <c r="V3973" s="40"/>
      <c r="W3973" s="40"/>
    </row>
    <row r="3974" spans="7:23" ht="13.2">
      <c r="G3974" s="40"/>
      <c r="H3974" s="40"/>
      <c r="K3974" s="40"/>
      <c r="L3974" s="40"/>
      <c r="M3974" s="40"/>
      <c r="N3974" s="40"/>
      <c r="O3974" s="40"/>
      <c r="R3974" s="42"/>
      <c r="V3974" s="40"/>
      <c r="W3974" s="40"/>
    </row>
    <row r="3975" spans="7:23" ht="13.2">
      <c r="G3975" s="40"/>
      <c r="H3975" s="40"/>
      <c r="K3975" s="40"/>
      <c r="L3975" s="40"/>
      <c r="M3975" s="40"/>
      <c r="N3975" s="40"/>
      <c r="O3975" s="40"/>
      <c r="R3975" s="42"/>
      <c r="V3975" s="40"/>
      <c r="W3975" s="40"/>
    </row>
    <row r="3976" spans="7:23" ht="13.2">
      <c r="G3976" s="40"/>
      <c r="H3976" s="40"/>
      <c r="K3976" s="40"/>
      <c r="L3976" s="40"/>
      <c r="M3976" s="40"/>
      <c r="N3976" s="40"/>
      <c r="O3976" s="40"/>
      <c r="R3976" s="42"/>
      <c r="V3976" s="40"/>
      <c r="W3976" s="40"/>
    </row>
    <row r="3977" spans="7:23" ht="13.2">
      <c r="G3977" s="40"/>
      <c r="H3977" s="40"/>
      <c r="K3977" s="40"/>
      <c r="L3977" s="40"/>
      <c r="M3977" s="40"/>
      <c r="N3977" s="40"/>
      <c r="O3977" s="40"/>
      <c r="R3977" s="42"/>
      <c r="V3977" s="40"/>
      <c r="W3977" s="40"/>
    </row>
    <row r="3978" spans="7:23" ht="13.2">
      <c r="G3978" s="40"/>
      <c r="H3978" s="40"/>
      <c r="K3978" s="40"/>
      <c r="L3978" s="40"/>
      <c r="M3978" s="40"/>
      <c r="N3978" s="40"/>
      <c r="O3978" s="40"/>
      <c r="R3978" s="42"/>
      <c r="V3978" s="40"/>
      <c r="W3978" s="40"/>
    </row>
    <row r="3979" spans="7:23" ht="13.2">
      <c r="G3979" s="40"/>
      <c r="H3979" s="40"/>
      <c r="K3979" s="40"/>
      <c r="L3979" s="40"/>
      <c r="M3979" s="40"/>
      <c r="N3979" s="40"/>
      <c r="O3979" s="40"/>
      <c r="R3979" s="42"/>
      <c r="V3979" s="40"/>
      <c r="W3979" s="40"/>
    </row>
    <row r="3980" spans="7:23" ht="13.2">
      <c r="G3980" s="40"/>
      <c r="H3980" s="40"/>
      <c r="K3980" s="40"/>
      <c r="L3980" s="40"/>
      <c r="M3980" s="40"/>
      <c r="N3980" s="40"/>
      <c r="O3980" s="40"/>
      <c r="R3980" s="42"/>
      <c r="V3980" s="40"/>
      <c r="W3980" s="40"/>
    </row>
    <row r="3981" spans="7:23" ht="13.2">
      <c r="G3981" s="40"/>
      <c r="H3981" s="40"/>
      <c r="K3981" s="40"/>
      <c r="L3981" s="40"/>
      <c r="M3981" s="40"/>
      <c r="N3981" s="40"/>
      <c r="O3981" s="40"/>
      <c r="R3981" s="42"/>
      <c r="V3981" s="40"/>
      <c r="W3981" s="40"/>
    </row>
    <row r="3982" spans="7:23" ht="13.2">
      <c r="G3982" s="40"/>
      <c r="H3982" s="40"/>
      <c r="K3982" s="40"/>
      <c r="L3982" s="40"/>
      <c r="M3982" s="40"/>
      <c r="N3982" s="40"/>
      <c r="O3982" s="40"/>
      <c r="R3982" s="42"/>
      <c r="V3982" s="40"/>
      <c r="W3982" s="40"/>
    </row>
    <row r="3983" spans="7:23" ht="13.2">
      <c r="G3983" s="40"/>
      <c r="H3983" s="40"/>
      <c r="K3983" s="40"/>
      <c r="L3983" s="40"/>
      <c r="M3983" s="40"/>
      <c r="N3983" s="40"/>
      <c r="O3983" s="40"/>
      <c r="R3983" s="42"/>
      <c r="V3983" s="40"/>
      <c r="W3983" s="40"/>
    </row>
    <row r="3984" spans="7:23" ht="13.2">
      <c r="G3984" s="40"/>
      <c r="H3984" s="40"/>
      <c r="K3984" s="40"/>
      <c r="L3984" s="40"/>
      <c r="M3984" s="40"/>
      <c r="N3984" s="40"/>
      <c r="O3984" s="40"/>
      <c r="R3984" s="42"/>
      <c r="V3984" s="40"/>
      <c r="W3984" s="40"/>
    </row>
    <row r="3985" spans="7:23" ht="13.2">
      <c r="G3985" s="40"/>
      <c r="H3985" s="40"/>
      <c r="K3985" s="40"/>
      <c r="L3985" s="40"/>
      <c r="M3985" s="40"/>
      <c r="N3985" s="40"/>
      <c r="O3985" s="40"/>
      <c r="R3985" s="42"/>
      <c r="V3985" s="40"/>
      <c r="W3985" s="40"/>
    </row>
    <row r="3986" spans="7:23" ht="13.2">
      <c r="G3986" s="40"/>
      <c r="H3986" s="40"/>
      <c r="K3986" s="40"/>
      <c r="L3986" s="40"/>
      <c r="M3986" s="40"/>
      <c r="N3986" s="40"/>
      <c r="O3986" s="40"/>
      <c r="R3986" s="42"/>
      <c r="V3986" s="40"/>
      <c r="W3986" s="40"/>
    </row>
    <row r="3987" spans="7:23" ht="13.2">
      <c r="G3987" s="40"/>
      <c r="H3987" s="40"/>
      <c r="K3987" s="40"/>
      <c r="L3987" s="40"/>
      <c r="M3987" s="40"/>
      <c r="N3987" s="40"/>
      <c r="O3987" s="40"/>
      <c r="R3987" s="42"/>
      <c r="V3987" s="40"/>
      <c r="W3987" s="40"/>
    </row>
    <row r="3988" spans="7:23" ht="13.2">
      <c r="G3988" s="40"/>
      <c r="H3988" s="40"/>
      <c r="K3988" s="40"/>
      <c r="L3988" s="40"/>
      <c r="M3988" s="40"/>
      <c r="N3988" s="40"/>
      <c r="O3988" s="40"/>
      <c r="R3988" s="42"/>
      <c r="V3988" s="40"/>
      <c r="W3988" s="40"/>
    </row>
    <row r="3989" spans="7:23" ht="13.2">
      <c r="G3989" s="40"/>
      <c r="H3989" s="40"/>
      <c r="K3989" s="40"/>
      <c r="L3989" s="40"/>
      <c r="M3989" s="40"/>
      <c r="N3989" s="40"/>
      <c r="O3989" s="40"/>
      <c r="R3989" s="42"/>
      <c r="V3989" s="40"/>
      <c r="W3989" s="40"/>
    </row>
    <row r="3990" spans="7:23" ht="13.2">
      <c r="G3990" s="40"/>
      <c r="H3990" s="40"/>
      <c r="K3990" s="40"/>
      <c r="L3990" s="40"/>
      <c r="M3990" s="40"/>
      <c r="N3990" s="40"/>
      <c r="O3990" s="40"/>
      <c r="R3990" s="42"/>
      <c r="V3990" s="40"/>
      <c r="W3990" s="40"/>
    </row>
    <row r="3991" spans="7:23" ht="13.2">
      <c r="G3991" s="40"/>
      <c r="H3991" s="40"/>
      <c r="K3991" s="40"/>
      <c r="L3991" s="40"/>
      <c r="M3991" s="40"/>
      <c r="N3991" s="40"/>
      <c r="O3991" s="40"/>
      <c r="R3991" s="42"/>
      <c r="V3991" s="40"/>
      <c r="W3991" s="40"/>
    </row>
    <row r="3992" spans="7:23" ht="13.2">
      <c r="G3992" s="40"/>
      <c r="H3992" s="40"/>
      <c r="K3992" s="40"/>
      <c r="L3992" s="40"/>
      <c r="M3992" s="40"/>
      <c r="N3992" s="40"/>
      <c r="O3992" s="40"/>
      <c r="R3992" s="42"/>
      <c r="V3992" s="40"/>
      <c r="W3992" s="40"/>
    </row>
    <row r="3993" spans="7:23" ht="13.2">
      <c r="G3993" s="40"/>
      <c r="H3993" s="40"/>
      <c r="K3993" s="40"/>
      <c r="L3993" s="40"/>
      <c r="M3993" s="40"/>
      <c r="N3993" s="40"/>
      <c r="O3993" s="40"/>
      <c r="R3993" s="42"/>
      <c r="V3993" s="40"/>
      <c r="W3993" s="40"/>
    </row>
    <row r="3994" spans="7:23" ht="13.2">
      <c r="G3994" s="40"/>
      <c r="H3994" s="40"/>
      <c r="K3994" s="40"/>
      <c r="L3994" s="40"/>
      <c r="M3994" s="40"/>
      <c r="N3994" s="40"/>
      <c r="O3994" s="40"/>
      <c r="R3994" s="42"/>
      <c r="V3994" s="40"/>
      <c r="W3994" s="40"/>
    </row>
    <row r="3995" spans="7:23" ht="13.2">
      <c r="G3995" s="40"/>
      <c r="H3995" s="40"/>
      <c r="K3995" s="40"/>
      <c r="L3995" s="40"/>
      <c r="M3995" s="40"/>
      <c r="N3995" s="40"/>
      <c r="O3995" s="40"/>
      <c r="R3995" s="42"/>
      <c r="V3995" s="40"/>
      <c r="W3995" s="40"/>
    </row>
    <row r="3996" spans="7:23" ht="13.2">
      <c r="G3996" s="40"/>
      <c r="H3996" s="40"/>
      <c r="K3996" s="40"/>
      <c r="L3996" s="40"/>
      <c r="M3996" s="40"/>
      <c r="N3996" s="40"/>
      <c r="O3996" s="40"/>
      <c r="R3996" s="42"/>
      <c r="V3996" s="40"/>
      <c r="W3996" s="40"/>
    </row>
    <row r="3997" spans="7:23" ht="13.2">
      <c r="G3997" s="40"/>
      <c r="H3997" s="40"/>
      <c r="K3997" s="40"/>
      <c r="L3997" s="40"/>
      <c r="M3997" s="40"/>
      <c r="N3997" s="40"/>
      <c r="O3997" s="40"/>
      <c r="R3997" s="42"/>
      <c r="V3997" s="40"/>
      <c r="W3997" s="40"/>
    </row>
    <row r="3998" spans="7:23" ht="13.2">
      <c r="G3998" s="40"/>
      <c r="H3998" s="40"/>
      <c r="K3998" s="40"/>
      <c r="L3998" s="40"/>
      <c r="M3998" s="40"/>
      <c r="N3998" s="40"/>
      <c r="O3998" s="40"/>
      <c r="R3998" s="42"/>
      <c r="V3998" s="40"/>
      <c r="W3998" s="40"/>
    </row>
    <row r="3999" spans="7:23" ht="13.2">
      <c r="G3999" s="40"/>
      <c r="H3999" s="40"/>
      <c r="K3999" s="40"/>
      <c r="L3999" s="40"/>
      <c r="M3999" s="40"/>
      <c r="N3999" s="40"/>
      <c r="O3999" s="40"/>
      <c r="R3999" s="42"/>
      <c r="V3999" s="40"/>
      <c r="W3999" s="40"/>
    </row>
    <row r="4000" spans="7:23" ht="13.2">
      <c r="G4000" s="40"/>
      <c r="H4000" s="40"/>
      <c r="K4000" s="40"/>
      <c r="L4000" s="40"/>
      <c r="M4000" s="40"/>
      <c r="N4000" s="40"/>
      <c r="O4000" s="40"/>
      <c r="R4000" s="42"/>
      <c r="V4000" s="40"/>
      <c r="W4000" s="40"/>
    </row>
    <row r="4001" spans="7:23" ht="13.2">
      <c r="G4001" s="40"/>
      <c r="H4001" s="40"/>
      <c r="K4001" s="40"/>
      <c r="L4001" s="40"/>
      <c r="M4001" s="40"/>
      <c r="N4001" s="40"/>
      <c r="O4001" s="40"/>
      <c r="R4001" s="42"/>
      <c r="V4001" s="40"/>
      <c r="W4001" s="40"/>
    </row>
    <row r="4002" spans="7:23" ht="13.2">
      <c r="G4002" s="40"/>
      <c r="H4002" s="40"/>
      <c r="K4002" s="40"/>
      <c r="L4002" s="40"/>
      <c r="M4002" s="40"/>
      <c r="N4002" s="40"/>
      <c r="O4002" s="40"/>
      <c r="R4002" s="42"/>
      <c r="V4002" s="40"/>
      <c r="W4002" s="40"/>
    </row>
    <row r="4003" spans="7:23" ht="13.2">
      <c r="G4003" s="40"/>
      <c r="H4003" s="40"/>
      <c r="K4003" s="40"/>
      <c r="L4003" s="40"/>
      <c r="M4003" s="40"/>
      <c r="N4003" s="40"/>
      <c r="O4003" s="40"/>
      <c r="R4003" s="42"/>
      <c r="V4003" s="40"/>
      <c r="W4003" s="40"/>
    </row>
    <row r="4004" spans="7:23" ht="13.2">
      <c r="G4004" s="40"/>
      <c r="H4004" s="40"/>
      <c r="K4004" s="40"/>
      <c r="L4004" s="40"/>
      <c r="M4004" s="40"/>
      <c r="N4004" s="40"/>
      <c r="O4004" s="40"/>
      <c r="R4004" s="42"/>
      <c r="V4004" s="40"/>
      <c r="W4004" s="40"/>
    </row>
    <row r="4005" spans="7:23" ht="13.2">
      <c r="G4005" s="40"/>
      <c r="H4005" s="40"/>
      <c r="K4005" s="40"/>
      <c r="L4005" s="40"/>
      <c r="M4005" s="40"/>
      <c r="N4005" s="40"/>
      <c r="O4005" s="40"/>
      <c r="R4005" s="42"/>
      <c r="V4005" s="40"/>
      <c r="W4005" s="40"/>
    </row>
    <row r="4006" spans="7:23" ht="13.2">
      <c r="G4006" s="40"/>
      <c r="H4006" s="40"/>
      <c r="K4006" s="40"/>
      <c r="L4006" s="40"/>
      <c r="M4006" s="40"/>
      <c r="N4006" s="40"/>
      <c r="O4006" s="40"/>
      <c r="R4006" s="42"/>
      <c r="V4006" s="40"/>
      <c r="W4006" s="40"/>
    </row>
    <row r="4007" spans="7:23" ht="13.2">
      <c r="G4007" s="40"/>
      <c r="H4007" s="40"/>
      <c r="K4007" s="40"/>
      <c r="L4007" s="40"/>
      <c r="M4007" s="40"/>
      <c r="N4007" s="40"/>
      <c r="O4007" s="40"/>
      <c r="R4007" s="42"/>
      <c r="V4007" s="40"/>
      <c r="W4007" s="40"/>
    </row>
    <row r="4008" spans="7:23" ht="13.2">
      <c r="G4008" s="40"/>
      <c r="H4008" s="40"/>
      <c r="K4008" s="40"/>
      <c r="L4008" s="40"/>
      <c r="M4008" s="40"/>
      <c r="N4008" s="40"/>
      <c r="O4008" s="40"/>
      <c r="R4008" s="42"/>
      <c r="V4008" s="40"/>
      <c r="W4008" s="40"/>
    </row>
    <row r="4009" spans="7:23" ht="13.2">
      <c r="G4009" s="40"/>
      <c r="H4009" s="40"/>
      <c r="K4009" s="40"/>
      <c r="L4009" s="40"/>
      <c r="M4009" s="40"/>
      <c r="N4009" s="40"/>
      <c r="O4009" s="40"/>
      <c r="R4009" s="42"/>
      <c r="V4009" s="40"/>
      <c r="W4009" s="40"/>
    </row>
    <row r="4010" spans="7:23" ht="13.2">
      <c r="G4010" s="40"/>
      <c r="H4010" s="40"/>
      <c r="K4010" s="40"/>
      <c r="L4010" s="40"/>
      <c r="M4010" s="40"/>
      <c r="N4010" s="40"/>
      <c r="O4010" s="40"/>
      <c r="R4010" s="42"/>
      <c r="V4010" s="40"/>
      <c r="W4010" s="40"/>
    </row>
    <row r="4011" spans="7:23" ht="13.2">
      <c r="G4011" s="40"/>
      <c r="H4011" s="40"/>
      <c r="K4011" s="40"/>
      <c r="L4011" s="40"/>
      <c r="M4011" s="40"/>
      <c r="N4011" s="40"/>
      <c r="O4011" s="40"/>
      <c r="R4011" s="42"/>
      <c r="V4011" s="40"/>
      <c r="W4011" s="40"/>
    </row>
    <row r="4012" spans="7:23" ht="13.2">
      <c r="G4012" s="40"/>
      <c r="H4012" s="40"/>
      <c r="K4012" s="40"/>
      <c r="L4012" s="40"/>
      <c r="M4012" s="40"/>
      <c r="N4012" s="40"/>
      <c r="O4012" s="40"/>
      <c r="R4012" s="42"/>
      <c r="V4012" s="40"/>
      <c r="W4012" s="40"/>
    </row>
    <row r="4013" spans="7:23" ht="13.2">
      <c r="G4013" s="40"/>
      <c r="H4013" s="40"/>
      <c r="K4013" s="40"/>
      <c r="L4013" s="40"/>
      <c r="M4013" s="40"/>
      <c r="N4013" s="40"/>
      <c r="O4013" s="40"/>
      <c r="R4013" s="42"/>
      <c r="V4013" s="40"/>
      <c r="W4013" s="40"/>
    </row>
    <row r="4014" spans="7:23" ht="13.2">
      <c r="G4014" s="40"/>
      <c r="H4014" s="40"/>
      <c r="K4014" s="40"/>
      <c r="L4014" s="40"/>
      <c r="M4014" s="40"/>
      <c r="N4014" s="40"/>
      <c r="O4014" s="40"/>
      <c r="R4014" s="42"/>
      <c r="V4014" s="40"/>
      <c r="W4014" s="40"/>
    </row>
    <row r="4015" spans="7:23" ht="13.2">
      <c r="G4015" s="40"/>
      <c r="H4015" s="40"/>
      <c r="K4015" s="40"/>
      <c r="L4015" s="40"/>
      <c r="M4015" s="40"/>
      <c r="N4015" s="40"/>
      <c r="O4015" s="40"/>
      <c r="R4015" s="42"/>
      <c r="V4015" s="40"/>
      <c r="W4015" s="40"/>
    </row>
    <row r="4016" spans="7:23" ht="13.2">
      <c r="G4016" s="40"/>
      <c r="H4016" s="40"/>
      <c r="K4016" s="40"/>
      <c r="L4016" s="40"/>
      <c r="M4016" s="40"/>
      <c r="N4016" s="40"/>
      <c r="O4016" s="40"/>
      <c r="R4016" s="42"/>
      <c r="V4016" s="40"/>
      <c r="W4016" s="40"/>
    </row>
    <row r="4017" spans="7:23" ht="13.2">
      <c r="G4017" s="40"/>
      <c r="H4017" s="40"/>
      <c r="K4017" s="40"/>
      <c r="L4017" s="40"/>
      <c r="M4017" s="40"/>
      <c r="N4017" s="40"/>
      <c r="O4017" s="40"/>
      <c r="R4017" s="42"/>
      <c r="V4017" s="40"/>
      <c r="W4017" s="40"/>
    </row>
    <row r="4018" spans="7:23" ht="13.2">
      <c r="G4018" s="40"/>
      <c r="H4018" s="40"/>
      <c r="K4018" s="40"/>
      <c r="L4018" s="40"/>
      <c r="M4018" s="40"/>
      <c r="N4018" s="40"/>
      <c r="O4018" s="40"/>
      <c r="R4018" s="42"/>
      <c r="V4018" s="40"/>
      <c r="W4018" s="40"/>
    </row>
    <row r="4019" spans="7:23" ht="13.2">
      <c r="G4019" s="40"/>
      <c r="H4019" s="40"/>
      <c r="K4019" s="40"/>
      <c r="L4019" s="40"/>
      <c r="M4019" s="40"/>
      <c r="N4019" s="40"/>
      <c r="O4019" s="40"/>
      <c r="R4019" s="42"/>
      <c r="V4019" s="40"/>
      <c r="W4019" s="40"/>
    </row>
    <row r="4020" spans="7:23" ht="13.2">
      <c r="G4020" s="40"/>
      <c r="H4020" s="40"/>
      <c r="K4020" s="40"/>
      <c r="L4020" s="40"/>
      <c r="M4020" s="40"/>
      <c r="N4020" s="40"/>
      <c r="O4020" s="40"/>
      <c r="R4020" s="42"/>
      <c r="V4020" s="40"/>
      <c r="W4020" s="40"/>
    </row>
    <row r="4021" spans="7:23" ht="13.2">
      <c r="G4021" s="40"/>
      <c r="H4021" s="40"/>
      <c r="K4021" s="40"/>
      <c r="L4021" s="40"/>
      <c r="M4021" s="40"/>
      <c r="N4021" s="40"/>
      <c r="O4021" s="40"/>
      <c r="R4021" s="42"/>
      <c r="V4021" s="40"/>
      <c r="W4021" s="40"/>
    </row>
    <row r="4022" spans="7:23" ht="13.2">
      <c r="G4022" s="40"/>
      <c r="H4022" s="40"/>
      <c r="K4022" s="40"/>
      <c r="L4022" s="40"/>
      <c r="M4022" s="40"/>
      <c r="N4022" s="40"/>
      <c r="O4022" s="40"/>
      <c r="R4022" s="42"/>
      <c r="V4022" s="40"/>
      <c r="W4022" s="40"/>
    </row>
    <row r="4023" spans="7:23" ht="13.2">
      <c r="G4023" s="40"/>
      <c r="H4023" s="40"/>
      <c r="K4023" s="40"/>
      <c r="L4023" s="40"/>
      <c r="M4023" s="40"/>
      <c r="N4023" s="40"/>
      <c r="O4023" s="40"/>
      <c r="R4023" s="42"/>
      <c r="V4023" s="40"/>
      <c r="W4023" s="40"/>
    </row>
    <row r="4024" spans="7:23" ht="13.2">
      <c r="G4024" s="40"/>
      <c r="H4024" s="40"/>
      <c r="K4024" s="40"/>
      <c r="L4024" s="40"/>
      <c r="M4024" s="40"/>
      <c r="N4024" s="40"/>
      <c r="O4024" s="40"/>
      <c r="R4024" s="42"/>
      <c r="V4024" s="40"/>
      <c r="W4024" s="40"/>
    </row>
    <row r="4025" spans="7:23" ht="13.2">
      <c r="G4025" s="40"/>
      <c r="H4025" s="40"/>
      <c r="K4025" s="40"/>
      <c r="L4025" s="40"/>
      <c r="M4025" s="40"/>
      <c r="N4025" s="40"/>
      <c r="O4025" s="40"/>
      <c r="R4025" s="42"/>
      <c r="V4025" s="40"/>
      <c r="W4025" s="40"/>
    </row>
    <row r="4026" spans="7:23" ht="13.2">
      <c r="G4026" s="40"/>
      <c r="H4026" s="40"/>
      <c r="K4026" s="40"/>
      <c r="L4026" s="40"/>
      <c r="M4026" s="40"/>
      <c r="N4026" s="40"/>
      <c r="O4026" s="40"/>
      <c r="R4026" s="42"/>
      <c r="V4026" s="40"/>
      <c r="W4026" s="40"/>
    </row>
    <row r="4027" spans="7:23" ht="13.2">
      <c r="G4027" s="40"/>
      <c r="H4027" s="40"/>
      <c r="K4027" s="40"/>
      <c r="L4027" s="40"/>
      <c r="M4027" s="40"/>
      <c r="N4027" s="40"/>
      <c r="O4027" s="40"/>
      <c r="R4027" s="42"/>
      <c r="V4027" s="40"/>
      <c r="W4027" s="40"/>
    </row>
    <row r="4028" spans="7:23" ht="13.2">
      <c r="G4028" s="40"/>
      <c r="H4028" s="40"/>
      <c r="K4028" s="40"/>
      <c r="L4028" s="40"/>
      <c r="M4028" s="40"/>
      <c r="N4028" s="40"/>
      <c r="O4028" s="40"/>
      <c r="R4028" s="42"/>
      <c r="V4028" s="40"/>
      <c r="W4028" s="40"/>
    </row>
    <row r="4029" spans="7:23" ht="13.2">
      <c r="G4029" s="40"/>
      <c r="H4029" s="40"/>
      <c r="K4029" s="40"/>
      <c r="L4029" s="40"/>
      <c r="M4029" s="40"/>
      <c r="N4029" s="40"/>
      <c r="O4029" s="40"/>
      <c r="R4029" s="42"/>
      <c r="V4029" s="40"/>
      <c r="W4029" s="40"/>
    </row>
    <row r="4030" spans="7:23" ht="13.2">
      <c r="G4030" s="40"/>
      <c r="H4030" s="40"/>
      <c r="K4030" s="40"/>
      <c r="L4030" s="40"/>
      <c r="M4030" s="40"/>
      <c r="N4030" s="40"/>
      <c r="O4030" s="40"/>
      <c r="R4030" s="42"/>
      <c r="V4030" s="40"/>
      <c r="W4030" s="40"/>
    </row>
    <row r="4031" spans="7:23" ht="13.2">
      <c r="G4031" s="40"/>
      <c r="H4031" s="40"/>
      <c r="K4031" s="40"/>
      <c r="L4031" s="40"/>
      <c r="M4031" s="40"/>
      <c r="N4031" s="40"/>
      <c r="O4031" s="40"/>
      <c r="R4031" s="42"/>
      <c r="V4031" s="40"/>
      <c r="W4031" s="40"/>
    </row>
    <row r="4032" spans="7:23" ht="13.2">
      <c r="G4032" s="40"/>
      <c r="H4032" s="40"/>
      <c r="K4032" s="40"/>
      <c r="L4032" s="40"/>
      <c r="M4032" s="40"/>
      <c r="N4032" s="40"/>
      <c r="O4032" s="40"/>
      <c r="R4032" s="42"/>
      <c r="V4032" s="40"/>
      <c r="W4032" s="40"/>
    </row>
    <row r="4033" spans="7:23" ht="13.2">
      <c r="G4033" s="40"/>
      <c r="H4033" s="40"/>
      <c r="K4033" s="40"/>
      <c r="L4033" s="40"/>
      <c r="M4033" s="40"/>
      <c r="N4033" s="40"/>
      <c r="O4033" s="40"/>
      <c r="R4033" s="42"/>
      <c r="V4033" s="40"/>
      <c r="W4033" s="40"/>
    </row>
    <row r="4034" spans="7:23" ht="13.2">
      <c r="G4034" s="40"/>
      <c r="H4034" s="40"/>
      <c r="K4034" s="40"/>
      <c r="L4034" s="40"/>
      <c r="M4034" s="40"/>
      <c r="N4034" s="40"/>
      <c r="O4034" s="40"/>
      <c r="R4034" s="42"/>
      <c r="V4034" s="40"/>
      <c r="W4034" s="40"/>
    </row>
    <row r="4035" spans="7:23" ht="13.2">
      <c r="G4035" s="40"/>
      <c r="H4035" s="40"/>
      <c r="K4035" s="40"/>
      <c r="L4035" s="40"/>
      <c r="M4035" s="40"/>
      <c r="N4035" s="40"/>
      <c r="O4035" s="40"/>
      <c r="R4035" s="42"/>
      <c r="V4035" s="40"/>
      <c r="W4035" s="40"/>
    </row>
    <row r="4036" spans="7:23" ht="13.2">
      <c r="G4036" s="40"/>
      <c r="H4036" s="40"/>
      <c r="K4036" s="40"/>
      <c r="L4036" s="40"/>
      <c r="M4036" s="40"/>
      <c r="N4036" s="40"/>
      <c r="O4036" s="40"/>
      <c r="R4036" s="42"/>
      <c r="V4036" s="40"/>
      <c r="W4036" s="40"/>
    </row>
    <row r="4037" spans="7:23" ht="13.2">
      <c r="G4037" s="40"/>
      <c r="H4037" s="40"/>
      <c r="K4037" s="40"/>
      <c r="L4037" s="40"/>
      <c r="M4037" s="40"/>
      <c r="N4037" s="40"/>
      <c r="O4037" s="40"/>
      <c r="R4037" s="42"/>
      <c r="V4037" s="40"/>
      <c r="W4037" s="40"/>
    </row>
    <row r="4038" spans="7:23" ht="13.2">
      <c r="G4038" s="40"/>
      <c r="H4038" s="40"/>
      <c r="K4038" s="40"/>
      <c r="L4038" s="40"/>
      <c r="M4038" s="40"/>
      <c r="N4038" s="40"/>
      <c r="O4038" s="40"/>
      <c r="R4038" s="42"/>
      <c r="V4038" s="40"/>
      <c r="W4038" s="40"/>
    </row>
    <row r="4039" spans="7:23" ht="13.2">
      <c r="G4039" s="40"/>
      <c r="H4039" s="40"/>
      <c r="K4039" s="40"/>
      <c r="L4039" s="40"/>
      <c r="M4039" s="40"/>
      <c r="N4039" s="40"/>
      <c r="O4039" s="40"/>
      <c r="R4039" s="42"/>
      <c r="V4039" s="40"/>
      <c r="W4039" s="40"/>
    </row>
    <row r="4040" spans="7:23" ht="13.2">
      <c r="G4040" s="40"/>
      <c r="H4040" s="40"/>
      <c r="K4040" s="40"/>
      <c r="L4040" s="40"/>
      <c r="M4040" s="40"/>
      <c r="N4040" s="40"/>
      <c r="O4040" s="40"/>
      <c r="R4040" s="42"/>
      <c r="V4040" s="40"/>
      <c r="W4040" s="40"/>
    </row>
    <row r="4041" spans="7:23" ht="13.2">
      <c r="G4041" s="40"/>
      <c r="H4041" s="40"/>
      <c r="K4041" s="40"/>
      <c r="L4041" s="40"/>
      <c r="M4041" s="40"/>
      <c r="N4041" s="40"/>
      <c r="O4041" s="40"/>
      <c r="R4041" s="42"/>
      <c r="V4041" s="40"/>
      <c r="W4041" s="40"/>
    </row>
    <row r="4042" spans="7:23" ht="13.2">
      <c r="G4042" s="40"/>
      <c r="H4042" s="40"/>
      <c r="K4042" s="40"/>
      <c r="L4042" s="40"/>
      <c r="M4042" s="40"/>
      <c r="N4042" s="40"/>
      <c r="O4042" s="40"/>
      <c r="R4042" s="42"/>
      <c r="V4042" s="40"/>
      <c r="W4042" s="40"/>
    </row>
    <row r="4043" spans="7:23" ht="13.2">
      <c r="G4043" s="40"/>
      <c r="H4043" s="40"/>
      <c r="K4043" s="40"/>
      <c r="L4043" s="40"/>
      <c r="M4043" s="40"/>
      <c r="N4043" s="40"/>
      <c r="O4043" s="40"/>
      <c r="R4043" s="42"/>
      <c r="V4043" s="40"/>
      <c r="W4043" s="40"/>
    </row>
    <row r="4044" spans="7:23" ht="13.2">
      <c r="G4044" s="40"/>
      <c r="H4044" s="40"/>
      <c r="K4044" s="40"/>
      <c r="L4044" s="40"/>
      <c r="M4044" s="40"/>
      <c r="N4044" s="40"/>
      <c r="O4044" s="40"/>
      <c r="R4044" s="42"/>
      <c r="V4044" s="40"/>
      <c r="W4044" s="40"/>
    </row>
    <row r="4045" spans="7:23" ht="13.2">
      <c r="G4045" s="40"/>
      <c r="H4045" s="40"/>
      <c r="K4045" s="40"/>
      <c r="L4045" s="40"/>
      <c r="M4045" s="40"/>
      <c r="N4045" s="40"/>
      <c r="O4045" s="40"/>
      <c r="R4045" s="42"/>
      <c r="V4045" s="40"/>
      <c r="W4045" s="40"/>
    </row>
    <row r="4046" spans="7:23" ht="13.2">
      <c r="G4046" s="40"/>
      <c r="H4046" s="40"/>
      <c r="K4046" s="40"/>
      <c r="L4046" s="40"/>
      <c r="M4046" s="40"/>
      <c r="N4046" s="40"/>
      <c r="O4046" s="40"/>
      <c r="R4046" s="42"/>
      <c r="V4046" s="40"/>
      <c r="W4046" s="40"/>
    </row>
    <row r="4047" spans="7:23" ht="13.2">
      <c r="G4047" s="40"/>
      <c r="H4047" s="40"/>
      <c r="K4047" s="40"/>
      <c r="L4047" s="40"/>
      <c r="M4047" s="40"/>
      <c r="N4047" s="40"/>
      <c r="O4047" s="40"/>
      <c r="R4047" s="42"/>
      <c r="V4047" s="40"/>
      <c r="W4047" s="40"/>
    </row>
    <row r="4048" spans="7:23" ht="13.2">
      <c r="G4048" s="40"/>
      <c r="H4048" s="40"/>
      <c r="K4048" s="40"/>
      <c r="L4048" s="40"/>
      <c r="M4048" s="40"/>
      <c r="N4048" s="40"/>
      <c r="O4048" s="40"/>
      <c r="R4048" s="42"/>
      <c r="V4048" s="40"/>
      <c r="W4048" s="40"/>
    </row>
    <row r="4049" spans="7:23" ht="13.2">
      <c r="G4049" s="40"/>
      <c r="H4049" s="40"/>
      <c r="K4049" s="40"/>
      <c r="L4049" s="40"/>
      <c r="M4049" s="40"/>
      <c r="N4049" s="40"/>
      <c r="O4049" s="40"/>
      <c r="R4049" s="42"/>
      <c r="V4049" s="40"/>
      <c r="W4049" s="40"/>
    </row>
    <row r="4050" spans="7:23" ht="13.2">
      <c r="G4050" s="40"/>
      <c r="H4050" s="40"/>
      <c r="K4050" s="40"/>
      <c r="L4050" s="40"/>
      <c r="M4050" s="40"/>
      <c r="N4050" s="40"/>
      <c r="O4050" s="40"/>
      <c r="R4050" s="42"/>
      <c r="V4050" s="40"/>
      <c r="W4050" s="40"/>
    </row>
    <row r="4051" spans="7:23" ht="13.2">
      <c r="G4051" s="40"/>
      <c r="H4051" s="40"/>
      <c r="K4051" s="40"/>
      <c r="L4051" s="40"/>
      <c r="M4051" s="40"/>
      <c r="N4051" s="40"/>
      <c r="O4051" s="40"/>
      <c r="R4051" s="42"/>
      <c r="V4051" s="40"/>
      <c r="W4051" s="40"/>
    </row>
    <row r="4052" spans="7:23" ht="13.2">
      <c r="G4052" s="40"/>
      <c r="H4052" s="40"/>
      <c r="K4052" s="40"/>
      <c r="L4052" s="40"/>
      <c r="M4052" s="40"/>
      <c r="N4052" s="40"/>
      <c r="O4052" s="40"/>
      <c r="R4052" s="42"/>
      <c r="V4052" s="40"/>
      <c r="W4052" s="40"/>
    </row>
    <row r="4053" spans="7:23" ht="13.2">
      <c r="G4053" s="40"/>
      <c r="H4053" s="40"/>
      <c r="K4053" s="40"/>
      <c r="L4053" s="40"/>
      <c r="M4053" s="40"/>
      <c r="N4053" s="40"/>
      <c r="O4053" s="40"/>
      <c r="R4053" s="42"/>
      <c r="V4053" s="40"/>
      <c r="W4053" s="40"/>
    </row>
    <row r="4054" spans="7:23" ht="13.2">
      <c r="G4054" s="40"/>
      <c r="H4054" s="40"/>
      <c r="K4054" s="40"/>
      <c r="L4054" s="40"/>
      <c r="M4054" s="40"/>
      <c r="N4054" s="40"/>
      <c r="O4054" s="40"/>
      <c r="R4054" s="42"/>
      <c r="V4054" s="40"/>
      <c r="W4054" s="40"/>
    </row>
    <row r="4055" spans="7:23" ht="13.2">
      <c r="G4055" s="40"/>
      <c r="H4055" s="40"/>
      <c r="K4055" s="40"/>
      <c r="L4055" s="40"/>
      <c r="M4055" s="40"/>
      <c r="N4055" s="40"/>
      <c r="O4055" s="40"/>
      <c r="R4055" s="42"/>
      <c r="V4055" s="40"/>
      <c r="W4055" s="40"/>
    </row>
    <row r="4056" spans="7:23" ht="13.2">
      <c r="G4056" s="40"/>
      <c r="H4056" s="40"/>
      <c r="K4056" s="40"/>
      <c r="L4056" s="40"/>
      <c r="M4056" s="40"/>
      <c r="N4056" s="40"/>
      <c r="O4056" s="40"/>
      <c r="R4056" s="42"/>
      <c r="V4056" s="40"/>
      <c r="W4056" s="40"/>
    </row>
    <row r="4057" spans="7:23" ht="13.2">
      <c r="G4057" s="40"/>
      <c r="H4057" s="40"/>
      <c r="K4057" s="40"/>
      <c r="L4057" s="40"/>
      <c r="M4057" s="40"/>
      <c r="N4057" s="40"/>
      <c r="O4057" s="40"/>
      <c r="R4057" s="42"/>
      <c r="V4057" s="40"/>
      <c r="W4057" s="40"/>
    </row>
    <row r="4058" spans="7:23" ht="13.2">
      <c r="G4058" s="40"/>
      <c r="H4058" s="40"/>
      <c r="K4058" s="40"/>
      <c r="L4058" s="40"/>
      <c r="M4058" s="40"/>
      <c r="N4058" s="40"/>
      <c r="O4058" s="40"/>
      <c r="R4058" s="42"/>
      <c r="V4058" s="40"/>
      <c r="W4058" s="40"/>
    </row>
    <row r="4059" spans="7:23" ht="13.2">
      <c r="G4059" s="40"/>
      <c r="H4059" s="40"/>
      <c r="K4059" s="40"/>
      <c r="L4059" s="40"/>
      <c r="M4059" s="40"/>
      <c r="N4059" s="40"/>
      <c r="O4059" s="40"/>
      <c r="R4059" s="42"/>
      <c r="V4059" s="40"/>
      <c r="W4059" s="40"/>
    </row>
    <row r="4060" spans="7:23" ht="13.2">
      <c r="G4060" s="40"/>
      <c r="H4060" s="40"/>
      <c r="K4060" s="40"/>
      <c r="L4060" s="40"/>
      <c r="M4060" s="40"/>
      <c r="N4060" s="40"/>
      <c r="O4060" s="40"/>
      <c r="R4060" s="42"/>
      <c r="V4060" s="40"/>
      <c r="W4060" s="40"/>
    </row>
    <row r="4061" spans="7:23" ht="13.2">
      <c r="G4061" s="40"/>
      <c r="H4061" s="40"/>
      <c r="K4061" s="40"/>
      <c r="L4061" s="40"/>
      <c r="M4061" s="40"/>
      <c r="N4061" s="40"/>
      <c r="O4061" s="40"/>
      <c r="R4061" s="42"/>
      <c r="V4061" s="40"/>
      <c r="W4061" s="40"/>
    </row>
    <row r="4062" spans="7:23" ht="13.2">
      <c r="G4062" s="40"/>
      <c r="H4062" s="40"/>
      <c r="K4062" s="40"/>
      <c r="L4062" s="40"/>
      <c r="M4062" s="40"/>
      <c r="N4062" s="40"/>
      <c r="O4062" s="40"/>
      <c r="R4062" s="42"/>
      <c r="V4062" s="40"/>
      <c r="W4062" s="40"/>
    </row>
    <row r="4063" spans="7:23" ht="13.2">
      <c r="G4063" s="40"/>
      <c r="H4063" s="40"/>
      <c r="K4063" s="40"/>
      <c r="L4063" s="40"/>
      <c r="M4063" s="40"/>
      <c r="N4063" s="40"/>
      <c r="O4063" s="40"/>
      <c r="R4063" s="42"/>
      <c r="V4063" s="40"/>
      <c r="W4063" s="40"/>
    </row>
    <row r="4064" spans="7:23" ht="13.2">
      <c r="G4064" s="40"/>
      <c r="H4064" s="40"/>
      <c r="K4064" s="40"/>
      <c r="L4064" s="40"/>
      <c r="M4064" s="40"/>
      <c r="N4064" s="40"/>
      <c r="O4064" s="40"/>
      <c r="R4064" s="42"/>
      <c r="V4064" s="40"/>
      <c r="W4064" s="40"/>
    </row>
    <row r="4065" spans="7:23" ht="13.2">
      <c r="G4065" s="40"/>
      <c r="H4065" s="40"/>
      <c r="K4065" s="40"/>
      <c r="L4065" s="40"/>
      <c r="M4065" s="40"/>
      <c r="N4065" s="40"/>
      <c r="O4065" s="40"/>
      <c r="R4065" s="42"/>
      <c r="V4065" s="40"/>
      <c r="W4065" s="40"/>
    </row>
    <row r="4066" spans="7:23" ht="13.2">
      <c r="G4066" s="40"/>
      <c r="H4066" s="40"/>
      <c r="K4066" s="40"/>
      <c r="L4066" s="40"/>
      <c r="M4066" s="40"/>
      <c r="N4066" s="40"/>
      <c r="O4066" s="40"/>
      <c r="R4066" s="42"/>
      <c r="V4066" s="40"/>
      <c r="W4066" s="40"/>
    </row>
    <row r="4067" spans="7:23" ht="13.2">
      <c r="G4067" s="40"/>
      <c r="H4067" s="40"/>
      <c r="K4067" s="40"/>
      <c r="L4067" s="40"/>
      <c r="M4067" s="40"/>
      <c r="N4067" s="40"/>
      <c r="O4067" s="40"/>
      <c r="R4067" s="42"/>
      <c r="V4067" s="40"/>
      <c r="W4067" s="40"/>
    </row>
    <row r="4068" spans="7:23" ht="13.2">
      <c r="G4068" s="40"/>
      <c r="H4068" s="40"/>
      <c r="K4068" s="40"/>
      <c r="L4068" s="40"/>
      <c r="M4068" s="40"/>
      <c r="N4068" s="40"/>
      <c r="O4068" s="40"/>
      <c r="R4068" s="42"/>
      <c r="V4068" s="40"/>
      <c r="W4068" s="40"/>
    </row>
    <row r="4069" spans="7:23" ht="13.2">
      <c r="G4069" s="40"/>
      <c r="H4069" s="40"/>
      <c r="K4069" s="40"/>
      <c r="L4069" s="40"/>
      <c r="M4069" s="40"/>
      <c r="N4069" s="40"/>
      <c r="O4069" s="40"/>
      <c r="R4069" s="42"/>
      <c r="V4069" s="40"/>
      <c r="W4069" s="40"/>
    </row>
    <row r="4070" spans="7:23" ht="13.2">
      <c r="G4070" s="40"/>
      <c r="H4070" s="40"/>
      <c r="K4070" s="40"/>
      <c r="L4070" s="40"/>
      <c r="M4070" s="40"/>
      <c r="N4070" s="40"/>
      <c r="O4070" s="40"/>
      <c r="R4070" s="42"/>
      <c r="V4070" s="40"/>
      <c r="W4070" s="40"/>
    </row>
    <row r="4071" spans="7:23" ht="13.2">
      <c r="G4071" s="40"/>
      <c r="H4071" s="40"/>
      <c r="K4071" s="40"/>
      <c r="L4071" s="40"/>
      <c r="M4071" s="40"/>
      <c r="N4071" s="40"/>
      <c r="O4071" s="40"/>
      <c r="R4071" s="42"/>
      <c r="V4071" s="40"/>
      <c r="W4071" s="40"/>
    </row>
    <row r="4072" spans="7:23" ht="13.2">
      <c r="G4072" s="40"/>
      <c r="H4072" s="40"/>
      <c r="K4072" s="40"/>
      <c r="L4072" s="40"/>
      <c r="M4072" s="40"/>
      <c r="N4072" s="40"/>
      <c r="O4072" s="40"/>
      <c r="R4072" s="42"/>
      <c r="V4072" s="40"/>
      <c r="W4072" s="40"/>
    </row>
    <row r="4073" spans="7:23" ht="13.2">
      <c r="G4073" s="40"/>
      <c r="H4073" s="40"/>
      <c r="K4073" s="40"/>
      <c r="L4073" s="40"/>
      <c r="M4073" s="40"/>
      <c r="N4073" s="40"/>
      <c r="O4073" s="40"/>
      <c r="R4073" s="42"/>
      <c r="V4073" s="40"/>
      <c r="W4073" s="40"/>
    </row>
    <row r="4074" spans="7:23" ht="13.2">
      <c r="G4074" s="40"/>
      <c r="H4074" s="40"/>
      <c r="K4074" s="40"/>
      <c r="L4074" s="40"/>
      <c r="M4074" s="40"/>
      <c r="N4074" s="40"/>
      <c r="O4074" s="40"/>
      <c r="R4074" s="42"/>
      <c r="V4074" s="40"/>
      <c r="W4074" s="40"/>
    </row>
    <row r="4075" spans="7:23" ht="13.2">
      <c r="G4075" s="40"/>
      <c r="H4075" s="40"/>
      <c r="K4075" s="40"/>
      <c r="L4075" s="40"/>
      <c r="M4075" s="40"/>
      <c r="N4075" s="40"/>
      <c r="O4075" s="40"/>
      <c r="R4075" s="42"/>
      <c r="V4075" s="40"/>
      <c r="W4075" s="40"/>
    </row>
    <row r="4076" spans="7:23" ht="13.2">
      <c r="G4076" s="40"/>
      <c r="H4076" s="40"/>
      <c r="K4076" s="40"/>
      <c r="L4076" s="40"/>
      <c r="M4076" s="40"/>
      <c r="N4076" s="40"/>
      <c r="O4076" s="40"/>
      <c r="R4076" s="42"/>
      <c r="V4076" s="40"/>
      <c r="W4076" s="40"/>
    </row>
    <row r="4077" spans="7:23" ht="13.2">
      <c r="G4077" s="40"/>
      <c r="H4077" s="40"/>
      <c r="K4077" s="40"/>
      <c r="L4077" s="40"/>
      <c r="M4077" s="40"/>
      <c r="N4077" s="40"/>
      <c r="O4077" s="40"/>
      <c r="R4077" s="42"/>
      <c r="V4077" s="40"/>
      <c r="W4077" s="40"/>
    </row>
    <row r="4078" spans="7:23" ht="13.2">
      <c r="G4078" s="40"/>
      <c r="H4078" s="40"/>
      <c r="K4078" s="40"/>
      <c r="L4078" s="40"/>
      <c r="M4078" s="40"/>
      <c r="N4078" s="40"/>
      <c r="O4078" s="40"/>
      <c r="R4078" s="42"/>
      <c r="V4078" s="40"/>
      <c r="W4078" s="40"/>
    </row>
    <row r="4079" spans="7:23" ht="13.2">
      <c r="G4079" s="40"/>
      <c r="H4079" s="40"/>
      <c r="K4079" s="40"/>
      <c r="L4079" s="40"/>
      <c r="M4079" s="40"/>
      <c r="N4079" s="40"/>
      <c r="O4079" s="40"/>
      <c r="R4079" s="42"/>
      <c r="V4079" s="40"/>
      <c r="W4079" s="40"/>
    </row>
    <row r="4080" spans="7:23" ht="13.2">
      <c r="G4080" s="40"/>
      <c r="H4080" s="40"/>
      <c r="K4080" s="40"/>
      <c r="L4080" s="40"/>
      <c r="M4080" s="40"/>
      <c r="N4080" s="40"/>
      <c r="O4080" s="40"/>
      <c r="R4080" s="42"/>
      <c r="V4080" s="40"/>
      <c r="W4080" s="40"/>
    </row>
    <row r="4081" spans="7:23" ht="13.2">
      <c r="G4081" s="40"/>
      <c r="H4081" s="40"/>
      <c r="K4081" s="40"/>
      <c r="L4081" s="40"/>
      <c r="M4081" s="40"/>
      <c r="N4081" s="40"/>
      <c r="O4081" s="40"/>
      <c r="R4081" s="42"/>
      <c r="V4081" s="40"/>
      <c r="W4081" s="40"/>
    </row>
    <row r="4082" spans="7:23" ht="13.2">
      <c r="G4082" s="40"/>
      <c r="H4082" s="40"/>
      <c r="K4082" s="40"/>
      <c r="L4082" s="40"/>
      <c r="M4082" s="40"/>
      <c r="N4082" s="40"/>
      <c r="O4082" s="40"/>
      <c r="R4082" s="42"/>
      <c r="V4082" s="40"/>
      <c r="W4082" s="40"/>
    </row>
    <row r="4083" spans="7:23" ht="13.2">
      <c r="G4083" s="40"/>
      <c r="H4083" s="40"/>
      <c r="K4083" s="40"/>
      <c r="L4083" s="40"/>
      <c r="M4083" s="40"/>
      <c r="N4083" s="40"/>
      <c r="O4083" s="40"/>
      <c r="R4083" s="42"/>
      <c r="V4083" s="40"/>
      <c r="W4083" s="40"/>
    </row>
    <row r="4084" spans="7:23" ht="13.2">
      <c r="G4084" s="40"/>
      <c r="H4084" s="40"/>
      <c r="K4084" s="40"/>
      <c r="L4084" s="40"/>
      <c r="M4084" s="40"/>
      <c r="N4084" s="40"/>
      <c r="O4084" s="40"/>
      <c r="R4084" s="42"/>
      <c r="V4084" s="40"/>
      <c r="W4084" s="40"/>
    </row>
    <row r="4085" spans="7:23" ht="13.2">
      <c r="G4085" s="40"/>
      <c r="H4085" s="40"/>
      <c r="K4085" s="40"/>
      <c r="L4085" s="40"/>
      <c r="M4085" s="40"/>
      <c r="N4085" s="40"/>
      <c r="O4085" s="40"/>
      <c r="R4085" s="42"/>
      <c r="V4085" s="40"/>
      <c r="W4085" s="40"/>
    </row>
    <row r="4086" spans="7:23" ht="13.2">
      <c r="G4086" s="40"/>
      <c r="H4086" s="40"/>
      <c r="K4086" s="40"/>
      <c r="L4086" s="40"/>
      <c r="M4086" s="40"/>
      <c r="N4086" s="40"/>
      <c r="O4086" s="40"/>
      <c r="R4086" s="42"/>
      <c r="V4086" s="40"/>
      <c r="W4086" s="40"/>
    </row>
    <row r="4087" spans="7:23" ht="13.2">
      <c r="G4087" s="40"/>
      <c r="H4087" s="40"/>
      <c r="K4087" s="40"/>
      <c r="L4087" s="40"/>
      <c r="M4087" s="40"/>
      <c r="N4087" s="40"/>
      <c r="O4087" s="40"/>
      <c r="R4087" s="42"/>
      <c r="V4087" s="40"/>
      <c r="W4087" s="40"/>
    </row>
    <row r="4088" spans="7:23" ht="13.2">
      <c r="G4088" s="40"/>
      <c r="H4088" s="40"/>
      <c r="K4088" s="40"/>
      <c r="L4088" s="40"/>
      <c r="M4088" s="40"/>
      <c r="N4088" s="40"/>
      <c r="O4088" s="40"/>
      <c r="R4088" s="42"/>
      <c r="V4088" s="40"/>
      <c r="W4088" s="40"/>
    </row>
    <row r="4089" spans="7:23" ht="13.2">
      <c r="G4089" s="40"/>
      <c r="H4089" s="40"/>
      <c r="K4089" s="40"/>
      <c r="L4089" s="40"/>
      <c r="M4089" s="40"/>
      <c r="N4089" s="40"/>
      <c r="O4089" s="40"/>
      <c r="R4089" s="42"/>
      <c r="V4089" s="40"/>
      <c r="W4089" s="40"/>
    </row>
    <row r="4090" spans="7:23" ht="13.2">
      <c r="G4090" s="40"/>
      <c r="H4090" s="40"/>
      <c r="K4090" s="40"/>
      <c r="L4090" s="40"/>
      <c r="M4090" s="40"/>
      <c r="N4090" s="40"/>
      <c r="O4090" s="40"/>
      <c r="R4090" s="42"/>
      <c r="V4090" s="40"/>
      <c r="W4090" s="40"/>
    </row>
    <row r="4091" spans="7:23" ht="13.2">
      <c r="G4091" s="40"/>
      <c r="H4091" s="40"/>
      <c r="K4091" s="40"/>
      <c r="L4091" s="40"/>
      <c r="M4091" s="40"/>
      <c r="N4091" s="40"/>
      <c r="O4091" s="40"/>
      <c r="R4091" s="42"/>
      <c r="V4091" s="40"/>
      <c r="W4091" s="40"/>
    </row>
    <row r="4092" spans="7:23" ht="13.2">
      <c r="G4092" s="40"/>
      <c r="H4092" s="40"/>
      <c r="K4092" s="40"/>
      <c r="L4092" s="40"/>
      <c r="M4092" s="40"/>
      <c r="N4092" s="40"/>
      <c r="O4092" s="40"/>
      <c r="R4092" s="42"/>
      <c r="V4092" s="40"/>
      <c r="W4092" s="40"/>
    </row>
    <row r="4093" spans="7:23" ht="13.2">
      <c r="G4093" s="40"/>
      <c r="H4093" s="40"/>
      <c r="K4093" s="40"/>
      <c r="L4093" s="40"/>
      <c r="M4093" s="40"/>
      <c r="N4093" s="40"/>
      <c r="O4093" s="40"/>
      <c r="R4093" s="42"/>
      <c r="V4093" s="40"/>
      <c r="W4093" s="40"/>
    </row>
    <row r="4094" spans="7:23" ht="13.2">
      <c r="G4094" s="40"/>
      <c r="H4094" s="40"/>
      <c r="K4094" s="40"/>
      <c r="L4094" s="40"/>
      <c r="M4094" s="40"/>
      <c r="N4094" s="40"/>
      <c r="O4094" s="40"/>
      <c r="R4094" s="42"/>
      <c r="V4094" s="40"/>
      <c r="W4094" s="40"/>
    </row>
    <row r="4095" spans="7:23" ht="13.2">
      <c r="G4095" s="40"/>
      <c r="H4095" s="40"/>
      <c r="K4095" s="40"/>
      <c r="L4095" s="40"/>
      <c r="M4095" s="40"/>
      <c r="N4095" s="40"/>
      <c r="O4095" s="40"/>
      <c r="R4095" s="42"/>
      <c r="V4095" s="40"/>
      <c r="W4095" s="40"/>
    </row>
    <row r="4096" spans="7:23" ht="13.2">
      <c r="G4096" s="40"/>
      <c r="H4096" s="40"/>
      <c r="K4096" s="40"/>
      <c r="L4096" s="40"/>
      <c r="M4096" s="40"/>
      <c r="N4096" s="40"/>
      <c r="O4096" s="40"/>
      <c r="R4096" s="42"/>
      <c r="V4096" s="40"/>
      <c r="W4096" s="40"/>
    </row>
    <row r="4097" spans="7:23" ht="13.2">
      <c r="G4097" s="40"/>
      <c r="H4097" s="40"/>
      <c r="K4097" s="40"/>
      <c r="L4097" s="40"/>
      <c r="M4097" s="40"/>
      <c r="N4097" s="40"/>
      <c r="O4097" s="40"/>
      <c r="R4097" s="42"/>
      <c r="V4097" s="40"/>
      <c r="W4097" s="40"/>
    </row>
    <row r="4098" spans="7:23" ht="13.2">
      <c r="G4098" s="40"/>
      <c r="H4098" s="40"/>
      <c r="K4098" s="40"/>
      <c r="L4098" s="40"/>
      <c r="M4098" s="40"/>
      <c r="N4098" s="40"/>
      <c r="O4098" s="40"/>
      <c r="R4098" s="42"/>
      <c r="V4098" s="40"/>
      <c r="W4098" s="40"/>
    </row>
    <row r="4099" spans="7:23" ht="13.2">
      <c r="G4099" s="40"/>
      <c r="H4099" s="40"/>
      <c r="K4099" s="40"/>
      <c r="L4099" s="40"/>
      <c r="M4099" s="40"/>
      <c r="N4099" s="40"/>
      <c r="O4099" s="40"/>
      <c r="R4099" s="42"/>
      <c r="V4099" s="40"/>
      <c r="W4099" s="40"/>
    </row>
    <row r="4100" spans="7:23" ht="13.2">
      <c r="G4100" s="40"/>
      <c r="H4100" s="40"/>
      <c r="K4100" s="40"/>
      <c r="L4100" s="40"/>
      <c r="M4100" s="40"/>
      <c r="N4100" s="40"/>
      <c r="O4100" s="40"/>
      <c r="R4100" s="42"/>
      <c r="V4100" s="40"/>
      <c r="W4100" s="40"/>
    </row>
    <row r="4101" spans="7:23" ht="13.2">
      <c r="G4101" s="40"/>
      <c r="H4101" s="40"/>
      <c r="K4101" s="40"/>
      <c r="L4101" s="40"/>
      <c r="M4101" s="40"/>
      <c r="N4101" s="40"/>
      <c r="O4101" s="40"/>
      <c r="R4101" s="42"/>
      <c r="V4101" s="40"/>
      <c r="W4101" s="40"/>
    </row>
    <row r="4102" spans="7:23" ht="13.2">
      <c r="G4102" s="40"/>
      <c r="H4102" s="40"/>
      <c r="K4102" s="40"/>
      <c r="L4102" s="40"/>
      <c r="M4102" s="40"/>
      <c r="N4102" s="40"/>
      <c r="O4102" s="40"/>
      <c r="R4102" s="42"/>
      <c r="V4102" s="40"/>
      <c r="W4102" s="40"/>
    </row>
    <row r="4103" spans="7:23" ht="13.2">
      <c r="G4103" s="40"/>
      <c r="H4103" s="40"/>
      <c r="K4103" s="40"/>
      <c r="L4103" s="40"/>
      <c r="M4103" s="40"/>
      <c r="N4103" s="40"/>
      <c r="O4103" s="40"/>
      <c r="R4103" s="42"/>
      <c r="V4103" s="40"/>
      <c r="W4103" s="40"/>
    </row>
    <row r="4104" spans="7:23" ht="13.2">
      <c r="G4104" s="40"/>
      <c r="H4104" s="40"/>
      <c r="K4104" s="40"/>
      <c r="L4104" s="40"/>
      <c r="M4104" s="40"/>
      <c r="N4104" s="40"/>
      <c r="O4104" s="40"/>
      <c r="R4104" s="42"/>
      <c r="V4104" s="40"/>
      <c r="W4104" s="40"/>
    </row>
    <row r="4105" spans="7:23" ht="13.2">
      <c r="G4105" s="40"/>
      <c r="H4105" s="40"/>
      <c r="K4105" s="40"/>
      <c r="L4105" s="40"/>
      <c r="M4105" s="40"/>
      <c r="N4105" s="40"/>
      <c r="O4105" s="40"/>
      <c r="R4105" s="42"/>
      <c r="V4105" s="40"/>
      <c r="W4105" s="40"/>
    </row>
    <row r="4106" spans="7:23" ht="13.2">
      <c r="G4106" s="40"/>
      <c r="H4106" s="40"/>
      <c r="K4106" s="40"/>
      <c r="L4106" s="40"/>
      <c r="M4106" s="40"/>
      <c r="N4106" s="40"/>
      <c r="O4106" s="40"/>
      <c r="R4106" s="42"/>
      <c r="V4106" s="40"/>
      <c r="W4106" s="40"/>
    </row>
    <row r="4107" spans="7:23" ht="13.2">
      <c r="G4107" s="40"/>
      <c r="H4107" s="40"/>
      <c r="K4107" s="40"/>
      <c r="L4107" s="40"/>
      <c r="M4107" s="40"/>
      <c r="N4107" s="40"/>
      <c r="O4107" s="40"/>
      <c r="R4107" s="42"/>
      <c r="V4107" s="40"/>
      <c r="W4107" s="40"/>
    </row>
    <row r="4108" spans="7:23" ht="13.2">
      <c r="G4108" s="40"/>
      <c r="H4108" s="40"/>
      <c r="K4108" s="40"/>
      <c r="L4108" s="40"/>
      <c r="M4108" s="40"/>
      <c r="N4108" s="40"/>
      <c r="O4108" s="40"/>
      <c r="R4108" s="42"/>
      <c r="V4108" s="40"/>
      <c r="W4108" s="40"/>
    </row>
    <row r="4109" spans="7:23" ht="13.2">
      <c r="G4109" s="40"/>
      <c r="H4109" s="40"/>
      <c r="K4109" s="40"/>
      <c r="L4109" s="40"/>
      <c r="M4109" s="40"/>
      <c r="N4109" s="40"/>
      <c r="O4109" s="40"/>
      <c r="R4109" s="42"/>
      <c r="V4109" s="40"/>
      <c r="W4109" s="40"/>
    </row>
    <row r="4110" spans="7:23" ht="13.2">
      <c r="G4110" s="40"/>
      <c r="H4110" s="40"/>
      <c r="K4110" s="40"/>
      <c r="L4110" s="40"/>
      <c r="M4110" s="40"/>
      <c r="N4110" s="40"/>
      <c r="O4110" s="40"/>
      <c r="R4110" s="42"/>
      <c r="V4110" s="40"/>
      <c r="W4110" s="40"/>
    </row>
    <row r="4111" spans="7:23" ht="13.2">
      <c r="G4111" s="40"/>
      <c r="H4111" s="40"/>
      <c r="K4111" s="40"/>
      <c r="L4111" s="40"/>
      <c r="M4111" s="40"/>
      <c r="N4111" s="40"/>
      <c r="O4111" s="40"/>
      <c r="R4111" s="42"/>
      <c r="V4111" s="40"/>
      <c r="W4111" s="40"/>
    </row>
    <row r="4112" spans="7:23" ht="13.2">
      <c r="G4112" s="40"/>
      <c r="H4112" s="40"/>
      <c r="K4112" s="40"/>
      <c r="L4112" s="40"/>
      <c r="M4112" s="40"/>
      <c r="N4112" s="40"/>
      <c r="O4112" s="40"/>
      <c r="R4112" s="42"/>
      <c r="V4112" s="40"/>
      <c r="W4112" s="40"/>
    </row>
    <row r="4113" spans="7:23" ht="13.2">
      <c r="G4113" s="40"/>
      <c r="H4113" s="40"/>
      <c r="K4113" s="40"/>
      <c r="L4113" s="40"/>
      <c r="M4113" s="40"/>
      <c r="N4113" s="40"/>
      <c r="O4113" s="40"/>
      <c r="R4113" s="42"/>
      <c r="V4113" s="40"/>
      <c r="W4113" s="40"/>
    </row>
    <row r="4114" spans="7:23" ht="13.2">
      <c r="G4114" s="40"/>
      <c r="H4114" s="40"/>
      <c r="K4114" s="40"/>
      <c r="L4114" s="40"/>
      <c r="M4114" s="40"/>
      <c r="N4114" s="40"/>
      <c r="O4114" s="40"/>
      <c r="R4114" s="42"/>
      <c r="V4114" s="40"/>
      <c r="W4114" s="40"/>
    </row>
    <row r="4115" spans="7:23" ht="13.2">
      <c r="G4115" s="40"/>
      <c r="H4115" s="40"/>
      <c r="K4115" s="40"/>
      <c r="L4115" s="40"/>
      <c r="M4115" s="40"/>
      <c r="N4115" s="40"/>
      <c r="O4115" s="40"/>
      <c r="R4115" s="42"/>
      <c r="V4115" s="40"/>
      <c r="W4115" s="40"/>
    </row>
    <row r="4116" spans="7:23" ht="13.2">
      <c r="G4116" s="40"/>
      <c r="H4116" s="40"/>
      <c r="K4116" s="40"/>
      <c r="L4116" s="40"/>
      <c r="M4116" s="40"/>
      <c r="N4116" s="40"/>
      <c r="O4116" s="40"/>
      <c r="R4116" s="42"/>
      <c r="V4116" s="40"/>
      <c r="W4116" s="40"/>
    </row>
    <row r="4117" spans="7:23" ht="13.2">
      <c r="G4117" s="40"/>
      <c r="H4117" s="40"/>
      <c r="K4117" s="40"/>
      <c r="L4117" s="40"/>
      <c r="M4117" s="40"/>
      <c r="N4117" s="40"/>
      <c r="O4117" s="40"/>
      <c r="R4117" s="42"/>
      <c r="V4117" s="40"/>
      <c r="W4117" s="40"/>
    </row>
    <row r="4118" spans="7:23" ht="13.2">
      <c r="G4118" s="40"/>
      <c r="H4118" s="40"/>
      <c r="K4118" s="40"/>
      <c r="L4118" s="40"/>
      <c r="M4118" s="40"/>
      <c r="N4118" s="40"/>
      <c r="O4118" s="40"/>
      <c r="R4118" s="42"/>
      <c r="V4118" s="40"/>
      <c r="W4118" s="40"/>
    </row>
    <row r="4119" spans="7:23" ht="13.2">
      <c r="G4119" s="40"/>
      <c r="H4119" s="40"/>
      <c r="K4119" s="40"/>
      <c r="L4119" s="40"/>
      <c r="M4119" s="40"/>
      <c r="N4119" s="40"/>
      <c r="O4119" s="40"/>
      <c r="R4119" s="42"/>
      <c r="V4119" s="40"/>
      <c r="W4119" s="40"/>
    </row>
    <row r="4120" spans="7:23" ht="13.2">
      <c r="G4120" s="40"/>
      <c r="H4120" s="40"/>
      <c r="K4120" s="40"/>
      <c r="L4120" s="40"/>
      <c r="M4120" s="40"/>
      <c r="N4120" s="40"/>
      <c r="O4120" s="40"/>
      <c r="R4120" s="42"/>
      <c r="V4120" s="40"/>
      <c r="W4120" s="40"/>
    </row>
    <row r="4121" spans="7:23" ht="13.2">
      <c r="G4121" s="40"/>
      <c r="H4121" s="40"/>
      <c r="K4121" s="40"/>
      <c r="L4121" s="40"/>
      <c r="M4121" s="40"/>
      <c r="N4121" s="40"/>
      <c r="O4121" s="40"/>
      <c r="R4121" s="42"/>
      <c r="V4121" s="40"/>
      <c r="W4121" s="40"/>
    </row>
    <row r="4122" spans="7:23" ht="13.2">
      <c r="G4122" s="40"/>
      <c r="H4122" s="40"/>
      <c r="K4122" s="40"/>
      <c r="L4122" s="40"/>
      <c r="M4122" s="40"/>
      <c r="N4122" s="40"/>
      <c r="O4122" s="40"/>
      <c r="R4122" s="42"/>
      <c r="V4122" s="40"/>
      <c r="W4122" s="40"/>
    </row>
    <row r="4123" spans="7:23" ht="13.2">
      <c r="G4123" s="40"/>
      <c r="H4123" s="40"/>
      <c r="K4123" s="40"/>
      <c r="L4123" s="40"/>
      <c r="M4123" s="40"/>
      <c r="N4123" s="40"/>
      <c r="O4123" s="40"/>
      <c r="R4123" s="42"/>
      <c r="V4123" s="40"/>
      <c r="W4123" s="40"/>
    </row>
    <row r="4124" spans="7:23" ht="13.2">
      <c r="G4124" s="40"/>
      <c r="H4124" s="40"/>
      <c r="K4124" s="40"/>
      <c r="L4124" s="40"/>
      <c r="M4124" s="40"/>
      <c r="N4124" s="40"/>
      <c r="O4124" s="40"/>
      <c r="R4124" s="42"/>
      <c r="V4124" s="40"/>
      <c r="W4124" s="40"/>
    </row>
    <row r="4125" spans="7:23" ht="13.2">
      <c r="G4125" s="40"/>
      <c r="H4125" s="40"/>
      <c r="K4125" s="40"/>
      <c r="L4125" s="40"/>
      <c r="M4125" s="40"/>
      <c r="N4125" s="40"/>
      <c r="O4125" s="40"/>
      <c r="R4125" s="42"/>
      <c r="V4125" s="40"/>
      <c r="W4125" s="40"/>
    </row>
    <row r="4126" spans="7:23" ht="13.2">
      <c r="G4126" s="40"/>
      <c r="H4126" s="40"/>
      <c r="K4126" s="40"/>
      <c r="L4126" s="40"/>
      <c r="M4126" s="40"/>
      <c r="N4126" s="40"/>
      <c r="O4126" s="40"/>
      <c r="R4126" s="42"/>
      <c r="V4126" s="40"/>
      <c r="W4126" s="40"/>
    </row>
    <row r="4127" spans="7:23" ht="13.2">
      <c r="G4127" s="40"/>
      <c r="H4127" s="40"/>
      <c r="K4127" s="40"/>
      <c r="L4127" s="40"/>
      <c r="M4127" s="40"/>
      <c r="N4127" s="40"/>
      <c r="O4127" s="40"/>
      <c r="R4127" s="42"/>
      <c r="V4127" s="40"/>
      <c r="W4127" s="40"/>
    </row>
    <row r="4128" spans="7:23" ht="13.2">
      <c r="G4128" s="40"/>
      <c r="H4128" s="40"/>
      <c r="K4128" s="40"/>
      <c r="L4128" s="40"/>
      <c r="M4128" s="40"/>
      <c r="N4128" s="40"/>
      <c r="O4128" s="40"/>
      <c r="R4128" s="42"/>
      <c r="V4128" s="40"/>
      <c r="W4128" s="40"/>
    </row>
    <row r="4129" spans="7:23" ht="13.2">
      <c r="G4129" s="40"/>
      <c r="H4129" s="40"/>
      <c r="K4129" s="40"/>
      <c r="L4129" s="40"/>
      <c r="M4129" s="40"/>
      <c r="N4129" s="40"/>
      <c r="O4129" s="40"/>
      <c r="R4129" s="42"/>
      <c r="V4129" s="40"/>
      <c r="W4129" s="40"/>
    </row>
    <row r="4130" spans="7:23" ht="13.2">
      <c r="G4130" s="40"/>
      <c r="H4130" s="40"/>
      <c r="K4130" s="40"/>
      <c r="L4130" s="40"/>
      <c r="M4130" s="40"/>
      <c r="N4130" s="40"/>
      <c r="O4130" s="40"/>
      <c r="R4130" s="42"/>
      <c r="V4130" s="40"/>
      <c r="W4130" s="40"/>
    </row>
    <row r="4131" spans="7:23" ht="13.2">
      <c r="G4131" s="40"/>
      <c r="H4131" s="40"/>
      <c r="K4131" s="40"/>
      <c r="L4131" s="40"/>
      <c r="M4131" s="40"/>
      <c r="N4131" s="40"/>
      <c r="O4131" s="40"/>
      <c r="R4131" s="42"/>
      <c r="V4131" s="40"/>
      <c r="W4131" s="40"/>
    </row>
    <row r="4132" spans="7:23" ht="13.2">
      <c r="G4132" s="40"/>
      <c r="H4132" s="40"/>
      <c r="K4132" s="40"/>
      <c r="L4132" s="40"/>
      <c r="M4132" s="40"/>
      <c r="N4132" s="40"/>
      <c r="O4132" s="40"/>
      <c r="R4132" s="42"/>
      <c r="V4132" s="40"/>
      <c r="W4132" s="40"/>
    </row>
    <row r="4133" spans="7:23" ht="13.2">
      <c r="G4133" s="40"/>
      <c r="H4133" s="40"/>
      <c r="K4133" s="40"/>
      <c r="L4133" s="40"/>
      <c r="M4133" s="40"/>
      <c r="N4133" s="40"/>
      <c r="O4133" s="40"/>
      <c r="R4133" s="42"/>
      <c r="V4133" s="40"/>
      <c r="W4133" s="40"/>
    </row>
    <row r="4134" spans="7:23" ht="13.2">
      <c r="G4134" s="40"/>
      <c r="H4134" s="40"/>
      <c r="K4134" s="40"/>
      <c r="L4134" s="40"/>
      <c r="M4134" s="40"/>
      <c r="N4134" s="40"/>
      <c r="O4134" s="40"/>
      <c r="R4134" s="42"/>
      <c r="V4134" s="40"/>
      <c r="W4134" s="40"/>
    </row>
    <row r="4135" spans="7:23" ht="13.2">
      <c r="G4135" s="40"/>
      <c r="H4135" s="40"/>
      <c r="K4135" s="40"/>
      <c r="L4135" s="40"/>
      <c r="M4135" s="40"/>
      <c r="N4135" s="40"/>
      <c r="O4135" s="40"/>
      <c r="R4135" s="42"/>
      <c r="V4135" s="40"/>
      <c r="W4135" s="40"/>
    </row>
    <row r="4136" spans="7:23" ht="13.2">
      <c r="G4136" s="40"/>
      <c r="H4136" s="40"/>
      <c r="K4136" s="40"/>
      <c r="L4136" s="40"/>
      <c r="M4136" s="40"/>
      <c r="N4136" s="40"/>
      <c r="O4136" s="40"/>
      <c r="R4136" s="42"/>
      <c r="V4136" s="40"/>
      <c r="W4136" s="40"/>
    </row>
    <row r="4137" spans="7:23" ht="13.2">
      <c r="G4137" s="40"/>
      <c r="H4137" s="40"/>
      <c r="K4137" s="40"/>
      <c r="L4137" s="40"/>
      <c r="M4137" s="40"/>
      <c r="N4137" s="40"/>
      <c r="O4137" s="40"/>
      <c r="R4137" s="42"/>
      <c r="V4137" s="40"/>
      <c r="W4137" s="40"/>
    </row>
    <row r="4138" spans="7:23" ht="13.2">
      <c r="G4138" s="40"/>
      <c r="H4138" s="40"/>
      <c r="K4138" s="40"/>
      <c r="L4138" s="40"/>
      <c r="M4138" s="40"/>
      <c r="N4138" s="40"/>
      <c r="O4138" s="40"/>
      <c r="R4138" s="42"/>
      <c r="V4138" s="40"/>
      <c r="W4138" s="40"/>
    </row>
    <row r="4139" spans="7:23" ht="13.2">
      <c r="G4139" s="40"/>
      <c r="H4139" s="40"/>
      <c r="K4139" s="40"/>
      <c r="L4139" s="40"/>
      <c r="M4139" s="40"/>
      <c r="N4139" s="40"/>
      <c r="O4139" s="40"/>
      <c r="R4139" s="42"/>
      <c r="V4139" s="40"/>
      <c r="W4139" s="40"/>
    </row>
    <row r="4140" spans="7:23" ht="13.2">
      <c r="G4140" s="40"/>
      <c r="H4140" s="40"/>
      <c r="K4140" s="40"/>
      <c r="L4140" s="40"/>
      <c r="M4140" s="40"/>
      <c r="N4140" s="40"/>
      <c r="O4140" s="40"/>
      <c r="R4140" s="42"/>
      <c r="V4140" s="40"/>
      <c r="W4140" s="40"/>
    </row>
    <row r="4141" spans="7:23" ht="13.2">
      <c r="G4141" s="40"/>
      <c r="H4141" s="40"/>
      <c r="K4141" s="40"/>
      <c r="L4141" s="40"/>
      <c r="M4141" s="40"/>
      <c r="N4141" s="40"/>
      <c r="O4141" s="40"/>
      <c r="R4141" s="42"/>
      <c r="V4141" s="40"/>
      <c r="W4141" s="40"/>
    </row>
    <row r="4142" spans="7:23" ht="13.2">
      <c r="G4142" s="40"/>
      <c r="H4142" s="40"/>
      <c r="K4142" s="40"/>
      <c r="L4142" s="40"/>
      <c r="M4142" s="40"/>
      <c r="N4142" s="40"/>
      <c r="O4142" s="40"/>
      <c r="R4142" s="42"/>
      <c r="V4142" s="40"/>
      <c r="W4142" s="40"/>
    </row>
    <row r="4143" spans="7:23" ht="13.2">
      <c r="G4143" s="40"/>
      <c r="H4143" s="40"/>
      <c r="K4143" s="40"/>
      <c r="L4143" s="40"/>
      <c r="M4143" s="40"/>
      <c r="N4143" s="40"/>
      <c r="O4143" s="40"/>
      <c r="R4143" s="42"/>
      <c r="V4143" s="40"/>
      <c r="W4143" s="40"/>
    </row>
    <row r="4144" spans="7:23" ht="13.2">
      <c r="G4144" s="40"/>
      <c r="H4144" s="40"/>
      <c r="K4144" s="40"/>
      <c r="L4144" s="40"/>
      <c r="M4144" s="40"/>
      <c r="N4144" s="40"/>
      <c r="O4144" s="40"/>
      <c r="R4144" s="42"/>
      <c r="V4144" s="40"/>
      <c r="W4144" s="40"/>
    </row>
    <row r="4145" spans="7:23" ht="13.2">
      <c r="G4145" s="40"/>
      <c r="H4145" s="40"/>
      <c r="K4145" s="40"/>
      <c r="L4145" s="40"/>
      <c r="M4145" s="40"/>
      <c r="N4145" s="40"/>
      <c r="O4145" s="40"/>
      <c r="R4145" s="42"/>
      <c r="V4145" s="40"/>
      <c r="W4145" s="40"/>
    </row>
    <row r="4146" spans="7:23" ht="13.2">
      <c r="G4146" s="40"/>
      <c r="H4146" s="40"/>
      <c r="K4146" s="40"/>
      <c r="L4146" s="40"/>
      <c r="M4146" s="40"/>
      <c r="N4146" s="40"/>
      <c r="O4146" s="40"/>
      <c r="R4146" s="42"/>
      <c r="V4146" s="40"/>
      <c r="W4146" s="40"/>
    </row>
    <row r="4147" spans="7:23" ht="13.2">
      <c r="G4147" s="40"/>
      <c r="H4147" s="40"/>
      <c r="K4147" s="40"/>
      <c r="L4147" s="40"/>
      <c r="M4147" s="40"/>
      <c r="N4147" s="40"/>
      <c r="O4147" s="40"/>
      <c r="R4147" s="42"/>
      <c r="V4147" s="40"/>
      <c r="W4147" s="40"/>
    </row>
    <row r="4148" spans="7:23" ht="13.2">
      <c r="G4148" s="40"/>
      <c r="H4148" s="40"/>
      <c r="K4148" s="40"/>
      <c r="L4148" s="40"/>
      <c r="M4148" s="40"/>
      <c r="N4148" s="40"/>
      <c r="O4148" s="40"/>
      <c r="R4148" s="42"/>
      <c r="V4148" s="40"/>
      <c r="W4148" s="40"/>
    </row>
    <row r="4149" spans="7:23" ht="13.2">
      <c r="G4149" s="40"/>
      <c r="H4149" s="40"/>
      <c r="K4149" s="40"/>
      <c r="L4149" s="40"/>
      <c r="M4149" s="40"/>
      <c r="N4149" s="40"/>
      <c r="O4149" s="40"/>
      <c r="R4149" s="42"/>
      <c r="V4149" s="40"/>
      <c r="W4149" s="40"/>
    </row>
    <row r="4150" spans="7:23" ht="13.2">
      <c r="G4150" s="40"/>
      <c r="H4150" s="40"/>
      <c r="K4150" s="40"/>
      <c r="L4150" s="40"/>
      <c r="M4150" s="40"/>
      <c r="N4150" s="40"/>
      <c r="O4150" s="40"/>
      <c r="R4150" s="42"/>
      <c r="V4150" s="40"/>
      <c r="W4150" s="40"/>
    </row>
    <row r="4151" spans="7:23" ht="13.2">
      <c r="G4151" s="40"/>
      <c r="H4151" s="40"/>
      <c r="K4151" s="40"/>
      <c r="L4151" s="40"/>
      <c r="M4151" s="40"/>
      <c r="N4151" s="40"/>
      <c r="O4151" s="40"/>
      <c r="R4151" s="42"/>
      <c r="V4151" s="40"/>
      <c r="W4151" s="40"/>
    </row>
    <row r="4152" spans="7:23" ht="13.2">
      <c r="G4152" s="40"/>
      <c r="H4152" s="40"/>
      <c r="K4152" s="40"/>
      <c r="L4152" s="40"/>
      <c r="M4152" s="40"/>
      <c r="N4152" s="40"/>
      <c r="O4152" s="40"/>
      <c r="R4152" s="42"/>
      <c r="V4152" s="40"/>
      <c r="W4152" s="40"/>
    </row>
    <row r="4153" spans="7:23" ht="13.2">
      <c r="G4153" s="40"/>
      <c r="H4153" s="40"/>
      <c r="K4153" s="40"/>
      <c r="L4153" s="40"/>
      <c r="M4153" s="40"/>
      <c r="N4153" s="40"/>
      <c r="O4153" s="40"/>
      <c r="R4153" s="42"/>
      <c r="V4153" s="40"/>
      <c r="W4153" s="40"/>
    </row>
    <row r="4154" spans="7:23" ht="13.2">
      <c r="G4154" s="40"/>
      <c r="H4154" s="40"/>
      <c r="K4154" s="40"/>
      <c r="L4154" s="40"/>
      <c r="M4154" s="40"/>
      <c r="N4154" s="40"/>
      <c r="O4154" s="40"/>
      <c r="R4154" s="42"/>
      <c r="V4154" s="40"/>
      <c r="W4154" s="40"/>
    </row>
    <row r="4155" spans="7:23" ht="13.2">
      <c r="G4155" s="40"/>
      <c r="H4155" s="40"/>
      <c r="K4155" s="40"/>
      <c r="L4155" s="40"/>
      <c r="M4155" s="40"/>
      <c r="N4155" s="40"/>
      <c r="O4155" s="40"/>
      <c r="R4155" s="42"/>
      <c r="V4155" s="40"/>
      <c r="W4155" s="40"/>
    </row>
    <row r="4156" spans="7:23" ht="13.2">
      <c r="G4156" s="40"/>
      <c r="H4156" s="40"/>
      <c r="K4156" s="40"/>
      <c r="L4156" s="40"/>
      <c r="M4156" s="40"/>
      <c r="N4156" s="40"/>
      <c r="O4156" s="40"/>
      <c r="R4156" s="42"/>
      <c r="V4156" s="40"/>
      <c r="W4156" s="40"/>
    </row>
    <row r="4157" spans="7:23" ht="13.2">
      <c r="G4157" s="40"/>
      <c r="H4157" s="40"/>
      <c r="K4157" s="40"/>
      <c r="L4157" s="40"/>
      <c r="M4157" s="40"/>
      <c r="N4157" s="40"/>
      <c r="O4157" s="40"/>
      <c r="R4157" s="42"/>
      <c r="V4157" s="40"/>
      <c r="W4157" s="40"/>
    </row>
    <row r="4158" spans="7:23" ht="13.2">
      <c r="G4158" s="40"/>
      <c r="H4158" s="40"/>
      <c r="K4158" s="40"/>
      <c r="L4158" s="40"/>
      <c r="M4158" s="40"/>
      <c r="N4158" s="40"/>
      <c r="O4158" s="40"/>
      <c r="R4158" s="42"/>
      <c r="V4158" s="40"/>
      <c r="W4158" s="40"/>
    </row>
    <row r="4159" spans="7:23" ht="13.2">
      <c r="G4159" s="40"/>
      <c r="H4159" s="40"/>
      <c r="K4159" s="40"/>
      <c r="L4159" s="40"/>
      <c r="M4159" s="40"/>
      <c r="N4159" s="40"/>
      <c r="O4159" s="40"/>
      <c r="R4159" s="42"/>
      <c r="V4159" s="40"/>
      <c r="W4159" s="40"/>
    </row>
    <row r="4160" spans="7:23" ht="13.2">
      <c r="G4160" s="40"/>
      <c r="H4160" s="40"/>
      <c r="K4160" s="40"/>
      <c r="L4160" s="40"/>
      <c r="M4160" s="40"/>
      <c r="N4160" s="40"/>
      <c r="O4160" s="40"/>
      <c r="R4160" s="42"/>
      <c r="V4160" s="40"/>
      <c r="W4160" s="40"/>
    </row>
    <row r="4161" spans="7:23" ht="13.2">
      <c r="G4161" s="40"/>
      <c r="H4161" s="40"/>
      <c r="K4161" s="40"/>
      <c r="L4161" s="40"/>
      <c r="M4161" s="40"/>
      <c r="N4161" s="40"/>
      <c r="O4161" s="40"/>
      <c r="R4161" s="42"/>
      <c r="V4161" s="40"/>
      <c r="W4161" s="40"/>
    </row>
    <row r="4162" spans="7:23" ht="13.2">
      <c r="G4162" s="40"/>
      <c r="H4162" s="40"/>
      <c r="K4162" s="40"/>
      <c r="L4162" s="40"/>
      <c r="M4162" s="40"/>
      <c r="N4162" s="40"/>
      <c r="O4162" s="40"/>
      <c r="R4162" s="42"/>
      <c r="V4162" s="40"/>
      <c r="W4162" s="40"/>
    </row>
    <row r="4163" spans="7:23" ht="13.2">
      <c r="G4163" s="40"/>
      <c r="H4163" s="40"/>
      <c r="K4163" s="40"/>
      <c r="L4163" s="40"/>
      <c r="M4163" s="40"/>
      <c r="N4163" s="40"/>
      <c r="O4163" s="40"/>
      <c r="R4163" s="42"/>
      <c r="V4163" s="40"/>
      <c r="W4163" s="40"/>
    </row>
    <row r="4164" spans="7:23" ht="13.2">
      <c r="G4164" s="40"/>
      <c r="H4164" s="40"/>
      <c r="K4164" s="40"/>
      <c r="L4164" s="40"/>
      <c r="M4164" s="40"/>
      <c r="N4164" s="40"/>
      <c r="O4164" s="40"/>
      <c r="R4164" s="42"/>
      <c r="V4164" s="40"/>
      <c r="W4164" s="40"/>
    </row>
    <row r="4165" spans="7:23" ht="13.2">
      <c r="G4165" s="40"/>
      <c r="H4165" s="40"/>
      <c r="K4165" s="40"/>
      <c r="L4165" s="40"/>
      <c r="M4165" s="40"/>
      <c r="N4165" s="40"/>
      <c r="O4165" s="40"/>
      <c r="R4165" s="42"/>
      <c r="V4165" s="40"/>
      <c r="W4165" s="40"/>
    </row>
    <row r="4166" spans="7:23" ht="13.2">
      <c r="G4166" s="40"/>
      <c r="H4166" s="40"/>
      <c r="K4166" s="40"/>
      <c r="L4166" s="40"/>
      <c r="M4166" s="40"/>
      <c r="N4166" s="40"/>
      <c r="O4166" s="40"/>
      <c r="R4166" s="42"/>
      <c r="V4166" s="40"/>
      <c r="W4166" s="40"/>
    </row>
    <row r="4167" spans="7:23" ht="13.2">
      <c r="G4167" s="40"/>
      <c r="H4167" s="40"/>
      <c r="K4167" s="40"/>
      <c r="L4167" s="40"/>
      <c r="M4167" s="40"/>
      <c r="N4167" s="40"/>
      <c r="O4167" s="40"/>
      <c r="R4167" s="42"/>
      <c r="V4167" s="40"/>
      <c r="W4167" s="40"/>
    </row>
    <row r="4168" spans="7:23" ht="13.2">
      <c r="G4168" s="40"/>
      <c r="H4168" s="40"/>
      <c r="K4168" s="40"/>
      <c r="L4168" s="40"/>
      <c r="M4168" s="40"/>
      <c r="N4168" s="40"/>
      <c r="O4168" s="40"/>
      <c r="R4168" s="42"/>
      <c r="V4168" s="40"/>
      <c r="W4168" s="40"/>
    </row>
    <row r="4169" spans="7:23" ht="13.2">
      <c r="G4169" s="40"/>
      <c r="H4169" s="40"/>
      <c r="K4169" s="40"/>
      <c r="L4169" s="40"/>
      <c r="M4169" s="40"/>
      <c r="N4169" s="40"/>
      <c r="O4169" s="40"/>
      <c r="R4169" s="42"/>
      <c r="V4169" s="40"/>
      <c r="W4169" s="40"/>
    </row>
    <row r="4170" spans="7:23" ht="13.2">
      <c r="G4170" s="40"/>
      <c r="H4170" s="40"/>
      <c r="K4170" s="40"/>
      <c r="L4170" s="40"/>
      <c r="M4170" s="40"/>
      <c r="N4170" s="40"/>
      <c r="O4170" s="40"/>
      <c r="R4170" s="42"/>
      <c r="V4170" s="40"/>
      <c r="W4170" s="40"/>
    </row>
    <row r="4171" spans="7:23" ht="13.2">
      <c r="G4171" s="40"/>
      <c r="H4171" s="40"/>
      <c r="K4171" s="40"/>
      <c r="L4171" s="40"/>
      <c r="M4171" s="40"/>
      <c r="N4171" s="40"/>
      <c r="O4171" s="40"/>
      <c r="R4171" s="42"/>
      <c r="V4171" s="40"/>
      <c r="W4171" s="40"/>
    </row>
    <row r="4172" spans="7:23" ht="13.2">
      <c r="G4172" s="40"/>
      <c r="H4172" s="40"/>
      <c r="K4172" s="40"/>
      <c r="L4172" s="40"/>
      <c r="M4172" s="40"/>
      <c r="N4172" s="40"/>
      <c r="O4172" s="40"/>
      <c r="R4172" s="42"/>
      <c r="V4172" s="40"/>
      <c r="W4172" s="40"/>
    </row>
    <row r="4173" spans="7:23" ht="13.2">
      <c r="G4173" s="40"/>
      <c r="H4173" s="40"/>
      <c r="K4173" s="40"/>
      <c r="L4173" s="40"/>
      <c r="M4173" s="40"/>
      <c r="N4173" s="40"/>
      <c r="O4173" s="40"/>
      <c r="R4173" s="42"/>
      <c r="V4173" s="40"/>
      <c r="W4173" s="40"/>
    </row>
    <row r="4174" spans="7:23" ht="13.2">
      <c r="G4174" s="40"/>
      <c r="H4174" s="40"/>
      <c r="K4174" s="40"/>
      <c r="L4174" s="40"/>
      <c r="M4174" s="40"/>
      <c r="N4174" s="40"/>
      <c r="O4174" s="40"/>
      <c r="R4174" s="42"/>
      <c r="V4174" s="40"/>
      <c r="W4174" s="40"/>
    </row>
    <row r="4175" spans="7:23" ht="13.2">
      <c r="G4175" s="40"/>
      <c r="H4175" s="40"/>
      <c r="K4175" s="40"/>
      <c r="L4175" s="40"/>
      <c r="M4175" s="40"/>
      <c r="N4175" s="40"/>
      <c r="O4175" s="40"/>
      <c r="R4175" s="42"/>
      <c r="V4175" s="40"/>
      <c r="W4175" s="40"/>
    </row>
    <row r="4176" spans="7:23" ht="13.2">
      <c r="G4176" s="40"/>
      <c r="H4176" s="40"/>
      <c r="K4176" s="40"/>
      <c r="L4176" s="40"/>
      <c r="M4176" s="40"/>
      <c r="N4176" s="40"/>
      <c r="O4176" s="40"/>
      <c r="R4176" s="42"/>
      <c r="V4176" s="40"/>
      <c r="W4176" s="40"/>
    </row>
    <row r="4177" spans="7:23" ht="13.2">
      <c r="G4177" s="40"/>
      <c r="H4177" s="40"/>
      <c r="K4177" s="40"/>
      <c r="L4177" s="40"/>
      <c r="M4177" s="40"/>
      <c r="N4177" s="40"/>
      <c r="O4177" s="40"/>
      <c r="R4177" s="42"/>
      <c r="V4177" s="40"/>
      <c r="W4177" s="40"/>
    </row>
    <row r="4178" spans="7:23" ht="13.2">
      <c r="G4178" s="40"/>
      <c r="H4178" s="40"/>
      <c r="K4178" s="40"/>
      <c r="L4178" s="40"/>
      <c r="M4178" s="40"/>
      <c r="N4178" s="40"/>
      <c r="O4178" s="40"/>
      <c r="R4178" s="42"/>
      <c r="V4178" s="40"/>
      <c r="W4178" s="40"/>
    </row>
    <row r="4179" spans="7:23" ht="13.2">
      <c r="G4179" s="40"/>
      <c r="H4179" s="40"/>
      <c r="K4179" s="40"/>
      <c r="L4179" s="40"/>
      <c r="M4179" s="40"/>
      <c r="N4179" s="40"/>
      <c r="O4179" s="40"/>
      <c r="R4179" s="42"/>
      <c r="V4179" s="40"/>
      <c r="W4179" s="40"/>
    </row>
    <row r="4180" spans="7:23" ht="13.2">
      <c r="G4180" s="40"/>
      <c r="H4180" s="40"/>
      <c r="K4180" s="40"/>
      <c r="L4180" s="40"/>
      <c r="M4180" s="40"/>
      <c r="N4180" s="40"/>
      <c r="O4180" s="40"/>
      <c r="R4180" s="42"/>
      <c r="V4180" s="40"/>
      <c r="W4180" s="40"/>
    </row>
    <row r="4181" spans="7:23" ht="13.2">
      <c r="G4181" s="40"/>
      <c r="H4181" s="40"/>
      <c r="K4181" s="40"/>
      <c r="L4181" s="40"/>
      <c r="M4181" s="40"/>
      <c r="N4181" s="40"/>
      <c r="O4181" s="40"/>
      <c r="R4181" s="42"/>
      <c r="V4181" s="40"/>
      <c r="W4181" s="40"/>
    </row>
    <row r="4182" spans="7:23" ht="13.2">
      <c r="G4182" s="40"/>
      <c r="H4182" s="40"/>
      <c r="K4182" s="40"/>
      <c r="L4182" s="40"/>
      <c r="M4182" s="40"/>
      <c r="N4182" s="40"/>
      <c r="O4182" s="40"/>
      <c r="R4182" s="42"/>
      <c r="V4182" s="40"/>
      <c r="W4182" s="40"/>
    </row>
    <row r="4183" spans="7:23" ht="13.2">
      <c r="G4183" s="40"/>
      <c r="H4183" s="40"/>
      <c r="K4183" s="40"/>
      <c r="L4183" s="40"/>
      <c r="M4183" s="40"/>
      <c r="N4183" s="40"/>
      <c r="O4183" s="40"/>
      <c r="R4183" s="42"/>
      <c r="V4183" s="40"/>
      <c r="W4183" s="40"/>
    </row>
    <row r="4184" spans="7:23" ht="13.2">
      <c r="G4184" s="40"/>
      <c r="H4184" s="40"/>
      <c r="K4184" s="40"/>
      <c r="L4184" s="40"/>
      <c r="M4184" s="40"/>
      <c r="N4184" s="40"/>
      <c r="O4184" s="40"/>
      <c r="R4184" s="42"/>
      <c r="V4184" s="40"/>
      <c r="W4184" s="40"/>
    </row>
    <row r="4185" spans="7:23" ht="13.2">
      <c r="G4185" s="40"/>
      <c r="H4185" s="40"/>
      <c r="K4185" s="40"/>
      <c r="L4185" s="40"/>
      <c r="M4185" s="40"/>
      <c r="N4185" s="40"/>
      <c r="O4185" s="40"/>
      <c r="R4185" s="42"/>
      <c r="V4185" s="40"/>
      <c r="W4185" s="40"/>
    </row>
    <row r="4186" spans="7:23" ht="13.2">
      <c r="G4186" s="40"/>
      <c r="H4186" s="40"/>
      <c r="K4186" s="40"/>
      <c r="L4186" s="40"/>
      <c r="M4186" s="40"/>
      <c r="N4186" s="40"/>
      <c r="O4186" s="40"/>
      <c r="R4186" s="42"/>
      <c r="V4186" s="40"/>
      <c r="W4186" s="40"/>
    </row>
    <row r="4187" spans="7:23" ht="13.2">
      <c r="G4187" s="40"/>
      <c r="H4187" s="40"/>
      <c r="K4187" s="40"/>
      <c r="L4187" s="40"/>
      <c r="M4187" s="40"/>
      <c r="N4187" s="40"/>
      <c r="O4187" s="40"/>
      <c r="R4187" s="42"/>
      <c r="V4187" s="40"/>
      <c r="W4187" s="40"/>
    </row>
    <row r="4188" spans="7:23" ht="13.2">
      <c r="G4188" s="40"/>
      <c r="H4188" s="40"/>
      <c r="K4188" s="40"/>
      <c r="L4188" s="40"/>
      <c r="M4188" s="40"/>
      <c r="N4188" s="40"/>
      <c r="O4188" s="40"/>
      <c r="R4188" s="42"/>
      <c r="V4188" s="40"/>
      <c r="W4188" s="40"/>
    </row>
    <row r="4189" spans="7:23" ht="13.2">
      <c r="G4189" s="40"/>
      <c r="H4189" s="40"/>
      <c r="K4189" s="40"/>
      <c r="L4189" s="40"/>
      <c r="M4189" s="40"/>
      <c r="N4189" s="40"/>
      <c r="O4189" s="40"/>
      <c r="R4189" s="42"/>
      <c r="V4189" s="40"/>
      <c r="W4189" s="40"/>
    </row>
    <row r="4190" spans="7:23" ht="13.2">
      <c r="G4190" s="40"/>
      <c r="H4190" s="40"/>
      <c r="K4190" s="40"/>
      <c r="L4190" s="40"/>
      <c r="M4190" s="40"/>
      <c r="N4190" s="40"/>
      <c r="O4190" s="40"/>
      <c r="R4190" s="42"/>
      <c r="V4190" s="40"/>
      <c r="W4190" s="40"/>
    </row>
    <row r="4191" spans="7:23" ht="13.2">
      <c r="G4191" s="40"/>
      <c r="H4191" s="40"/>
      <c r="K4191" s="40"/>
      <c r="L4191" s="40"/>
      <c r="M4191" s="40"/>
      <c r="N4191" s="40"/>
      <c r="O4191" s="40"/>
      <c r="R4191" s="42"/>
      <c r="V4191" s="40"/>
      <c r="W4191" s="40"/>
    </row>
    <row r="4192" spans="7:23" ht="13.2">
      <c r="G4192" s="40"/>
      <c r="H4192" s="40"/>
      <c r="K4192" s="40"/>
      <c r="L4192" s="40"/>
      <c r="M4192" s="40"/>
      <c r="N4192" s="40"/>
      <c r="O4192" s="40"/>
      <c r="R4192" s="42"/>
      <c r="V4192" s="40"/>
      <c r="W4192" s="40"/>
    </row>
    <row r="4193" spans="7:23" ht="13.2">
      <c r="G4193" s="40"/>
      <c r="H4193" s="40"/>
      <c r="K4193" s="40"/>
      <c r="L4193" s="40"/>
      <c r="M4193" s="40"/>
      <c r="N4193" s="40"/>
      <c r="O4193" s="40"/>
      <c r="R4193" s="42"/>
      <c r="V4193" s="40"/>
      <c r="W4193" s="40"/>
    </row>
    <row r="4194" spans="7:23" ht="13.2">
      <c r="G4194" s="40"/>
      <c r="H4194" s="40"/>
      <c r="K4194" s="40"/>
      <c r="L4194" s="40"/>
      <c r="M4194" s="40"/>
      <c r="N4194" s="40"/>
      <c r="O4194" s="40"/>
      <c r="R4194" s="42"/>
      <c r="V4194" s="40"/>
      <c r="W4194" s="40"/>
    </row>
    <row r="4195" spans="7:23" ht="13.2">
      <c r="G4195" s="40"/>
      <c r="H4195" s="40"/>
      <c r="K4195" s="40"/>
      <c r="L4195" s="40"/>
      <c r="M4195" s="40"/>
      <c r="N4195" s="40"/>
      <c r="O4195" s="40"/>
      <c r="R4195" s="42"/>
      <c r="V4195" s="40"/>
      <c r="W4195" s="40"/>
    </row>
    <row r="4196" spans="7:23" ht="13.2">
      <c r="G4196" s="40"/>
      <c r="H4196" s="40"/>
      <c r="K4196" s="40"/>
      <c r="L4196" s="40"/>
      <c r="M4196" s="40"/>
      <c r="N4196" s="40"/>
      <c r="O4196" s="40"/>
      <c r="R4196" s="42"/>
      <c r="V4196" s="40"/>
      <c r="W4196" s="40"/>
    </row>
    <row r="4197" spans="7:23" ht="13.2">
      <c r="G4197" s="40"/>
      <c r="H4197" s="40"/>
      <c r="K4197" s="40"/>
      <c r="L4197" s="40"/>
      <c r="M4197" s="40"/>
      <c r="N4197" s="40"/>
      <c r="O4197" s="40"/>
      <c r="R4197" s="42"/>
      <c r="V4197" s="40"/>
      <c r="W4197" s="40"/>
    </row>
    <row r="4198" spans="7:23" ht="13.2">
      <c r="G4198" s="40"/>
      <c r="H4198" s="40"/>
      <c r="K4198" s="40"/>
      <c r="L4198" s="40"/>
      <c r="M4198" s="40"/>
      <c r="N4198" s="40"/>
      <c r="O4198" s="40"/>
      <c r="R4198" s="42"/>
      <c r="V4198" s="40"/>
      <c r="W4198" s="40"/>
    </row>
    <row r="4199" spans="7:23" ht="13.2">
      <c r="G4199" s="40"/>
      <c r="H4199" s="40"/>
      <c r="K4199" s="40"/>
      <c r="L4199" s="40"/>
      <c r="M4199" s="40"/>
      <c r="N4199" s="40"/>
      <c r="O4199" s="40"/>
      <c r="R4199" s="42"/>
      <c r="V4199" s="40"/>
      <c r="W4199" s="40"/>
    </row>
    <row r="4200" spans="7:23" ht="13.2">
      <c r="G4200" s="40"/>
      <c r="H4200" s="40"/>
      <c r="K4200" s="40"/>
      <c r="L4200" s="40"/>
      <c r="M4200" s="40"/>
      <c r="N4200" s="40"/>
      <c r="O4200" s="40"/>
      <c r="R4200" s="42"/>
      <c r="V4200" s="40"/>
      <c r="W4200" s="40"/>
    </row>
    <row r="4201" spans="7:23" ht="13.2">
      <c r="G4201" s="40"/>
      <c r="H4201" s="40"/>
      <c r="K4201" s="40"/>
      <c r="L4201" s="40"/>
      <c r="M4201" s="40"/>
      <c r="N4201" s="40"/>
      <c r="O4201" s="40"/>
      <c r="R4201" s="42"/>
      <c r="V4201" s="40"/>
      <c r="W4201" s="40"/>
    </row>
    <row r="4202" spans="7:23" ht="13.2">
      <c r="G4202" s="40"/>
      <c r="H4202" s="40"/>
      <c r="K4202" s="40"/>
      <c r="L4202" s="40"/>
      <c r="M4202" s="40"/>
      <c r="N4202" s="40"/>
      <c r="O4202" s="40"/>
      <c r="R4202" s="42"/>
      <c r="V4202" s="40"/>
      <c r="W4202" s="40"/>
    </row>
    <row r="4203" spans="7:23" ht="13.2">
      <c r="G4203" s="40"/>
      <c r="H4203" s="40"/>
      <c r="K4203" s="40"/>
      <c r="L4203" s="40"/>
      <c r="M4203" s="40"/>
      <c r="N4203" s="40"/>
      <c r="O4203" s="40"/>
      <c r="R4203" s="42"/>
      <c r="V4203" s="40"/>
      <c r="W4203" s="40"/>
    </row>
    <row r="4204" spans="7:23" ht="13.2">
      <c r="G4204" s="40"/>
      <c r="H4204" s="40"/>
      <c r="K4204" s="40"/>
      <c r="L4204" s="40"/>
      <c r="M4204" s="40"/>
      <c r="N4204" s="40"/>
      <c r="O4204" s="40"/>
      <c r="R4204" s="42"/>
      <c r="V4204" s="40"/>
      <c r="W4204" s="40"/>
    </row>
    <row r="4205" spans="7:23" ht="13.2">
      <c r="G4205" s="40"/>
      <c r="H4205" s="40"/>
      <c r="K4205" s="40"/>
      <c r="L4205" s="40"/>
      <c r="M4205" s="40"/>
      <c r="N4205" s="40"/>
      <c r="O4205" s="40"/>
      <c r="R4205" s="42"/>
      <c r="V4205" s="40"/>
      <c r="W4205" s="40"/>
    </row>
    <row r="4206" spans="7:23" ht="13.2">
      <c r="G4206" s="40"/>
      <c r="H4206" s="40"/>
      <c r="K4206" s="40"/>
      <c r="L4206" s="40"/>
      <c r="M4206" s="40"/>
      <c r="N4206" s="40"/>
      <c r="O4206" s="40"/>
      <c r="R4206" s="42"/>
      <c r="V4206" s="40"/>
      <c r="W4206" s="40"/>
    </row>
    <row r="4207" spans="7:23" ht="13.2">
      <c r="G4207" s="40"/>
      <c r="H4207" s="40"/>
      <c r="K4207" s="40"/>
      <c r="L4207" s="40"/>
      <c r="M4207" s="40"/>
      <c r="N4207" s="40"/>
      <c r="O4207" s="40"/>
      <c r="R4207" s="42"/>
      <c r="V4207" s="40"/>
      <c r="W4207" s="40"/>
    </row>
    <row r="4208" spans="7:23" ht="13.2">
      <c r="G4208" s="40"/>
      <c r="H4208" s="40"/>
      <c r="K4208" s="40"/>
      <c r="L4208" s="40"/>
      <c r="M4208" s="40"/>
      <c r="N4208" s="40"/>
      <c r="O4208" s="40"/>
      <c r="R4208" s="42"/>
      <c r="V4208" s="40"/>
      <c r="W4208" s="40"/>
    </row>
    <row r="4209" spans="7:23" ht="13.2">
      <c r="G4209" s="40"/>
      <c r="H4209" s="40"/>
      <c r="K4209" s="40"/>
      <c r="L4209" s="40"/>
      <c r="M4209" s="40"/>
      <c r="N4209" s="40"/>
      <c r="O4209" s="40"/>
      <c r="R4209" s="42"/>
      <c r="V4209" s="40"/>
      <c r="W4209" s="40"/>
    </row>
    <row r="4210" spans="7:23" ht="13.2">
      <c r="G4210" s="40"/>
      <c r="H4210" s="40"/>
      <c r="K4210" s="40"/>
      <c r="L4210" s="40"/>
      <c r="M4210" s="40"/>
      <c r="N4210" s="40"/>
      <c r="O4210" s="40"/>
      <c r="R4210" s="42"/>
      <c r="V4210" s="40"/>
      <c r="W4210" s="40"/>
    </row>
    <row r="4211" spans="7:23" ht="13.2">
      <c r="G4211" s="40"/>
      <c r="H4211" s="40"/>
      <c r="K4211" s="40"/>
      <c r="L4211" s="40"/>
      <c r="M4211" s="40"/>
      <c r="N4211" s="40"/>
      <c r="O4211" s="40"/>
      <c r="R4211" s="42"/>
      <c r="V4211" s="40"/>
      <c r="W4211" s="40"/>
    </row>
    <row r="4212" spans="7:23" ht="13.2">
      <c r="G4212" s="40"/>
      <c r="H4212" s="40"/>
      <c r="K4212" s="40"/>
      <c r="L4212" s="40"/>
      <c r="M4212" s="40"/>
      <c r="N4212" s="40"/>
      <c r="O4212" s="40"/>
      <c r="R4212" s="42"/>
      <c r="V4212" s="40"/>
      <c r="W4212" s="40"/>
    </row>
    <row r="4213" spans="7:23" ht="13.2">
      <c r="G4213" s="40"/>
      <c r="H4213" s="40"/>
      <c r="K4213" s="40"/>
      <c r="L4213" s="40"/>
      <c r="M4213" s="40"/>
      <c r="N4213" s="40"/>
      <c r="O4213" s="40"/>
      <c r="R4213" s="42"/>
      <c r="V4213" s="40"/>
      <c r="W4213" s="40"/>
    </row>
    <row r="4214" spans="7:23" ht="13.2">
      <c r="G4214" s="40"/>
      <c r="H4214" s="40"/>
      <c r="K4214" s="40"/>
      <c r="L4214" s="40"/>
      <c r="M4214" s="40"/>
      <c r="N4214" s="40"/>
      <c r="O4214" s="40"/>
      <c r="R4214" s="42"/>
      <c r="V4214" s="40"/>
      <c r="W4214" s="40"/>
    </row>
    <row r="4215" spans="7:23" ht="13.2">
      <c r="G4215" s="40"/>
      <c r="H4215" s="40"/>
      <c r="K4215" s="40"/>
      <c r="L4215" s="40"/>
      <c r="M4215" s="40"/>
      <c r="N4215" s="40"/>
      <c r="O4215" s="40"/>
      <c r="R4215" s="42"/>
      <c r="V4215" s="40"/>
      <c r="W4215" s="40"/>
    </row>
    <row r="4216" spans="7:23" ht="13.2">
      <c r="G4216" s="40"/>
      <c r="H4216" s="40"/>
      <c r="K4216" s="40"/>
      <c r="L4216" s="40"/>
      <c r="M4216" s="40"/>
      <c r="N4216" s="40"/>
      <c r="O4216" s="40"/>
      <c r="R4216" s="42"/>
      <c r="V4216" s="40"/>
      <c r="W4216" s="40"/>
    </row>
    <row r="4217" spans="7:23" ht="13.2">
      <c r="G4217" s="40"/>
      <c r="H4217" s="40"/>
      <c r="K4217" s="40"/>
      <c r="L4217" s="40"/>
      <c r="M4217" s="40"/>
      <c r="N4217" s="40"/>
      <c r="O4217" s="40"/>
      <c r="R4217" s="42"/>
      <c r="V4217" s="40"/>
      <c r="W4217" s="40"/>
    </row>
    <row r="4218" spans="7:23" ht="13.2">
      <c r="G4218" s="40"/>
      <c r="H4218" s="40"/>
      <c r="K4218" s="40"/>
      <c r="L4218" s="40"/>
      <c r="M4218" s="40"/>
      <c r="N4218" s="40"/>
      <c r="O4218" s="40"/>
      <c r="R4218" s="42"/>
      <c r="V4218" s="40"/>
      <c r="W4218" s="40"/>
    </row>
    <row r="4219" spans="7:23" ht="13.2">
      <c r="G4219" s="40"/>
      <c r="H4219" s="40"/>
      <c r="K4219" s="40"/>
      <c r="L4219" s="40"/>
      <c r="M4219" s="40"/>
      <c r="N4219" s="40"/>
      <c r="O4219" s="40"/>
      <c r="R4219" s="42"/>
      <c r="V4219" s="40"/>
      <c r="W4219" s="40"/>
    </row>
    <row r="4220" spans="7:23" ht="13.2">
      <c r="G4220" s="40"/>
      <c r="H4220" s="40"/>
      <c r="K4220" s="40"/>
      <c r="L4220" s="40"/>
      <c r="M4220" s="40"/>
      <c r="N4220" s="40"/>
      <c r="O4220" s="40"/>
      <c r="R4220" s="42"/>
      <c r="V4220" s="40"/>
      <c r="W4220" s="40"/>
    </row>
    <row r="4221" spans="7:23" ht="13.2">
      <c r="G4221" s="40"/>
      <c r="H4221" s="40"/>
      <c r="K4221" s="40"/>
      <c r="L4221" s="40"/>
      <c r="M4221" s="40"/>
      <c r="N4221" s="40"/>
      <c r="O4221" s="40"/>
      <c r="R4221" s="42"/>
      <c r="V4221" s="40"/>
      <c r="W4221" s="40"/>
    </row>
    <row r="4222" spans="7:23" ht="13.2">
      <c r="G4222" s="40"/>
      <c r="H4222" s="40"/>
      <c r="K4222" s="40"/>
      <c r="L4222" s="40"/>
      <c r="M4222" s="40"/>
      <c r="N4222" s="40"/>
      <c r="O4222" s="40"/>
      <c r="R4222" s="42"/>
      <c r="V4222" s="40"/>
      <c r="W4222" s="40"/>
    </row>
    <row r="4223" spans="7:23" ht="13.2">
      <c r="G4223" s="40"/>
      <c r="H4223" s="40"/>
      <c r="K4223" s="40"/>
      <c r="L4223" s="40"/>
      <c r="M4223" s="40"/>
      <c r="N4223" s="40"/>
      <c r="O4223" s="40"/>
      <c r="R4223" s="42"/>
      <c r="V4223" s="40"/>
      <c r="W4223" s="40"/>
    </row>
    <row r="4224" spans="7:23" ht="13.2">
      <c r="G4224" s="40"/>
      <c r="H4224" s="40"/>
      <c r="K4224" s="40"/>
      <c r="L4224" s="40"/>
      <c r="M4224" s="40"/>
      <c r="N4224" s="40"/>
      <c r="O4224" s="40"/>
      <c r="R4224" s="42"/>
      <c r="V4224" s="40"/>
      <c r="W4224" s="40"/>
    </row>
    <row r="4225" spans="7:23" ht="13.2">
      <c r="G4225" s="40"/>
      <c r="H4225" s="40"/>
      <c r="K4225" s="40"/>
      <c r="L4225" s="40"/>
      <c r="M4225" s="40"/>
      <c r="N4225" s="40"/>
      <c r="O4225" s="40"/>
      <c r="R4225" s="42"/>
      <c r="V4225" s="40"/>
      <c r="W4225" s="40"/>
    </row>
    <row r="4226" spans="7:23" ht="13.2">
      <c r="G4226" s="40"/>
      <c r="H4226" s="40"/>
      <c r="K4226" s="40"/>
      <c r="L4226" s="40"/>
      <c r="M4226" s="40"/>
      <c r="N4226" s="40"/>
      <c r="O4226" s="40"/>
      <c r="R4226" s="42"/>
      <c r="V4226" s="40"/>
      <c r="W4226" s="40"/>
    </row>
    <row r="4227" spans="7:23" ht="13.2">
      <c r="G4227" s="40"/>
      <c r="H4227" s="40"/>
      <c r="K4227" s="40"/>
      <c r="L4227" s="40"/>
      <c r="M4227" s="40"/>
      <c r="N4227" s="40"/>
      <c r="O4227" s="40"/>
      <c r="R4227" s="42"/>
      <c r="V4227" s="40"/>
      <c r="W4227" s="40"/>
    </row>
    <row r="4228" spans="7:23" ht="13.2">
      <c r="G4228" s="40"/>
      <c r="H4228" s="40"/>
      <c r="K4228" s="40"/>
      <c r="L4228" s="40"/>
      <c r="M4228" s="40"/>
      <c r="N4228" s="40"/>
      <c r="O4228" s="40"/>
      <c r="R4228" s="42"/>
      <c r="V4228" s="40"/>
      <c r="W4228" s="40"/>
    </row>
    <row r="4229" spans="7:23" ht="13.2">
      <c r="G4229" s="40"/>
      <c r="H4229" s="40"/>
      <c r="K4229" s="40"/>
      <c r="L4229" s="40"/>
      <c r="M4229" s="40"/>
      <c r="N4229" s="40"/>
      <c r="O4229" s="40"/>
      <c r="R4229" s="42"/>
      <c r="V4229" s="40"/>
      <c r="W4229" s="40"/>
    </row>
    <row r="4230" spans="7:23" ht="13.2">
      <c r="G4230" s="40"/>
      <c r="H4230" s="40"/>
      <c r="K4230" s="40"/>
      <c r="L4230" s="40"/>
      <c r="M4230" s="40"/>
      <c r="N4230" s="40"/>
      <c r="O4230" s="40"/>
      <c r="R4230" s="42"/>
      <c r="V4230" s="40"/>
      <c r="W4230" s="40"/>
    </row>
    <row r="4231" spans="7:23" ht="13.2">
      <c r="G4231" s="40"/>
      <c r="H4231" s="40"/>
      <c r="K4231" s="40"/>
      <c r="L4231" s="40"/>
      <c r="M4231" s="40"/>
      <c r="N4231" s="40"/>
      <c r="O4231" s="40"/>
      <c r="R4231" s="42"/>
      <c r="V4231" s="40"/>
      <c r="W4231" s="40"/>
    </row>
    <row r="4232" spans="7:23" ht="13.2">
      <c r="G4232" s="40"/>
      <c r="H4232" s="40"/>
      <c r="K4232" s="40"/>
      <c r="L4232" s="40"/>
      <c r="M4232" s="40"/>
      <c r="N4232" s="40"/>
      <c r="O4232" s="40"/>
      <c r="R4232" s="42"/>
      <c r="V4232" s="40"/>
      <c r="W4232" s="40"/>
    </row>
    <row r="4233" spans="7:23" ht="13.2">
      <c r="G4233" s="40"/>
      <c r="H4233" s="40"/>
      <c r="K4233" s="40"/>
      <c r="L4233" s="40"/>
      <c r="M4233" s="40"/>
      <c r="N4233" s="40"/>
      <c r="O4233" s="40"/>
      <c r="R4233" s="42"/>
      <c r="V4233" s="40"/>
      <c r="W4233" s="40"/>
    </row>
    <row r="4234" spans="7:23" ht="13.2">
      <c r="G4234" s="40"/>
      <c r="H4234" s="40"/>
      <c r="K4234" s="40"/>
      <c r="L4234" s="40"/>
      <c r="M4234" s="40"/>
      <c r="N4234" s="40"/>
      <c r="O4234" s="40"/>
      <c r="R4234" s="42"/>
      <c r="V4234" s="40"/>
      <c r="W4234" s="40"/>
    </row>
    <row r="4235" spans="7:23" ht="13.2">
      <c r="G4235" s="40"/>
      <c r="H4235" s="40"/>
      <c r="K4235" s="40"/>
      <c r="L4235" s="40"/>
      <c r="M4235" s="40"/>
      <c r="N4235" s="40"/>
      <c r="O4235" s="40"/>
      <c r="R4235" s="42"/>
      <c r="V4235" s="40"/>
      <c r="W4235" s="40"/>
    </row>
    <row r="4236" spans="7:23" ht="13.2">
      <c r="G4236" s="40"/>
      <c r="H4236" s="40"/>
      <c r="K4236" s="40"/>
      <c r="L4236" s="40"/>
      <c r="M4236" s="40"/>
      <c r="N4236" s="40"/>
      <c r="O4236" s="40"/>
      <c r="R4236" s="42"/>
      <c r="V4236" s="40"/>
      <c r="W4236" s="40"/>
    </row>
    <row r="4237" spans="7:23" ht="13.2">
      <c r="G4237" s="40"/>
      <c r="H4237" s="40"/>
      <c r="K4237" s="40"/>
      <c r="L4237" s="40"/>
      <c r="M4237" s="40"/>
      <c r="N4237" s="40"/>
      <c r="O4237" s="40"/>
      <c r="R4237" s="42"/>
      <c r="V4237" s="40"/>
      <c r="W4237" s="40"/>
    </row>
    <row r="4238" spans="7:23" ht="13.2">
      <c r="G4238" s="40"/>
      <c r="H4238" s="40"/>
      <c r="K4238" s="40"/>
      <c r="L4238" s="40"/>
      <c r="M4238" s="40"/>
      <c r="N4238" s="40"/>
      <c r="O4238" s="40"/>
      <c r="R4238" s="42"/>
      <c r="V4238" s="40"/>
      <c r="W4238" s="40"/>
    </row>
    <row r="4239" spans="7:23" ht="13.2">
      <c r="G4239" s="40"/>
      <c r="H4239" s="40"/>
      <c r="K4239" s="40"/>
      <c r="L4239" s="40"/>
      <c r="M4239" s="40"/>
      <c r="N4239" s="40"/>
      <c r="O4239" s="40"/>
      <c r="R4239" s="42"/>
      <c r="V4239" s="40"/>
      <c r="W4239" s="40"/>
    </row>
    <row r="4240" spans="7:23" ht="13.2">
      <c r="G4240" s="40"/>
      <c r="H4240" s="40"/>
      <c r="K4240" s="40"/>
      <c r="L4240" s="40"/>
      <c r="M4240" s="40"/>
      <c r="N4240" s="40"/>
      <c r="O4240" s="40"/>
      <c r="R4240" s="42"/>
      <c r="V4240" s="40"/>
      <c r="W4240" s="40"/>
    </row>
    <row r="4241" spans="7:23" ht="13.2">
      <c r="G4241" s="40"/>
      <c r="H4241" s="40"/>
      <c r="K4241" s="40"/>
      <c r="L4241" s="40"/>
      <c r="M4241" s="40"/>
      <c r="N4241" s="40"/>
      <c r="O4241" s="40"/>
      <c r="R4241" s="42"/>
      <c r="V4241" s="40"/>
      <c r="W4241" s="40"/>
    </row>
    <row r="4242" spans="7:23" ht="13.2">
      <c r="G4242" s="40"/>
      <c r="H4242" s="40"/>
      <c r="K4242" s="40"/>
      <c r="L4242" s="40"/>
      <c r="M4242" s="40"/>
      <c r="N4242" s="40"/>
      <c r="O4242" s="40"/>
      <c r="R4242" s="42"/>
      <c r="V4242" s="40"/>
      <c r="W4242" s="40"/>
    </row>
    <row r="4243" spans="7:23" ht="13.2">
      <c r="G4243" s="40"/>
      <c r="H4243" s="40"/>
      <c r="K4243" s="40"/>
      <c r="L4243" s="40"/>
      <c r="M4243" s="40"/>
      <c r="N4243" s="40"/>
      <c r="O4243" s="40"/>
      <c r="R4243" s="42"/>
      <c r="V4243" s="40"/>
      <c r="W4243" s="40"/>
    </row>
    <row r="4244" spans="7:23" ht="13.2">
      <c r="G4244" s="40"/>
      <c r="H4244" s="40"/>
      <c r="K4244" s="40"/>
      <c r="L4244" s="40"/>
      <c r="M4244" s="40"/>
      <c r="N4244" s="40"/>
      <c r="O4244" s="40"/>
      <c r="R4244" s="42"/>
      <c r="V4244" s="40"/>
      <c r="W4244" s="40"/>
    </row>
    <row r="4245" spans="7:23" ht="13.2">
      <c r="G4245" s="40"/>
      <c r="H4245" s="40"/>
      <c r="K4245" s="40"/>
      <c r="L4245" s="40"/>
      <c r="M4245" s="40"/>
      <c r="N4245" s="40"/>
      <c r="O4245" s="40"/>
      <c r="R4245" s="42"/>
      <c r="V4245" s="40"/>
      <c r="W4245" s="40"/>
    </row>
    <row r="4246" spans="7:23" ht="13.2">
      <c r="G4246" s="40"/>
      <c r="H4246" s="40"/>
      <c r="K4246" s="40"/>
      <c r="L4246" s="40"/>
      <c r="M4246" s="40"/>
      <c r="N4246" s="40"/>
      <c r="O4246" s="40"/>
      <c r="R4246" s="42"/>
      <c r="V4246" s="40"/>
      <c r="W4246" s="40"/>
    </row>
    <row r="4247" spans="7:23" ht="13.2">
      <c r="G4247" s="40"/>
      <c r="H4247" s="40"/>
      <c r="K4247" s="40"/>
      <c r="L4247" s="40"/>
      <c r="M4247" s="40"/>
      <c r="N4247" s="40"/>
      <c r="O4247" s="40"/>
      <c r="R4247" s="42"/>
      <c r="V4247" s="40"/>
      <c r="W4247" s="40"/>
    </row>
    <row r="4248" spans="7:23" ht="13.2">
      <c r="G4248" s="40"/>
      <c r="H4248" s="40"/>
      <c r="K4248" s="40"/>
      <c r="L4248" s="40"/>
      <c r="M4248" s="40"/>
      <c r="N4248" s="40"/>
      <c r="O4248" s="40"/>
      <c r="R4248" s="42"/>
      <c r="V4248" s="40"/>
      <c r="W4248" s="40"/>
    </row>
    <row r="4249" spans="7:23" ht="13.2">
      <c r="G4249" s="40"/>
      <c r="H4249" s="40"/>
      <c r="K4249" s="40"/>
      <c r="L4249" s="40"/>
      <c r="M4249" s="40"/>
      <c r="N4249" s="40"/>
      <c r="O4249" s="40"/>
      <c r="R4249" s="42"/>
      <c r="V4249" s="40"/>
      <c r="W4249" s="40"/>
    </row>
    <row r="4250" spans="7:23" ht="13.2">
      <c r="G4250" s="40"/>
      <c r="H4250" s="40"/>
      <c r="K4250" s="40"/>
      <c r="L4250" s="40"/>
      <c r="M4250" s="40"/>
      <c r="N4250" s="40"/>
      <c r="O4250" s="40"/>
      <c r="R4250" s="42"/>
      <c r="V4250" s="40"/>
      <c r="W4250" s="40"/>
    </row>
    <row r="4251" spans="7:23" ht="13.2">
      <c r="G4251" s="40"/>
      <c r="H4251" s="40"/>
      <c r="K4251" s="40"/>
      <c r="L4251" s="40"/>
      <c r="M4251" s="40"/>
      <c r="N4251" s="40"/>
      <c r="O4251" s="40"/>
      <c r="R4251" s="42"/>
      <c r="V4251" s="40"/>
      <c r="W4251" s="40"/>
    </row>
    <row r="4252" spans="7:23" ht="13.2">
      <c r="G4252" s="40"/>
      <c r="H4252" s="40"/>
      <c r="K4252" s="40"/>
      <c r="L4252" s="40"/>
      <c r="M4252" s="40"/>
      <c r="N4252" s="40"/>
      <c r="O4252" s="40"/>
      <c r="R4252" s="42"/>
      <c r="V4252" s="40"/>
      <c r="W4252" s="40"/>
    </row>
    <row r="4253" spans="7:23" ht="13.2">
      <c r="G4253" s="40"/>
      <c r="H4253" s="40"/>
      <c r="K4253" s="40"/>
      <c r="L4253" s="40"/>
      <c r="M4253" s="40"/>
      <c r="N4253" s="40"/>
      <c r="O4253" s="40"/>
      <c r="R4253" s="42"/>
      <c r="V4253" s="40"/>
      <c r="W4253" s="40"/>
    </row>
    <row r="4254" spans="7:23" ht="13.2">
      <c r="G4254" s="40"/>
      <c r="H4254" s="40"/>
      <c r="K4254" s="40"/>
      <c r="L4254" s="40"/>
      <c r="M4254" s="40"/>
      <c r="N4254" s="40"/>
      <c r="O4254" s="40"/>
      <c r="R4254" s="42"/>
      <c r="V4254" s="40"/>
      <c r="W4254" s="40"/>
    </row>
    <row r="4255" spans="7:23" ht="13.2">
      <c r="G4255" s="40"/>
      <c r="H4255" s="40"/>
      <c r="K4255" s="40"/>
      <c r="L4255" s="40"/>
      <c r="M4255" s="40"/>
      <c r="N4255" s="40"/>
      <c r="O4255" s="40"/>
      <c r="R4255" s="42"/>
      <c r="V4255" s="40"/>
      <c r="W4255" s="40"/>
    </row>
    <row r="4256" spans="7:23" ht="13.2">
      <c r="G4256" s="40"/>
      <c r="H4256" s="40"/>
      <c r="K4256" s="40"/>
      <c r="L4256" s="40"/>
      <c r="M4256" s="40"/>
      <c r="N4256" s="40"/>
      <c r="O4256" s="40"/>
      <c r="R4256" s="42"/>
      <c r="V4256" s="40"/>
      <c r="W4256" s="40"/>
    </row>
    <row r="4257" spans="7:23" ht="13.2">
      <c r="G4257" s="40"/>
      <c r="H4257" s="40"/>
      <c r="K4257" s="40"/>
      <c r="L4257" s="40"/>
      <c r="M4257" s="40"/>
      <c r="N4257" s="40"/>
      <c r="O4257" s="40"/>
      <c r="R4257" s="42"/>
      <c r="V4257" s="40"/>
      <c r="W4257" s="40"/>
    </row>
    <row r="4258" spans="7:23" ht="13.2">
      <c r="G4258" s="40"/>
      <c r="H4258" s="40"/>
      <c r="K4258" s="40"/>
      <c r="L4258" s="40"/>
      <c r="M4258" s="40"/>
      <c r="N4258" s="40"/>
      <c r="O4258" s="40"/>
      <c r="R4258" s="42"/>
      <c r="V4258" s="40"/>
      <c r="W4258" s="40"/>
    </row>
    <row r="4259" spans="7:23" ht="13.2">
      <c r="G4259" s="40"/>
      <c r="H4259" s="40"/>
      <c r="K4259" s="40"/>
      <c r="L4259" s="40"/>
      <c r="M4259" s="40"/>
      <c r="N4259" s="40"/>
      <c r="O4259" s="40"/>
      <c r="R4259" s="42"/>
      <c r="V4259" s="40"/>
      <c r="W4259" s="40"/>
    </row>
    <row r="4260" spans="7:23" ht="13.2">
      <c r="G4260" s="40"/>
      <c r="H4260" s="40"/>
      <c r="K4260" s="40"/>
      <c r="L4260" s="40"/>
      <c r="M4260" s="40"/>
      <c r="N4260" s="40"/>
      <c r="O4260" s="40"/>
      <c r="R4260" s="42"/>
      <c r="V4260" s="40"/>
      <c r="W4260" s="40"/>
    </row>
    <row r="4261" spans="7:23" ht="13.2">
      <c r="G4261" s="40"/>
      <c r="H4261" s="40"/>
      <c r="K4261" s="40"/>
      <c r="L4261" s="40"/>
      <c r="M4261" s="40"/>
      <c r="N4261" s="40"/>
      <c r="O4261" s="40"/>
      <c r="R4261" s="42"/>
      <c r="V4261" s="40"/>
      <c r="W4261" s="40"/>
    </row>
    <row r="4262" spans="7:23" ht="13.2">
      <c r="G4262" s="40"/>
      <c r="H4262" s="40"/>
      <c r="K4262" s="40"/>
      <c r="L4262" s="40"/>
      <c r="M4262" s="40"/>
      <c r="N4262" s="40"/>
      <c r="O4262" s="40"/>
      <c r="R4262" s="42"/>
      <c r="V4262" s="40"/>
      <c r="W4262" s="40"/>
    </row>
    <row r="4263" spans="7:23" ht="13.2">
      <c r="G4263" s="40"/>
      <c r="H4263" s="40"/>
      <c r="K4263" s="40"/>
      <c r="L4263" s="40"/>
      <c r="M4263" s="40"/>
      <c r="N4263" s="40"/>
      <c r="O4263" s="40"/>
      <c r="R4263" s="42"/>
      <c r="V4263" s="40"/>
      <c r="W4263" s="40"/>
    </row>
    <row r="4264" spans="7:23" ht="13.2">
      <c r="G4264" s="40"/>
      <c r="H4264" s="40"/>
      <c r="K4264" s="40"/>
      <c r="L4264" s="40"/>
      <c r="M4264" s="40"/>
      <c r="N4264" s="40"/>
      <c r="O4264" s="40"/>
      <c r="R4264" s="42"/>
      <c r="V4264" s="40"/>
      <c r="W4264" s="40"/>
    </row>
    <row r="4265" spans="7:23" ht="13.2">
      <c r="G4265" s="40"/>
      <c r="H4265" s="40"/>
      <c r="K4265" s="40"/>
      <c r="L4265" s="40"/>
      <c r="M4265" s="40"/>
      <c r="N4265" s="40"/>
      <c r="O4265" s="40"/>
      <c r="R4265" s="42"/>
      <c r="V4265" s="40"/>
      <c r="W4265" s="40"/>
    </row>
    <row r="4266" spans="7:23" ht="13.2">
      <c r="G4266" s="40"/>
      <c r="H4266" s="40"/>
      <c r="K4266" s="40"/>
      <c r="L4266" s="40"/>
      <c r="M4266" s="40"/>
      <c r="N4266" s="40"/>
      <c r="O4266" s="40"/>
      <c r="R4266" s="42"/>
      <c r="V4266" s="40"/>
      <c r="W4266" s="40"/>
    </row>
    <row r="4267" spans="7:23" ht="13.2">
      <c r="G4267" s="40"/>
      <c r="H4267" s="40"/>
      <c r="K4267" s="40"/>
      <c r="L4267" s="40"/>
      <c r="M4267" s="40"/>
      <c r="N4267" s="40"/>
      <c r="O4267" s="40"/>
      <c r="R4267" s="42"/>
      <c r="V4267" s="40"/>
      <c r="W4267" s="40"/>
    </row>
    <row r="4268" spans="7:23" ht="13.2">
      <c r="G4268" s="40"/>
      <c r="H4268" s="40"/>
      <c r="K4268" s="40"/>
      <c r="L4268" s="40"/>
      <c r="M4268" s="40"/>
      <c r="N4268" s="40"/>
      <c r="O4268" s="40"/>
      <c r="R4268" s="42"/>
      <c r="V4268" s="40"/>
      <c r="W4268" s="40"/>
    </row>
    <row r="4269" spans="7:23" ht="13.2">
      <c r="G4269" s="40"/>
      <c r="H4269" s="40"/>
      <c r="K4269" s="40"/>
      <c r="L4269" s="40"/>
      <c r="M4269" s="40"/>
      <c r="N4269" s="40"/>
      <c r="O4269" s="40"/>
      <c r="R4269" s="42"/>
      <c r="V4269" s="40"/>
      <c r="W4269" s="40"/>
    </row>
    <row r="4270" spans="7:23" ht="13.2">
      <c r="G4270" s="40"/>
      <c r="H4270" s="40"/>
      <c r="K4270" s="40"/>
      <c r="L4270" s="40"/>
      <c r="M4270" s="40"/>
      <c r="N4270" s="40"/>
      <c r="O4270" s="40"/>
      <c r="R4270" s="42"/>
      <c r="V4270" s="40"/>
      <c r="W4270" s="40"/>
    </row>
    <row r="4271" spans="7:23" ht="13.2">
      <c r="G4271" s="40"/>
      <c r="H4271" s="40"/>
      <c r="K4271" s="40"/>
      <c r="L4271" s="40"/>
      <c r="M4271" s="40"/>
      <c r="N4271" s="40"/>
      <c r="O4271" s="40"/>
      <c r="R4271" s="42"/>
      <c r="V4271" s="40"/>
      <c r="W4271" s="40"/>
    </row>
    <row r="4272" spans="7:23" ht="13.2">
      <c r="G4272" s="40"/>
      <c r="H4272" s="40"/>
      <c r="K4272" s="40"/>
      <c r="L4272" s="40"/>
      <c r="M4272" s="40"/>
      <c r="N4272" s="40"/>
      <c r="O4272" s="40"/>
      <c r="R4272" s="42"/>
      <c r="V4272" s="40"/>
      <c r="W4272" s="40"/>
    </row>
    <row r="4273" spans="7:23" ht="13.2">
      <c r="G4273" s="40"/>
      <c r="H4273" s="40"/>
      <c r="K4273" s="40"/>
      <c r="L4273" s="40"/>
      <c r="M4273" s="40"/>
      <c r="N4273" s="40"/>
      <c r="O4273" s="40"/>
      <c r="R4273" s="42"/>
      <c r="V4273" s="40"/>
      <c r="W4273" s="40"/>
    </row>
    <row r="4274" spans="7:23" ht="13.2">
      <c r="G4274" s="40"/>
      <c r="H4274" s="40"/>
      <c r="K4274" s="40"/>
      <c r="L4274" s="40"/>
      <c r="M4274" s="40"/>
      <c r="N4274" s="40"/>
      <c r="O4274" s="40"/>
      <c r="R4274" s="42"/>
      <c r="V4274" s="40"/>
      <c r="W4274" s="40"/>
    </row>
    <row r="4275" spans="7:23" ht="13.2">
      <c r="G4275" s="40"/>
      <c r="H4275" s="40"/>
      <c r="K4275" s="40"/>
      <c r="L4275" s="40"/>
      <c r="M4275" s="40"/>
      <c r="N4275" s="40"/>
      <c r="O4275" s="40"/>
      <c r="R4275" s="42"/>
      <c r="V4275" s="40"/>
      <c r="W4275" s="40"/>
    </row>
    <row r="4276" spans="7:23" ht="13.2">
      <c r="G4276" s="40"/>
      <c r="H4276" s="40"/>
      <c r="K4276" s="40"/>
      <c r="L4276" s="40"/>
      <c r="M4276" s="40"/>
      <c r="N4276" s="40"/>
      <c r="O4276" s="40"/>
      <c r="R4276" s="42"/>
      <c r="V4276" s="40"/>
      <c r="W4276" s="40"/>
    </row>
    <row r="4277" spans="7:23" ht="13.2">
      <c r="G4277" s="40"/>
      <c r="H4277" s="40"/>
      <c r="K4277" s="40"/>
      <c r="L4277" s="40"/>
      <c r="M4277" s="40"/>
      <c r="N4277" s="40"/>
      <c r="O4277" s="40"/>
      <c r="R4277" s="42"/>
      <c r="V4277" s="40"/>
      <c r="W4277" s="40"/>
    </row>
    <row r="4278" spans="7:23" ht="13.2">
      <c r="G4278" s="40"/>
      <c r="H4278" s="40"/>
      <c r="K4278" s="40"/>
      <c r="L4278" s="40"/>
      <c r="M4278" s="40"/>
      <c r="N4278" s="40"/>
      <c r="O4278" s="40"/>
      <c r="R4278" s="42"/>
      <c r="V4278" s="40"/>
      <c r="W4278" s="40"/>
    </row>
    <row r="4279" spans="7:23" ht="13.2">
      <c r="G4279" s="40"/>
      <c r="H4279" s="40"/>
      <c r="K4279" s="40"/>
      <c r="L4279" s="40"/>
      <c r="M4279" s="40"/>
      <c r="N4279" s="40"/>
      <c r="O4279" s="40"/>
      <c r="R4279" s="42"/>
      <c r="V4279" s="40"/>
      <c r="W4279" s="40"/>
    </row>
    <row r="4280" spans="7:23" ht="13.2">
      <c r="G4280" s="40"/>
      <c r="H4280" s="40"/>
      <c r="K4280" s="40"/>
      <c r="L4280" s="40"/>
      <c r="M4280" s="40"/>
      <c r="N4280" s="40"/>
      <c r="O4280" s="40"/>
      <c r="R4280" s="42"/>
      <c r="V4280" s="40"/>
      <c r="W4280" s="40"/>
    </row>
    <row r="4281" spans="7:23" ht="13.2">
      <c r="G4281" s="40"/>
      <c r="H4281" s="40"/>
      <c r="K4281" s="40"/>
      <c r="L4281" s="40"/>
      <c r="M4281" s="40"/>
      <c r="N4281" s="40"/>
      <c r="O4281" s="40"/>
      <c r="R4281" s="42"/>
      <c r="V4281" s="40"/>
      <c r="W4281" s="40"/>
    </row>
    <row r="4282" spans="7:23" ht="13.2">
      <c r="G4282" s="40"/>
      <c r="H4282" s="40"/>
      <c r="K4282" s="40"/>
      <c r="L4282" s="40"/>
      <c r="M4282" s="40"/>
      <c r="N4282" s="40"/>
      <c r="O4282" s="40"/>
      <c r="R4282" s="42"/>
      <c r="V4282" s="40"/>
      <c r="W4282" s="40"/>
    </row>
    <row r="4283" spans="7:23" ht="13.2">
      <c r="G4283" s="40"/>
      <c r="H4283" s="40"/>
      <c r="K4283" s="40"/>
      <c r="L4283" s="40"/>
      <c r="M4283" s="40"/>
      <c r="N4283" s="40"/>
      <c r="O4283" s="40"/>
      <c r="R4283" s="42"/>
      <c r="V4283" s="40"/>
      <c r="W4283" s="40"/>
    </row>
    <row r="4284" spans="7:23" ht="13.2">
      <c r="G4284" s="40"/>
      <c r="H4284" s="40"/>
      <c r="K4284" s="40"/>
      <c r="L4284" s="40"/>
      <c r="M4284" s="40"/>
      <c r="N4284" s="40"/>
      <c r="O4284" s="40"/>
      <c r="R4284" s="42"/>
      <c r="V4284" s="40"/>
      <c r="W4284" s="40"/>
    </row>
    <row r="4285" spans="7:23" ht="13.2">
      <c r="G4285" s="40"/>
      <c r="H4285" s="40"/>
      <c r="K4285" s="40"/>
      <c r="L4285" s="40"/>
      <c r="M4285" s="40"/>
      <c r="N4285" s="40"/>
      <c r="O4285" s="40"/>
      <c r="R4285" s="42"/>
      <c r="V4285" s="40"/>
      <c r="W4285" s="40"/>
    </row>
    <row r="4286" spans="7:23" ht="13.2">
      <c r="G4286" s="40"/>
      <c r="H4286" s="40"/>
      <c r="K4286" s="40"/>
      <c r="L4286" s="40"/>
      <c r="M4286" s="40"/>
      <c r="N4286" s="40"/>
      <c r="O4286" s="40"/>
      <c r="R4286" s="42"/>
      <c r="V4286" s="40"/>
      <c r="W4286" s="40"/>
    </row>
    <row r="4287" spans="7:23" ht="13.2">
      <c r="G4287" s="40"/>
      <c r="H4287" s="40"/>
      <c r="K4287" s="40"/>
      <c r="L4287" s="40"/>
      <c r="M4287" s="40"/>
      <c r="N4287" s="40"/>
      <c r="O4287" s="40"/>
      <c r="R4287" s="42"/>
      <c r="V4287" s="40"/>
      <c r="W4287" s="40"/>
    </row>
    <row r="4288" spans="7:23" ht="13.2">
      <c r="G4288" s="40"/>
      <c r="H4288" s="40"/>
      <c r="K4288" s="40"/>
      <c r="L4288" s="40"/>
      <c r="M4288" s="40"/>
      <c r="N4288" s="40"/>
      <c r="O4288" s="40"/>
      <c r="R4288" s="42"/>
      <c r="V4288" s="40"/>
      <c r="W4288" s="40"/>
    </row>
    <row r="4289" spans="7:23" ht="13.2">
      <c r="G4289" s="40"/>
      <c r="H4289" s="40"/>
      <c r="K4289" s="40"/>
      <c r="L4289" s="40"/>
      <c r="M4289" s="40"/>
      <c r="N4289" s="40"/>
      <c r="O4289" s="40"/>
      <c r="R4289" s="42"/>
      <c r="V4289" s="40"/>
      <c r="W4289" s="40"/>
    </row>
    <row r="4290" spans="7:23" ht="13.2">
      <c r="G4290" s="40"/>
      <c r="H4290" s="40"/>
      <c r="K4290" s="40"/>
      <c r="L4290" s="40"/>
      <c r="M4290" s="40"/>
      <c r="N4290" s="40"/>
      <c r="O4290" s="40"/>
      <c r="R4290" s="42"/>
      <c r="V4290" s="40"/>
      <c r="W4290" s="40"/>
    </row>
    <row r="4291" spans="7:23" ht="13.2">
      <c r="G4291" s="40"/>
      <c r="H4291" s="40"/>
      <c r="K4291" s="40"/>
      <c r="L4291" s="40"/>
      <c r="M4291" s="40"/>
      <c r="N4291" s="40"/>
      <c r="O4291" s="40"/>
      <c r="R4291" s="42"/>
      <c r="V4291" s="40"/>
      <c r="W4291" s="40"/>
    </row>
    <row r="4292" spans="7:23" ht="13.2">
      <c r="G4292" s="40"/>
      <c r="H4292" s="40"/>
      <c r="K4292" s="40"/>
      <c r="L4292" s="40"/>
      <c r="M4292" s="40"/>
      <c r="N4292" s="40"/>
      <c r="O4292" s="40"/>
      <c r="R4292" s="42"/>
      <c r="V4292" s="40"/>
      <c r="W4292" s="40"/>
    </row>
    <row r="4293" spans="7:23" ht="13.2">
      <c r="G4293" s="40"/>
      <c r="H4293" s="40"/>
      <c r="K4293" s="40"/>
      <c r="L4293" s="40"/>
      <c r="M4293" s="40"/>
      <c r="N4293" s="40"/>
      <c r="O4293" s="40"/>
      <c r="R4293" s="42"/>
      <c r="V4293" s="40"/>
      <c r="W4293" s="40"/>
    </row>
    <row r="4294" spans="7:23" ht="13.2">
      <c r="G4294" s="40"/>
      <c r="H4294" s="40"/>
      <c r="K4294" s="40"/>
      <c r="L4294" s="40"/>
      <c r="M4294" s="40"/>
      <c r="N4294" s="40"/>
      <c r="O4294" s="40"/>
      <c r="R4294" s="42"/>
      <c r="V4294" s="40"/>
      <c r="W4294" s="40"/>
    </row>
    <row r="4295" spans="7:23" ht="13.2">
      <c r="G4295" s="40"/>
      <c r="H4295" s="40"/>
      <c r="K4295" s="40"/>
      <c r="L4295" s="40"/>
      <c r="M4295" s="40"/>
      <c r="N4295" s="40"/>
      <c r="O4295" s="40"/>
      <c r="R4295" s="42"/>
      <c r="V4295" s="40"/>
      <c r="W4295" s="40"/>
    </row>
    <row r="4296" spans="7:23" ht="13.2">
      <c r="G4296" s="40"/>
      <c r="H4296" s="40"/>
      <c r="K4296" s="40"/>
      <c r="L4296" s="40"/>
      <c r="M4296" s="40"/>
      <c r="N4296" s="40"/>
      <c r="O4296" s="40"/>
      <c r="R4296" s="42"/>
      <c r="V4296" s="40"/>
      <c r="W4296" s="40"/>
    </row>
    <row r="4297" spans="7:23" ht="13.2">
      <c r="G4297" s="40"/>
      <c r="H4297" s="40"/>
      <c r="K4297" s="40"/>
      <c r="L4297" s="40"/>
      <c r="M4297" s="40"/>
      <c r="N4297" s="40"/>
      <c r="O4297" s="40"/>
      <c r="R4297" s="42"/>
      <c r="V4297" s="40"/>
      <c r="W4297" s="40"/>
    </row>
    <row r="4298" spans="7:23" ht="13.2">
      <c r="G4298" s="40"/>
      <c r="H4298" s="40"/>
      <c r="K4298" s="40"/>
      <c r="L4298" s="40"/>
      <c r="M4298" s="40"/>
      <c r="N4298" s="40"/>
      <c r="O4298" s="40"/>
      <c r="R4298" s="42"/>
      <c r="V4298" s="40"/>
      <c r="W4298" s="40"/>
    </row>
    <row r="4299" spans="7:23" ht="13.2">
      <c r="G4299" s="40"/>
      <c r="H4299" s="40"/>
      <c r="K4299" s="40"/>
      <c r="L4299" s="40"/>
      <c r="M4299" s="40"/>
      <c r="N4299" s="40"/>
      <c r="O4299" s="40"/>
      <c r="R4299" s="42"/>
      <c r="V4299" s="40"/>
      <c r="W4299" s="40"/>
    </row>
    <row r="4300" spans="7:23" ht="13.2">
      <c r="G4300" s="40"/>
      <c r="H4300" s="40"/>
      <c r="K4300" s="40"/>
      <c r="L4300" s="40"/>
      <c r="M4300" s="40"/>
      <c r="N4300" s="40"/>
      <c r="O4300" s="40"/>
      <c r="R4300" s="42"/>
      <c r="V4300" s="40"/>
      <c r="W4300" s="40"/>
    </row>
    <row r="4301" spans="7:23" ht="13.2">
      <c r="G4301" s="40"/>
      <c r="H4301" s="40"/>
      <c r="K4301" s="40"/>
      <c r="L4301" s="40"/>
      <c r="M4301" s="40"/>
      <c r="N4301" s="40"/>
      <c r="O4301" s="40"/>
      <c r="R4301" s="42"/>
      <c r="V4301" s="40"/>
      <c r="W4301" s="40"/>
    </row>
    <row r="4302" spans="7:23" ht="13.2">
      <c r="G4302" s="40"/>
      <c r="H4302" s="40"/>
      <c r="K4302" s="40"/>
      <c r="L4302" s="40"/>
      <c r="M4302" s="40"/>
      <c r="N4302" s="40"/>
      <c r="O4302" s="40"/>
      <c r="R4302" s="42"/>
      <c r="V4302" s="40"/>
      <c r="W4302" s="40"/>
    </row>
    <row r="4303" spans="7:23" ht="13.2">
      <c r="G4303" s="40"/>
      <c r="H4303" s="40"/>
      <c r="K4303" s="40"/>
      <c r="L4303" s="40"/>
      <c r="M4303" s="40"/>
      <c r="N4303" s="40"/>
      <c r="O4303" s="40"/>
      <c r="R4303" s="42"/>
      <c r="V4303" s="40"/>
      <c r="W4303" s="40"/>
    </row>
    <row r="4304" spans="7:23" ht="13.2">
      <c r="G4304" s="40"/>
      <c r="H4304" s="40"/>
      <c r="K4304" s="40"/>
      <c r="L4304" s="40"/>
      <c r="M4304" s="40"/>
      <c r="N4304" s="40"/>
      <c r="O4304" s="40"/>
      <c r="R4304" s="42"/>
      <c r="V4304" s="40"/>
      <c r="W4304" s="40"/>
    </row>
    <row r="4305" spans="7:23" ht="13.2">
      <c r="G4305" s="40"/>
      <c r="H4305" s="40"/>
      <c r="K4305" s="40"/>
      <c r="L4305" s="40"/>
      <c r="M4305" s="40"/>
      <c r="N4305" s="40"/>
      <c r="O4305" s="40"/>
      <c r="R4305" s="42"/>
      <c r="V4305" s="40"/>
      <c r="W4305" s="40"/>
    </row>
    <row r="4306" spans="7:23" ht="13.2">
      <c r="G4306" s="40"/>
      <c r="H4306" s="40"/>
      <c r="K4306" s="40"/>
      <c r="L4306" s="40"/>
      <c r="M4306" s="40"/>
      <c r="N4306" s="40"/>
      <c r="O4306" s="40"/>
      <c r="R4306" s="42"/>
      <c r="V4306" s="40"/>
      <c r="W4306" s="40"/>
    </row>
    <row r="4307" spans="7:23" ht="13.2">
      <c r="G4307" s="40"/>
      <c r="H4307" s="40"/>
      <c r="K4307" s="40"/>
      <c r="L4307" s="40"/>
      <c r="M4307" s="40"/>
      <c r="N4307" s="40"/>
      <c r="O4307" s="40"/>
      <c r="R4307" s="42"/>
      <c r="V4307" s="40"/>
      <c r="W4307" s="40"/>
    </row>
    <row r="4308" spans="7:23" ht="13.2">
      <c r="G4308" s="40"/>
      <c r="H4308" s="40"/>
      <c r="K4308" s="40"/>
      <c r="L4308" s="40"/>
      <c r="M4308" s="40"/>
      <c r="N4308" s="40"/>
      <c r="O4308" s="40"/>
      <c r="R4308" s="42"/>
      <c r="V4308" s="40"/>
      <c r="W4308" s="40"/>
    </row>
    <row r="4309" spans="7:23" ht="13.2">
      <c r="G4309" s="40"/>
      <c r="H4309" s="40"/>
      <c r="K4309" s="40"/>
      <c r="L4309" s="40"/>
      <c r="M4309" s="40"/>
      <c r="N4309" s="40"/>
      <c r="O4309" s="40"/>
      <c r="R4309" s="42"/>
      <c r="V4309" s="40"/>
      <c r="W4309" s="40"/>
    </row>
    <row r="4310" spans="7:23" ht="13.2">
      <c r="G4310" s="40"/>
      <c r="H4310" s="40"/>
      <c r="K4310" s="40"/>
      <c r="L4310" s="40"/>
      <c r="M4310" s="40"/>
      <c r="N4310" s="40"/>
      <c r="O4310" s="40"/>
      <c r="R4310" s="42"/>
      <c r="V4310" s="40"/>
      <c r="W4310" s="40"/>
    </row>
    <row r="4311" spans="7:23" ht="13.2">
      <c r="G4311" s="40"/>
      <c r="H4311" s="40"/>
      <c r="K4311" s="40"/>
      <c r="L4311" s="40"/>
      <c r="M4311" s="40"/>
      <c r="N4311" s="40"/>
      <c r="O4311" s="40"/>
      <c r="R4311" s="42"/>
      <c r="V4311" s="40"/>
      <c r="W4311" s="40"/>
    </row>
    <row r="4312" spans="7:23" ht="13.2">
      <c r="G4312" s="40"/>
      <c r="H4312" s="40"/>
      <c r="K4312" s="40"/>
      <c r="L4312" s="40"/>
      <c r="M4312" s="40"/>
      <c r="N4312" s="40"/>
      <c r="O4312" s="40"/>
      <c r="R4312" s="42"/>
      <c r="V4312" s="40"/>
      <c r="W4312" s="40"/>
    </row>
    <row r="4313" spans="7:23" ht="13.2">
      <c r="G4313" s="40"/>
      <c r="H4313" s="40"/>
      <c r="K4313" s="40"/>
      <c r="L4313" s="40"/>
      <c r="M4313" s="40"/>
      <c r="N4313" s="40"/>
      <c r="O4313" s="40"/>
      <c r="R4313" s="42"/>
      <c r="V4313" s="40"/>
      <c r="W4313" s="40"/>
    </row>
    <row r="4314" spans="7:23" ht="13.2">
      <c r="G4314" s="40"/>
      <c r="H4314" s="40"/>
      <c r="K4314" s="40"/>
      <c r="L4314" s="40"/>
      <c r="M4314" s="40"/>
      <c r="N4314" s="40"/>
      <c r="O4314" s="40"/>
      <c r="R4314" s="42"/>
      <c r="V4314" s="40"/>
      <c r="W4314" s="40"/>
    </row>
    <row r="4315" spans="7:23" ht="13.2">
      <c r="G4315" s="40"/>
      <c r="H4315" s="40"/>
      <c r="K4315" s="40"/>
      <c r="L4315" s="40"/>
      <c r="M4315" s="40"/>
      <c r="N4315" s="40"/>
      <c r="O4315" s="40"/>
      <c r="R4315" s="42"/>
      <c r="V4315" s="40"/>
      <c r="W4315" s="40"/>
    </row>
    <row r="4316" spans="7:23" ht="13.2">
      <c r="G4316" s="40"/>
      <c r="H4316" s="40"/>
      <c r="K4316" s="40"/>
      <c r="L4316" s="40"/>
      <c r="M4316" s="40"/>
      <c r="N4316" s="40"/>
      <c r="O4316" s="40"/>
      <c r="R4316" s="42"/>
      <c r="V4316" s="40"/>
      <c r="W4316" s="40"/>
    </row>
    <row r="4317" spans="7:23" ht="13.2">
      <c r="G4317" s="40"/>
      <c r="H4317" s="40"/>
      <c r="K4317" s="40"/>
      <c r="L4317" s="40"/>
      <c r="M4317" s="40"/>
      <c r="N4317" s="40"/>
      <c r="O4317" s="40"/>
      <c r="R4317" s="42"/>
      <c r="V4317" s="40"/>
      <c r="W4317" s="40"/>
    </row>
    <row r="4318" spans="7:23" ht="13.2">
      <c r="G4318" s="40"/>
      <c r="H4318" s="40"/>
      <c r="K4318" s="40"/>
      <c r="L4318" s="40"/>
      <c r="M4318" s="40"/>
      <c r="N4318" s="40"/>
      <c r="O4318" s="40"/>
      <c r="R4318" s="42"/>
      <c r="V4318" s="40"/>
      <c r="W4318" s="40"/>
    </row>
    <row r="4319" spans="7:23" ht="13.2">
      <c r="G4319" s="40"/>
      <c r="H4319" s="40"/>
      <c r="K4319" s="40"/>
      <c r="L4319" s="40"/>
      <c r="M4319" s="40"/>
      <c r="N4319" s="40"/>
      <c r="O4319" s="40"/>
      <c r="R4319" s="42"/>
      <c r="V4319" s="40"/>
      <c r="W4319" s="40"/>
    </row>
    <row r="4320" spans="7:23" ht="13.2">
      <c r="G4320" s="40"/>
      <c r="H4320" s="40"/>
      <c r="K4320" s="40"/>
      <c r="L4320" s="40"/>
      <c r="M4320" s="40"/>
      <c r="N4320" s="40"/>
      <c r="O4320" s="40"/>
      <c r="R4320" s="42"/>
      <c r="V4320" s="40"/>
      <c r="W4320" s="40"/>
    </row>
    <row r="4321" spans="7:23" ht="13.2">
      <c r="G4321" s="40"/>
      <c r="H4321" s="40"/>
      <c r="K4321" s="40"/>
      <c r="L4321" s="40"/>
      <c r="M4321" s="40"/>
      <c r="N4321" s="40"/>
      <c r="O4321" s="40"/>
      <c r="R4321" s="42"/>
      <c r="V4321" s="40"/>
      <c r="W4321" s="40"/>
    </row>
    <row r="4322" spans="7:23" ht="13.2">
      <c r="G4322" s="40"/>
      <c r="H4322" s="40"/>
      <c r="K4322" s="40"/>
      <c r="L4322" s="40"/>
      <c r="M4322" s="40"/>
      <c r="N4322" s="40"/>
      <c r="O4322" s="40"/>
      <c r="R4322" s="42"/>
      <c r="V4322" s="40"/>
      <c r="W4322" s="40"/>
    </row>
    <row r="4323" spans="7:23" ht="13.2">
      <c r="G4323" s="40"/>
      <c r="H4323" s="40"/>
      <c r="K4323" s="40"/>
      <c r="L4323" s="40"/>
      <c r="M4323" s="40"/>
      <c r="N4323" s="40"/>
      <c r="O4323" s="40"/>
      <c r="R4323" s="42"/>
      <c r="V4323" s="40"/>
      <c r="W4323" s="40"/>
    </row>
    <row r="4324" spans="7:23" ht="13.2">
      <c r="G4324" s="40"/>
      <c r="H4324" s="40"/>
      <c r="K4324" s="40"/>
      <c r="L4324" s="40"/>
      <c r="M4324" s="40"/>
      <c r="N4324" s="40"/>
      <c r="O4324" s="40"/>
      <c r="R4324" s="42"/>
      <c r="V4324" s="40"/>
      <c r="W4324" s="40"/>
    </row>
    <row r="4325" spans="7:23" ht="13.2">
      <c r="G4325" s="40"/>
      <c r="H4325" s="40"/>
      <c r="K4325" s="40"/>
      <c r="L4325" s="40"/>
      <c r="M4325" s="40"/>
      <c r="N4325" s="40"/>
      <c r="O4325" s="40"/>
      <c r="R4325" s="42"/>
      <c r="V4325" s="40"/>
      <c r="W4325" s="40"/>
    </row>
    <row r="4326" spans="7:23" ht="13.2">
      <c r="G4326" s="40"/>
      <c r="H4326" s="40"/>
      <c r="K4326" s="40"/>
      <c r="L4326" s="40"/>
      <c r="M4326" s="40"/>
      <c r="N4326" s="40"/>
      <c r="O4326" s="40"/>
      <c r="R4326" s="42"/>
      <c r="V4326" s="40"/>
      <c r="W4326" s="40"/>
    </row>
    <row r="4327" spans="7:23" ht="13.2">
      <c r="G4327" s="40"/>
      <c r="H4327" s="40"/>
      <c r="K4327" s="40"/>
      <c r="L4327" s="40"/>
      <c r="M4327" s="40"/>
      <c r="N4327" s="40"/>
      <c r="O4327" s="40"/>
      <c r="R4327" s="42"/>
      <c r="V4327" s="40"/>
      <c r="W4327" s="40"/>
    </row>
    <row r="4328" spans="7:23" ht="13.2">
      <c r="G4328" s="40"/>
      <c r="H4328" s="40"/>
      <c r="K4328" s="40"/>
      <c r="L4328" s="40"/>
      <c r="M4328" s="40"/>
      <c r="N4328" s="40"/>
      <c r="O4328" s="40"/>
      <c r="R4328" s="42"/>
      <c r="V4328" s="40"/>
      <c r="W4328" s="40"/>
    </row>
    <row r="4329" spans="7:23" ht="13.2">
      <c r="G4329" s="40"/>
      <c r="H4329" s="40"/>
      <c r="K4329" s="40"/>
      <c r="L4329" s="40"/>
      <c r="M4329" s="40"/>
      <c r="N4329" s="40"/>
      <c r="O4329" s="40"/>
      <c r="R4329" s="42"/>
      <c r="V4329" s="40"/>
      <c r="W4329" s="40"/>
    </row>
    <row r="4330" spans="7:23" ht="13.2">
      <c r="G4330" s="40"/>
      <c r="H4330" s="40"/>
      <c r="K4330" s="40"/>
      <c r="L4330" s="40"/>
      <c r="M4330" s="40"/>
      <c r="N4330" s="40"/>
      <c r="O4330" s="40"/>
      <c r="R4330" s="42"/>
      <c r="V4330" s="40"/>
      <c r="W4330" s="40"/>
    </row>
    <row r="4331" spans="7:23" ht="13.2">
      <c r="G4331" s="40"/>
      <c r="H4331" s="40"/>
      <c r="K4331" s="40"/>
      <c r="L4331" s="40"/>
      <c r="M4331" s="40"/>
      <c r="N4331" s="40"/>
      <c r="O4331" s="40"/>
      <c r="R4331" s="42"/>
      <c r="V4331" s="40"/>
      <c r="W4331" s="40"/>
    </row>
    <row r="4332" spans="7:23" ht="13.2">
      <c r="G4332" s="40"/>
      <c r="H4332" s="40"/>
      <c r="K4332" s="40"/>
      <c r="L4332" s="40"/>
      <c r="M4332" s="40"/>
      <c r="N4332" s="40"/>
      <c r="O4332" s="40"/>
      <c r="R4332" s="42"/>
      <c r="V4332" s="40"/>
      <c r="W4332" s="40"/>
    </row>
    <row r="4333" spans="7:23" ht="13.2">
      <c r="G4333" s="40"/>
      <c r="H4333" s="40"/>
      <c r="K4333" s="40"/>
      <c r="L4333" s="40"/>
      <c r="M4333" s="40"/>
      <c r="N4333" s="40"/>
      <c r="O4333" s="40"/>
      <c r="R4333" s="42"/>
      <c r="V4333" s="40"/>
      <c r="W4333" s="40"/>
    </row>
    <row r="4334" spans="7:23" ht="13.2">
      <c r="G4334" s="40"/>
      <c r="H4334" s="40"/>
      <c r="K4334" s="40"/>
      <c r="L4334" s="40"/>
      <c r="M4334" s="40"/>
      <c r="N4334" s="40"/>
      <c r="O4334" s="40"/>
      <c r="R4334" s="42"/>
      <c r="V4334" s="40"/>
      <c r="W4334" s="40"/>
    </row>
    <row r="4335" spans="7:23" ht="13.2">
      <c r="G4335" s="40"/>
      <c r="H4335" s="40"/>
      <c r="K4335" s="40"/>
      <c r="L4335" s="40"/>
      <c r="M4335" s="40"/>
      <c r="N4335" s="40"/>
      <c r="O4335" s="40"/>
      <c r="R4335" s="42"/>
      <c r="V4335" s="40"/>
      <c r="W4335" s="40"/>
    </row>
    <row r="4336" spans="7:23" ht="13.2">
      <c r="G4336" s="40"/>
      <c r="H4336" s="40"/>
      <c r="K4336" s="40"/>
      <c r="L4336" s="40"/>
      <c r="M4336" s="40"/>
      <c r="N4336" s="40"/>
      <c r="O4336" s="40"/>
      <c r="R4336" s="42"/>
      <c r="V4336" s="40"/>
      <c r="W4336" s="40"/>
    </row>
    <row r="4337" spans="7:23" ht="13.2">
      <c r="G4337" s="40"/>
      <c r="H4337" s="40"/>
      <c r="K4337" s="40"/>
      <c r="L4337" s="40"/>
      <c r="M4337" s="40"/>
      <c r="N4337" s="40"/>
      <c r="O4337" s="40"/>
      <c r="R4337" s="42"/>
      <c r="V4337" s="40"/>
      <c r="W4337" s="40"/>
    </row>
    <row r="4338" spans="7:23" ht="13.2">
      <c r="G4338" s="40"/>
      <c r="H4338" s="40"/>
      <c r="K4338" s="40"/>
      <c r="L4338" s="40"/>
      <c r="M4338" s="40"/>
      <c r="N4338" s="40"/>
      <c r="O4338" s="40"/>
      <c r="R4338" s="42"/>
      <c r="V4338" s="40"/>
      <c r="W4338" s="40"/>
    </row>
    <row r="4339" spans="7:23" ht="13.2">
      <c r="G4339" s="40"/>
      <c r="H4339" s="40"/>
      <c r="K4339" s="40"/>
      <c r="L4339" s="40"/>
      <c r="M4339" s="40"/>
      <c r="N4339" s="40"/>
      <c r="O4339" s="40"/>
      <c r="R4339" s="42"/>
      <c r="V4339" s="40"/>
      <c r="W4339" s="40"/>
    </row>
    <row r="4340" spans="7:23" ht="13.2">
      <c r="G4340" s="40"/>
      <c r="H4340" s="40"/>
      <c r="K4340" s="40"/>
      <c r="L4340" s="40"/>
      <c r="M4340" s="40"/>
      <c r="N4340" s="40"/>
      <c r="O4340" s="40"/>
      <c r="R4340" s="42"/>
      <c r="V4340" s="40"/>
      <c r="W4340" s="40"/>
    </row>
    <row r="4341" spans="7:23" ht="13.2">
      <c r="G4341" s="40"/>
      <c r="H4341" s="40"/>
      <c r="K4341" s="40"/>
      <c r="L4341" s="40"/>
      <c r="M4341" s="40"/>
      <c r="N4341" s="40"/>
      <c r="O4341" s="40"/>
      <c r="R4341" s="42"/>
      <c r="V4341" s="40"/>
      <c r="W4341" s="40"/>
    </row>
    <row r="4342" spans="7:23" ht="13.2">
      <c r="G4342" s="40"/>
      <c r="H4342" s="40"/>
      <c r="K4342" s="40"/>
      <c r="L4342" s="40"/>
      <c r="M4342" s="40"/>
      <c r="N4342" s="40"/>
      <c r="O4342" s="40"/>
      <c r="R4342" s="42"/>
      <c r="V4342" s="40"/>
      <c r="W4342" s="40"/>
    </row>
    <row r="4343" spans="7:23" ht="13.2">
      <c r="G4343" s="40"/>
      <c r="H4343" s="40"/>
      <c r="K4343" s="40"/>
      <c r="L4343" s="40"/>
      <c r="M4343" s="40"/>
      <c r="N4343" s="40"/>
      <c r="O4343" s="40"/>
      <c r="R4343" s="42"/>
      <c r="V4343" s="40"/>
      <c r="W4343" s="40"/>
    </row>
    <row r="4344" spans="7:23" ht="13.2">
      <c r="G4344" s="40"/>
      <c r="H4344" s="40"/>
      <c r="K4344" s="40"/>
      <c r="L4344" s="40"/>
      <c r="M4344" s="40"/>
      <c r="N4344" s="40"/>
      <c r="O4344" s="40"/>
      <c r="R4344" s="42"/>
      <c r="V4344" s="40"/>
      <c r="W4344" s="40"/>
    </row>
  </sheetData>
  <customSheetViews>
    <customSheetView guid="{D3B1F023-19BB-464F-8A3D-FE308F3C83C4}" filter="1" showAutoFilter="1">
      <pageMargins left="0.7" right="0.7" top="0.75" bottom="0.75" header="0.3" footer="0.3"/>
      <autoFilter ref="A1:AC9529">
        <filterColumn colId="3">
          <filters>
            <filter val="Abuelita Lorenzo"/>
            <filter val="Adrian Jardin del Eden"/>
            <filter val="Adriana  Ascencio"/>
            <filter val="Ahorro y Calidad"/>
            <filter val="Alejandra - Jardín del edén 3410"/>
            <filter val="Alejandra  Rosales"/>
            <filter val="Alejandra Araya Herrera"/>
            <filter val="Alejandra Gacitua"/>
            <filter val="Alejandra Labraña"/>
            <filter val="Alejandra Paz Muñoz"/>
            <filter val="Alejandra Pino - Almuerzos"/>
            <filter val="Alejandra Rios"/>
            <filter val="Alexandra Gallardo"/>
            <filter val="Alexis Deliz"/>
            <filter val="Alonso"/>
            <filter val="Alvaro Herrera"/>
            <filter val="Alvaro Saez"/>
            <filter val="Amalia Herrera"/>
            <filter val="Amanda Godoy"/>
            <filter val="Amanda Pacheco"/>
            <filter val="Andrea"/>
            <filter val="Andrea - Azahares 8470"/>
            <filter val="Andrea - El Arrayan 8453"/>
            <filter val="Andrea - Volcan Hornopiren 5853"/>
            <filter val="Andrea Alvarez"/>
            <filter val="Andrea Arelis Troncoso"/>
            <filter val="Andrea Bravo"/>
            <filter val="Andrea Marin"/>
            <filter val="Andrea Rubio"/>
            <filter val="Andrea Salas"/>
            <filter val="Andres Gonzalez"/>
            <filter val="Andres Ramis"/>
            <filter val="Angela - Colegio Concepcion"/>
            <filter val="Angela Navarrete"/>
            <filter val="Angela Neira Fritz"/>
            <filter val="Anita - Tuliperos 3402"/>
            <filter val="Anita Maria Rifo"/>
            <filter val="Anita Sandoval"/>
            <filter val="Anita Vecina JC"/>
            <filter val="Antonio - oxford 9438"/>
            <filter val="Any - Los Robles 8572"/>
            <filter val="Arcoprime"/>
            <filter val="B Nicolas Diaz I."/>
            <filter val="Barbara Bahamondes"/>
            <filter val="Beatriz Bredes"/>
            <filter val="Blanca Zenteno"/>
            <filter val="Caballero Bicicletas"/>
            <filter val="Camila Muñoz - Guardia"/>
            <filter val="Cammy Sinai 9774"/>
            <filter val="Carla Espinoza"/>
            <filter val="Carla Gonzalez"/>
            <filter val="Carla Liebsch"/>
            <filter val="Carlos Alberto Valenzuela Soto"/>
            <filter val="Carmen Diaz Torrea"/>
            <filter val="Carmen Martinez"/>
            <filter val="Carmen Vaccaro"/>
            <filter val="Carolina  Jardin de la viña"/>
            <filter val="Carolina Aros"/>
            <filter val="Carolina Gonzalez Morris"/>
            <filter val="Carolina Jauregui"/>
            <filter val="Carolina Moya"/>
            <filter val="Carolina Olivares"/>
            <filter val="Carolina Rojas"/>
            <filter val="Carolina Verdugo"/>
            <filter val="Catalina Abarca"/>
            <filter val="Catalina Cataldo"/>
            <filter val="Catalina Sanchez"/>
            <filter val="Catherine Enrique Olivares"/>
            <filter val="Cecilia Bustos"/>
            <filter val="Cecilia de los Angeles Cerna"/>
            <filter val="Cecilia Gomez"/>
            <filter val="Cecilia Marifil"/>
            <filter val="Cecilia Valderrama"/>
            <filter val="Centro Terapia WILUF SPA"/>
            <filter val="Cesar Donoso"/>
            <filter val="Cesar Eduardo Gutierrez"/>
            <filter val="Claudia - Los ñirres 2112"/>
            <filter val="Claudia  Sepulveda - Jardin Alto"/>
            <filter val="Claudia - Sofia"/>
            <filter val="Claudia - Tomas de Aquino 7995"/>
            <filter val="Claudia Contreras"/>
            <filter val="Claudia Escalona"/>
            <filter val="Claudia Flores"/>
            <filter val="Claudia Herrera"/>
            <filter val="Claudia Leyton"/>
            <filter val="Claudia Rojas Parra"/>
            <filter val="Claudia Ugarte"/>
            <filter val="Claudia Urrutia Muñoz"/>
            <filter val="Claudia Valenzuela"/>
            <filter val="Claudia Zuleta"/>
            <filter val="Claudio Saldias"/>
            <filter val="ClauMery - Galilea 7707"/>
            <filter val="COMITE DE ADELANTO BELLOTO AZUCENA II"/>
            <filter val="Constanza - Ecuador 8952"/>
            <filter val="Constanza - Macarena"/>
            <filter val="Corporacion Educacional Dame la Mano"/>
            <filter val="Cristian Arriagada"/>
            <filter val="Cristian Kuramix"/>
            <filter val="Cristian Segura"/>
            <filter val="Cristian Tsutsumi"/>
            <filter val="Cristina Olivero"/>
            <filter val="Cristy Palena 2985"/>
            <filter val="Cyinthia Fraser"/>
            <filter val="Cynthia - Huilquehue 7228"/>
            <filter val="Cynthia Pereira"/>
            <filter val="Daca Pastelería"/>
            <filter val="Daisy Contreras"/>
            <filter val="Dani Vidal"/>
            <filter val="Daniela - La Montura 4577"/>
            <filter val="Daniela Alejandra J.Eden"/>
            <filter val="Daniela Beiza"/>
            <filter val="Daniela Ramirez"/>
            <filter val="Daniela Torres"/>
            <filter val="Danna C Vidal"/>
            <filter val="Débora Garrido"/>
            <filter val="Denisse Castro"/>
            <filter val="Denisse Martel (Niss Calusari)"/>
            <filter val="Diana Carolina Ramirez"/>
            <filter val="Diana Grudechut"/>
            <filter val="Dinka - Fukui 6853"/>
            <filter val="Edith - Ñique"/>
            <filter val="Eduardo Gonzalez"/>
            <filter val="Eliabeth Soto"/>
            <filter val="Elizabeth Leyton"/>
            <filter val="Elizabeth Martinez"/>
            <filter val="Elizabeth Yevenez"/>
            <filter val="Enzo Basso"/>
            <filter val="Erica- capernaum"/>
            <filter val="Erika Torres"/>
            <filter val="Esteban Huilquehue 2783"/>
            <filter val="Esteban Michea"/>
            <filter val="Estefania Iglesias"/>
            <filter val="Estefania Vergara"/>
            <filter val="Eugenia Trujillo Navarro"/>
            <filter val="Eve Colegio Antilhue"/>
            <filter val="Evelyn Arroyo"/>
            <filter val="Evelyn Cortes"/>
            <filter val="Fabiola Campos"/>
            <filter val="Fabiola Rojas"/>
            <filter val="Fanny  Lincoqueo"/>
            <filter val="Faviara Aleska Quintana"/>
            <filter val="Felipe Acevedo"/>
            <filter val="Felipe Cajas"/>
            <filter val="Felipe Severino"/>
            <filter val="Feria Las pulgas colegio Concepción"/>
            <filter val="Fernanda Fuentes"/>
            <filter val="Fernanda Peralta"/>
            <filter val="Fernanda Veliz"/>
            <filter val="Fernando Valenzuela"/>
            <filter val="Fran - Negrillo 9507"/>
            <filter val="Franco Rodriguez"/>
            <filter val="Fresia Denebola 1064"/>
            <filter val="Fyrma Grafica Limitada"/>
            <filter val="Gaby - Hualle 8312"/>
            <filter val="Gary Roa"/>
            <filter val="Gems NDT Spa"/>
            <filter val="Geraldine Espinoza"/>
            <filter val="Gestica SpA"/>
            <filter val="Gina"/>
            <filter val="Gino Suarez Fuentes"/>
            <filter val="Gisela Olea"/>
            <filter val="Giselle Rojas"/>
            <filter val="Gladys - Ayudante Valeria"/>
            <filter val="Gladys - Condominio Las Cumbres"/>
            <filter val="Gloria Pereira"/>
            <filter val="Gloria Zavala"/>
            <filter val="Gonzalo Dawson"/>
            <filter val="Grace Huentel"/>
            <filter val="Greici Huentel"/>
            <filter val="Guido Araya"/>
            <filter val="Hector Boza"/>
            <filter val="Hector Sepulveda"/>
            <filter val="Hemaly Cornejo Chacon"/>
            <filter val="Hernan Ureta"/>
            <filter val="Ibis - Bristol 9431"/>
            <filter val="Ignacio Martinez"/>
            <filter val="INAM TOUR EIRL"/>
            <filter val="Ines - HM 7550 A"/>
            <filter val="Inexsol Spa"/>
            <filter val="Ingrid - Niebla 413"/>
            <filter val="Ingrid Maldonado"/>
            <filter val="Ingrid Maturana"/>
            <filter val="Irene Santa Delia"/>
            <filter val="Isabel Briseño"/>
            <filter val="Isabel Margarita"/>
            <filter val="Isadora Andrea Fuentealba"/>
            <filter val="Isolina Colegio Antilhue"/>
            <filter val="Ivan Herrera"/>
            <filter val="Ivania Leal Campos"/>
            <filter val="Jacqueline Puente"/>
            <filter val="Jaki Alarcon"/>
            <filter val="Javiera Abigail Maldonado"/>
            <filter val="Javiera Santa Amalia"/>
            <filter val="Jeanette Santa Delia"/>
            <filter val="Jeannette Olguin (vecina Marcia)"/>
            <filter val="Jenny Contreras (Hermana Rossana)"/>
            <filter val="Jessica Delgado"/>
            <filter val="Jessica Marchese"/>
            <filter val="Joaquin Mascaró"/>
            <filter val="Johaniss Cocteleria"/>
            <filter val="Jose de Grez Pavez"/>
            <filter val="Juan 8:12"/>
            <filter val="Juan Carlos Herrera"/>
            <filter val="Juan Carlos Perez"/>
            <filter val="Juan Luis Quezada"/>
            <filter val="Juana Ester Rojas Alarcon"/>
            <filter val="Judith Pons"/>
            <filter val="Julieta Monge"/>
            <filter val="Julio Romero"/>
            <filter val="jumpmanexclusive2 - Santa Ema 2445"/>
            <filter val="Junta Vecinal 20"/>
            <filter val="Kafremontt by Katherine"/>
            <filter val="Karem Pozo"/>
            <filter val="Karen - Hualle SUR"/>
            <filter val="Karen Reyes"/>
            <filter val="Karen Tello"/>
            <filter val="Karina Cornejo"/>
            <filter val="Karina Hernandez"/>
            <filter val="Kata Herrera"/>
            <filter val="Katherine Irribarra"/>
            <filter val="Katherine Julissa Illanes"/>
            <filter val="Katherine Orellana"/>
            <filter val="Katherine Valenzuela Colipi"/>
            <filter val="Katherine Zambrano"/>
            <filter val="Katty Letelier"/>
            <filter val="Lauren Cuello"/>
            <filter val="Lauri Yulie"/>
            <filter val="Leonora Espinoza"/>
            <filter val="Leyla Guerra"/>
            <filter val="Lidia Marlene Rojas"/>
            <filter val="Liki Star"/>
            <filter val="Lilian Valdes"/>
            <filter val="Liliana Russ"/>
            <filter val="Lisita Jimenez"/>
            <filter val="Lorena - Quilpolemu 7170"/>
            <filter val="Lorena - Santa Julia 3323"/>
            <filter val="Lorena Contreras Rojas"/>
            <filter val="Loreto - Perpetua Freira 250"/>
            <filter val="Loreto Zambrano"/>
            <filter val="Lucia Saucedo"/>
            <filter val="Luis - Antilhue"/>
            <filter val="Luis - Santa Ema 2478"/>
            <filter val="Luis Acuña"/>
            <filter val="Luis Uribe"/>
            <filter val="Luisa - Bosque Chileno 2418"/>
            <filter val="Luisa - Enrique Olivares"/>
            <filter val="Luz Maria Gonzalez Maggi"/>
            <filter val="M.Soledad - Lancaster 9452"/>
            <filter val="Ma José Ferreira"/>
            <filter val="Mabel Romero"/>
            <filter val="Maca Marticorena"/>
            <filter val="Macarena"/>
            <filter val="Macarena Lopez"/>
            <filter val="Mackusha - Huilquehue 2773"/>
            <filter val="Mady - Las Nalcas Sur 9365"/>
            <filter val="MaeMuki"/>
            <filter val="Magaly Araneda"/>
            <filter val="Magaly Valenzuela"/>
            <filter val="Magdalena - Jorge Robledo"/>
            <filter val="Magdalena - Tiendita online"/>
            <filter val="Mama Dany"/>
            <filter val="Mamá Isi"/>
            <filter val="Mama Javi"/>
            <filter val="Mama Laura"/>
            <filter val="Mama Marcia"/>
            <filter val="Mantención e Infraestructura German Muñoz Diet EIRL"/>
            <filter val="Manuel Cavero"/>
            <filter val="Manuel Peñaloza"/>
            <filter val="Marcela - Fray Jorge"/>
            <filter val="Marcela Cabezas"/>
            <filter val="Marcela Diaz"/>
            <filter val="Marcela Erazo"/>
            <filter val="Marcela Fredes"/>
            <filter val="Marcela Galvez"/>
            <filter val="Marcela Guerrero"/>
            <filter val="Marcela Herrera"/>
            <filter val="Marcela Inostroza"/>
            <filter val="Marcela Neira"/>
            <filter val="Marcela- Santa Julia 3287"/>
            <filter val="Marcela Valdebenito"/>
            <filter val="Marcelo Acuña"/>
            <filter val="Marcelo Clerc"/>
            <filter val="Marcia Ballara"/>
            <filter val="Marcia Jara"/>
            <filter val="Marcia Quiroga"/>
            <filter val="Marcos Vergara"/>
            <filter val="Marcus Berrios"/>
            <filter val="Maria Angelica Vera"/>
            <filter val="Maria Carola Pinochet Alcaino"/>
            <filter val="Maria Cecilia Vargas"/>
            <filter val="Maria Constanza Vergara"/>
            <filter val="Maria de los Angeles J-Viña"/>
            <filter val="Maria Isabel Muñoz"/>
            <filter val="Maria Isabel Osorio"/>
            <filter val="Maria Jesus Hualle Sur 9526"/>
            <filter val="Maria José Espinoza"/>
            <filter val="Maria Jose Marambio Muñoz"/>
            <filter val="Maria Jose Oriente 9402"/>
            <filter val="Maria Jose Parada Mirador"/>
            <filter val="Maria Jose Rojas Magallanes"/>
            <filter val="Maria Jose Vargas"/>
            <filter val="Maria Provoste"/>
            <filter val="Maria Teresa"/>
            <filter val="Mariela Lagos"/>
            <filter val="Mario Abarca"/>
            <filter val="Mario Vecino"/>
            <filter val="Marisel Bolbaran"/>
            <filter val="Marisol Ramirez"/>
            <filter val="Marisol Toro"/>
            <filter val="Maritza Villablanca"/>
            <filter val="Mary Isabel de Martino"/>
            <filter val="Marylen Ximena Salinas"/>
            <filter val="Mauricio Aguirre"/>
            <filter val="Mauro - Geronimo 760"/>
            <filter val="Meike Bolados"/>
            <filter val="Mercedes Sanchez"/>
            <filter val="Michael Evans"/>
            <filter val="Milena MIHOVILOVIC - Hualle Sur"/>
            <filter val="Millaray Anais"/>
            <filter val="Mily - Diamelos 8562"/>
            <filter val="Mirsa  Penalillo"/>
            <filter val="Monica - Chapihue 7123"/>
            <filter val="Monica Godoy"/>
            <filter val="Myrian Fernandez"/>
            <filter val="Nancy - Ceibos"/>
            <filter val="Nancy Diaz Castro"/>
            <filter val="Natalia - Las Cumbres"/>
            <filter val="Natalia Zamora Orellana"/>
            <filter val="Nathaly Gajardo"/>
            <filter val="Nicole - Jardin del Eden"/>
            <filter val="Nicole - San Luis"/>
            <filter val="Nicole Guzman"/>
            <filter val="NIDO DEL CARPINTERIO SPA"/>
            <filter val="N-N Villa Alemana 7870"/>
            <filter val="Nora - Dante"/>
            <filter val="Octavio Puertas"/>
            <filter val="Oscar Leiva"/>
            <filter val="Oscar Martinez"/>
            <filter val="Pablo León"/>
            <filter val="Pamela - Las Chilcas Poniente"/>
            <filter val="Pamela Bahamondes"/>
            <filter val="Pamela Droguet"/>
            <filter val="Pamela Medina - Palena 2656"/>
            <filter val="Pamela Navarro"/>
            <filter val="Pamela Rojas"/>
            <filter val="Pamela Romero"/>
            <filter val="Pamela Ruiz"/>
            <filter val="Pamela Santa Delia"/>
            <filter val="Pamela-Leonardo"/>
            <filter val="Paola - 21 Enero 7901"/>
            <filter val="Paola - Jardin del Eden"/>
            <filter val="Paola Araya Lopez"/>
            <filter val="Paola Encina"/>
            <filter val="Paola Mr"/>
            <filter val="Papa Fabiola Rojas"/>
            <filter val="Patricia - Mama de Tomas Castillo"/>
            <filter val="Patricia Flores"/>
            <filter val="Patricia Friz"/>
            <filter val="Patricia Rojas (Mama Martina)"/>
            <filter val="Patricia Saavedra"/>
            <filter val="Patricio Ortiz"/>
            <filter val="Patty Jardin del Eden"/>
            <filter val="Paula - Rojas Magallanes"/>
            <filter val="Paula Andrea - Macul"/>
            <filter val="Paula Medina"/>
            <filter val="Paula Ramírez"/>
            <filter val="Paulina -Av Tobalaba 7321"/>
            <filter val="Paulina Saavedra"/>
            <filter val="Paulina Schwarze"/>
            <filter val="Paulina Swinburn Y."/>
            <filter val="Pedro Lavin"/>
            <filter val="Pedro Orellana"/>
            <filter val="Perla - Gingko Amarillo 8779"/>
            <filter val="Pilar Consuelo Hudson"/>
            <filter val="Pilar Jara"/>
            <filter val="Pilar Ortiz"/>
            <filter val="Pola Guzman"/>
            <filter val="Poli Azocar"/>
            <filter val="Priscy - Las Lomas 7815"/>
            <filter val="Profe Zumba"/>
            <filter val="Rafael Castro"/>
            <filter val="Raul Acosta"/>
            <filter val="Rebeca Traslaviña"/>
            <filter val="Rene Rodriguez"/>
            <filter val="Restaurante Los Naranjos"/>
            <filter val="Ricardo Alarcon - Jardin Alto 8525"/>
            <filter val="Ricardo Contreras"/>
            <filter val="Robert Kerkhoff"/>
            <filter val="Roberto Jimenez"/>
            <filter val="Rodrigo Arredondo"/>
            <filter val="Rodrigo Black"/>
            <filter val="Rodrigo Fonseca"/>
            <filter val="Rodrigo Mendez"/>
            <filter val="Rodrigo Muñoz"/>
            <filter val="Rodrigo Salinas"/>
            <filter val="Rodrigo Sepúlveda"/>
            <filter val="Rodrigo Toloza"/>
            <filter val="Romi - Pasteles"/>
            <filter val="Romi-Huanque"/>
            <filter val="Romina Diaz"/>
            <filter val="Rosa - Pellahuen 7216"/>
            <filter val="Rosanna Contreras"/>
            <filter val="Roxana Villegas"/>
            <filter val="Ruben Moreno"/>
            <filter val="Ruth Gomez"/>
            <filter val="Samuel Zuñiga"/>
            <filter val="Sandra"/>
            <filter val="Sandra - Santa Estela 2437"/>
            <filter val="Sandra Arriagada"/>
            <filter val="Sandra Gallardo"/>
            <filter val="Sandra Narvaez"/>
            <filter val="Sergio Edmundo Araya"/>
            <filter val="Sergio Peralta"/>
            <filter val="Sofia Carrillo"/>
            <filter val="Sofia Godoy"/>
            <filter val="Soledad Gingko Amarillo 8807"/>
            <filter val="Soledad Padilla"/>
            <filter val="Soledad Valdebenito"/>
            <filter val="Sonia Martinez"/>
            <filter val="Sonia Noche"/>
            <filter val="Sra Eugenia"/>
            <filter val="Stefany - Santa Delia"/>
            <filter val="Stefi - Huilquehue 7298"/>
            <filter val="Stephie Ibañez"/>
            <filter val="Suilan Leighton"/>
            <filter val="Susan Black"/>
            <filter val="Susana Aguilar"/>
            <filter val="Susana Pizarro"/>
            <filter val="Susana Zuñiga"/>
            <filter val="Tabita - Jardin Alto"/>
            <filter val="Tamara Pino"/>
            <filter val="Tatan"/>
            <filter val="Taty Contador"/>
            <filter val="Thermival Refrigeración ltda."/>
            <filter val="Tía - Katty Letelier"/>
            <filter val="Tia Mary Antilhue"/>
            <filter val="Tia Mina"/>
            <filter val="TRAVEL ABROAD EXPERIENCE S.P.A"/>
            <filter val="Ursula- Santa Delia 7721"/>
            <filter val="Ursula Villouta"/>
            <filter val="Valeria Mesina"/>
            <filter val="Vanesa Acosta"/>
            <filter val="Vanessa Brevis"/>
            <filter val="Vanessa Portuguez"/>
            <filter val="Vania Salinas"/>
            <filter val="Vecina Monica"/>
            <filter val="Vecina Villa sin datos"/>
            <filter val="Veronica Estay"/>
            <filter val="Veronica Montenegro"/>
            <filter val="Veronica Velasquez"/>
            <filter val="Veronica Vergara"/>
            <filter val="Victor Herrera"/>
            <filter val="Victor Hevia"/>
            <filter val="Victor Ojeda"/>
            <filter val="Vivi - Paicavi 2880 (Casa E)"/>
            <filter val="Vivian Amiiiiga"/>
            <filter val="Viviana - Hualle Sur 9362"/>
            <filter val="Viviana Saavedra"/>
            <filter val="Wendys Arianiz Sanchez"/>
            <filter val="Ximena Catalan"/>
            <filter val="Ximena Oyarse"/>
            <filter val="Yazmin Torres"/>
            <filter val="Yoli - Palena 2953"/>
            <filter val="Yoli - Sándalo Poniente 8391"/>
            <filter val="Yosslian Arancibia"/>
            <filter val="Yu Chu Chen"/>
          </filters>
        </filterColumn>
        <filterColumn colId="9">
          <filters>
            <filter val="pagado"/>
            <filter val="Pendiente"/>
          </filters>
        </filterColumn>
      </autoFilter>
    </customSheetView>
  </customSheetViews>
  <dataValidations disablePrompts="1" count="6">
    <dataValidation type="list" allowBlank="1" showErrorMessage="1" sqref="A2:A3631">
      <formula1>Negocios</formula1>
    </dataValidation>
    <dataValidation type="list" allowBlank="1" showErrorMessage="1" sqref="D2:D3631">
      <formula1>Clientes</formula1>
    </dataValidation>
    <dataValidation type="list" allowBlank="1" showErrorMessage="1" sqref="J2:J3631">
      <formula1>StatusPago</formula1>
    </dataValidation>
    <dataValidation type="list" allowBlank="1" showErrorMessage="1" sqref="B2:B3631">
      <formula1>Vendedores</formula1>
    </dataValidation>
    <dataValidation type="list" allowBlank="1" showErrorMessage="1" sqref="I2:I3631">
      <formula1>StatusEntrega</formula1>
    </dataValidation>
    <dataValidation type="list" allowBlank="1" showErrorMessage="1" sqref="E2:E3631">
      <formula1>ListaProductos</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S1343"/>
  <sheetViews>
    <sheetView workbookViewId="0">
      <selection activeCell="C491" sqref="C491"/>
    </sheetView>
  </sheetViews>
  <sheetFormatPr baseColWidth="10" defaultColWidth="12.6640625" defaultRowHeight="15.75" customHeight="1"/>
  <cols>
    <col min="1" max="1" width="30.88671875" customWidth="1"/>
    <col min="2" max="2" width="20.21875" customWidth="1"/>
    <col min="3" max="3" width="75.33203125" customWidth="1"/>
    <col min="4" max="4" width="7.88671875" customWidth="1"/>
    <col min="5" max="5" width="9.21875" customWidth="1"/>
    <col min="6" max="9" width="11.6640625" customWidth="1"/>
    <col min="10" max="10" width="20.6640625" customWidth="1"/>
    <col min="11" max="11" width="13" customWidth="1"/>
    <col min="12" max="12" width="13.77734375" style="127" customWidth="1"/>
    <col min="13" max="13" width="30.33203125" customWidth="1"/>
    <col min="14" max="14" width="40.21875" customWidth="1"/>
    <col min="15" max="15" width="18.44140625" customWidth="1"/>
    <col min="16" max="16" width="30.21875" customWidth="1"/>
  </cols>
  <sheetData>
    <row r="1" spans="1:19" ht="33" customHeight="1">
      <c r="A1" s="48"/>
      <c r="B1" s="48"/>
      <c r="C1" s="48"/>
      <c r="D1" s="48"/>
      <c r="E1" s="48"/>
      <c r="F1" s="49"/>
      <c r="G1" s="50"/>
      <c r="H1" s="50"/>
      <c r="I1" s="49"/>
      <c r="J1" s="49" t="s">
        <v>1061</v>
      </c>
      <c r="K1" s="31"/>
      <c r="L1" s="130"/>
      <c r="M1" s="10"/>
      <c r="N1" s="10"/>
      <c r="O1" s="10"/>
      <c r="Q1" s="10"/>
      <c r="R1" s="10"/>
      <c r="S1" s="10"/>
    </row>
    <row r="2" spans="1:19" ht="26.4">
      <c r="A2" s="48" t="s">
        <v>1062</v>
      </c>
      <c r="B2" s="48" t="s">
        <v>28</v>
      </c>
      <c r="C2" s="48" t="s">
        <v>1063</v>
      </c>
      <c r="D2" s="48" t="s">
        <v>1064</v>
      </c>
      <c r="E2" s="48" t="s">
        <v>1065</v>
      </c>
      <c r="F2" s="49" t="s">
        <v>1066</v>
      </c>
      <c r="G2" s="49" t="s">
        <v>16</v>
      </c>
      <c r="H2" s="50" t="s">
        <v>17</v>
      </c>
      <c r="I2" s="49" t="s">
        <v>26</v>
      </c>
      <c r="J2" s="49" t="s">
        <v>1067</v>
      </c>
      <c r="K2" s="49" t="s">
        <v>27</v>
      </c>
      <c r="L2" s="130" t="s">
        <v>1068</v>
      </c>
      <c r="M2" s="10" t="s">
        <v>1069</v>
      </c>
      <c r="N2" s="10" t="s">
        <v>1070</v>
      </c>
      <c r="O2" s="10" t="s">
        <v>1071</v>
      </c>
      <c r="P2" s="31" t="s">
        <v>1072</v>
      </c>
      <c r="Q2" s="10" t="s">
        <v>1073</v>
      </c>
      <c r="R2" s="10" t="s">
        <v>1074</v>
      </c>
      <c r="S2" s="10"/>
    </row>
    <row r="3" spans="1:19" ht="13.2" hidden="1">
      <c r="A3" s="31" t="s">
        <v>572</v>
      </c>
      <c r="B3" s="31" t="s">
        <v>573</v>
      </c>
      <c r="C3" s="31" t="s">
        <v>1075</v>
      </c>
      <c r="F3" s="39">
        <v>45596</v>
      </c>
      <c r="G3" s="51" t="str">
        <f t="shared" ref="G3:G490" si="0">TEXT(F3,"yyyy")</f>
        <v>2024</v>
      </c>
      <c r="H3" s="51" t="str">
        <f t="shared" ref="H3:H490" si="1">TEXT(F3,"mmmm")</f>
        <v>octubre</v>
      </c>
      <c r="I3" s="31" t="s">
        <v>373</v>
      </c>
      <c r="J3" s="31" t="s">
        <v>1076</v>
      </c>
      <c r="K3" s="31" t="s">
        <v>357</v>
      </c>
      <c r="L3" s="131"/>
      <c r="M3" s="41"/>
      <c r="N3" s="41"/>
      <c r="O3" s="31"/>
      <c r="P3" s="31"/>
      <c r="Q3" s="41"/>
      <c r="R3" s="41"/>
      <c r="S3" s="40"/>
    </row>
    <row r="4" spans="1:19" ht="18.75" hidden="1" customHeight="1">
      <c r="A4" s="31" t="s">
        <v>118</v>
      </c>
      <c r="B4" s="31" t="s">
        <v>711</v>
      </c>
      <c r="C4" s="31" t="s">
        <v>1077</v>
      </c>
      <c r="F4" s="39">
        <v>45910</v>
      </c>
      <c r="G4" s="51" t="str">
        <f t="shared" si="0"/>
        <v>2025</v>
      </c>
      <c r="H4" s="51" t="str">
        <f t="shared" si="1"/>
        <v>septiembre</v>
      </c>
      <c r="I4" s="31" t="s">
        <v>373</v>
      </c>
      <c r="J4" s="31" t="s">
        <v>1076</v>
      </c>
      <c r="K4" s="31" t="s">
        <v>357</v>
      </c>
      <c r="L4" s="131"/>
      <c r="M4" s="31"/>
      <c r="R4" s="31"/>
    </row>
    <row r="5" spans="1:19" ht="18.75" hidden="1" customHeight="1">
      <c r="A5" s="31" t="s">
        <v>111</v>
      </c>
      <c r="B5" s="31" t="s">
        <v>533</v>
      </c>
      <c r="C5" s="31" t="s">
        <v>1078</v>
      </c>
      <c r="F5" s="39">
        <v>45914</v>
      </c>
      <c r="G5" s="51" t="str">
        <f t="shared" si="0"/>
        <v>2025</v>
      </c>
      <c r="H5" s="51" t="str">
        <f t="shared" si="1"/>
        <v>septiembre</v>
      </c>
      <c r="I5" s="31" t="s">
        <v>373</v>
      </c>
      <c r="J5" s="31" t="s">
        <v>1076</v>
      </c>
      <c r="K5" s="31" t="s">
        <v>357</v>
      </c>
      <c r="L5" s="131"/>
      <c r="M5" s="31"/>
      <c r="R5" s="31"/>
    </row>
    <row r="6" spans="1:19" ht="18.75" hidden="1" customHeight="1">
      <c r="A6" s="31" t="s">
        <v>127</v>
      </c>
      <c r="B6" s="31" t="s">
        <v>465</v>
      </c>
      <c r="C6" s="31" t="s">
        <v>1079</v>
      </c>
      <c r="F6" s="39">
        <v>45913</v>
      </c>
      <c r="G6" s="51" t="str">
        <f t="shared" si="0"/>
        <v>2025</v>
      </c>
      <c r="H6" s="51" t="str">
        <f t="shared" si="1"/>
        <v>septiembre</v>
      </c>
      <c r="I6" s="31" t="s">
        <v>373</v>
      </c>
      <c r="J6" s="31" t="s">
        <v>1076</v>
      </c>
      <c r="K6" s="31" t="s">
        <v>357</v>
      </c>
      <c r="L6" s="131"/>
      <c r="M6" s="31"/>
      <c r="R6" s="31"/>
    </row>
    <row r="7" spans="1:19" ht="18.75" hidden="1" customHeight="1">
      <c r="A7" s="31" t="s">
        <v>164</v>
      </c>
      <c r="B7" s="31" t="s">
        <v>467</v>
      </c>
      <c r="C7" s="31" t="s">
        <v>1080</v>
      </c>
      <c r="F7" s="39">
        <v>45909</v>
      </c>
      <c r="G7" s="51" t="str">
        <f t="shared" si="0"/>
        <v>2025</v>
      </c>
      <c r="H7" s="51" t="str">
        <f t="shared" si="1"/>
        <v>septiembre</v>
      </c>
      <c r="I7" s="31" t="s">
        <v>373</v>
      </c>
      <c r="J7" s="31" t="s">
        <v>1076</v>
      </c>
      <c r="K7" s="31" t="s">
        <v>357</v>
      </c>
      <c r="L7" s="131"/>
      <c r="M7" s="31"/>
      <c r="R7" s="31"/>
    </row>
    <row r="8" spans="1:19" ht="18.75" hidden="1" customHeight="1">
      <c r="A8" s="31" t="s">
        <v>175</v>
      </c>
      <c r="B8" s="31" t="s">
        <v>465</v>
      </c>
      <c r="C8" s="31" t="s">
        <v>1081</v>
      </c>
      <c r="F8" s="39">
        <v>45907</v>
      </c>
      <c r="G8" s="51" t="str">
        <f t="shared" si="0"/>
        <v>2025</v>
      </c>
      <c r="H8" s="51" t="str">
        <f t="shared" si="1"/>
        <v>septiembre</v>
      </c>
      <c r="I8" s="31" t="s">
        <v>373</v>
      </c>
      <c r="J8" s="31" t="s">
        <v>1076</v>
      </c>
      <c r="K8" s="31" t="s">
        <v>357</v>
      </c>
      <c r="L8" s="131"/>
      <c r="M8" s="31"/>
      <c r="R8" s="31"/>
    </row>
    <row r="9" spans="1:19" ht="18.75" hidden="1" customHeight="1">
      <c r="A9" s="31" t="s">
        <v>174</v>
      </c>
      <c r="B9" s="31" t="s">
        <v>465</v>
      </c>
      <c r="C9" s="31" t="s">
        <v>1082</v>
      </c>
      <c r="F9" s="39">
        <v>45907</v>
      </c>
      <c r="G9" s="51" t="str">
        <f t="shared" si="0"/>
        <v>2025</v>
      </c>
      <c r="H9" s="51" t="str">
        <f t="shared" si="1"/>
        <v>septiembre</v>
      </c>
      <c r="I9" s="31" t="s">
        <v>373</v>
      </c>
      <c r="J9" s="31" t="s">
        <v>1076</v>
      </c>
      <c r="K9" s="31" t="s">
        <v>357</v>
      </c>
      <c r="L9" s="131"/>
      <c r="M9" s="31"/>
      <c r="R9" s="31"/>
    </row>
    <row r="10" spans="1:19" ht="18.75" hidden="1" customHeight="1">
      <c r="A10" s="31" t="s">
        <v>103</v>
      </c>
      <c r="B10" s="31" t="s">
        <v>711</v>
      </c>
      <c r="C10" s="31" t="s">
        <v>1083</v>
      </c>
      <c r="F10" s="39">
        <v>45906</v>
      </c>
      <c r="G10" s="51" t="str">
        <f t="shared" si="0"/>
        <v>2025</v>
      </c>
      <c r="H10" s="51" t="str">
        <f t="shared" si="1"/>
        <v>septiembre</v>
      </c>
      <c r="I10" s="31" t="s">
        <v>373</v>
      </c>
      <c r="J10" s="31" t="s">
        <v>1076</v>
      </c>
      <c r="K10" s="31" t="s">
        <v>357</v>
      </c>
      <c r="L10" s="131"/>
      <c r="M10" s="31"/>
      <c r="R10" s="31"/>
    </row>
    <row r="11" spans="1:19" ht="18.75" hidden="1" customHeight="1">
      <c r="A11" s="31" t="s">
        <v>199</v>
      </c>
      <c r="B11" s="31" t="s">
        <v>1084</v>
      </c>
      <c r="C11" s="31" t="s">
        <v>1085</v>
      </c>
      <c r="F11" s="39">
        <v>45902</v>
      </c>
      <c r="G11" s="51" t="str">
        <f t="shared" si="0"/>
        <v>2025</v>
      </c>
      <c r="H11" s="51" t="str">
        <f t="shared" si="1"/>
        <v>septiembre</v>
      </c>
      <c r="I11" s="31" t="s">
        <v>373</v>
      </c>
      <c r="J11" s="31" t="s">
        <v>1076</v>
      </c>
      <c r="K11" s="31" t="s">
        <v>394</v>
      </c>
      <c r="L11" s="131" t="s">
        <v>2138</v>
      </c>
      <c r="M11" s="31" t="s">
        <v>1086</v>
      </c>
      <c r="R11" s="31" t="s">
        <v>1087</v>
      </c>
    </row>
    <row r="12" spans="1:19" ht="18.75" hidden="1" customHeight="1">
      <c r="A12" s="31" t="s">
        <v>272</v>
      </c>
      <c r="B12" s="31" t="s">
        <v>1088</v>
      </c>
      <c r="C12" s="31" t="s">
        <v>1089</v>
      </c>
      <c r="F12" s="39">
        <v>45895</v>
      </c>
      <c r="G12" s="51" t="str">
        <f t="shared" si="0"/>
        <v>2025</v>
      </c>
      <c r="H12" s="51" t="str">
        <f t="shared" si="1"/>
        <v>agosto</v>
      </c>
      <c r="I12" s="31" t="s">
        <v>373</v>
      </c>
      <c r="J12" s="31" t="s">
        <v>1076</v>
      </c>
      <c r="K12" s="31" t="s">
        <v>357</v>
      </c>
      <c r="L12" s="131"/>
      <c r="M12" s="31"/>
    </row>
    <row r="13" spans="1:19" ht="18.75" hidden="1" customHeight="1">
      <c r="A13" s="31" t="s">
        <v>273</v>
      </c>
      <c r="B13" s="31" t="s">
        <v>383</v>
      </c>
      <c r="C13" s="31" t="s">
        <v>1090</v>
      </c>
      <c r="F13" s="39">
        <v>45895</v>
      </c>
      <c r="G13" s="51" t="str">
        <f t="shared" si="0"/>
        <v>2025</v>
      </c>
      <c r="H13" s="51" t="str">
        <f t="shared" si="1"/>
        <v>agosto</v>
      </c>
      <c r="I13" s="31" t="s">
        <v>373</v>
      </c>
      <c r="J13" s="31" t="s">
        <v>1076</v>
      </c>
      <c r="K13" s="31" t="s">
        <v>357</v>
      </c>
      <c r="L13" s="131"/>
      <c r="M13" s="31"/>
    </row>
    <row r="14" spans="1:19" ht="18.75" hidden="1" customHeight="1">
      <c r="A14" s="31" t="s">
        <v>275</v>
      </c>
      <c r="B14" s="31" t="s">
        <v>640</v>
      </c>
      <c r="C14" s="31" t="s">
        <v>1091</v>
      </c>
      <c r="F14" s="39">
        <v>45895</v>
      </c>
      <c r="G14" s="51" t="str">
        <f t="shared" si="0"/>
        <v>2025</v>
      </c>
      <c r="H14" s="51" t="str">
        <f t="shared" si="1"/>
        <v>agosto</v>
      </c>
      <c r="I14" s="31" t="s">
        <v>373</v>
      </c>
      <c r="J14" s="31" t="s">
        <v>1076</v>
      </c>
      <c r="K14" s="31" t="s">
        <v>357</v>
      </c>
      <c r="L14" s="131"/>
      <c r="M14" s="31"/>
    </row>
    <row r="15" spans="1:19" ht="18.75" hidden="1" customHeight="1">
      <c r="A15" s="31" t="s">
        <v>283</v>
      </c>
      <c r="B15" s="31" t="s">
        <v>1092</v>
      </c>
      <c r="C15" s="31" t="s">
        <v>1093</v>
      </c>
      <c r="F15" s="39">
        <v>45892</v>
      </c>
      <c r="G15" s="51" t="str">
        <f t="shared" si="0"/>
        <v>2025</v>
      </c>
      <c r="H15" s="51" t="str">
        <f t="shared" si="1"/>
        <v>agosto</v>
      </c>
      <c r="I15" s="31" t="s">
        <v>373</v>
      </c>
      <c r="J15" s="31" t="s">
        <v>1076</v>
      </c>
      <c r="K15" s="31" t="s">
        <v>357</v>
      </c>
      <c r="L15" s="131"/>
      <c r="M15" s="31"/>
    </row>
    <row r="16" spans="1:19" ht="18.75" hidden="1" customHeight="1">
      <c r="A16" s="31" t="s">
        <v>284</v>
      </c>
      <c r="B16" s="31" t="s">
        <v>1094</v>
      </c>
      <c r="C16" s="31" t="s">
        <v>1095</v>
      </c>
      <c r="F16" s="39">
        <v>45892</v>
      </c>
      <c r="G16" s="51" t="str">
        <f t="shared" si="0"/>
        <v>2025</v>
      </c>
      <c r="H16" s="51" t="str">
        <f t="shared" si="1"/>
        <v>agosto</v>
      </c>
      <c r="I16" s="31" t="s">
        <v>373</v>
      </c>
      <c r="J16" s="31" t="s">
        <v>1076</v>
      </c>
      <c r="K16" s="31" t="s">
        <v>357</v>
      </c>
      <c r="L16" s="131"/>
      <c r="M16" s="31"/>
    </row>
    <row r="17" spans="1:15" ht="18.75" hidden="1" customHeight="1">
      <c r="A17" s="31" t="s">
        <v>195</v>
      </c>
      <c r="B17" s="31" t="s">
        <v>553</v>
      </c>
      <c r="C17" s="31" t="s">
        <v>1096</v>
      </c>
      <c r="F17" s="39">
        <v>45890</v>
      </c>
      <c r="G17" s="51" t="str">
        <f t="shared" si="0"/>
        <v>2025</v>
      </c>
      <c r="H17" s="51" t="str">
        <f t="shared" si="1"/>
        <v>agosto</v>
      </c>
      <c r="I17" s="31" t="s">
        <v>373</v>
      </c>
      <c r="J17" s="31" t="s">
        <v>1076</v>
      </c>
      <c r="K17" s="31" t="s">
        <v>357</v>
      </c>
      <c r="L17" s="131"/>
      <c r="M17" s="31"/>
    </row>
    <row r="18" spans="1:15" ht="18.75" hidden="1" customHeight="1">
      <c r="A18" s="31" t="s">
        <v>299</v>
      </c>
      <c r="B18" s="31" t="s">
        <v>1097</v>
      </c>
      <c r="C18" s="31" t="s">
        <v>1098</v>
      </c>
      <c r="F18" s="39">
        <v>45888</v>
      </c>
      <c r="G18" s="51" t="str">
        <f t="shared" si="0"/>
        <v>2025</v>
      </c>
      <c r="H18" s="51" t="str">
        <f t="shared" si="1"/>
        <v>agosto</v>
      </c>
      <c r="I18" s="31" t="s">
        <v>373</v>
      </c>
      <c r="J18" s="31" t="s">
        <v>1076</v>
      </c>
      <c r="K18" s="31" t="s">
        <v>357</v>
      </c>
      <c r="L18" s="131"/>
      <c r="M18" s="31"/>
    </row>
    <row r="19" spans="1:15" ht="18.75" hidden="1" customHeight="1">
      <c r="A19" s="31" t="s">
        <v>313</v>
      </c>
      <c r="B19" s="31" t="s">
        <v>708</v>
      </c>
      <c r="C19" s="31" t="s">
        <v>1099</v>
      </c>
      <c r="F19" s="39">
        <v>45884</v>
      </c>
      <c r="G19" s="51" t="str">
        <f t="shared" si="0"/>
        <v>2025</v>
      </c>
      <c r="H19" s="51" t="str">
        <f t="shared" si="1"/>
        <v>agosto</v>
      </c>
      <c r="I19" s="31" t="s">
        <v>373</v>
      </c>
      <c r="J19" s="31" t="s">
        <v>1076</v>
      </c>
      <c r="K19" s="31" t="s">
        <v>357</v>
      </c>
      <c r="L19" s="131"/>
      <c r="M19" s="31"/>
    </row>
    <row r="20" spans="1:15" ht="18.75" hidden="1" customHeight="1">
      <c r="A20" s="31" t="s">
        <v>341</v>
      </c>
      <c r="B20" s="31" t="s">
        <v>1100</v>
      </c>
      <c r="C20" s="31" t="s">
        <v>1101</v>
      </c>
      <c r="F20" s="39">
        <v>45874</v>
      </c>
      <c r="G20" s="51" t="str">
        <f t="shared" si="0"/>
        <v>2025</v>
      </c>
      <c r="H20" s="51" t="str">
        <f t="shared" si="1"/>
        <v>agosto</v>
      </c>
      <c r="I20" s="31" t="s">
        <v>373</v>
      </c>
      <c r="J20" s="31" t="s">
        <v>1076</v>
      </c>
      <c r="K20" s="31" t="s">
        <v>357</v>
      </c>
      <c r="L20" s="131"/>
      <c r="M20" s="31"/>
    </row>
    <row r="21" spans="1:15" ht="18.75" hidden="1" customHeight="1">
      <c r="A21" s="31" t="s">
        <v>342</v>
      </c>
      <c r="B21" s="31" t="s">
        <v>706</v>
      </c>
      <c r="C21" s="31" t="s">
        <v>1102</v>
      </c>
      <c r="F21" s="39">
        <v>45873</v>
      </c>
      <c r="G21" s="51" t="str">
        <f t="shared" si="0"/>
        <v>2025</v>
      </c>
      <c r="H21" s="51" t="str">
        <f t="shared" si="1"/>
        <v>agosto</v>
      </c>
      <c r="I21" s="31" t="s">
        <v>373</v>
      </c>
      <c r="J21" s="31" t="s">
        <v>1076</v>
      </c>
      <c r="K21" s="31" t="s">
        <v>357</v>
      </c>
      <c r="L21" s="131"/>
      <c r="M21" s="31"/>
    </row>
    <row r="22" spans="1:15" ht="18.75" hidden="1" customHeight="1">
      <c r="A22" s="31" t="s">
        <v>347</v>
      </c>
      <c r="B22" s="31" t="s">
        <v>374</v>
      </c>
      <c r="C22" s="31" t="s">
        <v>1103</v>
      </c>
      <c r="F22" s="39">
        <v>45872</v>
      </c>
      <c r="G22" s="51" t="str">
        <f t="shared" si="0"/>
        <v>2025</v>
      </c>
      <c r="H22" s="51" t="str">
        <f t="shared" si="1"/>
        <v>agosto</v>
      </c>
      <c r="I22" s="31" t="s">
        <v>373</v>
      </c>
      <c r="J22" s="31" t="s">
        <v>1076</v>
      </c>
      <c r="K22" s="31" t="s">
        <v>394</v>
      </c>
      <c r="L22" s="131" t="s">
        <v>2139</v>
      </c>
      <c r="M22" s="31" t="s">
        <v>1104</v>
      </c>
      <c r="N22" s="31" t="s">
        <v>1105</v>
      </c>
      <c r="O22" s="31" t="s">
        <v>1103</v>
      </c>
    </row>
    <row r="23" spans="1:15" ht="18.75" hidden="1" customHeight="1">
      <c r="A23" s="31" t="s">
        <v>83</v>
      </c>
      <c r="B23" s="31" t="s">
        <v>628</v>
      </c>
      <c r="C23" s="31" t="s">
        <v>1106</v>
      </c>
      <c r="F23" s="39">
        <v>45869</v>
      </c>
      <c r="G23" s="51" t="str">
        <f t="shared" si="0"/>
        <v>2025</v>
      </c>
      <c r="H23" s="51" t="str">
        <f t="shared" si="1"/>
        <v>julio</v>
      </c>
      <c r="I23" s="31" t="s">
        <v>373</v>
      </c>
      <c r="J23" s="31" t="s">
        <v>1076</v>
      </c>
      <c r="K23" s="31" t="s">
        <v>357</v>
      </c>
      <c r="L23" s="131"/>
      <c r="M23" s="31"/>
    </row>
    <row r="24" spans="1:15" ht="18.75" hidden="1" customHeight="1">
      <c r="A24" s="31" t="s">
        <v>307</v>
      </c>
      <c r="B24" s="31" t="s">
        <v>383</v>
      </c>
      <c r="C24" s="31" t="s">
        <v>1107</v>
      </c>
      <c r="F24" s="39">
        <v>45868</v>
      </c>
      <c r="G24" s="51" t="str">
        <f t="shared" si="0"/>
        <v>2025</v>
      </c>
      <c r="H24" s="51" t="str">
        <f t="shared" si="1"/>
        <v>julio</v>
      </c>
      <c r="I24" s="31" t="s">
        <v>1108</v>
      </c>
      <c r="J24" s="31" t="s">
        <v>1076</v>
      </c>
      <c r="K24" s="31" t="s">
        <v>394</v>
      </c>
      <c r="L24" s="131" t="s">
        <v>1109</v>
      </c>
      <c r="M24" s="31" t="s">
        <v>1110</v>
      </c>
    </row>
    <row r="25" spans="1:15" ht="18.75" hidden="1" customHeight="1">
      <c r="A25" s="31" t="s">
        <v>354</v>
      </c>
      <c r="B25" s="31" t="s">
        <v>1111</v>
      </c>
      <c r="C25" s="31" t="s">
        <v>1112</v>
      </c>
      <c r="F25" s="39">
        <v>45868</v>
      </c>
      <c r="G25" s="51" t="str">
        <f t="shared" si="0"/>
        <v>2025</v>
      </c>
      <c r="H25" s="51" t="str">
        <f t="shared" si="1"/>
        <v>julio</v>
      </c>
      <c r="I25" s="8" t="s">
        <v>373</v>
      </c>
      <c r="J25" s="31" t="s">
        <v>1076</v>
      </c>
      <c r="K25" s="31" t="s">
        <v>357</v>
      </c>
    </row>
    <row r="26" spans="1:15" ht="18.75" hidden="1" customHeight="1">
      <c r="A26" s="31" t="s">
        <v>473</v>
      </c>
      <c r="B26" s="31" t="s">
        <v>474</v>
      </c>
      <c r="C26" s="31" t="s">
        <v>1113</v>
      </c>
      <c r="F26" s="39">
        <v>45853</v>
      </c>
      <c r="G26" s="51" t="str">
        <f t="shared" si="0"/>
        <v>2025</v>
      </c>
      <c r="H26" s="51" t="str">
        <f t="shared" si="1"/>
        <v>julio</v>
      </c>
      <c r="I26" s="8" t="s">
        <v>373</v>
      </c>
      <c r="J26" s="31" t="s">
        <v>1076</v>
      </c>
      <c r="K26" s="31" t="s">
        <v>357</v>
      </c>
    </row>
    <row r="27" spans="1:15" ht="18.75" hidden="1" customHeight="1">
      <c r="A27" s="31" t="s">
        <v>278</v>
      </c>
      <c r="B27" s="31" t="s">
        <v>478</v>
      </c>
      <c r="C27" s="31" t="s">
        <v>1114</v>
      </c>
      <c r="F27" s="39">
        <v>45853</v>
      </c>
      <c r="G27" s="51" t="str">
        <f t="shared" si="0"/>
        <v>2025</v>
      </c>
      <c r="H27" s="51" t="str">
        <f t="shared" si="1"/>
        <v>julio</v>
      </c>
      <c r="I27" s="8" t="s">
        <v>373</v>
      </c>
      <c r="J27" s="31" t="s">
        <v>1076</v>
      </c>
      <c r="K27" s="31" t="s">
        <v>357</v>
      </c>
    </row>
    <row r="28" spans="1:15" ht="18.75" hidden="1" customHeight="1">
      <c r="A28" s="31" t="s">
        <v>302</v>
      </c>
      <c r="B28" s="31" t="s">
        <v>374</v>
      </c>
      <c r="C28" s="31" t="s">
        <v>1115</v>
      </c>
      <c r="F28" s="39">
        <v>45830</v>
      </c>
      <c r="G28" s="51" t="str">
        <f t="shared" si="0"/>
        <v>2025</v>
      </c>
      <c r="H28" s="51" t="str">
        <f t="shared" si="1"/>
        <v>junio</v>
      </c>
      <c r="I28" s="8" t="s">
        <v>373</v>
      </c>
      <c r="J28" s="31" t="s">
        <v>1076</v>
      </c>
      <c r="K28" s="31" t="s">
        <v>357</v>
      </c>
    </row>
    <row r="29" spans="1:15" ht="18.75" hidden="1" customHeight="1">
      <c r="A29" s="31" t="s">
        <v>564</v>
      </c>
      <c r="B29" s="31" t="s">
        <v>534</v>
      </c>
      <c r="C29" s="31" t="s">
        <v>1116</v>
      </c>
      <c r="F29" s="39">
        <v>45830</v>
      </c>
      <c r="G29" s="51" t="str">
        <f t="shared" si="0"/>
        <v>2025</v>
      </c>
      <c r="H29" s="51" t="str">
        <f t="shared" si="1"/>
        <v>junio</v>
      </c>
      <c r="I29" s="8" t="s">
        <v>373</v>
      </c>
      <c r="J29" s="31" t="s">
        <v>1076</v>
      </c>
      <c r="K29" s="31" t="s">
        <v>357</v>
      </c>
    </row>
    <row r="30" spans="1:15" ht="18.75" hidden="1" customHeight="1">
      <c r="A30" s="31" t="s">
        <v>593</v>
      </c>
      <c r="B30" s="31" t="s">
        <v>595</v>
      </c>
      <c r="C30" s="31" t="s">
        <v>1117</v>
      </c>
      <c r="F30" s="39">
        <v>45818</v>
      </c>
      <c r="G30" s="51" t="str">
        <f t="shared" si="0"/>
        <v>2025</v>
      </c>
      <c r="H30" s="51" t="str">
        <f t="shared" si="1"/>
        <v>junio</v>
      </c>
      <c r="I30" s="8" t="s">
        <v>373</v>
      </c>
      <c r="J30" s="31" t="s">
        <v>1076</v>
      </c>
      <c r="K30" s="31" t="s">
        <v>357</v>
      </c>
    </row>
    <row r="31" spans="1:15" ht="18.75" hidden="1" customHeight="1">
      <c r="A31" s="31" t="s">
        <v>319</v>
      </c>
      <c r="B31" s="31" t="s">
        <v>467</v>
      </c>
      <c r="C31" s="31" t="s">
        <v>1118</v>
      </c>
      <c r="F31" s="39">
        <v>45817</v>
      </c>
      <c r="G31" s="51" t="str">
        <f t="shared" si="0"/>
        <v>2025</v>
      </c>
      <c r="H31" s="51" t="str">
        <f t="shared" si="1"/>
        <v>junio</v>
      </c>
      <c r="I31" s="8" t="s">
        <v>373</v>
      </c>
      <c r="J31" s="31" t="s">
        <v>1076</v>
      </c>
      <c r="K31" s="31" t="s">
        <v>357</v>
      </c>
    </row>
    <row r="32" spans="1:15" ht="18.75" hidden="1" customHeight="1">
      <c r="A32" s="31" t="s">
        <v>925</v>
      </c>
      <c r="B32" s="31" t="s">
        <v>374</v>
      </c>
      <c r="C32" s="31" t="s">
        <v>1119</v>
      </c>
      <c r="F32" s="39">
        <v>45451</v>
      </c>
      <c r="G32" s="51" t="str">
        <f t="shared" si="0"/>
        <v>2024</v>
      </c>
      <c r="H32" s="51" t="str">
        <f t="shared" si="1"/>
        <v>junio</v>
      </c>
      <c r="I32" s="8" t="s">
        <v>373</v>
      </c>
      <c r="J32" s="31" t="s">
        <v>1076</v>
      </c>
      <c r="K32" s="31" t="s">
        <v>357</v>
      </c>
    </row>
    <row r="33" spans="1:19" ht="18.75" hidden="1" customHeight="1">
      <c r="A33" s="31" t="s">
        <v>828</v>
      </c>
      <c r="B33" s="31" t="s">
        <v>1120</v>
      </c>
      <c r="C33" s="31" t="s">
        <v>1121</v>
      </c>
      <c r="F33" s="39">
        <v>45544</v>
      </c>
      <c r="G33" s="51" t="str">
        <f t="shared" si="0"/>
        <v>2024</v>
      </c>
      <c r="H33" s="51" t="str">
        <f t="shared" si="1"/>
        <v>septiembre</v>
      </c>
      <c r="I33" s="8" t="s">
        <v>373</v>
      </c>
      <c r="J33" s="31" t="s">
        <v>1076</v>
      </c>
      <c r="K33" s="31" t="s">
        <v>357</v>
      </c>
      <c r="L33" s="131"/>
      <c r="M33" s="41"/>
      <c r="N33" s="41"/>
      <c r="P33" s="42"/>
      <c r="Q33" s="41"/>
      <c r="R33" s="41"/>
      <c r="S33" s="40"/>
    </row>
    <row r="34" spans="1:19" ht="18.75" hidden="1" customHeight="1">
      <c r="A34" s="31" t="s">
        <v>908</v>
      </c>
      <c r="B34" s="31" t="s">
        <v>1122</v>
      </c>
      <c r="C34" s="31" t="s">
        <v>1123</v>
      </c>
      <c r="F34" s="39">
        <v>45451</v>
      </c>
      <c r="G34" s="51" t="str">
        <f t="shared" si="0"/>
        <v>2024</v>
      </c>
      <c r="H34" s="51" t="str">
        <f t="shared" si="1"/>
        <v>junio</v>
      </c>
      <c r="I34" s="31" t="s">
        <v>373</v>
      </c>
      <c r="J34" s="31" t="s">
        <v>1076</v>
      </c>
      <c r="K34" s="31" t="s">
        <v>357</v>
      </c>
      <c r="L34" s="131"/>
      <c r="M34" s="40"/>
      <c r="N34" s="40"/>
      <c r="P34" s="42"/>
      <c r="Q34" s="41"/>
      <c r="R34" s="41"/>
      <c r="S34" s="40"/>
    </row>
    <row r="35" spans="1:19" ht="18.75" hidden="1" customHeight="1">
      <c r="A35" s="31" t="s">
        <v>825</v>
      </c>
      <c r="B35" s="31" t="s">
        <v>533</v>
      </c>
      <c r="C35" s="31" t="s">
        <v>1124</v>
      </c>
      <c r="F35" s="39">
        <v>45547</v>
      </c>
      <c r="G35" s="51" t="str">
        <f t="shared" si="0"/>
        <v>2024</v>
      </c>
      <c r="H35" s="51" t="str">
        <f t="shared" si="1"/>
        <v>septiembre</v>
      </c>
      <c r="I35" s="8" t="s">
        <v>373</v>
      </c>
      <c r="J35" s="31" t="s">
        <v>1076</v>
      </c>
      <c r="K35" s="31" t="s">
        <v>357</v>
      </c>
      <c r="L35" s="131"/>
      <c r="M35" s="41"/>
      <c r="N35" s="41"/>
      <c r="P35" s="42"/>
      <c r="Q35" s="41"/>
      <c r="R35" s="41"/>
      <c r="S35" s="40"/>
    </row>
    <row r="36" spans="1:19" ht="18.75" hidden="1" customHeight="1">
      <c r="A36" s="31" t="s">
        <v>663</v>
      </c>
      <c r="B36" s="31" t="s">
        <v>374</v>
      </c>
      <c r="C36" s="31" t="s">
        <v>1125</v>
      </c>
      <c r="F36" s="39">
        <v>45411</v>
      </c>
      <c r="G36" s="51" t="str">
        <f t="shared" si="0"/>
        <v>2024</v>
      </c>
      <c r="H36" s="51" t="str">
        <f t="shared" si="1"/>
        <v>abril</v>
      </c>
      <c r="I36" s="31" t="s">
        <v>373</v>
      </c>
      <c r="J36" s="31" t="s">
        <v>1076</v>
      </c>
      <c r="K36" s="31" t="s">
        <v>357</v>
      </c>
      <c r="L36" s="131"/>
      <c r="M36" s="41"/>
      <c r="N36" s="41"/>
      <c r="O36" s="31"/>
      <c r="P36" s="31"/>
      <c r="Q36" s="41"/>
      <c r="R36" s="41"/>
      <c r="S36" s="40"/>
    </row>
    <row r="37" spans="1:19" ht="18.75" hidden="1" customHeight="1">
      <c r="A37" s="31" t="s">
        <v>1004</v>
      </c>
      <c r="B37" s="31" t="s">
        <v>367</v>
      </c>
      <c r="F37" s="39">
        <v>45451</v>
      </c>
      <c r="G37" s="51" t="str">
        <f t="shared" si="0"/>
        <v>2024</v>
      </c>
      <c r="H37" s="51" t="str">
        <f t="shared" si="1"/>
        <v>junio</v>
      </c>
      <c r="I37" s="31" t="s">
        <v>373</v>
      </c>
      <c r="J37" s="31" t="s">
        <v>1076</v>
      </c>
      <c r="K37" s="31" t="s">
        <v>357</v>
      </c>
      <c r="L37" s="131"/>
      <c r="M37" s="40"/>
      <c r="N37" s="40"/>
      <c r="P37" s="42"/>
      <c r="Q37" s="41"/>
      <c r="R37" s="41"/>
      <c r="S37" s="40"/>
    </row>
    <row r="38" spans="1:19" ht="18.75" hidden="1" customHeight="1">
      <c r="A38" s="31" t="s">
        <v>596</v>
      </c>
      <c r="B38" s="31" t="s">
        <v>380</v>
      </c>
      <c r="C38" s="31" t="s">
        <v>1126</v>
      </c>
      <c r="F38" s="39">
        <v>45451</v>
      </c>
      <c r="G38" s="51" t="str">
        <f t="shared" si="0"/>
        <v>2024</v>
      </c>
      <c r="H38" s="51" t="str">
        <f t="shared" si="1"/>
        <v>junio</v>
      </c>
      <c r="I38" s="8" t="s">
        <v>373</v>
      </c>
      <c r="J38" s="31" t="s">
        <v>1076</v>
      </c>
      <c r="K38" s="31" t="s">
        <v>357</v>
      </c>
      <c r="L38" s="131"/>
      <c r="M38" s="40"/>
      <c r="N38" s="40"/>
      <c r="P38" s="42"/>
      <c r="Q38" s="41"/>
      <c r="R38" s="41"/>
      <c r="S38" s="40"/>
    </row>
    <row r="39" spans="1:19" ht="18.75" hidden="1" customHeight="1">
      <c r="A39" s="31" t="s">
        <v>576</v>
      </c>
      <c r="B39" s="31" t="s">
        <v>577</v>
      </c>
      <c r="C39" s="31" t="s">
        <v>1127</v>
      </c>
      <c r="F39" s="39">
        <v>45545</v>
      </c>
      <c r="G39" s="51" t="str">
        <f t="shared" si="0"/>
        <v>2024</v>
      </c>
      <c r="H39" s="51" t="str">
        <f t="shared" si="1"/>
        <v>septiembre</v>
      </c>
      <c r="I39" s="8" t="s">
        <v>373</v>
      </c>
      <c r="J39" s="31" t="s">
        <v>1076</v>
      </c>
      <c r="K39" s="31" t="s">
        <v>357</v>
      </c>
      <c r="L39" s="131"/>
      <c r="M39" s="41"/>
      <c r="N39" s="41"/>
      <c r="P39" s="42"/>
      <c r="Q39" s="41"/>
      <c r="R39" s="41"/>
      <c r="S39" s="40"/>
    </row>
    <row r="40" spans="1:19" ht="18.75" hidden="1" customHeight="1">
      <c r="A40" s="31" t="s">
        <v>526</v>
      </c>
      <c r="B40" s="31" t="s">
        <v>527</v>
      </c>
      <c r="C40" s="31" t="s">
        <v>1128</v>
      </c>
      <c r="F40" s="39">
        <v>45596</v>
      </c>
      <c r="G40" s="51" t="str">
        <f t="shared" si="0"/>
        <v>2024</v>
      </c>
      <c r="H40" s="51" t="str">
        <f t="shared" si="1"/>
        <v>octubre</v>
      </c>
      <c r="I40" s="31" t="s">
        <v>373</v>
      </c>
      <c r="J40" s="31" t="s">
        <v>1076</v>
      </c>
      <c r="K40" s="31" t="s">
        <v>357</v>
      </c>
      <c r="L40" s="131"/>
      <c r="M40" s="41"/>
      <c r="N40" s="41"/>
      <c r="O40" s="31"/>
      <c r="P40" s="31"/>
      <c r="Q40" s="41"/>
      <c r="R40" s="41"/>
      <c r="S40" s="40"/>
    </row>
    <row r="41" spans="1:19" ht="18.75" hidden="1" customHeight="1">
      <c r="A41" s="31" t="s">
        <v>832</v>
      </c>
      <c r="B41" s="31" t="s">
        <v>640</v>
      </c>
      <c r="C41" s="31" t="s">
        <v>1129</v>
      </c>
      <c r="F41" s="39">
        <v>45538</v>
      </c>
      <c r="G41" s="51" t="str">
        <f t="shared" si="0"/>
        <v>2024</v>
      </c>
      <c r="H41" s="51" t="str">
        <f t="shared" si="1"/>
        <v>septiembre</v>
      </c>
      <c r="I41" s="8" t="s">
        <v>373</v>
      </c>
      <c r="J41" s="31" t="s">
        <v>1076</v>
      </c>
      <c r="K41" s="31" t="s">
        <v>357</v>
      </c>
      <c r="L41" s="131"/>
      <c r="M41" s="41"/>
      <c r="N41" s="41"/>
      <c r="P41" s="42"/>
      <c r="Q41" s="41"/>
      <c r="R41" s="41"/>
      <c r="S41" s="40"/>
    </row>
    <row r="42" spans="1:19" ht="18.75" hidden="1" customHeight="1">
      <c r="A42" s="31" t="s">
        <v>896</v>
      </c>
      <c r="B42" s="31" t="s">
        <v>383</v>
      </c>
      <c r="C42" s="31" t="s">
        <v>1130</v>
      </c>
      <c r="F42" s="39">
        <v>45451</v>
      </c>
      <c r="G42" s="51" t="str">
        <f t="shared" si="0"/>
        <v>2024</v>
      </c>
      <c r="H42" s="51" t="str">
        <f t="shared" si="1"/>
        <v>junio</v>
      </c>
      <c r="I42" s="8" t="s">
        <v>361</v>
      </c>
      <c r="J42" s="31" t="s">
        <v>1131</v>
      </c>
      <c r="K42" s="31" t="s">
        <v>357</v>
      </c>
      <c r="L42" s="131"/>
      <c r="M42" s="40"/>
      <c r="N42" s="40"/>
      <c r="P42" s="42"/>
      <c r="Q42" s="41"/>
      <c r="R42" s="41"/>
      <c r="S42" s="40"/>
    </row>
    <row r="43" spans="1:19" ht="18.75" hidden="1" customHeight="1">
      <c r="A43" s="31" t="s">
        <v>350</v>
      </c>
      <c r="B43" s="31" t="s">
        <v>389</v>
      </c>
      <c r="C43" s="31" t="s">
        <v>1132</v>
      </c>
      <c r="F43" s="39">
        <v>45735</v>
      </c>
      <c r="G43" s="51" t="str">
        <f t="shared" si="0"/>
        <v>2025</v>
      </c>
      <c r="H43" s="51" t="str">
        <f t="shared" si="1"/>
        <v>marzo</v>
      </c>
      <c r="I43" s="31" t="s">
        <v>373</v>
      </c>
      <c r="J43" s="31" t="s">
        <v>1076</v>
      </c>
      <c r="K43" s="31" t="s">
        <v>357</v>
      </c>
      <c r="L43" s="131"/>
      <c r="M43" s="41"/>
      <c r="N43" s="41"/>
      <c r="O43" s="31"/>
      <c r="P43" s="31"/>
      <c r="Q43" s="41"/>
      <c r="R43" s="41"/>
      <c r="S43" s="40"/>
    </row>
    <row r="44" spans="1:19" ht="18.75" hidden="1" customHeight="1">
      <c r="A44" s="31" t="s">
        <v>585</v>
      </c>
      <c r="B44" s="31" t="s">
        <v>568</v>
      </c>
      <c r="C44" s="31" t="s">
        <v>1133</v>
      </c>
      <c r="F44" s="39">
        <v>45604</v>
      </c>
      <c r="G44" s="51" t="str">
        <f t="shared" si="0"/>
        <v>2024</v>
      </c>
      <c r="H44" s="51" t="str">
        <f t="shared" si="1"/>
        <v>noviembre</v>
      </c>
      <c r="I44" s="31" t="s">
        <v>373</v>
      </c>
      <c r="J44" s="31" t="s">
        <v>1076</v>
      </c>
      <c r="K44" s="31" t="s">
        <v>357</v>
      </c>
      <c r="L44" s="131"/>
      <c r="M44" s="41"/>
      <c r="N44" s="41"/>
      <c r="O44" s="31"/>
      <c r="P44" s="31"/>
      <c r="Q44" s="41"/>
      <c r="R44" s="41"/>
      <c r="S44" s="40"/>
    </row>
    <row r="45" spans="1:19" ht="18.75" hidden="1" customHeight="1">
      <c r="A45" s="31" t="s">
        <v>849</v>
      </c>
      <c r="B45" s="31" t="s">
        <v>1134</v>
      </c>
      <c r="F45" s="39">
        <v>45508</v>
      </c>
      <c r="G45" s="51" t="str">
        <f t="shared" si="0"/>
        <v>2024</v>
      </c>
      <c r="H45" s="51" t="str">
        <f t="shared" si="1"/>
        <v>agosto</v>
      </c>
      <c r="I45" s="8" t="s">
        <v>373</v>
      </c>
      <c r="J45" s="31" t="s">
        <v>1076</v>
      </c>
      <c r="K45" s="31" t="s">
        <v>357</v>
      </c>
      <c r="L45" s="131"/>
      <c r="M45" s="40"/>
      <c r="N45" s="40"/>
      <c r="P45" s="42"/>
      <c r="Q45" s="41"/>
      <c r="R45" s="41"/>
      <c r="S45" s="40"/>
    </row>
    <row r="46" spans="1:19" ht="18.75" hidden="1" customHeight="1">
      <c r="A46" s="31" t="s">
        <v>36</v>
      </c>
      <c r="B46" s="31" t="s">
        <v>367</v>
      </c>
      <c r="F46" s="39">
        <v>45451</v>
      </c>
      <c r="G46" s="51" t="str">
        <f t="shared" si="0"/>
        <v>2024</v>
      </c>
      <c r="H46" s="51" t="str">
        <f t="shared" si="1"/>
        <v>junio</v>
      </c>
      <c r="I46" s="31" t="s">
        <v>367</v>
      </c>
      <c r="J46" s="31" t="s">
        <v>1131</v>
      </c>
      <c r="K46" s="31" t="s">
        <v>357</v>
      </c>
      <c r="L46" s="131"/>
      <c r="M46" s="40"/>
      <c r="N46" s="40"/>
      <c r="P46" s="42"/>
      <c r="Q46" s="41"/>
      <c r="R46" s="41"/>
      <c r="S46" s="40"/>
    </row>
    <row r="47" spans="1:19" ht="18.75" hidden="1" customHeight="1">
      <c r="A47" s="31" t="s">
        <v>914</v>
      </c>
      <c r="B47" s="31" t="s">
        <v>489</v>
      </c>
      <c r="C47" s="31" t="s">
        <v>1135</v>
      </c>
      <c r="F47" s="39">
        <v>45451</v>
      </c>
      <c r="G47" s="51" t="str">
        <f t="shared" si="0"/>
        <v>2024</v>
      </c>
      <c r="H47" s="51" t="str">
        <f t="shared" si="1"/>
        <v>junio</v>
      </c>
      <c r="I47" s="8" t="s">
        <v>373</v>
      </c>
      <c r="J47" s="31" t="s">
        <v>1076</v>
      </c>
      <c r="K47" s="31" t="s">
        <v>357</v>
      </c>
      <c r="L47" s="131"/>
      <c r="M47" s="40"/>
      <c r="N47" s="40"/>
      <c r="P47" s="42"/>
      <c r="Q47" s="41"/>
      <c r="R47" s="41"/>
      <c r="S47" s="40"/>
    </row>
    <row r="48" spans="1:19" ht="18.75" hidden="1" customHeight="1">
      <c r="A48" s="31" t="s">
        <v>558</v>
      </c>
      <c r="B48" s="31" t="s">
        <v>367</v>
      </c>
      <c r="F48" s="39">
        <v>45451</v>
      </c>
      <c r="G48" s="51" t="str">
        <f t="shared" si="0"/>
        <v>2024</v>
      </c>
      <c r="H48" s="51" t="str">
        <f t="shared" si="1"/>
        <v>junio</v>
      </c>
      <c r="I48" s="31" t="s">
        <v>373</v>
      </c>
      <c r="J48" s="31" t="s">
        <v>1076</v>
      </c>
      <c r="K48" s="31" t="s">
        <v>357</v>
      </c>
      <c r="L48" s="131"/>
      <c r="M48" s="41"/>
      <c r="N48" s="41"/>
      <c r="P48" s="42"/>
      <c r="Q48" s="41"/>
      <c r="R48" s="41"/>
      <c r="S48" s="40"/>
    </row>
    <row r="49" spans="1:19" ht="18.75" hidden="1" customHeight="1">
      <c r="A49" s="31" t="s">
        <v>903</v>
      </c>
      <c r="B49" s="31" t="s">
        <v>362</v>
      </c>
      <c r="F49" s="39">
        <v>45451</v>
      </c>
      <c r="G49" s="51" t="str">
        <f t="shared" si="0"/>
        <v>2024</v>
      </c>
      <c r="H49" s="51" t="str">
        <f t="shared" si="1"/>
        <v>junio</v>
      </c>
      <c r="I49" s="8" t="s">
        <v>373</v>
      </c>
      <c r="J49" s="31" t="s">
        <v>1076</v>
      </c>
      <c r="K49" s="31" t="s">
        <v>357</v>
      </c>
      <c r="L49" s="131"/>
      <c r="M49" s="40"/>
      <c r="N49" s="41"/>
      <c r="P49" s="42"/>
      <c r="Q49" s="41"/>
      <c r="R49" s="41"/>
      <c r="S49" s="40"/>
    </row>
    <row r="50" spans="1:19" ht="18.75" hidden="1" customHeight="1">
      <c r="A50" s="31" t="s">
        <v>96</v>
      </c>
      <c r="B50" s="31" t="s">
        <v>374</v>
      </c>
      <c r="C50" s="31" t="s">
        <v>1136</v>
      </c>
      <c r="F50" s="39">
        <v>45753</v>
      </c>
      <c r="G50" s="51" t="str">
        <f t="shared" si="0"/>
        <v>2025</v>
      </c>
      <c r="H50" s="51" t="str">
        <f t="shared" si="1"/>
        <v>abril</v>
      </c>
      <c r="I50" s="31" t="s">
        <v>373</v>
      </c>
      <c r="J50" s="31" t="s">
        <v>1076</v>
      </c>
      <c r="K50" s="31" t="s">
        <v>357</v>
      </c>
      <c r="L50" s="131"/>
      <c r="M50" s="41"/>
      <c r="N50" s="41"/>
      <c r="O50" s="31"/>
      <c r="P50" s="31"/>
      <c r="Q50" s="41"/>
      <c r="R50" s="41"/>
      <c r="S50" s="40"/>
    </row>
    <row r="51" spans="1:19" ht="18.75" hidden="1" customHeight="1">
      <c r="A51" s="31" t="s">
        <v>1021</v>
      </c>
      <c r="F51" s="39">
        <v>45451</v>
      </c>
      <c r="G51" s="51" t="str">
        <f t="shared" si="0"/>
        <v>2024</v>
      </c>
      <c r="H51" s="51" t="str">
        <f t="shared" si="1"/>
        <v>junio</v>
      </c>
      <c r="I51" s="31" t="s">
        <v>373</v>
      </c>
      <c r="J51" s="31" t="s">
        <v>1076</v>
      </c>
      <c r="K51" s="31" t="s">
        <v>357</v>
      </c>
      <c r="L51" s="131"/>
      <c r="M51" s="41"/>
      <c r="N51" s="40"/>
      <c r="P51" s="42"/>
      <c r="Q51" s="41"/>
      <c r="R51" s="41"/>
      <c r="S51" s="40"/>
    </row>
    <row r="52" spans="1:19" ht="18.75" hidden="1" customHeight="1">
      <c r="A52" s="31" t="s">
        <v>584</v>
      </c>
      <c r="B52" s="31" t="s">
        <v>374</v>
      </c>
      <c r="C52" s="31" t="s">
        <v>1137</v>
      </c>
      <c r="F52" s="39">
        <v>45767</v>
      </c>
      <c r="G52" s="51" t="str">
        <f t="shared" si="0"/>
        <v>2025</v>
      </c>
      <c r="H52" s="51" t="str">
        <f t="shared" si="1"/>
        <v>abril</v>
      </c>
      <c r="I52" s="31" t="s">
        <v>373</v>
      </c>
      <c r="J52" s="31" t="s">
        <v>1076</v>
      </c>
      <c r="K52" s="31" t="s">
        <v>357</v>
      </c>
      <c r="L52" s="131"/>
      <c r="M52" s="41"/>
      <c r="N52" s="41"/>
      <c r="O52" s="31"/>
      <c r="P52" s="31"/>
      <c r="Q52" s="41"/>
      <c r="R52" s="41"/>
      <c r="S52" s="40"/>
    </row>
    <row r="53" spans="1:19" ht="18.75" hidden="1" customHeight="1">
      <c r="A53" s="31" t="s">
        <v>736</v>
      </c>
      <c r="B53" s="31" t="s">
        <v>509</v>
      </c>
      <c r="C53" s="31" t="s">
        <v>1138</v>
      </c>
      <c r="F53" s="39">
        <v>45710</v>
      </c>
      <c r="G53" s="51" t="str">
        <f t="shared" si="0"/>
        <v>2025</v>
      </c>
      <c r="H53" s="51" t="str">
        <f t="shared" si="1"/>
        <v>febrero</v>
      </c>
      <c r="I53" s="31" t="s">
        <v>373</v>
      </c>
      <c r="J53" s="31" t="s">
        <v>1076</v>
      </c>
      <c r="K53" s="31" t="s">
        <v>357</v>
      </c>
      <c r="L53" s="131"/>
      <c r="M53" s="41"/>
      <c r="N53" s="41"/>
      <c r="O53" s="31"/>
      <c r="P53" s="31"/>
      <c r="Q53" s="41"/>
      <c r="R53" s="41"/>
      <c r="S53" s="40"/>
    </row>
    <row r="54" spans="1:19" ht="18.75" hidden="1" customHeight="1">
      <c r="A54" s="31" t="s">
        <v>793</v>
      </c>
      <c r="B54" s="31" t="s">
        <v>374</v>
      </c>
      <c r="C54" s="31" t="s">
        <v>1139</v>
      </c>
      <c r="F54" s="39">
        <v>45477</v>
      </c>
      <c r="G54" s="51" t="str">
        <f t="shared" si="0"/>
        <v>2024</v>
      </c>
      <c r="H54" s="51" t="str">
        <f t="shared" si="1"/>
        <v>julio</v>
      </c>
      <c r="I54" s="8" t="s">
        <v>373</v>
      </c>
      <c r="J54" s="31" t="s">
        <v>1076</v>
      </c>
      <c r="K54" s="31" t="s">
        <v>357</v>
      </c>
      <c r="L54" s="131"/>
      <c r="M54" s="40"/>
      <c r="N54" s="40"/>
      <c r="P54" s="42"/>
      <c r="Q54" s="41"/>
      <c r="R54" s="41"/>
      <c r="S54" s="40"/>
    </row>
    <row r="55" spans="1:19" ht="18.75" hidden="1" customHeight="1">
      <c r="A55" s="31" t="s">
        <v>732</v>
      </c>
      <c r="B55" s="31" t="s">
        <v>374</v>
      </c>
      <c r="C55" s="31" t="s">
        <v>1140</v>
      </c>
      <c r="F55" s="39">
        <v>45510</v>
      </c>
      <c r="G55" s="51" t="str">
        <f t="shared" si="0"/>
        <v>2024</v>
      </c>
      <c r="H55" s="51" t="str">
        <f t="shared" si="1"/>
        <v>agosto</v>
      </c>
      <c r="I55" s="8" t="s">
        <v>373</v>
      </c>
      <c r="J55" s="31" t="s">
        <v>1076</v>
      </c>
      <c r="K55" s="31" t="s">
        <v>357</v>
      </c>
      <c r="L55" s="131"/>
      <c r="M55" s="40"/>
      <c r="N55" s="40"/>
      <c r="P55" s="42"/>
      <c r="Q55" s="41"/>
      <c r="R55" s="41"/>
      <c r="S55" s="40"/>
    </row>
    <row r="56" spans="1:19" ht="18.75" hidden="1" customHeight="1">
      <c r="A56" s="31" t="s">
        <v>760</v>
      </c>
      <c r="B56" s="31" t="s">
        <v>636</v>
      </c>
      <c r="C56" s="31" t="s">
        <v>1141</v>
      </c>
      <c r="F56" s="39">
        <v>45679</v>
      </c>
      <c r="G56" s="51" t="str">
        <f t="shared" si="0"/>
        <v>2025</v>
      </c>
      <c r="H56" s="51" t="str">
        <f t="shared" si="1"/>
        <v>enero</v>
      </c>
      <c r="I56" s="31" t="s">
        <v>373</v>
      </c>
      <c r="J56" s="31" t="s">
        <v>1076</v>
      </c>
      <c r="K56" s="31" t="s">
        <v>357</v>
      </c>
      <c r="L56" s="131"/>
      <c r="M56" s="41"/>
      <c r="N56" s="41"/>
      <c r="O56" s="31"/>
      <c r="P56" s="31"/>
      <c r="Q56" s="41"/>
      <c r="R56" s="41"/>
      <c r="S56" s="40"/>
    </row>
    <row r="57" spans="1:19" ht="18.75" hidden="1" customHeight="1">
      <c r="A57" s="31" t="s">
        <v>768</v>
      </c>
      <c r="B57" s="31" t="s">
        <v>362</v>
      </c>
      <c r="C57" s="31" t="s">
        <v>1142</v>
      </c>
      <c r="F57" s="39">
        <v>45451</v>
      </c>
      <c r="G57" s="51" t="str">
        <f t="shared" si="0"/>
        <v>2024</v>
      </c>
      <c r="H57" s="51" t="str">
        <f t="shared" si="1"/>
        <v>junio</v>
      </c>
      <c r="I57" s="8" t="s">
        <v>373</v>
      </c>
      <c r="J57" s="31" t="s">
        <v>1076</v>
      </c>
      <c r="K57" s="31" t="s">
        <v>357</v>
      </c>
      <c r="L57" s="131"/>
      <c r="M57" s="41"/>
      <c r="N57" s="41"/>
      <c r="P57" s="42"/>
      <c r="Q57" s="41"/>
      <c r="R57" s="41"/>
      <c r="S57" s="40"/>
    </row>
    <row r="58" spans="1:19" ht="18.75" hidden="1" customHeight="1">
      <c r="A58" s="31" t="s">
        <v>292</v>
      </c>
      <c r="B58" s="31" t="s">
        <v>383</v>
      </c>
      <c r="C58" s="31" t="s">
        <v>1143</v>
      </c>
      <c r="F58" s="39">
        <v>45451</v>
      </c>
      <c r="G58" s="51" t="str">
        <f t="shared" si="0"/>
        <v>2024</v>
      </c>
      <c r="H58" s="51" t="str">
        <f t="shared" si="1"/>
        <v>junio</v>
      </c>
      <c r="I58" s="31" t="s">
        <v>356</v>
      </c>
      <c r="J58" s="31" t="s">
        <v>1076</v>
      </c>
      <c r="K58" s="31" t="s">
        <v>357</v>
      </c>
      <c r="L58" s="131"/>
      <c r="M58" s="41"/>
      <c r="N58" s="41"/>
      <c r="P58" s="42"/>
      <c r="Q58" s="41"/>
      <c r="R58" s="41"/>
      <c r="S58" s="40"/>
    </row>
    <row r="59" spans="1:19" ht="18.75" hidden="1" customHeight="1">
      <c r="A59" s="31" t="s">
        <v>391</v>
      </c>
      <c r="B59" s="31" t="s">
        <v>392</v>
      </c>
      <c r="C59" s="31" t="s">
        <v>1144</v>
      </c>
      <c r="F59" s="39">
        <v>45671</v>
      </c>
      <c r="G59" s="51" t="str">
        <f t="shared" si="0"/>
        <v>2025</v>
      </c>
      <c r="H59" s="51" t="str">
        <f t="shared" si="1"/>
        <v>enero</v>
      </c>
      <c r="I59" s="31" t="s">
        <v>373</v>
      </c>
      <c r="J59" s="31" t="s">
        <v>1076</v>
      </c>
      <c r="K59" s="31" t="s">
        <v>357</v>
      </c>
      <c r="L59" s="131"/>
      <c r="M59" s="41"/>
      <c r="N59" s="41"/>
      <c r="O59" s="31"/>
      <c r="P59" s="31"/>
      <c r="Q59" s="41"/>
      <c r="R59" s="41"/>
      <c r="S59" s="40"/>
    </row>
    <row r="60" spans="1:19" ht="18.75" hidden="1" customHeight="1">
      <c r="A60" s="31" t="s">
        <v>810</v>
      </c>
      <c r="B60" s="31" t="s">
        <v>488</v>
      </c>
      <c r="C60" s="31" t="s">
        <v>1145</v>
      </c>
      <c r="F60" s="39">
        <v>45595</v>
      </c>
      <c r="G60" s="51" t="str">
        <f t="shared" si="0"/>
        <v>2024</v>
      </c>
      <c r="H60" s="51" t="str">
        <f t="shared" si="1"/>
        <v>octubre</v>
      </c>
      <c r="I60" s="8" t="s">
        <v>373</v>
      </c>
      <c r="J60" s="31" t="s">
        <v>1076</v>
      </c>
      <c r="K60" s="31" t="s">
        <v>357</v>
      </c>
      <c r="L60" s="131"/>
      <c r="M60" s="41"/>
      <c r="N60" s="41"/>
      <c r="O60" s="31"/>
      <c r="P60" s="31"/>
      <c r="Q60" s="41"/>
      <c r="R60" s="41"/>
      <c r="S60" s="40"/>
    </row>
    <row r="61" spans="1:19" ht="18.75" hidden="1" customHeight="1">
      <c r="A61" s="31" t="s">
        <v>751</v>
      </c>
      <c r="B61" s="31" t="s">
        <v>383</v>
      </c>
      <c r="C61" s="31" t="s">
        <v>1146</v>
      </c>
      <c r="F61" s="39">
        <v>45451</v>
      </c>
      <c r="G61" s="51" t="str">
        <f t="shared" si="0"/>
        <v>2024</v>
      </c>
      <c r="H61" s="51" t="str">
        <f t="shared" si="1"/>
        <v>junio</v>
      </c>
      <c r="I61" s="31" t="s">
        <v>373</v>
      </c>
      <c r="J61" s="31" t="s">
        <v>1076</v>
      </c>
      <c r="K61" s="31" t="s">
        <v>357</v>
      </c>
      <c r="L61" s="131"/>
      <c r="M61" s="40"/>
      <c r="N61" s="40"/>
      <c r="P61" s="42"/>
      <c r="Q61" s="41"/>
      <c r="R61" s="41"/>
      <c r="S61" s="40"/>
    </row>
    <row r="62" spans="1:19" ht="18.75" hidden="1" customHeight="1">
      <c r="A62" s="31" t="s">
        <v>906</v>
      </c>
      <c r="B62" s="31" t="s">
        <v>1147</v>
      </c>
      <c r="C62" s="31"/>
      <c r="F62" s="39">
        <v>45451</v>
      </c>
      <c r="G62" s="51" t="str">
        <f t="shared" si="0"/>
        <v>2024</v>
      </c>
      <c r="H62" s="51" t="str">
        <f t="shared" si="1"/>
        <v>junio</v>
      </c>
      <c r="I62" s="8" t="s">
        <v>373</v>
      </c>
      <c r="J62" s="31" t="s">
        <v>1076</v>
      </c>
      <c r="K62" s="31" t="s">
        <v>357</v>
      </c>
      <c r="L62" s="131"/>
      <c r="M62" s="41"/>
      <c r="N62" s="41"/>
      <c r="P62" s="42"/>
      <c r="Q62" s="41"/>
      <c r="R62" s="41"/>
      <c r="S62" s="40"/>
    </row>
    <row r="63" spans="1:19" ht="18.75" hidden="1" customHeight="1">
      <c r="A63" s="31" t="s">
        <v>891</v>
      </c>
      <c r="B63" s="31" t="s">
        <v>467</v>
      </c>
      <c r="C63" s="31" t="s">
        <v>1148</v>
      </c>
      <c r="F63" s="39">
        <v>45451</v>
      </c>
      <c r="G63" s="51" t="str">
        <f t="shared" si="0"/>
        <v>2024</v>
      </c>
      <c r="H63" s="51" t="str">
        <f t="shared" si="1"/>
        <v>junio</v>
      </c>
      <c r="I63" s="31" t="s">
        <v>373</v>
      </c>
      <c r="J63" s="31" t="s">
        <v>1076</v>
      </c>
      <c r="K63" s="31" t="s">
        <v>357</v>
      </c>
      <c r="L63" s="131"/>
      <c r="M63" s="40"/>
      <c r="N63" s="40"/>
      <c r="P63" s="42"/>
      <c r="Q63" s="41"/>
      <c r="R63" s="41"/>
      <c r="S63" s="40"/>
    </row>
    <row r="64" spans="1:19" ht="18.75" customHeight="1">
      <c r="A64" s="31" t="s">
        <v>172</v>
      </c>
      <c r="B64" s="31" t="s">
        <v>405</v>
      </c>
      <c r="C64" s="31" t="s">
        <v>1149</v>
      </c>
      <c r="F64" s="39">
        <v>45451</v>
      </c>
      <c r="G64" s="51" t="str">
        <f t="shared" si="0"/>
        <v>2024</v>
      </c>
      <c r="H64" s="51" t="str">
        <f t="shared" si="1"/>
        <v>junio</v>
      </c>
      <c r="I64" s="8" t="s">
        <v>361</v>
      </c>
      <c r="J64" s="31" t="s">
        <v>1131</v>
      </c>
      <c r="K64" s="31" t="s">
        <v>357</v>
      </c>
      <c r="L64" s="131"/>
      <c r="M64" s="40"/>
      <c r="N64" s="40"/>
      <c r="P64" s="42"/>
      <c r="Q64" s="41"/>
      <c r="R64" s="41"/>
      <c r="S64" s="40"/>
    </row>
    <row r="65" spans="1:19" ht="18.75" hidden="1" customHeight="1">
      <c r="A65" s="31" t="s">
        <v>291</v>
      </c>
      <c r="B65" s="31" t="s">
        <v>374</v>
      </c>
      <c r="C65" s="31" t="s">
        <v>1150</v>
      </c>
      <c r="F65" s="39">
        <v>45645</v>
      </c>
      <c r="G65" s="51" t="str">
        <f t="shared" si="0"/>
        <v>2024</v>
      </c>
      <c r="H65" s="51" t="str">
        <f t="shared" si="1"/>
        <v>diciembre</v>
      </c>
      <c r="I65" s="31" t="s">
        <v>373</v>
      </c>
      <c r="J65" s="31" t="s">
        <v>1076</v>
      </c>
      <c r="K65" s="31" t="s">
        <v>357</v>
      </c>
      <c r="L65" s="131"/>
      <c r="M65" s="41"/>
      <c r="N65" s="41"/>
      <c r="O65" s="31"/>
      <c r="P65" s="31"/>
      <c r="Q65" s="41"/>
      <c r="R65" s="41"/>
      <c r="S65" s="40"/>
    </row>
    <row r="66" spans="1:19" ht="18.75" hidden="1" customHeight="1">
      <c r="A66" s="31" t="s">
        <v>818</v>
      </c>
      <c r="B66" s="31" t="s">
        <v>623</v>
      </c>
      <c r="C66" s="31"/>
      <c r="F66" s="39">
        <v>45554</v>
      </c>
      <c r="G66" s="51" t="str">
        <f t="shared" si="0"/>
        <v>2024</v>
      </c>
      <c r="H66" s="51" t="str">
        <f t="shared" si="1"/>
        <v>septiembre</v>
      </c>
      <c r="I66" s="8" t="s">
        <v>373</v>
      </c>
      <c r="J66" s="31" t="s">
        <v>1076</v>
      </c>
      <c r="K66" s="31" t="s">
        <v>357</v>
      </c>
      <c r="L66" s="131"/>
      <c r="M66" s="41"/>
      <c r="N66" s="41"/>
      <c r="O66" s="31"/>
      <c r="P66" s="42"/>
      <c r="Q66" s="41"/>
      <c r="R66" s="41"/>
      <c r="S66" s="40"/>
    </row>
    <row r="67" spans="1:19" ht="18.75" hidden="1" customHeight="1">
      <c r="A67" s="31" t="s">
        <v>548</v>
      </c>
      <c r="B67" s="31" t="s">
        <v>489</v>
      </c>
      <c r="C67" s="31" t="s">
        <v>1151</v>
      </c>
      <c r="F67" s="39">
        <v>45451</v>
      </c>
      <c r="G67" s="51" t="str">
        <f t="shared" si="0"/>
        <v>2024</v>
      </c>
      <c r="H67" s="51" t="str">
        <f t="shared" si="1"/>
        <v>junio</v>
      </c>
      <c r="I67" s="8" t="s">
        <v>373</v>
      </c>
      <c r="J67" s="31" t="s">
        <v>1076</v>
      </c>
      <c r="K67" s="31" t="s">
        <v>357</v>
      </c>
      <c r="L67" s="131"/>
      <c r="M67" s="41"/>
      <c r="N67" s="41"/>
      <c r="P67" s="42"/>
      <c r="Q67" s="41"/>
      <c r="R67" s="41"/>
      <c r="S67" s="40"/>
    </row>
    <row r="68" spans="1:19" ht="18.75" hidden="1" customHeight="1">
      <c r="A68" s="31" t="s">
        <v>769</v>
      </c>
      <c r="B68" s="31" t="s">
        <v>668</v>
      </c>
      <c r="F68" s="39">
        <v>45451</v>
      </c>
      <c r="G68" s="51" t="str">
        <f t="shared" si="0"/>
        <v>2024</v>
      </c>
      <c r="H68" s="51" t="str">
        <f t="shared" si="1"/>
        <v>junio</v>
      </c>
      <c r="I68" s="8" t="s">
        <v>373</v>
      </c>
      <c r="J68" s="31" t="s">
        <v>1076</v>
      </c>
      <c r="K68" s="31" t="s">
        <v>357</v>
      </c>
      <c r="L68" s="131"/>
      <c r="M68" s="41"/>
      <c r="N68" s="40"/>
      <c r="P68" s="42"/>
      <c r="Q68" s="41"/>
      <c r="R68" s="41"/>
      <c r="S68" s="40"/>
    </row>
    <row r="69" spans="1:19" ht="18.75" hidden="1" customHeight="1">
      <c r="A69" s="31" t="s">
        <v>904</v>
      </c>
      <c r="B69" s="31" t="s">
        <v>532</v>
      </c>
      <c r="C69" s="31" t="s">
        <v>1152</v>
      </c>
      <c r="F69" s="39">
        <v>45451</v>
      </c>
      <c r="G69" s="51" t="str">
        <f t="shared" si="0"/>
        <v>2024</v>
      </c>
      <c r="H69" s="51" t="str">
        <f t="shared" si="1"/>
        <v>junio</v>
      </c>
      <c r="I69" s="8" t="s">
        <v>373</v>
      </c>
      <c r="J69" s="31" t="s">
        <v>1076</v>
      </c>
      <c r="K69" s="31" t="s">
        <v>357</v>
      </c>
      <c r="L69" s="132"/>
      <c r="M69" s="41"/>
      <c r="N69" s="41"/>
      <c r="P69" s="42"/>
      <c r="Q69" s="41"/>
      <c r="R69" s="41"/>
      <c r="S69" s="40"/>
    </row>
    <row r="70" spans="1:19" ht="18.75" hidden="1" customHeight="1">
      <c r="A70" s="31" t="s">
        <v>737</v>
      </c>
      <c r="B70" s="31" t="s">
        <v>374</v>
      </c>
      <c r="C70" s="31" t="s">
        <v>1153</v>
      </c>
      <c r="F70" s="39">
        <v>45667</v>
      </c>
      <c r="G70" s="51" t="str">
        <f t="shared" si="0"/>
        <v>2025</v>
      </c>
      <c r="H70" s="51" t="str">
        <f t="shared" si="1"/>
        <v>enero</v>
      </c>
      <c r="I70" s="31" t="s">
        <v>373</v>
      </c>
      <c r="J70" s="31" t="s">
        <v>1076</v>
      </c>
      <c r="K70" s="31" t="s">
        <v>357</v>
      </c>
      <c r="L70" s="131"/>
      <c r="M70" s="41"/>
      <c r="N70" s="41"/>
      <c r="O70" s="31"/>
      <c r="P70" s="31"/>
      <c r="Q70" s="41"/>
      <c r="R70" s="41"/>
      <c r="S70" s="40"/>
    </row>
    <row r="71" spans="1:19" ht="18.75" hidden="1" customHeight="1">
      <c r="A71" s="31" t="s">
        <v>269</v>
      </c>
      <c r="B71" s="31" t="s">
        <v>709</v>
      </c>
      <c r="C71" s="31" t="s">
        <v>1154</v>
      </c>
      <c r="F71" s="39">
        <v>45754</v>
      </c>
      <c r="G71" s="51" t="str">
        <f t="shared" si="0"/>
        <v>2025</v>
      </c>
      <c r="H71" s="51" t="str">
        <f t="shared" si="1"/>
        <v>abril</v>
      </c>
      <c r="I71" s="31" t="s">
        <v>373</v>
      </c>
      <c r="J71" s="31" t="s">
        <v>1076</v>
      </c>
      <c r="K71" s="31" t="s">
        <v>394</v>
      </c>
      <c r="L71" s="131" t="s">
        <v>1155</v>
      </c>
      <c r="M71" s="41" t="s">
        <v>269</v>
      </c>
      <c r="N71" s="41" t="s">
        <v>1156</v>
      </c>
      <c r="O71" s="31" t="s">
        <v>1154</v>
      </c>
      <c r="P71" s="31"/>
      <c r="Q71" s="41"/>
      <c r="R71" s="41"/>
      <c r="S71" s="40"/>
    </row>
    <row r="72" spans="1:19" ht="18.75" hidden="1" customHeight="1">
      <c r="A72" s="31" t="s">
        <v>844</v>
      </c>
      <c r="B72" s="31" t="s">
        <v>549</v>
      </c>
      <c r="C72" s="31" t="s">
        <v>1157</v>
      </c>
      <c r="F72" s="39">
        <v>45514</v>
      </c>
      <c r="G72" s="51" t="str">
        <f t="shared" si="0"/>
        <v>2024</v>
      </c>
      <c r="H72" s="51" t="str">
        <f t="shared" si="1"/>
        <v>agosto</v>
      </c>
      <c r="I72" s="8" t="s">
        <v>373</v>
      </c>
      <c r="J72" s="31" t="s">
        <v>1076</v>
      </c>
      <c r="K72" s="31" t="s">
        <v>394</v>
      </c>
      <c r="L72" s="131" t="s">
        <v>1158</v>
      </c>
      <c r="M72" s="41" t="s">
        <v>1159</v>
      </c>
      <c r="N72" s="41" t="s">
        <v>1160</v>
      </c>
      <c r="P72" s="42"/>
      <c r="Q72" s="41"/>
      <c r="R72" s="41"/>
      <c r="S72" s="40"/>
    </row>
    <row r="73" spans="1:19" ht="18.75" hidden="1" customHeight="1">
      <c r="A73" s="31" t="s">
        <v>1041</v>
      </c>
      <c r="B73" s="31" t="s">
        <v>1161</v>
      </c>
      <c r="F73" s="39">
        <v>45451</v>
      </c>
      <c r="G73" s="51" t="str">
        <f t="shared" si="0"/>
        <v>2024</v>
      </c>
      <c r="H73" s="51" t="str">
        <f t="shared" si="1"/>
        <v>junio</v>
      </c>
      <c r="I73" s="31" t="s">
        <v>373</v>
      </c>
      <c r="J73" s="31" t="s">
        <v>1076</v>
      </c>
      <c r="K73" s="31" t="s">
        <v>357</v>
      </c>
      <c r="L73" s="131"/>
      <c r="M73" s="40"/>
      <c r="N73" s="40"/>
      <c r="P73" s="42"/>
      <c r="Q73" s="41"/>
      <c r="R73" s="41"/>
      <c r="S73" s="40"/>
    </row>
    <row r="74" spans="1:19" ht="18.75" hidden="1" customHeight="1">
      <c r="A74" s="31" t="s">
        <v>123</v>
      </c>
      <c r="B74" s="31" t="s">
        <v>383</v>
      </c>
      <c r="C74" s="31" t="s">
        <v>1162</v>
      </c>
      <c r="F74" s="39">
        <v>45451</v>
      </c>
      <c r="G74" s="51" t="str">
        <f t="shared" si="0"/>
        <v>2024</v>
      </c>
      <c r="H74" s="51" t="str">
        <f t="shared" si="1"/>
        <v>junio</v>
      </c>
      <c r="I74" s="8" t="s">
        <v>373</v>
      </c>
      <c r="J74" s="31" t="s">
        <v>1076</v>
      </c>
      <c r="K74" s="31" t="s">
        <v>357</v>
      </c>
      <c r="L74" s="131"/>
      <c r="M74" s="41"/>
      <c r="N74" s="40"/>
      <c r="P74" s="42"/>
      <c r="Q74" s="41"/>
      <c r="R74" s="41"/>
      <c r="S74" s="40"/>
    </row>
    <row r="75" spans="1:19" ht="18.75" hidden="1" customHeight="1">
      <c r="A75" s="31" t="s">
        <v>213</v>
      </c>
      <c r="B75" s="31" t="s">
        <v>374</v>
      </c>
      <c r="C75" s="31" t="s">
        <v>1163</v>
      </c>
      <c r="F75" s="39">
        <v>45653</v>
      </c>
      <c r="G75" s="51" t="str">
        <f t="shared" si="0"/>
        <v>2024</v>
      </c>
      <c r="H75" s="51" t="str">
        <f t="shared" si="1"/>
        <v>diciembre</v>
      </c>
      <c r="I75" s="31" t="s">
        <v>373</v>
      </c>
      <c r="J75" s="31" t="s">
        <v>1076</v>
      </c>
      <c r="K75" s="31" t="s">
        <v>357</v>
      </c>
      <c r="L75" s="131"/>
      <c r="M75" s="41"/>
      <c r="N75" s="41"/>
      <c r="O75" s="31"/>
      <c r="P75" s="31"/>
      <c r="Q75" s="41"/>
      <c r="R75" s="41"/>
      <c r="S75" s="40"/>
    </row>
    <row r="76" spans="1:19" ht="18.75" hidden="1" customHeight="1">
      <c r="A76" s="31" t="s">
        <v>917</v>
      </c>
      <c r="B76" s="31" t="s">
        <v>668</v>
      </c>
      <c r="C76" s="31"/>
      <c r="F76" s="39">
        <v>45451</v>
      </c>
      <c r="G76" s="51" t="str">
        <f t="shared" si="0"/>
        <v>2024</v>
      </c>
      <c r="H76" s="51" t="str">
        <f t="shared" si="1"/>
        <v>junio</v>
      </c>
      <c r="I76" s="8" t="s">
        <v>373</v>
      </c>
      <c r="J76" s="31" t="s">
        <v>1076</v>
      </c>
      <c r="K76" s="31" t="s">
        <v>357</v>
      </c>
      <c r="L76" s="131"/>
      <c r="M76" s="41"/>
      <c r="N76" s="41"/>
      <c r="P76" s="42"/>
      <c r="Q76" s="41"/>
      <c r="R76" s="41"/>
      <c r="S76" s="40"/>
    </row>
    <row r="77" spans="1:19" ht="18.75" hidden="1" customHeight="1">
      <c r="A77" s="31" t="s">
        <v>963</v>
      </c>
      <c r="B77" s="31" t="s">
        <v>367</v>
      </c>
      <c r="F77" s="39">
        <v>45451</v>
      </c>
      <c r="G77" s="51" t="str">
        <f t="shared" si="0"/>
        <v>2024</v>
      </c>
      <c r="H77" s="51" t="str">
        <f t="shared" si="1"/>
        <v>junio</v>
      </c>
      <c r="I77" s="31" t="s">
        <v>373</v>
      </c>
      <c r="J77" s="31" t="s">
        <v>1076</v>
      </c>
      <c r="K77" s="31" t="s">
        <v>357</v>
      </c>
      <c r="L77" s="131"/>
      <c r="M77" s="40"/>
      <c r="N77" s="41"/>
      <c r="P77" s="42"/>
      <c r="Q77" s="41"/>
      <c r="R77" s="41"/>
      <c r="S77" s="40"/>
    </row>
    <row r="78" spans="1:19" ht="18.75" hidden="1" customHeight="1">
      <c r="A78" s="31" t="s">
        <v>240</v>
      </c>
      <c r="B78" s="31" t="s">
        <v>383</v>
      </c>
      <c r="C78" s="31"/>
      <c r="F78" s="39">
        <v>45451</v>
      </c>
      <c r="G78" s="51" t="str">
        <f t="shared" si="0"/>
        <v>2024</v>
      </c>
      <c r="H78" s="51" t="str">
        <f t="shared" si="1"/>
        <v>junio</v>
      </c>
      <c r="I78" s="8" t="s">
        <v>373</v>
      </c>
      <c r="J78" s="31" t="s">
        <v>1076</v>
      </c>
      <c r="K78" s="31" t="s">
        <v>357</v>
      </c>
      <c r="L78" s="131"/>
      <c r="M78" s="41"/>
      <c r="N78" s="41"/>
      <c r="P78" s="42"/>
      <c r="Q78" s="41"/>
      <c r="R78" s="41"/>
      <c r="S78" s="40"/>
    </row>
    <row r="79" spans="1:19" ht="18.75" hidden="1" customHeight="1">
      <c r="A79" s="31" t="s">
        <v>605</v>
      </c>
      <c r="B79" s="31" t="s">
        <v>606</v>
      </c>
      <c r="C79" s="31" t="s">
        <v>1164</v>
      </c>
      <c r="F79" s="39">
        <v>45811</v>
      </c>
      <c r="G79" s="51" t="str">
        <f t="shared" si="0"/>
        <v>2025</v>
      </c>
      <c r="H79" s="51" t="str">
        <f t="shared" si="1"/>
        <v>junio</v>
      </c>
      <c r="I79" s="31" t="s">
        <v>373</v>
      </c>
      <c r="J79" s="31" t="s">
        <v>1076</v>
      </c>
      <c r="K79" s="31" t="s">
        <v>357</v>
      </c>
      <c r="L79" s="131"/>
      <c r="M79" s="41"/>
      <c r="N79" s="41"/>
      <c r="O79" s="31"/>
      <c r="P79" s="31"/>
      <c r="Q79" s="41"/>
      <c r="R79" s="41"/>
      <c r="S79" s="40"/>
    </row>
    <row r="80" spans="1:19" ht="18.75" hidden="1" customHeight="1">
      <c r="A80" s="31" t="s">
        <v>321</v>
      </c>
      <c r="B80" s="31" t="s">
        <v>358</v>
      </c>
      <c r="F80" s="39">
        <v>45451</v>
      </c>
      <c r="G80" s="51" t="str">
        <f t="shared" si="0"/>
        <v>2024</v>
      </c>
      <c r="H80" s="51" t="str">
        <f t="shared" si="1"/>
        <v>junio</v>
      </c>
      <c r="I80" s="8" t="s">
        <v>361</v>
      </c>
      <c r="J80" s="31" t="s">
        <v>38</v>
      </c>
      <c r="K80" s="31" t="s">
        <v>357</v>
      </c>
      <c r="L80" s="131"/>
      <c r="M80" s="41"/>
      <c r="N80" s="40"/>
      <c r="P80" s="42"/>
      <c r="Q80" s="41"/>
      <c r="R80" s="41"/>
      <c r="S80" s="41"/>
    </row>
    <row r="81" spans="1:19" ht="18.75" hidden="1" customHeight="1">
      <c r="A81" s="31" t="s">
        <v>892</v>
      </c>
      <c r="B81" s="31" t="s">
        <v>405</v>
      </c>
      <c r="C81" s="31" t="s">
        <v>1165</v>
      </c>
      <c r="F81" s="39">
        <v>45451</v>
      </c>
      <c r="G81" s="51" t="str">
        <f t="shared" si="0"/>
        <v>2024</v>
      </c>
      <c r="H81" s="51" t="str">
        <f t="shared" si="1"/>
        <v>junio</v>
      </c>
      <c r="I81" s="8" t="s">
        <v>373</v>
      </c>
      <c r="J81" s="31" t="s">
        <v>1076</v>
      </c>
      <c r="K81" s="31" t="s">
        <v>357</v>
      </c>
      <c r="L81" s="131"/>
      <c r="M81" s="41"/>
      <c r="N81" s="41"/>
      <c r="P81" s="42"/>
      <c r="Q81" s="40"/>
      <c r="R81" s="41"/>
      <c r="S81" s="41"/>
    </row>
    <row r="82" spans="1:19" ht="18.75" hidden="1" customHeight="1">
      <c r="A82" s="31" t="s">
        <v>826</v>
      </c>
      <c r="B82" s="31" t="s">
        <v>374</v>
      </c>
      <c r="C82" s="31" t="s">
        <v>1166</v>
      </c>
      <c r="F82" s="39">
        <v>45546</v>
      </c>
      <c r="G82" s="51" t="str">
        <f t="shared" si="0"/>
        <v>2024</v>
      </c>
      <c r="H82" s="51" t="str">
        <f t="shared" si="1"/>
        <v>septiembre</v>
      </c>
      <c r="I82" s="8" t="s">
        <v>373</v>
      </c>
      <c r="J82" s="31" t="s">
        <v>1076</v>
      </c>
      <c r="K82" s="31" t="s">
        <v>357</v>
      </c>
      <c r="L82" s="131"/>
      <c r="M82" s="41"/>
      <c r="N82" s="41"/>
      <c r="P82" s="42"/>
      <c r="Q82" s="41"/>
      <c r="R82" s="41"/>
      <c r="S82" s="40"/>
    </row>
    <row r="83" spans="1:19" ht="18.75" hidden="1" customHeight="1">
      <c r="A83" s="31" t="s">
        <v>838</v>
      </c>
      <c r="B83" s="31" t="s">
        <v>1167</v>
      </c>
      <c r="C83" s="31" t="s">
        <v>1168</v>
      </c>
      <c r="F83" s="39">
        <v>45529</v>
      </c>
      <c r="G83" s="51" t="str">
        <f t="shared" si="0"/>
        <v>2024</v>
      </c>
      <c r="H83" s="51" t="str">
        <f t="shared" si="1"/>
        <v>agosto</v>
      </c>
      <c r="I83" s="31" t="s">
        <v>373</v>
      </c>
      <c r="J83" s="31" t="s">
        <v>1076</v>
      </c>
      <c r="K83" s="31" t="s">
        <v>357</v>
      </c>
      <c r="L83" s="131"/>
      <c r="M83" s="41"/>
      <c r="N83" s="41"/>
      <c r="P83" s="42"/>
      <c r="Q83" s="41"/>
      <c r="R83" s="41"/>
      <c r="S83" s="40"/>
    </row>
    <row r="84" spans="1:19" ht="18.75" hidden="1" customHeight="1">
      <c r="A84" s="31" t="s">
        <v>128</v>
      </c>
      <c r="B84" s="31" t="s">
        <v>405</v>
      </c>
      <c r="C84" s="31" t="s">
        <v>1169</v>
      </c>
      <c r="F84" s="39">
        <v>45451</v>
      </c>
      <c r="G84" s="51" t="str">
        <f t="shared" si="0"/>
        <v>2024</v>
      </c>
      <c r="H84" s="51" t="str">
        <f t="shared" si="1"/>
        <v>junio</v>
      </c>
      <c r="I84" s="31" t="s">
        <v>373</v>
      </c>
      <c r="J84" s="31" t="s">
        <v>1076</v>
      </c>
      <c r="K84" s="31" t="s">
        <v>357</v>
      </c>
      <c r="L84" s="131"/>
      <c r="M84" s="41"/>
      <c r="N84" s="41"/>
      <c r="P84" s="47"/>
      <c r="Q84" s="41"/>
      <c r="R84" s="41"/>
      <c r="S84" s="41"/>
    </row>
    <row r="85" spans="1:19" ht="18.75" hidden="1" customHeight="1">
      <c r="A85" s="31" t="s">
        <v>919</v>
      </c>
      <c r="B85" s="31" t="s">
        <v>383</v>
      </c>
      <c r="C85" s="31" t="s">
        <v>1170</v>
      </c>
      <c r="F85" s="39">
        <v>45451</v>
      </c>
      <c r="G85" s="51" t="str">
        <f t="shared" si="0"/>
        <v>2024</v>
      </c>
      <c r="H85" s="51" t="str">
        <f t="shared" si="1"/>
        <v>junio</v>
      </c>
      <c r="I85" s="8" t="s">
        <v>373</v>
      </c>
      <c r="J85" s="31" t="s">
        <v>1076</v>
      </c>
      <c r="K85" s="31" t="s">
        <v>357</v>
      </c>
      <c r="L85" s="131"/>
      <c r="M85" s="40"/>
      <c r="N85" s="40"/>
      <c r="P85" s="42"/>
      <c r="Q85" s="41"/>
      <c r="R85" s="40"/>
      <c r="S85" s="41"/>
    </row>
    <row r="86" spans="1:19" ht="18.75" hidden="1" customHeight="1">
      <c r="A86" s="31" t="s">
        <v>44</v>
      </c>
      <c r="B86" s="31" t="s">
        <v>554</v>
      </c>
      <c r="F86" s="39">
        <v>45451</v>
      </c>
      <c r="G86" s="51" t="str">
        <f t="shared" si="0"/>
        <v>2024</v>
      </c>
      <c r="H86" s="51" t="str">
        <f t="shared" si="1"/>
        <v>junio</v>
      </c>
      <c r="I86" s="8" t="s">
        <v>361</v>
      </c>
      <c r="J86" s="31" t="s">
        <v>1131</v>
      </c>
      <c r="K86" s="31" t="s">
        <v>357</v>
      </c>
      <c r="L86" s="131"/>
      <c r="M86" s="40"/>
      <c r="N86" s="41"/>
      <c r="P86" s="47"/>
      <c r="Q86" s="41"/>
      <c r="R86" s="41"/>
      <c r="S86" s="41"/>
    </row>
    <row r="87" spans="1:19" ht="18.75" hidden="1" customHeight="1">
      <c r="A87" s="31" t="s">
        <v>567</v>
      </c>
      <c r="B87" s="31" t="s">
        <v>568</v>
      </c>
      <c r="C87" s="31" t="s">
        <v>1171</v>
      </c>
      <c r="F87" s="39">
        <v>45518</v>
      </c>
      <c r="G87" s="51" t="str">
        <f t="shared" si="0"/>
        <v>2024</v>
      </c>
      <c r="H87" s="51" t="str">
        <f t="shared" si="1"/>
        <v>agosto</v>
      </c>
      <c r="I87" s="8" t="s">
        <v>373</v>
      </c>
      <c r="J87" s="31" t="s">
        <v>1076</v>
      </c>
      <c r="K87" s="31" t="s">
        <v>357</v>
      </c>
      <c r="L87" s="131"/>
      <c r="M87" s="41"/>
      <c r="N87" s="41"/>
      <c r="P87" s="42"/>
      <c r="Q87" s="41"/>
      <c r="R87" s="41"/>
      <c r="S87" s="40"/>
    </row>
    <row r="88" spans="1:19" ht="18.75" hidden="1" customHeight="1">
      <c r="A88" s="31" t="s">
        <v>653</v>
      </c>
      <c r="B88" s="31" t="s">
        <v>654</v>
      </c>
      <c r="C88" s="31" t="s">
        <v>1172</v>
      </c>
      <c r="F88" s="39">
        <v>45705</v>
      </c>
      <c r="G88" s="51" t="str">
        <f t="shared" si="0"/>
        <v>2025</v>
      </c>
      <c r="H88" s="51" t="str">
        <f t="shared" si="1"/>
        <v>febrero</v>
      </c>
      <c r="I88" s="31" t="s">
        <v>373</v>
      </c>
      <c r="J88" s="31" t="s">
        <v>1076</v>
      </c>
      <c r="K88" s="31" t="s">
        <v>357</v>
      </c>
      <c r="L88" s="131"/>
      <c r="M88" s="41"/>
      <c r="N88" s="41"/>
      <c r="O88" s="31"/>
      <c r="P88" s="31"/>
      <c r="Q88" s="41"/>
      <c r="R88" s="41"/>
      <c r="S88" s="40"/>
    </row>
    <row r="89" spans="1:19" ht="18.75" hidden="1" customHeight="1">
      <c r="A89" s="31" t="s">
        <v>723</v>
      </c>
      <c r="B89" s="31" t="s">
        <v>1173</v>
      </c>
      <c r="C89" s="31" t="s">
        <v>1174</v>
      </c>
      <c r="F89" s="39">
        <v>45451</v>
      </c>
      <c r="G89" s="51" t="str">
        <f t="shared" si="0"/>
        <v>2024</v>
      </c>
      <c r="H89" s="51" t="str">
        <f t="shared" si="1"/>
        <v>junio</v>
      </c>
      <c r="I89" s="8" t="s">
        <v>373</v>
      </c>
      <c r="J89" s="31" t="s">
        <v>1076</v>
      </c>
      <c r="K89" s="31" t="s">
        <v>357</v>
      </c>
      <c r="L89" s="131"/>
      <c r="M89" s="41"/>
      <c r="N89" s="41"/>
      <c r="P89" s="42"/>
      <c r="Q89" s="40"/>
      <c r="R89" s="41"/>
      <c r="S89" s="41"/>
    </row>
    <row r="90" spans="1:19" ht="18.75" hidden="1" customHeight="1">
      <c r="A90" s="31" t="s">
        <v>953</v>
      </c>
      <c r="B90" s="31" t="s">
        <v>538</v>
      </c>
      <c r="F90" s="39">
        <v>45451</v>
      </c>
      <c r="G90" s="51" t="str">
        <f t="shared" si="0"/>
        <v>2024</v>
      </c>
      <c r="H90" s="51" t="str">
        <f t="shared" si="1"/>
        <v>junio</v>
      </c>
      <c r="I90" s="8" t="s">
        <v>373</v>
      </c>
      <c r="J90" s="31" t="s">
        <v>1076</v>
      </c>
      <c r="K90" s="31" t="s">
        <v>357</v>
      </c>
      <c r="L90" s="131"/>
      <c r="M90" s="41"/>
      <c r="N90" s="41"/>
      <c r="P90" s="42"/>
      <c r="Q90" s="41"/>
      <c r="R90" s="41"/>
      <c r="S90" s="41"/>
    </row>
    <row r="91" spans="1:19" ht="18.75" hidden="1" customHeight="1">
      <c r="A91" s="31" t="s">
        <v>734</v>
      </c>
      <c r="B91" s="31" t="s">
        <v>549</v>
      </c>
      <c r="C91" s="31" t="s">
        <v>1175</v>
      </c>
      <c r="F91" s="39">
        <v>45526</v>
      </c>
      <c r="G91" s="51" t="str">
        <f t="shared" si="0"/>
        <v>2024</v>
      </c>
      <c r="H91" s="51" t="str">
        <f t="shared" si="1"/>
        <v>agosto</v>
      </c>
      <c r="I91" s="31" t="s">
        <v>373</v>
      </c>
      <c r="J91" s="31" t="s">
        <v>1076</v>
      </c>
      <c r="K91" s="31" t="s">
        <v>357</v>
      </c>
      <c r="L91" s="131"/>
      <c r="M91" s="41"/>
      <c r="N91" s="41"/>
      <c r="P91" s="42"/>
      <c r="Q91" s="41"/>
      <c r="R91" s="41"/>
      <c r="S91" s="40"/>
    </row>
    <row r="92" spans="1:19" ht="18.75" hidden="1" customHeight="1">
      <c r="A92" s="31" t="s">
        <v>886</v>
      </c>
      <c r="B92" s="31" t="s">
        <v>1176</v>
      </c>
      <c r="C92" s="31" t="s">
        <v>1177</v>
      </c>
      <c r="F92" s="39">
        <v>45466</v>
      </c>
      <c r="G92" s="51" t="str">
        <f t="shared" si="0"/>
        <v>2024</v>
      </c>
      <c r="H92" s="51" t="str">
        <f t="shared" si="1"/>
        <v>junio</v>
      </c>
      <c r="I92" s="31" t="s">
        <v>373</v>
      </c>
      <c r="J92" s="31" t="s">
        <v>1076</v>
      </c>
      <c r="K92" s="31" t="s">
        <v>357</v>
      </c>
      <c r="L92" s="131"/>
      <c r="M92" s="40"/>
      <c r="N92" s="40"/>
      <c r="P92" s="42"/>
      <c r="Q92" s="40"/>
      <c r="R92" s="41"/>
      <c r="S92" s="41"/>
    </row>
    <row r="93" spans="1:19" ht="18.75" hidden="1" customHeight="1">
      <c r="A93" s="31" t="s">
        <v>1178</v>
      </c>
      <c r="B93" s="31" t="s">
        <v>383</v>
      </c>
      <c r="C93" s="31" t="s">
        <v>1179</v>
      </c>
      <c r="F93" s="39">
        <v>45531</v>
      </c>
      <c r="G93" s="51" t="str">
        <f t="shared" si="0"/>
        <v>2024</v>
      </c>
      <c r="H93" s="51" t="str">
        <f t="shared" si="1"/>
        <v>agosto</v>
      </c>
      <c r="I93" s="31" t="s">
        <v>361</v>
      </c>
      <c r="J93" s="31" t="s">
        <v>1076</v>
      </c>
      <c r="K93" s="31" t="s">
        <v>357</v>
      </c>
      <c r="L93" s="131"/>
      <c r="M93" s="41"/>
      <c r="N93" s="41"/>
      <c r="P93" s="42"/>
      <c r="Q93" s="41"/>
      <c r="R93" s="41"/>
      <c r="S93" s="40"/>
    </row>
    <row r="94" spans="1:19" ht="18.75" hidden="1" customHeight="1">
      <c r="A94" s="31" t="s">
        <v>297</v>
      </c>
      <c r="B94" s="31" t="s">
        <v>383</v>
      </c>
      <c r="C94" s="31" t="s">
        <v>1180</v>
      </c>
      <c r="F94" s="39">
        <v>45451</v>
      </c>
      <c r="G94" s="51" t="str">
        <f t="shared" si="0"/>
        <v>2024</v>
      </c>
      <c r="H94" s="51" t="str">
        <f t="shared" si="1"/>
        <v>junio</v>
      </c>
      <c r="I94" s="31" t="s">
        <v>373</v>
      </c>
      <c r="J94" s="31" t="s">
        <v>1076</v>
      </c>
      <c r="K94" s="31" t="s">
        <v>357</v>
      </c>
      <c r="L94" s="131"/>
      <c r="M94" s="41"/>
      <c r="N94" s="41"/>
      <c r="P94" s="42"/>
      <c r="Q94" s="41"/>
      <c r="R94" s="40"/>
      <c r="S94" s="41"/>
    </row>
    <row r="95" spans="1:19" ht="18.75" hidden="1" customHeight="1">
      <c r="A95" s="31" t="s">
        <v>1003</v>
      </c>
      <c r="B95" s="31" t="s">
        <v>686</v>
      </c>
      <c r="F95" s="39">
        <v>45451</v>
      </c>
      <c r="G95" s="51" t="str">
        <f t="shared" si="0"/>
        <v>2024</v>
      </c>
      <c r="H95" s="51" t="str">
        <f t="shared" si="1"/>
        <v>junio</v>
      </c>
      <c r="I95" s="31" t="s">
        <v>373</v>
      </c>
      <c r="J95" s="31" t="s">
        <v>1076</v>
      </c>
      <c r="K95" s="31" t="s">
        <v>357</v>
      </c>
      <c r="L95" s="131"/>
      <c r="M95" s="41"/>
      <c r="N95" s="41"/>
      <c r="P95" s="47"/>
      <c r="Q95" s="41"/>
      <c r="R95" s="41"/>
      <c r="S95" s="41"/>
    </row>
    <row r="96" spans="1:19" ht="18.75" hidden="1" customHeight="1">
      <c r="A96" s="31" t="s">
        <v>220</v>
      </c>
      <c r="B96" s="31" t="s">
        <v>595</v>
      </c>
      <c r="C96" s="31" t="s">
        <v>1181</v>
      </c>
      <c r="F96" s="39">
        <v>45577</v>
      </c>
      <c r="G96" s="51" t="str">
        <f t="shared" si="0"/>
        <v>2024</v>
      </c>
      <c r="H96" s="51" t="str">
        <f t="shared" si="1"/>
        <v>octubre</v>
      </c>
      <c r="I96" s="31" t="s">
        <v>373</v>
      </c>
      <c r="J96" s="31" t="s">
        <v>1076</v>
      </c>
      <c r="K96" s="31" t="s">
        <v>357</v>
      </c>
      <c r="L96" s="131"/>
      <c r="M96" s="41"/>
      <c r="N96" s="41"/>
      <c r="O96" s="31"/>
      <c r="P96" s="31"/>
      <c r="Q96" s="41"/>
      <c r="R96" s="41"/>
      <c r="S96" s="40"/>
    </row>
    <row r="97" spans="1:19" ht="18.75" hidden="1" customHeight="1">
      <c r="A97" s="31" t="s">
        <v>937</v>
      </c>
      <c r="B97" s="31" t="s">
        <v>532</v>
      </c>
      <c r="C97" s="31" t="s">
        <v>1182</v>
      </c>
      <c r="F97" s="39">
        <v>45451</v>
      </c>
      <c r="G97" s="51" t="str">
        <f t="shared" si="0"/>
        <v>2024</v>
      </c>
      <c r="H97" s="51" t="str">
        <f t="shared" si="1"/>
        <v>junio</v>
      </c>
      <c r="I97" s="8" t="s">
        <v>373</v>
      </c>
      <c r="J97" s="31" t="s">
        <v>1076</v>
      </c>
      <c r="K97" s="31" t="s">
        <v>357</v>
      </c>
      <c r="L97" s="132"/>
      <c r="M97" s="41"/>
      <c r="N97" s="41"/>
      <c r="P97" s="47"/>
      <c r="Q97" s="41"/>
      <c r="R97" s="41"/>
      <c r="S97" s="41"/>
    </row>
    <row r="98" spans="1:19" ht="18.75" hidden="1" customHeight="1">
      <c r="A98" s="31" t="s">
        <v>930</v>
      </c>
      <c r="B98" s="31" t="s">
        <v>405</v>
      </c>
      <c r="C98" s="31" t="s">
        <v>1183</v>
      </c>
      <c r="F98" s="39">
        <v>45451</v>
      </c>
      <c r="G98" s="51" t="str">
        <f t="shared" si="0"/>
        <v>2024</v>
      </c>
      <c r="H98" s="51" t="str">
        <f t="shared" si="1"/>
        <v>junio</v>
      </c>
      <c r="I98" s="8" t="s">
        <v>373</v>
      </c>
      <c r="J98" s="31" t="s">
        <v>1076</v>
      </c>
      <c r="K98" s="31" t="s">
        <v>357</v>
      </c>
      <c r="L98" s="131"/>
      <c r="M98" s="40"/>
      <c r="N98" s="41"/>
      <c r="P98" s="42"/>
      <c r="Q98" s="41"/>
      <c r="R98" s="40"/>
      <c r="S98" s="41"/>
    </row>
    <row r="99" spans="1:19" ht="18.75" hidden="1" customHeight="1">
      <c r="A99" s="31" t="s">
        <v>237</v>
      </c>
      <c r="B99" s="31" t="s">
        <v>383</v>
      </c>
      <c r="C99" s="31" t="s">
        <v>1184</v>
      </c>
      <c r="F99" s="39">
        <v>45453</v>
      </c>
      <c r="G99" s="51" t="str">
        <f t="shared" si="0"/>
        <v>2024</v>
      </c>
      <c r="H99" s="51" t="str">
        <f t="shared" si="1"/>
        <v>junio</v>
      </c>
      <c r="I99" s="8" t="s">
        <v>373</v>
      </c>
      <c r="J99" s="31" t="s">
        <v>1076</v>
      </c>
      <c r="K99" s="31" t="s">
        <v>357</v>
      </c>
      <c r="L99" s="131"/>
      <c r="M99" s="40"/>
      <c r="N99" s="41"/>
      <c r="P99" s="42"/>
      <c r="Q99" s="40"/>
      <c r="R99" s="41"/>
      <c r="S99" s="41"/>
    </row>
    <row r="100" spans="1:19" ht="18.75" hidden="1" customHeight="1">
      <c r="A100" s="31" t="s">
        <v>132</v>
      </c>
      <c r="B100" s="31" t="s">
        <v>389</v>
      </c>
      <c r="C100" s="31" t="s">
        <v>1185</v>
      </c>
      <c r="F100" s="39">
        <v>45654</v>
      </c>
      <c r="G100" s="51" t="str">
        <f t="shared" si="0"/>
        <v>2024</v>
      </c>
      <c r="H100" s="51" t="str">
        <f t="shared" si="1"/>
        <v>diciembre</v>
      </c>
      <c r="I100" s="31" t="s">
        <v>373</v>
      </c>
      <c r="J100" s="31" t="s">
        <v>1076</v>
      </c>
      <c r="K100" s="31" t="s">
        <v>357</v>
      </c>
      <c r="L100" s="131"/>
      <c r="M100" s="41"/>
      <c r="N100" s="41"/>
      <c r="O100" s="31"/>
      <c r="P100" s="31"/>
      <c r="Q100" s="41"/>
      <c r="R100" s="41"/>
      <c r="S100" s="40"/>
    </row>
    <row r="101" spans="1:19" ht="18.75" hidden="1" customHeight="1">
      <c r="A101" s="31" t="s">
        <v>839</v>
      </c>
      <c r="B101" s="31" t="s">
        <v>374</v>
      </c>
      <c r="C101" s="31" t="s">
        <v>1186</v>
      </c>
      <c r="F101" s="39">
        <v>45527</v>
      </c>
      <c r="G101" s="51" t="str">
        <f t="shared" si="0"/>
        <v>2024</v>
      </c>
      <c r="H101" s="51" t="str">
        <f t="shared" si="1"/>
        <v>agosto</v>
      </c>
      <c r="I101" s="31" t="s">
        <v>373</v>
      </c>
      <c r="J101" s="31" t="s">
        <v>1076</v>
      </c>
      <c r="K101" s="31" t="s">
        <v>357</v>
      </c>
      <c r="L101" s="131"/>
      <c r="M101" s="41"/>
      <c r="N101" s="41"/>
      <c r="P101" s="42"/>
      <c r="Q101" s="41"/>
      <c r="R101" s="41"/>
      <c r="S101" s="40"/>
    </row>
    <row r="102" spans="1:19" ht="18.75" hidden="1" customHeight="1">
      <c r="A102" s="31" t="s">
        <v>63</v>
      </c>
      <c r="B102" s="31" t="s">
        <v>1187</v>
      </c>
      <c r="C102" s="31" t="s">
        <v>1188</v>
      </c>
      <c r="F102" s="39">
        <v>45352</v>
      </c>
      <c r="G102" s="51" t="str">
        <f t="shared" si="0"/>
        <v>2024</v>
      </c>
      <c r="H102" s="51" t="str">
        <f t="shared" si="1"/>
        <v>marzo</v>
      </c>
      <c r="I102" s="8" t="s">
        <v>373</v>
      </c>
      <c r="J102" s="31" t="s">
        <v>1076</v>
      </c>
      <c r="K102" s="31" t="s">
        <v>357</v>
      </c>
      <c r="L102" s="131"/>
      <c r="M102" s="40"/>
      <c r="N102" s="41"/>
      <c r="P102" s="42"/>
      <c r="Q102" s="40"/>
      <c r="R102" s="41"/>
      <c r="S102" s="41"/>
    </row>
    <row r="103" spans="1:19" ht="18.75" hidden="1" customHeight="1">
      <c r="A103" s="31" t="s">
        <v>645</v>
      </c>
      <c r="B103" s="31" t="s">
        <v>374</v>
      </c>
      <c r="C103" s="31" t="s">
        <v>2142</v>
      </c>
      <c r="F103" s="39">
        <v>45791</v>
      </c>
      <c r="G103" s="51" t="str">
        <f t="shared" si="0"/>
        <v>2025</v>
      </c>
      <c r="H103" s="51" t="str">
        <f t="shared" si="1"/>
        <v>mayo</v>
      </c>
      <c r="I103" s="31" t="s">
        <v>373</v>
      </c>
      <c r="J103" s="31" t="s">
        <v>1076</v>
      </c>
      <c r="K103" s="31" t="s">
        <v>394</v>
      </c>
      <c r="L103" s="131" t="s">
        <v>1190</v>
      </c>
      <c r="M103" s="41" t="s">
        <v>1191</v>
      </c>
      <c r="N103" s="41"/>
      <c r="O103" s="31" t="s">
        <v>1189</v>
      </c>
      <c r="P103" s="31" t="s">
        <v>1192</v>
      </c>
      <c r="Q103" s="41"/>
      <c r="R103" s="41" t="s">
        <v>1193</v>
      </c>
      <c r="S103" s="40"/>
    </row>
    <row r="104" spans="1:19" ht="18.75" hidden="1" customHeight="1">
      <c r="A104" s="31" t="s">
        <v>661</v>
      </c>
      <c r="B104" s="31" t="s">
        <v>374</v>
      </c>
      <c r="C104" s="31" t="s">
        <v>1194</v>
      </c>
      <c r="F104" s="39">
        <v>45520</v>
      </c>
      <c r="G104" s="51" t="str">
        <f t="shared" si="0"/>
        <v>2024</v>
      </c>
      <c r="H104" s="51" t="str">
        <f t="shared" si="1"/>
        <v>agosto</v>
      </c>
      <c r="I104" s="8" t="s">
        <v>373</v>
      </c>
      <c r="J104" s="31" t="s">
        <v>1076</v>
      </c>
      <c r="K104" s="31" t="s">
        <v>357</v>
      </c>
      <c r="L104" s="131"/>
      <c r="M104" s="41"/>
      <c r="N104" s="41"/>
      <c r="O104" s="31"/>
      <c r="P104" s="42"/>
      <c r="Q104" s="41"/>
      <c r="R104" s="41"/>
      <c r="S104" s="40"/>
    </row>
    <row r="105" spans="1:19" ht="18.75" hidden="1" customHeight="1">
      <c r="A105" s="31" t="s">
        <v>870</v>
      </c>
      <c r="B105" s="31" t="s">
        <v>1195</v>
      </c>
      <c r="C105" s="31" t="s">
        <v>1196</v>
      </c>
      <c r="F105" s="39">
        <v>45492</v>
      </c>
      <c r="G105" s="51" t="str">
        <f t="shared" si="0"/>
        <v>2024</v>
      </c>
      <c r="H105" s="51" t="str">
        <f t="shared" si="1"/>
        <v>julio</v>
      </c>
      <c r="I105" s="8" t="s">
        <v>373</v>
      </c>
      <c r="J105" s="31" t="s">
        <v>1076</v>
      </c>
      <c r="K105" s="31" t="s">
        <v>357</v>
      </c>
      <c r="L105" s="131"/>
      <c r="M105" s="40"/>
      <c r="N105" s="40"/>
      <c r="P105" s="42"/>
      <c r="Q105" s="41"/>
      <c r="R105" s="41"/>
      <c r="S105" s="40"/>
    </row>
    <row r="106" spans="1:19" ht="18.75" hidden="1" customHeight="1">
      <c r="A106" s="31" t="s">
        <v>697</v>
      </c>
      <c r="B106" s="31" t="s">
        <v>698</v>
      </c>
      <c r="C106" s="31" t="s">
        <v>1197</v>
      </c>
      <c r="F106" s="39">
        <v>45451</v>
      </c>
      <c r="G106" s="51" t="str">
        <f t="shared" si="0"/>
        <v>2024</v>
      </c>
      <c r="H106" s="51" t="str">
        <f t="shared" si="1"/>
        <v>junio</v>
      </c>
      <c r="I106" s="31" t="s">
        <v>373</v>
      </c>
      <c r="J106" s="31" t="s">
        <v>1076</v>
      </c>
      <c r="K106" s="31" t="s">
        <v>357</v>
      </c>
      <c r="L106" s="131"/>
      <c r="M106" s="41"/>
      <c r="N106" s="40"/>
      <c r="P106" s="42"/>
      <c r="Q106" s="41"/>
      <c r="R106" s="40"/>
      <c r="S106" s="41"/>
    </row>
    <row r="107" spans="1:19" ht="18.75" hidden="1" customHeight="1">
      <c r="A107" s="31" t="s">
        <v>807</v>
      </c>
      <c r="B107" s="31" t="s">
        <v>509</v>
      </c>
      <c r="C107" s="31" t="s">
        <v>1198</v>
      </c>
      <c r="F107" s="39">
        <v>45596</v>
      </c>
      <c r="G107" s="51" t="str">
        <f t="shared" si="0"/>
        <v>2024</v>
      </c>
      <c r="H107" s="51" t="str">
        <f t="shared" si="1"/>
        <v>octubre</v>
      </c>
      <c r="I107" s="31" t="s">
        <v>373</v>
      </c>
      <c r="J107" s="31" t="s">
        <v>1076</v>
      </c>
      <c r="K107" s="31" t="s">
        <v>357</v>
      </c>
      <c r="L107" s="131"/>
      <c r="M107" s="41"/>
      <c r="N107" s="41"/>
      <c r="O107" s="31"/>
      <c r="P107" s="31"/>
      <c r="Q107" s="41"/>
      <c r="R107" s="41"/>
      <c r="S107" s="40"/>
    </row>
    <row r="108" spans="1:19" ht="18.75" hidden="1" customHeight="1">
      <c r="A108" s="31" t="s">
        <v>972</v>
      </c>
      <c r="B108" s="31" t="s">
        <v>489</v>
      </c>
      <c r="F108" s="39">
        <v>45451</v>
      </c>
      <c r="G108" s="51" t="str">
        <f t="shared" si="0"/>
        <v>2024</v>
      </c>
      <c r="H108" s="51" t="str">
        <f t="shared" si="1"/>
        <v>junio</v>
      </c>
      <c r="I108" s="31" t="s">
        <v>373</v>
      </c>
      <c r="J108" s="31" t="s">
        <v>1076</v>
      </c>
      <c r="K108" s="31" t="s">
        <v>357</v>
      </c>
      <c r="L108" s="131"/>
      <c r="M108" s="40"/>
      <c r="N108" s="41"/>
      <c r="P108" s="42"/>
      <c r="Q108" s="41"/>
      <c r="R108" s="41"/>
      <c r="S108" s="41"/>
    </row>
    <row r="109" spans="1:19" ht="18.75" hidden="1" customHeight="1">
      <c r="A109" s="31" t="s">
        <v>728</v>
      </c>
      <c r="B109" s="31" t="s">
        <v>711</v>
      </c>
      <c r="C109" s="31" t="s">
        <v>1199</v>
      </c>
      <c r="F109" s="39">
        <v>45728</v>
      </c>
      <c r="G109" s="51" t="str">
        <f t="shared" si="0"/>
        <v>2025</v>
      </c>
      <c r="H109" s="51" t="str">
        <f t="shared" si="1"/>
        <v>marzo</v>
      </c>
      <c r="I109" s="31" t="s">
        <v>373</v>
      </c>
      <c r="J109" s="31" t="s">
        <v>1076</v>
      </c>
      <c r="K109" s="31" t="s">
        <v>357</v>
      </c>
      <c r="L109" s="131"/>
      <c r="M109" s="41"/>
      <c r="N109" s="41"/>
      <c r="O109" s="31"/>
      <c r="P109" s="31"/>
      <c r="Q109" s="41"/>
      <c r="R109" s="41"/>
      <c r="S109" s="40"/>
    </row>
    <row r="110" spans="1:19" ht="18.75" hidden="1" customHeight="1">
      <c r="A110" s="31" t="s">
        <v>348</v>
      </c>
      <c r="B110" s="31" t="s">
        <v>362</v>
      </c>
      <c r="F110" s="39">
        <v>45451</v>
      </c>
      <c r="G110" s="51" t="str">
        <f t="shared" si="0"/>
        <v>2024</v>
      </c>
      <c r="H110" s="51" t="str">
        <f t="shared" si="1"/>
        <v>junio</v>
      </c>
      <c r="I110" s="8" t="s">
        <v>356</v>
      </c>
      <c r="J110" s="31" t="s">
        <v>1076</v>
      </c>
      <c r="K110" s="31" t="s">
        <v>357</v>
      </c>
      <c r="L110" s="131"/>
      <c r="M110" s="40"/>
      <c r="N110" s="41"/>
      <c r="P110" s="42"/>
      <c r="Q110" s="41"/>
      <c r="R110" s="41"/>
      <c r="S110" s="41"/>
    </row>
    <row r="111" spans="1:19" ht="18.75" hidden="1" customHeight="1">
      <c r="A111" s="31" t="s">
        <v>772</v>
      </c>
      <c r="B111" s="31" t="s">
        <v>392</v>
      </c>
      <c r="C111" s="31" t="s">
        <v>1200</v>
      </c>
      <c r="F111" s="39">
        <v>45577</v>
      </c>
      <c r="G111" s="51" t="str">
        <f t="shared" si="0"/>
        <v>2024</v>
      </c>
      <c r="H111" s="51" t="str">
        <f t="shared" si="1"/>
        <v>octubre</v>
      </c>
      <c r="I111" s="31" t="s">
        <v>373</v>
      </c>
      <c r="J111" s="31" t="s">
        <v>1076</v>
      </c>
      <c r="K111" s="31" t="s">
        <v>357</v>
      </c>
      <c r="L111" s="131"/>
      <c r="M111" s="41"/>
      <c r="N111" s="41"/>
      <c r="O111" s="31"/>
      <c r="P111" s="31"/>
      <c r="Q111" s="41"/>
      <c r="R111" s="41"/>
      <c r="S111" s="40"/>
    </row>
    <row r="112" spans="1:19" ht="18.75" hidden="1" customHeight="1">
      <c r="A112" s="31" t="s">
        <v>152</v>
      </c>
      <c r="B112" s="31" t="s">
        <v>383</v>
      </c>
      <c r="C112" s="31" t="s">
        <v>1180</v>
      </c>
      <c r="F112" s="39">
        <v>45541</v>
      </c>
      <c r="G112" s="51" t="str">
        <f t="shared" si="0"/>
        <v>2024</v>
      </c>
      <c r="H112" s="51" t="str">
        <f t="shared" si="1"/>
        <v>septiembre</v>
      </c>
      <c r="I112" s="8" t="s">
        <v>373</v>
      </c>
      <c r="J112" s="31" t="s">
        <v>1076</v>
      </c>
      <c r="K112" s="31" t="s">
        <v>357</v>
      </c>
      <c r="L112" s="131"/>
      <c r="M112" s="41"/>
      <c r="N112" s="41"/>
      <c r="P112" s="42"/>
      <c r="Q112" s="41"/>
      <c r="R112" s="41"/>
      <c r="S112" s="40"/>
    </row>
    <row r="113" spans="1:19" ht="18.75" hidden="1" customHeight="1">
      <c r="A113" s="31" t="s">
        <v>133</v>
      </c>
      <c r="B113" s="31" t="s">
        <v>362</v>
      </c>
      <c r="C113" s="31" t="s">
        <v>1201</v>
      </c>
      <c r="F113" s="39">
        <v>45451</v>
      </c>
      <c r="G113" s="51" t="str">
        <f t="shared" si="0"/>
        <v>2024</v>
      </c>
      <c r="H113" s="51" t="str">
        <f t="shared" si="1"/>
        <v>junio</v>
      </c>
      <c r="I113" s="8" t="s">
        <v>361</v>
      </c>
      <c r="J113" s="31" t="s">
        <v>1131</v>
      </c>
      <c r="K113" s="31" t="s">
        <v>357</v>
      </c>
      <c r="L113" s="132"/>
      <c r="M113" s="41"/>
      <c r="N113" s="41"/>
      <c r="P113" s="42"/>
      <c r="Q113" s="41"/>
      <c r="R113" s="41"/>
      <c r="S113" s="41"/>
    </row>
    <row r="114" spans="1:19" ht="18.75" hidden="1" customHeight="1">
      <c r="A114" s="31" t="s">
        <v>570</v>
      </c>
      <c r="B114" s="31" t="s">
        <v>686</v>
      </c>
      <c r="F114" s="39">
        <v>45451</v>
      </c>
      <c r="G114" s="51" t="str">
        <f t="shared" si="0"/>
        <v>2024</v>
      </c>
      <c r="H114" s="51" t="str">
        <f t="shared" si="1"/>
        <v>junio</v>
      </c>
      <c r="I114" s="31" t="s">
        <v>373</v>
      </c>
      <c r="J114" s="31" t="s">
        <v>1076</v>
      </c>
      <c r="K114" s="31" t="s">
        <v>357</v>
      </c>
      <c r="L114" s="131"/>
      <c r="M114" s="41"/>
      <c r="N114" s="41"/>
      <c r="P114" s="47"/>
      <c r="Q114" s="41"/>
      <c r="R114" s="41"/>
      <c r="S114" s="41"/>
    </row>
    <row r="115" spans="1:19" ht="18.75" hidden="1" customHeight="1">
      <c r="A115" s="31" t="s">
        <v>730</v>
      </c>
      <c r="B115" s="31" t="s">
        <v>1202</v>
      </c>
      <c r="C115" s="31" t="s">
        <v>1203</v>
      </c>
      <c r="F115" s="39">
        <v>45632</v>
      </c>
      <c r="G115" s="51" t="str">
        <f t="shared" si="0"/>
        <v>2024</v>
      </c>
      <c r="H115" s="51" t="str">
        <f t="shared" si="1"/>
        <v>diciembre</v>
      </c>
      <c r="I115" s="31" t="s">
        <v>373</v>
      </c>
      <c r="J115" s="31" t="s">
        <v>1076</v>
      </c>
      <c r="K115" s="31" t="s">
        <v>357</v>
      </c>
      <c r="L115" s="131"/>
      <c r="M115" s="41"/>
      <c r="N115" s="41"/>
      <c r="O115" s="31"/>
      <c r="P115" s="31"/>
      <c r="Q115" s="41"/>
      <c r="R115" s="41"/>
      <c r="S115" s="40"/>
    </row>
    <row r="116" spans="1:19" ht="18.75" hidden="1" customHeight="1">
      <c r="A116" s="31" t="s">
        <v>298</v>
      </c>
      <c r="B116" s="31" t="s">
        <v>706</v>
      </c>
      <c r="C116" s="31" t="s">
        <v>1204</v>
      </c>
      <c r="F116" s="39">
        <v>45754</v>
      </c>
      <c r="G116" s="51" t="str">
        <f t="shared" si="0"/>
        <v>2025</v>
      </c>
      <c r="H116" s="51" t="str">
        <f t="shared" si="1"/>
        <v>abril</v>
      </c>
      <c r="I116" s="31" t="s">
        <v>373</v>
      </c>
      <c r="J116" s="31" t="s">
        <v>1076</v>
      </c>
      <c r="K116" s="31" t="s">
        <v>357</v>
      </c>
      <c r="L116" s="131"/>
      <c r="M116" s="41"/>
      <c r="N116" s="41"/>
      <c r="O116" s="31"/>
      <c r="P116" s="31"/>
      <c r="Q116" s="41"/>
      <c r="R116" s="41"/>
      <c r="S116" s="40"/>
    </row>
    <row r="117" spans="1:19" ht="18.75" hidden="1" customHeight="1">
      <c r="A117" s="31" t="s">
        <v>800</v>
      </c>
      <c r="B117" s="31" t="s">
        <v>534</v>
      </c>
      <c r="C117" s="31" t="s">
        <v>1205</v>
      </c>
      <c r="F117" s="39">
        <v>45506</v>
      </c>
      <c r="G117" s="51" t="str">
        <f t="shared" si="0"/>
        <v>2024</v>
      </c>
      <c r="H117" s="51" t="str">
        <f t="shared" si="1"/>
        <v>agosto</v>
      </c>
      <c r="I117" s="8" t="s">
        <v>373</v>
      </c>
      <c r="J117" s="31" t="s">
        <v>1076</v>
      </c>
      <c r="K117" s="31" t="s">
        <v>357</v>
      </c>
      <c r="L117" s="131"/>
      <c r="M117" s="41"/>
      <c r="N117" s="40"/>
      <c r="P117" s="42"/>
      <c r="Q117" s="41"/>
      <c r="R117" s="41"/>
      <c r="S117" s="40"/>
    </row>
    <row r="118" spans="1:19" ht="18.75" hidden="1" customHeight="1">
      <c r="A118" s="31" t="s">
        <v>508</v>
      </c>
      <c r="B118" s="31" t="s">
        <v>362</v>
      </c>
      <c r="C118" s="31" t="s">
        <v>1206</v>
      </c>
      <c r="F118" s="39">
        <v>45451</v>
      </c>
      <c r="G118" s="51" t="str">
        <f t="shared" si="0"/>
        <v>2024</v>
      </c>
      <c r="H118" s="51" t="str">
        <f t="shared" si="1"/>
        <v>junio</v>
      </c>
      <c r="I118" s="8" t="s">
        <v>373</v>
      </c>
      <c r="J118" s="31" t="s">
        <v>1076</v>
      </c>
      <c r="K118" s="31" t="s">
        <v>357</v>
      </c>
      <c r="L118" s="132"/>
      <c r="M118" s="41"/>
      <c r="N118" s="41"/>
      <c r="P118" s="47"/>
      <c r="Q118" s="41"/>
      <c r="R118" s="41"/>
      <c r="S118" s="41"/>
    </row>
    <row r="119" spans="1:19" ht="18.75" hidden="1" customHeight="1">
      <c r="A119" s="31" t="s">
        <v>715</v>
      </c>
      <c r="B119" s="31" t="s">
        <v>500</v>
      </c>
      <c r="C119" s="31" t="s">
        <v>1207</v>
      </c>
      <c r="F119" s="39">
        <v>45609</v>
      </c>
      <c r="G119" s="51" t="str">
        <f t="shared" si="0"/>
        <v>2024</v>
      </c>
      <c r="H119" s="51" t="str">
        <f t="shared" si="1"/>
        <v>noviembre</v>
      </c>
      <c r="I119" s="31" t="s">
        <v>373</v>
      </c>
      <c r="J119" s="31" t="s">
        <v>1076</v>
      </c>
      <c r="K119" s="31" t="s">
        <v>357</v>
      </c>
      <c r="L119" s="131"/>
      <c r="M119" s="41"/>
      <c r="N119" s="41"/>
      <c r="O119" s="31"/>
      <c r="P119" s="31"/>
      <c r="Q119" s="41"/>
      <c r="R119" s="41"/>
      <c r="S119" s="40"/>
    </row>
    <row r="120" spans="1:19" ht="18.75" hidden="1" customHeight="1">
      <c r="A120" s="31" t="s">
        <v>715</v>
      </c>
      <c r="B120" s="31" t="s">
        <v>1208</v>
      </c>
      <c r="C120" s="31"/>
      <c r="F120" s="39">
        <v>45451</v>
      </c>
      <c r="G120" s="51" t="str">
        <f t="shared" si="0"/>
        <v>2024</v>
      </c>
      <c r="H120" s="51" t="str">
        <f t="shared" si="1"/>
        <v>junio</v>
      </c>
      <c r="I120" s="8" t="s">
        <v>373</v>
      </c>
      <c r="J120" s="31" t="s">
        <v>1076</v>
      </c>
      <c r="K120" s="31" t="s">
        <v>357</v>
      </c>
      <c r="L120" s="131"/>
      <c r="M120" s="40"/>
      <c r="N120" s="41"/>
      <c r="P120" s="42"/>
      <c r="Q120" s="40"/>
      <c r="R120" s="41"/>
      <c r="S120" s="41"/>
    </row>
    <row r="121" spans="1:19" ht="18.75" hidden="1" customHeight="1">
      <c r="A121" s="31" t="s">
        <v>184</v>
      </c>
      <c r="B121" s="31" t="s">
        <v>405</v>
      </c>
      <c r="C121" s="31" t="s">
        <v>1209</v>
      </c>
      <c r="F121" s="39">
        <v>45451</v>
      </c>
      <c r="G121" s="51" t="str">
        <f t="shared" si="0"/>
        <v>2024</v>
      </c>
      <c r="H121" s="51" t="str">
        <f t="shared" si="1"/>
        <v>junio</v>
      </c>
      <c r="I121" s="8" t="s">
        <v>361</v>
      </c>
      <c r="J121" s="31" t="s">
        <v>1131</v>
      </c>
      <c r="K121" s="31" t="s">
        <v>357</v>
      </c>
      <c r="L121" s="131"/>
      <c r="M121" s="41"/>
      <c r="N121" s="41"/>
      <c r="P121" s="42"/>
      <c r="Q121" s="41"/>
      <c r="R121" s="41"/>
      <c r="S121" s="40"/>
    </row>
    <row r="122" spans="1:19" ht="18.75" hidden="1" customHeight="1">
      <c r="A122" s="31" t="s">
        <v>1210</v>
      </c>
      <c r="B122" s="31" t="s">
        <v>362</v>
      </c>
      <c r="C122" s="31" t="s">
        <v>1206</v>
      </c>
      <c r="F122" s="39">
        <v>45451</v>
      </c>
      <c r="G122" s="51" t="str">
        <f t="shared" si="0"/>
        <v>2024</v>
      </c>
      <c r="H122" s="51" t="str">
        <f t="shared" si="1"/>
        <v>junio</v>
      </c>
      <c r="I122" s="31" t="s">
        <v>373</v>
      </c>
      <c r="J122" s="31" t="s">
        <v>1076</v>
      </c>
      <c r="K122" s="31" t="s">
        <v>357</v>
      </c>
      <c r="L122" s="131"/>
      <c r="M122" s="41"/>
      <c r="N122" s="41"/>
      <c r="P122" s="42"/>
      <c r="Q122" s="41"/>
      <c r="R122" s="41"/>
      <c r="S122" s="41"/>
    </row>
    <row r="123" spans="1:19" ht="18.75" hidden="1" customHeight="1">
      <c r="A123" s="31" t="s">
        <v>812</v>
      </c>
      <c r="B123" s="31" t="s">
        <v>374</v>
      </c>
      <c r="C123" s="31" t="s">
        <v>1211</v>
      </c>
      <c r="F123" s="39">
        <v>45486</v>
      </c>
      <c r="G123" s="51" t="str">
        <f t="shared" si="0"/>
        <v>2024</v>
      </c>
      <c r="H123" s="51" t="str">
        <f t="shared" si="1"/>
        <v>julio</v>
      </c>
      <c r="I123" s="8" t="s">
        <v>373</v>
      </c>
      <c r="J123" s="31" t="s">
        <v>1076</v>
      </c>
      <c r="K123" s="31" t="s">
        <v>357</v>
      </c>
      <c r="L123" s="131"/>
      <c r="M123" s="40"/>
      <c r="N123" s="40"/>
      <c r="P123" s="42"/>
      <c r="Q123" s="41"/>
      <c r="R123" s="41"/>
      <c r="S123" s="40"/>
    </row>
    <row r="124" spans="1:19" ht="18.75" hidden="1" customHeight="1">
      <c r="A124" s="31" t="s">
        <v>236</v>
      </c>
      <c r="B124" s="31" t="s">
        <v>367</v>
      </c>
      <c r="F124" s="39">
        <v>45451</v>
      </c>
      <c r="G124" s="51" t="str">
        <f t="shared" si="0"/>
        <v>2024</v>
      </c>
      <c r="H124" s="51" t="str">
        <f t="shared" si="1"/>
        <v>junio</v>
      </c>
      <c r="I124" s="31" t="s">
        <v>367</v>
      </c>
      <c r="J124" s="31" t="s">
        <v>1131</v>
      </c>
      <c r="K124" s="31" t="s">
        <v>357</v>
      </c>
      <c r="L124" s="131"/>
      <c r="M124" s="41"/>
      <c r="N124" s="40"/>
      <c r="P124" s="42"/>
      <c r="Q124" s="41"/>
      <c r="R124" s="41"/>
      <c r="S124" s="41"/>
    </row>
    <row r="125" spans="1:19" ht="18.75" hidden="1" customHeight="1">
      <c r="A125" s="31" t="s">
        <v>707</v>
      </c>
      <c r="B125" s="31" t="s">
        <v>708</v>
      </c>
      <c r="C125" s="31" t="s">
        <v>1212</v>
      </c>
      <c r="F125" s="39">
        <v>45754</v>
      </c>
      <c r="G125" s="51" t="str">
        <f t="shared" si="0"/>
        <v>2025</v>
      </c>
      <c r="H125" s="51" t="str">
        <f t="shared" si="1"/>
        <v>abril</v>
      </c>
      <c r="I125" s="31" t="s">
        <v>373</v>
      </c>
      <c r="J125" s="31" t="s">
        <v>1076</v>
      </c>
      <c r="K125" s="31" t="s">
        <v>357</v>
      </c>
      <c r="L125" s="131"/>
      <c r="M125" s="41"/>
      <c r="N125" s="41"/>
      <c r="O125" s="31"/>
      <c r="P125" s="31"/>
      <c r="Q125" s="41"/>
      <c r="R125" s="41"/>
      <c r="S125" s="40"/>
    </row>
    <row r="126" spans="1:19" ht="18.75" hidden="1" customHeight="1">
      <c r="A126" s="31" t="s">
        <v>459</v>
      </c>
      <c r="B126" s="31" t="s">
        <v>383</v>
      </c>
      <c r="C126" s="31" t="s">
        <v>1213</v>
      </c>
      <c r="F126" s="39">
        <v>45508</v>
      </c>
      <c r="G126" s="51" t="str">
        <f t="shared" si="0"/>
        <v>2024</v>
      </c>
      <c r="H126" s="51" t="str">
        <f t="shared" si="1"/>
        <v>agosto</v>
      </c>
      <c r="I126" s="8" t="s">
        <v>373</v>
      </c>
      <c r="J126" s="31" t="s">
        <v>1076</v>
      </c>
      <c r="K126" s="31" t="s">
        <v>357</v>
      </c>
      <c r="L126" s="131"/>
      <c r="M126" s="40"/>
      <c r="N126" s="40"/>
      <c r="P126" s="42"/>
      <c r="Q126" s="41"/>
      <c r="R126" s="41"/>
      <c r="S126" s="40"/>
    </row>
    <row r="127" spans="1:19" ht="18.75" hidden="1" customHeight="1">
      <c r="A127" s="31" t="s">
        <v>431</v>
      </c>
      <c r="B127" s="31" t="s">
        <v>374</v>
      </c>
      <c r="C127" s="31" t="s">
        <v>1214</v>
      </c>
      <c r="F127" s="39">
        <v>45516</v>
      </c>
      <c r="G127" s="51" t="str">
        <f t="shared" si="0"/>
        <v>2024</v>
      </c>
      <c r="H127" s="51" t="str">
        <f t="shared" si="1"/>
        <v>agosto</v>
      </c>
      <c r="I127" s="31" t="s">
        <v>361</v>
      </c>
      <c r="J127" s="31" t="s">
        <v>1076</v>
      </c>
      <c r="K127" s="31" t="s">
        <v>394</v>
      </c>
      <c r="L127" s="131" t="s">
        <v>1215</v>
      </c>
      <c r="M127" s="41" t="s">
        <v>1216</v>
      </c>
      <c r="N127" s="41" t="s">
        <v>1217</v>
      </c>
      <c r="O127" s="31" t="s">
        <v>1218</v>
      </c>
      <c r="P127" s="42"/>
      <c r="Q127" s="41" t="s">
        <v>1219</v>
      </c>
      <c r="R127" s="41" t="s">
        <v>889</v>
      </c>
      <c r="S127" s="40"/>
    </row>
    <row r="128" spans="1:19" ht="18.75" hidden="1" customHeight="1">
      <c r="A128" s="31" t="s">
        <v>928</v>
      </c>
      <c r="B128" s="31" t="s">
        <v>380</v>
      </c>
      <c r="C128" s="31" t="s">
        <v>1220</v>
      </c>
      <c r="F128" s="39">
        <v>45451</v>
      </c>
      <c r="G128" s="51" t="str">
        <f t="shared" si="0"/>
        <v>2024</v>
      </c>
      <c r="H128" s="51" t="str">
        <f t="shared" si="1"/>
        <v>junio</v>
      </c>
      <c r="I128" s="8" t="s">
        <v>373</v>
      </c>
      <c r="J128" s="31" t="s">
        <v>1076</v>
      </c>
      <c r="K128" s="31" t="s">
        <v>357</v>
      </c>
      <c r="P128" s="42"/>
      <c r="Q128" s="41"/>
      <c r="R128" s="41"/>
      <c r="S128" s="41"/>
    </row>
    <row r="129" spans="1:19" ht="18.75" hidden="1" customHeight="1">
      <c r="A129" s="31" t="s">
        <v>921</v>
      </c>
      <c r="B129" s="31" t="s">
        <v>1221</v>
      </c>
      <c r="C129" s="31" t="s">
        <v>1222</v>
      </c>
      <c r="F129" s="39">
        <v>45451</v>
      </c>
      <c r="G129" s="51" t="str">
        <f t="shared" si="0"/>
        <v>2024</v>
      </c>
      <c r="H129" s="51" t="str">
        <f t="shared" si="1"/>
        <v>junio</v>
      </c>
      <c r="I129" s="8" t="s">
        <v>373</v>
      </c>
      <c r="J129" s="31" t="s">
        <v>1076</v>
      </c>
      <c r="K129" s="31" t="s">
        <v>357</v>
      </c>
      <c r="P129" s="47"/>
      <c r="Q129" s="41"/>
      <c r="R129" s="41"/>
      <c r="S129" s="41"/>
    </row>
    <row r="130" spans="1:19" ht="18.75" hidden="1" customHeight="1">
      <c r="A130" s="31" t="s">
        <v>670</v>
      </c>
      <c r="B130" s="31" t="s">
        <v>383</v>
      </c>
      <c r="C130" s="31" t="s">
        <v>1223</v>
      </c>
      <c r="F130" s="39">
        <v>45451</v>
      </c>
      <c r="G130" s="51" t="str">
        <f t="shared" si="0"/>
        <v>2024</v>
      </c>
      <c r="H130" s="51" t="str">
        <f t="shared" si="1"/>
        <v>junio</v>
      </c>
      <c r="I130" s="8" t="s">
        <v>373</v>
      </c>
      <c r="J130" s="31" t="s">
        <v>1076</v>
      </c>
      <c r="K130" s="31" t="s">
        <v>357</v>
      </c>
      <c r="P130" s="42"/>
      <c r="Q130" s="41"/>
      <c r="R130" s="40"/>
      <c r="S130" s="41"/>
    </row>
    <row r="131" spans="1:19" ht="18.75" hidden="1" customHeight="1">
      <c r="A131" s="31" t="s">
        <v>775</v>
      </c>
      <c r="B131" s="31" t="s">
        <v>1224</v>
      </c>
      <c r="C131" s="31" t="s">
        <v>1225</v>
      </c>
      <c r="F131" s="39">
        <v>45451</v>
      </c>
      <c r="G131" s="51" t="str">
        <f t="shared" si="0"/>
        <v>2024</v>
      </c>
      <c r="H131" s="51" t="str">
        <f t="shared" si="1"/>
        <v>junio</v>
      </c>
      <c r="I131" s="31" t="s">
        <v>373</v>
      </c>
      <c r="J131" s="31" t="s">
        <v>1076</v>
      </c>
      <c r="K131" s="31" t="s">
        <v>357</v>
      </c>
      <c r="P131" s="42"/>
      <c r="Q131" s="41"/>
      <c r="R131" s="40"/>
      <c r="S131" s="41"/>
    </row>
    <row r="132" spans="1:19" ht="18.75" hidden="1" customHeight="1">
      <c r="A132" s="31" t="s">
        <v>666</v>
      </c>
      <c r="B132" s="31" t="s">
        <v>374</v>
      </c>
      <c r="C132" s="31" t="s">
        <v>1226</v>
      </c>
      <c r="F132" s="39">
        <v>45616</v>
      </c>
      <c r="G132" s="51" t="str">
        <f t="shared" si="0"/>
        <v>2024</v>
      </c>
      <c r="H132" s="51" t="str">
        <f t="shared" si="1"/>
        <v>noviembre</v>
      </c>
      <c r="I132" s="31" t="s">
        <v>373</v>
      </c>
      <c r="J132" s="31" t="s">
        <v>1076</v>
      </c>
      <c r="K132" s="31" t="s">
        <v>667</v>
      </c>
      <c r="L132" s="131"/>
      <c r="M132" s="41"/>
      <c r="N132" s="41"/>
      <c r="O132" s="31"/>
      <c r="P132" s="31"/>
      <c r="Q132" s="41"/>
      <c r="R132" s="41"/>
      <c r="S132" s="40"/>
    </row>
    <row r="133" spans="1:19" ht="18.75" hidden="1" customHeight="1">
      <c r="A133" s="31" t="s">
        <v>865</v>
      </c>
      <c r="B133" s="31" t="s">
        <v>465</v>
      </c>
      <c r="C133" s="31" t="s">
        <v>1227</v>
      </c>
      <c r="F133" s="39">
        <v>45495</v>
      </c>
      <c r="G133" s="51" t="str">
        <f t="shared" si="0"/>
        <v>2024</v>
      </c>
      <c r="H133" s="51" t="str">
        <f t="shared" si="1"/>
        <v>julio</v>
      </c>
      <c r="I133" s="8" t="s">
        <v>373</v>
      </c>
      <c r="J133" s="31" t="s">
        <v>1076</v>
      </c>
      <c r="K133" s="31" t="s">
        <v>357</v>
      </c>
      <c r="L133" s="131"/>
      <c r="M133" s="40"/>
      <c r="N133" s="40"/>
      <c r="P133" s="42"/>
      <c r="Q133" s="41"/>
      <c r="R133" s="41"/>
      <c r="S133" s="40"/>
    </row>
    <row r="134" spans="1:19" ht="18.75" hidden="1" customHeight="1">
      <c r="A134" s="31" t="s">
        <v>539</v>
      </c>
      <c r="B134" s="31" t="s">
        <v>362</v>
      </c>
      <c r="C134" s="31" t="s">
        <v>1228</v>
      </c>
      <c r="F134" s="39">
        <v>45451</v>
      </c>
      <c r="G134" s="51" t="str">
        <f t="shared" si="0"/>
        <v>2024</v>
      </c>
      <c r="H134" s="51" t="str">
        <f t="shared" si="1"/>
        <v>junio</v>
      </c>
      <c r="I134" s="31" t="s">
        <v>361</v>
      </c>
      <c r="J134" s="31" t="s">
        <v>1131</v>
      </c>
      <c r="K134" s="31" t="s">
        <v>357</v>
      </c>
      <c r="P134" s="42"/>
      <c r="Q134" s="41"/>
      <c r="R134" s="40"/>
      <c r="S134" s="41"/>
    </row>
    <row r="135" spans="1:19" ht="18.75" hidden="1" customHeight="1">
      <c r="A135" s="31" t="s">
        <v>717</v>
      </c>
      <c r="B135" s="31" t="s">
        <v>465</v>
      </c>
      <c r="C135" s="31" t="s">
        <v>1229</v>
      </c>
      <c r="F135" s="39">
        <v>45747</v>
      </c>
      <c r="G135" s="51" t="str">
        <f t="shared" si="0"/>
        <v>2025</v>
      </c>
      <c r="H135" s="51" t="str">
        <f t="shared" si="1"/>
        <v>marzo</v>
      </c>
      <c r="I135" s="31" t="s">
        <v>373</v>
      </c>
      <c r="J135" s="31" t="s">
        <v>1076</v>
      </c>
      <c r="K135" s="31" t="s">
        <v>357</v>
      </c>
      <c r="L135" s="131"/>
      <c r="M135" s="41"/>
      <c r="N135" s="41"/>
      <c r="O135" s="31"/>
      <c r="P135" s="31"/>
      <c r="Q135" s="41"/>
      <c r="R135" s="41"/>
      <c r="S135" s="40"/>
    </row>
    <row r="136" spans="1:19" ht="18.75" hidden="1" customHeight="1">
      <c r="A136" s="31" t="s">
        <v>649</v>
      </c>
      <c r="B136" s="31" t="s">
        <v>488</v>
      </c>
      <c r="C136" s="31" t="s">
        <v>1230</v>
      </c>
      <c r="F136" s="39">
        <v>45789</v>
      </c>
      <c r="G136" s="51" t="str">
        <f t="shared" si="0"/>
        <v>2025</v>
      </c>
      <c r="H136" s="51" t="str">
        <f t="shared" si="1"/>
        <v>mayo</v>
      </c>
      <c r="I136" s="31" t="s">
        <v>373</v>
      </c>
      <c r="J136" s="31" t="s">
        <v>1076</v>
      </c>
      <c r="K136" s="31" t="s">
        <v>357</v>
      </c>
      <c r="L136" s="131"/>
      <c r="M136" s="41"/>
      <c r="N136" s="41"/>
      <c r="O136" s="31"/>
      <c r="P136" s="31"/>
      <c r="Q136" s="41"/>
      <c r="R136" s="41"/>
      <c r="S136" s="40"/>
    </row>
    <row r="137" spans="1:19" ht="18.75" hidden="1" customHeight="1">
      <c r="A137" s="31" t="s">
        <v>258</v>
      </c>
      <c r="B137" s="31" t="s">
        <v>358</v>
      </c>
      <c r="C137" s="31" t="s">
        <v>1231</v>
      </c>
      <c r="F137" s="39">
        <v>45451</v>
      </c>
      <c r="G137" s="51" t="str">
        <f t="shared" si="0"/>
        <v>2024</v>
      </c>
      <c r="H137" s="51" t="str">
        <f t="shared" si="1"/>
        <v>junio</v>
      </c>
      <c r="I137" s="8" t="s">
        <v>356</v>
      </c>
      <c r="J137" s="31" t="s">
        <v>1076</v>
      </c>
      <c r="K137" s="31" t="s">
        <v>357</v>
      </c>
      <c r="P137" s="42"/>
      <c r="Q137" s="41"/>
      <c r="R137" s="41"/>
      <c r="S137" s="41"/>
    </row>
    <row r="138" spans="1:19" ht="18.75" hidden="1" customHeight="1">
      <c r="A138" s="31" t="s">
        <v>725</v>
      </c>
      <c r="B138" s="31" t="s">
        <v>1232</v>
      </c>
      <c r="C138" s="31" t="s">
        <v>1233</v>
      </c>
      <c r="F138" s="39">
        <v>45728</v>
      </c>
      <c r="G138" s="51" t="str">
        <f t="shared" si="0"/>
        <v>2025</v>
      </c>
      <c r="H138" s="51" t="str">
        <f t="shared" si="1"/>
        <v>marzo</v>
      </c>
      <c r="I138" s="31" t="s">
        <v>373</v>
      </c>
      <c r="J138" s="31" t="s">
        <v>1076</v>
      </c>
      <c r="K138" s="31" t="s">
        <v>357</v>
      </c>
      <c r="L138" s="131"/>
      <c r="M138" s="41"/>
      <c r="N138" s="41"/>
      <c r="O138" s="31"/>
      <c r="P138" s="31"/>
      <c r="Q138" s="41"/>
      <c r="R138" s="41"/>
      <c r="S138" s="40"/>
    </row>
    <row r="139" spans="1:19" ht="18.75" hidden="1" customHeight="1">
      <c r="A139" s="31" t="s">
        <v>701</v>
      </c>
      <c r="B139" s="31" t="s">
        <v>702</v>
      </c>
      <c r="C139" s="31" t="s">
        <v>1234</v>
      </c>
      <c r="F139" s="39">
        <v>45763</v>
      </c>
      <c r="G139" s="51" t="str">
        <f t="shared" si="0"/>
        <v>2025</v>
      </c>
      <c r="H139" s="51" t="str">
        <f t="shared" si="1"/>
        <v>abril</v>
      </c>
      <c r="I139" s="31" t="s">
        <v>373</v>
      </c>
      <c r="J139" s="31" t="s">
        <v>1076</v>
      </c>
      <c r="K139" s="31" t="s">
        <v>357</v>
      </c>
      <c r="L139" s="131"/>
      <c r="M139" s="41"/>
      <c r="N139" s="41"/>
      <c r="O139" s="31"/>
      <c r="P139" s="31"/>
      <c r="Q139" s="41"/>
      <c r="R139" s="41"/>
      <c r="S139" s="40"/>
    </row>
    <row r="140" spans="1:19" ht="18.75" hidden="1" customHeight="1">
      <c r="A140" s="31" t="s">
        <v>933</v>
      </c>
      <c r="B140" s="31" t="s">
        <v>405</v>
      </c>
      <c r="C140" s="31" t="s">
        <v>1235</v>
      </c>
      <c r="F140" s="39">
        <v>45451</v>
      </c>
      <c r="G140" s="51" t="str">
        <f t="shared" si="0"/>
        <v>2024</v>
      </c>
      <c r="H140" s="51" t="str">
        <f t="shared" si="1"/>
        <v>junio</v>
      </c>
      <c r="I140" s="8" t="s">
        <v>373</v>
      </c>
      <c r="J140" s="31" t="s">
        <v>1076</v>
      </c>
      <c r="K140" s="31" t="s">
        <v>357</v>
      </c>
      <c r="P140" s="42"/>
      <c r="Q140" s="41"/>
      <c r="R140" s="40"/>
      <c r="S140" s="41"/>
    </row>
    <row r="141" spans="1:19" ht="18.75" hidden="1" customHeight="1">
      <c r="A141" s="31" t="s">
        <v>672</v>
      </c>
      <c r="B141" s="31" t="s">
        <v>374</v>
      </c>
      <c r="C141" s="31" t="s">
        <v>1236</v>
      </c>
      <c r="F141" s="39">
        <v>45770</v>
      </c>
      <c r="G141" s="51" t="str">
        <f t="shared" si="0"/>
        <v>2025</v>
      </c>
      <c r="H141" s="51" t="str">
        <f t="shared" si="1"/>
        <v>abril</v>
      </c>
      <c r="I141" s="31" t="s">
        <v>373</v>
      </c>
      <c r="J141" s="31" t="s">
        <v>1076</v>
      </c>
      <c r="K141" s="31" t="s">
        <v>357</v>
      </c>
      <c r="L141" s="131"/>
      <c r="M141" s="41"/>
      <c r="N141" s="41"/>
      <c r="O141" s="31"/>
      <c r="P141" s="31"/>
      <c r="Q141" s="41"/>
      <c r="R141" s="41"/>
      <c r="S141" s="40"/>
    </row>
    <row r="142" spans="1:19" ht="18.75" hidden="1" customHeight="1">
      <c r="A142" s="31" t="s">
        <v>591</v>
      </c>
      <c r="B142" s="31" t="s">
        <v>592</v>
      </c>
      <c r="C142" s="31" t="s">
        <v>1237</v>
      </c>
      <c r="F142" s="39">
        <v>45451</v>
      </c>
      <c r="G142" s="51" t="str">
        <f t="shared" si="0"/>
        <v>2024</v>
      </c>
      <c r="H142" s="51" t="str">
        <f t="shared" si="1"/>
        <v>junio</v>
      </c>
      <c r="I142" s="8" t="s">
        <v>373</v>
      </c>
      <c r="J142" s="31" t="s">
        <v>1076</v>
      </c>
      <c r="K142" s="31" t="s">
        <v>357</v>
      </c>
      <c r="P142" s="42"/>
      <c r="Q142" s="41"/>
      <c r="R142" s="41"/>
      <c r="S142" s="40"/>
    </row>
    <row r="143" spans="1:19" ht="18.75" hidden="1" customHeight="1">
      <c r="A143" s="31" t="s">
        <v>923</v>
      </c>
      <c r="B143" s="31" t="s">
        <v>1238</v>
      </c>
      <c r="C143" s="31" t="s">
        <v>1239</v>
      </c>
      <c r="F143" s="39">
        <v>45451</v>
      </c>
      <c r="G143" s="51" t="str">
        <f t="shared" si="0"/>
        <v>2024</v>
      </c>
      <c r="H143" s="51" t="str">
        <f t="shared" si="1"/>
        <v>junio</v>
      </c>
      <c r="I143" s="8" t="s">
        <v>373</v>
      </c>
      <c r="J143" s="31" t="s">
        <v>1076</v>
      </c>
      <c r="K143" s="31" t="s">
        <v>357</v>
      </c>
      <c r="P143" s="42"/>
      <c r="Q143" s="41"/>
      <c r="R143" s="41"/>
      <c r="S143" s="41"/>
    </row>
    <row r="144" spans="1:19" ht="18.75" hidden="1" customHeight="1">
      <c r="A144" s="31" t="s">
        <v>271</v>
      </c>
      <c r="B144" s="31" t="s">
        <v>461</v>
      </c>
      <c r="C144" s="31" t="s">
        <v>461</v>
      </c>
      <c r="F144" s="39">
        <v>45754</v>
      </c>
      <c r="G144" s="51" t="str">
        <f t="shared" si="0"/>
        <v>2025</v>
      </c>
      <c r="H144" s="51" t="str">
        <f t="shared" si="1"/>
        <v>abril</v>
      </c>
      <c r="I144" s="31" t="s">
        <v>373</v>
      </c>
      <c r="J144" s="31" t="s">
        <v>1076</v>
      </c>
      <c r="K144" s="31" t="s">
        <v>357</v>
      </c>
      <c r="L144" s="131"/>
      <c r="M144" s="41"/>
      <c r="N144" s="41"/>
      <c r="O144" s="31"/>
      <c r="P144" s="31"/>
      <c r="Q144" s="41"/>
      <c r="R144" s="41"/>
      <c r="S144" s="40"/>
    </row>
    <row r="145" spans="1:19" ht="18.75" hidden="1" customHeight="1">
      <c r="A145" s="31" t="s">
        <v>752</v>
      </c>
      <c r="B145" s="31" t="s">
        <v>367</v>
      </c>
      <c r="F145" s="39">
        <v>45451</v>
      </c>
      <c r="G145" s="51" t="str">
        <f t="shared" si="0"/>
        <v>2024</v>
      </c>
      <c r="H145" s="51" t="str">
        <f t="shared" si="1"/>
        <v>junio</v>
      </c>
      <c r="I145" s="31" t="s">
        <v>373</v>
      </c>
      <c r="J145" s="31" t="s">
        <v>1076</v>
      </c>
      <c r="K145" s="31" t="s">
        <v>357</v>
      </c>
      <c r="P145" s="42"/>
      <c r="Q145" s="41"/>
      <c r="R145" s="41"/>
      <c r="S145" s="41"/>
    </row>
    <row r="146" spans="1:19" ht="18.75" hidden="1" customHeight="1">
      <c r="A146" s="31" t="s">
        <v>1016</v>
      </c>
      <c r="B146" s="31" t="s">
        <v>367</v>
      </c>
      <c r="F146" s="39">
        <v>45451</v>
      </c>
      <c r="G146" s="51" t="str">
        <f t="shared" si="0"/>
        <v>2024</v>
      </c>
      <c r="H146" s="51" t="str">
        <f t="shared" si="1"/>
        <v>junio</v>
      </c>
      <c r="I146" s="31" t="s">
        <v>373</v>
      </c>
      <c r="J146" s="31" t="s">
        <v>1076</v>
      </c>
      <c r="K146" s="31" t="s">
        <v>357</v>
      </c>
      <c r="P146" s="42"/>
      <c r="Q146" s="41"/>
      <c r="R146" s="40"/>
      <c r="S146" s="41"/>
    </row>
    <row r="147" spans="1:19" ht="18.75" hidden="1" customHeight="1">
      <c r="A147" s="31" t="s">
        <v>895</v>
      </c>
      <c r="B147" s="31" t="s">
        <v>1240</v>
      </c>
      <c r="C147" s="31" t="s">
        <v>1241</v>
      </c>
      <c r="F147" s="39">
        <v>45451</v>
      </c>
      <c r="G147" s="51" t="str">
        <f t="shared" si="0"/>
        <v>2024</v>
      </c>
      <c r="H147" s="51" t="str">
        <f t="shared" si="1"/>
        <v>junio</v>
      </c>
      <c r="I147" s="8" t="s">
        <v>356</v>
      </c>
      <c r="J147" s="31" t="s">
        <v>1076</v>
      </c>
      <c r="K147" s="31" t="s">
        <v>357</v>
      </c>
      <c r="P147" s="42"/>
      <c r="Q147" s="41"/>
      <c r="R147" s="40"/>
      <c r="S147" s="40"/>
    </row>
    <row r="148" spans="1:19" ht="18.75" hidden="1" customHeight="1">
      <c r="A148" s="31" t="s">
        <v>1038</v>
      </c>
      <c r="F148" s="39">
        <v>45451</v>
      </c>
      <c r="G148" s="51" t="str">
        <f t="shared" si="0"/>
        <v>2024</v>
      </c>
      <c r="H148" s="51" t="str">
        <f t="shared" si="1"/>
        <v>junio</v>
      </c>
      <c r="I148" s="31" t="s">
        <v>373</v>
      </c>
      <c r="J148" s="31" t="s">
        <v>1076</v>
      </c>
      <c r="K148" s="31" t="s">
        <v>357</v>
      </c>
      <c r="P148" s="42"/>
      <c r="Q148" s="41"/>
      <c r="R148" s="40"/>
      <c r="S148" s="40"/>
    </row>
    <row r="149" spans="1:19" ht="18.75" hidden="1" customHeight="1">
      <c r="A149" s="31" t="s">
        <v>277</v>
      </c>
      <c r="B149" s="31" t="s">
        <v>399</v>
      </c>
      <c r="C149" s="31" t="s">
        <v>1242</v>
      </c>
      <c r="F149" s="39">
        <v>45791</v>
      </c>
      <c r="G149" s="51" t="str">
        <f t="shared" si="0"/>
        <v>2025</v>
      </c>
      <c r="H149" s="51" t="str">
        <f t="shared" si="1"/>
        <v>mayo</v>
      </c>
      <c r="I149" s="31" t="s">
        <v>373</v>
      </c>
      <c r="J149" s="31" t="s">
        <v>1076</v>
      </c>
      <c r="K149" s="31" t="s">
        <v>357</v>
      </c>
      <c r="L149" s="131"/>
      <c r="M149" s="41"/>
      <c r="N149" s="41"/>
      <c r="O149" s="31"/>
      <c r="P149" s="31"/>
      <c r="Q149" s="41"/>
      <c r="R149" s="41"/>
      <c r="S149" s="40"/>
    </row>
    <row r="150" spans="1:19" ht="18.75" hidden="1" customHeight="1">
      <c r="A150" s="31" t="s">
        <v>718</v>
      </c>
      <c r="B150" s="31" t="s">
        <v>488</v>
      </c>
      <c r="C150" s="31" t="s">
        <v>1243</v>
      </c>
      <c r="F150" s="39">
        <v>45728</v>
      </c>
      <c r="G150" s="51" t="str">
        <f t="shared" si="0"/>
        <v>2025</v>
      </c>
      <c r="H150" s="51" t="str">
        <f t="shared" si="1"/>
        <v>marzo</v>
      </c>
      <c r="I150" s="31" t="s">
        <v>373</v>
      </c>
      <c r="J150" s="31" t="s">
        <v>1076</v>
      </c>
      <c r="K150" s="31" t="s">
        <v>357</v>
      </c>
      <c r="L150" s="131"/>
      <c r="M150" s="41"/>
      <c r="N150" s="41"/>
      <c r="O150" s="31"/>
      <c r="P150" s="31"/>
      <c r="Q150" s="41"/>
      <c r="R150" s="41"/>
      <c r="S150" s="40"/>
    </row>
    <row r="151" spans="1:19" ht="18.75" hidden="1" customHeight="1">
      <c r="A151" s="31" t="s">
        <v>674</v>
      </c>
      <c r="B151" s="31" t="s">
        <v>675</v>
      </c>
      <c r="C151" s="31" t="s">
        <v>1244</v>
      </c>
      <c r="F151" s="39">
        <v>45463</v>
      </c>
      <c r="G151" s="51" t="str">
        <f t="shared" si="0"/>
        <v>2024</v>
      </c>
      <c r="H151" s="51" t="str">
        <f t="shared" si="1"/>
        <v>junio</v>
      </c>
      <c r="I151" s="31" t="s">
        <v>373</v>
      </c>
      <c r="J151" s="31" t="s">
        <v>1076</v>
      </c>
      <c r="K151" s="31" t="s">
        <v>357</v>
      </c>
      <c r="L151" s="131"/>
      <c r="M151" s="40"/>
      <c r="N151" s="40"/>
      <c r="P151" s="42"/>
      <c r="Q151" s="40"/>
      <c r="R151" s="41"/>
      <c r="S151" s="41"/>
    </row>
    <row r="152" spans="1:19" ht="18.75" hidden="1" customHeight="1">
      <c r="A152" s="31" t="s">
        <v>804</v>
      </c>
      <c r="B152" s="31" t="s">
        <v>1245</v>
      </c>
      <c r="F152" s="39">
        <v>45451</v>
      </c>
      <c r="G152" s="51" t="str">
        <f t="shared" si="0"/>
        <v>2024</v>
      </c>
      <c r="H152" s="51" t="str">
        <f t="shared" si="1"/>
        <v>junio</v>
      </c>
      <c r="I152" s="31" t="s">
        <v>373</v>
      </c>
      <c r="J152" s="31" t="s">
        <v>1076</v>
      </c>
      <c r="K152" s="31" t="s">
        <v>357</v>
      </c>
      <c r="P152" s="42"/>
      <c r="Q152" s="40"/>
      <c r="R152" s="41"/>
      <c r="S152" s="41"/>
    </row>
    <row r="153" spans="1:19" ht="18.75" hidden="1" customHeight="1">
      <c r="A153" s="31" t="s">
        <v>193</v>
      </c>
      <c r="B153" s="31" t="s">
        <v>383</v>
      </c>
      <c r="C153" s="31" t="s">
        <v>1246</v>
      </c>
      <c r="F153" s="39">
        <v>45690</v>
      </c>
      <c r="G153" s="51" t="str">
        <f t="shared" si="0"/>
        <v>2025</v>
      </c>
      <c r="H153" s="51" t="str">
        <f t="shared" si="1"/>
        <v>febrero</v>
      </c>
      <c r="I153" s="31" t="s">
        <v>373</v>
      </c>
      <c r="J153" s="31" t="s">
        <v>1076</v>
      </c>
      <c r="K153" s="31" t="s">
        <v>357</v>
      </c>
      <c r="L153" s="131"/>
      <c r="M153" s="41"/>
      <c r="N153" s="41"/>
      <c r="O153" s="31"/>
      <c r="P153" s="31"/>
      <c r="Q153" s="41"/>
      <c r="R153" s="41"/>
      <c r="S153" s="40"/>
    </row>
    <row r="154" spans="1:19" ht="18.75" hidden="1" customHeight="1">
      <c r="A154" s="31" t="s">
        <v>759</v>
      </c>
      <c r="B154" s="31" t="s">
        <v>1247</v>
      </c>
      <c r="C154" s="31" t="s">
        <v>1248</v>
      </c>
      <c r="F154" s="39">
        <v>45660</v>
      </c>
      <c r="G154" s="51" t="str">
        <f t="shared" si="0"/>
        <v>2025</v>
      </c>
      <c r="H154" s="51" t="str">
        <f t="shared" si="1"/>
        <v>enero</v>
      </c>
      <c r="I154" s="31" t="s">
        <v>373</v>
      </c>
      <c r="J154" s="31" t="s">
        <v>1076</v>
      </c>
      <c r="K154" s="31" t="s">
        <v>357</v>
      </c>
      <c r="L154" s="131"/>
      <c r="M154" s="41"/>
      <c r="N154" s="41"/>
      <c r="O154" s="31"/>
      <c r="P154" s="31"/>
      <c r="Q154" s="41"/>
      <c r="R154" s="41"/>
      <c r="S154" s="40"/>
    </row>
    <row r="155" spans="1:19" ht="18.75" hidden="1" customHeight="1">
      <c r="A155" s="31" t="s">
        <v>265</v>
      </c>
      <c r="B155" s="31" t="s">
        <v>470</v>
      </c>
      <c r="C155" s="31" t="s">
        <v>1249</v>
      </c>
      <c r="F155" s="39">
        <v>45833</v>
      </c>
      <c r="G155" s="51" t="str">
        <f t="shared" si="0"/>
        <v>2025</v>
      </c>
      <c r="H155" s="51" t="str">
        <f t="shared" si="1"/>
        <v>junio</v>
      </c>
      <c r="I155" s="31" t="s">
        <v>373</v>
      </c>
      <c r="J155" s="31" t="s">
        <v>1076</v>
      </c>
      <c r="K155" s="31" t="s">
        <v>357</v>
      </c>
      <c r="L155" s="131"/>
      <c r="M155" s="41"/>
      <c r="N155" s="41"/>
      <c r="O155" s="31"/>
      <c r="P155" s="31"/>
      <c r="Q155" s="41"/>
      <c r="R155" s="41"/>
      <c r="S155" s="40"/>
    </row>
    <row r="156" spans="1:19" ht="18.75" hidden="1" customHeight="1">
      <c r="A156" s="31" t="s">
        <v>652</v>
      </c>
      <c r="B156" s="31" t="s">
        <v>470</v>
      </c>
      <c r="C156" s="31" t="s">
        <v>1249</v>
      </c>
      <c r="F156" s="39">
        <v>45609</v>
      </c>
      <c r="G156" s="51" t="str">
        <f t="shared" si="0"/>
        <v>2024</v>
      </c>
      <c r="H156" s="51" t="str">
        <f t="shared" si="1"/>
        <v>noviembre</v>
      </c>
      <c r="I156" s="31" t="s">
        <v>373</v>
      </c>
      <c r="J156" s="31" t="s">
        <v>1076</v>
      </c>
      <c r="K156" s="31" t="s">
        <v>357</v>
      </c>
      <c r="L156" s="131"/>
      <c r="M156" s="41"/>
      <c r="N156" s="41"/>
      <c r="O156" s="31"/>
      <c r="P156" s="31"/>
      <c r="Q156" s="41"/>
      <c r="R156" s="41"/>
      <c r="S156" s="40"/>
    </row>
    <row r="157" spans="1:19" ht="18.75" hidden="1" customHeight="1">
      <c r="A157" s="31" t="s">
        <v>241</v>
      </c>
      <c r="B157" s="31" t="s">
        <v>488</v>
      </c>
      <c r="C157" s="31" t="s">
        <v>1145</v>
      </c>
      <c r="F157" s="39">
        <v>45595</v>
      </c>
      <c r="G157" s="51" t="str">
        <f t="shared" si="0"/>
        <v>2024</v>
      </c>
      <c r="H157" s="51" t="str">
        <f t="shared" si="1"/>
        <v>octubre</v>
      </c>
      <c r="I157" s="8" t="s">
        <v>373</v>
      </c>
      <c r="J157" s="31" t="s">
        <v>1076</v>
      </c>
      <c r="K157" s="31" t="s">
        <v>357</v>
      </c>
      <c r="L157" s="131"/>
      <c r="M157" s="41"/>
      <c r="N157" s="41"/>
      <c r="O157" s="31"/>
      <c r="P157" s="31"/>
      <c r="Q157" s="41"/>
      <c r="R157" s="41"/>
      <c r="S157" s="40"/>
    </row>
    <row r="158" spans="1:19" ht="18.75" hidden="1" customHeight="1">
      <c r="A158" s="31" t="s">
        <v>951</v>
      </c>
      <c r="B158" s="31" t="s">
        <v>405</v>
      </c>
      <c r="C158" s="31" t="s">
        <v>1250</v>
      </c>
      <c r="F158" s="39">
        <v>45451</v>
      </c>
      <c r="G158" s="51" t="str">
        <f t="shared" si="0"/>
        <v>2024</v>
      </c>
      <c r="H158" s="51" t="str">
        <f t="shared" si="1"/>
        <v>junio</v>
      </c>
      <c r="I158" s="8" t="s">
        <v>373</v>
      </c>
      <c r="J158" s="31" t="s">
        <v>1076</v>
      </c>
      <c r="K158" s="31" t="s">
        <v>357</v>
      </c>
      <c r="P158" s="42"/>
      <c r="Q158" s="41"/>
      <c r="R158" s="41"/>
      <c r="S158" s="40"/>
    </row>
    <row r="159" spans="1:19" ht="18.75" hidden="1" customHeight="1">
      <c r="A159" s="31" t="s">
        <v>855</v>
      </c>
      <c r="B159" s="31" t="s">
        <v>534</v>
      </c>
      <c r="C159" s="31" t="s">
        <v>1251</v>
      </c>
      <c r="F159" s="39">
        <v>45500</v>
      </c>
      <c r="G159" s="51" t="str">
        <f t="shared" si="0"/>
        <v>2024</v>
      </c>
      <c r="H159" s="51" t="str">
        <f t="shared" si="1"/>
        <v>julio</v>
      </c>
      <c r="I159" s="8" t="s">
        <v>373</v>
      </c>
      <c r="J159" s="31" t="s">
        <v>1076</v>
      </c>
      <c r="K159" s="31" t="s">
        <v>357</v>
      </c>
      <c r="L159" s="131"/>
      <c r="M159" s="40"/>
      <c r="N159" s="40"/>
      <c r="P159" s="42"/>
      <c r="Q159" s="41"/>
      <c r="R159" s="41"/>
      <c r="S159" s="40"/>
    </row>
    <row r="160" spans="1:19" ht="18.75" hidden="1" customHeight="1">
      <c r="A160" s="31" t="s">
        <v>630</v>
      </c>
      <c r="B160" s="31" t="s">
        <v>631</v>
      </c>
      <c r="F160" s="39">
        <v>45451</v>
      </c>
      <c r="G160" s="51" t="str">
        <f t="shared" si="0"/>
        <v>2024</v>
      </c>
      <c r="H160" s="51" t="str">
        <f t="shared" si="1"/>
        <v>junio</v>
      </c>
      <c r="I160" s="8" t="s">
        <v>361</v>
      </c>
      <c r="J160" s="31" t="s">
        <v>1131</v>
      </c>
      <c r="K160" s="31" t="s">
        <v>357</v>
      </c>
      <c r="P160" s="42"/>
      <c r="Q160" s="41"/>
      <c r="R160" s="41"/>
      <c r="S160" s="40"/>
    </row>
    <row r="161" spans="1:19" ht="18.75" hidden="1" customHeight="1">
      <c r="A161" s="31" t="s">
        <v>215</v>
      </c>
      <c r="B161" s="31" t="s">
        <v>465</v>
      </c>
      <c r="C161" s="31" t="s">
        <v>1252</v>
      </c>
      <c r="F161" s="39">
        <v>45542</v>
      </c>
      <c r="G161" s="51" t="str">
        <f t="shared" si="0"/>
        <v>2024</v>
      </c>
      <c r="H161" s="51" t="str">
        <f t="shared" si="1"/>
        <v>septiembre</v>
      </c>
      <c r="I161" s="8" t="s">
        <v>373</v>
      </c>
      <c r="J161" s="31" t="s">
        <v>1076</v>
      </c>
      <c r="K161" s="31" t="s">
        <v>357</v>
      </c>
      <c r="L161" s="131"/>
      <c r="M161" s="41"/>
      <c r="N161" s="41"/>
      <c r="P161" s="42"/>
      <c r="Q161" s="41"/>
      <c r="R161" s="41"/>
      <c r="S161" s="40"/>
    </row>
    <row r="162" spans="1:19" ht="18.75" hidden="1" customHeight="1">
      <c r="A162" s="31" t="s">
        <v>814</v>
      </c>
      <c r="B162" s="31" t="s">
        <v>568</v>
      </c>
      <c r="C162" s="31" t="s">
        <v>1253</v>
      </c>
      <c r="F162" s="39">
        <v>45556</v>
      </c>
      <c r="G162" s="51" t="str">
        <f t="shared" si="0"/>
        <v>2024</v>
      </c>
      <c r="H162" s="51" t="str">
        <f t="shared" si="1"/>
        <v>septiembre</v>
      </c>
      <c r="I162" s="8" t="s">
        <v>373</v>
      </c>
      <c r="J162" s="31" t="s">
        <v>1076</v>
      </c>
      <c r="K162" s="31" t="s">
        <v>357</v>
      </c>
      <c r="L162" s="131"/>
      <c r="M162" s="41"/>
      <c r="N162" s="41"/>
      <c r="O162" s="31"/>
      <c r="P162" s="42"/>
      <c r="Q162" s="41"/>
      <c r="R162" s="41"/>
      <c r="S162" s="40"/>
    </row>
    <row r="163" spans="1:19" ht="18.75" hidden="1" customHeight="1">
      <c r="A163" s="31" t="s">
        <v>469</v>
      </c>
      <c r="B163" s="31" t="s">
        <v>383</v>
      </c>
      <c r="C163" s="31" t="s">
        <v>1254</v>
      </c>
      <c r="F163" s="39">
        <v>45451</v>
      </c>
      <c r="G163" s="51" t="str">
        <f t="shared" si="0"/>
        <v>2024</v>
      </c>
      <c r="H163" s="51" t="str">
        <f t="shared" si="1"/>
        <v>junio</v>
      </c>
      <c r="I163" s="8" t="s">
        <v>356</v>
      </c>
      <c r="J163" s="31" t="s">
        <v>1076</v>
      </c>
      <c r="K163" s="31" t="s">
        <v>357</v>
      </c>
      <c r="P163" s="47"/>
      <c r="Q163" s="41"/>
      <c r="R163" s="41"/>
      <c r="S163" s="41"/>
    </row>
    <row r="164" spans="1:19" ht="18.75" hidden="1" customHeight="1">
      <c r="A164" s="31" t="s">
        <v>874</v>
      </c>
      <c r="B164" s="31" t="s">
        <v>358</v>
      </c>
      <c r="C164" s="31"/>
      <c r="F164" s="39">
        <v>45451</v>
      </c>
      <c r="G164" s="51" t="str">
        <f t="shared" si="0"/>
        <v>2024</v>
      </c>
      <c r="H164" s="51" t="str">
        <f t="shared" si="1"/>
        <v>junio</v>
      </c>
      <c r="I164" s="8" t="s">
        <v>356</v>
      </c>
      <c r="J164" s="31" t="s">
        <v>1076</v>
      </c>
      <c r="K164" s="31" t="s">
        <v>357</v>
      </c>
      <c r="P164" s="42"/>
      <c r="Q164" s="40"/>
      <c r="R164" s="41"/>
      <c r="S164" s="41"/>
    </row>
    <row r="165" spans="1:19" ht="18.75" hidden="1" customHeight="1">
      <c r="A165" s="31" t="s">
        <v>353</v>
      </c>
      <c r="B165" s="31" t="s">
        <v>374</v>
      </c>
      <c r="C165" s="31" t="s">
        <v>1255</v>
      </c>
      <c r="F165" s="39">
        <v>45594</v>
      </c>
      <c r="G165" s="51" t="str">
        <f t="shared" si="0"/>
        <v>2024</v>
      </c>
      <c r="H165" s="51" t="str">
        <f t="shared" si="1"/>
        <v>octubre</v>
      </c>
      <c r="I165" s="8" t="s">
        <v>373</v>
      </c>
      <c r="J165" s="31" t="s">
        <v>1076</v>
      </c>
      <c r="K165" s="31" t="s">
        <v>357</v>
      </c>
      <c r="L165" s="131"/>
      <c r="M165" s="41"/>
      <c r="N165" s="41"/>
      <c r="O165" s="31"/>
      <c r="P165" s="31"/>
      <c r="Q165" s="41"/>
      <c r="R165" s="41"/>
      <c r="S165" s="40"/>
    </row>
    <row r="166" spans="1:19" ht="18.75" hidden="1" customHeight="1">
      <c r="A166" s="31" t="s">
        <v>246</v>
      </c>
      <c r="B166" s="31" t="s">
        <v>389</v>
      </c>
      <c r="C166" s="31" t="s">
        <v>1256</v>
      </c>
      <c r="F166" s="39">
        <v>45669</v>
      </c>
      <c r="G166" s="51" t="str">
        <f t="shared" si="0"/>
        <v>2025</v>
      </c>
      <c r="H166" s="51" t="str">
        <f t="shared" si="1"/>
        <v>enero</v>
      </c>
      <c r="I166" s="31" t="s">
        <v>373</v>
      </c>
      <c r="J166" s="31" t="s">
        <v>1076</v>
      </c>
      <c r="K166" s="31" t="s">
        <v>357</v>
      </c>
      <c r="L166" s="131"/>
      <c r="M166" s="41"/>
      <c r="N166" s="41"/>
      <c r="O166" s="31"/>
      <c r="P166" s="31"/>
      <c r="Q166" s="41"/>
      <c r="R166" s="41"/>
      <c r="S166" s="40"/>
    </row>
    <row r="167" spans="1:19" ht="18.75" hidden="1" customHeight="1">
      <c r="A167" s="31" t="s">
        <v>786</v>
      </c>
      <c r="B167" s="31" t="s">
        <v>383</v>
      </c>
      <c r="C167" s="31" t="s">
        <v>1257</v>
      </c>
      <c r="F167" s="39">
        <v>45654</v>
      </c>
      <c r="G167" s="51" t="str">
        <f t="shared" si="0"/>
        <v>2024</v>
      </c>
      <c r="H167" s="51" t="str">
        <f t="shared" si="1"/>
        <v>diciembre</v>
      </c>
      <c r="I167" s="31" t="s">
        <v>373</v>
      </c>
      <c r="J167" s="31" t="s">
        <v>1076</v>
      </c>
      <c r="K167" s="31" t="s">
        <v>357</v>
      </c>
      <c r="L167" s="131"/>
      <c r="M167" s="41"/>
      <c r="N167" s="41"/>
      <c r="O167" s="31"/>
      <c r="P167" s="31"/>
      <c r="Q167" s="41"/>
      <c r="R167" s="41"/>
      <c r="S167" s="40"/>
    </row>
    <row r="168" spans="1:19" ht="18.75" hidden="1" customHeight="1">
      <c r="A168" s="31" t="s">
        <v>915</v>
      </c>
      <c r="B168" s="31" t="s">
        <v>405</v>
      </c>
      <c r="F168" s="39">
        <v>45451</v>
      </c>
      <c r="G168" s="51" t="str">
        <f t="shared" si="0"/>
        <v>2024</v>
      </c>
      <c r="H168" s="51" t="str">
        <f t="shared" si="1"/>
        <v>junio</v>
      </c>
      <c r="I168" s="8" t="s">
        <v>356</v>
      </c>
      <c r="J168" s="31" t="s">
        <v>1076</v>
      </c>
      <c r="K168" s="31" t="s">
        <v>357</v>
      </c>
      <c r="P168" s="42"/>
      <c r="Q168" s="41"/>
      <c r="R168" s="40"/>
      <c r="S168" s="41"/>
    </row>
    <row r="169" spans="1:19" ht="18.75" hidden="1" customHeight="1">
      <c r="A169" s="31" t="s">
        <v>683</v>
      </c>
      <c r="B169" s="31" t="s">
        <v>684</v>
      </c>
      <c r="C169" s="31" t="s">
        <v>1258</v>
      </c>
      <c r="F169" s="39">
        <v>45471</v>
      </c>
      <c r="G169" s="51" t="str">
        <f t="shared" si="0"/>
        <v>2024</v>
      </c>
      <c r="H169" s="51" t="str">
        <f t="shared" si="1"/>
        <v>junio</v>
      </c>
      <c r="I169" s="31" t="s">
        <v>373</v>
      </c>
      <c r="J169" s="31" t="s">
        <v>1076</v>
      </c>
      <c r="K169" s="31" t="s">
        <v>357</v>
      </c>
      <c r="L169" s="131"/>
      <c r="M169" s="40"/>
      <c r="N169" s="40"/>
      <c r="P169" s="47"/>
      <c r="Q169" s="41"/>
      <c r="R169" s="41"/>
      <c r="S169" s="41"/>
    </row>
    <row r="170" spans="1:19" ht="18.75" hidden="1" customHeight="1">
      <c r="A170" s="31" t="s">
        <v>1039</v>
      </c>
      <c r="F170" s="39">
        <v>45451</v>
      </c>
      <c r="G170" s="51" t="str">
        <f t="shared" si="0"/>
        <v>2024</v>
      </c>
      <c r="H170" s="51" t="str">
        <f t="shared" si="1"/>
        <v>junio</v>
      </c>
      <c r="I170" s="31" t="s">
        <v>373</v>
      </c>
      <c r="J170" s="31" t="s">
        <v>1076</v>
      </c>
      <c r="K170" s="31" t="s">
        <v>357</v>
      </c>
      <c r="P170" s="42"/>
      <c r="Q170" s="40"/>
      <c r="R170" s="40"/>
      <c r="S170" s="41"/>
    </row>
    <row r="171" spans="1:19" ht="18.75" hidden="1" customHeight="1">
      <c r="A171" s="31" t="s">
        <v>1259</v>
      </c>
      <c r="B171" s="31" t="s">
        <v>1260</v>
      </c>
      <c r="F171" s="39">
        <v>45813</v>
      </c>
      <c r="G171" s="51" t="str">
        <f t="shared" si="0"/>
        <v>2025</v>
      </c>
      <c r="H171" s="51" t="str">
        <f t="shared" si="1"/>
        <v>junio</v>
      </c>
      <c r="I171" s="31" t="s">
        <v>373</v>
      </c>
      <c r="J171" s="31" t="s">
        <v>1076</v>
      </c>
      <c r="K171" s="31" t="s">
        <v>357</v>
      </c>
    </row>
    <row r="172" spans="1:19" ht="18.75" hidden="1" customHeight="1">
      <c r="A172" s="31" t="s">
        <v>819</v>
      </c>
      <c r="B172" s="31" t="s">
        <v>549</v>
      </c>
      <c r="C172" s="31" t="s">
        <v>1261</v>
      </c>
      <c r="F172" s="39">
        <v>45553</v>
      </c>
      <c r="G172" s="51" t="str">
        <f t="shared" si="0"/>
        <v>2024</v>
      </c>
      <c r="H172" s="51" t="str">
        <f t="shared" si="1"/>
        <v>septiembre</v>
      </c>
      <c r="I172" s="8" t="s">
        <v>373</v>
      </c>
      <c r="J172" s="31" t="s">
        <v>1076</v>
      </c>
      <c r="K172" s="31" t="s">
        <v>357</v>
      </c>
      <c r="L172" s="131"/>
      <c r="M172" s="41"/>
      <c r="N172" s="41"/>
      <c r="O172" s="31"/>
      <c r="P172" s="42"/>
      <c r="Q172" s="41"/>
      <c r="R172" s="41"/>
      <c r="S172" s="40"/>
    </row>
    <row r="173" spans="1:19" ht="18.75" hidden="1" customHeight="1">
      <c r="A173" s="31" t="s">
        <v>729</v>
      </c>
      <c r="B173" s="31" t="s">
        <v>569</v>
      </c>
      <c r="C173" s="31" t="s">
        <v>1262</v>
      </c>
      <c r="F173" s="39">
        <v>45643</v>
      </c>
      <c r="G173" s="51" t="str">
        <f t="shared" si="0"/>
        <v>2024</v>
      </c>
      <c r="H173" s="51" t="str">
        <f t="shared" si="1"/>
        <v>diciembre</v>
      </c>
      <c r="I173" s="31" t="s">
        <v>373</v>
      </c>
      <c r="J173" s="31" t="s">
        <v>1076</v>
      </c>
      <c r="K173" s="31" t="s">
        <v>357</v>
      </c>
      <c r="L173" s="131"/>
      <c r="M173" s="41"/>
      <c r="N173" s="41"/>
      <c r="O173" s="31"/>
      <c r="P173" s="31"/>
      <c r="Q173" s="41"/>
      <c r="R173" s="41"/>
      <c r="S173" s="40"/>
    </row>
    <row r="174" spans="1:19" ht="18.75" hidden="1" customHeight="1">
      <c r="A174" s="31" t="s">
        <v>920</v>
      </c>
      <c r="B174" s="31" t="s">
        <v>1147</v>
      </c>
      <c r="C174" s="31" t="s">
        <v>461</v>
      </c>
      <c r="F174" s="39">
        <v>45451</v>
      </c>
      <c r="G174" s="51" t="str">
        <f t="shared" si="0"/>
        <v>2024</v>
      </c>
      <c r="H174" s="51" t="str">
        <f t="shared" si="1"/>
        <v>junio</v>
      </c>
      <c r="I174" s="8" t="s">
        <v>373</v>
      </c>
      <c r="J174" s="31" t="s">
        <v>1076</v>
      </c>
      <c r="K174" s="31" t="s">
        <v>357</v>
      </c>
      <c r="P174" s="42"/>
      <c r="Q174" s="40"/>
      <c r="R174" s="40"/>
      <c r="S174" s="41"/>
    </row>
    <row r="175" spans="1:19" ht="13.2" hidden="1">
      <c r="A175" s="31" t="s">
        <v>680</v>
      </c>
      <c r="B175" s="31" t="s">
        <v>681</v>
      </c>
      <c r="C175" s="31" t="s">
        <v>1263</v>
      </c>
      <c r="F175" s="39">
        <v>45767</v>
      </c>
      <c r="G175" s="51" t="str">
        <f t="shared" si="0"/>
        <v>2025</v>
      </c>
      <c r="H175" s="51" t="str">
        <f t="shared" si="1"/>
        <v>abril</v>
      </c>
      <c r="I175" s="31" t="s">
        <v>373</v>
      </c>
      <c r="J175" s="31" t="s">
        <v>1076</v>
      </c>
      <c r="K175" s="31" t="s">
        <v>357</v>
      </c>
      <c r="L175" s="131"/>
      <c r="M175" s="41"/>
      <c r="N175" s="41"/>
      <c r="O175" s="31"/>
      <c r="P175" s="31"/>
      <c r="Q175" s="41"/>
      <c r="R175" s="41"/>
      <c r="S175" s="40"/>
    </row>
    <row r="176" spans="1:19" ht="13.2" hidden="1">
      <c r="A176" s="31" t="s">
        <v>927</v>
      </c>
      <c r="B176" s="31" t="s">
        <v>362</v>
      </c>
      <c r="C176" s="31" t="s">
        <v>1264</v>
      </c>
      <c r="F176" s="39">
        <v>45451</v>
      </c>
      <c r="G176" s="51" t="str">
        <f t="shared" si="0"/>
        <v>2024</v>
      </c>
      <c r="H176" s="51" t="str">
        <f t="shared" si="1"/>
        <v>junio</v>
      </c>
      <c r="I176" s="8" t="s">
        <v>373</v>
      </c>
      <c r="J176" s="31" t="s">
        <v>1076</v>
      </c>
      <c r="K176" s="31" t="s">
        <v>357</v>
      </c>
      <c r="P176" s="42"/>
      <c r="Q176" s="41"/>
      <c r="R176" s="41"/>
      <c r="S176" s="41"/>
    </row>
    <row r="177" spans="1:19" ht="13.2" hidden="1">
      <c r="A177" s="31" t="s">
        <v>853</v>
      </c>
      <c r="B177" s="31" t="s">
        <v>1265</v>
      </c>
      <c r="C177" s="31"/>
      <c r="F177" s="39">
        <v>45504</v>
      </c>
      <c r="G177" s="51" t="str">
        <f t="shared" si="0"/>
        <v>2024</v>
      </c>
      <c r="H177" s="51" t="str">
        <f t="shared" si="1"/>
        <v>julio</v>
      </c>
      <c r="I177" s="8" t="s">
        <v>373</v>
      </c>
      <c r="J177" s="31" t="s">
        <v>1076</v>
      </c>
      <c r="K177" s="31" t="s">
        <v>357</v>
      </c>
      <c r="L177" s="131"/>
      <c r="M177" s="40"/>
      <c r="N177" s="40"/>
      <c r="P177" s="42"/>
      <c r="Q177" s="41"/>
      <c r="R177" s="41"/>
      <c r="S177" s="40"/>
    </row>
    <row r="178" spans="1:19" ht="13.2" hidden="1">
      <c r="A178" s="31" t="s">
        <v>796</v>
      </c>
      <c r="B178" s="31" t="s">
        <v>577</v>
      </c>
      <c r="C178" s="31" t="s">
        <v>1127</v>
      </c>
      <c r="F178" s="39">
        <v>45638</v>
      </c>
      <c r="G178" s="51" t="str">
        <f t="shared" si="0"/>
        <v>2024</v>
      </c>
      <c r="H178" s="51" t="str">
        <f t="shared" si="1"/>
        <v>diciembre</v>
      </c>
      <c r="I178" s="8" t="s">
        <v>373</v>
      </c>
      <c r="J178" s="31" t="s">
        <v>1076</v>
      </c>
      <c r="K178" s="31" t="s">
        <v>357</v>
      </c>
      <c r="L178" s="131"/>
      <c r="M178" s="41"/>
      <c r="N178" s="41"/>
      <c r="P178" s="42"/>
      <c r="Q178" s="41"/>
      <c r="R178" s="41"/>
      <c r="S178" s="40"/>
    </row>
    <row r="179" spans="1:19" ht="13.2" hidden="1">
      <c r="A179" s="31" t="s">
        <v>635</v>
      </c>
      <c r="B179" s="31" t="s">
        <v>636</v>
      </c>
      <c r="C179" s="31" t="s">
        <v>1266</v>
      </c>
      <c r="F179" s="39">
        <v>45798</v>
      </c>
      <c r="G179" s="51" t="str">
        <f t="shared" si="0"/>
        <v>2025</v>
      </c>
      <c r="H179" s="51" t="str">
        <f t="shared" si="1"/>
        <v>mayo</v>
      </c>
      <c r="I179" s="31" t="s">
        <v>373</v>
      </c>
      <c r="J179" s="31" t="s">
        <v>1076</v>
      </c>
      <c r="K179" s="31" t="s">
        <v>357</v>
      </c>
      <c r="L179" s="131"/>
      <c r="M179" s="41"/>
      <c r="N179" s="41"/>
      <c r="O179" s="31"/>
      <c r="P179" s="31"/>
      <c r="Q179" s="41"/>
      <c r="R179" s="41"/>
      <c r="S179" s="40"/>
    </row>
    <row r="180" spans="1:19" ht="13.2" hidden="1">
      <c r="A180" s="31" t="s">
        <v>900</v>
      </c>
      <c r="B180" s="31" t="s">
        <v>1267</v>
      </c>
      <c r="C180" s="31" t="s">
        <v>1268</v>
      </c>
      <c r="F180" s="39">
        <v>45451</v>
      </c>
      <c r="G180" s="51" t="str">
        <f t="shared" si="0"/>
        <v>2024</v>
      </c>
      <c r="H180" s="51" t="str">
        <f t="shared" si="1"/>
        <v>junio</v>
      </c>
      <c r="I180" s="8" t="s">
        <v>361</v>
      </c>
      <c r="J180" s="31" t="s">
        <v>1131</v>
      </c>
      <c r="K180" s="31" t="s">
        <v>357</v>
      </c>
      <c r="P180" s="47"/>
      <c r="Q180" s="41"/>
      <c r="R180" s="41"/>
      <c r="S180" s="41"/>
    </row>
    <row r="181" spans="1:19" ht="13.2" hidden="1">
      <c r="A181" s="31" t="s">
        <v>42</v>
      </c>
      <c r="B181" s="31" t="s">
        <v>506</v>
      </c>
      <c r="C181" s="31" t="s">
        <v>1269</v>
      </c>
      <c r="F181" s="39">
        <v>45451</v>
      </c>
      <c r="G181" s="51" t="str">
        <f t="shared" si="0"/>
        <v>2024</v>
      </c>
      <c r="H181" s="51" t="str">
        <f t="shared" si="1"/>
        <v>junio</v>
      </c>
      <c r="I181" s="8" t="s">
        <v>361</v>
      </c>
      <c r="J181" s="31" t="s">
        <v>1270</v>
      </c>
      <c r="K181" s="31" t="s">
        <v>357</v>
      </c>
      <c r="P181" s="42"/>
      <c r="Q181" s="40"/>
      <c r="R181" s="40"/>
      <c r="S181" s="41"/>
    </row>
    <row r="182" spans="1:19" ht="13.2" hidden="1">
      <c r="A182" s="31" t="s">
        <v>214</v>
      </c>
      <c r="B182" s="31" t="s">
        <v>578</v>
      </c>
      <c r="C182" s="31" t="s">
        <v>1271</v>
      </c>
      <c r="F182" s="39">
        <v>45589</v>
      </c>
      <c r="G182" s="51" t="str">
        <f t="shared" si="0"/>
        <v>2024</v>
      </c>
      <c r="H182" s="51" t="str">
        <f t="shared" si="1"/>
        <v>octubre</v>
      </c>
      <c r="I182" s="8" t="s">
        <v>373</v>
      </c>
      <c r="J182" s="31" t="s">
        <v>1076</v>
      </c>
      <c r="K182" s="31" t="s">
        <v>394</v>
      </c>
      <c r="L182" s="131" t="s">
        <v>2140</v>
      </c>
      <c r="M182" s="41" t="s">
        <v>1272</v>
      </c>
      <c r="N182" s="41" t="s">
        <v>1273</v>
      </c>
      <c r="O182" s="31" t="s">
        <v>1274</v>
      </c>
      <c r="P182" s="31"/>
      <c r="Q182" s="41"/>
      <c r="R182" s="41" t="s">
        <v>1275</v>
      </c>
      <c r="S182" s="40"/>
    </row>
    <row r="183" spans="1:19" ht="13.2" hidden="1">
      <c r="A183" s="31" t="s">
        <v>705</v>
      </c>
      <c r="B183" s="31" t="s">
        <v>500</v>
      </c>
      <c r="C183" s="31" t="s">
        <v>1276</v>
      </c>
      <c r="F183" s="39">
        <v>45757</v>
      </c>
      <c r="G183" s="51" t="str">
        <f t="shared" si="0"/>
        <v>2025</v>
      </c>
      <c r="H183" s="51" t="str">
        <f t="shared" si="1"/>
        <v>abril</v>
      </c>
      <c r="I183" s="31" t="s">
        <v>373</v>
      </c>
      <c r="J183" s="31" t="s">
        <v>1076</v>
      </c>
      <c r="K183" s="31" t="s">
        <v>357</v>
      </c>
      <c r="L183" s="131"/>
      <c r="M183" s="41"/>
      <c r="N183" s="41"/>
      <c r="O183" s="31"/>
      <c r="P183" s="31"/>
      <c r="Q183" s="41"/>
      <c r="R183" s="41"/>
      <c r="S183" s="40"/>
    </row>
    <row r="184" spans="1:19" ht="13.2" hidden="1">
      <c r="A184" s="31" t="s">
        <v>741</v>
      </c>
      <c r="B184" s="31" t="s">
        <v>374</v>
      </c>
      <c r="C184" s="31" t="s">
        <v>1277</v>
      </c>
      <c r="F184" s="39">
        <v>45710</v>
      </c>
      <c r="G184" s="51" t="str">
        <f t="shared" si="0"/>
        <v>2025</v>
      </c>
      <c r="H184" s="51" t="str">
        <f t="shared" si="1"/>
        <v>febrero</v>
      </c>
      <c r="I184" s="31" t="s">
        <v>373</v>
      </c>
      <c r="J184" s="31" t="s">
        <v>1076</v>
      </c>
      <c r="K184" s="31" t="s">
        <v>357</v>
      </c>
      <c r="L184" s="131"/>
      <c r="M184" s="41"/>
      <c r="N184" s="41"/>
      <c r="O184" s="31"/>
      <c r="P184" s="31"/>
      <c r="Q184" s="41"/>
      <c r="R184" s="41"/>
      <c r="S184" s="40"/>
    </row>
    <row r="185" spans="1:19" ht="13.2" hidden="1">
      <c r="A185" s="31" t="s">
        <v>738</v>
      </c>
      <c r="B185" s="31" t="s">
        <v>399</v>
      </c>
      <c r="C185" s="31" t="s">
        <v>1278</v>
      </c>
      <c r="F185" s="39">
        <v>45715</v>
      </c>
      <c r="G185" s="51" t="str">
        <f t="shared" si="0"/>
        <v>2025</v>
      </c>
      <c r="H185" s="51" t="str">
        <f t="shared" si="1"/>
        <v>febrero</v>
      </c>
      <c r="I185" s="31" t="s">
        <v>373</v>
      </c>
      <c r="J185" s="31" t="s">
        <v>1076</v>
      </c>
      <c r="K185" s="31" t="s">
        <v>394</v>
      </c>
      <c r="L185" s="131" t="s">
        <v>1279</v>
      </c>
      <c r="M185" s="41" t="s">
        <v>738</v>
      </c>
      <c r="N185" s="41" t="s">
        <v>1280</v>
      </c>
      <c r="O185" s="31" t="s">
        <v>1281</v>
      </c>
      <c r="P185" s="31"/>
      <c r="Q185" s="41"/>
      <c r="R185" s="41"/>
      <c r="S185" s="40"/>
    </row>
    <row r="186" spans="1:19" ht="13.2" hidden="1">
      <c r="A186" s="31" t="s">
        <v>176</v>
      </c>
      <c r="B186" s="31" t="s">
        <v>383</v>
      </c>
      <c r="C186" s="31" t="s">
        <v>1282</v>
      </c>
      <c r="F186" s="39">
        <v>45766</v>
      </c>
      <c r="G186" s="51" t="str">
        <f t="shared" si="0"/>
        <v>2025</v>
      </c>
      <c r="H186" s="51" t="str">
        <f t="shared" si="1"/>
        <v>abril</v>
      </c>
      <c r="I186" s="31" t="s">
        <v>373</v>
      </c>
      <c r="J186" s="31" t="s">
        <v>1076</v>
      </c>
      <c r="K186" s="31" t="s">
        <v>357</v>
      </c>
      <c r="L186" s="131"/>
      <c r="M186" s="41"/>
      <c r="N186" s="41"/>
      <c r="O186" s="31"/>
      <c r="P186" s="31"/>
      <c r="Q186" s="41"/>
      <c r="R186" s="41"/>
      <c r="S186" s="40"/>
    </row>
    <row r="187" spans="1:19" ht="13.2" hidden="1">
      <c r="A187" s="31" t="s">
        <v>324</v>
      </c>
      <c r="B187" s="31" t="s">
        <v>535</v>
      </c>
      <c r="C187" s="31" t="s">
        <v>1283</v>
      </c>
      <c r="F187" s="39">
        <v>45526</v>
      </c>
      <c r="G187" s="51" t="str">
        <f t="shared" si="0"/>
        <v>2024</v>
      </c>
      <c r="H187" s="51" t="str">
        <f t="shared" si="1"/>
        <v>agosto</v>
      </c>
      <c r="I187" s="31" t="s">
        <v>361</v>
      </c>
      <c r="J187" s="31" t="s">
        <v>1076</v>
      </c>
      <c r="K187" s="31" t="s">
        <v>394</v>
      </c>
      <c r="L187" s="131" t="s">
        <v>1284</v>
      </c>
      <c r="M187" s="41" t="s">
        <v>324</v>
      </c>
      <c r="N187" s="41"/>
      <c r="P187" s="42"/>
      <c r="Q187" s="41"/>
      <c r="R187" s="41"/>
      <c r="S187" s="40"/>
    </row>
    <row r="188" spans="1:19" ht="13.2" hidden="1">
      <c r="A188" s="31" t="s">
        <v>1022</v>
      </c>
      <c r="F188" s="39">
        <v>45451</v>
      </c>
      <c r="G188" s="51" t="str">
        <f t="shared" si="0"/>
        <v>2024</v>
      </c>
      <c r="H188" s="51" t="str">
        <f t="shared" si="1"/>
        <v>junio</v>
      </c>
      <c r="I188" s="31" t="s">
        <v>373</v>
      </c>
      <c r="J188" s="31" t="s">
        <v>1076</v>
      </c>
      <c r="K188" s="31" t="s">
        <v>357</v>
      </c>
      <c r="P188" s="42"/>
      <c r="Q188" s="41"/>
      <c r="R188" s="41"/>
      <c r="S188" s="41"/>
    </row>
    <row r="189" spans="1:19" ht="13.2" hidden="1">
      <c r="A189" s="31" t="s">
        <v>256</v>
      </c>
      <c r="B189" s="31" t="s">
        <v>685</v>
      </c>
      <c r="C189" s="31" t="s">
        <v>1285</v>
      </c>
      <c r="F189" s="39">
        <v>45518</v>
      </c>
      <c r="G189" s="51" t="str">
        <f t="shared" si="0"/>
        <v>2024</v>
      </c>
      <c r="H189" s="51" t="str">
        <f t="shared" si="1"/>
        <v>agosto</v>
      </c>
      <c r="I189" s="8" t="s">
        <v>373</v>
      </c>
      <c r="J189" s="31" t="s">
        <v>1076</v>
      </c>
      <c r="K189" s="31" t="s">
        <v>357</v>
      </c>
      <c r="L189" s="131"/>
      <c r="M189" s="41"/>
      <c r="N189" s="41"/>
      <c r="P189" s="42"/>
      <c r="Q189" s="41"/>
      <c r="R189" s="41"/>
      <c r="S189" s="40"/>
    </row>
    <row r="190" spans="1:19" ht="13.2" hidden="1">
      <c r="A190" s="31" t="s">
        <v>145</v>
      </c>
      <c r="B190" s="31" t="s">
        <v>380</v>
      </c>
      <c r="C190" s="31" t="s">
        <v>1286</v>
      </c>
      <c r="F190" s="39">
        <v>45637</v>
      </c>
      <c r="G190" s="51" t="str">
        <f t="shared" si="0"/>
        <v>2024</v>
      </c>
      <c r="H190" s="51" t="str">
        <f t="shared" si="1"/>
        <v>diciembre</v>
      </c>
      <c r="I190" s="31" t="s">
        <v>373</v>
      </c>
      <c r="J190" s="31" t="s">
        <v>1076</v>
      </c>
      <c r="K190" s="31" t="s">
        <v>357</v>
      </c>
      <c r="L190" s="131"/>
      <c r="M190" s="41"/>
      <c r="N190" s="41"/>
      <c r="O190" s="31"/>
      <c r="P190" s="31"/>
      <c r="Q190" s="41"/>
      <c r="R190" s="41"/>
      <c r="S190" s="40"/>
    </row>
    <row r="191" spans="1:19" ht="13.2" hidden="1">
      <c r="A191" s="31" t="s">
        <v>820</v>
      </c>
      <c r="B191" s="31" t="s">
        <v>374</v>
      </c>
      <c r="C191" s="31" t="s">
        <v>1214</v>
      </c>
      <c r="F191" s="39">
        <v>45451</v>
      </c>
      <c r="G191" s="51" t="str">
        <f t="shared" si="0"/>
        <v>2024</v>
      </c>
      <c r="H191" s="51" t="str">
        <f t="shared" si="1"/>
        <v>junio</v>
      </c>
      <c r="I191" s="31" t="s">
        <v>373</v>
      </c>
      <c r="J191" s="31" t="s">
        <v>1076</v>
      </c>
      <c r="K191" s="31" t="s">
        <v>357</v>
      </c>
      <c r="P191" s="42"/>
      <c r="Q191" s="41"/>
      <c r="R191" s="40"/>
      <c r="S191" s="40"/>
    </row>
    <row r="192" spans="1:19" ht="13.2" hidden="1">
      <c r="A192" s="31" t="s">
        <v>884</v>
      </c>
      <c r="B192" s="31" t="s">
        <v>1287</v>
      </c>
      <c r="C192" s="31" t="s">
        <v>1288</v>
      </c>
      <c r="F192" s="39">
        <v>45474</v>
      </c>
      <c r="G192" s="51" t="str">
        <f t="shared" si="0"/>
        <v>2024</v>
      </c>
      <c r="H192" s="51" t="str">
        <f t="shared" si="1"/>
        <v>julio</v>
      </c>
      <c r="I192" s="31" t="s">
        <v>373</v>
      </c>
      <c r="J192" s="31" t="s">
        <v>1076</v>
      </c>
      <c r="K192" s="31" t="s">
        <v>357</v>
      </c>
      <c r="L192" s="131"/>
      <c r="M192" s="40"/>
      <c r="N192" s="40"/>
      <c r="P192" s="47"/>
      <c r="Q192" s="41"/>
      <c r="R192" s="41"/>
      <c r="S192" s="40"/>
    </row>
    <row r="193" spans="1:19" ht="13.2" hidden="1">
      <c r="A193" s="31" t="s">
        <v>822</v>
      </c>
      <c r="B193" s="31" t="s">
        <v>613</v>
      </c>
      <c r="C193" s="31" t="s">
        <v>1289</v>
      </c>
      <c r="F193" s="39">
        <v>45546</v>
      </c>
      <c r="G193" s="51" t="str">
        <f t="shared" si="0"/>
        <v>2024</v>
      </c>
      <c r="H193" s="51" t="str">
        <f t="shared" si="1"/>
        <v>septiembre</v>
      </c>
      <c r="I193" s="8" t="s">
        <v>373</v>
      </c>
      <c r="J193" s="31" t="s">
        <v>1076</v>
      </c>
      <c r="K193" s="31" t="s">
        <v>357</v>
      </c>
      <c r="L193" s="131"/>
      <c r="M193" s="41"/>
      <c r="N193" s="41"/>
      <c r="P193" s="42"/>
      <c r="Q193" s="41"/>
      <c r="R193" s="41"/>
      <c r="S193" s="40"/>
    </row>
    <row r="194" spans="1:19" ht="13.2" hidden="1">
      <c r="A194" s="31" t="s">
        <v>547</v>
      </c>
      <c r="B194" s="31" t="s">
        <v>383</v>
      </c>
      <c r="C194" s="31" t="s">
        <v>1290</v>
      </c>
      <c r="F194" s="39">
        <v>45451</v>
      </c>
      <c r="G194" s="51" t="str">
        <f t="shared" si="0"/>
        <v>2024</v>
      </c>
      <c r="H194" s="51" t="str">
        <f t="shared" si="1"/>
        <v>junio</v>
      </c>
      <c r="I194" s="31" t="s">
        <v>361</v>
      </c>
      <c r="J194" s="31" t="s">
        <v>1131</v>
      </c>
      <c r="K194" s="31" t="s">
        <v>357</v>
      </c>
      <c r="P194" s="42"/>
      <c r="Q194" s="40"/>
      <c r="R194" s="41"/>
      <c r="S194" s="41"/>
    </row>
    <row r="195" spans="1:19" ht="13.2" hidden="1">
      <c r="A195" s="31" t="s">
        <v>638</v>
      </c>
      <c r="B195" s="31" t="s">
        <v>389</v>
      </c>
      <c r="C195" s="31" t="s">
        <v>1291</v>
      </c>
      <c r="F195" s="39">
        <v>45797</v>
      </c>
      <c r="G195" s="51" t="str">
        <f t="shared" si="0"/>
        <v>2025</v>
      </c>
      <c r="H195" s="51" t="str">
        <f t="shared" si="1"/>
        <v>mayo</v>
      </c>
      <c r="I195" s="31" t="s">
        <v>373</v>
      </c>
      <c r="J195" s="31" t="s">
        <v>1076</v>
      </c>
      <c r="K195" s="31" t="s">
        <v>357</v>
      </c>
      <c r="L195" s="131"/>
      <c r="M195" s="41"/>
      <c r="N195" s="41"/>
      <c r="O195" s="31"/>
      <c r="P195" s="31"/>
      <c r="Q195" s="41"/>
      <c r="R195" s="41"/>
      <c r="S195" s="40"/>
    </row>
    <row r="196" spans="1:19" ht="13.2" hidden="1">
      <c r="A196" s="31" t="s">
        <v>744</v>
      </c>
      <c r="B196" s="31" t="s">
        <v>1292</v>
      </c>
      <c r="C196" s="31" t="s">
        <v>1271</v>
      </c>
      <c r="F196" s="39">
        <v>45701</v>
      </c>
      <c r="G196" s="51" t="str">
        <f t="shared" si="0"/>
        <v>2025</v>
      </c>
      <c r="H196" s="51" t="str">
        <f t="shared" si="1"/>
        <v>febrero</v>
      </c>
      <c r="I196" s="31" t="s">
        <v>373</v>
      </c>
      <c r="J196" s="31" t="s">
        <v>1076</v>
      </c>
      <c r="K196" s="31" t="s">
        <v>357</v>
      </c>
      <c r="L196" s="131"/>
      <c r="M196" s="41"/>
      <c r="N196" s="41"/>
      <c r="O196" s="31"/>
      <c r="P196" s="31"/>
      <c r="Q196" s="41"/>
      <c r="R196" s="41"/>
      <c r="S196" s="40"/>
    </row>
    <row r="197" spans="1:19" ht="13.2" hidden="1">
      <c r="A197" s="31" t="s">
        <v>993</v>
      </c>
      <c r="F197" s="39">
        <v>45451</v>
      </c>
      <c r="G197" s="51" t="str">
        <f t="shared" si="0"/>
        <v>2024</v>
      </c>
      <c r="H197" s="51" t="str">
        <f t="shared" si="1"/>
        <v>junio</v>
      </c>
      <c r="I197" s="31" t="s">
        <v>373</v>
      </c>
      <c r="J197" s="31" t="s">
        <v>1076</v>
      </c>
      <c r="K197" s="31" t="s">
        <v>357</v>
      </c>
      <c r="P197" s="42"/>
      <c r="Q197" s="41"/>
      <c r="R197" s="40"/>
      <c r="S197" s="40"/>
    </row>
    <row r="198" spans="1:19" ht="13.2" hidden="1">
      <c r="A198" s="31" t="s">
        <v>279</v>
      </c>
      <c r="B198" s="31" t="s">
        <v>374</v>
      </c>
      <c r="C198" s="31" t="s">
        <v>1293</v>
      </c>
      <c r="F198" s="39">
        <v>45451</v>
      </c>
      <c r="G198" s="51" t="str">
        <f t="shared" si="0"/>
        <v>2024</v>
      </c>
      <c r="H198" s="51" t="str">
        <f t="shared" si="1"/>
        <v>junio</v>
      </c>
      <c r="I198" s="8" t="s">
        <v>373</v>
      </c>
      <c r="J198" s="31" t="s">
        <v>1076</v>
      </c>
      <c r="K198" s="31" t="s">
        <v>357</v>
      </c>
      <c r="P198" s="42"/>
      <c r="Q198" s="41"/>
      <c r="R198" s="40"/>
      <c r="S198" s="41"/>
    </row>
    <row r="199" spans="1:19" ht="13.2" hidden="1">
      <c r="A199" s="31" t="s">
        <v>816</v>
      </c>
      <c r="B199" s="31" t="s">
        <v>1294</v>
      </c>
      <c r="C199" s="31"/>
      <c r="F199" s="39">
        <v>45554</v>
      </c>
      <c r="G199" s="51" t="str">
        <f t="shared" si="0"/>
        <v>2024</v>
      </c>
      <c r="H199" s="51" t="str">
        <f t="shared" si="1"/>
        <v>septiembre</v>
      </c>
      <c r="I199" s="8" t="s">
        <v>373</v>
      </c>
      <c r="J199" s="31" t="s">
        <v>1076</v>
      </c>
      <c r="K199" s="31" t="s">
        <v>357</v>
      </c>
      <c r="L199" s="131"/>
      <c r="M199" s="41"/>
      <c r="N199" s="41"/>
      <c r="O199" s="31"/>
      <c r="P199" s="42"/>
      <c r="Q199" s="41"/>
      <c r="R199" s="41"/>
      <c r="S199" s="40"/>
    </row>
    <row r="200" spans="1:19" ht="13.2" hidden="1">
      <c r="A200" s="31" t="s">
        <v>58</v>
      </c>
      <c r="B200" s="31" t="s">
        <v>362</v>
      </c>
      <c r="F200" s="39">
        <v>45451</v>
      </c>
      <c r="G200" s="51" t="str">
        <f t="shared" si="0"/>
        <v>2024</v>
      </c>
      <c r="H200" s="51" t="str">
        <f t="shared" si="1"/>
        <v>junio</v>
      </c>
      <c r="I200" s="8" t="s">
        <v>356</v>
      </c>
      <c r="J200" s="31" t="s">
        <v>1076</v>
      </c>
      <c r="K200" s="31" t="s">
        <v>357</v>
      </c>
      <c r="P200" s="42"/>
      <c r="Q200" s="40"/>
      <c r="R200" s="40"/>
      <c r="S200" s="41"/>
    </row>
    <row r="201" spans="1:19" ht="13.2" hidden="1">
      <c r="A201" s="31" t="s">
        <v>244</v>
      </c>
      <c r="B201" s="31" t="s">
        <v>465</v>
      </c>
      <c r="C201" s="31" t="s">
        <v>1295</v>
      </c>
      <c r="F201" s="39">
        <v>45772</v>
      </c>
      <c r="G201" s="51" t="str">
        <f t="shared" si="0"/>
        <v>2025</v>
      </c>
      <c r="H201" s="51" t="str">
        <f t="shared" si="1"/>
        <v>abril</v>
      </c>
      <c r="I201" s="31" t="s">
        <v>373</v>
      </c>
      <c r="J201" s="31" t="s">
        <v>1076</v>
      </c>
      <c r="K201" s="31" t="s">
        <v>357</v>
      </c>
      <c r="L201" s="131"/>
      <c r="M201" s="41"/>
      <c r="N201" s="41"/>
      <c r="O201" s="31"/>
      <c r="P201" s="31"/>
      <c r="Q201" s="41"/>
      <c r="R201" s="41"/>
      <c r="S201" s="40"/>
    </row>
    <row r="202" spans="1:19" ht="13.2" hidden="1">
      <c r="A202" s="31" t="s">
        <v>121</v>
      </c>
      <c r="B202" s="31" t="s">
        <v>471</v>
      </c>
      <c r="C202" s="31" t="s">
        <v>1296</v>
      </c>
      <c r="F202" s="39">
        <v>45757</v>
      </c>
      <c r="G202" s="51" t="str">
        <f t="shared" si="0"/>
        <v>2025</v>
      </c>
      <c r="H202" s="51" t="str">
        <f t="shared" si="1"/>
        <v>abril</v>
      </c>
      <c r="I202" s="31" t="s">
        <v>373</v>
      </c>
      <c r="J202" s="31" t="s">
        <v>1076</v>
      </c>
      <c r="K202" s="31" t="s">
        <v>357</v>
      </c>
      <c r="L202" s="131"/>
      <c r="M202" s="41"/>
      <c r="N202" s="41"/>
      <c r="O202" s="31"/>
      <c r="P202" s="31"/>
      <c r="Q202" s="41"/>
      <c r="R202" s="41"/>
      <c r="S202" s="40"/>
    </row>
    <row r="203" spans="1:19" ht="13.2" hidden="1">
      <c r="A203" s="31" t="s">
        <v>833</v>
      </c>
      <c r="B203" s="31" t="s">
        <v>626</v>
      </c>
      <c r="C203" s="31" t="s">
        <v>1297</v>
      </c>
      <c r="F203" s="39">
        <v>45468</v>
      </c>
      <c r="G203" s="51" t="str">
        <f t="shared" si="0"/>
        <v>2024</v>
      </c>
      <c r="H203" s="51" t="str">
        <f t="shared" si="1"/>
        <v>junio</v>
      </c>
      <c r="I203" s="31" t="s">
        <v>373</v>
      </c>
      <c r="J203" s="31" t="s">
        <v>1076</v>
      </c>
      <c r="K203" s="31" t="s">
        <v>357</v>
      </c>
      <c r="L203" s="131"/>
      <c r="M203" s="40"/>
      <c r="N203" s="40"/>
      <c r="P203" s="47"/>
      <c r="Q203" s="41"/>
      <c r="R203" s="41"/>
      <c r="S203" s="41"/>
    </row>
    <row r="204" spans="1:19" ht="13.2" hidden="1">
      <c r="A204" s="31" t="s">
        <v>124</v>
      </c>
      <c r="B204" s="31" t="s">
        <v>383</v>
      </c>
      <c r="C204" s="31" t="s">
        <v>1143</v>
      </c>
      <c r="F204" s="39">
        <v>45451</v>
      </c>
      <c r="G204" s="51" t="str">
        <f t="shared" si="0"/>
        <v>2024</v>
      </c>
      <c r="H204" s="51" t="str">
        <f t="shared" si="1"/>
        <v>junio</v>
      </c>
      <c r="I204" s="8" t="s">
        <v>356</v>
      </c>
      <c r="J204" s="31" t="s">
        <v>1076</v>
      </c>
      <c r="K204" s="31" t="s">
        <v>357</v>
      </c>
    </row>
    <row r="205" spans="1:19" ht="13.2" hidden="1">
      <c r="A205" s="31" t="s">
        <v>68</v>
      </c>
      <c r="B205" s="31" t="s">
        <v>383</v>
      </c>
      <c r="C205" s="31" t="s">
        <v>1290</v>
      </c>
      <c r="F205" s="39">
        <v>45558</v>
      </c>
      <c r="G205" s="51" t="str">
        <f t="shared" si="0"/>
        <v>2024</v>
      </c>
      <c r="H205" s="51" t="str">
        <f t="shared" si="1"/>
        <v>septiembre</v>
      </c>
      <c r="I205" s="31" t="s">
        <v>361</v>
      </c>
      <c r="J205" s="31" t="s">
        <v>1076</v>
      </c>
      <c r="K205" s="31" t="s">
        <v>394</v>
      </c>
      <c r="L205" s="131" t="s">
        <v>1298</v>
      </c>
      <c r="M205" s="41" t="s">
        <v>68</v>
      </c>
      <c r="N205" s="41" t="s">
        <v>1299</v>
      </c>
      <c r="O205" s="31" t="s">
        <v>1300</v>
      </c>
      <c r="P205" s="31" t="s">
        <v>1301</v>
      </c>
      <c r="Q205" s="41"/>
      <c r="R205" s="41"/>
      <c r="S205" s="40"/>
    </row>
    <row r="206" spans="1:19" ht="13.2" hidden="1">
      <c r="A206" s="31" t="s">
        <v>619</v>
      </c>
      <c r="B206" s="31" t="s">
        <v>461</v>
      </c>
      <c r="C206" s="31" t="s">
        <v>1302</v>
      </c>
      <c r="F206" s="39">
        <v>45804</v>
      </c>
      <c r="G206" s="51" t="str">
        <f t="shared" si="0"/>
        <v>2025</v>
      </c>
      <c r="H206" s="51" t="str">
        <f t="shared" si="1"/>
        <v>mayo</v>
      </c>
      <c r="I206" s="31" t="s">
        <v>373</v>
      </c>
      <c r="J206" s="31" t="s">
        <v>1076</v>
      </c>
      <c r="K206" s="31" t="s">
        <v>357</v>
      </c>
      <c r="L206" s="131"/>
      <c r="M206" s="41"/>
      <c r="N206" s="41"/>
      <c r="O206" s="31"/>
      <c r="P206" s="31"/>
      <c r="Q206" s="41"/>
      <c r="R206" s="41"/>
      <c r="S206" s="40"/>
    </row>
    <row r="207" spans="1:19" ht="13.2" hidden="1">
      <c r="A207" s="31" t="s">
        <v>664</v>
      </c>
      <c r="B207" s="31" t="s">
        <v>665</v>
      </c>
      <c r="C207" s="31" t="s">
        <v>1303</v>
      </c>
      <c r="F207" s="39">
        <v>45410</v>
      </c>
      <c r="G207" s="51" t="str">
        <f t="shared" si="0"/>
        <v>2024</v>
      </c>
      <c r="H207" s="51" t="str">
        <f t="shared" si="1"/>
        <v>abril</v>
      </c>
      <c r="I207" s="31" t="s">
        <v>373</v>
      </c>
      <c r="J207" s="31" t="s">
        <v>1076</v>
      </c>
      <c r="K207" s="31" t="s">
        <v>394</v>
      </c>
      <c r="L207" s="131" t="s">
        <v>1304</v>
      </c>
      <c r="M207" s="41" t="s">
        <v>664</v>
      </c>
      <c r="N207" s="41"/>
      <c r="O207" s="31"/>
      <c r="P207" s="31"/>
      <c r="Q207" s="41"/>
      <c r="R207" s="41"/>
      <c r="S207" s="40"/>
    </row>
    <row r="208" spans="1:19" ht="13.2" hidden="1">
      <c r="A208" s="31" t="s">
        <v>733</v>
      </c>
      <c r="B208" s="31" t="s">
        <v>709</v>
      </c>
      <c r="C208" s="31" t="s">
        <v>1305</v>
      </c>
      <c r="F208" s="39">
        <v>45721</v>
      </c>
      <c r="G208" s="51" t="str">
        <f t="shared" si="0"/>
        <v>2025</v>
      </c>
      <c r="H208" s="51" t="str">
        <f t="shared" si="1"/>
        <v>marzo</v>
      </c>
      <c r="I208" s="31" t="s">
        <v>373</v>
      </c>
      <c r="J208" s="31" t="s">
        <v>1076</v>
      </c>
      <c r="K208" s="31" t="s">
        <v>357</v>
      </c>
      <c r="L208" s="131"/>
      <c r="M208" s="41"/>
      <c r="N208" s="41"/>
      <c r="O208" s="31"/>
      <c r="P208" s="31"/>
      <c r="Q208" s="41"/>
      <c r="R208" s="41"/>
      <c r="S208" s="40"/>
    </row>
    <row r="209" spans="1:19" ht="13.2" hidden="1">
      <c r="A209" s="31" t="s">
        <v>333</v>
      </c>
      <c r="B209" s="31" t="s">
        <v>489</v>
      </c>
      <c r="C209" s="31" t="s">
        <v>1306</v>
      </c>
      <c r="F209" s="39">
        <v>45451</v>
      </c>
      <c r="G209" s="51" t="str">
        <f t="shared" si="0"/>
        <v>2024</v>
      </c>
      <c r="H209" s="51" t="str">
        <f t="shared" si="1"/>
        <v>junio</v>
      </c>
      <c r="I209" s="8" t="s">
        <v>373</v>
      </c>
      <c r="J209" s="31" t="s">
        <v>1076</v>
      </c>
      <c r="K209" s="31" t="s">
        <v>357</v>
      </c>
    </row>
    <row r="210" spans="1:19" ht="13.2" hidden="1">
      <c r="A210" s="31" t="s">
        <v>695</v>
      </c>
      <c r="B210" s="31" t="s">
        <v>696</v>
      </c>
      <c r="C210" s="31" t="s">
        <v>1307</v>
      </c>
      <c r="F210" s="39">
        <v>45763</v>
      </c>
      <c r="G210" s="51" t="str">
        <f t="shared" si="0"/>
        <v>2025</v>
      </c>
      <c r="H210" s="51" t="str">
        <f t="shared" si="1"/>
        <v>abril</v>
      </c>
      <c r="I210" s="31" t="s">
        <v>373</v>
      </c>
      <c r="J210" s="31" t="s">
        <v>1076</v>
      </c>
      <c r="K210" s="31" t="s">
        <v>357</v>
      </c>
      <c r="L210" s="131"/>
      <c r="M210" s="41"/>
      <c r="N210" s="41"/>
      <c r="O210" s="31"/>
      <c r="P210" s="31"/>
      <c r="Q210" s="41"/>
      <c r="R210" s="41"/>
      <c r="S210" s="40"/>
    </row>
    <row r="211" spans="1:19" ht="13.2" hidden="1">
      <c r="A211" s="31" t="s">
        <v>910</v>
      </c>
      <c r="B211" s="31" t="s">
        <v>380</v>
      </c>
      <c r="C211" s="31" t="s">
        <v>1308</v>
      </c>
      <c r="F211" s="39">
        <v>45451</v>
      </c>
      <c r="G211" s="51" t="str">
        <f t="shared" si="0"/>
        <v>2024</v>
      </c>
      <c r="H211" s="51" t="str">
        <f t="shared" si="1"/>
        <v>junio</v>
      </c>
      <c r="I211" s="8" t="s">
        <v>373</v>
      </c>
      <c r="J211" s="31" t="s">
        <v>1076</v>
      </c>
      <c r="K211" s="31" t="s">
        <v>357</v>
      </c>
    </row>
    <row r="212" spans="1:19" ht="13.2" hidden="1">
      <c r="A212" s="31" t="s">
        <v>1020</v>
      </c>
      <c r="F212" s="39">
        <v>45451</v>
      </c>
      <c r="G212" s="51" t="str">
        <f t="shared" si="0"/>
        <v>2024</v>
      </c>
      <c r="H212" s="51" t="str">
        <f t="shared" si="1"/>
        <v>junio</v>
      </c>
      <c r="I212" s="31" t="s">
        <v>373</v>
      </c>
      <c r="J212" s="31" t="s">
        <v>1076</v>
      </c>
      <c r="K212" s="31" t="s">
        <v>357</v>
      </c>
    </row>
    <row r="213" spans="1:19" ht="13.2" hidden="1">
      <c r="A213" s="31" t="s">
        <v>909</v>
      </c>
      <c r="B213" s="31" t="s">
        <v>383</v>
      </c>
      <c r="C213" s="31" t="s">
        <v>1309</v>
      </c>
      <c r="F213" s="39">
        <v>45451</v>
      </c>
      <c r="G213" s="51" t="str">
        <f t="shared" si="0"/>
        <v>2024</v>
      </c>
      <c r="H213" s="51" t="str">
        <f t="shared" si="1"/>
        <v>junio</v>
      </c>
      <c r="I213" s="8" t="s">
        <v>373</v>
      </c>
      <c r="J213" s="31" t="s">
        <v>1076</v>
      </c>
      <c r="K213" s="31" t="s">
        <v>357</v>
      </c>
    </row>
    <row r="214" spans="1:19" ht="13.2" hidden="1">
      <c r="A214" s="31" t="s">
        <v>191</v>
      </c>
      <c r="B214" s="31" t="s">
        <v>405</v>
      </c>
      <c r="C214" s="31" t="s">
        <v>1310</v>
      </c>
      <c r="F214" s="39">
        <v>45451</v>
      </c>
      <c r="G214" s="51" t="str">
        <f t="shared" si="0"/>
        <v>2024</v>
      </c>
      <c r="H214" s="51" t="str">
        <f t="shared" si="1"/>
        <v>junio</v>
      </c>
      <c r="I214" s="8" t="s">
        <v>373</v>
      </c>
      <c r="J214" s="31" t="s">
        <v>1076</v>
      </c>
      <c r="K214" s="31" t="s">
        <v>357</v>
      </c>
    </row>
    <row r="215" spans="1:19" ht="13.2" hidden="1">
      <c r="A215" s="31" t="s">
        <v>907</v>
      </c>
      <c r="B215" s="31" t="s">
        <v>358</v>
      </c>
      <c r="C215" s="31"/>
      <c r="F215" s="39">
        <v>45451</v>
      </c>
      <c r="G215" s="51" t="str">
        <f t="shared" si="0"/>
        <v>2024</v>
      </c>
      <c r="H215" s="51" t="str">
        <f t="shared" si="1"/>
        <v>junio</v>
      </c>
      <c r="I215" s="8" t="s">
        <v>373</v>
      </c>
      <c r="J215" s="31" t="s">
        <v>1076</v>
      </c>
      <c r="K215" s="31" t="s">
        <v>357</v>
      </c>
    </row>
    <row r="216" spans="1:19" ht="13.2" hidden="1">
      <c r="A216" s="31" t="s">
        <v>588</v>
      </c>
      <c r="B216" s="31" t="s">
        <v>367</v>
      </c>
      <c r="F216" s="39">
        <v>45451</v>
      </c>
      <c r="G216" s="51" t="str">
        <f t="shared" si="0"/>
        <v>2024</v>
      </c>
      <c r="H216" s="51" t="str">
        <f t="shared" si="1"/>
        <v>junio</v>
      </c>
      <c r="I216" s="8" t="s">
        <v>373</v>
      </c>
      <c r="J216" s="31" t="s">
        <v>1076</v>
      </c>
      <c r="K216" s="31" t="s">
        <v>357</v>
      </c>
    </row>
    <row r="217" spans="1:19" ht="13.2" hidden="1">
      <c r="A217" s="31" t="s">
        <v>854</v>
      </c>
      <c r="B217" s="31" t="s">
        <v>1311</v>
      </c>
      <c r="C217" s="31" t="s">
        <v>1312</v>
      </c>
      <c r="F217" s="39">
        <v>45501</v>
      </c>
      <c r="G217" s="51" t="str">
        <f t="shared" si="0"/>
        <v>2024</v>
      </c>
      <c r="H217" s="51" t="str">
        <f t="shared" si="1"/>
        <v>julio</v>
      </c>
      <c r="I217" s="8" t="s">
        <v>373</v>
      </c>
      <c r="J217" s="31" t="s">
        <v>1076</v>
      </c>
      <c r="K217" s="31" t="s">
        <v>357</v>
      </c>
      <c r="L217" s="131"/>
      <c r="M217" s="40"/>
      <c r="N217" s="40"/>
      <c r="P217" s="42"/>
      <c r="Q217" s="41"/>
      <c r="R217" s="41"/>
      <c r="S217" s="40"/>
    </row>
    <row r="218" spans="1:19" ht="13.2" hidden="1">
      <c r="A218" s="31" t="s">
        <v>188</v>
      </c>
      <c r="B218" s="31" t="s">
        <v>380</v>
      </c>
      <c r="C218" s="31" t="s">
        <v>1313</v>
      </c>
      <c r="F218" s="39">
        <v>45475</v>
      </c>
      <c r="G218" s="51" t="str">
        <f t="shared" si="0"/>
        <v>2024</v>
      </c>
      <c r="H218" s="51" t="str">
        <f t="shared" si="1"/>
        <v>julio</v>
      </c>
      <c r="I218" s="8" t="s">
        <v>373</v>
      </c>
      <c r="J218" s="31" t="s">
        <v>1076</v>
      </c>
      <c r="K218" s="31" t="s">
        <v>357</v>
      </c>
      <c r="L218" s="131"/>
      <c r="M218" s="40"/>
      <c r="N218" s="40"/>
      <c r="P218" s="42"/>
      <c r="Q218" s="41"/>
      <c r="R218" s="41"/>
      <c r="S218" s="40"/>
    </row>
    <row r="219" spans="1:19" ht="13.2" hidden="1">
      <c r="A219" s="31" t="s">
        <v>756</v>
      </c>
      <c r="B219" s="31" t="s">
        <v>465</v>
      </c>
      <c r="C219" s="31" t="s">
        <v>1314</v>
      </c>
      <c r="F219" s="39">
        <v>45566</v>
      </c>
      <c r="G219" s="51" t="str">
        <f t="shared" si="0"/>
        <v>2024</v>
      </c>
      <c r="H219" s="51" t="str">
        <f t="shared" si="1"/>
        <v>octubre</v>
      </c>
      <c r="I219" s="31" t="s">
        <v>373</v>
      </c>
      <c r="J219" s="31" t="s">
        <v>1076</v>
      </c>
      <c r="K219" s="31" t="s">
        <v>357</v>
      </c>
      <c r="L219" s="131"/>
      <c r="M219" s="41"/>
      <c r="N219" s="41"/>
      <c r="O219" s="31"/>
      <c r="P219" s="31"/>
      <c r="Q219" s="41"/>
      <c r="R219" s="41"/>
      <c r="S219" s="40"/>
    </row>
    <row r="220" spans="1:19" ht="13.2" hidden="1">
      <c r="A220" s="31" t="s">
        <v>842</v>
      </c>
      <c r="B220" s="31" t="s">
        <v>665</v>
      </c>
      <c r="C220" s="31" t="s">
        <v>1315</v>
      </c>
      <c r="F220" s="39">
        <v>45451</v>
      </c>
      <c r="G220" s="51" t="str">
        <f t="shared" si="0"/>
        <v>2024</v>
      </c>
      <c r="H220" s="51" t="str">
        <f t="shared" si="1"/>
        <v>junio</v>
      </c>
      <c r="I220" s="8" t="s">
        <v>373</v>
      </c>
      <c r="J220" s="31" t="s">
        <v>1076</v>
      </c>
      <c r="K220" s="31" t="s">
        <v>357</v>
      </c>
    </row>
    <row r="221" spans="1:19" ht="13.2" hidden="1">
      <c r="A221" s="31" t="s">
        <v>227</v>
      </c>
      <c r="B221" s="31" t="s">
        <v>393</v>
      </c>
      <c r="C221" s="31" t="s">
        <v>1316</v>
      </c>
      <c r="F221" s="39">
        <v>45451</v>
      </c>
      <c r="G221" s="51" t="str">
        <f t="shared" si="0"/>
        <v>2024</v>
      </c>
      <c r="H221" s="51" t="str">
        <f t="shared" si="1"/>
        <v>junio</v>
      </c>
      <c r="I221" s="8" t="s">
        <v>361</v>
      </c>
      <c r="J221" s="31" t="s">
        <v>1131</v>
      </c>
      <c r="K221" s="31" t="s">
        <v>357</v>
      </c>
    </row>
    <row r="222" spans="1:19" ht="13.2" hidden="1">
      <c r="A222" s="31" t="s">
        <v>1317</v>
      </c>
      <c r="B222" s="31" t="s">
        <v>465</v>
      </c>
      <c r="C222" s="31" t="s">
        <v>1318</v>
      </c>
      <c r="F222" s="39">
        <v>45490</v>
      </c>
      <c r="G222" s="51" t="str">
        <f t="shared" si="0"/>
        <v>2024</v>
      </c>
      <c r="H222" s="51" t="str">
        <f t="shared" si="1"/>
        <v>julio</v>
      </c>
      <c r="I222" s="8" t="s">
        <v>373</v>
      </c>
      <c r="J222" s="31" t="s">
        <v>1076</v>
      </c>
      <c r="K222" s="31" t="s">
        <v>357</v>
      </c>
      <c r="L222" s="131"/>
      <c r="M222" s="40"/>
      <c r="N222" s="40"/>
      <c r="P222" s="42"/>
      <c r="Q222" s="41"/>
      <c r="R222" s="41"/>
      <c r="S222" s="40"/>
    </row>
    <row r="223" spans="1:19" ht="13.2" hidden="1">
      <c r="A223" s="31" t="s">
        <v>894</v>
      </c>
      <c r="B223" s="31" t="s">
        <v>380</v>
      </c>
      <c r="C223" s="31" t="s">
        <v>1319</v>
      </c>
      <c r="F223" s="39">
        <v>45451</v>
      </c>
      <c r="G223" s="51" t="str">
        <f t="shared" si="0"/>
        <v>2024</v>
      </c>
      <c r="H223" s="51" t="str">
        <f t="shared" si="1"/>
        <v>junio</v>
      </c>
      <c r="I223" s="31" t="s">
        <v>373</v>
      </c>
      <c r="J223" s="31" t="s">
        <v>1076</v>
      </c>
      <c r="K223" s="31" t="s">
        <v>357</v>
      </c>
    </row>
    <row r="224" spans="1:19" ht="13.2" hidden="1">
      <c r="A224" s="31" t="s">
        <v>266</v>
      </c>
      <c r="B224" s="31" t="s">
        <v>380</v>
      </c>
      <c r="C224" s="31" t="s">
        <v>1320</v>
      </c>
      <c r="F224" s="39">
        <v>45451</v>
      </c>
      <c r="G224" s="51" t="str">
        <f t="shared" si="0"/>
        <v>2024</v>
      </c>
      <c r="H224" s="51" t="str">
        <f t="shared" si="1"/>
        <v>junio</v>
      </c>
      <c r="I224" s="8" t="s">
        <v>356</v>
      </c>
      <c r="J224" s="31" t="s">
        <v>1076</v>
      </c>
      <c r="K224" s="31" t="s">
        <v>357</v>
      </c>
    </row>
    <row r="225" spans="1:19" ht="13.2" hidden="1">
      <c r="A225" s="31" t="s">
        <v>624</v>
      </c>
      <c r="B225" s="31" t="s">
        <v>532</v>
      </c>
      <c r="C225" s="31" t="s">
        <v>1321</v>
      </c>
      <c r="F225" s="39">
        <v>45451</v>
      </c>
      <c r="G225" s="51" t="str">
        <f t="shared" si="0"/>
        <v>2024</v>
      </c>
      <c r="H225" s="51" t="str">
        <f t="shared" si="1"/>
        <v>junio</v>
      </c>
      <c r="I225" s="8" t="s">
        <v>373</v>
      </c>
      <c r="J225" s="31" t="s">
        <v>1076</v>
      </c>
      <c r="K225" s="31" t="s">
        <v>357</v>
      </c>
    </row>
    <row r="226" spans="1:19" ht="13.2" hidden="1">
      <c r="A226" s="31" t="s">
        <v>901</v>
      </c>
      <c r="B226" s="31" t="s">
        <v>374</v>
      </c>
      <c r="C226" s="31" t="s">
        <v>1322</v>
      </c>
      <c r="F226" s="39">
        <v>45451</v>
      </c>
      <c r="G226" s="51" t="str">
        <f t="shared" si="0"/>
        <v>2024</v>
      </c>
      <c r="H226" s="51" t="str">
        <f t="shared" si="1"/>
        <v>junio</v>
      </c>
      <c r="I226" s="8" t="s">
        <v>373</v>
      </c>
      <c r="J226" s="31" t="s">
        <v>1076</v>
      </c>
      <c r="K226" s="31" t="s">
        <v>357</v>
      </c>
    </row>
    <row r="227" spans="1:19" ht="13.2" hidden="1">
      <c r="A227" s="31" t="s">
        <v>823</v>
      </c>
      <c r="B227" s="31" t="s">
        <v>374</v>
      </c>
      <c r="C227" s="31" t="s">
        <v>1323</v>
      </c>
      <c r="F227" s="39">
        <v>45547</v>
      </c>
      <c r="G227" s="51" t="str">
        <f t="shared" si="0"/>
        <v>2024</v>
      </c>
      <c r="H227" s="51" t="str">
        <f t="shared" si="1"/>
        <v>septiembre</v>
      </c>
      <c r="I227" s="8" t="s">
        <v>373</v>
      </c>
      <c r="J227" s="31" t="s">
        <v>1076</v>
      </c>
      <c r="K227" s="31" t="s">
        <v>357</v>
      </c>
      <c r="L227" s="131"/>
      <c r="M227" s="41"/>
      <c r="N227" s="41"/>
      <c r="P227" s="42"/>
      <c r="Q227" s="41"/>
      <c r="R227" s="41"/>
      <c r="S227" s="40"/>
    </row>
    <row r="228" spans="1:19" ht="13.2" hidden="1">
      <c r="A228" s="31" t="s">
        <v>611</v>
      </c>
      <c r="F228" s="39">
        <v>45451</v>
      </c>
      <c r="G228" s="51" t="str">
        <f t="shared" si="0"/>
        <v>2024</v>
      </c>
      <c r="H228" s="51" t="str">
        <f t="shared" si="1"/>
        <v>junio</v>
      </c>
      <c r="I228" s="31" t="s">
        <v>373</v>
      </c>
      <c r="J228" s="31" t="s">
        <v>1076</v>
      </c>
      <c r="K228" s="31" t="s">
        <v>357</v>
      </c>
    </row>
    <row r="229" spans="1:19" ht="13.2" hidden="1">
      <c r="A229" s="31" t="s">
        <v>179</v>
      </c>
      <c r="B229" s="31" t="s">
        <v>569</v>
      </c>
      <c r="C229" s="31" t="s">
        <v>1324</v>
      </c>
      <c r="F229" s="39">
        <v>45451</v>
      </c>
      <c r="G229" s="51" t="str">
        <f t="shared" si="0"/>
        <v>2024</v>
      </c>
      <c r="H229" s="51" t="str">
        <f t="shared" si="1"/>
        <v>junio</v>
      </c>
      <c r="I229" s="8" t="s">
        <v>361</v>
      </c>
      <c r="J229" s="31" t="s">
        <v>38</v>
      </c>
      <c r="K229" s="31" t="s">
        <v>357</v>
      </c>
    </row>
    <row r="230" spans="1:19" ht="13.2" hidden="1">
      <c r="A230" s="31" t="s">
        <v>876</v>
      </c>
      <c r="B230" s="31" t="s">
        <v>1325</v>
      </c>
      <c r="C230" s="31" t="s">
        <v>1326</v>
      </c>
      <c r="F230" s="39">
        <v>45466</v>
      </c>
      <c r="G230" s="51" t="str">
        <f t="shared" si="0"/>
        <v>2024</v>
      </c>
      <c r="H230" s="51" t="str">
        <f t="shared" si="1"/>
        <v>junio</v>
      </c>
      <c r="I230" s="31" t="s">
        <v>373</v>
      </c>
      <c r="J230" s="31" t="s">
        <v>1076</v>
      </c>
      <c r="K230" s="31" t="s">
        <v>357</v>
      </c>
      <c r="L230" s="131"/>
      <c r="M230" s="40"/>
      <c r="N230" s="40"/>
    </row>
    <row r="231" spans="1:19" ht="13.2" hidden="1">
      <c r="A231" s="31" t="s">
        <v>286</v>
      </c>
      <c r="B231" s="31" t="s">
        <v>616</v>
      </c>
      <c r="C231" s="31" t="s">
        <v>1327</v>
      </c>
      <c r="F231" s="39">
        <v>45798</v>
      </c>
      <c r="G231" s="51" t="str">
        <f t="shared" si="0"/>
        <v>2025</v>
      </c>
      <c r="H231" s="51" t="str">
        <f t="shared" si="1"/>
        <v>mayo</v>
      </c>
      <c r="I231" s="31" t="s">
        <v>373</v>
      </c>
      <c r="J231" s="31" t="s">
        <v>1076</v>
      </c>
      <c r="K231" s="31" t="s">
        <v>357</v>
      </c>
      <c r="L231" s="131"/>
      <c r="M231" s="41"/>
      <c r="N231" s="41"/>
      <c r="O231" s="31"/>
      <c r="P231" s="31"/>
      <c r="Q231" s="41"/>
      <c r="R231" s="41"/>
      <c r="S231" s="40"/>
    </row>
    <row r="232" spans="1:19" ht="13.2" hidden="1">
      <c r="A232" s="31" t="s">
        <v>141</v>
      </c>
      <c r="B232" s="31" t="s">
        <v>367</v>
      </c>
      <c r="F232" s="39">
        <v>45451</v>
      </c>
      <c r="G232" s="51" t="str">
        <f t="shared" si="0"/>
        <v>2024</v>
      </c>
      <c r="H232" s="51" t="str">
        <f t="shared" si="1"/>
        <v>junio</v>
      </c>
      <c r="I232" s="31" t="s">
        <v>367</v>
      </c>
      <c r="J232" s="31" t="s">
        <v>1131</v>
      </c>
      <c r="K232" s="31" t="s">
        <v>357</v>
      </c>
    </row>
    <row r="233" spans="1:19" ht="13.2" hidden="1">
      <c r="A233" s="31" t="s">
        <v>54</v>
      </c>
      <c r="B233" s="31" t="s">
        <v>380</v>
      </c>
      <c r="C233" s="31" t="s">
        <v>1328</v>
      </c>
      <c r="F233" s="39">
        <v>45542</v>
      </c>
      <c r="G233" s="51" t="str">
        <f t="shared" si="0"/>
        <v>2024</v>
      </c>
      <c r="H233" s="51" t="str">
        <f t="shared" si="1"/>
        <v>septiembre</v>
      </c>
      <c r="I233" s="8" t="s">
        <v>373</v>
      </c>
      <c r="J233" s="31" t="s">
        <v>1076</v>
      </c>
      <c r="K233" s="31" t="s">
        <v>357</v>
      </c>
      <c r="L233" s="131"/>
      <c r="M233" s="41"/>
      <c r="N233" s="41"/>
      <c r="P233" s="42"/>
      <c r="Q233" s="41"/>
      <c r="R233" s="41"/>
      <c r="S233" s="40"/>
    </row>
    <row r="234" spans="1:19" ht="13.2" hidden="1">
      <c r="A234" s="31" t="s">
        <v>1329</v>
      </c>
      <c r="B234" s="31" t="s">
        <v>1245</v>
      </c>
      <c r="F234" s="39">
        <v>45451</v>
      </c>
      <c r="G234" s="51" t="str">
        <f t="shared" si="0"/>
        <v>2024</v>
      </c>
      <c r="H234" s="51" t="str">
        <f t="shared" si="1"/>
        <v>junio</v>
      </c>
      <c r="I234" s="31" t="s">
        <v>373</v>
      </c>
      <c r="J234" s="31" t="s">
        <v>1076</v>
      </c>
      <c r="K234" s="31" t="s">
        <v>357</v>
      </c>
    </row>
    <row r="235" spans="1:19" ht="13.2" hidden="1">
      <c r="A235" s="31" t="s">
        <v>934</v>
      </c>
      <c r="B235" s="31" t="s">
        <v>383</v>
      </c>
      <c r="C235" s="31" t="s">
        <v>1330</v>
      </c>
      <c r="F235" s="39">
        <v>45451</v>
      </c>
      <c r="G235" s="51" t="str">
        <f t="shared" si="0"/>
        <v>2024</v>
      </c>
      <c r="H235" s="51" t="str">
        <f t="shared" si="1"/>
        <v>junio</v>
      </c>
      <c r="I235" s="31" t="s">
        <v>373</v>
      </c>
      <c r="J235" s="31" t="s">
        <v>1076</v>
      </c>
      <c r="K235" s="31" t="s">
        <v>357</v>
      </c>
    </row>
    <row r="236" spans="1:19" ht="13.2" hidden="1">
      <c r="A236" s="31" t="s">
        <v>222</v>
      </c>
      <c r="B236" s="31" t="s">
        <v>405</v>
      </c>
      <c r="C236" s="31" t="s">
        <v>1331</v>
      </c>
      <c r="F236" s="39">
        <v>45451</v>
      </c>
      <c r="G236" s="51" t="str">
        <f t="shared" si="0"/>
        <v>2024</v>
      </c>
      <c r="H236" s="51" t="str">
        <f t="shared" si="1"/>
        <v>junio</v>
      </c>
      <c r="I236" s="8" t="s">
        <v>373</v>
      </c>
      <c r="J236" s="31" t="s">
        <v>1076</v>
      </c>
      <c r="K236" s="31" t="s">
        <v>357</v>
      </c>
    </row>
    <row r="237" spans="1:19" ht="13.2" hidden="1">
      <c r="A237" s="31" t="s">
        <v>1332</v>
      </c>
      <c r="B237" s="31" t="s">
        <v>1094</v>
      </c>
      <c r="C237" s="31"/>
      <c r="F237" s="39">
        <v>45527</v>
      </c>
      <c r="G237" s="51" t="str">
        <f t="shared" si="0"/>
        <v>2024</v>
      </c>
      <c r="H237" s="51" t="str">
        <f t="shared" si="1"/>
        <v>agosto</v>
      </c>
      <c r="I237" s="31" t="s">
        <v>373</v>
      </c>
      <c r="J237" s="31" t="s">
        <v>1076</v>
      </c>
      <c r="K237" s="31" t="s">
        <v>357</v>
      </c>
      <c r="L237" s="131"/>
      <c r="M237" s="41"/>
      <c r="N237" s="41"/>
      <c r="P237" s="42"/>
      <c r="Q237" s="41"/>
      <c r="R237" s="41"/>
      <c r="S237" s="40"/>
    </row>
    <row r="238" spans="1:19" ht="13.2" hidden="1">
      <c r="A238" s="31" t="s">
        <v>59</v>
      </c>
      <c r="B238" s="31" t="s">
        <v>380</v>
      </c>
      <c r="C238" s="31" t="s">
        <v>1333</v>
      </c>
      <c r="F238" s="39">
        <v>45530</v>
      </c>
      <c r="G238" s="51" t="str">
        <f t="shared" si="0"/>
        <v>2024</v>
      </c>
      <c r="H238" s="51" t="str">
        <f t="shared" si="1"/>
        <v>agosto</v>
      </c>
      <c r="I238" s="31" t="s">
        <v>373</v>
      </c>
      <c r="J238" s="31" t="s">
        <v>1076</v>
      </c>
      <c r="K238" s="31" t="s">
        <v>357</v>
      </c>
      <c r="L238" s="131"/>
      <c r="M238" s="41"/>
      <c r="N238" s="41"/>
      <c r="P238" s="42"/>
      <c r="Q238" s="41"/>
      <c r="R238" s="41"/>
      <c r="S238" s="40"/>
    </row>
    <row r="239" spans="1:19" ht="13.2" hidden="1">
      <c r="A239" s="31" t="s">
        <v>700</v>
      </c>
      <c r="B239" s="31" t="s">
        <v>527</v>
      </c>
      <c r="C239" s="31" t="s">
        <v>1334</v>
      </c>
      <c r="F239" s="39">
        <v>45693</v>
      </c>
      <c r="G239" s="51" t="str">
        <f t="shared" si="0"/>
        <v>2025</v>
      </c>
      <c r="H239" s="51" t="str">
        <f t="shared" si="1"/>
        <v>febrero</v>
      </c>
      <c r="I239" s="31" t="s">
        <v>373</v>
      </c>
      <c r="J239" s="31" t="s">
        <v>1076</v>
      </c>
      <c r="K239" s="31" t="s">
        <v>357</v>
      </c>
      <c r="L239" s="131"/>
      <c r="M239" s="41"/>
      <c r="N239" s="41"/>
      <c r="O239" s="31"/>
      <c r="P239" s="31"/>
      <c r="Q239" s="41"/>
      <c r="R239" s="41"/>
      <c r="S239" s="40"/>
    </row>
    <row r="240" spans="1:19" ht="13.2" hidden="1">
      <c r="A240" s="31" t="s">
        <v>779</v>
      </c>
      <c r="B240" s="31" t="s">
        <v>374</v>
      </c>
      <c r="C240" s="31" t="s">
        <v>1335</v>
      </c>
      <c r="F240" s="39">
        <v>45668</v>
      </c>
      <c r="G240" s="51" t="str">
        <f t="shared" si="0"/>
        <v>2025</v>
      </c>
      <c r="H240" s="51" t="str">
        <f t="shared" si="1"/>
        <v>enero</v>
      </c>
      <c r="I240" s="31" t="s">
        <v>373</v>
      </c>
      <c r="J240" s="31" t="s">
        <v>1076</v>
      </c>
      <c r="K240" s="31" t="s">
        <v>357</v>
      </c>
      <c r="L240" s="131"/>
      <c r="M240" s="41"/>
      <c r="N240" s="41"/>
      <c r="O240" s="31"/>
      <c r="P240" s="31"/>
      <c r="Q240" s="41"/>
      <c r="R240" s="41"/>
      <c r="S240" s="40"/>
    </row>
    <row r="241" spans="1:19" ht="13.2" hidden="1">
      <c r="A241" s="31" t="s">
        <v>618</v>
      </c>
      <c r="B241" s="31" t="s">
        <v>506</v>
      </c>
      <c r="C241" s="31"/>
      <c r="F241" s="39">
        <v>45451</v>
      </c>
      <c r="G241" s="51" t="str">
        <f t="shared" si="0"/>
        <v>2024</v>
      </c>
      <c r="H241" s="51" t="str">
        <f t="shared" si="1"/>
        <v>junio</v>
      </c>
      <c r="I241" s="8" t="s">
        <v>356</v>
      </c>
      <c r="J241" s="31" t="s">
        <v>1076</v>
      </c>
      <c r="K241" s="31" t="s">
        <v>357</v>
      </c>
    </row>
    <row r="242" spans="1:19" ht="13.2" hidden="1">
      <c r="A242" s="31" t="s">
        <v>657</v>
      </c>
      <c r="B242" s="31" t="s">
        <v>658</v>
      </c>
      <c r="C242" s="31" t="s">
        <v>1336</v>
      </c>
      <c r="F242" s="39">
        <v>45769</v>
      </c>
      <c r="G242" s="51" t="str">
        <f t="shared" si="0"/>
        <v>2025</v>
      </c>
      <c r="H242" s="51" t="str">
        <f t="shared" si="1"/>
        <v>abril</v>
      </c>
      <c r="I242" s="31" t="s">
        <v>373</v>
      </c>
      <c r="J242" s="31" t="s">
        <v>1076</v>
      </c>
      <c r="K242" s="31" t="s">
        <v>357</v>
      </c>
      <c r="L242" s="131"/>
      <c r="M242" s="41"/>
      <c r="N242" s="41"/>
      <c r="O242" s="31"/>
      <c r="P242" s="31"/>
      <c r="Q242" s="41"/>
      <c r="R242" s="41"/>
      <c r="S242" s="40"/>
    </row>
    <row r="243" spans="1:19" ht="13.2" hidden="1">
      <c r="A243" s="31" t="s">
        <v>722</v>
      </c>
      <c r="B243" s="31" t="s">
        <v>374</v>
      </c>
      <c r="C243" s="31" t="s">
        <v>1337</v>
      </c>
      <c r="F243" s="39">
        <v>45737</v>
      </c>
      <c r="G243" s="51" t="str">
        <f t="shared" si="0"/>
        <v>2025</v>
      </c>
      <c r="H243" s="51" t="str">
        <f t="shared" si="1"/>
        <v>marzo</v>
      </c>
      <c r="I243" s="31" t="s">
        <v>373</v>
      </c>
      <c r="J243" s="31" t="s">
        <v>1076</v>
      </c>
      <c r="K243" s="31" t="s">
        <v>357</v>
      </c>
      <c r="L243" s="131"/>
      <c r="M243" s="41"/>
      <c r="N243" s="41"/>
      <c r="O243" s="31"/>
      <c r="P243" s="31"/>
      <c r="Q243" s="41"/>
      <c r="R243" s="41"/>
      <c r="S243" s="40"/>
    </row>
    <row r="244" spans="1:19" ht="13.2" hidden="1">
      <c r="A244" s="31" t="s">
        <v>682</v>
      </c>
      <c r="B244" s="31" t="s">
        <v>383</v>
      </c>
      <c r="C244" s="31" t="s">
        <v>1338</v>
      </c>
      <c r="F244" s="39">
        <v>45482</v>
      </c>
      <c r="G244" s="51" t="str">
        <f t="shared" si="0"/>
        <v>2024</v>
      </c>
      <c r="H244" s="51" t="str">
        <f t="shared" si="1"/>
        <v>julio</v>
      </c>
      <c r="I244" s="31" t="s">
        <v>373</v>
      </c>
      <c r="J244" s="31" t="s">
        <v>1076</v>
      </c>
      <c r="K244" s="31" t="s">
        <v>357</v>
      </c>
      <c r="L244" s="131"/>
      <c r="M244" s="40"/>
      <c r="N244" s="40"/>
      <c r="P244" s="42"/>
      <c r="Q244" s="41"/>
      <c r="R244" s="41">
        <f>(R239+S239)/(100%-R241)</f>
        <v>0</v>
      </c>
      <c r="S244" s="40">
        <f>R242+S242</f>
        <v>0</v>
      </c>
    </row>
    <row r="245" spans="1:19" ht="13.2" hidden="1">
      <c r="A245" s="31" t="s">
        <v>627</v>
      </c>
      <c r="B245" s="31" t="s">
        <v>628</v>
      </c>
      <c r="C245" s="31" t="s">
        <v>1339</v>
      </c>
      <c r="F245" s="39">
        <v>45798</v>
      </c>
      <c r="G245" s="51" t="str">
        <f t="shared" si="0"/>
        <v>2025</v>
      </c>
      <c r="H245" s="51" t="str">
        <f t="shared" si="1"/>
        <v>mayo</v>
      </c>
      <c r="I245" s="31" t="s">
        <v>373</v>
      </c>
      <c r="J245" s="31" t="s">
        <v>1076</v>
      </c>
      <c r="K245" s="31" t="s">
        <v>357</v>
      </c>
      <c r="L245" s="131"/>
      <c r="M245" s="41"/>
      <c r="N245" s="41"/>
      <c r="O245" s="31"/>
      <c r="P245" s="31"/>
      <c r="Q245" s="41"/>
      <c r="R245" s="41"/>
      <c r="S245" s="40"/>
    </row>
    <row r="246" spans="1:19" ht="13.2" hidden="1">
      <c r="A246" s="31" t="s">
        <v>857</v>
      </c>
      <c r="B246" s="31" t="s">
        <v>389</v>
      </c>
      <c r="C246" s="31" t="s">
        <v>1340</v>
      </c>
      <c r="F246" s="39">
        <v>45499</v>
      </c>
      <c r="G246" s="51" t="str">
        <f t="shared" si="0"/>
        <v>2024</v>
      </c>
      <c r="H246" s="51" t="str">
        <f t="shared" si="1"/>
        <v>julio</v>
      </c>
      <c r="I246" s="8" t="s">
        <v>373</v>
      </c>
      <c r="J246" s="31" t="s">
        <v>1076</v>
      </c>
      <c r="K246" s="31" t="s">
        <v>357</v>
      </c>
      <c r="L246" s="131"/>
      <c r="M246" s="40"/>
      <c r="N246" s="40"/>
      <c r="P246" s="42"/>
      <c r="Q246" s="41"/>
      <c r="R246" s="41"/>
      <c r="S246" s="40"/>
    </row>
    <row r="247" spans="1:19" ht="13.2" hidden="1">
      <c r="A247" s="31" t="s">
        <v>863</v>
      </c>
      <c r="B247" s="31" t="s">
        <v>1341</v>
      </c>
      <c r="C247" s="31" t="s">
        <v>1342</v>
      </c>
      <c r="F247" s="39">
        <v>45473</v>
      </c>
      <c r="G247" s="51" t="str">
        <f t="shared" si="0"/>
        <v>2024</v>
      </c>
      <c r="H247" s="51" t="str">
        <f t="shared" si="1"/>
        <v>junio</v>
      </c>
      <c r="I247" s="8" t="s">
        <v>373</v>
      </c>
      <c r="J247" s="31" t="s">
        <v>1076</v>
      </c>
      <c r="K247" s="31" t="s">
        <v>357</v>
      </c>
      <c r="L247" s="131"/>
      <c r="M247" s="40"/>
      <c r="N247" s="40"/>
      <c r="P247" s="42"/>
      <c r="Q247" s="41"/>
      <c r="R247" s="41"/>
      <c r="S247" s="40"/>
    </row>
    <row r="248" spans="1:19" ht="13.2" hidden="1">
      <c r="A248" s="31" t="s">
        <v>808</v>
      </c>
      <c r="B248" s="31" t="s">
        <v>374</v>
      </c>
      <c r="C248" s="31" t="s">
        <v>1343</v>
      </c>
      <c r="F248" s="39">
        <v>45596</v>
      </c>
      <c r="G248" s="51" t="str">
        <f t="shared" si="0"/>
        <v>2024</v>
      </c>
      <c r="H248" s="51" t="str">
        <f t="shared" si="1"/>
        <v>octubre</v>
      </c>
      <c r="I248" s="31" t="s">
        <v>373</v>
      </c>
      <c r="J248" s="31" t="s">
        <v>1076</v>
      </c>
      <c r="K248" s="31" t="s">
        <v>357</v>
      </c>
      <c r="L248" s="131"/>
      <c r="M248" s="41"/>
      <c r="N248" s="41"/>
      <c r="O248" s="31"/>
      <c r="P248" s="31"/>
      <c r="Q248" s="41"/>
      <c r="R248" s="41"/>
      <c r="S248" s="40"/>
    </row>
    <row r="249" spans="1:19" ht="13.2" hidden="1">
      <c r="A249" s="31" t="s">
        <v>338</v>
      </c>
      <c r="B249" s="31" t="s">
        <v>554</v>
      </c>
      <c r="F249" s="39">
        <v>45451</v>
      </c>
      <c r="G249" s="51" t="str">
        <f t="shared" si="0"/>
        <v>2024</v>
      </c>
      <c r="H249" s="51" t="str">
        <f t="shared" si="1"/>
        <v>junio</v>
      </c>
      <c r="I249" s="8" t="s">
        <v>361</v>
      </c>
      <c r="J249" s="31" t="s">
        <v>1131</v>
      </c>
      <c r="K249" s="31" t="s">
        <v>357</v>
      </c>
    </row>
    <row r="250" spans="1:19" ht="13.2" hidden="1">
      <c r="A250" s="31" t="s">
        <v>1344</v>
      </c>
      <c r="B250" s="31" t="s">
        <v>686</v>
      </c>
      <c r="F250" s="39">
        <v>45451</v>
      </c>
      <c r="G250" s="51" t="str">
        <f t="shared" si="0"/>
        <v>2024</v>
      </c>
      <c r="H250" s="51" t="str">
        <f t="shared" si="1"/>
        <v>junio</v>
      </c>
      <c r="I250" s="31" t="s">
        <v>373</v>
      </c>
      <c r="J250" s="31" t="s">
        <v>1076</v>
      </c>
      <c r="K250" s="31" t="s">
        <v>357</v>
      </c>
    </row>
    <row r="251" spans="1:19" ht="13.2" hidden="1">
      <c r="A251" s="31" t="s">
        <v>911</v>
      </c>
      <c r="B251" s="31" t="s">
        <v>1345</v>
      </c>
      <c r="C251" s="31"/>
      <c r="F251" s="39">
        <v>45451</v>
      </c>
      <c r="G251" s="51" t="str">
        <f t="shared" si="0"/>
        <v>2024</v>
      </c>
      <c r="H251" s="51" t="str">
        <f t="shared" si="1"/>
        <v>junio</v>
      </c>
      <c r="I251" s="8" t="s">
        <v>373</v>
      </c>
      <c r="J251" s="31" t="s">
        <v>1076</v>
      </c>
      <c r="K251" s="31" t="s">
        <v>357</v>
      </c>
    </row>
    <row r="252" spans="1:19" ht="13.2" hidden="1">
      <c r="A252" s="31" t="s">
        <v>1024</v>
      </c>
      <c r="B252" s="31" t="s">
        <v>367</v>
      </c>
      <c r="F252" s="39">
        <v>45451</v>
      </c>
      <c r="G252" s="51" t="str">
        <f t="shared" si="0"/>
        <v>2024</v>
      </c>
      <c r="H252" s="51" t="str">
        <f t="shared" si="1"/>
        <v>junio</v>
      </c>
      <c r="I252" s="31" t="s">
        <v>373</v>
      </c>
      <c r="J252" s="31" t="s">
        <v>1076</v>
      </c>
      <c r="K252" s="31" t="s">
        <v>357</v>
      </c>
    </row>
    <row r="253" spans="1:19" ht="13.2" hidden="1">
      <c r="A253" s="31" t="s">
        <v>598</v>
      </c>
      <c r="B253" s="31" t="s">
        <v>599</v>
      </c>
      <c r="C253" s="31" t="s">
        <v>1346</v>
      </c>
      <c r="F253" s="39">
        <v>45451</v>
      </c>
      <c r="G253" s="51" t="str">
        <f t="shared" si="0"/>
        <v>2024</v>
      </c>
      <c r="H253" s="51" t="str">
        <f t="shared" si="1"/>
        <v>junio</v>
      </c>
      <c r="I253" s="8" t="s">
        <v>373</v>
      </c>
      <c r="J253" s="31" t="s">
        <v>1076</v>
      </c>
      <c r="K253" s="31" t="s">
        <v>357</v>
      </c>
    </row>
    <row r="254" spans="1:19" ht="13.2" hidden="1">
      <c r="A254" s="31" t="s">
        <v>939</v>
      </c>
      <c r="B254" s="31" t="s">
        <v>1347</v>
      </c>
      <c r="C254" s="31" t="s">
        <v>1348</v>
      </c>
      <c r="F254" s="39">
        <v>45451</v>
      </c>
      <c r="G254" s="51" t="str">
        <f t="shared" si="0"/>
        <v>2024</v>
      </c>
      <c r="H254" s="51" t="str">
        <f t="shared" si="1"/>
        <v>junio</v>
      </c>
      <c r="I254" s="8" t="s">
        <v>373</v>
      </c>
      <c r="J254" s="31" t="s">
        <v>1076</v>
      </c>
      <c r="K254" s="31" t="s">
        <v>357</v>
      </c>
    </row>
    <row r="255" spans="1:19" ht="13.2" hidden="1">
      <c r="A255" s="31" t="s">
        <v>712</v>
      </c>
      <c r="B255" s="31" t="s">
        <v>713</v>
      </c>
      <c r="C255" s="31" t="s">
        <v>1349</v>
      </c>
      <c r="F255" s="39">
        <v>45751</v>
      </c>
      <c r="G255" s="51" t="str">
        <f t="shared" si="0"/>
        <v>2025</v>
      </c>
      <c r="H255" s="51" t="str">
        <f t="shared" si="1"/>
        <v>abril</v>
      </c>
      <c r="I255" s="31" t="s">
        <v>373</v>
      </c>
      <c r="J255" s="31" t="s">
        <v>1076</v>
      </c>
      <c r="K255" s="31" t="s">
        <v>357</v>
      </c>
      <c r="L255" s="131"/>
      <c r="M255" s="41"/>
      <c r="N255" s="41"/>
      <c r="O255" s="31"/>
      <c r="P255" s="31"/>
      <c r="Q255" s="41"/>
      <c r="R255" s="41"/>
      <c r="S255" s="40"/>
    </row>
    <row r="256" spans="1:19" ht="13.2" hidden="1">
      <c r="A256" s="31" t="s">
        <v>135</v>
      </c>
      <c r="B256" s="31" t="s">
        <v>538</v>
      </c>
      <c r="F256" s="39">
        <v>45451</v>
      </c>
      <c r="G256" s="51" t="str">
        <f t="shared" si="0"/>
        <v>2024</v>
      </c>
      <c r="H256" s="51" t="str">
        <f t="shared" si="1"/>
        <v>junio</v>
      </c>
      <c r="I256" s="8" t="s">
        <v>361</v>
      </c>
      <c r="J256" s="31" t="s">
        <v>1131</v>
      </c>
      <c r="K256" s="31" t="s">
        <v>357</v>
      </c>
    </row>
    <row r="257" spans="1:19" ht="13.2" hidden="1">
      <c r="A257" s="31" t="s">
        <v>791</v>
      </c>
      <c r="B257" s="31" t="s">
        <v>1350</v>
      </c>
      <c r="C257" s="31"/>
      <c r="F257" s="39">
        <v>45648</v>
      </c>
      <c r="G257" s="51" t="str">
        <f t="shared" si="0"/>
        <v>2024</v>
      </c>
      <c r="H257" s="51" t="str">
        <f t="shared" si="1"/>
        <v>diciembre</v>
      </c>
      <c r="I257" s="31" t="s">
        <v>373</v>
      </c>
      <c r="J257" s="31" t="s">
        <v>1076</v>
      </c>
      <c r="K257" s="31" t="s">
        <v>357</v>
      </c>
      <c r="L257" s="131"/>
      <c r="M257" s="41"/>
      <c r="N257" s="41"/>
      <c r="O257" s="31"/>
      <c r="P257" s="31"/>
      <c r="Q257" s="41"/>
      <c r="R257" s="41"/>
      <c r="S257" s="40"/>
    </row>
    <row r="258" spans="1:19" ht="13.2" hidden="1">
      <c r="A258" s="31" t="s">
        <v>318</v>
      </c>
      <c r="B258" s="31" t="s">
        <v>374</v>
      </c>
      <c r="C258" s="31" t="s">
        <v>1351</v>
      </c>
      <c r="F258" s="39">
        <v>45474</v>
      </c>
      <c r="G258" s="51" t="str">
        <f t="shared" si="0"/>
        <v>2024</v>
      </c>
      <c r="H258" s="51" t="str">
        <f t="shared" si="1"/>
        <v>julio</v>
      </c>
      <c r="I258" s="8" t="s">
        <v>373</v>
      </c>
      <c r="J258" s="31" t="s">
        <v>1076</v>
      </c>
      <c r="K258" s="31" t="s">
        <v>357</v>
      </c>
      <c r="L258" s="131"/>
      <c r="M258" s="40"/>
      <c r="N258" s="40"/>
      <c r="P258" s="42"/>
      <c r="Q258" s="41"/>
      <c r="R258" s="41"/>
      <c r="S258" s="40"/>
    </row>
    <row r="259" spans="1:19" ht="13.2" hidden="1">
      <c r="A259" s="31" t="s">
        <v>1352</v>
      </c>
      <c r="B259" s="31" t="s">
        <v>1245</v>
      </c>
      <c r="F259" s="39">
        <v>45451</v>
      </c>
      <c r="G259" s="51" t="str">
        <f t="shared" si="0"/>
        <v>2024</v>
      </c>
      <c r="H259" s="51" t="str">
        <f t="shared" si="1"/>
        <v>junio</v>
      </c>
      <c r="I259" s="31" t="s">
        <v>373</v>
      </c>
      <c r="J259" s="31" t="s">
        <v>1076</v>
      </c>
      <c r="K259" s="31" t="s">
        <v>357</v>
      </c>
    </row>
    <row r="260" spans="1:19" ht="13.2" hidden="1">
      <c r="A260" s="31" t="s">
        <v>1031</v>
      </c>
      <c r="F260" s="39">
        <v>45451</v>
      </c>
      <c r="G260" s="51" t="str">
        <f t="shared" si="0"/>
        <v>2024</v>
      </c>
      <c r="H260" s="51" t="str">
        <f t="shared" si="1"/>
        <v>junio</v>
      </c>
      <c r="I260" s="31" t="s">
        <v>373</v>
      </c>
      <c r="J260" s="31" t="s">
        <v>1076</v>
      </c>
      <c r="K260" s="31" t="s">
        <v>357</v>
      </c>
    </row>
    <row r="261" spans="1:19" ht="13.2" hidden="1">
      <c r="A261" s="31" t="s">
        <v>924</v>
      </c>
      <c r="B261" s="31" t="s">
        <v>1353</v>
      </c>
      <c r="C261" s="31" t="s">
        <v>1354</v>
      </c>
      <c r="F261" s="39">
        <v>45451</v>
      </c>
      <c r="G261" s="51" t="str">
        <f t="shared" si="0"/>
        <v>2024</v>
      </c>
      <c r="H261" s="51" t="str">
        <f t="shared" si="1"/>
        <v>junio</v>
      </c>
      <c r="I261" s="8" t="s">
        <v>373</v>
      </c>
      <c r="J261" s="31" t="s">
        <v>1076</v>
      </c>
      <c r="K261" s="31" t="s">
        <v>357</v>
      </c>
    </row>
    <row r="262" spans="1:19" ht="13.2" hidden="1">
      <c r="A262" s="31" t="s">
        <v>981</v>
      </c>
      <c r="F262" s="39">
        <v>45451</v>
      </c>
      <c r="G262" s="51" t="str">
        <f t="shared" si="0"/>
        <v>2024</v>
      </c>
      <c r="H262" s="51" t="str">
        <f t="shared" si="1"/>
        <v>junio</v>
      </c>
      <c r="I262" s="31" t="s">
        <v>373</v>
      </c>
      <c r="J262" s="31" t="s">
        <v>1076</v>
      </c>
      <c r="K262" s="31" t="s">
        <v>357</v>
      </c>
    </row>
    <row r="263" spans="1:19" ht="13.2" hidden="1">
      <c r="A263" s="31" t="s">
        <v>767</v>
      </c>
      <c r="B263" s="31" t="s">
        <v>367</v>
      </c>
      <c r="F263" s="39">
        <v>45508</v>
      </c>
      <c r="G263" s="51" t="str">
        <f t="shared" si="0"/>
        <v>2024</v>
      </c>
      <c r="H263" s="51" t="str">
        <f t="shared" si="1"/>
        <v>agosto</v>
      </c>
      <c r="I263" s="8" t="s">
        <v>373</v>
      </c>
      <c r="J263" s="31" t="s">
        <v>1076</v>
      </c>
      <c r="K263" s="31" t="s">
        <v>357</v>
      </c>
      <c r="L263" s="131"/>
      <c r="M263" s="40"/>
      <c r="N263" s="40"/>
      <c r="P263" s="42"/>
      <c r="Q263" s="41"/>
      <c r="R263" s="41"/>
      <c r="S263" s="40"/>
    </row>
    <row r="264" spans="1:19" ht="13.2" hidden="1">
      <c r="A264" s="31" t="s">
        <v>881</v>
      </c>
      <c r="B264" s="31" t="s">
        <v>1355</v>
      </c>
      <c r="C264" s="31" t="s">
        <v>1356</v>
      </c>
      <c r="F264" s="39">
        <v>45451</v>
      </c>
      <c r="G264" s="51" t="str">
        <f t="shared" si="0"/>
        <v>2024</v>
      </c>
      <c r="H264" s="51" t="str">
        <f t="shared" si="1"/>
        <v>junio</v>
      </c>
      <c r="I264" s="31" t="s">
        <v>373</v>
      </c>
      <c r="J264" s="31" t="s">
        <v>1076</v>
      </c>
      <c r="K264" s="31" t="s">
        <v>357</v>
      </c>
    </row>
    <row r="265" spans="1:19" ht="13.2" hidden="1">
      <c r="A265" s="31" t="s">
        <v>66</v>
      </c>
      <c r="B265" s="31" t="s">
        <v>534</v>
      </c>
      <c r="C265" s="31" t="s">
        <v>1357</v>
      </c>
      <c r="F265" s="39">
        <v>45799</v>
      </c>
      <c r="G265" s="51" t="str">
        <f t="shared" si="0"/>
        <v>2025</v>
      </c>
      <c r="H265" s="51" t="str">
        <f t="shared" si="1"/>
        <v>mayo</v>
      </c>
      <c r="I265" s="31" t="s">
        <v>373</v>
      </c>
      <c r="J265" s="31" t="s">
        <v>1076</v>
      </c>
      <c r="K265" s="31" t="s">
        <v>357</v>
      </c>
      <c r="L265" s="131"/>
      <c r="M265" s="41"/>
      <c r="N265" s="41"/>
      <c r="O265" s="31"/>
      <c r="P265" s="31"/>
      <c r="Q265" s="41"/>
      <c r="R265" s="41"/>
      <c r="S265" s="40"/>
    </row>
    <row r="266" spans="1:19" ht="13.2" hidden="1">
      <c r="A266" s="31" t="s">
        <v>840</v>
      </c>
      <c r="B266" s="31" t="s">
        <v>405</v>
      </c>
      <c r="C266" s="31" t="s">
        <v>1358</v>
      </c>
      <c r="F266" s="39">
        <v>45451</v>
      </c>
      <c r="G266" s="51" t="str">
        <f t="shared" si="0"/>
        <v>2024</v>
      </c>
      <c r="H266" s="51" t="str">
        <f t="shared" si="1"/>
        <v>junio</v>
      </c>
      <c r="I266" s="8" t="s">
        <v>373</v>
      </c>
      <c r="J266" s="31" t="s">
        <v>1076</v>
      </c>
      <c r="K266" s="31" t="s">
        <v>357</v>
      </c>
    </row>
    <row r="267" spans="1:19" ht="13.2" hidden="1">
      <c r="A267" s="31" t="s">
        <v>692</v>
      </c>
      <c r="B267" s="31" t="s">
        <v>374</v>
      </c>
      <c r="C267" s="31" t="s">
        <v>1359</v>
      </c>
      <c r="F267" s="39">
        <v>45763</v>
      </c>
      <c r="G267" s="51" t="str">
        <f t="shared" si="0"/>
        <v>2025</v>
      </c>
      <c r="H267" s="51" t="str">
        <f t="shared" si="1"/>
        <v>abril</v>
      </c>
      <c r="I267" s="31" t="s">
        <v>373</v>
      </c>
      <c r="J267" s="31" t="s">
        <v>1076</v>
      </c>
      <c r="K267" s="31" t="s">
        <v>357</v>
      </c>
      <c r="L267" s="131"/>
      <c r="M267" s="41"/>
      <c r="N267" s="41"/>
      <c r="O267" s="31"/>
      <c r="P267" s="31"/>
      <c r="Q267" s="41"/>
      <c r="R267" s="41"/>
      <c r="S267" s="40"/>
    </row>
    <row r="268" spans="1:19" ht="13.2" hidden="1">
      <c r="A268" s="31" t="s">
        <v>955</v>
      </c>
      <c r="C268" s="31" t="s">
        <v>1360</v>
      </c>
      <c r="F268" s="39">
        <v>45451</v>
      </c>
      <c r="G268" s="51" t="str">
        <f t="shared" si="0"/>
        <v>2024</v>
      </c>
      <c r="H268" s="51" t="str">
        <f t="shared" si="1"/>
        <v>junio</v>
      </c>
      <c r="I268" s="31" t="s">
        <v>373</v>
      </c>
      <c r="J268" s="31" t="s">
        <v>1076</v>
      </c>
      <c r="K268" s="31" t="s">
        <v>357</v>
      </c>
    </row>
    <row r="269" spans="1:19" ht="13.2" hidden="1">
      <c r="A269" s="31" t="s">
        <v>270</v>
      </c>
      <c r="B269" s="31" t="s">
        <v>367</v>
      </c>
      <c r="F269" s="39">
        <v>45451</v>
      </c>
      <c r="G269" s="51" t="str">
        <f t="shared" si="0"/>
        <v>2024</v>
      </c>
      <c r="H269" s="51" t="str">
        <f t="shared" si="1"/>
        <v>junio</v>
      </c>
      <c r="I269" s="31" t="s">
        <v>367</v>
      </c>
      <c r="J269" s="31" t="s">
        <v>1131</v>
      </c>
      <c r="K269" s="31" t="s">
        <v>357</v>
      </c>
    </row>
    <row r="270" spans="1:19" ht="13.2" hidden="1">
      <c r="A270" s="31" t="s">
        <v>168</v>
      </c>
      <c r="B270" s="31" t="s">
        <v>405</v>
      </c>
      <c r="C270" s="31" t="s">
        <v>1361</v>
      </c>
      <c r="F270" s="39">
        <v>45451</v>
      </c>
      <c r="G270" s="51" t="str">
        <f t="shared" si="0"/>
        <v>2024</v>
      </c>
      <c r="H270" s="51" t="str">
        <f t="shared" si="1"/>
        <v>junio</v>
      </c>
      <c r="I270" s="31" t="s">
        <v>361</v>
      </c>
      <c r="J270" s="31" t="s">
        <v>1131</v>
      </c>
      <c r="K270" s="31" t="s">
        <v>357</v>
      </c>
    </row>
    <row r="271" spans="1:19" ht="13.2" hidden="1">
      <c r="A271" s="31" t="s">
        <v>830</v>
      </c>
      <c r="B271" s="31" t="s">
        <v>696</v>
      </c>
      <c r="C271" s="31"/>
      <c r="F271" s="39">
        <v>45540</v>
      </c>
      <c r="G271" s="51" t="str">
        <f t="shared" si="0"/>
        <v>2024</v>
      </c>
      <c r="H271" s="51" t="str">
        <f t="shared" si="1"/>
        <v>septiembre</v>
      </c>
      <c r="I271" s="8" t="s">
        <v>373</v>
      </c>
      <c r="J271" s="31" t="s">
        <v>1076</v>
      </c>
      <c r="K271" s="31" t="s">
        <v>357</v>
      </c>
      <c r="L271" s="131"/>
      <c r="M271" s="41"/>
      <c r="N271" s="41"/>
      <c r="P271" s="42"/>
      <c r="Q271" s="41"/>
      <c r="R271" s="41"/>
      <c r="S271" s="40"/>
    </row>
    <row r="272" spans="1:19" ht="13.2" hidden="1">
      <c r="A272" s="31" t="s">
        <v>788</v>
      </c>
      <c r="B272" s="31" t="s">
        <v>595</v>
      </c>
      <c r="C272" s="31" t="s">
        <v>1362</v>
      </c>
      <c r="F272" s="39">
        <v>45648</v>
      </c>
      <c r="G272" s="51" t="str">
        <f t="shared" si="0"/>
        <v>2024</v>
      </c>
      <c r="H272" s="51" t="str">
        <f t="shared" si="1"/>
        <v>diciembre</v>
      </c>
      <c r="I272" s="31" t="s">
        <v>373</v>
      </c>
      <c r="J272" s="31" t="s">
        <v>1076</v>
      </c>
      <c r="K272" s="31" t="s">
        <v>357</v>
      </c>
      <c r="L272" s="131"/>
      <c r="M272" s="41"/>
      <c r="N272" s="41"/>
      <c r="O272" s="31"/>
      <c r="P272" s="31"/>
      <c r="Q272" s="41"/>
      <c r="R272" s="41"/>
      <c r="S272" s="40"/>
    </row>
    <row r="273" spans="1:19" ht="13.2" hidden="1">
      <c r="A273" s="31" t="s">
        <v>815</v>
      </c>
      <c r="B273" s="31" t="s">
        <v>500</v>
      </c>
      <c r="C273" s="31" t="s">
        <v>1363</v>
      </c>
      <c r="F273" s="39">
        <v>45556</v>
      </c>
      <c r="G273" s="51" t="str">
        <f t="shared" si="0"/>
        <v>2024</v>
      </c>
      <c r="H273" s="51" t="str">
        <f t="shared" si="1"/>
        <v>septiembre</v>
      </c>
      <c r="I273" s="8" t="s">
        <v>373</v>
      </c>
      <c r="J273" s="31" t="s">
        <v>1076</v>
      </c>
      <c r="K273" s="31" t="s">
        <v>357</v>
      </c>
      <c r="L273" s="131"/>
      <c r="M273" s="41"/>
      <c r="N273" s="41"/>
      <c r="O273" s="31"/>
      <c r="P273" s="42"/>
      <c r="Q273" s="41"/>
      <c r="R273" s="41"/>
      <c r="S273" s="40"/>
    </row>
    <row r="274" spans="1:19" ht="13.2" hidden="1">
      <c r="A274" s="31" t="s">
        <v>1364</v>
      </c>
      <c r="F274" s="39">
        <v>45451</v>
      </c>
      <c r="G274" s="51" t="str">
        <f t="shared" si="0"/>
        <v>2024</v>
      </c>
      <c r="H274" s="51" t="str">
        <f t="shared" si="1"/>
        <v>junio</v>
      </c>
      <c r="I274" s="31" t="s">
        <v>373</v>
      </c>
      <c r="J274" s="31" t="s">
        <v>1076</v>
      </c>
      <c r="K274" s="31" t="s">
        <v>357</v>
      </c>
    </row>
    <row r="275" spans="1:19" ht="13.2" hidden="1">
      <c r="A275" s="31" t="s">
        <v>922</v>
      </c>
      <c r="B275" s="31" t="s">
        <v>668</v>
      </c>
      <c r="F275" s="39">
        <v>45451</v>
      </c>
      <c r="G275" s="51" t="str">
        <f t="shared" si="0"/>
        <v>2024</v>
      </c>
      <c r="H275" s="51" t="str">
        <f t="shared" si="1"/>
        <v>junio</v>
      </c>
      <c r="I275" s="8" t="s">
        <v>373</v>
      </c>
      <c r="J275" s="31" t="s">
        <v>1076</v>
      </c>
      <c r="K275" s="31" t="s">
        <v>357</v>
      </c>
    </row>
    <row r="276" spans="1:19" ht="13.2" hidden="1">
      <c r="A276" s="31" t="s">
        <v>329</v>
      </c>
      <c r="B276" s="31" t="s">
        <v>532</v>
      </c>
      <c r="C276" s="31" t="s">
        <v>1365</v>
      </c>
      <c r="F276" s="39">
        <v>45523</v>
      </c>
      <c r="G276" s="51" t="str">
        <f t="shared" si="0"/>
        <v>2024</v>
      </c>
      <c r="H276" s="51" t="str">
        <f t="shared" si="1"/>
        <v>agosto</v>
      </c>
      <c r="I276" s="8" t="s">
        <v>373</v>
      </c>
      <c r="J276" s="31" t="s">
        <v>1076</v>
      </c>
      <c r="K276" s="31" t="s">
        <v>357</v>
      </c>
      <c r="L276" s="131"/>
      <c r="M276" s="41"/>
      <c r="N276" s="41"/>
      <c r="P276" s="42"/>
      <c r="Q276" s="41"/>
      <c r="R276" s="41"/>
      <c r="S276" s="40"/>
    </row>
    <row r="277" spans="1:19" ht="13.2" hidden="1">
      <c r="A277" s="31" t="s">
        <v>1013</v>
      </c>
      <c r="F277" s="39">
        <v>45451</v>
      </c>
      <c r="G277" s="51" t="str">
        <f t="shared" si="0"/>
        <v>2024</v>
      </c>
      <c r="H277" s="51" t="str">
        <f t="shared" si="1"/>
        <v>junio</v>
      </c>
      <c r="I277" s="31" t="s">
        <v>373</v>
      </c>
      <c r="J277" s="31" t="s">
        <v>1076</v>
      </c>
      <c r="K277" s="31" t="s">
        <v>357</v>
      </c>
    </row>
    <row r="278" spans="1:19" ht="13.2" hidden="1">
      <c r="A278" s="31" t="s">
        <v>119</v>
      </c>
      <c r="B278" s="31" t="s">
        <v>629</v>
      </c>
      <c r="C278" s="31" t="s">
        <v>1366</v>
      </c>
      <c r="F278" s="39">
        <v>45469</v>
      </c>
      <c r="G278" s="51" t="str">
        <f t="shared" si="0"/>
        <v>2024</v>
      </c>
      <c r="H278" s="51" t="str">
        <f t="shared" si="1"/>
        <v>junio</v>
      </c>
      <c r="I278" s="31" t="s">
        <v>373</v>
      </c>
      <c r="J278" s="31" t="s">
        <v>1076</v>
      </c>
      <c r="K278" s="31" t="s">
        <v>357</v>
      </c>
      <c r="L278" s="131"/>
      <c r="M278" s="40"/>
      <c r="N278" s="40"/>
    </row>
    <row r="279" spans="1:19" ht="13.2" hidden="1">
      <c r="A279" s="31" t="s">
        <v>281</v>
      </c>
      <c r="B279" s="31" t="s">
        <v>389</v>
      </c>
      <c r="C279" s="31" t="s">
        <v>1367</v>
      </c>
      <c r="F279" s="39">
        <v>45690</v>
      </c>
      <c r="G279" s="51" t="str">
        <f t="shared" si="0"/>
        <v>2025</v>
      </c>
      <c r="H279" s="51" t="str">
        <f t="shared" si="1"/>
        <v>febrero</v>
      </c>
      <c r="I279" s="31" t="s">
        <v>373</v>
      </c>
      <c r="J279" s="31" t="s">
        <v>1076</v>
      </c>
      <c r="K279" s="31" t="s">
        <v>357</v>
      </c>
      <c r="L279" s="131"/>
      <c r="M279" s="41"/>
      <c r="N279" s="41"/>
      <c r="O279" s="31"/>
      <c r="P279" s="31"/>
      <c r="Q279" s="41"/>
      <c r="R279" s="41"/>
      <c r="S279" s="40"/>
    </row>
    <row r="280" spans="1:19" ht="13.2" hidden="1">
      <c r="A280" s="31" t="s">
        <v>142</v>
      </c>
      <c r="B280" s="31" t="s">
        <v>489</v>
      </c>
      <c r="F280" s="39">
        <v>45451</v>
      </c>
      <c r="G280" s="51" t="str">
        <f t="shared" si="0"/>
        <v>2024</v>
      </c>
      <c r="H280" s="51" t="str">
        <f t="shared" si="1"/>
        <v>junio</v>
      </c>
      <c r="I280" s="8" t="s">
        <v>361</v>
      </c>
      <c r="J280" s="31" t="s">
        <v>1131</v>
      </c>
      <c r="K280" s="31" t="s">
        <v>357</v>
      </c>
    </row>
    <row r="281" spans="1:19" ht="13.2" hidden="1">
      <c r="A281" s="31" t="s">
        <v>332</v>
      </c>
      <c r="B281" s="31" t="s">
        <v>362</v>
      </c>
      <c r="C281" s="31" t="s">
        <v>1368</v>
      </c>
      <c r="F281" s="39">
        <v>45816</v>
      </c>
      <c r="G281" s="51" t="str">
        <f t="shared" si="0"/>
        <v>2025</v>
      </c>
      <c r="H281" s="51" t="str">
        <f t="shared" si="1"/>
        <v>junio</v>
      </c>
      <c r="I281" s="31" t="s">
        <v>373</v>
      </c>
      <c r="J281" s="31" t="s">
        <v>1076</v>
      </c>
      <c r="K281" s="31" t="s">
        <v>357</v>
      </c>
    </row>
    <row r="282" spans="1:19" ht="13.2" hidden="1">
      <c r="A282" s="31" t="s">
        <v>1023</v>
      </c>
      <c r="F282" s="39">
        <v>45451</v>
      </c>
      <c r="G282" s="51" t="str">
        <f t="shared" si="0"/>
        <v>2024</v>
      </c>
      <c r="H282" s="51" t="str">
        <f t="shared" si="1"/>
        <v>junio</v>
      </c>
      <c r="I282" s="31" t="s">
        <v>373</v>
      </c>
      <c r="J282" s="31" t="s">
        <v>1076</v>
      </c>
      <c r="K282" s="31" t="s">
        <v>357</v>
      </c>
    </row>
    <row r="283" spans="1:19" ht="13.2" hidden="1">
      <c r="A283" s="31" t="s">
        <v>821</v>
      </c>
      <c r="B283" s="31" t="s">
        <v>1369</v>
      </c>
      <c r="C283" s="31" t="s">
        <v>1370</v>
      </c>
      <c r="F283" s="39">
        <v>45451</v>
      </c>
      <c r="G283" s="51" t="str">
        <f t="shared" si="0"/>
        <v>2024</v>
      </c>
      <c r="H283" s="51" t="str">
        <f t="shared" si="1"/>
        <v>junio</v>
      </c>
      <c r="I283" s="8" t="s">
        <v>361</v>
      </c>
      <c r="J283" s="31" t="s">
        <v>1131</v>
      </c>
      <c r="K283" s="31" t="s">
        <v>357</v>
      </c>
    </row>
    <row r="284" spans="1:19" ht="13.2" hidden="1">
      <c r="A284" s="31" t="s">
        <v>690</v>
      </c>
      <c r="B284" s="31" t="s">
        <v>465</v>
      </c>
      <c r="C284" s="31" t="s">
        <v>1371</v>
      </c>
      <c r="F284" s="39">
        <v>45764</v>
      </c>
      <c r="G284" s="51" t="str">
        <f t="shared" si="0"/>
        <v>2025</v>
      </c>
      <c r="H284" s="51" t="str">
        <f t="shared" si="1"/>
        <v>abril</v>
      </c>
      <c r="I284" s="31" t="s">
        <v>373</v>
      </c>
      <c r="J284" s="31" t="s">
        <v>1076</v>
      </c>
      <c r="K284" s="31" t="s">
        <v>357</v>
      </c>
      <c r="L284" s="131"/>
      <c r="M284" s="41"/>
      <c r="N284" s="41"/>
      <c r="O284" s="31"/>
      <c r="P284" s="31"/>
      <c r="Q284" s="41"/>
      <c r="R284" s="41"/>
      <c r="S284" s="40"/>
    </row>
    <row r="285" spans="1:19" ht="13.2" hidden="1">
      <c r="A285" s="31" t="s">
        <v>1372</v>
      </c>
      <c r="B285" s="31" t="s">
        <v>1245</v>
      </c>
      <c r="F285" s="39">
        <v>45451</v>
      </c>
      <c r="G285" s="51" t="str">
        <f t="shared" si="0"/>
        <v>2024</v>
      </c>
      <c r="H285" s="51" t="str">
        <f t="shared" si="1"/>
        <v>junio</v>
      </c>
      <c r="I285" s="31" t="s">
        <v>373</v>
      </c>
      <c r="J285" s="31" t="s">
        <v>1076</v>
      </c>
      <c r="K285" s="31" t="s">
        <v>357</v>
      </c>
    </row>
    <row r="286" spans="1:19" ht="13.2" hidden="1">
      <c r="A286" s="31" t="s">
        <v>643</v>
      </c>
      <c r="B286" s="31" t="s">
        <v>644</v>
      </c>
      <c r="C286" s="31" t="s">
        <v>1373</v>
      </c>
      <c r="F286" s="39">
        <v>45792</v>
      </c>
      <c r="G286" s="51" t="str">
        <f t="shared" si="0"/>
        <v>2025</v>
      </c>
      <c r="H286" s="51" t="str">
        <f t="shared" si="1"/>
        <v>mayo</v>
      </c>
      <c r="I286" s="31" t="s">
        <v>373</v>
      </c>
      <c r="J286" s="31" t="s">
        <v>1076</v>
      </c>
      <c r="K286" s="31" t="s">
        <v>357</v>
      </c>
      <c r="L286" s="131"/>
      <c r="M286" s="41"/>
      <c r="N286" s="41"/>
      <c r="O286" s="31"/>
      <c r="P286" s="31"/>
      <c r="Q286" s="41"/>
      <c r="R286" s="41"/>
      <c r="S286" s="40"/>
    </row>
    <row r="287" spans="1:19" ht="13.2" hidden="1">
      <c r="A287" s="31" t="s">
        <v>761</v>
      </c>
      <c r="B287" s="31" t="s">
        <v>374</v>
      </c>
      <c r="C287" s="31" t="s">
        <v>1374</v>
      </c>
      <c r="F287" s="39">
        <v>45688</v>
      </c>
      <c r="G287" s="51" t="str">
        <f t="shared" si="0"/>
        <v>2025</v>
      </c>
      <c r="H287" s="51" t="str">
        <f t="shared" si="1"/>
        <v>enero</v>
      </c>
      <c r="I287" s="31" t="s">
        <v>373</v>
      </c>
      <c r="J287" s="31" t="s">
        <v>1076</v>
      </c>
      <c r="K287" s="31" t="s">
        <v>357</v>
      </c>
      <c r="L287" s="131"/>
      <c r="M287" s="41"/>
      <c r="N287" s="41"/>
      <c r="O287" s="31"/>
      <c r="P287" s="31"/>
      <c r="Q287" s="41"/>
      <c r="R287" s="41"/>
      <c r="S287" s="40"/>
    </row>
    <row r="288" spans="1:19" ht="13.2" hidden="1">
      <c r="A288" s="31" t="s">
        <v>785</v>
      </c>
      <c r="B288" s="31" t="s">
        <v>383</v>
      </c>
      <c r="C288" s="31" t="s">
        <v>1146</v>
      </c>
      <c r="F288" s="39">
        <v>45451</v>
      </c>
      <c r="G288" s="51" t="str">
        <f t="shared" si="0"/>
        <v>2024</v>
      </c>
      <c r="H288" s="51" t="str">
        <f t="shared" si="1"/>
        <v>junio</v>
      </c>
      <c r="I288" s="31" t="s">
        <v>373</v>
      </c>
      <c r="J288" s="31" t="s">
        <v>1076</v>
      </c>
      <c r="K288" s="31" t="s">
        <v>357</v>
      </c>
      <c r="L288" s="131"/>
      <c r="M288" s="40"/>
      <c r="N288" s="40"/>
    </row>
    <row r="289" spans="1:19" ht="13.2" hidden="1">
      <c r="A289" s="31" t="s">
        <v>689</v>
      </c>
      <c r="B289" s="31" t="s">
        <v>374</v>
      </c>
      <c r="C289" s="31" t="s">
        <v>1375</v>
      </c>
      <c r="F289" s="39">
        <v>45687</v>
      </c>
      <c r="G289" s="51" t="str">
        <f t="shared" si="0"/>
        <v>2025</v>
      </c>
      <c r="H289" s="51" t="str">
        <f t="shared" si="1"/>
        <v>enero</v>
      </c>
      <c r="I289" s="31" t="s">
        <v>373</v>
      </c>
      <c r="J289" s="31" t="s">
        <v>1076</v>
      </c>
      <c r="K289" s="31" t="s">
        <v>357</v>
      </c>
      <c r="L289" s="131"/>
      <c r="M289" s="41"/>
      <c r="N289" s="41"/>
      <c r="O289" s="31"/>
      <c r="P289" s="31"/>
      <c r="Q289" s="41"/>
      <c r="R289" s="41"/>
      <c r="S289" s="40"/>
    </row>
    <row r="290" spans="1:19" ht="13.2" hidden="1">
      <c r="A290" s="31" t="s">
        <v>813</v>
      </c>
      <c r="B290" s="31" t="s">
        <v>592</v>
      </c>
      <c r="C290" s="31" t="s">
        <v>1376</v>
      </c>
      <c r="F290" s="39">
        <v>45451</v>
      </c>
      <c r="G290" s="51" t="str">
        <f t="shared" si="0"/>
        <v>2024</v>
      </c>
      <c r="H290" s="51" t="str">
        <f t="shared" si="1"/>
        <v>junio</v>
      </c>
      <c r="I290" s="8" t="s">
        <v>373</v>
      </c>
      <c r="J290" s="31" t="s">
        <v>1076</v>
      </c>
      <c r="K290" s="31" t="s">
        <v>357</v>
      </c>
    </row>
    <row r="291" spans="1:19" ht="13.2" hidden="1">
      <c r="A291" s="31" t="s">
        <v>790</v>
      </c>
      <c r="B291" s="31" t="s">
        <v>583</v>
      </c>
      <c r="C291" s="31" t="s">
        <v>1377</v>
      </c>
      <c r="F291" s="39">
        <v>45648</v>
      </c>
      <c r="G291" s="51" t="str">
        <f t="shared" si="0"/>
        <v>2024</v>
      </c>
      <c r="H291" s="51" t="str">
        <f t="shared" si="1"/>
        <v>diciembre</v>
      </c>
      <c r="I291" s="31" t="s">
        <v>373</v>
      </c>
      <c r="J291" s="31" t="s">
        <v>1076</v>
      </c>
      <c r="K291" s="31" t="s">
        <v>357</v>
      </c>
      <c r="L291" s="131"/>
      <c r="M291" s="41"/>
      <c r="N291" s="41"/>
      <c r="O291" s="31"/>
      <c r="P291" s="31"/>
      <c r="Q291" s="41"/>
      <c r="R291" s="41"/>
      <c r="S291" s="40"/>
    </row>
    <row r="292" spans="1:19" ht="13.2" hidden="1">
      <c r="A292" s="31" t="s">
        <v>970</v>
      </c>
      <c r="B292" s="31" t="s">
        <v>668</v>
      </c>
      <c r="F292" s="39">
        <v>45451</v>
      </c>
      <c r="G292" s="51" t="str">
        <f t="shared" si="0"/>
        <v>2024</v>
      </c>
      <c r="H292" s="51" t="str">
        <f t="shared" si="1"/>
        <v>junio</v>
      </c>
      <c r="I292" s="31" t="s">
        <v>373</v>
      </c>
      <c r="J292" s="31" t="s">
        <v>1076</v>
      </c>
      <c r="K292" s="31" t="s">
        <v>357</v>
      </c>
    </row>
    <row r="293" spans="1:19" ht="13.2" hidden="1">
      <c r="A293" s="31" t="s">
        <v>805</v>
      </c>
      <c r="B293" s="31" t="s">
        <v>489</v>
      </c>
      <c r="F293" s="39">
        <v>45451</v>
      </c>
      <c r="G293" s="51" t="str">
        <f t="shared" si="0"/>
        <v>2024</v>
      </c>
      <c r="H293" s="51" t="str">
        <f t="shared" si="1"/>
        <v>junio</v>
      </c>
      <c r="I293" s="31" t="s">
        <v>373</v>
      </c>
      <c r="J293" s="31" t="s">
        <v>1076</v>
      </c>
      <c r="K293" s="31" t="s">
        <v>357</v>
      </c>
    </row>
    <row r="294" spans="1:19" ht="13.2" hidden="1">
      <c r="A294" s="31" t="s">
        <v>944</v>
      </c>
      <c r="B294" s="31" t="s">
        <v>383</v>
      </c>
      <c r="F294" s="39">
        <v>45451</v>
      </c>
      <c r="G294" s="51" t="str">
        <f t="shared" si="0"/>
        <v>2024</v>
      </c>
      <c r="H294" s="51" t="str">
        <f t="shared" si="1"/>
        <v>junio</v>
      </c>
      <c r="I294" s="8" t="s">
        <v>373</v>
      </c>
      <c r="J294" s="31" t="s">
        <v>1076</v>
      </c>
      <c r="K294" s="31" t="s">
        <v>357</v>
      </c>
    </row>
    <row r="295" spans="1:19" ht="13.2" hidden="1">
      <c r="A295" s="31" t="s">
        <v>783</v>
      </c>
      <c r="B295" s="31" t="s">
        <v>534</v>
      </c>
      <c r="C295" s="31"/>
      <c r="F295" s="39">
        <v>45654</v>
      </c>
      <c r="G295" s="51" t="str">
        <f t="shared" si="0"/>
        <v>2024</v>
      </c>
      <c r="H295" s="51" t="str">
        <f t="shared" si="1"/>
        <v>diciembre</v>
      </c>
      <c r="I295" s="31" t="s">
        <v>373</v>
      </c>
      <c r="J295" s="31" t="s">
        <v>1076</v>
      </c>
      <c r="K295" s="31" t="s">
        <v>357</v>
      </c>
      <c r="L295" s="131"/>
      <c r="M295" s="41"/>
      <c r="N295" s="41"/>
      <c r="O295" s="31"/>
      <c r="P295" s="31"/>
      <c r="Q295" s="41"/>
      <c r="R295" s="41"/>
      <c r="S295" s="40"/>
    </row>
    <row r="296" spans="1:19" ht="13.2" hidden="1">
      <c r="A296" s="31" t="s">
        <v>932</v>
      </c>
      <c r="B296" s="31" t="s">
        <v>380</v>
      </c>
      <c r="C296" s="31"/>
      <c r="F296" s="39">
        <v>45451</v>
      </c>
      <c r="G296" s="51" t="str">
        <f t="shared" si="0"/>
        <v>2024</v>
      </c>
      <c r="H296" s="51" t="str">
        <f t="shared" si="1"/>
        <v>junio</v>
      </c>
      <c r="I296" s="8" t="s">
        <v>373</v>
      </c>
      <c r="J296" s="31" t="s">
        <v>1076</v>
      </c>
      <c r="K296" s="31" t="s">
        <v>357</v>
      </c>
    </row>
    <row r="297" spans="1:19" ht="13.2" hidden="1">
      <c r="A297" s="31" t="s">
        <v>802</v>
      </c>
      <c r="B297" s="31"/>
      <c r="C297" s="31"/>
      <c r="F297" s="39">
        <v>45627</v>
      </c>
      <c r="G297" s="51" t="str">
        <f t="shared" si="0"/>
        <v>2024</v>
      </c>
      <c r="H297" s="51" t="str">
        <f t="shared" si="1"/>
        <v>diciembre</v>
      </c>
      <c r="I297" s="31" t="s">
        <v>373</v>
      </c>
      <c r="J297" s="31" t="s">
        <v>1076</v>
      </c>
      <c r="K297" s="31" t="s">
        <v>394</v>
      </c>
      <c r="L297" s="131" t="s">
        <v>1378</v>
      </c>
      <c r="M297" s="41" t="s">
        <v>1379</v>
      </c>
      <c r="N297" s="41"/>
      <c r="O297" s="31"/>
      <c r="P297" s="31"/>
      <c r="Q297" s="41"/>
      <c r="R297" s="41"/>
      <c r="S297" s="40"/>
    </row>
    <row r="298" spans="1:19" ht="13.2" hidden="1">
      <c r="A298" s="31" t="s">
        <v>798</v>
      </c>
      <c r="B298" s="31" t="s">
        <v>383</v>
      </c>
      <c r="C298" s="31" t="s">
        <v>1228</v>
      </c>
      <c r="F298" s="39">
        <v>45632</v>
      </c>
      <c r="G298" s="51" t="str">
        <f t="shared" si="0"/>
        <v>2024</v>
      </c>
      <c r="H298" s="51" t="str">
        <f t="shared" si="1"/>
        <v>diciembre</v>
      </c>
      <c r="I298" s="31" t="s">
        <v>373</v>
      </c>
      <c r="J298" s="31" t="s">
        <v>1076</v>
      </c>
      <c r="K298" s="31" t="s">
        <v>357</v>
      </c>
      <c r="L298" s="131"/>
      <c r="M298" s="41"/>
      <c r="N298" s="41"/>
      <c r="O298" s="31"/>
      <c r="P298" s="31"/>
      <c r="Q298" s="41"/>
      <c r="R298" s="41"/>
      <c r="S298" s="40"/>
    </row>
    <row r="299" spans="1:19" ht="13.2" hidden="1">
      <c r="A299" s="31" t="s">
        <v>740</v>
      </c>
      <c r="B299" s="31" t="s">
        <v>1380</v>
      </c>
      <c r="C299" s="31" t="s">
        <v>1381</v>
      </c>
      <c r="F299" s="39">
        <v>45451</v>
      </c>
      <c r="G299" s="51" t="str">
        <f t="shared" si="0"/>
        <v>2024</v>
      </c>
      <c r="H299" s="51" t="str">
        <f t="shared" si="1"/>
        <v>junio</v>
      </c>
      <c r="I299" s="31" t="s">
        <v>373</v>
      </c>
      <c r="J299" s="31" t="s">
        <v>1076</v>
      </c>
      <c r="K299" s="31" t="s">
        <v>357</v>
      </c>
      <c r="L299" s="131"/>
      <c r="M299" s="40"/>
      <c r="N299" s="40"/>
    </row>
    <row r="300" spans="1:19" ht="13.2" hidden="1">
      <c r="A300" s="31" t="s">
        <v>330</v>
      </c>
      <c r="B300" s="31" t="s">
        <v>534</v>
      </c>
      <c r="C300" s="31" t="s">
        <v>1382</v>
      </c>
      <c r="F300" s="39">
        <v>45537</v>
      </c>
      <c r="G300" s="51" t="str">
        <f t="shared" si="0"/>
        <v>2024</v>
      </c>
      <c r="H300" s="51" t="str">
        <f t="shared" si="1"/>
        <v>septiembre</v>
      </c>
      <c r="I300" s="31" t="s">
        <v>373</v>
      </c>
      <c r="J300" s="31" t="s">
        <v>1076</v>
      </c>
      <c r="K300" s="31" t="s">
        <v>357</v>
      </c>
      <c r="L300" s="131"/>
      <c r="M300" s="41"/>
      <c r="N300" s="41"/>
      <c r="P300" s="42"/>
      <c r="Q300" s="41"/>
      <c r="R300" s="41"/>
      <c r="S300" s="40"/>
    </row>
    <row r="301" spans="1:19" ht="13.2" hidden="1">
      <c r="A301" s="31" t="s">
        <v>755</v>
      </c>
      <c r="B301" s="31" t="s">
        <v>595</v>
      </c>
      <c r="C301" s="31" t="s">
        <v>1383</v>
      </c>
      <c r="F301" s="39">
        <v>45693</v>
      </c>
      <c r="G301" s="51" t="str">
        <f t="shared" si="0"/>
        <v>2025</v>
      </c>
      <c r="H301" s="51" t="str">
        <f t="shared" si="1"/>
        <v>febrero</v>
      </c>
      <c r="I301" s="31" t="s">
        <v>373</v>
      </c>
      <c r="J301" s="31" t="s">
        <v>1076</v>
      </c>
      <c r="K301" s="31" t="s">
        <v>357</v>
      </c>
      <c r="L301" s="131"/>
      <c r="M301" s="41"/>
      <c r="N301" s="41"/>
      <c r="O301" s="31"/>
      <c r="P301" s="31"/>
      <c r="Q301" s="41"/>
      <c r="R301" s="41"/>
      <c r="S301" s="40"/>
    </row>
    <row r="302" spans="1:19" ht="13.2" hidden="1">
      <c r="A302" s="31" t="s">
        <v>189</v>
      </c>
      <c r="B302" s="31" t="s">
        <v>362</v>
      </c>
      <c r="C302" s="31" t="s">
        <v>1384</v>
      </c>
      <c r="F302" s="39">
        <v>45451</v>
      </c>
      <c r="G302" s="51" t="str">
        <f t="shared" si="0"/>
        <v>2024</v>
      </c>
      <c r="H302" s="51" t="str">
        <f t="shared" si="1"/>
        <v>junio</v>
      </c>
      <c r="I302" s="8" t="s">
        <v>361</v>
      </c>
      <c r="J302" s="31" t="s">
        <v>1131</v>
      </c>
      <c r="K302" s="31" t="s">
        <v>357</v>
      </c>
    </row>
    <row r="303" spans="1:19" ht="13.2" hidden="1">
      <c r="A303" s="31" t="s">
        <v>795</v>
      </c>
      <c r="B303" s="31" t="s">
        <v>1385</v>
      </c>
      <c r="C303" s="31" t="s">
        <v>1386</v>
      </c>
      <c r="F303" s="39">
        <v>45638</v>
      </c>
      <c r="G303" s="51" t="str">
        <f t="shared" si="0"/>
        <v>2024</v>
      </c>
      <c r="H303" s="51" t="str">
        <f t="shared" si="1"/>
        <v>diciembre</v>
      </c>
      <c r="I303" s="31" t="s">
        <v>373</v>
      </c>
      <c r="J303" s="31" t="s">
        <v>1076</v>
      </c>
      <c r="K303" s="31" t="s">
        <v>357</v>
      </c>
      <c r="L303" s="131"/>
      <c r="M303" s="41"/>
      <c r="N303" s="41"/>
      <c r="O303" s="31"/>
      <c r="P303" s="31"/>
      <c r="Q303" s="41"/>
      <c r="R303" s="41"/>
      <c r="S303" s="40"/>
    </row>
    <row r="304" spans="1:19" ht="13.2" hidden="1">
      <c r="A304" s="31" t="s">
        <v>232</v>
      </c>
      <c r="B304" s="31" t="s">
        <v>358</v>
      </c>
      <c r="C304" s="31" t="s">
        <v>1387</v>
      </c>
      <c r="F304" s="39">
        <v>45451</v>
      </c>
      <c r="G304" s="51" t="str">
        <f t="shared" si="0"/>
        <v>2024</v>
      </c>
      <c r="H304" s="51" t="str">
        <f t="shared" si="1"/>
        <v>junio</v>
      </c>
      <c r="I304" s="8" t="s">
        <v>356</v>
      </c>
      <c r="J304" s="31" t="s">
        <v>1076</v>
      </c>
      <c r="K304" s="31" t="s">
        <v>357</v>
      </c>
    </row>
    <row r="305" spans="1:19" ht="13.2" hidden="1">
      <c r="A305" s="31" t="s">
        <v>315</v>
      </c>
      <c r="B305" s="31" t="s">
        <v>362</v>
      </c>
      <c r="C305" s="31" t="s">
        <v>1388</v>
      </c>
      <c r="F305" s="39">
        <v>45451</v>
      </c>
      <c r="G305" s="51" t="str">
        <f t="shared" si="0"/>
        <v>2024</v>
      </c>
      <c r="H305" s="51" t="str">
        <f t="shared" si="1"/>
        <v>junio</v>
      </c>
      <c r="I305" s="8" t="s">
        <v>373</v>
      </c>
      <c r="J305" s="31" t="s">
        <v>1076</v>
      </c>
      <c r="K305" s="31" t="s">
        <v>357</v>
      </c>
    </row>
    <row r="306" spans="1:19" ht="13.2" hidden="1">
      <c r="A306" s="31" t="s">
        <v>983</v>
      </c>
      <c r="B306" s="31" t="s">
        <v>367</v>
      </c>
      <c r="F306" s="39">
        <v>45451</v>
      </c>
      <c r="G306" s="51" t="str">
        <f t="shared" si="0"/>
        <v>2024</v>
      </c>
      <c r="H306" s="51" t="str">
        <f t="shared" si="1"/>
        <v>junio</v>
      </c>
      <c r="I306" s="31" t="s">
        <v>373</v>
      </c>
      <c r="J306" s="31" t="s">
        <v>1076</v>
      </c>
      <c r="K306" s="31" t="s">
        <v>357</v>
      </c>
    </row>
    <row r="307" spans="1:19" ht="13.2" hidden="1">
      <c r="A307" s="31" t="s">
        <v>885</v>
      </c>
      <c r="B307" s="31" t="s">
        <v>1389</v>
      </c>
      <c r="C307" s="31" t="s">
        <v>1390</v>
      </c>
      <c r="F307" s="39">
        <v>45471</v>
      </c>
      <c r="G307" s="51" t="str">
        <f t="shared" si="0"/>
        <v>2024</v>
      </c>
      <c r="H307" s="51" t="str">
        <f t="shared" si="1"/>
        <v>junio</v>
      </c>
      <c r="I307" s="31" t="s">
        <v>373</v>
      </c>
      <c r="J307" s="31" t="s">
        <v>1076</v>
      </c>
      <c r="K307" s="31" t="s">
        <v>357</v>
      </c>
      <c r="L307" s="131"/>
      <c r="M307" s="40"/>
      <c r="N307" s="40"/>
    </row>
    <row r="308" spans="1:19" ht="13.2">
      <c r="A308" s="31" t="s">
        <v>198</v>
      </c>
      <c r="B308" s="31" t="s">
        <v>489</v>
      </c>
      <c r="C308" s="31" t="s">
        <v>2143</v>
      </c>
      <c r="F308" s="39">
        <v>45451</v>
      </c>
      <c r="G308" s="51" t="str">
        <f t="shared" si="0"/>
        <v>2024</v>
      </c>
      <c r="H308" s="51" t="str">
        <f t="shared" si="1"/>
        <v>junio</v>
      </c>
      <c r="I308" s="8" t="s">
        <v>361</v>
      </c>
      <c r="J308" s="31" t="s">
        <v>1131</v>
      </c>
      <c r="K308" s="31" t="s">
        <v>357</v>
      </c>
    </row>
    <row r="309" spans="1:19" ht="13.2" hidden="1">
      <c r="A309" s="31" t="s">
        <v>997</v>
      </c>
      <c r="B309" s="31" t="s">
        <v>367</v>
      </c>
      <c r="F309" s="39">
        <v>45451</v>
      </c>
      <c r="G309" s="51" t="str">
        <f t="shared" si="0"/>
        <v>2024</v>
      </c>
      <c r="H309" s="51" t="str">
        <f t="shared" si="1"/>
        <v>junio</v>
      </c>
      <c r="I309" s="31" t="s">
        <v>373</v>
      </c>
      <c r="J309" s="31" t="s">
        <v>1076</v>
      </c>
      <c r="K309" s="31" t="s">
        <v>357</v>
      </c>
    </row>
    <row r="310" spans="1:19" ht="13.2" hidden="1">
      <c r="A310" s="31" t="s">
        <v>745</v>
      </c>
      <c r="B310" s="31" t="s">
        <v>374</v>
      </c>
      <c r="C310" s="31" t="s">
        <v>1391</v>
      </c>
      <c r="F310" s="39">
        <v>45700</v>
      </c>
      <c r="G310" s="51" t="str">
        <f t="shared" si="0"/>
        <v>2025</v>
      </c>
      <c r="H310" s="51" t="str">
        <f t="shared" si="1"/>
        <v>febrero</v>
      </c>
      <c r="I310" s="31" t="s">
        <v>373</v>
      </c>
      <c r="J310" s="31" t="s">
        <v>1076</v>
      </c>
      <c r="K310" s="31" t="s">
        <v>357</v>
      </c>
      <c r="L310" s="131"/>
      <c r="M310" s="41"/>
      <c r="N310" s="41"/>
      <c r="O310" s="31"/>
      <c r="P310" s="31"/>
      <c r="Q310" s="41"/>
      <c r="R310" s="41"/>
      <c r="S310" s="40"/>
    </row>
    <row r="311" spans="1:19" ht="13.2" hidden="1">
      <c r="A311" s="31" t="s">
        <v>1028</v>
      </c>
      <c r="B311" s="31" t="s">
        <v>1392</v>
      </c>
      <c r="F311" s="39">
        <v>45451</v>
      </c>
      <c r="G311" s="51" t="str">
        <f t="shared" si="0"/>
        <v>2024</v>
      </c>
      <c r="H311" s="51" t="str">
        <f t="shared" si="1"/>
        <v>junio</v>
      </c>
      <c r="I311" s="31" t="s">
        <v>373</v>
      </c>
      <c r="J311" s="31" t="s">
        <v>1076</v>
      </c>
      <c r="K311" s="31" t="s">
        <v>357</v>
      </c>
    </row>
    <row r="312" spans="1:19" ht="13.2" hidden="1">
      <c r="A312" s="31" t="s">
        <v>868</v>
      </c>
      <c r="B312" s="31" t="s">
        <v>380</v>
      </c>
      <c r="F312" s="39">
        <v>45451</v>
      </c>
      <c r="G312" s="51" t="str">
        <f t="shared" si="0"/>
        <v>2024</v>
      </c>
      <c r="H312" s="51" t="str">
        <f t="shared" si="1"/>
        <v>junio</v>
      </c>
      <c r="I312" s="8" t="s">
        <v>373</v>
      </c>
      <c r="J312" s="31" t="s">
        <v>1076</v>
      </c>
      <c r="K312" s="31" t="s">
        <v>357</v>
      </c>
    </row>
    <row r="313" spans="1:19" ht="13.2" hidden="1">
      <c r="A313" s="31" t="s">
        <v>1027</v>
      </c>
      <c r="B313" s="31" t="s">
        <v>1161</v>
      </c>
      <c r="F313" s="39">
        <v>45451</v>
      </c>
      <c r="G313" s="51" t="str">
        <f t="shared" si="0"/>
        <v>2024</v>
      </c>
      <c r="H313" s="51" t="str">
        <f t="shared" si="1"/>
        <v>junio</v>
      </c>
      <c r="I313" s="31" t="s">
        <v>373</v>
      </c>
      <c r="J313" s="31" t="s">
        <v>1076</v>
      </c>
      <c r="K313" s="31" t="s">
        <v>357</v>
      </c>
    </row>
    <row r="314" spans="1:19" ht="13.2" hidden="1">
      <c r="A314" s="31" t="s">
        <v>622</v>
      </c>
      <c r="B314" s="31" t="s">
        <v>623</v>
      </c>
      <c r="C314" s="31" t="s">
        <v>1393</v>
      </c>
      <c r="F314" s="39">
        <v>45571</v>
      </c>
      <c r="G314" s="51" t="str">
        <f t="shared" si="0"/>
        <v>2024</v>
      </c>
      <c r="H314" s="51" t="str">
        <f t="shared" si="1"/>
        <v>octubre</v>
      </c>
      <c r="I314" s="31" t="s">
        <v>373</v>
      </c>
      <c r="J314" s="31" t="s">
        <v>1076</v>
      </c>
      <c r="K314" s="31" t="s">
        <v>357</v>
      </c>
      <c r="L314" s="131"/>
      <c r="M314" s="41"/>
      <c r="N314" s="41"/>
      <c r="O314" s="31"/>
      <c r="P314" s="31"/>
      <c r="Q314" s="41"/>
      <c r="R314" s="41"/>
      <c r="S314" s="40"/>
    </row>
    <row r="315" spans="1:19" ht="13.2" hidden="1">
      <c r="A315" s="31" t="s">
        <v>687</v>
      </c>
      <c r="B315" s="31" t="s">
        <v>465</v>
      </c>
      <c r="C315" s="31" t="s">
        <v>1394</v>
      </c>
      <c r="F315" s="39">
        <v>45764</v>
      </c>
      <c r="G315" s="51" t="str">
        <f t="shared" si="0"/>
        <v>2025</v>
      </c>
      <c r="H315" s="51" t="str">
        <f t="shared" si="1"/>
        <v>abril</v>
      </c>
      <c r="I315" s="31" t="s">
        <v>373</v>
      </c>
      <c r="J315" s="31" t="s">
        <v>1076</v>
      </c>
      <c r="K315" s="31" t="s">
        <v>357</v>
      </c>
      <c r="L315" s="131"/>
      <c r="M315" s="41"/>
      <c r="N315" s="41"/>
      <c r="O315" s="31"/>
      <c r="P315" s="31"/>
      <c r="Q315" s="41"/>
      <c r="R315" s="41"/>
      <c r="S315" s="40"/>
    </row>
    <row r="316" spans="1:19" ht="13.2" hidden="1">
      <c r="A316" s="31" t="s">
        <v>985</v>
      </c>
      <c r="B316" s="31" t="s">
        <v>686</v>
      </c>
      <c r="F316" s="39">
        <v>45451</v>
      </c>
      <c r="G316" s="51" t="str">
        <f t="shared" si="0"/>
        <v>2024</v>
      </c>
      <c r="H316" s="51" t="str">
        <f t="shared" si="1"/>
        <v>junio</v>
      </c>
      <c r="I316" s="31" t="s">
        <v>373</v>
      </c>
      <c r="J316" s="31" t="s">
        <v>1076</v>
      </c>
      <c r="K316" s="31" t="s">
        <v>357</v>
      </c>
    </row>
    <row r="317" spans="1:19" ht="13.2" hidden="1">
      <c r="A317" s="31" t="s">
        <v>126</v>
      </c>
      <c r="B317" s="31" t="s">
        <v>362</v>
      </c>
      <c r="C317" s="31" t="s">
        <v>1283</v>
      </c>
      <c r="F317" s="39">
        <v>45451</v>
      </c>
      <c r="G317" s="51" t="str">
        <f t="shared" si="0"/>
        <v>2024</v>
      </c>
      <c r="H317" s="51" t="str">
        <f t="shared" si="1"/>
        <v>junio</v>
      </c>
      <c r="I317" s="8" t="s">
        <v>361</v>
      </c>
      <c r="J317" s="31" t="s">
        <v>1131</v>
      </c>
      <c r="K317" s="31" t="s">
        <v>357</v>
      </c>
    </row>
    <row r="318" spans="1:19" ht="13.2" hidden="1">
      <c r="A318" s="31" t="s">
        <v>837</v>
      </c>
      <c r="B318" s="31" t="s">
        <v>461</v>
      </c>
      <c r="C318" s="31" t="s">
        <v>1395</v>
      </c>
      <c r="F318" s="39">
        <v>45528</v>
      </c>
      <c r="G318" s="51" t="str">
        <f t="shared" si="0"/>
        <v>2024</v>
      </c>
      <c r="H318" s="51" t="str">
        <f t="shared" si="1"/>
        <v>agosto</v>
      </c>
      <c r="I318" s="31" t="s">
        <v>373</v>
      </c>
      <c r="J318" s="31" t="s">
        <v>1076</v>
      </c>
      <c r="K318" s="31" t="s">
        <v>357</v>
      </c>
      <c r="L318" s="131"/>
      <c r="M318" s="41"/>
      <c r="N318" s="41"/>
      <c r="P318" s="42"/>
      <c r="Q318" s="41"/>
      <c r="R318" s="41"/>
      <c r="S318" s="40"/>
    </row>
    <row r="319" spans="1:19" ht="13.2" hidden="1">
      <c r="A319" s="31" t="s">
        <v>873</v>
      </c>
      <c r="B319" s="31" t="s">
        <v>640</v>
      </c>
      <c r="C319" s="31" t="s">
        <v>1396</v>
      </c>
      <c r="F319" s="39">
        <v>45490</v>
      </c>
      <c r="G319" s="51" t="str">
        <f t="shared" si="0"/>
        <v>2024</v>
      </c>
      <c r="H319" s="51" t="str">
        <f t="shared" si="1"/>
        <v>julio</v>
      </c>
      <c r="I319" s="8" t="s">
        <v>373</v>
      </c>
      <c r="J319" s="31" t="s">
        <v>1076</v>
      </c>
      <c r="K319" s="31" t="s">
        <v>357</v>
      </c>
      <c r="L319" s="131"/>
      <c r="M319" s="40"/>
      <c r="N319" s="40"/>
      <c r="P319" s="42"/>
      <c r="Q319" s="41" t="s">
        <v>1397</v>
      </c>
      <c r="R319" s="41">
        <v>6000</v>
      </c>
      <c r="S319" s="40">
        <f>R319*19%</f>
        <v>1140</v>
      </c>
    </row>
    <row r="320" spans="1:19" ht="13.2" hidden="1">
      <c r="A320" s="31" t="s">
        <v>647</v>
      </c>
      <c r="B320" s="31" t="s">
        <v>465</v>
      </c>
      <c r="C320" s="31" t="s">
        <v>1398</v>
      </c>
      <c r="F320" s="39">
        <v>45790</v>
      </c>
      <c r="G320" s="51" t="str">
        <f t="shared" si="0"/>
        <v>2025</v>
      </c>
      <c r="H320" s="51" t="str">
        <f t="shared" si="1"/>
        <v>mayo</v>
      </c>
      <c r="I320" s="31" t="s">
        <v>373</v>
      </c>
      <c r="J320" s="31" t="s">
        <v>1076</v>
      </c>
      <c r="K320" s="31" t="s">
        <v>357</v>
      </c>
      <c r="L320" s="131"/>
      <c r="M320" s="41"/>
      <c r="N320" s="41"/>
      <c r="O320" s="31"/>
      <c r="P320" s="31"/>
      <c r="Q320" s="41"/>
      <c r="R320" s="41"/>
      <c r="S320" s="40"/>
    </row>
    <row r="321" spans="1:19" ht="13.2" hidden="1">
      <c r="A321" s="31" t="s">
        <v>106</v>
      </c>
      <c r="B321" s="31" t="s">
        <v>383</v>
      </c>
      <c r="C321" s="31" t="s">
        <v>1399</v>
      </c>
      <c r="F321" s="39">
        <v>45451</v>
      </c>
      <c r="G321" s="51" t="str">
        <f t="shared" si="0"/>
        <v>2024</v>
      </c>
      <c r="H321" s="51" t="str">
        <f t="shared" si="1"/>
        <v>junio</v>
      </c>
      <c r="I321" s="31" t="s">
        <v>361</v>
      </c>
      <c r="J321" s="31" t="s">
        <v>1131</v>
      </c>
      <c r="K321" s="31" t="s">
        <v>357</v>
      </c>
    </row>
    <row r="322" spans="1:19" ht="13.2" hidden="1">
      <c r="A322" s="31" t="s">
        <v>699</v>
      </c>
      <c r="B322" s="31" t="s">
        <v>383</v>
      </c>
      <c r="C322" s="31" t="s">
        <v>1400</v>
      </c>
      <c r="F322" s="39">
        <v>45552</v>
      </c>
      <c r="G322" s="51" t="str">
        <f t="shared" si="0"/>
        <v>2024</v>
      </c>
      <c r="H322" s="51" t="str">
        <f t="shared" si="1"/>
        <v>septiembre</v>
      </c>
      <c r="I322" s="8" t="s">
        <v>373</v>
      </c>
      <c r="J322" s="31" t="s">
        <v>1076</v>
      </c>
      <c r="K322" s="31" t="s">
        <v>357</v>
      </c>
      <c r="L322" s="131"/>
      <c r="M322" s="41"/>
      <c r="N322" s="41"/>
      <c r="O322" s="31"/>
      <c r="P322" s="42"/>
      <c r="Q322" s="41"/>
      <c r="R322" s="41"/>
      <c r="S322" s="40"/>
    </row>
    <row r="323" spans="1:19" ht="13.2" hidden="1">
      <c r="A323" s="31" t="s">
        <v>514</v>
      </c>
      <c r="B323" s="31" t="s">
        <v>358</v>
      </c>
      <c r="C323" s="31" t="s">
        <v>1401</v>
      </c>
      <c r="F323" s="39">
        <v>45747</v>
      </c>
      <c r="G323" s="51" t="str">
        <f t="shared" si="0"/>
        <v>2025</v>
      </c>
      <c r="H323" s="51" t="str">
        <f t="shared" si="1"/>
        <v>marzo</v>
      </c>
      <c r="I323" s="31" t="s">
        <v>373</v>
      </c>
      <c r="J323" s="31" t="s">
        <v>1076</v>
      </c>
      <c r="K323" s="31" t="s">
        <v>357</v>
      </c>
      <c r="L323" s="131"/>
      <c r="M323" s="41"/>
      <c r="N323" s="41"/>
      <c r="O323" s="31"/>
      <c r="P323" s="31"/>
      <c r="Q323" s="41"/>
      <c r="R323" s="41"/>
      <c r="S323" s="40"/>
    </row>
    <row r="324" spans="1:19" ht="13.2" hidden="1">
      <c r="A324" s="31" t="s">
        <v>498</v>
      </c>
      <c r="B324" s="31" t="s">
        <v>500</v>
      </c>
      <c r="C324" s="31" t="s">
        <v>1402</v>
      </c>
      <c r="F324" s="39">
        <v>45505</v>
      </c>
      <c r="G324" s="51" t="str">
        <f t="shared" si="0"/>
        <v>2024</v>
      </c>
      <c r="H324" s="51" t="str">
        <f t="shared" si="1"/>
        <v>agosto</v>
      </c>
      <c r="I324" s="8" t="s">
        <v>373</v>
      </c>
      <c r="J324" s="31" t="s">
        <v>1076</v>
      </c>
      <c r="K324" s="31" t="s">
        <v>357</v>
      </c>
      <c r="L324" s="131"/>
      <c r="M324" s="40"/>
      <c r="N324" s="40"/>
      <c r="P324" s="42"/>
      <c r="Q324" s="41"/>
      <c r="R324" s="41"/>
      <c r="S324" s="40"/>
    </row>
    <row r="325" spans="1:19" ht="13.2" hidden="1">
      <c r="A325" s="31" t="s">
        <v>87</v>
      </c>
      <c r="B325" s="31" t="s">
        <v>383</v>
      </c>
      <c r="C325" s="31" t="s">
        <v>1403</v>
      </c>
      <c r="F325" s="39">
        <v>45451</v>
      </c>
      <c r="G325" s="51" t="str">
        <f t="shared" si="0"/>
        <v>2024</v>
      </c>
      <c r="H325" s="51" t="str">
        <f t="shared" si="1"/>
        <v>junio</v>
      </c>
      <c r="I325" s="8" t="s">
        <v>361</v>
      </c>
      <c r="J325" s="31" t="s">
        <v>1131</v>
      </c>
      <c r="K325" s="31" t="s">
        <v>357</v>
      </c>
    </row>
    <row r="326" spans="1:19" ht="13.2" hidden="1">
      <c r="A326" s="31" t="s">
        <v>834</v>
      </c>
      <c r="B326" s="31" t="s">
        <v>1404</v>
      </c>
      <c r="C326" s="31" t="s">
        <v>1405</v>
      </c>
      <c r="F326" s="39">
        <v>45537</v>
      </c>
      <c r="G326" s="51" t="str">
        <f t="shared" si="0"/>
        <v>2024</v>
      </c>
      <c r="H326" s="51" t="str">
        <f t="shared" si="1"/>
        <v>septiembre</v>
      </c>
      <c r="I326" s="31" t="s">
        <v>373</v>
      </c>
      <c r="J326" s="31" t="s">
        <v>1076</v>
      </c>
      <c r="K326" s="31" t="s">
        <v>357</v>
      </c>
      <c r="L326" s="131"/>
      <c r="M326" s="41"/>
      <c r="N326" s="41"/>
      <c r="P326" s="42"/>
      <c r="Q326" s="41"/>
      <c r="R326" s="41"/>
      <c r="S326" s="40"/>
    </row>
    <row r="327" spans="1:19" ht="13.2" hidden="1">
      <c r="A327" s="31" t="s">
        <v>582</v>
      </c>
      <c r="B327" s="31" t="s">
        <v>583</v>
      </c>
      <c r="C327" s="31" t="s">
        <v>1406</v>
      </c>
      <c r="F327" s="39">
        <v>45543</v>
      </c>
      <c r="G327" s="51" t="str">
        <f t="shared" si="0"/>
        <v>2024</v>
      </c>
      <c r="H327" s="51" t="str">
        <f t="shared" si="1"/>
        <v>septiembre</v>
      </c>
      <c r="I327" s="8" t="s">
        <v>373</v>
      </c>
      <c r="J327" s="31" t="s">
        <v>1076</v>
      </c>
      <c r="K327" s="31" t="s">
        <v>357</v>
      </c>
      <c r="L327" s="131"/>
      <c r="M327" s="41"/>
      <c r="N327" s="41"/>
      <c r="P327" s="42"/>
      <c r="Q327" s="41"/>
      <c r="R327" s="41"/>
      <c r="S327" s="40"/>
    </row>
    <row r="328" spans="1:19" ht="13.2" hidden="1">
      <c r="A328" s="31" t="s">
        <v>913</v>
      </c>
      <c r="B328" s="31" t="s">
        <v>1407</v>
      </c>
      <c r="C328" s="31" t="s">
        <v>1408</v>
      </c>
      <c r="F328" s="39">
        <v>45451</v>
      </c>
      <c r="G328" s="51" t="str">
        <f t="shared" si="0"/>
        <v>2024</v>
      </c>
      <c r="H328" s="51" t="str">
        <f t="shared" si="1"/>
        <v>junio</v>
      </c>
      <c r="I328" s="8" t="s">
        <v>373</v>
      </c>
      <c r="J328" s="31" t="s">
        <v>1076</v>
      </c>
      <c r="K328" s="31" t="s">
        <v>357</v>
      </c>
    </row>
    <row r="329" spans="1:19" ht="13.2" hidden="1">
      <c r="A329" s="31" t="s">
        <v>351</v>
      </c>
      <c r="B329" s="31" t="s">
        <v>383</v>
      </c>
      <c r="C329" s="31" t="s">
        <v>1409</v>
      </c>
      <c r="F329" s="39">
        <v>45451</v>
      </c>
      <c r="G329" s="51" t="str">
        <f t="shared" si="0"/>
        <v>2024</v>
      </c>
      <c r="H329" s="51" t="str">
        <f t="shared" si="1"/>
        <v>junio</v>
      </c>
      <c r="I329" s="31" t="s">
        <v>373</v>
      </c>
      <c r="J329" s="31" t="s">
        <v>1076</v>
      </c>
      <c r="K329" s="31" t="s">
        <v>394</v>
      </c>
      <c r="L329" s="131" t="s">
        <v>2141</v>
      </c>
      <c r="M329" s="31" t="s">
        <v>1410</v>
      </c>
      <c r="N329" s="31" t="s">
        <v>1411</v>
      </c>
      <c r="O329" s="31" t="s">
        <v>1412</v>
      </c>
      <c r="R329" s="31" t="s">
        <v>1413</v>
      </c>
    </row>
    <row r="330" spans="1:19" ht="13.2" hidden="1">
      <c r="A330" s="31" t="s">
        <v>646</v>
      </c>
      <c r="B330" s="31" t="s">
        <v>389</v>
      </c>
      <c r="C330" s="31" t="s">
        <v>1414</v>
      </c>
      <c r="F330" s="39">
        <v>45791</v>
      </c>
      <c r="G330" s="51" t="str">
        <f t="shared" si="0"/>
        <v>2025</v>
      </c>
      <c r="H330" s="51" t="str">
        <f t="shared" si="1"/>
        <v>mayo</v>
      </c>
      <c r="I330" s="31" t="s">
        <v>373</v>
      </c>
      <c r="J330" s="31" t="s">
        <v>1076</v>
      </c>
      <c r="K330" s="31" t="s">
        <v>357</v>
      </c>
      <c r="L330" s="131"/>
      <c r="M330" s="41"/>
      <c r="N330" s="41"/>
      <c r="O330" s="31"/>
      <c r="P330" s="31"/>
      <c r="Q330" s="41"/>
      <c r="R330" s="41"/>
      <c r="S330" s="40"/>
    </row>
    <row r="331" spans="1:19" ht="13.2" hidden="1">
      <c r="A331" s="31" t="s">
        <v>646</v>
      </c>
      <c r="B331" s="31" t="s">
        <v>389</v>
      </c>
      <c r="C331" s="31" t="s">
        <v>1414</v>
      </c>
      <c r="F331" s="39">
        <v>45791</v>
      </c>
      <c r="G331" s="51" t="str">
        <f t="shared" si="0"/>
        <v>2025</v>
      </c>
      <c r="H331" s="51" t="str">
        <f t="shared" si="1"/>
        <v>mayo</v>
      </c>
      <c r="I331" s="31" t="s">
        <v>373</v>
      </c>
      <c r="J331" s="31" t="s">
        <v>1076</v>
      </c>
      <c r="K331" s="31" t="s">
        <v>357</v>
      </c>
      <c r="L331" s="131"/>
      <c r="M331" s="41"/>
      <c r="N331" s="41"/>
      <c r="O331" s="31"/>
      <c r="P331" s="31"/>
      <c r="Q331" s="41"/>
      <c r="R331" s="41"/>
      <c r="S331" s="40"/>
    </row>
    <row r="332" spans="1:19" ht="13.2" hidden="1">
      <c r="A332" s="31" t="s">
        <v>831</v>
      </c>
      <c r="B332" s="31" t="s">
        <v>618</v>
      </c>
      <c r="C332" s="31" t="s">
        <v>618</v>
      </c>
      <c r="F332" s="39">
        <v>45475</v>
      </c>
      <c r="G332" s="51" t="str">
        <f t="shared" si="0"/>
        <v>2024</v>
      </c>
      <c r="H332" s="51" t="str">
        <f t="shared" si="1"/>
        <v>julio</v>
      </c>
      <c r="I332" s="8" t="s">
        <v>373</v>
      </c>
      <c r="J332" s="31" t="s">
        <v>1076</v>
      </c>
      <c r="K332" s="31" t="s">
        <v>357</v>
      </c>
      <c r="L332" s="131"/>
      <c r="M332" s="40"/>
      <c r="N332" s="40"/>
      <c r="P332" s="42"/>
      <c r="Q332" s="41"/>
      <c r="R332" s="41"/>
      <c r="S332" s="40"/>
    </row>
    <row r="333" spans="1:19" ht="13.2" hidden="1">
      <c r="A333" s="31" t="s">
        <v>940</v>
      </c>
      <c r="B333" s="31" t="s">
        <v>405</v>
      </c>
      <c r="F333" s="39">
        <v>45451</v>
      </c>
      <c r="G333" s="51" t="str">
        <f t="shared" si="0"/>
        <v>2024</v>
      </c>
      <c r="H333" s="51" t="str">
        <f t="shared" si="1"/>
        <v>junio</v>
      </c>
      <c r="I333" s="8" t="s">
        <v>373</v>
      </c>
      <c r="J333" s="31" t="s">
        <v>1076</v>
      </c>
      <c r="K333" s="31" t="s">
        <v>357</v>
      </c>
    </row>
    <row r="334" spans="1:19" ht="13.2" hidden="1">
      <c r="A334" s="31" t="s">
        <v>1415</v>
      </c>
      <c r="B334" s="31" t="s">
        <v>1245</v>
      </c>
      <c r="F334" s="39">
        <v>45451</v>
      </c>
      <c r="G334" s="51" t="str">
        <f t="shared" si="0"/>
        <v>2024</v>
      </c>
      <c r="H334" s="51" t="str">
        <f t="shared" si="1"/>
        <v>junio</v>
      </c>
      <c r="I334" s="31" t="s">
        <v>373</v>
      </c>
      <c r="J334" s="31" t="s">
        <v>1076</v>
      </c>
      <c r="K334" s="31" t="s">
        <v>357</v>
      </c>
    </row>
    <row r="335" spans="1:19" ht="13.2" hidden="1">
      <c r="A335" s="31" t="s">
        <v>234</v>
      </c>
      <c r="B335" s="31" t="s">
        <v>668</v>
      </c>
      <c r="C335" s="31"/>
      <c r="F335" s="39">
        <v>45451</v>
      </c>
      <c r="G335" s="51" t="str">
        <f t="shared" si="0"/>
        <v>2024</v>
      </c>
      <c r="H335" s="51" t="str">
        <f t="shared" si="1"/>
        <v>junio</v>
      </c>
      <c r="I335" s="8" t="s">
        <v>361</v>
      </c>
      <c r="J335" s="31" t="s">
        <v>1131</v>
      </c>
      <c r="K335" s="31" t="s">
        <v>357</v>
      </c>
    </row>
    <row r="336" spans="1:19" ht="13.2" hidden="1">
      <c r="A336" s="31" t="s">
        <v>262</v>
      </c>
      <c r="B336" s="31" t="s">
        <v>362</v>
      </c>
      <c r="F336" s="39">
        <v>45451</v>
      </c>
      <c r="G336" s="51" t="str">
        <f t="shared" si="0"/>
        <v>2024</v>
      </c>
      <c r="H336" s="51" t="str">
        <f t="shared" si="1"/>
        <v>junio</v>
      </c>
      <c r="I336" s="31" t="s">
        <v>361</v>
      </c>
      <c r="J336" s="31" t="s">
        <v>1131</v>
      </c>
      <c r="K336" s="31" t="s">
        <v>357</v>
      </c>
    </row>
    <row r="337" spans="1:19" ht="13.2" hidden="1">
      <c r="A337" s="31" t="s">
        <v>1040</v>
      </c>
      <c r="B337" s="31" t="s">
        <v>362</v>
      </c>
      <c r="F337" s="39">
        <v>45451</v>
      </c>
      <c r="G337" s="51" t="str">
        <f t="shared" si="0"/>
        <v>2024</v>
      </c>
      <c r="H337" s="51" t="str">
        <f t="shared" si="1"/>
        <v>junio</v>
      </c>
      <c r="I337" s="31" t="s">
        <v>373</v>
      </c>
      <c r="J337" s="31" t="s">
        <v>1076</v>
      </c>
      <c r="K337" s="31" t="s">
        <v>357</v>
      </c>
    </row>
    <row r="338" spans="1:19" ht="13.2" hidden="1">
      <c r="A338" s="31" t="s">
        <v>943</v>
      </c>
      <c r="F338" s="39">
        <v>45451</v>
      </c>
      <c r="G338" s="51" t="str">
        <f t="shared" si="0"/>
        <v>2024</v>
      </c>
      <c r="H338" s="51" t="str">
        <f t="shared" si="1"/>
        <v>junio</v>
      </c>
      <c r="I338" s="8" t="s">
        <v>373</v>
      </c>
      <c r="J338" s="31" t="s">
        <v>1076</v>
      </c>
      <c r="K338" s="31" t="s">
        <v>357</v>
      </c>
    </row>
    <row r="339" spans="1:19" ht="13.2" hidden="1">
      <c r="A339" s="31" t="s">
        <v>945</v>
      </c>
      <c r="B339" s="31" t="s">
        <v>405</v>
      </c>
      <c r="C339" s="31" t="s">
        <v>1416</v>
      </c>
      <c r="F339" s="39">
        <v>45451</v>
      </c>
      <c r="G339" s="51" t="str">
        <f t="shared" si="0"/>
        <v>2024</v>
      </c>
      <c r="H339" s="51" t="str">
        <f t="shared" si="1"/>
        <v>junio</v>
      </c>
      <c r="I339" s="8" t="s">
        <v>373</v>
      </c>
      <c r="J339" s="31" t="s">
        <v>1076</v>
      </c>
      <c r="K339" s="31" t="s">
        <v>357</v>
      </c>
    </row>
    <row r="340" spans="1:19" ht="13.2" hidden="1">
      <c r="A340" s="31" t="s">
        <v>880</v>
      </c>
      <c r="B340" s="31" t="s">
        <v>465</v>
      </c>
      <c r="C340" s="31" t="s">
        <v>1417</v>
      </c>
      <c r="F340" s="39">
        <v>45478</v>
      </c>
      <c r="G340" s="51" t="str">
        <f t="shared" si="0"/>
        <v>2024</v>
      </c>
      <c r="H340" s="51" t="str">
        <f t="shared" si="1"/>
        <v>julio</v>
      </c>
      <c r="I340" s="8" t="s">
        <v>373</v>
      </c>
      <c r="J340" s="31" t="s">
        <v>1076</v>
      </c>
      <c r="K340" s="31" t="s">
        <v>357</v>
      </c>
      <c r="L340" s="131"/>
      <c r="M340" s="40"/>
      <c r="N340" s="40"/>
      <c r="P340" s="42"/>
      <c r="Q340" s="41"/>
      <c r="R340" s="41"/>
      <c r="S340" s="40"/>
    </row>
    <row r="341" spans="1:19" ht="13.2" hidden="1">
      <c r="A341" s="31" t="s">
        <v>138</v>
      </c>
      <c r="B341" s="31" t="s">
        <v>367</v>
      </c>
      <c r="F341" s="39">
        <v>45451</v>
      </c>
      <c r="G341" s="51" t="str">
        <f t="shared" si="0"/>
        <v>2024</v>
      </c>
      <c r="H341" s="51" t="str">
        <f t="shared" si="1"/>
        <v>junio</v>
      </c>
      <c r="I341" s="8" t="s">
        <v>356</v>
      </c>
      <c r="J341" s="31" t="s">
        <v>1076</v>
      </c>
      <c r="K341" s="31" t="s">
        <v>357</v>
      </c>
    </row>
    <row r="342" spans="1:19" ht="13.2" hidden="1">
      <c r="A342" s="31" t="s">
        <v>856</v>
      </c>
      <c r="B342" s="31" t="s">
        <v>383</v>
      </c>
      <c r="C342" s="31" t="s">
        <v>1418</v>
      </c>
      <c r="F342" s="39">
        <v>45451</v>
      </c>
      <c r="G342" s="51" t="str">
        <f t="shared" si="0"/>
        <v>2024</v>
      </c>
      <c r="H342" s="51" t="str">
        <f t="shared" si="1"/>
        <v>junio</v>
      </c>
      <c r="I342" s="8" t="s">
        <v>373</v>
      </c>
      <c r="J342" s="31" t="s">
        <v>1076</v>
      </c>
      <c r="K342" s="31" t="s">
        <v>357</v>
      </c>
    </row>
    <row r="343" spans="1:19" ht="13.2" hidden="1">
      <c r="A343" s="31" t="s">
        <v>1036</v>
      </c>
      <c r="F343" s="39">
        <v>45451</v>
      </c>
      <c r="G343" s="51" t="str">
        <f t="shared" si="0"/>
        <v>2024</v>
      </c>
      <c r="H343" s="51" t="str">
        <f t="shared" si="1"/>
        <v>junio</v>
      </c>
      <c r="I343" s="31" t="s">
        <v>373</v>
      </c>
      <c r="J343" s="31" t="s">
        <v>1076</v>
      </c>
      <c r="K343" s="31" t="s">
        <v>357</v>
      </c>
    </row>
    <row r="344" spans="1:19" ht="13.2" hidden="1">
      <c r="A344" s="31" t="s">
        <v>309</v>
      </c>
      <c r="B344" s="31" t="s">
        <v>362</v>
      </c>
      <c r="C344" s="31" t="s">
        <v>1419</v>
      </c>
      <c r="F344" s="39">
        <v>45451</v>
      </c>
      <c r="G344" s="51" t="str">
        <f t="shared" si="0"/>
        <v>2024</v>
      </c>
      <c r="H344" s="51" t="str">
        <f t="shared" si="1"/>
        <v>junio</v>
      </c>
      <c r="I344" s="8" t="s">
        <v>373</v>
      </c>
      <c r="J344" s="31" t="s">
        <v>1076</v>
      </c>
      <c r="K344" s="31" t="s">
        <v>357</v>
      </c>
    </row>
    <row r="345" spans="1:19" ht="13.2" hidden="1">
      <c r="A345" s="31" t="s">
        <v>276</v>
      </c>
      <c r="B345" s="31" t="s">
        <v>374</v>
      </c>
      <c r="C345" s="31" t="s">
        <v>1420</v>
      </c>
      <c r="F345" s="39">
        <v>45702</v>
      </c>
      <c r="G345" s="51" t="str">
        <f t="shared" si="0"/>
        <v>2025</v>
      </c>
      <c r="H345" s="51" t="str">
        <f t="shared" si="1"/>
        <v>febrero</v>
      </c>
      <c r="I345" s="31" t="s">
        <v>373</v>
      </c>
      <c r="J345" s="31" t="s">
        <v>1076</v>
      </c>
      <c r="K345" s="31" t="s">
        <v>357</v>
      </c>
      <c r="L345" s="131"/>
      <c r="M345" s="41"/>
      <c r="N345" s="41"/>
      <c r="O345" s="31"/>
      <c r="P345" s="31"/>
      <c r="Q345" s="41"/>
      <c r="R345" s="41"/>
      <c r="S345" s="40"/>
    </row>
    <row r="346" spans="1:19" ht="13.2" hidden="1">
      <c r="A346" s="31" t="s">
        <v>883</v>
      </c>
      <c r="B346" s="31" t="s">
        <v>549</v>
      </c>
      <c r="C346" s="31" t="s">
        <v>1421</v>
      </c>
      <c r="F346" s="39">
        <v>45475</v>
      </c>
      <c r="G346" s="51" t="str">
        <f t="shared" si="0"/>
        <v>2024</v>
      </c>
      <c r="H346" s="51" t="str">
        <f t="shared" si="1"/>
        <v>julio</v>
      </c>
      <c r="I346" s="8" t="s">
        <v>373</v>
      </c>
      <c r="J346" s="31" t="s">
        <v>1076</v>
      </c>
      <c r="K346" s="31" t="s">
        <v>357</v>
      </c>
      <c r="L346" s="131"/>
      <c r="M346" s="40"/>
      <c r="N346" s="40"/>
      <c r="P346" s="42"/>
      <c r="Q346" s="41"/>
      <c r="R346" s="41"/>
      <c r="S346" s="40"/>
    </row>
    <row r="347" spans="1:19" ht="13.2" hidden="1">
      <c r="A347" s="31" t="s">
        <v>151</v>
      </c>
      <c r="B347" s="31" t="s">
        <v>462</v>
      </c>
      <c r="C347" s="31" t="s">
        <v>1422</v>
      </c>
      <c r="F347" s="39">
        <v>45474</v>
      </c>
      <c r="G347" s="51" t="str">
        <f t="shared" si="0"/>
        <v>2024</v>
      </c>
      <c r="H347" s="51" t="str">
        <f t="shared" si="1"/>
        <v>julio</v>
      </c>
      <c r="I347" s="31" t="s">
        <v>373</v>
      </c>
      <c r="J347" s="31" t="s">
        <v>1076</v>
      </c>
      <c r="K347" s="31" t="s">
        <v>357</v>
      </c>
      <c r="L347" s="131"/>
      <c r="M347" s="40"/>
      <c r="N347" s="40"/>
    </row>
    <row r="348" spans="1:19" ht="13.2" hidden="1">
      <c r="A348" s="31" t="s">
        <v>552</v>
      </c>
      <c r="B348" s="31" t="s">
        <v>506</v>
      </c>
      <c r="C348" s="31" t="s">
        <v>1423</v>
      </c>
      <c r="F348" s="39">
        <v>45451</v>
      </c>
      <c r="G348" s="51" t="str">
        <f t="shared" si="0"/>
        <v>2024</v>
      </c>
      <c r="H348" s="51" t="str">
        <f t="shared" si="1"/>
        <v>junio</v>
      </c>
      <c r="I348" s="31" t="s">
        <v>373</v>
      </c>
      <c r="J348" s="31" t="s">
        <v>1076</v>
      </c>
      <c r="K348" s="31" t="s">
        <v>357</v>
      </c>
    </row>
    <row r="349" spans="1:19" ht="13.2" hidden="1">
      <c r="A349" s="31" t="s">
        <v>323</v>
      </c>
      <c r="B349" s="31" t="s">
        <v>553</v>
      </c>
      <c r="C349" s="31" t="s">
        <v>1424</v>
      </c>
      <c r="F349" s="39">
        <v>45462</v>
      </c>
      <c r="G349" s="51" t="str">
        <f t="shared" si="0"/>
        <v>2024</v>
      </c>
      <c r="H349" s="51" t="str">
        <f t="shared" si="1"/>
        <v>junio</v>
      </c>
      <c r="I349" s="8" t="s">
        <v>373</v>
      </c>
      <c r="J349" s="31" t="s">
        <v>1076</v>
      </c>
      <c r="K349" s="31" t="s">
        <v>357</v>
      </c>
      <c r="L349" s="131"/>
      <c r="M349" s="40"/>
      <c r="N349" s="40"/>
    </row>
    <row r="350" spans="1:19" ht="13.2" hidden="1">
      <c r="A350" s="31" t="s">
        <v>902</v>
      </c>
      <c r="B350" s="31" t="s">
        <v>383</v>
      </c>
      <c r="C350" s="31" t="s">
        <v>1425</v>
      </c>
      <c r="F350" s="39">
        <v>45451</v>
      </c>
      <c r="G350" s="51" t="str">
        <f t="shared" si="0"/>
        <v>2024</v>
      </c>
      <c r="H350" s="51" t="str">
        <f t="shared" si="1"/>
        <v>junio</v>
      </c>
      <c r="I350" s="8" t="s">
        <v>373</v>
      </c>
      <c r="J350" s="31" t="s">
        <v>1076</v>
      </c>
      <c r="K350" s="31" t="s">
        <v>357</v>
      </c>
    </row>
    <row r="351" spans="1:19" ht="13.2" hidden="1">
      <c r="A351" s="31" t="s">
        <v>423</v>
      </c>
      <c r="B351" s="31" t="s">
        <v>425</v>
      </c>
      <c r="C351" s="31" t="s">
        <v>1426</v>
      </c>
      <c r="F351" s="39">
        <v>45748</v>
      </c>
      <c r="G351" s="51" t="str">
        <f t="shared" si="0"/>
        <v>2025</v>
      </c>
      <c r="H351" s="51" t="str">
        <f t="shared" si="1"/>
        <v>abril</v>
      </c>
      <c r="I351" s="31" t="s">
        <v>373</v>
      </c>
      <c r="J351" s="31" t="s">
        <v>1076</v>
      </c>
      <c r="K351" s="31" t="s">
        <v>357</v>
      </c>
      <c r="L351" s="131"/>
      <c r="M351" s="41"/>
      <c r="N351" s="41"/>
      <c r="O351" s="31"/>
      <c r="P351" s="31"/>
      <c r="Q351" s="41"/>
      <c r="R351" s="41"/>
      <c r="S351" s="40"/>
    </row>
    <row r="352" spans="1:19" ht="13.2" hidden="1">
      <c r="A352" s="31" t="s">
        <v>771</v>
      </c>
      <c r="B352" s="31" t="s">
        <v>374</v>
      </c>
      <c r="C352" s="31" t="s">
        <v>1427</v>
      </c>
      <c r="F352" s="39">
        <v>45541</v>
      </c>
      <c r="G352" s="51" t="str">
        <f t="shared" si="0"/>
        <v>2024</v>
      </c>
      <c r="H352" s="51" t="str">
        <f t="shared" si="1"/>
        <v>septiembre</v>
      </c>
      <c r="I352" s="8" t="s">
        <v>373</v>
      </c>
      <c r="J352" s="31" t="s">
        <v>1076</v>
      </c>
      <c r="K352" s="31" t="s">
        <v>357</v>
      </c>
      <c r="L352" s="131"/>
      <c r="M352" s="41"/>
      <c r="N352" s="41"/>
      <c r="P352" s="42"/>
      <c r="Q352" s="41"/>
      <c r="R352" s="41"/>
      <c r="S352" s="40"/>
    </row>
    <row r="353" spans="1:19" ht="13.2" hidden="1">
      <c r="A353" s="31" t="s">
        <v>710</v>
      </c>
      <c r="B353" s="31" t="s">
        <v>711</v>
      </c>
      <c r="C353" s="31" t="s">
        <v>1428</v>
      </c>
      <c r="F353" s="39">
        <v>45653</v>
      </c>
      <c r="G353" s="51" t="str">
        <f t="shared" si="0"/>
        <v>2024</v>
      </c>
      <c r="H353" s="51" t="str">
        <f t="shared" si="1"/>
        <v>diciembre</v>
      </c>
      <c r="I353" s="31" t="s">
        <v>373</v>
      </c>
      <c r="J353" s="31" t="s">
        <v>1076</v>
      </c>
      <c r="K353" s="31" t="s">
        <v>357</v>
      </c>
      <c r="L353" s="131"/>
      <c r="M353" s="41"/>
      <c r="N353" s="41"/>
      <c r="O353" s="31"/>
      <c r="P353" s="31"/>
      <c r="Q353" s="41"/>
      <c r="R353" s="41"/>
      <c r="S353" s="40"/>
    </row>
    <row r="354" spans="1:19" ht="13.2" hidden="1">
      <c r="A354" s="31" t="s">
        <v>186</v>
      </c>
      <c r="B354" s="31" t="s">
        <v>465</v>
      </c>
      <c r="C354" s="31" t="s">
        <v>1429</v>
      </c>
      <c r="F354" s="39">
        <v>45724</v>
      </c>
      <c r="G354" s="51" t="str">
        <f t="shared" si="0"/>
        <v>2025</v>
      </c>
      <c r="H354" s="51" t="str">
        <f t="shared" si="1"/>
        <v>marzo</v>
      </c>
      <c r="I354" s="31" t="s">
        <v>373</v>
      </c>
      <c r="J354" s="31" t="s">
        <v>1076</v>
      </c>
      <c r="K354" s="31" t="s">
        <v>357</v>
      </c>
      <c r="L354" s="131"/>
      <c r="M354" s="41"/>
      <c r="N354" s="41"/>
      <c r="O354" s="31"/>
      <c r="P354" s="31"/>
      <c r="Q354" s="41"/>
      <c r="R354" s="41"/>
      <c r="S354" s="40"/>
    </row>
    <row r="355" spans="1:19" ht="13.2" hidden="1">
      <c r="A355" s="31" t="s">
        <v>229</v>
      </c>
      <c r="B355" s="31" t="s">
        <v>380</v>
      </c>
      <c r="C355" s="31" t="s">
        <v>1430</v>
      </c>
      <c r="F355" s="39">
        <v>45451</v>
      </c>
      <c r="G355" s="51" t="str">
        <f t="shared" si="0"/>
        <v>2024</v>
      </c>
      <c r="H355" s="51" t="str">
        <f t="shared" si="1"/>
        <v>junio</v>
      </c>
      <c r="I355" s="8" t="s">
        <v>361</v>
      </c>
      <c r="J355" s="31" t="s">
        <v>1131</v>
      </c>
      <c r="K355" s="31" t="s">
        <v>357</v>
      </c>
    </row>
    <row r="356" spans="1:19" ht="13.2" hidden="1">
      <c r="A356" s="31" t="s">
        <v>905</v>
      </c>
      <c r="B356" s="31" t="s">
        <v>1431</v>
      </c>
      <c r="F356" s="39">
        <v>45451</v>
      </c>
      <c r="G356" s="51" t="str">
        <f t="shared" si="0"/>
        <v>2024</v>
      </c>
      <c r="H356" s="51" t="str">
        <f t="shared" si="1"/>
        <v>junio</v>
      </c>
      <c r="I356" s="8" t="s">
        <v>356</v>
      </c>
      <c r="J356" s="31" t="s">
        <v>1076</v>
      </c>
      <c r="K356" s="31" t="s">
        <v>357</v>
      </c>
    </row>
    <row r="357" spans="1:19" ht="13.2" hidden="1">
      <c r="A357" s="31" t="s">
        <v>632</v>
      </c>
      <c r="B357" s="31" t="s">
        <v>633</v>
      </c>
      <c r="C357" s="31" t="s">
        <v>1432</v>
      </c>
      <c r="F357" s="39">
        <v>45798</v>
      </c>
      <c r="G357" s="51" t="str">
        <f t="shared" si="0"/>
        <v>2025</v>
      </c>
      <c r="H357" s="51" t="str">
        <f t="shared" si="1"/>
        <v>mayo</v>
      </c>
      <c r="I357" s="31" t="s">
        <v>373</v>
      </c>
      <c r="J357" s="31" t="s">
        <v>1076</v>
      </c>
      <c r="K357" s="31" t="s">
        <v>357</v>
      </c>
      <c r="L357" s="131"/>
      <c r="M357" s="41"/>
      <c r="N357" s="41"/>
      <c r="O357" s="31"/>
      <c r="P357" s="31"/>
      <c r="Q357" s="41"/>
      <c r="R357" s="41"/>
      <c r="S357" s="40"/>
    </row>
    <row r="358" spans="1:19" ht="13.2" hidden="1">
      <c r="A358" s="31" t="s">
        <v>887</v>
      </c>
      <c r="B358" s="31" t="s">
        <v>383</v>
      </c>
      <c r="C358" s="31" t="s">
        <v>1285</v>
      </c>
      <c r="F358" s="39">
        <v>45464</v>
      </c>
      <c r="G358" s="51" t="str">
        <f t="shared" si="0"/>
        <v>2024</v>
      </c>
      <c r="H358" s="51" t="str">
        <f t="shared" si="1"/>
        <v>junio</v>
      </c>
      <c r="I358" s="31" t="s">
        <v>373</v>
      </c>
      <c r="J358" s="31" t="s">
        <v>1076</v>
      </c>
      <c r="K358" s="31" t="s">
        <v>357</v>
      </c>
      <c r="L358" s="131"/>
      <c r="M358" s="40"/>
      <c r="N358" s="40"/>
    </row>
    <row r="359" spans="1:19" ht="13.2" hidden="1">
      <c r="A359" s="31" t="s">
        <v>196</v>
      </c>
      <c r="B359" s="31" t="s">
        <v>626</v>
      </c>
      <c r="C359" s="31" t="s">
        <v>1297</v>
      </c>
      <c r="F359" s="39">
        <v>45537</v>
      </c>
      <c r="G359" s="51" t="str">
        <f t="shared" si="0"/>
        <v>2024</v>
      </c>
      <c r="H359" s="51" t="str">
        <f t="shared" si="1"/>
        <v>septiembre</v>
      </c>
      <c r="I359" s="31" t="s">
        <v>373</v>
      </c>
      <c r="J359" s="31" t="s">
        <v>1076</v>
      </c>
      <c r="K359" s="31" t="s">
        <v>357</v>
      </c>
      <c r="L359" s="131"/>
      <c r="M359" s="41"/>
      <c r="N359" s="41"/>
      <c r="P359" s="42"/>
      <c r="Q359" s="41"/>
      <c r="R359" s="41"/>
      <c r="S359" s="40"/>
    </row>
    <row r="360" spans="1:19" ht="13.2" hidden="1">
      <c r="A360" s="31" t="s">
        <v>781</v>
      </c>
      <c r="B360" s="31" t="s">
        <v>527</v>
      </c>
      <c r="C360" s="31" t="s">
        <v>1433</v>
      </c>
      <c r="F360" s="39">
        <v>45669</v>
      </c>
      <c r="G360" s="51" t="str">
        <f t="shared" si="0"/>
        <v>2025</v>
      </c>
      <c r="H360" s="51" t="str">
        <f t="shared" si="1"/>
        <v>enero</v>
      </c>
      <c r="I360" s="31" t="s">
        <v>373</v>
      </c>
      <c r="J360" s="31" t="s">
        <v>1076</v>
      </c>
      <c r="K360" s="31" t="s">
        <v>357</v>
      </c>
      <c r="L360" s="131"/>
      <c r="M360" s="41"/>
      <c r="N360" s="41"/>
      <c r="O360" s="31"/>
      <c r="P360" s="31"/>
      <c r="Q360" s="41"/>
      <c r="R360" s="41"/>
      <c r="S360" s="40"/>
    </row>
    <row r="361" spans="1:19" ht="13.2" hidden="1">
      <c r="A361" s="31" t="s">
        <v>1037</v>
      </c>
      <c r="F361" s="39">
        <v>45451</v>
      </c>
      <c r="G361" s="51" t="str">
        <f t="shared" si="0"/>
        <v>2024</v>
      </c>
      <c r="H361" s="51" t="str">
        <f t="shared" si="1"/>
        <v>junio</v>
      </c>
      <c r="I361" s="31" t="s">
        <v>373</v>
      </c>
      <c r="J361" s="31" t="s">
        <v>1076</v>
      </c>
      <c r="K361" s="31" t="s">
        <v>357</v>
      </c>
    </row>
    <row r="362" spans="1:19" ht="13.2" hidden="1">
      <c r="A362" s="31" t="s">
        <v>245</v>
      </c>
      <c r="B362" s="31" t="s">
        <v>489</v>
      </c>
      <c r="C362" s="31" t="s">
        <v>1434</v>
      </c>
      <c r="F362" s="39">
        <v>45451</v>
      </c>
      <c r="G362" s="51" t="str">
        <f t="shared" si="0"/>
        <v>2024</v>
      </c>
      <c r="H362" s="51" t="str">
        <f t="shared" si="1"/>
        <v>junio</v>
      </c>
      <c r="I362" s="31" t="s">
        <v>373</v>
      </c>
      <c r="J362" s="31" t="s">
        <v>1076</v>
      </c>
      <c r="K362" s="31" t="s">
        <v>357</v>
      </c>
    </row>
    <row r="363" spans="1:19" ht="13.2" hidden="1">
      <c r="A363" s="31" t="s">
        <v>893</v>
      </c>
      <c r="B363" s="31" t="s">
        <v>374</v>
      </c>
      <c r="C363" s="31" t="s">
        <v>1435</v>
      </c>
      <c r="F363" s="39">
        <v>45451</v>
      </c>
      <c r="G363" s="51" t="str">
        <f t="shared" si="0"/>
        <v>2024</v>
      </c>
      <c r="H363" s="51" t="str">
        <f t="shared" si="1"/>
        <v>junio</v>
      </c>
      <c r="I363" s="8" t="s">
        <v>356</v>
      </c>
      <c r="J363" s="31" t="s">
        <v>1076</v>
      </c>
      <c r="K363" s="31" t="s">
        <v>357</v>
      </c>
    </row>
    <row r="364" spans="1:19" ht="13.2" hidden="1">
      <c r="A364" s="31" t="s">
        <v>836</v>
      </c>
      <c r="B364" s="31" t="s">
        <v>1436</v>
      </c>
      <c r="C364" s="31" t="s">
        <v>1437</v>
      </c>
      <c r="F364" s="39">
        <v>45451</v>
      </c>
      <c r="G364" s="51" t="str">
        <f t="shared" si="0"/>
        <v>2024</v>
      </c>
      <c r="H364" s="51" t="str">
        <f t="shared" si="1"/>
        <v>junio</v>
      </c>
      <c r="I364" s="8" t="s">
        <v>373</v>
      </c>
      <c r="J364" s="31" t="s">
        <v>1076</v>
      </c>
      <c r="K364" s="31" t="s">
        <v>357</v>
      </c>
    </row>
    <row r="365" spans="1:19" ht="13.2" hidden="1">
      <c r="A365" s="31" t="s">
        <v>146</v>
      </c>
      <c r="B365" s="31" t="s">
        <v>374</v>
      </c>
      <c r="C365" s="31" t="s">
        <v>1438</v>
      </c>
      <c r="F365" s="39">
        <v>45771</v>
      </c>
      <c r="G365" s="51" t="str">
        <f t="shared" si="0"/>
        <v>2025</v>
      </c>
      <c r="H365" s="51" t="str">
        <f t="shared" si="1"/>
        <v>abril</v>
      </c>
      <c r="I365" s="31" t="s">
        <v>373</v>
      </c>
      <c r="J365" s="31" t="s">
        <v>1076</v>
      </c>
      <c r="K365" s="31" t="s">
        <v>357</v>
      </c>
      <c r="L365" s="131"/>
      <c r="M365" s="41"/>
      <c r="N365" s="41"/>
      <c r="O365" s="31"/>
      <c r="P365" s="31"/>
      <c r="Q365" s="41"/>
      <c r="R365" s="41"/>
      <c r="S365" s="40"/>
    </row>
    <row r="366" spans="1:19" ht="13.2" hidden="1">
      <c r="A366" s="31" t="s">
        <v>84</v>
      </c>
      <c r="B366" s="31" t="s">
        <v>569</v>
      </c>
      <c r="C366" s="31" t="s">
        <v>1439</v>
      </c>
      <c r="F366" s="39">
        <v>45726</v>
      </c>
      <c r="G366" s="51" t="str">
        <f t="shared" si="0"/>
        <v>2025</v>
      </c>
      <c r="H366" s="51" t="str">
        <f t="shared" si="1"/>
        <v>marzo</v>
      </c>
      <c r="I366" s="31" t="s">
        <v>1108</v>
      </c>
      <c r="J366" s="31" t="s">
        <v>1076</v>
      </c>
      <c r="K366" s="31" t="s">
        <v>394</v>
      </c>
      <c r="L366" s="131" t="s">
        <v>1440</v>
      </c>
      <c r="M366" s="41" t="s">
        <v>1441</v>
      </c>
      <c r="N366" s="41"/>
      <c r="O366" s="31" t="s">
        <v>1442</v>
      </c>
      <c r="P366" s="31"/>
      <c r="Q366" s="41" t="s">
        <v>1443</v>
      </c>
      <c r="R366" s="41" t="s">
        <v>1444</v>
      </c>
      <c r="S366" s="40"/>
    </row>
    <row r="367" spans="1:19" ht="13.2" hidden="1">
      <c r="A367" s="31" t="s">
        <v>614</v>
      </c>
      <c r="B367" s="31" t="s">
        <v>615</v>
      </c>
      <c r="C367" s="31" t="s">
        <v>1445</v>
      </c>
      <c r="F367" s="39">
        <v>45451</v>
      </c>
      <c r="G367" s="51" t="str">
        <f t="shared" si="0"/>
        <v>2024</v>
      </c>
      <c r="H367" s="51" t="str">
        <f t="shared" si="1"/>
        <v>junio</v>
      </c>
      <c r="I367" s="8" t="s">
        <v>356</v>
      </c>
      <c r="J367" s="31" t="s">
        <v>1076</v>
      </c>
      <c r="K367" s="31" t="s">
        <v>357</v>
      </c>
    </row>
    <row r="368" spans="1:19" ht="13.2" hidden="1">
      <c r="A368" s="31" t="s">
        <v>714</v>
      </c>
      <c r="B368" s="31" t="s">
        <v>534</v>
      </c>
      <c r="C368" s="31" t="s">
        <v>1446</v>
      </c>
      <c r="F368" s="39">
        <v>45570</v>
      </c>
      <c r="G368" s="51" t="str">
        <f t="shared" si="0"/>
        <v>2024</v>
      </c>
      <c r="H368" s="51" t="str">
        <f t="shared" si="1"/>
        <v>octubre</v>
      </c>
      <c r="I368" s="31" t="s">
        <v>373</v>
      </c>
      <c r="J368" s="31" t="s">
        <v>1076</v>
      </c>
      <c r="K368" s="31" t="s">
        <v>357</v>
      </c>
      <c r="L368" s="131"/>
      <c r="M368" s="41"/>
      <c r="N368" s="41"/>
      <c r="O368" s="31"/>
      <c r="P368" s="31"/>
      <c r="Q368" s="41"/>
      <c r="R368" s="41"/>
      <c r="S368" s="40"/>
    </row>
    <row r="369" spans="1:19" ht="13.2" hidden="1">
      <c r="A369" s="31" t="s">
        <v>239</v>
      </c>
      <c r="B369" s="31" t="s">
        <v>655</v>
      </c>
      <c r="C369" s="31" t="s">
        <v>1447</v>
      </c>
      <c r="F369" s="39">
        <v>45728</v>
      </c>
      <c r="G369" s="51" t="str">
        <f t="shared" si="0"/>
        <v>2025</v>
      </c>
      <c r="H369" s="51" t="str">
        <f t="shared" si="1"/>
        <v>marzo</v>
      </c>
      <c r="I369" s="31" t="s">
        <v>373</v>
      </c>
      <c r="J369" s="31" t="s">
        <v>1076</v>
      </c>
      <c r="K369" s="31" t="s">
        <v>357</v>
      </c>
      <c r="L369" s="131"/>
      <c r="M369" s="41"/>
      <c r="N369" s="41"/>
      <c r="O369" s="31"/>
      <c r="P369" s="31"/>
      <c r="Q369" s="41"/>
      <c r="R369" s="41"/>
      <c r="S369" s="40"/>
    </row>
    <row r="370" spans="1:19" ht="13.2" hidden="1">
      <c r="A370" s="31" t="s">
        <v>753</v>
      </c>
      <c r="B370" s="31" t="s">
        <v>595</v>
      </c>
      <c r="C370" s="31" t="s">
        <v>1448</v>
      </c>
      <c r="F370" s="39">
        <v>45696</v>
      </c>
      <c r="G370" s="51" t="str">
        <f t="shared" si="0"/>
        <v>2025</v>
      </c>
      <c r="H370" s="51" t="str">
        <f t="shared" si="1"/>
        <v>febrero</v>
      </c>
      <c r="I370" s="31" t="s">
        <v>373</v>
      </c>
      <c r="J370" s="31" t="s">
        <v>1076</v>
      </c>
      <c r="K370" s="31" t="s">
        <v>357</v>
      </c>
      <c r="L370" s="131"/>
      <c r="M370" s="41"/>
      <c r="N370" s="41"/>
      <c r="O370" s="31"/>
      <c r="P370" s="31"/>
      <c r="Q370" s="41"/>
      <c r="R370" s="41"/>
      <c r="S370" s="40"/>
    </row>
    <row r="371" spans="1:19" ht="13.2" hidden="1">
      <c r="A371" s="31" t="s">
        <v>637</v>
      </c>
      <c r="B371" s="31" t="s">
        <v>462</v>
      </c>
      <c r="C371" s="31" t="s">
        <v>1449</v>
      </c>
      <c r="F371" s="39">
        <v>45451</v>
      </c>
      <c r="G371" s="51" t="str">
        <f t="shared" si="0"/>
        <v>2024</v>
      </c>
      <c r="H371" s="51" t="str">
        <f t="shared" si="1"/>
        <v>junio</v>
      </c>
      <c r="I371" s="31" t="s">
        <v>373</v>
      </c>
      <c r="J371" s="31" t="s">
        <v>1076</v>
      </c>
      <c r="K371" s="31" t="s">
        <v>357</v>
      </c>
    </row>
    <row r="372" spans="1:19" ht="13.2" hidden="1">
      <c r="A372" s="31" t="s">
        <v>890</v>
      </c>
      <c r="B372" s="31" t="s">
        <v>1450</v>
      </c>
      <c r="C372" s="31" t="s">
        <v>1451</v>
      </c>
      <c r="F372" s="39">
        <v>45451</v>
      </c>
      <c r="G372" s="51" t="str">
        <f t="shared" si="0"/>
        <v>2024</v>
      </c>
      <c r="H372" s="51" t="str">
        <f t="shared" si="1"/>
        <v>junio</v>
      </c>
      <c r="I372" s="31" t="s">
        <v>361</v>
      </c>
      <c r="J372" s="31" t="s">
        <v>1076</v>
      </c>
      <c r="K372" s="31" t="s">
        <v>357</v>
      </c>
    </row>
    <row r="373" spans="1:19" ht="13.2" hidden="1">
      <c r="A373" s="31" t="s">
        <v>1002</v>
      </c>
      <c r="F373" s="39">
        <v>45451</v>
      </c>
      <c r="G373" s="51" t="str">
        <f t="shared" si="0"/>
        <v>2024</v>
      </c>
      <c r="H373" s="51" t="str">
        <f t="shared" si="1"/>
        <v>junio</v>
      </c>
      <c r="I373" s="31" t="s">
        <v>373</v>
      </c>
      <c r="J373" s="31" t="s">
        <v>1076</v>
      </c>
      <c r="K373" s="31" t="s">
        <v>357</v>
      </c>
    </row>
    <row r="374" spans="1:19" ht="13.2" hidden="1">
      <c r="A374" s="31" t="s">
        <v>899</v>
      </c>
      <c r="B374" s="31" t="s">
        <v>358</v>
      </c>
      <c r="C374" s="31"/>
      <c r="F374" s="39">
        <v>45451</v>
      </c>
      <c r="G374" s="51" t="str">
        <f t="shared" si="0"/>
        <v>2024</v>
      </c>
      <c r="H374" s="51" t="str">
        <f t="shared" si="1"/>
        <v>junio</v>
      </c>
      <c r="I374" s="8" t="s">
        <v>373</v>
      </c>
      <c r="J374" s="31" t="s">
        <v>1076</v>
      </c>
      <c r="K374" s="31" t="s">
        <v>357</v>
      </c>
    </row>
    <row r="375" spans="1:19" ht="13.2" hidden="1">
      <c r="A375" s="31" t="s">
        <v>223</v>
      </c>
      <c r="B375" s="31" t="s">
        <v>538</v>
      </c>
      <c r="F375" s="39">
        <v>45451</v>
      </c>
      <c r="G375" s="51" t="str">
        <f t="shared" si="0"/>
        <v>2024</v>
      </c>
      <c r="H375" s="51" t="str">
        <f t="shared" si="1"/>
        <v>junio</v>
      </c>
      <c r="I375" s="8" t="s">
        <v>373</v>
      </c>
      <c r="J375" s="31" t="s">
        <v>1076</v>
      </c>
      <c r="K375" s="31" t="s">
        <v>357</v>
      </c>
    </row>
    <row r="376" spans="1:19" ht="13.2" hidden="1">
      <c r="A376" s="31" t="s">
        <v>122</v>
      </c>
      <c r="B376" s="31" t="s">
        <v>362</v>
      </c>
      <c r="F376" s="39">
        <v>45451</v>
      </c>
      <c r="G376" s="51" t="str">
        <f t="shared" si="0"/>
        <v>2024</v>
      </c>
      <c r="H376" s="51" t="str">
        <f t="shared" si="1"/>
        <v>junio</v>
      </c>
      <c r="I376" s="8" t="s">
        <v>361</v>
      </c>
      <c r="J376" s="31" t="s">
        <v>1131</v>
      </c>
      <c r="K376" s="31" t="s">
        <v>357</v>
      </c>
    </row>
    <row r="377" spans="1:19" ht="13.2" hidden="1">
      <c r="A377" s="31" t="s">
        <v>954</v>
      </c>
      <c r="B377" s="31" t="s">
        <v>538</v>
      </c>
      <c r="F377" s="39">
        <v>45451</v>
      </c>
      <c r="G377" s="51" t="str">
        <f t="shared" si="0"/>
        <v>2024</v>
      </c>
      <c r="H377" s="51" t="str">
        <f t="shared" si="1"/>
        <v>junio</v>
      </c>
      <c r="I377" s="8" t="s">
        <v>373</v>
      </c>
      <c r="J377" s="31" t="s">
        <v>1076</v>
      </c>
      <c r="K377" s="31" t="s">
        <v>357</v>
      </c>
    </row>
    <row r="378" spans="1:19" ht="13.2" hidden="1">
      <c r="A378" s="31" t="s">
        <v>268</v>
      </c>
      <c r="B378" s="31" t="s">
        <v>527</v>
      </c>
      <c r="C378" s="31" t="s">
        <v>1452</v>
      </c>
      <c r="F378" s="39">
        <v>45786</v>
      </c>
      <c r="G378" s="51" t="str">
        <f t="shared" si="0"/>
        <v>2025</v>
      </c>
      <c r="H378" s="51" t="str">
        <f t="shared" si="1"/>
        <v>mayo</v>
      </c>
      <c r="I378" s="31" t="s">
        <v>373</v>
      </c>
      <c r="J378" s="31" t="s">
        <v>1076</v>
      </c>
      <c r="K378" s="31" t="s">
        <v>357</v>
      </c>
      <c r="L378" s="131"/>
      <c r="M378" s="41"/>
      <c r="N378" s="41"/>
      <c r="O378" s="31"/>
      <c r="P378" s="31"/>
      <c r="Q378" s="41"/>
      <c r="R378" s="41"/>
      <c r="S378" s="40"/>
    </row>
    <row r="379" spans="1:19" ht="13.2" hidden="1">
      <c r="A379" s="31" t="s">
        <v>346</v>
      </c>
      <c r="B379" s="31" t="s">
        <v>522</v>
      </c>
      <c r="C379" s="31" t="s">
        <v>1453</v>
      </c>
      <c r="F379" s="39">
        <v>45451</v>
      </c>
      <c r="G379" s="51" t="str">
        <f t="shared" si="0"/>
        <v>2024</v>
      </c>
      <c r="H379" s="51" t="str">
        <f t="shared" si="1"/>
        <v>junio</v>
      </c>
      <c r="I379" s="8" t="s">
        <v>373</v>
      </c>
      <c r="J379" s="31" t="s">
        <v>1076</v>
      </c>
      <c r="K379" s="31" t="s">
        <v>357</v>
      </c>
    </row>
    <row r="380" spans="1:19" ht="13.2" hidden="1">
      <c r="A380" s="31" t="s">
        <v>871</v>
      </c>
      <c r="B380" s="31" t="s">
        <v>1454</v>
      </c>
      <c r="C380" s="31" t="s">
        <v>1454</v>
      </c>
      <c r="F380" s="39">
        <v>45491</v>
      </c>
      <c r="G380" s="51" t="str">
        <f t="shared" si="0"/>
        <v>2024</v>
      </c>
      <c r="H380" s="51" t="str">
        <f t="shared" si="1"/>
        <v>julio</v>
      </c>
      <c r="I380" s="8" t="s">
        <v>373</v>
      </c>
      <c r="J380" s="31" t="s">
        <v>1076</v>
      </c>
      <c r="K380" s="31" t="s">
        <v>357</v>
      </c>
      <c r="L380" s="131"/>
      <c r="M380" s="40"/>
      <c r="N380" s="40"/>
      <c r="P380" s="42"/>
      <c r="Q380" s="41"/>
      <c r="R380" s="41"/>
      <c r="S380" s="40"/>
    </row>
    <row r="381" spans="1:19" ht="13.2" hidden="1">
      <c r="A381" s="31" t="s">
        <v>746</v>
      </c>
      <c r="B381" s="31" t="s">
        <v>711</v>
      </c>
      <c r="C381" s="31" t="s">
        <v>1455</v>
      </c>
      <c r="F381" s="39">
        <v>45700</v>
      </c>
      <c r="G381" s="51" t="str">
        <f t="shared" si="0"/>
        <v>2025</v>
      </c>
      <c r="H381" s="51" t="str">
        <f t="shared" si="1"/>
        <v>febrero</v>
      </c>
      <c r="I381" s="31" t="s">
        <v>373</v>
      </c>
      <c r="J381" s="31" t="s">
        <v>1076</v>
      </c>
      <c r="K381" s="31" t="s">
        <v>357</v>
      </c>
      <c r="L381" s="131"/>
      <c r="M381" s="41"/>
      <c r="N381" s="41"/>
      <c r="O381" s="31"/>
      <c r="P381" s="31"/>
      <c r="Q381" s="41"/>
      <c r="R381" s="41"/>
      <c r="S381" s="40"/>
    </row>
    <row r="382" spans="1:19" ht="13.2" hidden="1">
      <c r="A382" s="31" t="s">
        <v>845</v>
      </c>
      <c r="B382" s="31" t="s">
        <v>374</v>
      </c>
      <c r="C382" s="31"/>
      <c r="F382" s="39">
        <v>45513</v>
      </c>
      <c r="G382" s="51" t="str">
        <f t="shared" si="0"/>
        <v>2024</v>
      </c>
      <c r="H382" s="51" t="str">
        <f t="shared" si="1"/>
        <v>agosto</v>
      </c>
      <c r="I382" s="8" t="s">
        <v>373</v>
      </c>
      <c r="J382" s="31" t="s">
        <v>1076</v>
      </c>
      <c r="K382" s="31" t="s">
        <v>357</v>
      </c>
      <c r="L382" s="131"/>
      <c r="M382" s="40"/>
      <c r="N382" s="40"/>
      <c r="P382" s="42"/>
      <c r="Q382" s="41"/>
      <c r="R382" s="41"/>
      <c r="S382" s="40"/>
    </row>
    <row r="383" spans="1:19" ht="13.2" hidden="1">
      <c r="A383" s="31" t="s">
        <v>941</v>
      </c>
      <c r="B383" s="31" t="s">
        <v>405</v>
      </c>
      <c r="F383" s="39">
        <v>45451</v>
      </c>
      <c r="G383" s="51" t="str">
        <f t="shared" si="0"/>
        <v>2024</v>
      </c>
      <c r="H383" s="51" t="str">
        <f t="shared" si="1"/>
        <v>junio</v>
      </c>
      <c r="I383" s="8" t="s">
        <v>373</v>
      </c>
      <c r="J383" s="31" t="s">
        <v>1076</v>
      </c>
      <c r="K383" s="31" t="s">
        <v>357</v>
      </c>
    </row>
    <row r="384" spans="1:19" ht="13.2" hidden="1">
      <c r="A384" s="31" t="s">
        <v>131</v>
      </c>
      <c r="B384" s="31" t="s">
        <v>383</v>
      </c>
      <c r="C384" s="31" t="s">
        <v>1456</v>
      </c>
      <c r="F384" s="39">
        <v>45467</v>
      </c>
      <c r="G384" s="51" t="str">
        <f t="shared" si="0"/>
        <v>2024</v>
      </c>
      <c r="H384" s="51" t="str">
        <f t="shared" si="1"/>
        <v>junio</v>
      </c>
      <c r="I384" s="31" t="s">
        <v>361</v>
      </c>
      <c r="J384" s="31" t="s">
        <v>1076</v>
      </c>
      <c r="K384" s="31" t="s">
        <v>357</v>
      </c>
      <c r="L384" s="131"/>
      <c r="M384" s="40"/>
      <c r="N384" s="40"/>
    </row>
    <row r="385" spans="1:19" ht="13.2" hidden="1">
      <c r="A385" s="31" t="s">
        <v>916</v>
      </c>
      <c r="B385" s="31" t="s">
        <v>1345</v>
      </c>
      <c r="C385" s="31"/>
      <c r="F385" s="39">
        <v>45451</v>
      </c>
      <c r="G385" s="51" t="str">
        <f t="shared" si="0"/>
        <v>2024</v>
      </c>
      <c r="H385" s="51" t="str">
        <f t="shared" si="1"/>
        <v>junio</v>
      </c>
      <c r="I385" s="8" t="s">
        <v>373</v>
      </c>
      <c r="J385" s="31" t="s">
        <v>1076</v>
      </c>
      <c r="K385" s="31" t="s">
        <v>357</v>
      </c>
    </row>
    <row r="386" spans="1:19" ht="13.2" hidden="1">
      <c r="A386" s="31" t="s">
        <v>1015</v>
      </c>
      <c r="B386" s="31" t="s">
        <v>405</v>
      </c>
      <c r="F386" s="39">
        <v>45451</v>
      </c>
      <c r="G386" s="51" t="str">
        <f t="shared" si="0"/>
        <v>2024</v>
      </c>
      <c r="H386" s="51" t="str">
        <f t="shared" si="1"/>
        <v>junio</v>
      </c>
      <c r="I386" s="31" t="s">
        <v>373</v>
      </c>
      <c r="J386" s="31" t="s">
        <v>1076</v>
      </c>
      <c r="K386" s="31" t="s">
        <v>357</v>
      </c>
    </row>
    <row r="387" spans="1:19" ht="13.2" hidden="1">
      <c r="A387" s="31" t="s">
        <v>806</v>
      </c>
      <c r="B387" s="31" t="s">
        <v>489</v>
      </c>
      <c r="C387" s="31"/>
      <c r="F387" s="39">
        <v>45451</v>
      </c>
      <c r="G387" s="51" t="str">
        <f t="shared" si="0"/>
        <v>2024</v>
      </c>
      <c r="H387" s="51" t="str">
        <f t="shared" si="1"/>
        <v>junio</v>
      </c>
      <c r="I387" s="8" t="s">
        <v>373</v>
      </c>
      <c r="J387" s="31" t="s">
        <v>1076</v>
      </c>
      <c r="K387" s="31" t="s">
        <v>357</v>
      </c>
    </row>
    <row r="388" spans="1:19" ht="13.2" hidden="1">
      <c r="A388" s="31" t="s">
        <v>113</v>
      </c>
      <c r="B388" s="31" t="s">
        <v>383</v>
      </c>
      <c r="C388" s="31" t="s">
        <v>1457</v>
      </c>
      <c r="F388" s="39">
        <v>45552</v>
      </c>
      <c r="G388" s="51" t="str">
        <f t="shared" si="0"/>
        <v>2024</v>
      </c>
      <c r="H388" s="51" t="str">
        <f t="shared" si="1"/>
        <v>septiembre</v>
      </c>
      <c r="I388" s="8" t="s">
        <v>373</v>
      </c>
      <c r="J388" s="31" t="s">
        <v>1076</v>
      </c>
      <c r="K388" s="31" t="s">
        <v>357</v>
      </c>
      <c r="L388" s="131"/>
      <c r="M388" s="41"/>
      <c r="N388" s="41"/>
      <c r="O388" s="31"/>
      <c r="P388" s="42"/>
      <c r="Q388" s="41"/>
      <c r="R388" s="41"/>
      <c r="S388" s="40"/>
    </row>
    <row r="389" spans="1:19" ht="13.2" hidden="1">
      <c r="A389" s="31" t="s">
        <v>144</v>
      </c>
      <c r="B389" s="31" t="s">
        <v>655</v>
      </c>
      <c r="C389" s="31" t="s">
        <v>1458</v>
      </c>
      <c r="F389" s="39">
        <v>45696</v>
      </c>
      <c r="G389" s="51" t="str">
        <f t="shared" si="0"/>
        <v>2025</v>
      </c>
      <c r="H389" s="51" t="str">
        <f t="shared" si="1"/>
        <v>febrero</v>
      </c>
      <c r="I389" s="31" t="s">
        <v>373</v>
      </c>
      <c r="J389" s="31" t="s">
        <v>1076</v>
      </c>
      <c r="K389" s="31" t="s">
        <v>357</v>
      </c>
      <c r="L389" s="131"/>
      <c r="M389" s="41"/>
      <c r="N389" s="41"/>
      <c r="O389" s="31"/>
      <c r="P389" s="31"/>
      <c r="Q389" s="41"/>
      <c r="R389" s="41"/>
      <c r="S389" s="40"/>
    </row>
    <row r="390" spans="1:19" ht="13.2" hidden="1">
      <c r="A390" s="31" t="s">
        <v>777</v>
      </c>
      <c r="B390" s="31" t="s">
        <v>489</v>
      </c>
      <c r="C390" s="31"/>
      <c r="F390" s="39">
        <v>45451</v>
      </c>
      <c r="G390" s="51" t="str">
        <f t="shared" si="0"/>
        <v>2024</v>
      </c>
      <c r="H390" s="51" t="str">
        <f t="shared" si="1"/>
        <v>junio</v>
      </c>
      <c r="I390" s="8" t="s">
        <v>373</v>
      </c>
      <c r="J390" s="31" t="s">
        <v>1076</v>
      </c>
      <c r="K390" s="31" t="s">
        <v>357</v>
      </c>
    </row>
    <row r="391" spans="1:19" ht="13.2" hidden="1">
      <c r="A391" s="31" t="s">
        <v>180</v>
      </c>
      <c r="B391" s="31" t="s">
        <v>367</v>
      </c>
      <c r="F391" s="39">
        <v>45451</v>
      </c>
      <c r="G391" s="51" t="str">
        <f t="shared" si="0"/>
        <v>2024</v>
      </c>
      <c r="H391" s="51" t="str">
        <f t="shared" si="1"/>
        <v>junio</v>
      </c>
      <c r="I391" s="31" t="s">
        <v>367</v>
      </c>
      <c r="J391" s="31" t="s">
        <v>1131</v>
      </c>
      <c r="K391" s="31" t="s">
        <v>357</v>
      </c>
    </row>
    <row r="392" spans="1:19" ht="13.2" hidden="1">
      <c r="A392" s="31" t="s">
        <v>1459</v>
      </c>
      <c r="B392" s="31" t="s">
        <v>1245</v>
      </c>
      <c r="F392" s="39">
        <v>45451</v>
      </c>
      <c r="G392" s="51" t="str">
        <f t="shared" si="0"/>
        <v>2024</v>
      </c>
      <c r="H392" s="51" t="str">
        <f t="shared" si="1"/>
        <v>junio</v>
      </c>
      <c r="I392" s="31" t="s">
        <v>373</v>
      </c>
      <c r="J392" s="31" t="s">
        <v>1076</v>
      </c>
      <c r="K392" s="31" t="s">
        <v>357</v>
      </c>
    </row>
    <row r="393" spans="1:19" ht="13.2" hidden="1">
      <c r="A393" s="31" t="s">
        <v>929</v>
      </c>
      <c r="B393" s="31" t="s">
        <v>1460</v>
      </c>
      <c r="C393" s="31" t="s">
        <v>1461</v>
      </c>
      <c r="F393" s="39">
        <v>45451</v>
      </c>
      <c r="G393" s="51" t="str">
        <f t="shared" si="0"/>
        <v>2024</v>
      </c>
      <c r="H393" s="51" t="str">
        <f t="shared" si="1"/>
        <v>junio</v>
      </c>
      <c r="I393" s="8" t="s">
        <v>373</v>
      </c>
      <c r="J393" s="31" t="s">
        <v>1076</v>
      </c>
      <c r="K393" s="31" t="s">
        <v>357</v>
      </c>
    </row>
    <row r="394" spans="1:19" ht="13.2" hidden="1">
      <c r="A394" s="31" t="s">
        <v>926</v>
      </c>
      <c r="B394" s="31" t="s">
        <v>374</v>
      </c>
      <c r="C394" s="31" t="s">
        <v>1462</v>
      </c>
      <c r="F394" s="39">
        <v>45451</v>
      </c>
      <c r="G394" s="51" t="str">
        <f t="shared" si="0"/>
        <v>2024</v>
      </c>
      <c r="H394" s="51" t="str">
        <f t="shared" si="1"/>
        <v>junio</v>
      </c>
      <c r="I394" s="8" t="s">
        <v>373</v>
      </c>
      <c r="J394" s="31" t="s">
        <v>1076</v>
      </c>
      <c r="K394" s="31" t="s">
        <v>357</v>
      </c>
    </row>
    <row r="395" spans="1:19" ht="13.2" hidden="1">
      <c r="A395" s="31" t="s">
        <v>301</v>
      </c>
      <c r="B395" s="31" t="s">
        <v>669</v>
      </c>
      <c r="C395" s="31" t="s">
        <v>1463</v>
      </c>
      <c r="F395" s="39">
        <v>45451</v>
      </c>
      <c r="G395" s="51" t="str">
        <f t="shared" si="0"/>
        <v>2024</v>
      </c>
      <c r="H395" s="51" t="str">
        <f t="shared" si="1"/>
        <v>junio</v>
      </c>
      <c r="I395" s="8" t="s">
        <v>356</v>
      </c>
      <c r="J395" s="31" t="s">
        <v>1076</v>
      </c>
      <c r="K395" s="31" t="s">
        <v>357</v>
      </c>
    </row>
    <row r="396" spans="1:19" ht="13.2" hidden="1">
      <c r="A396" s="31" t="s">
        <v>242</v>
      </c>
      <c r="B396" s="31" t="s">
        <v>613</v>
      </c>
      <c r="C396" s="31" t="s">
        <v>1464</v>
      </c>
      <c r="F396" s="39">
        <v>45506</v>
      </c>
      <c r="G396" s="51" t="str">
        <f t="shared" si="0"/>
        <v>2024</v>
      </c>
      <c r="H396" s="51" t="str">
        <f t="shared" si="1"/>
        <v>agosto</v>
      </c>
      <c r="I396" s="8" t="s">
        <v>373</v>
      </c>
      <c r="J396" s="31" t="s">
        <v>1076</v>
      </c>
      <c r="K396" s="31" t="s">
        <v>357</v>
      </c>
      <c r="L396" s="131"/>
      <c r="M396" s="40"/>
      <c r="N396" s="40"/>
      <c r="P396" s="42"/>
      <c r="Q396" s="41"/>
      <c r="R396" s="41"/>
      <c r="S396" s="40"/>
    </row>
    <row r="397" spans="1:19" ht="13.2" hidden="1">
      <c r="A397" s="31" t="s">
        <v>801</v>
      </c>
      <c r="B397" s="31" t="s">
        <v>1345</v>
      </c>
      <c r="F397" s="39">
        <v>45629</v>
      </c>
      <c r="G397" s="51" t="str">
        <f t="shared" si="0"/>
        <v>2024</v>
      </c>
      <c r="H397" s="51" t="str">
        <f t="shared" si="1"/>
        <v>diciembre</v>
      </c>
      <c r="I397" s="31" t="s">
        <v>373</v>
      </c>
      <c r="J397" s="31" t="s">
        <v>1076</v>
      </c>
      <c r="K397" s="31" t="s">
        <v>667</v>
      </c>
      <c r="L397" s="131"/>
      <c r="M397" s="41"/>
      <c r="N397" s="41"/>
      <c r="O397" s="31"/>
      <c r="P397" s="31"/>
      <c r="Q397" s="41"/>
      <c r="R397" s="41"/>
      <c r="S397" s="40"/>
    </row>
    <row r="398" spans="1:19" ht="13.2" hidden="1">
      <c r="A398" s="31" t="s">
        <v>936</v>
      </c>
      <c r="B398" s="31" t="s">
        <v>358</v>
      </c>
      <c r="C398" s="31" t="s">
        <v>1465</v>
      </c>
      <c r="F398" s="39">
        <v>45451</v>
      </c>
      <c r="G398" s="51" t="str">
        <f t="shared" si="0"/>
        <v>2024</v>
      </c>
      <c r="H398" s="51" t="str">
        <f t="shared" si="1"/>
        <v>junio</v>
      </c>
      <c r="I398" s="8" t="s">
        <v>373</v>
      </c>
      <c r="J398" s="31" t="s">
        <v>1076</v>
      </c>
      <c r="K398" s="31" t="s">
        <v>357</v>
      </c>
    </row>
    <row r="399" spans="1:19" ht="13.2" hidden="1">
      <c r="A399" s="31" t="s">
        <v>235</v>
      </c>
      <c r="B399" s="31" t="s">
        <v>367</v>
      </c>
      <c r="F399" s="39">
        <v>45451</v>
      </c>
      <c r="G399" s="51" t="str">
        <f t="shared" si="0"/>
        <v>2024</v>
      </c>
      <c r="H399" s="51" t="str">
        <f t="shared" si="1"/>
        <v>junio</v>
      </c>
      <c r="I399" s="31" t="s">
        <v>367</v>
      </c>
      <c r="J399" s="31" t="s">
        <v>1131</v>
      </c>
      <c r="K399" s="31" t="s">
        <v>357</v>
      </c>
    </row>
    <row r="400" spans="1:19" ht="13.2" hidden="1">
      <c r="A400" s="31" t="s">
        <v>231</v>
      </c>
      <c r="B400" s="31" t="s">
        <v>380</v>
      </c>
      <c r="C400" s="31" t="s">
        <v>1466</v>
      </c>
      <c r="F400" s="39">
        <v>45540</v>
      </c>
      <c r="G400" s="51" t="str">
        <f t="shared" si="0"/>
        <v>2024</v>
      </c>
      <c r="H400" s="51" t="str">
        <f t="shared" si="1"/>
        <v>septiembre</v>
      </c>
      <c r="I400" s="31" t="s">
        <v>373</v>
      </c>
      <c r="J400" s="31" t="s">
        <v>1076</v>
      </c>
      <c r="K400" s="31" t="s">
        <v>357</v>
      </c>
      <c r="L400" s="131"/>
      <c r="M400" s="41"/>
      <c r="N400" s="41"/>
      <c r="P400" s="42"/>
      <c r="Q400" s="41"/>
      <c r="R400" s="41"/>
      <c r="S400" s="40"/>
    </row>
    <row r="401" spans="1:19" ht="13.2" hidden="1">
      <c r="A401" s="31" t="s">
        <v>888</v>
      </c>
      <c r="B401" s="31" t="s">
        <v>405</v>
      </c>
      <c r="C401" s="31" t="s">
        <v>1467</v>
      </c>
      <c r="F401" s="39">
        <v>45451</v>
      </c>
      <c r="G401" s="51" t="str">
        <f t="shared" si="0"/>
        <v>2024</v>
      </c>
      <c r="H401" s="51" t="str">
        <f t="shared" si="1"/>
        <v>junio</v>
      </c>
      <c r="I401" s="8" t="s">
        <v>373</v>
      </c>
      <c r="J401" s="31" t="s">
        <v>1076</v>
      </c>
      <c r="K401" s="31" t="s">
        <v>357</v>
      </c>
    </row>
    <row r="402" spans="1:19" ht="13.2" hidden="1">
      <c r="A402" s="31" t="s">
        <v>766</v>
      </c>
      <c r="B402" s="31" t="s">
        <v>383</v>
      </c>
      <c r="C402" s="31" t="s">
        <v>1468</v>
      </c>
      <c r="F402" s="39">
        <v>45687</v>
      </c>
      <c r="G402" s="51" t="str">
        <f t="shared" si="0"/>
        <v>2025</v>
      </c>
      <c r="H402" s="51" t="str">
        <f t="shared" si="1"/>
        <v>enero</v>
      </c>
      <c r="I402" s="31" t="s">
        <v>373</v>
      </c>
      <c r="J402" s="31" t="s">
        <v>1076</v>
      </c>
      <c r="K402" s="31" t="s">
        <v>357</v>
      </c>
      <c r="L402" s="131"/>
      <c r="M402" s="41"/>
      <c r="N402" s="41"/>
      <c r="O402" s="31"/>
      <c r="P402" s="31"/>
      <c r="Q402" s="41"/>
      <c r="R402" s="41"/>
      <c r="S402" s="40"/>
    </row>
    <row r="403" spans="1:19" ht="13.2" hidden="1">
      <c r="A403" s="31" t="s">
        <v>735</v>
      </c>
      <c r="B403" s="31" t="s">
        <v>383</v>
      </c>
      <c r="C403" s="31" t="s">
        <v>1469</v>
      </c>
      <c r="F403" s="39">
        <v>45716</v>
      </c>
      <c r="G403" s="51" t="str">
        <f t="shared" si="0"/>
        <v>2025</v>
      </c>
      <c r="H403" s="51" t="str">
        <f t="shared" si="1"/>
        <v>febrero</v>
      </c>
      <c r="I403" s="31" t="s">
        <v>373</v>
      </c>
      <c r="J403" s="31" t="s">
        <v>1076</v>
      </c>
      <c r="K403" s="31" t="s">
        <v>357</v>
      </c>
      <c r="L403" s="131"/>
      <c r="M403" s="41"/>
      <c r="N403" s="41"/>
      <c r="O403" s="31"/>
      <c r="P403" s="31"/>
      <c r="Q403" s="41"/>
      <c r="R403" s="41"/>
      <c r="S403" s="40"/>
    </row>
    <row r="404" spans="1:19" ht="13.2" hidden="1">
      <c r="A404" s="31" t="s">
        <v>120</v>
      </c>
      <c r="B404" s="31" t="s">
        <v>383</v>
      </c>
      <c r="C404" s="31" t="s">
        <v>1470</v>
      </c>
      <c r="F404" s="39">
        <v>45451</v>
      </c>
      <c r="G404" s="51" t="str">
        <f t="shared" si="0"/>
        <v>2024</v>
      </c>
      <c r="H404" s="51" t="str">
        <f t="shared" si="1"/>
        <v>junio</v>
      </c>
      <c r="I404" s="8" t="s">
        <v>373</v>
      </c>
      <c r="J404" s="31" t="s">
        <v>1076</v>
      </c>
      <c r="K404" s="31" t="s">
        <v>357</v>
      </c>
    </row>
    <row r="405" spans="1:19" ht="13.2" hidden="1">
      <c r="A405" s="31" t="s">
        <v>789</v>
      </c>
      <c r="B405" s="31" t="s">
        <v>380</v>
      </c>
      <c r="C405" s="31" t="s">
        <v>1471</v>
      </c>
      <c r="F405" s="39">
        <v>45536</v>
      </c>
      <c r="G405" s="51" t="str">
        <f t="shared" si="0"/>
        <v>2024</v>
      </c>
      <c r="H405" s="51" t="str">
        <f t="shared" si="1"/>
        <v>septiembre</v>
      </c>
      <c r="I405" s="31" t="s">
        <v>373</v>
      </c>
      <c r="J405" s="31" t="s">
        <v>1076</v>
      </c>
      <c r="K405" s="31" t="s">
        <v>357</v>
      </c>
      <c r="L405" s="131"/>
      <c r="M405" s="41"/>
      <c r="N405" s="41"/>
      <c r="P405" s="42"/>
      <c r="Q405" s="41"/>
      <c r="R405" s="41"/>
      <c r="S405" s="40"/>
    </row>
    <row r="406" spans="1:19" ht="13.2" hidden="1">
      <c r="A406" s="31" t="s">
        <v>787</v>
      </c>
      <c r="B406" s="31" t="s">
        <v>1472</v>
      </c>
      <c r="C406" s="31" t="s">
        <v>1473</v>
      </c>
      <c r="F406" s="39">
        <v>45652</v>
      </c>
      <c r="G406" s="51" t="str">
        <f t="shared" si="0"/>
        <v>2024</v>
      </c>
      <c r="H406" s="51" t="str">
        <f t="shared" si="1"/>
        <v>diciembre</v>
      </c>
      <c r="I406" s="31" t="s">
        <v>373</v>
      </c>
      <c r="J406" s="31" t="s">
        <v>1076</v>
      </c>
      <c r="K406" s="31" t="s">
        <v>357</v>
      </c>
      <c r="L406" s="131"/>
      <c r="M406" s="41"/>
      <c r="N406" s="41"/>
      <c r="O406" s="31"/>
      <c r="P406" s="31"/>
      <c r="Q406" s="41"/>
      <c r="R406" s="41"/>
      <c r="S406" s="40"/>
    </row>
    <row r="407" spans="1:19" ht="13.2" hidden="1">
      <c r="A407" s="31" t="s">
        <v>225</v>
      </c>
      <c r="B407" s="31" t="s">
        <v>549</v>
      </c>
      <c r="C407" s="31" t="s">
        <v>1474</v>
      </c>
      <c r="F407" s="39">
        <v>45541</v>
      </c>
      <c r="G407" s="51" t="str">
        <f t="shared" si="0"/>
        <v>2024</v>
      </c>
      <c r="H407" s="51" t="str">
        <f t="shared" si="1"/>
        <v>septiembre</v>
      </c>
      <c r="I407" s="8" t="s">
        <v>373</v>
      </c>
      <c r="J407" s="31" t="s">
        <v>1076</v>
      </c>
      <c r="K407" s="31" t="s">
        <v>357</v>
      </c>
      <c r="L407" s="131"/>
      <c r="M407" s="41"/>
      <c r="N407" s="41"/>
      <c r="P407" s="42"/>
      <c r="Q407" s="41"/>
      <c r="R407" s="41"/>
      <c r="S407" s="40"/>
    </row>
    <row r="408" spans="1:19" ht="13.2" hidden="1">
      <c r="A408" s="31" t="s">
        <v>872</v>
      </c>
      <c r="B408" s="31" t="s">
        <v>1475</v>
      </c>
      <c r="C408" s="31"/>
      <c r="F408" s="39">
        <v>45451</v>
      </c>
      <c r="G408" s="51" t="str">
        <f t="shared" si="0"/>
        <v>2024</v>
      </c>
      <c r="H408" s="51" t="str">
        <f t="shared" si="1"/>
        <v>junio</v>
      </c>
      <c r="I408" s="8" t="s">
        <v>373</v>
      </c>
      <c r="J408" s="31" t="s">
        <v>1076</v>
      </c>
      <c r="K408" s="31" t="s">
        <v>357</v>
      </c>
    </row>
    <row r="409" spans="1:19" ht="13.2" hidden="1">
      <c r="A409" s="31" t="s">
        <v>108</v>
      </c>
      <c r="B409" s="31" t="s">
        <v>362</v>
      </c>
      <c r="C409" s="31" t="s">
        <v>1476</v>
      </c>
      <c r="F409" s="39">
        <v>45451</v>
      </c>
      <c r="G409" s="51" t="str">
        <f t="shared" si="0"/>
        <v>2024</v>
      </c>
      <c r="H409" s="51" t="str">
        <f t="shared" si="1"/>
        <v>junio</v>
      </c>
      <c r="I409" s="31" t="s">
        <v>361</v>
      </c>
      <c r="J409" s="31" t="s">
        <v>1131</v>
      </c>
      <c r="K409" s="31" t="s">
        <v>357</v>
      </c>
    </row>
    <row r="410" spans="1:19" ht="13.2" hidden="1">
      <c r="A410" s="31" t="s">
        <v>285</v>
      </c>
      <c r="B410" s="31" t="s">
        <v>367</v>
      </c>
      <c r="F410" s="39">
        <v>45451</v>
      </c>
      <c r="G410" s="51" t="str">
        <f t="shared" si="0"/>
        <v>2024</v>
      </c>
      <c r="H410" s="51" t="str">
        <f t="shared" si="1"/>
        <v>junio</v>
      </c>
      <c r="I410" s="31" t="s">
        <v>367</v>
      </c>
      <c r="J410" s="31" t="s">
        <v>1131</v>
      </c>
      <c r="K410" s="31" t="s">
        <v>357</v>
      </c>
    </row>
    <row r="411" spans="1:19" ht="13.2" hidden="1">
      <c r="A411" s="31" t="s">
        <v>1477</v>
      </c>
      <c r="B411" s="31" t="s">
        <v>509</v>
      </c>
      <c r="C411" s="31" t="s">
        <v>1478</v>
      </c>
      <c r="F411" s="39">
        <v>45489</v>
      </c>
      <c r="G411" s="51" t="str">
        <f t="shared" si="0"/>
        <v>2024</v>
      </c>
      <c r="H411" s="51" t="str">
        <f t="shared" si="1"/>
        <v>julio</v>
      </c>
      <c r="I411" s="31" t="s">
        <v>361</v>
      </c>
      <c r="J411" s="31" t="s">
        <v>1076</v>
      </c>
      <c r="K411" s="31" t="s">
        <v>394</v>
      </c>
      <c r="L411" s="131" t="s">
        <v>1479</v>
      </c>
      <c r="M411" s="41" t="s">
        <v>1480</v>
      </c>
      <c r="N411" s="41" t="s">
        <v>1481</v>
      </c>
      <c r="O411" s="31" t="s">
        <v>1482</v>
      </c>
      <c r="P411" s="42"/>
      <c r="Q411" s="41" t="s">
        <v>1043</v>
      </c>
      <c r="R411" s="44">
        <v>0.3</v>
      </c>
      <c r="S411" s="40"/>
    </row>
    <row r="412" spans="1:19" ht="13.2" hidden="1">
      <c r="A412" s="31" t="s">
        <v>1483</v>
      </c>
      <c r="B412" s="31" t="s">
        <v>383</v>
      </c>
      <c r="C412" s="31" t="s">
        <v>1484</v>
      </c>
      <c r="F412" s="39">
        <v>45451</v>
      </c>
      <c r="G412" s="51" t="str">
        <f t="shared" si="0"/>
        <v>2024</v>
      </c>
      <c r="H412" s="51" t="str">
        <f t="shared" si="1"/>
        <v>junio</v>
      </c>
      <c r="I412" s="8" t="s">
        <v>373</v>
      </c>
      <c r="J412" s="31" t="s">
        <v>1076</v>
      </c>
      <c r="K412" s="31" t="s">
        <v>357</v>
      </c>
    </row>
    <row r="413" spans="1:19" ht="13.2" hidden="1">
      <c r="A413" s="31" t="s">
        <v>116</v>
      </c>
      <c r="C413" s="31" t="s">
        <v>1484</v>
      </c>
      <c r="F413" s="39">
        <v>45451</v>
      </c>
      <c r="G413" s="51" t="str">
        <f t="shared" si="0"/>
        <v>2024</v>
      </c>
      <c r="H413" s="51" t="str">
        <f t="shared" si="1"/>
        <v>junio</v>
      </c>
      <c r="I413" s="31" t="s">
        <v>373</v>
      </c>
      <c r="J413" s="31" t="s">
        <v>1076</v>
      </c>
      <c r="K413" s="31" t="s">
        <v>357</v>
      </c>
    </row>
    <row r="414" spans="1:19" ht="13.2" hidden="1">
      <c r="A414" s="31" t="s">
        <v>178</v>
      </c>
      <c r="B414" s="31" t="s">
        <v>374</v>
      </c>
      <c r="C414" s="31" t="s">
        <v>1485</v>
      </c>
      <c r="F414" s="39">
        <v>45491</v>
      </c>
      <c r="G414" s="51" t="str">
        <f t="shared" si="0"/>
        <v>2024</v>
      </c>
      <c r="H414" s="51" t="str">
        <f t="shared" si="1"/>
        <v>julio</v>
      </c>
      <c r="I414" s="8" t="s">
        <v>373</v>
      </c>
      <c r="J414" s="31" t="s">
        <v>1076</v>
      </c>
      <c r="K414" s="31" t="s">
        <v>357</v>
      </c>
      <c r="L414" s="131"/>
      <c r="M414" s="40"/>
      <c r="N414" s="40"/>
      <c r="P414" s="42"/>
      <c r="Q414" s="41"/>
      <c r="R414" s="41"/>
      <c r="S414" s="40"/>
    </row>
    <row r="415" spans="1:19" ht="13.2" hidden="1">
      <c r="A415" s="31" t="s">
        <v>158</v>
      </c>
      <c r="B415" s="31" t="s">
        <v>509</v>
      </c>
      <c r="C415" s="31" t="s">
        <v>1478</v>
      </c>
      <c r="F415" s="39">
        <v>45489</v>
      </c>
      <c r="G415" s="51" t="str">
        <f t="shared" si="0"/>
        <v>2024</v>
      </c>
      <c r="H415" s="51" t="str">
        <f t="shared" si="1"/>
        <v>julio</v>
      </c>
      <c r="I415" s="31" t="s">
        <v>361</v>
      </c>
      <c r="J415" s="31" t="s">
        <v>1076</v>
      </c>
      <c r="K415" s="31" t="s">
        <v>394</v>
      </c>
      <c r="L415" s="131" t="s">
        <v>1479</v>
      </c>
      <c r="M415" s="41" t="s">
        <v>1480</v>
      </c>
      <c r="N415" s="41" t="s">
        <v>1481</v>
      </c>
      <c r="O415" s="31" t="s">
        <v>1482</v>
      </c>
      <c r="P415" s="42"/>
      <c r="Q415" s="41" t="s">
        <v>1043</v>
      </c>
      <c r="R415" s="44">
        <v>0.3</v>
      </c>
      <c r="S415" s="40"/>
    </row>
    <row r="416" spans="1:19" ht="13.2" hidden="1">
      <c r="A416" s="31" t="s">
        <v>609</v>
      </c>
      <c r="B416" s="31" t="s">
        <v>534</v>
      </c>
      <c r="C416" s="31" t="s">
        <v>1486</v>
      </c>
      <c r="F416" s="39">
        <v>45722</v>
      </c>
      <c r="G416" s="51" t="str">
        <f t="shared" si="0"/>
        <v>2025</v>
      </c>
      <c r="H416" s="51" t="str">
        <f t="shared" si="1"/>
        <v>marzo</v>
      </c>
      <c r="I416" s="31" t="s">
        <v>373</v>
      </c>
      <c r="J416" s="31" t="s">
        <v>1076</v>
      </c>
      <c r="K416" s="31" t="s">
        <v>357</v>
      </c>
      <c r="L416" s="131"/>
      <c r="M416" s="41"/>
      <c r="N416" s="41"/>
      <c r="O416" s="31"/>
      <c r="P416" s="31"/>
      <c r="Q416" s="41"/>
      <c r="R416" s="41"/>
      <c r="S416" s="40"/>
    </row>
    <row r="417" spans="1:19" ht="13.2" hidden="1">
      <c r="A417" s="31" t="s">
        <v>918</v>
      </c>
      <c r="B417" s="31" t="s">
        <v>1475</v>
      </c>
      <c r="C417" s="31"/>
      <c r="F417" s="39">
        <v>45451</v>
      </c>
      <c r="G417" s="51" t="str">
        <f t="shared" si="0"/>
        <v>2024</v>
      </c>
      <c r="H417" s="51" t="str">
        <f t="shared" si="1"/>
        <v>junio</v>
      </c>
      <c r="I417" s="8" t="s">
        <v>373</v>
      </c>
      <c r="J417" s="31" t="s">
        <v>1076</v>
      </c>
      <c r="K417" s="31" t="s">
        <v>357</v>
      </c>
    </row>
    <row r="418" spans="1:19" ht="13.2" hidden="1">
      <c r="A418" s="31" t="s">
        <v>104</v>
      </c>
      <c r="B418" s="31" t="s">
        <v>383</v>
      </c>
      <c r="C418" s="31" t="s">
        <v>1487</v>
      </c>
      <c r="F418" s="39">
        <v>45604</v>
      </c>
      <c r="G418" s="51" t="str">
        <f t="shared" si="0"/>
        <v>2024</v>
      </c>
      <c r="H418" s="51" t="str">
        <f t="shared" si="1"/>
        <v>noviembre</v>
      </c>
      <c r="I418" s="31" t="s">
        <v>373</v>
      </c>
      <c r="J418" s="31" t="s">
        <v>1076</v>
      </c>
      <c r="K418" s="31" t="s">
        <v>357</v>
      </c>
      <c r="L418" s="131"/>
      <c r="M418" s="41"/>
      <c r="N418" s="41"/>
      <c r="O418" s="31"/>
      <c r="P418" s="31"/>
      <c r="Q418" s="41"/>
      <c r="R418" s="41"/>
      <c r="S418" s="40"/>
    </row>
    <row r="419" spans="1:19" ht="13.2" hidden="1">
      <c r="A419" s="31" t="s">
        <v>829</v>
      </c>
      <c r="B419" s="31" t="s">
        <v>1245</v>
      </c>
      <c r="F419" s="39">
        <v>45451</v>
      </c>
      <c r="G419" s="51" t="str">
        <f t="shared" si="0"/>
        <v>2024</v>
      </c>
      <c r="H419" s="51" t="str">
        <f t="shared" si="1"/>
        <v>junio</v>
      </c>
      <c r="I419" s="31" t="s">
        <v>373</v>
      </c>
      <c r="J419" s="31" t="s">
        <v>1076</v>
      </c>
      <c r="K419" s="31" t="s">
        <v>357</v>
      </c>
    </row>
    <row r="420" spans="1:19" ht="13.2" hidden="1">
      <c r="A420" s="31" t="s">
        <v>507</v>
      </c>
      <c r="B420" s="31" t="s">
        <v>383</v>
      </c>
      <c r="C420" s="31" t="s">
        <v>1488</v>
      </c>
      <c r="F420" s="39">
        <v>45452</v>
      </c>
      <c r="G420" s="51" t="str">
        <f t="shared" si="0"/>
        <v>2024</v>
      </c>
      <c r="H420" s="51" t="str">
        <f t="shared" si="1"/>
        <v>junio</v>
      </c>
      <c r="I420" s="31" t="s">
        <v>373</v>
      </c>
      <c r="J420" s="31" t="s">
        <v>1076</v>
      </c>
      <c r="K420" s="31" t="s">
        <v>357</v>
      </c>
      <c r="L420" s="131"/>
      <c r="M420" s="40"/>
      <c r="N420" s="40"/>
    </row>
    <row r="421" spans="1:19" ht="13.2" hidden="1">
      <c r="A421" s="31" t="s">
        <v>659</v>
      </c>
      <c r="B421" s="31" t="s">
        <v>383</v>
      </c>
      <c r="C421" s="31" t="s">
        <v>1484</v>
      </c>
      <c r="F421" s="39">
        <v>45451</v>
      </c>
      <c r="G421" s="51" t="str">
        <f t="shared" si="0"/>
        <v>2024</v>
      </c>
      <c r="H421" s="51" t="str">
        <f t="shared" si="1"/>
        <v>junio</v>
      </c>
      <c r="I421" s="8" t="s">
        <v>356</v>
      </c>
      <c r="J421" s="31" t="s">
        <v>1076</v>
      </c>
      <c r="K421" s="31" t="s">
        <v>357</v>
      </c>
    </row>
    <row r="422" spans="1:19" ht="13.2" hidden="1">
      <c r="A422" s="31" t="s">
        <v>847</v>
      </c>
      <c r="B422" s="31" t="s">
        <v>461</v>
      </c>
      <c r="C422" s="31" t="s">
        <v>1489</v>
      </c>
      <c r="F422" s="39">
        <v>45509</v>
      </c>
      <c r="G422" s="51" t="str">
        <f t="shared" si="0"/>
        <v>2024</v>
      </c>
      <c r="H422" s="51" t="str">
        <f t="shared" si="1"/>
        <v>agosto</v>
      </c>
      <c r="I422" s="8" t="s">
        <v>373</v>
      </c>
      <c r="J422" s="31" t="s">
        <v>1076</v>
      </c>
      <c r="K422" s="31" t="s">
        <v>357</v>
      </c>
      <c r="L422" s="131"/>
      <c r="M422" s="40"/>
      <c r="N422" s="40"/>
      <c r="P422" s="42"/>
      <c r="Q422" s="41"/>
      <c r="R422" s="41"/>
      <c r="S422" s="40"/>
    </row>
    <row r="423" spans="1:19" ht="13.2" hidden="1">
      <c r="A423" s="31" t="s">
        <v>817</v>
      </c>
      <c r="B423" s="31" t="s">
        <v>1490</v>
      </c>
      <c r="C423" s="31"/>
      <c r="F423" s="39">
        <v>45554</v>
      </c>
      <c r="G423" s="51" t="str">
        <f t="shared" si="0"/>
        <v>2024</v>
      </c>
      <c r="H423" s="51" t="str">
        <f t="shared" si="1"/>
        <v>septiembre</v>
      </c>
      <c r="I423" s="8" t="s">
        <v>373</v>
      </c>
      <c r="J423" s="31" t="s">
        <v>1076</v>
      </c>
      <c r="K423" s="31" t="s">
        <v>357</v>
      </c>
      <c r="L423" s="131"/>
      <c r="M423" s="41"/>
      <c r="N423" s="41"/>
      <c r="O423" s="31"/>
      <c r="P423" s="42"/>
      <c r="Q423" s="41"/>
      <c r="R423" s="41"/>
      <c r="S423" s="40"/>
    </row>
    <row r="424" spans="1:19" ht="13.2" hidden="1">
      <c r="A424" s="31" t="s">
        <v>1032</v>
      </c>
      <c r="F424" s="39">
        <v>45451</v>
      </c>
      <c r="G424" s="51" t="str">
        <f t="shared" si="0"/>
        <v>2024</v>
      </c>
      <c r="H424" s="51" t="str">
        <f t="shared" si="1"/>
        <v>junio</v>
      </c>
      <c r="I424" s="31" t="s">
        <v>373</v>
      </c>
      <c r="J424" s="31" t="s">
        <v>1076</v>
      </c>
      <c r="K424" s="31" t="s">
        <v>357</v>
      </c>
    </row>
    <row r="425" spans="1:19" ht="13.2" hidden="1">
      <c r="A425" s="31" t="s">
        <v>679</v>
      </c>
      <c r="B425" s="31" t="s">
        <v>509</v>
      </c>
      <c r="C425" s="31" t="s">
        <v>1478</v>
      </c>
      <c r="F425" s="39">
        <v>45489</v>
      </c>
      <c r="G425" s="51" t="str">
        <f t="shared" si="0"/>
        <v>2024</v>
      </c>
      <c r="H425" s="51" t="str">
        <f t="shared" si="1"/>
        <v>julio</v>
      </c>
      <c r="I425" s="31" t="s">
        <v>361</v>
      </c>
      <c r="J425" s="31" t="s">
        <v>1076</v>
      </c>
      <c r="K425" s="31" t="s">
        <v>357</v>
      </c>
      <c r="L425" s="131" t="s">
        <v>1479</v>
      </c>
      <c r="M425" s="41" t="s">
        <v>1480</v>
      </c>
      <c r="N425" s="41" t="s">
        <v>1481</v>
      </c>
      <c r="O425" s="31" t="s">
        <v>1482</v>
      </c>
      <c r="P425" s="42"/>
      <c r="Q425" s="41" t="s">
        <v>6</v>
      </c>
      <c r="R425" s="41">
        <f>R422/(100%-R424)</f>
        <v>0</v>
      </c>
      <c r="S425" s="40">
        <f>R425*19%</f>
        <v>0</v>
      </c>
    </row>
    <row r="426" spans="1:19" ht="13.2" hidden="1">
      <c r="A426" s="31" t="s">
        <v>971</v>
      </c>
      <c r="B426" s="31" t="s">
        <v>367</v>
      </c>
      <c r="F426" s="39">
        <v>45451</v>
      </c>
      <c r="G426" s="51" t="str">
        <f t="shared" si="0"/>
        <v>2024</v>
      </c>
      <c r="H426" s="51" t="str">
        <f t="shared" si="1"/>
        <v>junio</v>
      </c>
      <c r="I426" s="31" t="s">
        <v>367</v>
      </c>
      <c r="J426" s="31" t="s">
        <v>1131</v>
      </c>
      <c r="K426" s="31" t="s">
        <v>357</v>
      </c>
    </row>
    <row r="427" spans="1:19" ht="13.2" hidden="1">
      <c r="A427" s="31" t="s">
        <v>93</v>
      </c>
      <c r="B427" s="31" t="s">
        <v>686</v>
      </c>
      <c r="F427" s="39">
        <v>45451</v>
      </c>
      <c r="G427" s="51" t="str">
        <f t="shared" si="0"/>
        <v>2024</v>
      </c>
      <c r="H427" s="51" t="str">
        <f t="shared" si="1"/>
        <v>junio</v>
      </c>
      <c r="I427" s="31" t="s">
        <v>373</v>
      </c>
      <c r="J427" s="31" t="s">
        <v>1076</v>
      </c>
      <c r="K427" s="31" t="s">
        <v>357</v>
      </c>
    </row>
    <row r="428" spans="1:19" ht="13.2" hidden="1">
      <c r="A428" s="31" t="s">
        <v>846</v>
      </c>
      <c r="B428" s="31" t="s">
        <v>534</v>
      </c>
      <c r="C428" s="31" t="s">
        <v>1491</v>
      </c>
      <c r="F428" s="39">
        <v>45512</v>
      </c>
      <c r="G428" s="51" t="str">
        <f t="shared" si="0"/>
        <v>2024</v>
      </c>
      <c r="H428" s="51" t="str">
        <f t="shared" si="1"/>
        <v>agosto</v>
      </c>
      <c r="I428" s="8" t="s">
        <v>373</v>
      </c>
      <c r="J428" s="31" t="s">
        <v>1076</v>
      </c>
      <c r="K428" s="31" t="s">
        <v>357</v>
      </c>
      <c r="L428" s="131"/>
      <c r="M428" s="40"/>
      <c r="N428" s="40"/>
      <c r="P428" s="42"/>
      <c r="Q428" s="41"/>
      <c r="R428" s="41"/>
      <c r="S428" s="40"/>
    </row>
    <row r="429" spans="1:19" ht="13.2" hidden="1">
      <c r="A429" s="31" t="s">
        <v>238</v>
      </c>
      <c r="B429" s="31" t="s">
        <v>533</v>
      </c>
      <c r="C429" s="31" t="s">
        <v>1492</v>
      </c>
      <c r="F429" s="39">
        <v>45506</v>
      </c>
      <c r="G429" s="51" t="str">
        <f t="shared" si="0"/>
        <v>2024</v>
      </c>
      <c r="H429" s="51" t="str">
        <f t="shared" si="1"/>
        <v>agosto</v>
      </c>
      <c r="I429" s="8" t="s">
        <v>373</v>
      </c>
      <c r="J429" s="31" t="s">
        <v>1076</v>
      </c>
      <c r="K429" s="31" t="s">
        <v>357</v>
      </c>
      <c r="L429" s="131"/>
      <c r="M429" s="41"/>
      <c r="N429" s="40"/>
      <c r="P429" s="42"/>
      <c r="Q429" s="41"/>
      <c r="R429" s="41"/>
      <c r="S429" s="40"/>
    </row>
    <row r="430" spans="1:19" ht="13.2" hidden="1">
      <c r="A430" s="31" t="s">
        <v>739</v>
      </c>
      <c r="B430" s="31" t="s">
        <v>640</v>
      </c>
      <c r="C430" s="31" t="s">
        <v>1493</v>
      </c>
      <c r="F430" s="39">
        <v>45639</v>
      </c>
      <c r="G430" s="51" t="str">
        <f t="shared" si="0"/>
        <v>2024</v>
      </c>
      <c r="H430" s="51" t="str">
        <f t="shared" si="1"/>
        <v>diciembre</v>
      </c>
      <c r="I430" s="8" t="s">
        <v>373</v>
      </c>
      <c r="J430" s="31" t="s">
        <v>1076</v>
      </c>
      <c r="K430" s="31" t="s">
        <v>357</v>
      </c>
      <c r="L430" s="131"/>
      <c r="M430" s="40"/>
      <c r="N430" s="40"/>
      <c r="P430" s="42"/>
      <c r="Q430" s="41"/>
      <c r="R430" s="41"/>
      <c r="S430" s="40"/>
    </row>
    <row r="431" spans="1:19" ht="13.2" hidden="1">
      <c r="A431" s="31" t="s">
        <v>750</v>
      </c>
      <c r="B431" s="31" t="s">
        <v>465</v>
      </c>
      <c r="C431" s="31" t="s">
        <v>1494</v>
      </c>
      <c r="F431" s="39">
        <v>45698</v>
      </c>
      <c r="G431" s="51" t="str">
        <f t="shared" si="0"/>
        <v>2025</v>
      </c>
      <c r="H431" s="51" t="str">
        <f t="shared" si="1"/>
        <v>febrero</v>
      </c>
      <c r="I431" s="31" t="s">
        <v>373</v>
      </c>
      <c r="J431" s="31" t="s">
        <v>1076</v>
      </c>
      <c r="K431" s="31" t="s">
        <v>357</v>
      </c>
      <c r="L431" s="131"/>
      <c r="M431" s="41"/>
      <c r="N431" s="41"/>
      <c r="O431" s="31"/>
      <c r="P431" s="31"/>
      <c r="Q431" s="41"/>
      <c r="R431" s="41"/>
      <c r="S431" s="40"/>
    </row>
    <row r="432" spans="1:19" ht="13.2" hidden="1">
      <c r="A432" s="31" t="s">
        <v>340</v>
      </c>
      <c r="B432" s="31" t="s">
        <v>380</v>
      </c>
      <c r="C432" s="31" t="s">
        <v>1495</v>
      </c>
      <c r="F432" s="39">
        <v>45451</v>
      </c>
      <c r="G432" s="51" t="str">
        <f t="shared" si="0"/>
        <v>2024</v>
      </c>
      <c r="H432" s="51" t="str">
        <f t="shared" si="1"/>
        <v>junio</v>
      </c>
      <c r="I432" s="8" t="s">
        <v>373</v>
      </c>
      <c r="J432" s="31" t="s">
        <v>1076</v>
      </c>
      <c r="K432" s="31" t="s">
        <v>357</v>
      </c>
    </row>
    <row r="433" spans="1:19" ht="13.2" hidden="1">
      <c r="A433" s="31" t="s">
        <v>792</v>
      </c>
      <c r="B433" s="31" t="s">
        <v>500</v>
      </c>
      <c r="C433" s="31" t="s">
        <v>1496</v>
      </c>
      <c r="F433" s="39">
        <v>45540</v>
      </c>
      <c r="G433" s="51" t="str">
        <f t="shared" si="0"/>
        <v>2024</v>
      </c>
      <c r="H433" s="51" t="str">
        <f t="shared" si="1"/>
        <v>septiembre</v>
      </c>
      <c r="I433" s="8" t="s">
        <v>373</v>
      </c>
      <c r="J433" s="31" t="s">
        <v>1076</v>
      </c>
      <c r="K433" s="31" t="s">
        <v>357</v>
      </c>
      <c r="L433" s="131"/>
      <c r="M433" s="41"/>
      <c r="N433" s="41"/>
      <c r="P433" s="42"/>
      <c r="Q433" s="41"/>
      <c r="R433" s="41"/>
      <c r="S433" s="40"/>
    </row>
    <row r="434" spans="1:19" ht="13.2" hidden="1">
      <c r="A434" s="31" t="s">
        <v>742</v>
      </c>
      <c r="B434" s="31" t="s">
        <v>374</v>
      </c>
      <c r="C434" s="31" t="s">
        <v>1497</v>
      </c>
      <c r="F434" s="39">
        <v>45705</v>
      </c>
      <c r="G434" s="51" t="str">
        <f t="shared" si="0"/>
        <v>2025</v>
      </c>
      <c r="H434" s="51" t="str">
        <f t="shared" si="1"/>
        <v>febrero</v>
      </c>
      <c r="I434" s="31" t="s">
        <v>373</v>
      </c>
      <c r="J434" s="31" t="s">
        <v>1076</v>
      </c>
      <c r="K434" s="31" t="s">
        <v>357</v>
      </c>
      <c r="L434" s="131"/>
      <c r="M434" s="41"/>
      <c r="N434" s="41"/>
      <c r="O434" s="31"/>
      <c r="P434" s="31"/>
      <c r="Q434" s="41"/>
      <c r="R434" s="41"/>
      <c r="S434" s="40"/>
    </row>
    <row r="435" spans="1:19" ht="13.2" hidden="1">
      <c r="A435" s="31" t="s">
        <v>942</v>
      </c>
      <c r="B435" s="31" t="s">
        <v>380</v>
      </c>
      <c r="F435" s="39">
        <v>45451</v>
      </c>
      <c r="G435" s="51" t="str">
        <f t="shared" si="0"/>
        <v>2024</v>
      </c>
      <c r="H435" s="51" t="str">
        <f t="shared" si="1"/>
        <v>junio</v>
      </c>
      <c r="I435" s="8" t="s">
        <v>373</v>
      </c>
      <c r="J435" s="31" t="s">
        <v>1076</v>
      </c>
      <c r="K435" s="31" t="s">
        <v>357</v>
      </c>
    </row>
    <row r="436" spans="1:19" ht="13.2" hidden="1">
      <c r="A436" s="31" t="s">
        <v>1018</v>
      </c>
      <c r="F436" s="39">
        <v>45451</v>
      </c>
      <c r="G436" s="51" t="str">
        <f t="shared" si="0"/>
        <v>2024</v>
      </c>
      <c r="H436" s="51" t="str">
        <f t="shared" si="1"/>
        <v>junio</v>
      </c>
      <c r="I436" s="31" t="s">
        <v>373</v>
      </c>
      <c r="J436" s="31" t="s">
        <v>1076</v>
      </c>
      <c r="K436" s="31" t="s">
        <v>357</v>
      </c>
    </row>
    <row r="437" spans="1:19" ht="13.2" hidden="1">
      <c r="A437" s="31" t="s">
        <v>824</v>
      </c>
      <c r="B437" s="31" t="s">
        <v>1498</v>
      </c>
      <c r="C437" s="31" t="s">
        <v>1499</v>
      </c>
      <c r="F437" s="39">
        <v>45547</v>
      </c>
      <c r="G437" s="51" t="str">
        <f t="shared" si="0"/>
        <v>2024</v>
      </c>
      <c r="H437" s="51" t="str">
        <f t="shared" si="1"/>
        <v>septiembre</v>
      </c>
      <c r="I437" s="8" t="s">
        <v>373</v>
      </c>
      <c r="J437" s="31" t="s">
        <v>1076</v>
      </c>
      <c r="K437" s="31" t="s">
        <v>357</v>
      </c>
      <c r="L437" s="131"/>
      <c r="M437" s="41"/>
      <c r="N437" s="41"/>
      <c r="P437" s="42"/>
      <c r="Q437" s="41"/>
      <c r="R437" s="41"/>
      <c r="S437" s="40"/>
    </row>
    <row r="438" spans="1:19" ht="13.2" hidden="1">
      <c r="A438" s="31" t="s">
        <v>352</v>
      </c>
      <c r="B438" s="31" t="s">
        <v>489</v>
      </c>
      <c r="C438" s="31" t="s">
        <v>1500</v>
      </c>
      <c r="F438" s="39">
        <v>45451</v>
      </c>
      <c r="G438" s="51" t="str">
        <f t="shared" si="0"/>
        <v>2024</v>
      </c>
      <c r="H438" s="51" t="str">
        <f t="shared" si="1"/>
        <v>junio</v>
      </c>
      <c r="I438" s="8" t="s">
        <v>361</v>
      </c>
      <c r="J438" s="31" t="s">
        <v>1131</v>
      </c>
      <c r="K438" s="31" t="s">
        <v>357</v>
      </c>
    </row>
    <row r="439" spans="1:19" ht="13.2" hidden="1">
      <c r="A439" s="31" t="s">
        <v>677</v>
      </c>
      <c r="B439" s="31" t="s">
        <v>678</v>
      </c>
      <c r="C439" s="31" t="s">
        <v>1501</v>
      </c>
      <c r="F439" s="39">
        <v>45767</v>
      </c>
      <c r="G439" s="51" t="str">
        <f t="shared" si="0"/>
        <v>2025</v>
      </c>
      <c r="H439" s="51" t="str">
        <f t="shared" si="1"/>
        <v>abril</v>
      </c>
      <c r="I439" s="31" t="s">
        <v>373</v>
      </c>
      <c r="J439" s="31" t="s">
        <v>1076</v>
      </c>
      <c r="K439" s="31" t="s">
        <v>357</v>
      </c>
      <c r="L439" s="131"/>
      <c r="M439" s="41"/>
      <c r="N439" s="41"/>
      <c r="O439" s="31"/>
      <c r="P439" s="31"/>
      <c r="Q439" s="41"/>
      <c r="R439" s="41"/>
      <c r="S439" s="40"/>
    </row>
    <row r="440" spans="1:19" ht="13.2" hidden="1">
      <c r="A440" s="31" t="s">
        <v>79</v>
      </c>
      <c r="B440" s="31" t="s">
        <v>383</v>
      </c>
      <c r="C440" s="31" t="s">
        <v>1309</v>
      </c>
      <c r="F440" s="39">
        <v>45451</v>
      </c>
      <c r="G440" s="51" t="str">
        <f t="shared" si="0"/>
        <v>2024</v>
      </c>
      <c r="H440" s="51" t="str">
        <f t="shared" si="1"/>
        <v>junio</v>
      </c>
      <c r="I440" s="31" t="s">
        <v>373</v>
      </c>
      <c r="J440" s="31" t="s">
        <v>1076</v>
      </c>
      <c r="K440" s="31" t="s">
        <v>357</v>
      </c>
    </row>
    <row r="441" spans="1:19" ht="13.2" hidden="1">
      <c r="A441" s="31" t="s">
        <v>774</v>
      </c>
      <c r="B441" s="31" t="s">
        <v>380</v>
      </c>
      <c r="C441" s="31" t="s">
        <v>1502</v>
      </c>
      <c r="F441" s="39">
        <v>45451</v>
      </c>
      <c r="G441" s="51" t="str">
        <f t="shared" si="0"/>
        <v>2024</v>
      </c>
      <c r="H441" s="51" t="str">
        <f t="shared" si="1"/>
        <v>junio</v>
      </c>
      <c r="I441" s="8" t="s">
        <v>373</v>
      </c>
      <c r="J441" s="31" t="s">
        <v>1076</v>
      </c>
      <c r="K441" s="31" t="s">
        <v>357</v>
      </c>
    </row>
    <row r="442" spans="1:19" ht="13.2" hidden="1">
      <c r="A442" s="31" t="s">
        <v>639</v>
      </c>
      <c r="B442" s="31" t="s">
        <v>640</v>
      </c>
      <c r="C442" s="31" t="s">
        <v>1503</v>
      </c>
      <c r="F442" s="39">
        <v>45797</v>
      </c>
      <c r="G442" s="51" t="str">
        <f t="shared" si="0"/>
        <v>2025</v>
      </c>
      <c r="H442" s="51" t="str">
        <f t="shared" si="1"/>
        <v>mayo</v>
      </c>
      <c r="I442" s="31" t="s">
        <v>373</v>
      </c>
      <c r="J442" s="31" t="s">
        <v>1076</v>
      </c>
      <c r="K442" s="31" t="s">
        <v>357</v>
      </c>
      <c r="L442" s="131"/>
      <c r="M442" s="41"/>
      <c r="N442" s="41"/>
      <c r="O442" s="31"/>
      <c r="P442" s="31"/>
      <c r="Q442" s="41"/>
      <c r="R442" s="41"/>
      <c r="S442" s="40"/>
    </row>
    <row r="443" spans="1:19" ht="13.2" hidden="1">
      <c r="A443" s="31" t="s">
        <v>982</v>
      </c>
      <c r="B443" s="31" t="s">
        <v>489</v>
      </c>
      <c r="F443" s="39">
        <v>45451</v>
      </c>
      <c r="G443" s="51" t="str">
        <f t="shared" si="0"/>
        <v>2024</v>
      </c>
      <c r="H443" s="51" t="str">
        <f t="shared" si="1"/>
        <v>junio</v>
      </c>
      <c r="I443" s="31" t="s">
        <v>373</v>
      </c>
      <c r="J443" s="31" t="s">
        <v>1076</v>
      </c>
      <c r="K443" s="31" t="s">
        <v>357</v>
      </c>
    </row>
    <row r="444" spans="1:19" ht="13.2" hidden="1">
      <c r="A444" s="31" t="s">
        <v>228</v>
      </c>
      <c r="B444" s="31" t="s">
        <v>1260</v>
      </c>
      <c r="C444" s="31" t="s">
        <v>1504</v>
      </c>
      <c r="F444" s="39">
        <v>45589</v>
      </c>
      <c r="G444" s="51" t="str">
        <f t="shared" si="0"/>
        <v>2024</v>
      </c>
      <c r="H444" s="51" t="str">
        <f t="shared" si="1"/>
        <v>octubre</v>
      </c>
      <c r="I444" s="31" t="s">
        <v>373</v>
      </c>
      <c r="J444" s="31" t="s">
        <v>1076</v>
      </c>
      <c r="K444" s="31" t="s">
        <v>357</v>
      </c>
      <c r="L444" s="131"/>
      <c r="M444" s="41"/>
      <c r="N444" s="41"/>
      <c r="O444" s="31"/>
      <c r="P444" s="31"/>
      <c r="Q444" s="41"/>
      <c r="R444" s="41"/>
      <c r="S444" s="40"/>
    </row>
    <row r="445" spans="1:19" ht="13.2" hidden="1">
      <c r="A445" s="31" t="s">
        <v>310</v>
      </c>
      <c r="B445" s="31" t="s">
        <v>367</v>
      </c>
      <c r="F445" s="39">
        <v>45451</v>
      </c>
      <c r="G445" s="51" t="str">
        <f t="shared" si="0"/>
        <v>2024</v>
      </c>
      <c r="H445" s="51" t="str">
        <f t="shared" si="1"/>
        <v>junio</v>
      </c>
      <c r="I445" s="31" t="s">
        <v>367</v>
      </c>
      <c r="J445" s="31" t="s">
        <v>1131</v>
      </c>
      <c r="K445" s="31" t="s">
        <v>357</v>
      </c>
    </row>
    <row r="446" spans="1:19" ht="13.2" hidden="1">
      <c r="A446" s="31" t="s">
        <v>282</v>
      </c>
      <c r="B446" s="31" t="s">
        <v>383</v>
      </c>
      <c r="C446" s="31" t="s">
        <v>1505</v>
      </c>
      <c r="F446" s="39">
        <v>45451</v>
      </c>
      <c r="G446" s="51" t="str">
        <f t="shared" si="0"/>
        <v>2024</v>
      </c>
      <c r="H446" s="51" t="str">
        <f t="shared" si="1"/>
        <v>junio</v>
      </c>
      <c r="I446" s="8" t="s">
        <v>373</v>
      </c>
      <c r="J446" s="31" t="s">
        <v>1076</v>
      </c>
      <c r="K446" s="31" t="s">
        <v>357</v>
      </c>
    </row>
    <row r="447" spans="1:19" ht="13.2" hidden="1">
      <c r="A447" s="31" t="s">
        <v>466</v>
      </c>
      <c r="B447" s="31" t="s">
        <v>467</v>
      </c>
      <c r="C447" s="31" t="s">
        <v>1506</v>
      </c>
      <c r="F447" s="39">
        <v>45451</v>
      </c>
      <c r="G447" s="51" t="str">
        <f t="shared" si="0"/>
        <v>2024</v>
      </c>
      <c r="H447" s="51" t="str">
        <f t="shared" si="1"/>
        <v>junio</v>
      </c>
      <c r="I447" s="8" t="s">
        <v>373</v>
      </c>
      <c r="J447" s="31" t="s">
        <v>1076</v>
      </c>
      <c r="K447" s="31" t="s">
        <v>357</v>
      </c>
    </row>
    <row r="448" spans="1:19" ht="13.2" hidden="1">
      <c r="A448" s="31" t="s">
        <v>125</v>
      </c>
      <c r="B448" s="31" t="s">
        <v>362</v>
      </c>
      <c r="C448" s="31" t="s">
        <v>1507</v>
      </c>
      <c r="F448" s="39">
        <v>45451</v>
      </c>
      <c r="G448" s="51" t="str">
        <f t="shared" si="0"/>
        <v>2024</v>
      </c>
      <c r="H448" s="51" t="str">
        <f t="shared" si="1"/>
        <v>junio</v>
      </c>
      <c r="I448" s="31" t="s">
        <v>361</v>
      </c>
      <c r="J448" s="31" t="s">
        <v>1131</v>
      </c>
      <c r="K448" s="31" t="s">
        <v>357</v>
      </c>
    </row>
    <row r="449" spans="1:19" ht="13.2" hidden="1">
      <c r="A449" s="31" t="s">
        <v>1017</v>
      </c>
      <c r="F449" s="39">
        <v>45451</v>
      </c>
      <c r="G449" s="51" t="str">
        <f t="shared" si="0"/>
        <v>2024</v>
      </c>
      <c r="H449" s="51" t="str">
        <f t="shared" si="1"/>
        <v>junio</v>
      </c>
      <c r="I449" s="31" t="s">
        <v>373</v>
      </c>
      <c r="J449" s="31" t="s">
        <v>1076</v>
      </c>
      <c r="K449" s="31" t="s">
        <v>357</v>
      </c>
    </row>
    <row r="450" spans="1:19" ht="13.2" hidden="1">
      <c r="A450" s="31" t="s">
        <v>660</v>
      </c>
      <c r="B450" s="31" t="s">
        <v>380</v>
      </c>
      <c r="C450" s="31" t="s">
        <v>1508</v>
      </c>
      <c r="F450" s="39">
        <v>45451</v>
      </c>
      <c r="G450" s="51" t="str">
        <f t="shared" si="0"/>
        <v>2024</v>
      </c>
      <c r="H450" s="51" t="str">
        <f t="shared" si="1"/>
        <v>junio</v>
      </c>
      <c r="I450" s="8" t="s">
        <v>373</v>
      </c>
      <c r="J450" s="31" t="s">
        <v>1076</v>
      </c>
      <c r="K450" s="31" t="s">
        <v>357</v>
      </c>
    </row>
    <row r="451" spans="1:19" ht="13.2" hidden="1">
      <c r="A451" s="31" t="s">
        <v>288</v>
      </c>
      <c r="B451" s="31" t="s">
        <v>465</v>
      </c>
      <c r="C451" s="31" t="s">
        <v>1509</v>
      </c>
      <c r="F451" s="39">
        <v>45777</v>
      </c>
      <c r="G451" s="51" t="str">
        <f t="shared" si="0"/>
        <v>2025</v>
      </c>
      <c r="H451" s="51" t="str">
        <f t="shared" si="1"/>
        <v>abril</v>
      </c>
      <c r="I451" s="31" t="s">
        <v>373</v>
      </c>
      <c r="J451" s="31" t="s">
        <v>1076</v>
      </c>
      <c r="K451" s="31" t="s">
        <v>357</v>
      </c>
      <c r="L451" s="131"/>
      <c r="M451" s="41"/>
      <c r="N451" s="41"/>
      <c r="O451" s="31"/>
      <c r="P451" s="31"/>
      <c r="Q451" s="41"/>
      <c r="R451" s="41"/>
      <c r="S451" s="40"/>
    </row>
    <row r="452" spans="1:19" ht="13.2" hidden="1">
      <c r="A452" s="31" t="s">
        <v>634</v>
      </c>
      <c r="B452" s="31" t="s">
        <v>405</v>
      </c>
      <c r="F452" s="39">
        <v>45451</v>
      </c>
      <c r="G452" s="51" t="str">
        <f t="shared" si="0"/>
        <v>2024</v>
      </c>
      <c r="H452" s="51" t="str">
        <f t="shared" si="1"/>
        <v>junio</v>
      </c>
      <c r="I452" s="8" t="s">
        <v>361</v>
      </c>
      <c r="J452" s="31" t="s">
        <v>1131</v>
      </c>
      <c r="K452" s="31" t="s">
        <v>357</v>
      </c>
    </row>
    <row r="453" spans="1:19" ht="13.2" hidden="1">
      <c r="A453" s="31" t="s">
        <v>80</v>
      </c>
      <c r="B453" s="31" t="s">
        <v>362</v>
      </c>
      <c r="C453" s="31" t="s">
        <v>1510</v>
      </c>
      <c r="F453" s="39">
        <v>45451</v>
      </c>
      <c r="G453" s="51" t="str">
        <f t="shared" si="0"/>
        <v>2024</v>
      </c>
      <c r="H453" s="51" t="str">
        <f t="shared" si="1"/>
        <v>junio</v>
      </c>
      <c r="I453" s="31" t="s">
        <v>361</v>
      </c>
      <c r="J453" s="31" t="s">
        <v>1131</v>
      </c>
      <c r="K453" s="31" t="s">
        <v>357</v>
      </c>
    </row>
    <row r="454" spans="1:19" ht="13.2" hidden="1">
      <c r="A454" s="31" t="s">
        <v>651</v>
      </c>
      <c r="B454" s="31" t="s">
        <v>383</v>
      </c>
      <c r="C454" s="31" t="s">
        <v>1511</v>
      </c>
      <c r="F454" s="39">
        <v>45451</v>
      </c>
      <c r="G454" s="51" t="str">
        <f t="shared" si="0"/>
        <v>2024</v>
      </c>
      <c r="H454" s="51" t="str">
        <f t="shared" si="1"/>
        <v>junio</v>
      </c>
      <c r="I454" s="8" t="s">
        <v>361</v>
      </c>
      <c r="J454" s="31" t="s">
        <v>1131</v>
      </c>
      <c r="K454" s="31" t="s">
        <v>357</v>
      </c>
    </row>
    <row r="455" spans="1:19" ht="13.2" hidden="1">
      <c r="A455" s="31" t="s">
        <v>671</v>
      </c>
      <c r="B455" s="31" t="s">
        <v>534</v>
      </c>
      <c r="C455" s="31" t="s">
        <v>1512</v>
      </c>
      <c r="F455" s="39">
        <v>45772</v>
      </c>
      <c r="G455" s="51" t="str">
        <f t="shared" si="0"/>
        <v>2025</v>
      </c>
      <c r="H455" s="51" t="str">
        <f t="shared" si="1"/>
        <v>abril</v>
      </c>
      <c r="I455" s="31" t="s">
        <v>373</v>
      </c>
      <c r="J455" s="31" t="s">
        <v>1076</v>
      </c>
      <c r="K455" s="31" t="s">
        <v>357</v>
      </c>
      <c r="L455" s="131"/>
      <c r="M455" s="41"/>
      <c r="N455" s="41"/>
      <c r="O455" s="31"/>
      <c r="P455" s="31"/>
      <c r="Q455" s="41"/>
      <c r="R455" s="41"/>
      <c r="S455" s="40"/>
    </row>
    <row r="456" spans="1:19" ht="13.2" hidden="1">
      <c r="A456" s="31" t="s">
        <v>851</v>
      </c>
      <c r="B456" s="31" t="s">
        <v>698</v>
      </c>
      <c r="C456" s="31" t="s">
        <v>1513</v>
      </c>
      <c r="F456" s="39">
        <v>45451</v>
      </c>
      <c r="G456" s="51" t="str">
        <f t="shared" si="0"/>
        <v>2024</v>
      </c>
      <c r="H456" s="51" t="str">
        <f t="shared" si="1"/>
        <v>junio</v>
      </c>
      <c r="I456" s="8" t="s">
        <v>356</v>
      </c>
      <c r="J456" s="31" t="s">
        <v>1076</v>
      </c>
      <c r="K456" s="31" t="s">
        <v>357</v>
      </c>
    </row>
    <row r="457" spans="1:19" ht="13.2" hidden="1">
      <c r="A457" s="31" t="s">
        <v>731</v>
      </c>
      <c r="B457" s="31" t="s">
        <v>534</v>
      </c>
      <c r="C457" s="31" t="s">
        <v>1514</v>
      </c>
      <c r="F457" s="39">
        <v>45723</v>
      </c>
      <c r="G457" s="51" t="str">
        <f t="shared" si="0"/>
        <v>2025</v>
      </c>
      <c r="H457" s="51" t="str">
        <f t="shared" si="1"/>
        <v>marzo</v>
      </c>
      <c r="I457" s="31" t="s">
        <v>373</v>
      </c>
      <c r="J457" s="31" t="s">
        <v>1076</v>
      </c>
      <c r="K457" s="31" t="s">
        <v>357</v>
      </c>
      <c r="L457" s="131"/>
      <c r="M457" s="41"/>
      <c r="N457" s="41"/>
      <c r="O457" s="31"/>
      <c r="P457" s="31"/>
      <c r="Q457" s="41"/>
      <c r="R457" s="41"/>
      <c r="S457" s="40"/>
    </row>
    <row r="458" spans="1:19" ht="13.2" hidden="1">
      <c r="A458" s="31" t="s">
        <v>986</v>
      </c>
      <c r="B458" s="31" t="s">
        <v>686</v>
      </c>
      <c r="F458" s="39">
        <v>45451</v>
      </c>
      <c r="G458" s="51" t="str">
        <f t="shared" si="0"/>
        <v>2024</v>
      </c>
      <c r="H458" s="51" t="str">
        <f t="shared" si="1"/>
        <v>junio</v>
      </c>
      <c r="I458" s="31" t="s">
        <v>373</v>
      </c>
      <c r="J458" s="31" t="s">
        <v>1076</v>
      </c>
      <c r="K458" s="31" t="s">
        <v>357</v>
      </c>
    </row>
    <row r="459" spans="1:19" ht="13.2" hidden="1">
      <c r="A459" s="31" t="s">
        <v>331</v>
      </c>
      <c r="B459" s="31" t="s">
        <v>472</v>
      </c>
      <c r="C459" s="31" t="s">
        <v>1515</v>
      </c>
      <c r="F459" s="39">
        <v>45477</v>
      </c>
      <c r="G459" s="51" t="str">
        <f t="shared" si="0"/>
        <v>2024</v>
      </c>
      <c r="H459" s="51" t="str">
        <f t="shared" si="1"/>
        <v>julio</v>
      </c>
      <c r="I459" s="31" t="s">
        <v>361</v>
      </c>
      <c r="J459" s="31" t="s">
        <v>1131</v>
      </c>
      <c r="K459" s="31" t="s">
        <v>357</v>
      </c>
      <c r="L459" s="131"/>
      <c r="M459" s="40"/>
      <c r="N459" s="40"/>
      <c r="P459" s="42"/>
      <c r="Q459" s="41"/>
      <c r="R459" s="41"/>
      <c r="S459" s="40"/>
    </row>
    <row r="460" spans="1:19" ht="13.2" hidden="1">
      <c r="A460" s="31" t="s">
        <v>809</v>
      </c>
      <c r="B460" s="31" t="s">
        <v>1311</v>
      </c>
      <c r="C460" s="31" t="s">
        <v>1188</v>
      </c>
      <c r="F460" s="39">
        <v>45595</v>
      </c>
      <c r="G460" s="51" t="str">
        <f t="shared" si="0"/>
        <v>2024</v>
      </c>
      <c r="H460" s="51" t="str">
        <f t="shared" si="1"/>
        <v>octubre</v>
      </c>
      <c r="I460" s="8" t="s">
        <v>373</v>
      </c>
      <c r="J460" s="31" t="s">
        <v>1076</v>
      </c>
      <c r="K460" s="31" t="s">
        <v>394</v>
      </c>
      <c r="L460" s="131" t="s">
        <v>1516</v>
      </c>
      <c r="M460" s="41" t="s">
        <v>1517</v>
      </c>
      <c r="N460" s="41"/>
      <c r="O460" s="31"/>
      <c r="P460" s="31" t="s">
        <v>1518</v>
      </c>
      <c r="Q460" s="41"/>
      <c r="R460" s="41"/>
      <c r="S460" s="40"/>
    </row>
    <row r="461" spans="1:19" ht="13.2" hidden="1">
      <c r="A461" s="31" t="s">
        <v>537</v>
      </c>
      <c r="B461" s="31" t="s">
        <v>538</v>
      </c>
      <c r="F461" s="39">
        <v>45451</v>
      </c>
      <c r="G461" s="51" t="str">
        <f t="shared" si="0"/>
        <v>2024</v>
      </c>
      <c r="H461" s="51" t="str">
        <f t="shared" si="1"/>
        <v>junio</v>
      </c>
      <c r="I461" s="8" t="s">
        <v>361</v>
      </c>
      <c r="J461" s="31" t="s">
        <v>1131</v>
      </c>
      <c r="K461" s="31" t="s">
        <v>357</v>
      </c>
    </row>
    <row r="462" spans="1:19" ht="13.2" hidden="1">
      <c r="A462" s="31" t="s">
        <v>912</v>
      </c>
      <c r="B462" s="31" t="s">
        <v>358</v>
      </c>
      <c r="C462" s="31"/>
      <c r="F462" s="39">
        <v>45451</v>
      </c>
      <c r="G462" s="51" t="str">
        <f t="shared" si="0"/>
        <v>2024</v>
      </c>
      <c r="H462" s="51" t="str">
        <f t="shared" si="1"/>
        <v>junio</v>
      </c>
      <c r="I462" s="8" t="s">
        <v>373</v>
      </c>
      <c r="J462" s="31" t="s">
        <v>1076</v>
      </c>
      <c r="K462" s="31" t="s">
        <v>357</v>
      </c>
    </row>
    <row r="463" spans="1:19" ht="13.2" hidden="1">
      <c r="A463" s="31" t="s">
        <v>843</v>
      </c>
      <c r="B463" s="31" t="s">
        <v>1519</v>
      </c>
      <c r="C463" s="31" t="s">
        <v>1520</v>
      </c>
      <c r="F463" s="39">
        <v>45513</v>
      </c>
      <c r="G463" s="51" t="str">
        <f t="shared" si="0"/>
        <v>2024</v>
      </c>
      <c r="H463" s="51" t="str">
        <f t="shared" si="1"/>
        <v>agosto</v>
      </c>
      <c r="I463" s="8" t="s">
        <v>373</v>
      </c>
      <c r="J463" s="31" t="s">
        <v>1076</v>
      </c>
      <c r="K463" s="31" t="s">
        <v>357</v>
      </c>
      <c r="L463" s="131"/>
      <c r="M463" s="40"/>
      <c r="N463" s="40"/>
      <c r="P463" s="42"/>
      <c r="Q463" s="41"/>
      <c r="R463" s="41"/>
      <c r="S463" s="40"/>
    </row>
    <row r="464" spans="1:19" ht="13.2" hidden="1">
      <c r="A464" s="31" t="s">
        <v>780</v>
      </c>
      <c r="B464" s="31" t="s">
        <v>392</v>
      </c>
      <c r="C464" s="31" t="s">
        <v>1521</v>
      </c>
      <c r="F464" s="39">
        <v>45668</v>
      </c>
      <c r="G464" s="51" t="str">
        <f t="shared" si="0"/>
        <v>2025</v>
      </c>
      <c r="H464" s="51" t="str">
        <f t="shared" si="1"/>
        <v>enero</v>
      </c>
      <c r="I464" s="31" t="s">
        <v>373</v>
      </c>
      <c r="J464" s="31" t="s">
        <v>1076</v>
      </c>
      <c r="K464" s="31" t="s">
        <v>357</v>
      </c>
      <c r="L464" s="131"/>
      <c r="M464" s="41"/>
      <c r="N464" s="41"/>
      <c r="O464" s="31"/>
      <c r="P464" s="31"/>
      <c r="Q464" s="41"/>
      <c r="R464" s="41"/>
      <c r="S464" s="40"/>
    </row>
    <row r="465" spans="1:19" ht="13.2" hidden="1">
      <c r="A465" s="31" t="s">
        <v>656</v>
      </c>
      <c r="B465" s="31" t="s">
        <v>595</v>
      </c>
      <c r="C465" s="31" t="s">
        <v>1522</v>
      </c>
      <c r="F465" s="39">
        <v>45781</v>
      </c>
      <c r="G465" s="51" t="str">
        <f t="shared" si="0"/>
        <v>2025</v>
      </c>
      <c r="H465" s="51" t="str">
        <f t="shared" si="1"/>
        <v>mayo</v>
      </c>
      <c r="I465" s="31" t="s">
        <v>373</v>
      </c>
      <c r="J465" s="31" t="s">
        <v>1076</v>
      </c>
      <c r="K465" s="31" t="s">
        <v>357</v>
      </c>
      <c r="L465" s="131"/>
      <c r="M465" s="41"/>
      <c r="N465" s="41"/>
      <c r="O465" s="31"/>
      <c r="P465" s="31"/>
      <c r="Q465" s="41"/>
      <c r="R465" s="41"/>
      <c r="S465" s="40"/>
    </row>
    <row r="466" spans="1:19" ht="13.2" hidden="1">
      <c r="A466" s="31" t="s">
        <v>889</v>
      </c>
      <c r="B466" s="31" t="s">
        <v>405</v>
      </c>
      <c r="C466" s="31" t="s">
        <v>1214</v>
      </c>
      <c r="F466" s="39">
        <v>45451</v>
      </c>
      <c r="G466" s="51" t="str">
        <f t="shared" si="0"/>
        <v>2024</v>
      </c>
      <c r="H466" s="51" t="str">
        <f t="shared" si="1"/>
        <v>junio</v>
      </c>
      <c r="I466" s="8" t="s">
        <v>361</v>
      </c>
      <c r="J466" s="31" t="s">
        <v>1131</v>
      </c>
      <c r="K466" s="31" t="s">
        <v>357</v>
      </c>
    </row>
    <row r="467" spans="1:19" ht="13.2" hidden="1">
      <c r="A467" s="31" t="s">
        <v>345</v>
      </c>
      <c r="B467" s="31" t="s">
        <v>367</v>
      </c>
      <c r="F467" s="39">
        <v>45451</v>
      </c>
      <c r="G467" s="51" t="str">
        <f t="shared" si="0"/>
        <v>2024</v>
      </c>
      <c r="H467" s="51" t="str">
        <f t="shared" si="1"/>
        <v>junio</v>
      </c>
      <c r="I467" s="31" t="s">
        <v>373</v>
      </c>
      <c r="J467" s="31" t="s">
        <v>1076</v>
      </c>
      <c r="K467" s="31" t="s">
        <v>357</v>
      </c>
    </row>
    <row r="468" spans="1:19" ht="13.2" hidden="1">
      <c r="A468" s="31" t="s">
        <v>233</v>
      </c>
      <c r="B468" s="31" t="s">
        <v>383</v>
      </c>
      <c r="C468" s="31" t="s">
        <v>1523</v>
      </c>
      <c r="F468" s="39">
        <v>45699</v>
      </c>
      <c r="G468" s="51" t="str">
        <f t="shared" si="0"/>
        <v>2025</v>
      </c>
      <c r="H468" s="51" t="str">
        <f t="shared" si="1"/>
        <v>febrero</v>
      </c>
      <c r="I468" s="31" t="s">
        <v>373</v>
      </c>
      <c r="J468" s="31" t="s">
        <v>1076</v>
      </c>
      <c r="K468" s="31" t="s">
        <v>357</v>
      </c>
      <c r="L468" s="131"/>
      <c r="M468" s="41"/>
      <c r="N468" s="41"/>
      <c r="O468" s="31"/>
      <c r="P468" s="31"/>
      <c r="Q468" s="41"/>
      <c r="R468" s="41"/>
      <c r="S468" s="40"/>
    </row>
    <row r="469" spans="1:19" ht="13.2" hidden="1">
      <c r="A469" s="31" t="s">
        <v>586</v>
      </c>
      <c r="B469" s="31" t="s">
        <v>405</v>
      </c>
      <c r="C469" s="31" t="s">
        <v>1416</v>
      </c>
      <c r="F469" s="39">
        <v>45700</v>
      </c>
      <c r="G469" s="51" t="str">
        <f t="shared" si="0"/>
        <v>2025</v>
      </c>
      <c r="H469" s="51" t="str">
        <f t="shared" si="1"/>
        <v>febrero</v>
      </c>
      <c r="I469" s="8" t="s">
        <v>373</v>
      </c>
      <c r="J469" s="31" t="s">
        <v>1076</v>
      </c>
      <c r="K469" s="31" t="s">
        <v>357</v>
      </c>
    </row>
    <row r="470" spans="1:19" ht="13.2" hidden="1">
      <c r="A470" s="31" t="s">
        <v>581</v>
      </c>
      <c r="B470" s="31" t="s">
        <v>362</v>
      </c>
      <c r="C470" s="31" t="s">
        <v>1524</v>
      </c>
      <c r="F470" s="39">
        <v>45451</v>
      </c>
      <c r="G470" s="51" t="str">
        <f t="shared" si="0"/>
        <v>2024</v>
      </c>
      <c r="H470" s="51" t="str">
        <f t="shared" si="1"/>
        <v>junio</v>
      </c>
      <c r="I470" s="8" t="s">
        <v>356</v>
      </c>
      <c r="J470" s="31" t="s">
        <v>1076</v>
      </c>
      <c r="K470" s="31" t="s">
        <v>357</v>
      </c>
    </row>
    <row r="471" spans="1:19" ht="13.2" hidden="1">
      <c r="A471" s="31" t="s">
        <v>719</v>
      </c>
      <c r="B471" s="31" t="s">
        <v>668</v>
      </c>
      <c r="F471" s="39">
        <v>45451</v>
      </c>
      <c r="G471" s="51" t="str">
        <f t="shared" si="0"/>
        <v>2024</v>
      </c>
      <c r="H471" s="51" t="str">
        <f t="shared" si="1"/>
        <v>junio</v>
      </c>
      <c r="I471" s="8" t="s">
        <v>361</v>
      </c>
      <c r="J471" s="31" t="s">
        <v>1131</v>
      </c>
      <c r="K471" s="31" t="s">
        <v>357</v>
      </c>
    </row>
    <row r="472" spans="1:19" ht="13.2" hidden="1">
      <c r="A472" s="31" t="s">
        <v>219</v>
      </c>
      <c r="B472" s="31" t="s">
        <v>362</v>
      </c>
      <c r="F472" s="39">
        <v>45451</v>
      </c>
      <c r="G472" s="51" t="str">
        <f t="shared" si="0"/>
        <v>2024</v>
      </c>
      <c r="H472" s="51" t="str">
        <f t="shared" si="1"/>
        <v>junio</v>
      </c>
      <c r="I472" s="31" t="s">
        <v>373</v>
      </c>
      <c r="J472" s="31" t="s">
        <v>1076</v>
      </c>
      <c r="K472" s="31" t="s">
        <v>357</v>
      </c>
    </row>
    <row r="473" spans="1:19" ht="13.2" hidden="1">
      <c r="A473" s="31" t="s">
        <v>293</v>
      </c>
      <c r="B473" s="31" t="s">
        <v>374</v>
      </c>
      <c r="C473" s="31" t="s">
        <v>1525</v>
      </c>
      <c r="F473" s="39">
        <v>45616</v>
      </c>
      <c r="G473" s="51" t="str">
        <f t="shared" si="0"/>
        <v>2024</v>
      </c>
      <c r="H473" s="51" t="str">
        <f t="shared" si="1"/>
        <v>noviembre</v>
      </c>
      <c r="I473" s="31" t="s">
        <v>373</v>
      </c>
      <c r="J473" s="31" t="s">
        <v>1076</v>
      </c>
      <c r="K473" s="31" t="s">
        <v>667</v>
      </c>
      <c r="L473" s="131"/>
      <c r="M473" s="41"/>
      <c r="N473" s="41"/>
      <c r="O473" s="31"/>
      <c r="P473" s="31"/>
      <c r="Q473" s="41"/>
      <c r="R473" s="41"/>
      <c r="S473" s="40"/>
    </row>
    <row r="474" spans="1:19" ht="13.2" hidden="1">
      <c r="A474" s="31" t="s">
        <v>224</v>
      </c>
      <c r="B474" s="31" t="s">
        <v>362</v>
      </c>
      <c r="F474" s="39">
        <v>45451</v>
      </c>
      <c r="G474" s="51" t="str">
        <f t="shared" si="0"/>
        <v>2024</v>
      </c>
      <c r="H474" s="51" t="str">
        <f t="shared" si="1"/>
        <v>junio</v>
      </c>
      <c r="I474" s="8" t="s">
        <v>373</v>
      </c>
      <c r="J474" s="31" t="s">
        <v>1076</v>
      </c>
      <c r="K474" s="31" t="s">
        <v>357</v>
      </c>
    </row>
    <row r="475" spans="1:19" ht="13.2" hidden="1">
      <c r="A475" s="31" t="s">
        <v>625</v>
      </c>
      <c r="B475" s="31" t="s">
        <v>626</v>
      </c>
      <c r="C475" s="31" t="s">
        <v>1526</v>
      </c>
      <c r="F475" s="39">
        <v>45799</v>
      </c>
      <c r="G475" s="51" t="str">
        <f t="shared" si="0"/>
        <v>2025</v>
      </c>
      <c r="H475" s="51" t="str">
        <f t="shared" si="1"/>
        <v>mayo</v>
      </c>
      <c r="I475" s="31" t="s">
        <v>373</v>
      </c>
      <c r="J475" s="31" t="s">
        <v>1076</v>
      </c>
      <c r="K475" s="31" t="s">
        <v>357</v>
      </c>
      <c r="L475" s="131"/>
      <c r="M475" s="41"/>
      <c r="N475" s="41"/>
      <c r="O475" s="31"/>
      <c r="P475" s="31"/>
      <c r="Q475" s="41"/>
      <c r="R475" s="41"/>
      <c r="S475" s="40"/>
    </row>
    <row r="476" spans="1:19" ht="13.2" hidden="1">
      <c r="A476" s="31" t="s">
        <v>259</v>
      </c>
      <c r="B476" s="31" t="s">
        <v>399</v>
      </c>
      <c r="C476" s="31" t="s">
        <v>1527</v>
      </c>
      <c r="F476" s="39">
        <v>45566</v>
      </c>
      <c r="G476" s="51" t="str">
        <f t="shared" si="0"/>
        <v>2024</v>
      </c>
      <c r="H476" s="51" t="str">
        <f t="shared" si="1"/>
        <v>octubre</v>
      </c>
      <c r="I476" s="31" t="s">
        <v>373</v>
      </c>
      <c r="J476" s="31" t="s">
        <v>1076</v>
      </c>
      <c r="K476" s="31" t="s">
        <v>357</v>
      </c>
      <c r="L476" s="131"/>
      <c r="M476" s="41"/>
      <c r="N476" s="41"/>
      <c r="O476" s="31"/>
      <c r="P476" s="31"/>
      <c r="Q476" s="41"/>
      <c r="R476" s="41"/>
      <c r="S476" s="40"/>
    </row>
    <row r="477" spans="1:19" ht="13.2" hidden="1">
      <c r="A477" s="31" t="s">
        <v>129</v>
      </c>
      <c r="B477" s="31" t="s">
        <v>465</v>
      </c>
      <c r="C477" s="31" t="s">
        <v>1528</v>
      </c>
      <c r="F477" s="39">
        <v>45543</v>
      </c>
      <c r="G477" s="51" t="str">
        <f t="shared" si="0"/>
        <v>2024</v>
      </c>
      <c r="H477" s="51" t="str">
        <f t="shared" si="1"/>
        <v>septiembre</v>
      </c>
      <c r="I477" s="8" t="s">
        <v>373</v>
      </c>
      <c r="J477" s="31" t="s">
        <v>1076</v>
      </c>
      <c r="K477" s="31" t="s">
        <v>357</v>
      </c>
      <c r="L477" s="131"/>
      <c r="M477" s="41"/>
      <c r="N477" s="41"/>
      <c r="P477" s="42"/>
      <c r="Q477" s="41"/>
      <c r="R477" s="41"/>
      <c r="S477" s="40"/>
    </row>
    <row r="478" spans="1:19" ht="13.2" hidden="1">
      <c r="A478" s="31" t="s">
        <v>115</v>
      </c>
      <c r="B478" s="31" t="s">
        <v>383</v>
      </c>
      <c r="C478" s="31" t="s">
        <v>1529</v>
      </c>
      <c r="F478" s="39">
        <v>45451</v>
      </c>
      <c r="G478" s="51" t="str">
        <f t="shared" si="0"/>
        <v>2024</v>
      </c>
      <c r="H478" s="51" t="str">
        <f t="shared" si="1"/>
        <v>junio</v>
      </c>
      <c r="I478" s="8" t="s">
        <v>373</v>
      </c>
      <c r="J478" s="31" t="s">
        <v>1076</v>
      </c>
      <c r="K478" s="31" t="s">
        <v>357</v>
      </c>
    </row>
    <row r="479" spans="1:19" ht="13.2" hidden="1">
      <c r="A479" s="31" t="s">
        <v>308</v>
      </c>
      <c r="B479" s="31" t="s">
        <v>612</v>
      </c>
      <c r="C479" s="31" t="s">
        <v>1530</v>
      </c>
      <c r="F479" s="39">
        <v>45595</v>
      </c>
      <c r="G479" s="51" t="str">
        <f t="shared" si="0"/>
        <v>2024</v>
      </c>
      <c r="H479" s="51" t="str">
        <f t="shared" si="1"/>
        <v>octubre</v>
      </c>
      <c r="I479" s="8" t="s">
        <v>373</v>
      </c>
      <c r="J479" s="31" t="s">
        <v>1076</v>
      </c>
      <c r="K479" s="31" t="s">
        <v>357</v>
      </c>
      <c r="L479" s="131"/>
      <c r="M479" s="41"/>
      <c r="N479" s="41"/>
      <c r="O479" s="31"/>
      <c r="P479" s="31"/>
      <c r="Q479" s="41"/>
      <c r="R479" s="41"/>
      <c r="S479" s="40"/>
    </row>
    <row r="480" spans="1:19" ht="13.2" hidden="1">
      <c r="A480" s="31" t="s">
        <v>956</v>
      </c>
      <c r="B480" s="31" t="s">
        <v>686</v>
      </c>
      <c r="F480" s="39">
        <v>45451</v>
      </c>
      <c r="G480" s="51" t="str">
        <f t="shared" si="0"/>
        <v>2024</v>
      </c>
      <c r="H480" s="51" t="str">
        <f t="shared" si="1"/>
        <v>junio</v>
      </c>
      <c r="I480" s="31" t="s">
        <v>373</v>
      </c>
      <c r="J480" s="31" t="s">
        <v>1076</v>
      </c>
      <c r="K480" s="31" t="s">
        <v>357</v>
      </c>
    </row>
    <row r="481" spans="1:19" ht="13.2" hidden="1">
      <c r="A481" s="31" t="s">
        <v>230</v>
      </c>
      <c r="B481" s="31" t="s">
        <v>374</v>
      </c>
      <c r="C481" s="31" t="s">
        <v>1531</v>
      </c>
      <c r="F481" s="39">
        <v>45747</v>
      </c>
      <c r="G481" s="51" t="str">
        <f t="shared" si="0"/>
        <v>2025</v>
      </c>
      <c r="H481" s="51" t="str">
        <f t="shared" si="1"/>
        <v>marzo</v>
      </c>
      <c r="I481" s="31" t="s">
        <v>373</v>
      </c>
      <c r="J481" s="31" t="s">
        <v>1076</v>
      </c>
      <c r="K481" s="31" t="s">
        <v>357</v>
      </c>
      <c r="L481" s="131"/>
      <c r="M481" s="41"/>
      <c r="N481" s="41"/>
      <c r="O481" s="31"/>
      <c r="P481" s="31"/>
      <c r="Q481" s="41"/>
      <c r="R481" s="41"/>
      <c r="S481" s="40"/>
    </row>
    <row r="482" spans="1:19" ht="13.2" hidden="1">
      <c r="A482" s="31" t="s">
        <v>852</v>
      </c>
      <c r="B482" s="31" t="s">
        <v>367</v>
      </c>
      <c r="C482" s="31" t="s">
        <v>1532</v>
      </c>
      <c r="F482" s="39">
        <v>45451</v>
      </c>
      <c r="G482" s="51" t="str">
        <f t="shared" si="0"/>
        <v>2024</v>
      </c>
      <c r="H482" s="51" t="str">
        <f t="shared" si="1"/>
        <v>junio</v>
      </c>
      <c r="I482" s="8" t="s">
        <v>373</v>
      </c>
      <c r="J482" s="31" t="s">
        <v>1076</v>
      </c>
      <c r="K482" s="31" t="s">
        <v>357</v>
      </c>
    </row>
    <row r="483" spans="1:19" ht="13.2" hidden="1">
      <c r="A483" s="31" t="s">
        <v>1033</v>
      </c>
      <c r="F483" s="39">
        <v>45451</v>
      </c>
      <c r="G483" s="51" t="str">
        <f t="shared" si="0"/>
        <v>2024</v>
      </c>
      <c r="H483" s="51" t="str">
        <f t="shared" si="1"/>
        <v>junio</v>
      </c>
      <c r="I483" s="31" t="s">
        <v>373</v>
      </c>
      <c r="J483" s="31" t="s">
        <v>1076</v>
      </c>
      <c r="K483" s="31" t="s">
        <v>357</v>
      </c>
    </row>
    <row r="484" spans="1:19" ht="13.2" hidden="1">
      <c r="A484" s="31" t="s">
        <v>860</v>
      </c>
      <c r="B484" s="31" t="s">
        <v>374</v>
      </c>
      <c r="C484" s="31" t="s">
        <v>1139</v>
      </c>
      <c r="F484" s="39">
        <v>45497</v>
      </c>
      <c r="G484" s="51" t="str">
        <f t="shared" si="0"/>
        <v>2024</v>
      </c>
      <c r="H484" s="51" t="str">
        <f t="shared" si="1"/>
        <v>julio</v>
      </c>
      <c r="I484" s="8" t="s">
        <v>373</v>
      </c>
      <c r="J484" s="31" t="s">
        <v>1076</v>
      </c>
      <c r="K484" s="31" t="s">
        <v>357</v>
      </c>
      <c r="L484" s="131"/>
      <c r="M484" s="40"/>
      <c r="N484" s="40"/>
      <c r="P484" s="42"/>
      <c r="Q484" s="41"/>
      <c r="R484" s="41"/>
      <c r="S484" s="40"/>
    </row>
    <row r="485" spans="1:19" ht="13.2" hidden="1">
      <c r="A485" s="31" t="s">
        <v>247</v>
      </c>
      <c r="B485" s="31" t="s">
        <v>374</v>
      </c>
      <c r="C485" s="31" t="s">
        <v>1533</v>
      </c>
      <c r="F485" s="39">
        <v>45451</v>
      </c>
      <c r="G485" s="51" t="str">
        <f t="shared" si="0"/>
        <v>2024</v>
      </c>
      <c r="H485" s="51" t="str">
        <f t="shared" si="1"/>
        <v>junio</v>
      </c>
      <c r="I485" s="8" t="s">
        <v>361</v>
      </c>
      <c r="J485" s="31" t="s">
        <v>1131</v>
      </c>
      <c r="K485" s="31" t="s">
        <v>357</v>
      </c>
    </row>
    <row r="486" spans="1:19" ht="13.2" hidden="1">
      <c r="A486" s="31" t="s">
        <v>703</v>
      </c>
      <c r="B486" s="31" t="s">
        <v>380</v>
      </c>
      <c r="C486" s="31" t="s">
        <v>1534</v>
      </c>
      <c r="F486" s="39">
        <v>45757</v>
      </c>
      <c r="G486" s="51" t="str">
        <f t="shared" si="0"/>
        <v>2025</v>
      </c>
      <c r="H486" s="51" t="str">
        <f t="shared" si="1"/>
        <v>abril</v>
      </c>
      <c r="I486" s="31" t="s">
        <v>373</v>
      </c>
      <c r="J486" s="31" t="s">
        <v>1076</v>
      </c>
      <c r="K486" s="31" t="s">
        <v>357</v>
      </c>
      <c r="L486" s="131"/>
      <c r="M486" s="41"/>
      <c r="N486" s="41"/>
      <c r="O486" s="31"/>
      <c r="P486" s="31"/>
      <c r="Q486" s="41"/>
      <c r="R486" s="41"/>
      <c r="S486" s="40"/>
    </row>
    <row r="487" spans="1:19" ht="13.2" hidden="1">
      <c r="A487" s="31" t="s">
        <v>519</v>
      </c>
      <c r="B487" s="31" t="s">
        <v>520</v>
      </c>
      <c r="C487" s="31" t="s">
        <v>1535</v>
      </c>
      <c r="F487" s="39">
        <v>45699</v>
      </c>
      <c r="G487" s="51" t="str">
        <f t="shared" si="0"/>
        <v>2025</v>
      </c>
      <c r="H487" s="51" t="str">
        <f t="shared" si="1"/>
        <v>febrero</v>
      </c>
      <c r="I487" s="31" t="s">
        <v>373</v>
      </c>
      <c r="J487" s="31" t="s">
        <v>1076</v>
      </c>
      <c r="K487" s="31" t="s">
        <v>357</v>
      </c>
      <c r="L487" s="131"/>
      <c r="M487" s="41"/>
      <c r="N487" s="41"/>
      <c r="O487" s="31"/>
      <c r="P487" s="31"/>
      <c r="Q487" s="41"/>
      <c r="R487" s="41"/>
      <c r="S487" s="40"/>
    </row>
    <row r="488" spans="1:19" ht="13.2" hidden="1">
      <c r="A488" s="31" t="s">
        <v>604</v>
      </c>
      <c r="B488" s="31" t="s">
        <v>465</v>
      </c>
      <c r="C488" s="31" t="s">
        <v>1536</v>
      </c>
      <c r="F488" s="39">
        <v>45773</v>
      </c>
      <c r="G488" s="51" t="str">
        <f t="shared" si="0"/>
        <v>2025</v>
      </c>
      <c r="H488" s="51" t="str">
        <f t="shared" si="1"/>
        <v>abril</v>
      </c>
      <c r="I488" s="31" t="s">
        <v>373</v>
      </c>
      <c r="J488" s="31" t="s">
        <v>1076</v>
      </c>
      <c r="K488" s="31" t="s">
        <v>357</v>
      </c>
      <c r="L488" s="131"/>
      <c r="M488" s="41"/>
      <c r="N488" s="41"/>
      <c r="O488" s="31"/>
      <c r="P488" s="31"/>
      <c r="Q488" s="41"/>
      <c r="R488" s="41"/>
      <c r="S488" s="40"/>
    </row>
    <row r="489" spans="1:19" ht="13.2" hidden="1">
      <c r="A489" s="31" t="s">
        <v>1025</v>
      </c>
      <c r="B489" s="31" t="s">
        <v>1537</v>
      </c>
      <c r="F489" s="39">
        <v>45451</v>
      </c>
      <c r="G489" s="51" t="str">
        <f t="shared" si="0"/>
        <v>2024</v>
      </c>
      <c r="H489" s="51" t="str">
        <f t="shared" si="1"/>
        <v>junio</v>
      </c>
      <c r="I489" s="31" t="s">
        <v>373</v>
      </c>
      <c r="J489" s="31" t="s">
        <v>1076</v>
      </c>
      <c r="K489" s="31" t="s">
        <v>357</v>
      </c>
    </row>
    <row r="490" spans="1:19" ht="13.2" hidden="1">
      <c r="A490" s="31" t="s">
        <v>574</v>
      </c>
      <c r="B490" s="31" t="s">
        <v>575</v>
      </c>
      <c r="C490" s="31" t="s">
        <v>1538</v>
      </c>
      <c r="F490" s="39">
        <v>45826</v>
      </c>
      <c r="G490" s="51" t="str">
        <f t="shared" si="0"/>
        <v>2025</v>
      </c>
      <c r="H490" s="51" t="str">
        <f t="shared" si="1"/>
        <v>junio</v>
      </c>
      <c r="I490" s="8" t="s">
        <v>373</v>
      </c>
      <c r="J490" s="31" t="s">
        <v>1076</v>
      </c>
      <c r="K490" s="31" t="s">
        <v>394</v>
      </c>
      <c r="L490" s="131" t="s">
        <v>1539</v>
      </c>
      <c r="M490" s="41" t="s">
        <v>1540</v>
      </c>
      <c r="N490" s="41"/>
      <c r="O490" s="31"/>
      <c r="Q490" s="41"/>
      <c r="R490" s="41"/>
      <c r="S490" s="40"/>
    </row>
    <row r="491" spans="1:19" ht="13.2">
      <c r="G491" s="51"/>
      <c r="H491" s="51"/>
    </row>
    <row r="492" spans="1:19" ht="13.2">
      <c r="G492" s="51"/>
      <c r="H492" s="51"/>
    </row>
    <row r="493" spans="1:19" ht="13.2">
      <c r="G493" s="51"/>
      <c r="H493" s="51"/>
    </row>
    <row r="494" spans="1:19" ht="13.2">
      <c r="G494" s="51"/>
      <c r="H494" s="51"/>
    </row>
    <row r="495" spans="1:19" ht="13.2">
      <c r="G495" s="51"/>
      <c r="H495" s="51"/>
    </row>
    <row r="496" spans="1:19" ht="13.2">
      <c r="G496" s="51"/>
      <c r="H496" s="51"/>
      <c r="L496" s="132"/>
    </row>
    <row r="497" spans="7:14" ht="13.2">
      <c r="G497" s="51"/>
      <c r="H497" s="51"/>
      <c r="L497" s="131"/>
    </row>
    <row r="498" spans="7:14" ht="13.2">
      <c r="G498" s="51"/>
      <c r="H498" s="51"/>
      <c r="L498" s="132"/>
    </row>
    <row r="499" spans="7:14" ht="13.2">
      <c r="G499" s="51"/>
      <c r="H499" s="51"/>
    </row>
    <row r="500" spans="7:14" ht="13.2">
      <c r="G500" s="51"/>
      <c r="H500" s="51"/>
    </row>
    <row r="501" spans="7:14" ht="13.2">
      <c r="G501" s="51"/>
      <c r="H501" s="51"/>
    </row>
    <row r="502" spans="7:14" ht="13.2">
      <c r="G502" s="51"/>
      <c r="H502" s="51"/>
    </row>
    <row r="503" spans="7:14" ht="13.2">
      <c r="G503" s="51"/>
      <c r="H503" s="51"/>
    </row>
    <row r="504" spans="7:14" ht="13.2">
      <c r="G504" s="51"/>
      <c r="H504" s="51"/>
    </row>
    <row r="505" spans="7:14" ht="13.2">
      <c r="G505" s="51"/>
      <c r="H505" s="51"/>
      <c r="M505" s="31">
        <v>100</v>
      </c>
      <c r="N505" s="31">
        <v>7</v>
      </c>
    </row>
    <row r="506" spans="7:14" ht="13.2">
      <c r="G506" s="51"/>
      <c r="H506" s="51"/>
      <c r="M506" s="8">
        <f>M505*N506/N505</f>
        <v>91.428571428571431</v>
      </c>
      <c r="N506" s="31">
        <v>6.4</v>
      </c>
    </row>
    <row r="507" spans="7:14" ht="13.2">
      <c r="G507" s="51"/>
      <c r="H507" s="51"/>
    </row>
    <row r="508" spans="7:14" ht="13.2">
      <c r="G508" s="51"/>
      <c r="H508" s="51"/>
    </row>
    <row r="509" spans="7:14" ht="13.2">
      <c r="G509" s="51"/>
      <c r="H509" s="51"/>
    </row>
    <row r="510" spans="7:14" ht="13.2">
      <c r="G510" s="51"/>
      <c r="H510" s="51"/>
    </row>
    <row r="511" spans="7:14" ht="13.2">
      <c r="G511" s="51"/>
      <c r="H511" s="51"/>
    </row>
    <row r="512" spans="7:14" ht="13.2">
      <c r="G512" s="51"/>
      <c r="H512" s="51"/>
    </row>
    <row r="513" spans="7:8" ht="13.2">
      <c r="G513" s="51"/>
      <c r="H513" s="51"/>
    </row>
    <row r="514" spans="7:8" ht="13.2">
      <c r="G514" s="51"/>
      <c r="H514" s="51"/>
    </row>
    <row r="515" spans="7:8" ht="13.2">
      <c r="G515" s="51"/>
      <c r="H515" s="51"/>
    </row>
    <row r="516" spans="7:8" ht="13.2">
      <c r="G516" s="51"/>
      <c r="H516" s="51"/>
    </row>
    <row r="517" spans="7:8" ht="13.2">
      <c r="G517" s="51"/>
      <c r="H517" s="51"/>
    </row>
    <row r="518" spans="7:8" ht="13.2">
      <c r="G518" s="51"/>
      <c r="H518" s="51"/>
    </row>
    <row r="519" spans="7:8" ht="13.2">
      <c r="G519" s="51"/>
      <c r="H519" s="51"/>
    </row>
    <row r="520" spans="7:8" ht="13.2">
      <c r="G520" s="51"/>
      <c r="H520" s="51"/>
    </row>
    <row r="521" spans="7:8" ht="13.2">
      <c r="G521" s="51"/>
      <c r="H521" s="51"/>
    </row>
    <row r="522" spans="7:8" ht="13.2">
      <c r="G522" s="51"/>
      <c r="H522" s="51"/>
    </row>
    <row r="523" spans="7:8" ht="13.2">
      <c r="G523" s="51"/>
      <c r="H523" s="51"/>
    </row>
    <row r="524" spans="7:8" ht="13.2">
      <c r="G524" s="51"/>
      <c r="H524" s="51"/>
    </row>
    <row r="525" spans="7:8" ht="13.2">
      <c r="G525" s="51"/>
      <c r="H525" s="51"/>
    </row>
    <row r="526" spans="7:8" ht="13.2">
      <c r="G526" s="51"/>
      <c r="H526" s="51"/>
    </row>
    <row r="527" spans="7:8" ht="13.2">
      <c r="G527" s="51"/>
      <c r="H527" s="51"/>
    </row>
    <row r="528" spans="7:8" ht="13.2">
      <c r="G528" s="51"/>
      <c r="H528" s="51"/>
    </row>
    <row r="529" spans="7:8" ht="13.2">
      <c r="G529" s="51"/>
      <c r="H529" s="51"/>
    </row>
    <row r="530" spans="7:8" ht="13.2">
      <c r="G530" s="51"/>
      <c r="H530" s="51"/>
    </row>
    <row r="531" spans="7:8" ht="13.2">
      <c r="G531" s="51"/>
      <c r="H531" s="51"/>
    </row>
    <row r="532" spans="7:8" ht="13.2">
      <c r="G532" s="51"/>
      <c r="H532" s="51"/>
    </row>
    <row r="533" spans="7:8" ht="13.2">
      <c r="G533" s="51"/>
      <c r="H533" s="51"/>
    </row>
    <row r="534" spans="7:8" ht="13.2">
      <c r="G534" s="51"/>
      <c r="H534" s="51"/>
    </row>
    <row r="535" spans="7:8" ht="13.2">
      <c r="G535" s="51"/>
      <c r="H535" s="51"/>
    </row>
    <row r="536" spans="7:8" ht="13.2">
      <c r="G536" s="51"/>
      <c r="H536" s="51"/>
    </row>
    <row r="537" spans="7:8" ht="13.2">
      <c r="G537" s="51"/>
      <c r="H537" s="51"/>
    </row>
    <row r="538" spans="7:8" ht="13.2">
      <c r="G538" s="51"/>
      <c r="H538" s="51"/>
    </row>
    <row r="539" spans="7:8" ht="13.2">
      <c r="G539" s="51"/>
      <c r="H539" s="51"/>
    </row>
    <row r="540" spans="7:8" ht="13.2">
      <c r="G540" s="51"/>
      <c r="H540" s="51"/>
    </row>
    <row r="541" spans="7:8" ht="13.2">
      <c r="G541" s="51"/>
      <c r="H541" s="51"/>
    </row>
    <row r="542" spans="7:8" ht="13.2">
      <c r="G542" s="51"/>
      <c r="H542" s="51"/>
    </row>
    <row r="543" spans="7:8" ht="13.2">
      <c r="G543" s="51"/>
      <c r="H543" s="51"/>
    </row>
    <row r="544" spans="7:8" ht="13.2">
      <c r="G544" s="51"/>
      <c r="H544" s="51"/>
    </row>
    <row r="545" spans="7:8" ht="13.2">
      <c r="G545" s="51"/>
      <c r="H545" s="51"/>
    </row>
    <row r="546" spans="7:8" ht="13.2">
      <c r="G546" s="51"/>
      <c r="H546" s="51"/>
    </row>
    <row r="547" spans="7:8" ht="13.2">
      <c r="G547" s="51"/>
      <c r="H547" s="51"/>
    </row>
    <row r="548" spans="7:8" ht="13.2">
      <c r="G548" s="51"/>
      <c r="H548" s="51"/>
    </row>
    <row r="549" spans="7:8" ht="13.2">
      <c r="G549" s="51"/>
      <c r="H549" s="51"/>
    </row>
    <row r="550" spans="7:8" ht="13.2">
      <c r="G550" s="51"/>
      <c r="H550" s="51"/>
    </row>
    <row r="551" spans="7:8" ht="13.2">
      <c r="G551" s="51"/>
      <c r="H551" s="51"/>
    </row>
    <row r="552" spans="7:8" ht="13.2">
      <c r="G552" s="51"/>
      <c r="H552" s="51"/>
    </row>
    <row r="553" spans="7:8" ht="13.2">
      <c r="G553" s="51"/>
      <c r="H553" s="51"/>
    </row>
    <row r="554" spans="7:8" ht="13.2">
      <c r="G554" s="51"/>
      <c r="H554" s="51"/>
    </row>
    <row r="555" spans="7:8" ht="13.2">
      <c r="G555" s="51"/>
      <c r="H555" s="51"/>
    </row>
    <row r="556" spans="7:8" ht="13.2">
      <c r="G556" s="51"/>
      <c r="H556" s="51"/>
    </row>
    <row r="557" spans="7:8" ht="13.2">
      <c r="G557" s="51"/>
      <c r="H557" s="51"/>
    </row>
    <row r="558" spans="7:8" ht="13.2">
      <c r="G558" s="51"/>
      <c r="H558" s="51"/>
    </row>
    <row r="559" spans="7:8" ht="13.2">
      <c r="G559" s="51"/>
      <c r="H559" s="51"/>
    </row>
    <row r="560" spans="7:8" ht="13.2">
      <c r="G560" s="51"/>
      <c r="H560" s="51"/>
    </row>
    <row r="561" spans="7:8" ht="13.2">
      <c r="G561" s="51"/>
      <c r="H561" s="51"/>
    </row>
    <row r="562" spans="7:8" ht="13.2">
      <c r="G562" s="51"/>
      <c r="H562" s="51"/>
    </row>
    <row r="563" spans="7:8" ht="13.2">
      <c r="G563" s="51"/>
      <c r="H563" s="51"/>
    </row>
    <row r="564" spans="7:8" ht="13.2">
      <c r="G564" s="51"/>
      <c r="H564" s="51"/>
    </row>
    <row r="565" spans="7:8" ht="13.2">
      <c r="G565" s="51"/>
      <c r="H565" s="51"/>
    </row>
    <row r="566" spans="7:8" ht="13.2">
      <c r="G566" s="51"/>
      <c r="H566" s="51"/>
    </row>
    <row r="567" spans="7:8" ht="13.2">
      <c r="G567" s="51"/>
      <c r="H567" s="51"/>
    </row>
    <row r="568" spans="7:8" ht="13.2">
      <c r="G568" s="51"/>
      <c r="H568" s="51"/>
    </row>
    <row r="569" spans="7:8" ht="13.2">
      <c r="G569" s="51"/>
      <c r="H569" s="51"/>
    </row>
    <row r="570" spans="7:8" ht="13.2">
      <c r="G570" s="51"/>
      <c r="H570" s="51"/>
    </row>
    <row r="571" spans="7:8" ht="13.2">
      <c r="G571" s="51"/>
      <c r="H571" s="51"/>
    </row>
    <row r="572" spans="7:8" ht="13.2">
      <c r="G572" s="51"/>
      <c r="H572" s="51"/>
    </row>
    <row r="573" spans="7:8" ht="13.2">
      <c r="G573" s="51"/>
      <c r="H573" s="51"/>
    </row>
    <row r="574" spans="7:8" ht="13.2">
      <c r="G574" s="51"/>
      <c r="H574" s="51"/>
    </row>
    <row r="575" spans="7:8" ht="13.2">
      <c r="G575" s="51"/>
      <c r="H575" s="51"/>
    </row>
    <row r="576" spans="7:8" ht="13.2">
      <c r="G576" s="51"/>
      <c r="H576" s="51"/>
    </row>
    <row r="577" spans="7:8" ht="13.2">
      <c r="G577" s="51"/>
      <c r="H577" s="51"/>
    </row>
    <row r="578" spans="7:8" ht="13.2">
      <c r="G578" s="51"/>
      <c r="H578" s="51"/>
    </row>
    <row r="579" spans="7:8" ht="13.2">
      <c r="G579" s="51"/>
      <c r="H579" s="51"/>
    </row>
    <row r="580" spans="7:8" ht="13.2">
      <c r="G580" s="51"/>
      <c r="H580" s="51"/>
    </row>
    <row r="581" spans="7:8" ht="13.2">
      <c r="G581" s="51"/>
      <c r="H581" s="51"/>
    </row>
    <row r="582" spans="7:8" ht="13.2">
      <c r="G582" s="51"/>
      <c r="H582" s="51"/>
    </row>
    <row r="583" spans="7:8" ht="13.2">
      <c r="G583" s="51"/>
      <c r="H583" s="51"/>
    </row>
    <row r="584" spans="7:8" ht="13.2">
      <c r="G584" s="51"/>
      <c r="H584" s="51"/>
    </row>
    <row r="585" spans="7:8" ht="13.2">
      <c r="G585" s="51"/>
      <c r="H585" s="51"/>
    </row>
    <row r="586" spans="7:8" ht="13.2">
      <c r="G586" s="51"/>
      <c r="H586" s="51"/>
    </row>
    <row r="587" spans="7:8" ht="13.2">
      <c r="G587" s="51"/>
      <c r="H587" s="51"/>
    </row>
    <row r="588" spans="7:8" ht="13.2">
      <c r="G588" s="51"/>
      <c r="H588" s="51"/>
    </row>
    <row r="589" spans="7:8" ht="13.2">
      <c r="G589" s="51"/>
      <c r="H589" s="51"/>
    </row>
    <row r="590" spans="7:8" ht="13.2">
      <c r="G590" s="51"/>
      <c r="H590" s="51"/>
    </row>
    <row r="591" spans="7:8" ht="13.2">
      <c r="G591" s="51"/>
      <c r="H591" s="51"/>
    </row>
    <row r="592" spans="7:8" ht="13.2">
      <c r="G592" s="51"/>
      <c r="H592" s="51"/>
    </row>
    <row r="593" spans="7:8" ht="13.2">
      <c r="G593" s="51"/>
      <c r="H593" s="51"/>
    </row>
    <row r="594" spans="7:8" ht="13.2">
      <c r="G594" s="51"/>
      <c r="H594" s="51"/>
    </row>
    <row r="595" spans="7:8" ht="13.2">
      <c r="G595" s="51"/>
      <c r="H595" s="51"/>
    </row>
    <row r="596" spans="7:8" ht="13.2">
      <c r="G596" s="51"/>
      <c r="H596" s="51"/>
    </row>
    <row r="597" spans="7:8" ht="13.2">
      <c r="G597" s="51"/>
      <c r="H597" s="51"/>
    </row>
    <row r="598" spans="7:8" ht="13.2">
      <c r="G598" s="51"/>
      <c r="H598" s="51"/>
    </row>
    <row r="599" spans="7:8" ht="13.2">
      <c r="G599" s="51"/>
      <c r="H599" s="51"/>
    </row>
    <row r="600" spans="7:8" ht="13.2">
      <c r="G600" s="51"/>
      <c r="H600" s="51"/>
    </row>
    <row r="601" spans="7:8" ht="13.2">
      <c r="G601" s="51"/>
      <c r="H601" s="51"/>
    </row>
    <row r="602" spans="7:8" ht="13.2">
      <c r="G602" s="51"/>
      <c r="H602" s="51"/>
    </row>
    <row r="603" spans="7:8" ht="13.2">
      <c r="G603" s="51"/>
      <c r="H603" s="51"/>
    </row>
    <row r="604" spans="7:8" ht="13.2">
      <c r="G604" s="51"/>
      <c r="H604" s="51"/>
    </row>
    <row r="605" spans="7:8" ht="13.2">
      <c r="G605" s="51"/>
      <c r="H605" s="51"/>
    </row>
    <row r="606" spans="7:8" ht="13.2">
      <c r="G606" s="51"/>
      <c r="H606" s="51"/>
    </row>
    <row r="607" spans="7:8" ht="13.2">
      <c r="G607" s="51"/>
      <c r="H607" s="51"/>
    </row>
    <row r="608" spans="7:8" ht="13.2">
      <c r="G608" s="51"/>
      <c r="H608" s="51"/>
    </row>
    <row r="609" spans="7:8" ht="13.2">
      <c r="G609" s="51"/>
      <c r="H609" s="51"/>
    </row>
    <row r="610" spans="7:8" ht="13.2">
      <c r="G610" s="51"/>
      <c r="H610" s="51"/>
    </row>
    <row r="611" spans="7:8" ht="13.2">
      <c r="G611" s="51"/>
      <c r="H611" s="51"/>
    </row>
    <row r="612" spans="7:8" ht="13.2">
      <c r="G612" s="51"/>
      <c r="H612" s="51"/>
    </row>
    <row r="613" spans="7:8" ht="13.2">
      <c r="G613" s="51"/>
      <c r="H613" s="51"/>
    </row>
    <row r="614" spans="7:8" ht="13.2">
      <c r="G614" s="51"/>
      <c r="H614" s="51"/>
    </row>
    <row r="615" spans="7:8" ht="13.2">
      <c r="G615" s="51"/>
      <c r="H615" s="51"/>
    </row>
    <row r="616" spans="7:8" ht="13.2">
      <c r="G616" s="51"/>
      <c r="H616" s="51"/>
    </row>
    <row r="617" spans="7:8" ht="13.2">
      <c r="G617" s="51"/>
      <c r="H617" s="51"/>
    </row>
    <row r="618" spans="7:8" ht="13.2">
      <c r="G618" s="51"/>
      <c r="H618" s="51"/>
    </row>
    <row r="619" spans="7:8" ht="13.2">
      <c r="G619" s="51"/>
      <c r="H619" s="51"/>
    </row>
    <row r="620" spans="7:8" ht="13.2">
      <c r="G620" s="51"/>
      <c r="H620" s="51"/>
    </row>
    <row r="621" spans="7:8" ht="13.2">
      <c r="G621" s="51"/>
      <c r="H621" s="51"/>
    </row>
    <row r="622" spans="7:8" ht="13.2">
      <c r="G622" s="51"/>
      <c r="H622" s="51"/>
    </row>
    <row r="623" spans="7:8" ht="13.2">
      <c r="G623" s="51"/>
      <c r="H623" s="51"/>
    </row>
    <row r="624" spans="7:8" ht="13.2">
      <c r="G624" s="51"/>
      <c r="H624" s="51"/>
    </row>
    <row r="625" spans="7:8" ht="13.2">
      <c r="G625" s="51"/>
      <c r="H625" s="51"/>
    </row>
    <row r="626" spans="7:8" ht="13.2">
      <c r="G626" s="51"/>
      <c r="H626" s="51"/>
    </row>
    <row r="627" spans="7:8" ht="13.2">
      <c r="G627" s="51"/>
      <c r="H627" s="51"/>
    </row>
    <row r="628" spans="7:8" ht="13.2">
      <c r="G628" s="51"/>
      <c r="H628" s="51"/>
    </row>
    <row r="629" spans="7:8" ht="13.2">
      <c r="G629" s="51"/>
      <c r="H629" s="51"/>
    </row>
    <row r="630" spans="7:8" ht="13.2">
      <c r="G630" s="51"/>
      <c r="H630" s="51"/>
    </row>
    <row r="631" spans="7:8" ht="13.2">
      <c r="G631" s="51"/>
      <c r="H631" s="51"/>
    </row>
    <row r="632" spans="7:8" ht="13.2">
      <c r="G632" s="51"/>
      <c r="H632" s="51"/>
    </row>
    <row r="633" spans="7:8" ht="13.2">
      <c r="G633" s="51"/>
      <c r="H633" s="51"/>
    </row>
    <row r="634" spans="7:8" ht="13.2">
      <c r="G634" s="51"/>
      <c r="H634" s="51"/>
    </row>
    <row r="635" spans="7:8" ht="13.2">
      <c r="G635" s="51"/>
      <c r="H635" s="51"/>
    </row>
    <row r="636" spans="7:8" ht="13.2">
      <c r="G636" s="51"/>
      <c r="H636" s="51"/>
    </row>
    <row r="637" spans="7:8" ht="13.2">
      <c r="G637" s="51"/>
      <c r="H637" s="51"/>
    </row>
    <row r="638" spans="7:8" ht="13.2">
      <c r="G638" s="51"/>
      <c r="H638" s="51"/>
    </row>
    <row r="639" spans="7:8" ht="13.2">
      <c r="G639" s="51"/>
      <c r="H639" s="51"/>
    </row>
    <row r="640" spans="7:8" ht="13.2">
      <c r="G640" s="51"/>
      <c r="H640" s="51"/>
    </row>
    <row r="641" spans="7:8" ht="13.2">
      <c r="G641" s="51"/>
      <c r="H641" s="51"/>
    </row>
    <row r="642" spans="7:8" ht="13.2">
      <c r="G642" s="51"/>
      <c r="H642" s="51"/>
    </row>
    <row r="643" spans="7:8" ht="13.2">
      <c r="G643" s="51"/>
      <c r="H643" s="51"/>
    </row>
    <row r="644" spans="7:8" ht="13.2">
      <c r="G644" s="51"/>
      <c r="H644" s="51"/>
    </row>
    <row r="645" spans="7:8" ht="13.2">
      <c r="G645" s="51"/>
      <c r="H645" s="51"/>
    </row>
    <row r="646" spans="7:8" ht="13.2">
      <c r="G646" s="51"/>
      <c r="H646" s="51"/>
    </row>
    <row r="647" spans="7:8" ht="13.2">
      <c r="G647" s="51"/>
      <c r="H647" s="51"/>
    </row>
    <row r="648" spans="7:8" ht="13.2">
      <c r="G648" s="51"/>
      <c r="H648" s="51"/>
    </row>
    <row r="649" spans="7:8" ht="13.2">
      <c r="G649" s="51"/>
      <c r="H649" s="51"/>
    </row>
    <row r="650" spans="7:8" ht="13.2">
      <c r="G650" s="51"/>
      <c r="H650" s="51"/>
    </row>
    <row r="651" spans="7:8" ht="13.2">
      <c r="G651" s="51"/>
      <c r="H651" s="51"/>
    </row>
    <row r="652" spans="7:8" ht="13.2">
      <c r="G652" s="51"/>
      <c r="H652" s="51"/>
    </row>
    <row r="653" spans="7:8" ht="13.2">
      <c r="G653" s="51"/>
      <c r="H653" s="51"/>
    </row>
    <row r="654" spans="7:8" ht="13.2">
      <c r="G654" s="51"/>
      <c r="H654" s="51"/>
    </row>
    <row r="655" spans="7:8" ht="13.2">
      <c r="G655" s="51"/>
      <c r="H655" s="51"/>
    </row>
    <row r="656" spans="7:8" ht="13.2">
      <c r="G656" s="51"/>
      <c r="H656" s="51"/>
    </row>
    <row r="657" spans="7:8" ht="13.2">
      <c r="G657" s="51"/>
      <c r="H657" s="51"/>
    </row>
    <row r="658" spans="7:8" ht="13.2">
      <c r="G658" s="51"/>
      <c r="H658" s="51"/>
    </row>
    <row r="659" spans="7:8" ht="13.2">
      <c r="G659" s="51"/>
      <c r="H659" s="51"/>
    </row>
    <row r="660" spans="7:8" ht="13.2">
      <c r="G660" s="51"/>
      <c r="H660" s="51"/>
    </row>
    <row r="661" spans="7:8" ht="13.2">
      <c r="G661" s="51"/>
      <c r="H661" s="51"/>
    </row>
    <row r="662" spans="7:8" ht="13.2">
      <c r="G662" s="51"/>
      <c r="H662" s="51"/>
    </row>
    <row r="663" spans="7:8" ht="13.2">
      <c r="G663" s="51"/>
      <c r="H663" s="51"/>
    </row>
    <row r="664" spans="7:8" ht="13.2">
      <c r="G664" s="51"/>
      <c r="H664" s="51"/>
    </row>
    <row r="665" spans="7:8" ht="13.2">
      <c r="G665" s="51"/>
      <c r="H665" s="51"/>
    </row>
    <row r="666" spans="7:8" ht="13.2">
      <c r="G666" s="51"/>
      <c r="H666" s="51"/>
    </row>
    <row r="667" spans="7:8" ht="13.2">
      <c r="G667" s="51"/>
      <c r="H667" s="51"/>
    </row>
    <row r="668" spans="7:8" ht="13.2">
      <c r="G668" s="51"/>
      <c r="H668" s="51"/>
    </row>
    <row r="669" spans="7:8" ht="13.2">
      <c r="G669" s="51"/>
      <c r="H669" s="51"/>
    </row>
    <row r="670" spans="7:8" ht="13.2">
      <c r="G670" s="51"/>
      <c r="H670" s="51"/>
    </row>
    <row r="671" spans="7:8" ht="13.2">
      <c r="G671" s="51"/>
      <c r="H671" s="51"/>
    </row>
    <row r="672" spans="7:8" ht="13.2">
      <c r="G672" s="51"/>
      <c r="H672" s="51"/>
    </row>
    <row r="673" spans="7:8" ht="13.2">
      <c r="G673" s="51"/>
      <c r="H673" s="51"/>
    </row>
    <row r="674" spans="7:8" ht="13.2">
      <c r="G674" s="51"/>
      <c r="H674" s="51"/>
    </row>
    <row r="675" spans="7:8" ht="13.2">
      <c r="G675" s="51"/>
      <c r="H675" s="51"/>
    </row>
    <row r="676" spans="7:8" ht="13.2">
      <c r="G676" s="51"/>
      <c r="H676" s="51"/>
    </row>
    <row r="677" spans="7:8" ht="13.2">
      <c r="G677" s="51"/>
      <c r="H677" s="51"/>
    </row>
    <row r="678" spans="7:8" ht="13.2">
      <c r="G678" s="51"/>
      <c r="H678" s="51"/>
    </row>
    <row r="679" spans="7:8" ht="13.2">
      <c r="G679" s="51"/>
      <c r="H679" s="51"/>
    </row>
    <row r="680" spans="7:8" ht="13.2">
      <c r="G680" s="51"/>
      <c r="H680" s="51"/>
    </row>
    <row r="681" spans="7:8" ht="13.2">
      <c r="G681" s="51"/>
      <c r="H681" s="51"/>
    </row>
    <row r="682" spans="7:8" ht="13.2">
      <c r="G682" s="51"/>
      <c r="H682" s="51"/>
    </row>
    <row r="683" spans="7:8" ht="13.2">
      <c r="G683" s="51"/>
      <c r="H683" s="51"/>
    </row>
    <row r="684" spans="7:8" ht="13.2">
      <c r="G684" s="51"/>
      <c r="H684" s="51"/>
    </row>
    <row r="685" spans="7:8" ht="13.2">
      <c r="G685" s="51"/>
      <c r="H685" s="51"/>
    </row>
    <row r="686" spans="7:8" ht="13.2">
      <c r="G686" s="51"/>
      <c r="H686" s="51"/>
    </row>
    <row r="687" spans="7:8" ht="13.2">
      <c r="G687" s="51"/>
      <c r="H687" s="51"/>
    </row>
    <row r="688" spans="7:8" ht="13.2">
      <c r="G688" s="51"/>
      <c r="H688" s="51"/>
    </row>
    <row r="689" spans="7:8" ht="13.2">
      <c r="G689" s="51"/>
      <c r="H689" s="51"/>
    </row>
    <row r="690" spans="7:8" ht="13.2">
      <c r="G690" s="51"/>
      <c r="H690" s="51"/>
    </row>
    <row r="691" spans="7:8" ht="13.2">
      <c r="G691" s="51"/>
      <c r="H691" s="51"/>
    </row>
    <row r="692" spans="7:8" ht="13.2">
      <c r="G692" s="51"/>
      <c r="H692" s="51"/>
    </row>
    <row r="693" spans="7:8" ht="13.2">
      <c r="G693" s="51"/>
      <c r="H693" s="51"/>
    </row>
    <row r="694" spans="7:8" ht="13.2">
      <c r="G694" s="51"/>
      <c r="H694" s="51"/>
    </row>
    <row r="695" spans="7:8" ht="13.2">
      <c r="G695" s="51"/>
      <c r="H695" s="51"/>
    </row>
    <row r="696" spans="7:8" ht="13.2">
      <c r="G696" s="51"/>
      <c r="H696" s="51"/>
    </row>
    <row r="697" spans="7:8" ht="13.2">
      <c r="G697" s="51"/>
      <c r="H697" s="51"/>
    </row>
    <row r="698" spans="7:8" ht="13.2">
      <c r="G698" s="51"/>
      <c r="H698" s="51"/>
    </row>
    <row r="699" spans="7:8" ht="13.2">
      <c r="G699" s="51"/>
      <c r="H699" s="51"/>
    </row>
    <row r="700" spans="7:8" ht="13.2">
      <c r="G700" s="51"/>
      <c r="H700" s="51"/>
    </row>
    <row r="701" spans="7:8" ht="13.2">
      <c r="G701" s="51"/>
      <c r="H701" s="51"/>
    </row>
    <row r="702" spans="7:8" ht="13.2">
      <c r="G702" s="51"/>
      <c r="H702" s="51"/>
    </row>
    <row r="703" spans="7:8" ht="13.2">
      <c r="G703" s="51"/>
      <c r="H703" s="51"/>
    </row>
    <row r="704" spans="7:8" ht="13.2">
      <c r="G704" s="51"/>
      <c r="H704" s="51"/>
    </row>
    <row r="705" spans="7:8" ht="13.2">
      <c r="G705" s="51"/>
      <c r="H705" s="51"/>
    </row>
    <row r="706" spans="7:8" ht="13.2">
      <c r="G706" s="51"/>
      <c r="H706" s="51"/>
    </row>
    <row r="707" spans="7:8" ht="13.2">
      <c r="G707" s="51"/>
      <c r="H707" s="51"/>
    </row>
    <row r="708" spans="7:8" ht="13.2">
      <c r="G708" s="51"/>
      <c r="H708" s="51"/>
    </row>
    <row r="709" spans="7:8" ht="13.2">
      <c r="G709" s="51"/>
      <c r="H709" s="51"/>
    </row>
    <row r="710" spans="7:8" ht="13.2">
      <c r="G710" s="51"/>
      <c r="H710" s="51"/>
    </row>
    <row r="711" spans="7:8" ht="13.2">
      <c r="G711" s="51"/>
      <c r="H711" s="51"/>
    </row>
    <row r="712" spans="7:8" ht="13.2">
      <c r="G712" s="51"/>
      <c r="H712" s="51"/>
    </row>
    <row r="713" spans="7:8" ht="13.2">
      <c r="G713" s="51"/>
      <c r="H713" s="51"/>
    </row>
    <row r="714" spans="7:8" ht="13.2">
      <c r="G714" s="51"/>
      <c r="H714" s="51"/>
    </row>
    <row r="715" spans="7:8" ht="13.2">
      <c r="G715" s="51"/>
      <c r="H715" s="51"/>
    </row>
    <row r="716" spans="7:8" ht="13.2">
      <c r="G716" s="51"/>
      <c r="H716" s="51"/>
    </row>
    <row r="717" spans="7:8" ht="13.2">
      <c r="G717" s="51"/>
      <c r="H717" s="51"/>
    </row>
    <row r="718" spans="7:8" ht="13.2">
      <c r="G718" s="51"/>
      <c r="H718" s="51"/>
    </row>
    <row r="719" spans="7:8" ht="13.2">
      <c r="G719" s="51"/>
      <c r="H719" s="51"/>
    </row>
    <row r="720" spans="7:8" ht="13.2">
      <c r="G720" s="51"/>
      <c r="H720" s="51"/>
    </row>
    <row r="721" spans="7:8" ht="13.2">
      <c r="G721" s="51"/>
      <c r="H721" s="51"/>
    </row>
    <row r="722" spans="7:8" ht="13.2">
      <c r="G722" s="51"/>
      <c r="H722" s="51"/>
    </row>
    <row r="723" spans="7:8" ht="13.2">
      <c r="G723" s="51"/>
      <c r="H723" s="51"/>
    </row>
    <row r="724" spans="7:8" ht="13.2">
      <c r="G724" s="51"/>
      <c r="H724" s="51"/>
    </row>
    <row r="725" spans="7:8" ht="13.2">
      <c r="G725" s="51"/>
      <c r="H725" s="51"/>
    </row>
    <row r="726" spans="7:8" ht="13.2">
      <c r="G726" s="51"/>
      <c r="H726" s="51"/>
    </row>
    <row r="727" spans="7:8" ht="13.2">
      <c r="G727" s="51"/>
      <c r="H727" s="51"/>
    </row>
    <row r="728" spans="7:8" ht="13.2">
      <c r="G728" s="51"/>
      <c r="H728" s="51"/>
    </row>
    <row r="729" spans="7:8" ht="13.2">
      <c r="G729" s="51"/>
      <c r="H729" s="51"/>
    </row>
    <row r="730" spans="7:8" ht="13.2">
      <c r="G730" s="51"/>
      <c r="H730" s="51"/>
    </row>
    <row r="731" spans="7:8" ht="13.2">
      <c r="G731" s="51"/>
      <c r="H731" s="51"/>
    </row>
    <row r="732" spans="7:8" ht="13.2">
      <c r="G732" s="51"/>
      <c r="H732" s="51"/>
    </row>
    <row r="733" spans="7:8" ht="13.2">
      <c r="G733" s="51"/>
      <c r="H733" s="51"/>
    </row>
    <row r="734" spans="7:8" ht="13.2">
      <c r="G734" s="51"/>
      <c r="H734" s="51"/>
    </row>
    <row r="735" spans="7:8" ht="13.2">
      <c r="G735" s="51"/>
      <c r="H735" s="51"/>
    </row>
    <row r="736" spans="7:8" ht="13.2">
      <c r="G736" s="51"/>
      <c r="H736" s="51"/>
    </row>
    <row r="737" spans="7:8" ht="13.2">
      <c r="G737" s="51"/>
      <c r="H737" s="51"/>
    </row>
    <row r="738" spans="7:8" ht="13.2">
      <c r="G738" s="51"/>
      <c r="H738" s="51"/>
    </row>
    <row r="739" spans="7:8" ht="13.2">
      <c r="G739" s="51"/>
      <c r="H739" s="51"/>
    </row>
    <row r="740" spans="7:8" ht="13.2">
      <c r="G740" s="51"/>
      <c r="H740" s="51"/>
    </row>
    <row r="741" spans="7:8" ht="13.2">
      <c r="G741" s="51"/>
      <c r="H741" s="51"/>
    </row>
    <row r="742" spans="7:8" ht="13.2">
      <c r="G742" s="51"/>
      <c r="H742" s="51"/>
    </row>
    <row r="743" spans="7:8" ht="13.2">
      <c r="G743" s="51"/>
      <c r="H743" s="51"/>
    </row>
    <row r="744" spans="7:8" ht="13.2">
      <c r="G744" s="51"/>
      <c r="H744" s="51"/>
    </row>
    <row r="745" spans="7:8" ht="13.2">
      <c r="G745" s="51"/>
      <c r="H745" s="51"/>
    </row>
    <row r="746" spans="7:8" ht="13.2">
      <c r="G746" s="51"/>
      <c r="H746" s="51"/>
    </row>
    <row r="747" spans="7:8" ht="13.2">
      <c r="G747" s="51"/>
      <c r="H747" s="51"/>
    </row>
    <row r="748" spans="7:8" ht="13.2">
      <c r="G748" s="51"/>
      <c r="H748" s="51"/>
    </row>
    <row r="749" spans="7:8" ht="13.2">
      <c r="G749" s="51"/>
      <c r="H749" s="51"/>
    </row>
    <row r="750" spans="7:8" ht="13.2">
      <c r="G750" s="51"/>
      <c r="H750" s="51"/>
    </row>
    <row r="751" spans="7:8" ht="13.2">
      <c r="G751" s="51"/>
      <c r="H751" s="51"/>
    </row>
    <row r="752" spans="7:8" ht="13.2">
      <c r="G752" s="51"/>
      <c r="H752" s="51"/>
    </row>
    <row r="753" spans="7:8" ht="13.2">
      <c r="G753" s="51"/>
      <c r="H753" s="51"/>
    </row>
    <row r="754" spans="7:8" ht="13.2">
      <c r="G754" s="51"/>
      <c r="H754" s="51"/>
    </row>
    <row r="755" spans="7:8" ht="13.2">
      <c r="G755" s="51"/>
      <c r="H755" s="51"/>
    </row>
    <row r="756" spans="7:8" ht="13.2">
      <c r="G756" s="51"/>
      <c r="H756" s="51"/>
    </row>
    <row r="757" spans="7:8" ht="13.2">
      <c r="G757" s="51"/>
      <c r="H757" s="51"/>
    </row>
    <row r="758" spans="7:8" ht="13.2">
      <c r="G758" s="51"/>
      <c r="H758" s="51"/>
    </row>
    <row r="759" spans="7:8" ht="13.2">
      <c r="G759" s="51"/>
      <c r="H759" s="51"/>
    </row>
    <row r="760" spans="7:8" ht="13.2">
      <c r="G760" s="51"/>
      <c r="H760" s="51"/>
    </row>
    <row r="761" spans="7:8" ht="13.2">
      <c r="G761" s="51"/>
      <c r="H761" s="51"/>
    </row>
    <row r="762" spans="7:8" ht="13.2">
      <c r="G762" s="51"/>
      <c r="H762" s="51"/>
    </row>
    <row r="763" spans="7:8" ht="13.2">
      <c r="G763" s="51"/>
      <c r="H763" s="51"/>
    </row>
    <row r="764" spans="7:8" ht="13.2">
      <c r="G764" s="51"/>
      <c r="H764" s="51"/>
    </row>
    <row r="765" spans="7:8" ht="13.2">
      <c r="G765" s="51"/>
      <c r="H765" s="51"/>
    </row>
    <row r="766" spans="7:8" ht="13.2">
      <c r="G766" s="51"/>
      <c r="H766" s="51"/>
    </row>
    <row r="767" spans="7:8" ht="13.2">
      <c r="G767" s="51"/>
      <c r="H767" s="51"/>
    </row>
    <row r="768" spans="7:8" ht="13.2">
      <c r="G768" s="51"/>
      <c r="H768" s="51"/>
    </row>
    <row r="769" spans="7:8" ht="13.2">
      <c r="G769" s="51"/>
      <c r="H769" s="51"/>
    </row>
    <row r="770" spans="7:8" ht="13.2">
      <c r="G770" s="51"/>
      <c r="H770" s="51"/>
    </row>
    <row r="771" spans="7:8" ht="13.2">
      <c r="G771" s="51"/>
      <c r="H771" s="51"/>
    </row>
    <row r="772" spans="7:8" ht="13.2">
      <c r="G772" s="51"/>
      <c r="H772" s="51"/>
    </row>
    <row r="773" spans="7:8" ht="13.2">
      <c r="G773" s="51"/>
      <c r="H773" s="51"/>
    </row>
    <row r="774" spans="7:8" ht="13.2">
      <c r="G774" s="51"/>
      <c r="H774" s="51"/>
    </row>
    <row r="775" spans="7:8" ht="13.2">
      <c r="G775" s="51"/>
      <c r="H775" s="51"/>
    </row>
    <row r="776" spans="7:8" ht="13.2">
      <c r="G776" s="51"/>
      <c r="H776" s="51"/>
    </row>
    <row r="777" spans="7:8" ht="13.2">
      <c r="G777" s="51"/>
      <c r="H777" s="51"/>
    </row>
    <row r="778" spans="7:8" ht="13.2">
      <c r="G778" s="51"/>
      <c r="H778" s="51"/>
    </row>
    <row r="779" spans="7:8" ht="13.2">
      <c r="G779" s="51"/>
      <c r="H779" s="51"/>
    </row>
    <row r="780" spans="7:8" ht="13.2">
      <c r="G780" s="51"/>
      <c r="H780" s="51"/>
    </row>
    <row r="781" spans="7:8" ht="13.2">
      <c r="G781" s="51"/>
      <c r="H781" s="51"/>
    </row>
    <row r="782" spans="7:8" ht="13.2">
      <c r="G782" s="51"/>
      <c r="H782" s="51"/>
    </row>
    <row r="783" spans="7:8" ht="13.2">
      <c r="G783" s="51"/>
      <c r="H783" s="51"/>
    </row>
    <row r="784" spans="7:8" ht="13.2">
      <c r="G784" s="51"/>
      <c r="H784" s="51"/>
    </row>
    <row r="785" spans="7:8" ht="13.2">
      <c r="G785" s="51"/>
      <c r="H785" s="51"/>
    </row>
    <row r="786" spans="7:8" ht="13.2">
      <c r="G786" s="51"/>
      <c r="H786" s="51"/>
    </row>
    <row r="787" spans="7:8" ht="13.2">
      <c r="G787" s="51"/>
      <c r="H787" s="51"/>
    </row>
    <row r="788" spans="7:8" ht="13.2">
      <c r="G788" s="51"/>
      <c r="H788" s="51"/>
    </row>
    <row r="789" spans="7:8" ht="13.2">
      <c r="G789" s="51"/>
      <c r="H789" s="51"/>
    </row>
    <row r="790" spans="7:8" ht="13.2">
      <c r="G790" s="51"/>
      <c r="H790" s="51"/>
    </row>
    <row r="791" spans="7:8" ht="13.2">
      <c r="G791" s="51"/>
      <c r="H791" s="51"/>
    </row>
    <row r="792" spans="7:8" ht="13.2">
      <c r="G792" s="51"/>
      <c r="H792" s="51"/>
    </row>
    <row r="793" spans="7:8" ht="13.2">
      <c r="G793" s="51"/>
      <c r="H793" s="51"/>
    </row>
    <row r="794" spans="7:8" ht="13.2">
      <c r="G794" s="51"/>
      <c r="H794" s="51"/>
    </row>
    <row r="795" spans="7:8" ht="13.2">
      <c r="G795" s="51"/>
      <c r="H795" s="51"/>
    </row>
    <row r="796" spans="7:8" ht="13.2">
      <c r="G796" s="51"/>
      <c r="H796" s="51"/>
    </row>
    <row r="797" spans="7:8" ht="13.2">
      <c r="G797" s="51"/>
      <c r="H797" s="51"/>
    </row>
    <row r="798" spans="7:8" ht="13.2">
      <c r="G798" s="51"/>
      <c r="H798" s="51"/>
    </row>
    <row r="799" spans="7:8" ht="13.2">
      <c r="G799" s="51"/>
      <c r="H799" s="51"/>
    </row>
    <row r="800" spans="7:8" ht="13.2">
      <c r="G800" s="51"/>
      <c r="H800" s="51"/>
    </row>
    <row r="801" spans="7:8" ht="13.2">
      <c r="G801" s="51"/>
      <c r="H801" s="51"/>
    </row>
    <row r="802" spans="7:8" ht="13.2">
      <c r="G802" s="51"/>
      <c r="H802" s="51"/>
    </row>
    <row r="803" spans="7:8" ht="13.2">
      <c r="G803" s="51"/>
      <c r="H803" s="51"/>
    </row>
    <row r="804" spans="7:8" ht="13.2">
      <c r="G804" s="51"/>
      <c r="H804" s="51"/>
    </row>
    <row r="805" spans="7:8" ht="13.2">
      <c r="G805" s="51"/>
      <c r="H805" s="51"/>
    </row>
    <row r="806" spans="7:8" ht="13.2">
      <c r="G806" s="51"/>
      <c r="H806" s="51"/>
    </row>
    <row r="807" spans="7:8" ht="13.2">
      <c r="G807" s="51"/>
      <c r="H807" s="51"/>
    </row>
    <row r="808" spans="7:8" ht="13.2">
      <c r="G808" s="51"/>
      <c r="H808" s="51"/>
    </row>
    <row r="809" spans="7:8" ht="13.2">
      <c r="G809" s="51"/>
      <c r="H809" s="51"/>
    </row>
    <row r="810" spans="7:8" ht="13.2">
      <c r="G810" s="51"/>
      <c r="H810" s="51"/>
    </row>
    <row r="811" spans="7:8" ht="13.2">
      <c r="G811" s="51"/>
      <c r="H811" s="51"/>
    </row>
    <row r="812" spans="7:8" ht="13.2">
      <c r="G812" s="51"/>
      <c r="H812" s="51"/>
    </row>
    <row r="813" spans="7:8" ht="13.2">
      <c r="G813" s="51"/>
      <c r="H813" s="51"/>
    </row>
    <row r="814" spans="7:8" ht="13.2">
      <c r="G814" s="51"/>
      <c r="H814" s="51"/>
    </row>
    <row r="815" spans="7:8" ht="13.2">
      <c r="G815" s="51"/>
      <c r="H815" s="51"/>
    </row>
    <row r="816" spans="7:8" ht="13.2">
      <c r="G816" s="51"/>
      <c r="H816" s="51"/>
    </row>
    <row r="817" spans="7:8" ht="13.2">
      <c r="G817" s="51"/>
      <c r="H817" s="51"/>
    </row>
    <row r="818" spans="7:8" ht="13.2">
      <c r="G818" s="51"/>
      <c r="H818" s="51"/>
    </row>
    <row r="819" spans="7:8" ht="13.2">
      <c r="G819" s="51"/>
      <c r="H819" s="51"/>
    </row>
    <row r="820" spans="7:8" ht="13.2">
      <c r="G820" s="51"/>
      <c r="H820" s="51"/>
    </row>
    <row r="821" spans="7:8" ht="13.2">
      <c r="G821" s="51"/>
      <c r="H821" s="51"/>
    </row>
    <row r="822" spans="7:8" ht="13.2">
      <c r="G822" s="51"/>
      <c r="H822" s="51"/>
    </row>
    <row r="823" spans="7:8" ht="13.2">
      <c r="G823" s="51"/>
      <c r="H823" s="51"/>
    </row>
    <row r="824" spans="7:8" ht="13.2">
      <c r="G824" s="51"/>
      <c r="H824" s="51"/>
    </row>
    <row r="825" spans="7:8" ht="13.2">
      <c r="G825" s="51"/>
      <c r="H825" s="51"/>
    </row>
    <row r="826" spans="7:8" ht="13.2">
      <c r="G826" s="51"/>
      <c r="H826" s="51"/>
    </row>
    <row r="827" spans="7:8" ht="13.2">
      <c r="G827" s="51"/>
      <c r="H827" s="51"/>
    </row>
    <row r="828" spans="7:8" ht="13.2">
      <c r="G828" s="51"/>
      <c r="H828" s="51"/>
    </row>
    <row r="829" spans="7:8" ht="13.2">
      <c r="G829" s="51"/>
      <c r="H829" s="51"/>
    </row>
    <row r="830" spans="7:8" ht="13.2">
      <c r="G830" s="51"/>
      <c r="H830" s="51"/>
    </row>
    <row r="831" spans="7:8" ht="13.2">
      <c r="G831" s="51"/>
      <c r="H831" s="51"/>
    </row>
    <row r="832" spans="7:8" ht="13.2">
      <c r="G832" s="51"/>
      <c r="H832" s="51"/>
    </row>
    <row r="833" spans="7:8" ht="13.2">
      <c r="G833" s="51"/>
      <c r="H833" s="51"/>
    </row>
    <row r="834" spans="7:8" ht="13.2">
      <c r="G834" s="51"/>
      <c r="H834" s="51"/>
    </row>
    <row r="835" spans="7:8" ht="13.2">
      <c r="G835" s="51"/>
      <c r="H835" s="51"/>
    </row>
    <row r="836" spans="7:8" ht="13.2">
      <c r="G836" s="51"/>
      <c r="H836" s="51"/>
    </row>
    <row r="837" spans="7:8" ht="13.2">
      <c r="G837" s="51"/>
      <c r="H837" s="51"/>
    </row>
    <row r="838" spans="7:8" ht="13.2">
      <c r="G838" s="51"/>
      <c r="H838" s="51"/>
    </row>
    <row r="839" spans="7:8" ht="13.2">
      <c r="G839" s="51"/>
      <c r="H839" s="51"/>
    </row>
    <row r="840" spans="7:8" ht="13.2">
      <c r="G840" s="51"/>
      <c r="H840" s="51"/>
    </row>
    <row r="841" spans="7:8" ht="13.2">
      <c r="G841" s="51"/>
      <c r="H841" s="51"/>
    </row>
    <row r="842" spans="7:8" ht="13.2">
      <c r="G842" s="51"/>
      <c r="H842" s="51"/>
    </row>
    <row r="843" spans="7:8" ht="13.2">
      <c r="G843" s="51"/>
      <c r="H843" s="51"/>
    </row>
    <row r="844" spans="7:8" ht="13.2">
      <c r="G844" s="51"/>
      <c r="H844" s="51"/>
    </row>
    <row r="845" spans="7:8" ht="13.2">
      <c r="G845" s="51"/>
      <c r="H845" s="51"/>
    </row>
    <row r="846" spans="7:8" ht="13.2">
      <c r="G846" s="51"/>
      <c r="H846" s="51"/>
    </row>
    <row r="847" spans="7:8" ht="13.2">
      <c r="G847" s="51"/>
      <c r="H847" s="51"/>
    </row>
    <row r="848" spans="7:8" ht="13.2">
      <c r="G848" s="51"/>
      <c r="H848" s="51"/>
    </row>
    <row r="849" spans="7:8" ht="13.2">
      <c r="G849" s="51"/>
      <c r="H849" s="51"/>
    </row>
    <row r="850" spans="7:8" ht="13.2">
      <c r="G850" s="51"/>
      <c r="H850" s="51"/>
    </row>
    <row r="851" spans="7:8" ht="13.2">
      <c r="G851" s="51"/>
      <c r="H851" s="51"/>
    </row>
    <row r="852" spans="7:8" ht="13.2">
      <c r="G852" s="51"/>
      <c r="H852" s="51"/>
    </row>
    <row r="853" spans="7:8" ht="13.2">
      <c r="G853" s="51"/>
      <c r="H853" s="51"/>
    </row>
    <row r="854" spans="7:8" ht="13.2">
      <c r="G854" s="51"/>
      <c r="H854" s="51"/>
    </row>
    <row r="855" spans="7:8" ht="13.2">
      <c r="G855" s="51"/>
      <c r="H855" s="51"/>
    </row>
    <row r="856" spans="7:8" ht="13.2">
      <c r="G856" s="51"/>
      <c r="H856" s="51"/>
    </row>
    <row r="857" spans="7:8" ht="13.2">
      <c r="G857" s="51"/>
      <c r="H857" s="51"/>
    </row>
    <row r="858" spans="7:8" ht="13.2">
      <c r="G858" s="51"/>
      <c r="H858" s="51"/>
    </row>
    <row r="859" spans="7:8" ht="13.2">
      <c r="G859" s="51"/>
      <c r="H859" s="51"/>
    </row>
    <row r="860" spans="7:8" ht="13.2">
      <c r="G860" s="51"/>
      <c r="H860" s="51"/>
    </row>
    <row r="861" spans="7:8" ht="13.2">
      <c r="G861" s="51"/>
      <c r="H861" s="51"/>
    </row>
    <row r="862" spans="7:8" ht="13.2">
      <c r="G862" s="51"/>
      <c r="H862" s="51"/>
    </row>
    <row r="863" spans="7:8" ht="13.2">
      <c r="G863" s="51"/>
      <c r="H863" s="51"/>
    </row>
    <row r="864" spans="7:8" ht="13.2">
      <c r="G864" s="51"/>
      <c r="H864" s="51"/>
    </row>
    <row r="865" spans="7:8" ht="13.2">
      <c r="G865" s="51"/>
      <c r="H865" s="51"/>
    </row>
    <row r="866" spans="7:8" ht="13.2">
      <c r="G866" s="51"/>
      <c r="H866" s="51"/>
    </row>
    <row r="867" spans="7:8" ht="13.2">
      <c r="G867" s="51"/>
      <c r="H867" s="51"/>
    </row>
    <row r="868" spans="7:8" ht="13.2">
      <c r="G868" s="51"/>
      <c r="H868" s="51"/>
    </row>
    <row r="869" spans="7:8" ht="13.2">
      <c r="G869" s="51"/>
      <c r="H869" s="51"/>
    </row>
    <row r="870" spans="7:8" ht="13.2">
      <c r="G870" s="51"/>
      <c r="H870" s="51"/>
    </row>
    <row r="871" spans="7:8" ht="13.2">
      <c r="G871" s="51"/>
      <c r="H871" s="51"/>
    </row>
    <row r="872" spans="7:8" ht="13.2">
      <c r="G872" s="51"/>
      <c r="H872" s="51"/>
    </row>
    <row r="873" spans="7:8" ht="13.2">
      <c r="G873" s="51"/>
      <c r="H873" s="51"/>
    </row>
    <row r="874" spans="7:8" ht="13.2">
      <c r="G874" s="51"/>
      <c r="H874" s="51"/>
    </row>
    <row r="875" spans="7:8" ht="13.2">
      <c r="G875" s="51"/>
      <c r="H875" s="51"/>
    </row>
    <row r="876" spans="7:8" ht="13.2">
      <c r="G876" s="51"/>
      <c r="H876" s="51"/>
    </row>
    <row r="877" spans="7:8" ht="13.2">
      <c r="G877" s="51"/>
      <c r="H877" s="51"/>
    </row>
    <row r="878" spans="7:8" ht="13.2">
      <c r="G878" s="51"/>
      <c r="H878" s="51"/>
    </row>
    <row r="879" spans="7:8" ht="13.2">
      <c r="G879" s="51"/>
      <c r="H879" s="51"/>
    </row>
    <row r="880" spans="7:8" ht="13.2">
      <c r="G880" s="51"/>
      <c r="H880" s="51"/>
    </row>
    <row r="881" spans="7:8" ht="13.2">
      <c r="G881" s="51"/>
      <c r="H881" s="51"/>
    </row>
    <row r="882" spans="7:8" ht="13.2">
      <c r="G882" s="51"/>
      <c r="H882" s="51"/>
    </row>
    <row r="883" spans="7:8" ht="13.2">
      <c r="G883" s="51"/>
      <c r="H883" s="51"/>
    </row>
    <row r="884" spans="7:8" ht="13.2">
      <c r="G884" s="51"/>
      <c r="H884" s="51"/>
    </row>
    <row r="885" spans="7:8" ht="13.2">
      <c r="G885" s="51"/>
      <c r="H885" s="51"/>
    </row>
    <row r="886" spans="7:8" ht="13.2">
      <c r="G886" s="51"/>
      <c r="H886" s="51"/>
    </row>
    <row r="887" spans="7:8" ht="13.2">
      <c r="G887" s="51"/>
      <c r="H887" s="51"/>
    </row>
    <row r="888" spans="7:8" ht="13.2">
      <c r="G888" s="51"/>
      <c r="H888" s="51"/>
    </row>
    <row r="889" spans="7:8" ht="13.2">
      <c r="G889" s="51"/>
      <c r="H889" s="51"/>
    </row>
    <row r="890" spans="7:8" ht="13.2">
      <c r="G890" s="51"/>
      <c r="H890" s="51"/>
    </row>
    <row r="891" spans="7:8" ht="13.2">
      <c r="G891" s="51"/>
      <c r="H891" s="51"/>
    </row>
    <row r="892" spans="7:8" ht="13.2">
      <c r="G892" s="51"/>
      <c r="H892" s="51"/>
    </row>
    <row r="893" spans="7:8" ht="13.2">
      <c r="G893" s="51"/>
      <c r="H893" s="51"/>
    </row>
    <row r="894" spans="7:8" ht="13.2">
      <c r="G894" s="51"/>
      <c r="H894" s="51"/>
    </row>
    <row r="895" spans="7:8" ht="13.2">
      <c r="G895" s="51"/>
      <c r="H895" s="51"/>
    </row>
    <row r="896" spans="7:8" ht="13.2">
      <c r="G896" s="51"/>
      <c r="H896" s="51"/>
    </row>
    <row r="897" spans="7:8" ht="13.2">
      <c r="G897" s="51"/>
      <c r="H897" s="51"/>
    </row>
    <row r="898" spans="7:8" ht="13.2">
      <c r="G898" s="51"/>
      <c r="H898" s="51"/>
    </row>
    <row r="899" spans="7:8" ht="13.2">
      <c r="G899" s="51"/>
      <c r="H899" s="51"/>
    </row>
    <row r="900" spans="7:8" ht="13.2">
      <c r="G900" s="51"/>
      <c r="H900" s="51"/>
    </row>
    <row r="901" spans="7:8" ht="13.2">
      <c r="G901" s="51"/>
      <c r="H901" s="51"/>
    </row>
    <row r="902" spans="7:8" ht="13.2">
      <c r="G902" s="51"/>
      <c r="H902" s="51"/>
    </row>
    <row r="903" spans="7:8" ht="13.2">
      <c r="G903" s="51"/>
      <c r="H903" s="51"/>
    </row>
    <row r="904" spans="7:8" ht="13.2">
      <c r="G904" s="51"/>
      <c r="H904" s="51"/>
    </row>
    <row r="905" spans="7:8" ht="13.2">
      <c r="G905" s="51"/>
      <c r="H905" s="51"/>
    </row>
    <row r="906" spans="7:8" ht="13.2">
      <c r="G906" s="51"/>
      <c r="H906" s="51"/>
    </row>
    <row r="907" spans="7:8" ht="13.2">
      <c r="G907" s="51"/>
      <c r="H907" s="51"/>
    </row>
    <row r="908" spans="7:8" ht="13.2">
      <c r="G908" s="51"/>
      <c r="H908" s="51"/>
    </row>
    <row r="909" spans="7:8" ht="13.2">
      <c r="G909" s="51"/>
      <c r="H909" s="51"/>
    </row>
    <row r="910" spans="7:8" ht="13.2">
      <c r="G910" s="51"/>
      <c r="H910" s="51"/>
    </row>
    <row r="911" spans="7:8" ht="13.2">
      <c r="G911" s="51"/>
      <c r="H911" s="51"/>
    </row>
    <row r="912" spans="7:8" ht="13.2">
      <c r="G912" s="51"/>
      <c r="H912" s="51"/>
    </row>
    <row r="913" spans="7:8" ht="13.2">
      <c r="G913" s="51"/>
      <c r="H913" s="51"/>
    </row>
    <row r="914" spans="7:8" ht="13.2">
      <c r="G914" s="51"/>
      <c r="H914" s="51"/>
    </row>
    <row r="915" spans="7:8" ht="13.2">
      <c r="G915" s="51"/>
      <c r="H915" s="51"/>
    </row>
    <row r="916" spans="7:8" ht="13.2">
      <c r="G916" s="51"/>
      <c r="H916" s="51"/>
    </row>
    <row r="917" spans="7:8" ht="13.2">
      <c r="G917" s="51"/>
      <c r="H917" s="51"/>
    </row>
    <row r="918" spans="7:8" ht="13.2">
      <c r="G918" s="51"/>
      <c r="H918" s="51"/>
    </row>
    <row r="919" spans="7:8" ht="13.2">
      <c r="G919" s="51"/>
      <c r="H919" s="51"/>
    </row>
    <row r="920" spans="7:8" ht="13.2">
      <c r="G920" s="51"/>
      <c r="H920" s="51"/>
    </row>
    <row r="921" spans="7:8" ht="13.2">
      <c r="G921" s="51"/>
      <c r="H921" s="51"/>
    </row>
    <row r="922" spans="7:8" ht="13.2">
      <c r="G922" s="51"/>
      <c r="H922" s="51"/>
    </row>
    <row r="923" spans="7:8" ht="13.2">
      <c r="G923" s="51"/>
      <c r="H923" s="51"/>
    </row>
    <row r="924" spans="7:8" ht="13.2">
      <c r="G924" s="51"/>
      <c r="H924" s="51"/>
    </row>
    <row r="925" spans="7:8" ht="13.2">
      <c r="G925" s="51"/>
      <c r="H925" s="51"/>
    </row>
    <row r="926" spans="7:8" ht="13.2">
      <c r="G926" s="51"/>
      <c r="H926" s="51"/>
    </row>
    <row r="927" spans="7:8" ht="13.2">
      <c r="G927" s="51"/>
      <c r="H927" s="51"/>
    </row>
    <row r="928" spans="7:8" ht="13.2">
      <c r="G928" s="51"/>
      <c r="H928" s="51"/>
    </row>
    <row r="929" spans="7:8" ht="13.2">
      <c r="G929" s="51"/>
      <c r="H929" s="51"/>
    </row>
    <row r="930" spans="7:8" ht="13.2">
      <c r="G930" s="51"/>
      <c r="H930" s="51"/>
    </row>
    <row r="931" spans="7:8" ht="13.2">
      <c r="G931" s="51"/>
      <c r="H931" s="51"/>
    </row>
    <row r="932" spans="7:8" ht="13.2">
      <c r="G932" s="51"/>
      <c r="H932" s="51"/>
    </row>
    <row r="933" spans="7:8" ht="13.2">
      <c r="G933" s="51"/>
      <c r="H933" s="51"/>
    </row>
    <row r="934" spans="7:8" ht="13.2">
      <c r="G934" s="51"/>
      <c r="H934" s="51"/>
    </row>
    <row r="935" spans="7:8" ht="13.2">
      <c r="G935" s="51"/>
      <c r="H935" s="51"/>
    </row>
    <row r="936" spans="7:8" ht="13.2">
      <c r="G936" s="51"/>
      <c r="H936" s="51"/>
    </row>
    <row r="937" spans="7:8" ht="13.2">
      <c r="G937" s="51"/>
      <c r="H937" s="51"/>
    </row>
    <row r="938" spans="7:8" ht="13.2">
      <c r="G938" s="51"/>
      <c r="H938" s="51"/>
    </row>
    <row r="939" spans="7:8" ht="13.2">
      <c r="G939" s="51"/>
      <c r="H939" s="51"/>
    </row>
    <row r="940" spans="7:8" ht="13.2">
      <c r="G940" s="51"/>
      <c r="H940" s="51"/>
    </row>
    <row r="941" spans="7:8" ht="13.2">
      <c r="G941" s="51"/>
      <c r="H941" s="51"/>
    </row>
    <row r="942" spans="7:8" ht="13.2">
      <c r="G942" s="51"/>
      <c r="H942" s="51"/>
    </row>
    <row r="943" spans="7:8" ht="13.2">
      <c r="G943" s="51"/>
      <c r="H943" s="51"/>
    </row>
    <row r="944" spans="7:8" ht="13.2">
      <c r="G944" s="51"/>
      <c r="H944" s="51"/>
    </row>
    <row r="945" spans="7:8" ht="13.2">
      <c r="G945" s="51"/>
      <c r="H945" s="51"/>
    </row>
    <row r="946" spans="7:8" ht="13.2">
      <c r="G946" s="51"/>
      <c r="H946" s="51"/>
    </row>
    <row r="947" spans="7:8" ht="13.2">
      <c r="G947" s="51"/>
      <c r="H947" s="51"/>
    </row>
    <row r="948" spans="7:8" ht="13.2">
      <c r="G948" s="51"/>
      <c r="H948" s="51"/>
    </row>
    <row r="949" spans="7:8" ht="13.2">
      <c r="G949" s="51"/>
      <c r="H949" s="51"/>
    </row>
    <row r="950" spans="7:8" ht="13.2">
      <c r="G950" s="51"/>
      <c r="H950" s="51"/>
    </row>
    <row r="951" spans="7:8" ht="13.2">
      <c r="G951" s="51"/>
      <c r="H951" s="51"/>
    </row>
    <row r="952" spans="7:8" ht="13.2">
      <c r="G952" s="51"/>
      <c r="H952" s="51"/>
    </row>
    <row r="953" spans="7:8" ht="13.2">
      <c r="G953" s="51"/>
      <c r="H953" s="51"/>
    </row>
    <row r="954" spans="7:8" ht="13.2">
      <c r="G954" s="51"/>
      <c r="H954" s="51"/>
    </row>
    <row r="955" spans="7:8" ht="13.2">
      <c r="G955" s="51"/>
      <c r="H955" s="51"/>
    </row>
    <row r="956" spans="7:8" ht="13.2">
      <c r="G956" s="51"/>
      <c r="H956" s="51"/>
    </row>
    <row r="957" spans="7:8" ht="13.2">
      <c r="G957" s="51"/>
      <c r="H957" s="51"/>
    </row>
    <row r="958" spans="7:8" ht="13.2">
      <c r="G958" s="51"/>
      <c r="H958" s="51"/>
    </row>
    <row r="959" spans="7:8" ht="13.2">
      <c r="G959" s="51"/>
      <c r="H959" s="51"/>
    </row>
    <row r="960" spans="7:8" ht="13.2">
      <c r="G960" s="51"/>
      <c r="H960" s="51"/>
    </row>
    <row r="961" spans="7:8" ht="13.2">
      <c r="G961" s="51"/>
      <c r="H961" s="51"/>
    </row>
    <row r="962" spans="7:8" ht="13.2">
      <c r="G962" s="51"/>
      <c r="H962" s="51"/>
    </row>
    <row r="963" spans="7:8" ht="13.2">
      <c r="G963" s="51"/>
      <c r="H963" s="51"/>
    </row>
    <row r="964" spans="7:8" ht="13.2">
      <c r="G964" s="51"/>
      <c r="H964" s="51"/>
    </row>
    <row r="965" spans="7:8" ht="13.2">
      <c r="G965" s="51"/>
      <c r="H965" s="51"/>
    </row>
    <row r="966" spans="7:8" ht="13.2">
      <c r="G966" s="51"/>
      <c r="H966" s="51"/>
    </row>
    <row r="967" spans="7:8" ht="13.2">
      <c r="G967" s="51"/>
      <c r="H967" s="51"/>
    </row>
    <row r="968" spans="7:8" ht="13.2">
      <c r="G968" s="51"/>
      <c r="H968" s="51"/>
    </row>
    <row r="969" spans="7:8" ht="13.2">
      <c r="G969" s="51"/>
      <c r="H969" s="51"/>
    </row>
    <row r="970" spans="7:8" ht="13.2">
      <c r="G970" s="51"/>
      <c r="H970" s="51"/>
    </row>
    <row r="971" spans="7:8" ht="13.2">
      <c r="G971" s="51"/>
      <c r="H971" s="51"/>
    </row>
    <row r="972" spans="7:8" ht="13.2">
      <c r="G972" s="51"/>
      <c r="H972" s="51"/>
    </row>
    <row r="973" spans="7:8" ht="13.2">
      <c r="G973" s="51"/>
      <c r="H973" s="51"/>
    </row>
    <row r="974" spans="7:8" ht="13.2">
      <c r="G974" s="51"/>
      <c r="H974" s="51"/>
    </row>
    <row r="975" spans="7:8" ht="13.2">
      <c r="G975" s="51"/>
      <c r="H975" s="51"/>
    </row>
    <row r="976" spans="7:8" ht="13.2">
      <c r="G976" s="51"/>
      <c r="H976" s="51"/>
    </row>
    <row r="977" spans="7:8" ht="13.2">
      <c r="G977" s="51"/>
      <c r="H977" s="51"/>
    </row>
    <row r="978" spans="7:8" ht="13.2">
      <c r="G978" s="51"/>
      <c r="H978" s="51"/>
    </row>
    <row r="979" spans="7:8" ht="13.2">
      <c r="G979" s="51"/>
      <c r="H979" s="51"/>
    </row>
    <row r="980" spans="7:8" ht="13.2">
      <c r="G980" s="51"/>
      <c r="H980" s="51"/>
    </row>
    <row r="981" spans="7:8" ht="13.2">
      <c r="G981" s="51"/>
      <c r="H981" s="51"/>
    </row>
    <row r="982" spans="7:8" ht="13.2">
      <c r="G982" s="51"/>
      <c r="H982" s="51"/>
    </row>
    <row r="983" spans="7:8" ht="13.2">
      <c r="G983" s="51"/>
      <c r="H983" s="51"/>
    </row>
    <row r="984" spans="7:8" ht="13.2">
      <c r="G984" s="51"/>
      <c r="H984" s="51"/>
    </row>
    <row r="985" spans="7:8" ht="13.2">
      <c r="G985" s="51"/>
      <c r="H985" s="51"/>
    </row>
    <row r="986" spans="7:8" ht="13.2">
      <c r="G986" s="51"/>
      <c r="H986" s="51"/>
    </row>
    <row r="987" spans="7:8" ht="13.2">
      <c r="G987" s="51"/>
      <c r="H987" s="51"/>
    </row>
    <row r="988" spans="7:8" ht="13.2">
      <c r="G988" s="51"/>
      <c r="H988" s="51"/>
    </row>
    <row r="989" spans="7:8" ht="13.2">
      <c r="G989" s="51"/>
      <c r="H989" s="51"/>
    </row>
    <row r="990" spans="7:8" ht="13.2">
      <c r="G990" s="51"/>
      <c r="H990" s="51"/>
    </row>
    <row r="991" spans="7:8" ht="13.2">
      <c r="G991" s="51"/>
      <c r="H991" s="51"/>
    </row>
    <row r="992" spans="7:8" ht="13.2">
      <c r="G992" s="51"/>
      <c r="H992" s="51"/>
    </row>
    <row r="993" spans="7:8" ht="13.2">
      <c r="G993" s="51"/>
      <c r="H993" s="51"/>
    </row>
    <row r="994" spans="7:8" ht="13.2">
      <c r="G994" s="51"/>
      <c r="H994" s="51"/>
    </row>
    <row r="995" spans="7:8" ht="13.2">
      <c r="G995" s="51"/>
      <c r="H995" s="51"/>
    </row>
    <row r="996" spans="7:8" ht="13.2">
      <c r="G996" s="51"/>
      <c r="H996" s="51"/>
    </row>
    <row r="997" spans="7:8" ht="13.2">
      <c r="G997" s="51"/>
      <c r="H997" s="51"/>
    </row>
    <row r="998" spans="7:8" ht="13.2">
      <c r="G998" s="51"/>
      <c r="H998" s="51"/>
    </row>
    <row r="999" spans="7:8" ht="13.2">
      <c r="G999" s="51"/>
      <c r="H999" s="51"/>
    </row>
    <row r="1000" spans="7:8" ht="13.2">
      <c r="G1000" s="51"/>
      <c r="H1000" s="51"/>
    </row>
    <row r="1001" spans="7:8" ht="13.2">
      <c r="G1001" s="51"/>
      <c r="H1001" s="51"/>
    </row>
    <row r="1002" spans="7:8" ht="13.2">
      <c r="G1002" s="51"/>
      <c r="H1002" s="51"/>
    </row>
    <row r="1003" spans="7:8" ht="13.2">
      <c r="G1003" s="51"/>
      <c r="H1003" s="51"/>
    </row>
    <row r="1004" spans="7:8" ht="13.2">
      <c r="G1004" s="51"/>
      <c r="H1004" s="51"/>
    </row>
    <row r="1005" spans="7:8" ht="13.2">
      <c r="G1005" s="51"/>
      <c r="H1005" s="51"/>
    </row>
    <row r="1006" spans="7:8" ht="13.2">
      <c r="G1006" s="51"/>
      <c r="H1006" s="51"/>
    </row>
    <row r="1007" spans="7:8" ht="13.2">
      <c r="G1007" s="51"/>
      <c r="H1007" s="51"/>
    </row>
    <row r="1008" spans="7:8" ht="13.2">
      <c r="G1008" s="51"/>
      <c r="H1008" s="51"/>
    </row>
    <row r="1009" spans="7:8" ht="13.2">
      <c r="G1009" s="51"/>
      <c r="H1009" s="51"/>
    </row>
    <row r="1010" spans="7:8" ht="13.2">
      <c r="G1010" s="51"/>
      <c r="H1010" s="51"/>
    </row>
    <row r="1011" spans="7:8" ht="13.2">
      <c r="G1011" s="51"/>
      <c r="H1011" s="51"/>
    </row>
    <row r="1012" spans="7:8" ht="13.2">
      <c r="G1012" s="51"/>
      <c r="H1012" s="51"/>
    </row>
    <row r="1013" spans="7:8" ht="13.2">
      <c r="G1013" s="51"/>
      <c r="H1013" s="51"/>
    </row>
    <row r="1014" spans="7:8" ht="13.2">
      <c r="G1014" s="51"/>
      <c r="H1014" s="51"/>
    </row>
    <row r="1015" spans="7:8" ht="13.2">
      <c r="G1015" s="51"/>
      <c r="H1015" s="51"/>
    </row>
    <row r="1016" spans="7:8" ht="13.2">
      <c r="G1016" s="51"/>
      <c r="H1016" s="51"/>
    </row>
    <row r="1017" spans="7:8" ht="13.2">
      <c r="G1017" s="51"/>
      <c r="H1017" s="51"/>
    </row>
    <row r="1018" spans="7:8" ht="13.2">
      <c r="G1018" s="51"/>
      <c r="H1018" s="51"/>
    </row>
    <row r="1019" spans="7:8" ht="13.2">
      <c r="G1019" s="51"/>
      <c r="H1019" s="51"/>
    </row>
    <row r="1020" spans="7:8" ht="13.2">
      <c r="G1020" s="51"/>
      <c r="H1020" s="51"/>
    </row>
    <row r="1021" spans="7:8" ht="13.2">
      <c r="G1021" s="51"/>
      <c r="H1021" s="51"/>
    </row>
    <row r="1022" spans="7:8" ht="13.2">
      <c r="G1022" s="51"/>
      <c r="H1022" s="51"/>
    </row>
    <row r="1023" spans="7:8" ht="13.2">
      <c r="G1023" s="51"/>
      <c r="H1023" s="51"/>
    </row>
    <row r="1024" spans="7:8" ht="13.2">
      <c r="G1024" s="51"/>
      <c r="H1024" s="51"/>
    </row>
    <row r="1025" spans="7:8" ht="13.2">
      <c r="G1025" s="51"/>
      <c r="H1025" s="51"/>
    </row>
    <row r="1026" spans="7:8" ht="13.2">
      <c r="G1026" s="51"/>
      <c r="H1026" s="51"/>
    </row>
    <row r="1027" spans="7:8" ht="13.2">
      <c r="G1027" s="51"/>
      <c r="H1027" s="51"/>
    </row>
    <row r="1028" spans="7:8" ht="13.2">
      <c r="G1028" s="51"/>
      <c r="H1028" s="51"/>
    </row>
    <row r="1029" spans="7:8" ht="13.2">
      <c r="G1029" s="51"/>
      <c r="H1029" s="51"/>
    </row>
    <row r="1030" spans="7:8" ht="13.2">
      <c r="G1030" s="51"/>
      <c r="H1030" s="51"/>
    </row>
    <row r="1031" spans="7:8" ht="13.2">
      <c r="G1031" s="51"/>
      <c r="H1031" s="51"/>
    </row>
    <row r="1032" spans="7:8" ht="13.2">
      <c r="G1032" s="51"/>
      <c r="H1032" s="51"/>
    </row>
    <row r="1033" spans="7:8" ht="13.2">
      <c r="G1033" s="51"/>
      <c r="H1033" s="51"/>
    </row>
    <row r="1034" spans="7:8" ht="13.2">
      <c r="G1034" s="51"/>
      <c r="H1034" s="51"/>
    </row>
    <row r="1035" spans="7:8" ht="13.2">
      <c r="G1035" s="51"/>
      <c r="H1035" s="51"/>
    </row>
    <row r="1036" spans="7:8" ht="13.2">
      <c r="G1036" s="51"/>
      <c r="H1036" s="51"/>
    </row>
    <row r="1037" spans="7:8" ht="13.2">
      <c r="G1037" s="51"/>
      <c r="H1037" s="51"/>
    </row>
    <row r="1038" spans="7:8" ht="13.2">
      <c r="G1038" s="51"/>
      <c r="H1038" s="51"/>
    </row>
    <row r="1039" spans="7:8" ht="13.2">
      <c r="G1039" s="51"/>
      <c r="H1039" s="51"/>
    </row>
    <row r="1040" spans="7:8" ht="13.2">
      <c r="G1040" s="51"/>
      <c r="H1040" s="51"/>
    </row>
    <row r="1041" spans="7:8" ht="13.2">
      <c r="G1041" s="51"/>
      <c r="H1041" s="51"/>
    </row>
    <row r="1042" spans="7:8" ht="13.2">
      <c r="G1042" s="51"/>
      <c r="H1042" s="51"/>
    </row>
    <row r="1043" spans="7:8" ht="13.2">
      <c r="G1043" s="51"/>
      <c r="H1043" s="51"/>
    </row>
    <row r="1044" spans="7:8" ht="13.2">
      <c r="G1044" s="51"/>
      <c r="H1044" s="51"/>
    </row>
    <row r="1045" spans="7:8" ht="13.2">
      <c r="G1045" s="51"/>
      <c r="H1045" s="51"/>
    </row>
    <row r="1046" spans="7:8" ht="13.2">
      <c r="G1046" s="51"/>
      <c r="H1046" s="51"/>
    </row>
    <row r="1047" spans="7:8" ht="13.2">
      <c r="G1047" s="51"/>
      <c r="H1047" s="51"/>
    </row>
    <row r="1048" spans="7:8" ht="13.2">
      <c r="G1048" s="51"/>
      <c r="H1048" s="51"/>
    </row>
    <row r="1049" spans="7:8" ht="13.2">
      <c r="G1049" s="51"/>
      <c r="H1049" s="51"/>
    </row>
    <row r="1050" spans="7:8" ht="13.2">
      <c r="G1050" s="51"/>
      <c r="H1050" s="51"/>
    </row>
    <row r="1051" spans="7:8" ht="13.2">
      <c r="G1051" s="51"/>
      <c r="H1051" s="51"/>
    </row>
    <row r="1052" spans="7:8" ht="13.2">
      <c r="G1052" s="51"/>
      <c r="H1052" s="51"/>
    </row>
    <row r="1053" spans="7:8" ht="13.2">
      <c r="G1053" s="51"/>
      <c r="H1053" s="51"/>
    </row>
    <row r="1054" spans="7:8" ht="13.2">
      <c r="G1054" s="51"/>
      <c r="H1054" s="51"/>
    </row>
    <row r="1055" spans="7:8" ht="13.2">
      <c r="G1055" s="51"/>
      <c r="H1055" s="51"/>
    </row>
    <row r="1056" spans="7:8" ht="13.2">
      <c r="G1056" s="51"/>
      <c r="H1056" s="51"/>
    </row>
    <row r="1057" spans="7:8" ht="13.2">
      <c r="G1057" s="51"/>
      <c r="H1057" s="51"/>
    </row>
    <row r="1058" spans="7:8" ht="13.2">
      <c r="G1058" s="51"/>
      <c r="H1058" s="51"/>
    </row>
    <row r="1059" spans="7:8" ht="13.2">
      <c r="G1059" s="51"/>
      <c r="H1059" s="51"/>
    </row>
    <row r="1060" spans="7:8" ht="13.2">
      <c r="G1060" s="51"/>
      <c r="H1060" s="51"/>
    </row>
    <row r="1061" spans="7:8" ht="13.2">
      <c r="G1061" s="51"/>
      <c r="H1061" s="51"/>
    </row>
    <row r="1062" spans="7:8" ht="13.2">
      <c r="G1062" s="51"/>
      <c r="H1062" s="51"/>
    </row>
    <row r="1063" spans="7:8" ht="13.2">
      <c r="G1063" s="51"/>
      <c r="H1063" s="51"/>
    </row>
    <row r="1064" spans="7:8" ht="13.2">
      <c r="G1064" s="51"/>
      <c r="H1064" s="51"/>
    </row>
    <row r="1065" spans="7:8" ht="13.2">
      <c r="G1065" s="51"/>
      <c r="H1065" s="51"/>
    </row>
    <row r="1066" spans="7:8" ht="13.2">
      <c r="G1066" s="51"/>
      <c r="H1066" s="51"/>
    </row>
    <row r="1067" spans="7:8" ht="13.2">
      <c r="G1067" s="51"/>
      <c r="H1067" s="51"/>
    </row>
    <row r="1068" spans="7:8" ht="13.2">
      <c r="G1068" s="51"/>
      <c r="H1068" s="51"/>
    </row>
    <row r="1069" spans="7:8" ht="13.2">
      <c r="G1069" s="51"/>
      <c r="H1069" s="51"/>
    </row>
    <row r="1070" spans="7:8" ht="13.2">
      <c r="G1070" s="51"/>
      <c r="H1070" s="51"/>
    </row>
    <row r="1071" spans="7:8" ht="13.2">
      <c r="G1071" s="51"/>
      <c r="H1071" s="51"/>
    </row>
    <row r="1072" spans="7:8" ht="13.2">
      <c r="G1072" s="51"/>
      <c r="H1072" s="51"/>
    </row>
    <row r="1073" spans="7:8" ht="13.2">
      <c r="G1073" s="51"/>
      <c r="H1073" s="51"/>
    </row>
    <row r="1074" spans="7:8" ht="13.2">
      <c r="G1074" s="51"/>
      <c r="H1074" s="51"/>
    </row>
    <row r="1075" spans="7:8" ht="13.2">
      <c r="G1075" s="51"/>
      <c r="H1075" s="51"/>
    </row>
    <row r="1076" spans="7:8" ht="13.2">
      <c r="G1076" s="51"/>
      <c r="H1076" s="51"/>
    </row>
    <row r="1077" spans="7:8" ht="13.2">
      <c r="G1077" s="51"/>
      <c r="H1077" s="51"/>
    </row>
    <row r="1078" spans="7:8" ht="13.2">
      <c r="G1078" s="51"/>
      <c r="H1078" s="51"/>
    </row>
    <row r="1079" spans="7:8" ht="13.2">
      <c r="G1079" s="51"/>
      <c r="H1079" s="51"/>
    </row>
    <row r="1080" spans="7:8" ht="13.2">
      <c r="G1080" s="51"/>
      <c r="H1080" s="51"/>
    </row>
    <row r="1081" spans="7:8" ht="13.2">
      <c r="G1081" s="51"/>
      <c r="H1081" s="51"/>
    </row>
    <row r="1082" spans="7:8" ht="13.2">
      <c r="G1082" s="51"/>
      <c r="H1082" s="51"/>
    </row>
    <row r="1083" spans="7:8" ht="13.2">
      <c r="G1083" s="51"/>
      <c r="H1083" s="51"/>
    </row>
    <row r="1084" spans="7:8" ht="13.2">
      <c r="G1084" s="51"/>
      <c r="H1084" s="51"/>
    </row>
    <row r="1085" spans="7:8" ht="13.2">
      <c r="G1085" s="51"/>
      <c r="H1085" s="51"/>
    </row>
    <row r="1086" spans="7:8" ht="13.2">
      <c r="G1086" s="51"/>
      <c r="H1086" s="51"/>
    </row>
    <row r="1087" spans="7:8" ht="13.2">
      <c r="G1087" s="51"/>
      <c r="H1087" s="51"/>
    </row>
    <row r="1088" spans="7:8" ht="13.2">
      <c r="G1088" s="51"/>
      <c r="H1088" s="51"/>
    </row>
    <row r="1089" spans="7:8" ht="13.2">
      <c r="G1089" s="51"/>
      <c r="H1089" s="51"/>
    </row>
    <row r="1090" spans="7:8" ht="13.2">
      <c r="G1090" s="51"/>
      <c r="H1090" s="51"/>
    </row>
    <row r="1091" spans="7:8" ht="13.2">
      <c r="G1091" s="51"/>
      <c r="H1091" s="51"/>
    </row>
    <row r="1092" spans="7:8" ht="13.2">
      <c r="G1092" s="51"/>
      <c r="H1092" s="51"/>
    </row>
    <row r="1093" spans="7:8" ht="13.2">
      <c r="G1093" s="51"/>
      <c r="H1093" s="51"/>
    </row>
    <row r="1094" spans="7:8" ht="13.2">
      <c r="G1094" s="51"/>
      <c r="H1094" s="51"/>
    </row>
    <row r="1095" spans="7:8" ht="13.2">
      <c r="G1095" s="51"/>
      <c r="H1095" s="51"/>
    </row>
    <row r="1096" spans="7:8" ht="13.2">
      <c r="G1096" s="51"/>
      <c r="H1096" s="51"/>
    </row>
    <row r="1097" spans="7:8" ht="13.2">
      <c r="G1097" s="51"/>
      <c r="H1097" s="51"/>
    </row>
    <row r="1098" spans="7:8" ht="13.2">
      <c r="G1098" s="51"/>
      <c r="H1098" s="51"/>
    </row>
    <row r="1099" spans="7:8" ht="13.2">
      <c r="G1099" s="51"/>
      <c r="H1099" s="51"/>
    </row>
    <row r="1100" spans="7:8" ht="13.2">
      <c r="G1100" s="51"/>
      <c r="H1100" s="51"/>
    </row>
    <row r="1101" spans="7:8" ht="13.2">
      <c r="G1101" s="51"/>
      <c r="H1101" s="51"/>
    </row>
    <row r="1102" spans="7:8" ht="13.2">
      <c r="G1102" s="51"/>
      <c r="H1102" s="51"/>
    </row>
    <row r="1103" spans="7:8" ht="13.2">
      <c r="G1103" s="51"/>
      <c r="H1103" s="51"/>
    </row>
    <row r="1104" spans="7:8" ht="13.2">
      <c r="G1104" s="51"/>
      <c r="H1104" s="51"/>
    </row>
    <row r="1105" spans="7:8" ht="13.2">
      <c r="G1105" s="51"/>
      <c r="H1105" s="51"/>
    </row>
    <row r="1106" spans="7:8" ht="13.2">
      <c r="G1106" s="51"/>
      <c r="H1106" s="51"/>
    </row>
    <row r="1107" spans="7:8" ht="13.2">
      <c r="G1107" s="51"/>
      <c r="H1107" s="51"/>
    </row>
    <row r="1108" spans="7:8" ht="13.2">
      <c r="G1108" s="51"/>
      <c r="H1108" s="51"/>
    </row>
    <row r="1109" spans="7:8" ht="13.2">
      <c r="G1109" s="51"/>
      <c r="H1109" s="51"/>
    </row>
    <row r="1110" spans="7:8" ht="13.2">
      <c r="G1110" s="51"/>
      <c r="H1110" s="51"/>
    </row>
    <row r="1111" spans="7:8" ht="13.2">
      <c r="G1111" s="51"/>
      <c r="H1111" s="51"/>
    </row>
    <row r="1112" spans="7:8" ht="13.2">
      <c r="G1112" s="51"/>
      <c r="H1112" s="51"/>
    </row>
    <row r="1113" spans="7:8" ht="13.2">
      <c r="G1113" s="51"/>
      <c r="H1113" s="51"/>
    </row>
    <row r="1114" spans="7:8" ht="13.2">
      <c r="G1114" s="51"/>
      <c r="H1114" s="51"/>
    </row>
    <row r="1115" spans="7:8" ht="13.2">
      <c r="G1115" s="51"/>
      <c r="H1115" s="51"/>
    </row>
    <row r="1116" spans="7:8" ht="13.2">
      <c r="G1116" s="51"/>
      <c r="H1116" s="51"/>
    </row>
    <row r="1117" spans="7:8" ht="13.2">
      <c r="G1117" s="51"/>
      <c r="H1117" s="51"/>
    </row>
    <row r="1118" spans="7:8" ht="13.2">
      <c r="G1118" s="51"/>
      <c r="H1118" s="51"/>
    </row>
    <row r="1119" spans="7:8" ht="13.2">
      <c r="G1119" s="51"/>
      <c r="H1119" s="51"/>
    </row>
    <row r="1120" spans="7:8" ht="13.2">
      <c r="G1120" s="51"/>
      <c r="H1120" s="51"/>
    </row>
    <row r="1121" spans="7:8" ht="13.2">
      <c r="G1121" s="51"/>
      <c r="H1121" s="51"/>
    </row>
    <row r="1122" spans="7:8" ht="13.2">
      <c r="G1122" s="51"/>
      <c r="H1122" s="51"/>
    </row>
    <row r="1123" spans="7:8" ht="13.2">
      <c r="G1123" s="51"/>
      <c r="H1123" s="51"/>
    </row>
    <row r="1124" spans="7:8" ht="13.2">
      <c r="G1124" s="51"/>
      <c r="H1124" s="51"/>
    </row>
    <row r="1125" spans="7:8" ht="13.2">
      <c r="G1125" s="51"/>
      <c r="H1125" s="51"/>
    </row>
    <row r="1126" spans="7:8" ht="13.2">
      <c r="G1126" s="51"/>
      <c r="H1126" s="51"/>
    </row>
    <row r="1127" spans="7:8" ht="13.2">
      <c r="G1127" s="51"/>
      <c r="H1127" s="51"/>
    </row>
    <row r="1128" spans="7:8" ht="13.2">
      <c r="G1128" s="51"/>
      <c r="H1128" s="51"/>
    </row>
    <row r="1129" spans="7:8" ht="13.2">
      <c r="G1129" s="51"/>
      <c r="H1129" s="51"/>
    </row>
    <row r="1130" spans="7:8" ht="13.2">
      <c r="G1130" s="51"/>
      <c r="H1130" s="51"/>
    </row>
    <row r="1131" spans="7:8" ht="13.2">
      <c r="G1131" s="51"/>
      <c r="H1131" s="51"/>
    </row>
    <row r="1132" spans="7:8" ht="13.2">
      <c r="G1132" s="51"/>
      <c r="H1132" s="51"/>
    </row>
    <row r="1133" spans="7:8" ht="13.2">
      <c r="G1133" s="51"/>
      <c r="H1133" s="51"/>
    </row>
    <row r="1134" spans="7:8" ht="13.2">
      <c r="G1134" s="51"/>
      <c r="H1134" s="51"/>
    </row>
    <row r="1135" spans="7:8" ht="13.2">
      <c r="G1135" s="51"/>
      <c r="H1135" s="51"/>
    </row>
    <row r="1136" spans="7:8" ht="13.2">
      <c r="G1136" s="51"/>
      <c r="H1136" s="51"/>
    </row>
    <row r="1137" spans="7:8" ht="13.2">
      <c r="G1137" s="51"/>
      <c r="H1137" s="51"/>
    </row>
    <row r="1138" spans="7:8" ht="13.2">
      <c r="G1138" s="51"/>
      <c r="H1138" s="51"/>
    </row>
    <row r="1139" spans="7:8" ht="13.2">
      <c r="G1139" s="51"/>
      <c r="H1139" s="51"/>
    </row>
    <row r="1140" spans="7:8" ht="13.2">
      <c r="G1140" s="51"/>
      <c r="H1140" s="51"/>
    </row>
    <row r="1141" spans="7:8" ht="13.2">
      <c r="G1141" s="51"/>
      <c r="H1141" s="51"/>
    </row>
    <row r="1142" spans="7:8" ht="13.2">
      <c r="G1142" s="51"/>
      <c r="H1142" s="51"/>
    </row>
    <row r="1143" spans="7:8" ht="13.2">
      <c r="G1143" s="51"/>
      <c r="H1143" s="51"/>
    </row>
    <row r="1144" spans="7:8" ht="13.2">
      <c r="G1144" s="51"/>
      <c r="H1144" s="51"/>
    </row>
    <row r="1145" spans="7:8" ht="13.2">
      <c r="G1145" s="51"/>
      <c r="H1145" s="51"/>
    </row>
    <row r="1146" spans="7:8" ht="13.2">
      <c r="G1146" s="51"/>
      <c r="H1146" s="51"/>
    </row>
    <row r="1147" spans="7:8" ht="13.2">
      <c r="G1147" s="51"/>
      <c r="H1147" s="51"/>
    </row>
    <row r="1148" spans="7:8" ht="13.2">
      <c r="G1148" s="51"/>
      <c r="H1148" s="51"/>
    </row>
    <row r="1149" spans="7:8" ht="13.2">
      <c r="G1149" s="51"/>
      <c r="H1149" s="51"/>
    </row>
    <row r="1150" spans="7:8" ht="13.2">
      <c r="G1150" s="51"/>
      <c r="H1150" s="51"/>
    </row>
    <row r="1151" spans="7:8" ht="13.2">
      <c r="G1151" s="51"/>
      <c r="H1151" s="51"/>
    </row>
    <row r="1152" spans="7:8" ht="13.2">
      <c r="G1152" s="51"/>
      <c r="H1152" s="51"/>
    </row>
    <row r="1153" spans="7:8" ht="13.2">
      <c r="G1153" s="51"/>
      <c r="H1153" s="51"/>
    </row>
    <row r="1154" spans="7:8" ht="13.2">
      <c r="G1154" s="51"/>
      <c r="H1154" s="51"/>
    </row>
    <row r="1155" spans="7:8" ht="13.2">
      <c r="G1155" s="51"/>
      <c r="H1155" s="51"/>
    </row>
    <row r="1156" spans="7:8" ht="13.2">
      <c r="G1156" s="51"/>
      <c r="H1156" s="51"/>
    </row>
    <row r="1157" spans="7:8" ht="13.2">
      <c r="G1157" s="51"/>
      <c r="H1157" s="51"/>
    </row>
    <row r="1158" spans="7:8" ht="13.2">
      <c r="G1158" s="51"/>
      <c r="H1158" s="51"/>
    </row>
    <row r="1159" spans="7:8" ht="13.2">
      <c r="G1159" s="51"/>
      <c r="H1159" s="51"/>
    </row>
    <row r="1160" spans="7:8" ht="13.2">
      <c r="G1160" s="51"/>
      <c r="H1160" s="51"/>
    </row>
    <row r="1161" spans="7:8" ht="13.2">
      <c r="G1161" s="51"/>
      <c r="H1161" s="51"/>
    </row>
    <row r="1162" spans="7:8" ht="13.2">
      <c r="G1162" s="51"/>
      <c r="H1162" s="51"/>
    </row>
    <row r="1163" spans="7:8" ht="13.2">
      <c r="G1163" s="51"/>
      <c r="H1163" s="51"/>
    </row>
    <row r="1164" spans="7:8" ht="13.2">
      <c r="G1164" s="51"/>
      <c r="H1164" s="51"/>
    </row>
    <row r="1165" spans="7:8" ht="13.2">
      <c r="G1165" s="51"/>
      <c r="H1165" s="51"/>
    </row>
    <row r="1166" spans="7:8" ht="13.2">
      <c r="G1166" s="51"/>
      <c r="H1166" s="51"/>
    </row>
    <row r="1167" spans="7:8" ht="13.2">
      <c r="G1167" s="51"/>
      <c r="H1167" s="51"/>
    </row>
    <row r="1168" spans="7:8" ht="13.2">
      <c r="G1168" s="51"/>
      <c r="H1168" s="51"/>
    </row>
    <row r="1169" spans="7:8" ht="13.2">
      <c r="G1169" s="51"/>
      <c r="H1169" s="51"/>
    </row>
    <row r="1170" spans="7:8" ht="13.2">
      <c r="G1170" s="51"/>
      <c r="H1170" s="51"/>
    </row>
    <row r="1171" spans="7:8" ht="13.2">
      <c r="G1171" s="51"/>
      <c r="H1171" s="51"/>
    </row>
    <row r="1172" spans="7:8" ht="13.2">
      <c r="G1172" s="51"/>
      <c r="H1172" s="51"/>
    </row>
    <row r="1173" spans="7:8" ht="13.2">
      <c r="G1173" s="51"/>
      <c r="H1173" s="51"/>
    </row>
    <row r="1174" spans="7:8" ht="13.2">
      <c r="G1174" s="51"/>
      <c r="H1174" s="51"/>
    </row>
    <row r="1175" spans="7:8" ht="13.2">
      <c r="G1175" s="51"/>
      <c r="H1175" s="51"/>
    </row>
    <row r="1176" spans="7:8" ht="13.2">
      <c r="G1176" s="51"/>
      <c r="H1176" s="51"/>
    </row>
    <row r="1177" spans="7:8" ht="13.2">
      <c r="G1177" s="51"/>
      <c r="H1177" s="51"/>
    </row>
    <row r="1178" spans="7:8" ht="13.2">
      <c r="G1178" s="51"/>
      <c r="H1178" s="51"/>
    </row>
    <row r="1179" spans="7:8" ht="13.2">
      <c r="G1179" s="51"/>
      <c r="H1179" s="51"/>
    </row>
    <row r="1180" spans="7:8" ht="13.2">
      <c r="G1180" s="51"/>
      <c r="H1180" s="51"/>
    </row>
    <row r="1181" spans="7:8" ht="13.2">
      <c r="G1181" s="51"/>
      <c r="H1181" s="51"/>
    </row>
    <row r="1182" spans="7:8" ht="13.2">
      <c r="G1182" s="51"/>
      <c r="H1182" s="51"/>
    </row>
    <row r="1183" spans="7:8" ht="13.2">
      <c r="G1183" s="51"/>
      <c r="H1183" s="51"/>
    </row>
    <row r="1184" spans="7:8" ht="13.2">
      <c r="G1184" s="51"/>
      <c r="H1184" s="51"/>
    </row>
    <row r="1185" spans="7:8" ht="13.2">
      <c r="G1185" s="51"/>
      <c r="H1185" s="51"/>
    </row>
    <row r="1186" spans="7:8" ht="13.2">
      <c r="G1186" s="51"/>
      <c r="H1186" s="51"/>
    </row>
    <row r="1187" spans="7:8" ht="13.2">
      <c r="G1187" s="51"/>
      <c r="H1187" s="51"/>
    </row>
    <row r="1188" spans="7:8" ht="13.2">
      <c r="G1188" s="51"/>
      <c r="H1188" s="51"/>
    </row>
    <row r="1189" spans="7:8" ht="13.2">
      <c r="G1189" s="51"/>
      <c r="H1189" s="51"/>
    </row>
    <row r="1190" spans="7:8" ht="13.2">
      <c r="G1190" s="51"/>
      <c r="H1190" s="51"/>
    </row>
    <row r="1191" spans="7:8" ht="13.2">
      <c r="G1191" s="51"/>
      <c r="H1191" s="51"/>
    </row>
    <row r="1192" spans="7:8" ht="13.2">
      <c r="G1192" s="51"/>
      <c r="H1192" s="51"/>
    </row>
    <row r="1193" spans="7:8" ht="13.2">
      <c r="G1193" s="51"/>
      <c r="H1193" s="51"/>
    </row>
    <row r="1194" spans="7:8" ht="13.2">
      <c r="G1194" s="51"/>
      <c r="H1194" s="51"/>
    </row>
    <row r="1195" spans="7:8" ht="13.2">
      <c r="G1195" s="51"/>
      <c r="H1195" s="51"/>
    </row>
    <row r="1196" spans="7:8" ht="13.2">
      <c r="G1196" s="51"/>
      <c r="H1196" s="51"/>
    </row>
    <row r="1197" spans="7:8" ht="13.2">
      <c r="G1197" s="51"/>
      <c r="H1197" s="51"/>
    </row>
    <row r="1198" spans="7:8" ht="13.2">
      <c r="G1198" s="51"/>
      <c r="H1198" s="51"/>
    </row>
    <row r="1199" spans="7:8" ht="13.2">
      <c r="G1199" s="51"/>
      <c r="H1199" s="51"/>
    </row>
    <row r="1200" spans="7:8" ht="13.2">
      <c r="G1200" s="51"/>
      <c r="H1200" s="51"/>
    </row>
    <row r="1201" spans="7:8" ht="13.2">
      <c r="G1201" s="51"/>
      <c r="H1201" s="51"/>
    </row>
    <row r="1202" spans="7:8" ht="13.2">
      <c r="G1202" s="51"/>
      <c r="H1202" s="51"/>
    </row>
    <row r="1203" spans="7:8" ht="13.2">
      <c r="G1203" s="51"/>
      <c r="H1203" s="51"/>
    </row>
    <row r="1204" spans="7:8" ht="13.2">
      <c r="G1204" s="51"/>
      <c r="H1204" s="51"/>
    </row>
    <row r="1205" spans="7:8" ht="13.2">
      <c r="G1205" s="51"/>
      <c r="H1205" s="51"/>
    </row>
    <row r="1206" spans="7:8" ht="13.2">
      <c r="G1206" s="51"/>
      <c r="H1206" s="51"/>
    </row>
    <row r="1207" spans="7:8" ht="13.2">
      <c r="G1207" s="51"/>
      <c r="H1207" s="51"/>
    </row>
    <row r="1208" spans="7:8" ht="13.2">
      <c r="G1208" s="51"/>
      <c r="H1208" s="51"/>
    </row>
    <row r="1209" spans="7:8" ht="13.2">
      <c r="G1209" s="51"/>
      <c r="H1209" s="51"/>
    </row>
    <row r="1210" spans="7:8" ht="13.2">
      <c r="G1210" s="51"/>
      <c r="H1210" s="51"/>
    </row>
    <row r="1211" spans="7:8" ht="13.2">
      <c r="G1211" s="51"/>
      <c r="H1211" s="51"/>
    </row>
    <row r="1212" spans="7:8" ht="13.2">
      <c r="G1212" s="51"/>
      <c r="H1212" s="51"/>
    </row>
    <row r="1213" spans="7:8" ht="13.2">
      <c r="G1213" s="51"/>
      <c r="H1213" s="51"/>
    </row>
    <row r="1214" spans="7:8" ht="13.2">
      <c r="G1214" s="51"/>
      <c r="H1214" s="51"/>
    </row>
    <row r="1215" spans="7:8" ht="13.2">
      <c r="G1215" s="51"/>
      <c r="H1215" s="51"/>
    </row>
    <row r="1216" spans="7:8" ht="13.2">
      <c r="G1216" s="51"/>
      <c r="H1216" s="51"/>
    </row>
    <row r="1217" spans="7:8" ht="13.2">
      <c r="G1217" s="51"/>
      <c r="H1217" s="51"/>
    </row>
    <row r="1218" spans="7:8" ht="13.2">
      <c r="G1218" s="51"/>
      <c r="H1218" s="51"/>
    </row>
    <row r="1219" spans="7:8" ht="13.2">
      <c r="G1219" s="51"/>
      <c r="H1219" s="51"/>
    </row>
    <row r="1220" spans="7:8" ht="13.2">
      <c r="G1220" s="51"/>
      <c r="H1220" s="51"/>
    </row>
    <row r="1221" spans="7:8" ht="13.2">
      <c r="G1221" s="51"/>
      <c r="H1221" s="51"/>
    </row>
    <row r="1222" spans="7:8" ht="13.2">
      <c r="G1222" s="51"/>
      <c r="H1222" s="51"/>
    </row>
    <row r="1223" spans="7:8" ht="13.2">
      <c r="G1223" s="51"/>
      <c r="H1223" s="51"/>
    </row>
    <row r="1224" spans="7:8" ht="13.2">
      <c r="G1224" s="51"/>
      <c r="H1224" s="51"/>
    </row>
    <row r="1225" spans="7:8" ht="13.2">
      <c r="G1225" s="51"/>
      <c r="H1225" s="51"/>
    </row>
    <row r="1226" spans="7:8" ht="13.2">
      <c r="G1226" s="51"/>
      <c r="H1226" s="51"/>
    </row>
    <row r="1227" spans="7:8" ht="13.2">
      <c r="G1227" s="51"/>
      <c r="H1227" s="51"/>
    </row>
    <row r="1228" spans="7:8" ht="13.2">
      <c r="G1228" s="51"/>
      <c r="H1228" s="51"/>
    </row>
    <row r="1229" spans="7:8" ht="13.2">
      <c r="G1229" s="51"/>
      <c r="H1229" s="51"/>
    </row>
    <row r="1230" spans="7:8" ht="13.2">
      <c r="G1230" s="51"/>
      <c r="H1230" s="51"/>
    </row>
    <row r="1231" spans="7:8" ht="13.2">
      <c r="G1231" s="51"/>
      <c r="H1231" s="51"/>
    </row>
    <row r="1232" spans="7:8" ht="13.2">
      <c r="G1232" s="51"/>
      <c r="H1232" s="51"/>
    </row>
    <row r="1233" spans="7:8" ht="13.2">
      <c r="G1233" s="51"/>
      <c r="H1233" s="51"/>
    </row>
    <row r="1234" spans="7:8" ht="13.2">
      <c r="G1234" s="51"/>
      <c r="H1234" s="51"/>
    </row>
    <row r="1235" spans="7:8" ht="13.2">
      <c r="G1235" s="51"/>
      <c r="H1235" s="51"/>
    </row>
    <row r="1236" spans="7:8" ht="13.2">
      <c r="G1236" s="51"/>
      <c r="H1236" s="51"/>
    </row>
    <row r="1237" spans="7:8" ht="13.2">
      <c r="G1237" s="51"/>
      <c r="H1237" s="51"/>
    </row>
    <row r="1238" spans="7:8" ht="13.2">
      <c r="G1238" s="51"/>
      <c r="H1238" s="51"/>
    </row>
    <row r="1239" spans="7:8" ht="13.2">
      <c r="G1239" s="51"/>
      <c r="H1239" s="51"/>
    </row>
    <row r="1240" spans="7:8" ht="13.2">
      <c r="G1240" s="51"/>
      <c r="H1240" s="51"/>
    </row>
    <row r="1241" spans="7:8" ht="13.2">
      <c r="G1241" s="51"/>
      <c r="H1241" s="51"/>
    </row>
    <row r="1242" spans="7:8" ht="13.2">
      <c r="G1242" s="51"/>
      <c r="H1242" s="51"/>
    </row>
    <row r="1243" spans="7:8" ht="13.2">
      <c r="G1243" s="51"/>
      <c r="H1243" s="51"/>
    </row>
    <row r="1244" spans="7:8" ht="13.2">
      <c r="G1244" s="51"/>
      <c r="H1244" s="51"/>
    </row>
    <row r="1245" spans="7:8" ht="13.2">
      <c r="G1245" s="51"/>
      <c r="H1245" s="51"/>
    </row>
    <row r="1246" spans="7:8" ht="13.2">
      <c r="G1246" s="51"/>
      <c r="H1246" s="51"/>
    </row>
    <row r="1247" spans="7:8" ht="13.2">
      <c r="G1247" s="51"/>
      <c r="H1247" s="51"/>
    </row>
    <row r="1248" spans="7:8" ht="13.2">
      <c r="G1248" s="51"/>
      <c r="H1248" s="51"/>
    </row>
    <row r="1249" spans="7:8" ht="13.2">
      <c r="G1249" s="51"/>
      <c r="H1249" s="51"/>
    </row>
    <row r="1250" spans="7:8" ht="13.2">
      <c r="G1250" s="51"/>
      <c r="H1250" s="51"/>
    </row>
    <row r="1251" spans="7:8" ht="13.2">
      <c r="G1251" s="51"/>
      <c r="H1251" s="51"/>
    </row>
    <row r="1252" spans="7:8" ht="13.2">
      <c r="G1252" s="51"/>
      <c r="H1252" s="51"/>
    </row>
    <row r="1253" spans="7:8" ht="13.2">
      <c r="G1253" s="51"/>
      <c r="H1253" s="51"/>
    </row>
    <row r="1254" spans="7:8" ht="13.2">
      <c r="G1254" s="51"/>
      <c r="H1254" s="51"/>
    </row>
    <row r="1255" spans="7:8" ht="13.2">
      <c r="G1255" s="51"/>
      <c r="H1255" s="51"/>
    </row>
    <row r="1256" spans="7:8" ht="13.2">
      <c r="G1256" s="51"/>
      <c r="H1256" s="51"/>
    </row>
    <row r="1257" spans="7:8" ht="13.2">
      <c r="G1257" s="51"/>
      <c r="H1257" s="51"/>
    </row>
    <row r="1258" spans="7:8" ht="13.2">
      <c r="G1258" s="51"/>
      <c r="H1258" s="51"/>
    </row>
    <row r="1259" spans="7:8" ht="13.2">
      <c r="G1259" s="51"/>
      <c r="H1259" s="51"/>
    </row>
    <row r="1260" spans="7:8" ht="13.2">
      <c r="G1260" s="51"/>
      <c r="H1260" s="51"/>
    </row>
    <row r="1261" spans="7:8" ht="13.2">
      <c r="G1261" s="51"/>
      <c r="H1261" s="51"/>
    </row>
    <row r="1262" spans="7:8" ht="13.2">
      <c r="G1262" s="51"/>
      <c r="H1262" s="51"/>
    </row>
    <row r="1263" spans="7:8" ht="13.2">
      <c r="G1263" s="51"/>
      <c r="H1263" s="51"/>
    </row>
    <row r="1264" spans="7:8" ht="13.2">
      <c r="G1264" s="51"/>
      <c r="H1264" s="51"/>
    </row>
    <row r="1265" spans="7:8" ht="13.2">
      <c r="G1265" s="51"/>
      <c r="H1265" s="51"/>
    </row>
    <row r="1266" spans="7:8" ht="13.2">
      <c r="G1266" s="51"/>
      <c r="H1266" s="51"/>
    </row>
    <row r="1267" spans="7:8" ht="13.2">
      <c r="G1267" s="51"/>
      <c r="H1267" s="51"/>
    </row>
    <row r="1268" spans="7:8" ht="13.2">
      <c r="G1268" s="51"/>
      <c r="H1268" s="51"/>
    </row>
    <row r="1269" spans="7:8" ht="13.2">
      <c r="G1269" s="51"/>
      <c r="H1269" s="51"/>
    </row>
    <row r="1270" spans="7:8" ht="13.2">
      <c r="G1270" s="51"/>
      <c r="H1270" s="51"/>
    </row>
    <row r="1271" spans="7:8" ht="13.2">
      <c r="G1271" s="51"/>
      <c r="H1271" s="51"/>
    </row>
    <row r="1272" spans="7:8" ht="13.2">
      <c r="G1272" s="51"/>
      <c r="H1272" s="51"/>
    </row>
    <row r="1273" spans="7:8" ht="13.2">
      <c r="G1273" s="51"/>
      <c r="H1273" s="51"/>
    </row>
    <row r="1274" spans="7:8" ht="13.2">
      <c r="G1274" s="51"/>
      <c r="H1274" s="51"/>
    </row>
    <row r="1275" spans="7:8" ht="13.2">
      <c r="G1275" s="51"/>
      <c r="H1275" s="51"/>
    </row>
    <row r="1276" spans="7:8" ht="13.2">
      <c r="G1276" s="51"/>
      <c r="H1276" s="51"/>
    </row>
    <row r="1277" spans="7:8" ht="13.2">
      <c r="G1277" s="51"/>
      <c r="H1277" s="51"/>
    </row>
    <row r="1278" spans="7:8" ht="13.2">
      <c r="G1278" s="51"/>
      <c r="H1278" s="51"/>
    </row>
    <row r="1279" spans="7:8" ht="13.2">
      <c r="G1279" s="51"/>
      <c r="H1279" s="51"/>
    </row>
    <row r="1280" spans="7:8" ht="13.2">
      <c r="G1280" s="51"/>
      <c r="H1280" s="51"/>
    </row>
    <row r="1281" spans="7:8" ht="13.2">
      <c r="G1281" s="51"/>
      <c r="H1281" s="51"/>
    </row>
    <row r="1282" spans="7:8" ht="13.2">
      <c r="G1282" s="51"/>
      <c r="H1282" s="51"/>
    </row>
    <row r="1283" spans="7:8" ht="13.2">
      <c r="G1283" s="51"/>
      <c r="H1283" s="51"/>
    </row>
    <row r="1284" spans="7:8" ht="13.2">
      <c r="G1284" s="51"/>
      <c r="H1284" s="51"/>
    </row>
    <row r="1285" spans="7:8" ht="13.2">
      <c r="G1285" s="51"/>
      <c r="H1285" s="51"/>
    </row>
    <row r="1286" spans="7:8" ht="13.2">
      <c r="G1286" s="51"/>
      <c r="H1286" s="51"/>
    </row>
    <row r="1287" spans="7:8" ht="13.2">
      <c r="G1287" s="51"/>
      <c r="H1287" s="51"/>
    </row>
    <row r="1288" spans="7:8" ht="13.2">
      <c r="G1288" s="51"/>
      <c r="H1288" s="51"/>
    </row>
    <row r="1289" spans="7:8" ht="13.2">
      <c r="G1289" s="51"/>
      <c r="H1289" s="51"/>
    </row>
    <row r="1290" spans="7:8" ht="13.2">
      <c r="G1290" s="51"/>
      <c r="H1290" s="51"/>
    </row>
    <row r="1291" spans="7:8" ht="13.2">
      <c r="G1291" s="51"/>
      <c r="H1291" s="51"/>
    </row>
    <row r="1292" spans="7:8" ht="13.2">
      <c r="G1292" s="51"/>
      <c r="H1292" s="51"/>
    </row>
    <row r="1293" spans="7:8" ht="13.2">
      <c r="G1293" s="51"/>
      <c r="H1293" s="51"/>
    </row>
    <row r="1294" spans="7:8" ht="13.2">
      <c r="G1294" s="51"/>
      <c r="H1294" s="51"/>
    </row>
    <row r="1295" spans="7:8" ht="13.2">
      <c r="G1295" s="51"/>
      <c r="H1295" s="51"/>
    </row>
    <row r="1296" spans="7:8" ht="13.2">
      <c r="G1296" s="51"/>
      <c r="H1296" s="51"/>
    </row>
    <row r="1297" spans="7:8" ht="13.2">
      <c r="G1297" s="51"/>
      <c r="H1297" s="51"/>
    </row>
    <row r="1298" spans="7:8" ht="13.2">
      <c r="G1298" s="51"/>
      <c r="H1298" s="51"/>
    </row>
    <row r="1299" spans="7:8" ht="13.2">
      <c r="G1299" s="51"/>
      <c r="H1299" s="51"/>
    </row>
    <row r="1300" spans="7:8" ht="13.2">
      <c r="G1300" s="51"/>
      <c r="H1300" s="51"/>
    </row>
    <row r="1301" spans="7:8" ht="13.2">
      <c r="G1301" s="51"/>
      <c r="H1301" s="51"/>
    </row>
    <row r="1302" spans="7:8" ht="13.2">
      <c r="G1302" s="51"/>
      <c r="H1302" s="51"/>
    </row>
    <row r="1303" spans="7:8" ht="13.2">
      <c r="G1303" s="51"/>
      <c r="H1303" s="51"/>
    </row>
    <row r="1304" spans="7:8" ht="13.2">
      <c r="G1304" s="51"/>
      <c r="H1304" s="51"/>
    </row>
    <row r="1305" spans="7:8" ht="13.2">
      <c r="G1305" s="51"/>
      <c r="H1305" s="51"/>
    </row>
    <row r="1306" spans="7:8" ht="13.2">
      <c r="G1306" s="51"/>
      <c r="H1306" s="51"/>
    </row>
    <row r="1307" spans="7:8" ht="13.2">
      <c r="G1307" s="51"/>
      <c r="H1307" s="51"/>
    </row>
    <row r="1308" spans="7:8" ht="13.2">
      <c r="G1308" s="51"/>
      <c r="H1308" s="51"/>
    </row>
    <row r="1309" spans="7:8" ht="13.2">
      <c r="G1309" s="51"/>
      <c r="H1309" s="51"/>
    </row>
    <row r="1310" spans="7:8" ht="13.2">
      <c r="G1310" s="51"/>
      <c r="H1310" s="51"/>
    </row>
    <row r="1311" spans="7:8" ht="13.2">
      <c r="G1311" s="51"/>
      <c r="H1311" s="51"/>
    </row>
    <row r="1312" spans="7:8" ht="13.2">
      <c r="G1312" s="51"/>
      <c r="H1312" s="51"/>
    </row>
    <row r="1313" spans="7:8" ht="13.2">
      <c r="G1313" s="51"/>
      <c r="H1313" s="51"/>
    </row>
    <row r="1314" spans="7:8" ht="13.2">
      <c r="G1314" s="51"/>
      <c r="H1314" s="51"/>
    </row>
    <row r="1315" spans="7:8" ht="13.2">
      <c r="G1315" s="51"/>
      <c r="H1315" s="51"/>
    </row>
    <row r="1316" spans="7:8" ht="13.2">
      <c r="G1316" s="51"/>
      <c r="H1316" s="51"/>
    </row>
    <row r="1317" spans="7:8" ht="13.2">
      <c r="G1317" s="51"/>
      <c r="H1317" s="51"/>
    </row>
    <row r="1318" spans="7:8" ht="13.2">
      <c r="G1318" s="51"/>
      <c r="H1318" s="51"/>
    </row>
    <row r="1319" spans="7:8" ht="13.2">
      <c r="G1319" s="51"/>
      <c r="H1319" s="51"/>
    </row>
    <row r="1320" spans="7:8" ht="13.2">
      <c r="G1320" s="51"/>
      <c r="H1320" s="51"/>
    </row>
    <row r="1321" spans="7:8" ht="13.2">
      <c r="G1321" s="51"/>
      <c r="H1321" s="51"/>
    </row>
    <row r="1322" spans="7:8" ht="13.2">
      <c r="G1322" s="51"/>
      <c r="H1322" s="51"/>
    </row>
    <row r="1323" spans="7:8" ht="13.2">
      <c r="G1323" s="51"/>
      <c r="H1323" s="51"/>
    </row>
    <row r="1324" spans="7:8" ht="13.2">
      <c r="G1324" s="51"/>
      <c r="H1324" s="51"/>
    </row>
    <row r="1325" spans="7:8" ht="13.2">
      <c r="G1325" s="51"/>
      <c r="H1325" s="51"/>
    </row>
    <row r="1326" spans="7:8" ht="13.2">
      <c r="G1326" s="51"/>
      <c r="H1326" s="51"/>
    </row>
    <row r="1327" spans="7:8" ht="13.2">
      <c r="G1327" s="51"/>
      <c r="H1327" s="51"/>
    </row>
    <row r="1328" spans="7:8" ht="13.2">
      <c r="G1328" s="51"/>
      <c r="H1328" s="51"/>
    </row>
    <row r="1329" spans="7:8" ht="13.2">
      <c r="G1329" s="51"/>
      <c r="H1329" s="51"/>
    </row>
    <row r="1330" spans="7:8" ht="13.2">
      <c r="G1330" s="51"/>
      <c r="H1330" s="51"/>
    </row>
    <row r="1331" spans="7:8" ht="13.2">
      <c r="G1331" s="51"/>
      <c r="H1331" s="51"/>
    </row>
    <row r="1332" spans="7:8" ht="13.2">
      <c r="G1332" s="51"/>
      <c r="H1332" s="51"/>
    </row>
    <row r="1333" spans="7:8" ht="13.2">
      <c r="G1333" s="51"/>
      <c r="H1333" s="51"/>
    </row>
    <row r="1334" spans="7:8" ht="13.2">
      <c r="G1334" s="51"/>
      <c r="H1334" s="51"/>
    </row>
    <row r="1335" spans="7:8" ht="13.2">
      <c r="G1335" s="51"/>
      <c r="H1335" s="51"/>
    </row>
    <row r="1336" spans="7:8" ht="13.2">
      <c r="G1336" s="51"/>
      <c r="H1336" s="51"/>
    </row>
    <row r="1337" spans="7:8" ht="13.2">
      <c r="G1337" s="51"/>
      <c r="H1337" s="51"/>
    </row>
    <row r="1338" spans="7:8" ht="13.2">
      <c r="G1338" s="51"/>
      <c r="H1338" s="51"/>
    </row>
    <row r="1339" spans="7:8" ht="13.2">
      <c r="G1339" s="51"/>
      <c r="H1339" s="51"/>
    </row>
    <row r="1340" spans="7:8" ht="13.2">
      <c r="G1340" s="51"/>
      <c r="H1340" s="51"/>
    </row>
    <row r="1341" spans="7:8" ht="13.2">
      <c r="G1341" s="51"/>
      <c r="H1341" s="51"/>
    </row>
    <row r="1342" spans="7:8" ht="13.2">
      <c r="G1342" s="51"/>
      <c r="H1342" s="51"/>
    </row>
    <row r="1343" spans="7:8" ht="13.2">
      <c r="G1343" s="51"/>
      <c r="H1343" s="51"/>
    </row>
  </sheetData>
  <autoFilter ref="A2:S490">
    <filterColumn colId="0">
      <filters>
        <filter val="Angela Neira Fritz"/>
        <filter val="Marcela Neira"/>
      </filters>
    </filterColumn>
  </autoFilter>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K901"/>
  <sheetViews>
    <sheetView workbookViewId="0">
      <selection activeCell="A2" sqref="A2"/>
    </sheetView>
  </sheetViews>
  <sheetFormatPr baseColWidth="10" defaultColWidth="12.6640625" defaultRowHeight="15.75" customHeight="1"/>
  <cols>
    <col min="1" max="1" width="19" customWidth="1"/>
    <col min="2" max="2" width="47.44140625" customWidth="1"/>
    <col min="3" max="3" width="40.44140625" customWidth="1"/>
    <col min="4" max="4" width="47.88671875" customWidth="1"/>
    <col min="5" max="5" width="11.44140625" customWidth="1"/>
    <col min="6" max="6" width="15.77734375" customWidth="1"/>
    <col min="7" max="7" width="12.33203125" customWidth="1"/>
    <col min="8" max="8" width="11.44140625" customWidth="1"/>
    <col min="9" max="9" width="9.77734375" customWidth="1"/>
    <col min="10" max="10" width="9.6640625" customWidth="1"/>
    <col min="11" max="11" width="8.6640625" customWidth="1"/>
    <col min="12" max="12" width="8" customWidth="1"/>
    <col min="13" max="13" width="12.88671875" customWidth="1"/>
    <col min="14" max="14" width="9.6640625" customWidth="1"/>
    <col min="15" max="17" width="10" hidden="1" customWidth="1"/>
    <col min="18" max="18" width="12.44140625" hidden="1" customWidth="1"/>
    <col min="19" max="19" width="11.88671875" hidden="1" customWidth="1"/>
    <col min="20" max="20" width="14.77734375" hidden="1" customWidth="1"/>
    <col min="21" max="21" width="10.33203125" hidden="1" customWidth="1"/>
    <col min="22" max="22" width="12.21875" hidden="1" customWidth="1"/>
    <col min="23" max="23" width="9.6640625" hidden="1" customWidth="1"/>
    <col min="24" max="24" width="8.6640625" hidden="1" customWidth="1"/>
    <col min="25" max="25" width="6.88671875" hidden="1" customWidth="1"/>
    <col min="26" max="26" width="49" customWidth="1"/>
    <col min="27" max="27" width="40.33203125" customWidth="1"/>
  </cols>
  <sheetData>
    <row r="1" spans="1:37" ht="39.6">
      <c r="A1" s="52" t="s">
        <v>1541</v>
      </c>
      <c r="B1" s="53" t="s">
        <v>1542</v>
      </c>
      <c r="C1" s="54" t="s">
        <v>34</v>
      </c>
      <c r="D1" s="55" t="s">
        <v>1543</v>
      </c>
      <c r="E1" s="55" t="s">
        <v>1544</v>
      </c>
      <c r="F1" s="56" t="s">
        <v>1545</v>
      </c>
      <c r="G1" s="56" t="s">
        <v>1546</v>
      </c>
      <c r="H1" s="56" t="s">
        <v>1547</v>
      </c>
      <c r="I1" s="56" t="s">
        <v>1548</v>
      </c>
      <c r="J1" s="57" t="s">
        <v>1549</v>
      </c>
      <c r="K1" s="56" t="s">
        <v>1550</v>
      </c>
      <c r="L1" s="56" t="s">
        <v>1042</v>
      </c>
      <c r="M1" s="56" t="s">
        <v>1551</v>
      </c>
      <c r="N1" s="56" t="s">
        <v>21</v>
      </c>
      <c r="O1" s="55" t="s">
        <v>1552</v>
      </c>
      <c r="P1" s="55" t="s">
        <v>1553</v>
      </c>
      <c r="Q1" s="58" t="s">
        <v>1554</v>
      </c>
      <c r="R1" s="53" t="s">
        <v>1555</v>
      </c>
      <c r="S1" s="53" t="s">
        <v>1556</v>
      </c>
      <c r="T1" s="53" t="s">
        <v>1557</v>
      </c>
      <c r="U1" s="53" t="s">
        <v>1558</v>
      </c>
      <c r="V1" s="53" t="s">
        <v>1559</v>
      </c>
      <c r="W1" s="53" t="s">
        <v>1043</v>
      </c>
      <c r="X1" s="53" t="s">
        <v>23</v>
      </c>
      <c r="Y1" s="53" t="s">
        <v>1560</v>
      </c>
      <c r="Z1" s="46" t="s">
        <v>1561</v>
      </c>
      <c r="AA1" s="46" t="s">
        <v>1562</v>
      </c>
      <c r="AB1" s="46" t="s">
        <v>1563</v>
      </c>
    </row>
    <row r="2" spans="1:37" ht="13.2">
      <c r="A2" s="59" t="s">
        <v>43</v>
      </c>
      <c r="B2" s="8" t="str">
        <f t="shared" ref="B2:B6" si="0">CONCATENATE(C2,E2)</f>
        <v>2 Bandeja HUEVOS EXTRA 30 Huevos</v>
      </c>
      <c r="C2" s="60" t="s">
        <v>776</v>
      </c>
      <c r="D2" s="61" t="s">
        <v>355</v>
      </c>
      <c r="E2" s="41"/>
      <c r="F2" s="62">
        <f>5670*2</f>
        <v>11340</v>
      </c>
      <c r="G2" s="62">
        <v>25</v>
      </c>
      <c r="H2" s="62">
        <f t="shared" ref="H2:H166" si="1">F2+G2</f>
        <v>11365</v>
      </c>
      <c r="I2" s="62">
        <f t="shared" ref="I2:I388" si="2">H2*19%</f>
        <v>2159.35</v>
      </c>
      <c r="J2" s="63">
        <v>0.27439999999999998</v>
      </c>
      <c r="K2" s="62">
        <f t="shared" ref="K2:K388" si="3">H2/(100%-J2)</f>
        <v>15662.89966923925</v>
      </c>
      <c r="L2" s="62">
        <f t="shared" ref="L2:L388" si="4">K2*19%</f>
        <v>2975.9509371554577</v>
      </c>
      <c r="M2" s="62">
        <f t="shared" ref="M2:M4" si="5">K2+L2</f>
        <v>18638.850606394706</v>
      </c>
      <c r="N2" s="62">
        <f t="shared" ref="N2:N388" si="6">K2-H2</f>
        <v>4297.8996692392502</v>
      </c>
      <c r="O2" s="61">
        <f t="shared" ref="O2:O388" si="7">M2-R2</f>
        <v>10638.850606394706</v>
      </c>
      <c r="P2" s="61">
        <f t="shared" ref="P2:P388" si="8">R2/1.19</f>
        <v>6722.6890756302528</v>
      </c>
      <c r="Q2" s="64">
        <f t="shared" ref="Q2:Q388" si="9">-((H2/P2)-100%)</f>
        <v>-0.69054374999999979</v>
      </c>
      <c r="R2" s="65">
        <v>8000</v>
      </c>
      <c r="S2" s="41">
        <v>6710</v>
      </c>
      <c r="T2" s="41">
        <f t="shared" ref="T2:T9" si="10">S2</f>
        <v>6710</v>
      </c>
      <c r="U2" s="41">
        <v>30</v>
      </c>
      <c r="V2" s="40">
        <f t="shared" ref="V2:V9" si="11">T2+U2</f>
        <v>6740</v>
      </c>
      <c r="W2" s="40">
        <f t="shared" ref="W2:W111" si="12">R2-V2</f>
        <v>1260</v>
      </c>
      <c r="X2" s="8">
        <f t="shared" ref="X2:X70" si="13">R2*5%</f>
        <v>400</v>
      </c>
      <c r="Y2" s="26"/>
      <c r="Z2" s="8" t="str">
        <f t="shared" ref="Z2:Z388" si="14">B2</f>
        <v>2 Bandeja HUEVOS EXTRA 30 Huevos</v>
      </c>
      <c r="AA2" s="31" t="s">
        <v>359</v>
      </c>
      <c r="AB2" s="31">
        <v>-2</v>
      </c>
    </row>
    <row r="3" spans="1:37" ht="13.2">
      <c r="A3" s="66" t="s">
        <v>1564</v>
      </c>
      <c r="B3" s="17" t="str">
        <f t="shared" si="0"/>
        <v>TE CEYLAN PREMIUN 100 bolsas</v>
      </c>
      <c r="C3" s="67" t="s">
        <v>209</v>
      </c>
      <c r="D3" s="68" t="s">
        <v>1565</v>
      </c>
      <c r="E3" s="17"/>
      <c r="F3" s="69">
        <f>4990/1.19</f>
        <v>4193.2773109243699</v>
      </c>
      <c r="G3" s="69">
        <v>0</v>
      </c>
      <c r="H3" s="69">
        <f t="shared" si="1"/>
        <v>4193.2773109243699</v>
      </c>
      <c r="I3" s="69">
        <f t="shared" si="2"/>
        <v>796.72268907563034</v>
      </c>
      <c r="J3" s="70">
        <v>2E-3</v>
      </c>
      <c r="K3" s="69">
        <f t="shared" si="3"/>
        <v>4201.680672268908</v>
      </c>
      <c r="L3" s="69">
        <f t="shared" si="4"/>
        <v>798.31932773109247</v>
      </c>
      <c r="M3" s="69">
        <f t="shared" si="5"/>
        <v>5000</v>
      </c>
      <c r="N3" s="69">
        <f t="shared" si="6"/>
        <v>8.4033613445380979</v>
      </c>
      <c r="O3" s="71">
        <f t="shared" si="7"/>
        <v>-19000</v>
      </c>
      <c r="P3" s="71">
        <f t="shared" si="8"/>
        <v>20168.067226890758</v>
      </c>
      <c r="Q3" s="72">
        <f t="shared" si="9"/>
        <v>0.79208333333333336</v>
      </c>
      <c r="R3" s="73">
        <v>24000</v>
      </c>
      <c r="S3" s="12">
        <v>15835</v>
      </c>
      <c r="T3" s="12">
        <f t="shared" si="10"/>
        <v>15835</v>
      </c>
      <c r="U3" s="12">
        <v>0</v>
      </c>
      <c r="V3" s="12">
        <f t="shared" si="11"/>
        <v>15835</v>
      </c>
      <c r="W3" s="12">
        <f t="shared" si="12"/>
        <v>8165</v>
      </c>
      <c r="X3" s="16">
        <f t="shared" si="13"/>
        <v>1200</v>
      </c>
      <c r="Y3" s="11"/>
      <c r="Z3" s="17" t="str">
        <f t="shared" si="14"/>
        <v>TE CEYLAN PREMIUN 100 bolsas</v>
      </c>
      <c r="AA3" s="13"/>
      <c r="AB3" s="14">
        <v>-2</v>
      </c>
      <c r="AC3" s="17"/>
      <c r="AD3" s="17"/>
      <c r="AE3" s="17"/>
      <c r="AF3" s="17"/>
      <c r="AG3" s="17"/>
      <c r="AH3" s="17"/>
      <c r="AI3" s="17"/>
      <c r="AJ3" s="17"/>
      <c r="AK3" s="17"/>
    </row>
    <row r="4" spans="1:37" ht="13.2">
      <c r="A4" s="66" t="s">
        <v>1564</v>
      </c>
      <c r="B4" s="17" t="str">
        <f t="shared" si="0"/>
        <v>Natura List Alulosa 90ml</v>
      </c>
      <c r="C4" s="67" t="s">
        <v>210</v>
      </c>
      <c r="D4" s="68" t="s">
        <v>1566</v>
      </c>
      <c r="E4" s="17"/>
      <c r="F4" s="69">
        <f>2250/1.19</f>
        <v>1890.7563025210086</v>
      </c>
      <c r="G4" s="69">
        <v>0</v>
      </c>
      <c r="H4" s="69">
        <f t="shared" si="1"/>
        <v>1890.7563025210086</v>
      </c>
      <c r="I4" s="69">
        <f t="shared" si="2"/>
        <v>359.24369747899163</v>
      </c>
      <c r="J4" s="70">
        <v>2.1899999999999999E-2</v>
      </c>
      <c r="K4" s="69">
        <f t="shared" si="3"/>
        <v>1933.0909953184835</v>
      </c>
      <c r="L4" s="69">
        <f t="shared" si="4"/>
        <v>367.28728911051184</v>
      </c>
      <c r="M4" s="69">
        <f t="shared" si="5"/>
        <v>2300.3782844289954</v>
      </c>
      <c r="N4" s="69">
        <f t="shared" si="6"/>
        <v>42.334692797474872</v>
      </c>
      <c r="O4" s="71">
        <f t="shared" si="7"/>
        <v>-21699.621715571004</v>
      </c>
      <c r="P4" s="71">
        <f t="shared" si="8"/>
        <v>20168.067226890758</v>
      </c>
      <c r="Q4" s="72">
        <f t="shared" si="9"/>
        <v>0.90625</v>
      </c>
      <c r="R4" s="73">
        <v>24000</v>
      </c>
      <c r="S4" s="12">
        <v>15835</v>
      </c>
      <c r="T4" s="12">
        <f t="shared" si="10"/>
        <v>15835</v>
      </c>
      <c r="U4" s="12">
        <v>0</v>
      </c>
      <c r="V4" s="12">
        <f t="shared" si="11"/>
        <v>15835</v>
      </c>
      <c r="W4" s="12">
        <f t="shared" si="12"/>
        <v>8165</v>
      </c>
      <c r="X4" s="16">
        <f t="shared" si="13"/>
        <v>1200</v>
      </c>
      <c r="Y4" s="11"/>
      <c r="Z4" s="17" t="str">
        <f t="shared" si="14"/>
        <v>Natura List Alulosa 90ml</v>
      </c>
      <c r="AA4" s="13"/>
      <c r="AB4" s="14">
        <v>-2</v>
      </c>
      <c r="AC4" s="17"/>
      <c r="AD4" s="17"/>
      <c r="AE4" s="17"/>
      <c r="AF4" s="17"/>
      <c r="AG4" s="17"/>
      <c r="AH4" s="17"/>
      <c r="AI4" s="17"/>
      <c r="AJ4" s="17"/>
      <c r="AK4" s="17"/>
    </row>
    <row r="5" spans="1:37" ht="13.2">
      <c r="A5" s="66" t="s">
        <v>1564</v>
      </c>
      <c r="B5" s="17" t="str">
        <f t="shared" si="0"/>
        <v>Recarga Nescafé 130grs</v>
      </c>
      <c r="C5" s="67" t="s">
        <v>2149</v>
      </c>
      <c r="D5" s="68" t="s">
        <v>1567</v>
      </c>
      <c r="E5" s="17"/>
      <c r="F5" s="69">
        <f>5190/1.19</f>
        <v>4361.3445378151264</v>
      </c>
      <c r="G5" s="69">
        <v>0</v>
      </c>
      <c r="H5" s="69">
        <f t="shared" si="1"/>
        <v>4361.3445378151264</v>
      </c>
      <c r="I5" s="69">
        <f t="shared" si="2"/>
        <v>828.65546218487407</v>
      </c>
      <c r="J5" s="70">
        <v>0</v>
      </c>
      <c r="K5" s="69">
        <f t="shared" si="3"/>
        <v>4361.3445378151264</v>
      </c>
      <c r="L5" s="69">
        <f t="shared" si="4"/>
        <v>828.65546218487407</v>
      </c>
      <c r="M5" s="69">
        <f>K5+L5-190</f>
        <v>5000</v>
      </c>
      <c r="N5" s="69">
        <f t="shared" si="6"/>
        <v>0</v>
      </c>
      <c r="O5" s="71">
        <f t="shared" si="7"/>
        <v>-19000</v>
      </c>
      <c r="P5" s="71">
        <f t="shared" si="8"/>
        <v>20168.067226890758</v>
      </c>
      <c r="Q5" s="72">
        <f t="shared" si="9"/>
        <v>0.78374999999999995</v>
      </c>
      <c r="R5" s="73">
        <v>24000</v>
      </c>
      <c r="S5" s="12">
        <v>15835</v>
      </c>
      <c r="T5" s="12">
        <f t="shared" si="10"/>
        <v>15835</v>
      </c>
      <c r="U5" s="12">
        <v>0</v>
      </c>
      <c r="V5" s="12">
        <f t="shared" si="11"/>
        <v>15835</v>
      </c>
      <c r="W5" s="12">
        <f t="shared" si="12"/>
        <v>8165</v>
      </c>
      <c r="X5" s="16">
        <f t="shared" si="13"/>
        <v>1200</v>
      </c>
      <c r="Y5" s="11"/>
      <c r="Z5" s="17" t="str">
        <f t="shared" si="14"/>
        <v>Recarga Nescafé 130grs</v>
      </c>
      <c r="AA5" s="13"/>
      <c r="AB5" s="14">
        <v>-2</v>
      </c>
      <c r="AC5" s="17"/>
      <c r="AD5" s="17"/>
      <c r="AE5" s="17"/>
      <c r="AF5" s="17"/>
      <c r="AG5" s="17"/>
      <c r="AH5" s="17"/>
      <c r="AI5" s="17"/>
      <c r="AJ5" s="17"/>
      <c r="AK5" s="17"/>
    </row>
    <row r="6" spans="1:37" ht="13.2">
      <c r="A6" s="59" t="s">
        <v>147</v>
      </c>
      <c r="B6" s="8" t="str">
        <f t="shared" si="0"/>
        <v>2 x Film Embalaje 1,7kg (1,4kg Neto/350 Metros aprox.)</v>
      </c>
      <c r="C6" s="67" t="s">
        <v>499</v>
      </c>
      <c r="D6" s="61" t="s">
        <v>455</v>
      </c>
      <c r="F6" s="62">
        <f>2600*2</f>
        <v>5200</v>
      </c>
      <c r="G6" s="62">
        <v>0</v>
      </c>
      <c r="H6" s="62">
        <f t="shared" si="1"/>
        <v>5200</v>
      </c>
      <c r="I6" s="62">
        <f t="shared" si="2"/>
        <v>988</v>
      </c>
      <c r="J6" s="63">
        <v>0.43745000000000001</v>
      </c>
      <c r="K6" s="62">
        <f t="shared" si="3"/>
        <v>9243.6227890854152</v>
      </c>
      <c r="L6" s="62">
        <f t="shared" si="4"/>
        <v>1756.2883299262289</v>
      </c>
      <c r="M6" s="62">
        <f t="shared" ref="M6:M388" si="15">K6+L6</f>
        <v>10999.911119011644</v>
      </c>
      <c r="N6" s="62">
        <f t="shared" si="6"/>
        <v>4043.6227890854152</v>
      </c>
      <c r="O6" s="61">
        <f t="shared" si="7"/>
        <v>-13000.088880988356</v>
      </c>
      <c r="P6" s="61">
        <f t="shared" si="8"/>
        <v>20168.067226890758</v>
      </c>
      <c r="Q6" s="64">
        <f t="shared" si="9"/>
        <v>0.74216666666666664</v>
      </c>
      <c r="R6" s="65">
        <v>24000</v>
      </c>
      <c r="S6" s="41">
        <v>15835</v>
      </c>
      <c r="T6" s="41">
        <f t="shared" si="10"/>
        <v>15835</v>
      </c>
      <c r="U6" s="41">
        <v>0</v>
      </c>
      <c r="V6" s="40">
        <f t="shared" si="11"/>
        <v>15835</v>
      </c>
      <c r="W6" s="40">
        <f t="shared" si="12"/>
        <v>8165</v>
      </c>
      <c r="X6" s="8">
        <f t="shared" si="13"/>
        <v>1200</v>
      </c>
      <c r="Y6" s="26"/>
      <c r="Z6" s="8" t="str">
        <f t="shared" si="14"/>
        <v>2 x Film Embalaje 1,7kg (1,4kg Neto/350 Metros aprox.)</v>
      </c>
      <c r="AA6" s="31" t="s">
        <v>455</v>
      </c>
      <c r="AB6" s="31">
        <v>-2</v>
      </c>
    </row>
    <row r="7" spans="1:37" ht="13.2">
      <c r="A7" s="59" t="s">
        <v>56</v>
      </c>
      <c r="B7" s="8" t="str">
        <f t="shared" ref="B7:B8" si="16">CONCATENATE(C7," / ",E7," gramos)")</f>
        <v>2 x Queso Rueda Cabra / 200 gramos)</v>
      </c>
      <c r="C7" s="60" t="s">
        <v>1568</v>
      </c>
      <c r="D7" s="61" t="s">
        <v>429</v>
      </c>
      <c r="E7" s="41">
        <v>200</v>
      </c>
      <c r="F7" s="62">
        <f>3200*2</f>
        <v>6400</v>
      </c>
      <c r="G7" s="62">
        <v>18.487394957983195</v>
      </c>
      <c r="H7" s="62">
        <f t="shared" si="1"/>
        <v>6418.4873949579833</v>
      </c>
      <c r="I7" s="62">
        <f t="shared" si="2"/>
        <v>1219.5126050420167</v>
      </c>
      <c r="J7" s="63">
        <v>0.18740999999999999</v>
      </c>
      <c r="K7" s="62">
        <f t="shared" si="3"/>
        <v>7898.8018495895631</v>
      </c>
      <c r="L7" s="62">
        <f t="shared" si="4"/>
        <v>1500.772351422017</v>
      </c>
      <c r="M7" s="62">
        <f t="shared" si="15"/>
        <v>9399.5742010115791</v>
      </c>
      <c r="N7" s="62">
        <f t="shared" si="6"/>
        <v>1480.3144546315798</v>
      </c>
      <c r="O7" s="61">
        <f t="shared" si="7"/>
        <v>1199.5742010115791</v>
      </c>
      <c r="P7" s="61">
        <f t="shared" si="8"/>
        <v>6890.7563025210084</v>
      </c>
      <c r="Q7" s="64">
        <f t="shared" si="9"/>
        <v>6.8536585365853608E-2</v>
      </c>
      <c r="R7" s="65">
        <v>8200</v>
      </c>
      <c r="S7" s="41">
        <f>2927*2</f>
        <v>5854</v>
      </c>
      <c r="T7" s="40">
        <f t="shared" si="10"/>
        <v>5854</v>
      </c>
      <c r="U7" s="41">
        <v>22</v>
      </c>
      <c r="V7" s="40">
        <f t="shared" si="11"/>
        <v>5876</v>
      </c>
      <c r="W7" s="40">
        <f t="shared" si="12"/>
        <v>2324</v>
      </c>
      <c r="X7" s="8">
        <f t="shared" si="13"/>
        <v>410</v>
      </c>
      <c r="Y7" s="26"/>
      <c r="Z7" s="8" t="str">
        <f t="shared" si="14"/>
        <v>2 x Queso Rueda Cabra / 200 gramos)</v>
      </c>
      <c r="AA7" s="31" t="s">
        <v>525</v>
      </c>
      <c r="AB7" s="31">
        <v>-2</v>
      </c>
    </row>
    <row r="8" spans="1:37" ht="13.2">
      <c r="A8" s="59" t="s">
        <v>56</v>
      </c>
      <c r="B8" s="8" t="str">
        <f t="shared" si="16"/>
        <v>2 x Queso Rueda Sabores / 200 gramos)</v>
      </c>
      <c r="C8" s="60" t="s">
        <v>1569</v>
      </c>
      <c r="D8" s="61" t="s">
        <v>429</v>
      </c>
      <c r="E8" s="41">
        <v>200</v>
      </c>
      <c r="F8" s="62">
        <v>3783.1932773109247</v>
      </c>
      <c r="G8" s="62">
        <v>18.487394957983195</v>
      </c>
      <c r="H8" s="62">
        <f t="shared" si="1"/>
        <v>3801.680672268908</v>
      </c>
      <c r="I8" s="62">
        <f t="shared" si="2"/>
        <v>722.31932773109247</v>
      </c>
      <c r="J8" s="63">
        <v>0.35371428571428576</v>
      </c>
      <c r="K8" s="62">
        <f t="shared" si="3"/>
        <v>5882.3529411764721</v>
      </c>
      <c r="L8" s="62">
        <f t="shared" si="4"/>
        <v>1117.6470588235297</v>
      </c>
      <c r="M8" s="62">
        <f t="shared" si="15"/>
        <v>7000.0000000000018</v>
      </c>
      <c r="N8" s="62">
        <f t="shared" si="6"/>
        <v>2080.6722689075641</v>
      </c>
      <c r="O8" s="61">
        <f t="shared" si="7"/>
        <v>0</v>
      </c>
      <c r="P8" s="61">
        <f t="shared" si="8"/>
        <v>5882.3529411764712</v>
      </c>
      <c r="Q8" s="64">
        <f t="shared" si="9"/>
        <v>0.35371428571428576</v>
      </c>
      <c r="R8" s="65">
        <v>7000</v>
      </c>
      <c r="S8" s="41">
        <f>2251*2</f>
        <v>4502</v>
      </c>
      <c r="T8" s="40">
        <f t="shared" si="10"/>
        <v>4502</v>
      </c>
      <c r="U8" s="41">
        <v>22</v>
      </c>
      <c r="V8" s="40">
        <f t="shared" si="11"/>
        <v>4524</v>
      </c>
      <c r="W8" s="40">
        <f t="shared" si="12"/>
        <v>2476</v>
      </c>
      <c r="X8" s="8">
        <f t="shared" si="13"/>
        <v>350</v>
      </c>
      <c r="Y8" s="26"/>
      <c r="Z8" s="8" t="str">
        <f t="shared" si="14"/>
        <v>2 x Queso Rueda Sabores / 200 gramos)</v>
      </c>
      <c r="AA8" s="31" t="s">
        <v>430</v>
      </c>
      <c r="AB8" s="31">
        <v>-2</v>
      </c>
    </row>
    <row r="9" spans="1:37" ht="13.2">
      <c r="A9" s="59" t="s">
        <v>43</v>
      </c>
      <c r="B9" s="8" t="str">
        <f>CONCATENATE(C9,E9)</f>
        <v>3 Bandeja HUEVOS EXTRA 30 Huevos</v>
      </c>
      <c r="C9" s="60" t="s">
        <v>778</v>
      </c>
      <c r="D9" s="61" t="s">
        <v>355</v>
      </c>
      <c r="E9" s="41"/>
      <c r="F9" s="62">
        <f>5670*3</f>
        <v>17010</v>
      </c>
      <c r="G9" s="62">
        <v>25</v>
      </c>
      <c r="H9" s="62">
        <f t="shared" si="1"/>
        <v>17035</v>
      </c>
      <c r="I9" s="62">
        <f t="shared" si="2"/>
        <v>3236.65</v>
      </c>
      <c r="J9" s="63">
        <v>0.26605000000000001</v>
      </c>
      <c r="K9" s="62">
        <f t="shared" si="3"/>
        <v>23210.027931057975</v>
      </c>
      <c r="L9" s="62">
        <f t="shared" si="4"/>
        <v>4409.9053069010151</v>
      </c>
      <c r="M9" s="62">
        <f t="shared" si="15"/>
        <v>27619.933237958991</v>
      </c>
      <c r="N9" s="62">
        <f t="shared" si="6"/>
        <v>6175.0279310579754</v>
      </c>
      <c r="O9" s="61">
        <f t="shared" si="7"/>
        <v>19619.933237958991</v>
      </c>
      <c r="P9" s="61">
        <f t="shared" si="8"/>
        <v>6722.6890756302528</v>
      </c>
      <c r="Q9" s="64">
        <f t="shared" si="9"/>
        <v>-1.5339562499999997</v>
      </c>
      <c r="R9" s="65">
        <v>8000</v>
      </c>
      <c r="S9" s="41">
        <v>6710</v>
      </c>
      <c r="T9" s="41">
        <f t="shared" si="10"/>
        <v>6710</v>
      </c>
      <c r="U9" s="41">
        <v>30</v>
      </c>
      <c r="V9" s="40">
        <f t="shared" si="11"/>
        <v>6740</v>
      </c>
      <c r="W9" s="40">
        <f t="shared" si="12"/>
        <v>1260</v>
      </c>
      <c r="X9" s="8">
        <f t="shared" si="13"/>
        <v>400</v>
      </c>
      <c r="Y9" s="26"/>
      <c r="Z9" s="8" t="str">
        <f t="shared" si="14"/>
        <v>3 Bandeja HUEVOS EXTRA 30 Huevos</v>
      </c>
      <c r="AA9" s="31" t="s">
        <v>359</v>
      </c>
      <c r="AB9" s="31">
        <v>-3</v>
      </c>
    </row>
    <row r="10" spans="1:37" ht="13.2">
      <c r="A10" s="59" t="s">
        <v>53</v>
      </c>
      <c r="B10" s="8" t="str">
        <f>CONCATENATE(C10," / ",E10," metros")</f>
        <v>3 Toalla Jumbo OVELLA D/H / 100 metros</v>
      </c>
      <c r="C10" s="60" t="s">
        <v>1570</v>
      </c>
      <c r="D10" s="31" t="s">
        <v>716</v>
      </c>
      <c r="E10" s="41">
        <v>100</v>
      </c>
      <c r="F10" s="62">
        <f>2294*3</f>
        <v>6882</v>
      </c>
      <c r="G10" s="62">
        <v>0</v>
      </c>
      <c r="H10" s="62">
        <f t="shared" si="1"/>
        <v>6882</v>
      </c>
      <c r="I10" s="62">
        <f t="shared" si="2"/>
        <v>1307.58</v>
      </c>
      <c r="J10" s="63">
        <v>0.24868999999999999</v>
      </c>
      <c r="K10" s="62">
        <f t="shared" si="3"/>
        <v>9160.0005324034009</v>
      </c>
      <c r="L10" s="62">
        <f t="shared" si="4"/>
        <v>1740.4001011566461</v>
      </c>
      <c r="M10" s="62">
        <f t="shared" si="15"/>
        <v>10900.400633560046</v>
      </c>
      <c r="N10" s="62">
        <f t="shared" si="6"/>
        <v>2278.0005324034009</v>
      </c>
      <c r="O10" s="61">
        <f t="shared" si="7"/>
        <v>-2099.5993664399539</v>
      </c>
      <c r="P10" s="61">
        <f t="shared" si="8"/>
        <v>10924.36974789916</v>
      </c>
      <c r="Q10" s="64">
        <f t="shared" si="9"/>
        <v>0.37003230769230766</v>
      </c>
      <c r="R10" s="65">
        <v>13000</v>
      </c>
      <c r="S10" s="41">
        <f>1290*6</f>
        <v>7740</v>
      </c>
      <c r="T10" s="74"/>
      <c r="U10" s="74"/>
      <c r="V10" s="75">
        <f>S10</f>
        <v>7740</v>
      </c>
      <c r="W10" s="40">
        <f t="shared" si="12"/>
        <v>5260</v>
      </c>
      <c r="X10" s="8">
        <f t="shared" si="13"/>
        <v>650</v>
      </c>
      <c r="Y10" s="76"/>
      <c r="Z10" s="8" t="str">
        <f t="shared" si="14"/>
        <v>3 Toalla Jumbo OVELLA D/H / 100 metros</v>
      </c>
      <c r="AA10" s="31" t="s">
        <v>1045</v>
      </c>
      <c r="AB10" s="31">
        <v>-3</v>
      </c>
    </row>
    <row r="11" spans="1:37" ht="13.2">
      <c r="A11" s="59" t="s">
        <v>47</v>
      </c>
      <c r="B11" s="8" t="str">
        <f t="shared" ref="B11:B34" si="17">CONCATENATE(C11,E11)</f>
        <v>Paños Cocina Fibra (30x50 cm)</v>
      </c>
      <c r="C11" s="31" t="s">
        <v>1571</v>
      </c>
      <c r="D11" s="61" t="s">
        <v>402</v>
      </c>
      <c r="E11" s="41"/>
      <c r="F11" s="62">
        <f>55882/250</f>
        <v>223.52799999999999</v>
      </c>
      <c r="G11" s="62">
        <v>0</v>
      </c>
      <c r="H11" s="62">
        <f t="shared" si="1"/>
        <v>223.52799999999999</v>
      </c>
      <c r="I11" s="62">
        <f t="shared" si="2"/>
        <v>42.470320000000001</v>
      </c>
      <c r="J11" s="63">
        <v>0.73399999999999999</v>
      </c>
      <c r="K11" s="62">
        <f t="shared" si="3"/>
        <v>840.33082706766913</v>
      </c>
      <c r="L11" s="62">
        <f t="shared" si="4"/>
        <v>159.66285714285715</v>
      </c>
      <c r="M11" s="62">
        <f t="shared" si="15"/>
        <v>999.99368421052623</v>
      </c>
      <c r="N11" s="62">
        <f t="shared" si="6"/>
        <v>616.80282706766911</v>
      </c>
      <c r="O11" s="61">
        <f t="shared" si="7"/>
        <v>-2000.0063157894738</v>
      </c>
      <c r="P11" s="61">
        <f t="shared" si="8"/>
        <v>2521.0084033613448</v>
      </c>
      <c r="Q11" s="64">
        <f t="shared" si="9"/>
        <v>0.91133389333333337</v>
      </c>
      <c r="R11" s="77">
        <v>3000</v>
      </c>
      <c r="S11" s="26">
        <v>2097</v>
      </c>
      <c r="T11" s="26">
        <v>2097</v>
      </c>
      <c r="U11" s="41">
        <v>0</v>
      </c>
      <c r="V11" s="40">
        <f t="shared" ref="V11:V70" si="18">T11+U11</f>
        <v>2097</v>
      </c>
      <c r="W11" s="40">
        <f t="shared" si="12"/>
        <v>903</v>
      </c>
      <c r="X11" s="8">
        <f t="shared" si="13"/>
        <v>150</v>
      </c>
      <c r="Y11" s="26"/>
      <c r="Z11" s="8" t="str">
        <f t="shared" si="14"/>
        <v>Paños Cocina Fibra (30x50 cm)</v>
      </c>
      <c r="AA11" s="31" t="s">
        <v>403</v>
      </c>
      <c r="AB11" s="31">
        <v>-1</v>
      </c>
    </row>
    <row r="12" spans="1:37" ht="13.2">
      <c r="A12" s="59" t="s">
        <v>47</v>
      </c>
      <c r="B12" s="8" t="str">
        <f t="shared" si="17"/>
        <v>Pack 3 Paños Cocina Fibra (30x50 cm)</v>
      </c>
      <c r="C12" s="31" t="s">
        <v>206</v>
      </c>
      <c r="D12" s="61" t="s">
        <v>402</v>
      </c>
      <c r="E12" s="41"/>
      <c r="F12" s="62">
        <f>(55882/250)*3</f>
        <v>670.58399999999995</v>
      </c>
      <c r="G12" s="62">
        <v>0</v>
      </c>
      <c r="H12" s="62">
        <f t="shared" si="1"/>
        <v>670.58399999999995</v>
      </c>
      <c r="I12" s="62">
        <f t="shared" si="2"/>
        <v>127.41095999999999</v>
      </c>
      <c r="J12" s="63">
        <v>0.68079999999999996</v>
      </c>
      <c r="K12" s="62">
        <f t="shared" si="3"/>
        <v>2100.8270676691727</v>
      </c>
      <c r="L12" s="62">
        <f t="shared" si="4"/>
        <v>399.15714285714284</v>
      </c>
      <c r="M12" s="62">
        <f t="shared" si="15"/>
        <v>2499.9842105263156</v>
      </c>
      <c r="N12" s="62">
        <f t="shared" si="6"/>
        <v>1430.2430676691729</v>
      </c>
      <c r="O12" s="61">
        <f t="shared" si="7"/>
        <v>-500.01578947368444</v>
      </c>
      <c r="P12" s="61">
        <f t="shared" si="8"/>
        <v>2521.0084033613448</v>
      </c>
      <c r="Q12" s="64">
        <f t="shared" si="9"/>
        <v>0.73400167999999999</v>
      </c>
      <c r="R12" s="77">
        <v>3000</v>
      </c>
      <c r="S12" s="26">
        <v>2097</v>
      </c>
      <c r="T12" s="26">
        <v>2097</v>
      </c>
      <c r="U12" s="41">
        <v>0</v>
      </c>
      <c r="V12" s="40">
        <f t="shared" si="18"/>
        <v>2097</v>
      </c>
      <c r="W12" s="40">
        <f t="shared" si="12"/>
        <v>903</v>
      </c>
      <c r="X12" s="8">
        <f t="shared" si="13"/>
        <v>150</v>
      </c>
      <c r="Y12" s="26"/>
      <c r="Z12" s="8" t="str">
        <f t="shared" si="14"/>
        <v>Pack 3 Paños Cocina Fibra (30x50 cm)</v>
      </c>
      <c r="AA12" s="31" t="s">
        <v>403</v>
      </c>
      <c r="AB12" s="31">
        <v>-3</v>
      </c>
    </row>
    <row r="13" spans="1:37" ht="13.2">
      <c r="A13" s="59" t="s">
        <v>47</v>
      </c>
      <c r="B13" s="8" t="str">
        <f t="shared" si="17"/>
        <v>Guantes Latex Talle M</v>
      </c>
      <c r="C13" s="31" t="s">
        <v>207</v>
      </c>
      <c r="D13" s="61" t="s">
        <v>420</v>
      </c>
      <c r="E13" s="41"/>
      <c r="F13" s="62">
        <f t="shared" ref="F13:F14" si="19">79866/240</f>
        <v>332.77499999999998</v>
      </c>
      <c r="G13" s="62">
        <v>0</v>
      </c>
      <c r="H13" s="62">
        <f t="shared" si="1"/>
        <v>332.77499999999998</v>
      </c>
      <c r="I13" s="62">
        <f t="shared" si="2"/>
        <v>63.227249999999998</v>
      </c>
      <c r="J13" s="63">
        <v>0.43440000000000001</v>
      </c>
      <c r="K13" s="62">
        <f t="shared" si="3"/>
        <v>588.35749646393208</v>
      </c>
      <c r="L13" s="62">
        <f t="shared" si="4"/>
        <v>111.7879243281471</v>
      </c>
      <c r="M13" s="62">
        <f t="shared" si="15"/>
        <v>700.14542079207922</v>
      </c>
      <c r="N13" s="62">
        <f t="shared" si="6"/>
        <v>255.5824964639321</v>
      </c>
      <c r="O13" s="61">
        <f t="shared" si="7"/>
        <v>-2299.8545792079208</v>
      </c>
      <c r="P13" s="61">
        <f t="shared" si="8"/>
        <v>2521.0084033613448</v>
      </c>
      <c r="Q13" s="64">
        <f t="shared" si="9"/>
        <v>0.86799925</v>
      </c>
      <c r="R13" s="77">
        <v>3000</v>
      </c>
      <c r="S13" s="26">
        <v>2097</v>
      </c>
      <c r="T13" s="26">
        <v>2097</v>
      </c>
      <c r="U13" s="41">
        <v>0</v>
      </c>
      <c r="V13" s="40">
        <f t="shared" si="18"/>
        <v>2097</v>
      </c>
      <c r="W13" s="40">
        <f t="shared" si="12"/>
        <v>903</v>
      </c>
      <c r="X13" s="8">
        <f t="shared" si="13"/>
        <v>150</v>
      </c>
      <c r="Y13" s="26"/>
      <c r="Z13" s="8" t="str">
        <f t="shared" si="14"/>
        <v>Guantes Latex Talle M</v>
      </c>
      <c r="AA13" s="31" t="s">
        <v>421</v>
      </c>
      <c r="AB13" s="31">
        <v>-1</v>
      </c>
    </row>
    <row r="14" spans="1:37" ht="13.2">
      <c r="A14" s="59" t="s">
        <v>47</v>
      </c>
      <c r="B14" s="8" t="str">
        <f t="shared" si="17"/>
        <v>Guantes Latex Talle S</v>
      </c>
      <c r="C14" s="31" t="s">
        <v>290</v>
      </c>
      <c r="D14" s="61" t="s">
        <v>420</v>
      </c>
      <c r="E14" s="41"/>
      <c r="F14" s="62">
        <f t="shared" si="19"/>
        <v>332.77499999999998</v>
      </c>
      <c r="G14" s="62">
        <v>0</v>
      </c>
      <c r="H14" s="62">
        <f t="shared" si="1"/>
        <v>332.77499999999998</v>
      </c>
      <c r="I14" s="62">
        <f t="shared" si="2"/>
        <v>63.227249999999998</v>
      </c>
      <c r="J14" s="63">
        <v>0.43440000000000001</v>
      </c>
      <c r="K14" s="62">
        <f t="shared" si="3"/>
        <v>588.35749646393208</v>
      </c>
      <c r="L14" s="62">
        <f t="shared" si="4"/>
        <v>111.7879243281471</v>
      </c>
      <c r="M14" s="62">
        <f t="shared" si="15"/>
        <v>700.14542079207922</v>
      </c>
      <c r="N14" s="62">
        <f t="shared" si="6"/>
        <v>255.5824964639321</v>
      </c>
      <c r="O14" s="61">
        <f t="shared" si="7"/>
        <v>-2299.8545792079208</v>
      </c>
      <c r="P14" s="61">
        <f t="shared" si="8"/>
        <v>2521.0084033613448</v>
      </c>
      <c r="Q14" s="64">
        <f t="shared" si="9"/>
        <v>0.86799925</v>
      </c>
      <c r="R14" s="77">
        <v>3000</v>
      </c>
      <c r="S14" s="26">
        <v>2097</v>
      </c>
      <c r="T14" s="26">
        <v>2097</v>
      </c>
      <c r="U14" s="41">
        <v>0</v>
      </c>
      <c r="V14" s="40">
        <f t="shared" si="18"/>
        <v>2097</v>
      </c>
      <c r="W14" s="40">
        <f t="shared" si="12"/>
        <v>903</v>
      </c>
      <c r="X14" s="8">
        <f t="shared" si="13"/>
        <v>150</v>
      </c>
      <c r="Y14" s="26"/>
      <c r="Z14" s="8" t="str">
        <f t="shared" si="14"/>
        <v>Guantes Latex Talle S</v>
      </c>
      <c r="AA14" s="31" t="s">
        <v>1058</v>
      </c>
      <c r="AB14" s="31">
        <v>-1</v>
      </c>
    </row>
    <row r="15" spans="1:37" ht="13.2">
      <c r="A15" s="59" t="s">
        <v>76</v>
      </c>
      <c r="B15" s="8" t="str">
        <f t="shared" si="17"/>
        <v>Tableta Cloro envase 1K (200 g c/tableta)</v>
      </c>
      <c r="C15" s="31" t="s">
        <v>134</v>
      </c>
      <c r="D15" s="61" t="s">
        <v>1572</v>
      </c>
      <c r="E15" s="41"/>
      <c r="F15" s="62">
        <f>45714/20</f>
        <v>2285.6999999999998</v>
      </c>
      <c r="G15" s="62">
        <v>0</v>
      </c>
      <c r="H15" s="62">
        <f t="shared" si="1"/>
        <v>2285.6999999999998</v>
      </c>
      <c r="I15" s="62">
        <f t="shared" si="2"/>
        <v>434.28299999999996</v>
      </c>
      <c r="J15" s="63">
        <v>0.40870000000000001</v>
      </c>
      <c r="K15" s="62">
        <f t="shared" si="3"/>
        <v>3865.5504819888383</v>
      </c>
      <c r="L15" s="62">
        <f t="shared" si="4"/>
        <v>734.45459157787934</v>
      </c>
      <c r="M15" s="62">
        <f t="shared" si="15"/>
        <v>4600.0050735667173</v>
      </c>
      <c r="N15" s="62">
        <f t="shared" si="6"/>
        <v>1579.8504819888385</v>
      </c>
      <c r="O15" s="61">
        <f t="shared" si="7"/>
        <v>1600.0050735667173</v>
      </c>
      <c r="P15" s="61">
        <f t="shared" si="8"/>
        <v>2521.0084033613448</v>
      </c>
      <c r="Q15" s="64">
        <f t="shared" si="9"/>
        <v>9.3339000000000172E-2</v>
      </c>
      <c r="R15" s="77">
        <v>3000</v>
      </c>
      <c r="S15" s="26">
        <v>2097</v>
      </c>
      <c r="T15" s="26">
        <v>2097</v>
      </c>
      <c r="U15" s="41">
        <v>0</v>
      </c>
      <c r="V15" s="40">
        <f t="shared" si="18"/>
        <v>2097</v>
      </c>
      <c r="W15" s="40">
        <f t="shared" si="12"/>
        <v>903</v>
      </c>
      <c r="X15" s="8">
        <f t="shared" si="13"/>
        <v>150</v>
      </c>
      <c r="Y15" s="26"/>
      <c r="Z15" s="8" t="str">
        <f t="shared" si="14"/>
        <v>Tableta Cloro envase 1K (200 g c/tableta)</v>
      </c>
      <c r="AA15" s="31" t="s">
        <v>1059</v>
      </c>
      <c r="AB15" s="31">
        <v>-1</v>
      </c>
    </row>
    <row r="16" spans="1:37" ht="13.2">
      <c r="A16" s="59" t="s">
        <v>76</v>
      </c>
      <c r="B16" s="8" t="str">
        <f t="shared" si="17"/>
        <v>Pastillas Estanque WC (3 unidades)</v>
      </c>
      <c r="C16" s="31" t="s">
        <v>89</v>
      </c>
      <c r="D16" s="61" t="s">
        <v>440</v>
      </c>
      <c r="E16" s="41"/>
      <c r="F16" s="62">
        <v>698</v>
      </c>
      <c r="G16" s="62">
        <v>0</v>
      </c>
      <c r="H16" s="62">
        <f t="shared" si="1"/>
        <v>698</v>
      </c>
      <c r="I16" s="62">
        <f t="shared" si="2"/>
        <v>132.62</v>
      </c>
      <c r="J16" s="63">
        <v>0.44640000000000002</v>
      </c>
      <c r="K16" s="62">
        <f t="shared" si="3"/>
        <v>1260.8381502890174</v>
      </c>
      <c r="L16" s="62">
        <f t="shared" si="4"/>
        <v>239.55924855491332</v>
      </c>
      <c r="M16" s="62">
        <f t="shared" si="15"/>
        <v>1500.3973988439307</v>
      </c>
      <c r="N16" s="62">
        <f t="shared" si="6"/>
        <v>562.83815028901745</v>
      </c>
      <c r="O16" s="61">
        <f t="shared" si="7"/>
        <v>-1499.6026011560693</v>
      </c>
      <c r="P16" s="61">
        <f t="shared" si="8"/>
        <v>2521.0084033613448</v>
      </c>
      <c r="Q16" s="64">
        <f t="shared" si="9"/>
        <v>0.7231266666666667</v>
      </c>
      <c r="R16" s="77">
        <v>3000</v>
      </c>
      <c r="S16" s="26">
        <v>2097</v>
      </c>
      <c r="T16" s="26">
        <v>2097</v>
      </c>
      <c r="U16" s="41">
        <v>0</v>
      </c>
      <c r="V16" s="40">
        <f t="shared" si="18"/>
        <v>2097</v>
      </c>
      <c r="W16" s="40">
        <f t="shared" si="12"/>
        <v>903</v>
      </c>
      <c r="X16" s="8">
        <f t="shared" si="13"/>
        <v>150</v>
      </c>
      <c r="Y16" s="26"/>
      <c r="Z16" s="8" t="str">
        <f t="shared" si="14"/>
        <v>Pastillas Estanque WC (3 unidades)</v>
      </c>
      <c r="AA16" s="31" t="s">
        <v>441</v>
      </c>
      <c r="AB16" s="31">
        <v>-1</v>
      </c>
    </row>
    <row r="17" spans="1:28" ht="13.2">
      <c r="A17" s="59" t="s">
        <v>76</v>
      </c>
      <c r="B17" s="8" t="str">
        <f t="shared" si="17"/>
        <v>Pack 3 x Pastillas Estanque WC (3 unidades)</v>
      </c>
      <c r="C17" s="31" t="s">
        <v>334</v>
      </c>
      <c r="D17" s="61" t="s">
        <v>440</v>
      </c>
      <c r="E17" s="41"/>
      <c r="F17" s="62">
        <f>(698)*3</f>
        <v>2094</v>
      </c>
      <c r="G17" s="62">
        <v>0</v>
      </c>
      <c r="H17" s="62">
        <f t="shared" si="1"/>
        <v>2094</v>
      </c>
      <c r="I17" s="62">
        <f t="shared" si="2"/>
        <v>397.86</v>
      </c>
      <c r="J17" s="63">
        <v>0.40670000000000001</v>
      </c>
      <c r="K17" s="62">
        <f t="shared" si="3"/>
        <v>3529.4117647058829</v>
      </c>
      <c r="L17" s="62">
        <f t="shared" si="4"/>
        <v>670.58823529411779</v>
      </c>
      <c r="M17" s="62">
        <f t="shared" si="15"/>
        <v>4200.0000000000009</v>
      </c>
      <c r="N17" s="62">
        <f t="shared" si="6"/>
        <v>1435.4117647058829</v>
      </c>
      <c r="O17" s="61">
        <f t="shared" si="7"/>
        <v>1200.0000000000009</v>
      </c>
      <c r="P17" s="61">
        <f t="shared" si="8"/>
        <v>2521.0084033613448</v>
      </c>
      <c r="Q17" s="64">
        <f t="shared" si="9"/>
        <v>0.16938000000000009</v>
      </c>
      <c r="R17" s="77">
        <v>3000</v>
      </c>
      <c r="S17" s="26">
        <v>2097</v>
      </c>
      <c r="T17" s="26">
        <v>2097</v>
      </c>
      <c r="U17" s="41">
        <v>0</v>
      </c>
      <c r="V17" s="40">
        <f t="shared" si="18"/>
        <v>2097</v>
      </c>
      <c r="W17" s="40">
        <f t="shared" si="12"/>
        <v>903</v>
      </c>
      <c r="X17" s="8">
        <f t="shared" si="13"/>
        <v>150</v>
      </c>
      <c r="Y17" s="26"/>
      <c r="Z17" s="8" t="str">
        <f t="shared" si="14"/>
        <v>Pack 3 x Pastillas Estanque WC (3 unidades)</v>
      </c>
      <c r="AA17" s="31" t="s">
        <v>441</v>
      </c>
      <c r="AB17" s="31">
        <v>-3</v>
      </c>
    </row>
    <row r="18" spans="1:28" ht="13.2">
      <c r="A18" s="59" t="s">
        <v>47</v>
      </c>
      <c r="B18" s="8" t="str">
        <f t="shared" si="17"/>
        <v>Pasta Diente Pepsodent 3x2</v>
      </c>
      <c r="C18" s="60" t="s">
        <v>95</v>
      </c>
      <c r="D18" s="61" t="s">
        <v>1573</v>
      </c>
      <c r="E18" s="41"/>
      <c r="F18" s="62">
        <f>2720/1.19</f>
        <v>2285.7142857142858</v>
      </c>
      <c r="G18" s="62">
        <v>0</v>
      </c>
      <c r="H18" s="62">
        <f t="shared" si="1"/>
        <v>2285.7142857142858</v>
      </c>
      <c r="I18" s="62">
        <f t="shared" si="2"/>
        <v>434.28571428571428</v>
      </c>
      <c r="J18" s="63">
        <v>0.2</v>
      </c>
      <c r="K18" s="62">
        <f t="shared" si="3"/>
        <v>2857.1428571428569</v>
      </c>
      <c r="L18" s="62">
        <f t="shared" si="4"/>
        <v>542.85714285714278</v>
      </c>
      <c r="M18" s="62">
        <f t="shared" si="15"/>
        <v>3399.9999999999995</v>
      </c>
      <c r="N18" s="62">
        <f t="shared" si="6"/>
        <v>571.4285714285711</v>
      </c>
      <c r="O18" s="61">
        <f t="shared" si="7"/>
        <v>-4600</v>
      </c>
      <c r="P18" s="61">
        <f t="shared" si="8"/>
        <v>6722.6890756302528</v>
      </c>
      <c r="Q18" s="64">
        <f t="shared" si="9"/>
        <v>0.66</v>
      </c>
      <c r="R18" s="65">
        <v>8000</v>
      </c>
      <c r="S18" s="41">
        <v>6710</v>
      </c>
      <c r="T18" s="41">
        <f>S18</f>
        <v>6710</v>
      </c>
      <c r="U18" s="41">
        <v>30</v>
      </c>
      <c r="V18" s="40">
        <f t="shared" si="18"/>
        <v>6740</v>
      </c>
      <c r="W18" s="40">
        <f t="shared" si="12"/>
        <v>1260</v>
      </c>
      <c r="X18" s="8">
        <f t="shared" si="13"/>
        <v>400</v>
      </c>
      <c r="Y18" s="26"/>
      <c r="Z18" s="8" t="str">
        <f t="shared" si="14"/>
        <v>Pasta Diente Pepsodent 3x2</v>
      </c>
      <c r="AA18" s="31" t="s">
        <v>1055</v>
      </c>
      <c r="AB18" s="31">
        <v>-1</v>
      </c>
    </row>
    <row r="19" spans="1:28" ht="13.2">
      <c r="A19" s="59" t="s">
        <v>47</v>
      </c>
      <c r="B19" s="8" t="str">
        <f t="shared" si="17"/>
        <v>Pinzas de Ropa (24 unidades)</v>
      </c>
      <c r="C19" s="67" t="s">
        <v>418</v>
      </c>
      <c r="D19" s="61" t="s">
        <v>419</v>
      </c>
      <c r="E19" s="41"/>
      <c r="F19" s="62">
        <f>26387/100</f>
        <v>263.87</v>
      </c>
      <c r="G19" s="62">
        <v>0</v>
      </c>
      <c r="H19" s="62">
        <f t="shared" si="1"/>
        <v>263.87</v>
      </c>
      <c r="I19" s="62">
        <f t="shared" si="2"/>
        <v>50.135300000000001</v>
      </c>
      <c r="J19" s="63">
        <v>0.68600000000000005</v>
      </c>
      <c r="K19" s="62">
        <f t="shared" si="3"/>
        <v>840.35031847133769</v>
      </c>
      <c r="L19" s="62">
        <f t="shared" si="4"/>
        <v>159.66656050955416</v>
      </c>
      <c r="M19" s="62">
        <f t="shared" si="15"/>
        <v>1000.0168789808919</v>
      </c>
      <c r="N19" s="62">
        <f t="shared" si="6"/>
        <v>576.48031847133768</v>
      </c>
      <c r="O19" s="61">
        <f t="shared" si="7"/>
        <v>-1999.9831210191082</v>
      </c>
      <c r="P19" s="61">
        <f t="shared" si="8"/>
        <v>2521.0084033613448</v>
      </c>
      <c r="Q19" s="64">
        <f t="shared" si="9"/>
        <v>0.89533156666666669</v>
      </c>
      <c r="R19" s="77">
        <v>3000</v>
      </c>
      <c r="S19" s="26">
        <v>2097</v>
      </c>
      <c r="T19" s="26">
        <v>2097</v>
      </c>
      <c r="U19" s="41">
        <v>0</v>
      </c>
      <c r="V19" s="40">
        <f t="shared" si="18"/>
        <v>2097</v>
      </c>
      <c r="W19" s="40">
        <f t="shared" si="12"/>
        <v>903</v>
      </c>
      <c r="X19" s="8">
        <f t="shared" si="13"/>
        <v>150</v>
      </c>
      <c r="Y19" s="26"/>
      <c r="Z19" s="8" t="str">
        <f t="shared" si="14"/>
        <v>Pinzas de Ropa (24 unidades)</v>
      </c>
      <c r="AA19" s="31" t="s">
        <v>419</v>
      </c>
      <c r="AB19" s="31">
        <v>-1</v>
      </c>
    </row>
    <row r="20" spans="1:28" ht="13.2">
      <c r="A20" s="59" t="s">
        <v>47</v>
      </c>
      <c r="B20" s="8" t="str">
        <f t="shared" si="17"/>
        <v>Pack 3 x Pinzas de Ropa (24 unidades)</v>
      </c>
      <c r="C20" s="67" t="s">
        <v>557</v>
      </c>
      <c r="D20" s="61" t="s">
        <v>419</v>
      </c>
      <c r="E20" s="41"/>
      <c r="F20" s="62">
        <f>(26387/100)*3</f>
        <v>791.61</v>
      </c>
      <c r="G20" s="62">
        <v>0</v>
      </c>
      <c r="H20" s="62">
        <f t="shared" si="1"/>
        <v>791.61</v>
      </c>
      <c r="I20" s="62">
        <f t="shared" si="2"/>
        <v>150.4059</v>
      </c>
      <c r="J20" s="63">
        <v>0.63770000000000004</v>
      </c>
      <c r="K20" s="62">
        <f t="shared" si="3"/>
        <v>2184.9572177753248</v>
      </c>
      <c r="L20" s="62">
        <f t="shared" si="4"/>
        <v>415.1418713773117</v>
      </c>
      <c r="M20" s="62">
        <f t="shared" si="15"/>
        <v>2600.0990891526367</v>
      </c>
      <c r="N20" s="62">
        <f t="shared" si="6"/>
        <v>1393.3472177753247</v>
      </c>
      <c r="O20" s="61">
        <f t="shared" si="7"/>
        <v>-399.90091084736332</v>
      </c>
      <c r="P20" s="61">
        <f t="shared" si="8"/>
        <v>2521.0084033613448</v>
      </c>
      <c r="Q20" s="64">
        <f t="shared" si="9"/>
        <v>0.68599469999999996</v>
      </c>
      <c r="R20" s="77">
        <v>3000</v>
      </c>
      <c r="S20" s="26">
        <v>2097</v>
      </c>
      <c r="T20" s="26">
        <v>2097</v>
      </c>
      <c r="U20" s="41">
        <v>0</v>
      </c>
      <c r="V20" s="40">
        <f t="shared" si="18"/>
        <v>2097</v>
      </c>
      <c r="W20" s="40">
        <f t="shared" si="12"/>
        <v>903</v>
      </c>
      <c r="X20" s="8">
        <f t="shared" si="13"/>
        <v>150</v>
      </c>
      <c r="Y20" s="26"/>
      <c r="Z20" s="8" t="str">
        <f t="shared" si="14"/>
        <v>Pack 3 x Pinzas de Ropa (24 unidades)</v>
      </c>
      <c r="AA20" s="31" t="s">
        <v>419</v>
      </c>
      <c r="AB20" s="31">
        <v>-3</v>
      </c>
    </row>
    <row r="21" spans="1:28" ht="13.2">
      <c r="A21" s="59" t="s">
        <v>47</v>
      </c>
      <c r="B21" s="8" t="str">
        <f t="shared" si="17"/>
        <v>Velas Grandes (4 Unidades)</v>
      </c>
      <c r="C21" s="67" t="s">
        <v>450</v>
      </c>
      <c r="D21" s="61" t="s">
        <v>451</v>
      </c>
      <c r="E21" s="41"/>
      <c r="F21" s="62">
        <f>11133/24</f>
        <v>463.875</v>
      </c>
      <c r="G21" s="62">
        <v>0</v>
      </c>
      <c r="H21" s="62">
        <f t="shared" si="1"/>
        <v>463.875</v>
      </c>
      <c r="I21" s="62">
        <f t="shared" si="2"/>
        <v>88.136250000000004</v>
      </c>
      <c r="J21" s="63">
        <v>0.54</v>
      </c>
      <c r="K21" s="62">
        <f t="shared" si="3"/>
        <v>1008.4239130434784</v>
      </c>
      <c r="L21" s="62">
        <f t="shared" si="4"/>
        <v>191.6005434782609</v>
      </c>
      <c r="M21" s="62">
        <f t="shared" si="15"/>
        <v>1200.0244565217392</v>
      </c>
      <c r="N21" s="62">
        <f t="shared" si="6"/>
        <v>544.54891304347836</v>
      </c>
      <c r="O21" s="61">
        <f t="shared" si="7"/>
        <v>-1799.9755434782608</v>
      </c>
      <c r="P21" s="61">
        <f t="shared" si="8"/>
        <v>2521.0084033613448</v>
      </c>
      <c r="Q21" s="64">
        <f t="shared" si="9"/>
        <v>0.81599624999999998</v>
      </c>
      <c r="R21" s="77">
        <v>3000</v>
      </c>
      <c r="S21" s="26">
        <v>2097</v>
      </c>
      <c r="T21" s="26">
        <v>2097</v>
      </c>
      <c r="U21" s="41">
        <v>0</v>
      </c>
      <c r="V21" s="40">
        <f t="shared" si="18"/>
        <v>2097</v>
      </c>
      <c r="W21" s="40">
        <f t="shared" si="12"/>
        <v>903</v>
      </c>
      <c r="X21" s="8">
        <f t="shared" si="13"/>
        <v>150</v>
      </c>
      <c r="Y21" s="26"/>
      <c r="Z21" s="8" t="str">
        <f t="shared" si="14"/>
        <v>Velas Grandes (4 Unidades)</v>
      </c>
      <c r="AA21" s="31" t="s">
        <v>452</v>
      </c>
      <c r="AB21" s="31">
        <v>-1</v>
      </c>
    </row>
    <row r="22" spans="1:28" ht="13.2">
      <c r="A22" s="59" t="s">
        <v>47</v>
      </c>
      <c r="B22" s="8" t="str">
        <f t="shared" si="17"/>
        <v>Pack 3 x Velas Grandes (4 unidades)</v>
      </c>
      <c r="C22" s="67" t="s">
        <v>289</v>
      </c>
      <c r="D22" s="61" t="s">
        <v>451</v>
      </c>
      <c r="E22" s="41"/>
      <c r="F22" s="62">
        <f>(11133/24)*3</f>
        <v>1391.625</v>
      </c>
      <c r="G22" s="62">
        <v>0</v>
      </c>
      <c r="H22" s="62">
        <f t="shared" si="1"/>
        <v>1391.625</v>
      </c>
      <c r="I22" s="62">
        <f t="shared" si="2"/>
        <v>264.40875</v>
      </c>
      <c r="J22" s="63">
        <v>0.48249999999999998</v>
      </c>
      <c r="K22" s="62">
        <f t="shared" si="3"/>
        <v>2689.1304347826085</v>
      </c>
      <c r="L22" s="62">
        <f t="shared" si="4"/>
        <v>510.93478260869563</v>
      </c>
      <c r="M22" s="62">
        <f t="shared" si="15"/>
        <v>3200.065217391304</v>
      </c>
      <c r="N22" s="62">
        <f t="shared" si="6"/>
        <v>1297.5054347826085</v>
      </c>
      <c r="O22" s="61">
        <f t="shared" si="7"/>
        <v>200.06521739130403</v>
      </c>
      <c r="P22" s="61">
        <f t="shared" si="8"/>
        <v>2521.0084033613448</v>
      </c>
      <c r="Q22" s="64">
        <f t="shared" si="9"/>
        <v>0.44798875000000005</v>
      </c>
      <c r="R22" s="77">
        <v>3000</v>
      </c>
      <c r="S22" s="26">
        <v>2097</v>
      </c>
      <c r="T22" s="26">
        <v>2097</v>
      </c>
      <c r="U22" s="41">
        <v>0</v>
      </c>
      <c r="V22" s="40">
        <f t="shared" si="18"/>
        <v>2097</v>
      </c>
      <c r="W22" s="40">
        <f t="shared" si="12"/>
        <v>903</v>
      </c>
      <c r="X22" s="8">
        <f t="shared" si="13"/>
        <v>150</v>
      </c>
      <c r="Y22" s="26"/>
      <c r="Z22" s="8" t="str">
        <f t="shared" si="14"/>
        <v>Pack 3 x Velas Grandes (4 unidades)</v>
      </c>
      <c r="AA22" s="31" t="s">
        <v>452</v>
      </c>
      <c r="AB22" s="31">
        <v>-3</v>
      </c>
    </row>
    <row r="23" spans="1:28" ht="13.2">
      <c r="A23" s="59" t="s">
        <v>47</v>
      </c>
      <c r="B23" s="8" t="str">
        <f t="shared" si="17"/>
        <v>Velas Pequeñas (4 unidades)</v>
      </c>
      <c r="C23" s="67" t="s">
        <v>1574</v>
      </c>
      <c r="D23" s="61" t="s">
        <v>451</v>
      </c>
      <c r="E23" s="41"/>
      <c r="F23" s="62">
        <f>6797/24</f>
        <v>283.20833333333331</v>
      </c>
      <c r="G23" s="62">
        <v>0</v>
      </c>
      <c r="H23" s="62">
        <f t="shared" si="1"/>
        <v>283.20833333333331</v>
      </c>
      <c r="I23" s="62">
        <f t="shared" si="2"/>
        <v>53.809583333333329</v>
      </c>
      <c r="J23" s="63">
        <v>0.48120000000000002</v>
      </c>
      <c r="K23" s="62">
        <f t="shared" si="3"/>
        <v>545.89115908506813</v>
      </c>
      <c r="L23" s="62">
        <f t="shared" si="4"/>
        <v>103.71932022616295</v>
      </c>
      <c r="M23" s="62">
        <f t="shared" si="15"/>
        <v>649.61047931123107</v>
      </c>
      <c r="N23" s="62">
        <f t="shared" si="6"/>
        <v>262.68282575173481</v>
      </c>
      <c r="O23" s="61">
        <f t="shared" si="7"/>
        <v>-2350.3895206887692</v>
      </c>
      <c r="P23" s="61">
        <f t="shared" si="8"/>
        <v>2521.0084033613448</v>
      </c>
      <c r="Q23" s="64">
        <f t="shared" si="9"/>
        <v>0.88766069444444451</v>
      </c>
      <c r="R23" s="77">
        <v>3000</v>
      </c>
      <c r="S23" s="26">
        <v>2097</v>
      </c>
      <c r="T23" s="26">
        <v>2097</v>
      </c>
      <c r="U23" s="41">
        <v>0</v>
      </c>
      <c r="V23" s="40">
        <f t="shared" si="18"/>
        <v>2097</v>
      </c>
      <c r="W23" s="40">
        <f t="shared" si="12"/>
        <v>903</v>
      </c>
      <c r="X23" s="8">
        <f t="shared" si="13"/>
        <v>150</v>
      </c>
      <c r="Y23" s="26"/>
      <c r="Z23" s="8" t="str">
        <f t="shared" si="14"/>
        <v>Velas Pequeñas (4 unidades)</v>
      </c>
      <c r="AA23" s="31" t="s">
        <v>1575</v>
      </c>
      <c r="AB23" s="31">
        <v>-1</v>
      </c>
    </row>
    <row r="24" spans="1:28" ht="13.2">
      <c r="A24" s="59" t="s">
        <v>47</v>
      </c>
      <c r="B24" s="8" t="str">
        <f t="shared" si="17"/>
        <v>Pack 3 x Velas Pequeñas (4 unidades)</v>
      </c>
      <c r="C24" s="67" t="s">
        <v>1576</v>
      </c>
      <c r="D24" s="61" t="s">
        <v>451</v>
      </c>
      <c r="E24" s="41"/>
      <c r="F24" s="62">
        <f>(6797/24)*3</f>
        <v>849.625</v>
      </c>
      <c r="G24" s="62">
        <v>0</v>
      </c>
      <c r="H24" s="62">
        <f t="shared" si="1"/>
        <v>849.625</v>
      </c>
      <c r="I24" s="62">
        <f t="shared" si="2"/>
        <v>161.42875000000001</v>
      </c>
      <c r="J24" s="63">
        <v>0.36799999999999999</v>
      </c>
      <c r="K24" s="62">
        <f t="shared" si="3"/>
        <v>1344.3433544303798</v>
      </c>
      <c r="L24" s="62">
        <f t="shared" si="4"/>
        <v>255.42523734177217</v>
      </c>
      <c r="M24" s="62">
        <f t="shared" si="15"/>
        <v>1599.7685917721519</v>
      </c>
      <c r="N24" s="62">
        <f t="shared" si="6"/>
        <v>494.7183544303798</v>
      </c>
      <c r="O24" s="61">
        <f t="shared" si="7"/>
        <v>-1400.2314082278481</v>
      </c>
      <c r="P24" s="61">
        <f t="shared" si="8"/>
        <v>2521.0084033613448</v>
      </c>
      <c r="Q24" s="64">
        <f t="shared" si="9"/>
        <v>0.66298208333333331</v>
      </c>
      <c r="R24" s="77">
        <v>3000</v>
      </c>
      <c r="S24" s="26">
        <v>2097</v>
      </c>
      <c r="T24" s="26">
        <v>2097</v>
      </c>
      <c r="U24" s="41">
        <v>0</v>
      </c>
      <c r="V24" s="40">
        <f t="shared" si="18"/>
        <v>2097</v>
      </c>
      <c r="W24" s="40">
        <f t="shared" si="12"/>
        <v>903</v>
      </c>
      <c r="X24" s="8">
        <f t="shared" si="13"/>
        <v>150</v>
      </c>
      <c r="Y24" s="26"/>
      <c r="Z24" s="8" t="str">
        <f t="shared" si="14"/>
        <v>Pack 3 x Velas Pequeñas (4 unidades)</v>
      </c>
      <c r="AA24" s="31" t="s">
        <v>1575</v>
      </c>
      <c r="AB24" s="31">
        <v>-3</v>
      </c>
    </row>
    <row r="25" spans="1:28" ht="13.2">
      <c r="A25" s="59" t="s">
        <v>47</v>
      </c>
      <c r="B25" s="8" t="str">
        <f t="shared" si="17"/>
        <v>3 x Bolsa Basura Teddy 45x55 c/asas</v>
      </c>
      <c r="C25" s="67" t="s">
        <v>169</v>
      </c>
      <c r="D25" s="61" t="s">
        <v>453</v>
      </c>
      <c r="E25" s="41"/>
      <c r="F25" s="62">
        <f>282*3</f>
        <v>846</v>
      </c>
      <c r="G25" s="62">
        <v>0</v>
      </c>
      <c r="H25" s="62">
        <f t="shared" si="1"/>
        <v>846</v>
      </c>
      <c r="I25" s="62">
        <f t="shared" si="2"/>
        <v>160.74</v>
      </c>
      <c r="J25" s="63">
        <v>0.39</v>
      </c>
      <c r="K25" s="62">
        <f t="shared" si="3"/>
        <v>1386.8852459016393</v>
      </c>
      <c r="L25" s="62">
        <f t="shared" si="4"/>
        <v>263.50819672131149</v>
      </c>
      <c r="M25" s="62">
        <f t="shared" si="15"/>
        <v>1650.3934426229507</v>
      </c>
      <c r="N25" s="62">
        <f t="shared" si="6"/>
        <v>540.88524590163934</v>
      </c>
      <c r="O25" s="61">
        <f t="shared" si="7"/>
        <v>-1349.6065573770493</v>
      </c>
      <c r="P25" s="61">
        <f t="shared" si="8"/>
        <v>2521.0084033613448</v>
      </c>
      <c r="Q25" s="64">
        <f t="shared" si="9"/>
        <v>0.66442000000000001</v>
      </c>
      <c r="R25" s="77">
        <v>3000</v>
      </c>
      <c r="S25" s="26">
        <v>2097</v>
      </c>
      <c r="T25" s="26">
        <v>2097</v>
      </c>
      <c r="U25" s="41">
        <v>0</v>
      </c>
      <c r="V25" s="40">
        <f t="shared" si="18"/>
        <v>2097</v>
      </c>
      <c r="W25" s="40">
        <f t="shared" si="12"/>
        <v>903</v>
      </c>
      <c r="X25" s="8">
        <f t="shared" si="13"/>
        <v>150</v>
      </c>
      <c r="Y25" s="26"/>
      <c r="Z25" s="8" t="str">
        <f t="shared" si="14"/>
        <v>3 x Bolsa Basura Teddy 45x55 c/asas</v>
      </c>
      <c r="AA25" s="31" t="s">
        <v>491</v>
      </c>
      <c r="AB25" s="31">
        <v>-3</v>
      </c>
    </row>
    <row r="26" spans="1:28" ht="13.2">
      <c r="A26" s="59" t="s">
        <v>47</v>
      </c>
      <c r="B26" s="8" t="str">
        <f t="shared" si="17"/>
        <v>3 x Bolsa Basura Teddy 50x70</v>
      </c>
      <c r="C26" s="67" t="s">
        <v>170</v>
      </c>
      <c r="D26" s="61" t="s">
        <v>453</v>
      </c>
      <c r="E26" s="41"/>
      <c r="F26" s="62">
        <f>267*3</f>
        <v>801</v>
      </c>
      <c r="G26" s="62">
        <v>0</v>
      </c>
      <c r="H26" s="62">
        <f t="shared" si="1"/>
        <v>801</v>
      </c>
      <c r="I26" s="62">
        <f t="shared" si="2"/>
        <v>152.19</v>
      </c>
      <c r="J26" s="63">
        <v>0.47049999999999997</v>
      </c>
      <c r="K26" s="62">
        <f t="shared" si="3"/>
        <v>1512.7478753541075</v>
      </c>
      <c r="L26" s="62">
        <f t="shared" si="4"/>
        <v>287.42209631728042</v>
      </c>
      <c r="M26" s="62">
        <f t="shared" si="15"/>
        <v>1800.1699716713879</v>
      </c>
      <c r="N26" s="62">
        <f t="shared" si="6"/>
        <v>711.74787535410746</v>
      </c>
      <c r="O26" s="61">
        <f t="shared" si="7"/>
        <v>-1199.8300283286121</v>
      </c>
      <c r="P26" s="61">
        <f t="shared" si="8"/>
        <v>2521.0084033613448</v>
      </c>
      <c r="Q26" s="64">
        <f t="shared" si="9"/>
        <v>0.68227000000000004</v>
      </c>
      <c r="R26" s="77">
        <v>3000</v>
      </c>
      <c r="S26" s="26">
        <v>2097</v>
      </c>
      <c r="T26" s="26">
        <v>2097</v>
      </c>
      <c r="U26" s="41">
        <v>0</v>
      </c>
      <c r="V26" s="40">
        <f t="shared" si="18"/>
        <v>2097</v>
      </c>
      <c r="W26" s="40">
        <f t="shared" si="12"/>
        <v>903</v>
      </c>
      <c r="X26" s="8">
        <f t="shared" si="13"/>
        <v>150</v>
      </c>
      <c r="Y26" s="26"/>
      <c r="Z26" s="8" t="str">
        <f t="shared" si="14"/>
        <v>3 x Bolsa Basura Teddy 50x70</v>
      </c>
      <c r="AA26" s="31" t="s">
        <v>454</v>
      </c>
      <c r="AB26" s="31">
        <v>-3</v>
      </c>
    </row>
    <row r="27" spans="1:28" ht="13.2">
      <c r="A27" s="59" t="s">
        <v>47</v>
      </c>
      <c r="B27" s="8" t="str">
        <f t="shared" si="17"/>
        <v>3 x Bolsa Basura Teddy 70x90</v>
      </c>
      <c r="C27" s="67" t="s">
        <v>92</v>
      </c>
      <c r="D27" s="61" t="s">
        <v>453</v>
      </c>
      <c r="E27" s="41"/>
      <c r="F27" s="62">
        <f>545*3</f>
        <v>1635</v>
      </c>
      <c r="G27" s="62">
        <v>0</v>
      </c>
      <c r="H27" s="62">
        <f t="shared" si="1"/>
        <v>1635</v>
      </c>
      <c r="I27" s="62">
        <f t="shared" si="2"/>
        <v>310.64999999999998</v>
      </c>
      <c r="J27" s="63">
        <v>0.42780000000000001</v>
      </c>
      <c r="K27" s="62">
        <f t="shared" si="3"/>
        <v>2857.3925200978679</v>
      </c>
      <c r="L27" s="62">
        <f t="shared" si="4"/>
        <v>542.90457881859493</v>
      </c>
      <c r="M27" s="62">
        <f t="shared" si="15"/>
        <v>3400.2970989164628</v>
      </c>
      <c r="N27" s="62">
        <f t="shared" si="6"/>
        <v>1222.3925200978679</v>
      </c>
      <c r="O27" s="61">
        <f t="shared" si="7"/>
        <v>400.2970989164628</v>
      </c>
      <c r="P27" s="61">
        <f t="shared" si="8"/>
        <v>2521.0084033613448</v>
      </c>
      <c r="Q27" s="64">
        <f t="shared" si="9"/>
        <v>0.35145000000000004</v>
      </c>
      <c r="R27" s="77">
        <v>3000</v>
      </c>
      <c r="S27" s="26">
        <v>2097</v>
      </c>
      <c r="T27" s="26">
        <v>2097</v>
      </c>
      <c r="U27" s="41">
        <v>0</v>
      </c>
      <c r="V27" s="40">
        <f t="shared" si="18"/>
        <v>2097</v>
      </c>
      <c r="W27" s="40">
        <f t="shared" si="12"/>
        <v>903</v>
      </c>
      <c r="X27" s="8">
        <f t="shared" si="13"/>
        <v>150</v>
      </c>
      <c r="Y27" s="26"/>
      <c r="Z27" s="8" t="str">
        <f t="shared" si="14"/>
        <v>3 x Bolsa Basura Teddy 70x90</v>
      </c>
      <c r="AA27" s="31" t="s">
        <v>487</v>
      </c>
      <c r="AB27" s="31">
        <v>-3</v>
      </c>
    </row>
    <row r="28" spans="1:28" ht="13.2">
      <c r="A28" s="59" t="s">
        <v>47</v>
      </c>
      <c r="B28" s="8" t="str">
        <f t="shared" si="17"/>
        <v>3 x Bolsa Basura Teddy 90x120</v>
      </c>
      <c r="C28" s="67" t="s">
        <v>531</v>
      </c>
      <c r="D28" s="61" t="s">
        <v>453</v>
      </c>
      <c r="E28" s="41"/>
      <c r="F28" s="62">
        <f>1620*3</f>
        <v>4860</v>
      </c>
      <c r="G28" s="62">
        <v>0</v>
      </c>
      <c r="H28" s="62">
        <f t="shared" si="1"/>
        <v>4860</v>
      </c>
      <c r="I28" s="62">
        <f t="shared" si="2"/>
        <v>923.4</v>
      </c>
      <c r="J28" s="63">
        <v>0.33521000000000001</v>
      </c>
      <c r="K28" s="62">
        <f t="shared" si="3"/>
        <v>7310.5792806751006</v>
      </c>
      <c r="L28" s="62">
        <f t="shared" si="4"/>
        <v>1389.0100633282691</v>
      </c>
      <c r="M28" s="62">
        <f t="shared" si="15"/>
        <v>8699.5893440033688</v>
      </c>
      <c r="N28" s="62">
        <f t="shared" si="6"/>
        <v>2450.5792806751006</v>
      </c>
      <c r="O28" s="61">
        <f t="shared" si="7"/>
        <v>5699.5893440033688</v>
      </c>
      <c r="P28" s="61">
        <f t="shared" si="8"/>
        <v>2521.0084033613448</v>
      </c>
      <c r="Q28" s="64">
        <f t="shared" si="9"/>
        <v>-0.92779999999999974</v>
      </c>
      <c r="R28" s="77">
        <v>3000</v>
      </c>
      <c r="S28" s="26">
        <v>2097</v>
      </c>
      <c r="T28" s="26">
        <v>2097</v>
      </c>
      <c r="U28" s="41">
        <v>0</v>
      </c>
      <c r="V28" s="40">
        <f t="shared" si="18"/>
        <v>2097</v>
      </c>
      <c r="W28" s="40">
        <f t="shared" si="12"/>
        <v>903</v>
      </c>
      <c r="X28" s="8">
        <f t="shared" si="13"/>
        <v>150</v>
      </c>
      <c r="Y28" s="26"/>
      <c r="Z28" s="8" t="str">
        <f t="shared" si="14"/>
        <v>3 x Bolsa Basura Teddy 90x120</v>
      </c>
      <c r="AA28" s="31" t="s">
        <v>460</v>
      </c>
      <c r="AB28" s="31">
        <v>-3</v>
      </c>
    </row>
    <row r="29" spans="1:28" ht="13.2">
      <c r="A29" s="59" t="s">
        <v>147</v>
      </c>
      <c r="B29" s="8" t="str">
        <f t="shared" si="17"/>
        <v>3 x Film Embalaje 1,7kg (1,4kg Neto/350 Metros aprox.)</v>
      </c>
      <c r="C29" s="67" t="s">
        <v>594</v>
      </c>
      <c r="D29" s="61" t="s">
        <v>455</v>
      </c>
      <c r="F29" s="62">
        <f>2600*3</f>
        <v>7800</v>
      </c>
      <c r="G29" s="62">
        <v>0</v>
      </c>
      <c r="H29" s="62">
        <f t="shared" si="1"/>
        <v>7800</v>
      </c>
      <c r="I29" s="62">
        <f t="shared" si="2"/>
        <v>1482</v>
      </c>
      <c r="J29" s="63">
        <v>0.41988999999999999</v>
      </c>
      <c r="K29" s="62">
        <f t="shared" si="3"/>
        <v>13445.725810622123</v>
      </c>
      <c r="L29" s="62">
        <f t="shared" si="4"/>
        <v>2554.6879040182034</v>
      </c>
      <c r="M29" s="62">
        <f t="shared" si="15"/>
        <v>16000.413714640326</v>
      </c>
      <c r="N29" s="62">
        <f t="shared" si="6"/>
        <v>5645.7258106221234</v>
      </c>
      <c r="O29" s="61">
        <f t="shared" si="7"/>
        <v>-7999.5862853596736</v>
      </c>
      <c r="P29" s="61">
        <f t="shared" si="8"/>
        <v>20168.067226890758</v>
      </c>
      <c r="Q29" s="64">
        <f t="shared" si="9"/>
        <v>0.61325000000000007</v>
      </c>
      <c r="R29" s="65">
        <v>24000</v>
      </c>
      <c r="S29" s="41">
        <v>15835</v>
      </c>
      <c r="T29" s="41">
        <f>S29</f>
        <v>15835</v>
      </c>
      <c r="U29" s="41">
        <v>0</v>
      </c>
      <c r="V29" s="40">
        <f t="shared" si="18"/>
        <v>15835</v>
      </c>
      <c r="W29" s="40">
        <f t="shared" si="12"/>
        <v>8165</v>
      </c>
      <c r="X29" s="8">
        <f t="shared" si="13"/>
        <v>1200</v>
      </c>
      <c r="Y29" s="26"/>
      <c r="Z29" s="8" t="str">
        <f t="shared" si="14"/>
        <v>3 x Film Embalaje 1,7kg (1,4kg Neto/350 Metros aprox.)</v>
      </c>
      <c r="AA29" s="31" t="s">
        <v>455</v>
      </c>
      <c r="AB29" s="31">
        <v>-3</v>
      </c>
    </row>
    <row r="30" spans="1:28" ht="13.2">
      <c r="A30" s="59" t="s">
        <v>47</v>
      </c>
      <c r="B30" s="8" t="str">
        <f t="shared" si="17"/>
        <v>5 Esponja Escalonada</v>
      </c>
      <c r="C30" s="67" t="s">
        <v>48</v>
      </c>
      <c r="D30" s="61" t="s">
        <v>416</v>
      </c>
      <c r="E30" s="41"/>
      <c r="F30" s="62">
        <f>102*5</f>
        <v>510</v>
      </c>
      <c r="G30" s="62">
        <v>0</v>
      </c>
      <c r="H30" s="62">
        <f t="shared" si="1"/>
        <v>510</v>
      </c>
      <c r="I30" s="62">
        <f t="shared" si="2"/>
        <v>96.9</v>
      </c>
      <c r="J30" s="63">
        <v>0.3931</v>
      </c>
      <c r="K30" s="62">
        <f t="shared" si="3"/>
        <v>840.33613445378148</v>
      </c>
      <c r="L30" s="62">
        <f t="shared" si="4"/>
        <v>159.66386554621849</v>
      </c>
      <c r="M30" s="62">
        <f t="shared" si="15"/>
        <v>1000</v>
      </c>
      <c r="N30" s="62">
        <f t="shared" si="6"/>
        <v>330.33613445378148</v>
      </c>
      <c r="O30" s="61">
        <f t="shared" si="7"/>
        <v>-2600</v>
      </c>
      <c r="P30" s="61">
        <f t="shared" si="8"/>
        <v>3025.2100840336134</v>
      </c>
      <c r="Q30" s="64">
        <f t="shared" si="9"/>
        <v>0.83141666666666669</v>
      </c>
      <c r="R30" s="77">
        <v>3600</v>
      </c>
      <c r="S30" s="26">
        <v>2531</v>
      </c>
      <c r="T30" s="40">
        <f>S30*E30/1000</f>
        <v>0</v>
      </c>
      <c r="U30" s="41">
        <v>0</v>
      </c>
      <c r="V30" s="40">
        <f t="shared" si="18"/>
        <v>0</v>
      </c>
      <c r="W30" s="40">
        <f t="shared" si="12"/>
        <v>3600</v>
      </c>
      <c r="X30" s="8">
        <f t="shared" si="13"/>
        <v>180</v>
      </c>
      <c r="Y30" s="26"/>
      <c r="Z30" s="8" t="str">
        <f t="shared" si="14"/>
        <v>5 Esponja Escalonada</v>
      </c>
      <c r="AA30" s="31" t="s">
        <v>417</v>
      </c>
      <c r="AB30" s="31">
        <v>-5</v>
      </c>
    </row>
    <row r="31" spans="1:28" ht="13.2">
      <c r="A31" s="59" t="s">
        <v>47</v>
      </c>
      <c r="B31" s="8" t="str">
        <f t="shared" si="17"/>
        <v>6 x Bolsa Basura Teddy 45x55 c/asas</v>
      </c>
      <c r="C31" s="67" t="s">
        <v>85</v>
      </c>
      <c r="D31" s="61" t="s">
        <v>453</v>
      </c>
      <c r="E31" s="41"/>
      <c r="F31" s="62">
        <f>282*6</f>
        <v>1692</v>
      </c>
      <c r="G31" s="62">
        <v>0</v>
      </c>
      <c r="H31" s="62">
        <f t="shared" si="1"/>
        <v>1692</v>
      </c>
      <c r="I31" s="62">
        <f t="shared" si="2"/>
        <v>321.48</v>
      </c>
      <c r="J31" s="63">
        <v>0.32890000000000003</v>
      </c>
      <c r="K31" s="62">
        <f t="shared" si="3"/>
        <v>2521.2337952615107</v>
      </c>
      <c r="L31" s="62">
        <f t="shared" si="4"/>
        <v>479.03442109968705</v>
      </c>
      <c r="M31" s="62">
        <f t="shared" si="15"/>
        <v>3000.268216361198</v>
      </c>
      <c r="N31" s="62">
        <f t="shared" si="6"/>
        <v>829.23379526151075</v>
      </c>
      <c r="O31" s="61">
        <f t="shared" si="7"/>
        <v>0.26821636119802861</v>
      </c>
      <c r="P31" s="61">
        <f t="shared" si="8"/>
        <v>2521.0084033613448</v>
      </c>
      <c r="Q31" s="64">
        <f t="shared" si="9"/>
        <v>0.32884000000000002</v>
      </c>
      <c r="R31" s="77">
        <v>3000</v>
      </c>
      <c r="S31" s="26">
        <v>2097</v>
      </c>
      <c r="T31" s="26">
        <v>2097</v>
      </c>
      <c r="U31" s="41">
        <v>0</v>
      </c>
      <c r="V31" s="40">
        <f t="shared" si="18"/>
        <v>2097</v>
      </c>
      <c r="W31" s="40">
        <f t="shared" si="12"/>
        <v>903</v>
      </c>
      <c r="X31" s="8">
        <f t="shared" si="13"/>
        <v>150</v>
      </c>
      <c r="Y31" s="26"/>
      <c r="Z31" s="8" t="str">
        <f t="shared" si="14"/>
        <v>6 x Bolsa Basura Teddy 45x55 c/asas</v>
      </c>
      <c r="AA31" s="31" t="s">
        <v>491</v>
      </c>
      <c r="AB31" s="31">
        <v>-6</v>
      </c>
    </row>
    <row r="32" spans="1:28" ht="13.2">
      <c r="A32" s="59" t="s">
        <v>47</v>
      </c>
      <c r="B32" s="8" t="str">
        <f t="shared" si="17"/>
        <v>6 x Bolsa Basura Teddy 50x70</v>
      </c>
      <c r="C32" s="67" t="s">
        <v>155</v>
      </c>
      <c r="D32" s="61" t="s">
        <v>453</v>
      </c>
      <c r="E32" s="41"/>
      <c r="F32" s="62">
        <f>267*6</f>
        <v>1602</v>
      </c>
      <c r="G32" s="62">
        <v>0</v>
      </c>
      <c r="H32" s="62">
        <f t="shared" si="1"/>
        <v>1602</v>
      </c>
      <c r="I32" s="62">
        <f t="shared" si="2"/>
        <v>304.38</v>
      </c>
      <c r="J32" s="63">
        <v>0.43930000000000002</v>
      </c>
      <c r="K32" s="62">
        <f t="shared" si="3"/>
        <v>2857.1428571428573</v>
      </c>
      <c r="L32" s="62">
        <f t="shared" si="4"/>
        <v>542.85714285714289</v>
      </c>
      <c r="M32" s="62">
        <f t="shared" si="15"/>
        <v>3400</v>
      </c>
      <c r="N32" s="62">
        <f t="shared" si="6"/>
        <v>1255.1428571428573</v>
      </c>
      <c r="O32" s="61">
        <f t="shared" si="7"/>
        <v>400</v>
      </c>
      <c r="P32" s="61">
        <f t="shared" si="8"/>
        <v>2521.0084033613448</v>
      </c>
      <c r="Q32" s="64">
        <f t="shared" si="9"/>
        <v>0.36454000000000009</v>
      </c>
      <c r="R32" s="77">
        <v>3000</v>
      </c>
      <c r="S32" s="26">
        <v>2097</v>
      </c>
      <c r="T32" s="26">
        <v>2097</v>
      </c>
      <c r="U32" s="41">
        <v>0</v>
      </c>
      <c r="V32" s="40">
        <f t="shared" si="18"/>
        <v>2097</v>
      </c>
      <c r="W32" s="40">
        <f t="shared" si="12"/>
        <v>903</v>
      </c>
      <c r="X32" s="8">
        <f t="shared" si="13"/>
        <v>150</v>
      </c>
      <c r="Y32" s="26"/>
      <c r="Z32" s="8" t="str">
        <f t="shared" si="14"/>
        <v>6 x Bolsa Basura Teddy 50x70</v>
      </c>
      <c r="AA32" s="31" t="s">
        <v>454</v>
      </c>
      <c r="AB32" s="31">
        <v>-6</v>
      </c>
    </row>
    <row r="33" spans="1:28" ht="13.2">
      <c r="A33" s="59" t="s">
        <v>47</v>
      </c>
      <c r="B33" s="8" t="str">
        <f t="shared" si="17"/>
        <v>6 x Bolsa Basura Teddy 70x90</v>
      </c>
      <c r="C33" s="67" t="s">
        <v>562</v>
      </c>
      <c r="D33" s="61" t="s">
        <v>453</v>
      </c>
      <c r="E33" s="41"/>
      <c r="F33" s="62">
        <f>545*6</f>
        <v>3270</v>
      </c>
      <c r="G33" s="62">
        <v>0</v>
      </c>
      <c r="H33" s="62">
        <f t="shared" si="1"/>
        <v>3270</v>
      </c>
      <c r="I33" s="62">
        <f t="shared" si="2"/>
        <v>621.29999999999995</v>
      </c>
      <c r="J33" s="63">
        <v>0.40129999999999999</v>
      </c>
      <c r="K33" s="62">
        <f t="shared" si="3"/>
        <v>5461.8339736094867</v>
      </c>
      <c r="L33" s="62">
        <f t="shared" si="4"/>
        <v>1037.7484549858025</v>
      </c>
      <c r="M33" s="62">
        <f t="shared" si="15"/>
        <v>6499.5824285952895</v>
      </c>
      <c r="N33" s="62">
        <f t="shared" si="6"/>
        <v>2191.8339736094867</v>
      </c>
      <c r="O33" s="61">
        <f t="shared" si="7"/>
        <v>3499.5824285952895</v>
      </c>
      <c r="P33" s="61">
        <f t="shared" si="8"/>
        <v>2521.0084033613448</v>
      </c>
      <c r="Q33" s="64">
        <f t="shared" si="9"/>
        <v>-0.29709999999999992</v>
      </c>
      <c r="R33" s="77">
        <v>3000</v>
      </c>
      <c r="S33" s="26">
        <v>2097</v>
      </c>
      <c r="T33" s="26">
        <v>2097</v>
      </c>
      <c r="U33" s="41">
        <v>0</v>
      </c>
      <c r="V33" s="40">
        <f t="shared" si="18"/>
        <v>2097</v>
      </c>
      <c r="W33" s="40">
        <f t="shared" si="12"/>
        <v>903</v>
      </c>
      <c r="X33" s="8">
        <f t="shared" si="13"/>
        <v>150</v>
      </c>
      <c r="Y33" s="26"/>
      <c r="Z33" s="8" t="str">
        <f t="shared" si="14"/>
        <v>6 x Bolsa Basura Teddy 70x90</v>
      </c>
      <c r="AA33" s="31" t="s">
        <v>487</v>
      </c>
      <c r="AB33" s="31">
        <v>-6</v>
      </c>
    </row>
    <row r="34" spans="1:28" ht="13.2">
      <c r="A34" s="59" t="s">
        <v>47</v>
      </c>
      <c r="B34" s="8" t="str">
        <f t="shared" si="17"/>
        <v>6 x Bolsa Basura Teddy 90x120</v>
      </c>
      <c r="C34" s="67" t="s">
        <v>1577</v>
      </c>
      <c r="D34" s="61" t="s">
        <v>453</v>
      </c>
      <c r="E34" s="41"/>
      <c r="F34" s="62">
        <f>1620*6</f>
        <v>9720</v>
      </c>
      <c r="G34" s="62">
        <v>0</v>
      </c>
      <c r="H34" s="62">
        <f t="shared" si="1"/>
        <v>9720</v>
      </c>
      <c r="I34" s="62">
        <f t="shared" si="2"/>
        <v>1846.8</v>
      </c>
      <c r="J34" s="63">
        <v>0.3196</v>
      </c>
      <c r="K34" s="62">
        <f t="shared" si="3"/>
        <v>14285.714285714286</v>
      </c>
      <c r="L34" s="62">
        <f t="shared" si="4"/>
        <v>2714.2857142857142</v>
      </c>
      <c r="M34" s="62">
        <f t="shared" si="15"/>
        <v>17000</v>
      </c>
      <c r="N34" s="62">
        <f t="shared" si="6"/>
        <v>4565.7142857142862</v>
      </c>
      <c r="O34" s="61">
        <f t="shared" si="7"/>
        <v>14000</v>
      </c>
      <c r="P34" s="61">
        <f t="shared" si="8"/>
        <v>2521.0084033613448</v>
      </c>
      <c r="Q34" s="64">
        <f t="shared" si="9"/>
        <v>-2.8555999999999995</v>
      </c>
      <c r="R34" s="77">
        <v>3000</v>
      </c>
      <c r="S34" s="26">
        <v>2097</v>
      </c>
      <c r="T34" s="26">
        <v>2097</v>
      </c>
      <c r="U34" s="41">
        <v>0</v>
      </c>
      <c r="V34" s="40">
        <f t="shared" si="18"/>
        <v>2097</v>
      </c>
      <c r="W34" s="40">
        <f t="shared" si="12"/>
        <v>903</v>
      </c>
      <c r="X34" s="8">
        <f t="shared" si="13"/>
        <v>150</v>
      </c>
      <c r="Y34" s="26"/>
      <c r="Z34" s="8" t="str">
        <f t="shared" si="14"/>
        <v>6 x Bolsa Basura Teddy 90x120</v>
      </c>
      <c r="AA34" s="31" t="s">
        <v>460</v>
      </c>
      <c r="AB34" s="31">
        <v>-6</v>
      </c>
    </row>
    <row r="35" spans="1:28" ht="13.2">
      <c r="A35" s="78" t="s">
        <v>139</v>
      </c>
      <c r="B35" s="8" t="str">
        <f t="shared" ref="B35:B45" si="20">CONCATENATE(C35," / ",E35," gramos")</f>
        <v>Aceituna Grandes Remate / 1000 gramos</v>
      </c>
      <c r="C35" s="79" t="s">
        <v>1026</v>
      </c>
      <c r="D35" s="80" t="s">
        <v>1578</v>
      </c>
      <c r="E35" s="61">
        <v>1000</v>
      </c>
      <c r="F35" s="62">
        <v>2352.9411764705883</v>
      </c>
      <c r="G35" s="62">
        <v>39.495798319327733</v>
      </c>
      <c r="H35" s="62">
        <f t="shared" si="1"/>
        <v>2392.4369747899159</v>
      </c>
      <c r="I35" s="62">
        <f t="shared" si="2"/>
        <v>454.56302521008405</v>
      </c>
      <c r="J35" s="63">
        <v>0.28825000000000012</v>
      </c>
      <c r="K35" s="62">
        <f t="shared" si="3"/>
        <v>3361.3445378151264</v>
      </c>
      <c r="L35" s="62">
        <f t="shared" si="4"/>
        <v>638.65546218487407</v>
      </c>
      <c r="M35" s="62">
        <f t="shared" si="15"/>
        <v>4000.0000000000005</v>
      </c>
      <c r="N35" s="62">
        <f t="shared" si="6"/>
        <v>968.90756302521049</v>
      </c>
      <c r="O35" s="61">
        <f t="shared" si="7"/>
        <v>0</v>
      </c>
      <c r="P35" s="61">
        <f t="shared" si="8"/>
        <v>3361.3445378151264</v>
      </c>
      <c r="Q35" s="64">
        <f t="shared" si="9"/>
        <v>0.28825000000000012</v>
      </c>
      <c r="R35" s="81">
        <v>4000</v>
      </c>
      <c r="S35" s="41">
        <v>2800</v>
      </c>
      <c r="T35" s="40">
        <f t="shared" ref="T35:T45" si="21">S35*E35/1000</f>
        <v>2800</v>
      </c>
      <c r="U35" s="40">
        <f t="shared" ref="U35:U40" si="22">7+40</f>
        <v>47</v>
      </c>
      <c r="V35" s="40">
        <f t="shared" si="18"/>
        <v>2847</v>
      </c>
      <c r="W35" s="40">
        <f t="shared" si="12"/>
        <v>1153</v>
      </c>
      <c r="X35" s="8">
        <f t="shared" si="13"/>
        <v>200</v>
      </c>
      <c r="Z35" s="8" t="str">
        <f t="shared" si="14"/>
        <v>Aceituna Grandes Remate / 1000 gramos</v>
      </c>
      <c r="AA35" s="8"/>
    </row>
    <row r="36" spans="1:28" ht="13.2">
      <c r="A36" s="78" t="s">
        <v>139</v>
      </c>
      <c r="B36" s="8" t="str">
        <f t="shared" si="20"/>
        <v>Aceituna Negra / 1000 gramos</v>
      </c>
      <c r="C36" s="79" t="s">
        <v>984</v>
      </c>
      <c r="D36" s="61" t="str">
        <f t="shared" ref="D36:D45" si="23">C36</f>
        <v>Aceituna Negra</v>
      </c>
      <c r="E36" s="61">
        <v>1000</v>
      </c>
      <c r="F36" s="62">
        <v>1848.7394957983195</v>
      </c>
      <c r="G36" s="62">
        <v>39.495798319327733</v>
      </c>
      <c r="H36" s="62">
        <f t="shared" si="1"/>
        <v>1888.2352941176473</v>
      </c>
      <c r="I36" s="62">
        <f t="shared" si="2"/>
        <v>358.76470588235298</v>
      </c>
      <c r="J36" s="63">
        <v>0.35799999999999998</v>
      </c>
      <c r="K36" s="62">
        <f t="shared" si="3"/>
        <v>2941.1764705882356</v>
      </c>
      <c r="L36" s="62">
        <f t="shared" si="4"/>
        <v>558.82352941176475</v>
      </c>
      <c r="M36" s="62">
        <f t="shared" si="15"/>
        <v>3500.0000000000005</v>
      </c>
      <c r="N36" s="62">
        <f t="shared" si="6"/>
        <v>1052.9411764705883</v>
      </c>
      <c r="O36" s="61">
        <f t="shared" si="7"/>
        <v>0</v>
      </c>
      <c r="P36" s="61">
        <f t="shared" si="8"/>
        <v>2941.1764705882356</v>
      </c>
      <c r="Q36" s="64">
        <f t="shared" si="9"/>
        <v>0.35799999999999998</v>
      </c>
      <c r="R36" s="81">
        <v>3500</v>
      </c>
      <c r="S36" s="41">
        <v>2200</v>
      </c>
      <c r="T36" s="40">
        <f t="shared" si="21"/>
        <v>2200</v>
      </c>
      <c r="U36" s="40">
        <f t="shared" si="22"/>
        <v>47</v>
      </c>
      <c r="V36" s="40">
        <f t="shared" si="18"/>
        <v>2247</v>
      </c>
      <c r="W36" s="40">
        <f t="shared" si="12"/>
        <v>1253</v>
      </c>
      <c r="X36" s="8">
        <f t="shared" si="13"/>
        <v>175</v>
      </c>
      <c r="Z36" s="8" t="str">
        <f t="shared" si="14"/>
        <v>Aceituna Negra / 1000 gramos</v>
      </c>
      <c r="AA36" s="8"/>
    </row>
    <row r="37" spans="1:28" ht="13.2">
      <c r="A37" s="78" t="s">
        <v>139</v>
      </c>
      <c r="B37" s="8" t="str">
        <f t="shared" si="20"/>
        <v>Aceituna Negra - Grande / 1000 gramos</v>
      </c>
      <c r="C37" s="79" t="s">
        <v>960</v>
      </c>
      <c r="D37" s="61" t="str">
        <f t="shared" si="23"/>
        <v>Aceituna Negra - Grande</v>
      </c>
      <c r="E37" s="61">
        <v>1000</v>
      </c>
      <c r="F37" s="62">
        <v>2857.1428571428573</v>
      </c>
      <c r="G37" s="62">
        <v>39.495798319327733</v>
      </c>
      <c r="H37" s="62">
        <f t="shared" si="1"/>
        <v>2896.6386554621849</v>
      </c>
      <c r="I37" s="62">
        <f t="shared" si="2"/>
        <v>550.36134453781517</v>
      </c>
      <c r="J37" s="63">
        <v>0.28187499999999999</v>
      </c>
      <c r="K37" s="62">
        <f t="shared" si="3"/>
        <v>4033.6134453781515</v>
      </c>
      <c r="L37" s="62">
        <f t="shared" si="4"/>
        <v>766.38655462184875</v>
      </c>
      <c r="M37" s="62">
        <f t="shared" si="15"/>
        <v>4800</v>
      </c>
      <c r="N37" s="62">
        <f t="shared" si="6"/>
        <v>1136.9747899159665</v>
      </c>
      <c r="O37" s="61">
        <f t="shared" si="7"/>
        <v>0</v>
      </c>
      <c r="P37" s="61">
        <f t="shared" si="8"/>
        <v>4033.6134453781515</v>
      </c>
      <c r="Q37" s="64">
        <f t="shared" si="9"/>
        <v>0.28187499999999999</v>
      </c>
      <c r="R37" s="81">
        <v>4800</v>
      </c>
      <c r="S37" s="41">
        <v>3400</v>
      </c>
      <c r="T37" s="40">
        <f t="shared" si="21"/>
        <v>3400</v>
      </c>
      <c r="U37" s="40">
        <f t="shared" si="22"/>
        <v>47</v>
      </c>
      <c r="V37" s="40">
        <f t="shared" si="18"/>
        <v>3447</v>
      </c>
      <c r="W37" s="40">
        <f t="shared" si="12"/>
        <v>1353</v>
      </c>
      <c r="X37" s="8">
        <f t="shared" si="13"/>
        <v>240</v>
      </c>
      <c r="Z37" s="8" t="str">
        <f t="shared" si="14"/>
        <v>Aceituna Negra - Grande / 1000 gramos</v>
      </c>
      <c r="AA37" s="8"/>
    </row>
    <row r="38" spans="1:28" ht="13.2">
      <c r="A38" s="78" t="s">
        <v>139</v>
      </c>
      <c r="B38" s="8" t="str">
        <f t="shared" si="20"/>
        <v>Aceituna Rellena Pimentón / 1000 gramos</v>
      </c>
      <c r="C38" s="79" t="s">
        <v>1034</v>
      </c>
      <c r="D38" s="61" t="str">
        <f t="shared" si="23"/>
        <v>Aceituna Rellena Pimentón</v>
      </c>
      <c r="E38" s="61">
        <v>1000</v>
      </c>
      <c r="F38" s="62">
        <v>2689.0756302521008</v>
      </c>
      <c r="G38" s="62">
        <v>39.495798319327733</v>
      </c>
      <c r="H38" s="62">
        <f t="shared" si="1"/>
        <v>2728.5714285714284</v>
      </c>
      <c r="I38" s="62">
        <f t="shared" si="2"/>
        <v>518.42857142857144</v>
      </c>
      <c r="J38" s="63">
        <v>0.22690476190476194</v>
      </c>
      <c r="K38" s="62">
        <f t="shared" si="3"/>
        <v>3529.4117647058824</v>
      </c>
      <c r="L38" s="62">
        <f t="shared" si="4"/>
        <v>670.58823529411768</v>
      </c>
      <c r="M38" s="62">
        <f t="shared" si="15"/>
        <v>4200</v>
      </c>
      <c r="N38" s="62">
        <f t="shared" si="6"/>
        <v>800.84033613445399</v>
      </c>
      <c r="O38" s="61">
        <f t="shared" si="7"/>
        <v>0</v>
      </c>
      <c r="P38" s="61">
        <f t="shared" si="8"/>
        <v>3529.4117647058824</v>
      </c>
      <c r="Q38" s="64">
        <f t="shared" si="9"/>
        <v>0.22690476190476194</v>
      </c>
      <c r="R38" s="81">
        <v>4200</v>
      </c>
      <c r="S38" s="41">
        <v>3200</v>
      </c>
      <c r="T38" s="40">
        <f t="shared" si="21"/>
        <v>3200</v>
      </c>
      <c r="U38" s="40">
        <f t="shared" si="22"/>
        <v>47</v>
      </c>
      <c r="V38" s="40">
        <f t="shared" si="18"/>
        <v>3247</v>
      </c>
      <c r="W38" s="40">
        <f t="shared" si="12"/>
        <v>953</v>
      </c>
      <c r="X38" s="8">
        <f t="shared" si="13"/>
        <v>210</v>
      </c>
      <c r="Z38" s="8" t="str">
        <f t="shared" si="14"/>
        <v>Aceituna Rellena Pimentón / 1000 gramos</v>
      </c>
      <c r="AA38" s="8"/>
    </row>
    <row r="39" spans="1:28" ht="13.2">
      <c r="A39" s="78" t="s">
        <v>139</v>
      </c>
      <c r="B39" s="8" t="str">
        <f t="shared" si="20"/>
        <v>Aceituna Verde / 1000 gramos</v>
      </c>
      <c r="C39" s="79" t="s">
        <v>1014</v>
      </c>
      <c r="D39" s="61" t="str">
        <f t="shared" si="23"/>
        <v>Aceituna Verde</v>
      </c>
      <c r="E39" s="61">
        <v>1000</v>
      </c>
      <c r="F39" s="62">
        <v>1848.7394957983195</v>
      </c>
      <c r="G39" s="62">
        <v>39.495798319327733</v>
      </c>
      <c r="H39" s="62">
        <f t="shared" si="1"/>
        <v>1888.2352941176473</v>
      </c>
      <c r="I39" s="62">
        <f t="shared" si="2"/>
        <v>358.76470588235298</v>
      </c>
      <c r="J39" s="63">
        <v>0.29781249999999992</v>
      </c>
      <c r="K39" s="62">
        <f t="shared" si="3"/>
        <v>2689.0756302521008</v>
      </c>
      <c r="L39" s="62">
        <f t="shared" si="4"/>
        <v>510.92436974789916</v>
      </c>
      <c r="M39" s="62">
        <f t="shared" si="15"/>
        <v>3200</v>
      </c>
      <c r="N39" s="62">
        <f t="shared" si="6"/>
        <v>800.84033613445354</v>
      </c>
      <c r="O39" s="61">
        <f t="shared" si="7"/>
        <v>0</v>
      </c>
      <c r="P39" s="61">
        <f t="shared" si="8"/>
        <v>2689.0756302521008</v>
      </c>
      <c r="Q39" s="64">
        <f t="shared" si="9"/>
        <v>0.29781249999999992</v>
      </c>
      <c r="R39" s="81">
        <v>3200</v>
      </c>
      <c r="S39" s="41">
        <v>2200</v>
      </c>
      <c r="T39" s="40">
        <f t="shared" si="21"/>
        <v>2200</v>
      </c>
      <c r="U39" s="40">
        <f t="shared" si="22"/>
        <v>47</v>
      </c>
      <c r="V39" s="40">
        <f t="shared" si="18"/>
        <v>2247</v>
      </c>
      <c r="W39" s="40">
        <f t="shared" si="12"/>
        <v>953</v>
      </c>
      <c r="X39" s="8">
        <f t="shared" si="13"/>
        <v>160</v>
      </c>
      <c r="Z39" s="8" t="str">
        <f t="shared" si="14"/>
        <v>Aceituna Verde / 1000 gramos</v>
      </c>
      <c r="AA39" s="8"/>
    </row>
    <row r="40" spans="1:28" ht="13.2">
      <c r="A40" s="78" t="s">
        <v>139</v>
      </c>
      <c r="B40" s="8" t="str">
        <f t="shared" si="20"/>
        <v>Aceituna Verde - Grande / 1000 gramos</v>
      </c>
      <c r="C40" s="79" t="s">
        <v>1029</v>
      </c>
      <c r="D40" s="61" t="str">
        <f t="shared" si="23"/>
        <v>Aceituna Verde - Grande</v>
      </c>
      <c r="E40" s="61">
        <v>1000</v>
      </c>
      <c r="F40" s="62">
        <v>2352.9411764705883</v>
      </c>
      <c r="G40" s="62">
        <v>39.495798319327733</v>
      </c>
      <c r="H40" s="62">
        <f t="shared" si="1"/>
        <v>2392.4369747899159</v>
      </c>
      <c r="I40" s="62">
        <f t="shared" si="2"/>
        <v>454.56302521008405</v>
      </c>
      <c r="J40" s="63">
        <v>0.4068750000000001</v>
      </c>
      <c r="K40" s="62">
        <f t="shared" si="3"/>
        <v>4033.6134453781519</v>
      </c>
      <c r="L40" s="62">
        <f t="shared" si="4"/>
        <v>766.38655462184886</v>
      </c>
      <c r="M40" s="62">
        <f t="shared" si="15"/>
        <v>4800.0000000000009</v>
      </c>
      <c r="N40" s="62">
        <f t="shared" si="6"/>
        <v>1641.176470588236</v>
      </c>
      <c r="O40" s="61">
        <f t="shared" si="7"/>
        <v>0</v>
      </c>
      <c r="P40" s="61">
        <f t="shared" si="8"/>
        <v>4033.6134453781515</v>
      </c>
      <c r="Q40" s="64">
        <f t="shared" si="9"/>
        <v>0.4068750000000001</v>
      </c>
      <c r="R40" s="81">
        <v>4800</v>
      </c>
      <c r="S40" s="41">
        <v>2800</v>
      </c>
      <c r="T40" s="40">
        <f t="shared" si="21"/>
        <v>2800</v>
      </c>
      <c r="U40" s="40">
        <f t="shared" si="22"/>
        <v>47</v>
      </c>
      <c r="V40" s="40">
        <f t="shared" si="18"/>
        <v>2847</v>
      </c>
      <c r="W40" s="40">
        <f t="shared" si="12"/>
        <v>1953</v>
      </c>
      <c r="X40" s="8">
        <f t="shared" si="13"/>
        <v>240</v>
      </c>
      <c r="Z40" s="8" t="str">
        <f t="shared" si="14"/>
        <v>Aceituna Verde - Grande / 1000 gramos</v>
      </c>
      <c r="AA40" s="8"/>
    </row>
    <row r="41" spans="1:28" ht="13.2">
      <c r="A41" s="78" t="s">
        <v>139</v>
      </c>
      <c r="B41" s="8" t="str">
        <f t="shared" si="20"/>
        <v>Almendra Entera / 1000 gramos</v>
      </c>
      <c r="C41" s="79" t="s">
        <v>969</v>
      </c>
      <c r="D41" s="61" t="str">
        <f t="shared" si="23"/>
        <v>Almendra Entera</v>
      </c>
      <c r="E41" s="61">
        <v>1000</v>
      </c>
      <c r="F41" s="62">
        <v>6000</v>
      </c>
      <c r="G41" s="62">
        <v>142.01680672268907</v>
      </c>
      <c r="H41" s="62">
        <f t="shared" si="1"/>
        <v>6142.0168067226887</v>
      </c>
      <c r="I41" s="62">
        <f t="shared" si="2"/>
        <v>1166.9831932773109</v>
      </c>
      <c r="J41" s="63">
        <v>0.3909166666666668</v>
      </c>
      <c r="K41" s="62">
        <f t="shared" si="3"/>
        <v>10084.033613445379</v>
      </c>
      <c r="L41" s="62">
        <f t="shared" si="4"/>
        <v>1915.966386554622</v>
      </c>
      <c r="M41" s="62">
        <f t="shared" si="15"/>
        <v>12000.000000000002</v>
      </c>
      <c r="N41" s="62">
        <f t="shared" si="6"/>
        <v>3942.0168067226905</v>
      </c>
      <c r="O41" s="61">
        <f t="shared" si="7"/>
        <v>0</v>
      </c>
      <c r="P41" s="61">
        <f t="shared" si="8"/>
        <v>10084.033613445379</v>
      </c>
      <c r="Q41" s="64">
        <f t="shared" si="9"/>
        <v>0.3909166666666668</v>
      </c>
      <c r="R41" s="81">
        <v>12000</v>
      </c>
      <c r="S41" s="41">
        <v>7140</v>
      </c>
      <c r="T41" s="40">
        <f t="shared" si="21"/>
        <v>7140</v>
      </c>
      <c r="U41" s="40">
        <f>7+40+122</f>
        <v>169</v>
      </c>
      <c r="V41" s="40">
        <f t="shared" si="18"/>
        <v>7309</v>
      </c>
      <c r="W41" s="40">
        <f t="shared" si="12"/>
        <v>4691</v>
      </c>
      <c r="X41" s="8">
        <f t="shared" si="13"/>
        <v>600</v>
      </c>
      <c r="Z41" s="8" t="str">
        <f t="shared" si="14"/>
        <v>Almendra Entera / 1000 gramos</v>
      </c>
      <c r="AA41" s="8"/>
    </row>
    <row r="42" spans="1:28" ht="13.2">
      <c r="A42" s="78" t="s">
        <v>139</v>
      </c>
      <c r="B42" s="8" t="str">
        <f t="shared" si="20"/>
        <v>Almendra Entera / 250 gramos</v>
      </c>
      <c r="C42" s="79" t="s">
        <v>969</v>
      </c>
      <c r="D42" s="61" t="str">
        <f t="shared" si="23"/>
        <v>Almendra Entera</v>
      </c>
      <c r="E42" s="61">
        <v>250</v>
      </c>
      <c r="F42" s="62">
        <v>1500</v>
      </c>
      <c r="G42" s="62">
        <v>119.32773109243698</v>
      </c>
      <c r="H42" s="62">
        <f t="shared" si="1"/>
        <v>1619.327731092437</v>
      </c>
      <c r="I42" s="62">
        <f t="shared" si="2"/>
        <v>307.67226890756302</v>
      </c>
      <c r="J42" s="63">
        <v>0.39781250000000001</v>
      </c>
      <c r="K42" s="62">
        <f t="shared" si="3"/>
        <v>2689.0756302521008</v>
      </c>
      <c r="L42" s="62">
        <f t="shared" si="4"/>
        <v>510.92436974789916</v>
      </c>
      <c r="M42" s="62">
        <f t="shared" si="15"/>
        <v>3200</v>
      </c>
      <c r="N42" s="62">
        <f t="shared" si="6"/>
        <v>1069.7478991596638</v>
      </c>
      <c r="O42" s="61">
        <f t="shared" si="7"/>
        <v>0</v>
      </c>
      <c r="P42" s="61">
        <f t="shared" si="8"/>
        <v>2689.0756302521008</v>
      </c>
      <c r="Q42" s="64">
        <f t="shared" si="9"/>
        <v>0.39781250000000001</v>
      </c>
      <c r="R42" s="81">
        <v>3200</v>
      </c>
      <c r="S42" s="41">
        <v>7140</v>
      </c>
      <c r="T42" s="40">
        <f t="shared" si="21"/>
        <v>1785</v>
      </c>
      <c r="U42" s="40">
        <f>7+40+95</f>
        <v>142</v>
      </c>
      <c r="V42" s="40">
        <f t="shared" si="18"/>
        <v>1927</v>
      </c>
      <c r="W42" s="40">
        <f t="shared" si="12"/>
        <v>1273</v>
      </c>
      <c r="X42" s="8">
        <f t="shared" si="13"/>
        <v>160</v>
      </c>
      <c r="Z42" s="8" t="str">
        <f t="shared" si="14"/>
        <v>Almendra Entera / 250 gramos</v>
      </c>
      <c r="AA42" s="8"/>
    </row>
    <row r="43" spans="1:28" ht="13.2">
      <c r="A43" s="78" t="s">
        <v>139</v>
      </c>
      <c r="B43" s="8" t="str">
        <f t="shared" si="20"/>
        <v>Almendra Entera / 400 gramos</v>
      </c>
      <c r="C43" s="79" t="s">
        <v>969</v>
      </c>
      <c r="D43" s="61" t="str">
        <f t="shared" si="23"/>
        <v>Almendra Entera</v>
      </c>
      <c r="E43" s="61">
        <v>400</v>
      </c>
      <c r="F43" s="62">
        <v>2400</v>
      </c>
      <c r="G43" s="62">
        <v>142.01680672268907</v>
      </c>
      <c r="H43" s="62">
        <f t="shared" si="1"/>
        <v>2542.0168067226891</v>
      </c>
      <c r="I43" s="62">
        <f t="shared" si="2"/>
        <v>482.98319327731093</v>
      </c>
      <c r="J43" s="63">
        <v>0.42708333333333337</v>
      </c>
      <c r="K43" s="62">
        <f t="shared" si="3"/>
        <v>4436.9747899159665</v>
      </c>
      <c r="L43" s="62">
        <f t="shared" si="4"/>
        <v>843.02521008403369</v>
      </c>
      <c r="M43" s="62">
        <f t="shared" si="15"/>
        <v>5280</v>
      </c>
      <c r="N43" s="62">
        <f t="shared" si="6"/>
        <v>1894.9579831932774</v>
      </c>
      <c r="O43" s="61">
        <f t="shared" si="7"/>
        <v>0</v>
      </c>
      <c r="P43" s="61">
        <f t="shared" si="8"/>
        <v>4436.9747899159665</v>
      </c>
      <c r="Q43" s="64">
        <f t="shared" si="9"/>
        <v>0.42708333333333337</v>
      </c>
      <c r="R43" s="81">
        <v>5280</v>
      </c>
      <c r="S43" s="41">
        <v>7140</v>
      </c>
      <c r="T43" s="40">
        <f t="shared" si="21"/>
        <v>2856</v>
      </c>
      <c r="U43" s="40">
        <f>7+40+122</f>
        <v>169</v>
      </c>
      <c r="V43" s="40">
        <f t="shared" si="18"/>
        <v>3025</v>
      </c>
      <c r="W43" s="40">
        <f t="shared" si="12"/>
        <v>2255</v>
      </c>
      <c r="X43" s="8">
        <f t="shared" si="13"/>
        <v>264</v>
      </c>
      <c r="Z43" s="8" t="str">
        <f t="shared" si="14"/>
        <v>Almendra Entera / 400 gramos</v>
      </c>
      <c r="AA43" s="8"/>
    </row>
    <row r="44" spans="1:28" ht="13.2">
      <c r="A44" s="78" t="s">
        <v>139</v>
      </c>
      <c r="B44" s="8" t="str">
        <f t="shared" si="20"/>
        <v>Almendra Entera / 45 gramos</v>
      </c>
      <c r="C44" s="79" t="s">
        <v>969</v>
      </c>
      <c r="D44" s="61" t="str">
        <f t="shared" si="23"/>
        <v>Almendra Entera</v>
      </c>
      <c r="E44" s="61">
        <v>45</v>
      </c>
      <c r="F44" s="62">
        <v>270</v>
      </c>
      <c r="G44" s="62">
        <v>66.722689075630257</v>
      </c>
      <c r="H44" s="62">
        <f t="shared" si="1"/>
        <v>336.72268907563023</v>
      </c>
      <c r="I44" s="62">
        <f t="shared" si="2"/>
        <v>63.977310924369746</v>
      </c>
      <c r="J44" s="63">
        <v>0.59930000000000005</v>
      </c>
      <c r="K44" s="62">
        <f t="shared" si="3"/>
        <v>840.3361344537816</v>
      </c>
      <c r="L44" s="62">
        <f t="shared" si="4"/>
        <v>159.66386554621852</v>
      </c>
      <c r="M44" s="62">
        <f t="shared" si="15"/>
        <v>1000.0000000000001</v>
      </c>
      <c r="N44" s="62">
        <f t="shared" si="6"/>
        <v>503.61344537815137</v>
      </c>
      <c r="O44" s="61">
        <f t="shared" si="7"/>
        <v>0</v>
      </c>
      <c r="P44" s="61">
        <f t="shared" si="8"/>
        <v>840.3361344537816</v>
      </c>
      <c r="Q44" s="64">
        <f t="shared" si="9"/>
        <v>0.59930000000000005</v>
      </c>
      <c r="R44" s="81">
        <v>1000</v>
      </c>
      <c r="S44" s="41">
        <v>7140</v>
      </c>
      <c r="T44" s="40">
        <f t="shared" si="21"/>
        <v>321.3</v>
      </c>
      <c r="U44" s="12">
        <f>73+160/25</f>
        <v>79.400000000000006</v>
      </c>
      <c r="V44" s="40">
        <f t="shared" si="18"/>
        <v>400.70000000000005</v>
      </c>
      <c r="W44" s="40">
        <f t="shared" si="12"/>
        <v>599.29999999999995</v>
      </c>
      <c r="X44" s="8">
        <f t="shared" si="13"/>
        <v>50</v>
      </c>
      <c r="Y44" s="82" t="s">
        <v>1579</v>
      </c>
      <c r="Z44" s="8" t="str">
        <f t="shared" si="14"/>
        <v>Almendra Entera / 45 gramos</v>
      </c>
      <c r="AA44" s="8"/>
    </row>
    <row r="45" spans="1:28" ht="13.2">
      <c r="A45" s="78" t="s">
        <v>139</v>
      </c>
      <c r="B45" s="8" t="str">
        <f t="shared" si="20"/>
        <v>Almendra Entera / 500 gramos</v>
      </c>
      <c r="C45" s="79" t="s">
        <v>969</v>
      </c>
      <c r="D45" s="61" t="str">
        <f t="shared" si="23"/>
        <v>Almendra Entera</v>
      </c>
      <c r="E45" s="61">
        <v>500</v>
      </c>
      <c r="F45" s="62">
        <v>3000</v>
      </c>
      <c r="G45" s="62">
        <v>142.01680672268907</v>
      </c>
      <c r="H45" s="62">
        <f t="shared" si="1"/>
        <v>3142.0168067226891</v>
      </c>
      <c r="I45" s="62">
        <f t="shared" si="2"/>
        <v>596.98319327731099</v>
      </c>
      <c r="J45" s="63">
        <v>0.37683333333333335</v>
      </c>
      <c r="K45" s="62">
        <f t="shared" si="3"/>
        <v>5042.0168067226896</v>
      </c>
      <c r="L45" s="62">
        <f t="shared" si="4"/>
        <v>957.98319327731099</v>
      </c>
      <c r="M45" s="62">
        <f t="shared" si="15"/>
        <v>6000.0000000000009</v>
      </c>
      <c r="N45" s="62">
        <f t="shared" si="6"/>
        <v>1900.0000000000005</v>
      </c>
      <c r="O45" s="61">
        <f t="shared" si="7"/>
        <v>0</v>
      </c>
      <c r="P45" s="61">
        <f t="shared" si="8"/>
        <v>5042.0168067226896</v>
      </c>
      <c r="Q45" s="64">
        <f t="shared" si="9"/>
        <v>0.37683333333333335</v>
      </c>
      <c r="R45" s="81">
        <v>6000</v>
      </c>
      <c r="S45" s="41">
        <v>7140</v>
      </c>
      <c r="T45" s="40">
        <f t="shared" si="21"/>
        <v>3570</v>
      </c>
      <c r="U45" s="40">
        <f>7+40+122</f>
        <v>169</v>
      </c>
      <c r="V45" s="40">
        <f t="shared" si="18"/>
        <v>3739</v>
      </c>
      <c r="W45" s="40">
        <f t="shared" si="12"/>
        <v>2261</v>
      </c>
      <c r="X45" s="8">
        <f t="shared" si="13"/>
        <v>300</v>
      </c>
      <c r="Z45" s="8" t="str">
        <f t="shared" si="14"/>
        <v>Almendra Entera / 500 gramos</v>
      </c>
      <c r="AA45" s="8"/>
    </row>
    <row r="46" spans="1:28" ht="13.2">
      <c r="A46" s="59" t="s">
        <v>47</v>
      </c>
      <c r="B46" s="8" t="str">
        <f t="shared" ref="B46:B57" si="24">CONCATENATE(C46,E46)</f>
        <v>Caja 50 Mascarillas Triple Pliegue</v>
      </c>
      <c r="C46" s="67" t="s">
        <v>300</v>
      </c>
      <c r="D46" s="41" t="s">
        <v>559</v>
      </c>
      <c r="E46" s="40"/>
      <c r="F46" s="62">
        <f>840/1.19</f>
        <v>705.88235294117646</v>
      </c>
      <c r="G46" s="62">
        <v>0</v>
      </c>
      <c r="H46" s="62">
        <f t="shared" si="1"/>
        <v>705.88235294117646</v>
      </c>
      <c r="I46" s="62">
        <f t="shared" si="2"/>
        <v>134.11764705882354</v>
      </c>
      <c r="J46" s="63">
        <v>0.47499999999999998</v>
      </c>
      <c r="K46" s="62">
        <f t="shared" si="3"/>
        <v>1344.5378151260504</v>
      </c>
      <c r="L46" s="62">
        <f t="shared" si="4"/>
        <v>255.46218487394958</v>
      </c>
      <c r="M46" s="62">
        <f t="shared" si="15"/>
        <v>1600</v>
      </c>
      <c r="N46" s="62">
        <f t="shared" si="6"/>
        <v>638.65546218487395</v>
      </c>
      <c r="O46" s="61">
        <f t="shared" si="7"/>
        <v>-900</v>
      </c>
      <c r="P46" s="61">
        <f t="shared" si="8"/>
        <v>2100.840336134454</v>
      </c>
      <c r="Q46" s="64">
        <f t="shared" si="9"/>
        <v>0.66400000000000003</v>
      </c>
      <c r="R46" s="65">
        <v>2500</v>
      </c>
      <c r="S46" s="41">
        <v>1760</v>
      </c>
      <c r="T46" s="41">
        <f t="shared" ref="T46:T57" si="25">S46</f>
        <v>1760</v>
      </c>
      <c r="U46" s="41">
        <v>0</v>
      </c>
      <c r="V46" s="40">
        <f t="shared" si="18"/>
        <v>1760</v>
      </c>
      <c r="W46" s="40">
        <f t="shared" si="12"/>
        <v>740</v>
      </c>
      <c r="X46" s="8">
        <f t="shared" si="13"/>
        <v>125</v>
      </c>
      <c r="Y46" s="26"/>
      <c r="Z46" s="8" t="str">
        <f t="shared" si="14"/>
        <v>Caja 50 Mascarillas Triple Pliegue</v>
      </c>
      <c r="AA46" s="31" t="s">
        <v>561</v>
      </c>
      <c r="AB46" s="31">
        <v>-1</v>
      </c>
    </row>
    <row r="47" spans="1:28" ht="13.2">
      <c r="A47" s="59" t="s">
        <v>47</v>
      </c>
      <c r="B47" s="8" t="str">
        <f t="shared" si="24"/>
        <v>Cofias</v>
      </c>
      <c r="C47" s="67" t="s">
        <v>91</v>
      </c>
      <c r="D47" s="41" t="s">
        <v>91</v>
      </c>
      <c r="E47" s="40"/>
      <c r="F47" s="62">
        <f>1310/1.19</f>
        <v>1100.8403361344538</v>
      </c>
      <c r="G47" s="62">
        <v>0</v>
      </c>
      <c r="H47" s="62">
        <f t="shared" si="1"/>
        <v>1100.8403361344538</v>
      </c>
      <c r="I47" s="62">
        <f t="shared" si="2"/>
        <v>209.15966386554621</v>
      </c>
      <c r="J47" s="63">
        <v>0.47599999999999998</v>
      </c>
      <c r="K47" s="62">
        <f t="shared" si="3"/>
        <v>2100.8403361344535</v>
      </c>
      <c r="L47" s="62">
        <f t="shared" si="4"/>
        <v>399.15966386554618</v>
      </c>
      <c r="M47" s="62">
        <f t="shared" si="15"/>
        <v>2499.9999999999995</v>
      </c>
      <c r="N47" s="62">
        <f t="shared" si="6"/>
        <v>999.99999999999977</v>
      </c>
      <c r="O47" s="61">
        <f t="shared" si="7"/>
        <v>0</v>
      </c>
      <c r="P47" s="61">
        <f t="shared" si="8"/>
        <v>2100.840336134454</v>
      </c>
      <c r="Q47" s="64">
        <f t="shared" si="9"/>
        <v>0.47600000000000009</v>
      </c>
      <c r="R47" s="65">
        <v>2500</v>
      </c>
      <c r="S47" s="41">
        <v>1760</v>
      </c>
      <c r="T47" s="41">
        <f t="shared" si="25"/>
        <v>1760</v>
      </c>
      <c r="U47" s="41">
        <v>0</v>
      </c>
      <c r="V47" s="40">
        <f t="shared" si="18"/>
        <v>1760</v>
      </c>
      <c r="W47" s="40">
        <f t="shared" si="12"/>
        <v>740</v>
      </c>
      <c r="X47" s="8">
        <f t="shared" si="13"/>
        <v>125</v>
      </c>
      <c r="Y47" s="26"/>
      <c r="Z47" s="8" t="str">
        <f t="shared" si="14"/>
        <v>Cofias</v>
      </c>
      <c r="AA47" s="31" t="s">
        <v>91</v>
      </c>
      <c r="AB47" s="31">
        <v>-1</v>
      </c>
    </row>
    <row r="48" spans="1:28" ht="13.2">
      <c r="A48" s="59" t="s">
        <v>47</v>
      </c>
      <c r="B48" s="8" t="str">
        <f t="shared" si="24"/>
        <v>Caja 100 Guantes NITRILO Talla XL</v>
      </c>
      <c r="C48" s="67" t="s">
        <v>691</v>
      </c>
      <c r="D48" s="41" t="s">
        <v>424</v>
      </c>
      <c r="E48" s="40"/>
      <c r="F48" s="62">
        <v>2445</v>
      </c>
      <c r="G48" s="62">
        <v>0</v>
      </c>
      <c r="H48" s="62">
        <f t="shared" si="1"/>
        <v>2445</v>
      </c>
      <c r="I48" s="62">
        <f t="shared" si="2"/>
        <v>464.55</v>
      </c>
      <c r="J48" s="63">
        <v>0.30730000000000002</v>
      </c>
      <c r="K48" s="62">
        <f t="shared" si="3"/>
        <v>3529.6665223040277</v>
      </c>
      <c r="L48" s="62">
        <f t="shared" si="4"/>
        <v>670.63663923776528</v>
      </c>
      <c r="M48" s="62">
        <f t="shared" si="15"/>
        <v>4200.3031615417931</v>
      </c>
      <c r="N48" s="62">
        <f t="shared" si="6"/>
        <v>1084.6665223040277</v>
      </c>
      <c r="O48" s="61">
        <f t="shared" si="7"/>
        <v>1700.3031615417931</v>
      </c>
      <c r="P48" s="61">
        <f t="shared" si="8"/>
        <v>2100.840336134454</v>
      </c>
      <c r="Q48" s="64">
        <f t="shared" si="9"/>
        <v>-0.16381999999999985</v>
      </c>
      <c r="R48" s="65">
        <v>2500</v>
      </c>
      <c r="S48" s="41">
        <v>1760</v>
      </c>
      <c r="T48" s="41">
        <f t="shared" si="25"/>
        <v>1760</v>
      </c>
      <c r="U48" s="41">
        <v>0</v>
      </c>
      <c r="V48" s="40">
        <f t="shared" si="18"/>
        <v>1760</v>
      </c>
      <c r="W48" s="40">
        <f t="shared" si="12"/>
        <v>740</v>
      </c>
      <c r="X48" s="8">
        <f t="shared" si="13"/>
        <v>125</v>
      </c>
      <c r="Y48" s="26"/>
      <c r="Z48" s="8" t="str">
        <f t="shared" si="14"/>
        <v>Caja 100 Guantes NITRILO Talla XL</v>
      </c>
      <c r="AA48" s="31" t="s">
        <v>1057</v>
      </c>
      <c r="AB48" s="31">
        <v>-1</v>
      </c>
    </row>
    <row r="49" spans="1:28" ht="13.2">
      <c r="A49" s="59" t="s">
        <v>47</v>
      </c>
      <c r="B49" s="8" t="str">
        <f t="shared" si="24"/>
        <v>10 Cajas 100 Guantes NITRILO Talla XL</v>
      </c>
      <c r="C49" s="67" t="s">
        <v>1580</v>
      </c>
      <c r="D49" s="41" t="s">
        <v>424</v>
      </c>
      <c r="E49" s="40"/>
      <c r="F49" s="62">
        <f>2445*10</f>
        <v>24450</v>
      </c>
      <c r="G49" s="62">
        <v>0</v>
      </c>
      <c r="H49" s="62">
        <f t="shared" si="1"/>
        <v>24450</v>
      </c>
      <c r="I49" s="62">
        <f t="shared" si="2"/>
        <v>4645.5</v>
      </c>
      <c r="J49" s="63">
        <v>0.27261000000000002</v>
      </c>
      <c r="K49" s="62">
        <f t="shared" si="3"/>
        <v>33613.329850561597</v>
      </c>
      <c r="L49" s="62">
        <f t="shared" si="4"/>
        <v>6386.5326716067038</v>
      </c>
      <c r="M49" s="62">
        <f t="shared" si="15"/>
        <v>39999.862522168303</v>
      </c>
      <c r="N49" s="62">
        <f t="shared" si="6"/>
        <v>9163.3298505615967</v>
      </c>
      <c r="O49" s="61">
        <f t="shared" si="7"/>
        <v>37499.862522168303</v>
      </c>
      <c r="P49" s="61">
        <f t="shared" si="8"/>
        <v>2100.840336134454</v>
      </c>
      <c r="Q49" s="64">
        <f t="shared" si="9"/>
        <v>-10.638199999999999</v>
      </c>
      <c r="R49" s="65">
        <v>2500</v>
      </c>
      <c r="S49" s="41">
        <v>1760</v>
      </c>
      <c r="T49" s="41">
        <f t="shared" si="25"/>
        <v>1760</v>
      </c>
      <c r="U49" s="41">
        <v>0</v>
      </c>
      <c r="V49" s="40">
        <f t="shared" si="18"/>
        <v>1760</v>
      </c>
      <c r="W49" s="40">
        <f t="shared" si="12"/>
        <v>740</v>
      </c>
      <c r="X49" s="8">
        <f t="shared" si="13"/>
        <v>125</v>
      </c>
      <c r="Y49" s="26"/>
      <c r="Z49" s="8" t="str">
        <f t="shared" si="14"/>
        <v>10 Cajas 100 Guantes NITRILO Talla XL</v>
      </c>
      <c r="AA49" s="31" t="s">
        <v>1057</v>
      </c>
      <c r="AB49" s="31">
        <v>-10</v>
      </c>
    </row>
    <row r="50" spans="1:28" ht="13.2">
      <c r="A50" s="59" t="s">
        <v>47</v>
      </c>
      <c r="B50" s="8" t="str">
        <f t="shared" si="24"/>
        <v>Caja 100 Guantes NITRILO Talla L</v>
      </c>
      <c r="C50" s="67" t="s">
        <v>161</v>
      </c>
      <c r="D50" s="41" t="s">
        <v>424</v>
      </c>
      <c r="E50" s="40"/>
      <c r="F50" s="62">
        <v>2521</v>
      </c>
      <c r="G50" s="62">
        <v>0</v>
      </c>
      <c r="H50" s="62">
        <f t="shared" si="1"/>
        <v>2521</v>
      </c>
      <c r="I50" s="62">
        <f t="shared" si="2"/>
        <v>478.99</v>
      </c>
      <c r="J50" s="63">
        <v>0.28570000000000001</v>
      </c>
      <c r="K50" s="62">
        <f t="shared" si="3"/>
        <v>3529.3294134117323</v>
      </c>
      <c r="L50" s="62">
        <f t="shared" si="4"/>
        <v>670.57258854822919</v>
      </c>
      <c r="M50" s="62">
        <f t="shared" si="15"/>
        <v>4199.9020019599611</v>
      </c>
      <c r="N50" s="62">
        <f t="shared" si="6"/>
        <v>1008.3294134117323</v>
      </c>
      <c r="O50" s="61">
        <f t="shared" si="7"/>
        <v>1699.9020019599611</v>
      </c>
      <c r="P50" s="61">
        <f t="shared" si="8"/>
        <v>2100.840336134454</v>
      </c>
      <c r="Q50" s="64">
        <f t="shared" si="9"/>
        <v>-0.19999599999999984</v>
      </c>
      <c r="R50" s="65">
        <v>2500</v>
      </c>
      <c r="S50" s="41">
        <v>1760</v>
      </c>
      <c r="T50" s="41">
        <f t="shared" si="25"/>
        <v>1760</v>
      </c>
      <c r="U50" s="41">
        <v>0</v>
      </c>
      <c r="V50" s="40">
        <f t="shared" si="18"/>
        <v>1760</v>
      </c>
      <c r="W50" s="40">
        <f t="shared" si="12"/>
        <v>740</v>
      </c>
      <c r="X50" s="8">
        <f t="shared" si="13"/>
        <v>125</v>
      </c>
      <c r="Y50" s="26"/>
      <c r="Z50" s="8" t="str">
        <f t="shared" si="14"/>
        <v>Caja 100 Guantes NITRILO Talla L</v>
      </c>
      <c r="AA50" s="31" t="s">
        <v>579</v>
      </c>
      <c r="AB50" s="31">
        <v>-1</v>
      </c>
    </row>
    <row r="51" spans="1:28" ht="13.2">
      <c r="A51" s="59" t="s">
        <v>47</v>
      </c>
      <c r="B51" s="8" t="str">
        <f t="shared" si="24"/>
        <v>10 Cajas Guantes NITRILO Talla L</v>
      </c>
      <c r="C51" s="67" t="s">
        <v>1581</v>
      </c>
      <c r="D51" s="41" t="s">
        <v>424</v>
      </c>
      <c r="E51" s="40"/>
      <c r="F51" s="62">
        <f>2521*10</f>
        <v>25210</v>
      </c>
      <c r="G51" s="62">
        <v>0</v>
      </c>
      <c r="H51" s="62">
        <f t="shared" si="1"/>
        <v>25210</v>
      </c>
      <c r="I51" s="62">
        <f t="shared" si="2"/>
        <v>4789.8999999999996</v>
      </c>
      <c r="J51" s="63">
        <v>0.25</v>
      </c>
      <c r="K51" s="62">
        <f t="shared" si="3"/>
        <v>33613.333333333336</v>
      </c>
      <c r="L51" s="62">
        <f t="shared" si="4"/>
        <v>6386.5333333333338</v>
      </c>
      <c r="M51" s="62">
        <f t="shared" si="15"/>
        <v>39999.866666666669</v>
      </c>
      <c r="N51" s="62">
        <f t="shared" si="6"/>
        <v>8403.3333333333358</v>
      </c>
      <c r="O51" s="61">
        <f t="shared" si="7"/>
        <v>37499.866666666669</v>
      </c>
      <c r="P51" s="61">
        <f t="shared" si="8"/>
        <v>2100.840336134454</v>
      </c>
      <c r="Q51" s="64">
        <f t="shared" si="9"/>
        <v>-10.999959999999998</v>
      </c>
      <c r="R51" s="65">
        <v>2500</v>
      </c>
      <c r="S51" s="41">
        <v>1760</v>
      </c>
      <c r="T51" s="41">
        <f t="shared" si="25"/>
        <v>1760</v>
      </c>
      <c r="U51" s="41">
        <v>0</v>
      </c>
      <c r="V51" s="40">
        <f t="shared" si="18"/>
        <v>1760</v>
      </c>
      <c r="W51" s="40">
        <f t="shared" si="12"/>
        <v>740</v>
      </c>
      <c r="X51" s="8">
        <f t="shared" si="13"/>
        <v>125</v>
      </c>
      <c r="Y51" s="26"/>
      <c r="Z51" s="8" t="str">
        <f t="shared" si="14"/>
        <v>10 Cajas Guantes NITRILO Talla L</v>
      </c>
      <c r="AA51" s="31" t="s">
        <v>579</v>
      </c>
      <c r="AB51" s="31">
        <v>-10</v>
      </c>
    </row>
    <row r="52" spans="1:28" ht="13.2">
      <c r="A52" s="59" t="s">
        <v>47</v>
      </c>
      <c r="B52" s="8" t="str">
        <f t="shared" si="24"/>
        <v>Caja 100 Guantes NITRILO Talla M</v>
      </c>
      <c r="C52" s="67" t="s">
        <v>90</v>
      </c>
      <c r="D52" s="41" t="s">
        <v>424</v>
      </c>
      <c r="E52" s="40"/>
      <c r="F52" s="62">
        <v>2521</v>
      </c>
      <c r="G52" s="62">
        <v>0</v>
      </c>
      <c r="H52" s="62">
        <f t="shared" si="1"/>
        <v>2521</v>
      </c>
      <c r="I52" s="62">
        <f t="shared" si="2"/>
        <v>478.99</v>
      </c>
      <c r="J52" s="63">
        <v>0.28570000000000001</v>
      </c>
      <c r="K52" s="62">
        <f t="shared" si="3"/>
        <v>3529.3294134117323</v>
      </c>
      <c r="L52" s="62">
        <f t="shared" si="4"/>
        <v>670.57258854822919</v>
      </c>
      <c r="M52" s="62">
        <f t="shared" si="15"/>
        <v>4199.9020019599611</v>
      </c>
      <c r="N52" s="62">
        <f t="shared" si="6"/>
        <v>1008.3294134117323</v>
      </c>
      <c r="O52" s="61">
        <f t="shared" si="7"/>
        <v>1699.9020019599611</v>
      </c>
      <c r="P52" s="61">
        <f t="shared" si="8"/>
        <v>2100.840336134454</v>
      </c>
      <c r="Q52" s="64">
        <f t="shared" si="9"/>
        <v>-0.19999599999999984</v>
      </c>
      <c r="R52" s="65">
        <v>2500</v>
      </c>
      <c r="S52" s="41">
        <v>1760</v>
      </c>
      <c r="T52" s="41">
        <f t="shared" si="25"/>
        <v>1760</v>
      </c>
      <c r="U52" s="41">
        <v>0</v>
      </c>
      <c r="V52" s="40">
        <f t="shared" si="18"/>
        <v>1760</v>
      </c>
      <c r="W52" s="40">
        <f t="shared" si="12"/>
        <v>740</v>
      </c>
      <c r="X52" s="8">
        <f t="shared" si="13"/>
        <v>125</v>
      </c>
      <c r="Y52" s="26"/>
      <c r="Z52" s="8" t="str">
        <f t="shared" si="14"/>
        <v>Caja 100 Guantes NITRILO Talla M</v>
      </c>
      <c r="AA52" s="31" t="s">
        <v>426</v>
      </c>
      <c r="AB52" s="31">
        <v>-1</v>
      </c>
    </row>
    <row r="53" spans="1:28" ht="13.2">
      <c r="A53" s="59" t="s">
        <v>47</v>
      </c>
      <c r="B53" s="8" t="str">
        <f t="shared" si="24"/>
        <v>10 Cajas Guantes NITRILO Talla M</v>
      </c>
      <c r="C53" s="67" t="s">
        <v>1582</v>
      </c>
      <c r="D53" s="41" t="s">
        <v>424</v>
      </c>
      <c r="E53" s="40"/>
      <c r="F53" s="62">
        <f>2521*10</f>
        <v>25210</v>
      </c>
      <c r="G53" s="62">
        <v>0</v>
      </c>
      <c r="H53" s="62">
        <f t="shared" si="1"/>
        <v>25210</v>
      </c>
      <c r="I53" s="62">
        <f t="shared" si="2"/>
        <v>4789.8999999999996</v>
      </c>
      <c r="J53" s="63">
        <v>0.25</v>
      </c>
      <c r="K53" s="62">
        <f t="shared" si="3"/>
        <v>33613.333333333336</v>
      </c>
      <c r="L53" s="62">
        <f t="shared" si="4"/>
        <v>6386.5333333333338</v>
      </c>
      <c r="M53" s="62">
        <f t="shared" si="15"/>
        <v>39999.866666666669</v>
      </c>
      <c r="N53" s="62">
        <f t="shared" si="6"/>
        <v>8403.3333333333358</v>
      </c>
      <c r="O53" s="61">
        <f t="shared" si="7"/>
        <v>37499.866666666669</v>
      </c>
      <c r="P53" s="61">
        <f t="shared" si="8"/>
        <v>2100.840336134454</v>
      </c>
      <c r="Q53" s="64">
        <f t="shared" si="9"/>
        <v>-10.999959999999998</v>
      </c>
      <c r="R53" s="65">
        <v>2500</v>
      </c>
      <c r="S53" s="41">
        <v>1760</v>
      </c>
      <c r="T53" s="41">
        <f t="shared" si="25"/>
        <v>1760</v>
      </c>
      <c r="U53" s="41">
        <v>0</v>
      </c>
      <c r="V53" s="40">
        <f t="shared" si="18"/>
        <v>1760</v>
      </c>
      <c r="W53" s="40">
        <f t="shared" si="12"/>
        <v>740</v>
      </c>
      <c r="X53" s="8">
        <f t="shared" si="13"/>
        <v>125</v>
      </c>
      <c r="Y53" s="26"/>
      <c r="Z53" s="8" t="str">
        <f t="shared" si="14"/>
        <v>10 Cajas Guantes NITRILO Talla M</v>
      </c>
      <c r="AA53" s="31" t="s">
        <v>426</v>
      </c>
      <c r="AB53" s="31">
        <v>-10</v>
      </c>
    </row>
    <row r="54" spans="1:28" ht="13.2">
      <c r="A54" s="59" t="s">
        <v>47</v>
      </c>
      <c r="B54" s="8" t="str">
        <f t="shared" si="24"/>
        <v>Caja 100 Guantes NITRILO Talla S</v>
      </c>
      <c r="C54" s="67" t="s">
        <v>74</v>
      </c>
      <c r="D54" s="41" t="s">
        <v>424</v>
      </c>
      <c r="E54" s="40"/>
      <c r="F54" s="62">
        <v>2521</v>
      </c>
      <c r="G54" s="62">
        <v>0</v>
      </c>
      <c r="H54" s="62">
        <f t="shared" si="1"/>
        <v>2521</v>
      </c>
      <c r="I54" s="62">
        <f t="shared" si="2"/>
        <v>478.99</v>
      </c>
      <c r="J54" s="63">
        <v>0.28570000000000001</v>
      </c>
      <c r="K54" s="62">
        <f t="shared" si="3"/>
        <v>3529.3294134117323</v>
      </c>
      <c r="L54" s="62">
        <f t="shared" si="4"/>
        <v>670.57258854822919</v>
      </c>
      <c r="M54" s="62">
        <f t="shared" si="15"/>
        <v>4199.9020019599611</v>
      </c>
      <c r="N54" s="62">
        <f t="shared" si="6"/>
        <v>1008.3294134117323</v>
      </c>
      <c r="O54" s="61">
        <f t="shared" si="7"/>
        <v>1699.9020019599611</v>
      </c>
      <c r="P54" s="61">
        <f t="shared" si="8"/>
        <v>2100.840336134454</v>
      </c>
      <c r="Q54" s="64">
        <f t="shared" si="9"/>
        <v>-0.19999599999999984</v>
      </c>
      <c r="R54" s="65">
        <v>2500</v>
      </c>
      <c r="S54" s="41">
        <v>1760</v>
      </c>
      <c r="T54" s="41">
        <f t="shared" si="25"/>
        <v>1760</v>
      </c>
      <c r="U54" s="41">
        <v>0</v>
      </c>
      <c r="V54" s="40">
        <f t="shared" si="18"/>
        <v>1760</v>
      </c>
      <c r="W54" s="40">
        <f t="shared" si="12"/>
        <v>740</v>
      </c>
      <c r="X54" s="8">
        <f t="shared" si="13"/>
        <v>125</v>
      </c>
      <c r="Y54" s="26"/>
      <c r="Z54" s="8" t="str">
        <f t="shared" si="14"/>
        <v>Caja 100 Guantes NITRILO Talla S</v>
      </c>
      <c r="AA54" s="31" t="s">
        <v>502</v>
      </c>
      <c r="AB54" s="31">
        <v>-1</v>
      </c>
    </row>
    <row r="55" spans="1:28" ht="13.2">
      <c r="A55" s="59" t="s">
        <v>47</v>
      </c>
      <c r="B55" s="8" t="str">
        <f t="shared" si="24"/>
        <v>10 Cajas Guantes NITRILO Talla S</v>
      </c>
      <c r="C55" s="67" t="s">
        <v>1583</v>
      </c>
      <c r="D55" s="41" t="s">
        <v>424</v>
      </c>
      <c r="E55" s="40"/>
      <c r="F55" s="62">
        <f>2521*10</f>
        <v>25210</v>
      </c>
      <c r="G55" s="62">
        <v>0</v>
      </c>
      <c r="H55" s="62">
        <f t="shared" si="1"/>
        <v>25210</v>
      </c>
      <c r="I55" s="62">
        <f t="shared" si="2"/>
        <v>4789.8999999999996</v>
      </c>
      <c r="J55" s="63">
        <v>0.25</v>
      </c>
      <c r="K55" s="62">
        <f t="shared" si="3"/>
        <v>33613.333333333336</v>
      </c>
      <c r="L55" s="62">
        <f t="shared" si="4"/>
        <v>6386.5333333333338</v>
      </c>
      <c r="M55" s="62">
        <f t="shared" si="15"/>
        <v>39999.866666666669</v>
      </c>
      <c r="N55" s="62">
        <f t="shared" si="6"/>
        <v>8403.3333333333358</v>
      </c>
      <c r="O55" s="61">
        <f t="shared" si="7"/>
        <v>37499.866666666669</v>
      </c>
      <c r="P55" s="61">
        <f t="shared" si="8"/>
        <v>2100.840336134454</v>
      </c>
      <c r="Q55" s="64">
        <f t="shared" si="9"/>
        <v>-10.999959999999998</v>
      </c>
      <c r="R55" s="65">
        <v>2500</v>
      </c>
      <c r="S55" s="41">
        <v>1760</v>
      </c>
      <c r="T55" s="41">
        <f t="shared" si="25"/>
        <v>1760</v>
      </c>
      <c r="U55" s="41">
        <v>0</v>
      </c>
      <c r="V55" s="40">
        <f t="shared" si="18"/>
        <v>1760</v>
      </c>
      <c r="W55" s="40">
        <f t="shared" si="12"/>
        <v>740</v>
      </c>
      <c r="X55" s="8">
        <f t="shared" si="13"/>
        <v>125</v>
      </c>
      <c r="Y55" s="26"/>
      <c r="Z55" s="8" t="str">
        <f t="shared" si="14"/>
        <v>10 Cajas Guantes NITRILO Talla S</v>
      </c>
      <c r="AA55" s="31" t="s">
        <v>502</v>
      </c>
      <c r="AB55" s="31">
        <v>-10</v>
      </c>
    </row>
    <row r="56" spans="1:28" ht="13.2">
      <c r="A56" s="59" t="s">
        <v>47</v>
      </c>
      <c r="B56" s="8" t="str">
        <f t="shared" si="24"/>
        <v>Ambiental cono Lavanda</v>
      </c>
      <c r="C56" s="67" t="s">
        <v>182</v>
      </c>
      <c r="D56" s="41" t="s">
        <v>620</v>
      </c>
      <c r="E56" s="40"/>
      <c r="F56" s="62">
        <v>829</v>
      </c>
      <c r="G56" s="62">
        <v>0</v>
      </c>
      <c r="H56" s="62">
        <f t="shared" si="1"/>
        <v>829</v>
      </c>
      <c r="I56" s="62">
        <f t="shared" si="2"/>
        <v>157.51</v>
      </c>
      <c r="J56" s="63">
        <v>0.38340000000000002</v>
      </c>
      <c r="K56" s="62">
        <f t="shared" si="3"/>
        <v>1344.4696723970158</v>
      </c>
      <c r="L56" s="62">
        <f t="shared" si="4"/>
        <v>255.44923775543299</v>
      </c>
      <c r="M56" s="62">
        <f t="shared" si="15"/>
        <v>1599.9189101524487</v>
      </c>
      <c r="N56" s="62">
        <f t="shared" si="6"/>
        <v>515.46967239701576</v>
      </c>
      <c r="O56" s="61">
        <f t="shared" si="7"/>
        <v>-900.08108984755131</v>
      </c>
      <c r="P56" s="61">
        <f t="shared" si="8"/>
        <v>2100.840336134454</v>
      </c>
      <c r="Q56" s="64">
        <f t="shared" si="9"/>
        <v>0.60539600000000005</v>
      </c>
      <c r="R56" s="65">
        <v>2500</v>
      </c>
      <c r="S56" s="41">
        <v>1760</v>
      </c>
      <c r="T56" s="41">
        <f t="shared" si="25"/>
        <v>1760</v>
      </c>
      <c r="U56" s="41">
        <v>0</v>
      </c>
      <c r="V56" s="40">
        <f t="shared" si="18"/>
        <v>1760</v>
      </c>
      <c r="W56" s="40">
        <f t="shared" si="12"/>
        <v>740</v>
      </c>
      <c r="X56" s="8">
        <f t="shared" si="13"/>
        <v>125</v>
      </c>
      <c r="Y56" s="26"/>
      <c r="Z56" s="8" t="str">
        <f t="shared" si="14"/>
        <v>Ambiental cono Lavanda</v>
      </c>
      <c r="AA56" s="31" t="s">
        <v>1048</v>
      </c>
      <c r="AB56" s="31">
        <v>-1</v>
      </c>
    </row>
    <row r="57" spans="1:28" ht="13.2">
      <c r="A57" s="59" t="s">
        <v>47</v>
      </c>
      <c r="B57" s="8" t="str">
        <f t="shared" si="24"/>
        <v>Ambiental Tubo</v>
      </c>
      <c r="C57" s="67" t="s">
        <v>475</v>
      </c>
      <c r="D57" s="41" t="s">
        <v>476</v>
      </c>
      <c r="E57" s="40"/>
      <c r="F57" s="62">
        <v>716</v>
      </c>
      <c r="G57" s="62">
        <v>0</v>
      </c>
      <c r="H57" s="62">
        <f t="shared" si="1"/>
        <v>716</v>
      </c>
      <c r="I57" s="62">
        <f t="shared" si="2"/>
        <v>136.04</v>
      </c>
      <c r="J57" s="63">
        <v>0.432</v>
      </c>
      <c r="K57" s="62">
        <f t="shared" si="3"/>
        <v>1260.5633802816901</v>
      </c>
      <c r="L57" s="62">
        <f t="shared" si="4"/>
        <v>239.50704225352112</v>
      </c>
      <c r="M57" s="62">
        <f t="shared" si="15"/>
        <v>1500.0704225352113</v>
      </c>
      <c r="N57" s="62">
        <f t="shared" si="6"/>
        <v>544.56338028169012</v>
      </c>
      <c r="O57" s="61">
        <f t="shared" si="7"/>
        <v>-999.92957746478874</v>
      </c>
      <c r="P57" s="61">
        <f t="shared" si="8"/>
        <v>2100.840336134454</v>
      </c>
      <c r="Q57" s="64">
        <f t="shared" si="9"/>
        <v>0.65918399999999999</v>
      </c>
      <c r="R57" s="65">
        <v>2500</v>
      </c>
      <c r="S57" s="41">
        <v>1760</v>
      </c>
      <c r="T57" s="41">
        <f t="shared" si="25"/>
        <v>1760</v>
      </c>
      <c r="U57" s="41">
        <v>0</v>
      </c>
      <c r="V57" s="40">
        <f t="shared" si="18"/>
        <v>1760</v>
      </c>
      <c r="W57" s="40">
        <f t="shared" si="12"/>
        <v>740</v>
      </c>
      <c r="X57" s="8">
        <f t="shared" si="13"/>
        <v>125</v>
      </c>
      <c r="Y57" s="26"/>
      <c r="Z57" s="8" t="str">
        <f t="shared" si="14"/>
        <v>Ambiental Tubo</v>
      </c>
      <c r="AA57" s="31" t="s">
        <v>477</v>
      </c>
      <c r="AB57" s="31">
        <v>-1</v>
      </c>
    </row>
    <row r="58" spans="1:28" ht="13.2">
      <c r="A58" s="59" t="s">
        <v>76</v>
      </c>
      <c r="B58" s="8" t="str">
        <f>CONCATENATE(C58," / ",E58," Litros")</f>
        <v>Antigrasa / 5 Litros</v>
      </c>
      <c r="C58" s="67" t="s">
        <v>550</v>
      </c>
      <c r="D58" s="61" t="str">
        <f t="shared" ref="D58:D61" si="26">C58</f>
        <v>Antigrasa</v>
      </c>
      <c r="E58" s="41">
        <v>5</v>
      </c>
      <c r="F58" s="62">
        <v>1975</v>
      </c>
      <c r="G58" s="62">
        <v>0</v>
      </c>
      <c r="H58" s="62">
        <f t="shared" si="1"/>
        <v>1975</v>
      </c>
      <c r="I58" s="62">
        <f t="shared" si="2"/>
        <v>375.25</v>
      </c>
      <c r="J58" s="63">
        <v>0.41241</v>
      </c>
      <c r="K58" s="62">
        <f t="shared" si="3"/>
        <v>3361.1872223829537</v>
      </c>
      <c r="L58" s="62">
        <f t="shared" si="4"/>
        <v>638.62557225276123</v>
      </c>
      <c r="M58" s="62">
        <f t="shared" si="15"/>
        <v>3999.8127946357149</v>
      </c>
      <c r="N58" s="62">
        <f t="shared" si="6"/>
        <v>1386.1872223829537</v>
      </c>
      <c r="O58" s="61">
        <f t="shared" si="7"/>
        <v>999.81279463571491</v>
      </c>
      <c r="P58" s="61">
        <f t="shared" si="8"/>
        <v>2521.0084033613448</v>
      </c>
      <c r="Q58" s="64">
        <f t="shared" si="9"/>
        <v>0.21658333333333346</v>
      </c>
      <c r="R58" s="77">
        <v>3000</v>
      </c>
      <c r="S58" s="12">
        <f>2090/5</f>
        <v>418</v>
      </c>
      <c r="T58" s="40">
        <f>S58*E58</f>
        <v>2090</v>
      </c>
      <c r="U58" s="41">
        <v>0</v>
      </c>
      <c r="V58" s="40">
        <f t="shared" si="18"/>
        <v>2090</v>
      </c>
      <c r="W58" s="40">
        <f t="shared" si="12"/>
        <v>910</v>
      </c>
      <c r="X58" s="8">
        <f t="shared" si="13"/>
        <v>150</v>
      </c>
      <c r="Y58" s="76"/>
      <c r="Z58" s="8" t="str">
        <f t="shared" si="14"/>
        <v>Antigrasa / 5 Litros</v>
      </c>
      <c r="AA58" s="31" t="s">
        <v>551</v>
      </c>
      <c r="AB58" s="31">
        <v>-1</v>
      </c>
    </row>
    <row r="59" spans="1:28" ht="13.2">
      <c r="A59" s="78" t="s">
        <v>139</v>
      </c>
      <c r="B59" s="8" t="str">
        <f t="shared" ref="B59:B61" si="27">CONCATENATE(C59," / ",E59," gramos")</f>
        <v>Avena / 1000 gramos</v>
      </c>
      <c r="C59" s="79" t="s">
        <v>721</v>
      </c>
      <c r="D59" s="61" t="str">
        <f t="shared" si="26"/>
        <v>Avena</v>
      </c>
      <c r="E59" s="61">
        <v>1000</v>
      </c>
      <c r="F59" s="62">
        <v>889.91596638655471</v>
      </c>
      <c r="G59" s="62">
        <v>190.75630252100842</v>
      </c>
      <c r="H59" s="62">
        <f t="shared" si="1"/>
        <v>1080.6722689075632</v>
      </c>
      <c r="I59" s="62">
        <f t="shared" si="2"/>
        <v>205.32773109243701</v>
      </c>
      <c r="J59" s="63">
        <v>0.41545454545454541</v>
      </c>
      <c r="K59" s="62">
        <f t="shared" si="3"/>
        <v>1848.7394957983195</v>
      </c>
      <c r="L59" s="62">
        <f t="shared" si="4"/>
        <v>351.2605042016807</v>
      </c>
      <c r="M59" s="62">
        <f t="shared" si="15"/>
        <v>2200</v>
      </c>
      <c r="N59" s="62">
        <f t="shared" si="6"/>
        <v>768.06722689075627</v>
      </c>
      <c r="O59" s="61">
        <f t="shared" si="7"/>
        <v>0</v>
      </c>
      <c r="P59" s="61">
        <f t="shared" si="8"/>
        <v>1848.7394957983195</v>
      </c>
      <c r="Q59" s="64">
        <f t="shared" si="9"/>
        <v>0.41545454545454541</v>
      </c>
      <c r="R59" s="81">
        <v>2200</v>
      </c>
      <c r="S59" s="41">
        <v>1059</v>
      </c>
      <c r="T59" s="40">
        <f t="shared" ref="T59:T61" si="28">S59*E59/1000</f>
        <v>1059</v>
      </c>
      <c r="U59" s="40">
        <f>7+40+180</f>
        <v>227</v>
      </c>
      <c r="V59" s="40">
        <f t="shared" si="18"/>
        <v>1286</v>
      </c>
      <c r="W59" s="40">
        <f t="shared" si="12"/>
        <v>914</v>
      </c>
      <c r="X59" s="8">
        <f t="shared" si="13"/>
        <v>110</v>
      </c>
      <c r="Y59" s="76"/>
      <c r="Z59" s="8" t="str">
        <f t="shared" si="14"/>
        <v>Avena / 1000 gramos</v>
      </c>
      <c r="AA59" s="8"/>
    </row>
    <row r="60" spans="1:28" ht="13.2">
      <c r="A60" s="78" t="s">
        <v>139</v>
      </c>
      <c r="B60" s="8" t="str">
        <f t="shared" si="27"/>
        <v>Avena / 250 gramos</v>
      </c>
      <c r="C60" s="79" t="s">
        <v>721</v>
      </c>
      <c r="D60" s="61" t="str">
        <f t="shared" si="26"/>
        <v>Avena</v>
      </c>
      <c r="E60" s="61">
        <v>250</v>
      </c>
      <c r="F60" s="62">
        <v>222.47899159663868</v>
      </c>
      <c r="G60" s="62">
        <v>119.32773109243698</v>
      </c>
      <c r="H60" s="62">
        <f t="shared" si="1"/>
        <v>341.80672268907563</v>
      </c>
      <c r="I60" s="62">
        <f t="shared" si="2"/>
        <v>64.943277310924373</v>
      </c>
      <c r="J60" s="63">
        <v>0.49156250000000001</v>
      </c>
      <c r="K60" s="62">
        <f t="shared" si="3"/>
        <v>672.26890756302521</v>
      </c>
      <c r="L60" s="62">
        <f t="shared" si="4"/>
        <v>127.73109243697479</v>
      </c>
      <c r="M60" s="62">
        <f t="shared" si="15"/>
        <v>800</v>
      </c>
      <c r="N60" s="62">
        <f t="shared" si="6"/>
        <v>330.46218487394958</v>
      </c>
      <c r="O60" s="61">
        <f t="shared" si="7"/>
        <v>0</v>
      </c>
      <c r="P60" s="61">
        <f t="shared" si="8"/>
        <v>672.26890756302521</v>
      </c>
      <c r="Q60" s="64">
        <f t="shared" si="9"/>
        <v>0.49156250000000001</v>
      </c>
      <c r="R60" s="81">
        <v>800</v>
      </c>
      <c r="S60" s="41">
        <v>1059</v>
      </c>
      <c r="T60" s="40">
        <f t="shared" si="28"/>
        <v>264.75</v>
      </c>
      <c r="U60" s="40">
        <f>7+40+95</f>
        <v>142</v>
      </c>
      <c r="V60" s="40">
        <f t="shared" si="18"/>
        <v>406.75</v>
      </c>
      <c r="W60" s="40">
        <f t="shared" si="12"/>
        <v>393.25</v>
      </c>
      <c r="X60" s="8">
        <f t="shared" si="13"/>
        <v>40</v>
      </c>
      <c r="Y60" s="76"/>
      <c r="Z60" s="8" t="str">
        <f t="shared" si="14"/>
        <v>Avena / 250 gramos</v>
      </c>
      <c r="AA60" s="8"/>
    </row>
    <row r="61" spans="1:28" ht="13.2">
      <c r="A61" s="78" t="s">
        <v>139</v>
      </c>
      <c r="B61" s="8" t="str">
        <f t="shared" si="27"/>
        <v>Avena / 500 gramos</v>
      </c>
      <c r="C61" s="79" t="s">
        <v>721</v>
      </c>
      <c r="D61" s="61" t="str">
        <f t="shared" si="26"/>
        <v>Avena</v>
      </c>
      <c r="E61" s="61">
        <v>500</v>
      </c>
      <c r="F61" s="62">
        <v>444.95798319327736</v>
      </c>
      <c r="G61" s="62">
        <v>190.75630252100842</v>
      </c>
      <c r="H61" s="62">
        <f t="shared" si="1"/>
        <v>635.71428571428578</v>
      </c>
      <c r="I61" s="62">
        <f t="shared" si="2"/>
        <v>120.78571428571431</v>
      </c>
      <c r="J61" s="63">
        <v>0.41807692307692312</v>
      </c>
      <c r="K61" s="62">
        <f t="shared" si="3"/>
        <v>1092.4369747899161</v>
      </c>
      <c r="L61" s="62">
        <f t="shared" si="4"/>
        <v>207.56302521008408</v>
      </c>
      <c r="M61" s="62">
        <f t="shared" si="15"/>
        <v>1300.0000000000002</v>
      </c>
      <c r="N61" s="62">
        <f t="shared" si="6"/>
        <v>456.72268907563034</v>
      </c>
      <c r="O61" s="61">
        <f t="shared" si="7"/>
        <v>0</v>
      </c>
      <c r="P61" s="61">
        <f t="shared" si="8"/>
        <v>1092.4369747899161</v>
      </c>
      <c r="Q61" s="64">
        <f t="shared" si="9"/>
        <v>0.41807692307692312</v>
      </c>
      <c r="R61" s="81">
        <v>1300</v>
      </c>
      <c r="S61" s="41">
        <v>1059</v>
      </c>
      <c r="T61" s="40">
        <f t="shared" si="28"/>
        <v>529.5</v>
      </c>
      <c r="U61" s="40">
        <f>7+40+180</f>
        <v>227</v>
      </c>
      <c r="V61" s="40">
        <f t="shared" si="18"/>
        <v>756.5</v>
      </c>
      <c r="W61" s="40">
        <f t="shared" si="12"/>
        <v>543.5</v>
      </c>
      <c r="X61" s="8">
        <f t="shared" si="13"/>
        <v>65</v>
      </c>
      <c r="Y61" s="76"/>
      <c r="Z61" s="8" t="str">
        <f t="shared" si="14"/>
        <v>Avena / 500 gramos</v>
      </c>
      <c r="AA61" s="8"/>
    </row>
    <row r="62" spans="1:28" ht="13.2">
      <c r="A62" s="59" t="s">
        <v>50</v>
      </c>
      <c r="B62" s="8" t="str">
        <f>CONCATENATE(C62,E62)</f>
        <v>Bebida 1.5 Litros</v>
      </c>
      <c r="C62" s="60" t="s">
        <v>877</v>
      </c>
      <c r="D62" s="61" t="s">
        <v>878</v>
      </c>
      <c r="E62" s="41"/>
      <c r="F62" s="62">
        <v>1298.3193277310925</v>
      </c>
      <c r="G62" s="62">
        <v>0</v>
      </c>
      <c r="H62" s="62">
        <f t="shared" si="1"/>
        <v>1298.3193277310925</v>
      </c>
      <c r="I62" s="62">
        <f t="shared" si="2"/>
        <v>246.68067226890759</v>
      </c>
      <c r="J62" s="63">
        <v>0.40576923076923088</v>
      </c>
      <c r="K62" s="62">
        <f t="shared" si="3"/>
        <v>2184.8739495798322</v>
      </c>
      <c r="L62" s="62">
        <f t="shared" si="4"/>
        <v>415.12605042016816</v>
      </c>
      <c r="M62" s="62">
        <f t="shared" si="15"/>
        <v>2600.0000000000005</v>
      </c>
      <c r="N62" s="62">
        <f t="shared" si="6"/>
        <v>886.55462184873977</v>
      </c>
      <c r="O62" s="61">
        <f t="shared" si="7"/>
        <v>0</v>
      </c>
      <c r="P62" s="61">
        <f t="shared" si="8"/>
        <v>2184.8739495798322</v>
      </c>
      <c r="Q62" s="64">
        <f t="shared" si="9"/>
        <v>0.40576923076923088</v>
      </c>
      <c r="R62" s="65">
        <v>2600</v>
      </c>
      <c r="S62" s="41">
        <v>1545</v>
      </c>
      <c r="T62" s="41">
        <f>S62</f>
        <v>1545</v>
      </c>
      <c r="U62" s="41">
        <v>0</v>
      </c>
      <c r="V62" s="40">
        <f t="shared" si="18"/>
        <v>1545</v>
      </c>
      <c r="W62" s="40">
        <f t="shared" si="12"/>
        <v>1055</v>
      </c>
      <c r="X62" s="8">
        <f t="shared" si="13"/>
        <v>130</v>
      </c>
      <c r="Y62" s="26"/>
      <c r="Z62" s="8" t="str">
        <f t="shared" si="14"/>
        <v>Bebida 1.5 Litros</v>
      </c>
      <c r="AA62" s="8"/>
    </row>
    <row r="63" spans="1:28" ht="13.2">
      <c r="A63" s="59" t="s">
        <v>947</v>
      </c>
      <c r="B63" s="8" t="str">
        <f t="shared" ref="B63:B64" si="29">CONCATENATE(C63," / ",E63," gramos / $",M63)</f>
        <v>Bolitas rojas / 250 gramos / $1400</v>
      </c>
      <c r="C63" s="60" t="s">
        <v>1005</v>
      </c>
      <c r="D63" s="61" t="str">
        <f t="shared" ref="D63:D64" si="30">C63</f>
        <v>Bolitas rojas</v>
      </c>
      <c r="E63" s="41">
        <v>250</v>
      </c>
      <c r="F63" s="62">
        <v>840.3361344537816</v>
      </c>
      <c r="G63" s="62">
        <v>119.32773109243698</v>
      </c>
      <c r="H63" s="62">
        <f t="shared" si="1"/>
        <v>959.66386554621863</v>
      </c>
      <c r="I63" s="62">
        <f t="shared" si="2"/>
        <v>182.33613445378154</v>
      </c>
      <c r="J63" s="63">
        <v>0.18428571428571416</v>
      </c>
      <c r="K63" s="62">
        <f t="shared" si="3"/>
        <v>1176.4705882352941</v>
      </c>
      <c r="L63" s="62">
        <f t="shared" si="4"/>
        <v>223.52941176470588</v>
      </c>
      <c r="M63" s="62">
        <f t="shared" si="15"/>
        <v>1400</v>
      </c>
      <c r="N63" s="62">
        <f t="shared" si="6"/>
        <v>216.80672268907551</v>
      </c>
      <c r="O63" s="61">
        <f t="shared" si="7"/>
        <v>0</v>
      </c>
      <c r="P63" s="61">
        <f t="shared" si="8"/>
        <v>1176.4705882352941</v>
      </c>
      <c r="Q63" s="64">
        <f t="shared" si="9"/>
        <v>0.18428571428571416</v>
      </c>
      <c r="R63" s="65">
        <v>1400</v>
      </c>
      <c r="S63" s="41">
        <v>4000</v>
      </c>
      <c r="T63" s="40">
        <f t="shared" ref="T63:T66" si="31">S63*E63/1000</f>
        <v>1000</v>
      </c>
      <c r="U63" s="40">
        <f>7+40+95</f>
        <v>142</v>
      </c>
      <c r="V63" s="40">
        <f t="shared" si="18"/>
        <v>1142</v>
      </c>
      <c r="W63" s="40">
        <f t="shared" si="12"/>
        <v>258</v>
      </c>
      <c r="X63" s="8">
        <f t="shared" si="13"/>
        <v>70</v>
      </c>
      <c r="Y63" s="76"/>
      <c r="Z63" s="8" t="str">
        <f t="shared" si="14"/>
        <v>Bolitas rojas / 250 gramos / $1400</v>
      </c>
      <c r="AA63" s="8"/>
    </row>
    <row r="64" spans="1:28" ht="13.2">
      <c r="A64" s="59" t="s">
        <v>947</v>
      </c>
      <c r="B64" s="8" t="str">
        <f t="shared" si="29"/>
        <v>Bolitas rojas / 50 gramos / $500</v>
      </c>
      <c r="C64" s="60" t="s">
        <v>1005</v>
      </c>
      <c r="D64" s="61" t="str">
        <f t="shared" si="30"/>
        <v>Bolitas rojas</v>
      </c>
      <c r="E64" s="41">
        <v>50</v>
      </c>
      <c r="F64" s="62">
        <v>168.0672268907563</v>
      </c>
      <c r="G64" s="62">
        <v>66.722689075630257</v>
      </c>
      <c r="H64" s="62">
        <f t="shared" si="1"/>
        <v>234.78991596638656</v>
      </c>
      <c r="I64" s="62">
        <f t="shared" si="2"/>
        <v>44.610084033613447</v>
      </c>
      <c r="J64" s="63">
        <v>0.44120000000000004</v>
      </c>
      <c r="K64" s="62">
        <f t="shared" si="3"/>
        <v>420.1680672268908</v>
      </c>
      <c r="L64" s="62">
        <f t="shared" si="4"/>
        <v>79.831932773109259</v>
      </c>
      <c r="M64" s="62">
        <f t="shared" si="15"/>
        <v>500.00000000000006</v>
      </c>
      <c r="N64" s="62">
        <f t="shared" si="6"/>
        <v>185.37815126050424</v>
      </c>
      <c r="O64" s="61">
        <f t="shared" si="7"/>
        <v>0</v>
      </c>
      <c r="P64" s="61">
        <f t="shared" si="8"/>
        <v>420.1680672268908</v>
      </c>
      <c r="Q64" s="64">
        <f t="shared" si="9"/>
        <v>0.44120000000000004</v>
      </c>
      <c r="R64" s="65">
        <v>500</v>
      </c>
      <c r="S64" s="41">
        <v>4000</v>
      </c>
      <c r="T64" s="40">
        <f t="shared" si="31"/>
        <v>200</v>
      </c>
      <c r="U64" s="12">
        <f>73+160/25</f>
        <v>79.400000000000006</v>
      </c>
      <c r="V64" s="40">
        <f t="shared" si="18"/>
        <v>279.39999999999998</v>
      </c>
      <c r="W64" s="40">
        <f t="shared" si="12"/>
        <v>220.60000000000002</v>
      </c>
      <c r="X64" s="8">
        <f t="shared" si="13"/>
        <v>25</v>
      </c>
      <c r="Y64" s="76"/>
      <c r="Z64" s="8" t="str">
        <f t="shared" si="14"/>
        <v>Bolitas rojas / 50 gramos / $500</v>
      </c>
      <c r="AA64" s="8"/>
    </row>
    <row r="65" spans="1:28" ht="13.2">
      <c r="A65" s="59" t="s">
        <v>47</v>
      </c>
      <c r="B65" s="8" t="str">
        <f t="shared" ref="B65:B70" si="32">CONCATENATE(C65,E65)</f>
        <v>Bolsa Basura 50x70</v>
      </c>
      <c r="C65" s="67" t="s">
        <v>859</v>
      </c>
      <c r="D65" s="61" t="s">
        <v>453</v>
      </c>
      <c r="E65" s="41"/>
      <c r="F65" s="62">
        <v>352.94117647058823</v>
      </c>
      <c r="G65" s="62">
        <v>0</v>
      </c>
      <c r="H65" s="62">
        <f t="shared" si="1"/>
        <v>352.94117647058823</v>
      </c>
      <c r="I65" s="62">
        <f t="shared" si="2"/>
        <v>67.058823529411768</v>
      </c>
      <c r="J65" s="63">
        <v>0.23636363636363644</v>
      </c>
      <c r="K65" s="62">
        <f t="shared" si="3"/>
        <v>462.18487394957987</v>
      </c>
      <c r="L65" s="62">
        <f t="shared" si="4"/>
        <v>87.815126050420176</v>
      </c>
      <c r="M65" s="62">
        <f t="shared" si="15"/>
        <v>550</v>
      </c>
      <c r="N65" s="62">
        <f t="shared" si="6"/>
        <v>109.24369747899163</v>
      </c>
      <c r="O65" s="61">
        <f t="shared" si="7"/>
        <v>0</v>
      </c>
      <c r="P65" s="61">
        <f t="shared" si="8"/>
        <v>462.18487394957987</v>
      </c>
      <c r="Q65" s="64">
        <f t="shared" si="9"/>
        <v>0.23636363636363644</v>
      </c>
      <c r="R65" s="77">
        <v>550</v>
      </c>
      <c r="S65" s="26">
        <v>420</v>
      </c>
      <c r="T65" s="40">
        <f t="shared" si="31"/>
        <v>0</v>
      </c>
      <c r="U65" s="41">
        <v>0</v>
      </c>
      <c r="V65" s="40">
        <f t="shared" si="18"/>
        <v>0</v>
      </c>
      <c r="W65" s="40">
        <f t="shared" si="12"/>
        <v>550</v>
      </c>
      <c r="X65" s="8">
        <f t="shared" si="13"/>
        <v>27.5</v>
      </c>
      <c r="Y65" s="26"/>
      <c r="Z65" s="8" t="str">
        <f t="shared" si="14"/>
        <v>Bolsa Basura 50x70</v>
      </c>
      <c r="AA65" s="31" t="s">
        <v>1584</v>
      </c>
      <c r="AB65" s="31">
        <v>-1</v>
      </c>
    </row>
    <row r="66" spans="1:28" ht="13.2">
      <c r="A66" s="59" t="s">
        <v>47</v>
      </c>
      <c r="B66" s="8" t="str">
        <f t="shared" si="32"/>
        <v>Bolsa Basura 70x90</v>
      </c>
      <c r="C66" s="67" t="s">
        <v>811</v>
      </c>
      <c r="D66" s="61" t="s">
        <v>453</v>
      </c>
      <c r="E66" s="41"/>
      <c r="F66" s="62">
        <v>569.74789915966392</v>
      </c>
      <c r="G66" s="62">
        <v>0</v>
      </c>
      <c r="H66" s="62">
        <f t="shared" si="1"/>
        <v>569.74789915966392</v>
      </c>
      <c r="I66" s="62">
        <f t="shared" si="2"/>
        <v>108.25210084033614</v>
      </c>
      <c r="J66" s="63">
        <v>0.38363636363636366</v>
      </c>
      <c r="K66" s="62">
        <f t="shared" si="3"/>
        <v>924.36974789915973</v>
      </c>
      <c r="L66" s="62">
        <f t="shared" si="4"/>
        <v>175.63025210084035</v>
      </c>
      <c r="M66" s="62">
        <f t="shared" si="15"/>
        <v>1100</v>
      </c>
      <c r="N66" s="62">
        <f t="shared" si="6"/>
        <v>354.62184873949582</v>
      </c>
      <c r="O66" s="61">
        <f t="shared" si="7"/>
        <v>0</v>
      </c>
      <c r="P66" s="61">
        <f t="shared" si="8"/>
        <v>924.36974789915973</v>
      </c>
      <c r="Q66" s="64">
        <f t="shared" si="9"/>
        <v>0.38363636363636366</v>
      </c>
      <c r="R66" s="77">
        <v>1100</v>
      </c>
      <c r="S66" s="26">
        <v>678</v>
      </c>
      <c r="T66" s="40">
        <f t="shared" si="31"/>
        <v>0</v>
      </c>
      <c r="U66" s="41">
        <v>0</v>
      </c>
      <c r="V66" s="40">
        <f t="shared" si="18"/>
        <v>0</v>
      </c>
      <c r="W66" s="40">
        <f t="shared" si="12"/>
        <v>1100</v>
      </c>
      <c r="X66" s="8">
        <f t="shared" si="13"/>
        <v>55</v>
      </c>
      <c r="Y66" s="26"/>
      <c r="Z66" s="8" t="str">
        <f t="shared" si="14"/>
        <v>Bolsa Basura 70x90</v>
      </c>
      <c r="AA66" s="31" t="s">
        <v>1585</v>
      </c>
      <c r="AB66" s="31">
        <v>-1</v>
      </c>
    </row>
    <row r="67" spans="1:28" ht="13.2">
      <c r="A67" s="59" t="s">
        <v>47</v>
      </c>
      <c r="B67" s="8" t="str">
        <f t="shared" si="32"/>
        <v>Bolsa Basura Teddy 45x55 c/asas</v>
      </c>
      <c r="C67" s="67" t="s">
        <v>521</v>
      </c>
      <c r="D67" s="61" t="s">
        <v>453</v>
      </c>
      <c r="E67" s="41"/>
      <c r="F67" s="62">
        <v>282</v>
      </c>
      <c r="G67" s="62">
        <v>0</v>
      </c>
      <c r="H67" s="62">
        <f t="shared" si="1"/>
        <v>282</v>
      </c>
      <c r="I67" s="62">
        <f t="shared" si="2"/>
        <v>53.58</v>
      </c>
      <c r="J67" s="63">
        <v>0.441</v>
      </c>
      <c r="K67" s="62">
        <f t="shared" si="3"/>
        <v>504.47227191413242</v>
      </c>
      <c r="L67" s="62">
        <f t="shared" si="4"/>
        <v>95.849731663685162</v>
      </c>
      <c r="M67" s="62">
        <f t="shared" si="15"/>
        <v>600.32200357781755</v>
      </c>
      <c r="N67" s="62">
        <f t="shared" si="6"/>
        <v>222.47227191413242</v>
      </c>
      <c r="O67" s="61">
        <f t="shared" si="7"/>
        <v>-49.677996422182446</v>
      </c>
      <c r="P67" s="61">
        <f t="shared" si="8"/>
        <v>546.21848739495806</v>
      </c>
      <c r="Q67" s="64">
        <f t="shared" si="9"/>
        <v>0.48372307692307703</v>
      </c>
      <c r="R67" s="77">
        <v>650</v>
      </c>
      <c r="S67" s="26">
        <v>375</v>
      </c>
      <c r="T67" s="26">
        <v>375</v>
      </c>
      <c r="U67" s="41">
        <v>0</v>
      </c>
      <c r="V67" s="40">
        <f t="shared" si="18"/>
        <v>375</v>
      </c>
      <c r="W67" s="40">
        <f t="shared" si="12"/>
        <v>275</v>
      </c>
      <c r="X67" s="8">
        <f t="shared" si="13"/>
        <v>32.5</v>
      </c>
      <c r="Y67" s="26"/>
      <c r="Z67" s="8" t="str">
        <f t="shared" si="14"/>
        <v>Bolsa Basura Teddy 45x55 c/asas</v>
      </c>
      <c r="AA67" s="31" t="s">
        <v>491</v>
      </c>
      <c r="AB67" s="31">
        <v>-1</v>
      </c>
    </row>
    <row r="68" spans="1:28" ht="13.2">
      <c r="A68" s="59" t="s">
        <v>47</v>
      </c>
      <c r="B68" s="8" t="str">
        <f t="shared" si="32"/>
        <v>Bolsa Basura Teddy 50x70</v>
      </c>
      <c r="C68" s="67" t="s">
        <v>100</v>
      </c>
      <c r="D68" s="61" t="s">
        <v>453</v>
      </c>
      <c r="E68" s="41"/>
      <c r="F68" s="62">
        <v>315.1260504201681</v>
      </c>
      <c r="G68" s="62">
        <v>0</v>
      </c>
      <c r="H68" s="62">
        <f t="shared" si="1"/>
        <v>315.1260504201681</v>
      </c>
      <c r="I68" s="62">
        <f t="shared" si="2"/>
        <v>59.873949579831937</v>
      </c>
      <c r="J68" s="63">
        <v>0.42307692307692313</v>
      </c>
      <c r="K68" s="62">
        <f t="shared" si="3"/>
        <v>546.21848739495806</v>
      </c>
      <c r="L68" s="62">
        <f t="shared" si="4"/>
        <v>103.78151260504204</v>
      </c>
      <c r="M68" s="62">
        <f t="shared" si="15"/>
        <v>650.00000000000011</v>
      </c>
      <c r="N68" s="62">
        <f t="shared" si="6"/>
        <v>231.09243697478996</v>
      </c>
      <c r="O68" s="61">
        <f t="shared" si="7"/>
        <v>0</v>
      </c>
      <c r="P68" s="61">
        <f t="shared" si="8"/>
        <v>546.21848739495806</v>
      </c>
      <c r="Q68" s="64">
        <f t="shared" si="9"/>
        <v>0.42307692307692313</v>
      </c>
      <c r="R68" s="77">
        <v>650</v>
      </c>
      <c r="S68" s="26">
        <v>375</v>
      </c>
      <c r="T68" s="26">
        <v>375</v>
      </c>
      <c r="U68" s="41">
        <v>0</v>
      </c>
      <c r="V68" s="40">
        <f t="shared" si="18"/>
        <v>375</v>
      </c>
      <c r="W68" s="40">
        <f t="shared" si="12"/>
        <v>275</v>
      </c>
      <c r="X68" s="8">
        <f t="shared" si="13"/>
        <v>32.5</v>
      </c>
      <c r="Y68" s="26"/>
      <c r="Z68" s="8" t="str">
        <f t="shared" si="14"/>
        <v>Bolsa Basura Teddy 50x70</v>
      </c>
      <c r="AA68" s="31" t="s">
        <v>454</v>
      </c>
      <c r="AB68" s="31">
        <v>-1</v>
      </c>
    </row>
    <row r="69" spans="1:28" ht="13.2">
      <c r="A69" s="59" t="s">
        <v>47</v>
      </c>
      <c r="B69" s="8" t="str">
        <f t="shared" si="32"/>
        <v>Bolsa Basura Teddy 70x90</v>
      </c>
      <c r="C69" s="67" t="s">
        <v>99</v>
      </c>
      <c r="D69" s="61" t="s">
        <v>453</v>
      </c>
      <c r="E69" s="41"/>
      <c r="F69" s="62">
        <v>714.28571428571433</v>
      </c>
      <c r="G69" s="62">
        <v>0</v>
      </c>
      <c r="H69" s="62">
        <f t="shared" si="1"/>
        <v>714.28571428571433</v>
      </c>
      <c r="I69" s="62">
        <f t="shared" si="2"/>
        <v>135.71428571428572</v>
      </c>
      <c r="J69" s="63">
        <v>0.29166666666666663</v>
      </c>
      <c r="K69" s="62">
        <f t="shared" si="3"/>
        <v>1008.4033613445379</v>
      </c>
      <c r="L69" s="62">
        <f t="shared" si="4"/>
        <v>191.59663865546219</v>
      </c>
      <c r="M69" s="62">
        <f t="shared" si="15"/>
        <v>1200</v>
      </c>
      <c r="N69" s="62">
        <f t="shared" si="6"/>
        <v>294.11764705882354</v>
      </c>
      <c r="O69" s="61">
        <f t="shared" si="7"/>
        <v>0</v>
      </c>
      <c r="P69" s="61">
        <f t="shared" si="8"/>
        <v>1008.4033613445379</v>
      </c>
      <c r="Q69" s="64">
        <f t="shared" si="9"/>
        <v>0.29166666666666663</v>
      </c>
      <c r="R69" s="77">
        <v>1200</v>
      </c>
      <c r="S69" s="26">
        <v>850</v>
      </c>
      <c r="T69" s="26">
        <v>850</v>
      </c>
      <c r="U69" s="41">
        <v>0</v>
      </c>
      <c r="V69" s="40">
        <f t="shared" si="18"/>
        <v>850</v>
      </c>
      <c r="W69" s="40">
        <f t="shared" si="12"/>
        <v>350</v>
      </c>
      <c r="X69" s="8">
        <f t="shared" si="13"/>
        <v>60</v>
      </c>
      <c r="Y69" s="26"/>
      <c r="Z69" s="8" t="str">
        <f t="shared" si="14"/>
        <v>Bolsa Basura Teddy 70x90</v>
      </c>
      <c r="AA69" s="31" t="s">
        <v>487</v>
      </c>
      <c r="AB69" s="31">
        <v>-1</v>
      </c>
    </row>
    <row r="70" spans="1:28" ht="13.2">
      <c r="A70" s="59" t="s">
        <v>47</v>
      </c>
      <c r="B70" s="8" t="str">
        <f t="shared" si="32"/>
        <v>Bolsa Basura Teddy 90x120</v>
      </c>
      <c r="C70" s="67" t="s">
        <v>107</v>
      </c>
      <c r="D70" s="61" t="s">
        <v>453</v>
      </c>
      <c r="E70" s="41"/>
      <c r="F70" s="62">
        <v>1762.1848739495799</v>
      </c>
      <c r="G70" s="62">
        <v>0</v>
      </c>
      <c r="H70" s="62">
        <f t="shared" si="1"/>
        <v>1762.1848739495799</v>
      </c>
      <c r="I70" s="62">
        <f t="shared" si="2"/>
        <v>334.81512605042019</v>
      </c>
      <c r="J70" s="63">
        <v>0.30100000000000005</v>
      </c>
      <c r="K70" s="62">
        <f t="shared" si="3"/>
        <v>2521.0084033613448</v>
      </c>
      <c r="L70" s="62">
        <f t="shared" si="4"/>
        <v>478.99159663865549</v>
      </c>
      <c r="M70" s="62">
        <f t="shared" si="15"/>
        <v>3000.0000000000005</v>
      </c>
      <c r="N70" s="62">
        <f t="shared" si="6"/>
        <v>758.82352941176487</v>
      </c>
      <c r="O70" s="61">
        <f t="shared" si="7"/>
        <v>0</v>
      </c>
      <c r="P70" s="61">
        <f t="shared" si="8"/>
        <v>2521.0084033613448</v>
      </c>
      <c r="Q70" s="64">
        <f t="shared" si="9"/>
        <v>0.30100000000000005</v>
      </c>
      <c r="R70" s="77">
        <v>3000</v>
      </c>
      <c r="S70" s="26">
        <v>2097</v>
      </c>
      <c r="T70" s="26">
        <v>2097</v>
      </c>
      <c r="U70" s="41">
        <v>0</v>
      </c>
      <c r="V70" s="40">
        <f t="shared" si="18"/>
        <v>2097</v>
      </c>
      <c r="W70" s="40">
        <f t="shared" si="12"/>
        <v>903</v>
      </c>
      <c r="X70" s="8">
        <f t="shared" si="13"/>
        <v>150</v>
      </c>
      <c r="Y70" s="26"/>
      <c r="Z70" s="8" t="str">
        <f t="shared" si="14"/>
        <v>Bolsa Basura Teddy 90x120</v>
      </c>
      <c r="AA70" s="31" t="s">
        <v>460</v>
      </c>
      <c r="AB70" s="31">
        <v>-1</v>
      </c>
    </row>
    <row r="71" spans="1:28" ht="13.2">
      <c r="A71" s="59" t="s">
        <v>861</v>
      </c>
      <c r="B71" s="8" t="str">
        <f t="shared" ref="B71:B74" si="33">CONCATENATE(C71," / ",E71," gramos")</f>
        <v>Cafe trigo / 250 gramos</v>
      </c>
      <c r="C71" s="83" t="s">
        <v>1586</v>
      </c>
      <c r="D71" s="61" t="s">
        <v>1587</v>
      </c>
      <c r="E71" s="41">
        <v>250</v>
      </c>
      <c r="F71" s="62">
        <f>3000/1.19</f>
        <v>2521.0084033613448</v>
      </c>
      <c r="G71" s="62">
        <v>0</v>
      </c>
      <c r="H71" s="62">
        <f t="shared" si="1"/>
        <v>2521.0084033613448</v>
      </c>
      <c r="I71" s="62">
        <f t="shared" si="2"/>
        <v>478.99159663865549</v>
      </c>
      <c r="J71" s="63">
        <v>0</v>
      </c>
      <c r="K71" s="62">
        <f t="shared" si="3"/>
        <v>2521.0084033613448</v>
      </c>
      <c r="L71" s="62">
        <f t="shared" si="4"/>
        <v>478.99159663865549</v>
      </c>
      <c r="M71" s="62">
        <f t="shared" si="15"/>
        <v>3000.0000000000005</v>
      </c>
      <c r="N71" s="62">
        <f t="shared" si="6"/>
        <v>0</v>
      </c>
      <c r="O71" s="61">
        <f t="shared" si="7"/>
        <v>0</v>
      </c>
      <c r="P71" s="61">
        <f t="shared" si="8"/>
        <v>2521.0084033613448</v>
      </c>
      <c r="Q71" s="64">
        <f t="shared" si="9"/>
        <v>0</v>
      </c>
      <c r="R71" s="65">
        <v>3000</v>
      </c>
      <c r="S71" s="41">
        <v>3000</v>
      </c>
      <c r="T71" s="74"/>
      <c r="U71" s="74"/>
      <c r="V71" s="75">
        <f>S71</f>
        <v>3000</v>
      </c>
      <c r="W71" s="40">
        <f t="shared" si="12"/>
        <v>0</v>
      </c>
      <c r="X71" s="31">
        <v>0</v>
      </c>
      <c r="Y71" s="76"/>
      <c r="Z71" s="8" t="str">
        <f t="shared" si="14"/>
        <v>Cafe trigo / 250 gramos</v>
      </c>
      <c r="AA71" s="8"/>
    </row>
    <row r="72" spans="1:28" ht="13.2">
      <c r="A72" s="59" t="s">
        <v>139</v>
      </c>
      <c r="B72" s="8" t="str">
        <f t="shared" si="33"/>
        <v>Caja - Dulzura / 300 gramos</v>
      </c>
      <c r="C72" s="60" t="s">
        <v>1035</v>
      </c>
      <c r="D72" s="61" t="str">
        <f t="shared" ref="D72:D74" si="34">C72</f>
        <v>Caja - Dulzura</v>
      </c>
      <c r="E72" s="41">
        <v>300</v>
      </c>
      <c r="F72" s="62">
        <v>2521.0084033613448</v>
      </c>
      <c r="G72" s="62">
        <v>119.32773109243698</v>
      </c>
      <c r="H72" s="62">
        <f t="shared" si="1"/>
        <v>2640.3361344537816</v>
      </c>
      <c r="I72" s="62">
        <f t="shared" si="2"/>
        <v>501.66386554621852</v>
      </c>
      <c r="J72" s="63">
        <v>-4.7333333333333227E-2</v>
      </c>
      <c r="K72" s="62">
        <f t="shared" si="3"/>
        <v>2521.0084033613448</v>
      </c>
      <c r="L72" s="62">
        <f t="shared" si="4"/>
        <v>478.99159663865549</v>
      </c>
      <c r="M72" s="62">
        <f t="shared" si="15"/>
        <v>3000.0000000000005</v>
      </c>
      <c r="N72" s="62">
        <f t="shared" si="6"/>
        <v>-119.32773109243681</v>
      </c>
      <c r="O72" s="61">
        <f t="shared" si="7"/>
        <v>0</v>
      </c>
      <c r="P72" s="61">
        <f t="shared" si="8"/>
        <v>2521.0084033613448</v>
      </c>
      <c r="Q72" s="64">
        <f t="shared" si="9"/>
        <v>-4.7333333333333227E-2</v>
      </c>
      <c r="R72" s="65">
        <v>3000</v>
      </c>
      <c r="S72" s="41">
        <v>10000</v>
      </c>
      <c r="T72" s="40">
        <f t="shared" ref="T72:T74" si="35">S72*E72/1000</f>
        <v>3000</v>
      </c>
      <c r="U72" s="40">
        <f>7+40+95</f>
        <v>142</v>
      </c>
      <c r="V72" s="40">
        <f t="shared" ref="V72:V74" si="36">T72+U72</f>
        <v>3142</v>
      </c>
      <c r="W72" s="40">
        <f t="shared" si="12"/>
        <v>-142</v>
      </c>
      <c r="X72" s="8">
        <f t="shared" ref="X72:X111" si="37">R72*5%</f>
        <v>150</v>
      </c>
      <c r="Y72" s="76"/>
      <c r="Z72" s="8" t="str">
        <f t="shared" si="14"/>
        <v>Caja - Dulzura / 300 gramos</v>
      </c>
      <c r="AA72" s="8"/>
    </row>
    <row r="73" spans="1:28" ht="13.2">
      <c r="A73" s="59" t="s">
        <v>139</v>
      </c>
      <c r="B73" s="8" t="str">
        <f t="shared" si="33"/>
        <v>Caja - Mix - 01 Normal / 300 gramos</v>
      </c>
      <c r="C73" s="60" t="s">
        <v>1012</v>
      </c>
      <c r="D73" s="61" t="str">
        <f t="shared" si="34"/>
        <v>Caja - Mix - 01 Normal</v>
      </c>
      <c r="E73" s="41">
        <v>300</v>
      </c>
      <c r="F73" s="62">
        <v>1134.453781512605</v>
      </c>
      <c r="G73" s="62">
        <v>165.54621848739495</v>
      </c>
      <c r="H73" s="62">
        <f t="shared" si="1"/>
        <v>1300</v>
      </c>
      <c r="I73" s="62">
        <f t="shared" si="2"/>
        <v>247</v>
      </c>
      <c r="J73" s="63">
        <v>0.48433333333333339</v>
      </c>
      <c r="K73" s="62">
        <f t="shared" si="3"/>
        <v>2521.0084033613448</v>
      </c>
      <c r="L73" s="62">
        <f t="shared" si="4"/>
        <v>478.99159663865549</v>
      </c>
      <c r="M73" s="62">
        <f t="shared" si="15"/>
        <v>3000.0000000000005</v>
      </c>
      <c r="N73" s="62">
        <f t="shared" si="6"/>
        <v>1221.0084033613448</v>
      </c>
      <c r="O73" s="61">
        <f t="shared" si="7"/>
        <v>0</v>
      </c>
      <c r="P73" s="61">
        <f t="shared" si="8"/>
        <v>2521.0084033613448</v>
      </c>
      <c r="Q73" s="64">
        <f t="shared" si="9"/>
        <v>0.48433333333333339</v>
      </c>
      <c r="R73" s="65">
        <v>3000</v>
      </c>
      <c r="S73" s="41">
        <v>4500</v>
      </c>
      <c r="T73" s="40">
        <f t="shared" si="35"/>
        <v>1350</v>
      </c>
      <c r="U73" s="40">
        <f t="shared" ref="U73:U74" si="38">7+40+150</f>
        <v>197</v>
      </c>
      <c r="V73" s="40">
        <f t="shared" si="36"/>
        <v>1547</v>
      </c>
      <c r="W73" s="40">
        <f t="shared" si="12"/>
        <v>1453</v>
      </c>
      <c r="X73" s="8">
        <f t="shared" si="37"/>
        <v>150</v>
      </c>
      <c r="Y73" s="76"/>
      <c r="Z73" s="8" t="str">
        <f t="shared" si="14"/>
        <v>Caja - Mix - 01 Normal / 300 gramos</v>
      </c>
      <c r="AA73" s="8"/>
    </row>
    <row r="74" spans="1:28" ht="13.2">
      <c r="A74" s="59" t="s">
        <v>139</v>
      </c>
      <c r="B74" s="8" t="str">
        <f t="shared" si="33"/>
        <v>Caja - Mix - 02 Premium / 300 gramos</v>
      </c>
      <c r="C74" s="60" t="s">
        <v>996</v>
      </c>
      <c r="D74" s="61" t="str">
        <f t="shared" si="34"/>
        <v>Caja - Mix - 02 Premium</v>
      </c>
      <c r="E74" s="41">
        <v>300</v>
      </c>
      <c r="F74" s="62">
        <v>1969.6638655462186</v>
      </c>
      <c r="G74" s="62">
        <v>165.54621848739495</v>
      </c>
      <c r="H74" s="62">
        <f t="shared" si="1"/>
        <v>2135.2100840336134</v>
      </c>
      <c r="I74" s="62">
        <f t="shared" si="2"/>
        <v>405.68991596638654</v>
      </c>
      <c r="J74" s="63">
        <v>0.43535555555555561</v>
      </c>
      <c r="K74" s="62">
        <f t="shared" si="3"/>
        <v>3781.5126050420172</v>
      </c>
      <c r="L74" s="62">
        <f t="shared" si="4"/>
        <v>718.48739495798327</v>
      </c>
      <c r="M74" s="62">
        <f t="shared" si="15"/>
        <v>4500</v>
      </c>
      <c r="N74" s="62">
        <f t="shared" si="6"/>
        <v>1646.3025210084038</v>
      </c>
      <c r="O74" s="61">
        <f t="shared" si="7"/>
        <v>0</v>
      </c>
      <c r="P74" s="61">
        <f t="shared" si="8"/>
        <v>3781.5126050420172</v>
      </c>
      <c r="Q74" s="64">
        <f t="shared" si="9"/>
        <v>0.43535555555555561</v>
      </c>
      <c r="R74" s="65">
        <v>4500</v>
      </c>
      <c r="S74" s="41">
        <v>7813</v>
      </c>
      <c r="T74" s="40">
        <f t="shared" si="35"/>
        <v>2343.9</v>
      </c>
      <c r="U74" s="40">
        <f t="shared" si="38"/>
        <v>197</v>
      </c>
      <c r="V74" s="40">
        <f t="shared" si="36"/>
        <v>2540.9</v>
      </c>
      <c r="W74" s="40">
        <f t="shared" si="12"/>
        <v>1959.1</v>
      </c>
      <c r="X74" s="8">
        <f t="shared" si="37"/>
        <v>225</v>
      </c>
      <c r="Y74" s="76"/>
      <c r="Z74" s="8" t="str">
        <f t="shared" si="14"/>
        <v>Caja - Mix - 02 Premium / 300 gramos</v>
      </c>
      <c r="AA74" s="8"/>
    </row>
    <row r="75" spans="1:28" ht="13.2">
      <c r="A75" s="59" t="s">
        <v>53</v>
      </c>
      <c r="B75" s="8" t="str">
        <f>CONCATENATE(C75," / ",E75," unidades")</f>
        <v>CAJA 10 Pack Servilleta / 300 unidades</v>
      </c>
      <c r="C75" s="82" t="s">
        <v>1588</v>
      </c>
      <c r="D75" s="61" t="s">
        <v>381</v>
      </c>
      <c r="E75" s="41">
        <v>300</v>
      </c>
      <c r="F75" s="62">
        <v>7311</v>
      </c>
      <c r="G75" s="62">
        <v>0</v>
      </c>
      <c r="H75" s="62">
        <f t="shared" si="1"/>
        <v>7311</v>
      </c>
      <c r="I75" s="62">
        <f t="shared" si="2"/>
        <v>1389.09</v>
      </c>
      <c r="J75" s="63">
        <v>0.24346999999999999</v>
      </c>
      <c r="K75" s="62">
        <f t="shared" si="3"/>
        <v>9663.8599923334168</v>
      </c>
      <c r="L75" s="62">
        <f t="shared" si="4"/>
        <v>1836.1333985433491</v>
      </c>
      <c r="M75" s="62">
        <f t="shared" si="15"/>
        <v>11499.993390876765</v>
      </c>
      <c r="N75" s="62">
        <f t="shared" si="6"/>
        <v>2352.8599923334168</v>
      </c>
      <c r="O75" s="61">
        <f t="shared" si="7"/>
        <v>9699.9933908767653</v>
      </c>
      <c r="P75" s="61">
        <f t="shared" si="8"/>
        <v>1512.6050420168067</v>
      </c>
      <c r="Q75" s="64">
        <f t="shared" si="9"/>
        <v>-3.8333833333333338</v>
      </c>
      <c r="R75" s="41">
        <v>1800</v>
      </c>
      <c r="S75" s="41">
        <v>996</v>
      </c>
      <c r="T75" s="74"/>
      <c r="U75" s="74"/>
      <c r="V75" s="75">
        <f>S75</f>
        <v>996</v>
      </c>
      <c r="W75" s="40">
        <f t="shared" si="12"/>
        <v>804</v>
      </c>
      <c r="X75" s="8">
        <f t="shared" si="37"/>
        <v>90</v>
      </c>
      <c r="Y75" s="76"/>
      <c r="Z75" s="8" t="str">
        <f t="shared" si="14"/>
        <v>CAJA 10 Pack Servilleta / 300 unidades</v>
      </c>
      <c r="AA75" s="31" t="s">
        <v>382</v>
      </c>
      <c r="AB75" s="31">
        <v>-10</v>
      </c>
    </row>
    <row r="76" spans="1:28" ht="13.2">
      <c r="A76" s="78" t="s">
        <v>139</v>
      </c>
      <c r="B76" s="8" t="str">
        <f t="shared" ref="B76:B80" si="39">CONCATENATE(C76," / ",E76," gramos")</f>
        <v>Castañas Cajú / 1000 gramos</v>
      </c>
      <c r="C76" s="31" t="s">
        <v>994</v>
      </c>
      <c r="D76" s="61" t="str">
        <f t="shared" ref="D76:D80" si="40">C76</f>
        <v>Castañas Cajú</v>
      </c>
      <c r="E76" s="41">
        <v>1000</v>
      </c>
      <c r="F76" s="62">
        <v>10500</v>
      </c>
      <c r="G76" s="62">
        <v>190.75630252100842</v>
      </c>
      <c r="H76" s="62">
        <f t="shared" si="1"/>
        <v>10690.756302521009</v>
      </c>
      <c r="I76" s="62">
        <f t="shared" si="2"/>
        <v>2031.2436974789919</v>
      </c>
      <c r="J76" s="63">
        <v>0.22896969696969693</v>
      </c>
      <c r="K76" s="62">
        <f t="shared" si="3"/>
        <v>13865.546218487396</v>
      </c>
      <c r="L76" s="62">
        <f t="shared" si="4"/>
        <v>2634.4537815126055</v>
      </c>
      <c r="M76" s="62">
        <f t="shared" si="15"/>
        <v>16500</v>
      </c>
      <c r="N76" s="62">
        <f t="shared" si="6"/>
        <v>3174.7899159663866</v>
      </c>
      <c r="O76" s="61">
        <f t="shared" si="7"/>
        <v>0</v>
      </c>
      <c r="P76" s="61">
        <f t="shared" si="8"/>
        <v>13865.546218487396</v>
      </c>
      <c r="Q76" s="64">
        <f t="shared" si="9"/>
        <v>0.22896969696969693</v>
      </c>
      <c r="R76" s="41">
        <v>16500</v>
      </c>
      <c r="S76" s="41">
        <v>12495</v>
      </c>
      <c r="T76" s="40">
        <f t="shared" ref="T76:T80" si="41">S76*E76/1000</f>
        <v>12495</v>
      </c>
      <c r="U76" s="40">
        <f>7+40+180</f>
        <v>227</v>
      </c>
      <c r="V76" s="40">
        <f t="shared" ref="V76:V111" si="42">T76+U76</f>
        <v>12722</v>
      </c>
      <c r="W76" s="40">
        <f t="shared" si="12"/>
        <v>3778</v>
      </c>
      <c r="X76" s="8">
        <f t="shared" si="37"/>
        <v>825</v>
      </c>
      <c r="Y76" s="76"/>
      <c r="Z76" s="8" t="str">
        <f t="shared" si="14"/>
        <v>Castañas Cajú / 1000 gramos</v>
      </c>
      <c r="AA76" s="8"/>
    </row>
    <row r="77" spans="1:28" ht="13.2">
      <c r="A77" s="78" t="s">
        <v>139</v>
      </c>
      <c r="B77" s="8" t="str">
        <f t="shared" si="39"/>
        <v>Castañas Cajú / 200 gramos</v>
      </c>
      <c r="C77" s="31" t="s">
        <v>994</v>
      </c>
      <c r="D77" s="61" t="str">
        <f t="shared" si="40"/>
        <v>Castañas Cajú</v>
      </c>
      <c r="E77" s="41">
        <v>200</v>
      </c>
      <c r="F77" s="62">
        <v>2100</v>
      </c>
      <c r="G77" s="62">
        <v>119.32773109243698</v>
      </c>
      <c r="H77" s="62">
        <f t="shared" si="1"/>
        <v>2219.3277310924368</v>
      </c>
      <c r="I77" s="62">
        <f t="shared" si="2"/>
        <v>421.67226890756302</v>
      </c>
      <c r="J77" s="63">
        <v>0.2232352941176472</v>
      </c>
      <c r="K77" s="62">
        <f t="shared" si="3"/>
        <v>2857.1428571428573</v>
      </c>
      <c r="L77" s="62">
        <f t="shared" si="4"/>
        <v>542.85714285714289</v>
      </c>
      <c r="M77" s="62">
        <f t="shared" si="15"/>
        <v>3400</v>
      </c>
      <c r="N77" s="62">
        <f t="shared" si="6"/>
        <v>637.81512605042053</v>
      </c>
      <c r="O77" s="61">
        <f t="shared" si="7"/>
        <v>0</v>
      </c>
      <c r="P77" s="61">
        <f t="shared" si="8"/>
        <v>2857.1428571428573</v>
      </c>
      <c r="Q77" s="64">
        <f t="shared" si="9"/>
        <v>0.2232352941176472</v>
      </c>
      <c r="R77" s="41">
        <v>3400</v>
      </c>
      <c r="S77" s="41">
        <v>12495</v>
      </c>
      <c r="T77" s="40">
        <f t="shared" si="41"/>
        <v>2499</v>
      </c>
      <c r="U77" s="40">
        <f t="shared" ref="U77:U78" si="43">7+40+95</f>
        <v>142</v>
      </c>
      <c r="V77" s="40">
        <f t="shared" si="42"/>
        <v>2641</v>
      </c>
      <c r="W77" s="40">
        <f t="shared" si="12"/>
        <v>759</v>
      </c>
      <c r="X77" s="8">
        <f t="shared" si="37"/>
        <v>170</v>
      </c>
      <c r="Y77" s="76"/>
      <c r="Z77" s="8" t="str">
        <f t="shared" si="14"/>
        <v>Castañas Cajú / 200 gramos</v>
      </c>
      <c r="AA77" s="8"/>
    </row>
    <row r="78" spans="1:28" ht="13.2">
      <c r="A78" s="78" t="s">
        <v>139</v>
      </c>
      <c r="B78" s="8" t="str">
        <f t="shared" si="39"/>
        <v>Castañas Cajú / 250 gramos</v>
      </c>
      <c r="C78" s="31" t="s">
        <v>994</v>
      </c>
      <c r="D78" s="61" t="str">
        <f t="shared" si="40"/>
        <v>Castañas Cajú</v>
      </c>
      <c r="E78" s="41">
        <v>250</v>
      </c>
      <c r="F78" s="62">
        <v>2625</v>
      </c>
      <c r="G78" s="62">
        <v>119.32773109243698</v>
      </c>
      <c r="H78" s="62">
        <f t="shared" si="1"/>
        <v>2744.3277310924368</v>
      </c>
      <c r="I78" s="62">
        <f t="shared" si="2"/>
        <v>521.42226890756297</v>
      </c>
      <c r="J78" s="63">
        <v>0.23158823529411776</v>
      </c>
      <c r="K78" s="62">
        <f t="shared" si="3"/>
        <v>3571.4285714285716</v>
      </c>
      <c r="L78" s="62">
        <f t="shared" si="4"/>
        <v>678.57142857142856</v>
      </c>
      <c r="M78" s="62">
        <f t="shared" si="15"/>
        <v>4250</v>
      </c>
      <c r="N78" s="62">
        <f t="shared" si="6"/>
        <v>827.10084033613475</v>
      </c>
      <c r="O78" s="61">
        <f t="shared" si="7"/>
        <v>0</v>
      </c>
      <c r="P78" s="61">
        <f t="shared" si="8"/>
        <v>3571.4285714285716</v>
      </c>
      <c r="Q78" s="64">
        <f t="shared" si="9"/>
        <v>0.23158823529411776</v>
      </c>
      <c r="R78" s="41">
        <v>4250</v>
      </c>
      <c r="S78" s="41">
        <v>12495</v>
      </c>
      <c r="T78" s="40">
        <f t="shared" si="41"/>
        <v>3123.75</v>
      </c>
      <c r="U78" s="40">
        <f t="shared" si="43"/>
        <v>142</v>
      </c>
      <c r="V78" s="40">
        <f t="shared" si="42"/>
        <v>3265.75</v>
      </c>
      <c r="W78" s="40">
        <f t="shared" si="12"/>
        <v>984.25</v>
      </c>
      <c r="X78" s="8">
        <f t="shared" si="37"/>
        <v>212.5</v>
      </c>
      <c r="Y78" s="76"/>
      <c r="Z78" s="8" t="str">
        <f t="shared" si="14"/>
        <v>Castañas Cajú / 250 gramos</v>
      </c>
      <c r="AA78" s="8"/>
    </row>
    <row r="79" spans="1:28" ht="13.2">
      <c r="A79" s="78" t="s">
        <v>139</v>
      </c>
      <c r="B79" s="8" t="str">
        <f t="shared" si="39"/>
        <v>Castañas Cajú / 40 gramos</v>
      </c>
      <c r="C79" s="60" t="s">
        <v>994</v>
      </c>
      <c r="D79" s="61" t="str">
        <f t="shared" si="40"/>
        <v>Castañas Cajú</v>
      </c>
      <c r="E79" s="41">
        <v>40</v>
      </c>
      <c r="F79" s="62">
        <v>420</v>
      </c>
      <c r="G79" s="62">
        <v>66.722689075630257</v>
      </c>
      <c r="H79" s="62">
        <f t="shared" si="1"/>
        <v>486.72268907563023</v>
      </c>
      <c r="I79" s="62">
        <f t="shared" si="2"/>
        <v>92.477310924369746</v>
      </c>
      <c r="J79" s="63">
        <v>0.42080000000000006</v>
      </c>
      <c r="K79" s="62">
        <f t="shared" si="3"/>
        <v>840.3361344537816</v>
      </c>
      <c r="L79" s="62">
        <f t="shared" si="4"/>
        <v>159.66386554621852</v>
      </c>
      <c r="M79" s="62">
        <f t="shared" si="15"/>
        <v>1000.0000000000001</v>
      </c>
      <c r="N79" s="62">
        <f t="shared" si="6"/>
        <v>353.61344537815137</v>
      </c>
      <c r="O79" s="61">
        <f t="shared" si="7"/>
        <v>0</v>
      </c>
      <c r="P79" s="61">
        <f t="shared" si="8"/>
        <v>840.3361344537816</v>
      </c>
      <c r="Q79" s="64">
        <f t="shared" si="9"/>
        <v>0.42080000000000006</v>
      </c>
      <c r="R79" s="65">
        <v>1000</v>
      </c>
      <c r="S79" s="41">
        <v>12495</v>
      </c>
      <c r="T79" s="40">
        <f t="shared" si="41"/>
        <v>499.8</v>
      </c>
      <c r="U79" s="12">
        <f>73+160/25</f>
        <v>79.400000000000006</v>
      </c>
      <c r="V79" s="40">
        <f t="shared" si="42"/>
        <v>579.20000000000005</v>
      </c>
      <c r="W79" s="40">
        <f t="shared" si="12"/>
        <v>420.79999999999995</v>
      </c>
      <c r="X79" s="8">
        <f t="shared" si="37"/>
        <v>50</v>
      </c>
      <c r="Y79" s="82" t="s">
        <v>1579</v>
      </c>
      <c r="Z79" s="8" t="str">
        <f t="shared" si="14"/>
        <v>Castañas Cajú / 40 gramos</v>
      </c>
      <c r="AA79" s="8"/>
    </row>
    <row r="80" spans="1:28" ht="13.2">
      <c r="A80" s="78" t="s">
        <v>139</v>
      </c>
      <c r="B80" s="8" t="str">
        <f t="shared" si="39"/>
        <v>Castañas Cajú / 500 gramos</v>
      </c>
      <c r="C80" s="60" t="s">
        <v>994</v>
      </c>
      <c r="D80" s="61" t="str">
        <f t="shared" si="40"/>
        <v>Castañas Cajú</v>
      </c>
      <c r="E80" s="41">
        <v>500</v>
      </c>
      <c r="F80" s="62">
        <v>5250</v>
      </c>
      <c r="G80" s="62">
        <v>119.32773109243698</v>
      </c>
      <c r="H80" s="62">
        <f t="shared" si="1"/>
        <v>5369.3277310924368</v>
      </c>
      <c r="I80" s="62">
        <f t="shared" si="2"/>
        <v>1020.172268907563</v>
      </c>
      <c r="J80" s="63">
        <v>0.24829411764705889</v>
      </c>
      <c r="K80" s="62">
        <f t="shared" si="3"/>
        <v>7142.8571428571431</v>
      </c>
      <c r="L80" s="62">
        <f t="shared" si="4"/>
        <v>1357.1428571428571</v>
      </c>
      <c r="M80" s="62">
        <f t="shared" si="15"/>
        <v>8500</v>
      </c>
      <c r="N80" s="62">
        <f t="shared" si="6"/>
        <v>1773.5294117647063</v>
      </c>
      <c r="O80" s="61">
        <f t="shared" si="7"/>
        <v>0</v>
      </c>
      <c r="P80" s="61">
        <f t="shared" si="8"/>
        <v>7142.8571428571431</v>
      </c>
      <c r="Q80" s="64">
        <f t="shared" si="9"/>
        <v>0.24829411764705889</v>
      </c>
      <c r="R80" s="65">
        <v>8500</v>
      </c>
      <c r="S80" s="41">
        <v>12495</v>
      </c>
      <c r="T80" s="40">
        <f t="shared" si="41"/>
        <v>6247.5</v>
      </c>
      <c r="U80" s="40">
        <f>7+40+95</f>
        <v>142</v>
      </c>
      <c r="V80" s="40">
        <f t="shared" si="42"/>
        <v>6389.5</v>
      </c>
      <c r="W80" s="40">
        <f t="shared" si="12"/>
        <v>2110.5</v>
      </c>
      <c r="X80" s="8">
        <f t="shared" si="37"/>
        <v>425</v>
      </c>
      <c r="Y80" s="76"/>
      <c r="Z80" s="8" t="str">
        <f t="shared" si="14"/>
        <v>Castañas Cajú / 500 gramos</v>
      </c>
      <c r="AA80" s="8"/>
    </row>
    <row r="81" spans="1:28" ht="13.2">
      <c r="A81" s="59" t="s">
        <v>47</v>
      </c>
      <c r="B81" s="8" t="str">
        <f t="shared" ref="B81:B84" si="44">CONCATENATE(C81,E81)</f>
        <v>Cera Amarilla Brillina 340 cc</v>
      </c>
      <c r="C81" s="67" t="s">
        <v>770</v>
      </c>
      <c r="D81" s="41" t="s">
        <v>495</v>
      </c>
      <c r="E81" s="40"/>
      <c r="F81" s="62">
        <v>975</v>
      </c>
      <c r="G81" s="62">
        <v>0</v>
      </c>
      <c r="H81" s="62">
        <f t="shared" si="1"/>
        <v>975</v>
      </c>
      <c r="I81" s="62">
        <f t="shared" si="2"/>
        <v>185.25</v>
      </c>
      <c r="J81" s="63">
        <v>0.27474999999999999</v>
      </c>
      <c r="K81" s="62">
        <f t="shared" si="3"/>
        <v>1344.3640124095141</v>
      </c>
      <c r="L81" s="62">
        <f t="shared" si="4"/>
        <v>255.42916235780768</v>
      </c>
      <c r="M81" s="62">
        <f t="shared" si="15"/>
        <v>1599.7931747673217</v>
      </c>
      <c r="N81" s="62">
        <f t="shared" si="6"/>
        <v>369.36401240951409</v>
      </c>
      <c r="O81" s="61">
        <f t="shared" si="7"/>
        <v>-800.20682523267828</v>
      </c>
      <c r="P81" s="61">
        <f t="shared" si="8"/>
        <v>2016.8067226890757</v>
      </c>
      <c r="Q81" s="64">
        <f t="shared" si="9"/>
        <v>0.51656250000000004</v>
      </c>
      <c r="R81" s="65">
        <v>2400</v>
      </c>
      <c r="S81" s="41">
        <v>1258</v>
      </c>
      <c r="T81" s="41">
        <f t="shared" ref="T81:T84" si="45">S81</f>
        <v>1258</v>
      </c>
      <c r="U81" s="41">
        <v>0</v>
      </c>
      <c r="V81" s="40">
        <f t="shared" si="42"/>
        <v>1258</v>
      </c>
      <c r="W81" s="40">
        <f t="shared" si="12"/>
        <v>1142</v>
      </c>
      <c r="X81" s="8">
        <f t="shared" si="37"/>
        <v>120</v>
      </c>
      <c r="Y81" s="26"/>
      <c r="Z81" s="8" t="str">
        <f t="shared" si="14"/>
        <v>Cera Amarilla Brillina 340 cc</v>
      </c>
      <c r="AA81" s="31" t="s">
        <v>1056</v>
      </c>
      <c r="AB81" s="31">
        <v>-1</v>
      </c>
    </row>
    <row r="82" spans="1:28" ht="13.2">
      <c r="A82" s="59" t="s">
        <v>47</v>
      </c>
      <c r="B82" s="8" t="str">
        <f t="shared" si="44"/>
        <v>Cera con Tierra Color 340 cc</v>
      </c>
      <c r="C82" s="67" t="s">
        <v>171</v>
      </c>
      <c r="D82" s="41" t="s">
        <v>495</v>
      </c>
      <c r="E82" s="40"/>
      <c r="F82" s="62">
        <v>975</v>
      </c>
      <c r="G82" s="62">
        <v>0</v>
      </c>
      <c r="H82" s="62">
        <f t="shared" si="1"/>
        <v>975</v>
      </c>
      <c r="I82" s="62">
        <f t="shared" si="2"/>
        <v>185.25</v>
      </c>
      <c r="J82" s="63">
        <v>0.27474999999999999</v>
      </c>
      <c r="K82" s="62">
        <f t="shared" si="3"/>
        <v>1344.3640124095141</v>
      </c>
      <c r="L82" s="62">
        <f t="shared" si="4"/>
        <v>255.42916235780768</v>
      </c>
      <c r="M82" s="62">
        <f t="shared" si="15"/>
        <v>1599.7931747673217</v>
      </c>
      <c r="N82" s="62">
        <f t="shared" si="6"/>
        <v>369.36401240951409</v>
      </c>
      <c r="O82" s="61">
        <f t="shared" si="7"/>
        <v>-800.20682523267828</v>
      </c>
      <c r="P82" s="61">
        <f t="shared" si="8"/>
        <v>2016.8067226890757</v>
      </c>
      <c r="Q82" s="64">
        <f t="shared" si="9"/>
        <v>0.51656250000000004</v>
      </c>
      <c r="R82" s="65">
        <v>2400</v>
      </c>
      <c r="S82" s="41">
        <v>1258</v>
      </c>
      <c r="T82" s="41">
        <f t="shared" si="45"/>
        <v>1258</v>
      </c>
      <c r="U82" s="41">
        <v>0</v>
      </c>
      <c r="V82" s="40">
        <f t="shared" si="42"/>
        <v>1258</v>
      </c>
      <c r="W82" s="40">
        <f t="shared" si="12"/>
        <v>1142</v>
      </c>
      <c r="X82" s="8">
        <f t="shared" si="37"/>
        <v>120</v>
      </c>
      <c r="Y82" s="26"/>
      <c r="Z82" s="8" t="str">
        <f t="shared" si="14"/>
        <v>Cera con Tierra Color 340 cc</v>
      </c>
      <c r="AA82" s="31" t="s">
        <v>1050</v>
      </c>
      <c r="AB82" s="31">
        <v>-1</v>
      </c>
    </row>
    <row r="83" spans="1:28" ht="13.2">
      <c r="A83" s="59" t="s">
        <v>47</v>
      </c>
      <c r="B83" s="8" t="str">
        <f t="shared" si="44"/>
        <v>Cera Incolora Brillina 340 cc</v>
      </c>
      <c r="C83" s="23" t="s">
        <v>494</v>
      </c>
      <c r="D83" s="41" t="s">
        <v>495</v>
      </c>
      <c r="E83" s="40"/>
      <c r="F83" s="62">
        <v>975</v>
      </c>
      <c r="G83" s="62">
        <v>0</v>
      </c>
      <c r="H83" s="62">
        <f t="shared" si="1"/>
        <v>975</v>
      </c>
      <c r="I83" s="62">
        <f t="shared" si="2"/>
        <v>185.25</v>
      </c>
      <c r="J83" s="63">
        <v>0.27474999999999999</v>
      </c>
      <c r="K83" s="62">
        <f t="shared" si="3"/>
        <v>1344.3640124095141</v>
      </c>
      <c r="L83" s="62">
        <f t="shared" si="4"/>
        <v>255.42916235780768</v>
      </c>
      <c r="M83" s="62">
        <f t="shared" si="15"/>
        <v>1599.7931747673217</v>
      </c>
      <c r="N83" s="62">
        <f t="shared" si="6"/>
        <v>369.36401240951409</v>
      </c>
      <c r="O83" s="61">
        <f t="shared" si="7"/>
        <v>-800.20682523267828</v>
      </c>
      <c r="P83" s="61">
        <f t="shared" si="8"/>
        <v>2016.8067226890757</v>
      </c>
      <c r="Q83" s="64">
        <f t="shared" si="9"/>
        <v>0.51656250000000004</v>
      </c>
      <c r="R83" s="41">
        <v>2400</v>
      </c>
      <c r="S83" s="41">
        <v>1258</v>
      </c>
      <c r="T83" s="41">
        <f t="shared" si="45"/>
        <v>1258</v>
      </c>
      <c r="U83" s="41">
        <v>0</v>
      </c>
      <c r="V83" s="40">
        <f t="shared" si="42"/>
        <v>1258</v>
      </c>
      <c r="W83" s="40">
        <f t="shared" si="12"/>
        <v>1142</v>
      </c>
      <c r="X83" s="8">
        <f t="shared" si="37"/>
        <v>120</v>
      </c>
      <c r="Y83" s="26"/>
      <c r="Z83" s="8" t="str">
        <f t="shared" si="14"/>
        <v>Cera Incolora Brillina 340 cc</v>
      </c>
      <c r="AA83" s="31" t="s">
        <v>496</v>
      </c>
      <c r="AB83" s="31">
        <v>-1</v>
      </c>
    </row>
    <row r="84" spans="1:28" ht="13.2">
      <c r="A84" s="59" t="s">
        <v>47</v>
      </c>
      <c r="B84" s="8" t="str">
        <f t="shared" si="44"/>
        <v>Cera Roja Brillina 340 cc</v>
      </c>
      <c r="C84" s="23" t="s">
        <v>264</v>
      </c>
      <c r="D84" s="41" t="s">
        <v>495</v>
      </c>
      <c r="E84" s="40"/>
      <c r="F84" s="62">
        <v>975</v>
      </c>
      <c r="G84" s="62">
        <v>0</v>
      </c>
      <c r="H84" s="62">
        <f t="shared" si="1"/>
        <v>975</v>
      </c>
      <c r="I84" s="62">
        <f t="shared" si="2"/>
        <v>185.25</v>
      </c>
      <c r="J84" s="63">
        <v>0.27474999999999999</v>
      </c>
      <c r="K84" s="62">
        <f t="shared" si="3"/>
        <v>1344.3640124095141</v>
      </c>
      <c r="L84" s="62">
        <f t="shared" si="4"/>
        <v>255.42916235780768</v>
      </c>
      <c r="M84" s="62">
        <f t="shared" si="15"/>
        <v>1599.7931747673217</v>
      </c>
      <c r="N84" s="62">
        <f t="shared" si="6"/>
        <v>369.36401240951409</v>
      </c>
      <c r="O84" s="61">
        <f t="shared" si="7"/>
        <v>-800.20682523267828</v>
      </c>
      <c r="P84" s="61">
        <f t="shared" si="8"/>
        <v>2016.8067226890757</v>
      </c>
      <c r="Q84" s="64">
        <f t="shared" si="9"/>
        <v>0.51656250000000004</v>
      </c>
      <c r="R84" s="41">
        <v>2400</v>
      </c>
      <c r="S84" s="41">
        <v>1258</v>
      </c>
      <c r="T84" s="41">
        <f t="shared" si="45"/>
        <v>1258</v>
      </c>
      <c r="U84" s="41">
        <v>0</v>
      </c>
      <c r="V84" s="40">
        <f t="shared" si="42"/>
        <v>1258</v>
      </c>
      <c r="W84" s="40">
        <f t="shared" si="12"/>
        <v>1142</v>
      </c>
      <c r="X84" s="8">
        <f t="shared" si="37"/>
        <v>120</v>
      </c>
      <c r="Y84" s="26"/>
      <c r="Z84" s="8" t="str">
        <f t="shared" si="14"/>
        <v>Cera Roja Brillina 340 cc</v>
      </c>
      <c r="AA84" s="31" t="s">
        <v>563</v>
      </c>
      <c r="AB84" s="31">
        <v>-1</v>
      </c>
    </row>
    <row r="85" spans="1:28" ht="13.2">
      <c r="A85" s="59" t="s">
        <v>947</v>
      </c>
      <c r="B85" s="8" t="str">
        <f t="shared" ref="B85:B95" si="46">CONCATENATE(C85," / ",E85," gramos / $",M85)</f>
        <v>Chocolates / 250 gramos / $1400</v>
      </c>
      <c r="C85" s="31" t="s">
        <v>1006</v>
      </c>
      <c r="D85" s="61" t="str">
        <f t="shared" ref="D85:D95" si="47">C85</f>
        <v>Chocolates</v>
      </c>
      <c r="E85" s="41">
        <v>250</v>
      </c>
      <c r="F85" s="62">
        <v>840.3361344537816</v>
      </c>
      <c r="G85" s="62">
        <v>119.32773109243698</v>
      </c>
      <c r="H85" s="62">
        <f t="shared" si="1"/>
        <v>959.66386554621863</v>
      </c>
      <c r="I85" s="62">
        <f t="shared" si="2"/>
        <v>182.33613445378154</v>
      </c>
      <c r="J85" s="63">
        <v>0.18428571428571416</v>
      </c>
      <c r="K85" s="62">
        <f t="shared" si="3"/>
        <v>1176.4705882352941</v>
      </c>
      <c r="L85" s="62">
        <f t="shared" si="4"/>
        <v>223.52941176470588</v>
      </c>
      <c r="M85" s="62">
        <f t="shared" si="15"/>
        <v>1400</v>
      </c>
      <c r="N85" s="62">
        <f t="shared" si="6"/>
        <v>216.80672268907551</v>
      </c>
      <c r="O85" s="61">
        <f t="shared" si="7"/>
        <v>0</v>
      </c>
      <c r="P85" s="61">
        <f t="shared" si="8"/>
        <v>1176.4705882352941</v>
      </c>
      <c r="Q85" s="64">
        <f t="shared" si="9"/>
        <v>0.18428571428571416</v>
      </c>
      <c r="R85" s="41">
        <v>1400</v>
      </c>
      <c r="S85" s="41">
        <v>4000</v>
      </c>
      <c r="T85" s="40">
        <f t="shared" ref="T85:T95" si="48">S85*E85/1000</f>
        <v>1000</v>
      </c>
      <c r="U85" s="40">
        <f>7+40+95</f>
        <v>142</v>
      </c>
      <c r="V85" s="40">
        <f t="shared" si="42"/>
        <v>1142</v>
      </c>
      <c r="W85" s="40">
        <f t="shared" si="12"/>
        <v>258</v>
      </c>
      <c r="X85" s="8">
        <f t="shared" si="37"/>
        <v>70</v>
      </c>
      <c r="Y85" s="76"/>
      <c r="Z85" s="8" t="str">
        <f t="shared" si="14"/>
        <v>Chocolates / 250 gramos / $1400</v>
      </c>
      <c r="AA85" s="8"/>
    </row>
    <row r="86" spans="1:28" ht="13.2">
      <c r="A86" s="59" t="s">
        <v>947</v>
      </c>
      <c r="B86" s="8" t="str">
        <f t="shared" si="46"/>
        <v>Chocolates / 45 gramos / $500</v>
      </c>
      <c r="C86" s="60" t="s">
        <v>1006</v>
      </c>
      <c r="D86" s="61" t="str">
        <f t="shared" si="47"/>
        <v>Chocolates</v>
      </c>
      <c r="E86" s="41">
        <v>45</v>
      </c>
      <c r="F86" s="62">
        <v>151.26050420168067</v>
      </c>
      <c r="G86" s="62">
        <v>66.722689075630257</v>
      </c>
      <c r="H86" s="62">
        <f t="shared" si="1"/>
        <v>217.98319327731093</v>
      </c>
      <c r="I86" s="62">
        <f t="shared" si="2"/>
        <v>41.416806722689074</v>
      </c>
      <c r="J86" s="63">
        <v>0.48120000000000007</v>
      </c>
      <c r="K86" s="62">
        <f t="shared" si="3"/>
        <v>420.16806722689086</v>
      </c>
      <c r="L86" s="62">
        <f t="shared" si="4"/>
        <v>79.831932773109259</v>
      </c>
      <c r="M86" s="62">
        <f t="shared" si="15"/>
        <v>500.00000000000011</v>
      </c>
      <c r="N86" s="62">
        <f t="shared" si="6"/>
        <v>202.18487394957992</v>
      </c>
      <c r="O86" s="61">
        <f t="shared" si="7"/>
        <v>0</v>
      </c>
      <c r="P86" s="61">
        <f t="shared" si="8"/>
        <v>420.1680672268908</v>
      </c>
      <c r="Q86" s="64">
        <f t="shared" si="9"/>
        <v>0.48120000000000007</v>
      </c>
      <c r="R86" s="65">
        <v>500</v>
      </c>
      <c r="S86" s="41">
        <v>4000</v>
      </c>
      <c r="T86" s="40">
        <f t="shared" si="48"/>
        <v>180</v>
      </c>
      <c r="U86" s="12">
        <f t="shared" ref="U86:U87" si="49">73+160/25</f>
        <v>79.400000000000006</v>
      </c>
      <c r="V86" s="40">
        <f t="shared" si="42"/>
        <v>259.39999999999998</v>
      </c>
      <c r="W86" s="40">
        <f t="shared" si="12"/>
        <v>240.60000000000002</v>
      </c>
      <c r="X86" s="8">
        <f t="shared" si="37"/>
        <v>25</v>
      </c>
      <c r="Y86" s="76"/>
      <c r="Z86" s="8" t="str">
        <f t="shared" si="14"/>
        <v>Chocolates / 45 gramos / $500</v>
      </c>
      <c r="AA86" s="8"/>
    </row>
    <row r="87" spans="1:28" ht="13.2">
      <c r="A87" s="59" t="s">
        <v>947</v>
      </c>
      <c r="B87" s="8" t="str">
        <f t="shared" si="46"/>
        <v>Cholitos / 178 gramos / $1000</v>
      </c>
      <c r="C87" s="60" t="s">
        <v>957</v>
      </c>
      <c r="D87" s="61" t="str">
        <f t="shared" si="47"/>
        <v>Cholitos</v>
      </c>
      <c r="E87" s="41">
        <v>178</v>
      </c>
      <c r="F87" s="62">
        <v>478.65546218487401</v>
      </c>
      <c r="G87" s="62">
        <v>66.722689075630257</v>
      </c>
      <c r="H87" s="62">
        <f t="shared" si="1"/>
        <v>545.3781512605043</v>
      </c>
      <c r="I87" s="62">
        <f t="shared" si="2"/>
        <v>103.62184873949582</v>
      </c>
      <c r="J87" s="63">
        <v>0.35099999999999998</v>
      </c>
      <c r="K87" s="62">
        <f t="shared" si="3"/>
        <v>840.3361344537816</v>
      </c>
      <c r="L87" s="62">
        <f t="shared" si="4"/>
        <v>159.66386554621852</v>
      </c>
      <c r="M87" s="62">
        <f t="shared" si="15"/>
        <v>1000.0000000000001</v>
      </c>
      <c r="N87" s="62">
        <f t="shared" si="6"/>
        <v>294.9579831932773</v>
      </c>
      <c r="O87" s="61">
        <f t="shared" si="7"/>
        <v>0</v>
      </c>
      <c r="P87" s="61">
        <f t="shared" si="8"/>
        <v>840.3361344537816</v>
      </c>
      <c r="Q87" s="64">
        <f t="shared" si="9"/>
        <v>0.35099999999999998</v>
      </c>
      <c r="R87" s="65">
        <v>1000</v>
      </c>
      <c r="S87" s="41">
        <v>3200</v>
      </c>
      <c r="T87" s="40">
        <f t="shared" si="48"/>
        <v>569.6</v>
      </c>
      <c r="U87" s="12">
        <f t="shared" si="49"/>
        <v>79.400000000000006</v>
      </c>
      <c r="V87" s="40">
        <f t="shared" si="42"/>
        <v>649</v>
      </c>
      <c r="W87" s="40">
        <f t="shared" si="12"/>
        <v>351</v>
      </c>
      <c r="X87" s="8">
        <f t="shared" si="37"/>
        <v>50</v>
      </c>
      <c r="Y87" s="82" t="s">
        <v>1579</v>
      </c>
      <c r="Z87" s="8" t="str">
        <f t="shared" si="14"/>
        <v>Cholitos / 178 gramos / $1000</v>
      </c>
      <c r="AA87" s="8"/>
    </row>
    <row r="88" spans="1:28" ht="13.2">
      <c r="A88" s="59" t="s">
        <v>947</v>
      </c>
      <c r="B88" s="8" t="str">
        <f t="shared" si="46"/>
        <v>Cholitos / 250 gramos / $1400</v>
      </c>
      <c r="C88" s="60" t="s">
        <v>957</v>
      </c>
      <c r="D88" s="61" t="str">
        <f t="shared" si="47"/>
        <v>Cholitos</v>
      </c>
      <c r="E88" s="41">
        <v>250</v>
      </c>
      <c r="F88" s="62">
        <v>682.77310924369749</v>
      </c>
      <c r="G88" s="62">
        <v>119.32773109243698</v>
      </c>
      <c r="H88" s="62">
        <f t="shared" si="1"/>
        <v>802.10084033613452</v>
      </c>
      <c r="I88" s="62">
        <f t="shared" si="2"/>
        <v>152.39915966386556</v>
      </c>
      <c r="J88" s="63">
        <v>0.31821428571428567</v>
      </c>
      <c r="K88" s="62">
        <f t="shared" si="3"/>
        <v>1176.4705882352941</v>
      </c>
      <c r="L88" s="62">
        <f t="shared" si="4"/>
        <v>223.52941176470588</v>
      </c>
      <c r="M88" s="62">
        <f t="shared" si="15"/>
        <v>1400</v>
      </c>
      <c r="N88" s="62">
        <f t="shared" si="6"/>
        <v>374.36974789915962</v>
      </c>
      <c r="O88" s="61">
        <f t="shared" si="7"/>
        <v>0</v>
      </c>
      <c r="P88" s="61">
        <f t="shared" si="8"/>
        <v>1176.4705882352941</v>
      </c>
      <c r="Q88" s="64">
        <f t="shared" si="9"/>
        <v>0.31821428571428567</v>
      </c>
      <c r="R88" s="65">
        <v>1400</v>
      </c>
      <c r="S88" s="41">
        <v>3250</v>
      </c>
      <c r="T88" s="40">
        <f t="shared" si="48"/>
        <v>812.5</v>
      </c>
      <c r="U88" s="12">
        <f>7+40+95</f>
        <v>142</v>
      </c>
      <c r="V88" s="40">
        <f t="shared" si="42"/>
        <v>954.5</v>
      </c>
      <c r="W88" s="40">
        <f t="shared" si="12"/>
        <v>445.5</v>
      </c>
      <c r="X88" s="8">
        <f t="shared" si="37"/>
        <v>70</v>
      </c>
      <c r="Y88" s="82"/>
      <c r="Z88" s="8" t="str">
        <f t="shared" si="14"/>
        <v>Cholitos / 250 gramos / $1400</v>
      </c>
      <c r="AA88" s="8"/>
    </row>
    <row r="89" spans="1:28" ht="13.2">
      <c r="A89" s="59" t="s">
        <v>947</v>
      </c>
      <c r="B89" s="8" t="str">
        <f t="shared" si="46"/>
        <v>Cholitos / 45 gramos / $500</v>
      </c>
      <c r="C89" s="60" t="s">
        <v>957</v>
      </c>
      <c r="D89" s="61" t="str">
        <f t="shared" si="47"/>
        <v>Cholitos</v>
      </c>
      <c r="E89" s="41">
        <v>45</v>
      </c>
      <c r="F89" s="62">
        <v>122.89915966386555</v>
      </c>
      <c r="G89" s="62">
        <v>66.722689075630257</v>
      </c>
      <c r="H89" s="62">
        <f t="shared" si="1"/>
        <v>189.62184873949582</v>
      </c>
      <c r="I89" s="62">
        <f t="shared" si="2"/>
        <v>36.028151260504202</v>
      </c>
      <c r="J89" s="63">
        <v>0.54869999999999997</v>
      </c>
      <c r="K89" s="62">
        <f t="shared" si="3"/>
        <v>420.16806722689074</v>
      </c>
      <c r="L89" s="62">
        <f t="shared" si="4"/>
        <v>79.831932773109244</v>
      </c>
      <c r="M89" s="62">
        <f t="shared" si="15"/>
        <v>500</v>
      </c>
      <c r="N89" s="62">
        <f t="shared" si="6"/>
        <v>230.54621848739492</v>
      </c>
      <c r="O89" s="61">
        <f t="shared" si="7"/>
        <v>0</v>
      </c>
      <c r="P89" s="61">
        <f t="shared" si="8"/>
        <v>420.1680672268908</v>
      </c>
      <c r="Q89" s="64">
        <f t="shared" si="9"/>
        <v>0.54869999999999997</v>
      </c>
      <c r="R89" s="65">
        <v>500</v>
      </c>
      <c r="S89" s="41">
        <v>3250</v>
      </c>
      <c r="T89" s="40">
        <f t="shared" si="48"/>
        <v>146.25</v>
      </c>
      <c r="U89" s="12">
        <f>73+160/25</f>
        <v>79.400000000000006</v>
      </c>
      <c r="V89" s="40">
        <f t="shared" si="42"/>
        <v>225.65</v>
      </c>
      <c r="W89" s="40">
        <f t="shared" si="12"/>
        <v>274.35000000000002</v>
      </c>
      <c r="X89" s="8">
        <f t="shared" si="37"/>
        <v>25</v>
      </c>
      <c r="Y89" s="82" t="s">
        <v>1579</v>
      </c>
      <c r="Z89" s="8" t="str">
        <f t="shared" si="14"/>
        <v>Cholitos / 45 gramos / $500</v>
      </c>
      <c r="AA89" s="8"/>
    </row>
    <row r="90" spans="1:28" ht="13.2">
      <c r="A90" s="59" t="s">
        <v>947</v>
      </c>
      <c r="B90" s="8" t="str">
        <f t="shared" si="46"/>
        <v>Cholitos / 500 gramos / $2800</v>
      </c>
      <c r="C90" s="60" t="s">
        <v>957</v>
      </c>
      <c r="D90" s="61" t="str">
        <f t="shared" si="47"/>
        <v>Cholitos</v>
      </c>
      <c r="E90" s="41">
        <v>500</v>
      </c>
      <c r="F90" s="62">
        <v>1344.5378151260504</v>
      </c>
      <c r="G90" s="62">
        <v>119.32773109243698</v>
      </c>
      <c r="H90" s="62">
        <f t="shared" si="1"/>
        <v>1463.8655462184875</v>
      </c>
      <c r="I90" s="62">
        <f t="shared" si="2"/>
        <v>278.1344537815126</v>
      </c>
      <c r="J90" s="63">
        <v>0.37785714285714289</v>
      </c>
      <c r="K90" s="62">
        <f t="shared" si="3"/>
        <v>2352.9411764705883</v>
      </c>
      <c r="L90" s="62">
        <f t="shared" si="4"/>
        <v>447.05882352941177</v>
      </c>
      <c r="M90" s="62">
        <f t="shared" si="15"/>
        <v>2800</v>
      </c>
      <c r="N90" s="62">
        <f t="shared" si="6"/>
        <v>889.07563025210084</v>
      </c>
      <c r="O90" s="61">
        <f t="shared" si="7"/>
        <v>0</v>
      </c>
      <c r="P90" s="61">
        <f t="shared" si="8"/>
        <v>2352.9411764705883</v>
      </c>
      <c r="Q90" s="64">
        <f t="shared" si="9"/>
        <v>0.37785714285714289</v>
      </c>
      <c r="R90" s="65">
        <v>2800</v>
      </c>
      <c r="S90" s="41">
        <v>3200</v>
      </c>
      <c r="T90" s="40">
        <f t="shared" si="48"/>
        <v>1600</v>
      </c>
      <c r="U90" s="12">
        <f>7+40+95</f>
        <v>142</v>
      </c>
      <c r="V90" s="40">
        <f t="shared" si="42"/>
        <v>1742</v>
      </c>
      <c r="W90" s="40">
        <f t="shared" si="12"/>
        <v>1058</v>
      </c>
      <c r="X90" s="8">
        <f t="shared" si="37"/>
        <v>140</v>
      </c>
      <c r="Y90" s="82"/>
      <c r="Z90" s="8" t="str">
        <f t="shared" si="14"/>
        <v>Cholitos / 500 gramos / $2800</v>
      </c>
      <c r="AA90" s="8"/>
    </row>
    <row r="91" spans="1:28" ht="13.2">
      <c r="A91" s="59" t="s">
        <v>947</v>
      </c>
      <c r="B91" s="8" t="str">
        <f t="shared" si="46"/>
        <v>Cholitos / 528 gramos / $2000</v>
      </c>
      <c r="C91" s="60" t="s">
        <v>957</v>
      </c>
      <c r="D91" s="61" t="str">
        <f t="shared" si="47"/>
        <v>Cholitos</v>
      </c>
      <c r="E91" s="41">
        <f>264*2</f>
        <v>528</v>
      </c>
      <c r="F91" s="62">
        <v>1442.0168067226891</v>
      </c>
      <c r="G91" s="62">
        <v>66.722689075630257</v>
      </c>
      <c r="H91" s="62">
        <f t="shared" si="1"/>
        <v>1508.7394957983195</v>
      </c>
      <c r="I91" s="62">
        <f t="shared" si="2"/>
        <v>286.66050420168068</v>
      </c>
      <c r="J91" s="63">
        <v>0.10230000000000006</v>
      </c>
      <c r="K91" s="62">
        <f t="shared" si="3"/>
        <v>1680.6722689075632</v>
      </c>
      <c r="L91" s="62">
        <f t="shared" si="4"/>
        <v>319.32773109243703</v>
      </c>
      <c r="M91" s="62">
        <f t="shared" si="15"/>
        <v>2000.0000000000002</v>
      </c>
      <c r="N91" s="62">
        <f t="shared" si="6"/>
        <v>171.93277310924373</v>
      </c>
      <c r="O91" s="61">
        <f t="shared" si="7"/>
        <v>0</v>
      </c>
      <c r="P91" s="61">
        <f t="shared" si="8"/>
        <v>1680.6722689075632</v>
      </c>
      <c r="Q91" s="64">
        <f t="shared" si="9"/>
        <v>0.10230000000000006</v>
      </c>
      <c r="R91" s="65">
        <v>2000</v>
      </c>
      <c r="S91" s="41">
        <v>3250</v>
      </c>
      <c r="T91" s="40">
        <f t="shared" si="48"/>
        <v>1716</v>
      </c>
      <c r="U91" s="12">
        <f>73+160/25</f>
        <v>79.400000000000006</v>
      </c>
      <c r="V91" s="40">
        <f t="shared" si="42"/>
        <v>1795.4</v>
      </c>
      <c r="W91" s="40">
        <f t="shared" si="12"/>
        <v>204.59999999999991</v>
      </c>
      <c r="X91" s="8">
        <f t="shared" si="37"/>
        <v>100</v>
      </c>
      <c r="Y91" s="82" t="s">
        <v>1579</v>
      </c>
      <c r="Z91" s="8" t="str">
        <f t="shared" si="14"/>
        <v>Cholitos / 528 gramos / $2000</v>
      </c>
      <c r="AA91" s="8"/>
    </row>
    <row r="92" spans="1:28" ht="13.2">
      <c r="A92" s="59" t="s">
        <v>947</v>
      </c>
      <c r="B92" s="8" t="str">
        <f t="shared" si="46"/>
        <v>Chubis / 125 gramos / $1000</v>
      </c>
      <c r="C92" s="60" t="s">
        <v>948</v>
      </c>
      <c r="D92" s="61" t="str">
        <f t="shared" si="47"/>
        <v>Chubis</v>
      </c>
      <c r="E92" s="41">
        <v>125</v>
      </c>
      <c r="F92" s="62">
        <v>777.31092436974791</v>
      </c>
      <c r="G92" s="62">
        <v>119.32773109243698</v>
      </c>
      <c r="H92" s="62">
        <f t="shared" si="1"/>
        <v>896.63865546218494</v>
      </c>
      <c r="I92" s="62">
        <f t="shared" si="2"/>
        <v>170.36134453781514</v>
      </c>
      <c r="J92" s="63">
        <v>-6.6999999999999948E-2</v>
      </c>
      <c r="K92" s="62">
        <f t="shared" si="3"/>
        <v>840.3361344537816</v>
      </c>
      <c r="L92" s="62">
        <f t="shared" si="4"/>
        <v>159.66386554621852</v>
      </c>
      <c r="M92" s="62">
        <f t="shared" si="15"/>
        <v>1000.0000000000001</v>
      </c>
      <c r="N92" s="62">
        <f t="shared" si="6"/>
        <v>-56.302521008403346</v>
      </c>
      <c r="O92" s="61">
        <f t="shared" si="7"/>
        <v>0</v>
      </c>
      <c r="P92" s="61">
        <f t="shared" si="8"/>
        <v>840.3361344537816</v>
      </c>
      <c r="Q92" s="64">
        <f t="shared" si="9"/>
        <v>-6.6999999999999948E-2</v>
      </c>
      <c r="R92" s="65">
        <v>1000</v>
      </c>
      <c r="S92" s="41">
        <v>7400</v>
      </c>
      <c r="T92" s="40">
        <f t="shared" si="48"/>
        <v>925</v>
      </c>
      <c r="U92" s="40">
        <f t="shared" ref="U92:U93" si="50">7+40+95</f>
        <v>142</v>
      </c>
      <c r="V92" s="40">
        <f t="shared" si="42"/>
        <v>1067</v>
      </c>
      <c r="W92" s="40">
        <f t="shared" si="12"/>
        <v>-67</v>
      </c>
      <c r="X92" s="8">
        <f t="shared" si="37"/>
        <v>50</v>
      </c>
      <c r="Y92" s="76"/>
      <c r="Z92" s="8" t="str">
        <f t="shared" si="14"/>
        <v>Chubis / 125 gramos / $1000</v>
      </c>
      <c r="AA92" s="8"/>
    </row>
    <row r="93" spans="1:28" ht="13.2">
      <c r="A93" s="59" t="s">
        <v>947</v>
      </c>
      <c r="B93" s="8" t="str">
        <f t="shared" si="46"/>
        <v>Chubis / 250 gramos / $2700</v>
      </c>
      <c r="C93" s="60" t="s">
        <v>948</v>
      </c>
      <c r="D93" s="61" t="str">
        <f t="shared" si="47"/>
        <v>Chubis</v>
      </c>
      <c r="E93" s="41">
        <v>250</v>
      </c>
      <c r="F93" s="62">
        <v>1554.6218487394958</v>
      </c>
      <c r="G93" s="62">
        <v>119.32773109243698</v>
      </c>
      <c r="H93" s="62">
        <f t="shared" si="1"/>
        <v>1673.9495798319329</v>
      </c>
      <c r="I93" s="62">
        <f t="shared" si="2"/>
        <v>318.05042016806726</v>
      </c>
      <c r="J93" s="63">
        <v>0.26222222222222213</v>
      </c>
      <c r="K93" s="62">
        <f t="shared" si="3"/>
        <v>2268.90756302521</v>
      </c>
      <c r="L93" s="62">
        <f t="shared" si="4"/>
        <v>431.0924369747899</v>
      </c>
      <c r="M93" s="62">
        <f t="shared" si="15"/>
        <v>2700</v>
      </c>
      <c r="N93" s="62">
        <f t="shared" si="6"/>
        <v>594.95798319327719</v>
      </c>
      <c r="O93" s="61">
        <f t="shared" si="7"/>
        <v>0</v>
      </c>
      <c r="P93" s="61">
        <f t="shared" si="8"/>
        <v>2268.90756302521</v>
      </c>
      <c r="Q93" s="64">
        <f t="shared" si="9"/>
        <v>0.26222222222222213</v>
      </c>
      <c r="R93" s="65">
        <v>2700</v>
      </c>
      <c r="S93" s="41">
        <v>7400</v>
      </c>
      <c r="T93" s="40">
        <f t="shared" si="48"/>
        <v>1850</v>
      </c>
      <c r="U93" s="40">
        <f t="shared" si="50"/>
        <v>142</v>
      </c>
      <c r="V93" s="40">
        <f t="shared" si="42"/>
        <v>1992</v>
      </c>
      <c r="W93" s="40">
        <f t="shared" si="12"/>
        <v>708</v>
      </c>
      <c r="X93" s="8">
        <f t="shared" si="37"/>
        <v>135</v>
      </c>
      <c r="Y93" s="76"/>
      <c r="Z93" s="8" t="str">
        <f t="shared" si="14"/>
        <v>Chubis / 250 gramos / $2700</v>
      </c>
      <c r="AA93" s="8"/>
    </row>
    <row r="94" spans="1:28" ht="13.2">
      <c r="A94" s="59" t="s">
        <v>947</v>
      </c>
      <c r="B94" s="8" t="str">
        <f t="shared" si="46"/>
        <v>Chubis / 42 gramos / $500</v>
      </c>
      <c r="C94" s="60" t="s">
        <v>948</v>
      </c>
      <c r="D94" s="61" t="str">
        <f t="shared" si="47"/>
        <v>Chubis</v>
      </c>
      <c r="E94" s="41">
        <v>42</v>
      </c>
      <c r="F94" s="62">
        <v>261.1764705882353</v>
      </c>
      <c r="G94" s="62">
        <v>66.722689075630257</v>
      </c>
      <c r="H94" s="62">
        <f t="shared" si="1"/>
        <v>327.89915966386559</v>
      </c>
      <c r="I94" s="62">
        <f t="shared" si="2"/>
        <v>62.300840336134463</v>
      </c>
      <c r="J94" s="63">
        <v>0.21960000000000002</v>
      </c>
      <c r="K94" s="62">
        <f t="shared" si="3"/>
        <v>420.1680672268908</v>
      </c>
      <c r="L94" s="62">
        <f t="shared" si="4"/>
        <v>79.831932773109259</v>
      </c>
      <c r="M94" s="62">
        <f t="shared" si="15"/>
        <v>500.00000000000006</v>
      </c>
      <c r="N94" s="62">
        <f t="shared" si="6"/>
        <v>92.268907563025209</v>
      </c>
      <c r="O94" s="61">
        <f t="shared" si="7"/>
        <v>0</v>
      </c>
      <c r="P94" s="61">
        <f t="shared" si="8"/>
        <v>420.1680672268908</v>
      </c>
      <c r="Q94" s="64">
        <f t="shared" si="9"/>
        <v>0.21960000000000002</v>
      </c>
      <c r="R94" s="65">
        <v>500</v>
      </c>
      <c r="S94" s="41">
        <v>7400</v>
      </c>
      <c r="T94" s="40">
        <f t="shared" si="48"/>
        <v>310.8</v>
      </c>
      <c r="U94" s="12">
        <f>73+160/25</f>
        <v>79.400000000000006</v>
      </c>
      <c r="V94" s="40">
        <f t="shared" si="42"/>
        <v>390.20000000000005</v>
      </c>
      <c r="W94" s="40">
        <f t="shared" si="12"/>
        <v>109.79999999999995</v>
      </c>
      <c r="X94" s="8">
        <f t="shared" si="37"/>
        <v>25</v>
      </c>
      <c r="Y94" s="82" t="s">
        <v>1579</v>
      </c>
      <c r="Z94" s="8" t="str">
        <f t="shared" si="14"/>
        <v>Chubis / 42 gramos / $500</v>
      </c>
      <c r="AA94" s="8"/>
    </row>
    <row r="95" spans="1:28" ht="13.2">
      <c r="A95" s="59" t="s">
        <v>947</v>
      </c>
      <c r="B95" s="8" t="str">
        <f t="shared" si="46"/>
        <v>Chubis / 500 gramos / $5300</v>
      </c>
      <c r="C95" s="60" t="s">
        <v>948</v>
      </c>
      <c r="D95" s="61" t="str">
        <f t="shared" si="47"/>
        <v>Chubis</v>
      </c>
      <c r="E95" s="41">
        <v>500</v>
      </c>
      <c r="F95" s="62">
        <v>3109.2436974789916</v>
      </c>
      <c r="G95" s="62">
        <v>119.32773109243698</v>
      </c>
      <c r="H95" s="62">
        <f t="shared" si="1"/>
        <v>3228.5714285714284</v>
      </c>
      <c r="I95" s="62">
        <f t="shared" si="2"/>
        <v>613.42857142857144</v>
      </c>
      <c r="J95" s="63">
        <v>0.27509433962264151</v>
      </c>
      <c r="K95" s="62">
        <f t="shared" si="3"/>
        <v>4453.7815126050418</v>
      </c>
      <c r="L95" s="62">
        <f t="shared" si="4"/>
        <v>846.21848739495795</v>
      </c>
      <c r="M95" s="62">
        <f t="shared" si="15"/>
        <v>5300</v>
      </c>
      <c r="N95" s="62">
        <f t="shared" si="6"/>
        <v>1225.2100840336134</v>
      </c>
      <c r="O95" s="61">
        <f t="shared" si="7"/>
        <v>0</v>
      </c>
      <c r="P95" s="61">
        <f t="shared" si="8"/>
        <v>4453.7815126050418</v>
      </c>
      <c r="Q95" s="64">
        <f t="shared" si="9"/>
        <v>0.27509433962264151</v>
      </c>
      <c r="R95" s="65">
        <v>5300</v>
      </c>
      <c r="S95" s="41">
        <v>7400</v>
      </c>
      <c r="T95" s="40">
        <f t="shared" si="48"/>
        <v>3700</v>
      </c>
      <c r="U95" s="40">
        <f>7+40+95</f>
        <v>142</v>
      </c>
      <c r="V95" s="40">
        <f t="shared" si="42"/>
        <v>3842</v>
      </c>
      <c r="W95" s="40">
        <f t="shared" si="12"/>
        <v>1458</v>
      </c>
      <c r="X95" s="8">
        <f t="shared" si="37"/>
        <v>265</v>
      </c>
      <c r="Z95" s="8" t="str">
        <f t="shared" si="14"/>
        <v>Chubis / 500 gramos / $5300</v>
      </c>
      <c r="AA95" s="8"/>
    </row>
    <row r="96" spans="1:28" ht="13.2">
      <c r="A96" s="59" t="s">
        <v>47</v>
      </c>
      <c r="B96" s="8" t="str">
        <f>CONCATENATE(C96,E96)</f>
        <v>Cif 750 cc</v>
      </c>
      <c r="C96" s="67" t="s">
        <v>194</v>
      </c>
      <c r="D96" s="41" t="s">
        <v>442</v>
      </c>
      <c r="E96" s="40"/>
      <c r="F96" s="62">
        <v>1057.1428571428571</v>
      </c>
      <c r="G96" s="62">
        <v>0</v>
      </c>
      <c r="H96" s="62">
        <f t="shared" si="1"/>
        <v>1057.1428571428571</v>
      </c>
      <c r="I96" s="62">
        <f t="shared" si="2"/>
        <v>200.85714285714286</v>
      </c>
      <c r="J96" s="63">
        <v>0.47583333333333333</v>
      </c>
      <c r="K96" s="62">
        <f t="shared" si="3"/>
        <v>2016.8067226890755</v>
      </c>
      <c r="L96" s="62">
        <f t="shared" si="4"/>
        <v>383.19327731092437</v>
      </c>
      <c r="M96" s="62">
        <f t="shared" si="15"/>
        <v>2400</v>
      </c>
      <c r="N96" s="62">
        <f t="shared" si="6"/>
        <v>959.6638655462184</v>
      </c>
      <c r="O96" s="61">
        <f t="shared" si="7"/>
        <v>0</v>
      </c>
      <c r="P96" s="61">
        <f t="shared" si="8"/>
        <v>2016.8067226890757</v>
      </c>
      <c r="Q96" s="64">
        <f t="shared" si="9"/>
        <v>0.47583333333333333</v>
      </c>
      <c r="R96" s="65">
        <v>2400</v>
      </c>
      <c r="S96" s="41">
        <v>1258</v>
      </c>
      <c r="T96" s="41">
        <f>S96</f>
        <v>1258</v>
      </c>
      <c r="U96" s="41">
        <v>0</v>
      </c>
      <c r="V96" s="40">
        <f t="shared" si="42"/>
        <v>1258</v>
      </c>
      <c r="W96" s="40">
        <f t="shared" si="12"/>
        <v>1142</v>
      </c>
      <c r="X96" s="8">
        <f t="shared" si="37"/>
        <v>120</v>
      </c>
      <c r="Y96" s="26"/>
      <c r="Z96" s="8" t="str">
        <f t="shared" si="14"/>
        <v>Cif 750 cc</v>
      </c>
      <c r="AA96" s="31" t="s">
        <v>443</v>
      </c>
      <c r="AB96" s="31">
        <v>-1</v>
      </c>
    </row>
    <row r="97" spans="1:28" ht="13.2">
      <c r="A97" s="59" t="s">
        <v>139</v>
      </c>
      <c r="B97" s="8" t="str">
        <f>CONCATENATE(C97," / ",E97," gramos")</f>
        <v>Ciruelas / 500 gramos</v>
      </c>
      <c r="C97" s="31" t="s">
        <v>1019</v>
      </c>
      <c r="D97" s="61" t="str">
        <f t="shared" ref="D97:D98" si="51">C97</f>
        <v>Ciruelas</v>
      </c>
      <c r="E97" s="41">
        <v>500</v>
      </c>
      <c r="F97" s="62">
        <v>1428.5714285714287</v>
      </c>
      <c r="G97" s="62">
        <v>119.32773109243698</v>
      </c>
      <c r="H97" s="62">
        <f t="shared" si="1"/>
        <v>1547.8991596638657</v>
      </c>
      <c r="I97" s="62">
        <f t="shared" si="2"/>
        <v>294.10084033613447</v>
      </c>
      <c r="J97" s="63">
        <v>0.26319999999999999</v>
      </c>
      <c r="K97" s="62">
        <f t="shared" si="3"/>
        <v>2100.840336134454</v>
      </c>
      <c r="L97" s="62">
        <f t="shared" si="4"/>
        <v>399.15966386554624</v>
      </c>
      <c r="M97" s="62">
        <f t="shared" si="15"/>
        <v>2500</v>
      </c>
      <c r="N97" s="62">
        <f t="shared" si="6"/>
        <v>552.94117647058829</v>
      </c>
      <c r="O97" s="61">
        <f t="shared" si="7"/>
        <v>0</v>
      </c>
      <c r="P97" s="61">
        <f t="shared" si="8"/>
        <v>2100.840336134454</v>
      </c>
      <c r="Q97" s="64">
        <f t="shared" si="9"/>
        <v>0.26319999999999999</v>
      </c>
      <c r="R97" s="41">
        <v>2500</v>
      </c>
      <c r="S97" s="41">
        <v>3400</v>
      </c>
      <c r="T97" s="40">
        <f>S97*E97/1000</f>
        <v>1700</v>
      </c>
      <c r="U97" s="40">
        <f>7+40+95</f>
        <v>142</v>
      </c>
      <c r="V97" s="40">
        <f t="shared" si="42"/>
        <v>1842</v>
      </c>
      <c r="W97" s="40">
        <f t="shared" si="12"/>
        <v>658</v>
      </c>
      <c r="X97" s="8">
        <f t="shared" si="37"/>
        <v>125</v>
      </c>
      <c r="Y97" s="76"/>
      <c r="Z97" s="8" t="str">
        <f t="shared" si="14"/>
        <v>Ciruelas / 500 gramos</v>
      </c>
      <c r="AA97" s="8"/>
    </row>
    <row r="98" spans="1:28" ht="13.2">
      <c r="A98" s="59" t="s">
        <v>76</v>
      </c>
      <c r="B98" s="8" t="str">
        <f t="shared" ref="B98:B99" si="52">CONCATENATE(C98," / ",E98," Litros")</f>
        <v>Cloro / 5 Litros</v>
      </c>
      <c r="C98" s="23" t="s">
        <v>378</v>
      </c>
      <c r="D98" s="61" t="str">
        <f t="shared" si="51"/>
        <v>Cloro</v>
      </c>
      <c r="E98" s="41">
        <v>5</v>
      </c>
      <c r="F98" s="62">
        <v>924.36974789915973</v>
      </c>
      <c r="G98" s="62">
        <v>0</v>
      </c>
      <c r="H98" s="62">
        <f t="shared" si="1"/>
        <v>924.36974789915973</v>
      </c>
      <c r="I98" s="62">
        <f t="shared" si="2"/>
        <v>175.63025210084035</v>
      </c>
      <c r="J98" s="63">
        <v>0.45000000000000007</v>
      </c>
      <c r="K98" s="62">
        <f t="shared" si="3"/>
        <v>1680.6722689075634</v>
      </c>
      <c r="L98" s="62">
        <f t="shared" si="4"/>
        <v>319.32773109243703</v>
      </c>
      <c r="M98" s="62">
        <f t="shared" si="15"/>
        <v>2000.0000000000005</v>
      </c>
      <c r="N98" s="62">
        <f t="shared" si="6"/>
        <v>756.30252100840369</v>
      </c>
      <c r="O98" s="61">
        <f t="shared" si="7"/>
        <v>0</v>
      </c>
      <c r="P98" s="61">
        <f t="shared" si="8"/>
        <v>1680.6722689075632</v>
      </c>
      <c r="Q98" s="64">
        <f t="shared" si="9"/>
        <v>0.45000000000000007</v>
      </c>
      <c r="R98" s="26">
        <v>2000</v>
      </c>
      <c r="S98" s="12">
        <f>1100/5</f>
        <v>220</v>
      </c>
      <c r="T98" s="40">
        <f>S98*E98</f>
        <v>1100</v>
      </c>
      <c r="U98" s="41">
        <v>0</v>
      </c>
      <c r="V98" s="40">
        <f t="shared" si="42"/>
        <v>1100</v>
      </c>
      <c r="W98" s="40">
        <f t="shared" si="12"/>
        <v>900</v>
      </c>
      <c r="X98" s="8">
        <f t="shared" si="37"/>
        <v>100</v>
      </c>
      <c r="Y98" s="26"/>
      <c r="Z98" s="8" t="str">
        <f t="shared" si="14"/>
        <v>Cloro / 5 Litros</v>
      </c>
      <c r="AA98" s="31" t="s">
        <v>379</v>
      </c>
      <c r="AB98" s="31">
        <v>-1</v>
      </c>
    </row>
    <row r="99" spans="1:28" ht="13.2">
      <c r="A99" s="59" t="s">
        <v>76</v>
      </c>
      <c r="B99" s="8" t="str">
        <f t="shared" si="52"/>
        <v>Cloro Gel / 5 Litros</v>
      </c>
      <c r="C99" s="23" t="s">
        <v>448</v>
      </c>
      <c r="D99" s="61" t="s">
        <v>448</v>
      </c>
      <c r="E99" s="41">
        <v>5</v>
      </c>
      <c r="F99" s="62">
        <v>1924.3697478991598</v>
      </c>
      <c r="G99" s="62">
        <v>0</v>
      </c>
      <c r="H99" s="62">
        <f t="shared" si="1"/>
        <v>1924.3697478991598</v>
      </c>
      <c r="I99" s="62">
        <f t="shared" si="2"/>
        <v>365.63025210084038</v>
      </c>
      <c r="J99" s="63">
        <v>0.34571428571428575</v>
      </c>
      <c r="K99" s="62">
        <f t="shared" si="3"/>
        <v>2941.1764705882356</v>
      </c>
      <c r="L99" s="62">
        <f t="shared" si="4"/>
        <v>558.82352941176475</v>
      </c>
      <c r="M99" s="62">
        <f t="shared" si="15"/>
        <v>3500.0000000000005</v>
      </c>
      <c r="N99" s="62">
        <f t="shared" si="6"/>
        <v>1016.8067226890757</v>
      </c>
      <c r="O99" s="61">
        <f t="shared" si="7"/>
        <v>0</v>
      </c>
      <c r="P99" s="61">
        <f t="shared" si="8"/>
        <v>2941.1764705882356</v>
      </c>
      <c r="Q99" s="64">
        <f t="shared" si="9"/>
        <v>0.34571428571428575</v>
      </c>
      <c r="R99" s="26">
        <v>3500</v>
      </c>
      <c r="S99" s="26">
        <v>2290</v>
      </c>
      <c r="T99" s="41">
        <v>2290</v>
      </c>
      <c r="U99" s="41">
        <v>0</v>
      </c>
      <c r="V99" s="40">
        <f t="shared" si="42"/>
        <v>2290</v>
      </c>
      <c r="W99" s="40">
        <f t="shared" si="12"/>
        <v>1210</v>
      </c>
      <c r="X99" s="8">
        <f t="shared" si="37"/>
        <v>175</v>
      </c>
      <c r="Y99" s="26"/>
      <c r="Z99" s="8" t="str">
        <f t="shared" si="14"/>
        <v>Cloro Gel / 5 Litros</v>
      </c>
      <c r="AA99" s="31" t="s">
        <v>449</v>
      </c>
      <c r="AB99" s="31">
        <v>-1</v>
      </c>
    </row>
    <row r="100" spans="1:28" ht="13.2">
      <c r="A100" s="59" t="s">
        <v>76</v>
      </c>
      <c r="B100" s="8" t="str">
        <f t="shared" ref="B100:B101" si="53">CONCATENATE(C100)</f>
        <v>Cloro Gel IGENIX 900 ml</v>
      </c>
      <c r="C100" s="23" t="s">
        <v>77</v>
      </c>
      <c r="D100" s="61" t="s">
        <v>448</v>
      </c>
      <c r="E100" s="41"/>
      <c r="F100" s="62">
        <v>839.49579831932772</v>
      </c>
      <c r="G100" s="62">
        <v>0</v>
      </c>
      <c r="H100" s="62">
        <f t="shared" si="1"/>
        <v>839.49579831932772</v>
      </c>
      <c r="I100" s="62">
        <f t="shared" si="2"/>
        <v>159.50420168067228</v>
      </c>
      <c r="J100" s="63">
        <v>0.41239999999999999</v>
      </c>
      <c r="K100" s="62">
        <f t="shared" si="3"/>
        <v>1428.6858378477327</v>
      </c>
      <c r="L100" s="62">
        <f t="shared" si="4"/>
        <v>271.45030919106921</v>
      </c>
      <c r="M100" s="62">
        <f t="shared" si="15"/>
        <v>1700.1361470388019</v>
      </c>
      <c r="N100" s="62">
        <f t="shared" si="6"/>
        <v>589.19003952840501</v>
      </c>
      <c r="O100" s="61">
        <f t="shared" si="7"/>
        <v>200.13614703880194</v>
      </c>
      <c r="P100" s="61">
        <f t="shared" si="8"/>
        <v>1260.5042016806724</v>
      </c>
      <c r="Q100" s="64">
        <f t="shared" si="9"/>
        <v>0.33400000000000007</v>
      </c>
      <c r="R100" s="26">
        <v>1500</v>
      </c>
      <c r="S100" s="26">
        <v>999</v>
      </c>
      <c r="T100" s="41">
        <v>999</v>
      </c>
      <c r="U100" s="41">
        <v>0</v>
      </c>
      <c r="V100" s="40">
        <f t="shared" si="42"/>
        <v>999</v>
      </c>
      <c r="W100" s="40">
        <f t="shared" si="12"/>
        <v>501</v>
      </c>
      <c r="X100" s="8">
        <f t="shared" si="37"/>
        <v>75</v>
      </c>
      <c r="Y100" s="26"/>
      <c r="Z100" s="8" t="str">
        <f t="shared" si="14"/>
        <v>Cloro Gel IGENIX 900 ml</v>
      </c>
      <c r="AA100" s="31" t="s">
        <v>457</v>
      </c>
      <c r="AB100" s="31">
        <v>-1</v>
      </c>
    </row>
    <row r="101" spans="1:28" ht="13.2">
      <c r="A101" s="59" t="s">
        <v>76</v>
      </c>
      <c r="B101" s="8" t="str">
        <f t="shared" si="53"/>
        <v>Cloro Gel EXCELL 900 ml</v>
      </c>
      <c r="C101" s="23" t="s">
        <v>202</v>
      </c>
      <c r="D101" s="61" t="s">
        <v>448</v>
      </c>
      <c r="E101" s="41"/>
      <c r="F101" s="62">
        <f>8571/12</f>
        <v>714.25</v>
      </c>
      <c r="G101" s="62">
        <v>0</v>
      </c>
      <c r="H101" s="62">
        <f t="shared" si="1"/>
        <v>714.25</v>
      </c>
      <c r="I101" s="62">
        <f t="shared" si="2"/>
        <v>135.70750000000001</v>
      </c>
      <c r="J101" s="63">
        <v>0.43345</v>
      </c>
      <c r="K101" s="62">
        <f t="shared" si="3"/>
        <v>1260.7007325037507</v>
      </c>
      <c r="L101" s="62">
        <f t="shared" si="4"/>
        <v>239.53313917571265</v>
      </c>
      <c r="M101" s="62">
        <f t="shared" si="15"/>
        <v>1500.2338716794634</v>
      </c>
      <c r="N101" s="62">
        <f t="shared" si="6"/>
        <v>546.45073250375071</v>
      </c>
      <c r="O101" s="61">
        <f t="shared" si="7"/>
        <v>0.23387167946339105</v>
      </c>
      <c r="P101" s="61">
        <f t="shared" si="8"/>
        <v>1260.5042016806724</v>
      </c>
      <c r="Q101" s="64">
        <f t="shared" si="9"/>
        <v>0.43336166666666676</v>
      </c>
      <c r="R101" s="26">
        <v>1500</v>
      </c>
      <c r="S101" s="26">
        <v>999</v>
      </c>
      <c r="T101" s="41">
        <v>999</v>
      </c>
      <c r="U101" s="41">
        <v>0</v>
      </c>
      <c r="V101" s="40">
        <f t="shared" si="42"/>
        <v>999</v>
      </c>
      <c r="W101" s="40">
        <f t="shared" si="12"/>
        <v>501</v>
      </c>
      <c r="X101" s="8">
        <f t="shared" si="37"/>
        <v>75</v>
      </c>
      <c r="Y101" s="26"/>
      <c r="Z101" s="8" t="str">
        <f t="shared" si="14"/>
        <v>Cloro Gel EXCELL 900 ml</v>
      </c>
      <c r="AA101" s="31" t="s">
        <v>571</v>
      </c>
      <c r="AB101" s="31">
        <v>-1</v>
      </c>
    </row>
    <row r="102" spans="1:28" ht="13.2">
      <c r="A102" s="59" t="s">
        <v>139</v>
      </c>
      <c r="B102" s="8" t="str">
        <f t="shared" ref="B102:B111" si="54">CONCATENATE(C102," / ",E102," gramos")</f>
        <v>Coco Chips / 200 gramos</v>
      </c>
      <c r="C102" s="31" t="s">
        <v>989</v>
      </c>
      <c r="D102" s="61" t="str">
        <f t="shared" ref="D102:D111" si="55">C102</f>
        <v>Coco Chips</v>
      </c>
      <c r="E102" s="41">
        <v>200</v>
      </c>
      <c r="F102" s="62">
        <v>1180</v>
      </c>
      <c r="G102" s="62">
        <v>119.32773109243698</v>
      </c>
      <c r="H102" s="62">
        <f t="shared" si="1"/>
        <v>1299.327731092437</v>
      </c>
      <c r="I102" s="62">
        <f t="shared" si="2"/>
        <v>246.87226890756304</v>
      </c>
      <c r="J102" s="63">
        <v>0.18621052631578949</v>
      </c>
      <c r="K102" s="62">
        <f t="shared" si="3"/>
        <v>1596.6386554621849</v>
      </c>
      <c r="L102" s="62">
        <f t="shared" si="4"/>
        <v>303.36134453781517</v>
      </c>
      <c r="M102" s="62">
        <f t="shared" si="15"/>
        <v>1900</v>
      </c>
      <c r="N102" s="62">
        <f t="shared" si="6"/>
        <v>297.31092436974791</v>
      </c>
      <c r="O102" s="61">
        <f t="shared" si="7"/>
        <v>0</v>
      </c>
      <c r="P102" s="61">
        <f t="shared" si="8"/>
        <v>1596.6386554621849</v>
      </c>
      <c r="Q102" s="64">
        <f t="shared" si="9"/>
        <v>0.18621052631578949</v>
      </c>
      <c r="R102" s="41">
        <v>1900</v>
      </c>
      <c r="S102" s="41">
        <v>7021</v>
      </c>
      <c r="T102" s="40">
        <f t="shared" ref="T102:T111" si="56">S102*E102/1000</f>
        <v>1404.2</v>
      </c>
      <c r="U102" s="40">
        <f t="shared" ref="U102:U103" si="57">7+40+95</f>
        <v>142</v>
      </c>
      <c r="V102" s="40">
        <f t="shared" si="42"/>
        <v>1546.2</v>
      </c>
      <c r="W102" s="40">
        <f t="shared" si="12"/>
        <v>353.79999999999995</v>
      </c>
      <c r="X102" s="8">
        <f t="shared" si="37"/>
        <v>95</v>
      </c>
      <c r="Y102" s="76"/>
      <c r="Z102" s="8" t="str">
        <f t="shared" si="14"/>
        <v>Coco Chips / 200 gramos</v>
      </c>
      <c r="AA102" s="8"/>
    </row>
    <row r="103" spans="1:28" ht="13.2">
      <c r="A103" s="59" t="s">
        <v>139</v>
      </c>
      <c r="B103" s="8" t="str">
        <f t="shared" si="54"/>
        <v>Coco Chips / 250 gramos</v>
      </c>
      <c r="C103" s="31" t="s">
        <v>989</v>
      </c>
      <c r="D103" s="61" t="str">
        <f t="shared" si="55"/>
        <v>Coco Chips</v>
      </c>
      <c r="E103" s="41">
        <v>250</v>
      </c>
      <c r="F103" s="62">
        <v>1475</v>
      </c>
      <c r="G103" s="62">
        <v>119.32773109243698</v>
      </c>
      <c r="H103" s="62">
        <f t="shared" si="1"/>
        <v>1594.327731092437</v>
      </c>
      <c r="I103" s="62">
        <f t="shared" si="2"/>
        <v>302.92226890756302</v>
      </c>
      <c r="J103" s="63">
        <v>0.20283613445378146</v>
      </c>
      <c r="K103" s="62">
        <f t="shared" si="3"/>
        <v>2000</v>
      </c>
      <c r="L103" s="62">
        <f t="shared" si="4"/>
        <v>380</v>
      </c>
      <c r="M103" s="62">
        <f t="shared" si="15"/>
        <v>2380</v>
      </c>
      <c r="N103" s="62">
        <f t="shared" si="6"/>
        <v>405.67226890756297</v>
      </c>
      <c r="O103" s="61">
        <f t="shared" si="7"/>
        <v>0</v>
      </c>
      <c r="P103" s="61">
        <f t="shared" si="8"/>
        <v>2000</v>
      </c>
      <c r="Q103" s="64">
        <f t="shared" si="9"/>
        <v>0.20283613445378146</v>
      </c>
      <c r="R103" s="41">
        <v>2380</v>
      </c>
      <c r="S103" s="41">
        <v>7021</v>
      </c>
      <c r="T103" s="40">
        <f t="shared" si="56"/>
        <v>1755.25</v>
      </c>
      <c r="U103" s="40">
        <f t="shared" si="57"/>
        <v>142</v>
      </c>
      <c r="V103" s="40">
        <f t="shared" si="42"/>
        <v>1897.25</v>
      </c>
      <c r="W103" s="40">
        <f t="shared" si="12"/>
        <v>482.75</v>
      </c>
      <c r="X103" s="8">
        <f t="shared" si="37"/>
        <v>119</v>
      </c>
      <c r="Y103" s="76"/>
      <c r="Z103" s="8" t="str">
        <f t="shared" si="14"/>
        <v>Coco Chips / 250 gramos</v>
      </c>
      <c r="AA103" s="8"/>
    </row>
    <row r="104" spans="1:28" ht="13.2">
      <c r="A104" s="59" t="s">
        <v>139</v>
      </c>
      <c r="B104" s="8" t="str">
        <f t="shared" si="54"/>
        <v>Coco Chips / 500 gramos</v>
      </c>
      <c r="C104" s="31" t="s">
        <v>989</v>
      </c>
      <c r="D104" s="61" t="str">
        <f t="shared" si="55"/>
        <v>Coco Chips</v>
      </c>
      <c r="E104" s="41">
        <v>500</v>
      </c>
      <c r="F104" s="62">
        <v>2950</v>
      </c>
      <c r="G104" s="62">
        <v>142.01680672268907</v>
      </c>
      <c r="H104" s="62">
        <f t="shared" si="1"/>
        <v>3092.0168067226891</v>
      </c>
      <c r="I104" s="62">
        <f t="shared" si="2"/>
        <v>587.48319327731099</v>
      </c>
      <c r="J104" s="63">
        <v>0.20870967741935487</v>
      </c>
      <c r="K104" s="62">
        <f t="shared" si="3"/>
        <v>3907.5630252100841</v>
      </c>
      <c r="L104" s="62">
        <f t="shared" si="4"/>
        <v>742.43697478991601</v>
      </c>
      <c r="M104" s="62">
        <f t="shared" si="15"/>
        <v>4650</v>
      </c>
      <c r="N104" s="62">
        <f t="shared" si="6"/>
        <v>815.54621848739498</v>
      </c>
      <c r="O104" s="61">
        <f t="shared" si="7"/>
        <v>0</v>
      </c>
      <c r="P104" s="61">
        <f t="shared" si="8"/>
        <v>3907.5630252100841</v>
      </c>
      <c r="Q104" s="64">
        <f t="shared" si="9"/>
        <v>0.20870967741935487</v>
      </c>
      <c r="R104" s="41">
        <v>4650</v>
      </c>
      <c r="S104" s="41">
        <v>7021</v>
      </c>
      <c r="T104" s="40">
        <f t="shared" si="56"/>
        <v>3510.5</v>
      </c>
      <c r="U104" s="40">
        <f>7+40+122</f>
        <v>169</v>
      </c>
      <c r="V104" s="40">
        <f t="shared" si="42"/>
        <v>3679.5</v>
      </c>
      <c r="W104" s="40">
        <f t="shared" si="12"/>
        <v>970.5</v>
      </c>
      <c r="X104" s="8">
        <f t="shared" si="37"/>
        <v>232.5</v>
      </c>
      <c r="Y104" s="76"/>
      <c r="Z104" s="8" t="str">
        <f t="shared" si="14"/>
        <v>Coco Chips / 500 gramos</v>
      </c>
      <c r="AA104" s="8"/>
    </row>
    <row r="105" spans="1:28" ht="13.2">
      <c r="A105" s="59" t="s">
        <v>139</v>
      </c>
      <c r="B105" s="8" t="str">
        <f t="shared" si="54"/>
        <v>CranBerry / 100 gramos</v>
      </c>
      <c r="C105" s="80" t="s">
        <v>468</v>
      </c>
      <c r="D105" s="61" t="str">
        <f t="shared" si="55"/>
        <v>CranBerry</v>
      </c>
      <c r="E105" s="61">
        <v>100</v>
      </c>
      <c r="F105" s="62">
        <v>520</v>
      </c>
      <c r="G105" s="62">
        <v>119.32773109243698</v>
      </c>
      <c r="H105" s="62">
        <f t="shared" si="1"/>
        <v>639.32773109243703</v>
      </c>
      <c r="I105" s="62">
        <f t="shared" si="2"/>
        <v>121.47226890756303</v>
      </c>
      <c r="J105" s="63">
        <v>0.23919999999999997</v>
      </c>
      <c r="K105" s="62">
        <f t="shared" si="3"/>
        <v>840.3361344537816</v>
      </c>
      <c r="L105" s="62">
        <f t="shared" si="4"/>
        <v>159.66386554621852</v>
      </c>
      <c r="M105" s="62">
        <f t="shared" si="15"/>
        <v>1000.0000000000001</v>
      </c>
      <c r="N105" s="62">
        <f t="shared" si="6"/>
        <v>201.00840336134456</v>
      </c>
      <c r="O105" s="61">
        <f t="shared" si="7"/>
        <v>0</v>
      </c>
      <c r="P105" s="61">
        <f t="shared" si="8"/>
        <v>840.3361344537816</v>
      </c>
      <c r="Q105" s="64">
        <f t="shared" si="9"/>
        <v>0.23919999999999997</v>
      </c>
      <c r="R105" s="61">
        <v>1000</v>
      </c>
      <c r="S105" s="41">
        <v>6188</v>
      </c>
      <c r="T105" s="40">
        <f t="shared" si="56"/>
        <v>618.79999999999995</v>
      </c>
      <c r="U105" s="40">
        <f>7+40+95</f>
        <v>142</v>
      </c>
      <c r="V105" s="40">
        <f t="shared" si="42"/>
        <v>760.8</v>
      </c>
      <c r="W105" s="40">
        <f t="shared" si="12"/>
        <v>239.20000000000005</v>
      </c>
      <c r="X105" s="8">
        <f t="shared" si="37"/>
        <v>50</v>
      </c>
      <c r="Y105" s="76"/>
      <c r="Z105" s="8" t="str">
        <f t="shared" si="14"/>
        <v>CranBerry / 100 gramos</v>
      </c>
      <c r="AA105" s="8"/>
    </row>
    <row r="106" spans="1:28" ht="13.2">
      <c r="A106" s="59" t="s">
        <v>139</v>
      </c>
      <c r="B106" s="8" t="str">
        <f t="shared" si="54"/>
        <v>CranBerry / 1000 gramos</v>
      </c>
      <c r="C106" s="80" t="s">
        <v>468</v>
      </c>
      <c r="D106" s="61" t="str">
        <f t="shared" si="55"/>
        <v>CranBerry</v>
      </c>
      <c r="E106" s="61">
        <v>1000</v>
      </c>
      <c r="F106" s="62">
        <v>5200</v>
      </c>
      <c r="G106" s="62">
        <v>190.75630252100842</v>
      </c>
      <c r="H106" s="62">
        <f t="shared" si="1"/>
        <v>5390.7563025210084</v>
      </c>
      <c r="I106" s="62">
        <f t="shared" si="2"/>
        <v>1024.2436974789916</v>
      </c>
      <c r="J106" s="63">
        <v>0.28722222222222227</v>
      </c>
      <c r="K106" s="62">
        <f t="shared" si="3"/>
        <v>7563.0252100840344</v>
      </c>
      <c r="L106" s="62">
        <f t="shared" si="4"/>
        <v>1436.9747899159665</v>
      </c>
      <c r="M106" s="62">
        <f t="shared" si="15"/>
        <v>9000</v>
      </c>
      <c r="N106" s="62">
        <f t="shared" si="6"/>
        <v>2172.268907563026</v>
      </c>
      <c r="O106" s="61">
        <f t="shared" si="7"/>
        <v>0</v>
      </c>
      <c r="P106" s="61">
        <f t="shared" si="8"/>
        <v>7563.0252100840344</v>
      </c>
      <c r="Q106" s="64">
        <f t="shared" si="9"/>
        <v>0.28722222222222227</v>
      </c>
      <c r="R106" s="61">
        <v>9000</v>
      </c>
      <c r="S106" s="41">
        <v>6188</v>
      </c>
      <c r="T106" s="40">
        <f t="shared" si="56"/>
        <v>6188</v>
      </c>
      <c r="U106" s="40">
        <f>7+40+180</f>
        <v>227</v>
      </c>
      <c r="V106" s="40">
        <f t="shared" si="42"/>
        <v>6415</v>
      </c>
      <c r="W106" s="40">
        <f t="shared" si="12"/>
        <v>2585</v>
      </c>
      <c r="X106" s="8">
        <f t="shared" si="37"/>
        <v>450</v>
      </c>
      <c r="Z106" s="8" t="str">
        <f t="shared" si="14"/>
        <v>CranBerry / 1000 gramos</v>
      </c>
      <c r="AA106" s="8"/>
    </row>
    <row r="107" spans="1:28" ht="13.2">
      <c r="A107" s="59" t="s">
        <v>139</v>
      </c>
      <c r="B107" s="8" t="str">
        <f t="shared" si="54"/>
        <v>CranBerry / 200 gramos</v>
      </c>
      <c r="C107" s="80" t="s">
        <v>468</v>
      </c>
      <c r="D107" s="61" t="str">
        <f t="shared" si="55"/>
        <v>CranBerry</v>
      </c>
      <c r="E107" s="61">
        <v>200</v>
      </c>
      <c r="F107" s="62">
        <v>1040</v>
      </c>
      <c r="G107" s="62">
        <v>119.32773109243698</v>
      </c>
      <c r="H107" s="62">
        <f t="shared" si="1"/>
        <v>1159.327731092437</v>
      </c>
      <c r="I107" s="62">
        <f t="shared" si="2"/>
        <v>220.27226890756305</v>
      </c>
      <c r="J107" s="63">
        <v>0.31009999999999999</v>
      </c>
      <c r="K107" s="62">
        <f t="shared" si="3"/>
        <v>1680.4286579104755</v>
      </c>
      <c r="L107" s="62">
        <f t="shared" si="4"/>
        <v>319.28144500299038</v>
      </c>
      <c r="M107" s="62">
        <f t="shared" si="15"/>
        <v>1999.710102913466</v>
      </c>
      <c r="N107" s="62">
        <f t="shared" si="6"/>
        <v>521.10092681803849</v>
      </c>
      <c r="O107" s="61">
        <f t="shared" si="7"/>
        <v>-500.28989708653398</v>
      </c>
      <c r="P107" s="61">
        <f t="shared" si="8"/>
        <v>2100.840336134454</v>
      </c>
      <c r="Q107" s="64">
        <f t="shared" si="9"/>
        <v>0.44816</v>
      </c>
      <c r="R107" s="61">
        <v>2500</v>
      </c>
      <c r="S107" s="41">
        <v>6188</v>
      </c>
      <c r="T107" s="40">
        <f t="shared" si="56"/>
        <v>1237.5999999999999</v>
      </c>
      <c r="U107" s="40">
        <f t="shared" ref="U107:U108" si="58">7+40+95</f>
        <v>142</v>
      </c>
      <c r="V107" s="40">
        <f t="shared" si="42"/>
        <v>1379.6</v>
      </c>
      <c r="W107" s="40">
        <f t="shared" si="12"/>
        <v>1120.4000000000001</v>
      </c>
      <c r="X107" s="8">
        <f t="shared" si="37"/>
        <v>125</v>
      </c>
      <c r="Y107" s="76"/>
      <c r="Z107" s="8" t="str">
        <f t="shared" si="14"/>
        <v>CranBerry / 200 gramos</v>
      </c>
      <c r="AA107" s="8"/>
    </row>
    <row r="108" spans="1:28" ht="13.2">
      <c r="A108" s="59" t="s">
        <v>139</v>
      </c>
      <c r="B108" s="8" t="str">
        <f t="shared" si="54"/>
        <v>CranBerry / 250 gramos</v>
      </c>
      <c r="C108" s="80" t="s">
        <v>468</v>
      </c>
      <c r="D108" s="61" t="str">
        <f t="shared" si="55"/>
        <v>CranBerry</v>
      </c>
      <c r="E108" s="61">
        <v>250</v>
      </c>
      <c r="F108" s="62">
        <v>1300</v>
      </c>
      <c r="G108" s="62">
        <v>119.32773109243698</v>
      </c>
      <c r="H108" s="62">
        <f t="shared" si="1"/>
        <v>1419.327731092437</v>
      </c>
      <c r="I108" s="62">
        <f t="shared" si="2"/>
        <v>269.67226890756302</v>
      </c>
      <c r="J108" s="63">
        <v>0.32440000000000002</v>
      </c>
      <c r="K108" s="62">
        <f t="shared" si="3"/>
        <v>2100.840336134454</v>
      </c>
      <c r="L108" s="62">
        <f t="shared" si="4"/>
        <v>399.15966386554624</v>
      </c>
      <c r="M108" s="62">
        <f t="shared" si="15"/>
        <v>2500</v>
      </c>
      <c r="N108" s="62">
        <f t="shared" si="6"/>
        <v>681.51260504201696</v>
      </c>
      <c r="O108" s="61">
        <f t="shared" si="7"/>
        <v>0</v>
      </c>
      <c r="P108" s="61">
        <f t="shared" si="8"/>
        <v>2100.840336134454</v>
      </c>
      <c r="Q108" s="64">
        <f t="shared" si="9"/>
        <v>0.32440000000000002</v>
      </c>
      <c r="R108" s="61">
        <v>2500</v>
      </c>
      <c r="S108" s="41">
        <v>6188</v>
      </c>
      <c r="T108" s="40">
        <f t="shared" si="56"/>
        <v>1547</v>
      </c>
      <c r="U108" s="40">
        <f t="shared" si="58"/>
        <v>142</v>
      </c>
      <c r="V108" s="40">
        <f t="shared" si="42"/>
        <v>1689</v>
      </c>
      <c r="W108" s="40">
        <f t="shared" si="12"/>
        <v>811</v>
      </c>
      <c r="X108" s="8">
        <f t="shared" si="37"/>
        <v>125</v>
      </c>
      <c r="Y108" s="76"/>
      <c r="Z108" s="8" t="str">
        <f t="shared" si="14"/>
        <v>CranBerry / 250 gramos</v>
      </c>
      <c r="AA108" s="8"/>
    </row>
    <row r="109" spans="1:28" ht="13.2">
      <c r="A109" s="59" t="s">
        <v>139</v>
      </c>
      <c r="B109" s="8" t="str">
        <f t="shared" si="54"/>
        <v>CranBerry / 400 gramos</v>
      </c>
      <c r="C109" s="80" t="s">
        <v>468</v>
      </c>
      <c r="D109" s="61" t="str">
        <f t="shared" si="55"/>
        <v>CranBerry</v>
      </c>
      <c r="E109" s="61">
        <v>400</v>
      </c>
      <c r="F109" s="62">
        <v>2080</v>
      </c>
      <c r="G109" s="62">
        <v>142.01680672268907</v>
      </c>
      <c r="H109" s="62">
        <f t="shared" si="1"/>
        <v>2222.0168067226891</v>
      </c>
      <c r="I109" s="62">
        <f t="shared" si="2"/>
        <v>422.18319327731092</v>
      </c>
      <c r="J109" s="63">
        <v>0.33895000000000008</v>
      </c>
      <c r="K109" s="62">
        <f t="shared" si="3"/>
        <v>3361.3445378151264</v>
      </c>
      <c r="L109" s="62">
        <f t="shared" si="4"/>
        <v>638.65546218487407</v>
      </c>
      <c r="M109" s="62">
        <f t="shared" si="15"/>
        <v>4000.0000000000005</v>
      </c>
      <c r="N109" s="62">
        <f t="shared" si="6"/>
        <v>1139.3277310924373</v>
      </c>
      <c r="O109" s="61">
        <f t="shared" si="7"/>
        <v>0</v>
      </c>
      <c r="P109" s="61">
        <f t="shared" si="8"/>
        <v>3361.3445378151264</v>
      </c>
      <c r="Q109" s="64">
        <f t="shared" si="9"/>
        <v>0.33895000000000008</v>
      </c>
      <c r="R109" s="61">
        <v>4000</v>
      </c>
      <c r="S109" s="41">
        <v>6188</v>
      </c>
      <c r="T109" s="40">
        <f t="shared" si="56"/>
        <v>2475.1999999999998</v>
      </c>
      <c r="U109" s="40">
        <f>7+40+122</f>
        <v>169</v>
      </c>
      <c r="V109" s="40">
        <f t="shared" si="42"/>
        <v>2644.2</v>
      </c>
      <c r="W109" s="40">
        <f t="shared" si="12"/>
        <v>1355.8000000000002</v>
      </c>
      <c r="X109" s="8">
        <f t="shared" si="37"/>
        <v>200</v>
      </c>
      <c r="Y109" s="76"/>
      <c r="Z109" s="8" t="str">
        <f t="shared" si="14"/>
        <v>CranBerry / 400 gramos</v>
      </c>
      <c r="AA109" s="8"/>
    </row>
    <row r="110" spans="1:28" ht="13.2">
      <c r="A110" s="59" t="s">
        <v>139</v>
      </c>
      <c r="B110" s="8" t="str">
        <f t="shared" si="54"/>
        <v>CranBerry / 45 gramos</v>
      </c>
      <c r="C110" s="80" t="s">
        <v>468</v>
      </c>
      <c r="D110" s="61" t="str">
        <f t="shared" si="55"/>
        <v>CranBerry</v>
      </c>
      <c r="E110" s="61">
        <v>45</v>
      </c>
      <c r="F110" s="62">
        <v>234</v>
      </c>
      <c r="G110" s="62">
        <v>66.722689075630257</v>
      </c>
      <c r="H110" s="62">
        <f t="shared" si="1"/>
        <v>300.72268907563023</v>
      </c>
      <c r="I110" s="62">
        <f t="shared" si="2"/>
        <v>57.137310924369743</v>
      </c>
      <c r="J110" s="63">
        <v>0.28428000000000009</v>
      </c>
      <c r="K110" s="62">
        <f t="shared" si="3"/>
        <v>420.1680672268908</v>
      </c>
      <c r="L110" s="62">
        <f t="shared" si="4"/>
        <v>79.831932773109259</v>
      </c>
      <c r="M110" s="62">
        <f t="shared" si="15"/>
        <v>500.00000000000006</v>
      </c>
      <c r="N110" s="62">
        <f t="shared" si="6"/>
        <v>119.44537815126057</v>
      </c>
      <c r="O110" s="61">
        <f t="shared" si="7"/>
        <v>0</v>
      </c>
      <c r="P110" s="61">
        <f t="shared" si="8"/>
        <v>420.1680672268908</v>
      </c>
      <c r="Q110" s="64">
        <f t="shared" si="9"/>
        <v>0.28428000000000009</v>
      </c>
      <c r="R110" s="61">
        <v>500</v>
      </c>
      <c r="S110" s="41">
        <v>6188</v>
      </c>
      <c r="T110" s="40">
        <f t="shared" si="56"/>
        <v>278.45999999999998</v>
      </c>
      <c r="U110" s="12">
        <f>73+160/25</f>
        <v>79.400000000000006</v>
      </c>
      <c r="V110" s="40">
        <f t="shared" si="42"/>
        <v>357.86</v>
      </c>
      <c r="W110" s="40">
        <f t="shared" si="12"/>
        <v>142.13999999999999</v>
      </c>
      <c r="X110" s="8">
        <f t="shared" si="37"/>
        <v>25</v>
      </c>
      <c r="Y110" s="82" t="s">
        <v>1579</v>
      </c>
      <c r="Z110" s="8" t="str">
        <f t="shared" si="14"/>
        <v>CranBerry / 45 gramos</v>
      </c>
      <c r="AA110" s="8"/>
    </row>
    <row r="111" spans="1:28" ht="13.2">
      <c r="A111" s="59" t="s">
        <v>139</v>
      </c>
      <c r="B111" s="8" t="str">
        <f t="shared" si="54"/>
        <v>CranBerry / 500 gramos</v>
      </c>
      <c r="C111" s="80" t="s">
        <v>468</v>
      </c>
      <c r="D111" s="61" t="str">
        <f t="shared" si="55"/>
        <v>CranBerry</v>
      </c>
      <c r="E111" s="61">
        <v>500</v>
      </c>
      <c r="F111" s="62">
        <v>2600</v>
      </c>
      <c r="G111" s="62">
        <v>142.01680672268907</v>
      </c>
      <c r="H111" s="62">
        <f t="shared" si="1"/>
        <v>2742.0168067226891</v>
      </c>
      <c r="I111" s="62">
        <f t="shared" si="2"/>
        <v>520.98319327731099</v>
      </c>
      <c r="J111" s="63">
        <v>0.27488888888888896</v>
      </c>
      <c r="K111" s="62">
        <f t="shared" si="3"/>
        <v>3781.5126050420172</v>
      </c>
      <c r="L111" s="62">
        <f t="shared" si="4"/>
        <v>718.48739495798327</v>
      </c>
      <c r="M111" s="62">
        <f t="shared" si="15"/>
        <v>4500</v>
      </c>
      <c r="N111" s="62">
        <f t="shared" si="6"/>
        <v>1039.4957983193281</v>
      </c>
      <c r="O111" s="61">
        <f t="shared" si="7"/>
        <v>0</v>
      </c>
      <c r="P111" s="61">
        <f t="shared" si="8"/>
        <v>3781.5126050420172</v>
      </c>
      <c r="Q111" s="64">
        <f t="shared" si="9"/>
        <v>0.27488888888888896</v>
      </c>
      <c r="R111" s="61">
        <v>4500</v>
      </c>
      <c r="S111" s="41">
        <v>6188</v>
      </c>
      <c r="T111" s="40">
        <f t="shared" si="56"/>
        <v>3094</v>
      </c>
      <c r="U111" s="40">
        <f>7+40+122</f>
        <v>169</v>
      </c>
      <c r="V111" s="40">
        <f t="shared" si="42"/>
        <v>3263</v>
      </c>
      <c r="W111" s="40">
        <f t="shared" si="12"/>
        <v>1237</v>
      </c>
      <c r="X111" s="8">
        <f t="shared" si="37"/>
        <v>225</v>
      </c>
      <c r="Y111" s="76"/>
      <c r="Z111" s="8" t="str">
        <f t="shared" si="14"/>
        <v>CranBerry / 500 gramos</v>
      </c>
      <c r="AA111" s="8"/>
    </row>
    <row r="112" spans="1:28" ht="13.2">
      <c r="A112" s="31" t="s">
        <v>211</v>
      </c>
      <c r="B112" s="31" t="s">
        <v>211</v>
      </c>
      <c r="C112" s="31" t="s">
        <v>211</v>
      </c>
      <c r="D112" s="31" t="s">
        <v>211</v>
      </c>
      <c r="E112" s="41">
        <v>0</v>
      </c>
      <c r="F112" s="62">
        <v>0</v>
      </c>
      <c r="G112" s="62">
        <v>0</v>
      </c>
      <c r="H112" s="62">
        <f t="shared" si="1"/>
        <v>0</v>
      </c>
      <c r="I112" s="62">
        <f t="shared" si="2"/>
        <v>0</v>
      </c>
      <c r="J112" s="63">
        <v>1</v>
      </c>
      <c r="K112" s="62">
        <v>0</v>
      </c>
      <c r="L112" s="62">
        <f t="shared" si="4"/>
        <v>0</v>
      </c>
      <c r="M112" s="62">
        <f t="shared" si="15"/>
        <v>0</v>
      </c>
      <c r="N112" s="62">
        <f t="shared" si="6"/>
        <v>0</v>
      </c>
      <c r="O112" s="61">
        <f t="shared" si="7"/>
        <v>-1</v>
      </c>
      <c r="P112" s="61">
        <f t="shared" si="8"/>
        <v>0.84033613445378152</v>
      </c>
      <c r="Q112" s="64">
        <f t="shared" si="9"/>
        <v>1</v>
      </c>
      <c r="R112" s="41">
        <v>1</v>
      </c>
      <c r="S112" s="40"/>
      <c r="T112" s="74"/>
      <c r="U112" s="74"/>
      <c r="V112" s="74"/>
      <c r="W112" s="74"/>
      <c r="X112" s="31">
        <v>0</v>
      </c>
      <c r="Y112" s="76"/>
      <c r="Z112" s="8" t="str">
        <f t="shared" si="14"/>
        <v>Transporte</v>
      </c>
      <c r="AA112" s="31" t="s">
        <v>211</v>
      </c>
      <c r="AB112" s="31">
        <v>-1</v>
      </c>
    </row>
    <row r="113" spans="1:28" ht="13.2">
      <c r="A113" s="31" t="s">
        <v>160</v>
      </c>
      <c r="B113" s="8" t="str">
        <f>C113</f>
        <v>Descuentos</v>
      </c>
      <c r="C113" s="31" t="s">
        <v>160</v>
      </c>
      <c r="D113" s="61" t="str">
        <f t="shared" ref="D113:D114" si="59">C113</f>
        <v>Descuentos</v>
      </c>
      <c r="E113" s="41">
        <v>1000</v>
      </c>
      <c r="F113" s="62">
        <v>0</v>
      </c>
      <c r="G113" s="62">
        <v>0</v>
      </c>
      <c r="H113" s="62">
        <f t="shared" si="1"/>
        <v>0</v>
      </c>
      <c r="I113" s="62">
        <f t="shared" si="2"/>
        <v>0</v>
      </c>
      <c r="J113" s="63">
        <v>1</v>
      </c>
      <c r="K113" s="62">
        <v>0</v>
      </c>
      <c r="L113" s="62">
        <f t="shared" si="4"/>
        <v>0</v>
      </c>
      <c r="M113" s="62">
        <f t="shared" si="15"/>
        <v>0</v>
      </c>
      <c r="N113" s="62">
        <f t="shared" si="6"/>
        <v>0</v>
      </c>
      <c r="O113" s="61">
        <f t="shared" si="7"/>
        <v>-1</v>
      </c>
      <c r="P113" s="61">
        <f t="shared" si="8"/>
        <v>0.84033613445378152</v>
      </c>
      <c r="Q113" s="64">
        <f t="shared" si="9"/>
        <v>1</v>
      </c>
      <c r="R113" s="41">
        <v>1</v>
      </c>
      <c r="S113" s="40"/>
      <c r="T113" s="74"/>
      <c r="U113" s="74"/>
      <c r="V113" s="74"/>
      <c r="W113" s="74"/>
      <c r="X113" s="31">
        <v>0</v>
      </c>
      <c r="Y113" s="76"/>
      <c r="Z113" s="8" t="str">
        <f t="shared" si="14"/>
        <v>Descuentos</v>
      </c>
      <c r="AA113" s="31" t="s">
        <v>160</v>
      </c>
      <c r="AB113" s="31">
        <v>-1</v>
      </c>
    </row>
    <row r="114" spans="1:28" ht="13.2">
      <c r="A114" s="59" t="s">
        <v>76</v>
      </c>
      <c r="B114" s="8" t="str">
        <f>CONCATENATE(C114," / ",E114," Litros")</f>
        <v>Detergente Azul / 5 Litros</v>
      </c>
      <c r="C114" s="17" t="s">
        <v>991</v>
      </c>
      <c r="D114" s="61" t="str">
        <f t="shared" si="59"/>
        <v>Detergente Azul</v>
      </c>
      <c r="E114" s="41">
        <v>5</v>
      </c>
      <c r="F114" s="62">
        <v>1092.4369747899161</v>
      </c>
      <c r="G114" s="62">
        <v>0</v>
      </c>
      <c r="H114" s="62">
        <f t="shared" si="1"/>
        <v>1092.4369747899161</v>
      </c>
      <c r="I114" s="62">
        <f t="shared" si="2"/>
        <v>207.56302521008408</v>
      </c>
      <c r="J114" s="63">
        <v>0.48</v>
      </c>
      <c r="K114" s="62">
        <f t="shared" si="3"/>
        <v>2100.840336134454</v>
      </c>
      <c r="L114" s="62">
        <f t="shared" si="4"/>
        <v>399.15966386554624</v>
      </c>
      <c r="M114" s="62">
        <f t="shared" si="15"/>
        <v>2500</v>
      </c>
      <c r="N114" s="62">
        <f t="shared" si="6"/>
        <v>1008.4033613445379</v>
      </c>
      <c r="O114" s="61">
        <f t="shared" si="7"/>
        <v>0</v>
      </c>
      <c r="P114" s="61">
        <f t="shared" si="8"/>
        <v>2100.840336134454</v>
      </c>
      <c r="Q114" s="64">
        <f t="shared" si="9"/>
        <v>0.48</v>
      </c>
      <c r="R114" s="26">
        <v>2500</v>
      </c>
      <c r="S114" s="12">
        <f>1300/5</f>
        <v>260</v>
      </c>
      <c r="T114" s="40">
        <f t="shared" ref="T114:T117" si="60">S114*E114</f>
        <v>1300</v>
      </c>
      <c r="U114" s="41">
        <v>0</v>
      </c>
      <c r="V114" s="40">
        <f t="shared" ref="V114:V127" si="61">T114+U114</f>
        <v>1300</v>
      </c>
      <c r="W114" s="40">
        <f t="shared" ref="W114:W385" si="62">R114-V114</f>
        <v>1200</v>
      </c>
      <c r="X114" s="8">
        <f t="shared" ref="X114:X127" si="63">R114*5%</f>
        <v>125</v>
      </c>
      <c r="Y114" s="26"/>
      <c r="Z114" s="8" t="str">
        <f t="shared" si="14"/>
        <v>Detergente Azul / 5 Litros</v>
      </c>
      <c r="AA114" s="8"/>
    </row>
    <row r="115" spans="1:28" ht="13.2">
      <c r="A115" s="59" t="s">
        <v>76</v>
      </c>
      <c r="B115" s="8" t="str">
        <f t="shared" ref="B115:B117" si="64">CONCATENATE(C115," / ",E115," gramos")</f>
        <v>Detergente Bio Frescura Bosque Nativo (Verde) / 800 gramos</v>
      </c>
      <c r="C115" s="23" t="s">
        <v>1589</v>
      </c>
      <c r="D115" s="61" t="s">
        <v>482</v>
      </c>
      <c r="E115" s="41">
        <v>800</v>
      </c>
      <c r="F115" s="62">
        <v>882</v>
      </c>
      <c r="G115" s="62">
        <v>0</v>
      </c>
      <c r="H115" s="62">
        <f t="shared" si="1"/>
        <v>882</v>
      </c>
      <c r="I115" s="62">
        <f t="shared" si="2"/>
        <v>167.58</v>
      </c>
      <c r="J115" s="63">
        <v>0.34399999999999997</v>
      </c>
      <c r="K115" s="62">
        <f t="shared" si="3"/>
        <v>1344.5121951219512</v>
      </c>
      <c r="L115" s="62">
        <f t="shared" si="4"/>
        <v>255.45731707317074</v>
      </c>
      <c r="M115" s="62">
        <f t="shared" si="15"/>
        <v>1599.969512195122</v>
      </c>
      <c r="N115" s="62">
        <f t="shared" si="6"/>
        <v>462.51219512195121</v>
      </c>
      <c r="O115" s="61">
        <f t="shared" si="7"/>
        <v>-400.03048780487802</v>
      </c>
      <c r="P115" s="61">
        <f t="shared" si="8"/>
        <v>1680.6722689075632</v>
      </c>
      <c r="Q115" s="64">
        <f t="shared" si="9"/>
        <v>0.47521000000000002</v>
      </c>
      <c r="R115" s="26">
        <v>2000</v>
      </c>
      <c r="S115" s="12">
        <f t="shared" ref="S115:S117" si="65">1100/5</f>
        <v>220</v>
      </c>
      <c r="T115" s="40">
        <f t="shared" si="60"/>
        <v>176000</v>
      </c>
      <c r="U115" s="41">
        <v>0</v>
      </c>
      <c r="V115" s="40">
        <f t="shared" si="61"/>
        <v>176000</v>
      </c>
      <c r="W115" s="40">
        <f t="shared" si="62"/>
        <v>-174000</v>
      </c>
      <c r="X115" s="8">
        <f t="shared" si="63"/>
        <v>100</v>
      </c>
      <c r="Y115" s="26"/>
      <c r="Z115" s="8" t="str">
        <f t="shared" si="14"/>
        <v>Detergente Bio Frescura Bosque Nativo (Verde) / 800 gramos</v>
      </c>
      <c r="AA115" s="31" t="s">
        <v>483</v>
      </c>
      <c r="AB115" s="31">
        <v>-1</v>
      </c>
    </row>
    <row r="116" spans="1:28" ht="13.2">
      <c r="A116" s="59" t="s">
        <v>76</v>
      </c>
      <c r="B116" s="8" t="str">
        <f t="shared" si="64"/>
        <v>Detergente Bio Frescura Campos de Hielo (Azul) / 800 gramos</v>
      </c>
      <c r="C116" s="23" t="s">
        <v>1590</v>
      </c>
      <c r="D116" s="61" t="s">
        <v>482</v>
      </c>
      <c r="E116" s="41">
        <v>800</v>
      </c>
      <c r="F116" s="62">
        <v>882</v>
      </c>
      <c r="G116" s="62">
        <v>0</v>
      </c>
      <c r="H116" s="62">
        <f t="shared" si="1"/>
        <v>882</v>
      </c>
      <c r="I116" s="62">
        <f t="shared" si="2"/>
        <v>167.58</v>
      </c>
      <c r="J116" s="63">
        <v>0.34399999999999997</v>
      </c>
      <c r="K116" s="62">
        <f t="shared" si="3"/>
        <v>1344.5121951219512</v>
      </c>
      <c r="L116" s="62">
        <f t="shared" si="4"/>
        <v>255.45731707317074</v>
      </c>
      <c r="M116" s="62">
        <f t="shared" si="15"/>
        <v>1599.969512195122</v>
      </c>
      <c r="N116" s="62">
        <f t="shared" si="6"/>
        <v>462.51219512195121</v>
      </c>
      <c r="O116" s="61">
        <f t="shared" si="7"/>
        <v>-400.03048780487802</v>
      </c>
      <c r="P116" s="61">
        <f t="shared" si="8"/>
        <v>1680.6722689075632</v>
      </c>
      <c r="Q116" s="64">
        <f t="shared" si="9"/>
        <v>0.47521000000000002</v>
      </c>
      <c r="R116" s="26">
        <v>2000</v>
      </c>
      <c r="S116" s="12">
        <f t="shared" si="65"/>
        <v>220</v>
      </c>
      <c r="T116" s="40">
        <f t="shared" si="60"/>
        <v>176000</v>
      </c>
      <c r="U116" s="41">
        <v>0</v>
      </c>
      <c r="V116" s="40">
        <f t="shared" si="61"/>
        <v>176000</v>
      </c>
      <c r="W116" s="40">
        <f t="shared" si="62"/>
        <v>-174000</v>
      </c>
      <c r="X116" s="8">
        <f t="shared" si="63"/>
        <v>100</v>
      </c>
      <c r="Y116" s="26"/>
      <c r="Z116" s="8" t="str">
        <f t="shared" si="14"/>
        <v>Detergente Bio Frescura Campos de Hielo (Azul) / 800 gramos</v>
      </c>
      <c r="AA116" s="31" t="s">
        <v>484</v>
      </c>
      <c r="AB116" s="31">
        <v>-1</v>
      </c>
    </row>
    <row r="117" spans="1:28" ht="13.2">
      <c r="A117" s="59" t="s">
        <v>76</v>
      </c>
      <c r="B117" s="8" t="str">
        <f t="shared" si="64"/>
        <v>Detergente Bio Frescura Desierto Florido (Naranjo) / 800 gramos</v>
      </c>
      <c r="C117" s="23" t="s">
        <v>1591</v>
      </c>
      <c r="D117" s="61" t="s">
        <v>482</v>
      </c>
      <c r="E117" s="41">
        <v>800</v>
      </c>
      <c r="F117" s="62">
        <v>882</v>
      </c>
      <c r="G117" s="62">
        <v>0</v>
      </c>
      <c r="H117" s="62">
        <f t="shared" si="1"/>
        <v>882</v>
      </c>
      <c r="I117" s="62">
        <f t="shared" si="2"/>
        <v>167.58</v>
      </c>
      <c r="J117" s="63">
        <v>0.34399999999999997</v>
      </c>
      <c r="K117" s="62">
        <f t="shared" si="3"/>
        <v>1344.5121951219512</v>
      </c>
      <c r="L117" s="62">
        <f t="shared" si="4"/>
        <v>255.45731707317074</v>
      </c>
      <c r="M117" s="62">
        <f t="shared" si="15"/>
        <v>1599.969512195122</v>
      </c>
      <c r="N117" s="62">
        <f t="shared" si="6"/>
        <v>462.51219512195121</v>
      </c>
      <c r="O117" s="61">
        <f t="shared" si="7"/>
        <v>-400.03048780487802</v>
      </c>
      <c r="P117" s="61">
        <f t="shared" si="8"/>
        <v>1680.6722689075632</v>
      </c>
      <c r="Q117" s="64">
        <f t="shared" si="9"/>
        <v>0.47521000000000002</v>
      </c>
      <c r="R117" s="26">
        <v>2000</v>
      </c>
      <c r="S117" s="12">
        <f t="shared" si="65"/>
        <v>220</v>
      </c>
      <c r="T117" s="40">
        <f t="shared" si="60"/>
        <v>176000</v>
      </c>
      <c r="U117" s="41">
        <v>0</v>
      </c>
      <c r="V117" s="40">
        <f t="shared" si="61"/>
        <v>176000</v>
      </c>
      <c r="W117" s="40">
        <f t="shared" si="62"/>
        <v>-174000</v>
      </c>
      <c r="X117" s="8">
        <f t="shared" si="63"/>
        <v>100</v>
      </c>
      <c r="Y117" s="26"/>
      <c r="Z117" s="8" t="str">
        <f t="shared" si="14"/>
        <v>Detergente Bio Frescura Desierto Florido (Naranjo) / 800 gramos</v>
      </c>
      <c r="AA117" s="31" t="s">
        <v>485</v>
      </c>
      <c r="AB117" s="31">
        <v>-1</v>
      </c>
    </row>
    <row r="118" spans="1:28" ht="13.2">
      <c r="A118" s="59" t="s">
        <v>76</v>
      </c>
      <c r="B118" s="8" t="str">
        <f t="shared" ref="B118:B119" si="66">CONCATENATE(C118," / ",E118," Litros")</f>
        <v>Detergente Piel Sensible / 5 Litros</v>
      </c>
      <c r="C118" s="84" t="s">
        <v>406</v>
      </c>
      <c r="D118" s="61" t="str">
        <f t="shared" ref="D118:D120" si="67">C118</f>
        <v>Detergente Piel Sensible</v>
      </c>
      <c r="E118" s="41">
        <v>5</v>
      </c>
      <c r="F118" s="62">
        <v>2092.4369747899159</v>
      </c>
      <c r="G118" s="62">
        <v>0</v>
      </c>
      <c r="H118" s="62">
        <f t="shared" si="1"/>
        <v>2092.4369747899159</v>
      </c>
      <c r="I118" s="62">
        <f t="shared" si="2"/>
        <v>397.56302521008405</v>
      </c>
      <c r="J118" s="63">
        <v>0.2885714285714287</v>
      </c>
      <c r="K118" s="62">
        <f t="shared" si="3"/>
        <v>2941.1764705882356</v>
      </c>
      <c r="L118" s="62">
        <f t="shared" si="4"/>
        <v>558.82352941176475</v>
      </c>
      <c r="M118" s="62">
        <f t="shared" si="15"/>
        <v>3500.0000000000005</v>
      </c>
      <c r="N118" s="62">
        <f t="shared" si="6"/>
        <v>848.73949579831969</v>
      </c>
      <c r="O118" s="61">
        <f t="shared" si="7"/>
        <v>0</v>
      </c>
      <c r="P118" s="61">
        <f t="shared" si="8"/>
        <v>2941.1764705882356</v>
      </c>
      <c r="Q118" s="64">
        <f t="shared" si="9"/>
        <v>0.2885714285714287</v>
      </c>
      <c r="R118" s="77">
        <v>3500</v>
      </c>
      <c r="S118" s="12">
        <f t="shared" ref="S118:S119" si="68">2590/5</f>
        <v>518</v>
      </c>
      <c r="T118" s="41">
        <v>2490</v>
      </c>
      <c r="U118" s="41">
        <v>0</v>
      </c>
      <c r="V118" s="40">
        <f t="shared" si="61"/>
        <v>2490</v>
      </c>
      <c r="W118" s="40">
        <f t="shared" si="62"/>
        <v>1010</v>
      </c>
      <c r="X118" s="8">
        <f t="shared" si="63"/>
        <v>175</v>
      </c>
      <c r="Y118" s="26"/>
      <c r="Z118" s="8" t="str">
        <f t="shared" si="14"/>
        <v>Detergente Piel Sensible / 5 Litros</v>
      </c>
      <c r="AA118" s="31" t="s">
        <v>407</v>
      </c>
      <c r="AB118" s="31">
        <v>-1</v>
      </c>
    </row>
    <row r="119" spans="1:28" ht="13.2">
      <c r="A119" s="59" t="s">
        <v>76</v>
      </c>
      <c r="B119" s="8" t="str">
        <f t="shared" si="66"/>
        <v>Detergente Premium / 5 Litros</v>
      </c>
      <c r="C119" s="84" t="s">
        <v>397</v>
      </c>
      <c r="D119" s="61" t="str">
        <f t="shared" si="67"/>
        <v>Detergente Premium</v>
      </c>
      <c r="E119" s="41">
        <v>5</v>
      </c>
      <c r="F119" s="62">
        <v>2176.4705882352941</v>
      </c>
      <c r="G119" s="62">
        <v>0</v>
      </c>
      <c r="H119" s="62">
        <f t="shared" si="1"/>
        <v>2176.4705882352941</v>
      </c>
      <c r="I119" s="62">
        <f t="shared" si="2"/>
        <v>413.52941176470591</v>
      </c>
      <c r="J119" s="63">
        <v>0.26000000000000012</v>
      </c>
      <c r="K119" s="62">
        <f t="shared" si="3"/>
        <v>2941.1764705882356</v>
      </c>
      <c r="L119" s="62">
        <f t="shared" si="4"/>
        <v>558.82352941176475</v>
      </c>
      <c r="M119" s="62">
        <f t="shared" si="15"/>
        <v>3500.0000000000005</v>
      </c>
      <c r="N119" s="62">
        <f t="shared" si="6"/>
        <v>764.70588235294144</v>
      </c>
      <c r="O119" s="61">
        <f t="shared" si="7"/>
        <v>0</v>
      </c>
      <c r="P119" s="61">
        <f t="shared" si="8"/>
        <v>2941.1764705882356</v>
      </c>
      <c r="Q119" s="64">
        <f t="shared" si="9"/>
        <v>0.26000000000000012</v>
      </c>
      <c r="R119" s="77">
        <v>3500</v>
      </c>
      <c r="S119" s="12">
        <f t="shared" si="68"/>
        <v>518</v>
      </c>
      <c r="T119" s="41">
        <v>2590</v>
      </c>
      <c r="U119" s="41">
        <v>0</v>
      </c>
      <c r="V119" s="40">
        <f t="shared" si="61"/>
        <v>2590</v>
      </c>
      <c r="W119" s="40">
        <f t="shared" si="62"/>
        <v>910</v>
      </c>
      <c r="X119" s="8">
        <f t="shared" si="63"/>
        <v>175</v>
      </c>
      <c r="Y119" s="26"/>
      <c r="Z119" s="8" t="str">
        <f t="shared" si="14"/>
        <v>Detergente Premium / 5 Litros</v>
      </c>
      <c r="AA119" s="31" t="s">
        <v>398</v>
      </c>
      <c r="AB119" s="31">
        <v>-1</v>
      </c>
    </row>
    <row r="120" spans="1:28" ht="13.2">
      <c r="A120" s="59" t="s">
        <v>947</v>
      </c>
      <c r="B120" s="8" t="str">
        <f>CONCATENATE(C120," / ",E120," gramos / $",M120)</f>
        <v>Dulces varios / 50 gramos / $500</v>
      </c>
      <c r="C120" s="31" t="s">
        <v>1007</v>
      </c>
      <c r="D120" s="61" t="str">
        <f t="shared" si="67"/>
        <v>Dulces varios</v>
      </c>
      <c r="E120" s="41">
        <v>50</v>
      </c>
      <c r="F120" s="62">
        <v>168.0672268907563</v>
      </c>
      <c r="G120" s="62">
        <v>66.722689075630257</v>
      </c>
      <c r="H120" s="62">
        <f t="shared" si="1"/>
        <v>234.78991596638656</v>
      </c>
      <c r="I120" s="62">
        <f t="shared" si="2"/>
        <v>44.610084033613447</v>
      </c>
      <c r="J120" s="63">
        <v>0.44120000000000004</v>
      </c>
      <c r="K120" s="62">
        <f t="shared" si="3"/>
        <v>420.1680672268908</v>
      </c>
      <c r="L120" s="62">
        <f t="shared" si="4"/>
        <v>79.831932773109259</v>
      </c>
      <c r="M120" s="62">
        <f t="shared" si="15"/>
        <v>500.00000000000006</v>
      </c>
      <c r="N120" s="62">
        <f t="shared" si="6"/>
        <v>185.37815126050424</v>
      </c>
      <c r="O120" s="61">
        <f t="shared" si="7"/>
        <v>0</v>
      </c>
      <c r="P120" s="61">
        <f t="shared" si="8"/>
        <v>420.1680672268908</v>
      </c>
      <c r="Q120" s="64">
        <f t="shared" si="9"/>
        <v>0.44120000000000004</v>
      </c>
      <c r="R120" s="41">
        <v>500</v>
      </c>
      <c r="S120" s="41">
        <v>4000</v>
      </c>
      <c r="T120" s="40">
        <f>S120*E120/1000</f>
        <v>200</v>
      </c>
      <c r="U120" s="12">
        <f>73+160/25</f>
        <v>79.400000000000006</v>
      </c>
      <c r="V120" s="40">
        <f t="shared" si="61"/>
        <v>279.39999999999998</v>
      </c>
      <c r="W120" s="40">
        <f t="shared" si="62"/>
        <v>220.60000000000002</v>
      </c>
      <c r="X120" s="8">
        <f t="shared" si="63"/>
        <v>25</v>
      </c>
      <c r="Y120" s="76"/>
      <c r="Z120" s="8" t="str">
        <f t="shared" si="14"/>
        <v>Dulces varios / 50 gramos / $500</v>
      </c>
      <c r="AA120" s="8"/>
    </row>
    <row r="121" spans="1:28" ht="13.2">
      <c r="A121" s="59" t="s">
        <v>47</v>
      </c>
      <c r="B121" s="8" t="str">
        <f t="shared" ref="B121:B127" si="69">CONCATENATE(C121,E121)</f>
        <v>Escobillon</v>
      </c>
      <c r="C121" s="67" t="s">
        <v>153</v>
      </c>
      <c r="D121" s="83" t="s">
        <v>153</v>
      </c>
      <c r="E121" s="41"/>
      <c r="F121" s="62">
        <f>(11455+32510)/48</f>
        <v>915.9375</v>
      </c>
      <c r="G121" s="62">
        <v>0</v>
      </c>
      <c r="H121" s="62">
        <f t="shared" si="1"/>
        <v>915.9375</v>
      </c>
      <c r="I121" s="62">
        <f t="shared" si="2"/>
        <v>174.02812499999999</v>
      </c>
      <c r="J121" s="63">
        <v>0.42635000000000001</v>
      </c>
      <c r="K121" s="62">
        <f t="shared" si="3"/>
        <v>1596.6835178244573</v>
      </c>
      <c r="L121" s="62">
        <f t="shared" si="4"/>
        <v>303.36986838664689</v>
      </c>
      <c r="M121" s="62">
        <f t="shared" si="15"/>
        <v>1900.0533862111042</v>
      </c>
      <c r="N121" s="62">
        <f t="shared" si="6"/>
        <v>680.74601782445734</v>
      </c>
      <c r="O121" s="61">
        <f t="shared" si="7"/>
        <v>-1099.9466137888958</v>
      </c>
      <c r="P121" s="61">
        <f t="shared" si="8"/>
        <v>2521.0084033613448</v>
      </c>
      <c r="Q121" s="64">
        <f t="shared" si="9"/>
        <v>0.63667812499999998</v>
      </c>
      <c r="R121" s="77">
        <v>3000</v>
      </c>
      <c r="S121" s="26">
        <v>2097</v>
      </c>
      <c r="T121" s="26">
        <v>2097</v>
      </c>
      <c r="U121" s="41">
        <v>0</v>
      </c>
      <c r="V121" s="40">
        <f t="shared" si="61"/>
        <v>2097</v>
      </c>
      <c r="W121" s="40">
        <f t="shared" si="62"/>
        <v>903</v>
      </c>
      <c r="X121" s="8">
        <f t="shared" si="63"/>
        <v>150</v>
      </c>
      <c r="Y121" s="26"/>
      <c r="Z121" s="8" t="str">
        <f t="shared" si="14"/>
        <v>Escobillon</v>
      </c>
      <c r="AA121" s="31" t="s">
        <v>432</v>
      </c>
      <c r="AB121" s="31">
        <v>-1</v>
      </c>
    </row>
    <row r="122" spans="1:28" ht="13.2">
      <c r="A122" s="59" t="s">
        <v>47</v>
      </c>
      <c r="B122" s="8" t="str">
        <f t="shared" si="69"/>
        <v>Esponja Escalonada</v>
      </c>
      <c r="C122" s="23" t="s">
        <v>75</v>
      </c>
      <c r="D122" s="61" t="s">
        <v>416</v>
      </c>
      <c r="E122" s="41"/>
      <c r="F122" s="62">
        <f>102</f>
        <v>102</v>
      </c>
      <c r="G122" s="62">
        <v>0</v>
      </c>
      <c r="H122" s="62">
        <f t="shared" si="1"/>
        <v>102</v>
      </c>
      <c r="I122" s="62">
        <f t="shared" si="2"/>
        <v>19.38</v>
      </c>
      <c r="J122" s="63">
        <v>0.51480000000000004</v>
      </c>
      <c r="K122" s="62">
        <f t="shared" si="3"/>
        <v>210.22258862324816</v>
      </c>
      <c r="L122" s="62">
        <f t="shared" si="4"/>
        <v>39.942291838417148</v>
      </c>
      <c r="M122" s="62">
        <f t="shared" si="15"/>
        <v>250.16488046166529</v>
      </c>
      <c r="N122" s="62">
        <f t="shared" si="6"/>
        <v>108.22258862324816</v>
      </c>
      <c r="O122" s="61">
        <f t="shared" si="7"/>
        <v>-3349.8351195383348</v>
      </c>
      <c r="P122" s="61">
        <f t="shared" si="8"/>
        <v>3025.2100840336134</v>
      </c>
      <c r="Q122" s="64">
        <f t="shared" si="9"/>
        <v>0.96628333333333338</v>
      </c>
      <c r="R122" s="26">
        <v>3600</v>
      </c>
      <c r="S122" s="26">
        <v>2531</v>
      </c>
      <c r="T122" s="40">
        <f>S122*E122/1000</f>
        <v>0</v>
      </c>
      <c r="U122" s="41">
        <v>0</v>
      </c>
      <c r="V122" s="40">
        <f t="shared" si="61"/>
        <v>0</v>
      </c>
      <c r="W122" s="40">
        <f t="shared" si="62"/>
        <v>3600</v>
      </c>
      <c r="X122" s="8">
        <f t="shared" si="63"/>
        <v>180</v>
      </c>
      <c r="Y122" s="26"/>
      <c r="Z122" s="8" t="str">
        <f t="shared" si="14"/>
        <v>Esponja Escalonada</v>
      </c>
      <c r="AA122" s="31" t="s">
        <v>417</v>
      </c>
      <c r="AB122" s="31">
        <v>-1</v>
      </c>
    </row>
    <row r="123" spans="1:28" ht="13.2">
      <c r="A123" s="59" t="s">
        <v>147</v>
      </c>
      <c r="B123" s="8" t="str">
        <f t="shared" si="69"/>
        <v>Film Embalaje 1,7kg (1,4kg Neto/350 Metros aprox.)</v>
      </c>
      <c r="C123" s="67" t="s">
        <v>296</v>
      </c>
      <c r="D123" s="61" t="s">
        <v>455</v>
      </c>
      <c r="F123" s="62">
        <v>2600</v>
      </c>
      <c r="G123" s="62">
        <v>0</v>
      </c>
      <c r="H123" s="62">
        <f t="shared" si="1"/>
        <v>2600</v>
      </c>
      <c r="I123" s="62">
        <f t="shared" si="2"/>
        <v>494</v>
      </c>
      <c r="J123" s="63">
        <v>0.48433999999999999</v>
      </c>
      <c r="K123" s="62">
        <f t="shared" si="3"/>
        <v>5042.0819920102394</v>
      </c>
      <c r="L123" s="62">
        <f t="shared" si="4"/>
        <v>957.99557848194547</v>
      </c>
      <c r="M123" s="62">
        <f t="shared" si="15"/>
        <v>6000.0775704921853</v>
      </c>
      <c r="N123" s="62">
        <f t="shared" si="6"/>
        <v>2442.0819920102394</v>
      </c>
      <c r="O123" s="61">
        <f t="shared" si="7"/>
        <v>-17999.922429507817</v>
      </c>
      <c r="P123" s="61">
        <f t="shared" si="8"/>
        <v>20168.067226890758</v>
      </c>
      <c r="Q123" s="64">
        <f t="shared" si="9"/>
        <v>0.87108333333333332</v>
      </c>
      <c r="R123" s="65">
        <v>24000</v>
      </c>
      <c r="S123" s="41">
        <v>15835</v>
      </c>
      <c r="T123" s="41">
        <f t="shared" ref="T123:T127" si="70">S123</f>
        <v>15835</v>
      </c>
      <c r="U123" s="41">
        <v>0</v>
      </c>
      <c r="V123" s="40">
        <f t="shared" si="61"/>
        <v>15835</v>
      </c>
      <c r="W123" s="40">
        <f t="shared" si="62"/>
        <v>8165</v>
      </c>
      <c r="X123" s="8">
        <f t="shared" si="63"/>
        <v>1200</v>
      </c>
      <c r="Y123" s="26"/>
      <c r="Z123" s="8" t="str">
        <f t="shared" si="14"/>
        <v>Film Embalaje 1,7kg (1,4kg Neto/350 Metros aprox.)</v>
      </c>
      <c r="AA123" s="31" t="s">
        <v>455</v>
      </c>
      <c r="AB123" s="31">
        <v>-1</v>
      </c>
    </row>
    <row r="124" spans="1:28" ht="13.2">
      <c r="A124" s="59" t="s">
        <v>147</v>
      </c>
      <c r="B124" s="8" t="str">
        <f t="shared" si="69"/>
        <v>Film Plástico 1.400 Metros</v>
      </c>
      <c r="C124" s="23" t="s">
        <v>159</v>
      </c>
      <c r="D124" s="61" t="s">
        <v>412</v>
      </c>
      <c r="F124" s="62">
        <v>13306.72268907563</v>
      </c>
      <c r="G124" s="62">
        <v>0</v>
      </c>
      <c r="H124" s="62">
        <f t="shared" si="1"/>
        <v>13306.72268907563</v>
      </c>
      <c r="I124" s="62">
        <f t="shared" si="2"/>
        <v>2528.2773109243699</v>
      </c>
      <c r="J124" s="63">
        <v>0.34020833333333345</v>
      </c>
      <c r="K124" s="62">
        <f t="shared" si="3"/>
        <v>20168.067226890758</v>
      </c>
      <c r="L124" s="62">
        <f t="shared" si="4"/>
        <v>3831.932773109244</v>
      </c>
      <c r="M124" s="62">
        <f t="shared" si="15"/>
        <v>24000.000000000004</v>
      </c>
      <c r="N124" s="62">
        <f t="shared" si="6"/>
        <v>6861.3445378151282</v>
      </c>
      <c r="O124" s="61">
        <f t="shared" si="7"/>
        <v>0</v>
      </c>
      <c r="P124" s="61">
        <f t="shared" si="8"/>
        <v>20168.067226890758</v>
      </c>
      <c r="Q124" s="64">
        <f t="shared" si="9"/>
        <v>0.34020833333333345</v>
      </c>
      <c r="R124" s="41">
        <v>24000</v>
      </c>
      <c r="S124" s="41">
        <v>15835</v>
      </c>
      <c r="T124" s="41">
        <f t="shared" si="70"/>
        <v>15835</v>
      </c>
      <c r="U124" s="41">
        <v>0</v>
      </c>
      <c r="V124" s="40">
        <f t="shared" si="61"/>
        <v>15835</v>
      </c>
      <c r="W124" s="40">
        <f t="shared" si="62"/>
        <v>8165</v>
      </c>
      <c r="X124" s="8">
        <f t="shared" si="63"/>
        <v>1200</v>
      </c>
      <c r="Y124" s="26"/>
      <c r="Z124" s="8" t="str">
        <f t="shared" si="14"/>
        <v>Film Plástico 1.400 Metros</v>
      </c>
      <c r="AA124" s="31" t="s">
        <v>510</v>
      </c>
      <c r="AB124" s="31">
        <v>-1</v>
      </c>
    </row>
    <row r="125" spans="1:28" ht="13.2">
      <c r="A125" s="59" t="s">
        <v>147</v>
      </c>
      <c r="B125" s="8" t="str">
        <f t="shared" si="69"/>
        <v>Film Plástico 100 Metros</v>
      </c>
      <c r="C125" s="23" t="s">
        <v>257</v>
      </c>
      <c r="D125" s="61" t="s">
        <v>412</v>
      </c>
      <c r="E125" s="41"/>
      <c r="F125" s="62">
        <v>1680.6722689075632</v>
      </c>
      <c r="G125" s="62">
        <v>0</v>
      </c>
      <c r="H125" s="62">
        <f t="shared" si="1"/>
        <v>1680.6722689075632</v>
      </c>
      <c r="I125" s="62">
        <f t="shared" si="2"/>
        <v>319.32773109243703</v>
      </c>
      <c r="J125" s="63">
        <v>0.5</v>
      </c>
      <c r="K125" s="62">
        <f t="shared" si="3"/>
        <v>3361.3445378151264</v>
      </c>
      <c r="L125" s="62">
        <f t="shared" si="4"/>
        <v>638.65546218487407</v>
      </c>
      <c r="M125" s="62">
        <f t="shared" si="15"/>
        <v>4000.0000000000005</v>
      </c>
      <c r="N125" s="62">
        <f t="shared" si="6"/>
        <v>1680.6722689075632</v>
      </c>
      <c r="O125" s="61">
        <f t="shared" si="7"/>
        <v>0</v>
      </c>
      <c r="P125" s="61">
        <f t="shared" si="8"/>
        <v>3361.3445378151264</v>
      </c>
      <c r="Q125" s="64">
        <f t="shared" si="9"/>
        <v>0.5</v>
      </c>
      <c r="R125" s="41">
        <v>4000</v>
      </c>
      <c r="S125" s="41">
        <v>2000</v>
      </c>
      <c r="T125" s="41">
        <f t="shared" si="70"/>
        <v>2000</v>
      </c>
      <c r="U125" s="41">
        <v>0</v>
      </c>
      <c r="V125" s="40">
        <f t="shared" si="61"/>
        <v>2000</v>
      </c>
      <c r="W125" s="40">
        <f t="shared" si="62"/>
        <v>2000</v>
      </c>
      <c r="X125" s="8">
        <f t="shared" si="63"/>
        <v>200</v>
      </c>
      <c r="Y125" s="26"/>
      <c r="Z125" s="8" t="str">
        <f t="shared" si="14"/>
        <v>Film Plástico 100 Metros</v>
      </c>
      <c r="AA125" s="31" t="s">
        <v>456</v>
      </c>
      <c r="AB125" s="31">
        <v>-1</v>
      </c>
    </row>
    <row r="126" spans="1:28" ht="13.2">
      <c r="A126" s="59" t="s">
        <v>147</v>
      </c>
      <c r="B126" s="8" t="str">
        <f t="shared" si="69"/>
        <v>Film Plástico 30 Metros</v>
      </c>
      <c r="C126" s="67" t="s">
        <v>149</v>
      </c>
      <c r="D126" s="61" t="s">
        <v>412</v>
      </c>
      <c r="E126" s="41"/>
      <c r="F126" s="62">
        <v>653.78151260504205</v>
      </c>
      <c r="G126" s="62">
        <v>0</v>
      </c>
      <c r="H126" s="62">
        <f t="shared" si="1"/>
        <v>653.78151260504205</v>
      </c>
      <c r="I126" s="62">
        <f t="shared" si="2"/>
        <v>124.21848739495799</v>
      </c>
      <c r="J126" s="63">
        <v>0.54235294117647059</v>
      </c>
      <c r="K126" s="62">
        <f t="shared" si="3"/>
        <v>1428.5714285714287</v>
      </c>
      <c r="L126" s="62">
        <f t="shared" si="4"/>
        <v>271.42857142857144</v>
      </c>
      <c r="M126" s="62">
        <f t="shared" si="15"/>
        <v>1700</v>
      </c>
      <c r="N126" s="62">
        <f t="shared" si="6"/>
        <v>774.78991596638662</v>
      </c>
      <c r="O126" s="61">
        <f t="shared" si="7"/>
        <v>0</v>
      </c>
      <c r="P126" s="61">
        <f t="shared" si="8"/>
        <v>1428.5714285714287</v>
      </c>
      <c r="Q126" s="64">
        <f t="shared" si="9"/>
        <v>0.54235294117647059</v>
      </c>
      <c r="R126" s="65">
        <v>1700</v>
      </c>
      <c r="S126" s="41">
        <v>778</v>
      </c>
      <c r="T126" s="41">
        <f t="shared" si="70"/>
        <v>778</v>
      </c>
      <c r="U126" s="41">
        <v>0</v>
      </c>
      <c r="V126" s="40">
        <f t="shared" si="61"/>
        <v>778</v>
      </c>
      <c r="W126" s="40">
        <f t="shared" si="62"/>
        <v>922</v>
      </c>
      <c r="X126" s="8">
        <f t="shared" si="63"/>
        <v>85</v>
      </c>
      <c r="Y126" s="26"/>
      <c r="Z126" s="8" t="str">
        <f t="shared" si="14"/>
        <v>Film Plástico 30 Metros</v>
      </c>
      <c r="AA126" s="31" t="s">
        <v>1046</v>
      </c>
      <c r="AB126" s="31">
        <v>-1</v>
      </c>
    </row>
    <row r="127" spans="1:28" ht="13.2">
      <c r="A127" s="59" t="s">
        <v>147</v>
      </c>
      <c r="B127" s="8" t="str">
        <f t="shared" si="69"/>
        <v>Film Plástico 300 Metros</v>
      </c>
      <c r="C127" s="67" t="s">
        <v>248</v>
      </c>
      <c r="D127" s="61" t="s">
        <v>412</v>
      </c>
      <c r="E127" s="41"/>
      <c r="F127" s="62">
        <v>4789.9159663865548</v>
      </c>
      <c r="G127" s="62">
        <v>0</v>
      </c>
      <c r="H127" s="62">
        <f t="shared" si="1"/>
        <v>4789.9159663865548</v>
      </c>
      <c r="I127" s="62">
        <f t="shared" si="2"/>
        <v>910.0840336134454</v>
      </c>
      <c r="J127" s="63">
        <v>0.3666666666666667</v>
      </c>
      <c r="K127" s="62">
        <f t="shared" si="3"/>
        <v>7563.0252100840344</v>
      </c>
      <c r="L127" s="62">
        <f t="shared" si="4"/>
        <v>1436.9747899159665</v>
      </c>
      <c r="M127" s="62">
        <f t="shared" si="15"/>
        <v>9000</v>
      </c>
      <c r="N127" s="62">
        <f t="shared" si="6"/>
        <v>2773.1092436974795</v>
      </c>
      <c r="O127" s="61">
        <f t="shared" si="7"/>
        <v>0</v>
      </c>
      <c r="P127" s="61">
        <f t="shared" si="8"/>
        <v>7563.0252100840344</v>
      </c>
      <c r="Q127" s="64">
        <f t="shared" si="9"/>
        <v>0.3666666666666667</v>
      </c>
      <c r="R127" s="65">
        <v>9000</v>
      </c>
      <c r="S127" s="41">
        <v>5700</v>
      </c>
      <c r="T127" s="41">
        <f t="shared" si="70"/>
        <v>5700</v>
      </c>
      <c r="U127" s="41">
        <v>0</v>
      </c>
      <c r="V127" s="40">
        <f t="shared" si="61"/>
        <v>5700</v>
      </c>
      <c r="W127" s="40">
        <f t="shared" si="62"/>
        <v>3300</v>
      </c>
      <c r="X127" s="8">
        <f t="shared" si="63"/>
        <v>450</v>
      </c>
      <c r="Y127" s="26"/>
      <c r="Z127" s="8" t="str">
        <f t="shared" si="14"/>
        <v>Film Plástico 300 Metros</v>
      </c>
      <c r="AA127" s="31" t="s">
        <v>413</v>
      </c>
      <c r="AB127" s="31">
        <v>-1</v>
      </c>
    </row>
    <row r="128" spans="1:28" ht="13.2">
      <c r="A128" s="59" t="s">
        <v>861</v>
      </c>
      <c r="B128" s="8" t="str">
        <f>CONCATENATE(C128," / ",E128," gramos")</f>
        <v>Garbanzos / 1000 gramos</v>
      </c>
      <c r="C128" s="83" t="s">
        <v>864</v>
      </c>
      <c r="D128" s="61" t="s">
        <v>864</v>
      </c>
      <c r="E128" s="41">
        <v>1000</v>
      </c>
      <c r="F128" s="62">
        <f>3000/1.19</f>
        <v>2521.0084033613448</v>
      </c>
      <c r="G128" s="62">
        <v>0</v>
      </c>
      <c r="H128" s="62">
        <f t="shared" si="1"/>
        <v>2521.0084033613448</v>
      </c>
      <c r="I128" s="62">
        <f t="shared" si="2"/>
        <v>478.99159663865549</v>
      </c>
      <c r="J128" s="63">
        <v>0</v>
      </c>
      <c r="K128" s="62">
        <f t="shared" si="3"/>
        <v>2521.0084033613448</v>
      </c>
      <c r="L128" s="62">
        <f t="shared" si="4"/>
        <v>478.99159663865549</v>
      </c>
      <c r="M128" s="62">
        <f t="shared" si="15"/>
        <v>3000.0000000000005</v>
      </c>
      <c r="N128" s="62">
        <f t="shared" si="6"/>
        <v>0</v>
      </c>
      <c r="O128" s="61">
        <f t="shared" si="7"/>
        <v>0</v>
      </c>
      <c r="P128" s="61">
        <f t="shared" si="8"/>
        <v>2521.0084033613448</v>
      </c>
      <c r="Q128" s="64">
        <f t="shared" si="9"/>
        <v>0</v>
      </c>
      <c r="R128" s="65">
        <v>3000</v>
      </c>
      <c r="S128" s="41">
        <v>3000</v>
      </c>
      <c r="T128" s="74"/>
      <c r="U128" s="74"/>
      <c r="V128" s="75">
        <f>S128</f>
        <v>3000</v>
      </c>
      <c r="W128" s="40">
        <f t="shared" si="62"/>
        <v>0</v>
      </c>
      <c r="X128" s="31">
        <v>0</v>
      </c>
      <c r="Y128" s="76"/>
      <c r="Z128" s="8" t="str">
        <f t="shared" si="14"/>
        <v>Garbanzos / 1000 gramos</v>
      </c>
      <c r="AA128" s="8"/>
    </row>
    <row r="129" spans="1:28" ht="13.2">
      <c r="A129" s="59" t="s">
        <v>947</v>
      </c>
      <c r="B129" s="8" t="str">
        <f t="shared" ref="B129:B135" si="71">CONCATENATE(C129," / ",E129," gramos / $",M129)</f>
        <v>Gomas - trufas / 250 gramos / $1400</v>
      </c>
      <c r="C129" s="60" t="s">
        <v>1010</v>
      </c>
      <c r="D129" s="61" t="str">
        <f t="shared" ref="D129:D140" si="72">C129</f>
        <v>Gomas - trufas</v>
      </c>
      <c r="E129" s="41">
        <v>250</v>
      </c>
      <c r="F129" s="62">
        <v>840.3361344537816</v>
      </c>
      <c r="G129" s="62">
        <v>119.32773109243698</v>
      </c>
      <c r="H129" s="62">
        <f t="shared" si="1"/>
        <v>959.66386554621863</v>
      </c>
      <c r="I129" s="62">
        <f t="shared" si="2"/>
        <v>182.33613445378154</v>
      </c>
      <c r="J129" s="63">
        <v>0.18428571428571416</v>
      </c>
      <c r="K129" s="62">
        <f t="shared" si="3"/>
        <v>1176.4705882352941</v>
      </c>
      <c r="L129" s="62">
        <f t="shared" si="4"/>
        <v>223.52941176470588</v>
      </c>
      <c r="M129" s="62">
        <f t="shared" si="15"/>
        <v>1400</v>
      </c>
      <c r="N129" s="62">
        <f t="shared" si="6"/>
        <v>216.80672268907551</v>
      </c>
      <c r="O129" s="61">
        <f t="shared" si="7"/>
        <v>0</v>
      </c>
      <c r="P129" s="61">
        <f t="shared" si="8"/>
        <v>1176.4705882352941</v>
      </c>
      <c r="Q129" s="64">
        <f t="shared" si="9"/>
        <v>0.18428571428571416</v>
      </c>
      <c r="R129" s="65">
        <v>1400</v>
      </c>
      <c r="S129" s="41">
        <v>4000</v>
      </c>
      <c r="T129" s="40">
        <f t="shared" ref="T129:T135" si="73">S129*E129/1000</f>
        <v>1000</v>
      </c>
      <c r="U129" s="40">
        <f>7+40+95</f>
        <v>142</v>
      </c>
      <c r="V129" s="40">
        <f t="shared" ref="V129:V224" si="74">T129+U129</f>
        <v>1142</v>
      </c>
      <c r="W129" s="40">
        <f t="shared" si="62"/>
        <v>258</v>
      </c>
      <c r="X129" s="8">
        <f t="shared" ref="X129:X318" si="75">R129*5%</f>
        <v>70</v>
      </c>
      <c r="Y129" s="76"/>
      <c r="Z129" s="8" t="str">
        <f t="shared" si="14"/>
        <v>Gomas - trufas / 250 gramos / $1400</v>
      </c>
      <c r="AA129" s="8"/>
    </row>
    <row r="130" spans="1:28" ht="13.2">
      <c r="A130" s="59" t="s">
        <v>947</v>
      </c>
      <c r="B130" s="8" t="str">
        <f t="shared" si="71"/>
        <v>Gomas - trufas / 50 gramos / $500</v>
      </c>
      <c r="C130" s="60" t="s">
        <v>1010</v>
      </c>
      <c r="D130" s="61" t="str">
        <f t="shared" si="72"/>
        <v>Gomas - trufas</v>
      </c>
      <c r="E130" s="41">
        <v>50</v>
      </c>
      <c r="F130" s="62">
        <v>168.0672268907563</v>
      </c>
      <c r="G130" s="62">
        <v>66.722689075630257</v>
      </c>
      <c r="H130" s="62">
        <f t="shared" si="1"/>
        <v>234.78991596638656</v>
      </c>
      <c r="I130" s="62">
        <f t="shared" si="2"/>
        <v>44.610084033613447</v>
      </c>
      <c r="J130" s="63">
        <v>0.44120000000000004</v>
      </c>
      <c r="K130" s="62">
        <f t="shared" si="3"/>
        <v>420.1680672268908</v>
      </c>
      <c r="L130" s="62">
        <f t="shared" si="4"/>
        <v>79.831932773109259</v>
      </c>
      <c r="M130" s="62">
        <f t="shared" si="15"/>
        <v>500.00000000000006</v>
      </c>
      <c r="N130" s="62">
        <f t="shared" si="6"/>
        <v>185.37815126050424</v>
      </c>
      <c r="O130" s="61">
        <f t="shared" si="7"/>
        <v>0</v>
      </c>
      <c r="P130" s="61">
        <f t="shared" si="8"/>
        <v>420.1680672268908</v>
      </c>
      <c r="Q130" s="64">
        <f t="shared" si="9"/>
        <v>0.44120000000000004</v>
      </c>
      <c r="R130" s="65">
        <v>500</v>
      </c>
      <c r="S130" s="41">
        <v>4000</v>
      </c>
      <c r="T130" s="40">
        <f t="shared" si="73"/>
        <v>200</v>
      </c>
      <c r="U130" s="12">
        <f>73+160/25</f>
        <v>79.400000000000006</v>
      </c>
      <c r="V130" s="40">
        <f t="shared" si="74"/>
        <v>279.39999999999998</v>
      </c>
      <c r="W130" s="40">
        <f t="shared" si="62"/>
        <v>220.60000000000002</v>
      </c>
      <c r="X130" s="8">
        <f t="shared" si="75"/>
        <v>25</v>
      </c>
      <c r="Y130" s="82" t="s">
        <v>1579</v>
      </c>
      <c r="Z130" s="8" t="str">
        <f t="shared" si="14"/>
        <v>Gomas - trufas / 50 gramos / $500</v>
      </c>
      <c r="AA130" s="8"/>
      <c r="AB130" s="85"/>
    </row>
    <row r="131" spans="1:28" ht="13.2">
      <c r="A131" s="59" t="s">
        <v>947</v>
      </c>
      <c r="B131" s="8" t="str">
        <f t="shared" si="71"/>
        <v>Gomitas azucaradas / 250 gramos / $1400</v>
      </c>
      <c r="C131" s="31" t="s">
        <v>1008</v>
      </c>
      <c r="D131" s="61" t="str">
        <f t="shared" si="72"/>
        <v>Gomitas azucaradas</v>
      </c>
      <c r="E131" s="41">
        <v>250</v>
      </c>
      <c r="F131" s="62">
        <v>840.3361344537816</v>
      </c>
      <c r="G131" s="62">
        <v>119.32773109243698</v>
      </c>
      <c r="H131" s="62">
        <f t="shared" si="1"/>
        <v>959.66386554621863</v>
      </c>
      <c r="I131" s="62">
        <f t="shared" si="2"/>
        <v>182.33613445378154</v>
      </c>
      <c r="J131" s="63">
        <v>0.18428571428571416</v>
      </c>
      <c r="K131" s="62">
        <f t="shared" si="3"/>
        <v>1176.4705882352941</v>
      </c>
      <c r="L131" s="62">
        <f t="shared" si="4"/>
        <v>223.52941176470588</v>
      </c>
      <c r="M131" s="62">
        <f t="shared" si="15"/>
        <v>1400</v>
      </c>
      <c r="N131" s="62">
        <f t="shared" si="6"/>
        <v>216.80672268907551</v>
      </c>
      <c r="O131" s="61">
        <f t="shared" si="7"/>
        <v>0</v>
      </c>
      <c r="P131" s="61">
        <f t="shared" si="8"/>
        <v>1176.4705882352941</v>
      </c>
      <c r="Q131" s="64">
        <f t="shared" si="9"/>
        <v>0.18428571428571416</v>
      </c>
      <c r="R131" s="41">
        <v>1400</v>
      </c>
      <c r="S131" s="41">
        <v>4000</v>
      </c>
      <c r="T131" s="40">
        <f t="shared" si="73"/>
        <v>1000</v>
      </c>
      <c r="U131" s="40">
        <f>7+40+95</f>
        <v>142</v>
      </c>
      <c r="V131" s="40">
        <f t="shared" si="74"/>
        <v>1142</v>
      </c>
      <c r="W131" s="40">
        <f t="shared" si="62"/>
        <v>258</v>
      </c>
      <c r="X131" s="8">
        <f t="shared" si="75"/>
        <v>70</v>
      </c>
      <c r="Y131" s="76"/>
      <c r="Z131" s="8" t="str">
        <f t="shared" si="14"/>
        <v>Gomitas azucaradas / 250 gramos / $1400</v>
      </c>
      <c r="AA131" s="8"/>
      <c r="AB131" s="85"/>
    </row>
    <row r="132" spans="1:28" ht="13.2">
      <c r="A132" s="59" t="s">
        <v>947</v>
      </c>
      <c r="B132" s="8" t="str">
        <f t="shared" si="71"/>
        <v>Gomitas azucaradas / 70 gramos / $500</v>
      </c>
      <c r="C132" s="31" t="s">
        <v>1008</v>
      </c>
      <c r="D132" s="61" t="str">
        <f t="shared" si="72"/>
        <v>Gomitas azucaradas</v>
      </c>
      <c r="E132" s="41">
        <v>70</v>
      </c>
      <c r="F132" s="62">
        <v>235.29411764705884</v>
      </c>
      <c r="G132" s="62">
        <v>66.722689075630257</v>
      </c>
      <c r="H132" s="62">
        <f t="shared" si="1"/>
        <v>302.01680672268913</v>
      </c>
      <c r="I132" s="62">
        <f t="shared" si="2"/>
        <v>57.383193277310937</v>
      </c>
      <c r="J132" s="63">
        <v>0.28120000000000001</v>
      </c>
      <c r="K132" s="62">
        <f t="shared" si="3"/>
        <v>420.16806722689086</v>
      </c>
      <c r="L132" s="62">
        <f t="shared" si="4"/>
        <v>79.831932773109259</v>
      </c>
      <c r="M132" s="62">
        <f t="shared" si="15"/>
        <v>500.00000000000011</v>
      </c>
      <c r="N132" s="62">
        <f t="shared" si="6"/>
        <v>118.15126050420173</v>
      </c>
      <c r="O132" s="61">
        <f t="shared" si="7"/>
        <v>0</v>
      </c>
      <c r="P132" s="61">
        <f t="shared" si="8"/>
        <v>420.1680672268908</v>
      </c>
      <c r="Q132" s="64">
        <f t="shared" si="9"/>
        <v>0.28120000000000001</v>
      </c>
      <c r="R132" s="41">
        <v>500</v>
      </c>
      <c r="S132" s="41">
        <v>4000</v>
      </c>
      <c r="T132" s="40">
        <f t="shared" si="73"/>
        <v>280</v>
      </c>
      <c r="U132" s="12">
        <f>73+160/25</f>
        <v>79.400000000000006</v>
      </c>
      <c r="V132" s="40">
        <f t="shared" si="74"/>
        <v>359.4</v>
      </c>
      <c r="W132" s="40">
        <f t="shared" si="62"/>
        <v>140.60000000000002</v>
      </c>
      <c r="X132" s="8">
        <f t="shared" si="75"/>
        <v>25</v>
      </c>
      <c r="Y132" s="76"/>
      <c r="Z132" s="8" t="str">
        <f t="shared" si="14"/>
        <v>Gomitas azucaradas / 70 gramos / $500</v>
      </c>
      <c r="AA132" s="8"/>
      <c r="AB132" s="85"/>
    </row>
    <row r="133" spans="1:28" ht="13.2">
      <c r="A133" s="59" t="s">
        <v>947</v>
      </c>
      <c r="B133" s="8" t="str">
        <f t="shared" si="71"/>
        <v>Guaguitas / 250 gramos / $1400</v>
      </c>
      <c r="C133" s="31" t="s">
        <v>1000</v>
      </c>
      <c r="D133" s="61" t="str">
        <f t="shared" si="72"/>
        <v>Guaguitas</v>
      </c>
      <c r="E133" s="41">
        <v>250</v>
      </c>
      <c r="F133" s="62">
        <v>819.32773109243703</v>
      </c>
      <c r="G133" s="62">
        <v>119.32773109243698</v>
      </c>
      <c r="H133" s="62">
        <f t="shared" si="1"/>
        <v>938.65546218487407</v>
      </c>
      <c r="I133" s="62">
        <f t="shared" si="2"/>
        <v>178.34453781512607</v>
      </c>
      <c r="J133" s="63">
        <v>0.20214285714285707</v>
      </c>
      <c r="K133" s="62">
        <f t="shared" si="3"/>
        <v>1176.4705882352941</v>
      </c>
      <c r="L133" s="62">
        <f t="shared" si="4"/>
        <v>223.52941176470588</v>
      </c>
      <c r="M133" s="62">
        <f t="shared" si="15"/>
        <v>1400</v>
      </c>
      <c r="N133" s="62">
        <f t="shared" si="6"/>
        <v>237.81512605042008</v>
      </c>
      <c r="O133" s="61">
        <f t="shared" si="7"/>
        <v>0</v>
      </c>
      <c r="P133" s="61">
        <f t="shared" si="8"/>
        <v>1176.4705882352941</v>
      </c>
      <c r="Q133" s="64">
        <f t="shared" si="9"/>
        <v>0.20214285714285707</v>
      </c>
      <c r="R133" s="41">
        <v>1400</v>
      </c>
      <c r="S133" s="41">
        <f t="shared" ref="S133:S135" si="76">1950*2</f>
        <v>3900</v>
      </c>
      <c r="T133" s="40">
        <f t="shared" si="73"/>
        <v>975</v>
      </c>
      <c r="U133" s="40">
        <f>7+40+95</f>
        <v>142</v>
      </c>
      <c r="V133" s="40">
        <f t="shared" si="74"/>
        <v>1117</v>
      </c>
      <c r="W133" s="40">
        <f t="shared" si="62"/>
        <v>283</v>
      </c>
      <c r="X133" s="8">
        <f t="shared" si="75"/>
        <v>70</v>
      </c>
      <c r="Y133" s="76"/>
      <c r="Z133" s="8" t="str">
        <f t="shared" si="14"/>
        <v>Guaguitas / 250 gramos / $1400</v>
      </c>
      <c r="AA133" s="8"/>
      <c r="AB133" s="85"/>
    </row>
    <row r="134" spans="1:28" ht="13.2">
      <c r="A134" s="59" t="s">
        <v>947</v>
      </c>
      <c r="B134" s="8" t="str">
        <f t="shared" si="71"/>
        <v>Guaguitas / 50 gramos / $500</v>
      </c>
      <c r="C134" s="60" t="s">
        <v>1000</v>
      </c>
      <c r="D134" s="61" t="str">
        <f t="shared" si="72"/>
        <v>Guaguitas</v>
      </c>
      <c r="E134" s="41">
        <v>50</v>
      </c>
      <c r="F134" s="62">
        <v>163.8655462184874</v>
      </c>
      <c r="G134" s="62">
        <v>66.722689075630257</v>
      </c>
      <c r="H134" s="62">
        <f t="shared" si="1"/>
        <v>230.58823529411765</v>
      </c>
      <c r="I134" s="62">
        <f t="shared" si="2"/>
        <v>43.811764705882354</v>
      </c>
      <c r="J134" s="63">
        <v>0.45120000000000005</v>
      </c>
      <c r="K134" s="62">
        <f t="shared" si="3"/>
        <v>420.1680672268908</v>
      </c>
      <c r="L134" s="62">
        <f t="shared" si="4"/>
        <v>79.831932773109259</v>
      </c>
      <c r="M134" s="62">
        <f t="shared" si="15"/>
        <v>500.00000000000006</v>
      </c>
      <c r="N134" s="62">
        <f t="shared" si="6"/>
        <v>189.57983193277315</v>
      </c>
      <c r="O134" s="61">
        <f t="shared" si="7"/>
        <v>0</v>
      </c>
      <c r="P134" s="61">
        <f t="shared" si="8"/>
        <v>420.1680672268908</v>
      </c>
      <c r="Q134" s="64">
        <f t="shared" si="9"/>
        <v>0.45120000000000005</v>
      </c>
      <c r="R134" s="65">
        <v>500</v>
      </c>
      <c r="S134" s="41">
        <f t="shared" si="76"/>
        <v>3900</v>
      </c>
      <c r="T134" s="40">
        <f t="shared" si="73"/>
        <v>195</v>
      </c>
      <c r="U134" s="12">
        <f>73+160/25</f>
        <v>79.400000000000006</v>
      </c>
      <c r="V134" s="40">
        <f t="shared" si="74"/>
        <v>274.39999999999998</v>
      </c>
      <c r="W134" s="40">
        <f t="shared" si="62"/>
        <v>225.60000000000002</v>
      </c>
      <c r="X134" s="8">
        <f t="shared" si="75"/>
        <v>25</v>
      </c>
      <c r="Y134" s="76"/>
      <c r="Z134" s="8" t="str">
        <f t="shared" si="14"/>
        <v>Guaguitas / 50 gramos / $500</v>
      </c>
      <c r="AA134" s="8"/>
      <c r="AB134" s="85"/>
    </row>
    <row r="135" spans="1:28" ht="13.2">
      <c r="A135" s="59" t="s">
        <v>947</v>
      </c>
      <c r="B135" s="8" t="str">
        <f t="shared" si="71"/>
        <v>Guaguitas / 500 gramos / $2500</v>
      </c>
      <c r="C135" s="31" t="s">
        <v>1000</v>
      </c>
      <c r="D135" s="61" t="str">
        <f t="shared" si="72"/>
        <v>Guaguitas</v>
      </c>
      <c r="E135" s="41">
        <v>500</v>
      </c>
      <c r="F135" s="62">
        <v>1638.6554621848741</v>
      </c>
      <c r="G135" s="62">
        <v>119.32773109243698</v>
      </c>
      <c r="H135" s="62">
        <f t="shared" si="1"/>
        <v>1757.9831932773111</v>
      </c>
      <c r="I135" s="62">
        <f t="shared" si="2"/>
        <v>334.01680672268913</v>
      </c>
      <c r="J135" s="63">
        <v>0.16320000000000001</v>
      </c>
      <c r="K135" s="62">
        <f t="shared" si="3"/>
        <v>2100.840336134454</v>
      </c>
      <c r="L135" s="62">
        <f t="shared" si="4"/>
        <v>399.15966386554624</v>
      </c>
      <c r="M135" s="62">
        <f t="shared" si="15"/>
        <v>2500</v>
      </c>
      <c r="N135" s="62">
        <f t="shared" si="6"/>
        <v>342.85714285714289</v>
      </c>
      <c r="O135" s="61">
        <f t="shared" si="7"/>
        <v>0</v>
      </c>
      <c r="P135" s="61">
        <f t="shared" si="8"/>
        <v>2100.840336134454</v>
      </c>
      <c r="Q135" s="64">
        <f t="shared" si="9"/>
        <v>0.16320000000000001</v>
      </c>
      <c r="R135" s="41">
        <v>2500</v>
      </c>
      <c r="S135" s="41">
        <f t="shared" si="76"/>
        <v>3900</v>
      </c>
      <c r="T135" s="40">
        <f t="shared" si="73"/>
        <v>1950</v>
      </c>
      <c r="U135" s="40">
        <f>7+40+95</f>
        <v>142</v>
      </c>
      <c r="V135" s="40">
        <f t="shared" si="74"/>
        <v>2092</v>
      </c>
      <c r="W135" s="40">
        <f t="shared" si="62"/>
        <v>408</v>
      </c>
      <c r="X135" s="8">
        <f t="shared" si="75"/>
        <v>125</v>
      </c>
      <c r="Y135" s="76"/>
      <c r="Z135" s="8" t="str">
        <f t="shared" si="14"/>
        <v>Guaguitas / 500 gramos / $2500</v>
      </c>
      <c r="AA135" s="8"/>
      <c r="AB135" s="85"/>
    </row>
    <row r="136" spans="1:28" ht="13.2">
      <c r="A136" s="59" t="s">
        <v>869</v>
      </c>
      <c r="B136" s="8" t="str">
        <f t="shared" ref="B136:B137" si="77">CONCATENATE(C136,E136)</f>
        <v>Hielo 1 Kilo</v>
      </c>
      <c r="C136" s="60" t="s">
        <v>51</v>
      </c>
      <c r="D136" s="61" t="str">
        <f t="shared" si="72"/>
        <v>Hielo 1 Kilo</v>
      </c>
      <c r="E136" s="41"/>
      <c r="F136" s="62">
        <v>400</v>
      </c>
      <c r="G136" s="62">
        <v>0</v>
      </c>
      <c r="H136" s="62">
        <f t="shared" si="1"/>
        <v>400</v>
      </c>
      <c r="I136" s="62">
        <f t="shared" si="2"/>
        <v>76</v>
      </c>
      <c r="J136" s="63">
        <v>0.52400000000000002</v>
      </c>
      <c r="K136" s="62">
        <f t="shared" si="3"/>
        <v>840.3361344537816</v>
      </c>
      <c r="L136" s="62">
        <f t="shared" si="4"/>
        <v>159.66386554621852</v>
      </c>
      <c r="M136" s="62">
        <f t="shared" si="15"/>
        <v>1000.0000000000001</v>
      </c>
      <c r="N136" s="62">
        <f t="shared" si="6"/>
        <v>440.3361344537816</v>
      </c>
      <c r="O136" s="61">
        <f t="shared" si="7"/>
        <v>0</v>
      </c>
      <c r="P136" s="61">
        <f t="shared" si="8"/>
        <v>840.3361344537816</v>
      </c>
      <c r="Q136" s="64">
        <f t="shared" si="9"/>
        <v>0.52400000000000002</v>
      </c>
      <c r="R136" s="65">
        <v>1000</v>
      </c>
      <c r="S136" s="41">
        <v>428</v>
      </c>
      <c r="T136" s="41">
        <v>428</v>
      </c>
      <c r="U136" s="41">
        <v>0</v>
      </c>
      <c r="V136" s="40">
        <f t="shared" si="74"/>
        <v>428</v>
      </c>
      <c r="W136" s="40">
        <f t="shared" si="62"/>
        <v>572</v>
      </c>
      <c r="X136" s="8">
        <f t="shared" si="75"/>
        <v>50</v>
      </c>
      <c r="Y136" s="26"/>
      <c r="Z136" s="8" t="str">
        <f t="shared" si="14"/>
        <v>Hielo 1 Kilo</v>
      </c>
      <c r="AA136" s="31" t="s">
        <v>51</v>
      </c>
      <c r="AB136" s="31">
        <v>-1</v>
      </c>
    </row>
    <row r="137" spans="1:28" ht="13.2">
      <c r="A137" s="59" t="s">
        <v>869</v>
      </c>
      <c r="B137" s="8" t="str">
        <f t="shared" si="77"/>
        <v>Pack 5 Bolsas Hielo 1 Kilo</v>
      </c>
      <c r="C137" s="60" t="s">
        <v>528</v>
      </c>
      <c r="D137" s="61" t="str">
        <f t="shared" si="72"/>
        <v>Pack 5 Bolsas Hielo 1 Kilo</v>
      </c>
      <c r="E137" s="41"/>
      <c r="F137" s="62">
        <f>400*5</f>
        <v>2000</v>
      </c>
      <c r="G137" s="62">
        <v>0</v>
      </c>
      <c r="H137" s="62">
        <f t="shared" si="1"/>
        <v>2000</v>
      </c>
      <c r="I137" s="62">
        <f t="shared" si="2"/>
        <v>380</v>
      </c>
      <c r="J137" s="63">
        <v>0.47110000000000002</v>
      </c>
      <c r="K137" s="62">
        <f t="shared" si="3"/>
        <v>3781.4331631688415</v>
      </c>
      <c r="L137" s="62">
        <f t="shared" si="4"/>
        <v>718.47230100207992</v>
      </c>
      <c r="M137" s="62">
        <f t="shared" si="15"/>
        <v>4499.9054641709217</v>
      </c>
      <c r="N137" s="62">
        <f t="shared" si="6"/>
        <v>1781.4331631688415</v>
      </c>
      <c r="O137" s="61">
        <f t="shared" si="7"/>
        <v>3499.9054641709217</v>
      </c>
      <c r="P137" s="61">
        <f t="shared" si="8"/>
        <v>840.3361344537816</v>
      </c>
      <c r="Q137" s="64">
        <f t="shared" si="9"/>
        <v>-1.38</v>
      </c>
      <c r="R137" s="65">
        <v>1000</v>
      </c>
      <c r="S137" s="41">
        <v>428</v>
      </c>
      <c r="T137" s="41">
        <v>428</v>
      </c>
      <c r="U137" s="41">
        <v>0</v>
      </c>
      <c r="V137" s="40">
        <f t="shared" si="74"/>
        <v>428</v>
      </c>
      <c r="W137" s="40">
        <f t="shared" si="62"/>
        <v>572</v>
      </c>
      <c r="X137" s="8">
        <f t="shared" si="75"/>
        <v>50</v>
      </c>
      <c r="Y137" s="26"/>
      <c r="Z137" s="8" t="str">
        <f t="shared" si="14"/>
        <v>Pack 5 Bolsas Hielo 1 Kilo</v>
      </c>
      <c r="AA137" s="31" t="s">
        <v>51</v>
      </c>
      <c r="AB137" s="31">
        <v>-5</v>
      </c>
    </row>
    <row r="138" spans="1:28" ht="13.2">
      <c r="A138" s="59" t="s">
        <v>139</v>
      </c>
      <c r="B138" s="8" t="str">
        <f t="shared" ref="B138:B140" si="78">CONCATENATE(C138," / ",E138," gramos")</f>
        <v>Huesillos / 1000 gramos</v>
      </c>
      <c r="C138" s="31" t="s">
        <v>797</v>
      </c>
      <c r="D138" s="61" t="str">
        <f t="shared" si="72"/>
        <v>Huesillos</v>
      </c>
      <c r="E138" s="41">
        <v>1000</v>
      </c>
      <c r="F138" s="62">
        <v>5042.0168067226896</v>
      </c>
      <c r="G138" s="62">
        <v>0</v>
      </c>
      <c r="H138" s="62">
        <f t="shared" si="1"/>
        <v>5042.0168067226896</v>
      </c>
      <c r="I138" s="62">
        <f t="shared" si="2"/>
        <v>957.98319327731099</v>
      </c>
      <c r="J138" s="63">
        <v>0.25</v>
      </c>
      <c r="K138" s="62">
        <f t="shared" si="3"/>
        <v>6722.6890756302528</v>
      </c>
      <c r="L138" s="62">
        <f t="shared" si="4"/>
        <v>1277.3109243697481</v>
      </c>
      <c r="M138" s="62">
        <f t="shared" si="15"/>
        <v>8000.0000000000009</v>
      </c>
      <c r="N138" s="62">
        <f t="shared" si="6"/>
        <v>1680.6722689075632</v>
      </c>
      <c r="O138" s="61">
        <f t="shared" si="7"/>
        <v>-299.99999999999909</v>
      </c>
      <c r="P138" s="61">
        <f t="shared" si="8"/>
        <v>6974.7899159663866</v>
      </c>
      <c r="Q138" s="64">
        <f t="shared" si="9"/>
        <v>0.27710843373493965</v>
      </c>
      <c r="R138" s="41">
        <v>8300</v>
      </c>
      <c r="S138" s="41">
        <v>6000</v>
      </c>
      <c r="T138" s="40">
        <f t="shared" ref="T138:T140" si="79">S138*E138/1000</f>
        <v>6000</v>
      </c>
      <c r="U138" s="41">
        <v>0</v>
      </c>
      <c r="V138" s="40">
        <f t="shared" si="74"/>
        <v>6000</v>
      </c>
      <c r="W138" s="40">
        <f t="shared" si="62"/>
        <v>2300</v>
      </c>
      <c r="X138" s="8">
        <f t="shared" si="75"/>
        <v>415</v>
      </c>
      <c r="Y138" s="76"/>
      <c r="Z138" s="8" t="str">
        <f t="shared" si="14"/>
        <v>Huesillos / 1000 gramos</v>
      </c>
      <c r="AA138" s="8"/>
      <c r="AB138" s="85"/>
    </row>
    <row r="139" spans="1:28" ht="13.2">
      <c r="A139" s="59" t="s">
        <v>139</v>
      </c>
      <c r="B139" s="8" t="str">
        <f t="shared" si="78"/>
        <v>Huesillos / 400 gramos</v>
      </c>
      <c r="C139" s="31" t="s">
        <v>797</v>
      </c>
      <c r="D139" s="61" t="str">
        <f t="shared" si="72"/>
        <v>Huesillos</v>
      </c>
      <c r="E139" s="41">
        <v>400</v>
      </c>
      <c r="F139" s="62">
        <v>2016.8067226890757</v>
      </c>
      <c r="G139" s="62">
        <v>0</v>
      </c>
      <c r="H139" s="62">
        <f t="shared" si="1"/>
        <v>2016.8067226890757</v>
      </c>
      <c r="I139" s="62">
        <f t="shared" si="2"/>
        <v>383.19327731092437</v>
      </c>
      <c r="J139" s="63">
        <v>0.30232558139534882</v>
      </c>
      <c r="K139" s="62">
        <f t="shared" si="3"/>
        <v>2890.7563025210084</v>
      </c>
      <c r="L139" s="62">
        <f t="shared" si="4"/>
        <v>549.24369747899163</v>
      </c>
      <c r="M139" s="62">
        <f t="shared" si="15"/>
        <v>3440</v>
      </c>
      <c r="N139" s="62">
        <f t="shared" si="6"/>
        <v>873.94957983193262</v>
      </c>
      <c r="O139" s="61">
        <f t="shared" si="7"/>
        <v>120</v>
      </c>
      <c r="P139" s="61">
        <f t="shared" si="8"/>
        <v>2789.9159663865548</v>
      </c>
      <c r="Q139" s="64">
        <f t="shared" si="9"/>
        <v>0.27710843373493976</v>
      </c>
      <c r="R139" s="41">
        <f>E139*R138/E138</f>
        <v>3320</v>
      </c>
      <c r="S139" s="41">
        <v>6000</v>
      </c>
      <c r="T139" s="40">
        <f t="shared" si="79"/>
        <v>2400</v>
      </c>
      <c r="U139" s="41">
        <v>0</v>
      </c>
      <c r="V139" s="40">
        <f t="shared" si="74"/>
        <v>2400</v>
      </c>
      <c r="W139" s="40">
        <f t="shared" si="62"/>
        <v>920</v>
      </c>
      <c r="X139" s="8">
        <f t="shared" si="75"/>
        <v>166</v>
      </c>
      <c r="Z139" s="8" t="str">
        <f t="shared" si="14"/>
        <v>Huesillos / 400 gramos</v>
      </c>
      <c r="AA139" s="8"/>
      <c r="AB139" s="85"/>
    </row>
    <row r="140" spans="1:28" ht="13.2">
      <c r="A140" s="59" t="s">
        <v>139</v>
      </c>
      <c r="B140" s="8" t="str">
        <f t="shared" si="78"/>
        <v>Huesillos / 500 gramos</v>
      </c>
      <c r="C140" s="31" t="s">
        <v>797</v>
      </c>
      <c r="D140" s="61" t="str">
        <f t="shared" si="72"/>
        <v>Huesillos</v>
      </c>
      <c r="E140" s="41">
        <v>500</v>
      </c>
      <c r="F140" s="62">
        <v>2521.0084033613448</v>
      </c>
      <c r="G140" s="62">
        <v>0</v>
      </c>
      <c r="H140" s="62">
        <f t="shared" si="1"/>
        <v>2521.0084033613448</v>
      </c>
      <c r="I140" s="62">
        <f t="shared" si="2"/>
        <v>478.99159663865549</v>
      </c>
      <c r="J140" s="63">
        <v>0.25</v>
      </c>
      <c r="K140" s="62">
        <f t="shared" si="3"/>
        <v>3361.3445378151264</v>
      </c>
      <c r="L140" s="62">
        <f t="shared" si="4"/>
        <v>638.65546218487407</v>
      </c>
      <c r="M140" s="62">
        <f t="shared" si="15"/>
        <v>4000.0000000000005</v>
      </c>
      <c r="N140" s="62">
        <f t="shared" si="6"/>
        <v>840.3361344537816</v>
      </c>
      <c r="O140" s="61">
        <f t="shared" si="7"/>
        <v>-299.99999999999955</v>
      </c>
      <c r="P140" s="61">
        <f t="shared" si="8"/>
        <v>3613.4453781512607</v>
      </c>
      <c r="Q140" s="64">
        <f t="shared" si="9"/>
        <v>0.30232558139534882</v>
      </c>
      <c r="R140" s="41">
        <v>4300</v>
      </c>
      <c r="S140" s="41">
        <v>6000</v>
      </c>
      <c r="T140" s="40">
        <f t="shared" si="79"/>
        <v>3000</v>
      </c>
      <c r="U140" s="41">
        <v>0</v>
      </c>
      <c r="V140" s="40">
        <f t="shared" si="74"/>
        <v>3000</v>
      </c>
      <c r="W140" s="40">
        <f t="shared" si="62"/>
        <v>1300</v>
      </c>
      <c r="X140" s="8">
        <f t="shared" si="75"/>
        <v>215</v>
      </c>
      <c r="Y140" s="76"/>
      <c r="Z140" s="8" t="str">
        <f t="shared" si="14"/>
        <v>Huesillos / 500 gramos</v>
      </c>
      <c r="AA140" s="8"/>
    </row>
    <row r="141" spans="1:28" ht="13.2">
      <c r="A141" s="59" t="s">
        <v>43</v>
      </c>
      <c r="B141" s="8" t="str">
        <f t="shared" ref="B141:B157" si="80">CONCATENATE(C141,E141)</f>
        <v>HUEVOS EXTRA 12 Huevos</v>
      </c>
      <c r="C141" s="31" t="s">
        <v>673</v>
      </c>
      <c r="D141" s="61" t="s">
        <v>355</v>
      </c>
      <c r="E141" s="41"/>
      <c r="F141" s="62">
        <v>2269</v>
      </c>
      <c r="G141" s="62">
        <v>25</v>
      </c>
      <c r="H141" s="62">
        <f t="shared" si="1"/>
        <v>2294</v>
      </c>
      <c r="I141" s="62">
        <f t="shared" si="2"/>
        <v>435.86</v>
      </c>
      <c r="J141" s="63">
        <v>0.26212000000000002</v>
      </c>
      <c r="K141" s="62">
        <f t="shared" si="3"/>
        <v>3108.9065972786902</v>
      </c>
      <c r="L141" s="62">
        <f t="shared" si="4"/>
        <v>590.69225348295117</v>
      </c>
      <c r="M141" s="62">
        <f t="shared" si="15"/>
        <v>3699.5988507616412</v>
      </c>
      <c r="N141" s="62">
        <f t="shared" si="6"/>
        <v>814.90659727869024</v>
      </c>
      <c r="O141" s="61">
        <f t="shared" si="7"/>
        <v>-600.40114923835881</v>
      </c>
      <c r="P141" s="61">
        <f t="shared" si="8"/>
        <v>3613.4453781512607</v>
      </c>
      <c r="Q141" s="64">
        <f t="shared" si="9"/>
        <v>0.36514883720930236</v>
      </c>
      <c r="R141" s="41">
        <v>4300</v>
      </c>
      <c r="S141" s="41">
        <v>2311</v>
      </c>
      <c r="T141" s="41">
        <f t="shared" ref="T141:T150" si="81">S141</f>
        <v>2311</v>
      </c>
      <c r="U141" s="41">
        <v>30</v>
      </c>
      <c r="V141" s="40">
        <f t="shared" si="74"/>
        <v>2341</v>
      </c>
      <c r="W141" s="40">
        <f t="shared" si="62"/>
        <v>1959</v>
      </c>
      <c r="X141" s="8">
        <f t="shared" si="75"/>
        <v>215</v>
      </c>
      <c r="Y141" s="26"/>
      <c r="Z141" s="8" t="str">
        <f t="shared" si="14"/>
        <v>HUEVOS EXTRA 12 Huevos</v>
      </c>
      <c r="AA141" s="31" t="s">
        <v>359</v>
      </c>
      <c r="AB141" s="31">
        <v>-0.4</v>
      </c>
    </row>
    <row r="142" spans="1:28" ht="13.2">
      <c r="A142" s="59" t="s">
        <v>43</v>
      </c>
      <c r="B142" s="8" t="str">
        <f t="shared" si="80"/>
        <v>HUEVOS EXTRA 15 Huevos</v>
      </c>
      <c r="C142" s="60" t="s">
        <v>799</v>
      </c>
      <c r="D142" s="61" t="s">
        <v>355</v>
      </c>
      <c r="E142" s="41"/>
      <c r="F142" s="62">
        <v>2836</v>
      </c>
      <c r="G142" s="62">
        <v>25</v>
      </c>
      <c r="H142" s="62">
        <f t="shared" si="1"/>
        <v>2861</v>
      </c>
      <c r="I142" s="62">
        <f t="shared" si="2"/>
        <v>543.59</v>
      </c>
      <c r="J142" s="63">
        <v>0.26790000000000003</v>
      </c>
      <c r="K142" s="62">
        <f t="shared" si="3"/>
        <v>3907.9360743067887</v>
      </c>
      <c r="L142" s="62">
        <f t="shared" si="4"/>
        <v>742.50785411828986</v>
      </c>
      <c r="M142" s="62">
        <f t="shared" si="15"/>
        <v>4650.4439284250784</v>
      </c>
      <c r="N142" s="62">
        <f t="shared" si="6"/>
        <v>1046.9360743067887</v>
      </c>
      <c r="O142" s="61">
        <f t="shared" si="7"/>
        <v>-149.55607157492159</v>
      </c>
      <c r="P142" s="61">
        <f t="shared" si="8"/>
        <v>4033.6134453781515</v>
      </c>
      <c r="Q142" s="64">
        <f t="shared" si="9"/>
        <v>0.29071041666666675</v>
      </c>
      <c r="R142" s="65">
        <v>4800</v>
      </c>
      <c r="S142" s="41">
        <v>2889</v>
      </c>
      <c r="T142" s="41">
        <f t="shared" si="81"/>
        <v>2889</v>
      </c>
      <c r="U142" s="41">
        <v>30</v>
      </c>
      <c r="V142" s="40">
        <f t="shared" si="74"/>
        <v>2919</v>
      </c>
      <c r="W142" s="40">
        <f t="shared" si="62"/>
        <v>1881</v>
      </c>
      <c r="X142" s="8">
        <f t="shared" si="75"/>
        <v>240</v>
      </c>
      <c r="Y142" s="26"/>
      <c r="Z142" s="8" t="str">
        <f t="shared" si="14"/>
        <v>HUEVOS EXTRA 15 Huevos</v>
      </c>
      <c r="AA142" s="31" t="s">
        <v>359</v>
      </c>
      <c r="AB142" s="31">
        <v>-0.5</v>
      </c>
    </row>
    <row r="143" spans="1:28" ht="13.2">
      <c r="A143" s="59" t="s">
        <v>43</v>
      </c>
      <c r="B143" s="8" t="str">
        <f t="shared" si="80"/>
        <v>HUEVOS EXTRA 20 Huevos</v>
      </c>
      <c r="C143" s="31" t="s">
        <v>688</v>
      </c>
      <c r="D143" s="61" t="s">
        <v>355</v>
      </c>
      <c r="E143" s="41"/>
      <c r="F143" s="62">
        <v>3781</v>
      </c>
      <c r="G143" s="62">
        <v>25</v>
      </c>
      <c r="H143" s="62">
        <f t="shared" si="1"/>
        <v>3806</v>
      </c>
      <c r="I143" s="62">
        <f t="shared" si="2"/>
        <v>723.14</v>
      </c>
      <c r="J143" s="63">
        <v>0.28110000000000002</v>
      </c>
      <c r="K143" s="62">
        <f t="shared" si="3"/>
        <v>5294.1994714146613</v>
      </c>
      <c r="L143" s="62">
        <f t="shared" si="4"/>
        <v>1005.8978995687856</v>
      </c>
      <c r="M143" s="62">
        <f t="shared" si="15"/>
        <v>6300.097370983447</v>
      </c>
      <c r="N143" s="62">
        <f t="shared" si="6"/>
        <v>1488.1994714146613</v>
      </c>
      <c r="O143" s="61">
        <f t="shared" si="7"/>
        <v>9.7370983447035542E-2</v>
      </c>
      <c r="P143" s="61">
        <f t="shared" si="8"/>
        <v>5294.1176470588234</v>
      </c>
      <c r="Q143" s="64">
        <f t="shared" si="9"/>
        <v>0.28108888888888883</v>
      </c>
      <c r="R143" s="41">
        <v>6300</v>
      </c>
      <c r="S143" s="41">
        <v>3852</v>
      </c>
      <c r="T143" s="41">
        <f t="shared" si="81"/>
        <v>3852</v>
      </c>
      <c r="U143" s="41">
        <v>30</v>
      </c>
      <c r="V143" s="40">
        <f t="shared" si="74"/>
        <v>3882</v>
      </c>
      <c r="W143" s="40">
        <f t="shared" si="62"/>
        <v>2418</v>
      </c>
      <c r="X143" s="8">
        <f t="shared" si="75"/>
        <v>315</v>
      </c>
      <c r="Y143" s="26"/>
      <c r="Z143" s="8" t="str">
        <f t="shared" si="14"/>
        <v>HUEVOS EXTRA 20 Huevos</v>
      </c>
      <c r="AA143" s="31" t="s">
        <v>359</v>
      </c>
      <c r="AB143" s="31">
        <v>-0.67</v>
      </c>
    </row>
    <row r="144" spans="1:28" ht="13.2">
      <c r="A144" s="59" t="s">
        <v>43</v>
      </c>
      <c r="B144" s="8" t="str">
        <f t="shared" si="80"/>
        <v>HUEVOS EXTRA 30 Huevos</v>
      </c>
      <c r="C144" s="31" t="s">
        <v>45</v>
      </c>
      <c r="D144" s="61" t="s">
        <v>355</v>
      </c>
      <c r="E144" s="41"/>
      <c r="F144" s="62">
        <f>5546.22</f>
        <v>5546.22</v>
      </c>
      <c r="G144" s="62">
        <v>25</v>
      </c>
      <c r="H144" s="62">
        <f t="shared" si="1"/>
        <v>5571.22</v>
      </c>
      <c r="I144" s="62">
        <f t="shared" si="2"/>
        <v>1058.5318</v>
      </c>
      <c r="J144" s="63">
        <v>0.17130000000000001</v>
      </c>
      <c r="K144" s="62">
        <f t="shared" si="3"/>
        <v>6722.8430071195853</v>
      </c>
      <c r="L144" s="62">
        <f t="shared" si="4"/>
        <v>1277.3401713527212</v>
      </c>
      <c r="M144" s="62">
        <f t="shared" si="15"/>
        <v>8000.1831784723063</v>
      </c>
      <c r="N144" s="62">
        <f t="shared" si="6"/>
        <v>1151.6230071195851</v>
      </c>
      <c r="O144" s="61">
        <f t="shared" si="7"/>
        <v>0.18317847230628104</v>
      </c>
      <c r="P144" s="61">
        <f t="shared" si="8"/>
        <v>6722.6890756302528</v>
      </c>
      <c r="Q144" s="64">
        <f t="shared" si="9"/>
        <v>0.17128102500000009</v>
      </c>
      <c r="R144" s="41">
        <v>8000</v>
      </c>
      <c r="S144" s="41">
        <v>6710</v>
      </c>
      <c r="T144" s="41">
        <f t="shared" si="81"/>
        <v>6710</v>
      </c>
      <c r="U144" s="41">
        <v>30</v>
      </c>
      <c r="V144" s="40">
        <f t="shared" si="74"/>
        <v>6740</v>
      </c>
      <c r="W144" s="40">
        <f t="shared" si="62"/>
        <v>1260</v>
      </c>
      <c r="X144" s="8">
        <f t="shared" si="75"/>
        <v>400</v>
      </c>
      <c r="Y144" s="26"/>
      <c r="Z144" s="8" t="str">
        <f t="shared" si="14"/>
        <v>HUEVOS EXTRA 30 Huevos</v>
      </c>
      <c r="AA144" s="31" t="s">
        <v>359</v>
      </c>
      <c r="AB144" s="31">
        <v>-1</v>
      </c>
    </row>
    <row r="145" spans="1:28" ht="13.2">
      <c r="A145" s="59" t="s">
        <v>43</v>
      </c>
      <c r="B145" s="8" t="str">
        <f t="shared" si="80"/>
        <v>HUEVOS JUMBO 20 Huevos</v>
      </c>
      <c r="C145" s="60" t="s">
        <v>757</v>
      </c>
      <c r="D145" s="61" t="s">
        <v>758</v>
      </c>
      <c r="E145" s="41"/>
      <c r="F145" s="62">
        <v>3683</v>
      </c>
      <c r="G145" s="62">
        <v>25.210084033613448</v>
      </c>
      <c r="H145" s="62">
        <f t="shared" si="1"/>
        <v>3708.2100840336134</v>
      </c>
      <c r="I145" s="62">
        <f t="shared" si="2"/>
        <v>704.5599159663866</v>
      </c>
      <c r="J145" s="63">
        <v>0.26450000000000001</v>
      </c>
      <c r="K145" s="62">
        <f t="shared" si="3"/>
        <v>5041.7540231592293</v>
      </c>
      <c r="L145" s="62">
        <f t="shared" si="4"/>
        <v>957.93326440025362</v>
      </c>
      <c r="M145" s="62">
        <f t="shared" si="15"/>
        <v>5999.6872875594827</v>
      </c>
      <c r="N145" s="62">
        <f t="shared" si="6"/>
        <v>1333.5439391256159</v>
      </c>
      <c r="O145" s="61">
        <f t="shared" si="7"/>
        <v>-2000.3127124405173</v>
      </c>
      <c r="P145" s="61">
        <f t="shared" si="8"/>
        <v>6722.6890756302528</v>
      </c>
      <c r="Q145" s="64">
        <f t="shared" si="9"/>
        <v>0.4484037500000001</v>
      </c>
      <c r="R145" s="65">
        <v>8000</v>
      </c>
      <c r="S145" s="41">
        <v>6710</v>
      </c>
      <c r="T145" s="41">
        <f t="shared" si="81"/>
        <v>6710</v>
      </c>
      <c r="U145" s="41">
        <v>30</v>
      </c>
      <c r="V145" s="40">
        <f t="shared" si="74"/>
        <v>6740</v>
      </c>
      <c r="W145" s="40">
        <f t="shared" si="62"/>
        <v>1260</v>
      </c>
      <c r="X145" s="8">
        <f t="shared" si="75"/>
        <v>400</v>
      </c>
      <c r="Y145" s="26"/>
      <c r="Z145" s="8" t="str">
        <f t="shared" si="14"/>
        <v>HUEVOS JUMBO 20 Huevos</v>
      </c>
      <c r="AA145" s="31" t="s">
        <v>1049</v>
      </c>
      <c r="AB145" s="31">
        <v>-1</v>
      </c>
    </row>
    <row r="146" spans="1:28" ht="13.2">
      <c r="A146" s="59" t="s">
        <v>43</v>
      </c>
      <c r="B146" s="8" t="str">
        <f t="shared" si="80"/>
        <v>HUEVOS JUMBO 30 Huevos</v>
      </c>
      <c r="C146" s="60" t="s">
        <v>784</v>
      </c>
      <c r="D146" s="61" t="s">
        <v>758</v>
      </c>
      <c r="E146" s="41"/>
      <c r="F146" s="62">
        <v>5525</v>
      </c>
      <c r="G146" s="62">
        <v>25.210084033613448</v>
      </c>
      <c r="H146" s="62">
        <f t="shared" si="1"/>
        <v>5550.2100840336134</v>
      </c>
      <c r="I146" s="62">
        <f t="shared" si="2"/>
        <v>1054.5399159663866</v>
      </c>
      <c r="J146" s="63">
        <v>0.25790000000000002</v>
      </c>
      <c r="K146" s="62">
        <f t="shared" si="3"/>
        <v>7479.0595391909628</v>
      </c>
      <c r="L146" s="62">
        <f t="shared" si="4"/>
        <v>1421.021312446283</v>
      </c>
      <c r="M146" s="62">
        <f t="shared" si="15"/>
        <v>8900.0808516372454</v>
      </c>
      <c r="N146" s="62">
        <f t="shared" si="6"/>
        <v>1928.8494551573494</v>
      </c>
      <c r="O146" s="61">
        <f t="shared" si="7"/>
        <v>900.08085163724536</v>
      </c>
      <c r="P146" s="61">
        <f t="shared" si="8"/>
        <v>6722.6890756302528</v>
      </c>
      <c r="Q146" s="64">
        <f t="shared" si="9"/>
        <v>0.1744062500000001</v>
      </c>
      <c r="R146" s="65">
        <v>8000</v>
      </c>
      <c r="S146" s="41">
        <v>6710</v>
      </c>
      <c r="T146" s="41">
        <f t="shared" si="81"/>
        <v>6710</v>
      </c>
      <c r="U146" s="41">
        <v>30</v>
      </c>
      <c r="V146" s="40">
        <f t="shared" si="74"/>
        <v>6740</v>
      </c>
      <c r="W146" s="40">
        <f t="shared" si="62"/>
        <v>1260</v>
      </c>
      <c r="X146" s="8">
        <f t="shared" si="75"/>
        <v>400</v>
      </c>
      <c r="Y146" s="26"/>
      <c r="Z146" s="8" t="str">
        <f t="shared" si="14"/>
        <v>HUEVOS JUMBO 30 Huevos</v>
      </c>
      <c r="AA146" s="31" t="s">
        <v>1049</v>
      </c>
      <c r="AB146" s="31">
        <v>-1.5</v>
      </c>
    </row>
    <row r="147" spans="1:28" ht="13.2">
      <c r="A147" s="59" t="s">
        <v>43</v>
      </c>
      <c r="B147" s="8" t="str">
        <f t="shared" si="80"/>
        <v>HUEVOS PRIMERA 12 Huevos</v>
      </c>
      <c r="C147" s="60" t="s">
        <v>875</v>
      </c>
      <c r="D147" s="61" t="s">
        <v>867</v>
      </c>
      <c r="E147" s="41"/>
      <c r="F147" s="62">
        <v>2123.5294117647059</v>
      </c>
      <c r="G147" s="62">
        <v>25.210084033613448</v>
      </c>
      <c r="H147" s="62">
        <f t="shared" si="1"/>
        <v>2148.7394957983192</v>
      </c>
      <c r="I147" s="62">
        <f t="shared" si="2"/>
        <v>408.26050420168065</v>
      </c>
      <c r="J147" s="63">
        <v>0.32710526315789479</v>
      </c>
      <c r="K147" s="62">
        <f t="shared" si="3"/>
        <v>3193.2773109243699</v>
      </c>
      <c r="L147" s="62">
        <f t="shared" si="4"/>
        <v>606.72268907563034</v>
      </c>
      <c r="M147" s="62">
        <f t="shared" si="15"/>
        <v>3800</v>
      </c>
      <c r="N147" s="62">
        <f t="shared" si="6"/>
        <v>1044.5378151260506</v>
      </c>
      <c r="O147" s="61">
        <f t="shared" si="7"/>
        <v>0</v>
      </c>
      <c r="P147" s="61">
        <f t="shared" si="8"/>
        <v>3193.2773109243699</v>
      </c>
      <c r="Q147" s="64">
        <f t="shared" si="9"/>
        <v>0.32710526315789479</v>
      </c>
      <c r="R147" s="65">
        <v>3800</v>
      </c>
      <c r="S147" s="41">
        <v>2527</v>
      </c>
      <c r="T147" s="41">
        <f t="shared" si="81"/>
        <v>2527</v>
      </c>
      <c r="U147" s="41">
        <v>30</v>
      </c>
      <c r="V147" s="40">
        <f t="shared" si="74"/>
        <v>2557</v>
      </c>
      <c r="W147" s="40">
        <f t="shared" si="62"/>
        <v>1243</v>
      </c>
      <c r="X147" s="8">
        <f t="shared" si="75"/>
        <v>190</v>
      </c>
      <c r="Y147" s="26"/>
      <c r="Z147" s="8" t="str">
        <f t="shared" si="14"/>
        <v>HUEVOS PRIMERA 12 Huevos</v>
      </c>
      <c r="AA147" s="31" t="s">
        <v>1592</v>
      </c>
      <c r="AB147" s="31">
        <v>-0.4</v>
      </c>
    </row>
    <row r="148" spans="1:28" ht="13.2">
      <c r="A148" s="59" t="s">
        <v>43</v>
      </c>
      <c r="B148" s="8" t="str">
        <f t="shared" si="80"/>
        <v>HUEVOS PRIMERA 15 Huevos</v>
      </c>
      <c r="C148" s="60" t="s">
        <v>931</v>
      </c>
      <c r="D148" s="61" t="s">
        <v>867</v>
      </c>
      <c r="E148" s="41"/>
      <c r="F148" s="62">
        <v>2654.6218487394958</v>
      </c>
      <c r="G148" s="62">
        <v>25.210084033613448</v>
      </c>
      <c r="H148" s="62">
        <f t="shared" si="1"/>
        <v>2679.8319327731092</v>
      </c>
      <c r="I148" s="62">
        <f t="shared" si="2"/>
        <v>509.16806722689074</v>
      </c>
      <c r="J148" s="63">
        <v>0.33562500000000006</v>
      </c>
      <c r="K148" s="62">
        <f t="shared" si="3"/>
        <v>4033.6134453781515</v>
      </c>
      <c r="L148" s="62">
        <f t="shared" si="4"/>
        <v>766.38655462184875</v>
      </c>
      <c r="M148" s="62">
        <f t="shared" si="15"/>
        <v>4800</v>
      </c>
      <c r="N148" s="62">
        <f t="shared" si="6"/>
        <v>1353.7815126050423</v>
      </c>
      <c r="O148" s="61">
        <f t="shared" si="7"/>
        <v>0</v>
      </c>
      <c r="P148" s="61">
        <f t="shared" si="8"/>
        <v>4033.6134453781515</v>
      </c>
      <c r="Q148" s="64">
        <f t="shared" si="9"/>
        <v>0.33562500000000006</v>
      </c>
      <c r="R148" s="65">
        <v>4800</v>
      </c>
      <c r="S148" s="41">
        <v>3159</v>
      </c>
      <c r="T148" s="41">
        <f t="shared" si="81"/>
        <v>3159</v>
      </c>
      <c r="U148" s="41">
        <v>30</v>
      </c>
      <c r="V148" s="40">
        <f t="shared" si="74"/>
        <v>3189</v>
      </c>
      <c r="W148" s="40">
        <f t="shared" si="62"/>
        <v>1611</v>
      </c>
      <c r="X148" s="8">
        <f t="shared" si="75"/>
        <v>240</v>
      </c>
      <c r="Y148" s="26"/>
      <c r="Z148" s="8" t="str">
        <f t="shared" si="14"/>
        <v>HUEVOS PRIMERA 15 Huevos</v>
      </c>
      <c r="AA148" s="31" t="s">
        <v>1592</v>
      </c>
      <c r="AB148" s="31">
        <v>-0.5</v>
      </c>
    </row>
    <row r="149" spans="1:28" ht="13.2">
      <c r="A149" s="59" t="s">
        <v>43</v>
      </c>
      <c r="B149" s="8" t="str">
        <f t="shared" si="80"/>
        <v>HUEVOS PRIMERA 20 Huevos</v>
      </c>
      <c r="C149" s="31" t="s">
        <v>882</v>
      </c>
      <c r="D149" s="61" t="s">
        <v>867</v>
      </c>
      <c r="E149" s="41"/>
      <c r="F149" s="62">
        <v>3538.6554621848741</v>
      </c>
      <c r="G149" s="62">
        <v>25.210084033613448</v>
      </c>
      <c r="H149" s="62">
        <f t="shared" si="1"/>
        <v>3563.8655462184875</v>
      </c>
      <c r="I149" s="62">
        <f t="shared" si="2"/>
        <v>677.13445378151266</v>
      </c>
      <c r="J149" s="63">
        <v>0.26879310344827589</v>
      </c>
      <c r="K149" s="62">
        <f t="shared" si="3"/>
        <v>4873.9495798319331</v>
      </c>
      <c r="L149" s="62">
        <f t="shared" si="4"/>
        <v>926.05042016806726</v>
      </c>
      <c r="M149" s="62">
        <f t="shared" si="15"/>
        <v>5800</v>
      </c>
      <c r="N149" s="62">
        <f t="shared" si="6"/>
        <v>1310.0840336134456</v>
      </c>
      <c r="O149" s="61">
        <f t="shared" si="7"/>
        <v>0</v>
      </c>
      <c r="P149" s="61">
        <f t="shared" si="8"/>
        <v>4873.9495798319331</v>
      </c>
      <c r="Q149" s="64">
        <f t="shared" si="9"/>
        <v>0.26879310344827589</v>
      </c>
      <c r="R149" s="41">
        <v>5800</v>
      </c>
      <c r="S149" s="41">
        <v>4211</v>
      </c>
      <c r="T149" s="41">
        <f t="shared" si="81"/>
        <v>4211</v>
      </c>
      <c r="U149" s="41">
        <v>30</v>
      </c>
      <c r="V149" s="40">
        <f t="shared" si="74"/>
        <v>4241</v>
      </c>
      <c r="W149" s="40">
        <f t="shared" si="62"/>
        <v>1559</v>
      </c>
      <c r="X149" s="8">
        <f t="shared" si="75"/>
        <v>290</v>
      </c>
      <c r="Y149" s="26"/>
      <c r="Z149" s="8" t="str">
        <f t="shared" si="14"/>
        <v>HUEVOS PRIMERA 20 Huevos</v>
      </c>
      <c r="AA149" s="31" t="s">
        <v>1592</v>
      </c>
      <c r="AB149" s="31">
        <v>-0.67</v>
      </c>
    </row>
    <row r="150" spans="1:28" ht="13.2">
      <c r="A150" s="59" t="s">
        <v>43</v>
      </c>
      <c r="B150" s="8" t="str">
        <f t="shared" si="80"/>
        <v>HUEVOS PRIMERA 30 Huevos</v>
      </c>
      <c r="C150" s="31" t="s">
        <v>866</v>
      </c>
      <c r="D150" s="61" t="s">
        <v>867</v>
      </c>
      <c r="E150" s="41"/>
      <c r="F150" s="62">
        <v>5308.4033613445381</v>
      </c>
      <c r="G150" s="62">
        <v>25.210084033613448</v>
      </c>
      <c r="H150" s="62">
        <f t="shared" si="1"/>
        <v>5333.6134453781515</v>
      </c>
      <c r="I150" s="62">
        <f t="shared" si="2"/>
        <v>1013.3865546218487</v>
      </c>
      <c r="J150" s="63">
        <v>0.15373333333333328</v>
      </c>
      <c r="K150" s="62">
        <f t="shared" si="3"/>
        <v>6302.5210084033615</v>
      </c>
      <c r="L150" s="62">
        <f t="shared" si="4"/>
        <v>1197.4789915966387</v>
      </c>
      <c r="M150" s="62">
        <f t="shared" si="15"/>
        <v>7500</v>
      </c>
      <c r="N150" s="62">
        <f t="shared" si="6"/>
        <v>968.90756302521004</v>
      </c>
      <c r="O150" s="61">
        <f t="shared" si="7"/>
        <v>0</v>
      </c>
      <c r="P150" s="61">
        <f t="shared" si="8"/>
        <v>6302.5210084033615</v>
      </c>
      <c r="Q150" s="64">
        <f t="shared" si="9"/>
        <v>0.15373333333333328</v>
      </c>
      <c r="R150" s="41">
        <v>7500</v>
      </c>
      <c r="S150" s="41">
        <v>6317</v>
      </c>
      <c r="T150" s="41">
        <f t="shared" si="81"/>
        <v>6317</v>
      </c>
      <c r="U150" s="41">
        <v>30</v>
      </c>
      <c r="V150" s="40">
        <f t="shared" si="74"/>
        <v>6347</v>
      </c>
      <c r="W150" s="40">
        <f t="shared" si="62"/>
        <v>1153</v>
      </c>
      <c r="X150" s="8">
        <f t="shared" si="75"/>
        <v>375</v>
      </c>
      <c r="Y150" s="26"/>
      <c r="Z150" s="8" t="str">
        <f t="shared" si="14"/>
        <v>HUEVOS PRIMERA 30 Huevos</v>
      </c>
      <c r="AA150" s="31" t="s">
        <v>1592</v>
      </c>
      <c r="AB150" s="31">
        <v>-1</v>
      </c>
    </row>
    <row r="151" spans="1:28" ht="13.2">
      <c r="A151" s="59" t="s">
        <v>47</v>
      </c>
      <c r="B151" s="8" t="str">
        <f t="shared" si="80"/>
        <v>Insecticida RAID 360 cc Casa Jardin (Naranjo)</v>
      </c>
      <c r="C151" s="23" t="s">
        <v>251</v>
      </c>
      <c r="D151" s="61" t="s">
        <v>621</v>
      </c>
      <c r="E151" s="41"/>
      <c r="F151" s="62">
        <f t="shared" ref="F151:F153" si="82">32168/12</f>
        <v>2680.6666666666665</v>
      </c>
      <c r="G151" s="62">
        <v>0</v>
      </c>
      <c r="H151" s="62">
        <f t="shared" si="1"/>
        <v>2680.6666666666665</v>
      </c>
      <c r="I151" s="62">
        <f t="shared" si="2"/>
        <v>509.32666666666665</v>
      </c>
      <c r="J151" s="63">
        <v>0.24046000000000001</v>
      </c>
      <c r="K151" s="62">
        <f t="shared" si="3"/>
        <v>3529.3291553659669</v>
      </c>
      <c r="L151" s="62">
        <f t="shared" si="4"/>
        <v>670.57253951953373</v>
      </c>
      <c r="M151" s="62">
        <f t="shared" si="15"/>
        <v>4199.9016948855005</v>
      </c>
      <c r="N151" s="62">
        <f t="shared" si="6"/>
        <v>848.66248869930041</v>
      </c>
      <c r="O151" s="61">
        <f t="shared" si="7"/>
        <v>3649.9016948855005</v>
      </c>
      <c r="P151" s="61">
        <f t="shared" si="8"/>
        <v>462.18487394957987</v>
      </c>
      <c r="Q151" s="64">
        <f t="shared" si="9"/>
        <v>-4.7999878787878778</v>
      </c>
      <c r="R151" s="26">
        <v>550</v>
      </c>
      <c r="S151" s="26">
        <v>420</v>
      </c>
      <c r="T151" s="40">
        <f t="shared" ref="T151:T153" si="83">S151*E151/1000</f>
        <v>0</v>
      </c>
      <c r="U151" s="41">
        <v>0</v>
      </c>
      <c r="V151" s="40">
        <f t="shared" si="74"/>
        <v>0</v>
      </c>
      <c r="W151" s="40">
        <f t="shared" si="62"/>
        <v>550</v>
      </c>
      <c r="X151" s="8">
        <f t="shared" si="75"/>
        <v>27.5</v>
      </c>
      <c r="Y151" s="26"/>
      <c r="Z151" s="8" t="str">
        <f t="shared" si="14"/>
        <v>Insecticida RAID 360 cc Casa Jardin (Naranjo)</v>
      </c>
      <c r="AA151" s="31" t="s">
        <v>251</v>
      </c>
      <c r="AB151" s="31">
        <v>-1</v>
      </c>
    </row>
    <row r="152" spans="1:28" ht="13.2">
      <c r="A152" s="59" t="s">
        <v>47</v>
      </c>
      <c r="B152" s="8" t="str">
        <f t="shared" si="80"/>
        <v>Insecticida RAID 360 cc Mata en 10 seg (Azul)</v>
      </c>
      <c r="C152" s="23" t="s">
        <v>724</v>
      </c>
      <c r="D152" s="61" t="s">
        <v>621</v>
      </c>
      <c r="E152" s="41"/>
      <c r="F152" s="62">
        <f t="shared" si="82"/>
        <v>2680.6666666666665</v>
      </c>
      <c r="G152" s="62">
        <v>0</v>
      </c>
      <c r="H152" s="62">
        <f t="shared" si="1"/>
        <v>2680.6666666666665</v>
      </c>
      <c r="I152" s="62">
        <f t="shared" si="2"/>
        <v>509.32666666666665</v>
      </c>
      <c r="J152" s="63">
        <v>0.24046000000000001</v>
      </c>
      <c r="K152" s="62">
        <f t="shared" si="3"/>
        <v>3529.3291553659669</v>
      </c>
      <c r="L152" s="62">
        <f t="shared" si="4"/>
        <v>670.57253951953373</v>
      </c>
      <c r="M152" s="62">
        <f t="shared" si="15"/>
        <v>4199.9016948855005</v>
      </c>
      <c r="N152" s="62">
        <f t="shared" si="6"/>
        <v>848.66248869930041</v>
      </c>
      <c r="O152" s="61">
        <f t="shared" si="7"/>
        <v>3649.9016948855005</v>
      </c>
      <c r="P152" s="61">
        <f t="shared" si="8"/>
        <v>462.18487394957987</v>
      </c>
      <c r="Q152" s="64">
        <f t="shared" si="9"/>
        <v>-4.7999878787878778</v>
      </c>
      <c r="R152" s="26">
        <v>550</v>
      </c>
      <c r="S152" s="26">
        <v>420</v>
      </c>
      <c r="T152" s="40">
        <f t="shared" si="83"/>
        <v>0</v>
      </c>
      <c r="U152" s="41">
        <v>0</v>
      </c>
      <c r="V152" s="40">
        <f t="shared" si="74"/>
        <v>0</v>
      </c>
      <c r="W152" s="40">
        <f t="shared" si="62"/>
        <v>550</v>
      </c>
      <c r="X152" s="8">
        <f t="shared" si="75"/>
        <v>27.5</v>
      </c>
      <c r="Y152" s="26"/>
      <c r="Z152" s="8" t="str">
        <f t="shared" si="14"/>
        <v>Insecticida RAID 360 cc Mata en 10 seg (Azul)</v>
      </c>
      <c r="AA152" s="31" t="s">
        <v>724</v>
      </c>
      <c r="AB152" s="31">
        <v>-1</v>
      </c>
    </row>
    <row r="153" spans="1:28" ht="13.2">
      <c r="A153" s="59" t="s">
        <v>47</v>
      </c>
      <c r="B153" s="8" t="str">
        <f t="shared" si="80"/>
        <v>Insecticida RAID 360 cc Todo Insecto (Morado)</v>
      </c>
      <c r="C153" s="23" t="s">
        <v>294</v>
      </c>
      <c r="D153" s="61" t="s">
        <v>621</v>
      </c>
      <c r="E153" s="41"/>
      <c r="F153" s="62">
        <f t="shared" si="82"/>
        <v>2680.6666666666665</v>
      </c>
      <c r="G153" s="62">
        <v>0</v>
      </c>
      <c r="H153" s="62">
        <f t="shared" si="1"/>
        <v>2680.6666666666665</v>
      </c>
      <c r="I153" s="62">
        <f t="shared" si="2"/>
        <v>509.32666666666665</v>
      </c>
      <c r="J153" s="63">
        <v>0.24046000000000001</v>
      </c>
      <c r="K153" s="62">
        <f t="shared" si="3"/>
        <v>3529.3291553659669</v>
      </c>
      <c r="L153" s="62">
        <f t="shared" si="4"/>
        <v>670.57253951953373</v>
      </c>
      <c r="M153" s="62">
        <f t="shared" si="15"/>
        <v>4199.9016948855005</v>
      </c>
      <c r="N153" s="62">
        <f t="shared" si="6"/>
        <v>848.66248869930041</v>
      </c>
      <c r="O153" s="61">
        <f t="shared" si="7"/>
        <v>3649.9016948855005</v>
      </c>
      <c r="P153" s="61">
        <f t="shared" si="8"/>
        <v>462.18487394957987</v>
      </c>
      <c r="Q153" s="64">
        <f t="shared" si="9"/>
        <v>-4.7999878787878778</v>
      </c>
      <c r="R153" s="26">
        <v>550</v>
      </c>
      <c r="S153" s="26">
        <v>420</v>
      </c>
      <c r="T153" s="40">
        <f t="shared" si="83"/>
        <v>0</v>
      </c>
      <c r="U153" s="41">
        <v>0</v>
      </c>
      <c r="V153" s="40">
        <f t="shared" si="74"/>
        <v>0</v>
      </c>
      <c r="W153" s="40">
        <f t="shared" si="62"/>
        <v>550</v>
      </c>
      <c r="X153" s="8">
        <f t="shared" si="75"/>
        <v>27.5</v>
      </c>
      <c r="Y153" s="26"/>
      <c r="Z153" s="8" t="str">
        <f t="shared" si="14"/>
        <v>Insecticida RAID 360 cc Todo Insecto (Morado)</v>
      </c>
      <c r="AA153" s="31" t="s">
        <v>294</v>
      </c>
      <c r="AB153" s="31">
        <v>-1</v>
      </c>
    </row>
    <row r="154" spans="1:28" ht="13.2">
      <c r="A154" s="59" t="s">
        <v>47</v>
      </c>
      <c r="B154" s="8" t="str">
        <f t="shared" si="80"/>
        <v>Jabon  Popeye- 170 g</v>
      </c>
      <c r="C154" s="67" t="s">
        <v>165</v>
      </c>
      <c r="D154" s="41" t="s">
        <v>422</v>
      </c>
      <c r="E154" s="40"/>
      <c r="F154" s="62">
        <f>(900+1050+850+690)/4/1.19</f>
        <v>733.19327731092437</v>
      </c>
      <c r="G154" s="62">
        <v>0</v>
      </c>
      <c r="H154" s="62">
        <f t="shared" si="1"/>
        <v>733.19327731092437</v>
      </c>
      <c r="I154" s="62">
        <f t="shared" si="2"/>
        <v>139.30672268907563</v>
      </c>
      <c r="J154" s="63">
        <v>0.27300000000000002</v>
      </c>
      <c r="K154" s="62">
        <f t="shared" si="3"/>
        <v>1008.5189509091119</v>
      </c>
      <c r="L154" s="62">
        <f t="shared" si="4"/>
        <v>191.61860067273128</v>
      </c>
      <c r="M154" s="62">
        <f t="shared" si="15"/>
        <v>1200.1375515818431</v>
      </c>
      <c r="N154" s="62">
        <f t="shared" si="6"/>
        <v>275.32567359818756</v>
      </c>
      <c r="O154" s="61">
        <f t="shared" si="7"/>
        <v>-449.86244841815687</v>
      </c>
      <c r="P154" s="61">
        <f t="shared" si="8"/>
        <v>1386.5546218487395</v>
      </c>
      <c r="Q154" s="64">
        <f t="shared" si="9"/>
        <v>0.47121212121212119</v>
      </c>
      <c r="R154" s="65">
        <v>1650</v>
      </c>
      <c r="S154" s="41">
        <v>1108</v>
      </c>
      <c r="T154" s="41">
        <f t="shared" ref="T154:T157" si="84">S154</f>
        <v>1108</v>
      </c>
      <c r="U154" s="41">
        <v>0</v>
      </c>
      <c r="V154" s="40">
        <f t="shared" si="74"/>
        <v>1108</v>
      </c>
      <c r="W154" s="40">
        <f t="shared" si="62"/>
        <v>542</v>
      </c>
      <c r="X154" s="8">
        <f t="shared" si="75"/>
        <v>82.5</v>
      </c>
      <c r="Y154" s="26"/>
      <c r="Z154" s="8" t="str">
        <f t="shared" si="14"/>
        <v>Jabon  Popeye- 170 g</v>
      </c>
      <c r="AA154" s="31" t="s">
        <v>385</v>
      </c>
      <c r="AB154" s="31">
        <v>-1</v>
      </c>
    </row>
    <row r="155" spans="1:28" ht="13.2">
      <c r="A155" s="59" t="s">
        <v>47</v>
      </c>
      <c r="B155" s="8" t="str">
        <f t="shared" si="80"/>
        <v>Pack 3 Jabon  Popeye- 170 g</v>
      </c>
      <c r="C155" s="67" t="s">
        <v>304</v>
      </c>
      <c r="D155" s="41" t="s">
        <v>422</v>
      </c>
      <c r="E155" s="40"/>
      <c r="F155" s="62">
        <f>733*3</f>
        <v>2199</v>
      </c>
      <c r="G155" s="62">
        <v>0</v>
      </c>
      <c r="H155" s="62">
        <f t="shared" si="1"/>
        <v>2199</v>
      </c>
      <c r="I155" s="62">
        <f t="shared" si="2"/>
        <v>417.81</v>
      </c>
      <c r="J155" s="63">
        <v>0.18229999999999999</v>
      </c>
      <c r="K155" s="62">
        <f t="shared" si="3"/>
        <v>2689.25033630916</v>
      </c>
      <c r="L155" s="62">
        <f t="shared" si="4"/>
        <v>510.95756389874043</v>
      </c>
      <c r="M155" s="62">
        <f t="shared" si="15"/>
        <v>3200.2079002079004</v>
      </c>
      <c r="N155" s="62">
        <f t="shared" si="6"/>
        <v>490.25033630916005</v>
      </c>
      <c r="O155" s="61">
        <f t="shared" si="7"/>
        <v>1550.2079002079004</v>
      </c>
      <c r="P155" s="61">
        <f t="shared" si="8"/>
        <v>1386.5546218487395</v>
      </c>
      <c r="Q155" s="64">
        <f t="shared" si="9"/>
        <v>-0.58594545454545455</v>
      </c>
      <c r="R155" s="65">
        <v>1650</v>
      </c>
      <c r="S155" s="41">
        <v>1108</v>
      </c>
      <c r="T155" s="41">
        <f t="shared" si="84"/>
        <v>1108</v>
      </c>
      <c r="U155" s="41">
        <v>0</v>
      </c>
      <c r="V155" s="40">
        <f t="shared" si="74"/>
        <v>1108</v>
      </c>
      <c r="W155" s="40">
        <f t="shared" si="62"/>
        <v>542</v>
      </c>
      <c r="X155" s="8">
        <f t="shared" si="75"/>
        <v>82.5</v>
      </c>
      <c r="Y155" s="26"/>
      <c r="Z155" s="8" t="str">
        <f t="shared" si="14"/>
        <v>Pack 3 Jabon  Popeye- 170 g</v>
      </c>
      <c r="AA155" s="31" t="s">
        <v>385</v>
      </c>
      <c r="AB155" s="31">
        <v>-1</v>
      </c>
    </row>
    <row r="156" spans="1:28" ht="13.2">
      <c r="A156" s="59" t="s">
        <v>47</v>
      </c>
      <c r="B156" s="8" t="str">
        <f t="shared" si="80"/>
        <v>Jabon  Ballerina - 750 ml</v>
      </c>
      <c r="C156" s="23" t="s">
        <v>94</v>
      </c>
      <c r="D156" s="41" t="s">
        <v>384</v>
      </c>
      <c r="E156" s="40"/>
      <c r="F156" s="62">
        <v>950</v>
      </c>
      <c r="G156" s="62">
        <v>0</v>
      </c>
      <c r="H156" s="62">
        <f t="shared" si="1"/>
        <v>950</v>
      </c>
      <c r="I156" s="62">
        <f t="shared" si="2"/>
        <v>180.5</v>
      </c>
      <c r="J156" s="63">
        <v>0.315</v>
      </c>
      <c r="K156" s="62">
        <f t="shared" si="3"/>
        <v>1386.861313868613</v>
      </c>
      <c r="L156" s="62">
        <f t="shared" si="4"/>
        <v>263.50364963503648</v>
      </c>
      <c r="M156" s="62">
        <f t="shared" si="15"/>
        <v>1650.3649635036495</v>
      </c>
      <c r="N156" s="62">
        <f t="shared" si="6"/>
        <v>436.86131386861302</v>
      </c>
      <c r="O156" s="61">
        <f t="shared" si="7"/>
        <v>-2849.6350364963505</v>
      </c>
      <c r="P156" s="61">
        <f t="shared" si="8"/>
        <v>3781.5126050420172</v>
      </c>
      <c r="Q156" s="64">
        <f t="shared" si="9"/>
        <v>0.74877777777777776</v>
      </c>
      <c r="R156" s="41">
        <v>4500</v>
      </c>
      <c r="S156" s="41">
        <f t="shared" ref="S156:S157" si="85">1108*3</f>
        <v>3324</v>
      </c>
      <c r="T156" s="41">
        <f t="shared" si="84"/>
        <v>3324</v>
      </c>
      <c r="U156" s="41">
        <v>0</v>
      </c>
      <c r="V156" s="40">
        <f t="shared" si="74"/>
        <v>3324</v>
      </c>
      <c r="W156" s="40">
        <f t="shared" si="62"/>
        <v>1176</v>
      </c>
      <c r="X156" s="8">
        <f t="shared" si="75"/>
        <v>225</v>
      </c>
      <c r="Y156" s="26"/>
      <c r="Z156" s="8" t="str">
        <f t="shared" si="14"/>
        <v>Jabon  Ballerina - 750 ml</v>
      </c>
      <c r="AA156" s="31" t="s">
        <v>385</v>
      </c>
      <c r="AB156" s="31">
        <v>-3</v>
      </c>
    </row>
    <row r="157" spans="1:28" ht="13.2">
      <c r="A157" s="59" t="s">
        <v>47</v>
      </c>
      <c r="B157" s="8" t="str">
        <f t="shared" si="80"/>
        <v>Jabon  Teddy - 750 ml</v>
      </c>
      <c r="C157" s="23" t="s">
        <v>328</v>
      </c>
      <c r="D157" s="41" t="s">
        <v>384</v>
      </c>
      <c r="E157" s="40"/>
      <c r="F157" s="62">
        <v>664</v>
      </c>
      <c r="G157" s="62">
        <v>0</v>
      </c>
      <c r="H157" s="62">
        <f t="shared" si="1"/>
        <v>664</v>
      </c>
      <c r="I157" s="62">
        <f t="shared" si="2"/>
        <v>126.16</v>
      </c>
      <c r="J157" s="63">
        <v>0.43559999999999999</v>
      </c>
      <c r="K157" s="62">
        <f t="shared" si="3"/>
        <v>1176.4705882352941</v>
      </c>
      <c r="L157" s="62">
        <f t="shared" si="4"/>
        <v>223.52941176470588</v>
      </c>
      <c r="M157" s="62">
        <f t="shared" si="15"/>
        <v>1400</v>
      </c>
      <c r="N157" s="62">
        <f t="shared" si="6"/>
        <v>512.47058823529414</v>
      </c>
      <c r="O157" s="61">
        <f t="shared" si="7"/>
        <v>-3100</v>
      </c>
      <c r="P157" s="61">
        <f t="shared" si="8"/>
        <v>3781.5126050420172</v>
      </c>
      <c r="Q157" s="64">
        <f t="shared" si="9"/>
        <v>0.82440888888888897</v>
      </c>
      <c r="R157" s="41">
        <v>4500</v>
      </c>
      <c r="S157" s="41">
        <f t="shared" si="85"/>
        <v>3324</v>
      </c>
      <c r="T157" s="41">
        <f t="shared" si="84"/>
        <v>3324</v>
      </c>
      <c r="U157" s="41">
        <v>0</v>
      </c>
      <c r="V157" s="40">
        <f t="shared" si="74"/>
        <v>3324</v>
      </c>
      <c r="W157" s="40">
        <f t="shared" si="62"/>
        <v>1176</v>
      </c>
      <c r="X157" s="8">
        <f t="shared" si="75"/>
        <v>225</v>
      </c>
      <c r="Y157" s="26"/>
      <c r="Z157" s="8" t="str">
        <f t="shared" si="14"/>
        <v>Jabon  Teddy - 750 ml</v>
      </c>
      <c r="AA157" s="31" t="s">
        <v>404</v>
      </c>
      <c r="AB157" s="31">
        <v>-1</v>
      </c>
    </row>
    <row r="158" spans="1:28" ht="13.2">
      <c r="A158" s="59" t="s">
        <v>76</v>
      </c>
      <c r="B158" s="8" t="str">
        <f>CONCATENATE(C158," / ",E158," Litros")</f>
        <v>Lavaloza / 5 Litros</v>
      </c>
      <c r="C158" s="23" t="s">
        <v>479</v>
      </c>
      <c r="D158" s="61" t="str">
        <f t="shared" ref="D158:D162" si="86">C158</f>
        <v>Lavaloza</v>
      </c>
      <c r="E158" s="41">
        <v>5</v>
      </c>
      <c r="F158" s="62">
        <v>2478.9915966386557</v>
      </c>
      <c r="G158" s="62">
        <v>0</v>
      </c>
      <c r="H158" s="62">
        <f t="shared" si="1"/>
        <v>2478.9915966386557</v>
      </c>
      <c r="I158" s="62">
        <f t="shared" si="2"/>
        <v>471.00840336134456</v>
      </c>
      <c r="J158" s="63">
        <v>0.31395348837209303</v>
      </c>
      <c r="K158" s="62">
        <f t="shared" si="3"/>
        <v>3613.4453781512607</v>
      </c>
      <c r="L158" s="62">
        <f t="shared" si="4"/>
        <v>686.55462184873954</v>
      </c>
      <c r="M158" s="62">
        <f t="shared" si="15"/>
        <v>4300</v>
      </c>
      <c r="N158" s="62">
        <f t="shared" si="6"/>
        <v>1134.453781512605</v>
      </c>
      <c r="O158" s="61">
        <f t="shared" si="7"/>
        <v>0</v>
      </c>
      <c r="P158" s="61">
        <f t="shared" si="8"/>
        <v>3613.4453781512607</v>
      </c>
      <c r="Q158" s="64">
        <f t="shared" si="9"/>
        <v>0.31395348837209303</v>
      </c>
      <c r="R158" s="26">
        <v>4300</v>
      </c>
      <c r="S158" s="12">
        <f>2950/5</f>
        <v>590</v>
      </c>
      <c r="T158" s="40">
        <f>S158*E158</f>
        <v>2950</v>
      </c>
      <c r="U158" s="41">
        <v>0</v>
      </c>
      <c r="V158" s="40">
        <f t="shared" si="74"/>
        <v>2950</v>
      </c>
      <c r="W158" s="40">
        <f t="shared" si="62"/>
        <v>1350</v>
      </c>
      <c r="X158" s="8">
        <f t="shared" si="75"/>
        <v>215</v>
      </c>
      <c r="Y158" s="26"/>
      <c r="Z158" s="8" t="str">
        <f t="shared" si="14"/>
        <v>Lavaloza / 5 Litros</v>
      </c>
      <c r="AA158" s="31" t="s">
        <v>546</v>
      </c>
      <c r="AB158" s="31">
        <v>-1</v>
      </c>
    </row>
    <row r="159" spans="1:28" ht="13.2">
      <c r="A159" s="59" t="s">
        <v>50</v>
      </c>
      <c r="B159" s="8" t="str">
        <f t="shared" ref="B159:B163" si="87">CONCATENATE(C159,E159)</f>
        <v>Licores Pack 1: Alto del Carmen+ Coca Zero + Hielo</v>
      </c>
      <c r="C159" s="31" t="s">
        <v>1593</v>
      </c>
      <c r="D159" s="61" t="str">
        <f t="shared" si="86"/>
        <v>Licores Pack 1: Alto del Carmen+ Coca Zero + Hielo</v>
      </c>
      <c r="E159" s="41"/>
      <c r="F159" s="62">
        <v>5760.5042016806728</v>
      </c>
      <c r="G159" s="62">
        <v>0</v>
      </c>
      <c r="H159" s="62">
        <f t="shared" si="1"/>
        <v>5760.5042016806728</v>
      </c>
      <c r="I159" s="62">
        <f t="shared" si="2"/>
        <v>1094.4957983193278</v>
      </c>
      <c r="J159" s="63">
        <v>0.34714285714285709</v>
      </c>
      <c r="K159" s="62">
        <f t="shared" si="3"/>
        <v>8823.5294117647063</v>
      </c>
      <c r="L159" s="62">
        <f t="shared" si="4"/>
        <v>1676.4705882352941</v>
      </c>
      <c r="M159" s="62">
        <f t="shared" si="15"/>
        <v>10500</v>
      </c>
      <c r="N159" s="62">
        <f t="shared" si="6"/>
        <v>3063.0252100840335</v>
      </c>
      <c r="O159" s="61">
        <f t="shared" si="7"/>
        <v>0</v>
      </c>
      <c r="P159" s="61">
        <f t="shared" si="8"/>
        <v>8823.5294117647063</v>
      </c>
      <c r="Q159" s="64">
        <f t="shared" si="9"/>
        <v>0.34714285714285709</v>
      </c>
      <c r="R159" s="41">
        <v>10500</v>
      </c>
      <c r="S159" s="41">
        <v>6855</v>
      </c>
      <c r="T159" s="41">
        <v>6855</v>
      </c>
      <c r="U159" s="41">
        <v>0</v>
      </c>
      <c r="V159" s="40">
        <f t="shared" si="74"/>
        <v>6855</v>
      </c>
      <c r="W159" s="40">
        <f t="shared" si="62"/>
        <v>3645</v>
      </c>
      <c r="X159" s="8">
        <f t="shared" si="75"/>
        <v>525</v>
      </c>
      <c r="Y159" s="26"/>
      <c r="Z159" s="8" t="str">
        <f t="shared" si="14"/>
        <v>Licores Pack 1: Alto del Carmen+ Coca Zero + Hielo</v>
      </c>
      <c r="AA159" s="8"/>
    </row>
    <row r="160" spans="1:28" ht="13.2">
      <c r="A160" s="59" t="s">
        <v>50</v>
      </c>
      <c r="B160" s="8" t="str">
        <f t="shared" si="87"/>
        <v>Licores Pack 2: Mistral + Coca Zero + Hielo</v>
      </c>
      <c r="C160" s="31" t="s">
        <v>879</v>
      </c>
      <c r="D160" s="61" t="str">
        <f t="shared" si="86"/>
        <v>Licores Pack 2: Mistral + Coca Zero + Hielo</v>
      </c>
      <c r="E160" s="41"/>
      <c r="F160" s="62">
        <v>6441.1764705882351</v>
      </c>
      <c r="G160" s="62">
        <v>0</v>
      </c>
      <c r="H160" s="62">
        <f t="shared" si="1"/>
        <v>6441.1764705882351</v>
      </c>
      <c r="I160" s="62">
        <f t="shared" si="2"/>
        <v>1223.8235294117646</v>
      </c>
      <c r="J160" s="63">
        <v>0.33347826086956522</v>
      </c>
      <c r="K160" s="62">
        <f t="shared" si="3"/>
        <v>9663.865546218487</v>
      </c>
      <c r="L160" s="62">
        <f t="shared" si="4"/>
        <v>1836.1344537815125</v>
      </c>
      <c r="M160" s="62">
        <f t="shared" si="15"/>
        <v>11500</v>
      </c>
      <c r="N160" s="62">
        <f t="shared" si="6"/>
        <v>3222.6890756302519</v>
      </c>
      <c r="O160" s="61">
        <f t="shared" si="7"/>
        <v>0</v>
      </c>
      <c r="P160" s="61">
        <f t="shared" si="8"/>
        <v>9663.865546218487</v>
      </c>
      <c r="Q160" s="64">
        <f t="shared" si="9"/>
        <v>0.33347826086956522</v>
      </c>
      <c r="R160" s="41">
        <v>11500</v>
      </c>
      <c r="S160" s="41">
        <v>7665</v>
      </c>
      <c r="T160" s="41">
        <v>7665</v>
      </c>
      <c r="U160" s="41">
        <v>0</v>
      </c>
      <c r="V160" s="40">
        <f t="shared" si="74"/>
        <v>7665</v>
      </c>
      <c r="W160" s="40">
        <f t="shared" si="62"/>
        <v>3835</v>
      </c>
      <c r="X160" s="8">
        <f t="shared" si="75"/>
        <v>575</v>
      </c>
      <c r="Y160" s="26"/>
      <c r="Z160" s="8" t="str">
        <f t="shared" si="14"/>
        <v>Licores Pack 2: Mistral + Coca Zero + Hielo</v>
      </c>
      <c r="AA160" s="8"/>
    </row>
    <row r="161" spans="1:28" ht="13.2">
      <c r="A161" s="59" t="s">
        <v>50</v>
      </c>
      <c r="B161" s="8" t="str">
        <f t="shared" si="87"/>
        <v>Licores Pack 3: Alto del Camen + Mistral + 2 Coca Zero + Hielo</v>
      </c>
      <c r="C161" s="31" t="s">
        <v>938</v>
      </c>
      <c r="D161" s="61" t="str">
        <f t="shared" si="86"/>
        <v>Licores Pack 3: Alto del Camen + Mistral + 2 Coca Zero + Hielo</v>
      </c>
      <c r="E161" s="41"/>
      <c r="F161" s="62">
        <v>11848.73949579832</v>
      </c>
      <c r="G161" s="62">
        <v>0</v>
      </c>
      <c r="H161" s="62">
        <f t="shared" si="1"/>
        <v>11848.73949579832</v>
      </c>
      <c r="I161" s="62">
        <f t="shared" si="2"/>
        <v>2251.2605042016808</v>
      </c>
      <c r="J161" s="63">
        <v>0.32857142857142863</v>
      </c>
      <c r="K161" s="62">
        <f t="shared" si="3"/>
        <v>17647.058823529413</v>
      </c>
      <c r="L161" s="62">
        <f t="shared" si="4"/>
        <v>3352.9411764705883</v>
      </c>
      <c r="M161" s="62">
        <f t="shared" si="15"/>
        <v>21000</v>
      </c>
      <c r="N161" s="62">
        <f t="shared" si="6"/>
        <v>5798.3193277310929</v>
      </c>
      <c r="O161" s="61">
        <f t="shared" si="7"/>
        <v>0</v>
      </c>
      <c r="P161" s="61">
        <f t="shared" si="8"/>
        <v>17647.058823529413</v>
      </c>
      <c r="Q161" s="64">
        <f t="shared" si="9"/>
        <v>0.32857142857142863</v>
      </c>
      <c r="R161" s="41">
        <v>21000</v>
      </c>
      <c r="S161" s="41">
        <v>14100</v>
      </c>
      <c r="T161" s="41">
        <v>14100</v>
      </c>
      <c r="U161" s="41">
        <v>0</v>
      </c>
      <c r="V161" s="40">
        <f t="shared" si="74"/>
        <v>14100</v>
      </c>
      <c r="W161" s="40">
        <f t="shared" si="62"/>
        <v>6900</v>
      </c>
      <c r="X161" s="8">
        <f t="shared" si="75"/>
        <v>1050</v>
      </c>
      <c r="Y161" s="26"/>
      <c r="Z161" s="8" t="str">
        <f t="shared" si="14"/>
        <v>Licores Pack 3: Alto del Camen + Mistral + 2 Coca Zero + Hielo</v>
      </c>
      <c r="AA161" s="8"/>
    </row>
    <row r="162" spans="1:28" ht="13.2">
      <c r="A162" s="59" t="s">
        <v>50</v>
      </c>
      <c r="B162" s="8" t="str">
        <f t="shared" si="87"/>
        <v>Licores Pack 4: 6 cervezas</v>
      </c>
      <c r="C162" s="31" t="s">
        <v>898</v>
      </c>
      <c r="D162" s="61" t="str">
        <f t="shared" si="86"/>
        <v>Licores Pack 4: 6 cervezas</v>
      </c>
      <c r="E162" s="41"/>
      <c r="F162" s="62">
        <v>3932.7731092436975</v>
      </c>
      <c r="G162" s="62">
        <v>0</v>
      </c>
      <c r="H162" s="62">
        <f t="shared" si="1"/>
        <v>3932.7731092436975</v>
      </c>
      <c r="I162" s="62">
        <f t="shared" si="2"/>
        <v>747.22689075630251</v>
      </c>
      <c r="J162" s="63">
        <v>0.28000000000000003</v>
      </c>
      <c r="K162" s="62">
        <f t="shared" si="3"/>
        <v>5462.1848739495799</v>
      </c>
      <c r="L162" s="62">
        <f t="shared" si="4"/>
        <v>1037.8151260504203</v>
      </c>
      <c r="M162" s="62">
        <f t="shared" si="15"/>
        <v>6500</v>
      </c>
      <c r="N162" s="62">
        <f t="shared" si="6"/>
        <v>1529.4117647058824</v>
      </c>
      <c r="O162" s="61">
        <f t="shared" si="7"/>
        <v>0</v>
      </c>
      <c r="P162" s="61">
        <f t="shared" si="8"/>
        <v>5462.1848739495799</v>
      </c>
      <c r="Q162" s="64">
        <f t="shared" si="9"/>
        <v>0.28000000000000003</v>
      </c>
      <c r="R162" s="41">
        <v>6500</v>
      </c>
      <c r="S162" s="41">
        <f>780*6</f>
        <v>4680</v>
      </c>
      <c r="T162" s="41">
        <f t="shared" ref="T162:T163" si="88">S162</f>
        <v>4680</v>
      </c>
      <c r="U162" s="41">
        <v>0</v>
      </c>
      <c r="V162" s="40">
        <f t="shared" si="74"/>
        <v>4680</v>
      </c>
      <c r="W162" s="40">
        <f t="shared" si="62"/>
        <v>1820</v>
      </c>
      <c r="X162" s="8">
        <f t="shared" si="75"/>
        <v>325</v>
      </c>
      <c r="Y162" s="26"/>
      <c r="Z162" s="8" t="str">
        <f t="shared" si="14"/>
        <v>Licores Pack 4: 6 cervezas</v>
      </c>
      <c r="AA162" s="8"/>
    </row>
    <row r="163" spans="1:28" ht="13.2">
      <c r="A163" s="59" t="s">
        <v>76</v>
      </c>
      <c r="B163" s="8" t="str">
        <f t="shared" si="87"/>
        <v>Limpia Inodoro 500 ml</v>
      </c>
      <c r="C163" s="23" t="s">
        <v>337</v>
      </c>
      <c r="D163" s="41" t="s">
        <v>529</v>
      </c>
      <c r="E163" s="40"/>
      <c r="F163" s="62">
        <v>731</v>
      </c>
      <c r="G163" s="62">
        <v>0</v>
      </c>
      <c r="H163" s="62">
        <f t="shared" si="1"/>
        <v>731</v>
      </c>
      <c r="I163" s="62">
        <f t="shared" si="2"/>
        <v>138.89000000000001</v>
      </c>
      <c r="J163" s="63">
        <v>0.45629999999999998</v>
      </c>
      <c r="K163" s="62">
        <f t="shared" si="3"/>
        <v>1344.4914474894242</v>
      </c>
      <c r="L163" s="62">
        <f t="shared" si="4"/>
        <v>255.4533750229906</v>
      </c>
      <c r="M163" s="62">
        <f t="shared" si="15"/>
        <v>1599.9448225124147</v>
      </c>
      <c r="N163" s="62">
        <f t="shared" si="6"/>
        <v>613.49144748942422</v>
      </c>
      <c r="O163" s="61">
        <f t="shared" si="7"/>
        <v>-900.0551774875853</v>
      </c>
      <c r="P163" s="61">
        <f t="shared" si="8"/>
        <v>2100.840336134454</v>
      </c>
      <c r="Q163" s="64">
        <f t="shared" si="9"/>
        <v>0.65204400000000007</v>
      </c>
      <c r="R163" s="41">
        <v>2500</v>
      </c>
      <c r="S163" s="41">
        <v>1760</v>
      </c>
      <c r="T163" s="41">
        <f t="shared" si="88"/>
        <v>1760</v>
      </c>
      <c r="U163" s="41">
        <v>0</v>
      </c>
      <c r="V163" s="40">
        <f t="shared" si="74"/>
        <v>1760</v>
      </c>
      <c r="W163" s="40">
        <f t="shared" si="62"/>
        <v>740</v>
      </c>
      <c r="X163" s="8">
        <f t="shared" si="75"/>
        <v>125</v>
      </c>
      <c r="Y163" s="26"/>
      <c r="Z163" s="8" t="str">
        <f t="shared" si="14"/>
        <v>Limpia Inodoro 500 ml</v>
      </c>
      <c r="AA163" s="31" t="s">
        <v>530</v>
      </c>
      <c r="AB163" s="31">
        <v>-1</v>
      </c>
    </row>
    <row r="164" spans="1:28" ht="13.2">
      <c r="A164" s="59" t="s">
        <v>76</v>
      </c>
      <c r="B164" s="8" t="str">
        <f>CONCATENATE(C164," / ",E164," ml")</f>
        <v>LImpia Vidrio / 500 ml</v>
      </c>
      <c r="C164" s="23" t="s">
        <v>444</v>
      </c>
      <c r="D164" s="61" t="str">
        <f t="shared" ref="D164:D167" si="89">C164</f>
        <v>LImpia Vidrio</v>
      </c>
      <c r="E164" s="41">
        <v>500</v>
      </c>
      <c r="F164" s="62">
        <f>900/1.19</f>
        <v>756.30252100840335</v>
      </c>
      <c r="G164" s="62">
        <v>0</v>
      </c>
      <c r="H164" s="62">
        <f t="shared" si="1"/>
        <v>756.30252100840335</v>
      </c>
      <c r="I164" s="62">
        <f t="shared" si="2"/>
        <v>143.69747899159663</v>
      </c>
      <c r="J164" s="63">
        <v>0.4</v>
      </c>
      <c r="K164" s="62">
        <f t="shared" si="3"/>
        <v>1260.5042016806724</v>
      </c>
      <c r="L164" s="62">
        <f t="shared" si="4"/>
        <v>239.49579831932775</v>
      </c>
      <c r="M164" s="62">
        <f t="shared" si="15"/>
        <v>1500.0000000000002</v>
      </c>
      <c r="N164" s="62">
        <f t="shared" si="6"/>
        <v>504.20168067226905</v>
      </c>
      <c r="O164" s="61">
        <f t="shared" si="7"/>
        <v>-1499.9999999999998</v>
      </c>
      <c r="P164" s="61">
        <f t="shared" si="8"/>
        <v>2521.0084033613448</v>
      </c>
      <c r="Q164" s="64">
        <f t="shared" si="9"/>
        <v>0.7</v>
      </c>
      <c r="R164" s="26">
        <v>3000</v>
      </c>
      <c r="S164" s="12">
        <f t="shared" ref="S164:S165" si="90">2090/5</f>
        <v>418</v>
      </c>
      <c r="T164" s="40">
        <f t="shared" ref="T164:T167" si="91">S164*E164</f>
        <v>209000</v>
      </c>
      <c r="U164" s="41">
        <v>0</v>
      </c>
      <c r="V164" s="40">
        <f t="shared" si="74"/>
        <v>209000</v>
      </c>
      <c r="W164" s="40">
        <f t="shared" si="62"/>
        <v>-206000</v>
      </c>
      <c r="X164" s="8">
        <f t="shared" si="75"/>
        <v>150</v>
      </c>
      <c r="Y164" s="76"/>
      <c r="Z164" s="8" t="str">
        <f t="shared" si="14"/>
        <v>LImpia Vidrio / 500 ml</v>
      </c>
      <c r="AA164" s="31" t="s">
        <v>603</v>
      </c>
      <c r="AB164" s="31">
        <v>-1</v>
      </c>
    </row>
    <row r="165" spans="1:28" ht="13.2">
      <c r="A165" s="59" t="s">
        <v>76</v>
      </c>
      <c r="B165" s="8" t="str">
        <f t="shared" ref="B165:B166" si="92">CONCATENATE(C165," / ",E165," Litros")</f>
        <v>LImpia Vidrio / 5 Litros</v>
      </c>
      <c r="C165" s="67" t="s">
        <v>444</v>
      </c>
      <c r="D165" s="61" t="str">
        <f t="shared" si="89"/>
        <v>LImpia Vidrio</v>
      </c>
      <c r="E165" s="41">
        <v>5</v>
      </c>
      <c r="F165" s="62">
        <f>1850/1.19</f>
        <v>1554.6218487394958</v>
      </c>
      <c r="G165" s="62">
        <v>0</v>
      </c>
      <c r="H165" s="62">
        <f t="shared" si="1"/>
        <v>1554.6218487394958</v>
      </c>
      <c r="I165" s="62">
        <f t="shared" si="2"/>
        <v>295.37815126050418</v>
      </c>
      <c r="J165" s="63">
        <v>0.4219</v>
      </c>
      <c r="K165" s="62">
        <f t="shared" si="3"/>
        <v>2689.1919196324088</v>
      </c>
      <c r="L165" s="62">
        <f t="shared" si="4"/>
        <v>510.94646473015769</v>
      </c>
      <c r="M165" s="62">
        <f t="shared" si="15"/>
        <v>3200.1383843625663</v>
      </c>
      <c r="N165" s="62">
        <f t="shared" si="6"/>
        <v>1134.570070892913</v>
      </c>
      <c r="O165" s="61">
        <f t="shared" si="7"/>
        <v>200.13838436256628</v>
      </c>
      <c r="P165" s="61">
        <f t="shared" si="8"/>
        <v>2521.0084033613448</v>
      </c>
      <c r="Q165" s="64">
        <f t="shared" si="9"/>
        <v>0.38333333333333341</v>
      </c>
      <c r="R165" s="77">
        <v>3000</v>
      </c>
      <c r="S165" s="12">
        <f t="shared" si="90"/>
        <v>418</v>
      </c>
      <c r="T165" s="40">
        <f t="shared" si="91"/>
        <v>2090</v>
      </c>
      <c r="U165" s="41">
        <v>0</v>
      </c>
      <c r="V165" s="40">
        <f t="shared" si="74"/>
        <v>2090</v>
      </c>
      <c r="W165" s="40">
        <f t="shared" si="62"/>
        <v>910</v>
      </c>
      <c r="X165" s="8">
        <f t="shared" si="75"/>
        <v>150</v>
      </c>
      <c r="Y165" s="76"/>
      <c r="Z165" s="8" t="str">
        <f t="shared" si="14"/>
        <v>LImpia Vidrio / 5 Litros</v>
      </c>
      <c r="AA165" s="31" t="s">
        <v>445</v>
      </c>
      <c r="AB165" s="31">
        <v>-1</v>
      </c>
    </row>
    <row r="166" spans="1:28" ht="13.2">
      <c r="A166" s="59" t="s">
        <v>76</v>
      </c>
      <c r="B166" s="8" t="str">
        <f t="shared" si="92"/>
        <v>Limpiapiso / 5 Litros</v>
      </c>
      <c r="C166" s="17" t="s">
        <v>463</v>
      </c>
      <c r="D166" s="61" t="str">
        <f t="shared" si="89"/>
        <v>Limpiapiso</v>
      </c>
      <c r="E166" s="41">
        <v>5</v>
      </c>
      <c r="F166" s="62">
        <v>1000</v>
      </c>
      <c r="G166" s="62">
        <v>0</v>
      </c>
      <c r="H166" s="62">
        <f t="shared" si="1"/>
        <v>1000</v>
      </c>
      <c r="I166" s="62">
        <f t="shared" si="2"/>
        <v>190</v>
      </c>
      <c r="J166" s="63">
        <v>0.40500000000000003</v>
      </c>
      <c r="K166" s="62">
        <f t="shared" si="3"/>
        <v>1680.6722689075632</v>
      </c>
      <c r="L166" s="62">
        <f t="shared" si="4"/>
        <v>319.32773109243703</v>
      </c>
      <c r="M166" s="62">
        <f t="shared" si="15"/>
        <v>2000.0000000000002</v>
      </c>
      <c r="N166" s="62">
        <f t="shared" si="6"/>
        <v>680.67226890756319</v>
      </c>
      <c r="O166" s="61">
        <f t="shared" si="7"/>
        <v>0</v>
      </c>
      <c r="P166" s="61">
        <f t="shared" si="8"/>
        <v>1680.6722689075632</v>
      </c>
      <c r="Q166" s="64">
        <f t="shared" si="9"/>
        <v>0.40500000000000003</v>
      </c>
      <c r="R166" s="26">
        <v>2000</v>
      </c>
      <c r="S166" s="12">
        <f t="shared" ref="S166:S167" si="93">1190/5</f>
        <v>238</v>
      </c>
      <c r="T166" s="40">
        <f t="shared" si="91"/>
        <v>1190</v>
      </c>
      <c r="U166" s="41">
        <v>0</v>
      </c>
      <c r="V166" s="40">
        <f t="shared" si="74"/>
        <v>1190</v>
      </c>
      <c r="W166" s="40">
        <f t="shared" si="62"/>
        <v>810</v>
      </c>
      <c r="X166" s="8">
        <f t="shared" si="75"/>
        <v>100</v>
      </c>
      <c r="Y166" s="26"/>
      <c r="Z166" s="8" t="str">
        <f t="shared" si="14"/>
        <v>Limpiapiso / 5 Litros</v>
      </c>
      <c r="AA166" s="31" t="s">
        <v>464</v>
      </c>
      <c r="AB166" s="31">
        <v>-1</v>
      </c>
    </row>
    <row r="167" spans="1:28" ht="13.2">
      <c r="A167" s="59" t="s">
        <v>76</v>
      </c>
      <c r="B167" s="8" t="str">
        <f>CONCATENATE(C167,E167)</f>
        <v>Limpiapiso POETT 900ml</v>
      </c>
      <c r="C167" s="23" t="s">
        <v>252</v>
      </c>
      <c r="D167" s="61" t="str">
        <f t="shared" si="89"/>
        <v>Limpiapiso POETT 900ml</v>
      </c>
      <c r="E167" s="41"/>
      <c r="F167" s="62">
        <v>882</v>
      </c>
      <c r="G167" s="62">
        <v>0</v>
      </c>
      <c r="H167" s="62">
        <v>882</v>
      </c>
      <c r="I167" s="62">
        <f t="shared" si="2"/>
        <v>167.58</v>
      </c>
      <c r="J167" s="63">
        <v>0.34399999999999997</v>
      </c>
      <c r="K167" s="62">
        <f t="shared" si="3"/>
        <v>1344.5121951219512</v>
      </c>
      <c r="L167" s="62">
        <f t="shared" si="4"/>
        <v>255.45731707317074</v>
      </c>
      <c r="M167" s="62">
        <f t="shared" si="15"/>
        <v>1599.969512195122</v>
      </c>
      <c r="N167" s="62">
        <f t="shared" si="6"/>
        <v>462.51219512195121</v>
      </c>
      <c r="O167" s="61">
        <f t="shared" si="7"/>
        <v>-400.03048780487802</v>
      </c>
      <c r="P167" s="61">
        <f t="shared" si="8"/>
        <v>1680.6722689075632</v>
      </c>
      <c r="Q167" s="64">
        <f t="shared" si="9"/>
        <v>0.47521000000000002</v>
      </c>
      <c r="R167" s="26">
        <v>2000</v>
      </c>
      <c r="S167" s="12">
        <f t="shared" si="93"/>
        <v>238</v>
      </c>
      <c r="T167" s="40">
        <f t="shared" si="91"/>
        <v>0</v>
      </c>
      <c r="U167" s="41">
        <v>0</v>
      </c>
      <c r="V167" s="40">
        <f t="shared" si="74"/>
        <v>0</v>
      </c>
      <c r="W167" s="40">
        <f t="shared" si="62"/>
        <v>2000</v>
      </c>
      <c r="X167" s="8">
        <f t="shared" si="75"/>
        <v>100</v>
      </c>
      <c r="Y167" s="26"/>
      <c r="Z167" s="8" t="str">
        <f t="shared" si="14"/>
        <v>Limpiapiso POETT 900ml</v>
      </c>
      <c r="AA167" s="31" t="s">
        <v>486</v>
      </c>
      <c r="AB167" s="31">
        <v>-1</v>
      </c>
    </row>
    <row r="168" spans="1:28" ht="13.2">
      <c r="A168" s="59" t="s">
        <v>64</v>
      </c>
      <c r="B168" s="8" t="str">
        <f>CONCATENATE(C168," / ",E168, " Kilo")</f>
        <v>Longanizas VILLABLANCA / 1 Kilo</v>
      </c>
      <c r="C168" s="60" t="s">
        <v>543</v>
      </c>
      <c r="D168" s="61" t="s">
        <v>64</v>
      </c>
      <c r="E168" s="41">
        <v>1</v>
      </c>
      <c r="F168" s="62">
        <v>5240</v>
      </c>
      <c r="G168" s="62">
        <v>18.487394957983195</v>
      </c>
      <c r="H168" s="62">
        <f t="shared" ref="H168:H388" si="94">F168+G168</f>
        <v>5258.4873949579833</v>
      </c>
      <c r="I168" s="62">
        <f t="shared" si="2"/>
        <v>999.11260504201687</v>
      </c>
      <c r="J168" s="63">
        <v>0.2369</v>
      </c>
      <c r="K168" s="62">
        <f t="shared" si="3"/>
        <v>6890.9545209775697</v>
      </c>
      <c r="L168" s="62">
        <f t="shared" si="4"/>
        <v>1309.2813589857383</v>
      </c>
      <c r="M168" s="62">
        <f t="shared" si="15"/>
        <v>8200.2358799633075</v>
      </c>
      <c r="N168" s="62">
        <f t="shared" si="6"/>
        <v>1632.4671260195864</v>
      </c>
      <c r="O168" s="61">
        <f t="shared" si="7"/>
        <v>200.23587996330753</v>
      </c>
      <c r="P168" s="61">
        <f t="shared" si="8"/>
        <v>6722.6890756302528</v>
      </c>
      <c r="Q168" s="64">
        <f t="shared" si="9"/>
        <v>0.2178000000000001</v>
      </c>
      <c r="R168" s="65">
        <v>8000</v>
      </c>
      <c r="S168" s="41">
        <v>6390</v>
      </c>
      <c r="T168" s="40">
        <f t="shared" ref="T168:T169" si="95">S168</f>
        <v>6390</v>
      </c>
      <c r="U168" s="41">
        <v>22</v>
      </c>
      <c r="V168" s="40">
        <f t="shared" si="74"/>
        <v>6412</v>
      </c>
      <c r="W168" s="40">
        <f t="shared" si="62"/>
        <v>1588</v>
      </c>
      <c r="X168" s="8">
        <f t="shared" si="75"/>
        <v>400</v>
      </c>
      <c r="Y168" s="26"/>
      <c r="Z168" s="8" t="str">
        <f t="shared" si="14"/>
        <v>Longanizas VILLABLANCA / 1 Kilo</v>
      </c>
      <c r="AA168" s="31" t="s">
        <v>543</v>
      </c>
      <c r="AB168" s="31">
        <v>-1</v>
      </c>
    </row>
    <row r="169" spans="1:28" ht="13.2">
      <c r="A169" s="59" t="s">
        <v>47</v>
      </c>
      <c r="B169" s="8" t="str">
        <f t="shared" ref="B169:B172" si="96">CONCATENATE(C169,E169)</f>
        <v>Lustra Mueble 240 ml</v>
      </c>
      <c r="C169" s="67" t="s">
        <v>217</v>
      </c>
      <c r="D169" s="41" t="s">
        <v>544</v>
      </c>
      <c r="E169" s="40"/>
      <c r="F169" s="62">
        <v>786</v>
      </c>
      <c r="G169" s="62">
        <v>0</v>
      </c>
      <c r="H169" s="62">
        <f t="shared" si="94"/>
        <v>786</v>
      </c>
      <c r="I169" s="62">
        <f t="shared" si="2"/>
        <v>149.34</v>
      </c>
      <c r="J169" s="63">
        <v>0.3765</v>
      </c>
      <c r="K169" s="62">
        <f t="shared" si="3"/>
        <v>1260.6255012028871</v>
      </c>
      <c r="L169" s="62">
        <f t="shared" si="4"/>
        <v>239.51884522854854</v>
      </c>
      <c r="M169" s="62">
        <f t="shared" si="15"/>
        <v>1500.1443464314357</v>
      </c>
      <c r="N169" s="62">
        <f t="shared" si="6"/>
        <v>474.62550120288711</v>
      </c>
      <c r="O169" s="61">
        <f t="shared" si="7"/>
        <v>-999.85565356856432</v>
      </c>
      <c r="P169" s="61">
        <f t="shared" si="8"/>
        <v>2100.840336134454</v>
      </c>
      <c r="Q169" s="64">
        <f t="shared" si="9"/>
        <v>0.62586399999999998</v>
      </c>
      <c r="R169" s="65">
        <v>2500</v>
      </c>
      <c r="S169" s="41">
        <v>1760</v>
      </c>
      <c r="T169" s="41">
        <f t="shared" si="95"/>
        <v>1760</v>
      </c>
      <c r="U169" s="41">
        <v>0</v>
      </c>
      <c r="V169" s="40">
        <f t="shared" si="74"/>
        <v>1760</v>
      </c>
      <c r="W169" s="40">
        <f t="shared" si="62"/>
        <v>740</v>
      </c>
      <c r="X169" s="8">
        <f t="shared" si="75"/>
        <v>125</v>
      </c>
      <c r="Y169" s="26"/>
      <c r="Z169" s="8" t="str">
        <f t="shared" si="14"/>
        <v>Lustra Mueble 240 ml</v>
      </c>
      <c r="AA169" s="31" t="s">
        <v>545</v>
      </c>
      <c r="AB169" s="31">
        <v>-1</v>
      </c>
    </row>
    <row r="170" spans="1:28" ht="13.2">
      <c r="A170" s="59" t="s">
        <v>47</v>
      </c>
      <c r="B170" s="8" t="str">
        <f t="shared" si="96"/>
        <v>Desinfectante IGENIX 360 ml</v>
      </c>
      <c r="C170" s="67" t="s">
        <v>511</v>
      </c>
      <c r="D170" s="61" t="s">
        <v>512</v>
      </c>
      <c r="E170" s="41"/>
      <c r="F170" s="62">
        <v>1572</v>
      </c>
      <c r="G170" s="62">
        <v>0</v>
      </c>
      <c r="H170" s="62">
        <f t="shared" si="94"/>
        <v>1572</v>
      </c>
      <c r="I170" s="62">
        <f t="shared" si="2"/>
        <v>298.68</v>
      </c>
      <c r="J170" s="63">
        <v>0.30718000000000001</v>
      </c>
      <c r="K170" s="62">
        <f t="shared" si="3"/>
        <v>2268.9876158309517</v>
      </c>
      <c r="L170" s="62">
        <f t="shared" si="4"/>
        <v>431.10764700788081</v>
      </c>
      <c r="M170" s="62">
        <f t="shared" si="15"/>
        <v>2700.0952628388322</v>
      </c>
      <c r="N170" s="62">
        <f t="shared" si="6"/>
        <v>696.98761583095165</v>
      </c>
      <c r="O170" s="61">
        <f t="shared" si="7"/>
        <v>-899.90473716116776</v>
      </c>
      <c r="P170" s="61">
        <f t="shared" si="8"/>
        <v>3025.2100840336134</v>
      </c>
      <c r="Q170" s="64">
        <f t="shared" si="9"/>
        <v>0.48036666666666661</v>
      </c>
      <c r="R170" s="77">
        <v>3600</v>
      </c>
      <c r="S170" s="26">
        <v>2531</v>
      </c>
      <c r="T170" s="40">
        <f t="shared" ref="T170:T171" si="97">S170*E170/1000</f>
        <v>0</v>
      </c>
      <c r="U170" s="41">
        <v>0</v>
      </c>
      <c r="V170" s="40">
        <f t="shared" si="74"/>
        <v>0</v>
      </c>
      <c r="W170" s="40">
        <f t="shared" si="62"/>
        <v>3600</v>
      </c>
      <c r="X170" s="8">
        <f t="shared" si="75"/>
        <v>180</v>
      </c>
      <c r="Y170" s="26"/>
      <c r="Z170" s="8" t="str">
        <f t="shared" si="14"/>
        <v>Desinfectante IGENIX 360 ml</v>
      </c>
      <c r="AA170" s="31" t="s">
        <v>513</v>
      </c>
      <c r="AB170" s="31">
        <v>-1</v>
      </c>
    </row>
    <row r="171" spans="1:28" ht="13.2">
      <c r="A171" s="59" t="s">
        <v>47</v>
      </c>
      <c r="B171" s="8" t="str">
        <f t="shared" si="96"/>
        <v>LYSOFORM 420 ML</v>
      </c>
      <c r="C171" s="67" t="s">
        <v>693</v>
      </c>
      <c r="D171" s="61" t="s">
        <v>512</v>
      </c>
      <c r="E171" s="41"/>
      <c r="F171" s="62">
        <v>2126.8907563025209</v>
      </c>
      <c r="G171" s="62">
        <v>0</v>
      </c>
      <c r="H171" s="62">
        <f t="shared" si="94"/>
        <v>2126.8907563025209</v>
      </c>
      <c r="I171" s="62">
        <f t="shared" si="2"/>
        <v>404.10924369747897</v>
      </c>
      <c r="J171" s="63">
        <v>0.29694444444444446</v>
      </c>
      <c r="K171" s="62">
        <f t="shared" si="3"/>
        <v>3025.2100840336134</v>
      </c>
      <c r="L171" s="62">
        <f t="shared" si="4"/>
        <v>574.7899159663865</v>
      </c>
      <c r="M171" s="62">
        <f t="shared" si="15"/>
        <v>3600</v>
      </c>
      <c r="N171" s="62">
        <f t="shared" si="6"/>
        <v>898.31932773109247</v>
      </c>
      <c r="O171" s="61">
        <f t="shared" si="7"/>
        <v>0</v>
      </c>
      <c r="P171" s="61">
        <f t="shared" si="8"/>
        <v>3025.2100840336134</v>
      </c>
      <c r="Q171" s="64">
        <f t="shared" si="9"/>
        <v>0.29694444444444446</v>
      </c>
      <c r="R171" s="77">
        <v>3600</v>
      </c>
      <c r="S171" s="26">
        <v>2531</v>
      </c>
      <c r="T171" s="40">
        <f t="shared" si="97"/>
        <v>0</v>
      </c>
      <c r="U171" s="41">
        <v>0</v>
      </c>
      <c r="V171" s="40">
        <f t="shared" si="74"/>
        <v>0</v>
      </c>
      <c r="W171" s="40">
        <f t="shared" si="62"/>
        <v>3600</v>
      </c>
      <c r="X171" s="8">
        <f t="shared" si="75"/>
        <v>180</v>
      </c>
      <c r="Y171" s="26"/>
      <c r="Z171" s="8" t="str">
        <f t="shared" si="14"/>
        <v>LYSOFORM 420 ML</v>
      </c>
      <c r="AA171" s="31" t="s">
        <v>1051</v>
      </c>
      <c r="AB171" s="31">
        <v>-1</v>
      </c>
    </row>
    <row r="172" spans="1:28" ht="13.2">
      <c r="A172" s="59" t="s">
        <v>76</v>
      </c>
      <c r="B172" s="8" t="str">
        <f t="shared" si="96"/>
        <v>Magistral 500 cc</v>
      </c>
      <c r="C172" s="67" t="s">
        <v>78</v>
      </c>
      <c r="D172" s="41" t="s">
        <v>479</v>
      </c>
      <c r="E172" s="40"/>
      <c r="F172" s="62">
        <v>2176</v>
      </c>
      <c r="G172" s="62">
        <v>0</v>
      </c>
      <c r="H172" s="62">
        <f t="shared" si="94"/>
        <v>2176</v>
      </c>
      <c r="I172" s="62">
        <f t="shared" si="2"/>
        <v>413.44</v>
      </c>
      <c r="J172" s="63">
        <v>0.30009999999999998</v>
      </c>
      <c r="K172" s="62">
        <f t="shared" si="3"/>
        <v>3109.0155736533793</v>
      </c>
      <c r="L172" s="62">
        <f t="shared" si="4"/>
        <v>590.71295899414213</v>
      </c>
      <c r="M172" s="62">
        <f t="shared" si="15"/>
        <v>3699.7285326475212</v>
      </c>
      <c r="N172" s="62">
        <f t="shared" si="6"/>
        <v>933.01557365337931</v>
      </c>
      <c r="O172" s="61">
        <f t="shared" si="7"/>
        <v>1099.7285326475212</v>
      </c>
      <c r="P172" s="61">
        <f t="shared" si="8"/>
        <v>2184.8739495798322</v>
      </c>
      <c r="Q172" s="64">
        <f t="shared" si="9"/>
        <v>4.0615384615385608E-3</v>
      </c>
      <c r="R172" s="65">
        <v>2600</v>
      </c>
      <c r="S172" s="41">
        <v>1348</v>
      </c>
      <c r="T172" s="41">
        <f>S172</f>
        <v>1348</v>
      </c>
      <c r="U172" s="41">
        <v>0</v>
      </c>
      <c r="V172" s="40">
        <f t="shared" si="74"/>
        <v>1348</v>
      </c>
      <c r="W172" s="40">
        <f t="shared" si="62"/>
        <v>1252</v>
      </c>
      <c r="X172" s="8">
        <f t="shared" si="75"/>
        <v>130</v>
      </c>
      <c r="Y172" s="26"/>
      <c r="Z172" s="8" t="str">
        <f t="shared" si="14"/>
        <v>Magistral 500 cc</v>
      </c>
      <c r="AA172" s="31" t="s">
        <v>1047</v>
      </c>
      <c r="AB172" s="31">
        <v>-1</v>
      </c>
    </row>
    <row r="173" spans="1:28" ht="13.2">
      <c r="A173" s="78" t="s">
        <v>139</v>
      </c>
      <c r="B173" s="8" t="str">
        <f t="shared" ref="B173:B183" si="98">CONCATENATE(C173," / ",E173," gramos")</f>
        <v>Maiz Curagua (Pop Corn) / 1000 gramos</v>
      </c>
      <c r="C173" s="79" t="s">
        <v>992</v>
      </c>
      <c r="D173" s="61" t="str">
        <f t="shared" ref="D173:D179" si="99">C173</f>
        <v>Maiz Curagua (Pop Corn)</v>
      </c>
      <c r="E173" s="61">
        <v>1000</v>
      </c>
      <c r="F173" s="62">
        <v>700</v>
      </c>
      <c r="G173" s="62">
        <v>190.75630252100842</v>
      </c>
      <c r="H173" s="62">
        <f t="shared" si="94"/>
        <v>890.75630252100837</v>
      </c>
      <c r="I173" s="62">
        <f t="shared" si="2"/>
        <v>169.24369747899158</v>
      </c>
      <c r="J173" s="63">
        <v>0.53913043478260869</v>
      </c>
      <c r="K173" s="62">
        <f t="shared" si="3"/>
        <v>1932.7731092436975</v>
      </c>
      <c r="L173" s="62">
        <f t="shared" si="4"/>
        <v>367.22689075630251</v>
      </c>
      <c r="M173" s="62">
        <f t="shared" si="15"/>
        <v>2300</v>
      </c>
      <c r="N173" s="62">
        <f t="shared" si="6"/>
        <v>1042.0168067226891</v>
      </c>
      <c r="O173" s="61">
        <f t="shared" si="7"/>
        <v>0</v>
      </c>
      <c r="P173" s="61">
        <f t="shared" si="8"/>
        <v>1932.7731092436975</v>
      </c>
      <c r="Q173" s="64">
        <f t="shared" si="9"/>
        <v>0.53913043478260869</v>
      </c>
      <c r="R173" s="81">
        <v>2300</v>
      </c>
      <c r="S173" s="41">
        <v>833</v>
      </c>
      <c r="T173" s="40">
        <f t="shared" ref="T173:T190" si="100">S173*E173/1000</f>
        <v>833</v>
      </c>
      <c r="U173" s="40">
        <f t="shared" ref="U173:U174" si="101">7+40+180</f>
        <v>227</v>
      </c>
      <c r="V173" s="40">
        <f t="shared" si="74"/>
        <v>1060</v>
      </c>
      <c r="W173" s="40">
        <f t="shared" si="62"/>
        <v>1240</v>
      </c>
      <c r="X173" s="8">
        <f t="shared" si="75"/>
        <v>115</v>
      </c>
      <c r="Y173" s="76"/>
      <c r="Z173" s="8" t="str">
        <f t="shared" si="14"/>
        <v>Maiz Curagua (Pop Corn) / 1000 gramos</v>
      </c>
      <c r="AA173" s="8"/>
    </row>
    <row r="174" spans="1:28" ht="13.2">
      <c r="A174" s="78" t="s">
        <v>139</v>
      </c>
      <c r="B174" s="8" t="str">
        <f t="shared" si="98"/>
        <v>Maiz Curagua (Pop Corn) / 1000 gramos</v>
      </c>
      <c r="C174" s="79" t="s">
        <v>992</v>
      </c>
      <c r="D174" s="61" t="str">
        <f t="shared" si="99"/>
        <v>Maiz Curagua (Pop Corn)</v>
      </c>
      <c r="E174" s="61">
        <v>1000</v>
      </c>
      <c r="F174" s="62">
        <v>700</v>
      </c>
      <c r="G174" s="62">
        <v>190.75630252100842</v>
      </c>
      <c r="H174" s="62">
        <f t="shared" si="94"/>
        <v>890.75630252100837</v>
      </c>
      <c r="I174" s="62">
        <f t="shared" si="2"/>
        <v>169.24369747899158</v>
      </c>
      <c r="J174" s="63">
        <v>0.47000000000000008</v>
      </c>
      <c r="K174" s="62">
        <f t="shared" si="3"/>
        <v>1680.6722689075632</v>
      </c>
      <c r="L174" s="62">
        <f t="shared" si="4"/>
        <v>319.32773109243703</v>
      </c>
      <c r="M174" s="62">
        <f t="shared" si="15"/>
        <v>2000.0000000000002</v>
      </c>
      <c r="N174" s="62">
        <f t="shared" si="6"/>
        <v>789.91596638655483</v>
      </c>
      <c r="O174" s="61">
        <f t="shared" si="7"/>
        <v>0</v>
      </c>
      <c r="P174" s="61">
        <f t="shared" si="8"/>
        <v>1680.6722689075632</v>
      </c>
      <c r="Q174" s="64">
        <f t="shared" si="9"/>
        <v>0.47000000000000008</v>
      </c>
      <c r="R174" s="81">
        <v>2000</v>
      </c>
      <c r="S174" s="41">
        <v>833</v>
      </c>
      <c r="T174" s="40">
        <f t="shared" si="100"/>
        <v>833</v>
      </c>
      <c r="U174" s="40">
        <f t="shared" si="101"/>
        <v>227</v>
      </c>
      <c r="V174" s="40">
        <f t="shared" si="74"/>
        <v>1060</v>
      </c>
      <c r="W174" s="40">
        <f t="shared" si="62"/>
        <v>940</v>
      </c>
      <c r="X174" s="8">
        <f t="shared" si="75"/>
        <v>100</v>
      </c>
      <c r="Y174" s="76"/>
      <c r="Z174" s="8" t="str">
        <f t="shared" si="14"/>
        <v>Maiz Curagua (Pop Corn) / 1000 gramos</v>
      </c>
      <c r="AA174" s="8"/>
    </row>
    <row r="175" spans="1:28" ht="13.2">
      <c r="A175" s="78" t="s">
        <v>139</v>
      </c>
      <c r="B175" s="8" t="str">
        <f t="shared" si="98"/>
        <v>Maiz Curagua (Pop Corn) / 250 gramos</v>
      </c>
      <c r="C175" s="79" t="s">
        <v>992</v>
      </c>
      <c r="D175" s="61" t="str">
        <f t="shared" si="99"/>
        <v>Maiz Curagua (Pop Corn)</v>
      </c>
      <c r="E175" s="61">
        <v>250</v>
      </c>
      <c r="F175" s="62">
        <v>175</v>
      </c>
      <c r="G175" s="62">
        <v>119.32773109243698</v>
      </c>
      <c r="H175" s="62">
        <f t="shared" si="94"/>
        <v>294.32773109243698</v>
      </c>
      <c r="I175" s="62">
        <f t="shared" si="2"/>
        <v>55.922268907563023</v>
      </c>
      <c r="J175" s="63">
        <v>0.49964285714285717</v>
      </c>
      <c r="K175" s="62">
        <f t="shared" si="3"/>
        <v>588.23529411764707</v>
      </c>
      <c r="L175" s="62">
        <f t="shared" si="4"/>
        <v>111.76470588235294</v>
      </c>
      <c r="M175" s="62">
        <f t="shared" si="15"/>
        <v>700</v>
      </c>
      <c r="N175" s="62">
        <f t="shared" si="6"/>
        <v>293.9075630252101</v>
      </c>
      <c r="O175" s="61">
        <f t="shared" si="7"/>
        <v>0</v>
      </c>
      <c r="P175" s="61">
        <f t="shared" si="8"/>
        <v>588.23529411764707</v>
      </c>
      <c r="Q175" s="64">
        <f t="shared" si="9"/>
        <v>0.49964285714285717</v>
      </c>
      <c r="R175" s="81">
        <v>700</v>
      </c>
      <c r="S175" s="41">
        <v>833</v>
      </c>
      <c r="T175" s="40">
        <f t="shared" si="100"/>
        <v>208.25</v>
      </c>
      <c r="U175" s="40">
        <f>7+40+95</f>
        <v>142</v>
      </c>
      <c r="V175" s="40">
        <f t="shared" si="74"/>
        <v>350.25</v>
      </c>
      <c r="W175" s="40">
        <f t="shared" si="62"/>
        <v>349.75</v>
      </c>
      <c r="X175" s="8">
        <f t="shared" si="75"/>
        <v>35</v>
      </c>
      <c r="Y175" s="76"/>
      <c r="Z175" s="8" t="str">
        <f t="shared" si="14"/>
        <v>Maiz Curagua (Pop Corn) / 250 gramos</v>
      </c>
      <c r="AA175" s="8"/>
    </row>
    <row r="176" spans="1:28" ht="13.2">
      <c r="A176" s="78" t="s">
        <v>139</v>
      </c>
      <c r="B176" s="8" t="str">
        <f t="shared" si="98"/>
        <v>Maiz Curagua (Pop Corn) / 500 gramos</v>
      </c>
      <c r="C176" s="80" t="s">
        <v>992</v>
      </c>
      <c r="D176" s="61" t="str">
        <f t="shared" si="99"/>
        <v>Maiz Curagua (Pop Corn)</v>
      </c>
      <c r="E176" s="61">
        <v>500</v>
      </c>
      <c r="F176" s="62">
        <v>350</v>
      </c>
      <c r="G176" s="62">
        <v>142.01680672268907</v>
      </c>
      <c r="H176" s="62">
        <f t="shared" si="94"/>
        <v>492.01680672268907</v>
      </c>
      <c r="I176" s="62">
        <f t="shared" si="2"/>
        <v>93.483193277310917</v>
      </c>
      <c r="J176" s="63">
        <v>0.54961538461538462</v>
      </c>
      <c r="K176" s="62">
        <f t="shared" si="3"/>
        <v>1092.4369747899159</v>
      </c>
      <c r="L176" s="62">
        <f t="shared" si="4"/>
        <v>207.56302521008402</v>
      </c>
      <c r="M176" s="62">
        <f t="shared" si="15"/>
        <v>1300</v>
      </c>
      <c r="N176" s="62">
        <f t="shared" si="6"/>
        <v>600.42016806722677</v>
      </c>
      <c r="O176" s="61">
        <f t="shared" si="7"/>
        <v>0</v>
      </c>
      <c r="P176" s="61">
        <f t="shared" si="8"/>
        <v>1092.4369747899161</v>
      </c>
      <c r="Q176" s="64">
        <f t="shared" si="9"/>
        <v>0.54961538461538462</v>
      </c>
      <c r="R176" s="61">
        <v>1300</v>
      </c>
      <c r="S176" s="41">
        <v>833</v>
      </c>
      <c r="T176" s="40">
        <f t="shared" si="100"/>
        <v>416.5</v>
      </c>
      <c r="U176" s="40">
        <f>7+40+122</f>
        <v>169</v>
      </c>
      <c r="V176" s="40">
        <f t="shared" si="74"/>
        <v>585.5</v>
      </c>
      <c r="W176" s="40">
        <f t="shared" si="62"/>
        <v>714.5</v>
      </c>
      <c r="X176" s="8">
        <f t="shared" si="75"/>
        <v>65</v>
      </c>
      <c r="Y176" s="76"/>
      <c r="Z176" s="8" t="str">
        <f t="shared" si="14"/>
        <v>Maiz Curagua (Pop Corn) / 500 gramos</v>
      </c>
      <c r="AA176" s="8"/>
    </row>
    <row r="177" spans="1:28" ht="13.2">
      <c r="A177" s="78" t="s">
        <v>139</v>
      </c>
      <c r="B177" s="8" t="str">
        <f t="shared" si="98"/>
        <v>Mani / 250 gramos</v>
      </c>
      <c r="C177" s="79" t="s">
        <v>763</v>
      </c>
      <c r="D177" s="61" t="str">
        <f t="shared" si="99"/>
        <v>Mani</v>
      </c>
      <c r="E177" s="61">
        <v>250</v>
      </c>
      <c r="F177" s="62">
        <v>500</v>
      </c>
      <c r="G177" s="62">
        <v>119.32773109243698</v>
      </c>
      <c r="H177" s="62">
        <f t="shared" si="94"/>
        <v>619.32773109243703</v>
      </c>
      <c r="I177" s="62">
        <f t="shared" si="2"/>
        <v>117.67226890756304</v>
      </c>
      <c r="J177" s="63">
        <v>7.8749999999999876E-2</v>
      </c>
      <c r="K177" s="62">
        <f t="shared" si="3"/>
        <v>672.26890756302521</v>
      </c>
      <c r="L177" s="62">
        <f t="shared" si="4"/>
        <v>127.73109243697479</v>
      </c>
      <c r="M177" s="62">
        <f t="shared" si="15"/>
        <v>800</v>
      </c>
      <c r="N177" s="62">
        <f t="shared" si="6"/>
        <v>52.941176470588175</v>
      </c>
      <c r="O177" s="61">
        <f t="shared" si="7"/>
        <v>0</v>
      </c>
      <c r="P177" s="61">
        <f t="shared" si="8"/>
        <v>672.26890756302521</v>
      </c>
      <c r="Q177" s="64">
        <f t="shared" si="9"/>
        <v>7.8749999999999876E-2</v>
      </c>
      <c r="R177" s="81">
        <v>800</v>
      </c>
      <c r="S177" s="41">
        <v>2380</v>
      </c>
      <c r="T177" s="40">
        <f t="shared" si="100"/>
        <v>595</v>
      </c>
      <c r="U177" s="40">
        <f>7+40+95</f>
        <v>142</v>
      </c>
      <c r="V177" s="40">
        <f t="shared" si="74"/>
        <v>737</v>
      </c>
      <c r="W177" s="40">
        <f t="shared" si="62"/>
        <v>63</v>
      </c>
      <c r="X177" s="8">
        <f t="shared" si="75"/>
        <v>40</v>
      </c>
      <c r="Y177" s="76"/>
      <c r="Z177" s="8" t="str">
        <f t="shared" si="14"/>
        <v>Mani / 250 gramos</v>
      </c>
      <c r="AA177" s="8"/>
    </row>
    <row r="178" spans="1:28" ht="13.2">
      <c r="A178" s="78" t="s">
        <v>139</v>
      </c>
      <c r="B178" s="8" t="str">
        <f t="shared" si="98"/>
        <v>Mani / 50 gramos</v>
      </c>
      <c r="C178" s="79" t="s">
        <v>763</v>
      </c>
      <c r="D178" s="61" t="str">
        <f t="shared" si="99"/>
        <v>Mani</v>
      </c>
      <c r="E178" s="61">
        <v>50</v>
      </c>
      <c r="F178" s="62">
        <v>100</v>
      </c>
      <c r="G178" s="62">
        <v>66.722689075630257</v>
      </c>
      <c r="H178" s="62">
        <f t="shared" si="94"/>
        <v>166.72268907563026</v>
      </c>
      <c r="I178" s="62">
        <f t="shared" si="2"/>
        <v>31.677310924369749</v>
      </c>
      <c r="J178" s="63">
        <v>0.60319999999999996</v>
      </c>
      <c r="K178" s="62">
        <f t="shared" si="3"/>
        <v>420.16806722689074</v>
      </c>
      <c r="L178" s="62">
        <f t="shared" si="4"/>
        <v>79.831932773109244</v>
      </c>
      <c r="M178" s="62">
        <f t="shared" si="15"/>
        <v>500</v>
      </c>
      <c r="N178" s="62">
        <f t="shared" si="6"/>
        <v>253.44537815126048</v>
      </c>
      <c r="O178" s="61">
        <f t="shared" si="7"/>
        <v>0</v>
      </c>
      <c r="P178" s="61">
        <f t="shared" si="8"/>
        <v>420.1680672268908</v>
      </c>
      <c r="Q178" s="64">
        <f t="shared" si="9"/>
        <v>0.60319999999999996</v>
      </c>
      <c r="R178" s="81">
        <v>500</v>
      </c>
      <c r="S178" s="41">
        <v>2380</v>
      </c>
      <c r="T178" s="40">
        <f t="shared" si="100"/>
        <v>119</v>
      </c>
      <c r="U178" s="12">
        <f>73+160/25</f>
        <v>79.400000000000006</v>
      </c>
      <c r="V178" s="40">
        <f t="shared" si="74"/>
        <v>198.4</v>
      </c>
      <c r="W178" s="40">
        <f t="shared" si="62"/>
        <v>301.60000000000002</v>
      </c>
      <c r="X178" s="8">
        <f t="shared" si="75"/>
        <v>25</v>
      </c>
      <c r="Y178" s="82" t="s">
        <v>1579</v>
      </c>
      <c r="Z178" s="8" t="str">
        <f t="shared" si="14"/>
        <v>Mani / 50 gramos</v>
      </c>
      <c r="AA178" s="8"/>
    </row>
    <row r="179" spans="1:28" ht="13.2">
      <c r="A179" s="78" t="s">
        <v>139</v>
      </c>
      <c r="B179" s="8" t="str">
        <f t="shared" si="98"/>
        <v>Mani / 500 gramos</v>
      </c>
      <c r="C179" s="79" t="s">
        <v>763</v>
      </c>
      <c r="D179" s="61" t="str">
        <f t="shared" si="99"/>
        <v>Mani</v>
      </c>
      <c r="E179" s="61">
        <v>500</v>
      </c>
      <c r="F179" s="62">
        <v>1000</v>
      </c>
      <c r="G179" s="62">
        <v>142.01680672268907</v>
      </c>
      <c r="H179" s="62">
        <f t="shared" si="94"/>
        <v>1142.0168067226891</v>
      </c>
      <c r="I179" s="62">
        <f t="shared" si="2"/>
        <v>216.98319327731093</v>
      </c>
      <c r="J179" s="63">
        <v>9.4000000000000083E-2</v>
      </c>
      <c r="K179" s="62">
        <f t="shared" si="3"/>
        <v>1260.5042016806724</v>
      </c>
      <c r="L179" s="62">
        <f t="shared" si="4"/>
        <v>239.49579831932775</v>
      </c>
      <c r="M179" s="62">
        <f t="shared" si="15"/>
        <v>1500.0000000000002</v>
      </c>
      <c r="N179" s="62">
        <f t="shared" si="6"/>
        <v>118.48739495798327</v>
      </c>
      <c r="O179" s="61">
        <f t="shared" si="7"/>
        <v>0</v>
      </c>
      <c r="P179" s="61">
        <f t="shared" si="8"/>
        <v>1260.5042016806724</v>
      </c>
      <c r="Q179" s="64">
        <f t="shared" si="9"/>
        <v>9.4000000000000083E-2</v>
      </c>
      <c r="R179" s="81">
        <v>1500</v>
      </c>
      <c r="S179" s="41">
        <v>2380</v>
      </c>
      <c r="T179" s="40">
        <f t="shared" si="100"/>
        <v>1190</v>
      </c>
      <c r="U179" s="40">
        <f t="shared" ref="U179:U180" si="102">7+40+122</f>
        <v>169</v>
      </c>
      <c r="V179" s="40">
        <f t="shared" si="74"/>
        <v>1359</v>
      </c>
      <c r="W179" s="40">
        <f t="shared" si="62"/>
        <v>141</v>
      </c>
      <c r="X179" s="8">
        <f t="shared" si="75"/>
        <v>75</v>
      </c>
      <c r="Y179" s="76"/>
      <c r="Z179" s="8" t="str">
        <f t="shared" si="14"/>
        <v>Mani / 500 gramos</v>
      </c>
      <c r="AA179" s="8"/>
    </row>
    <row r="180" spans="1:28" ht="13.2">
      <c r="A180" s="78" t="s">
        <v>139</v>
      </c>
      <c r="B180" s="8" t="str">
        <f t="shared" si="98"/>
        <v>Mani - New / 100 gramos</v>
      </c>
      <c r="C180" s="79" t="s">
        <v>965</v>
      </c>
      <c r="D180" s="61" t="s">
        <v>763</v>
      </c>
      <c r="E180" s="61">
        <v>100</v>
      </c>
      <c r="F180" s="62">
        <v>225.0420168067227</v>
      </c>
      <c r="G180" s="62">
        <v>142.01680672268907</v>
      </c>
      <c r="H180" s="62">
        <f t="shared" si="94"/>
        <v>367.05882352941177</v>
      </c>
      <c r="I180" s="62">
        <f t="shared" si="2"/>
        <v>69.741176470588243</v>
      </c>
      <c r="J180" s="63">
        <v>0.12640000000000007</v>
      </c>
      <c r="K180" s="62">
        <f t="shared" si="3"/>
        <v>420.1680672268908</v>
      </c>
      <c r="L180" s="62">
        <f t="shared" si="4"/>
        <v>79.831932773109259</v>
      </c>
      <c r="M180" s="62">
        <f t="shared" si="15"/>
        <v>500.00000000000006</v>
      </c>
      <c r="N180" s="62">
        <f t="shared" si="6"/>
        <v>53.10924369747903</v>
      </c>
      <c r="O180" s="61">
        <f t="shared" si="7"/>
        <v>0</v>
      </c>
      <c r="P180" s="61">
        <f t="shared" si="8"/>
        <v>420.1680672268908</v>
      </c>
      <c r="Q180" s="64">
        <f t="shared" si="9"/>
        <v>0.12640000000000007</v>
      </c>
      <c r="R180" s="81">
        <v>500</v>
      </c>
      <c r="S180" s="41">
        <v>2678</v>
      </c>
      <c r="T180" s="40">
        <f t="shared" si="100"/>
        <v>267.8</v>
      </c>
      <c r="U180" s="40">
        <f t="shared" si="102"/>
        <v>169</v>
      </c>
      <c r="V180" s="40">
        <f t="shared" si="74"/>
        <v>436.8</v>
      </c>
      <c r="W180" s="40">
        <f t="shared" si="62"/>
        <v>63.199999999999989</v>
      </c>
      <c r="X180" s="8">
        <f t="shared" si="75"/>
        <v>25</v>
      </c>
      <c r="Y180" s="76"/>
      <c r="Z180" s="8" t="str">
        <f t="shared" si="14"/>
        <v>Mani - New / 100 gramos</v>
      </c>
      <c r="AA180" s="8"/>
    </row>
    <row r="181" spans="1:28" ht="13.2">
      <c r="A181" s="78" t="s">
        <v>139</v>
      </c>
      <c r="B181" s="8" t="str">
        <f t="shared" si="98"/>
        <v>Mani - New / 1000 gramos</v>
      </c>
      <c r="C181" s="79" t="s">
        <v>965</v>
      </c>
      <c r="D181" s="61" t="s">
        <v>763</v>
      </c>
      <c r="E181" s="61">
        <v>1000</v>
      </c>
      <c r="F181" s="62">
        <v>2250.4201680672268</v>
      </c>
      <c r="G181" s="62">
        <v>190.75630252100842</v>
      </c>
      <c r="H181" s="62">
        <f t="shared" si="94"/>
        <v>2441.1764705882351</v>
      </c>
      <c r="I181" s="62">
        <f t="shared" si="2"/>
        <v>463.8235294117647</v>
      </c>
      <c r="J181" s="63">
        <v>0.27375000000000016</v>
      </c>
      <c r="K181" s="62">
        <f t="shared" si="3"/>
        <v>3361.3445378151264</v>
      </c>
      <c r="L181" s="62">
        <f t="shared" si="4"/>
        <v>638.65546218487407</v>
      </c>
      <c r="M181" s="62">
        <f t="shared" si="15"/>
        <v>4000.0000000000005</v>
      </c>
      <c r="N181" s="62">
        <f t="shared" si="6"/>
        <v>920.16806722689125</v>
      </c>
      <c r="O181" s="61">
        <f t="shared" si="7"/>
        <v>0</v>
      </c>
      <c r="P181" s="61">
        <f t="shared" si="8"/>
        <v>3361.3445378151264</v>
      </c>
      <c r="Q181" s="64">
        <f t="shared" si="9"/>
        <v>0.27375000000000016</v>
      </c>
      <c r="R181" s="81">
        <v>4000</v>
      </c>
      <c r="S181" s="41">
        <v>2678</v>
      </c>
      <c r="T181" s="40">
        <f t="shared" si="100"/>
        <v>2678</v>
      </c>
      <c r="U181" s="40">
        <f>7+40+180</f>
        <v>227</v>
      </c>
      <c r="V181" s="40">
        <f t="shared" si="74"/>
        <v>2905</v>
      </c>
      <c r="W181" s="40">
        <f t="shared" si="62"/>
        <v>1095</v>
      </c>
      <c r="X181" s="8">
        <f t="shared" si="75"/>
        <v>200</v>
      </c>
      <c r="Y181" s="76"/>
      <c r="Z181" s="8" t="str">
        <f t="shared" si="14"/>
        <v>Mani - New / 1000 gramos</v>
      </c>
      <c r="AA181" s="8"/>
    </row>
    <row r="182" spans="1:28" ht="13.2">
      <c r="A182" s="78" t="s">
        <v>139</v>
      </c>
      <c r="B182" s="8" t="str">
        <f t="shared" si="98"/>
        <v>Mani - New / 250 gramos</v>
      </c>
      <c r="C182" s="80" t="s">
        <v>965</v>
      </c>
      <c r="D182" s="61" t="s">
        <v>763</v>
      </c>
      <c r="E182" s="61">
        <v>250</v>
      </c>
      <c r="F182" s="62">
        <v>562.60504201680669</v>
      </c>
      <c r="G182" s="62">
        <v>119.32773109243698</v>
      </c>
      <c r="H182" s="62">
        <f t="shared" si="94"/>
        <v>681.93277310924373</v>
      </c>
      <c r="I182" s="62">
        <f t="shared" si="2"/>
        <v>129.5672268907563</v>
      </c>
      <c r="J182" s="63">
        <v>0.32374999999999998</v>
      </c>
      <c r="K182" s="62">
        <f t="shared" si="3"/>
        <v>1008.4033613445379</v>
      </c>
      <c r="L182" s="62">
        <f t="shared" si="4"/>
        <v>191.59663865546219</v>
      </c>
      <c r="M182" s="62">
        <f t="shared" si="15"/>
        <v>1200</v>
      </c>
      <c r="N182" s="62">
        <f t="shared" si="6"/>
        <v>326.47058823529414</v>
      </c>
      <c r="O182" s="61">
        <f t="shared" si="7"/>
        <v>0</v>
      </c>
      <c r="P182" s="61">
        <f t="shared" si="8"/>
        <v>1008.4033613445379</v>
      </c>
      <c r="Q182" s="64">
        <f t="shared" si="9"/>
        <v>0.32374999999999998</v>
      </c>
      <c r="R182" s="61">
        <v>1200</v>
      </c>
      <c r="S182" s="41">
        <v>2678</v>
      </c>
      <c r="T182" s="40">
        <f t="shared" si="100"/>
        <v>669.5</v>
      </c>
      <c r="U182" s="40">
        <f>7+40+95</f>
        <v>142</v>
      </c>
      <c r="V182" s="40">
        <f t="shared" si="74"/>
        <v>811.5</v>
      </c>
      <c r="W182" s="40">
        <f t="shared" si="62"/>
        <v>388.5</v>
      </c>
      <c r="X182" s="8">
        <f t="shared" si="75"/>
        <v>60</v>
      </c>
      <c r="Y182" s="76"/>
      <c r="Z182" s="8" t="str">
        <f t="shared" si="14"/>
        <v>Mani - New / 250 gramos</v>
      </c>
      <c r="AA182" s="8"/>
    </row>
    <row r="183" spans="1:28" ht="13.2">
      <c r="A183" s="78" t="s">
        <v>139</v>
      </c>
      <c r="B183" s="8" t="str">
        <f t="shared" si="98"/>
        <v>Mani - New / 500 gramos</v>
      </c>
      <c r="C183" s="79" t="s">
        <v>965</v>
      </c>
      <c r="D183" s="61" t="s">
        <v>763</v>
      </c>
      <c r="E183" s="61">
        <v>500</v>
      </c>
      <c r="F183" s="62">
        <v>1125.2100840336134</v>
      </c>
      <c r="G183" s="62">
        <v>142.01680672268907</v>
      </c>
      <c r="H183" s="62">
        <f t="shared" si="94"/>
        <v>1267.2268907563025</v>
      </c>
      <c r="I183" s="62">
        <f t="shared" si="2"/>
        <v>240.77310924369749</v>
      </c>
      <c r="J183" s="63">
        <v>0.24600000000000011</v>
      </c>
      <c r="K183" s="62">
        <f t="shared" si="3"/>
        <v>1680.6722689075632</v>
      </c>
      <c r="L183" s="62">
        <f t="shared" si="4"/>
        <v>319.32773109243703</v>
      </c>
      <c r="M183" s="62">
        <f t="shared" si="15"/>
        <v>2000.0000000000002</v>
      </c>
      <c r="N183" s="62">
        <f t="shared" si="6"/>
        <v>413.44537815126068</v>
      </c>
      <c r="O183" s="61">
        <f t="shared" si="7"/>
        <v>0</v>
      </c>
      <c r="P183" s="61">
        <f t="shared" si="8"/>
        <v>1680.6722689075632</v>
      </c>
      <c r="Q183" s="64">
        <f t="shared" si="9"/>
        <v>0.24600000000000011</v>
      </c>
      <c r="R183" s="81">
        <v>2000</v>
      </c>
      <c r="S183" s="41">
        <v>2678</v>
      </c>
      <c r="T183" s="40">
        <f t="shared" si="100"/>
        <v>1339</v>
      </c>
      <c r="U183" s="40">
        <f>7+40+122</f>
        <v>169</v>
      </c>
      <c r="V183" s="40">
        <f t="shared" si="74"/>
        <v>1508</v>
      </c>
      <c r="W183" s="40">
        <f t="shared" si="62"/>
        <v>492</v>
      </c>
      <c r="X183" s="8">
        <f t="shared" si="75"/>
        <v>100</v>
      </c>
      <c r="Y183" s="76"/>
      <c r="Z183" s="8" t="str">
        <f t="shared" si="14"/>
        <v>Mani - New / 500 gramos</v>
      </c>
      <c r="AA183" s="8"/>
    </row>
    <row r="184" spans="1:28" ht="13.2">
      <c r="A184" s="59" t="s">
        <v>947</v>
      </c>
      <c r="B184" s="8" t="str">
        <f t="shared" ref="B184:B186" si="103">CONCATENATE(C184," / ",E184," gramos / $",M184)</f>
        <v>Mani confitado / 200 gramos / $1120</v>
      </c>
      <c r="C184" s="60" t="s">
        <v>1011</v>
      </c>
      <c r="D184" s="61" t="str">
        <f t="shared" ref="D184:D190" si="104">C184</f>
        <v>Mani confitado</v>
      </c>
      <c r="E184" s="41">
        <v>200</v>
      </c>
      <c r="F184" s="62">
        <v>571.42857142857144</v>
      </c>
      <c r="G184" s="62">
        <v>119.32773109243698</v>
      </c>
      <c r="H184" s="62">
        <f t="shared" si="94"/>
        <v>690.75630252100837</v>
      </c>
      <c r="I184" s="62">
        <f t="shared" si="2"/>
        <v>131.24369747899158</v>
      </c>
      <c r="J184" s="63">
        <v>0.26607142857142863</v>
      </c>
      <c r="K184" s="62">
        <f t="shared" si="3"/>
        <v>941.17647058823536</v>
      </c>
      <c r="L184" s="62">
        <f t="shared" si="4"/>
        <v>178.82352941176472</v>
      </c>
      <c r="M184" s="62">
        <f t="shared" si="15"/>
        <v>1120</v>
      </c>
      <c r="N184" s="62">
        <f t="shared" si="6"/>
        <v>250.420168067227</v>
      </c>
      <c r="O184" s="61">
        <f t="shared" si="7"/>
        <v>0</v>
      </c>
      <c r="P184" s="61">
        <f t="shared" si="8"/>
        <v>941.17647058823536</v>
      </c>
      <c r="Q184" s="64">
        <f t="shared" si="9"/>
        <v>0.26607142857142863</v>
      </c>
      <c r="R184" s="65">
        <v>1120</v>
      </c>
      <c r="S184" s="41">
        <v>3400</v>
      </c>
      <c r="T184" s="40">
        <f t="shared" si="100"/>
        <v>680</v>
      </c>
      <c r="U184" s="40">
        <f t="shared" ref="U184:U185" si="105">7+40+95</f>
        <v>142</v>
      </c>
      <c r="V184" s="40">
        <f t="shared" si="74"/>
        <v>822</v>
      </c>
      <c r="W184" s="40">
        <f t="shared" si="62"/>
        <v>298</v>
      </c>
      <c r="X184" s="8">
        <f t="shared" si="75"/>
        <v>56</v>
      </c>
      <c r="Z184" s="8" t="str">
        <f t="shared" si="14"/>
        <v>Mani confitado / 200 gramos / $1120</v>
      </c>
      <c r="AA184" s="8"/>
    </row>
    <row r="185" spans="1:28" ht="13.2">
      <c r="A185" s="59" t="s">
        <v>947</v>
      </c>
      <c r="B185" s="8" t="str">
        <f t="shared" si="103"/>
        <v>Mani confitado / 250 gramos / $1400</v>
      </c>
      <c r="C185" s="60" t="s">
        <v>1011</v>
      </c>
      <c r="D185" s="61" t="str">
        <f t="shared" si="104"/>
        <v>Mani confitado</v>
      </c>
      <c r="E185" s="41">
        <v>250</v>
      </c>
      <c r="F185" s="62">
        <v>714.28571428571433</v>
      </c>
      <c r="G185" s="62">
        <v>119.32773109243698</v>
      </c>
      <c r="H185" s="62">
        <f t="shared" si="94"/>
        <v>833.61344537815125</v>
      </c>
      <c r="I185" s="62">
        <f t="shared" si="2"/>
        <v>158.38655462184875</v>
      </c>
      <c r="J185" s="63">
        <v>0.29142857142857148</v>
      </c>
      <c r="K185" s="62">
        <f t="shared" si="3"/>
        <v>1176.4705882352941</v>
      </c>
      <c r="L185" s="62">
        <f t="shared" si="4"/>
        <v>223.52941176470588</v>
      </c>
      <c r="M185" s="62">
        <f t="shared" si="15"/>
        <v>1400</v>
      </c>
      <c r="N185" s="62">
        <f t="shared" si="6"/>
        <v>342.85714285714289</v>
      </c>
      <c r="O185" s="61">
        <f t="shared" si="7"/>
        <v>0</v>
      </c>
      <c r="P185" s="61">
        <f t="shared" si="8"/>
        <v>1176.4705882352941</v>
      </c>
      <c r="Q185" s="64">
        <f t="shared" si="9"/>
        <v>0.29142857142857148</v>
      </c>
      <c r="R185" s="65">
        <v>1400</v>
      </c>
      <c r="S185" s="41">
        <v>3400</v>
      </c>
      <c r="T185" s="40">
        <f t="shared" si="100"/>
        <v>850</v>
      </c>
      <c r="U185" s="40">
        <f t="shared" si="105"/>
        <v>142</v>
      </c>
      <c r="V185" s="40">
        <f t="shared" si="74"/>
        <v>992</v>
      </c>
      <c r="W185" s="40">
        <f t="shared" si="62"/>
        <v>408</v>
      </c>
      <c r="X185" s="8">
        <f t="shared" si="75"/>
        <v>70</v>
      </c>
      <c r="Y185" s="76"/>
      <c r="Z185" s="8" t="str">
        <f t="shared" si="14"/>
        <v>Mani confitado / 250 gramos / $1400</v>
      </c>
      <c r="AA185" s="8"/>
    </row>
    <row r="186" spans="1:28" ht="13.2">
      <c r="A186" s="59" t="s">
        <v>947</v>
      </c>
      <c r="B186" s="8" t="str">
        <f t="shared" si="103"/>
        <v>Mani confitado / 50 gramos / $500</v>
      </c>
      <c r="C186" s="60" t="s">
        <v>1011</v>
      </c>
      <c r="D186" s="61" t="str">
        <f t="shared" si="104"/>
        <v>Mani confitado</v>
      </c>
      <c r="E186" s="41">
        <v>50</v>
      </c>
      <c r="F186" s="62">
        <v>142.85714285714286</v>
      </c>
      <c r="G186" s="62">
        <v>66.722689075630257</v>
      </c>
      <c r="H186" s="62">
        <f t="shared" si="94"/>
        <v>209.57983193277312</v>
      </c>
      <c r="I186" s="62">
        <f t="shared" si="2"/>
        <v>39.820168067226895</v>
      </c>
      <c r="J186" s="63">
        <v>0.50120000000000009</v>
      </c>
      <c r="K186" s="62">
        <f t="shared" si="3"/>
        <v>420.16806722689086</v>
      </c>
      <c r="L186" s="62">
        <f t="shared" si="4"/>
        <v>79.831932773109259</v>
      </c>
      <c r="M186" s="62">
        <f t="shared" si="15"/>
        <v>500.00000000000011</v>
      </c>
      <c r="N186" s="62">
        <f t="shared" si="6"/>
        <v>210.58823529411774</v>
      </c>
      <c r="O186" s="61">
        <f t="shared" si="7"/>
        <v>0</v>
      </c>
      <c r="P186" s="61">
        <f t="shared" si="8"/>
        <v>420.1680672268908</v>
      </c>
      <c r="Q186" s="64">
        <f t="shared" si="9"/>
        <v>0.50120000000000009</v>
      </c>
      <c r="R186" s="65">
        <v>500</v>
      </c>
      <c r="S186" s="41">
        <v>3400</v>
      </c>
      <c r="T186" s="40">
        <f t="shared" si="100"/>
        <v>170</v>
      </c>
      <c r="U186" s="12">
        <f>73+160/25</f>
        <v>79.400000000000006</v>
      </c>
      <c r="V186" s="40">
        <f t="shared" si="74"/>
        <v>249.4</v>
      </c>
      <c r="W186" s="40">
        <f t="shared" si="62"/>
        <v>250.6</v>
      </c>
      <c r="X186" s="8">
        <f t="shared" si="75"/>
        <v>25</v>
      </c>
      <c r="Y186" s="31" t="s">
        <v>1579</v>
      </c>
      <c r="Z186" s="8" t="str">
        <f t="shared" si="14"/>
        <v>Mani confitado / 50 gramos / $500</v>
      </c>
      <c r="AA186" s="8"/>
    </row>
    <row r="187" spans="1:28" ht="13.2">
      <c r="A187" s="78" t="s">
        <v>139</v>
      </c>
      <c r="B187" s="8" t="str">
        <f t="shared" ref="B187:B190" si="106">CONCATENATE(C187," / ",E187," gramos")</f>
        <v>Mani Japones / 200 gramos</v>
      </c>
      <c r="C187" s="60" t="s">
        <v>974</v>
      </c>
      <c r="D187" s="61" t="str">
        <f t="shared" si="104"/>
        <v>Mani Japones</v>
      </c>
      <c r="E187" s="41">
        <v>200</v>
      </c>
      <c r="F187" s="62">
        <v>605.0420168067227</v>
      </c>
      <c r="G187" s="62">
        <v>119.32773109243698</v>
      </c>
      <c r="H187" s="62">
        <f t="shared" si="94"/>
        <v>724.36974789915962</v>
      </c>
      <c r="I187" s="62">
        <f t="shared" si="2"/>
        <v>137.63025210084032</v>
      </c>
      <c r="J187" s="63">
        <v>0.28166666666666673</v>
      </c>
      <c r="K187" s="62">
        <f t="shared" si="3"/>
        <v>1008.4033613445379</v>
      </c>
      <c r="L187" s="62">
        <f t="shared" si="4"/>
        <v>191.59663865546219</v>
      </c>
      <c r="M187" s="62">
        <f t="shared" si="15"/>
        <v>1200</v>
      </c>
      <c r="N187" s="62">
        <f t="shared" si="6"/>
        <v>284.03361344537825</v>
      </c>
      <c r="O187" s="61">
        <f t="shared" si="7"/>
        <v>0</v>
      </c>
      <c r="P187" s="61">
        <f t="shared" si="8"/>
        <v>1008.4033613445379</v>
      </c>
      <c r="Q187" s="64">
        <f t="shared" si="9"/>
        <v>0.28166666666666673</v>
      </c>
      <c r="R187" s="65">
        <v>1200</v>
      </c>
      <c r="S187" s="41">
        <v>3600</v>
      </c>
      <c r="T187" s="40">
        <f t="shared" si="100"/>
        <v>720</v>
      </c>
      <c r="U187" s="40">
        <f t="shared" ref="U187:U188" si="107">7+40+95</f>
        <v>142</v>
      </c>
      <c r="V187" s="40">
        <f t="shared" si="74"/>
        <v>862</v>
      </c>
      <c r="W187" s="40">
        <f t="shared" si="62"/>
        <v>338</v>
      </c>
      <c r="X187" s="8">
        <f t="shared" si="75"/>
        <v>60</v>
      </c>
      <c r="Y187" s="76"/>
      <c r="Z187" s="8" t="str">
        <f t="shared" si="14"/>
        <v>Mani Japones / 200 gramos</v>
      </c>
      <c r="AA187" s="8"/>
    </row>
    <row r="188" spans="1:28" ht="13.2">
      <c r="A188" s="78" t="s">
        <v>139</v>
      </c>
      <c r="B188" s="8" t="str">
        <f t="shared" si="106"/>
        <v>Mani Japones / 250 gramos</v>
      </c>
      <c r="C188" s="31" t="s">
        <v>974</v>
      </c>
      <c r="D188" s="61" t="str">
        <f t="shared" si="104"/>
        <v>Mani Japones</v>
      </c>
      <c r="E188" s="41">
        <v>250</v>
      </c>
      <c r="F188" s="62">
        <v>756.30252100840335</v>
      </c>
      <c r="G188" s="62">
        <v>119.32773109243698</v>
      </c>
      <c r="H188" s="62">
        <f t="shared" si="94"/>
        <v>875.63025210084038</v>
      </c>
      <c r="I188" s="62">
        <f t="shared" si="2"/>
        <v>166.36974789915968</v>
      </c>
      <c r="J188" s="63">
        <v>0.30533333333333335</v>
      </c>
      <c r="K188" s="62">
        <f t="shared" si="3"/>
        <v>1260.5042016806724</v>
      </c>
      <c r="L188" s="62">
        <f t="shared" si="4"/>
        <v>239.49579831932775</v>
      </c>
      <c r="M188" s="62">
        <f t="shared" si="15"/>
        <v>1500.0000000000002</v>
      </c>
      <c r="N188" s="62">
        <f t="shared" si="6"/>
        <v>384.87394957983201</v>
      </c>
      <c r="O188" s="61">
        <f t="shared" si="7"/>
        <v>0</v>
      </c>
      <c r="P188" s="61">
        <f t="shared" si="8"/>
        <v>1260.5042016806724</v>
      </c>
      <c r="Q188" s="64">
        <f t="shared" si="9"/>
        <v>0.30533333333333335</v>
      </c>
      <c r="R188" s="41">
        <v>1500</v>
      </c>
      <c r="S188" s="41">
        <v>3600</v>
      </c>
      <c r="T188" s="40">
        <f t="shared" si="100"/>
        <v>900</v>
      </c>
      <c r="U188" s="40">
        <f t="shared" si="107"/>
        <v>142</v>
      </c>
      <c r="V188" s="40">
        <f t="shared" si="74"/>
        <v>1042</v>
      </c>
      <c r="W188" s="40">
        <f t="shared" si="62"/>
        <v>458</v>
      </c>
      <c r="X188" s="8">
        <f t="shared" si="75"/>
        <v>75</v>
      </c>
      <c r="Y188" s="76"/>
      <c r="Z188" s="8" t="str">
        <f t="shared" si="14"/>
        <v>Mani Japones / 250 gramos</v>
      </c>
      <c r="AA188" s="8"/>
    </row>
    <row r="189" spans="1:28" ht="13.2">
      <c r="A189" s="78" t="s">
        <v>139</v>
      </c>
      <c r="B189" s="8" t="str">
        <f t="shared" si="106"/>
        <v>Mani Japones / 45 gramos</v>
      </c>
      <c r="C189" s="31" t="s">
        <v>974</v>
      </c>
      <c r="D189" s="61" t="str">
        <f t="shared" si="104"/>
        <v>Mani Japones</v>
      </c>
      <c r="E189" s="41">
        <v>45</v>
      </c>
      <c r="F189" s="62">
        <v>136.1344537815126</v>
      </c>
      <c r="G189" s="62">
        <v>66.722689075630257</v>
      </c>
      <c r="H189" s="62">
        <f t="shared" si="94"/>
        <v>202.85714285714286</v>
      </c>
      <c r="I189" s="62">
        <f t="shared" si="2"/>
        <v>38.542857142857144</v>
      </c>
      <c r="J189" s="63">
        <v>0.5172000000000001</v>
      </c>
      <c r="K189" s="62">
        <f t="shared" si="3"/>
        <v>420.16806722689086</v>
      </c>
      <c r="L189" s="62">
        <f t="shared" si="4"/>
        <v>79.831932773109259</v>
      </c>
      <c r="M189" s="62">
        <f t="shared" si="15"/>
        <v>500.00000000000011</v>
      </c>
      <c r="N189" s="62">
        <f t="shared" si="6"/>
        <v>217.31092436974799</v>
      </c>
      <c r="O189" s="61">
        <f t="shared" si="7"/>
        <v>0</v>
      </c>
      <c r="P189" s="61">
        <f t="shared" si="8"/>
        <v>420.1680672268908</v>
      </c>
      <c r="Q189" s="64">
        <f t="shared" si="9"/>
        <v>0.5172000000000001</v>
      </c>
      <c r="R189" s="41">
        <v>500</v>
      </c>
      <c r="S189" s="41">
        <v>3600</v>
      </c>
      <c r="T189" s="40">
        <f t="shared" si="100"/>
        <v>162</v>
      </c>
      <c r="U189" s="12">
        <f>73+160/25</f>
        <v>79.400000000000006</v>
      </c>
      <c r="V189" s="40">
        <f t="shared" si="74"/>
        <v>241.4</v>
      </c>
      <c r="W189" s="40">
        <f t="shared" si="62"/>
        <v>258.60000000000002</v>
      </c>
      <c r="X189" s="8">
        <f t="shared" si="75"/>
        <v>25</v>
      </c>
      <c r="Y189" s="76"/>
      <c r="Z189" s="8" t="str">
        <f t="shared" si="14"/>
        <v>Mani Japones / 45 gramos</v>
      </c>
      <c r="AA189" s="8"/>
    </row>
    <row r="190" spans="1:28" ht="13.2">
      <c r="A190" s="78" t="s">
        <v>139</v>
      </c>
      <c r="B190" s="8" t="str">
        <f t="shared" si="106"/>
        <v>Mani Japones / 500 gramos</v>
      </c>
      <c r="C190" s="60" t="s">
        <v>974</v>
      </c>
      <c r="D190" s="61" t="str">
        <f t="shared" si="104"/>
        <v>Mani Japones</v>
      </c>
      <c r="E190" s="41">
        <v>500</v>
      </c>
      <c r="F190" s="62">
        <v>1512.6050420168067</v>
      </c>
      <c r="G190" s="62">
        <v>190.75630252100842</v>
      </c>
      <c r="H190" s="62">
        <f t="shared" si="94"/>
        <v>1703.3613445378151</v>
      </c>
      <c r="I190" s="62">
        <f t="shared" si="2"/>
        <v>323.63865546218489</v>
      </c>
      <c r="J190" s="63">
        <v>0.32433333333333347</v>
      </c>
      <c r="K190" s="62">
        <f t="shared" si="3"/>
        <v>2521.0084033613448</v>
      </c>
      <c r="L190" s="62">
        <f t="shared" si="4"/>
        <v>478.99159663865549</v>
      </c>
      <c r="M190" s="62">
        <f t="shared" si="15"/>
        <v>3000.0000000000005</v>
      </c>
      <c r="N190" s="62">
        <f t="shared" si="6"/>
        <v>817.64705882352973</v>
      </c>
      <c r="O190" s="61">
        <f t="shared" si="7"/>
        <v>0</v>
      </c>
      <c r="P190" s="61">
        <f t="shared" si="8"/>
        <v>2521.0084033613448</v>
      </c>
      <c r="Q190" s="64">
        <f t="shared" si="9"/>
        <v>0.32433333333333347</v>
      </c>
      <c r="R190" s="65">
        <v>3000</v>
      </c>
      <c r="S190" s="41">
        <v>3600</v>
      </c>
      <c r="T190" s="40">
        <f t="shared" si="100"/>
        <v>1800</v>
      </c>
      <c r="U190" s="40">
        <f>7+40+180</f>
        <v>227</v>
      </c>
      <c r="V190" s="40">
        <f t="shared" si="74"/>
        <v>2027</v>
      </c>
      <c r="W190" s="40">
        <f t="shared" si="62"/>
        <v>973</v>
      </c>
      <c r="X190" s="8">
        <f t="shared" si="75"/>
        <v>150</v>
      </c>
      <c r="Y190" s="76"/>
      <c r="Z190" s="8" t="str">
        <f t="shared" si="14"/>
        <v>Mani Japones / 500 gramos</v>
      </c>
      <c r="AA190" s="8"/>
    </row>
    <row r="191" spans="1:28" ht="13.2">
      <c r="A191" s="59" t="s">
        <v>56</v>
      </c>
      <c r="B191" s="8" t="str">
        <f t="shared" ref="B191:B192" si="108">CONCATENATE(C191," / ",E191," gramos)")</f>
        <v>Mantequilla COLUN / 250 gramos)</v>
      </c>
      <c r="C191" s="60" t="s">
        <v>1594</v>
      </c>
      <c r="D191" s="61" t="s">
        <v>492</v>
      </c>
      <c r="E191" s="41">
        <v>250</v>
      </c>
      <c r="F191" s="62">
        <v>1963.0252100840337</v>
      </c>
      <c r="G191" s="62">
        <v>18.487394957983195</v>
      </c>
      <c r="H191" s="62">
        <f t="shared" si="94"/>
        <v>1981.512605042017</v>
      </c>
      <c r="I191" s="62">
        <f t="shared" si="2"/>
        <v>376.48739495798321</v>
      </c>
      <c r="J191" s="63">
        <v>0.14254545454545453</v>
      </c>
      <c r="K191" s="62">
        <f t="shared" si="3"/>
        <v>2310.9243697478992</v>
      </c>
      <c r="L191" s="62">
        <f t="shared" si="4"/>
        <v>439.07563025210084</v>
      </c>
      <c r="M191" s="62">
        <f t="shared" si="15"/>
        <v>2750</v>
      </c>
      <c r="N191" s="62">
        <f t="shared" si="6"/>
        <v>329.41176470588221</v>
      </c>
      <c r="O191" s="61">
        <f t="shared" si="7"/>
        <v>0</v>
      </c>
      <c r="P191" s="61">
        <f t="shared" si="8"/>
        <v>2310.9243697478992</v>
      </c>
      <c r="Q191" s="64">
        <f t="shared" si="9"/>
        <v>0.14254545454545453</v>
      </c>
      <c r="R191" s="65">
        <v>2750</v>
      </c>
      <c r="S191" s="41">
        <v>2336</v>
      </c>
      <c r="T191" s="40">
        <f t="shared" ref="T191:T192" si="109">S191</f>
        <v>2336</v>
      </c>
      <c r="U191" s="41">
        <v>22</v>
      </c>
      <c r="V191" s="40">
        <f t="shared" si="74"/>
        <v>2358</v>
      </c>
      <c r="W191" s="40">
        <f t="shared" si="62"/>
        <v>392</v>
      </c>
      <c r="X191" s="8">
        <f t="shared" si="75"/>
        <v>137.5</v>
      </c>
      <c r="Y191" s="26"/>
      <c r="Z191" s="8" t="str">
        <f t="shared" si="14"/>
        <v>Mantequilla COLUN / 250 gramos)</v>
      </c>
      <c r="AA191" s="31" t="s">
        <v>1594</v>
      </c>
      <c r="AB191" s="31">
        <v>-1</v>
      </c>
    </row>
    <row r="192" spans="1:28" ht="13.2">
      <c r="A192" s="59" t="s">
        <v>56</v>
      </c>
      <c r="B192" s="8" t="str">
        <f t="shared" si="108"/>
        <v>Mantequilla RUMAY / 200 gramos)</v>
      </c>
      <c r="C192" s="31" t="s">
        <v>493</v>
      </c>
      <c r="D192" s="61" t="s">
        <v>492</v>
      </c>
      <c r="E192" s="41">
        <v>200</v>
      </c>
      <c r="F192" s="62">
        <v>1450.420168067227</v>
      </c>
      <c r="G192" s="62">
        <v>18</v>
      </c>
      <c r="H192" s="62">
        <f t="shared" si="94"/>
        <v>1468.420168067227</v>
      </c>
      <c r="I192" s="62">
        <f t="shared" si="2"/>
        <v>278.99983193277313</v>
      </c>
      <c r="J192" s="63">
        <v>0.30099999999999999</v>
      </c>
      <c r="K192" s="62">
        <f t="shared" si="3"/>
        <v>2100.7441603250741</v>
      </c>
      <c r="L192" s="62">
        <f t="shared" si="4"/>
        <v>399.1413904617641</v>
      </c>
      <c r="M192" s="62">
        <f t="shared" si="15"/>
        <v>2499.8855507868384</v>
      </c>
      <c r="N192" s="62">
        <f t="shared" si="6"/>
        <v>632.32399225784707</v>
      </c>
      <c r="O192" s="61">
        <f t="shared" si="7"/>
        <v>-0.11444921316160617</v>
      </c>
      <c r="P192" s="61">
        <f t="shared" si="8"/>
        <v>2100.840336134454</v>
      </c>
      <c r="Q192" s="64">
        <f t="shared" si="9"/>
        <v>0.30103199999999997</v>
      </c>
      <c r="R192" s="41">
        <v>2500</v>
      </c>
      <c r="S192" s="41">
        <v>1726</v>
      </c>
      <c r="T192" s="40">
        <f t="shared" si="109"/>
        <v>1726</v>
      </c>
      <c r="U192" s="41">
        <v>22</v>
      </c>
      <c r="V192" s="40">
        <f t="shared" si="74"/>
        <v>1748</v>
      </c>
      <c r="W192" s="40">
        <f t="shared" si="62"/>
        <v>752</v>
      </c>
      <c r="X192" s="8">
        <f t="shared" si="75"/>
        <v>125</v>
      </c>
      <c r="Y192" s="26"/>
      <c r="Z192" s="8" t="str">
        <f t="shared" si="14"/>
        <v>Mantequilla RUMAY / 200 gramos)</v>
      </c>
      <c r="AA192" s="31" t="s">
        <v>493</v>
      </c>
      <c r="AB192" s="31">
        <v>-1</v>
      </c>
    </row>
    <row r="193" spans="1:27" ht="13.2">
      <c r="A193" s="59" t="s">
        <v>139</v>
      </c>
      <c r="B193" s="8" t="str">
        <f t="shared" ref="B193:B197" si="110">CONCATENATE(C193," / ",E193," gramos")</f>
        <v>Mix / 250 gramos</v>
      </c>
      <c r="C193" s="80" t="s">
        <v>999</v>
      </c>
      <c r="D193" s="61" t="str">
        <f t="shared" ref="D193:D217" si="111">C193</f>
        <v>Mix</v>
      </c>
      <c r="E193" s="61">
        <v>250</v>
      </c>
      <c r="F193" s="62">
        <v>840.3361344537816</v>
      </c>
      <c r="G193" s="62">
        <v>119.32773109243698</v>
      </c>
      <c r="H193" s="62">
        <f t="shared" si="94"/>
        <v>959.66386554621863</v>
      </c>
      <c r="I193" s="62">
        <f t="shared" si="2"/>
        <v>182.33613445378154</v>
      </c>
      <c r="J193" s="63">
        <v>0.42899999999999994</v>
      </c>
      <c r="K193" s="62">
        <f t="shared" si="3"/>
        <v>1680.6722689075632</v>
      </c>
      <c r="L193" s="62">
        <f t="shared" si="4"/>
        <v>319.32773109243703</v>
      </c>
      <c r="M193" s="62">
        <f t="shared" si="15"/>
        <v>2000.0000000000002</v>
      </c>
      <c r="N193" s="62">
        <f t="shared" si="6"/>
        <v>721.00840336134456</v>
      </c>
      <c r="O193" s="61">
        <f t="shared" si="7"/>
        <v>0</v>
      </c>
      <c r="P193" s="61">
        <f t="shared" si="8"/>
        <v>1680.6722689075632</v>
      </c>
      <c r="Q193" s="64">
        <f t="shared" si="9"/>
        <v>0.42899999999999994</v>
      </c>
      <c r="R193" s="61">
        <v>2000</v>
      </c>
      <c r="S193" s="41">
        <v>4000</v>
      </c>
      <c r="T193" s="40">
        <f t="shared" ref="T193:T217" si="112">S193*E193/1000</f>
        <v>1000</v>
      </c>
      <c r="U193" s="40">
        <f>7+40+95</f>
        <v>142</v>
      </c>
      <c r="V193" s="40">
        <f t="shared" si="74"/>
        <v>1142</v>
      </c>
      <c r="W193" s="40">
        <f t="shared" si="62"/>
        <v>858</v>
      </c>
      <c r="X193" s="8">
        <f t="shared" si="75"/>
        <v>100</v>
      </c>
      <c r="Y193" s="76"/>
      <c r="Z193" s="8" t="str">
        <f t="shared" si="14"/>
        <v>Mix / 250 gramos</v>
      </c>
      <c r="AA193" s="8"/>
    </row>
    <row r="194" spans="1:27" ht="13.2">
      <c r="A194" s="59" t="s">
        <v>139</v>
      </c>
      <c r="B194" s="8" t="str">
        <f t="shared" si="110"/>
        <v>Mix / 50 gramos</v>
      </c>
      <c r="C194" s="80" t="s">
        <v>999</v>
      </c>
      <c r="D194" s="61" t="str">
        <f t="shared" si="111"/>
        <v>Mix</v>
      </c>
      <c r="E194" s="61">
        <v>50</v>
      </c>
      <c r="F194" s="62">
        <v>300</v>
      </c>
      <c r="G194" s="62">
        <v>66.722689075630257</v>
      </c>
      <c r="H194" s="62">
        <f t="shared" si="94"/>
        <v>366.72268907563023</v>
      </c>
      <c r="I194" s="62">
        <f t="shared" si="2"/>
        <v>69.677310924369749</v>
      </c>
      <c r="J194" s="63">
        <v>0.5636000000000001</v>
      </c>
      <c r="K194" s="62">
        <f t="shared" si="3"/>
        <v>840.3361344537816</v>
      </c>
      <c r="L194" s="62">
        <f t="shared" si="4"/>
        <v>159.66386554621852</v>
      </c>
      <c r="M194" s="62">
        <f t="shared" si="15"/>
        <v>1000.0000000000001</v>
      </c>
      <c r="N194" s="62">
        <f t="shared" si="6"/>
        <v>473.61344537815137</v>
      </c>
      <c r="O194" s="61">
        <f t="shared" si="7"/>
        <v>0</v>
      </c>
      <c r="P194" s="61">
        <f t="shared" si="8"/>
        <v>840.3361344537816</v>
      </c>
      <c r="Q194" s="64">
        <f t="shared" si="9"/>
        <v>0.5636000000000001</v>
      </c>
      <c r="R194" s="61">
        <v>1000</v>
      </c>
      <c r="S194" s="41">
        <v>7140</v>
      </c>
      <c r="T194" s="40">
        <f t="shared" si="112"/>
        <v>357</v>
      </c>
      <c r="U194" s="12">
        <f t="shared" ref="U194:U197" si="113">73+160/25</f>
        <v>79.400000000000006</v>
      </c>
      <c r="V194" s="40">
        <f t="shared" si="74"/>
        <v>436.4</v>
      </c>
      <c r="W194" s="40">
        <f t="shared" si="62"/>
        <v>563.6</v>
      </c>
      <c r="X194" s="8">
        <f t="shared" si="75"/>
        <v>50</v>
      </c>
      <c r="Y194" s="82" t="s">
        <v>1579</v>
      </c>
      <c r="Z194" s="8" t="str">
        <f t="shared" si="14"/>
        <v>Mix / 50 gramos</v>
      </c>
      <c r="AA194" s="8"/>
    </row>
    <row r="195" spans="1:27" ht="13.2">
      <c r="A195" s="59" t="s">
        <v>139</v>
      </c>
      <c r="B195" s="8" t="str">
        <f t="shared" si="110"/>
        <v>Mix (Almendra-varios) / 250 gramos</v>
      </c>
      <c r="C195" s="79" t="s">
        <v>1001</v>
      </c>
      <c r="D195" s="61" t="str">
        <f t="shared" si="111"/>
        <v>Mix (Almendra-varios)</v>
      </c>
      <c r="E195" s="61">
        <v>250</v>
      </c>
      <c r="F195" s="62">
        <v>1500</v>
      </c>
      <c r="G195" s="62">
        <v>66.722689075630257</v>
      </c>
      <c r="H195" s="62">
        <f t="shared" si="94"/>
        <v>1566.7226890756303</v>
      </c>
      <c r="I195" s="62">
        <f t="shared" si="2"/>
        <v>297.67731092436975</v>
      </c>
      <c r="J195" s="63">
        <v>0.25424000000000002</v>
      </c>
      <c r="K195" s="62">
        <f t="shared" si="3"/>
        <v>2100.840336134454</v>
      </c>
      <c r="L195" s="62">
        <f t="shared" si="4"/>
        <v>399.15966386554624</v>
      </c>
      <c r="M195" s="62">
        <f t="shared" si="15"/>
        <v>2500</v>
      </c>
      <c r="N195" s="62">
        <f t="shared" si="6"/>
        <v>534.11764705882365</v>
      </c>
      <c r="O195" s="61">
        <f t="shared" si="7"/>
        <v>0</v>
      </c>
      <c r="P195" s="61">
        <f t="shared" si="8"/>
        <v>2100.840336134454</v>
      </c>
      <c r="Q195" s="64">
        <f t="shared" si="9"/>
        <v>0.25424000000000002</v>
      </c>
      <c r="R195" s="81">
        <v>2500</v>
      </c>
      <c r="S195" s="41">
        <v>7140</v>
      </c>
      <c r="T195" s="40">
        <f t="shared" si="112"/>
        <v>1785</v>
      </c>
      <c r="U195" s="12">
        <f t="shared" si="113"/>
        <v>79.400000000000006</v>
      </c>
      <c r="V195" s="40">
        <f t="shared" si="74"/>
        <v>1864.4</v>
      </c>
      <c r="W195" s="40">
        <f t="shared" si="62"/>
        <v>635.59999999999991</v>
      </c>
      <c r="X195" s="8">
        <f t="shared" si="75"/>
        <v>125</v>
      </c>
      <c r="Z195" s="8" t="str">
        <f t="shared" si="14"/>
        <v>Mix (Almendra-varios) / 250 gramos</v>
      </c>
      <c r="AA195" s="8"/>
    </row>
    <row r="196" spans="1:27" ht="13.2">
      <c r="A196" s="59" t="s">
        <v>139</v>
      </c>
      <c r="B196" s="8" t="str">
        <f t="shared" si="110"/>
        <v>Mix (Almendra-varios) / 250 gramos</v>
      </c>
      <c r="C196" s="79" t="s">
        <v>1001</v>
      </c>
      <c r="D196" s="61" t="str">
        <f t="shared" si="111"/>
        <v>Mix (Almendra-varios)</v>
      </c>
      <c r="E196" s="61">
        <v>250</v>
      </c>
      <c r="F196" s="62">
        <v>1500</v>
      </c>
      <c r="G196" s="62">
        <v>66.722689075630257</v>
      </c>
      <c r="H196" s="62">
        <f t="shared" si="94"/>
        <v>1566.7226890756303</v>
      </c>
      <c r="I196" s="62">
        <f t="shared" si="2"/>
        <v>297.67731092436975</v>
      </c>
      <c r="J196" s="63">
        <v>0.25424000000000002</v>
      </c>
      <c r="K196" s="62">
        <f t="shared" si="3"/>
        <v>2100.840336134454</v>
      </c>
      <c r="L196" s="62">
        <f t="shared" si="4"/>
        <v>399.15966386554624</v>
      </c>
      <c r="M196" s="62">
        <f t="shared" si="15"/>
        <v>2500</v>
      </c>
      <c r="N196" s="62">
        <f t="shared" si="6"/>
        <v>534.11764705882365</v>
      </c>
      <c r="O196" s="61">
        <f t="shared" si="7"/>
        <v>0</v>
      </c>
      <c r="P196" s="61">
        <f t="shared" si="8"/>
        <v>2100.840336134454</v>
      </c>
      <c r="Q196" s="64">
        <f t="shared" si="9"/>
        <v>0.25424000000000002</v>
      </c>
      <c r="R196" s="81">
        <v>2500</v>
      </c>
      <c r="S196" s="41">
        <v>7140</v>
      </c>
      <c r="T196" s="40">
        <f t="shared" si="112"/>
        <v>1785</v>
      </c>
      <c r="U196" s="12">
        <f t="shared" si="113"/>
        <v>79.400000000000006</v>
      </c>
      <c r="V196" s="40">
        <f t="shared" si="74"/>
        <v>1864.4</v>
      </c>
      <c r="W196" s="40">
        <f t="shared" si="62"/>
        <v>635.59999999999991</v>
      </c>
      <c r="X196" s="8">
        <f t="shared" si="75"/>
        <v>125</v>
      </c>
      <c r="Z196" s="8" t="str">
        <f t="shared" si="14"/>
        <v>Mix (Almendra-varios) / 250 gramos</v>
      </c>
      <c r="AA196" s="8"/>
    </row>
    <row r="197" spans="1:27" ht="13.2">
      <c r="A197" s="59" t="s">
        <v>139</v>
      </c>
      <c r="B197" s="8" t="str">
        <f t="shared" si="110"/>
        <v>Mix (Pistachos-Pasas-Cran-Zapallo-Mani) / 500 gramos</v>
      </c>
      <c r="C197" s="79" t="s">
        <v>975</v>
      </c>
      <c r="D197" s="61" t="str">
        <f t="shared" si="111"/>
        <v>Mix (Pistachos-Pasas-Cran-Zapallo-Mani)</v>
      </c>
      <c r="E197" s="61">
        <v>500</v>
      </c>
      <c r="F197" s="62">
        <v>3000</v>
      </c>
      <c r="G197" s="62">
        <v>66.722689075630257</v>
      </c>
      <c r="H197" s="62">
        <f t="shared" si="94"/>
        <v>3066.7226890756301</v>
      </c>
      <c r="I197" s="62">
        <f t="shared" si="2"/>
        <v>582.67731092436975</v>
      </c>
      <c r="J197" s="63">
        <v>0.18902222222222231</v>
      </c>
      <c r="K197" s="62">
        <f t="shared" si="3"/>
        <v>3781.5126050420172</v>
      </c>
      <c r="L197" s="62">
        <f t="shared" si="4"/>
        <v>718.48739495798327</v>
      </c>
      <c r="M197" s="62">
        <f t="shared" si="15"/>
        <v>4500</v>
      </c>
      <c r="N197" s="62">
        <f t="shared" si="6"/>
        <v>714.78991596638707</v>
      </c>
      <c r="O197" s="61">
        <f t="shared" si="7"/>
        <v>0</v>
      </c>
      <c r="P197" s="61">
        <f t="shared" si="8"/>
        <v>3781.5126050420172</v>
      </c>
      <c r="Q197" s="64">
        <f t="shared" si="9"/>
        <v>0.18902222222222231</v>
      </c>
      <c r="R197" s="81">
        <v>4500</v>
      </c>
      <c r="S197" s="41">
        <v>7140</v>
      </c>
      <c r="T197" s="40">
        <f t="shared" si="112"/>
        <v>3570</v>
      </c>
      <c r="U197" s="12">
        <f t="shared" si="113"/>
        <v>79.400000000000006</v>
      </c>
      <c r="V197" s="40">
        <f t="shared" si="74"/>
        <v>3649.4</v>
      </c>
      <c r="W197" s="40">
        <f t="shared" si="62"/>
        <v>850.59999999999991</v>
      </c>
      <c r="X197" s="8">
        <f t="shared" si="75"/>
        <v>225</v>
      </c>
      <c r="Z197" s="8" t="str">
        <f t="shared" si="14"/>
        <v>Mix (Pistachos-Pasas-Cran-Zapallo-Mani) / 500 gramos</v>
      </c>
      <c r="AA197" s="8"/>
    </row>
    <row r="198" spans="1:27" ht="13.2">
      <c r="A198" s="59" t="s">
        <v>947</v>
      </c>
      <c r="B198" s="8" t="str">
        <f t="shared" ref="B198:B202" si="114">CONCATENATE(C198," / ",E198," gramos / $",M198)</f>
        <v>Mix Dulces / 250 gramos / $1400</v>
      </c>
      <c r="C198" s="31" t="s">
        <v>998</v>
      </c>
      <c r="D198" s="61" t="str">
        <f t="shared" si="111"/>
        <v>Mix Dulces</v>
      </c>
      <c r="E198" s="41">
        <v>250</v>
      </c>
      <c r="F198" s="62">
        <v>840.3361344537816</v>
      </c>
      <c r="G198" s="62">
        <v>119.32773109243698</v>
      </c>
      <c r="H198" s="62">
        <f t="shared" si="94"/>
        <v>959.66386554621863</v>
      </c>
      <c r="I198" s="62">
        <f t="shared" si="2"/>
        <v>182.33613445378154</v>
      </c>
      <c r="J198" s="63">
        <v>0.18428571428571416</v>
      </c>
      <c r="K198" s="62">
        <f t="shared" si="3"/>
        <v>1176.4705882352941</v>
      </c>
      <c r="L198" s="62">
        <f t="shared" si="4"/>
        <v>223.52941176470588</v>
      </c>
      <c r="M198" s="62">
        <f t="shared" si="15"/>
        <v>1400</v>
      </c>
      <c r="N198" s="62">
        <f t="shared" si="6"/>
        <v>216.80672268907551</v>
      </c>
      <c r="O198" s="61">
        <f t="shared" si="7"/>
        <v>0</v>
      </c>
      <c r="P198" s="61">
        <f t="shared" si="8"/>
        <v>1176.4705882352941</v>
      </c>
      <c r="Q198" s="64">
        <f t="shared" si="9"/>
        <v>0.18428571428571416</v>
      </c>
      <c r="R198" s="41">
        <v>1400</v>
      </c>
      <c r="S198" s="41">
        <v>4000</v>
      </c>
      <c r="T198" s="40">
        <f t="shared" si="112"/>
        <v>1000</v>
      </c>
      <c r="U198" s="40">
        <f t="shared" ref="U198:U202" si="115">7+40+95</f>
        <v>142</v>
      </c>
      <c r="V198" s="40">
        <f t="shared" si="74"/>
        <v>1142</v>
      </c>
      <c r="W198" s="40">
        <f t="shared" si="62"/>
        <v>258</v>
      </c>
      <c r="X198" s="8">
        <f t="shared" si="75"/>
        <v>70</v>
      </c>
      <c r="Y198" s="76"/>
      <c r="Z198" s="8" t="str">
        <f t="shared" si="14"/>
        <v>Mix Dulces / 250 gramos / $1400</v>
      </c>
      <c r="AA198" s="8"/>
    </row>
    <row r="199" spans="1:27" ht="13.2">
      <c r="A199" s="59" t="s">
        <v>947</v>
      </c>
      <c r="B199" s="8" t="str">
        <f t="shared" si="114"/>
        <v>Mix Dulces / 357 gramos / $2000</v>
      </c>
      <c r="C199" s="31" t="s">
        <v>998</v>
      </c>
      <c r="D199" s="61" t="str">
        <f t="shared" si="111"/>
        <v>Mix Dulces</v>
      </c>
      <c r="E199" s="41">
        <v>357</v>
      </c>
      <c r="F199" s="62">
        <v>1200</v>
      </c>
      <c r="G199" s="62">
        <v>119.32773109243698</v>
      </c>
      <c r="H199" s="62">
        <f t="shared" si="94"/>
        <v>1319.327731092437</v>
      </c>
      <c r="I199" s="62">
        <f t="shared" si="2"/>
        <v>250.67226890756305</v>
      </c>
      <c r="J199" s="63">
        <v>0.21500000000000008</v>
      </c>
      <c r="K199" s="62">
        <f t="shared" si="3"/>
        <v>1680.6722689075632</v>
      </c>
      <c r="L199" s="62">
        <f t="shared" si="4"/>
        <v>319.32773109243703</v>
      </c>
      <c r="M199" s="62">
        <f t="shared" si="15"/>
        <v>2000.0000000000002</v>
      </c>
      <c r="N199" s="62">
        <f t="shared" si="6"/>
        <v>361.34453781512616</v>
      </c>
      <c r="O199" s="61">
        <f t="shared" si="7"/>
        <v>0</v>
      </c>
      <c r="P199" s="61">
        <f t="shared" si="8"/>
        <v>1680.6722689075632</v>
      </c>
      <c r="Q199" s="64">
        <f t="shared" si="9"/>
        <v>0.21500000000000008</v>
      </c>
      <c r="R199" s="41">
        <v>2000</v>
      </c>
      <c r="S199" s="41">
        <v>4000</v>
      </c>
      <c r="T199" s="40">
        <f t="shared" si="112"/>
        <v>1428</v>
      </c>
      <c r="U199" s="40">
        <f t="shared" si="115"/>
        <v>142</v>
      </c>
      <c r="V199" s="40">
        <f t="shared" si="74"/>
        <v>1570</v>
      </c>
      <c r="W199" s="40">
        <f t="shared" si="62"/>
        <v>430</v>
      </c>
      <c r="X199" s="8">
        <f t="shared" si="75"/>
        <v>100</v>
      </c>
      <c r="Y199" s="76"/>
      <c r="Z199" s="8" t="str">
        <f t="shared" si="14"/>
        <v>Mix Dulces / 357 gramos / $2000</v>
      </c>
      <c r="AA199" s="8"/>
    </row>
    <row r="200" spans="1:27" ht="13.2">
      <c r="A200" s="59" t="s">
        <v>947</v>
      </c>
      <c r="B200" s="8" t="str">
        <f t="shared" si="114"/>
        <v>Mix Dulces / 625 gramos / $3500</v>
      </c>
      <c r="C200" s="31" t="s">
        <v>998</v>
      </c>
      <c r="D200" s="61" t="str">
        <f t="shared" si="111"/>
        <v>Mix Dulces</v>
      </c>
      <c r="E200" s="41">
        <v>625</v>
      </c>
      <c r="F200" s="62">
        <v>2100.840336134454</v>
      </c>
      <c r="G200" s="62">
        <v>119.32773109243698</v>
      </c>
      <c r="H200" s="62">
        <f t="shared" si="94"/>
        <v>2220.1680672268908</v>
      </c>
      <c r="I200" s="62">
        <f t="shared" si="2"/>
        <v>421.83193277310926</v>
      </c>
      <c r="J200" s="63">
        <v>0.24514285714285722</v>
      </c>
      <c r="K200" s="62">
        <f t="shared" si="3"/>
        <v>2941.1764705882356</v>
      </c>
      <c r="L200" s="62">
        <f t="shared" si="4"/>
        <v>558.82352941176475</v>
      </c>
      <c r="M200" s="62">
        <f t="shared" si="15"/>
        <v>3500.0000000000005</v>
      </c>
      <c r="N200" s="62">
        <f t="shared" si="6"/>
        <v>721.00840336134479</v>
      </c>
      <c r="O200" s="61">
        <f t="shared" si="7"/>
        <v>0</v>
      </c>
      <c r="P200" s="61">
        <f t="shared" si="8"/>
        <v>2941.1764705882356</v>
      </c>
      <c r="Q200" s="64">
        <f t="shared" si="9"/>
        <v>0.24514285714285722</v>
      </c>
      <c r="R200" s="41">
        <v>3500</v>
      </c>
      <c r="S200" s="41">
        <v>4000</v>
      </c>
      <c r="T200" s="40">
        <f t="shared" si="112"/>
        <v>2500</v>
      </c>
      <c r="U200" s="40">
        <f t="shared" si="115"/>
        <v>142</v>
      </c>
      <c r="V200" s="40">
        <f t="shared" si="74"/>
        <v>2642</v>
      </c>
      <c r="W200" s="40">
        <f t="shared" si="62"/>
        <v>858</v>
      </c>
      <c r="X200" s="8">
        <f t="shared" si="75"/>
        <v>175</v>
      </c>
      <c r="Y200" s="76"/>
      <c r="Z200" s="8" t="str">
        <f t="shared" si="14"/>
        <v>Mix Dulces / 625 gramos / $3500</v>
      </c>
      <c r="AA200" s="8"/>
    </row>
    <row r="201" spans="1:27" ht="13.2">
      <c r="A201" s="59" t="s">
        <v>947</v>
      </c>
      <c r="B201" s="8" t="str">
        <f t="shared" si="114"/>
        <v>Mix Dulces / 700 gramos / $3930</v>
      </c>
      <c r="C201" s="31" t="s">
        <v>998</v>
      </c>
      <c r="D201" s="61" t="str">
        <f t="shared" si="111"/>
        <v>Mix Dulces</v>
      </c>
      <c r="E201" s="41">
        <v>700</v>
      </c>
      <c r="F201" s="62">
        <v>2352.9411764705883</v>
      </c>
      <c r="G201" s="62">
        <v>119.32773109243698</v>
      </c>
      <c r="H201" s="62">
        <f t="shared" si="94"/>
        <v>2472.2689075630251</v>
      </c>
      <c r="I201" s="62">
        <f t="shared" si="2"/>
        <v>469.73109243697479</v>
      </c>
      <c r="J201" s="63">
        <v>0.25139949109414761</v>
      </c>
      <c r="K201" s="62">
        <f t="shared" si="3"/>
        <v>3302.5210084033615</v>
      </c>
      <c r="L201" s="62">
        <f t="shared" si="4"/>
        <v>627.47899159663871</v>
      </c>
      <c r="M201" s="62">
        <f t="shared" si="15"/>
        <v>3930</v>
      </c>
      <c r="N201" s="62">
        <f t="shared" si="6"/>
        <v>830.25210084033642</v>
      </c>
      <c r="O201" s="61">
        <f t="shared" si="7"/>
        <v>0</v>
      </c>
      <c r="P201" s="61">
        <f t="shared" si="8"/>
        <v>3302.5210084033615</v>
      </c>
      <c r="Q201" s="64">
        <f t="shared" si="9"/>
        <v>0.25139949109414761</v>
      </c>
      <c r="R201" s="41">
        <v>3930</v>
      </c>
      <c r="S201" s="41">
        <v>4000</v>
      </c>
      <c r="T201" s="40">
        <f t="shared" si="112"/>
        <v>2800</v>
      </c>
      <c r="U201" s="40">
        <f t="shared" si="115"/>
        <v>142</v>
      </c>
      <c r="V201" s="40">
        <f t="shared" si="74"/>
        <v>2942</v>
      </c>
      <c r="W201" s="40">
        <f t="shared" si="62"/>
        <v>988</v>
      </c>
      <c r="X201" s="8">
        <f t="shared" si="75"/>
        <v>196.5</v>
      </c>
      <c r="Y201" s="76"/>
      <c r="Z201" s="8" t="str">
        <f t="shared" si="14"/>
        <v>Mix Dulces / 700 gramos / $3930</v>
      </c>
      <c r="AA201" s="8"/>
    </row>
    <row r="202" spans="1:27" ht="13.2">
      <c r="A202" s="59" t="s">
        <v>947</v>
      </c>
      <c r="B202" s="8" t="str">
        <f t="shared" si="114"/>
        <v>Mix Dulces / 800 gramos / $4500</v>
      </c>
      <c r="C202" s="31" t="s">
        <v>998</v>
      </c>
      <c r="D202" s="61" t="str">
        <f t="shared" si="111"/>
        <v>Mix Dulces</v>
      </c>
      <c r="E202" s="41">
        <v>800</v>
      </c>
      <c r="F202" s="62">
        <v>2689.0756302521008</v>
      </c>
      <c r="G202" s="62">
        <v>119.32773109243698</v>
      </c>
      <c r="H202" s="62">
        <f t="shared" si="94"/>
        <v>2808.4033613445376</v>
      </c>
      <c r="I202" s="62">
        <f t="shared" si="2"/>
        <v>533.59663865546213</v>
      </c>
      <c r="J202" s="63">
        <v>0.25733333333333341</v>
      </c>
      <c r="K202" s="62">
        <f t="shared" si="3"/>
        <v>3781.5126050420172</v>
      </c>
      <c r="L202" s="62">
        <f t="shared" si="4"/>
        <v>718.48739495798327</v>
      </c>
      <c r="M202" s="62">
        <f t="shared" si="15"/>
        <v>4500</v>
      </c>
      <c r="N202" s="62">
        <f t="shared" si="6"/>
        <v>973.10924369747954</v>
      </c>
      <c r="O202" s="61">
        <f t="shared" si="7"/>
        <v>0</v>
      </c>
      <c r="P202" s="61">
        <f t="shared" si="8"/>
        <v>3781.5126050420172</v>
      </c>
      <c r="Q202" s="64">
        <f t="shared" si="9"/>
        <v>0.25733333333333341</v>
      </c>
      <c r="R202" s="41">
        <v>4500</v>
      </c>
      <c r="S202" s="41">
        <v>4000</v>
      </c>
      <c r="T202" s="40">
        <f t="shared" si="112"/>
        <v>3200</v>
      </c>
      <c r="U202" s="40">
        <f t="shared" si="115"/>
        <v>142</v>
      </c>
      <c r="V202" s="40">
        <f t="shared" si="74"/>
        <v>3342</v>
      </c>
      <c r="W202" s="40">
        <f t="shared" si="62"/>
        <v>1158</v>
      </c>
      <c r="X202" s="8">
        <f t="shared" si="75"/>
        <v>225</v>
      </c>
      <c r="Y202" s="76"/>
      <c r="Z202" s="8" t="str">
        <f t="shared" si="14"/>
        <v>Mix Dulces / 800 gramos / $4500</v>
      </c>
      <c r="AA202" s="8"/>
    </row>
    <row r="203" spans="1:27" ht="13.2">
      <c r="A203" s="59" t="s">
        <v>139</v>
      </c>
      <c r="B203" s="8" t="str">
        <f t="shared" ref="B203:B217" si="116">CONCATENATE(C203," / ",E203," gramos")</f>
        <v>Mix Normal / 50 gramos</v>
      </c>
      <c r="C203" s="80" t="s">
        <v>1595</v>
      </c>
      <c r="D203" s="61" t="str">
        <f t="shared" si="111"/>
        <v>Mix Normal</v>
      </c>
      <c r="E203" s="61">
        <v>50</v>
      </c>
      <c r="F203" s="62">
        <v>175.21008403361344</v>
      </c>
      <c r="G203" s="62">
        <v>66.722689075630257</v>
      </c>
      <c r="H203" s="62">
        <f t="shared" si="94"/>
        <v>241.9327731092437</v>
      </c>
      <c r="I203" s="62">
        <f t="shared" si="2"/>
        <v>45.967226890756301</v>
      </c>
      <c r="J203" s="63">
        <v>0.42420000000000002</v>
      </c>
      <c r="K203" s="62">
        <f t="shared" si="3"/>
        <v>420.1680672268908</v>
      </c>
      <c r="L203" s="62">
        <f t="shared" si="4"/>
        <v>79.831932773109259</v>
      </c>
      <c r="M203" s="62">
        <f t="shared" si="15"/>
        <v>500.00000000000006</v>
      </c>
      <c r="N203" s="62">
        <f t="shared" si="6"/>
        <v>178.2352941176471</v>
      </c>
      <c r="O203" s="61">
        <f t="shared" si="7"/>
        <v>0</v>
      </c>
      <c r="P203" s="61">
        <f t="shared" si="8"/>
        <v>420.1680672268908</v>
      </c>
      <c r="Q203" s="64">
        <f t="shared" si="9"/>
        <v>0.42420000000000002</v>
      </c>
      <c r="R203" s="61">
        <v>500</v>
      </c>
      <c r="S203" s="41">
        <v>4170</v>
      </c>
      <c r="T203" s="40">
        <f t="shared" si="112"/>
        <v>208.5</v>
      </c>
      <c r="U203" s="12">
        <f>73+160/25</f>
        <v>79.400000000000006</v>
      </c>
      <c r="V203" s="40">
        <f t="shared" si="74"/>
        <v>287.89999999999998</v>
      </c>
      <c r="W203" s="40">
        <f t="shared" si="62"/>
        <v>212.10000000000002</v>
      </c>
      <c r="X203" s="8">
        <f t="shared" si="75"/>
        <v>25</v>
      </c>
      <c r="Y203" s="82" t="s">
        <v>1579</v>
      </c>
      <c r="Z203" s="8" t="str">
        <f t="shared" si="14"/>
        <v>Mix Normal / 50 gramos</v>
      </c>
      <c r="AA203" s="8"/>
    </row>
    <row r="204" spans="1:27" ht="13.2">
      <c r="A204" s="78" t="s">
        <v>139</v>
      </c>
      <c r="B204" s="8" t="str">
        <f t="shared" si="116"/>
        <v>Mix Pasas - Mani / 250 gramos</v>
      </c>
      <c r="C204" s="31" t="s">
        <v>1030</v>
      </c>
      <c r="D204" s="61" t="str">
        <f t="shared" si="111"/>
        <v>Mix Pasas - Mani</v>
      </c>
      <c r="E204" s="41">
        <v>250</v>
      </c>
      <c r="F204" s="62">
        <v>687.39495798319331</v>
      </c>
      <c r="G204" s="62">
        <v>119.32773109243698</v>
      </c>
      <c r="H204" s="62">
        <f t="shared" si="94"/>
        <v>806.72268907563034</v>
      </c>
      <c r="I204" s="62">
        <f t="shared" si="2"/>
        <v>153.27731092436977</v>
      </c>
      <c r="J204" s="63">
        <v>0.23199999999999998</v>
      </c>
      <c r="K204" s="62">
        <f t="shared" si="3"/>
        <v>1050.420168067227</v>
      </c>
      <c r="L204" s="62">
        <f t="shared" si="4"/>
        <v>199.57983193277312</v>
      </c>
      <c r="M204" s="62">
        <f t="shared" si="15"/>
        <v>1250</v>
      </c>
      <c r="N204" s="62">
        <f t="shared" si="6"/>
        <v>243.69747899159665</v>
      </c>
      <c r="O204" s="61">
        <f t="shared" si="7"/>
        <v>0</v>
      </c>
      <c r="P204" s="61">
        <f t="shared" si="8"/>
        <v>1050.420168067227</v>
      </c>
      <c r="Q204" s="64">
        <f t="shared" si="9"/>
        <v>0.23199999999999998</v>
      </c>
      <c r="R204" s="41">
        <v>1250</v>
      </c>
      <c r="S204" s="40">
        <f t="shared" ref="S204:S205" si="117">818*4</f>
        <v>3272</v>
      </c>
      <c r="T204" s="40">
        <f t="shared" si="112"/>
        <v>818</v>
      </c>
      <c r="U204" s="40">
        <f t="shared" ref="U204:U205" si="118">7+40+95</f>
        <v>142</v>
      </c>
      <c r="V204" s="40">
        <f t="shared" si="74"/>
        <v>960</v>
      </c>
      <c r="W204" s="40">
        <f t="shared" si="62"/>
        <v>290</v>
      </c>
      <c r="X204" s="8">
        <f t="shared" si="75"/>
        <v>62.5</v>
      </c>
      <c r="Y204" s="76"/>
      <c r="Z204" s="8" t="str">
        <f t="shared" si="14"/>
        <v>Mix Pasas - Mani / 250 gramos</v>
      </c>
      <c r="AA204" s="8"/>
    </row>
    <row r="205" spans="1:27" ht="13.2">
      <c r="A205" s="78" t="s">
        <v>139</v>
      </c>
      <c r="B205" s="8" t="str">
        <f t="shared" si="116"/>
        <v>Mix Pasas - Mani / 250 gramos</v>
      </c>
      <c r="C205" s="31" t="s">
        <v>1030</v>
      </c>
      <c r="D205" s="61" t="str">
        <f t="shared" si="111"/>
        <v>Mix Pasas - Mani</v>
      </c>
      <c r="E205" s="41">
        <v>250</v>
      </c>
      <c r="F205" s="62">
        <v>687.39495798319331</v>
      </c>
      <c r="G205" s="62">
        <v>119.32773109243698</v>
      </c>
      <c r="H205" s="62">
        <f t="shared" si="94"/>
        <v>806.72268907563034</v>
      </c>
      <c r="I205" s="62">
        <f t="shared" si="2"/>
        <v>153.27731092436977</v>
      </c>
      <c r="J205" s="63">
        <v>0.19999999999999996</v>
      </c>
      <c r="K205" s="62">
        <f t="shared" si="3"/>
        <v>1008.4033613445379</v>
      </c>
      <c r="L205" s="62">
        <f t="shared" si="4"/>
        <v>191.59663865546219</v>
      </c>
      <c r="M205" s="62">
        <f t="shared" si="15"/>
        <v>1200</v>
      </c>
      <c r="N205" s="62">
        <f t="shared" si="6"/>
        <v>201.68067226890753</v>
      </c>
      <c r="O205" s="61">
        <f t="shared" si="7"/>
        <v>0</v>
      </c>
      <c r="P205" s="61">
        <f t="shared" si="8"/>
        <v>1008.4033613445379</v>
      </c>
      <c r="Q205" s="64">
        <f t="shared" si="9"/>
        <v>0.19999999999999996</v>
      </c>
      <c r="R205" s="41">
        <v>1200</v>
      </c>
      <c r="S205" s="40">
        <f t="shared" si="117"/>
        <v>3272</v>
      </c>
      <c r="T205" s="40">
        <f t="shared" si="112"/>
        <v>818</v>
      </c>
      <c r="U205" s="40">
        <f t="shared" si="118"/>
        <v>142</v>
      </c>
      <c r="V205" s="40">
        <f t="shared" si="74"/>
        <v>960</v>
      </c>
      <c r="W205" s="40">
        <f t="shared" si="62"/>
        <v>240</v>
      </c>
      <c r="X205" s="8">
        <f t="shared" si="75"/>
        <v>60</v>
      </c>
      <c r="Y205" s="76"/>
      <c r="Z205" s="8" t="str">
        <f t="shared" si="14"/>
        <v>Mix Pasas - Mani / 250 gramos</v>
      </c>
      <c r="AA205" s="8"/>
    </row>
    <row r="206" spans="1:27" ht="13.2">
      <c r="A206" s="59" t="s">
        <v>139</v>
      </c>
      <c r="B206" s="8" t="str">
        <f t="shared" si="116"/>
        <v>Mote / 1000 gramos</v>
      </c>
      <c r="C206" s="31" t="s">
        <v>959</v>
      </c>
      <c r="D206" s="61" t="str">
        <f t="shared" si="111"/>
        <v>Mote</v>
      </c>
      <c r="E206" s="41">
        <v>1000</v>
      </c>
      <c r="F206" s="62">
        <v>924.36974789915973</v>
      </c>
      <c r="G206" s="62">
        <v>0</v>
      </c>
      <c r="H206" s="62">
        <f t="shared" si="94"/>
        <v>924.36974789915973</v>
      </c>
      <c r="I206" s="62">
        <f t="shared" si="2"/>
        <v>175.63025210084035</v>
      </c>
      <c r="J206" s="63">
        <v>0.45000000000000007</v>
      </c>
      <c r="K206" s="62">
        <f t="shared" si="3"/>
        <v>1680.6722689075634</v>
      </c>
      <c r="L206" s="62">
        <f t="shared" si="4"/>
        <v>319.32773109243703</v>
      </c>
      <c r="M206" s="62">
        <f t="shared" si="15"/>
        <v>2000.0000000000005</v>
      </c>
      <c r="N206" s="62">
        <f t="shared" si="6"/>
        <v>756.30252100840369</v>
      </c>
      <c r="O206" s="61">
        <f t="shared" si="7"/>
        <v>0</v>
      </c>
      <c r="P206" s="61">
        <f t="shared" si="8"/>
        <v>1680.6722689075632</v>
      </c>
      <c r="Q206" s="64">
        <f t="shared" si="9"/>
        <v>0.45000000000000007</v>
      </c>
      <c r="R206" s="41">
        <v>2000</v>
      </c>
      <c r="S206" s="41">
        <v>1100</v>
      </c>
      <c r="T206" s="40">
        <f t="shared" si="112"/>
        <v>1100</v>
      </c>
      <c r="U206" s="41">
        <v>0</v>
      </c>
      <c r="V206" s="40">
        <f t="shared" si="74"/>
        <v>1100</v>
      </c>
      <c r="W206" s="40">
        <f t="shared" si="62"/>
        <v>900</v>
      </c>
      <c r="X206" s="8">
        <f t="shared" si="75"/>
        <v>100</v>
      </c>
      <c r="Y206" s="76"/>
      <c r="Z206" s="8" t="str">
        <f t="shared" si="14"/>
        <v>Mote / 1000 gramos</v>
      </c>
      <c r="AA206" s="8"/>
    </row>
    <row r="207" spans="1:27" ht="13.2">
      <c r="A207" s="78" t="s">
        <v>139</v>
      </c>
      <c r="B207" s="8" t="str">
        <f t="shared" si="116"/>
        <v>Nuez Mariposa / 1000 gramos</v>
      </c>
      <c r="C207" s="80" t="s">
        <v>968</v>
      </c>
      <c r="D207" s="61" t="str">
        <f t="shared" si="111"/>
        <v>Nuez Mariposa</v>
      </c>
      <c r="E207" s="61">
        <v>1000</v>
      </c>
      <c r="F207" s="62">
        <v>7500</v>
      </c>
      <c r="G207" s="62">
        <v>190.75630252100842</v>
      </c>
      <c r="H207" s="62">
        <f t="shared" si="94"/>
        <v>7690.7563025210084</v>
      </c>
      <c r="I207" s="62">
        <f t="shared" si="2"/>
        <v>1461.2436974789916</v>
      </c>
      <c r="J207" s="63">
        <v>0.2373333333333334</v>
      </c>
      <c r="K207" s="62">
        <f t="shared" si="3"/>
        <v>10084.033613445379</v>
      </c>
      <c r="L207" s="62">
        <f t="shared" si="4"/>
        <v>1915.966386554622</v>
      </c>
      <c r="M207" s="62">
        <f t="shared" si="15"/>
        <v>12000.000000000002</v>
      </c>
      <c r="N207" s="62">
        <f t="shared" si="6"/>
        <v>2393.2773109243708</v>
      </c>
      <c r="O207" s="61">
        <f t="shared" si="7"/>
        <v>0</v>
      </c>
      <c r="P207" s="61">
        <f t="shared" si="8"/>
        <v>10084.033613445379</v>
      </c>
      <c r="Q207" s="64">
        <f t="shared" si="9"/>
        <v>0.2373333333333334</v>
      </c>
      <c r="R207" s="61">
        <v>12000</v>
      </c>
      <c r="S207" s="41">
        <v>8925</v>
      </c>
      <c r="T207" s="40">
        <f t="shared" si="112"/>
        <v>8925</v>
      </c>
      <c r="U207" s="40">
        <f>7+40+180</f>
        <v>227</v>
      </c>
      <c r="V207" s="40">
        <f t="shared" si="74"/>
        <v>9152</v>
      </c>
      <c r="W207" s="40">
        <f t="shared" si="62"/>
        <v>2848</v>
      </c>
      <c r="X207" s="8">
        <f t="shared" si="75"/>
        <v>600</v>
      </c>
      <c r="Z207" s="8" t="str">
        <f t="shared" si="14"/>
        <v>Nuez Mariposa / 1000 gramos</v>
      </c>
      <c r="AA207" s="8"/>
    </row>
    <row r="208" spans="1:27" ht="13.2">
      <c r="A208" s="78" t="s">
        <v>139</v>
      </c>
      <c r="B208" s="8" t="str">
        <f t="shared" si="116"/>
        <v>Nuez Mariposa / 170 gramos</v>
      </c>
      <c r="C208" s="80" t="s">
        <v>968</v>
      </c>
      <c r="D208" s="61" t="str">
        <f t="shared" si="111"/>
        <v>Nuez Mariposa</v>
      </c>
      <c r="E208" s="61">
        <v>170</v>
      </c>
      <c r="F208" s="62">
        <v>1275</v>
      </c>
      <c r="G208" s="62">
        <v>142.01680672268907</v>
      </c>
      <c r="H208" s="62">
        <f t="shared" si="94"/>
        <v>1417.0168067226891</v>
      </c>
      <c r="I208" s="62">
        <f t="shared" si="2"/>
        <v>269.23319327731093</v>
      </c>
      <c r="J208" s="63">
        <v>0.19702380952380949</v>
      </c>
      <c r="K208" s="62">
        <f t="shared" si="3"/>
        <v>1764.7058823529412</v>
      </c>
      <c r="L208" s="62">
        <f t="shared" si="4"/>
        <v>335.29411764705884</v>
      </c>
      <c r="M208" s="62">
        <f t="shared" si="15"/>
        <v>2100</v>
      </c>
      <c r="N208" s="62">
        <f t="shared" si="6"/>
        <v>347.68907563025209</v>
      </c>
      <c r="O208" s="61">
        <f t="shared" si="7"/>
        <v>0</v>
      </c>
      <c r="P208" s="61">
        <f t="shared" si="8"/>
        <v>1764.7058823529412</v>
      </c>
      <c r="Q208" s="64">
        <f t="shared" si="9"/>
        <v>0.19702380952380949</v>
      </c>
      <c r="R208" s="61">
        <v>2100</v>
      </c>
      <c r="S208" s="41">
        <v>8925</v>
      </c>
      <c r="T208" s="40">
        <f t="shared" si="112"/>
        <v>1517.25</v>
      </c>
      <c r="U208" s="40">
        <f>7+40+122</f>
        <v>169</v>
      </c>
      <c r="V208" s="40">
        <f t="shared" si="74"/>
        <v>1686.25</v>
      </c>
      <c r="W208" s="40">
        <f t="shared" si="62"/>
        <v>413.75</v>
      </c>
      <c r="X208" s="8">
        <f t="shared" si="75"/>
        <v>105</v>
      </c>
      <c r="Y208" s="76"/>
      <c r="Z208" s="8" t="str">
        <f t="shared" si="14"/>
        <v>Nuez Mariposa / 170 gramos</v>
      </c>
      <c r="AA208" s="8"/>
    </row>
    <row r="209" spans="1:37" ht="13.2">
      <c r="A209" s="78" t="s">
        <v>139</v>
      </c>
      <c r="B209" s="8" t="str">
        <f t="shared" si="116"/>
        <v>Nuez Mariposa / 200 gramos</v>
      </c>
      <c r="C209" s="80" t="s">
        <v>968</v>
      </c>
      <c r="D209" s="61" t="str">
        <f t="shared" si="111"/>
        <v>Nuez Mariposa</v>
      </c>
      <c r="E209" s="61">
        <v>200</v>
      </c>
      <c r="F209" s="62">
        <v>1500</v>
      </c>
      <c r="G209" s="62">
        <v>119.32773109243698</v>
      </c>
      <c r="H209" s="62">
        <f t="shared" si="94"/>
        <v>1619.327731092437</v>
      </c>
      <c r="I209" s="62">
        <f t="shared" si="2"/>
        <v>307.67226890756302</v>
      </c>
      <c r="J209" s="63">
        <v>0.25884615384615395</v>
      </c>
      <c r="K209" s="62">
        <f t="shared" si="3"/>
        <v>2184.8739495798322</v>
      </c>
      <c r="L209" s="62">
        <f t="shared" si="4"/>
        <v>415.12605042016816</v>
      </c>
      <c r="M209" s="62">
        <f t="shared" si="15"/>
        <v>2600.0000000000005</v>
      </c>
      <c r="N209" s="62">
        <f t="shared" si="6"/>
        <v>565.54621848739521</v>
      </c>
      <c r="O209" s="61">
        <f t="shared" si="7"/>
        <v>0</v>
      </c>
      <c r="P209" s="61">
        <f t="shared" si="8"/>
        <v>2184.8739495798322</v>
      </c>
      <c r="Q209" s="64">
        <f t="shared" si="9"/>
        <v>0.25884615384615395</v>
      </c>
      <c r="R209" s="61">
        <v>2600</v>
      </c>
      <c r="S209" s="41">
        <v>8925</v>
      </c>
      <c r="T209" s="40">
        <f t="shared" si="112"/>
        <v>1785</v>
      </c>
      <c r="U209" s="40">
        <f t="shared" ref="U209:U211" si="119">7+40+95</f>
        <v>142</v>
      </c>
      <c r="V209" s="40">
        <f t="shared" si="74"/>
        <v>1927</v>
      </c>
      <c r="W209" s="40">
        <f t="shared" si="62"/>
        <v>673</v>
      </c>
      <c r="X209" s="8">
        <f t="shared" si="75"/>
        <v>130</v>
      </c>
      <c r="Y209" s="76"/>
      <c r="Z209" s="8" t="str">
        <f t="shared" si="14"/>
        <v>Nuez Mariposa / 200 gramos</v>
      </c>
      <c r="AA209" s="8"/>
    </row>
    <row r="210" spans="1:37" ht="13.2">
      <c r="A210" s="78" t="s">
        <v>139</v>
      </c>
      <c r="B210" s="8" t="str">
        <f t="shared" si="116"/>
        <v>Nuez Mariposa / 250 gramos</v>
      </c>
      <c r="C210" s="80" t="s">
        <v>968</v>
      </c>
      <c r="D210" s="61" t="str">
        <f t="shared" si="111"/>
        <v>Nuez Mariposa</v>
      </c>
      <c r="E210" s="61">
        <v>250</v>
      </c>
      <c r="F210" s="62">
        <v>1875</v>
      </c>
      <c r="G210" s="62">
        <v>119.32773109243698</v>
      </c>
      <c r="H210" s="62">
        <f t="shared" si="94"/>
        <v>1994.327731092437</v>
      </c>
      <c r="I210" s="62">
        <f t="shared" si="2"/>
        <v>378.92226890756302</v>
      </c>
      <c r="J210" s="63">
        <v>0.25835937499999995</v>
      </c>
      <c r="K210" s="62">
        <f t="shared" si="3"/>
        <v>2689.0756302521008</v>
      </c>
      <c r="L210" s="62">
        <f t="shared" si="4"/>
        <v>510.92436974789916</v>
      </c>
      <c r="M210" s="62">
        <f t="shared" si="15"/>
        <v>3200</v>
      </c>
      <c r="N210" s="62">
        <f t="shared" si="6"/>
        <v>694.7478991596638</v>
      </c>
      <c r="O210" s="61">
        <f t="shared" si="7"/>
        <v>0</v>
      </c>
      <c r="P210" s="61">
        <f t="shared" si="8"/>
        <v>2689.0756302521008</v>
      </c>
      <c r="Q210" s="64">
        <f t="shared" si="9"/>
        <v>0.25835937499999995</v>
      </c>
      <c r="R210" s="61">
        <v>3200</v>
      </c>
      <c r="S210" s="41">
        <v>8925</v>
      </c>
      <c r="T210" s="40">
        <f t="shared" si="112"/>
        <v>2231.25</v>
      </c>
      <c r="U210" s="40">
        <f t="shared" si="119"/>
        <v>142</v>
      </c>
      <c r="V210" s="40">
        <f t="shared" si="74"/>
        <v>2373.25</v>
      </c>
      <c r="W210" s="40">
        <f t="shared" si="62"/>
        <v>826.75</v>
      </c>
      <c r="X210" s="8">
        <f t="shared" si="75"/>
        <v>160</v>
      </c>
      <c r="Y210" s="76"/>
      <c r="Z210" s="8" t="str">
        <f t="shared" si="14"/>
        <v>Nuez Mariposa / 250 gramos</v>
      </c>
      <c r="AA210" s="8"/>
    </row>
    <row r="211" spans="1:37" ht="13.2">
      <c r="A211" s="78" t="s">
        <v>139</v>
      </c>
      <c r="B211" s="8" t="str">
        <f t="shared" si="116"/>
        <v>Nuez Mariposa / 250 gramos</v>
      </c>
      <c r="C211" s="80" t="s">
        <v>968</v>
      </c>
      <c r="D211" s="61" t="str">
        <f t="shared" si="111"/>
        <v>Nuez Mariposa</v>
      </c>
      <c r="E211" s="61">
        <v>250</v>
      </c>
      <c r="F211" s="62">
        <v>1875</v>
      </c>
      <c r="G211" s="62">
        <v>119.32773109243698</v>
      </c>
      <c r="H211" s="62">
        <f t="shared" si="94"/>
        <v>1994.327731092437</v>
      </c>
      <c r="I211" s="62">
        <f t="shared" si="2"/>
        <v>378.92226890756302</v>
      </c>
      <c r="J211" s="63">
        <v>0.25835937499999995</v>
      </c>
      <c r="K211" s="62">
        <f t="shared" si="3"/>
        <v>2689.0756302521008</v>
      </c>
      <c r="L211" s="62">
        <f t="shared" si="4"/>
        <v>510.92436974789916</v>
      </c>
      <c r="M211" s="62">
        <f t="shared" si="15"/>
        <v>3200</v>
      </c>
      <c r="N211" s="62">
        <f t="shared" si="6"/>
        <v>694.7478991596638</v>
      </c>
      <c r="O211" s="61">
        <f t="shared" si="7"/>
        <v>0</v>
      </c>
      <c r="P211" s="61">
        <f t="shared" si="8"/>
        <v>2689.0756302521008</v>
      </c>
      <c r="Q211" s="64">
        <f t="shared" si="9"/>
        <v>0.25835937499999995</v>
      </c>
      <c r="R211" s="61">
        <v>3200</v>
      </c>
      <c r="S211" s="41">
        <v>8925</v>
      </c>
      <c r="T211" s="40">
        <f t="shared" si="112"/>
        <v>2231.25</v>
      </c>
      <c r="U211" s="40">
        <f t="shared" si="119"/>
        <v>142</v>
      </c>
      <c r="V211" s="40">
        <f t="shared" si="74"/>
        <v>2373.25</v>
      </c>
      <c r="W211" s="40">
        <f t="shared" si="62"/>
        <v>826.75</v>
      </c>
      <c r="X211" s="8">
        <f t="shared" si="75"/>
        <v>160</v>
      </c>
      <c r="Y211" s="76"/>
      <c r="Z211" s="8" t="str">
        <f t="shared" si="14"/>
        <v>Nuez Mariposa / 250 gramos</v>
      </c>
      <c r="AA211" s="8"/>
    </row>
    <row r="212" spans="1:37" ht="13.2">
      <c r="A212" s="78" t="s">
        <v>139</v>
      </c>
      <c r="B212" s="8" t="str">
        <f t="shared" si="116"/>
        <v>Nuez Mariposa / 348 gramos</v>
      </c>
      <c r="C212" s="80" t="s">
        <v>968</v>
      </c>
      <c r="D212" s="61" t="str">
        <f t="shared" si="111"/>
        <v>Nuez Mariposa</v>
      </c>
      <c r="E212" s="61">
        <v>348</v>
      </c>
      <c r="F212" s="62">
        <v>2610</v>
      </c>
      <c r="G212" s="62">
        <v>142.01680672268907</v>
      </c>
      <c r="H212" s="62">
        <f t="shared" si="94"/>
        <v>2752.0168067226891</v>
      </c>
      <c r="I212" s="62">
        <f t="shared" si="2"/>
        <v>522.88319327731097</v>
      </c>
      <c r="J212" s="63">
        <v>0.28806521739130431</v>
      </c>
      <c r="K212" s="62">
        <f t="shared" si="3"/>
        <v>3865.546218487395</v>
      </c>
      <c r="L212" s="62">
        <f t="shared" si="4"/>
        <v>734.45378151260502</v>
      </c>
      <c r="M212" s="62">
        <f t="shared" si="15"/>
        <v>4600</v>
      </c>
      <c r="N212" s="62">
        <f t="shared" si="6"/>
        <v>1113.5294117647059</v>
      </c>
      <c r="O212" s="61">
        <f t="shared" si="7"/>
        <v>0</v>
      </c>
      <c r="P212" s="61">
        <f t="shared" si="8"/>
        <v>3865.546218487395</v>
      </c>
      <c r="Q212" s="64">
        <f t="shared" si="9"/>
        <v>0.28806521739130431</v>
      </c>
      <c r="R212" s="61">
        <v>4600</v>
      </c>
      <c r="S212" s="41">
        <v>8925</v>
      </c>
      <c r="T212" s="40">
        <f t="shared" si="112"/>
        <v>3105.9</v>
      </c>
      <c r="U212" s="40">
        <f t="shared" ref="U212:U213" si="120">7+40+122</f>
        <v>169</v>
      </c>
      <c r="V212" s="40">
        <f t="shared" si="74"/>
        <v>3274.9</v>
      </c>
      <c r="W212" s="40">
        <f t="shared" si="62"/>
        <v>1325.1</v>
      </c>
      <c r="X212" s="8">
        <f t="shared" si="75"/>
        <v>230</v>
      </c>
      <c r="Y212" s="76"/>
      <c r="Z212" s="8" t="str">
        <f t="shared" si="14"/>
        <v>Nuez Mariposa / 348 gramos</v>
      </c>
      <c r="AA212" s="8"/>
    </row>
    <row r="213" spans="1:37" ht="13.2">
      <c r="A213" s="78" t="s">
        <v>139</v>
      </c>
      <c r="B213" s="8" t="str">
        <f t="shared" si="116"/>
        <v>Nuez Mariposa / 400 gramos</v>
      </c>
      <c r="C213" s="80" t="s">
        <v>968</v>
      </c>
      <c r="D213" s="61" t="str">
        <f t="shared" si="111"/>
        <v>Nuez Mariposa</v>
      </c>
      <c r="E213" s="61">
        <v>400</v>
      </c>
      <c r="F213" s="62">
        <v>3000</v>
      </c>
      <c r="G213" s="62">
        <v>142.01680672268907</v>
      </c>
      <c r="H213" s="62">
        <f t="shared" si="94"/>
        <v>3142.0168067226891</v>
      </c>
      <c r="I213" s="62">
        <f t="shared" si="2"/>
        <v>596.98319327731099</v>
      </c>
      <c r="J213" s="63">
        <v>0.22104166666666669</v>
      </c>
      <c r="K213" s="62">
        <f t="shared" si="3"/>
        <v>4033.6134453781515</v>
      </c>
      <c r="L213" s="62">
        <f t="shared" si="4"/>
        <v>766.38655462184875</v>
      </c>
      <c r="M213" s="62">
        <f t="shared" si="15"/>
        <v>4800</v>
      </c>
      <c r="N213" s="62">
        <f t="shared" si="6"/>
        <v>891.59663865546236</v>
      </c>
      <c r="O213" s="61">
        <f t="shared" si="7"/>
        <v>0</v>
      </c>
      <c r="P213" s="61">
        <f t="shared" si="8"/>
        <v>4033.6134453781515</v>
      </c>
      <c r="Q213" s="64">
        <f t="shared" si="9"/>
        <v>0.22104166666666669</v>
      </c>
      <c r="R213" s="61">
        <v>4800</v>
      </c>
      <c r="S213" s="41">
        <v>8925</v>
      </c>
      <c r="T213" s="40">
        <f t="shared" si="112"/>
        <v>3570</v>
      </c>
      <c r="U213" s="40">
        <f t="shared" si="120"/>
        <v>169</v>
      </c>
      <c r="V213" s="40">
        <f t="shared" si="74"/>
        <v>3739</v>
      </c>
      <c r="W213" s="40">
        <f t="shared" si="62"/>
        <v>1061</v>
      </c>
      <c r="X213" s="8">
        <f t="shared" si="75"/>
        <v>240</v>
      </c>
      <c r="Z213" s="8" t="str">
        <f t="shared" si="14"/>
        <v>Nuez Mariposa / 400 gramos</v>
      </c>
      <c r="AA213" s="8"/>
    </row>
    <row r="214" spans="1:37" ht="13.2">
      <c r="A214" s="78" t="s">
        <v>139</v>
      </c>
      <c r="B214" s="8" t="str">
        <f t="shared" si="116"/>
        <v>Nuez Mariposa / 45 gramos</v>
      </c>
      <c r="C214" s="80" t="s">
        <v>968</v>
      </c>
      <c r="D214" s="61" t="str">
        <f t="shared" si="111"/>
        <v>Nuez Mariposa</v>
      </c>
      <c r="E214" s="61">
        <v>45</v>
      </c>
      <c r="F214" s="62">
        <v>337.5</v>
      </c>
      <c r="G214" s="62">
        <v>66.722689075630257</v>
      </c>
      <c r="H214" s="62">
        <f t="shared" si="94"/>
        <v>404.22268907563023</v>
      </c>
      <c r="I214" s="62">
        <f t="shared" si="2"/>
        <v>76.802310924369749</v>
      </c>
      <c r="J214" s="63">
        <v>0.51897500000000008</v>
      </c>
      <c r="K214" s="62">
        <f t="shared" si="3"/>
        <v>840.3361344537816</v>
      </c>
      <c r="L214" s="62">
        <f t="shared" si="4"/>
        <v>159.66386554621852</v>
      </c>
      <c r="M214" s="62">
        <f t="shared" si="15"/>
        <v>1000.0000000000001</v>
      </c>
      <c r="N214" s="62">
        <f t="shared" si="6"/>
        <v>436.11344537815137</v>
      </c>
      <c r="O214" s="61">
        <f t="shared" si="7"/>
        <v>0</v>
      </c>
      <c r="P214" s="61">
        <f t="shared" si="8"/>
        <v>840.3361344537816</v>
      </c>
      <c r="Q214" s="64">
        <f t="shared" si="9"/>
        <v>0.51897500000000008</v>
      </c>
      <c r="R214" s="61">
        <v>1000</v>
      </c>
      <c r="S214" s="41">
        <v>8925</v>
      </c>
      <c r="T214" s="40">
        <f t="shared" si="112"/>
        <v>401.625</v>
      </c>
      <c r="U214" s="12">
        <f>73+160/25</f>
        <v>79.400000000000006</v>
      </c>
      <c r="V214" s="40">
        <f t="shared" si="74"/>
        <v>481.02499999999998</v>
      </c>
      <c r="W214" s="40">
        <f t="shared" si="62"/>
        <v>518.97500000000002</v>
      </c>
      <c r="X214" s="8">
        <f t="shared" si="75"/>
        <v>50</v>
      </c>
      <c r="Y214" s="82" t="s">
        <v>1579</v>
      </c>
      <c r="Z214" s="8" t="str">
        <f t="shared" si="14"/>
        <v>Nuez Mariposa / 45 gramos</v>
      </c>
      <c r="AA214" s="8"/>
    </row>
    <row r="215" spans="1:37" ht="13.2">
      <c r="A215" s="78" t="s">
        <v>139</v>
      </c>
      <c r="B215" s="8" t="str">
        <f t="shared" si="116"/>
        <v>Nuez Mariposa / 500 gramos</v>
      </c>
      <c r="C215" s="80" t="s">
        <v>968</v>
      </c>
      <c r="D215" s="61" t="str">
        <f t="shared" si="111"/>
        <v>Nuez Mariposa</v>
      </c>
      <c r="E215" s="61">
        <v>500</v>
      </c>
      <c r="F215" s="62">
        <v>3750</v>
      </c>
      <c r="G215" s="62">
        <v>142.01680672268907</v>
      </c>
      <c r="H215" s="62">
        <f t="shared" si="94"/>
        <v>3892.0168067226891</v>
      </c>
      <c r="I215" s="62">
        <f t="shared" si="2"/>
        <v>739.48319327731099</v>
      </c>
      <c r="J215" s="63">
        <v>0.22808333333333342</v>
      </c>
      <c r="K215" s="62">
        <f t="shared" si="3"/>
        <v>5042.0168067226896</v>
      </c>
      <c r="L215" s="62">
        <f t="shared" si="4"/>
        <v>957.98319327731099</v>
      </c>
      <c r="M215" s="62">
        <f t="shared" si="15"/>
        <v>6000.0000000000009</v>
      </c>
      <c r="N215" s="62">
        <f t="shared" si="6"/>
        <v>1150.0000000000005</v>
      </c>
      <c r="O215" s="61">
        <f t="shared" si="7"/>
        <v>0</v>
      </c>
      <c r="P215" s="61">
        <f t="shared" si="8"/>
        <v>5042.0168067226896</v>
      </c>
      <c r="Q215" s="64">
        <f t="shared" si="9"/>
        <v>0.22808333333333342</v>
      </c>
      <c r="R215" s="61">
        <v>6000</v>
      </c>
      <c r="S215" s="41">
        <v>8925</v>
      </c>
      <c r="T215" s="40">
        <f t="shared" si="112"/>
        <v>4462.5</v>
      </c>
      <c r="U215" s="40">
        <f>7+40+122</f>
        <v>169</v>
      </c>
      <c r="V215" s="40">
        <f t="shared" si="74"/>
        <v>4631.5</v>
      </c>
      <c r="W215" s="40">
        <f t="shared" si="62"/>
        <v>1368.5</v>
      </c>
      <c r="X215" s="8">
        <f t="shared" si="75"/>
        <v>300</v>
      </c>
      <c r="Y215" s="76"/>
      <c r="Z215" s="8" t="str">
        <f t="shared" si="14"/>
        <v>Nuez Mariposa / 500 gramos</v>
      </c>
      <c r="AA215" s="8"/>
    </row>
    <row r="216" spans="1:37" ht="13.2">
      <c r="A216" s="78" t="s">
        <v>139</v>
      </c>
      <c r="B216" s="8" t="str">
        <f t="shared" si="116"/>
        <v>Nuez Partida / 250 gramos</v>
      </c>
      <c r="C216" s="80" t="s">
        <v>803</v>
      </c>
      <c r="D216" s="61" t="str">
        <f t="shared" si="111"/>
        <v>Nuez Partida</v>
      </c>
      <c r="E216" s="61">
        <v>250</v>
      </c>
      <c r="F216" s="62">
        <v>1475.2100840336136</v>
      </c>
      <c r="G216" s="62">
        <v>119.32773109243698</v>
      </c>
      <c r="H216" s="62">
        <f t="shared" si="94"/>
        <v>1594.5378151260506</v>
      </c>
      <c r="I216" s="62">
        <f t="shared" si="2"/>
        <v>302.96218487394964</v>
      </c>
      <c r="J216" s="63">
        <v>0.36749999999999994</v>
      </c>
      <c r="K216" s="62">
        <f t="shared" si="3"/>
        <v>2521.0084033613448</v>
      </c>
      <c r="L216" s="62">
        <f t="shared" si="4"/>
        <v>478.99159663865549</v>
      </c>
      <c r="M216" s="62">
        <f t="shared" si="15"/>
        <v>3000.0000000000005</v>
      </c>
      <c r="N216" s="62">
        <f t="shared" si="6"/>
        <v>926.47058823529414</v>
      </c>
      <c r="O216" s="61">
        <f t="shared" si="7"/>
        <v>0</v>
      </c>
      <c r="P216" s="61">
        <f t="shared" si="8"/>
        <v>2521.0084033613448</v>
      </c>
      <c r="Q216" s="64">
        <f t="shared" si="9"/>
        <v>0.36749999999999994</v>
      </c>
      <c r="R216" s="61">
        <v>3000</v>
      </c>
      <c r="S216" s="41">
        <v>7022</v>
      </c>
      <c r="T216" s="40">
        <f t="shared" si="112"/>
        <v>1755.5</v>
      </c>
      <c r="U216" s="40">
        <f t="shared" ref="U216:U217" si="121">7+40+95</f>
        <v>142</v>
      </c>
      <c r="V216" s="40">
        <f t="shared" si="74"/>
        <v>1897.5</v>
      </c>
      <c r="W216" s="40">
        <f t="shared" si="62"/>
        <v>1102.5</v>
      </c>
      <c r="X216" s="8">
        <f t="shared" si="75"/>
        <v>150</v>
      </c>
      <c r="Y216" s="76"/>
      <c r="Z216" s="8" t="str">
        <f t="shared" si="14"/>
        <v>Nuez Partida / 250 gramos</v>
      </c>
      <c r="AA216" s="8"/>
    </row>
    <row r="217" spans="1:37" ht="13.2">
      <c r="A217" s="78" t="s">
        <v>139</v>
      </c>
      <c r="B217" s="8" t="str">
        <f t="shared" si="116"/>
        <v>Nuez Partida / 500 gramos</v>
      </c>
      <c r="C217" s="80" t="s">
        <v>803</v>
      </c>
      <c r="D217" s="61" t="str">
        <f t="shared" si="111"/>
        <v>Nuez Partida</v>
      </c>
      <c r="E217" s="61">
        <v>500</v>
      </c>
      <c r="F217" s="62">
        <v>2950.4201680672272</v>
      </c>
      <c r="G217" s="62">
        <v>119.32773109243698</v>
      </c>
      <c r="H217" s="62">
        <f t="shared" si="94"/>
        <v>3069.747899159664</v>
      </c>
      <c r="I217" s="62">
        <f t="shared" si="2"/>
        <v>583.2521008403362</v>
      </c>
      <c r="J217" s="63">
        <v>0.26940000000000008</v>
      </c>
      <c r="K217" s="62">
        <f t="shared" si="3"/>
        <v>4201.680672268908</v>
      </c>
      <c r="L217" s="62">
        <f t="shared" si="4"/>
        <v>798.31932773109247</v>
      </c>
      <c r="M217" s="62">
        <f t="shared" si="15"/>
        <v>5000</v>
      </c>
      <c r="N217" s="62">
        <f t="shared" si="6"/>
        <v>1131.932773109244</v>
      </c>
      <c r="O217" s="61">
        <f t="shared" si="7"/>
        <v>0</v>
      </c>
      <c r="P217" s="61">
        <f t="shared" si="8"/>
        <v>4201.680672268908</v>
      </c>
      <c r="Q217" s="64">
        <f t="shared" si="9"/>
        <v>0.26940000000000008</v>
      </c>
      <c r="R217" s="61">
        <v>5000</v>
      </c>
      <c r="S217" s="41">
        <v>7022</v>
      </c>
      <c r="T217" s="40">
        <f t="shared" si="112"/>
        <v>3511</v>
      </c>
      <c r="U217" s="40">
        <f t="shared" si="121"/>
        <v>142</v>
      </c>
      <c r="V217" s="40">
        <f t="shared" si="74"/>
        <v>3653</v>
      </c>
      <c r="W217" s="40">
        <f t="shared" si="62"/>
        <v>1347</v>
      </c>
      <c r="X217" s="8">
        <f t="shared" si="75"/>
        <v>250</v>
      </c>
      <c r="Y217" s="76"/>
      <c r="Z217" s="8" t="str">
        <f t="shared" si="14"/>
        <v>Nuez Partida / 500 gramos</v>
      </c>
      <c r="AA217" s="8"/>
    </row>
    <row r="218" spans="1:37" ht="13.2">
      <c r="A218" s="59" t="s">
        <v>76</v>
      </c>
      <c r="B218" s="8" t="str">
        <f t="shared" ref="B218:B222" si="122">CONCATENATE(C218,E218)</f>
        <v>OFERTA 2x Cloro5</v>
      </c>
      <c r="C218" s="23" t="s">
        <v>946</v>
      </c>
      <c r="D218" s="61" t="s">
        <v>378</v>
      </c>
      <c r="E218" s="41">
        <v>5</v>
      </c>
      <c r="F218" s="62">
        <v>1848.7394957983195</v>
      </c>
      <c r="G218" s="62">
        <v>0</v>
      </c>
      <c r="H218" s="62">
        <f t="shared" si="94"/>
        <v>1848.7394957983195</v>
      </c>
      <c r="I218" s="62">
        <f t="shared" si="2"/>
        <v>351.2605042016807</v>
      </c>
      <c r="J218" s="63">
        <v>0.37142857142857144</v>
      </c>
      <c r="K218" s="62">
        <f t="shared" si="3"/>
        <v>2941.1764705882356</v>
      </c>
      <c r="L218" s="62">
        <f t="shared" si="4"/>
        <v>558.82352941176475</v>
      </c>
      <c r="M218" s="62">
        <f t="shared" si="15"/>
        <v>3500.0000000000005</v>
      </c>
      <c r="N218" s="62">
        <f t="shared" si="6"/>
        <v>1092.4369747899161</v>
      </c>
      <c r="O218" s="61">
        <f t="shared" si="7"/>
        <v>0</v>
      </c>
      <c r="P218" s="61">
        <f t="shared" si="8"/>
        <v>2941.1764705882356</v>
      </c>
      <c r="Q218" s="64">
        <f t="shared" si="9"/>
        <v>0.37142857142857144</v>
      </c>
      <c r="R218" s="26">
        <v>3500</v>
      </c>
      <c r="S218" s="12">
        <f>1100/5</f>
        <v>220</v>
      </c>
      <c r="T218" s="40">
        <f>1100*2</f>
        <v>2200</v>
      </c>
      <c r="U218" s="41">
        <v>0</v>
      </c>
      <c r="V218" s="40">
        <f t="shared" si="74"/>
        <v>2200</v>
      </c>
      <c r="W218" s="40">
        <f t="shared" si="62"/>
        <v>1300</v>
      </c>
      <c r="X218" s="8">
        <f t="shared" si="75"/>
        <v>175</v>
      </c>
      <c r="Y218" s="26"/>
      <c r="Z218" s="8" t="str">
        <f t="shared" si="14"/>
        <v>OFERTA 2x Cloro5</v>
      </c>
      <c r="AA218" s="8"/>
    </row>
    <row r="219" spans="1:37" ht="13.2">
      <c r="A219" s="59" t="s">
        <v>76</v>
      </c>
      <c r="B219" s="8" t="str">
        <f t="shared" si="122"/>
        <v>OFERTA 2x Detergente Premium</v>
      </c>
      <c r="C219" s="23" t="s">
        <v>935</v>
      </c>
      <c r="D219" s="61" t="s">
        <v>397</v>
      </c>
      <c r="E219" s="41"/>
      <c r="F219" s="62">
        <v>4352.9411764705883</v>
      </c>
      <c r="G219" s="62">
        <v>0</v>
      </c>
      <c r="H219" s="62">
        <f t="shared" si="94"/>
        <v>4352.9411764705883</v>
      </c>
      <c r="I219" s="62">
        <f t="shared" si="2"/>
        <v>827.05882352941182</v>
      </c>
      <c r="J219" s="63">
        <v>0.20307692307692304</v>
      </c>
      <c r="K219" s="62">
        <f t="shared" si="3"/>
        <v>5462.1848739495799</v>
      </c>
      <c r="L219" s="62">
        <f t="shared" si="4"/>
        <v>1037.8151260504203</v>
      </c>
      <c r="M219" s="62">
        <f t="shared" si="15"/>
        <v>6500</v>
      </c>
      <c r="N219" s="62">
        <f t="shared" si="6"/>
        <v>1109.2436974789916</v>
      </c>
      <c r="O219" s="61">
        <f t="shared" si="7"/>
        <v>0</v>
      </c>
      <c r="P219" s="61">
        <f t="shared" si="8"/>
        <v>5462.1848739495799</v>
      </c>
      <c r="Q219" s="64">
        <f t="shared" si="9"/>
        <v>0.20307692307692304</v>
      </c>
      <c r="R219" s="26">
        <v>6500</v>
      </c>
      <c r="S219" s="12">
        <f>2590*2/10</f>
        <v>518</v>
      </c>
      <c r="T219" s="41">
        <f>2590*2</f>
        <v>5180</v>
      </c>
      <c r="U219" s="41">
        <v>0</v>
      </c>
      <c r="V219" s="40">
        <f t="shared" si="74"/>
        <v>5180</v>
      </c>
      <c r="W219" s="40">
        <f t="shared" si="62"/>
        <v>1320</v>
      </c>
      <c r="X219" s="8">
        <f t="shared" si="75"/>
        <v>325</v>
      </c>
      <c r="Y219" s="26"/>
      <c r="Z219" s="8" t="str">
        <f t="shared" si="14"/>
        <v>OFERTA 2x Detergente Premium</v>
      </c>
      <c r="AA219" s="8"/>
    </row>
    <row r="220" spans="1:37" ht="13.2">
      <c r="A220" s="59" t="s">
        <v>76</v>
      </c>
      <c r="B220" s="8" t="str">
        <f t="shared" si="122"/>
        <v>OFERTA 2x Lavaloza</v>
      </c>
      <c r="C220" s="23" t="s">
        <v>949</v>
      </c>
      <c r="D220" s="61" t="s">
        <v>479</v>
      </c>
      <c r="E220" s="41"/>
      <c r="F220" s="62">
        <v>4957.9831932773113</v>
      </c>
      <c r="G220" s="62">
        <v>0</v>
      </c>
      <c r="H220" s="62">
        <f t="shared" si="94"/>
        <v>4957.9831932773113</v>
      </c>
      <c r="I220" s="62">
        <f t="shared" si="2"/>
        <v>942.01680672268913</v>
      </c>
      <c r="J220" s="63">
        <v>0.26250000000000007</v>
      </c>
      <c r="K220" s="62">
        <f t="shared" si="3"/>
        <v>6722.6890756302537</v>
      </c>
      <c r="L220" s="62">
        <f t="shared" si="4"/>
        <v>1277.3109243697481</v>
      </c>
      <c r="M220" s="62">
        <f t="shared" si="15"/>
        <v>8000.0000000000018</v>
      </c>
      <c r="N220" s="62">
        <f t="shared" si="6"/>
        <v>1764.7058823529424</v>
      </c>
      <c r="O220" s="61">
        <f t="shared" si="7"/>
        <v>0</v>
      </c>
      <c r="P220" s="61">
        <f t="shared" si="8"/>
        <v>6722.6890756302528</v>
      </c>
      <c r="Q220" s="64">
        <f t="shared" si="9"/>
        <v>0.26250000000000007</v>
      </c>
      <c r="R220" s="26">
        <v>8000</v>
      </c>
      <c r="S220" s="12">
        <f>2950/5</f>
        <v>590</v>
      </c>
      <c r="T220" s="40">
        <f>2950*2</f>
        <v>5900</v>
      </c>
      <c r="U220" s="41">
        <v>0</v>
      </c>
      <c r="V220" s="40">
        <f t="shared" si="74"/>
        <v>5900</v>
      </c>
      <c r="W220" s="40">
        <f t="shared" si="62"/>
        <v>2100</v>
      </c>
      <c r="X220" s="8">
        <f t="shared" si="75"/>
        <v>400</v>
      </c>
      <c r="Y220" s="26"/>
      <c r="Z220" s="8" t="str">
        <f t="shared" si="14"/>
        <v>OFERTA 2x Lavaloza</v>
      </c>
      <c r="AA220" s="8"/>
    </row>
    <row r="221" spans="1:37" ht="13.2">
      <c r="A221" s="59" t="s">
        <v>76</v>
      </c>
      <c r="B221" s="8" t="str">
        <f t="shared" si="122"/>
        <v>OFERTA 2x Limpiapiso</v>
      </c>
      <c r="C221" s="23" t="s">
        <v>950</v>
      </c>
      <c r="D221" s="61" t="s">
        <v>463</v>
      </c>
      <c r="E221" s="41"/>
      <c r="F221" s="62">
        <v>2000</v>
      </c>
      <c r="G221" s="62">
        <v>0</v>
      </c>
      <c r="H221" s="62">
        <f t="shared" si="94"/>
        <v>2000</v>
      </c>
      <c r="I221" s="62">
        <f t="shared" si="2"/>
        <v>380</v>
      </c>
      <c r="J221" s="63">
        <v>0.32000000000000006</v>
      </c>
      <c r="K221" s="62">
        <f t="shared" si="3"/>
        <v>2941.1764705882356</v>
      </c>
      <c r="L221" s="62">
        <f t="shared" si="4"/>
        <v>558.82352941176475</v>
      </c>
      <c r="M221" s="62">
        <f t="shared" si="15"/>
        <v>3500.0000000000005</v>
      </c>
      <c r="N221" s="62">
        <f t="shared" si="6"/>
        <v>941.17647058823559</v>
      </c>
      <c r="O221" s="61">
        <f t="shared" si="7"/>
        <v>0</v>
      </c>
      <c r="P221" s="61">
        <f t="shared" si="8"/>
        <v>2941.1764705882356</v>
      </c>
      <c r="Q221" s="64">
        <f t="shared" si="9"/>
        <v>0.32000000000000006</v>
      </c>
      <c r="R221" s="26">
        <v>3500</v>
      </c>
      <c r="S221" s="12">
        <f>1190/5</f>
        <v>238</v>
      </c>
      <c r="T221" s="40">
        <f>1190*2</f>
        <v>2380</v>
      </c>
      <c r="U221" s="41">
        <v>0</v>
      </c>
      <c r="V221" s="40">
        <f t="shared" si="74"/>
        <v>2380</v>
      </c>
      <c r="W221" s="40">
        <f t="shared" si="62"/>
        <v>1120</v>
      </c>
      <c r="X221" s="8">
        <f t="shared" si="75"/>
        <v>175</v>
      </c>
      <c r="Y221" s="26"/>
      <c r="Z221" s="8" t="str">
        <f t="shared" si="14"/>
        <v>OFERTA 2x Limpiapiso</v>
      </c>
      <c r="AA221" s="8"/>
    </row>
    <row r="222" spans="1:37" ht="13.2">
      <c r="A222" s="59" t="s">
        <v>76</v>
      </c>
      <c r="B222" s="8" t="str">
        <f t="shared" si="122"/>
        <v>OFERTA 2x Suavizante</v>
      </c>
      <c r="C222" s="23" t="s">
        <v>1596</v>
      </c>
      <c r="D222" s="61" t="s">
        <v>446</v>
      </c>
      <c r="E222" s="41"/>
      <c r="F222" s="62">
        <v>3512.6050420168067</v>
      </c>
      <c r="G222" s="62">
        <v>0</v>
      </c>
      <c r="H222" s="62">
        <f t="shared" si="94"/>
        <v>3512.6050420168067</v>
      </c>
      <c r="I222" s="62">
        <f t="shared" si="2"/>
        <v>667.39495798319331</v>
      </c>
      <c r="J222" s="63">
        <v>0.24</v>
      </c>
      <c r="K222" s="62">
        <f t="shared" si="3"/>
        <v>4621.8487394957983</v>
      </c>
      <c r="L222" s="62">
        <f t="shared" si="4"/>
        <v>878.15126050420167</v>
      </c>
      <c r="M222" s="62">
        <f t="shared" si="15"/>
        <v>5500</v>
      </c>
      <c r="N222" s="62">
        <f t="shared" si="6"/>
        <v>1109.2436974789916</v>
      </c>
      <c r="O222" s="61">
        <f t="shared" si="7"/>
        <v>0</v>
      </c>
      <c r="P222" s="61">
        <f t="shared" si="8"/>
        <v>4621.8487394957983</v>
      </c>
      <c r="Q222" s="64">
        <f t="shared" si="9"/>
        <v>0.24</v>
      </c>
      <c r="R222" s="26">
        <v>5500</v>
      </c>
      <c r="S222" s="12">
        <f>2090/5</f>
        <v>418</v>
      </c>
      <c r="T222" s="40">
        <f>2090*2</f>
        <v>4180</v>
      </c>
      <c r="U222" s="41">
        <v>0</v>
      </c>
      <c r="V222" s="40">
        <f t="shared" si="74"/>
        <v>4180</v>
      </c>
      <c r="W222" s="40">
        <f t="shared" si="62"/>
        <v>1320</v>
      </c>
      <c r="X222" s="8">
        <f t="shared" si="75"/>
        <v>275</v>
      </c>
      <c r="Y222" s="26"/>
      <c r="Z222" s="8" t="str">
        <f t="shared" si="14"/>
        <v>OFERTA 2x Suavizante</v>
      </c>
      <c r="AA222" s="8"/>
    </row>
    <row r="223" spans="1:37" ht="13.2">
      <c r="A223" s="86" t="s">
        <v>64</v>
      </c>
      <c r="B223" s="17" t="str">
        <f t="shared" ref="B223:B224" si="123">CONCATENATE(C223," / ",E223, " Kilos")</f>
        <v>OFERTA 4 Longanizas VILLABLANCA / 4 Kilos</v>
      </c>
      <c r="C223" s="23" t="s">
        <v>1597</v>
      </c>
      <c r="D223" s="87" t="s">
        <v>64</v>
      </c>
      <c r="E223" s="26">
        <v>4</v>
      </c>
      <c r="F223" s="69">
        <f>5240*4</f>
        <v>20960</v>
      </c>
      <c r="G223" s="69">
        <v>18.487394957983195</v>
      </c>
      <c r="H223" s="69">
        <f t="shared" si="94"/>
        <v>20978.487394957981</v>
      </c>
      <c r="I223" s="69">
        <f t="shared" si="2"/>
        <v>3985.9126050420164</v>
      </c>
      <c r="J223" s="70">
        <v>0.21987000000000001</v>
      </c>
      <c r="K223" s="69">
        <f t="shared" si="3"/>
        <v>26891.014824398473</v>
      </c>
      <c r="L223" s="69">
        <f t="shared" si="4"/>
        <v>5109.2928166357096</v>
      </c>
      <c r="M223" s="69">
        <f t="shared" si="15"/>
        <v>32000.307641034182</v>
      </c>
      <c r="N223" s="69">
        <f t="shared" si="6"/>
        <v>5912.5274294404917</v>
      </c>
      <c r="O223" s="71">
        <f t="shared" si="7"/>
        <v>24000.307641034182</v>
      </c>
      <c r="P223" s="71">
        <f t="shared" si="8"/>
        <v>6722.6890756302528</v>
      </c>
      <c r="Q223" s="72">
        <f t="shared" si="9"/>
        <v>-2.1205499999999993</v>
      </c>
      <c r="R223" s="12">
        <v>8000</v>
      </c>
      <c r="S223" s="12">
        <v>6390</v>
      </c>
      <c r="T223" s="12">
        <f t="shared" ref="T223:T224" si="124">S223</f>
        <v>6390</v>
      </c>
      <c r="U223" s="12">
        <v>22</v>
      </c>
      <c r="V223" s="12">
        <f t="shared" si="74"/>
        <v>6412</v>
      </c>
      <c r="W223" s="12">
        <f t="shared" si="62"/>
        <v>1588</v>
      </c>
      <c r="X223" s="16">
        <f t="shared" si="75"/>
        <v>400</v>
      </c>
      <c r="Y223" s="11"/>
      <c r="Z223" s="17" t="str">
        <f t="shared" si="14"/>
        <v>OFERTA 4 Longanizas VILLABLANCA / 4 Kilos</v>
      </c>
      <c r="AA223" s="13" t="s">
        <v>543</v>
      </c>
      <c r="AB223" s="21">
        <v>-4</v>
      </c>
      <c r="AC223" s="17"/>
      <c r="AD223" s="17"/>
      <c r="AE223" s="17"/>
      <c r="AF223" s="17"/>
      <c r="AG223" s="17"/>
      <c r="AH223" s="17"/>
      <c r="AI223" s="17"/>
      <c r="AJ223" s="17"/>
      <c r="AK223" s="17"/>
    </row>
    <row r="224" spans="1:37" ht="13.2">
      <c r="A224" s="59" t="s">
        <v>64</v>
      </c>
      <c r="B224" s="8" t="str">
        <f t="shared" si="123"/>
        <v>OFERTA 3 Longanizas VILLABLANCA / 3 Kilos</v>
      </c>
      <c r="C224" s="31" t="s">
        <v>1598</v>
      </c>
      <c r="D224" s="61" t="s">
        <v>64</v>
      </c>
      <c r="E224" s="41">
        <v>3</v>
      </c>
      <c r="F224" s="62">
        <f>5240*3</f>
        <v>15720</v>
      </c>
      <c r="G224" s="62">
        <v>18.487394957983195</v>
      </c>
      <c r="H224" s="62">
        <f t="shared" si="94"/>
        <v>15738.487394957983</v>
      </c>
      <c r="I224" s="62">
        <f t="shared" si="2"/>
        <v>2990.3126050420169</v>
      </c>
      <c r="J224" s="63">
        <v>0.21962000000000001</v>
      </c>
      <c r="K224" s="62">
        <f t="shared" si="3"/>
        <v>20167.72264147977</v>
      </c>
      <c r="L224" s="62">
        <f t="shared" si="4"/>
        <v>3831.8673018811564</v>
      </c>
      <c r="M224" s="62">
        <f t="shared" si="15"/>
        <v>23999.589943360927</v>
      </c>
      <c r="N224" s="62">
        <f t="shared" si="6"/>
        <v>4429.2352465217864</v>
      </c>
      <c r="O224" s="61">
        <f t="shared" si="7"/>
        <v>15999.589943360927</v>
      </c>
      <c r="P224" s="61">
        <f t="shared" si="8"/>
        <v>6722.6890756302528</v>
      </c>
      <c r="Q224" s="64">
        <f t="shared" si="9"/>
        <v>-1.3411</v>
      </c>
      <c r="R224" s="41">
        <v>8000</v>
      </c>
      <c r="S224" s="41">
        <v>6390</v>
      </c>
      <c r="T224" s="40">
        <f t="shared" si="124"/>
        <v>6390</v>
      </c>
      <c r="U224" s="41">
        <v>22</v>
      </c>
      <c r="V224" s="40">
        <f t="shared" si="74"/>
        <v>6412</v>
      </c>
      <c r="W224" s="40">
        <f t="shared" si="62"/>
        <v>1588</v>
      </c>
      <c r="X224" s="8">
        <f t="shared" si="75"/>
        <v>400</v>
      </c>
      <c r="Y224" s="26"/>
      <c r="Z224" s="8" t="str">
        <f t="shared" si="14"/>
        <v>OFERTA 3 Longanizas VILLABLANCA / 3 Kilos</v>
      </c>
      <c r="AA224" s="31" t="s">
        <v>543</v>
      </c>
      <c r="AB224" s="31">
        <v>-3</v>
      </c>
    </row>
    <row r="225" spans="1:28" ht="13.2">
      <c r="A225" s="59" t="s">
        <v>53</v>
      </c>
      <c r="B225" s="8" t="str">
        <f>CONCATENATE(C225," / ",E225,"$",M225)</f>
        <v>OFERTA 3 Pack Servilleta SPUM / $4550</v>
      </c>
      <c r="C225" s="82" t="s">
        <v>952</v>
      </c>
      <c r="D225" s="61" t="s">
        <v>381</v>
      </c>
      <c r="E225" s="41"/>
      <c r="F225" s="62">
        <f>S225/1.19</f>
        <v>2218.4873949579833</v>
      </c>
      <c r="G225" s="62">
        <v>0</v>
      </c>
      <c r="H225" s="62">
        <f t="shared" si="94"/>
        <v>2218.4873949579833</v>
      </c>
      <c r="I225" s="62">
        <f t="shared" si="2"/>
        <v>421.51260504201684</v>
      </c>
      <c r="J225" s="63">
        <v>0.41978021978021973</v>
      </c>
      <c r="K225" s="62">
        <f t="shared" si="3"/>
        <v>3823.5294117647059</v>
      </c>
      <c r="L225" s="62">
        <f t="shared" si="4"/>
        <v>726.47058823529414</v>
      </c>
      <c r="M225" s="62">
        <f t="shared" si="15"/>
        <v>4550</v>
      </c>
      <c r="N225" s="62">
        <f t="shared" si="6"/>
        <v>1605.0420168067226</v>
      </c>
      <c r="O225" s="61">
        <f t="shared" si="7"/>
        <v>0</v>
      </c>
      <c r="P225" s="61">
        <f t="shared" si="8"/>
        <v>3823.5294117647059</v>
      </c>
      <c r="Q225" s="64">
        <f t="shared" si="9"/>
        <v>0.41978021978021973</v>
      </c>
      <c r="R225" s="41">
        <v>4550</v>
      </c>
      <c r="S225" s="41">
        <f>880*3</f>
        <v>2640</v>
      </c>
      <c r="T225" s="74"/>
      <c r="U225" s="74"/>
      <c r="V225" s="75">
        <f t="shared" ref="V225:V241" si="125">S225</f>
        <v>2640</v>
      </c>
      <c r="W225" s="40">
        <f t="shared" si="62"/>
        <v>1910</v>
      </c>
      <c r="X225" s="8">
        <f t="shared" si="75"/>
        <v>227.5</v>
      </c>
      <c r="Y225" s="76"/>
      <c r="Z225" s="8" t="str">
        <f t="shared" si="14"/>
        <v>OFERTA 3 Pack Servilleta SPUM / $4550</v>
      </c>
      <c r="AA225" s="31" t="s">
        <v>382</v>
      </c>
    </row>
    <row r="226" spans="1:28" ht="13.2">
      <c r="A226" s="59" t="s">
        <v>53</v>
      </c>
      <c r="B226" s="8" t="str">
        <f t="shared" ref="B226:B227" si="126">CONCATENATE(C226,E226)</f>
        <v>OFERTA 6 Toalla Jumbo AZUL SWAN 100 mts</v>
      </c>
      <c r="C226" s="31" t="s">
        <v>261</v>
      </c>
      <c r="D226" s="31" t="s">
        <v>408</v>
      </c>
      <c r="E226" s="41"/>
      <c r="F226" s="62">
        <v>12176</v>
      </c>
      <c r="G226" s="62">
        <v>0</v>
      </c>
      <c r="H226" s="62">
        <f t="shared" si="94"/>
        <v>12176</v>
      </c>
      <c r="I226" s="62">
        <f t="shared" si="2"/>
        <v>2313.44</v>
      </c>
      <c r="J226" s="63">
        <v>0.25695000000000001</v>
      </c>
      <c r="K226" s="62">
        <f t="shared" si="3"/>
        <v>16386.515039364782</v>
      </c>
      <c r="L226" s="62">
        <f t="shared" si="4"/>
        <v>3113.4378574793086</v>
      </c>
      <c r="M226" s="62">
        <f t="shared" si="15"/>
        <v>19499.95289684409</v>
      </c>
      <c r="N226" s="62">
        <f t="shared" si="6"/>
        <v>4210.5150393647818</v>
      </c>
      <c r="O226" s="61">
        <f t="shared" si="7"/>
        <v>15499.95289684409</v>
      </c>
      <c r="P226" s="61">
        <f t="shared" si="8"/>
        <v>3361.3445378151264</v>
      </c>
      <c r="Q226" s="64">
        <f t="shared" si="9"/>
        <v>-2.6223599999999996</v>
      </c>
      <c r="R226" s="41">
        <v>4000</v>
      </c>
      <c r="S226" s="41">
        <f t="shared" ref="S226:S227" si="127">955*3</f>
        <v>2865</v>
      </c>
      <c r="T226" s="74"/>
      <c r="U226" s="74"/>
      <c r="V226" s="75">
        <f t="shared" si="125"/>
        <v>2865</v>
      </c>
      <c r="W226" s="40">
        <f t="shared" si="62"/>
        <v>1135</v>
      </c>
      <c r="X226" s="8">
        <f t="shared" si="75"/>
        <v>200</v>
      </c>
      <c r="Y226" s="76"/>
      <c r="Z226" s="8" t="str">
        <f t="shared" si="14"/>
        <v>OFERTA 6 Toalla Jumbo AZUL SWAN 100 mts</v>
      </c>
      <c r="AA226" s="31" t="s">
        <v>536</v>
      </c>
      <c r="AB226" s="31">
        <v>-6</v>
      </c>
    </row>
    <row r="227" spans="1:28" ht="13.2">
      <c r="A227" s="59" t="s">
        <v>53</v>
      </c>
      <c r="B227" s="8" t="str">
        <f t="shared" si="126"/>
        <v>OFERTA 8 Toalla NOVA 70 mts</v>
      </c>
      <c r="C227" s="31" t="s">
        <v>274</v>
      </c>
      <c r="D227" s="31" t="s">
        <v>376</v>
      </c>
      <c r="E227" s="41"/>
      <c r="F227" s="62">
        <f>1695*8</f>
        <v>13560</v>
      </c>
      <c r="G227" s="62">
        <v>0</v>
      </c>
      <c r="H227" s="62">
        <f t="shared" si="94"/>
        <v>13560</v>
      </c>
      <c r="I227" s="62">
        <f t="shared" si="2"/>
        <v>2576.4</v>
      </c>
      <c r="J227" s="63">
        <v>0.28283000000000003</v>
      </c>
      <c r="K227" s="62">
        <f t="shared" si="3"/>
        <v>18907.650905643015</v>
      </c>
      <c r="L227" s="62">
        <f t="shared" si="4"/>
        <v>3592.453672072173</v>
      </c>
      <c r="M227" s="62">
        <f t="shared" si="15"/>
        <v>22500.104577715188</v>
      </c>
      <c r="N227" s="62">
        <f t="shared" si="6"/>
        <v>5347.650905643015</v>
      </c>
      <c r="O227" s="61">
        <f t="shared" si="7"/>
        <v>18500.104577715188</v>
      </c>
      <c r="P227" s="61">
        <f t="shared" si="8"/>
        <v>3361.3445378151264</v>
      </c>
      <c r="Q227" s="64">
        <f t="shared" si="9"/>
        <v>-3.0340999999999996</v>
      </c>
      <c r="R227" s="41">
        <v>4000</v>
      </c>
      <c r="S227" s="41">
        <f t="shared" si="127"/>
        <v>2865</v>
      </c>
      <c r="T227" s="74"/>
      <c r="U227" s="74"/>
      <c r="V227" s="75">
        <f t="shared" si="125"/>
        <v>2865</v>
      </c>
      <c r="W227" s="40">
        <f t="shared" si="62"/>
        <v>1135</v>
      </c>
      <c r="X227" s="8">
        <f t="shared" si="75"/>
        <v>200</v>
      </c>
      <c r="Y227" s="76"/>
      <c r="Z227" s="8" t="str">
        <f t="shared" si="14"/>
        <v>OFERTA 8 Toalla NOVA 70 mts</v>
      </c>
      <c r="AA227" s="31" t="s">
        <v>377</v>
      </c>
      <c r="AB227" s="31">
        <v>-8</v>
      </c>
    </row>
    <row r="228" spans="1:28" ht="13.2">
      <c r="A228" s="59" t="s">
        <v>53</v>
      </c>
      <c r="B228" s="8" t="str">
        <f>CONCATENATE(C228," / ",E228," unidades")</f>
        <v>OFERTA CAJA 10 Pack Servilleta / 300 unidades</v>
      </c>
      <c r="C228" s="82" t="s">
        <v>1599</v>
      </c>
      <c r="D228" s="61" t="s">
        <v>381</v>
      </c>
      <c r="E228" s="41">
        <v>300</v>
      </c>
      <c r="F228" s="62">
        <v>7311</v>
      </c>
      <c r="G228" s="62">
        <v>0</v>
      </c>
      <c r="H228" s="62">
        <f t="shared" si="94"/>
        <v>7311</v>
      </c>
      <c r="I228" s="62">
        <f t="shared" si="2"/>
        <v>1389.09</v>
      </c>
      <c r="J228" s="63">
        <v>0.35557</v>
      </c>
      <c r="K228" s="62">
        <f t="shared" si="3"/>
        <v>11344.909454867091</v>
      </c>
      <c r="L228" s="62">
        <f t="shared" si="4"/>
        <v>2155.5327964247472</v>
      </c>
      <c r="M228" s="62">
        <f t="shared" si="15"/>
        <v>13500.442251291839</v>
      </c>
      <c r="N228" s="62">
        <f t="shared" si="6"/>
        <v>4033.909454867091</v>
      </c>
      <c r="O228" s="61">
        <f t="shared" si="7"/>
        <v>11700.442251291839</v>
      </c>
      <c r="P228" s="61">
        <f t="shared" si="8"/>
        <v>1512.6050420168067</v>
      </c>
      <c r="Q228" s="64">
        <f t="shared" si="9"/>
        <v>-3.8333833333333338</v>
      </c>
      <c r="R228" s="41">
        <v>1800</v>
      </c>
      <c r="S228" s="41">
        <v>996</v>
      </c>
      <c r="T228" s="74"/>
      <c r="U228" s="74"/>
      <c r="V228" s="75">
        <f t="shared" si="125"/>
        <v>996</v>
      </c>
      <c r="W228" s="40">
        <f t="shared" si="62"/>
        <v>804</v>
      </c>
      <c r="X228" s="8">
        <f t="shared" si="75"/>
        <v>90</v>
      </c>
      <c r="Y228" s="76"/>
      <c r="Z228" s="8" t="str">
        <f t="shared" si="14"/>
        <v>OFERTA CAJA 10 Pack Servilleta / 300 unidades</v>
      </c>
      <c r="AA228" s="31" t="s">
        <v>382</v>
      </c>
      <c r="AB228" s="31">
        <v>-10</v>
      </c>
    </row>
    <row r="229" spans="1:28" ht="13.2">
      <c r="A229" s="59" t="s">
        <v>53</v>
      </c>
      <c r="B229" s="8" t="str">
        <f t="shared" ref="B229:B230" si="128">CONCATENATE(C229," / ",E229," metros")</f>
        <v>OFERTA Pack 6 Toalla Jumbo OVELLA D/H / 100 metros</v>
      </c>
      <c r="C229" s="31" t="s">
        <v>1600</v>
      </c>
      <c r="D229" s="31" t="s">
        <v>716</v>
      </c>
      <c r="E229" s="41">
        <v>100</v>
      </c>
      <c r="F229" s="62">
        <v>13765</v>
      </c>
      <c r="G229" s="62">
        <v>0</v>
      </c>
      <c r="H229" s="62">
        <f t="shared" si="94"/>
        <v>13765</v>
      </c>
      <c r="I229" s="62">
        <f t="shared" si="2"/>
        <v>2615.35</v>
      </c>
      <c r="J229" s="63">
        <v>0.23813999999999999</v>
      </c>
      <c r="K229" s="62">
        <f t="shared" si="3"/>
        <v>18067.623972908408</v>
      </c>
      <c r="L229" s="62">
        <f t="shared" si="4"/>
        <v>3432.8485548525978</v>
      </c>
      <c r="M229" s="62">
        <f t="shared" si="15"/>
        <v>21500.472527761005</v>
      </c>
      <c r="N229" s="62">
        <f t="shared" si="6"/>
        <v>4302.6239729084082</v>
      </c>
      <c r="O229" s="61">
        <f t="shared" si="7"/>
        <v>8500.472527761005</v>
      </c>
      <c r="P229" s="61">
        <f t="shared" si="8"/>
        <v>10924.36974789916</v>
      </c>
      <c r="Q229" s="64">
        <f t="shared" si="9"/>
        <v>-0.26002692307692299</v>
      </c>
      <c r="R229" s="41">
        <v>13000</v>
      </c>
      <c r="S229" s="41">
        <f t="shared" ref="S229:S230" si="129">1290*6</f>
        <v>7740</v>
      </c>
      <c r="T229" s="74"/>
      <c r="U229" s="74"/>
      <c r="V229" s="75">
        <f t="shared" si="125"/>
        <v>7740</v>
      </c>
      <c r="W229" s="40">
        <f t="shared" si="62"/>
        <v>5260</v>
      </c>
      <c r="X229" s="8">
        <f t="shared" si="75"/>
        <v>650</v>
      </c>
      <c r="Y229" s="76"/>
      <c r="Z229" s="8" t="str">
        <f t="shared" si="14"/>
        <v>OFERTA Pack 6 Toalla Jumbo OVELLA D/H / 100 metros</v>
      </c>
      <c r="AA229" s="31" t="s">
        <v>1045</v>
      </c>
      <c r="AB229" s="31">
        <v>-6</v>
      </c>
    </row>
    <row r="230" spans="1:28" ht="13.2">
      <c r="A230" s="59" t="s">
        <v>53</v>
      </c>
      <c r="B230" s="8" t="str">
        <f t="shared" si="128"/>
        <v>OFERTA Pack 6 Toalla Jumbo SWAN D/H / 100 metros</v>
      </c>
      <c r="C230" s="31" t="s">
        <v>1601</v>
      </c>
      <c r="D230" s="31" t="s">
        <v>408</v>
      </c>
      <c r="E230" s="41">
        <v>100</v>
      </c>
      <c r="F230" s="62">
        <v>10576</v>
      </c>
      <c r="G230" s="62">
        <v>0</v>
      </c>
      <c r="H230" s="62">
        <f t="shared" si="94"/>
        <v>10576</v>
      </c>
      <c r="I230" s="62">
        <f t="shared" si="2"/>
        <v>2009.44</v>
      </c>
      <c r="J230" s="63">
        <v>0.31969999999999998</v>
      </c>
      <c r="K230" s="62">
        <f t="shared" si="3"/>
        <v>15546.082610612964</v>
      </c>
      <c r="L230" s="62">
        <f t="shared" si="4"/>
        <v>2953.7556960164634</v>
      </c>
      <c r="M230" s="62">
        <f t="shared" si="15"/>
        <v>18499.838306629426</v>
      </c>
      <c r="N230" s="62">
        <f t="shared" si="6"/>
        <v>4970.0826106129643</v>
      </c>
      <c r="O230" s="61">
        <f t="shared" si="7"/>
        <v>5499.8383066294264</v>
      </c>
      <c r="P230" s="61">
        <f t="shared" si="8"/>
        <v>10924.36974789916</v>
      </c>
      <c r="Q230" s="64">
        <f t="shared" si="9"/>
        <v>3.1889230769230781E-2</v>
      </c>
      <c r="R230" s="41">
        <v>13000</v>
      </c>
      <c r="S230" s="41">
        <f t="shared" si="129"/>
        <v>7740</v>
      </c>
      <c r="T230" s="74"/>
      <c r="U230" s="74"/>
      <c r="V230" s="75">
        <f t="shared" si="125"/>
        <v>7740</v>
      </c>
      <c r="W230" s="40">
        <f t="shared" si="62"/>
        <v>5260</v>
      </c>
      <c r="X230" s="8">
        <f t="shared" si="75"/>
        <v>650</v>
      </c>
      <c r="Y230" s="76"/>
      <c r="Z230" s="8" t="str">
        <f t="shared" si="14"/>
        <v>OFERTA Pack 6 Toalla Jumbo SWAN D/H / 100 metros</v>
      </c>
      <c r="AA230" s="31" t="s">
        <v>409</v>
      </c>
      <c r="AB230" s="31">
        <v>-6</v>
      </c>
    </row>
    <row r="231" spans="1:28" ht="13.2">
      <c r="A231" s="59" t="s">
        <v>53</v>
      </c>
      <c r="B231" s="8" t="str">
        <f t="shared" ref="B231:B253" si="130">CONCATENATE(C231,E231)</f>
        <v xml:space="preserve">OFERTA Papel Higiénico ELITE 24 rollos </v>
      </c>
      <c r="C231" s="31" t="s">
        <v>97</v>
      </c>
      <c r="D231" s="61" t="s">
        <v>366</v>
      </c>
      <c r="E231" s="41"/>
      <c r="F231" s="62">
        <v>10834</v>
      </c>
      <c r="G231" s="62">
        <v>0</v>
      </c>
      <c r="H231" s="62">
        <f t="shared" si="94"/>
        <v>10834</v>
      </c>
      <c r="I231" s="62">
        <f t="shared" si="2"/>
        <v>2058.46</v>
      </c>
      <c r="J231" s="63">
        <v>0.21865000000000001</v>
      </c>
      <c r="K231" s="62">
        <f t="shared" si="3"/>
        <v>13865.745184616369</v>
      </c>
      <c r="L231" s="62">
        <f t="shared" si="4"/>
        <v>2634.4915850771104</v>
      </c>
      <c r="M231" s="62">
        <f t="shared" si="15"/>
        <v>16500.236769693482</v>
      </c>
      <c r="N231" s="62">
        <f t="shared" si="6"/>
        <v>3031.7451846163694</v>
      </c>
      <c r="O231" s="61">
        <f t="shared" si="7"/>
        <v>1510.2367696934816</v>
      </c>
      <c r="P231" s="61">
        <f t="shared" si="8"/>
        <v>12596.638655462186</v>
      </c>
      <c r="Q231" s="64">
        <f t="shared" si="9"/>
        <v>0.13992928619079392</v>
      </c>
      <c r="R231" s="41">
        <v>14990</v>
      </c>
      <c r="S231" s="41">
        <v>11688</v>
      </c>
      <c r="T231" s="74"/>
      <c r="U231" s="74"/>
      <c r="V231" s="75">
        <f t="shared" si="125"/>
        <v>11688</v>
      </c>
      <c r="W231" s="40">
        <f t="shared" si="62"/>
        <v>3302</v>
      </c>
      <c r="X231" s="8">
        <f t="shared" si="75"/>
        <v>749.5</v>
      </c>
      <c r="Y231" s="76"/>
      <c r="Z231" s="8" t="str">
        <f t="shared" si="14"/>
        <v xml:space="preserve">OFERTA Papel Higiénico ELITE 24 rollos </v>
      </c>
      <c r="AA231" s="31" t="s">
        <v>368</v>
      </c>
      <c r="AB231" s="31">
        <v>-6</v>
      </c>
    </row>
    <row r="232" spans="1:28" ht="13.2">
      <c r="A232" s="59" t="s">
        <v>53</v>
      </c>
      <c r="B232" s="8" t="str">
        <f t="shared" si="130"/>
        <v xml:space="preserve">OFERTA Papel Higiénico ELITE 32 rollos </v>
      </c>
      <c r="C232" s="31" t="s">
        <v>55</v>
      </c>
      <c r="D232" s="61" t="s">
        <v>366</v>
      </c>
      <c r="E232" s="41"/>
      <c r="F232" s="62">
        <v>14445</v>
      </c>
      <c r="G232" s="62">
        <v>0</v>
      </c>
      <c r="H232" s="62">
        <f t="shared" si="94"/>
        <v>14445</v>
      </c>
      <c r="I232" s="62">
        <f t="shared" si="2"/>
        <v>2744.55</v>
      </c>
      <c r="J232" s="63">
        <v>0.17752999999999999</v>
      </c>
      <c r="K232" s="62">
        <f t="shared" si="3"/>
        <v>17562.950624338882</v>
      </c>
      <c r="L232" s="62">
        <f t="shared" si="4"/>
        <v>3336.9606186243877</v>
      </c>
      <c r="M232" s="62">
        <f t="shared" si="15"/>
        <v>20899.91124296327</v>
      </c>
      <c r="N232" s="62">
        <f t="shared" si="6"/>
        <v>3117.9506243388823</v>
      </c>
      <c r="O232" s="61">
        <f t="shared" si="7"/>
        <v>909.91124296326961</v>
      </c>
      <c r="P232" s="61">
        <f t="shared" si="8"/>
        <v>16798.319327731093</v>
      </c>
      <c r="Q232" s="64">
        <f t="shared" si="9"/>
        <v>0.14009254627313661</v>
      </c>
      <c r="R232" s="41">
        <v>19990</v>
      </c>
      <c r="S232" s="41">
        <f>15584</f>
        <v>15584</v>
      </c>
      <c r="T232" s="74"/>
      <c r="U232" s="74"/>
      <c r="V232" s="75">
        <f t="shared" si="125"/>
        <v>15584</v>
      </c>
      <c r="W232" s="40">
        <f t="shared" si="62"/>
        <v>4406</v>
      </c>
      <c r="X232" s="8">
        <f t="shared" si="75"/>
        <v>999.5</v>
      </c>
      <c r="Y232" s="76"/>
      <c r="Z232" s="8" t="str">
        <f t="shared" si="14"/>
        <v xml:space="preserve">OFERTA Papel Higiénico ELITE 32 rollos </v>
      </c>
      <c r="AA232" s="31" t="s">
        <v>368</v>
      </c>
      <c r="AB232" s="31">
        <v>-8</v>
      </c>
    </row>
    <row r="233" spans="1:28" ht="13.2">
      <c r="A233" s="59" t="s">
        <v>53</v>
      </c>
      <c r="B233" s="8" t="str">
        <f t="shared" si="130"/>
        <v xml:space="preserve">OFERTA Papel Higiénico SWAN 400 d/h 24 rollos </v>
      </c>
      <c r="C233" s="31" t="s">
        <v>317</v>
      </c>
      <c r="D233" s="61" t="s">
        <v>435</v>
      </c>
      <c r="E233" s="41"/>
      <c r="F233" s="62">
        <f>1040*6</f>
        <v>6240</v>
      </c>
      <c r="G233" s="62">
        <v>0</v>
      </c>
      <c r="H233" s="62">
        <f t="shared" si="94"/>
        <v>6240</v>
      </c>
      <c r="I233" s="62">
        <f t="shared" si="2"/>
        <v>1185.5999999999999</v>
      </c>
      <c r="J233" s="63">
        <v>0.40593000000000001</v>
      </c>
      <c r="K233" s="62">
        <f t="shared" si="3"/>
        <v>10503.81268200717</v>
      </c>
      <c r="L233" s="62">
        <f t="shared" si="4"/>
        <v>1995.7244095813624</v>
      </c>
      <c r="M233" s="62">
        <f t="shared" si="15"/>
        <v>12499.537091588532</v>
      </c>
      <c r="N233" s="62">
        <f t="shared" si="6"/>
        <v>4263.8126820071702</v>
      </c>
      <c r="O233" s="61">
        <f t="shared" si="7"/>
        <v>1509.5370915885323</v>
      </c>
      <c r="P233" s="61">
        <f t="shared" si="8"/>
        <v>9235.2941176470595</v>
      </c>
      <c r="Q233" s="64">
        <f t="shared" si="9"/>
        <v>0.3243312101910828</v>
      </c>
      <c r="R233" s="41">
        <v>10990</v>
      </c>
      <c r="S233" s="41">
        <f>1222*6</f>
        <v>7332</v>
      </c>
      <c r="T233" s="74"/>
      <c r="U233" s="74"/>
      <c r="V233" s="75">
        <f t="shared" si="125"/>
        <v>7332</v>
      </c>
      <c r="W233" s="40">
        <f t="shared" si="62"/>
        <v>3658</v>
      </c>
      <c r="X233" s="8">
        <f t="shared" si="75"/>
        <v>549.5</v>
      </c>
      <c r="Y233" s="76"/>
      <c r="Z233" s="8" t="str">
        <f t="shared" si="14"/>
        <v xml:space="preserve">OFERTA Papel Higiénico SWAN 400 d/h 24 rollos </v>
      </c>
      <c r="AA233" s="31" t="s">
        <v>436</v>
      </c>
      <c r="AB233" s="31">
        <v>-6</v>
      </c>
    </row>
    <row r="234" spans="1:28" ht="13.2">
      <c r="A234" s="59" t="s">
        <v>53</v>
      </c>
      <c r="B234" s="8" t="str">
        <f t="shared" si="130"/>
        <v xml:space="preserve">OFERTA Papel Higiénico SWAN 400 d/h 32 rollos </v>
      </c>
      <c r="C234" s="31" t="s">
        <v>192</v>
      </c>
      <c r="D234" s="61" t="s">
        <v>435</v>
      </c>
      <c r="E234" s="41"/>
      <c r="F234" s="62">
        <f>1040*8</f>
        <v>8320</v>
      </c>
      <c r="G234" s="62">
        <v>0</v>
      </c>
      <c r="H234" s="62">
        <f t="shared" si="94"/>
        <v>8320</v>
      </c>
      <c r="I234" s="62">
        <f t="shared" si="2"/>
        <v>1580.8</v>
      </c>
      <c r="J234" s="63">
        <v>0.38119999999999998</v>
      </c>
      <c r="K234" s="62">
        <f t="shared" si="3"/>
        <v>13445.378151260504</v>
      </c>
      <c r="L234" s="62">
        <f t="shared" si="4"/>
        <v>2554.6218487394958</v>
      </c>
      <c r="M234" s="62">
        <f t="shared" si="15"/>
        <v>16000</v>
      </c>
      <c r="N234" s="62">
        <f t="shared" si="6"/>
        <v>5125.3781512605037</v>
      </c>
      <c r="O234" s="61">
        <f t="shared" si="7"/>
        <v>10</v>
      </c>
      <c r="P234" s="61">
        <f t="shared" si="8"/>
        <v>13436.974789915967</v>
      </c>
      <c r="Q234" s="64">
        <f t="shared" si="9"/>
        <v>0.38081300813008134</v>
      </c>
      <c r="R234" s="41">
        <v>15990</v>
      </c>
      <c r="S234" s="41">
        <f t="shared" ref="S234:S235" si="131">1222*8</f>
        <v>9776</v>
      </c>
      <c r="T234" s="74"/>
      <c r="U234" s="74"/>
      <c r="V234" s="75">
        <f t="shared" si="125"/>
        <v>9776</v>
      </c>
      <c r="W234" s="40">
        <f t="shared" si="62"/>
        <v>6214</v>
      </c>
      <c r="X234" s="8">
        <f t="shared" si="75"/>
        <v>799.5</v>
      </c>
      <c r="Y234" s="76"/>
      <c r="Z234" s="8" t="str">
        <f t="shared" si="14"/>
        <v xml:space="preserve">OFERTA Papel Higiénico SWAN 400 d/h 32 rollos </v>
      </c>
      <c r="AA234" s="31" t="s">
        <v>436</v>
      </c>
      <c r="AB234" s="31">
        <v>-8</v>
      </c>
    </row>
    <row r="235" spans="1:28" ht="13.2">
      <c r="A235" s="59" t="s">
        <v>53</v>
      </c>
      <c r="B235" s="8" t="str">
        <f t="shared" si="130"/>
        <v xml:space="preserve">OFERTA Papel Higiénico SWAN 400 d/h 40 rollos </v>
      </c>
      <c r="C235" s="31" t="s">
        <v>221</v>
      </c>
      <c r="D235" s="61" t="s">
        <v>435</v>
      </c>
      <c r="E235" s="41"/>
      <c r="F235" s="62">
        <f>12378/1.19</f>
        <v>10401.680672268909</v>
      </c>
      <c r="G235" s="62">
        <v>0</v>
      </c>
      <c r="H235" s="62">
        <f t="shared" si="94"/>
        <v>10401.680672268909</v>
      </c>
      <c r="I235" s="62">
        <f t="shared" si="2"/>
        <v>1976.3193277310927</v>
      </c>
      <c r="J235" s="63">
        <v>0.36523</v>
      </c>
      <c r="K235" s="62">
        <f t="shared" si="3"/>
        <v>16386.534764196334</v>
      </c>
      <c r="L235" s="62">
        <f t="shared" si="4"/>
        <v>3113.4416051973035</v>
      </c>
      <c r="M235" s="62">
        <f t="shared" si="15"/>
        <v>19499.976369393637</v>
      </c>
      <c r="N235" s="62">
        <f t="shared" si="6"/>
        <v>5984.8540919274255</v>
      </c>
      <c r="O235" s="61">
        <f t="shared" si="7"/>
        <v>3509.9763693936366</v>
      </c>
      <c r="P235" s="61">
        <f t="shared" si="8"/>
        <v>13436.974789915967</v>
      </c>
      <c r="Q235" s="64">
        <f t="shared" si="9"/>
        <v>0.22589118198874292</v>
      </c>
      <c r="R235" s="41">
        <v>15990</v>
      </c>
      <c r="S235" s="41">
        <f t="shared" si="131"/>
        <v>9776</v>
      </c>
      <c r="T235" s="74"/>
      <c r="U235" s="74"/>
      <c r="V235" s="75">
        <f t="shared" si="125"/>
        <v>9776</v>
      </c>
      <c r="W235" s="40">
        <f t="shared" si="62"/>
        <v>6214</v>
      </c>
      <c r="X235" s="8">
        <f t="shared" si="75"/>
        <v>799.5</v>
      </c>
      <c r="Y235" s="76"/>
      <c r="Z235" s="8" t="str">
        <f t="shared" si="14"/>
        <v xml:space="preserve">OFERTA Papel Higiénico SWAN 400 d/h 40 rollos </v>
      </c>
      <c r="AA235" s="31" t="s">
        <v>436</v>
      </c>
      <c r="AB235" s="31">
        <v>-10</v>
      </c>
    </row>
    <row r="236" spans="1:28" ht="13.2">
      <c r="A236" s="59" t="s">
        <v>53</v>
      </c>
      <c r="B236" s="8" t="str">
        <f t="shared" si="130"/>
        <v xml:space="preserve">OFERTA Papel Higiénico SWAN 50 mts d/h 24 rollos </v>
      </c>
      <c r="C236" s="60" t="s">
        <v>243</v>
      </c>
      <c r="D236" s="61" t="s">
        <v>435</v>
      </c>
      <c r="E236" s="41"/>
      <c r="F236" s="62">
        <f>1559*6</f>
        <v>9354</v>
      </c>
      <c r="G236" s="62">
        <v>0</v>
      </c>
      <c r="H236" s="62">
        <f t="shared" si="94"/>
        <v>9354</v>
      </c>
      <c r="I236" s="62">
        <f t="shared" si="2"/>
        <v>1777.26</v>
      </c>
      <c r="J236" s="63">
        <v>0.28186</v>
      </c>
      <c r="K236" s="62">
        <f t="shared" si="3"/>
        <v>13025.315398111788</v>
      </c>
      <c r="L236" s="62">
        <f t="shared" si="4"/>
        <v>2474.8099256412397</v>
      </c>
      <c r="M236" s="62">
        <f t="shared" si="15"/>
        <v>15500.125323753029</v>
      </c>
      <c r="N236" s="62">
        <f t="shared" si="6"/>
        <v>3671.3153981117885</v>
      </c>
      <c r="O236" s="61">
        <f t="shared" si="7"/>
        <v>1510.1253237530291</v>
      </c>
      <c r="P236" s="61">
        <f t="shared" si="8"/>
        <v>11756.302521008403</v>
      </c>
      <c r="Q236" s="64">
        <f t="shared" si="9"/>
        <v>0.20434167262330238</v>
      </c>
      <c r="R236" s="65">
        <v>13990</v>
      </c>
      <c r="S236" s="41">
        <f>1762*6</f>
        <v>10572</v>
      </c>
      <c r="T236" s="74"/>
      <c r="U236" s="74"/>
      <c r="V236" s="75">
        <f t="shared" si="125"/>
        <v>10572</v>
      </c>
      <c r="W236" s="40">
        <f t="shared" si="62"/>
        <v>3418</v>
      </c>
      <c r="X236" s="8">
        <f t="shared" si="75"/>
        <v>699.5</v>
      </c>
      <c r="Y236" s="76"/>
      <c r="Z236" s="8" t="str">
        <f t="shared" si="14"/>
        <v xml:space="preserve">OFERTA Papel Higiénico SWAN 50 mts d/h 24 rollos </v>
      </c>
      <c r="AA236" s="31" t="s">
        <v>1044</v>
      </c>
      <c r="AB236" s="31">
        <v>-6</v>
      </c>
    </row>
    <row r="237" spans="1:28" ht="13.2">
      <c r="A237" s="59" t="s">
        <v>53</v>
      </c>
      <c r="B237" s="8" t="str">
        <f t="shared" si="130"/>
        <v>OFERTA Papel Higiénico SWAN 50 mts d/h 32 rollos</v>
      </c>
      <c r="C237" s="31" t="s">
        <v>163</v>
      </c>
      <c r="D237" s="61" t="s">
        <v>435</v>
      </c>
      <c r="E237" s="41"/>
      <c r="F237" s="62">
        <f>14838/1.19</f>
        <v>12468.90756302521</v>
      </c>
      <c r="G237" s="62">
        <v>0</v>
      </c>
      <c r="H237" s="62">
        <f t="shared" si="94"/>
        <v>12468.90756302521</v>
      </c>
      <c r="I237" s="62">
        <f t="shared" si="2"/>
        <v>2369.09243697479</v>
      </c>
      <c r="J237" s="63">
        <v>0.25438</v>
      </c>
      <c r="K237" s="62">
        <f t="shared" si="3"/>
        <v>16722.87165449587</v>
      </c>
      <c r="L237" s="62">
        <f t="shared" si="4"/>
        <v>3177.3456143542153</v>
      </c>
      <c r="M237" s="62">
        <f t="shared" si="15"/>
        <v>19900.217268850087</v>
      </c>
      <c r="N237" s="62">
        <f t="shared" si="6"/>
        <v>4253.9640914706597</v>
      </c>
      <c r="O237" s="61">
        <f t="shared" si="7"/>
        <v>910.21726885008684</v>
      </c>
      <c r="P237" s="61">
        <f t="shared" si="8"/>
        <v>15957.983193277312</v>
      </c>
      <c r="Q237" s="64">
        <f t="shared" si="9"/>
        <v>0.21864139020537132</v>
      </c>
      <c r="R237" s="41">
        <v>18990</v>
      </c>
      <c r="S237" s="41">
        <f>1762*8</f>
        <v>14096</v>
      </c>
      <c r="T237" s="74"/>
      <c r="U237" s="74"/>
      <c r="V237" s="75">
        <f t="shared" si="125"/>
        <v>14096</v>
      </c>
      <c r="W237" s="40">
        <f t="shared" si="62"/>
        <v>4894</v>
      </c>
      <c r="X237" s="8">
        <f t="shared" si="75"/>
        <v>949.5</v>
      </c>
      <c r="Y237" s="76"/>
      <c r="Z237" s="8" t="str">
        <f t="shared" si="14"/>
        <v>OFERTA Papel Higiénico SWAN 50 mts d/h 32 rollos</v>
      </c>
      <c r="AA237" s="31" t="s">
        <v>1044</v>
      </c>
      <c r="AB237" s="31">
        <v>-8</v>
      </c>
    </row>
    <row r="238" spans="1:28" ht="13.2">
      <c r="A238" s="59" t="s">
        <v>53</v>
      </c>
      <c r="B238" s="8" t="str">
        <f t="shared" si="130"/>
        <v xml:space="preserve">OFERTA Toalla NOVA MANGA 12 rollos </v>
      </c>
      <c r="C238" s="31" t="s">
        <v>1602</v>
      </c>
      <c r="D238" s="31" t="s">
        <v>369</v>
      </c>
      <c r="E238" s="41"/>
      <c r="F238" s="62">
        <f t="shared" ref="F238:F241" si="132">S238/1.19</f>
        <v>3210.0840336134456</v>
      </c>
      <c r="G238" s="62">
        <v>0</v>
      </c>
      <c r="H238" s="62">
        <f t="shared" si="94"/>
        <v>3210.0840336134456</v>
      </c>
      <c r="I238" s="62">
        <f t="shared" si="2"/>
        <v>609.91596638655471</v>
      </c>
      <c r="J238" s="63">
        <v>0.26538461538461544</v>
      </c>
      <c r="K238" s="62">
        <f t="shared" si="3"/>
        <v>4369.7478991596645</v>
      </c>
      <c r="L238" s="62">
        <f t="shared" si="4"/>
        <v>830.25210084033631</v>
      </c>
      <c r="M238" s="62">
        <f t="shared" si="15"/>
        <v>5200.0000000000009</v>
      </c>
      <c r="N238" s="62">
        <f t="shared" si="6"/>
        <v>1159.6638655462189</v>
      </c>
      <c r="O238" s="61">
        <f t="shared" si="7"/>
        <v>0</v>
      </c>
      <c r="P238" s="61">
        <f t="shared" si="8"/>
        <v>4369.7478991596645</v>
      </c>
      <c r="Q238" s="64">
        <f t="shared" si="9"/>
        <v>0.26538461538461544</v>
      </c>
      <c r="R238" s="41">
        <v>5200</v>
      </c>
      <c r="S238" s="41">
        <f>955*4</f>
        <v>3820</v>
      </c>
      <c r="T238" s="74"/>
      <c r="U238" s="74"/>
      <c r="V238" s="75">
        <f t="shared" si="125"/>
        <v>3820</v>
      </c>
      <c r="W238" s="40">
        <f t="shared" si="62"/>
        <v>1380</v>
      </c>
      <c r="X238" s="8">
        <f t="shared" si="75"/>
        <v>260</v>
      </c>
      <c r="Y238" s="76"/>
      <c r="Z238" s="8" t="str">
        <f t="shared" si="14"/>
        <v xml:space="preserve">OFERTA Toalla NOVA MANGA 12 rollos </v>
      </c>
      <c r="AA238" s="31" t="s">
        <v>370</v>
      </c>
      <c r="AB238" s="31">
        <v>-3</v>
      </c>
    </row>
    <row r="239" spans="1:28" ht="13.2">
      <c r="A239" s="59" t="s">
        <v>53</v>
      </c>
      <c r="B239" s="8" t="str">
        <f t="shared" si="130"/>
        <v xml:space="preserve">OFERTA Toalla NOVA MANGA 24 rollos </v>
      </c>
      <c r="C239" s="31" t="s">
        <v>1603</v>
      </c>
      <c r="D239" s="31" t="s">
        <v>369</v>
      </c>
      <c r="E239" s="41"/>
      <c r="F239" s="62">
        <f t="shared" si="132"/>
        <v>6420.1680672268913</v>
      </c>
      <c r="G239" s="62">
        <v>0</v>
      </c>
      <c r="H239" s="62">
        <f t="shared" si="94"/>
        <v>6420.1680672268913</v>
      </c>
      <c r="I239" s="62">
        <f t="shared" si="2"/>
        <v>1219.8319327731094</v>
      </c>
      <c r="J239" s="63">
        <v>0.2282828282828282</v>
      </c>
      <c r="K239" s="62">
        <f t="shared" si="3"/>
        <v>8319.3277310924368</v>
      </c>
      <c r="L239" s="62">
        <f t="shared" si="4"/>
        <v>1580.672268907563</v>
      </c>
      <c r="M239" s="62">
        <f t="shared" si="15"/>
        <v>9900</v>
      </c>
      <c r="N239" s="62">
        <f t="shared" si="6"/>
        <v>1899.1596638655456</v>
      </c>
      <c r="O239" s="61">
        <f t="shared" si="7"/>
        <v>0</v>
      </c>
      <c r="P239" s="61">
        <f t="shared" si="8"/>
        <v>8319.3277310924368</v>
      </c>
      <c r="Q239" s="64">
        <f t="shared" si="9"/>
        <v>0.2282828282828282</v>
      </c>
      <c r="R239" s="41">
        <v>9900</v>
      </c>
      <c r="S239" s="41">
        <f>955*8</f>
        <v>7640</v>
      </c>
      <c r="T239" s="74"/>
      <c r="U239" s="74"/>
      <c r="V239" s="75">
        <f t="shared" si="125"/>
        <v>7640</v>
      </c>
      <c r="W239" s="40">
        <f t="shared" si="62"/>
        <v>2260</v>
      </c>
      <c r="X239" s="8">
        <f t="shared" si="75"/>
        <v>495</v>
      </c>
      <c r="Y239" s="76"/>
      <c r="Z239" s="8" t="str">
        <f t="shared" si="14"/>
        <v xml:space="preserve">OFERTA Toalla NOVA MANGA 24 rollos </v>
      </c>
      <c r="AA239" s="31" t="s">
        <v>370</v>
      </c>
      <c r="AB239" s="31">
        <v>-8</v>
      </c>
    </row>
    <row r="240" spans="1:28" ht="13.2">
      <c r="A240" s="59" t="s">
        <v>53</v>
      </c>
      <c r="B240" s="8" t="str">
        <f t="shared" si="130"/>
        <v xml:space="preserve">OFERTA Toalla NOVA MANGA 9 rollos </v>
      </c>
      <c r="C240" s="31" t="s">
        <v>1604</v>
      </c>
      <c r="D240" s="31" t="s">
        <v>369</v>
      </c>
      <c r="E240" s="41"/>
      <c r="F240" s="62">
        <f t="shared" si="132"/>
        <v>2407.5630252100841</v>
      </c>
      <c r="G240" s="62">
        <v>0</v>
      </c>
      <c r="H240" s="62">
        <f t="shared" si="94"/>
        <v>2407.5630252100841</v>
      </c>
      <c r="I240" s="62">
        <f t="shared" si="2"/>
        <v>457.43697478991601</v>
      </c>
      <c r="J240" s="63">
        <v>0.30121951219512189</v>
      </c>
      <c r="K240" s="62">
        <f t="shared" si="3"/>
        <v>3445.3781512605042</v>
      </c>
      <c r="L240" s="62">
        <f t="shared" si="4"/>
        <v>654.62184873949582</v>
      </c>
      <c r="M240" s="62">
        <f t="shared" si="15"/>
        <v>4100</v>
      </c>
      <c r="N240" s="62">
        <f t="shared" si="6"/>
        <v>1037.8151260504201</v>
      </c>
      <c r="O240" s="61">
        <f t="shared" si="7"/>
        <v>0</v>
      </c>
      <c r="P240" s="61">
        <f t="shared" si="8"/>
        <v>3445.3781512605042</v>
      </c>
      <c r="Q240" s="64">
        <f t="shared" si="9"/>
        <v>0.30121951219512189</v>
      </c>
      <c r="R240" s="41">
        <v>4100</v>
      </c>
      <c r="S240" s="41">
        <f>955*3</f>
        <v>2865</v>
      </c>
      <c r="T240" s="74"/>
      <c r="U240" s="74"/>
      <c r="V240" s="75">
        <f t="shared" si="125"/>
        <v>2865</v>
      </c>
      <c r="W240" s="40">
        <f t="shared" si="62"/>
        <v>1235</v>
      </c>
      <c r="X240" s="8">
        <f t="shared" si="75"/>
        <v>205</v>
      </c>
      <c r="Y240" s="76"/>
      <c r="Z240" s="8" t="str">
        <f t="shared" si="14"/>
        <v xml:space="preserve">OFERTA Toalla NOVA MANGA 9 rollos </v>
      </c>
      <c r="AA240" s="31" t="s">
        <v>370</v>
      </c>
      <c r="AB240" s="31">
        <v>-3</v>
      </c>
    </row>
    <row r="241" spans="1:28" ht="13.2">
      <c r="A241" s="59" t="s">
        <v>53</v>
      </c>
      <c r="B241" s="8" t="str">
        <f t="shared" si="130"/>
        <v>OFERTA Toalla Papel SWAN MANGA 24 rollos</v>
      </c>
      <c r="C241" s="31" t="s">
        <v>794</v>
      </c>
      <c r="D241" s="31" t="s">
        <v>727</v>
      </c>
      <c r="E241" s="40"/>
      <c r="F241" s="62">
        <f t="shared" si="132"/>
        <v>5136.134453781513</v>
      </c>
      <c r="G241" s="62">
        <v>0</v>
      </c>
      <c r="H241" s="62">
        <f t="shared" si="94"/>
        <v>5136.134453781513</v>
      </c>
      <c r="I241" s="62">
        <f t="shared" si="2"/>
        <v>975.86554621848745</v>
      </c>
      <c r="J241" s="63">
        <v>0.33563999999999999</v>
      </c>
      <c r="K241" s="62">
        <f t="shared" si="3"/>
        <v>7730.9507703376366</v>
      </c>
      <c r="L241" s="62">
        <f t="shared" si="4"/>
        <v>1468.8806463641511</v>
      </c>
      <c r="M241" s="62">
        <f t="shared" si="15"/>
        <v>9199.831416701787</v>
      </c>
      <c r="N241" s="62">
        <f t="shared" si="6"/>
        <v>2594.8163165561236</v>
      </c>
      <c r="O241" s="61">
        <f t="shared" si="7"/>
        <v>-300.16858329821298</v>
      </c>
      <c r="P241" s="61">
        <f t="shared" si="8"/>
        <v>7983.1932773109247</v>
      </c>
      <c r="Q241" s="64">
        <f t="shared" si="9"/>
        <v>0.35663157894736841</v>
      </c>
      <c r="R241" s="41">
        <v>9500</v>
      </c>
      <c r="S241" s="41">
        <f>764*8</f>
        <v>6112</v>
      </c>
      <c r="T241" s="74"/>
      <c r="U241" s="74"/>
      <c r="V241" s="75">
        <f t="shared" si="125"/>
        <v>6112</v>
      </c>
      <c r="W241" s="40">
        <f t="shared" si="62"/>
        <v>3388</v>
      </c>
      <c r="X241" s="8">
        <f t="shared" si="75"/>
        <v>475</v>
      </c>
      <c r="Y241" s="76"/>
      <c r="Z241" s="8" t="str">
        <f t="shared" si="14"/>
        <v>OFERTA Toalla Papel SWAN MANGA 24 rollos</v>
      </c>
      <c r="AA241" s="31" t="s">
        <v>1052</v>
      </c>
      <c r="AB241" s="31">
        <v>-8</v>
      </c>
    </row>
    <row r="242" spans="1:28" ht="13.2">
      <c r="A242" s="59" t="s">
        <v>47</v>
      </c>
      <c r="B242" s="8" t="str">
        <f t="shared" si="130"/>
        <v>Pack  3 Jabon  Teddy - 750 ml</v>
      </c>
      <c r="C242" s="23" t="s">
        <v>676</v>
      </c>
      <c r="D242" s="41" t="s">
        <v>384</v>
      </c>
      <c r="E242" s="40"/>
      <c r="F242" s="62">
        <f>664*3</f>
        <v>1992</v>
      </c>
      <c r="G242" s="62">
        <v>0</v>
      </c>
      <c r="H242" s="62">
        <f t="shared" si="94"/>
        <v>1992</v>
      </c>
      <c r="I242" s="62">
        <f t="shared" si="2"/>
        <v>378.48</v>
      </c>
      <c r="J242" s="63">
        <v>0.40739999999999998</v>
      </c>
      <c r="K242" s="62">
        <f t="shared" si="3"/>
        <v>3361.4579817752278</v>
      </c>
      <c r="L242" s="62">
        <f t="shared" si="4"/>
        <v>638.6770165372933</v>
      </c>
      <c r="M242" s="62">
        <f t="shared" si="15"/>
        <v>4000.134998312521</v>
      </c>
      <c r="N242" s="62">
        <f t="shared" si="6"/>
        <v>1369.4579817752278</v>
      </c>
      <c r="O242" s="61">
        <f t="shared" si="7"/>
        <v>-499.86500168747898</v>
      </c>
      <c r="P242" s="61">
        <f t="shared" si="8"/>
        <v>3781.5126050420172</v>
      </c>
      <c r="Q242" s="64">
        <f t="shared" si="9"/>
        <v>0.47322666666666668</v>
      </c>
      <c r="R242" s="41">
        <v>4500</v>
      </c>
      <c r="S242" s="41">
        <f>1108*3</f>
        <v>3324</v>
      </c>
      <c r="T242" s="41">
        <f>S242</f>
        <v>3324</v>
      </c>
      <c r="U242" s="41">
        <v>0</v>
      </c>
      <c r="V242" s="40">
        <f>T242+U242</f>
        <v>3324</v>
      </c>
      <c r="W242" s="40">
        <f t="shared" si="62"/>
        <v>1176</v>
      </c>
      <c r="X242" s="8">
        <f t="shared" si="75"/>
        <v>225</v>
      </c>
      <c r="Y242" s="26"/>
      <c r="Z242" s="8" t="str">
        <f t="shared" si="14"/>
        <v>Pack  3 Jabon  Teddy - 750 ml</v>
      </c>
      <c r="AA242" s="31" t="s">
        <v>404</v>
      </c>
      <c r="AB242" s="31">
        <v>-3</v>
      </c>
    </row>
    <row r="243" spans="1:28" ht="13.2">
      <c r="A243" s="59" t="s">
        <v>53</v>
      </c>
      <c r="B243" s="8" t="str">
        <f t="shared" si="130"/>
        <v>Pack 0: 3 Toalla  Spum/ 12 PH Regio/ 1 servilleta</v>
      </c>
      <c r="C243" s="31" t="s">
        <v>979</v>
      </c>
      <c r="D243" s="61" t="str">
        <f t="shared" ref="D243:D244" si="133">C243</f>
        <v>Pack 0: 3 Toalla  Spum/ 12 PH Regio/ 1 servilleta</v>
      </c>
      <c r="E243" s="41"/>
      <c r="F243" s="62">
        <f t="shared" ref="F243:F244" si="134">S243/1.19</f>
        <v>3293.2773109243699</v>
      </c>
      <c r="G243" s="62">
        <v>0</v>
      </c>
      <c r="H243" s="62">
        <f t="shared" si="94"/>
        <v>3293.2773109243699</v>
      </c>
      <c r="I243" s="62">
        <f t="shared" si="2"/>
        <v>625.72268907563034</v>
      </c>
      <c r="J243" s="63">
        <v>0.44014285714285717</v>
      </c>
      <c r="K243" s="62">
        <f t="shared" si="3"/>
        <v>5882.3529411764712</v>
      </c>
      <c r="L243" s="62">
        <f t="shared" si="4"/>
        <v>1117.6470588235295</v>
      </c>
      <c r="M243" s="62">
        <f t="shared" si="15"/>
        <v>7000.0000000000009</v>
      </c>
      <c r="N243" s="62">
        <f t="shared" si="6"/>
        <v>2589.0756302521013</v>
      </c>
      <c r="O243" s="61">
        <f t="shared" si="7"/>
        <v>0</v>
      </c>
      <c r="P243" s="61">
        <f t="shared" si="8"/>
        <v>5882.3529411764712</v>
      </c>
      <c r="Q243" s="64">
        <f t="shared" si="9"/>
        <v>0.44014285714285717</v>
      </c>
      <c r="R243" s="41">
        <v>7000</v>
      </c>
      <c r="S243" s="41">
        <f t="shared" ref="S243:S244" si="135">939+2100+880</f>
        <v>3919</v>
      </c>
      <c r="T243" s="74"/>
      <c r="U243" s="74"/>
      <c r="V243" s="75">
        <f t="shared" ref="V243:V245" si="136">S243</f>
        <v>3919</v>
      </c>
      <c r="W243" s="40">
        <f t="shared" si="62"/>
        <v>3081</v>
      </c>
      <c r="X243" s="8">
        <f t="shared" si="75"/>
        <v>350</v>
      </c>
      <c r="Y243" s="76"/>
      <c r="Z243" s="8" t="str">
        <f t="shared" si="14"/>
        <v>Pack 0: 3 Toalla  Spum/ 12 PH Regio/ 1 servilleta</v>
      </c>
      <c r="AA243" s="8"/>
    </row>
    <row r="244" spans="1:28" ht="13.2">
      <c r="A244" s="59" t="s">
        <v>53</v>
      </c>
      <c r="B244" s="8" t="str">
        <f t="shared" si="130"/>
        <v>Pack 1: 3 Toalla  Spum/ 12 PH Spum / 1 servilleta</v>
      </c>
      <c r="C244" s="31" t="s">
        <v>977</v>
      </c>
      <c r="D244" s="61" t="str">
        <f t="shared" si="133"/>
        <v>Pack 1: 3 Toalla  Spum/ 12 PH Spum / 1 servilleta</v>
      </c>
      <c r="E244" s="41"/>
      <c r="F244" s="62">
        <f t="shared" si="134"/>
        <v>3293.2773109243699</v>
      </c>
      <c r="G244" s="62">
        <v>0</v>
      </c>
      <c r="H244" s="62">
        <f t="shared" si="94"/>
        <v>3293.2773109243699</v>
      </c>
      <c r="I244" s="62">
        <f t="shared" si="2"/>
        <v>625.72268907563034</v>
      </c>
      <c r="J244" s="63">
        <v>0.44014285714285717</v>
      </c>
      <c r="K244" s="62">
        <f t="shared" si="3"/>
        <v>5882.3529411764712</v>
      </c>
      <c r="L244" s="62">
        <f t="shared" si="4"/>
        <v>1117.6470588235295</v>
      </c>
      <c r="M244" s="62">
        <f t="shared" si="15"/>
        <v>7000.0000000000009</v>
      </c>
      <c r="N244" s="62">
        <f t="shared" si="6"/>
        <v>2589.0756302521013</v>
      </c>
      <c r="O244" s="61">
        <f t="shared" si="7"/>
        <v>0</v>
      </c>
      <c r="P244" s="61">
        <f t="shared" si="8"/>
        <v>5882.3529411764712</v>
      </c>
      <c r="Q244" s="64">
        <f t="shared" si="9"/>
        <v>0.44014285714285717</v>
      </c>
      <c r="R244" s="41">
        <v>7000</v>
      </c>
      <c r="S244" s="41">
        <f t="shared" si="135"/>
        <v>3919</v>
      </c>
      <c r="T244" s="74"/>
      <c r="U244" s="74"/>
      <c r="V244" s="75">
        <f t="shared" si="136"/>
        <v>3919</v>
      </c>
      <c r="W244" s="40">
        <f t="shared" si="62"/>
        <v>3081</v>
      </c>
      <c r="X244" s="8">
        <f t="shared" si="75"/>
        <v>350</v>
      </c>
      <c r="Y244" s="76"/>
      <c r="Z244" s="8" t="str">
        <f t="shared" si="14"/>
        <v>Pack 1: 3 Toalla  Spum/ 12 PH Spum / 1 servilleta</v>
      </c>
      <c r="AA244" s="8"/>
    </row>
    <row r="245" spans="1:28" ht="13.2">
      <c r="A245" s="59" t="s">
        <v>53</v>
      </c>
      <c r="B245" s="8" t="str">
        <f t="shared" si="130"/>
        <v>Pack 16 Toalla NOVA 26 mts</v>
      </c>
      <c r="C245" s="31" t="s">
        <v>136</v>
      </c>
      <c r="D245" s="31" t="s">
        <v>410</v>
      </c>
      <c r="E245" s="41"/>
      <c r="F245" s="62">
        <f>1123*8</f>
        <v>8984</v>
      </c>
      <c r="G245" s="62">
        <v>0</v>
      </c>
      <c r="H245" s="62">
        <f t="shared" si="94"/>
        <v>8984</v>
      </c>
      <c r="I245" s="62">
        <f t="shared" si="2"/>
        <v>1706.96</v>
      </c>
      <c r="J245" s="63">
        <v>0.28249999999999997</v>
      </c>
      <c r="K245" s="62">
        <f t="shared" si="3"/>
        <v>12521.254355400697</v>
      </c>
      <c r="L245" s="62">
        <f t="shared" si="4"/>
        <v>2379.0383275261324</v>
      </c>
      <c r="M245" s="62">
        <f t="shared" si="15"/>
        <v>14900.292682926829</v>
      </c>
      <c r="N245" s="62">
        <f t="shared" si="6"/>
        <v>3537.254355400697</v>
      </c>
      <c r="O245" s="61">
        <f t="shared" si="7"/>
        <v>10900.292682926829</v>
      </c>
      <c r="P245" s="61">
        <f t="shared" si="8"/>
        <v>3361.3445378151264</v>
      </c>
      <c r="Q245" s="64">
        <f t="shared" si="9"/>
        <v>-1.6727399999999997</v>
      </c>
      <c r="R245" s="41">
        <v>4000</v>
      </c>
      <c r="S245" s="41">
        <f>955*3</f>
        <v>2865</v>
      </c>
      <c r="T245" s="74"/>
      <c r="U245" s="74"/>
      <c r="V245" s="75">
        <f t="shared" si="136"/>
        <v>2865</v>
      </c>
      <c r="W245" s="40">
        <f t="shared" si="62"/>
        <v>1135</v>
      </c>
      <c r="X245" s="8">
        <f t="shared" si="75"/>
        <v>200</v>
      </c>
      <c r="Y245" s="76"/>
      <c r="Z245" s="8" t="str">
        <f t="shared" si="14"/>
        <v>Pack 16 Toalla NOVA 26 mts</v>
      </c>
      <c r="AA245" s="31" t="s">
        <v>411</v>
      </c>
      <c r="AB245" s="31">
        <v>-8</v>
      </c>
    </row>
    <row r="246" spans="1:28" ht="13.2">
      <c r="A246" s="59" t="s">
        <v>47</v>
      </c>
      <c r="B246" s="8" t="str">
        <f t="shared" si="130"/>
        <v>Ambiental Tubo AROM</v>
      </c>
      <c r="C246" s="67" t="s">
        <v>200</v>
      </c>
      <c r="D246" s="41" t="s">
        <v>476</v>
      </c>
      <c r="E246" s="40"/>
      <c r="F246" s="62">
        <v>1084</v>
      </c>
      <c r="G246" s="62">
        <v>0</v>
      </c>
      <c r="H246" s="62">
        <f t="shared" si="94"/>
        <v>1084</v>
      </c>
      <c r="I246" s="62">
        <f t="shared" si="2"/>
        <v>205.96</v>
      </c>
      <c r="J246" s="63">
        <v>0.2833</v>
      </c>
      <c r="K246" s="62">
        <f t="shared" si="3"/>
        <v>1512.4877912655224</v>
      </c>
      <c r="L246" s="62">
        <f t="shared" si="4"/>
        <v>287.37268034044928</v>
      </c>
      <c r="M246" s="62">
        <f t="shared" si="15"/>
        <v>1799.8604716059717</v>
      </c>
      <c r="N246" s="62">
        <f t="shared" si="6"/>
        <v>428.48779126552245</v>
      </c>
      <c r="O246" s="61">
        <f t="shared" si="7"/>
        <v>-700.13952839402828</v>
      </c>
      <c r="P246" s="61">
        <f t="shared" si="8"/>
        <v>2100.840336134454</v>
      </c>
      <c r="Q246" s="64">
        <f t="shared" si="9"/>
        <v>0.484016</v>
      </c>
      <c r="R246" s="65">
        <v>2500</v>
      </c>
      <c r="S246" s="41">
        <v>1760</v>
      </c>
      <c r="T246" s="41">
        <f t="shared" ref="T246:T249" si="137">S246</f>
        <v>1760</v>
      </c>
      <c r="U246" s="41">
        <v>0</v>
      </c>
      <c r="V246" s="40">
        <f t="shared" ref="V246:V253" si="138">T246+U246</f>
        <v>1760</v>
      </c>
      <c r="W246" s="40">
        <f t="shared" si="62"/>
        <v>740</v>
      </c>
      <c r="X246" s="8">
        <f t="shared" si="75"/>
        <v>125</v>
      </c>
      <c r="Y246" s="26"/>
      <c r="Z246" s="8" t="str">
        <f t="shared" si="14"/>
        <v>Ambiental Tubo AROM</v>
      </c>
      <c r="AA246" s="31" t="s">
        <v>200</v>
      </c>
      <c r="AB246" s="31">
        <v>-1</v>
      </c>
    </row>
    <row r="247" spans="1:28" ht="13.2">
      <c r="A247" s="59" t="s">
        <v>47</v>
      </c>
      <c r="B247" s="8" t="str">
        <f t="shared" si="130"/>
        <v>Pack 2 Ambiental cono Lavanda</v>
      </c>
      <c r="C247" s="23" t="s">
        <v>181</v>
      </c>
      <c r="D247" s="41" t="s">
        <v>620</v>
      </c>
      <c r="E247" s="40"/>
      <c r="F247" s="62">
        <f>829*2</f>
        <v>1658</v>
      </c>
      <c r="G247" s="62">
        <v>0</v>
      </c>
      <c r="H247" s="62">
        <f t="shared" si="94"/>
        <v>1658</v>
      </c>
      <c r="I247" s="62">
        <f t="shared" si="2"/>
        <v>315.02</v>
      </c>
      <c r="J247" s="63">
        <v>0.34229999999999999</v>
      </c>
      <c r="K247" s="62">
        <f t="shared" si="3"/>
        <v>2520.9061882317169</v>
      </c>
      <c r="L247" s="62">
        <f t="shared" si="4"/>
        <v>478.97217576402619</v>
      </c>
      <c r="M247" s="62">
        <f t="shared" si="15"/>
        <v>2999.8783639957433</v>
      </c>
      <c r="N247" s="62">
        <f t="shared" si="6"/>
        <v>862.9061882317169</v>
      </c>
      <c r="O247" s="61">
        <f t="shared" si="7"/>
        <v>499.87836399574326</v>
      </c>
      <c r="P247" s="61">
        <f t="shared" si="8"/>
        <v>2100.840336134454</v>
      </c>
      <c r="Q247" s="64">
        <f t="shared" si="9"/>
        <v>0.21079200000000009</v>
      </c>
      <c r="R247" s="41">
        <v>2500</v>
      </c>
      <c r="S247" s="41">
        <v>1760</v>
      </c>
      <c r="T247" s="41">
        <f t="shared" si="137"/>
        <v>1760</v>
      </c>
      <c r="U247" s="41">
        <v>0</v>
      </c>
      <c r="V247" s="40">
        <f t="shared" si="138"/>
        <v>1760</v>
      </c>
      <c r="W247" s="40">
        <f t="shared" si="62"/>
        <v>740</v>
      </c>
      <c r="X247" s="8">
        <f t="shared" si="75"/>
        <v>125</v>
      </c>
      <c r="Y247" s="26"/>
      <c r="Z247" s="8" t="str">
        <f t="shared" si="14"/>
        <v>Pack 2 Ambiental cono Lavanda</v>
      </c>
      <c r="AA247" s="31" t="s">
        <v>1048</v>
      </c>
      <c r="AB247" s="31">
        <v>-2</v>
      </c>
    </row>
    <row r="248" spans="1:28" ht="13.2">
      <c r="A248" s="59" t="s">
        <v>47</v>
      </c>
      <c r="B248" s="8" t="str">
        <f t="shared" si="130"/>
        <v>Pack 2 Ambiental Tubo</v>
      </c>
      <c r="C248" s="23" t="s">
        <v>336</v>
      </c>
      <c r="D248" s="41" t="s">
        <v>476</v>
      </c>
      <c r="E248" s="40"/>
      <c r="F248" s="62">
        <f>716*2</f>
        <v>1432</v>
      </c>
      <c r="G248" s="62">
        <v>0</v>
      </c>
      <c r="H248" s="62">
        <f t="shared" si="94"/>
        <v>1432</v>
      </c>
      <c r="I248" s="62">
        <f t="shared" si="2"/>
        <v>272.08</v>
      </c>
      <c r="J248" s="63">
        <v>0.39129999999999998</v>
      </c>
      <c r="K248" s="62">
        <f t="shared" si="3"/>
        <v>2352.5546246098243</v>
      </c>
      <c r="L248" s="62">
        <f t="shared" si="4"/>
        <v>446.98537867586663</v>
      </c>
      <c r="M248" s="62">
        <f t="shared" si="15"/>
        <v>2799.540003285691</v>
      </c>
      <c r="N248" s="62">
        <f t="shared" si="6"/>
        <v>920.55462460982426</v>
      </c>
      <c r="O248" s="61">
        <f t="shared" si="7"/>
        <v>299.540003285691</v>
      </c>
      <c r="P248" s="61">
        <f t="shared" si="8"/>
        <v>2100.840336134454</v>
      </c>
      <c r="Q248" s="64">
        <f t="shared" si="9"/>
        <v>0.3183680000000001</v>
      </c>
      <c r="R248" s="41">
        <v>2500</v>
      </c>
      <c r="S248" s="41">
        <v>1760</v>
      </c>
      <c r="T248" s="41">
        <f t="shared" si="137"/>
        <v>1760</v>
      </c>
      <c r="U248" s="41">
        <v>0</v>
      </c>
      <c r="V248" s="40">
        <f t="shared" si="138"/>
        <v>1760</v>
      </c>
      <c r="W248" s="40">
        <f t="shared" si="62"/>
        <v>740</v>
      </c>
      <c r="X248" s="8">
        <f t="shared" si="75"/>
        <v>125</v>
      </c>
      <c r="Y248" s="26"/>
      <c r="Z248" s="8" t="str">
        <f t="shared" si="14"/>
        <v>Pack 2 Ambiental Tubo</v>
      </c>
      <c r="AA248" s="31" t="s">
        <v>477</v>
      </c>
      <c r="AB248" s="31">
        <v>-2</v>
      </c>
    </row>
    <row r="249" spans="1:28" ht="13.2">
      <c r="A249" s="59" t="s">
        <v>47</v>
      </c>
      <c r="B249" s="8" t="str">
        <f t="shared" si="130"/>
        <v>Pack 2 Cif 750 cc</v>
      </c>
      <c r="C249" s="23" t="s">
        <v>322</v>
      </c>
      <c r="D249" s="41" t="s">
        <v>442</v>
      </c>
      <c r="E249" s="41"/>
      <c r="F249" s="62">
        <v>2114.2857142857142</v>
      </c>
      <c r="G249" s="62">
        <v>0</v>
      </c>
      <c r="H249" s="62">
        <f t="shared" si="94"/>
        <v>2114.2857142857142</v>
      </c>
      <c r="I249" s="62">
        <f t="shared" si="2"/>
        <v>401.71428571428572</v>
      </c>
      <c r="J249" s="63">
        <v>0.440888888888889</v>
      </c>
      <c r="K249" s="62">
        <f t="shared" si="3"/>
        <v>3781.5126050420176</v>
      </c>
      <c r="L249" s="62">
        <f t="shared" si="4"/>
        <v>718.48739495798338</v>
      </c>
      <c r="M249" s="62">
        <f t="shared" si="15"/>
        <v>4500.0000000000009</v>
      </c>
      <c r="N249" s="62">
        <f t="shared" si="6"/>
        <v>1667.2268907563034</v>
      </c>
      <c r="O249" s="61">
        <f t="shared" si="7"/>
        <v>0</v>
      </c>
      <c r="P249" s="61">
        <f t="shared" si="8"/>
        <v>3781.5126050420172</v>
      </c>
      <c r="Q249" s="64">
        <f t="shared" si="9"/>
        <v>0.440888888888889</v>
      </c>
      <c r="R249" s="41">
        <v>4500</v>
      </c>
      <c r="S249" s="41">
        <f>1258*2</f>
        <v>2516</v>
      </c>
      <c r="T249" s="41">
        <f t="shared" si="137"/>
        <v>2516</v>
      </c>
      <c r="U249" s="41">
        <v>0</v>
      </c>
      <c r="V249" s="40">
        <f t="shared" si="138"/>
        <v>2516</v>
      </c>
      <c r="W249" s="40">
        <f t="shared" si="62"/>
        <v>1984</v>
      </c>
      <c r="X249" s="8">
        <f t="shared" si="75"/>
        <v>225</v>
      </c>
      <c r="Y249" s="26"/>
      <c r="Z249" s="8" t="str">
        <f t="shared" si="14"/>
        <v>Pack 2 Cif 750 cc</v>
      </c>
      <c r="AA249" s="31" t="s">
        <v>443</v>
      </c>
      <c r="AB249" s="31">
        <v>-2</v>
      </c>
    </row>
    <row r="250" spans="1:28" ht="13.2">
      <c r="A250" s="59" t="s">
        <v>47</v>
      </c>
      <c r="B250" s="8" t="str">
        <f t="shared" si="130"/>
        <v>LYSOFORM 360 ML</v>
      </c>
      <c r="C250" s="67" t="s">
        <v>154</v>
      </c>
      <c r="D250" s="61" t="s">
        <v>512</v>
      </c>
      <c r="E250" s="41"/>
      <c r="F250" s="62">
        <v>2513</v>
      </c>
      <c r="G250" s="62">
        <v>0</v>
      </c>
      <c r="H250" s="62">
        <f t="shared" si="94"/>
        <v>2513</v>
      </c>
      <c r="I250" s="62">
        <f t="shared" si="2"/>
        <v>477.47</v>
      </c>
      <c r="J250" s="63">
        <v>0.25240000000000001</v>
      </c>
      <c r="K250" s="62">
        <f t="shared" si="3"/>
        <v>3361.4232209737825</v>
      </c>
      <c r="L250" s="62">
        <f t="shared" si="4"/>
        <v>638.67041198501863</v>
      </c>
      <c r="M250" s="62">
        <f t="shared" si="15"/>
        <v>4000.0936329588012</v>
      </c>
      <c r="N250" s="62">
        <f t="shared" si="6"/>
        <v>848.42322097378246</v>
      </c>
      <c r="O250" s="61">
        <f t="shared" si="7"/>
        <v>400.09363295880121</v>
      </c>
      <c r="P250" s="61">
        <f t="shared" si="8"/>
        <v>3025.2100840336134</v>
      </c>
      <c r="Q250" s="64">
        <f t="shared" si="9"/>
        <v>0.16931388888888887</v>
      </c>
      <c r="R250" s="77">
        <v>3600</v>
      </c>
      <c r="S250" s="26">
        <v>2531</v>
      </c>
      <c r="T250" s="40">
        <f t="shared" ref="T250:T251" si="139">S250*E250/1000</f>
        <v>0</v>
      </c>
      <c r="U250" s="41">
        <v>0</v>
      </c>
      <c r="V250" s="40">
        <f t="shared" si="138"/>
        <v>0</v>
      </c>
      <c r="W250" s="40">
        <f t="shared" si="62"/>
        <v>3600</v>
      </c>
      <c r="X250" s="8">
        <f t="shared" si="75"/>
        <v>180</v>
      </c>
      <c r="Y250" s="26"/>
      <c r="Z250" s="8" t="str">
        <f t="shared" si="14"/>
        <v>LYSOFORM 360 ML</v>
      </c>
      <c r="AA250" s="31" t="s">
        <v>1053</v>
      </c>
      <c r="AB250" s="31">
        <v>-1</v>
      </c>
    </row>
    <row r="251" spans="1:28" ht="13.2">
      <c r="A251" s="59" t="s">
        <v>47</v>
      </c>
      <c r="B251" s="8" t="str">
        <f t="shared" si="130"/>
        <v>Pack 2 LYSOFORM 420 ML</v>
      </c>
      <c r="C251" s="23" t="s">
        <v>641</v>
      </c>
      <c r="D251" s="61" t="s">
        <v>512</v>
      </c>
      <c r="E251" s="41"/>
      <c r="F251" s="62">
        <v>4253.7815126050418</v>
      </c>
      <c r="G251" s="62">
        <v>0</v>
      </c>
      <c r="H251" s="62">
        <f t="shared" si="94"/>
        <v>4253.7815126050418</v>
      </c>
      <c r="I251" s="62">
        <f t="shared" si="2"/>
        <v>808.21848739495795</v>
      </c>
      <c r="J251" s="63">
        <v>0.25558823529411778</v>
      </c>
      <c r="K251" s="62">
        <f t="shared" si="3"/>
        <v>5714.2857142857147</v>
      </c>
      <c r="L251" s="62">
        <f t="shared" si="4"/>
        <v>1085.7142857142858</v>
      </c>
      <c r="M251" s="62">
        <f t="shared" si="15"/>
        <v>6800</v>
      </c>
      <c r="N251" s="62">
        <f t="shared" si="6"/>
        <v>1460.5042016806728</v>
      </c>
      <c r="O251" s="61">
        <f t="shared" si="7"/>
        <v>0</v>
      </c>
      <c r="P251" s="61">
        <f t="shared" si="8"/>
        <v>5714.2857142857147</v>
      </c>
      <c r="Q251" s="64">
        <f t="shared" si="9"/>
        <v>0.25558823529411778</v>
      </c>
      <c r="R251" s="26">
        <v>6800</v>
      </c>
      <c r="S251" s="26">
        <f>2531*2</f>
        <v>5062</v>
      </c>
      <c r="T251" s="40">
        <f t="shared" si="139"/>
        <v>0</v>
      </c>
      <c r="U251" s="41">
        <v>0</v>
      </c>
      <c r="V251" s="40">
        <f t="shared" si="138"/>
        <v>0</v>
      </c>
      <c r="W251" s="40">
        <f t="shared" si="62"/>
        <v>6800</v>
      </c>
      <c r="X251" s="8">
        <f t="shared" si="75"/>
        <v>340</v>
      </c>
      <c r="Y251" s="26"/>
      <c r="Z251" s="8" t="str">
        <f t="shared" si="14"/>
        <v>Pack 2 LYSOFORM 420 ML</v>
      </c>
      <c r="AA251" s="31" t="s">
        <v>1051</v>
      </c>
      <c r="AB251" s="31">
        <v>-2</v>
      </c>
    </row>
    <row r="252" spans="1:28" ht="13.2">
      <c r="A252" s="59" t="s">
        <v>76</v>
      </c>
      <c r="B252" s="8" t="str">
        <f t="shared" si="130"/>
        <v>Pack 2 Magistral 500 cc</v>
      </c>
      <c r="C252" s="23" t="s">
        <v>325</v>
      </c>
      <c r="D252" s="41" t="s">
        <v>479</v>
      </c>
      <c r="E252" s="40"/>
      <c r="F252" s="62">
        <f>2176*2</f>
        <v>4352</v>
      </c>
      <c r="G252" s="62">
        <v>0</v>
      </c>
      <c r="H252" s="62">
        <f t="shared" si="94"/>
        <v>4352</v>
      </c>
      <c r="I252" s="62">
        <f t="shared" si="2"/>
        <v>826.88</v>
      </c>
      <c r="J252" s="63">
        <v>0.26019999999999999</v>
      </c>
      <c r="K252" s="62">
        <f t="shared" si="3"/>
        <v>5882.6709921600432</v>
      </c>
      <c r="L252" s="62">
        <f t="shared" si="4"/>
        <v>1117.7074885104082</v>
      </c>
      <c r="M252" s="62">
        <f t="shared" si="15"/>
        <v>7000.3784806704516</v>
      </c>
      <c r="N252" s="62">
        <f t="shared" si="6"/>
        <v>1530.6709921600432</v>
      </c>
      <c r="O252" s="61">
        <f t="shared" si="7"/>
        <v>4400.3784806704516</v>
      </c>
      <c r="P252" s="61">
        <f t="shared" si="8"/>
        <v>2184.8739495798322</v>
      </c>
      <c r="Q252" s="64">
        <f t="shared" si="9"/>
        <v>-0.99187692307692288</v>
      </c>
      <c r="R252" s="41">
        <v>2600</v>
      </c>
      <c r="S252" s="41">
        <v>1348</v>
      </c>
      <c r="T252" s="41">
        <f t="shared" ref="T252:T253" si="140">S252</f>
        <v>1348</v>
      </c>
      <c r="U252" s="41">
        <v>0</v>
      </c>
      <c r="V252" s="40">
        <f t="shared" si="138"/>
        <v>1348</v>
      </c>
      <c r="W252" s="40">
        <f t="shared" si="62"/>
        <v>1252</v>
      </c>
      <c r="X252" s="8">
        <f t="shared" si="75"/>
        <v>130</v>
      </c>
      <c r="Y252" s="26"/>
      <c r="Z252" s="8" t="str">
        <f t="shared" si="14"/>
        <v>Pack 2 Magistral 500 cc</v>
      </c>
      <c r="AA252" s="31" t="s">
        <v>1047</v>
      </c>
      <c r="AB252" s="31">
        <v>-2</v>
      </c>
    </row>
    <row r="253" spans="1:28" ht="13.2">
      <c r="A253" s="59" t="s">
        <v>76</v>
      </c>
      <c r="B253" s="8" t="str">
        <f t="shared" si="130"/>
        <v>Pack 2 Quix 750 cc</v>
      </c>
      <c r="C253" s="23" t="s">
        <v>156</v>
      </c>
      <c r="D253" s="41" t="s">
        <v>479</v>
      </c>
      <c r="E253" s="40"/>
      <c r="F253" s="62">
        <v>2265.546218487395</v>
      </c>
      <c r="G253" s="62">
        <v>0</v>
      </c>
      <c r="H253" s="62">
        <f t="shared" si="94"/>
        <v>2265.546218487395</v>
      </c>
      <c r="I253" s="62">
        <f t="shared" si="2"/>
        <v>430.45378151260508</v>
      </c>
      <c r="J253" s="63">
        <v>0.43833333333333335</v>
      </c>
      <c r="K253" s="62">
        <f t="shared" si="3"/>
        <v>4033.6134453781515</v>
      </c>
      <c r="L253" s="62">
        <f t="shared" si="4"/>
        <v>766.38655462184875</v>
      </c>
      <c r="M253" s="62">
        <f t="shared" si="15"/>
        <v>4800</v>
      </c>
      <c r="N253" s="62">
        <f t="shared" si="6"/>
        <v>1768.0672268907565</v>
      </c>
      <c r="O253" s="61">
        <f t="shared" si="7"/>
        <v>0</v>
      </c>
      <c r="P253" s="61">
        <f t="shared" si="8"/>
        <v>4033.6134453781515</v>
      </c>
      <c r="Q253" s="64">
        <f t="shared" si="9"/>
        <v>0.43833333333333335</v>
      </c>
      <c r="R253" s="41">
        <v>4800</v>
      </c>
      <c r="S253" s="41">
        <f>1348*2</f>
        <v>2696</v>
      </c>
      <c r="T253" s="41">
        <f t="shared" si="140"/>
        <v>2696</v>
      </c>
      <c r="U253" s="41">
        <v>0</v>
      </c>
      <c r="V253" s="40">
        <f t="shared" si="138"/>
        <v>2696</v>
      </c>
      <c r="W253" s="40">
        <f t="shared" si="62"/>
        <v>2104</v>
      </c>
      <c r="X253" s="8">
        <f t="shared" si="75"/>
        <v>240</v>
      </c>
      <c r="Y253" s="26"/>
      <c r="Z253" s="8" t="str">
        <f t="shared" si="14"/>
        <v>Pack 2 Quix 750 cc</v>
      </c>
      <c r="AA253" s="31" t="s">
        <v>480</v>
      </c>
      <c r="AB253" s="31">
        <v>-2</v>
      </c>
    </row>
    <row r="254" spans="1:28" ht="13.2">
      <c r="A254" s="59" t="s">
        <v>53</v>
      </c>
      <c r="B254" s="8" t="str">
        <f>CONCATENATE(C254," / ",E254," metros")</f>
        <v>Pack 2 Toalla Jumbo ECONOMIX U/H / 300 metros</v>
      </c>
      <c r="C254" s="31" t="s">
        <v>1605</v>
      </c>
      <c r="D254" s="31" t="s">
        <v>841</v>
      </c>
      <c r="E254" s="41">
        <v>300</v>
      </c>
      <c r="F254" s="62">
        <f>S254/1.19</f>
        <v>4873.9495798319331</v>
      </c>
      <c r="G254" s="62">
        <v>0</v>
      </c>
      <c r="H254" s="62">
        <f t="shared" si="94"/>
        <v>4873.9495798319331</v>
      </c>
      <c r="I254" s="62">
        <f t="shared" si="2"/>
        <v>926.05042016806726</v>
      </c>
      <c r="J254" s="63">
        <v>0.27500000000000002</v>
      </c>
      <c r="K254" s="62">
        <f t="shared" si="3"/>
        <v>6722.6890756302528</v>
      </c>
      <c r="L254" s="62">
        <f t="shared" si="4"/>
        <v>1277.3109243697481</v>
      </c>
      <c r="M254" s="62">
        <f t="shared" si="15"/>
        <v>8000.0000000000009</v>
      </c>
      <c r="N254" s="62">
        <f t="shared" si="6"/>
        <v>1848.7394957983197</v>
      </c>
      <c r="O254" s="61">
        <f t="shared" si="7"/>
        <v>0</v>
      </c>
      <c r="P254" s="61">
        <f t="shared" si="8"/>
        <v>6722.6890756302528</v>
      </c>
      <c r="Q254" s="64">
        <f t="shared" si="9"/>
        <v>0.27500000000000002</v>
      </c>
      <c r="R254" s="41">
        <v>8000</v>
      </c>
      <c r="S254" s="41">
        <v>5800</v>
      </c>
      <c r="T254" s="74"/>
      <c r="U254" s="74"/>
      <c r="V254" s="75">
        <f t="shared" ref="V254:V255" si="141">S254</f>
        <v>5800</v>
      </c>
      <c r="W254" s="40">
        <f t="shared" si="62"/>
        <v>2200</v>
      </c>
      <c r="X254" s="8">
        <f t="shared" si="75"/>
        <v>400</v>
      </c>
      <c r="Y254" s="76"/>
      <c r="Z254" s="8" t="str">
        <f t="shared" si="14"/>
        <v>Pack 2 Toalla Jumbo ECONOMIX U/H / 300 metros</v>
      </c>
      <c r="AA254" s="8"/>
    </row>
    <row r="255" spans="1:28" ht="13.2">
      <c r="A255" s="59" t="s">
        <v>53</v>
      </c>
      <c r="B255" s="8" t="str">
        <f t="shared" ref="B255:B257" si="142">CONCATENATE(C255,E255)</f>
        <v>Pack 2 Toalla NOVA 26 mts</v>
      </c>
      <c r="C255" s="31" t="s">
        <v>88</v>
      </c>
      <c r="D255" s="31" t="s">
        <v>410</v>
      </c>
      <c r="E255" s="41"/>
      <c r="F255" s="62">
        <v>1123</v>
      </c>
      <c r="G255" s="62">
        <v>0</v>
      </c>
      <c r="H255" s="62">
        <f t="shared" si="94"/>
        <v>1123</v>
      </c>
      <c r="I255" s="62">
        <f t="shared" si="2"/>
        <v>213.37</v>
      </c>
      <c r="J255" s="63">
        <v>0.33179999999999998</v>
      </c>
      <c r="K255" s="62">
        <f t="shared" si="3"/>
        <v>1680.6345405567195</v>
      </c>
      <c r="L255" s="62">
        <f t="shared" si="4"/>
        <v>319.32056270577669</v>
      </c>
      <c r="M255" s="62">
        <f t="shared" si="15"/>
        <v>1999.9551032624961</v>
      </c>
      <c r="N255" s="62">
        <f t="shared" si="6"/>
        <v>557.63454055671946</v>
      </c>
      <c r="O255" s="61">
        <f t="shared" si="7"/>
        <v>-2000.0448967375039</v>
      </c>
      <c r="P255" s="61">
        <f t="shared" si="8"/>
        <v>3361.3445378151264</v>
      </c>
      <c r="Q255" s="64">
        <f t="shared" si="9"/>
        <v>0.6659075000000001</v>
      </c>
      <c r="R255" s="41">
        <v>4000</v>
      </c>
      <c r="S255" s="41">
        <f>955*3</f>
        <v>2865</v>
      </c>
      <c r="T255" s="74"/>
      <c r="U255" s="74"/>
      <c r="V255" s="75">
        <f t="shared" si="141"/>
        <v>2865</v>
      </c>
      <c r="W255" s="40">
        <f t="shared" si="62"/>
        <v>1135</v>
      </c>
      <c r="X255" s="8">
        <f t="shared" si="75"/>
        <v>200</v>
      </c>
      <c r="Y255" s="76"/>
      <c r="Z255" s="8" t="str">
        <f t="shared" si="14"/>
        <v>Pack 2 Toalla NOVA 26 mts</v>
      </c>
      <c r="AA255" s="31" t="s">
        <v>411</v>
      </c>
      <c r="AB255" s="31">
        <v>-1</v>
      </c>
    </row>
    <row r="256" spans="1:28" ht="13.2">
      <c r="A256" s="59" t="s">
        <v>47</v>
      </c>
      <c r="B256" s="8" t="str">
        <f t="shared" si="142"/>
        <v>Pack 2 Toallitas Húmedas Adulto Teddy 50 Unidades</v>
      </c>
      <c r="C256" s="23" t="s">
        <v>314</v>
      </c>
      <c r="D256" s="41" t="s">
        <v>540</v>
      </c>
      <c r="E256" s="40"/>
      <c r="F256" s="62">
        <f>1041*2</f>
        <v>2082</v>
      </c>
      <c r="G256" s="62">
        <v>0</v>
      </c>
      <c r="H256" s="62">
        <f t="shared" si="94"/>
        <v>2082</v>
      </c>
      <c r="I256" s="62">
        <f t="shared" si="2"/>
        <v>395.58</v>
      </c>
      <c r="J256" s="63">
        <v>0.38067000000000001</v>
      </c>
      <c r="K256" s="62">
        <f t="shared" si="3"/>
        <v>3361.6973180695272</v>
      </c>
      <c r="L256" s="62">
        <f t="shared" si="4"/>
        <v>638.72249043321017</v>
      </c>
      <c r="M256" s="62">
        <f t="shared" si="15"/>
        <v>4000.4198085027374</v>
      </c>
      <c r="N256" s="62">
        <f t="shared" si="6"/>
        <v>1279.6973180695272</v>
      </c>
      <c r="O256" s="61">
        <f t="shared" si="7"/>
        <v>-499.5801914972626</v>
      </c>
      <c r="P256" s="61">
        <f t="shared" si="8"/>
        <v>3781.5126050420172</v>
      </c>
      <c r="Q256" s="64">
        <f t="shared" si="9"/>
        <v>0.44942666666666675</v>
      </c>
      <c r="R256" s="41">
        <v>4500</v>
      </c>
      <c r="S256" s="41">
        <f t="shared" ref="S256:S257" si="143">1108*3</f>
        <v>3324</v>
      </c>
      <c r="T256" s="41">
        <f t="shared" ref="T256:T257" si="144">S256</f>
        <v>3324</v>
      </c>
      <c r="U256" s="41">
        <v>0</v>
      </c>
      <c r="V256" s="40">
        <f t="shared" ref="V256:V257" si="145">T256+U256</f>
        <v>3324</v>
      </c>
      <c r="W256" s="40">
        <f t="shared" si="62"/>
        <v>1176</v>
      </c>
      <c r="X256" s="8">
        <f t="shared" si="75"/>
        <v>225</v>
      </c>
      <c r="Y256" s="26"/>
      <c r="Z256" s="8" t="str">
        <f t="shared" si="14"/>
        <v>Pack 2 Toallitas Húmedas Adulto Teddy 50 Unidades</v>
      </c>
      <c r="AA256" s="31" t="s">
        <v>541</v>
      </c>
      <c r="AB256" s="31">
        <v>-2</v>
      </c>
    </row>
    <row r="257" spans="1:28" ht="13.2">
      <c r="A257" s="59" t="s">
        <v>47</v>
      </c>
      <c r="B257" s="8" t="str">
        <f t="shared" si="142"/>
        <v>Pack 2 Toallitas Húmedas Bebe Teddy 80 Unidades</v>
      </c>
      <c r="C257" s="23" t="s">
        <v>305</v>
      </c>
      <c r="D257" s="41" t="s">
        <v>600</v>
      </c>
      <c r="E257" s="40"/>
      <c r="F257" s="62">
        <f>768*2</f>
        <v>1536</v>
      </c>
      <c r="G257" s="62">
        <v>0</v>
      </c>
      <c r="H257" s="62">
        <f t="shared" si="94"/>
        <v>1536</v>
      </c>
      <c r="I257" s="62">
        <f t="shared" si="2"/>
        <v>291.84000000000003</v>
      </c>
      <c r="J257" s="63">
        <v>0.39069999999999999</v>
      </c>
      <c r="K257" s="62">
        <f t="shared" si="3"/>
        <v>2520.9256523879862</v>
      </c>
      <c r="L257" s="62">
        <f t="shared" si="4"/>
        <v>478.97587395371738</v>
      </c>
      <c r="M257" s="62">
        <f t="shared" si="15"/>
        <v>2999.9015263417036</v>
      </c>
      <c r="N257" s="62">
        <f t="shared" si="6"/>
        <v>984.92565238798625</v>
      </c>
      <c r="O257" s="61">
        <f t="shared" si="7"/>
        <v>-1500.0984736582964</v>
      </c>
      <c r="P257" s="61">
        <f t="shared" si="8"/>
        <v>3781.5126050420172</v>
      </c>
      <c r="Q257" s="64">
        <f t="shared" si="9"/>
        <v>0.5938133333333333</v>
      </c>
      <c r="R257" s="41">
        <v>4500</v>
      </c>
      <c r="S257" s="41">
        <f t="shared" si="143"/>
        <v>3324</v>
      </c>
      <c r="T257" s="41">
        <f t="shared" si="144"/>
        <v>3324</v>
      </c>
      <c r="U257" s="41">
        <v>0</v>
      </c>
      <c r="V257" s="40">
        <f t="shared" si="145"/>
        <v>3324</v>
      </c>
      <c r="W257" s="40">
        <f t="shared" si="62"/>
        <v>1176</v>
      </c>
      <c r="X257" s="8">
        <f t="shared" si="75"/>
        <v>225</v>
      </c>
      <c r="Y257" s="26"/>
      <c r="Z257" s="8" t="str">
        <f t="shared" si="14"/>
        <v>Pack 2 Toallitas Húmedas Bebe Teddy 80 Unidades</v>
      </c>
      <c r="AA257" s="31" t="s">
        <v>601</v>
      </c>
      <c r="AB257" s="31">
        <v>-2</v>
      </c>
    </row>
    <row r="258" spans="1:28" ht="13.2">
      <c r="A258" s="59" t="s">
        <v>53</v>
      </c>
      <c r="B258" s="8" t="str">
        <f>CONCATENATE(C258," / ",E258,"$",M258)</f>
        <v>Pack 2: 48 PH Spum / $14200</v>
      </c>
      <c r="C258" s="31" t="s">
        <v>973</v>
      </c>
      <c r="D258" s="61" t="str">
        <f>C258</f>
        <v>Pack 2: 48 PH Spum</v>
      </c>
      <c r="E258" s="41"/>
      <c r="F258" s="62">
        <f>S258/1.19</f>
        <v>7058.8235294117649</v>
      </c>
      <c r="G258" s="62">
        <v>0</v>
      </c>
      <c r="H258" s="62">
        <f t="shared" si="94"/>
        <v>7058.8235294117649</v>
      </c>
      <c r="I258" s="62">
        <f t="shared" si="2"/>
        <v>1341.1764705882354</v>
      </c>
      <c r="J258" s="63">
        <v>0.40845070422535212</v>
      </c>
      <c r="K258" s="62">
        <f t="shared" si="3"/>
        <v>11932.773109243699</v>
      </c>
      <c r="L258" s="62">
        <f t="shared" si="4"/>
        <v>2267.226890756303</v>
      </c>
      <c r="M258" s="62">
        <f t="shared" si="15"/>
        <v>14200.000000000002</v>
      </c>
      <c r="N258" s="62">
        <f t="shared" si="6"/>
        <v>4873.949579831934</v>
      </c>
      <c r="O258" s="61">
        <f t="shared" si="7"/>
        <v>0</v>
      </c>
      <c r="P258" s="61">
        <f t="shared" si="8"/>
        <v>11932.773109243699</v>
      </c>
      <c r="Q258" s="64">
        <f t="shared" si="9"/>
        <v>0.40845070422535212</v>
      </c>
      <c r="R258" s="41">
        <v>14200</v>
      </c>
      <c r="S258" s="41">
        <v>8400</v>
      </c>
      <c r="T258" s="74"/>
      <c r="U258" s="74"/>
      <c r="V258" s="75">
        <f>S258</f>
        <v>8400</v>
      </c>
      <c r="W258" s="40">
        <f t="shared" si="62"/>
        <v>5800</v>
      </c>
      <c r="X258" s="8">
        <f t="shared" si="75"/>
        <v>710</v>
      </c>
      <c r="Y258" s="76"/>
      <c r="Z258" s="8" t="str">
        <f t="shared" si="14"/>
        <v>Pack 2: 48 PH Spum / $14200</v>
      </c>
      <c r="AA258" s="8"/>
    </row>
    <row r="259" spans="1:28" ht="13.2">
      <c r="A259" s="59" t="s">
        <v>147</v>
      </c>
      <c r="B259" s="8" t="str">
        <f t="shared" ref="B259:B260" si="146">CONCATENATE(C259,E259)</f>
        <v>Pack 3 Film Plástico 30 Metros</v>
      </c>
      <c r="C259" s="23" t="s">
        <v>897</v>
      </c>
      <c r="D259" s="61" t="s">
        <v>412</v>
      </c>
      <c r="E259" s="41"/>
      <c r="F259" s="62">
        <v>1825.2100840336136</v>
      </c>
      <c r="G259" s="62">
        <v>0</v>
      </c>
      <c r="H259" s="62">
        <f t="shared" si="94"/>
        <v>1825.2100840336136</v>
      </c>
      <c r="I259" s="62">
        <f t="shared" si="2"/>
        <v>346.78991596638662</v>
      </c>
      <c r="J259" s="63">
        <v>0.51733333333333331</v>
      </c>
      <c r="K259" s="62">
        <f t="shared" si="3"/>
        <v>3781.5126050420172</v>
      </c>
      <c r="L259" s="62">
        <f t="shared" si="4"/>
        <v>718.48739495798327</v>
      </c>
      <c r="M259" s="62">
        <f t="shared" si="15"/>
        <v>4500</v>
      </c>
      <c r="N259" s="62">
        <f t="shared" si="6"/>
        <v>1956.3025210084036</v>
      </c>
      <c r="O259" s="61">
        <f t="shared" si="7"/>
        <v>0</v>
      </c>
      <c r="P259" s="61">
        <f t="shared" si="8"/>
        <v>3781.5126050420172</v>
      </c>
      <c r="Q259" s="64">
        <f t="shared" si="9"/>
        <v>0.51733333333333331</v>
      </c>
      <c r="R259" s="41">
        <v>4500</v>
      </c>
      <c r="S259" s="41">
        <f>724*3</f>
        <v>2172</v>
      </c>
      <c r="T259" s="41">
        <f t="shared" ref="T259:T262" si="147">S259</f>
        <v>2172</v>
      </c>
      <c r="U259" s="41">
        <v>0</v>
      </c>
      <c r="V259" s="40">
        <f t="shared" ref="V259:V264" si="148">T259+U259</f>
        <v>2172</v>
      </c>
      <c r="W259" s="40">
        <f t="shared" si="62"/>
        <v>2328</v>
      </c>
      <c r="X259" s="8">
        <f t="shared" si="75"/>
        <v>225</v>
      </c>
      <c r="Y259" s="26"/>
      <c r="Z259" s="8" t="str">
        <f t="shared" si="14"/>
        <v>Pack 3 Film Plástico 30 Metros</v>
      </c>
      <c r="AA259" s="31" t="s">
        <v>1046</v>
      </c>
      <c r="AB259" s="31">
        <v>-3</v>
      </c>
    </row>
    <row r="260" spans="1:28" ht="13.2">
      <c r="A260" s="59" t="s">
        <v>47</v>
      </c>
      <c r="B260" s="8" t="str">
        <f t="shared" si="146"/>
        <v>Pack 3 Jabon  Ballerina - 750 ml</v>
      </c>
      <c r="C260" s="23" t="s">
        <v>49</v>
      </c>
      <c r="D260" s="41" t="s">
        <v>384</v>
      </c>
      <c r="E260" s="40"/>
      <c r="F260" s="62">
        <v>2793.2773109243699</v>
      </c>
      <c r="G260" s="62">
        <v>0</v>
      </c>
      <c r="H260" s="62">
        <f t="shared" si="94"/>
        <v>2793.2773109243699</v>
      </c>
      <c r="I260" s="62">
        <f t="shared" si="2"/>
        <v>530.72268907563023</v>
      </c>
      <c r="J260" s="63">
        <v>0.26133333333333342</v>
      </c>
      <c r="K260" s="62">
        <f t="shared" si="3"/>
        <v>3781.5126050420176</v>
      </c>
      <c r="L260" s="62">
        <f t="shared" si="4"/>
        <v>718.48739495798338</v>
      </c>
      <c r="M260" s="62">
        <f t="shared" si="15"/>
        <v>4500.0000000000009</v>
      </c>
      <c r="N260" s="62">
        <f t="shared" si="6"/>
        <v>988.23529411764775</v>
      </c>
      <c r="O260" s="61">
        <f t="shared" si="7"/>
        <v>0</v>
      </c>
      <c r="P260" s="61">
        <f t="shared" si="8"/>
        <v>3781.5126050420172</v>
      </c>
      <c r="Q260" s="64">
        <f t="shared" si="9"/>
        <v>0.26133333333333342</v>
      </c>
      <c r="R260" s="41">
        <v>4500</v>
      </c>
      <c r="S260" s="41">
        <f>1108*3</f>
        <v>3324</v>
      </c>
      <c r="T260" s="41">
        <f t="shared" si="147"/>
        <v>3324</v>
      </c>
      <c r="U260" s="41">
        <v>0</v>
      </c>
      <c r="V260" s="40">
        <f t="shared" si="148"/>
        <v>3324</v>
      </c>
      <c r="W260" s="40">
        <f t="shared" si="62"/>
        <v>1176</v>
      </c>
      <c r="X260" s="8">
        <f t="shared" si="75"/>
        <v>225</v>
      </c>
      <c r="Y260" s="26"/>
      <c r="Z260" s="8" t="str">
        <f t="shared" si="14"/>
        <v>Pack 3 Jabon  Ballerina - 750 ml</v>
      </c>
      <c r="AA260" s="31" t="s">
        <v>385</v>
      </c>
      <c r="AB260" s="31">
        <v>-3</v>
      </c>
    </row>
    <row r="261" spans="1:28" ht="13.2">
      <c r="A261" s="59" t="s">
        <v>56</v>
      </c>
      <c r="B261" s="8" t="str">
        <f t="shared" ref="B261:B262" si="149">CONCATENATE(C261," / ",E261," gramos)")</f>
        <v>Pack 3 Mantequilla COLUN / 250 gramos)</v>
      </c>
      <c r="C261" s="31" t="s">
        <v>1606</v>
      </c>
      <c r="D261" s="61" t="s">
        <v>492</v>
      </c>
      <c r="E261" s="41">
        <v>250</v>
      </c>
      <c r="F261" s="62">
        <v>5889.0756302521013</v>
      </c>
      <c r="G261" s="62">
        <v>18.487394957983195</v>
      </c>
      <c r="H261" s="62">
        <f t="shared" si="94"/>
        <v>5907.5630252100846</v>
      </c>
      <c r="I261" s="62">
        <f t="shared" si="2"/>
        <v>1122.4369747899161</v>
      </c>
      <c r="J261" s="63">
        <v>9.87179487179487E-2</v>
      </c>
      <c r="K261" s="62">
        <f t="shared" si="3"/>
        <v>6554.6218487394963</v>
      </c>
      <c r="L261" s="62">
        <f t="shared" si="4"/>
        <v>1245.3781512605044</v>
      </c>
      <c r="M261" s="62">
        <f t="shared" si="15"/>
        <v>7800.0000000000009</v>
      </c>
      <c r="N261" s="62">
        <f t="shared" si="6"/>
        <v>647.05882352941171</v>
      </c>
      <c r="O261" s="61">
        <f t="shared" si="7"/>
        <v>0</v>
      </c>
      <c r="P261" s="61">
        <f t="shared" si="8"/>
        <v>6554.6218487394963</v>
      </c>
      <c r="Q261" s="64">
        <f t="shared" si="9"/>
        <v>9.87179487179487E-2</v>
      </c>
      <c r="R261" s="41">
        <v>7800</v>
      </c>
      <c r="S261" s="41">
        <f>2336*3</f>
        <v>7008</v>
      </c>
      <c r="T261" s="40">
        <f t="shared" si="147"/>
        <v>7008</v>
      </c>
      <c r="U261" s="41">
        <v>22</v>
      </c>
      <c r="V261" s="40">
        <f t="shared" si="148"/>
        <v>7030</v>
      </c>
      <c r="W261" s="40">
        <f t="shared" si="62"/>
        <v>770</v>
      </c>
      <c r="X261" s="8">
        <f t="shared" si="75"/>
        <v>390</v>
      </c>
      <c r="Y261" s="26"/>
      <c r="Z261" s="8" t="str">
        <f t="shared" si="14"/>
        <v>Pack 3 Mantequilla COLUN / 250 gramos)</v>
      </c>
      <c r="AA261" s="31" t="s">
        <v>1594</v>
      </c>
      <c r="AB261" s="31">
        <v>-3</v>
      </c>
    </row>
    <row r="262" spans="1:28" ht="13.2">
      <c r="A262" s="59" t="s">
        <v>56</v>
      </c>
      <c r="B262" s="8" t="str">
        <f t="shared" si="149"/>
        <v>Pack 3 Mantequilla RUMAY / 200 gramos)</v>
      </c>
      <c r="C262" s="31" t="s">
        <v>1607</v>
      </c>
      <c r="D262" s="61" t="s">
        <v>492</v>
      </c>
      <c r="E262" s="41">
        <v>200</v>
      </c>
      <c r="F262" s="62">
        <v>4351.2605042016812</v>
      </c>
      <c r="G262" s="62">
        <v>18.487394957983195</v>
      </c>
      <c r="H262" s="62">
        <f t="shared" si="94"/>
        <v>4369.7478991596645</v>
      </c>
      <c r="I262" s="62">
        <f t="shared" si="2"/>
        <v>830.25210084033631</v>
      </c>
      <c r="J262" s="63">
        <v>0.25714285714285712</v>
      </c>
      <c r="K262" s="62">
        <f t="shared" si="3"/>
        <v>5882.3529411764712</v>
      </c>
      <c r="L262" s="62">
        <f t="shared" si="4"/>
        <v>1117.6470588235295</v>
      </c>
      <c r="M262" s="62">
        <f t="shared" si="15"/>
        <v>7000.0000000000009</v>
      </c>
      <c r="N262" s="62">
        <f t="shared" si="6"/>
        <v>1512.6050420168067</v>
      </c>
      <c r="O262" s="61">
        <f t="shared" si="7"/>
        <v>0</v>
      </c>
      <c r="P262" s="61">
        <f t="shared" si="8"/>
        <v>5882.3529411764712</v>
      </c>
      <c r="Q262" s="64">
        <f t="shared" si="9"/>
        <v>0.25714285714285712</v>
      </c>
      <c r="R262" s="41">
        <v>7000</v>
      </c>
      <c r="S262" s="41">
        <f>1726*3</f>
        <v>5178</v>
      </c>
      <c r="T262" s="40">
        <f t="shared" si="147"/>
        <v>5178</v>
      </c>
      <c r="U262" s="41">
        <v>22</v>
      </c>
      <c r="V262" s="40">
        <f t="shared" si="148"/>
        <v>5200</v>
      </c>
      <c r="W262" s="40">
        <f t="shared" si="62"/>
        <v>1800</v>
      </c>
      <c r="X262" s="8">
        <f t="shared" si="75"/>
        <v>350</v>
      </c>
      <c r="Y262" s="26"/>
      <c r="Z262" s="8" t="str">
        <f t="shared" si="14"/>
        <v>Pack 3 Mantequilla RUMAY / 200 gramos)</v>
      </c>
      <c r="AA262" s="31" t="s">
        <v>493</v>
      </c>
      <c r="AB262" s="31">
        <v>-3</v>
      </c>
    </row>
    <row r="263" spans="1:28" ht="13.2">
      <c r="A263" s="59" t="s">
        <v>147</v>
      </c>
      <c r="B263" s="8" t="str">
        <f>CONCATENATE(C263,E263)</f>
        <v>Pack 3 Papel Aluminio 7.5 Metros</v>
      </c>
      <c r="C263" s="23" t="s">
        <v>858</v>
      </c>
      <c r="D263" s="61" t="s">
        <v>360</v>
      </c>
      <c r="E263" s="41"/>
      <c r="F263" s="62">
        <v>1951.2605042016808</v>
      </c>
      <c r="G263" s="62">
        <v>0</v>
      </c>
      <c r="H263" s="62">
        <f t="shared" si="94"/>
        <v>1951.2605042016808</v>
      </c>
      <c r="I263" s="62">
        <f t="shared" si="2"/>
        <v>370.73949579831935</v>
      </c>
      <c r="J263" s="63">
        <v>0.27437499999999992</v>
      </c>
      <c r="K263" s="62">
        <f t="shared" si="3"/>
        <v>2689.0756302521008</v>
      </c>
      <c r="L263" s="62">
        <f t="shared" si="4"/>
        <v>510.92436974789916</v>
      </c>
      <c r="M263" s="62">
        <f t="shared" si="15"/>
        <v>3200</v>
      </c>
      <c r="N263" s="62">
        <f t="shared" si="6"/>
        <v>737.81512605042008</v>
      </c>
      <c r="O263" s="61">
        <f t="shared" si="7"/>
        <v>0</v>
      </c>
      <c r="P263" s="61">
        <f t="shared" si="8"/>
        <v>2689.0756302521008</v>
      </c>
      <c r="Q263" s="64">
        <f t="shared" si="9"/>
        <v>0.27437499999999992</v>
      </c>
      <c r="R263" s="26">
        <v>3200</v>
      </c>
      <c r="S263" s="26">
        <f>774*3</f>
        <v>2322</v>
      </c>
      <c r="T263" s="40">
        <f>S263*E263/1000</f>
        <v>0</v>
      </c>
      <c r="U263" s="41">
        <v>0</v>
      </c>
      <c r="V263" s="40">
        <f t="shared" si="148"/>
        <v>0</v>
      </c>
      <c r="W263" s="40">
        <f t="shared" si="62"/>
        <v>3200</v>
      </c>
      <c r="X263" s="8">
        <f t="shared" si="75"/>
        <v>160</v>
      </c>
      <c r="Y263" s="26"/>
      <c r="Z263" s="8" t="str">
        <f t="shared" si="14"/>
        <v>Pack 3 Papel Aluminio 7.5 Metros</v>
      </c>
      <c r="AA263" s="31" t="s">
        <v>363</v>
      </c>
      <c r="AB263" s="31">
        <v>-3</v>
      </c>
    </row>
    <row r="264" spans="1:28" ht="13.2">
      <c r="A264" s="59" t="s">
        <v>56</v>
      </c>
      <c r="B264" s="8" t="str">
        <f>CONCATENATE(C264," / ",E264," gramos)")</f>
        <v>Pack 3 Provoleta Parrillera / 135 gramos)</v>
      </c>
      <c r="C264" s="31" t="s">
        <v>1608</v>
      </c>
      <c r="D264" s="61" t="s">
        <v>427</v>
      </c>
      <c r="E264" s="41">
        <v>135</v>
      </c>
      <c r="F264" s="62">
        <f>1462*3</f>
        <v>4386</v>
      </c>
      <c r="G264" s="62">
        <v>18.487394957983195</v>
      </c>
      <c r="H264" s="62">
        <f t="shared" si="94"/>
        <v>4404.4873949579833</v>
      </c>
      <c r="I264" s="62">
        <f t="shared" si="2"/>
        <v>836.85260504201688</v>
      </c>
      <c r="J264" s="63">
        <v>0.34484999999999999</v>
      </c>
      <c r="K264" s="62">
        <f t="shared" si="3"/>
        <v>6722.8686483369966</v>
      </c>
      <c r="L264" s="62">
        <f t="shared" si="4"/>
        <v>1277.3450431840295</v>
      </c>
      <c r="M264" s="62">
        <f t="shared" si="15"/>
        <v>8000.2136915210258</v>
      </c>
      <c r="N264" s="62">
        <f t="shared" si="6"/>
        <v>2318.3812533790133</v>
      </c>
      <c r="O264" s="61">
        <f t="shared" si="7"/>
        <v>1500.2136915210258</v>
      </c>
      <c r="P264" s="61">
        <f t="shared" si="8"/>
        <v>5462.1848739495799</v>
      </c>
      <c r="Q264" s="64">
        <f t="shared" si="9"/>
        <v>0.19364000000000003</v>
      </c>
      <c r="R264" s="41">
        <v>6500</v>
      </c>
      <c r="S264" s="41">
        <f>1444*3</f>
        <v>4332</v>
      </c>
      <c r="T264" s="40">
        <f>S264</f>
        <v>4332</v>
      </c>
      <c r="U264" s="41">
        <v>22</v>
      </c>
      <c r="V264" s="40">
        <f t="shared" si="148"/>
        <v>4354</v>
      </c>
      <c r="W264" s="40">
        <f t="shared" si="62"/>
        <v>2146</v>
      </c>
      <c r="X264" s="8">
        <f t="shared" si="75"/>
        <v>325</v>
      </c>
      <c r="Y264" s="26"/>
      <c r="Z264" s="8" t="str">
        <f t="shared" si="14"/>
        <v>Pack 3 Provoleta Parrillera / 135 gramos)</v>
      </c>
      <c r="AA264" s="31" t="s">
        <v>428</v>
      </c>
      <c r="AB264" s="31">
        <v>-3</v>
      </c>
    </row>
    <row r="265" spans="1:28" ht="13.2">
      <c r="A265" s="59" t="s">
        <v>53</v>
      </c>
      <c r="B265" s="8" t="str">
        <f>CONCATENATE(C265," / ",E265," unidades c/u")</f>
        <v>Pack 3 Servilleta / 300 unidades c/u</v>
      </c>
      <c r="C265" s="82" t="s">
        <v>1609</v>
      </c>
      <c r="D265" s="61" t="s">
        <v>381</v>
      </c>
      <c r="E265" s="41">
        <v>300</v>
      </c>
      <c r="F265" s="62">
        <f>731*3</f>
        <v>2193</v>
      </c>
      <c r="G265" s="62">
        <v>0</v>
      </c>
      <c r="H265" s="62">
        <f t="shared" si="94"/>
        <v>2193</v>
      </c>
      <c r="I265" s="62">
        <f t="shared" si="2"/>
        <v>416.67</v>
      </c>
      <c r="J265" s="63">
        <v>0.47810000000000002</v>
      </c>
      <c r="K265" s="62">
        <f t="shared" si="3"/>
        <v>4201.9543973941363</v>
      </c>
      <c r="L265" s="62">
        <f t="shared" si="4"/>
        <v>798.37133550488591</v>
      </c>
      <c r="M265" s="62">
        <f t="shared" si="15"/>
        <v>5000.3257328990221</v>
      </c>
      <c r="N265" s="62">
        <f t="shared" si="6"/>
        <v>2008.9543973941363</v>
      </c>
      <c r="O265" s="61">
        <f t="shared" si="7"/>
        <v>0.325732899022114</v>
      </c>
      <c r="P265" s="61">
        <f t="shared" si="8"/>
        <v>4201.680672268908</v>
      </c>
      <c r="Q265" s="64">
        <f t="shared" si="9"/>
        <v>0.4780660000000001</v>
      </c>
      <c r="R265" s="41">
        <v>5000</v>
      </c>
      <c r="S265" s="41">
        <f>996*3</f>
        <v>2988</v>
      </c>
      <c r="T265" s="74"/>
      <c r="U265" s="74"/>
      <c r="V265" s="75">
        <f t="shared" ref="V265:V267" si="150">S265</f>
        <v>2988</v>
      </c>
      <c r="W265" s="40">
        <f t="shared" si="62"/>
        <v>2012</v>
      </c>
      <c r="X265" s="8">
        <f t="shared" si="75"/>
        <v>250</v>
      </c>
      <c r="Y265" s="76"/>
      <c r="Z265" s="8" t="str">
        <f t="shared" si="14"/>
        <v>Pack 3 Servilleta / 300 unidades c/u</v>
      </c>
      <c r="AA265" s="31" t="s">
        <v>382</v>
      </c>
      <c r="AB265" s="31">
        <v>-3</v>
      </c>
    </row>
    <row r="266" spans="1:28" ht="13.2">
      <c r="A266" s="59" t="s">
        <v>53</v>
      </c>
      <c r="B266" s="8" t="str">
        <f>CONCATENATE(C266,E266)</f>
        <v>Pack 3 Toalla Jumbo AZUL SWAN 100 mts</v>
      </c>
      <c r="C266" s="31" t="s">
        <v>263</v>
      </c>
      <c r="D266" s="31" t="s">
        <v>408</v>
      </c>
      <c r="E266" s="41"/>
      <c r="F266" s="62">
        <v>6088</v>
      </c>
      <c r="G266" s="62">
        <v>0</v>
      </c>
      <c r="H266" s="62">
        <f t="shared" si="94"/>
        <v>6088</v>
      </c>
      <c r="I266" s="62">
        <f t="shared" si="2"/>
        <v>1156.72</v>
      </c>
      <c r="J266" s="63">
        <v>0.27550000000000002</v>
      </c>
      <c r="K266" s="62">
        <f t="shared" si="3"/>
        <v>8403.036576949622</v>
      </c>
      <c r="L266" s="62">
        <f t="shared" si="4"/>
        <v>1596.5769496204282</v>
      </c>
      <c r="M266" s="62">
        <f t="shared" si="15"/>
        <v>9999.6135265700505</v>
      </c>
      <c r="N266" s="62">
        <f t="shared" si="6"/>
        <v>2315.036576949622</v>
      </c>
      <c r="O266" s="61">
        <f t="shared" si="7"/>
        <v>5999.6135265700505</v>
      </c>
      <c r="P266" s="61">
        <f t="shared" si="8"/>
        <v>3361.3445378151264</v>
      </c>
      <c r="Q266" s="64">
        <f t="shared" si="9"/>
        <v>-0.81117999999999979</v>
      </c>
      <c r="R266" s="41">
        <v>4000</v>
      </c>
      <c r="S266" s="41">
        <f>955*3</f>
        <v>2865</v>
      </c>
      <c r="T266" s="74"/>
      <c r="U266" s="74"/>
      <c r="V266" s="75">
        <f t="shared" si="150"/>
        <v>2865</v>
      </c>
      <c r="W266" s="40">
        <f t="shared" si="62"/>
        <v>1135</v>
      </c>
      <c r="X266" s="8">
        <f t="shared" si="75"/>
        <v>200</v>
      </c>
      <c r="Y266" s="76"/>
      <c r="Z266" s="8" t="str">
        <f t="shared" si="14"/>
        <v>Pack 3 Toalla Jumbo AZUL SWAN 100 mts</v>
      </c>
      <c r="AA266" s="31" t="s">
        <v>536</v>
      </c>
      <c r="AB266" s="31">
        <v>-3</v>
      </c>
    </row>
    <row r="267" spans="1:28" ht="13.2">
      <c r="A267" s="59" t="s">
        <v>53</v>
      </c>
      <c r="B267" s="8" t="str">
        <f>CONCATENATE(C267," / ",E267," metros")</f>
        <v>Pack 3 Toalla Jumbo SWAN D/H / 100 metros</v>
      </c>
      <c r="C267" s="31" t="s">
        <v>1610</v>
      </c>
      <c r="D267" s="31" t="s">
        <v>408</v>
      </c>
      <c r="E267" s="41">
        <v>100</v>
      </c>
      <c r="F267" s="62">
        <v>5288</v>
      </c>
      <c r="G267" s="62">
        <v>0</v>
      </c>
      <c r="H267" s="62">
        <f t="shared" si="94"/>
        <v>5288</v>
      </c>
      <c r="I267" s="62">
        <f t="shared" si="2"/>
        <v>1004.72</v>
      </c>
      <c r="J267" s="63">
        <v>0.33760000000000001</v>
      </c>
      <c r="K267" s="62">
        <f t="shared" si="3"/>
        <v>7983.0917874396137</v>
      </c>
      <c r="L267" s="62">
        <f t="shared" si="4"/>
        <v>1516.7874396135267</v>
      </c>
      <c r="M267" s="62">
        <f t="shared" si="15"/>
        <v>9499.8792270531412</v>
      </c>
      <c r="N267" s="62">
        <f t="shared" si="6"/>
        <v>2695.0917874396137</v>
      </c>
      <c r="O267" s="61">
        <f t="shared" si="7"/>
        <v>-3500.1207729468588</v>
      </c>
      <c r="P267" s="61">
        <f t="shared" si="8"/>
        <v>10924.36974789916</v>
      </c>
      <c r="Q267" s="64">
        <f t="shared" si="9"/>
        <v>0.51594461538461545</v>
      </c>
      <c r="R267" s="41">
        <v>13000</v>
      </c>
      <c r="S267" s="41">
        <f>1290*6</f>
        <v>7740</v>
      </c>
      <c r="T267" s="74"/>
      <c r="U267" s="74"/>
      <c r="V267" s="75">
        <f t="shared" si="150"/>
        <v>7740</v>
      </c>
      <c r="W267" s="40">
        <f t="shared" si="62"/>
        <v>5260</v>
      </c>
      <c r="X267" s="8">
        <f t="shared" si="75"/>
        <v>650</v>
      </c>
      <c r="Y267" s="76"/>
      <c r="Z267" s="8" t="str">
        <f t="shared" si="14"/>
        <v>Pack 3 Toalla Jumbo SWAN D/H / 100 metros</v>
      </c>
      <c r="AA267" s="31" t="s">
        <v>409</v>
      </c>
      <c r="AB267" s="31">
        <v>-3</v>
      </c>
    </row>
    <row r="268" spans="1:28" ht="13.2">
      <c r="A268" s="59" t="s">
        <v>47</v>
      </c>
      <c r="B268" s="8" t="str">
        <f t="shared" ref="B268:B277" si="151">CONCATENATE(C268,E268)</f>
        <v>Mopa Repuesto</v>
      </c>
      <c r="C268" s="23" t="s">
        <v>250</v>
      </c>
      <c r="D268" s="61" t="s">
        <v>439</v>
      </c>
      <c r="E268" s="41"/>
      <c r="F268" s="62">
        <f>32227/50</f>
        <v>644.54</v>
      </c>
      <c r="G268" s="62">
        <v>0</v>
      </c>
      <c r="H268" s="62">
        <f t="shared" si="94"/>
        <v>644.54</v>
      </c>
      <c r="I268" s="62">
        <f t="shared" si="2"/>
        <v>122.46259999999999</v>
      </c>
      <c r="J268" s="63">
        <v>0.52054999999999996</v>
      </c>
      <c r="K268" s="62">
        <f t="shared" si="3"/>
        <v>1344.3320471373447</v>
      </c>
      <c r="L268" s="62">
        <f t="shared" si="4"/>
        <v>255.42308895609551</v>
      </c>
      <c r="M268" s="62">
        <f t="shared" si="15"/>
        <v>1599.7551360934403</v>
      </c>
      <c r="N268" s="62">
        <f t="shared" si="6"/>
        <v>699.79204713734475</v>
      </c>
      <c r="O268" s="61">
        <f t="shared" si="7"/>
        <v>-5900.2448639065597</v>
      </c>
      <c r="P268" s="61">
        <f t="shared" si="8"/>
        <v>6302.5210084033615</v>
      </c>
      <c r="Q268" s="64">
        <f t="shared" si="9"/>
        <v>0.89773298666666668</v>
      </c>
      <c r="R268" s="26">
        <v>7500</v>
      </c>
      <c r="S268" s="26">
        <f t="shared" ref="S268:S275" si="152">1478*3</f>
        <v>4434</v>
      </c>
      <c r="T268" s="40">
        <f t="shared" ref="T268:T275" si="153">S268*E268/1000</f>
        <v>0</v>
      </c>
      <c r="U268" s="41">
        <v>0</v>
      </c>
      <c r="V268" s="40">
        <f t="shared" ref="V268:V277" si="154">T268+U268</f>
        <v>0</v>
      </c>
      <c r="W268" s="40">
        <f t="shared" si="62"/>
        <v>7500</v>
      </c>
      <c r="X268" s="8">
        <f t="shared" si="75"/>
        <v>375</v>
      </c>
      <c r="Y268" s="26"/>
      <c r="Z268" s="8" t="str">
        <f t="shared" si="14"/>
        <v>Mopa Repuesto</v>
      </c>
      <c r="AA268" s="31" t="s">
        <v>250</v>
      </c>
      <c r="AB268" s="31">
        <v>-1</v>
      </c>
    </row>
    <row r="269" spans="1:28" ht="13.2">
      <c r="A269" s="59" t="s">
        <v>47</v>
      </c>
      <c r="B269" s="8" t="str">
        <f t="shared" si="151"/>
        <v>Virutilla Dorada</v>
      </c>
      <c r="C269" s="23" t="s">
        <v>386</v>
      </c>
      <c r="D269" s="61" t="s">
        <v>387</v>
      </c>
      <c r="E269" s="41"/>
      <c r="F269" s="62">
        <f>55252/250</f>
        <v>221.00800000000001</v>
      </c>
      <c r="G269" s="62">
        <v>0</v>
      </c>
      <c r="H269" s="62">
        <f t="shared" si="94"/>
        <v>221.00800000000001</v>
      </c>
      <c r="I269" s="62">
        <f t="shared" si="2"/>
        <v>41.991520000000001</v>
      </c>
      <c r="J269" s="63">
        <v>0.56200000000000006</v>
      </c>
      <c r="K269" s="62">
        <f t="shared" si="3"/>
        <v>504.58447488584483</v>
      </c>
      <c r="L269" s="62">
        <f t="shared" si="4"/>
        <v>95.871050228310523</v>
      </c>
      <c r="M269" s="62">
        <f t="shared" si="15"/>
        <v>600.45552511415531</v>
      </c>
      <c r="N269" s="62">
        <f t="shared" si="6"/>
        <v>283.57647488584485</v>
      </c>
      <c r="O269" s="61">
        <f t="shared" si="7"/>
        <v>-6899.5444748858445</v>
      </c>
      <c r="P269" s="61">
        <f t="shared" si="8"/>
        <v>6302.5210084033615</v>
      </c>
      <c r="Q269" s="64">
        <f t="shared" si="9"/>
        <v>0.96493339733333339</v>
      </c>
      <c r="R269" s="26">
        <v>7500</v>
      </c>
      <c r="S269" s="26">
        <f t="shared" si="152"/>
        <v>4434</v>
      </c>
      <c r="T269" s="40">
        <f t="shared" si="153"/>
        <v>0</v>
      </c>
      <c r="U269" s="41">
        <v>0</v>
      </c>
      <c r="V269" s="40">
        <f t="shared" si="154"/>
        <v>0</v>
      </c>
      <c r="W269" s="40">
        <f t="shared" si="62"/>
        <v>7500</v>
      </c>
      <c r="X269" s="8">
        <f t="shared" si="75"/>
        <v>375</v>
      </c>
      <c r="Y269" s="26"/>
      <c r="Z269" s="8" t="str">
        <f t="shared" si="14"/>
        <v>Virutilla Dorada</v>
      </c>
      <c r="AA269" s="31" t="s">
        <v>386</v>
      </c>
      <c r="AB269" s="31">
        <v>-1</v>
      </c>
    </row>
    <row r="270" spans="1:28" ht="13.2">
      <c r="A270" s="59" t="s">
        <v>47</v>
      </c>
      <c r="B270" s="8" t="str">
        <f t="shared" si="151"/>
        <v>Pack 3 x Virutilla Dorada</v>
      </c>
      <c r="C270" s="23" t="s">
        <v>556</v>
      </c>
      <c r="D270" s="61" t="s">
        <v>387</v>
      </c>
      <c r="E270" s="41"/>
      <c r="F270" s="62">
        <f>(55252/250)*3</f>
        <v>663.024</v>
      </c>
      <c r="G270" s="62">
        <v>0</v>
      </c>
      <c r="H270" s="62">
        <f t="shared" si="94"/>
        <v>663.024</v>
      </c>
      <c r="I270" s="62">
        <f t="shared" si="2"/>
        <v>125.97456</v>
      </c>
      <c r="J270" s="63">
        <v>0.50700000000000001</v>
      </c>
      <c r="K270" s="62">
        <f t="shared" si="3"/>
        <v>1344.8762677484788</v>
      </c>
      <c r="L270" s="62">
        <f t="shared" si="4"/>
        <v>255.52649087221096</v>
      </c>
      <c r="M270" s="62">
        <f t="shared" si="15"/>
        <v>1600.4027586206898</v>
      </c>
      <c r="N270" s="62">
        <f t="shared" si="6"/>
        <v>681.85226774847877</v>
      </c>
      <c r="O270" s="61">
        <f t="shared" si="7"/>
        <v>-5899.5972413793097</v>
      </c>
      <c r="P270" s="61">
        <f t="shared" si="8"/>
        <v>6302.5210084033615</v>
      </c>
      <c r="Q270" s="64">
        <f t="shared" si="9"/>
        <v>0.89480019200000005</v>
      </c>
      <c r="R270" s="26">
        <v>7500</v>
      </c>
      <c r="S270" s="26">
        <f t="shared" si="152"/>
        <v>4434</v>
      </c>
      <c r="T270" s="40">
        <f t="shared" si="153"/>
        <v>0</v>
      </c>
      <c r="U270" s="41">
        <v>0</v>
      </c>
      <c r="V270" s="40">
        <f t="shared" si="154"/>
        <v>0</v>
      </c>
      <c r="W270" s="40">
        <f t="shared" si="62"/>
        <v>7500</v>
      </c>
      <c r="X270" s="8">
        <f t="shared" si="75"/>
        <v>375</v>
      </c>
      <c r="Y270" s="26"/>
      <c r="Z270" s="8" t="str">
        <f t="shared" si="14"/>
        <v>Pack 3 x Virutilla Dorada</v>
      </c>
      <c r="AA270" s="31" t="s">
        <v>386</v>
      </c>
      <c r="AB270" s="31">
        <v>-3</v>
      </c>
    </row>
    <row r="271" spans="1:28" ht="13.2">
      <c r="A271" s="59" t="s">
        <v>47</v>
      </c>
      <c r="B271" s="8" t="str">
        <f t="shared" si="151"/>
        <v>Pack 6 x Virutilla Dorada</v>
      </c>
      <c r="C271" s="23" t="s">
        <v>490</v>
      </c>
      <c r="D271" s="61" t="s">
        <v>387</v>
      </c>
      <c r="E271" s="41"/>
      <c r="F271" s="62">
        <f>(55252/250)*6</f>
        <v>1326.048</v>
      </c>
      <c r="G271" s="62">
        <v>0</v>
      </c>
      <c r="H271" s="62">
        <f t="shared" si="94"/>
        <v>1326.048</v>
      </c>
      <c r="I271" s="62">
        <f t="shared" si="2"/>
        <v>251.94911999999999</v>
      </c>
      <c r="J271" s="63">
        <v>0.47399999999999998</v>
      </c>
      <c r="K271" s="62">
        <f t="shared" si="3"/>
        <v>2521.0038022813687</v>
      </c>
      <c r="L271" s="62">
        <f t="shared" si="4"/>
        <v>478.99072243346006</v>
      </c>
      <c r="M271" s="62">
        <f t="shared" si="15"/>
        <v>2999.9945247148289</v>
      </c>
      <c r="N271" s="62">
        <f t="shared" si="6"/>
        <v>1194.9558022813687</v>
      </c>
      <c r="O271" s="61">
        <f t="shared" si="7"/>
        <v>-4500.0054752851711</v>
      </c>
      <c r="P271" s="61">
        <f t="shared" si="8"/>
        <v>6302.5210084033615</v>
      </c>
      <c r="Q271" s="64">
        <f t="shared" si="9"/>
        <v>0.78960038399999999</v>
      </c>
      <c r="R271" s="26">
        <v>7500</v>
      </c>
      <c r="S271" s="26">
        <f t="shared" si="152"/>
        <v>4434</v>
      </c>
      <c r="T271" s="40">
        <f t="shared" si="153"/>
        <v>0</v>
      </c>
      <c r="U271" s="41">
        <v>0</v>
      </c>
      <c r="V271" s="40">
        <f t="shared" si="154"/>
        <v>0</v>
      </c>
      <c r="W271" s="40">
        <f t="shared" si="62"/>
        <v>7500</v>
      </c>
      <c r="X271" s="8">
        <f t="shared" si="75"/>
        <v>375</v>
      </c>
      <c r="Y271" s="26"/>
      <c r="Z271" s="8" t="str">
        <f t="shared" si="14"/>
        <v>Pack 6 x Virutilla Dorada</v>
      </c>
      <c r="AA271" s="31" t="s">
        <v>386</v>
      </c>
      <c r="AB271" s="31">
        <v>-6</v>
      </c>
    </row>
    <row r="272" spans="1:28" ht="13.2">
      <c r="A272" s="59" t="s">
        <v>47</v>
      </c>
      <c r="B272" s="8" t="str">
        <f t="shared" si="151"/>
        <v>Virutilla Plateada</v>
      </c>
      <c r="C272" s="23" t="s">
        <v>388</v>
      </c>
      <c r="D272" s="61" t="s">
        <v>387</v>
      </c>
      <c r="E272" s="41"/>
      <c r="F272" s="62">
        <f>22059/250</f>
        <v>88.236000000000004</v>
      </c>
      <c r="G272" s="62">
        <v>0</v>
      </c>
      <c r="H272" s="62">
        <f t="shared" si="94"/>
        <v>88.236000000000004</v>
      </c>
      <c r="I272" s="62">
        <f t="shared" si="2"/>
        <v>16.76484</v>
      </c>
      <c r="J272" s="63">
        <v>0.65</v>
      </c>
      <c r="K272" s="62">
        <f t="shared" si="3"/>
        <v>252.10285714285718</v>
      </c>
      <c r="L272" s="62">
        <f t="shared" si="4"/>
        <v>47.899542857142862</v>
      </c>
      <c r="M272" s="62">
        <f t="shared" si="15"/>
        <v>300.00240000000002</v>
      </c>
      <c r="N272" s="62">
        <f t="shared" si="6"/>
        <v>163.86685714285716</v>
      </c>
      <c r="O272" s="61">
        <f t="shared" si="7"/>
        <v>-7199.9975999999997</v>
      </c>
      <c r="P272" s="61">
        <f t="shared" si="8"/>
        <v>6302.5210084033615</v>
      </c>
      <c r="Q272" s="64">
        <f t="shared" si="9"/>
        <v>0.98599988800000005</v>
      </c>
      <c r="R272" s="26">
        <v>7500</v>
      </c>
      <c r="S272" s="26">
        <f t="shared" si="152"/>
        <v>4434</v>
      </c>
      <c r="T272" s="40">
        <f t="shared" si="153"/>
        <v>0</v>
      </c>
      <c r="U272" s="41">
        <v>0</v>
      </c>
      <c r="V272" s="40">
        <f t="shared" si="154"/>
        <v>0</v>
      </c>
      <c r="W272" s="40">
        <f t="shared" si="62"/>
        <v>7500</v>
      </c>
      <c r="X272" s="8">
        <f t="shared" si="75"/>
        <v>375</v>
      </c>
      <c r="Y272" s="26"/>
      <c r="Z272" s="8" t="str">
        <f t="shared" si="14"/>
        <v>Virutilla Plateada</v>
      </c>
      <c r="AA272" s="31" t="s">
        <v>388</v>
      </c>
      <c r="AB272" s="31">
        <v>-1</v>
      </c>
    </row>
    <row r="273" spans="1:28" ht="13.2">
      <c r="A273" s="59" t="s">
        <v>47</v>
      </c>
      <c r="B273" s="8" t="str">
        <f t="shared" si="151"/>
        <v>Pack 3 x Virutilla Plateada</v>
      </c>
      <c r="C273" s="23" t="s">
        <v>1611</v>
      </c>
      <c r="D273" s="61" t="s">
        <v>387</v>
      </c>
      <c r="E273" s="41"/>
      <c r="F273" s="62">
        <f>(22059/250)*3</f>
        <v>264.70800000000003</v>
      </c>
      <c r="G273" s="62">
        <v>0</v>
      </c>
      <c r="H273" s="62">
        <f t="shared" si="94"/>
        <v>264.70800000000003</v>
      </c>
      <c r="I273" s="62">
        <f t="shared" si="2"/>
        <v>50.294520000000006</v>
      </c>
      <c r="J273" s="63">
        <v>0.57999999999999996</v>
      </c>
      <c r="K273" s="62">
        <f t="shared" si="3"/>
        <v>630.25714285714287</v>
      </c>
      <c r="L273" s="62">
        <f t="shared" si="4"/>
        <v>119.74885714285715</v>
      </c>
      <c r="M273" s="62">
        <f t="shared" si="15"/>
        <v>750.00599999999997</v>
      </c>
      <c r="N273" s="62">
        <f t="shared" si="6"/>
        <v>365.54914285714284</v>
      </c>
      <c r="O273" s="61">
        <f t="shared" si="7"/>
        <v>-6749.9939999999997</v>
      </c>
      <c r="P273" s="61">
        <f t="shared" si="8"/>
        <v>6302.5210084033615</v>
      </c>
      <c r="Q273" s="64">
        <f t="shared" si="9"/>
        <v>0.95799966400000003</v>
      </c>
      <c r="R273" s="26">
        <v>7500</v>
      </c>
      <c r="S273" s="26">
        <f t="shared" si="152"/>
        <v>4434</v>
      </c>
      <c r="T273" s="40">
        <f t="shared" si="153"/>
        <v>0</v>
      </c>
      <c r="U273" s="41">
        <v>0</v>
      </c>
      <c r="V273" s="40">
        <f t="shared" si="154"/>
        <v>0</v>
      </c>
      <c r="W273" s="40">
        <f t="shared" si="62"/>
        <v>7500</v>
      </c>
      <c r="X273" s="8">
        <f t="shared" si="75"/>
        <v>375</v>
      </c>
      <c r="Y273" s="26"/>
      <c r="Z273" s="8" t="str">
        <f t="shared" si="14"/>
        <v>Pack 3 x Virutilla Plateada</v>
      </c>
      <c r="AA273" s="31" t="s">
        <v>388</v>
      </c>
      <c r="AB273" s="31">
        <v>-3</v>
      </c>
    </row>
    <row r="274" spans="1:28" ht="13.2">
      <c r="A274" s="59" t="s">
        <v>47</v>
      </c>
      <c r="B274" s="8" t="str">
        <f t="shared" si="151"/>
        <v>Pack 6 x Virutilla Plateada</v>
      </c>
      <c r="C274" s="23" t="s">
        <v>327</v>
      </c>
      <c r="D274" s="61" t="s">
        <v>387</v>
      </c>
      <c r="E274" s="41"/>
      <c r="F274" s="62">
        <f>(22059/250)*6</f>
        <v>529.41600000000005</v>
      </c>
      <c r="G274" s="62">
        <v>0</v>
      </c>
      <c r="H274" s="62">
        <f t="shared" si="94"/>
        <v>529.41600000000005</v>
      </c>
      <c r="I274" s="62">
        <f t="shared" si="2"/>
        <v>100.58904000000001</v>
      </c>
      <c r="J274" s="63">
        <v>0.51519999999999999</v>
      </c>
      <c r="K274" s="62">
        <f t="shared" si="3"/>
        <v>1092.0297029702972</v>
      </c>
      <c r="L274" s="62">
        <f t="shared" si="4"/>
        <v>207.48564356435648</v>
      </c>
      <c r="M274" s="62">
        <f t="shared" si="15"/>
        <v>1299.5153465346536</v>
      </c>
      <c r="N274" s="62">
        <f t="shared" si="6"/>
        <v>562.61370297029714</v>
      </c>
      <c r="O274" s="61">
        <f t="shared" si="7"/>
        <v>-6200.4846534653461</v>
      </c>
      <c r="P274" s="61">
        <f t="shared" si="8"/>
        <v>6302.5210084033615</v>
      </c>
      <c r="Q274" s="64">
        <f t="shared" si="9"/>
        <v>0.91599932799999995</v>
      </c>
      <c r="R274" s="26">
        <v>7500</v>
      </c>
      <c r="S274" s="26">
        <f t="shared" si="152"/>
        <v>4434</v>
      </c>
      <c r="T274" s="40">
        <f t="shared" si="153"/>
        <v>0</v>
      </c>
      <c r="U274" s="41">
        <v>0</v>
      </c>
      <c r="V274" s="40">
        <f t="shared" si="154"/>
        <v>0</v>
      </c>
      <c r="W274" s="40">
        <f t="shared" si="62"/>
        <v>7500</v>
      </c>
      <c r="X274" s="8">
        <f t="shared" si="75"/>
        <v>375</v>
      </c>
      <c r="Y274" s="26"/>
      <c r="Z274" s="8" t="str">
        <f t="shared" si="14"/>
        <v>Pack 6 x Virutilla Plateada</v>
      </c>
      <c r="AA274" s="31" t="s">
        <v>388</v>
      </c>
      <c r="AB274" s="31">
        <v>-6</v>
      </c>
    </row>
    <row r="275" spans="1:28" ht="13.2">
      <c r="A275" s="59" t="s">
        <v>47</v>
      </c>
      <c r="B275" s="8" t="str">
        <f t="shared" si="151"/>
        <v>Pack 3 Trapero Húmedo EXCELL</v>
      </c>
      <c r="C275" s="23" t="s">
        <v>267</v>
      </c>
      <c r="D275" s="61" t="s">
        <v>372</v>
      </c>
      <c r="E275" s="41"/>
      <c r="F275" s="62">
        <f>1538*3</f>
        <v>4614</v>
      </c>
      <c r="G275" s="62">
        <v>0</v>
      </c>
      <c r="H275" s="62">
        <f t="shared" si="94"/>
        <v>4614</v>
      </c>
      <c r="I275" s="62">
        <f t="shared" si="2"/>
        <v>876.66</v>
      </c>
      <c r="J275" s="63">
        <v>0.26790000000000003</v>
      </c>
      <c r="K275" s="62">
        <f t="shared" si="3"/>
        <v>6302.4177024996588</v>
      </c>
      <c r="L275" s="62">
        <f t="shared" si="4"/>
        <v>1197.4593634749351</v>
      </c>
      <c r="M275" s="62">
        <f t="shared" si="15"/>
        <v>7499.8770659745942</v>
      </c>
      <c r="N275" s="62">
        <f t="shared" si="6"/>
        <v>1688.4177024996588</v>
      </c>
      <c r="O275" s="61">
        <f t="shared" si="7"/>
        <v>-0.12293402540581155</v>
      </c>
      <c r="P275" s="61">
        <f t="shared" si="8"/>
        <v>6302.5210084033615</v>
      </c>
      <c r="Q275" s="64">
        <f t="shared" si="9"/>
        <v>0.26791200000000004</v>
      </c>
      <c r="R275" s="26">
        <v>7500</v>
      </c>
      <c r="S275" s="26">
        <f t="shared" si="152"/>
        <v>4434</v>
      </c>
      <c r="T275" s="40">
        <f t="shared" si="153"/>
        <v>0</v>
      </c>
      <c r="U275" s="41">
        <v>0</v>
      </c>
      <c r="V275" s="40">
        <f t="shared" si="154"/>
        <v>0</v>
      </c>
      <c r="W275" s="40">
        <f t="shared" si="62"/>
        <v>7500</v>
      </c>
      <c r="X275" s="8">
        <f t="shared" si="75"/>
        <v>375</v>
      </c>
      <c r="Y275" s="26"/>
      <c r="Z275" s="8" t="str">
        <f t="shared" si="14"/>
        <v>Pack 3 Trapero Húmedo EXCELL</v>
      </c>
      <c r="AA275" s="31" t="s">
        <v>375</v>
      </c>
      <c r="AB275" s="31">
        <v>-3</v>
      </c>
    </row>
    <row r="276" spans="1:28" ht="13.2">
      <c r="A276" s="59" t="s">
        <v>47</v>
      </c>
      <c r="B276" s="8" t="str">
        <f t="shared" si="151"/>
        <v>Pack 3 Trapero Húmedo TEDDY</v>
      </c>
      <c r="C276" s="23" t="s">
        <v>565</v>
      </c>
      <c r="D276" s="61" t="s">
        <v>372</v>
      </c>
      <c r="E276" s="41"/>
      <c r="F276" s="62">
        <f>(12545/12)*3</f>
        <v>3136.25</v>
      </c>
      <c r="G276" s="62">
        <v>0</v>
      </c>
      <c r="H276" s="62">
        <f t="shared" si="94"/>
        <v>3136.25</v>
      </c>
      <c r="I276" s="62">
        <f t="shared" si="2"/>
        <v>595.88750000000005</v>
      </c>
      <c r="J276" s="63">
        <v>0.45910000000000001</v>
      </c>
      <c r="K276" s="62">
        <f t="shared" si="3"/>
        <v>5798.2066925494555</v>
      </c>
      <c r="L276" s="62">
        <f t="shared" si="4"/>
        <v>1101.6592715843965</v>
      </c>
      <c r="M276" s="62">
        <f t="shared" si="15"/>
        <v>6899.8659641338518</v>
      </c>
      <c r="N276" s="62">
        <f t="shared" si="6"/>
        <v>2661.9566925494555</v>
      </c>
      <c r="O276" s="61">
        <f t="shared" si="7"/>
        <v>4149.8659641338518</v>
      </c>
      <c r="P276" s="61">
        <f t="shared" si="8"/>
        <v>2310.9243697478992</v>
      </c>
      <c r="Q276" s="64">
        <f t="shared" si="9"/>
        <v>-0.35714090909090901</v>
      </c>
      <c r="R276" s="26">
        <v>2750</v>
      </c>
      <c r="S276" s="26">
        <v>1960</v>
      </c>
      <c r="T276" s="41">
        <v>1960</v>
      </c>
      <c r="U276" s="41">
        <v>0</v>
      </c>
      <c r="V276" s="40">
        <f t="shared" si="154"/>
        <v>1960</v>
      </c>
      <c r="W276" s="40">
        <f t="shared" si="62"/>
        <v>790</v>
      </c>
      <c r="X276" s="8">
        <f t="shared" si="75"/>
        <v>137.5</v>
      </c>
      <c r="Y276" s="26"/>
      <c r="Z276" s="8" t="str">
        <f t="shared" si="14"/>
        <v>Pack 3 Trapero Húmedo TEDDY</v>
      </c>
      <c r="AA276" s="31" t="s">
        <v>566</v>
      </c>
      <c r="AB276" s="31">
        <v>-3</v>
      </c>
    </row>
    <row r="277" spans="1:28" ht="13.2">
      <c r="A277" s="59" t="s">
        <v>47</v>
      </c>
      <c r="B277" s="8" t="str">
        <f t="shared" si="151"/>
        <v>Pack 3 Trapero Húmedo VIRGINIA</v>
      </c>
      <c r="C277" s="23" t="s">
        <v>306</v>
      </c>
      <c r="D277" s="61" t="s">
        <v>372</v>
      </c>
      <c r="E277" s="41"/>
      <c r="F277" s="62">
        <v>4941.1764705882351</v>
      </c>
      <c r="G277" s="62">
        <v>0</v>
      </c>
      <c r="H277" s="62">
        <f t="shared" si="94"/>
        <v>4941.1764705882351</v>
      </c>
      <c r="I277" s="62">
        <f t="shared" si="2"/>
        <v>938.82352941176464</v>
      </c>
      <c r="J277" s="63">
        <v>0.26500000000000012</v>
      </c>
      <c r="K277" s="62">
        <f t="shared" si="3"/>
        <v>6722.6890756302528</v>
      </c>
      <c r="L277" s="62">
        <f t="shared" si="4"/>
        <v>1277.3109243697481</v>
      </c>
      <c r="M277" s="62">
        <f t="shared" si="15"/>
        <v>8000.0000000000009</v>
      </c>
      <c r="N277" s="62">
        <f t="shared" si="6"/>
        <v>1781.5126050420176</v>
      </c>
      <c r="O277" s="61">
        <f t="shared" si="7"/>
        <v>0</v>
      </c>
      <c r="P277" s="61">
        <f t="shared" si="8"/>
        <v>6722.6890756302528</v>
      </c>
      <c r="Q277" s="64">
        <f t="shared" si="9"/>
        <v>0.26500000000000012</v>
      </c>
      <c r="R277" s="26">
        <v>8000</v>
      </c>
      <c r="S277" s="26">
        <f>1960*3</f>
        <v>5880</v>
      </c>
      <c r="T277" s="40">
        <f>S277*E277/1000</f>
        <v>0</v>
      </c>
      <c r="U277" s="41">
        <v>0</v>
      </c>
      <c r="V277" s="40">
        <f t="shared" si="154"/>
        <v>0</v>
      </c>
      <c r="W277" s="40">
        <f t="shared" si="62"/>
        <v>8000</v>
      </c>
      <c r="X277" s="8">
        <f t="shared" si="75"/>
        <v>400</v>
      </c>
      <c r="Y277" s="26"/>
      <c r="Z277" s="8" t="str">
        <f t="shared" si="14"/>
        <v>Pack 3 Trapero Húmedo VIRGINIA</v>
      </c>
      <c r="AA277" s="31" t="s">
        <v>458</v>
      </c>
      <c r="AB277" s="31">
        <v>-3</v>
      </c>
    </row>
    <row r="278" spans="1:28" ht="13.2">
      <c r="A278" s="59" t="s">
        <v>53</v>
      </c>
      <c r="B278" s="8" t="str">
        <f>CONCATENATE(C278," / ",E278," metros")</f>
        <v>Pack 4 Toalla Jumbo SPUM D/H / 400 metros</v>
      </c>
      <c r="C278" s="31" t="s">
        <v>1612</v>
      </c>
      <c r="D278" s="61" t="s">
        <v>395</v>
      </c>
      <c r="E278" s="41">
        <v>400</v>
      </c>
      <c r="F278" s="62">
        <f>S278/1.19</f>
        <v>6302.5210084033615</v>
      </c>
      <c r="G278" s="62">
        <v>0</v>
      </c>
      <c r="H278" s="62">
        <f t="shared" si="94"/>
        <v>6302.5210084033615</v>
      </c>
      <c r="I278" s="62">
        <f t="shared" si="2"/>
        <v>1197.4789915966387</v>
      </c>
      <c r="J278" s="63">
        <v>0.25</v>
      </c>
      <c r="K278" s="62">
        <f t="shared" si="3"/>
        <v>8403.361344537816</v>
      </c>
      <c r="L278" s="62">
        <f t="shared" si="4"/>
        <v>1596.6386554621849</v>
      </c>
      <c r="M278" s="62">
        <f t="shared" si="15"/>
        <v>10000</v>
      </c>
      <c r="N278" s="62">
        <f t="shared" si="6"/>
        <v>2100.8403361344544</v>
      </c>
      <c r="O278" s="61">
        <f t="shared" si="7"/>
        <v>0</v>
      </c>
      <c r="P278" s="61">
        <f t="shared" si="8"/>
        <v>8403.361344537816</v>
      </c>
      <c r="Q278" s="64">
        <f t="shared" si="9"/>
        <v>0.25</v>
      </c>
      <c r="R278" s="41">
        <v>10000</v>
      </c>
      <c r="S278" s="41">
        <f>7500</f>
        <v>7500</v>
      </c>
      <c r="T278" s="74"/>
      <c r="U278" s="74"/>
      <c r="V278" s="75">
        <f t="shared" ref="V278:V279" si="155">S278</f>
        <v>7500</v>
      </c>
      <c r="W278" s="40">
        <f t="shared" si="62"/>
        <v>2500</v>
      </c>
      <c r="X278" s="8">
        <f t="shared" si="75"/>
        <v>500</v>
      </c>
      <c r="Y278" s="76"/>
      <c r="Z278" s="8" t="str">
        <f t="shared" si="14"/>
        <v>Pack 4 Toalla Jumbo SPUM D/H / 400 metros</v>
      </c>
      <c r="AA278" s="31" t="s">
        <v>396</v>
      </c>
      <c r="AB278" s="31">
        <v>-4</v>
      </c>
    </row>
    <row r="279" spans="1:28" ht="13.2">
      <c r="A279" s="59" t="s">
        <v>53</v>
      </c>
      <c r="B279" s="8" t="str">
        <f t="shared" ref="B279:B281" si="156">CONCATENATE(C279,E279)</f>
        <v>Pack 4 Toalla NOVA 70 mts</v>
      </c>
      <c r="C279" s="31" t="s">
        <v>157</v>
      </c>
      <c r="D279" s="31" t="s">
        <v>376</v>
      </c>
      <c r="E279" s="41"/>
      <c r="F279" s="62">
        <f>1695*4</f>
        <v>6780</v>
      </c>
      <c r="G279" s="62">
        <v>0</v>
      </c>
      <c r="H279" s="62">
        <f t="shared" si="94"/>
        <v>6780</v>
      </c>
      <c r="I279" s="62">
        <f t="shared" si="2"/>
        <v>1288.2</v>
      </c>
      <c r="J279" s="63">
        <v>0.2984</v>
      </c>
      <c r="K279" s="62">
        <f t="shared" si="3"/>
        <v>9663.6259977194986</v>
      </c>
      <c r="L279" s="62">
        <f t="shared" si="4"/>
        <v>1836.0889395667048</v>
      </c>
      <c r="M279" s="62">
        <f t="shared" si="15"/>
        <v>11499.714937286204</v>
      </c>
      <c r="N279" s="62">
        <f t="shared" si="6"/>
        <v>2883.6259977194986</v>
      </c>
      <c r="O279" s="61">
        <f t="shared" si="7"/>
        <v>7499.7149372862041</v>
      </c>
      <c r="P279" s="61">
        <f t="shared" si="8"/>
        <v>3361.3445378151264</v>
      </c>
      <c r="Q279" s="64">
        <f t="shared" si="9"/>
        <v>-1.0170499999999998</v>
      </c>
      <c r="R279" s="41">
        <v>4000</v>
      </c>
      <c r="S279" s="41">
        <f>955*3</f>
        <v>2865</v>
      </c>
      <c r="T279" s="74"/>
      <c r="U279" s="74"/>
      <c r="V279" s="75">
        <f t="shared" si="155"/>
        <v>2865</v>
      </c>
      <c r="W279" s="40">
        <f t="shared" si="62"/>
        <v>1135</v>
      </c>
      <c r="X279" s="8">
        <f t="shared" si="75"/>
        <v>200</v>
      </c>
      <c r="Y279" s="76"/>
      <c r="Z279" s="8" t="str">
        <f t="shared" si="14"/>
        <v>Pack 4 Toalla NOVA 70 mts</v>
      </c>
      <c r="AA279" s="31" t="s">
        <v>377</v>
      </c>
      <c r="AB279" s="31">
        <v>-4</v>
      </c>
    </row>
    <row r="280" spans="1:28" ht="13.2">
      <c r="A280" s="59" t="s">
        <v>147</v>
      </c>
      <c r="B280" s="8" t="str">
        <f t="shared" si="156"/>
        <v>Pack 5 Film Plástico 30 Metros</v>
      </c>
      <c r="C280" s="23" t="s">
        <v>1613</v>
      </c>
      <c r="D280" s="61" t="s">
        <v>412</v>
      </c>
      <c r="E280" s="41"/>
      <c r="F280" s="62">
        <v>3042.0168067226891</v>
      </c>
      <c r="G280" s="62">
        <v>0</v>
      </c>
      <c r="H280" s="62">
        <f t="shared" si="94"/>
        <v>3042.0168067226891</v>
      </c>
      <c r="I280" s="62">
        <f t="shared" si="2"/>
        <v>577.98319327731099</v>
      </c>
      <c r="J280" s="63">
        <v>0.48285714285714287</v>
      </c>
      <c r="K280" s="62">
        <f t="shared" si="3"/>
        <v>5882.3529411764712</v>
      </c>
      <c r="L280" s="62">
        <f t="shared" si="4"/>
        <v>1117.6470588235295</v>
      </c>
      <c r="M280" s="62">
        <f t="shared" si="15"/>
        <v>7000.0000000000009</v>
      </c>
      <c r="N280" s="62">
        <f t="shared" si="6"/>
        <v>2840.3361344537821</v>
      </c>
      <c r="O280" s="61">
        <f t="shared" si="7"/>
        <v>0</v>
      </c>
      <c r="P280" s="61">
        <f t="shared" si="8"/>
        <v>5882.3529411764712</v>
      </c>
      <c r="Q280" s="64">
        <f t="shared" si="9"/>
        <v>0.48285714285714287</v>
      </c>
      <c r="R280" s="41">
        <v>7000</v>
      </c>
      <c r="S280" s="41">
        <f>724*5</f>
        <v>3620</v>
      </c>
      <c r="T280" s="41">
        <f>S280</f>
        <v>3620</v>
      </c>
      <c r="U280" s="41">
        <v>0</v>
      </c>
      <c r="V280" s="40">
        <f t="shared" ref="V280:V282" si="157">T280+U280</f>
        <v>3620</v>
      </c>
      <c r="W280" s="40">
        <f t="shared" si="62"/>
        <v>3380</v>
      </c>
      <c r="X280" s="8">
        <f t="shared" si="75"/>
        <v>350</v>
      </c>
      <c r="Y280" s="26"/>
      <c r="Z280" s="8" t="str">
        <f t="shared" si="14"/>
        <v>Pack 5 Film Plástico 30 Metros</v>
      </c>
      <c r="AA280" s="31" t="s">
        <v>1046</v>
      </c>
      <c r="AB280" s="31">
        <v>-5</v>
      </c>
    </row>
    <row r="281" spans="1:28" ht="13.2">
      <c r="A281" s="59" t="s">
        <v>147</v>
      </c>
      <c r="B281" s="8" t="str">
        <f t="shared" si="156"/>
        <v>Pack 5 Papel Aluminio 7.5 Metros</v>
      </c>
      <c r="C281" s="23" t="s">
        <v>1614</v>
      </c>
      <c r="D281" s="61" t="s">
        <v>360</v>
      </c>
      <c r="E281" s="41"/>
      <c r="F281" s="62">
        <v>3252.1008403361348</v>
      </c>
      <c r="G281" s="62">
        <v>0</v>
      </c>
      <c r="H281" s="62">
        <f t="shared" si="94"/>
        <v>3252.1008403361348</v>
      </c>
      <c r="I281" s="62">
        <f t="shared" si="2"/>
        <v>617.89915966386559</v>
      </c>
      <c r="J281" s="63">
        <v>0.26981132075471692</v>
      </c>
      <c r="K281" s="62">
        <f t="shared" si="3"/>
        <v>4453.7815126050418</v>
      </c>
      <c r="L281" s="62">
        <f t="shared" si="4"/>
        <v>846.21848739495795</v>
      </c>
      <c r="M281" s="62">
        <f t="shared" si="15"/>
        <v>5300</v>
      </c>
      <c r="N281" s="62">
        <f t="shared" si="6"/>
        <v>1201.6806722689071</v>
      </c>
      <c r="O281" s="61">
        <f t="shared" si="7"/>
        <v>0</v>
      </c>
      <c r="P281" s="61">
        <f t="shared" si="8"/>
        <v>4453.7815126050418</v>
      </c>
      <c r="Q281" s="64">
        <f t="shared" si="9"/>
        <v>0.26981132075471692</v>
      </c>
      <c r="R281" s="26">
        <v>5300</v>
      </c>
      <c r="S281" s="26">
        <f>774*5</f>
        <v>3870</v>
      </c>
      <c r="T281" s="40">
        <f>S281*E281/1000</f>
        <v>0</v>
      </c>
      <c r="U281" s="41">
        <v>0</v>
      </c>
      <c r="V281" s="40">
        <f t="shared" si="157"/>
        <v>0</v>
      </c>
      <c r="W281" s="40">
        <f t="shared" si="62"/>
        <v>5300</v>
      </c>
      <c r="X281" s="8">
        <f t="shared" si="75"/>
        <v>265</v>
      </c>
      <c r="Y281" s="26"/>
      <c r="Z281" s="8" t="str">
        <f t="shared" si="14"/>
        <v>Pack 5 Papel Aluminio 7.5 Metros</v>
      </c>
      <c r="AA281" s="31" t="s">
        <v>363</v>
      </c>
      <c r="AB281" s="31">
        <v>-5</v>
      </c>
    </row>
    <row r="282" spans="1:28" ht="13.2">
      <c r="A282" s="59" t="s">
        <v>56</v>
      </c>
      <c r="B282" s="8" t="str">
        <f>CONCATENATE(C282," / ",E282," gramos)")</f>
        <v>Pack 5 Provoleta Parrillera / 135 gramos)</v>
      </c>
      <c r="C282" s="31" t="s">
        <v>1615</v>
      </c>
      <c r="D282" s="61" t="s">
        <v>427</v>
      </c>
      <c r="E282" s="41">
        <v>135</v>
      </c>
      <c r="F282" s="62">
        <f>1462*5</f>
        <v>7310</v>
      </c>
      <c r="G282" s="62">
        <v>18.487394957983195</v>
      </c>
      <c r="H282" s="62">
        <f t="shared" si="94"/>
        <v>7328.4873949579833</v>
      </c>
      <c r="I282" s="62">
        <f t="shared" si="2"/>
        <v>1392.4126050420168</v>
      </c>
      <c r="J282" s="63">
        <v>0.32917000000000002</v>
      </c>
      <c r="K282" s="62">
        <f t="shared" si="3"/>
        <v>10924.507542831989</v>
      </c>
      <c r="L282" s="62">
        <f t="shared" si="4"/>
        <v>2075.6564331380778</v>
      </c>
      <c r="M282" s="62">
        <f t="shared" si="15"/>
        <v>13000.163975970067</v>
      </c>
      <c r="N282" s="62">
        <f t="shared" si="6"/>
        <v>3596.0201478740055</v>
      </c>
      <c r="O282" s="61">
        <f t="shared" si="7"/>
        <v>3000.1639759700665</v>
      </c>
      <c r="P282" s="61">
        <f t="shared" si="8"/>
        <v>8403.361344537816</v>
      </c>
      <c r="Q282" s="64">
        <f t="shared" si="9"/>
        <v>0.12791000000000008</v>
      </c>
      <c r="R282" s="41">
        <v>10000</v>
      </c>
      <c r="S282" s="41">
        <f>1444*5</f>
        <v>7220</v>
      </c>
      <c r="T282" s="40">
        <f>S282</f>
        <v>7220</v>
      </c>
      <c r="U282" s="41">
        <v>22</v>
      </c>
      <c r="V282" s="40">
        <f t="shared" si="157"/>
        <v>7242</v>
      </c>
      <c r="W282" s="40">
        <f t="shared" si="62"/>
        <v>2758</v>
      </c>
      <c r="X282" s="8">
        <f t="shared" si="75"/>
        <v>500</v>
      </c>
      <c r="Y282" s="26"/>
      <c r="Z282" s="8" t="str">
        <f t="shared" si="14"/>
        <v>Pack 5 Provoleta Parrillera / 135 gramos)</v>
      </c>
      <c r="AA282" s="31" t="s">
        <v>428</v>
      </c>
      <c r="AB282" s="31">
        <v>-5</v>
      </c>
    </row>
    <row r="283" spans="1:28" ht="13.2">
      <c r="A283" s="59" t="s">
        <v>53</v>
      </c>
      <c r="B283" s="8" t="str">
        <f>CONCATENATE(C283," / ",E283," metros")</f>
        <v>Pack 6 Toalla Jumbo SWAN U/H / 100 metros</v>
      </c>
      <c r="C283" s="31" t="s">
        <v>1616</v>
      </c>
      <c r="D283" s="31" t="s">
        <v>408</v>
      </c>
      <c r="E283" s="41">
        <v>100</v>
      </c>
      <c r="F283" s="62">
        <f>S283/1.19</f>
        <v>6504.2016806722695</v>
      </c>
      <c r="G283" s="62">
        <v>0</v>
      </c>
      <c r="H283" s="62">
        <f t="shared" si="94"/>
        <v>6504.2016806722695</v>
      </c>
      <c r="I283" s="62">
        <f t="shared" si="2"/>
        <v>1235.7983193277312</v>
      </c>
      <c r="J283" s="63">
        <v>0.4046153846153846</v>
      </c>
      <c r="K283" s="62">
        <f t="shared" si="3"/>
        <v>10924.36974789916</v>
      </c>
      <c r="L283" s="62">
        <f t="shared" si="4"/>
        <v>2075.6302521008406</v>
      </c>
      <c r="M283" s="62">
        <f t="shared" si="15"/>
        <v>13000</v>
      </c>
      <c r="N283" s="62">
        <f t="shared" si="6"/>
        <v>4420.1680672268903</v>
      </c>
      <c r="O283" s="61">
        <f t="shared" si="7"/>
        <v>0</v>
      </c>
      <c r="P283" s="61">
        <f t="shared" si="8"/>
        <v>10924.36974789916</v>
      </c>
      <c r="Q283" s="64">
        <f t="shared" si="9"/>
        <v>0.4046153846153846</v>
      </c>
      <c r="R283" s="41">
        <v>13000</v>
      </c>
      <c r="S283" s="41">
        <f>1290*6</f>
        <v>7740</v>
      </c>
      <c r="T283" s="74"/>
      <c r="U283" s="74"/>
      <c r="V283" s="75">
        <f t="shared" ref="V283:V284" si="158">S283</f>
        <v>7740</v>
      </c>
      <c r="W283" s="40">
        <f t="shared" si="62"/>
        <v>5260</v>
      </c>
      <c r="X283" s="8">
        <f t="shared" si="75"/>
        <v>650</v>
      </c>
      <c r="Y283" s="76"/>
      <c r="Z283" s="8" t="str">
        <f t="shared" si="14"/>
        <v>Pack 6 Toalla Jumbo SWAN U/H / 100 metros</v>
      </c>
      <c r="AA283" s="8"/>
    </row>
    <row r="284" spans="1:28" ht="13.2">
      <c r="A284" s="59" t="s">
        <v>53</v>
      </c>
      <c r="B284" s="8" t="str">
        <f t="shared" ref="B284:B301" si="159">CONCATENATE(C284,E284)</f>
        <v>Pack 8 Toalla NOVA 26 mts</v>
      </c>
      <c r="C284" s="31" t="s">
        <v>326</v>
      </c>
      <c r="D284" s="31" t="s">
        <v>410</v>
      </c>
      <c r="E284" s="41"/>
      <c r="F284" s="62">
        <f>1123*4</f>
        <v>4492</v>
      </c>
      <c r="G284" s="62">
        <v>0</v>
      </c>
      <c r="H284" s="62">
        <f t="shared" si="94"/>
        <v>4492</v>
      </c>
      <c r="I284" s="62">
        <f t="shared" si="2"/>
        <v>853.48</v>
      </c>
      <c r="J284" s="63">
        <v>0.29666999999999999</v>
      </c>
      <c r="K284" s="62">
        <f t="shared" si="3"/>
        <v>6386.7601268252456</v>
      </c>
      <c r="L284" s="62">
        <f t="shared" si="4"/>
        <v>1213.4844240967966</v>
      </c>
      <c r="M284" s="62">
        <f t="shared" si="15"/>
        <v>7600.2445509220424</v>
      </c>
      <c r="N284" s="62">
        <f t="shared" si="6"/>
        <v>1894.7601268252456</v>
      </c>
      <c r="O284" s="61">
        <f t="shared" si="7"/>
        <v>3600.2445509220424</v>
      </c>
      <c r="P284" s="61">
        <f t="shared" si="8"/>
        <v>3361.3445378151264</v>
      </c>
      <c r="Q284" s="64">
        <f t="shared" si="9"/>
        <v>-0.33636999999999984</v>
      </c>
      <c r="R284" s="41">
        <v>4000</v>
      </c>
      <c r="S284" s="41">
        <f>955*3</f>
        <v>2865</v>
      </c>
      <c r="T284" s="74"/>
      <c r="U284" s="74"/>
      <c r="V284" s="75">
        <f t="shared" si="158"/>
        <v>2865</v>
      </c>
      <c r="W284" s="40">
        <f t="shared" si="62"/>
        <v>1135</v>
      </c>
      <c r="X284" s="8">
        <f t="shared" si="75"/>
        <v>200</v>
      </c>
      <c r="Y284" s="76"/>
      <c r="Z284" s="8" t="str">
        <f t="shared" si="14"/>
        <v>Pack 8 Toalla NOVA 26 mts</v>
      </c>
      <c r="AA284" s="31" t="s">
        <v>411</v>
      </c>
      <c r="AB284" s="31">
        <v>-4</v>
      </c>
    </row>
    <row r="285" spans="1:28" ht="13.2">
      <c r="A285" s="59" t="s">
        <v>47</v>
      </c>
      <c r="B285" s="8" t="str">
        <f t="shared" si="159"/>
        <v>Paños MultiUso</v>
      </c>
      <c r="C285" s="23" t="s">
        <v>205</v>
      </c>
      <c r="D285" s="61" t="s">
        <v>205</v>
      </c>
      <c r="E285" s="41"/>
      <c r="F285" s="62">
        <v>395</v>
      </c>
      <c r="G285" s="62">
        <v>0</v>
      </c>
      <c r="H285" s="62">
        <f t="shared" si="94"/>
        <v>395</v>
      </c>
      <c r="I285" s="62">
        <f t="shared" si="2"/>
        <v>75.05</v>
      </c>
      <c r="J285" s="63">
        <v>0.57269999999999999</v>
      </c>
      <c r="K285" s="62">
        <f t="shared" si="3"/>
        <v>924.40908027147202</v>
      </c>
      <c r="L285" s="62">
        <f t="shared" si="4"/>
        <v>175.6377252515797</v>
      </c>
      <c r="M285" s="62">
        <f t="shared" si="15"/>
        <v>1100.0468055230517</v>
      </c>
      <c r="N285" s="62">
        <f t="shared" si="6"/>
        <v>529.40908027147202</v>
      </c>
      <c r="O285" s="61">
        <f t="shared" si="7"/>
        <v>4.6805523051716591E-2</v>
      </c>
      <c r="P285" s="61">
        <f t="shared" si="8"/>
        <v>924.36974789915973</v>
      </c>
      <c r="Q285" s="64">
        <f t="shared" si="9"/>
        <v>0.57268181818181829</v>
      </c>
      <c r="R285" s="26">
        <v>1100</v>
      </c>
      <c r="S285" s="26">
        <v>692</v>
      </c>
      <c r="T285" s="40">
        <f t="shared" ref="T285:T291" si="160">S285*E285/1000</f>
        <v>0</v>
      </c>
      <c r="U285" s="41">
        <v>0</v>
      </c>
      <c r="V285" s="40">
        <f t="shared" ref="V285:V291" si="161">T285+U285</f>
        <v>0</v>
      </c>
      <c r="W285" s="40">
        <f t="shared" si="62"/>
        <v>1100</v>
      </c>
      <c r="X285" s="8">
        <f t="shared" si="75"/>
        <v>55</v>
      </c>
      <c r="Y285" s="26"/>
      <c r="Z285" s="8" t="str">
        <f t="shared" si="14"/>
        <v>Paños MultiUso</v>
      </c>
      <c r="AA285" s="31" t="s">
        <v>542</v>
      </c>
      <c r="AB285" s="31">
        <v>-1</v>
      </c>
    </row>
    <row r="286" spans="1:28" ht="13.2">
      <c r="A286" s="59" t="s">
        <v>47</v>
      </c>
      <c r="B286" s="8" t="str">
        <f t="shared" si="159"/>
        <v>3 x Paños MultiUso</v>
      </c>
      <c r="C286" s="23" t="s">
        <v>335</v>
      </c>
      <c r="D286" s="61" t="s">
        <v>205</v>
      </c>
      <c r="E286" s="41"/>
      <c r="F286" s="62">
        <f>395*3</f>
        <v>1185</v>
      </c>
      <c r="G286" s="62">
        <v>0</v>
      </c>
      <c r="H286" s="62">
        <f t="shared" si="94"/>
        <v>1185</v>
      </c>
      <c r="I286" s="62">
        <f t="shared" si="2"/>
        <v>225.15</v>
      </c>
      <c r="J286" s="63">
        <v>0.52990000000000004</v>
      </c>
      <c r="K286" s="62">
        <f t="shared" si="3"/>
        <v>2520.7402680280793</v>
      </c>
      <c r="L286" s="62">
        <f t="shared" si="4"/>
        <v>478.94065092533509</v>
      </c>
      <c r="M286" s="62">
        <f t="shared" si="15"/>
        <v>2999.6809189534142</v>
      </c>
      <c r="N286" s="62">
        <f t="shared" si="6"/>
        <v>1335.7402680280793</v>
      </c>
      <c r="O286" s="61">
        <f t="shared" si="7"/>
        <v>1899.6809189534142</v>
      </c>
      <c r="P286" s="61">
        <f t="shared" si="8"/>
        <v>924.36974789915973</v>
      </c>
      <c r="Q286" s="64">
        <f t="shared" si="9"/>
        <v>-0.28195454545454535</v>
      </c>
      <c r="R286" s="26">
        <v>1100</v>
      </c>
      <c r="S286" s="26">
        <v>692</v>
      </c>
      <c r="T286" s="40">
        <f t="shared" si="160"/>
        <v>0</v>
      </c>
      <c r="U286" s="41">
        <v>0</v>
      </c>
      <c r="V286" s="40">
        <f t="shared" si="161"/>
        <v>0</v>
      </c>
      <c r="W286" s="40">
        <f t="shared" si="62"/>
        <v>1100</v>
      </c>
      <c r="X286" s="8">
        <f t="shared" si="75"/>
        <v>55</v>
      </c>
      <c r="Y286" s="26"/>
      <c r="Z286" s="8" t="str">
        <f t="shared" si="14"/>
        <v>3 x Paños MultiUso</v>
      </c>
      <c r="AA286" s="31" t="s">
        <v>542</v>
      </c>
      <c r="AB286" s="31">
        <v>-3</v>
      </c>
    </row>
    <row r="287" spans="1:28" ht="13.2">
      <c r="A287" s="59" t="s">
        <v>47</v>
      </c>
      <c r="B287" s="8" t="str">
        <f t="shared" si="159"/>
        <v>Paños esponja Teddy (3)</v>
      </c>
      <c r="C287" s="23" t="s">
        <v>105</v>
      </c>
      <c r="D287" s="61" t="str">
        <f>C287</f>
        <v>Paños esponja Teddy (3)</v>
      </c>
      <c r="E287" s="41"/>
      <c r="F287" s="62">
        <v>581.51260504201684</v>
      </c>
      <c r="G287" s="62">
        <v>0</v>
      </c>
      <c r="H287" s="62">
        <f t="shared" si="94"/>
        <v>581.51260504201684</v>
      </c>
      <c r="I287" s="62">
        <f t="shared" si="2"/>
        <v>110.4873949579832</v>
      </c>
      <c r="J287" s="63">
        <v>0.37090909090909097</v>
      </c>
      <c r="K287" s="62">
        <f t="shared" si="3"/>
        <v>924.36974789915985</v>
      </c>
      <c r="L287" s="62">
        <f t="shared" si="4"/>
        <v>175.63025210084038</v>
      </c>
      <c r="M287" s="62">
        <f t="shared" si="15"/>
        <v>1100.0000000000002</v>
      </c>
      <c r="N287" s="62">
        <f t="shared" si="6"/>
        <v>342.857142857143</v>
      </c>
      <c r="O287" s="61">
        <f t="shared" si="7"/>
        <v>0</v>
      </c>
      <c r="P287" s="61">
        <f t="shared" si="8"/>
        <v>924.36974789915973</v>
      </c>
      <c r="Q287" s="64">
        <f t="shared" si="9"/>
        <v>0.37090909090909097</v>
      </c>
      <c r="R287" s="26">
        <v>1100</v>
      </c>
      <c r="S287" s="26">
        <v>692</v>
      </c>
      <c r="T287" s="40">
        <f t="shared" si="160"/>
        <v>0</v>
      </c>
      <c r="U287" s="41">
        <v>0</v>
      </c>
      <c r="V287" s="40">
        <f t="shared" si="161"/>
        <v>0</v>
      </c>
      <c r="W287" s="40">
        <f t="shared" si="62"/>
        <v>1100</v>
      </c>
      <c r="X287" s="8">
        <f t="shared" si="75"/>
        <v>55</v>
      </c>
      <c r="Y287" s="26"/>
      <c r="Z287" s="8" t="str">
        <f t="shared" si="14"/>
        <v>Paños esponja Teddy (3)</v>
      </c>
      <c r="AA287" s="31" t="s">
        <v>371</v>
      </c>
      <c r="AB287" s="31">
        <v>-1</v>
      </c>
    </row>
    <row r="288" spans="1:28" ht="13.2">
      <c r="A288" s="59" t="s">
        <v>47</v>
      </c>
      <c r="B288" s="8" t="str">
        <f t="shared" si="159"/>
        <v>Paños esponja Teddy (Pack 3)</v>
      </c>
      <c r="C288" s="23" t="s">
        <v>504</v>
      </c>
      <c r="D288" s="61" t="s">
        <v>105</v>
      </c>
      <c r="E288" s="41"/>
      <c r="F288" s="62">
        <v>1744.5378151260504</v>
      </c>
      <c r="G288" s="62">
        <v>0</v>
      </c>
      <c r="H288" s="62">
        <f t="shared" si="94"/>
        <v>1744.5378151260504</v>
      </c>
      <c r="I288" s="62">
        <f t="shared" si="2"/>
        <v>331.46218487394958</v>
      </c>
      <c r="J288" s="63">
        <v>0.30800000000000005</v>
      </c>
      <c r="K288" s="62">
        <f t="shared" si="3"/>
        <v>2521.0084033613448</v>
      </c>
      <c r="L288" s="62">
        <f t="shared" si="4"/>
        <v>478.99159663865549</v>
      </c>
      <c r="M288" s="62">
        <f t="shared" si="15"/>
        <v>3000.0000000000005</v>
      </c>
      <c r="N288" s="62">
        <f t="shared" si="6"/>
        <v>776.47058823529437</v>
      </c>
      <c r="O288" s="61">
        <f t="shared" si="7"/>
        <v>0</v>
      </c>
      <c r="P288" s="61">
        <f t="shared" si="8"/>
        <v>2521.0084033613448</v>
      </c>
      <c r="Q288" s="64">
        <f t="shared" si="9"/>
        <v>0.30800000000000005</v>
      </c>
      <c r="R288" s="26">
        <v>3000</v>
      </c>
      <c r="S288" s="26">
        <f>692*3</f>
        <v>2076</v>
      </c>
      <c r="T288" s="40">
        <f t="shared" si="160"/>
        <v>0</v>
      </c>
      <c r="U288" s="41">
        <v>0</v>
      </c>
      <c r="V288" s="40">
        <f t="shared" si="161"/>
        <v>0</v>
      </c>
      <c r="W288" s="40">
        <f t="shared" si="62"/>
        <v>3000</v>
      </c>
      <c r="X288" s="8">
        <f t="shared" si="75"/>
        <v>150</v>
      </c>
      <c r="Y288" s="26"/>
      <c r="Z288" s="8" t="str">
        <f t="shared" si="14"/>
        <v>Paños esponja Teddy (Pack 3)</v>
      </c>
      <c r="AA288" s="31" t="s">
        <v>371</v>
      </c>
      <c r="AB288" s="31">
        <v>-3</v>
      </c>
    </row>
    <row r="289" spans="1:28" ht="13.2">
      <c r="A289" s="59" t="s">
        <v>147</v>
      </c>
      <c r="B289" s="8" t="str">
        <f t="shared" si="159"/>
        <v>Papel Aluminio 100 Metros</v>
      </c>
      <c r="C289" s="23" t="s">
        <v>249</v>
      </c>
      <c r="D289" s="61" t="s">
        <v>360</v>
      </c>
      <c r="E289" s="40"/>
      <c r="F289" s="62">
        <v>4930</v>
      </c>
      <c r="G289" s="62">
        <v>0</v>
      </c>
      <c r="H289" s="62">
        <f t="shared" si="94"/>
        <v>4930</v>
      </c>
      <c r="I289" s="62">
        <f t="shared" si="2"/>
        <v>936.7</v>
      </c>
      <c r="J289" s="63">
        <v>0.30980000000000002</v>
      </c>
      <c r="K289" s="62">
        <f t="shared" si="3"/>
        <v>7142.857142857144</v>
      </c>
      <c r="L289" s="62">
        <f t="shared" si="4"/>
        <v>1357.1428571428573</v>
      </c>
      <c r="M289" s="62">
        <f t="shared" si="15"/>
        <v>8500.0000000000018</v>
      </c>
      <c r="N289" s="62">
        <f t="shared" si="6"/>
        <v>2212.857142857144</v>
      </c>
      <c r="O289" s="61">
        <f t="shared" si="7"/>
        <v>3200.0000000000018</v>
      </c>
      <c r="P289" s="61">
        <f t="shared" si="8"/>
        <v>4453.7815126050418</v>
      </c>
      <c r="Q289" s="64">
        <f t="shared" si="9"/>
        <v>-0.10692452830188692</v>
      </c>
      <c r="R289" s="26">
        <v>5300</v>
      </c>
      <c r="S289" s="26">
        <f t="shared" ref="S289:S290" si="162">774*5</f>
        <v>3870</v>
      </c>
      <c r="T289" s="40">
        <f t="shared" si="160"/>
        <v>0</v>
      </c>
      <c r="U289" s="41">
        <v>0</v>
      </c>
      <c r="V289" s="40">
        <f t="shared" si="161"/>
        <v>0</v>
      </c>
      <c r="W289" s="40">
        <f t="shared" si="62"/>
        <v>5300</v>
      </c>
      <c r="X289" s="8">
        <f t="shared" si="75"/>
        <v>265</v>
      </c>
      <c r="Y289" s="26"/>
      <c r="Z289" s="8" t="str">
        <f t="shared" si="14"/>
        <v>Papel Aluminio 100 Metros</v>
      </c>
      <c r="AA289" s="31" t="s">
        <v>607</v>
      </c>
      <c r="AB289" s="31">
        <v>-1</v>
      </c>
    </row>
    <row r="290" spans="1:28" ht="13.2">
      <c r="A290" s="59" t="s">
        <v>147</v>
      </c>
      <c r="B290" s="8" t="str">
        <f t="shared" si="159"/>
        <v>Papel Aluminio 300 Metros</v>
      </c>
      <c r="C290" s="23" t="s">
        <v>260</v>
      </c>
      <c r="D290" s="61" t="s">
        <v>360</v>
      </c>
      <c r="E290" s="40"/>
      <c r="F290" s="62">
        <v>12713</v>
      </c>
      <c r="G290" s="62">
        <v>0</v>
      </c>
      <c r="H290" s="62">
        <f t="shared" si="94"/>
        <v>12713</v>
      </c>
      <c r="I290" s="62">
        <f t="shared" si="2"/>
        <v>2415.4700000000003</v>
      </c>
      <c r="J290" s="63">
        <v>0.22420000000000001</v>
      </c>
      <c r="K290" s="62">
        <f t="shared" si="3"/>
        <v>16386.955400876515</v>
      </c>
      <c r="L290" s="62">
        <f t="shared" si="4"/>
        <v>3113.521526166538</v>
      </c>
      <c r="M290" s="62">
        <f t="shared" si="15"/>
        <v>19500.476927043055</v>
      </c>
      <c r="N290" s="62">
        <f t="shared" si="6"/>
        <v>3673.9554008765153</v>
      </c>
      <c r="O290" s="61">
        <f t="shared" si="7"/>
        <v>14200.476927043055</v>
      </c>
      <c r="P290" s="61">
        <f t="shared" si="8"/>
        <v>4453.7815126050418</v>
      </c>
      <c r="Q290" s="64">
        <f t="shared" si="9"/>
        <v>-1.8544283018867924</v>
      </c>
      <c r="R290" s="26">
        <v>5300</v>
      </c>
      <c r="S290" s="26">
        <f t="shared" si="162"/>
        <v>3870</v>
      </c>
      <c r="T290" s="40">
        <f t="shared" si="160"/>
        <v>0</v>
      </c>
      <c r="U290" s="41">
        <v>0</v>
      </c>
      <c r="V290" s="40">
        <f t="shared" si="161"/>
        <v>0</v>
      </c>
      <c r="W290" s="40">
        <f t="shared" si="62"/>
        <v>5300</v>
      </c>
      <c r="X290" s="8">
        <f t="shared" si="75"/>
        <v>265</v>
      </c>
      <c r="Y290" s="26"/>
      <c r="Z290" s="8" t="str">
        <f t="shared" si="14"/>
        <v>Papel Aluminio 300 Metros</v>
      </c>
      <c r="AA290" s="31" t="s">
        <v>1054</v>
      </c>
      <c r="AB290" s="31">
        <v>-1</v>
      </c>
    </row>
    <row r="291" spans="1:28" ht="13.2">
      <c r="A291" s="59" t="s">
        <v>147</v>
      </c>
      <c r="B291" s="8" t="str">
        <f t="shared" si="159"/>
        <v>Papel Aluminio 7.5 Metros</v>
      </c>
      <c r="C291" s="23" t="s">
        <v>148</v>
      </c>
      <c r="D291" s="61" t="s">
        <v>360</v>
      </c>
      <c r="E291" s="41"/>
      <c r="F291" s="62">
        <v>650.42016806722688</v>
      </c>
      <c r="G291" s="62">
        <v>0</v>
      </c>
      <c r="H291" s="62">
        <f t="shared" si="94"/>
        <v>650.42016806722688</v>
      </c>
      <c r="I291" s="62">
        <f t="shared" si="2"/>
        <v>123.5798319327731</v>
      </c>
      <c r="J291" s="63">
        <v>0.35500000000000009</v>
      </c>
      <c r="K291" s="62">
        <f t="shared" si="3"/>
        <v>1008.403361344538</v>
      </c>
      <c r="L291" s="62">
        <f t="shared" si="4"/>
        <v>191.59663865546221</v>
      </c>
      <c r="M291" s="62">
        <f t="shared" si="15"/>
        <v>1200.0000000000002</v>
      </c>
      <c r="N291" s="62">
        <f t="shared" si="6"/>
        <v>357.9831932773111</v>
      </c>
      <c r="O291" s="61">
        <f t="shared" si="7"/>
        <v>0</v>
      </c>
      <c r="P291" s="61">
        <f t="shared" si="8"/>
        <v>1008.4033613445379</v>
      </c>
      <c r="Q291" s="64">
        <f t="shared" si="9"/>
        <v>0.35500000000000009</v>
      </c>
      <c r="R291" s="26">
        <v>1200</v>
      </c>
      <c r="S291" s="26">
        <v>774</v>
      </c>
      <c r="T291" s="40">
        <f t="shared" si="160"/>
        <v>0</v>
      </c>
      <c r="U291" s="41">
        <v>0</v>
      </c>
      <c r="V291" s="40">
        <f t="shared" si="161"/>
        <v>0</v>
      </c>
      <c r="W291" s="40">
        <f t="shared" si="62"/>
        <v>1200</v>
      </c>
      <c r="X291" s="8">
        <f t="shared" si="75"/>
        <v>60</v>
      </c>
      <c r="Y291" s="26"/>
      <c r="Z291" s="8" t="str">
        <f t="shared" si="14"/>
        <v>Papel Aluminio 7.5 Metros</v>
      </c>
      <c r="AA291" s="31" t="s">
        <v>363</v>
      </c>
      <c r="AB291" s="31">
        <v>-1</v>
      </c>
    </row>
    <row r="292" spans="1:28" ht="13.2">
      <c r="A292" s="59" t="s">
        <v>53</v>
      </c>
      <c r="B292" s="8" t="str">
        <f t="shared" si="159"/>
        <v>Papel Higènico Regio Pack 4 rollos</v>
      </c>
      <c r="C292" s="31" t="s">
        <v>987</v>
      </c>
      <c r="D292" s="31" t="s">
        <v>1617</v>
      </c>
      <c r="E292" s="41"/>
      <c r="F292" s="62">
        <f t="shared" ref="F292:F293" si="163">S292/1.19</f>
        <v>615.1260504201681</v>
      </c>
      <c r="G292" s="62">
        <v>0</v>
      </c>
      <c r="H292" s="62">
        <f t="shared" si="94"/>
        <v>615.1260504201681</v>
      </c>
      <c r="I292" s="62">
        <f t="shared" si="2"/>
        <v>116.87394957983194</v>
      </c>
      <c r="J292" s="63">
        <v>0.43692307692307697</v>
      </c>
      <c r="K292" s="62">
        <f t="shared" si="3"/>
        <v>1092.4369747899161</v>
      </c>
      <c r="L292" s="62">
        <f t="shared" si="4"/>
        <v>207.56302521008408</v>
      </c>
      <c r="M292" s="62">
        <f t="shared" si="15"/>
        <v>1300.0000000000002</v>
      </c>
      <c r="N292" s="62">
        <f t="shared" si="6"/>
        <v>477.31092436974802</v>
      </c>
      <c r="O292" s="61">
        <f t="shared" si="7"/>
        <v>0</v>
      </c>
      <c r="P292" s="61">
        <f t="shared" si="8"/>
        <v>1092.4369747899161</v>
      </c>
      <c r="Q292" s="64">
        <f t="shared" si="9"/>
        <v>0.43692307692307697</v>
      </c>
      <c r="R292" s="41">
        <v>1300</v>
      </c>
      <c r="S292" s="41">
        <f>183*4</f>
        <v>732</v>
      </c>
      <c r="T292" s="74"/>
      <c r="U292" s="74"/>
      <c r="V292" s="75">
        <f t="shared" ref="V292:V301" si="164">S292</f>
        <v>732</v>
      </c>
      <c r="W292" s="40">
        <f t="shared" si="62"/>
        <v>568</v>
      </c>
      <c r="X292" s="8">
        <f t="shared" si="75"/>
        <v>65</v>
      </c>
      <c r="Y292" s="76"/>
      <c r="Z292" s="8" t="str">
        <f t="shared" si="14"/>
        <v>Papel Higènico Regio Pack 4 rollos</v>
      </c>
      <c r="AA292" s="8"/>
    </row>
    <row r="293" spans="1:28" ht="13.2">
      <c r="A293" s="59" t="s">
        <v>53</v>
      </c>
      <c r="B293" s="8" t="str">
        <f t="shared" si="159"/>
        <v>Papel Higènico Spum Pack 6 rollos</v>
      </c>
      <c r="C293" s="31" t="s">
        <v>976</v>
      </c>
      <c r="D293" s="31" t="s">
        <v>1618</v>
      </c>
      <c r="E293" s="41"/>
      <c r="F293" s="62">
        <f t="shared" si="163"/>
        <v>882.35294117647061</v>
      </c>
      <c r="G293" s="62">
        <v>0</v>
      </c>
      <c r="H293" s="62">
        <f t="shared" si="94"/>
        <v>882.35294117647061</v>
      </c>
      <c r="I293" s="62">
        <f t="shared" si="2"/>
        <v>167.64705882352942</v>
      </c>
      <c r="J293" s="63">
        <v>0.41666666666666663</v>
      </c>
      <c r="K293" s="62">
        <f t="shared" si="3"/>
        <v>1512.6050420168067</v>
      </c>
      <c r="L293" s="62">
        <f t="shared" si="4"/>
        <v>287.39495798319325</v>
      </c>
      <c r="M293" s="62">
        <f t="shared" si="15"/>
        <v>1800</v>
      </c>
      <c r="N293" s="62">
        <f t="shared" si="6"/>
        <v>630.25210084033608</v>
      </c>
      <c r="O293" s="61">
        <f t="shared" si="7"/>
        <v>0</v>
      </c>
      <c r="P293" s="61">
        <f t="shared" si="8"/>
        <v>1512.6050420168067</v>
      </c>
      <c r="Q293" s="64">
        <f t="shared" si="9"/>
        <v>0.41666666666666663</v>
      </c>
      <c r="R293" s="41">
        <v>1800</v>
      </c>
      <c r="S293" s="41">
        <f>175*6</f>
        <v>1050</v>
      </c>
      <c r="T293" s="74"/>
      <c r="U293" s="74"/>
      <c r="V293" s="75">
        <f t="shared" si="164"/>
        <v>1050</v>
      </c>
      <c r="W293" s="40">
        <f t="shared" si="62"/>
        <v>750</v>
      </c>
      <c r="X293" s="8">
        <f t="shared" si="75"/>
        <v>90</v>
      </c>
      <c r="Y293" s="76"/>
      <c r="Z293" s="8" t="str">
        <f t="shared" si="14"/>
        <v>Papel Higènico Spum Pack 6 rollos</v>
      </c>
      <c r="AA293" s="8"/>
    </row>
    <row r="294" spans="1:28" ht="13.2">
      <c r="A294" s="59" t="s">
        <v>53</v>
      </c>
      <c r="B294" s="8" t="str">
        <f t="shared" si="159"/>
        <v xml:space="preserve">Papel Higiénico ELITE 12 rollos </v>
      </c>
      <c r="C294" s="31" t="s">
        <v>203</v>
      </c>
      <c r="D294" s="61" t="s">
        <v>366</v>
      </c>
      <c r="E294" s="41"/>
      <c r="F294" s="62">
        <v>5417</v>
      </c>
      <c r="G294" s="62">
        <v>0</v>
      </c>
      <c r="H294" s="62">
        <f t="shared" si="94"/>
        <v>5417</v>
      </c>
      <c r="I294" s="62">
        <f t="shared" si="2"/>
        <v>1029.23</v>
      </c>
      <c r="J294" s="63">
        <v>0.35539999999999999</v>
      </c>
      <c r="K294" s="62">
        <f t="shared" si="3"/>
        <v>8403.6611852311507</v>
      </c>
      <c r="L294" s="62">
        <f t="shared" si="4"/>
        <v>1596.6956251939187</v>
      </c>
      <c r="M294" s="62">
        <f t="shared" si="15"/>
        <v>10000.35681042507</v>
      </c>
      <c r="N294" s="62">
        <f t="shared" si="6"/>
        <v>2986.6611852311507</v>
      </c>
      <c r="O294" s="61">
        <f t="shared" si="7"/>
        <v>500.35681042506985</v>
      </c>
      <c r="P294" s="61">
        <f t="shared" si="8"/>
        <v>7983.1932773109247</v>
      </c>
      <c r="Q294" s="64">
        <f t="shared" si="9"/>
        <v>0.32144947368421051</v>
      </c>
      <c r="R294" s="41">
        <v>9500</v>
      </c>
      <c r="S294" s="41">
        <v>5844</v>
      </c>
      <c r="T294" s="74"/>
      <c r="U294" s="74"/>
      <c r="V294" s="75">
        <f t="shared" si="164"/>
        <v>5844</v>
      </c>
      <c r="W294" s="40">
        <f t="shared" si="62"/>
        <v>3656</v>
      </c>
      <c r="X294" s="8">
        <f t="shared" si="75"/>
        <v>475</v>
      </c>
      <c r="Y294" s="76"/>
      <c r="Z294" s="8" t="str">
        <f t="shared" si="14"/>
        <v xml:space="preserve">Papel Higiénico ELITE 12 rollos </v>
      </c>
      <c r="AA294" s="31" t="s">
        <v>368</v>
      </c>
      <c r="AB294" s="31">
        <v>-3</v>
      </c>
    </row>
    <row r="295" spans="1:28" ht="13.2">
      <c r="A295" s="59" t="s">
        <v>53</v>
      </c>
      <c r="B295" s="8" t="str">
        <f t="shared" si="159"/>
        <v xml:space="preserve">Papel Higiénico ELITE 24 rollos </v>
      </c>
      <c r="C295" s="31" t="s">
        <v>1619</v>
      </c>
      <c r="D295" s="61" t="s">
        <v>366</v>
      </c>
      <c r="E295" s="41"/>
      <c r="F295" s="62">
        <v>10834</v>
      </c>
      <c r="G295" s="62">
        <v>0</v>
      </c>
      <c r="H295" s="62">
        <f t="shared" si="94"/>
        <v>10834</v>
      </c>
      <c r="I295" s="62">
        <f t="shared" si="2"/>
        <v>2058.46</v>
      </c>
      <c r="J295" s="63">
        <v>0.21865000000000001</v>
      </c>
      <c r="K295" s="62">
        <f t="shared" si="3"/>
        <v>13865.745184616369</v>
      </c>
      <c r="L295" s="62">
        <f t="shared" si="4"/>
        <v>2634.4915850771104</v>
      </c>
      <c r="M295" s="62">
        <f t="shared" si="15"/>
        <v>16500.236769693482</v>
      </c>
      <c r="N295" s="62">
        <f t="shared" si="6"/>
        <v>3031.7451846163694</v>
      </c>
      <c r="O295" s="61">
        <f t="shared" si="7"/>
        <v>-499.76323030651838</v>
      </c>
      <c r="P295" s="61">
        <f t="shared" si="8"/>
        <v>14285.714285714286</v>
      </c>
      <c r="Q295" s="64">
        <f t="shared" si="9"/>
        <v>0.24162000000000006</v>
      </c>
      <c r="R295" s="41">
        <v>17000</v>
      </c>
      <c r="S295" s="41">
        <v>11688</v>
      </c>
      <c r="T295" s="74"/>
      <c r="U295" s="74"/>
      <c r="V295" s="75">
        <f t="shared" si="164"/>
        <v>11688</v>
      </c>
      <c r="W295" s="40">
        <f t="shared" si="62"/>
        <v>5312</v>
      </c>
      <c r="X295" s="8">
        <f t="shared" si="75"/>
        <v>850</v>
      </c>
      <c r="Y295" s="76"/>
      <c r="Z295" s="8" t="str">
        <f t="shared" si="14"/>
        <v xml:space="preserve">Papel Higiénico ELITE 24 rollos </v>
      </c>
      <c r="AA295" s="31" t="s">
        <v>368</v>
      </c>
      <c r="AB295" s="31">
        <v>-6</v>
      </c>
    </row>
    <row r="296" spans="1:28" ht="13.2">
      <c r="A296" s="59" t="s">
        <v>53</v>
      </c>
      <c r="B296" s="8" t="str">
        <f t="shared" si="159"/>
        <v xml:space="preserve">Papel Higiénico ELITE 32 rollos </v>
      </c>
      <c r="C296" s="31" t="s">
        <v>597</v>
      </c>
      <c r="D296" s="61" t="s">
        <v>366</v>
      </c>
      <c r="E296" s="41"/>
      <c r="F296" s="62">
        <v>14445</v>
      </c>
      <c r="G296" s="62">
        <v>0</v>
      </c>
      <c r="H296" s="62">
        <f t="shared" si="94"/>
        <v>14445</v>
      </c>
      <c r="I296" s="62">
        <f t="shared" si="2"/>
        <v>2744.55</v>
      </c>
      <c r="J296" s="63">
        <v>0.17752000000000001</v>
      </c>
      <c r="K296" s="62">
        <f t="shared" si="3"/>
        <v>17562.737087831923</v>
      </c>
      <c r="L296" s="62">
        <f t="shared" si="4"/>
        <v>3336.9200466880657</v>
      </c>
      <c r="M296" s="62">
        <f t="shared" si="15"/>
        <v>20899.657134519988</v>
      </c>
      <c r="N296" s="62">
        <f t="shared" si="6"/>
        <v>3117.7370878319234</v>
      </c>
      <c r="O296" s="61">
        <f t="shared" si="7"/>
        <v>-1100.3428654800118</v>
      </c>
      <c r="P296" s="61">
        <f t="shared" si="8"/>
        <v>18487.394957983193</v>
      </c>
      <c r="Q296" s="64">
        <f t="shared" si="9"/>
        <v>0.21865681818181815</v>
      </c>
      <c r="R296" s="41">
        <v>22000</v>
      </c>
      <c r="S296" s="41">
        <v>15584</v>
      </c>
      <c r="T296" s="74"/>
      <c r="U296" s="74"/>
      <c r="V296" s="75">
        <f t="shared" si="164"/>
        <v>15584</v>
      </c>
      <c r="W296" s="40">
        <f t="shared" si="62"/>
        <v>6416</v>
      </c>
      <c r="X296" s="8">
        <f t="shared" si="75"/>
        <v>1100</v>
      </c>
      <c r="Y296" s="76"/>
      <c r="Z296" s="8" t="str">
        <f t="shared" si="14"/>
        <v xml:space="preserve">Papel Higiénico ELITE 32 rollos </v>
      </c>
      <c r="AA296" s="31" t="s">
        <v>368</v>
      </c>
      <c r="AB296" s="31">
        <v>-8</v>
      </c>
    </row>
    <row r="297" spans="1:28" ht="13.2">
      <c r="A297" s="59" t="s">
        <v>53</v>
      </c>
      <c r="B297" s="8" t="str">
        <f t="shared" si="159"/>
        <v xml:space="preserve">Papel Higiénico ELITE 50 Metros 4 rollos </v>
      </c>
      <c r="C297" s="31" t="s">
        <v>287</v>
      </c>
      <c r="D297" s="61" t="s">
        <v>366</v>
      </c>
      <c r="E297" s="41"/>
      <c r="F297" s="62">
        <v>1806</v>
      </c>
      <c r="G297" s="62">
        <v>0</v>
      </c>
      <c r="H297" s="62">
        <f t="shared" si="94"/>
        <v>1806</v>
      </c>
      <c r="I297" s="62">
        <f t="shared" si="2"/>
        <v>343.14</v>
      </c>
      <c r="J297" s="63">
        <v>0.38600000000000001</v>
      </c>
      <c r="K297" s="62">
        <f t="shared" si="3"/>
        <v>2941.3680781758958</v>
      </c>
      <c r="L297" s="62">
        <f t="shared" si="4"/>
        <v>558.85993485342021</v>
      </c>
      <c r="M297" s="62">
        <f t="shared" si="15"/>
        <v>3500.2280130293161</v>
      </c>
      <c r="N297" s="62">
        <f t="shared" si="6"/>
        <v>1135.3680781758958</v>
      </c>
      <c r="O297" s="61">
        <f t="shared" si="7"/>
        <v>0.22801302931611644</v>
      </c>
      <c r="P297" s="61">
        <f t="shared" si="8"/>
        <v>2941.1764705882356</v>
      </c>
      <c r="Q297" s="64">
        <f t="shared" si="9"/>
        <v>0.38596000000000008</v>
      </c>
      <c r="R297" s="41">
        <v>3500</v>
      </c>
      <c r="S297" s="41">
        <v>1948</v>
      </c>
      <c r="T297" s="74"/>
      <c r="U297" s="74"/>
      <c r="V297" s="75">
        <f t="shared" si="164"/>
        <v>1948</v>
      </c>
      <c r="W297" s="40">
        <f t="shared" si="62"/>
        <v>1552</v>
      </c>
      <c r="X297" s="8">
        <f t="shared" si="75"/>
        <v>175</v>
      </c>
      <c r="Y297" s="76"/>
      <c r="Z297" s="8" t="str">
        <f t="shared" si="14"/>
        <v xml:space="preserve">Papel Higiénico ELITE 50 Metros 4 rollos </v>
      </c>
      <c r="AA297" s="31" t="s">
        <v>368</v>
      </c>
      <c r="AB297" s="31">
        <v>-1</v>
      </c>
    </row>
    <row r="298" spans="1:28" ht="13.2">
      <c r="A298" s="59" t="s">
        <v>53</v>
      </c>
      <c r="B298" s="8" t="str">
        <f t="shared" si="159"/>
        <v xml:space="preserve">Papel Higiénico SWAN 400 d/h 12 rollos </v>
      </c>
      <c r="C298" s="31" t="s">
        <v>320</v>
      </c>
      <c r="D298" s="61" t="s">
        <v>435</v>
      </c>
      <c r="E298" s="41"/>
      <c r="F298" s="62">
        <f>1040*3</f>
        <v>3120</v>
      </c>
      <c r="G298" s="62">
        <v>0</v>
      </c>
      <c r="H298" s="62">
        <f t="shared" si="94"/>
        <v>3120</v>
      </c>
      <c r="I298" s="62">
        <f t="shared" si="2"/>
        <v>592.79999999999995</v>
      </c>
      <c r="J298" s="63">
        <v>0.46960000000000002</v>
      </c>
      <c r="K298" s="62">
        <f t="shared" si="3"/>
        <v>5882.3529411764712</v>
      </c>
      <c r="L298" s="62">
        <f t="shared" si="4"/>
        <v>1117.6470588235295</v>
      </c>
      <c r="M298" s="62">
        <f t="shared" si="15"/>
        <v>7000.0000000000009</v>
      </c>
      <c r="N298" s="62">
        <f t="shared" si="6"/>
        <v>2762.3529411764712</v>
      </c>
      <c r="O298" s="61">
        <f t="shared" si="7"/>
        <v>0</v>
      </c>
      <c r="P298" s="61">
        <f t="shared" si="8"/>
        <v>5882.3529411764712</v>
      </c>
      <c r="Q298" s="64">
        <f t="shared" si="9"/>
        <v>0.46960000000000002</v>
      </c>
      <c r="R298" s="41">
        <v>7000</v>
      </c>
      <c r="S298" s="41">
        <f>1222*3</f>
        <v>3666</v>
      </c>
      <c r="T298" s="74"/>
      <c r="U298" s="74"/>
      <c r="V298" s="75">
        <f t="shared" si="164"/>
        <v>3666</v>
      </c>
      <c r="W298" s="40">
        <f t="shared" si="62"/>
        <v>3334</v>
      </c>
      <c r="X298" s="8">
        <f t="shared" si="75"/>
        <v>350</v>
      </c>
      <c r="Y298" s="76"/>
      <c r="Z298" s="8" t="str">
        <f t="shared" si="14"/>
        <v xml:space="preserve">Papel Higiénico SWAN 400 d/h 12 rollos </v>
      </c>
      <c r="AA298" s="31" t="s">
        <v>436</v>
      </c>
      <c r="AB298" s="31">
        <v>-3</v>
      </c>
    </row>
    <row r="299" spans="1:28" ht="13.2">
      <c r="A299" s="59" t="s">
        <v>53</v>
      </c>
      <c r="B299" s="8" t="str">
        <f t="shared" si="159"/>
        <v xml:space="preserve">Papel Higiénico SWAN 400 d/h 4 rollos </v>
      </c>
      <c r="C299" s="60" t="s">
        <v>518</v>
      </c>
      <c r="D299" s="61" t="s">
        <v>435</v>
      </c>
      <c r="E299" s="41"/>
      <c r="F299" s="62">
        <v>1040</v>
      </c>
      <c r="G299" s="62">
        <v>0</v>
      </c>
      <c r="H299" s="62">
        <f t="shared" si="94"/>
        <v>1040</v>
      </c>
      <c r="I299" s="62">
        <f t="shared" si="2"/>
        <v>197.6</v>
      </c>
      <c r="J299" s="63">
        <v>0.505</v>
      </c>
      <c r="K299" s="62">
        <f t="shared" si="3"/>
        <v>2101.0101010101012</v>
      </c>
      <c r="L299" s="62">
        <f t="shared" si="4"/>
        <v>399.19191919191923</v>
      </c>
      <c r="M299" s="62">
        <f t="shared" si="15"/>
        <v>2500.2020202020203</v>
      </c>
      <c r="N299" s="62">
        <f t="shared" si="6"/>
        <v>1061.0101010101012</v>
      </c>
      <c r="O299" s="61">
        <f t="shared" si="7"/>
        <v>0.20202020202032145</v>
      </c>
      <c r="P299" s="61">
        <f t="shared" si="8"/>
        <v>2100.840336134454</v>
      </c>
      <c r="Q299" s="64">
        <f t="shared" si="9"/>
        <v>0.50496000000000008</v>
      </c>
      <c r="R299" s="65">
        <v>2500</v>
      </c>
      <c r="S299" s="41">
        <v>1222</v>
      </c>
      <c r="T299" s="74"/>
      <c r="U299" s="74"/>
      <c r="V299" s="75">
        <f t="shared" si="164"/>
        <v>1222</v>
      </c>
      <c r="W299" s="40">
        <f t="shared" si="62"/>
        <v>1278</v>
      </c>
      <c r="X299" s="8">
        <f t="shared" si="75"/>
        <v>125</v>
      </c>
      <c r="Y299" s="76"/>
      <c r="Z299" s="8" t="str">
        <f t="shared" si="14"/>
        <v xml:space="preserve">Papel Higiénico SWAN 400 d/h 4 rollos </v>
      </c>
      <c r="AA299" s="31" t="s">
        <v>436</v>
      </c>
      <c r="AB299" s="31">
        <v>-1</v>
      </c>
    </row>
    <row r="300" spans="1:28" ht="13.2">
      <c r="A300" s="59" t="s">
        <v>53</v>
      </c>
      <c r="B300" s="8" t="str">
        <f t="shared" si="159"/>
        <v xml:space="preserve">Papel Higiénico SWAN 50 mts 4 rollos </v>
      </c>
      <c r="C300" s="31" t="s">
        <v>648</v>
      </c>
      <c r="D300" s="61" t="s">
        <v>435</v>
      </c>
      <c r="E300" s="41"/>
      <c r="F300" s="62">
        <v>1559</v>
      </c>
      <c r="G300" s="62">
        <v>0</v>
      </c>
      <c r="H300" s="62">
        <f t="shared" si="94"/>
        <v>1559</v>
      </c>
      <c r="I300" s="62">
        <f t="shared" si="2"/>
        <v>296.20999999999998</v>
      </c>
      <c r="J300" s="63">
        <v>0.44937499999999997</v>
      </c>
      <c r="K300" s="62">
        <f t="shared" si="3"/>
        <v>2831.3280363223607</v>
      </c>
      <c r="L300" s="62">
        <f t="shared" si="4"/>
        <v>537.95232690124851</v>
      </c>
      <c r="M300" s="62">
        <f t="shared" si="15"/>
        <v>3369.2803632236091</v>
      </c>
      <c r="N300" s="62">
        <f t="shared" si="6"/>
        <v>1272.3280363223607</v>
      </c>
      <c r="O300" s="61">
        <f t="shared" si="7"/>
        <v>169.28036322360913</v>
      </c>
      <c r="P300" s="61">
        <f t="shared" si="8"/>
        <v>2689.0756302521008</v>
      </c>
      <c r="Q300" s="64">
        <f t="shared" si="9"/>
        <v>0.42024687500000002</v>
      </c>
      <c r="R300" s="41">
        <v>3200</v>
      </c>
      <c r="S300" s="41">
        <v>1762</v>
      </c>
      <c r="T300" s="74"/>
      <c r="U300" s="74"/>
      <c r="V300" s="75">
        <f t="shared" si="164"/>
        <v>1762</v>
      </c>
      <c r="W300" s="40">
        <f t="shared" si="62"/>
        <v>1438</v>
      </c>
      <c r="X300" s="8">
        <f t="shared" si="75"/>
        <v>160</v>
      </c>
      <c r="Y300" s="76"/>
      <c r="Z300" s="8" t="str">
        <f t="shared" si="14"/>
        <v xml:space="preserve">Papel Higiénico SWAN 50 mts 4 rollos </v>
      </c>
      <c r="AA300" s="31" t="s">
        <v>1044</v>
      </c>
      <c r="AB300" s="31">
        <v>-1</v>
      </c>
    </row>
    <row r="301" spans="1:28" ht="13.2">
      <c r="A301" s="59" t="s">
        <v>53</v>
      </c>
      <c r="B301" s="8" t="str">
        <f t="shared" si="159"/>
        <v xml:space="preserve">Papel Higiénico SWAN 50 mts d/h 12 rollos </v>
      </c>
      <c r="C301" s="60" t="s">
        <v>704</v>
      </c>
      <c r="D301" s="61" t="s">
        <v>435</v>
      </c>
      <c r="E301" s="41"/>
      <c r="F301" s="62">
        <f>1559*3</f>
        <v>4677</v>
      </c>
      <c r="G301" s="62">
        <v>0</v>
      </c>
      <c r="H301" s="62">
        <f t="shared" si="94"/>
        <v>4677</v>
      </c>
      <c r="I301" s="62">
        <f t="shared" si="2"/>
        <v>888.63</v>
      </c>
      <c r="J301" s="63">
        <v>0.41266666666666663</v>
      </c>
      <c r="K301" s="62">
        <f t="shared" si="3"/>
        <v>7963.1101021566392</v>
      </c>
      <c r="L301" s="62">
        <f t="shared" si="4"/>
        <v>1512.9909194097615</v>
      </c>
      <c r="M301" s="62">
        <f t="shared" si="15"/>
        <v>9476.101021566401</v>
      </c>
      <c r="N301" s="62">
        <f t="shared" si="6"/>
        <v>3286.1101021566392</v>
      </c>
      <c r="O301" s="61">
        <f t="shared" si="7"/>
        <v>476.10102156640096</v>
      </c>
      <c r="P301" s="61">
        <f t="shared" si="8"/>
        <v>7563.0252100840344</v>
      </c>
      <c r="Q301" s="64">
        <f t="shared" si="9"/>
        <v>0.3815966666666667</v>
      </c>
      <c r="R301" s="65">
        <v>9000</v>
      </c>
      <c r="S301" s="41">
        <f>1762*3</f>
        <v>5286</v>
      </c>
      <c r="T301" s="74"/>
      <c r="U301" s="74"/>
      <c r="V301" s="75">
        <f t="shared" si="164"/>
        <v>5286</v>
      </c>
      <c r="W301" s="40">
        <f t="shared" si="62"/>
        <v>3714</v>
      </c>
      <c r="X301" s="8">
        <f t="shared" si="75"/>
        <v>450</v>
      </c>
      <c r="Y301" s="76"/>
      <c r="Z301" s="8" t="str">
        <f t="shared" si="14"/>
        <v xml:space="preserve">Papel Higiénico SWAN 50 mts d/h 12 rollos </v>
      </c>
      <c r="AA301" s="31" t="s">
        <v>1044</v>
      </c>
      <c r="AB301" s="31">
        <v>-3</v>
      </c>
    </row>
    <row r="302" spans="1:28" ht="13.2">
      <c r="A302" s="78" t="s">
        <v>139</v>
      </c>
      <c r="B302" s="8" t="str">
        <f t="shared" ref="B302:B319" si="165">CONCATENATE(C302," / ",E302," gramos")</f>
        <v>Pasas Rubias / 100 gramos</v>
      </c>
      <c r="C302" s="79" t="s">
        <v>765</v>
      </c>
      <c r="D302" s="61" t="str">
        <f t="shared" ref="D302:D318" si="166">C302</f>
        <v>Pasas Rubias</v>
      </c>
      <c r="E302" s="61">
        <v>100</v>
      </c>
      <c r="F302" s="62">
        <v>440</v>
      </c>
      <c r="G302" s="62">
        <v>119.32773109243698</v>
      </c>
      <c r="H302" s="62">
        <f t="shared" si="94"/>
        <v>559.32773109243703</v>
      </c>
      <c r="I302" s="62">
        <f t="shared" si="2"/>
        <v>106.27226890756303</v>
      </c>
      <c r="J302" s="63">
        <v>0.42099999999999999</v>
      </c>
      <c r="K302" s="62">
        <f t="shared" si="3"/>
        <v>966.02371518555628</v>
      </c>
      <c r="L302" s="62">
        <f t="shared" si="4"/>
        <v>183.54450588525569</v>
      </c>
      <c r="M302" s="62">
        <f t="shared" si="15"/>
        <v>1149.5682210708119</v>
      </c>
      <c r="N302" s="62">
        <f t="shared" si="6"/>
        <v>406.69598409311925</v>
      </c>
      <c r="O302" s="61">
        <f t="shared" si="7"/>
        <v>149.56822107081189</v>
      </c>
      <c r="P302" s="61">
        <f t="shared" si="8"/>
        <v>840.3361344537816</v>
      </c>
      <c r="Q302" s="64">
        <f t="shared" si="9"/>
        <v>0.33440000000000003</v>
      </c>
      <c r="R302" s="81">
        <v>1000</v>
      </c>
      <c r="S302" s="41">
        <v>4403</v>
      </c>
      <c r="T302" s="40">
        <f t="shared" ref="T302:T318" si="167">S302*E302/1000</f>
        <v>440.3</v>
      </c>
      <c r="U302" s="40">
        <f>7+40+95</f>
        <v>142</v>
      </c>
      <c r="V302" s="40">
        <f t="shared" ref="V302:V318" si="168">T302+U302</f>
        <v>582.29999999999995</v>
      </c>
      <c r="W302" s="40">
        <f t="shared" si="62"/>
        <v>417.70000000000005</v>
      </c>
      <c r="X302" s="8">
        <f t="shared" si="75"/>
        <v>50</v>
      </c>
      <c r="Y302" s="76"/>
      <c r="Z302" s="8" t="str">
        <f t="shared" si="14"/>
        <v>Pasas Rubias / 100 gramos</v>
      </c>
      <c r="AA302" s="8"/>
    </row>
    <row r="303" spans="1:28" ht="13.2">
      <c r="A303" s="78" t="s">
        <v>139</v>
      </c>
      <c r="B303" s="8" t="str">
        <f t="shared" si="165"/>
        <v>Pasas Rubias / 1000 gramos</v>
      </c>
      <c r="C303" s="80" t="s">
        <v>765</v>
      </c>
      <c r="D303" s="61" t="str">
        <f t="shared" si="166"/>
        <v>Pasas Rubias</v>
      </c>
      <c r="E303" s="61">
        <v>1000</v>
      </c>
      <c r="F303" s="62">
        <v>4400</v>
      </c>
      <c r="G303" s="62">
        <v>142.01680672268907</v>
      </c>
      <c r="H303" s="62">
        <f t="shared" si="94"/>
        <v>4542.0168067226887</v>
      </c>
      <c r="I303" s="62">
        <f t="shared" si="2"/>
        <v>862.98319327731087</v>
      </c>
      <c r="J303" s="63">
        <v>0.32440000000000002</v>
      </c>
      <c r="K303" s="62">
        <f t="shared" si="3"/>
        <v>6722.9378429879944</v>
      </c>
      <c r="L303" s="62">
        <f t="shared" si="4"/>
        <v>1277.3581901677189</v>
      </c>
      <c r="M303" s="62">
        <f t="shared" si="15"/>
        <v>8000.2960331557133</v>
      </c>
      <c r="N303" s="62">
        <f t="shared" si="6"/>
        <v>2180.9210362653057</v>
      </c>
      <c r="O303" s="61">
        <f t="shared" si="7"/>
        <v>1500.2960331557133</v>
      </c>
      <c r="P303" s="61">
        <f t="shared" si="8"/>
        <v>5462.1848739495799</v>
      </c>
      <c r="Q303" s="64">
        <f t="shared" si="9"/>
        <v>0.16846153846153855</v>
      </c>
      <c r="R303" s="61">
        <v>6500</v>
      </c>
      <c r="S303" s="41">
        <v>4403</v>
      </c>
      <c r="T303" s="40">
        <f t="shared" si="167"/>
        <v>4403</v>
      </c>
      <c r="U303" s="40">
        <f>7+40+122</f>
        <v>169</v>
      </c>
      <c r="V303" s="40">
        <f t="shared" si="168"/>
        <v>4572</v>
      </c>
      <c r="W303" s="40">
        <f t="shared" si="62"/>
        <v>1928</v>
      </c>
      <c r="X303" s="8">
        <f t="shared" si="75"/>
        <v>325</v>
      </c>
      <c r="Y303" s="76"/>
      <c r="Z303" s="8" t="str">
        <f t="shared" si="14"/>
        <v>Pasas Rubias / 1000 gramos</v>
      </c>
      <c r="AA303" s="8"/>
    </row>
    <row r="304" spans="1:28" ht="13.2">
      <c r="A304" s="78" t="s">
        <v>139</v>
      </c>
      <c r="B304" s="8" t="str">
        <f t="shared" si="165"/>
        <v>Pasas Rubias / 250 gramos</v>
      </c>
      <c r="C304" s="79" t="s">
        <v>765</v>
      </c>
      <c r="D304" s="61" t="str">
        <f t="shared" si="166"/>
        <v>Pasas Rubias</v>
      </c>
      <c r="E304" s="61">
        <v>250</v>
      </c>
      <c r="F304" s="62">
        <f>4400/4</f>
        <v>1100</v>
      </c>
      <c r="G304" s="62">
        <v>119.32773109243698</v>
      </c>
      <c r="H304" s="62">
        <f t="shared" si="94"/>
        <v>1219.327731092437</v>
      </c>
      <c r="I304" s="62">
        <f t="shared" si="2"/>
        <v>231.67226890756305</v>
      </c>
      <c r="J304" s="63">
        <v>0.39550000000000002</v>
      </c>
      <c r="K304" s="62">
        <f t="shared" si="3"/>
        <v>2017.0847495325672</v>
      </c>
      <c r="L304" s="62">
        <f t="shared" si="4"/>
        <v>383.24610241118779</v>
      </c>
      <c r="M304" s="62">
        <f t="shared" si="15"/>
        <v>2400.3308519437551</v>
      </c>
      <c r="N304" s="62">
        <f t="shared" si="6"/>
        <v>797.7570184401302</v>
      </c>
      <c r="O304" s="61">
        <f t="shared" si="7"/>
        <v>400.33085194375508</v>
      </c>
      <c r="P304" s="61">
        <f t="shared" si="8"/>
        <v>1680.6722689075632</v>
      </c>
      <c r="Q304" s="64">
        <f t="shared" si="9"/>
        <v>0.27450000000000008</v>
      </c>
      <c r="R304" s="81">
        <v>2000</v>
      </c>
      <c r="S304" s="41">
        <v>4403</v>
      </c>
      <c r="T304" s="40">
        <f t="shared" si="167"/>
        <v>1100.75</v>
      </c>
      <c r="U304" s="40">
        <f>7+40+95</f>
        <v>142</v>
      </c>
      <c r="V304" s="40">
        <f t="shared" si="168"/>
        <v>1242.75</v>
      </c>
      <c r="W304" s="40">
        <f t="shared" si="62"/>
        <v>757.25</v>
      </c>
      <c r="X304" s="8">
        <f t="shared" si="75"/>
        <v>100</v>
      </c>
      <c r="Y304" s="76"/>
      <c r="Z304" s="8" t="str">
        <f t="shared" si="14"/>
        <v>Pasas Rubias / 250 gramos</v>
      </c>
      <c r="AA304" s="8"/>
    </row>
    <row r="305" spans="1:28" ht="13.2">
      <c r="A305" s="78" t="s">
        <v>139</v>
      </c>
      <c r="B305" s="8" t="str">
        <f t="shared" si="165"/>
        <v>Pasas Rubias / 45 gramos</v>
      </c>
      <c r="C305" s="79" t="s">
        <v>765</v>
      </c>
      <c r="D305" s="61" t="str">
        <f t="shared" si="166"/>
        <v>Pasas Rubias</v>
      </c>
      <c r="E305" s="61">
        <v>45</v>
      </c>
      <c r="F305" s="62">
        <v>198</v>
      </c>
      <c r="G305" s="62">
        <v>66.722689075630257</v>
      </c>
      <c r="H305" s="62">
        <f t="shared" si="94"/>
        <v>264.72268907563023</v>
      </c>
      <c r="I305" s="62">
        <f t="shared" si="2"/>
        <v>50.297310924369746</v>
      </c>
      <c r="J305" s="63">
        <v>0.37</v>
      </c>
      <c r="K305" s="62">
        <f t="shared" si="3"/>
        <v>420.1947445644924</v>
      </c>
      <c r="L305" s="62">
        <f t="shared" si="4"/>
        <v>79.837001467253558</v>
      </c>
      <c r="M305" s="62">
        <f t="shared" si="15"/>
        <v>500.03174603174597</v>
      </c>
      <c r="N305" s="62">
        <f t="shared" si="6"/>
        <v>155.47205548886217</v>
      </c>
      <c r="O305" s="61">
        <f t="shared" si="7"/>
        <v>3.1746031745967684E-2</v>
      </c>
      <c r="P305" s="61">
        <f t="shared" si="8"/>
        <v>420.1680672268908</v>
      </c>
      <c r="Q305" s="64">
        <f t="shared" si="9"/>
        <v>0.36996000000000007</v>
      </c>
      <c r="R305" s="81">
        <v>500</v>
      </c>
      <c r="S305" s="41">
        <v>4403</v>
      </c>
      <c r="T305" s="40">
        <f t="shared" si="167"/>
        <v>198.13499999999999</v>
      </c>
      <c r="U305" s="12">
        <f>73+160/25</f>
        <v>79.400000000000006</v>
      </c>
      <c r="V305" s="40">
        <f t="shared" si="168"/>
        <v>277.53499999999997</v>
      </c>
      <c r="W305" s="40">
        <f t="shared" si="62"/>
        <v>222.46500000000003</v>
      </c>
      <c r="X305" s="8">
        <f t="shared" si="75"/>
        <v>25</v>
      </c>
      <c r="Y305" s="82" t="s">
        <v>1579</v>
      </c>
      <c r="Z305" s="8" t="str">
        <f t="shared" si="14"/>
        <v>Pasas Rubias / 45 gramos</v>
      </c>
      <c r="AA305" s="8"/>
    </row>
    <row r="306" spans="1:28" ht="13.2">
      <c r="A306" s="78" t="s">
        <v>139</v>
      </c>
      <c r="B306" s="8" t="str">
        <f t="shared" si="165"/>
        <v>Pasas Rubias / 500 gramos</v>
      </c>
      <c r="C306" s="79" t="s">
        <v>765</v>
      </c>
      <c r="D306" s="61" t="str">
        <f t="shared" si="166"/>
        <v>Pasas Rubias</v>
      </c>
      <c r="E306" s="61">
        <v>500</v>
      </c>
      <c r="F306" s="62">
        <v>2200</v>
      </c>
      <c r="G306" s="62">
        <v>142.01680672268907</v>
      </c>
      <c r="H306" s="62">
        <f t="shared" si="94"/>
        <v>2342.0168067226891</v>
      </c>
      <c r="I306" s="62">
        <f t="shared" si="2"/>
        <v>444.98319327731093</v>
      </c>
      <c r="J306" s="63">
        <v>0.33650000000000002</v>
      </c>
      <c r="K306" s="62">
        <f t="shared" si="3"/>
        <v>3529.7917207576324</v>
      </c>
      <c r="L306" s="62">
        <f t="shared" si="4"/>
        <v>670.66042694395014</v>
      </c>
      <c r="M306" s="62">
        <f t="shared" si="15"/>
        <v>4200.4521477015824</v>
      </c>
      <c r="N306" s="62">
        <f t="shared" si="6"/>
        <v>1187.7749140349433</v>
      </c>
      <c r="O306" s="61">
        <f t="shared" si="7"/>
        <v>600.45214770158236</v>
      </c>
      <c r="P306" s="61">
        <f t="shared" si="8"/>
        <v>3025.2100840336134</v>
      </c>
      <c r="Q306" s="64">
        <f t="shared" si="9"/>
        <v>0.22583333333333333</v>
      </c>
      <c r="R306" s="81">
        <v>3600</v>
      </c>
      <c r="S306" s="41">
        <v>4403</v>
      </c>
      <c r="T306" s="40">
        <f t="shared" si="167"/>
        <v>2201.5</v>
      </c>
      <c r="U306" s="40">
        <f>7+40+122</f>
        <v>169</v>
      </c>
      <c r="V306" s="40">
        <f t="shared" si="168"/>
        <v>2370.5</v>
      </c>
      <c r="W306" s="40">
        <f t="shared" si="62"/>
        <v>1229.5</v>
      </c>
      <c r="X306" s="8">
        <f t="shared" si="75"/>
        <v>180</v>
      </c>
      <c r="Y306" s="76"/>
      <c r="Z306" s="8" t="str">
        <f t="shared" si="14"/>
        <v>Pasas Rubias / 500 gramos</v>
      </c>
      <c r="AA306" s="8"/>
    </row>
    <row r="307" spans="1:28" ht="13.2">
      <c r="A307" s="59" t="s">
        <v>139</v>
      </c>
      <c r="B307" s="8" t="str">
        <f t="shared" si="165"/>
        <v>Pistachos / 100 gramos</v>
      </c>
      <c r="C307" s="80" t="s">
        <v>978</v>
      </c>
      <c r="D307" s="61" t="str">
        <f t="shared" si="166"/>
        <v>Pistachos</v>
      </c>
      <c r="E307" s="61">
        <v>100</v>
      </c>
      <c r="F307" s="62">
        <v>1040</v>
      </c>
      <c r="G307" s="62">
        <v>119.32773109243698</v>
      </c>
      <c r="H307" s="62">
        <f t="shared" si="94"/>
        <v>1159.327731092437</v>
      </c>
      <c r="I307" s="62">
        <f t="shared" si="2"/>
        <v>220.27226890756305</v>
      </c>
      <c r="J307" s="63">
        <v>0.21255707762557075</v>
      </c>
      <c r="K307" s="62">
        <f t="shared" si="3"/>
        <v>1472.2689075630253</v>
      </c>
      <c r="L307" s="62">
        <f t="shared" si="4"/>
        <v>279.73109243697479</v>
      </c>
      <c r="M307" s="62">
        <f t="shared" si="15"/>
        <v>1752</v>
      </c>
      <c r="N307" s="62">
        <f t="shared" si="6"/>
        <v>312.94117647058829</v>
      </c>
      <c r="O307" s="61">
        <f t="shared" si="7"/>
        <v>0</v>
      </c>
      <c r="P307" s="61">
        <f t="shared" si="8"/>
        <v>1472.2689075630253</v>
      </c>
      <c r="Q307" s="64">
        <f t="shared" si="9"/>
        <v>0.21255707762557075</v>
      </c>
      <c r="R307" s="61">
        <v>1752</v>
      </c>
      <c r="S307" s="41">
        <v>12376</v>
      </c>
      <c r="T307" s="40">
        <f t="shared" si="167"/>
        <v>1237.5999999999999</v>
      </c>
      <c r="U307" s="40">
        <f t="shared" ref="U307:U310" si="169">7+40+95</f>
        <v>142</v>
      </c>
      <c r="V307" s="40">
        <f t="shared" si="168"/>
        <v>1379.6</v>
      </c>
      <c r="W307" s="40">
        <f t="shared" si="62"/>
        <v>372.40000000000009</v>
      </c>
      <c r="X307" s="8">
        <f t="shared" si="75"/>
        <v>87.600000000000009</v>
      </c>
      <c r="Y307" s="82"/>
      <c r="Z307" s="8" t="str">
        <f t="shared" si="14"/>
        <v>Pistachos / 100 gramos</v>
      </c>
      <c r="AA307" s="8"/>
    </row>
    <row r="308" spans="1:28" ht="13.2">
      <c r="A308" s="59" t="s">
        <v>139</v>
      </c>
      <c r="B308" s="8" t="str">
        <f t="shared" si="165"/>
        <v>Pistachos / 200 gramos</v>
      </c>
      <c r="C308" s="80" t="s">
        <v>978</v>
      </c>
      <c r="D308" s="61" t="str">
        <f t="shared" si="166"/>
        <v>Pistachos</v>
      </c>
      <c r="E308" s="61">
        <v>200</v>
      </c>
      <c r="F308" s="62">
        <v>2080</v>
      </c>
      <c r="G308" s="62">
        <v>119.32773109243698</v>
      </c>
      <c r="H308" s="62">
        <f t="shared" si="94"/>
        <v>2199.3277310924368</v>
      </c>
      <c r="I308" s="62">
        <f t="shared" si="2"/>
        <v>417.87226890756301</v>
      </c>
      <c r="J308" s="63">
        <v>0.25222857142857158</v>
      </c>
      <c r="K308" s="62">
        <f t="shared" si="3"/>
        <v>2941.1764705882356</v>
      </c>
      <c r="L308" s="62">
        <f t="shared" si="4"/>
        <v>558.82352941176475</v>
      </c>
      <c r="M308" s="62">
        <f t="shared" si="15"/>
        <v>3500.0000000000005</v>
      </c>
      <c r="N308" s="62">
        <f t="shared" si="6"/>
        <v>741.84873949579878</v>
      </c>
      <c r="O308" s="61">
        <f t="shared" si="7"/>
        <v>0</v>
      </c>
      <c r="P308" s="61">
        <f t="shared" si="8"/>
        <v>2941.1764705882356</v>
      </c>
      <c r="Q308" s="64">
        <f t="shared" si="9"/>
        <v>0.25222857142857158</v>
      </c>
      <c r="R308" s="61">
        <v>3500</v>
      </c>
      <c r="S308" s="41">
        <v>12376</v>
      </c>
      <c r="T308" s="40">
        <f t="shared" si="167"/>
        <v>2475.1999999999998</v>
      </c>
      <c r="U308" s="40">
        <f t="shared" si="169"/>
        <v>142</v>
      </c>
      <c r="V308" s="40">
        <f t="shared" si="168"/>
        <v>2617.1999999999998</v>
      </c>
      <c r="W308" s="40">
        <f t="shared" si="62"/>
        <v>882.80000000000018</v>
      </c>
      <c r="X308" s="8">
        <f t="shared" si="75"/>
        <v>175</v>
      </c>
      <c r="Y308" s="76"/>
      <c r="Z308" s="8" t="str">
        <f t="shared" si="14"/>
        <v>Pistachos / 200 gramos</v>
      </c>
      <c r="AA308" s="8"/>
    </row>
    <row r="309" spans="1:28" ht="13.2">
      <c r="A309" s="59" t="s">
        <v>139</v>
      </c>
      <c r="B309" s="8" t="str">
        <f t="shared" si="165"/>
        <v>Pistachos / 250 gramos</v>
      </c>
      <c r="C309" s="80" t="s">
        <v>978</v>
      </c>
      <c r="D309" s="61" t="str">
        <f t="shared" si="166"/>
        <v>Pistachos</v>
      </c>
      <c r="E309" s="61">
        <v>250</v>
      </c>
      <c r="F309" s="62">
        <v>2600</v>
      </c>
      <c r="G309" s="62">
        <v>119.32773109243698</v>
      </c>
      <c r="H309" s="62">
        <f t="shared" si="94"/>
        <v>2719.3277310924368</v>
      </c>
      <c r="I309" s="62">
        <f t="shared" si="2"/>
        <v>516.67226890756297</v>
      </c>
      <c r="J309" s="63">
        <v>0.26118721461187222</v>
      </c>
      <c r="K309" s="62">
        <f t="shared" si="3"/>
        <v>3680.6722689075632</v>
      </c>
      <c r="L309" s="62">
        <f t="shared" si="4"/>
        <v>699.32773109243703</v>
      </c>
      <c r="M309" s="62">
        <f t="shared" si="15"/>
        <v>4380</v>
      </c>
      <c r="N309" s="62">
        <f t="shared" si="6"/>
        <v>961.34453781512639</v>
      </c>
      <c r="O309" s="61">
        <f t="shared" si="7"/>
        <v>0</v>
      </c>
      <c r="P309" s="61">
        <f t="shared" si="8"/>
        <v>3680.6722689075632</v>
      </c>
      <c r="Q309" s="64">
        <f t="shared" si="9"/>
        <v>0.26118721461187222</v>
      </c>
      <c r="R309" s="61">
        <v>4380</v>
      </c>
      <c r="S309" s="41">
        <v>12376</v>
      </c>
      <c r="T309" s="40">
        <f t="shared" si="167"/>
        <v>3094</v>
      </c>
      <c r="U309" s="40">
        <f t="shared" si="169"/>
        <v>142</v>
      </c>
      <c r="V309" s="40">
        <f t="shared" si="168"/>
        <v>3236</v>
      </c>
      <c r="W309" s="40">
        <f t="shared" si="62"/>
        <v>1144</v>
      </c>
      <c r="X309" s="8">
        <f t="shared" si="75"/>
        <v>219</v>
      </c>
      <c r="Y309" s="82"/>
      <c r="Z309" s="8" t="str">
        <f t="shared" si="14"/>
        <v>Pistachos / 250 gramos</v>
      </c>
      <c r="AA309" s="8"/>
    </row>
    <row r="310" spans="1:28" ht="13.2">
      <c r="A310" s="59" t="s">
        <v>139</v>
      </c>
      <c r="B310" s="8" t="str">
        <f t="shared" si="165"/>
        <v>Pistachos / 250 gramos</v>
      </c>
      <c r="C310" s="80" t="s">
        <v>978</v>
      </c>
      <c r="D310" s="61" t="str">
        <f t="shared" si="166"/>
        <v>Pistachos</v>
      </c>
      <c r="E310" s="61">
        <v>250</v>
      </c>
      <c r="F310" s="62">
        <v>2600</v>
      </c>
      <c r="G310" s="62">
        <v>119.32773109243698</v>
      </c>
      <c r="H310" s="62">
        <f t="shared" si="94"/>
        <v>2719.3277310924368</v>
      </c>
      <c r="I310" s="62">
        <f t="shared" si="2"/>
        <v>516.67226890756297</v>
      </c>
      <c r="J310" s="63">
        <v>0.26034285714285721</v>
      </c>
      <c r="K310" s="62">
        <f t="shared" si="3"/>
        <v>3676.4705882352941</v>
      </c>
      <c r="L310" s="62">
        <f t="shared" si="4"/>
        <v>698.52941176470586</v>
      </c>
      <c r="M310" s="62">
        <f t="shared" si="15"/>
        <v>4375</v>
      </c>
      <c r="N310" s="62">
        <f t="shared" si="6"/>
        <v>957.14285714285734</v>
      </c>
      <c r="O310" s="61">
        <f t="shared" si="7"/>
        <v>0</v>
      </c>
      <c r="P310" s="61">
        <f t="shared" si="8"/>
        <v>3676.4705882352941</v>
      </c>
      <c r="Q310" s="64">
        <f t="shared" si="9"/>
        <v>0.26034285714285721</v>
      </c>
      <c r="R310" s="61">
        <v>4375</v>
      </c>
      <c r="S310" s="41">
        <v>12376</v>
      </c>
      <c r="T310" s="40">
        <f t="shared" si="167"/>
        <v>3094</v>
      </c>
      <c r="U310" s="40">
        <f t="shared" si="169"/>
        <v>142</v>
      </c>
      <c r="V310" s="40">
        <f t="shared" si="168"/>
        <v>3236</v>
      </c>
      <c r="W310" s="40">
        <f t="shared" si="62"/>
        <v>1139</v>
      </c>
      <c r="X310" s="8">
        <f t="shared" si="75"/>
        <v>218.75</v>
      </c>
      <c r="Y310" s="82"/>
      <c r="Z310" s="8" t="str">
        <f t="shared" si="14"/>
        <v>Pistachos / 250 gramos</v>
      </c>
      <c r="AA310" s="8"/>
    </row>
    <row r="311" spans="1:28" ht="13.2">
      <c r="A311" s="59" t="s">
        <v>139</v>
      </c>
      <c r="B311" s="8" t="str">
        <f t="shared" si="165"/>
        <v>Pistachos / 40 gramos</v>
      </c>
      <c r="C311" s="80" t="s">
        <v>978</v>
      </c>
      <c r="D311" s="61" t="str">
        <f t="shared" si="166"/>
        <v>Pistachos</v>
      </c>
      <c r="E311" s="61">
        <v>40</v>
      </c>
      <c r="F311" s="62">
        <v>416.00000000000006</v>
      </c>
      <c r="G311" s="62">
        <v>66.722689075630257</v>
      </c>
      <c r="H311" s="62">
        <f t="shared" si="94"/>
        <v>482.72268907563034</v>
      </c>
      <c r="I311" s="62">
        <f t="shared" si="2"/>
        <v>91.71731092436977</v>
      </c>
      <c r="J311" s="63">
        <v>0.42555999999999994</v>
      </c>
      <c r="K311" s="62">
        <f t="shared" si="3"/>
        <v>840.3361344537816</v>
      </c>
      <c r="L311" s="62">
        <f t="shared" si="4"/>
        <v>159.66386554621852</v>
      </c>
      <c r="M311" s="62">
        <f t="shared" si="15"/>
        <v>1000.0000000000001</v>
      </c>
      <c r="N311" s="62">
        <f t="shared" si="6"/>
        <v>357.61344537815125</v>
      </c>
      <c r="O311" s="61">
        <f t="shared" si="7"/>
        <v>0</v>
      </c>
      <c r="P311" s="61">
        <f t="shared" si="8"/>
        <v>840.3361344537816</v>
      </c>
      <c r="Q311" s="64">
        <f t="shared" si="9"/>
        <v>0.42555999999999994</v>
      </c>
      <c r="R311" s="61">
        <v>1000</v>
      </c>
      <c r="S311" s="41">
        <v>12376</v>
      </c>
      <c r="T311" s="40">
        <f t="shared" si="167"/>
        <v>495.04</v>
      </c>
      <c r="U311" s="12">
        <f>73+160/25</f>
        <v>79.400000000000006</v>
      </c>
      <c r="V311" s="40">
        <f t="shared" si="168"/>
        <v>574.44000000000005</v>
      </c>
      <c r="W311" s="40">
        <f t="shared" si="62"/>
        <v>425.55999999999995</v>
      </c>
      <c r="X311" s="8">
        <f t="shared" si="75"/>
        <v>50</v>
      </c>
      <c r="Y311" s="82" t="s">
        <v>1579</v>
      </c>
      <c r="Z311" s="8" t="str">
        <f t="shared" si="14"/>
        <v>Pistachos / 40 gramos</v>
      </c>
      <c r="AA311" s="8"/>
    </row>
    <row r="312" spans="1:28" ht="13.2">
      <c r="A312" s="59" t="s">
        <v>139</v>
      </c>
      <c r="B312" s="8" t="str">
        <f t="shared" si="165"/>
        <v>Pistachos / 400 gramos</v>
      </c>
      <c r="C312" s="80" t="s">
        <v>978</v>
      </c>
      <c r="D312" s="61" t="str">
        <f t="shared" si="166"/>
        <v>Pistachos</v>
      </c>
      <c r="E312" s="61">
        <v>400</v>
      </c>
      <c r="F312" s="62">
        <v>4160</v>
      </c>
      <c r="G312" s="62">
        <v>119.32773109243698</v>
      </c>
      <c r="H312" s="62">
        <f t="shared" si="94"/>
        <v>4279.3277310924368</v>
      </c>
      <c r="I312" s="62">
        <f t="shared" si="2"/>
        <v>813.07226890756306</v>
      </c>
      <c r="J312" s="63">
        <v>0.27251428571428582</v>
      </c>
      <c r="K312" s="62">
        <f t="shared" si="3"/>
        <v>5882.3529411764712</v>
      </c>
      <c r="L312" s="62">
        <f t="shared" si="4"/>
        <v>1117.6470588235295</v>
      </c>
      <c r="M312" s="62">
        <f t="shared" si="15"/>
        <v>7000.0000000000009</v>
      </c>
      <c r="N312" s="62">
        <f t="shared" si="6"/>
        <v>1603.0252100840344</v>
      </c>
      <c r="O312" s="61">
        <f t="shared" si="7"/>
        <v>0</v>
      </c>
      <c r="P312" s="61">
        <f t="shared" si="8"/>
        <v>5882.3529411764712</v>
      </c>
      <c r="Q312" s="64">
        <f t="shared" si="9"/>
        <v>0.27251428571428582</v>
      </c>
      <c r="R312" s="61">
        <v>7000</v>
      </c>
      <c r="S312" s="41">
        <v>12376</v>
      </c>
      <c r="T312" s="40">
        <f t="shared" si="167"/>
        <v>4950.3999999999996</v>
      </c>
      <c r="U312" s="40">
        <f t="shared" ref="U312:U313" si="170">7+40+95</f>
        <v>142</v>
      </c>
      <c r="V312" s="40">
        <f t="shared" si="168"/>
        <v>5092.3999999999996</v>
      </c>
      <c r="W312" s="40">
        <f t="shared" si="62"/>
        <v>1907.6000000000004</v>
      </c>
      <c r="X312" s="8">
        <f t="shared" si="75"/>
        <v>350</v>
      </c>
      <c r="Y312" s="82"/>
      <c r="Z312" s="8" t="str">
        <f t="shared" si="14"/>
        <v>Pistachos / 400 gramos</v>
      </c>
      <c r="AA312" s="8"/>
    </row>
    <row r="313" spans="1:28" ht="13.2">
      <c r="A313" s="59" t="s">
        <v>139</v>
      </c>
      <c r="B313" s="8" t="str">
        <f t="shared" si="165"/>
        <v>Pistachos / 500 gramos</v>
      </c>
      <c r="C313" s="80" t="s">
        <v>978</v>
      </c>
      <c r="D313" s="61" t="str">
        <f t="shared" si="166"/>
        <v>Pistachos</v>
      </c>
      <c r="E313" s="61">
        <v>500</v>
      </c>
      <c r="F313" s="62">
        <v>5200</v>
      </c>
      <c r="G313" s="62">
        <v>119.32773109243698</v>
      </c>
      <c r="H313" s="62">
        <f t="shared" si="94"/>
        <v>5319.3277310924368</v>
      </c>
      <c r="I313" s="62">
        <f t="shared" si="2"/>
        <v>1010.672268907563</v>
      </c>
      <c r="J313" s="63">
        <v>0.27739726027397271</v>
      </c>
      <c r="K313" s="62">
        <f t="shared" si="3"/>
        <v>7361.3445378151273</v>
      </c>
      <c r="L313" s="62">
        <f t="shared" si="4"/>
        <v>1398.6554621848743</v>
      </c>
      <c r="M313" s="62">
        <f t="shared" si="15"/>
        <v>8760.0000000000018</v>
      </c>
      <c r="N313" s="62">
        <f t="shared" si="6"/>
        <v>2042.0168067226905</v>
      </c>
      <c r="O313" s="61">
        <f t="shared" si="7"/>
        <v>0</v>
      </c>
      <c r="P313" s="61">
        <f t="shared" si="8"/>
        <v>7361.3445378151264</v>
      </c>
      <c r="Q313" s="64">
        <f t="shared" si="9"/>
        <v>0.27739726027397271</v>
      </c>
      <c r="R313" s="61">
        <v>8760</v>
      </c>
      <c r="S313" s="41">
        <v>12376</v>
      </c>
      <c r="T313" s="40">
        <f t="shared" si="167"/>
        <v>6188</v>
      </c>
      <c r="U313" s="40">
        <f t="shared" si="170"/>
        <v>142</v>
      </c>
      <c r="V313" s="40">
        <f t="shared" si="168"/>
        <v>6330</v>
      </c>
      <c r="W313" s="40">
        <f t="shared" si="62"/>
        <v>2430</v>
      </c>
      <c r="X313" s="8">
        <f t="shared" si="75"/>
        <v>438</v>
      </c>
      <c r="Y313" s="82"/>
      <c r="Z313" s="8" t="str">
        <f t="shared" si="14"/>
        <v>Pistachos / 500 gramos</v>
      </c>
      <c r="AA313" s="8"/>
    </row>
    <row r="314" spans="1:28" ht="13.2">
      <c r="A314" s="59" t="s">
        <v>139</v>
      </c>
      <c r="B314" s="8" t="str">
        <f t="shared" si="165"/>
        <v>Platanos / 1000 gramos</v>
      </c>
      <c r="C314" s="80" t="s">
        <v>995</v>
      </c>
      <c r="D314" s="61" t="str">
        <f t="shared" si="166"/>
        <v>Platanos</v>
      </c>
      <c r="E314" s="61">
        <v>1000</v>
      </c>
      <c r="F314" s="62">
        <v>4201.680672268908</v>
      </c>
      <c r="G314" s="62">
        <v>190.75630252100842</v>
      </c>
      <c r="H314" s="62">
        <f t="shared" si="94"/>
        <v>4392.4369747899163</v>
      </c>
      <c r="I314" s="62">
        <f t="shared" si="2"/>
        <v>834.56302521008411</v>
      </c>
      <c r="J314" s="63">
        <v>0.3030666666666666</v>
      </c>
      <c r="K314" s="62">
        <f t="shared" si="3"/>
        <v>6302.5210084033615</v>
      </c>
      <c r="L314" s="62">
        <f t="shared" si="4"/>
        <v>1197.4789915966387</v>
      </c>
      <c r="M314" s="62">
        <f t="shared" si="15"/>
        <v>7500</v>
      </c>
      <c r="N314" s="62">
        <f t="shared" si="6"/>
        <v>1910.0840336134452</v>
      </c>
      <c r="O314" s="61">
        <f t="shared" si="7"/>
        <v>0</v>
      </c>
      <c r="P314" s="61">
        <f t="shared" si="8"/>
        <v>6302.5210084033615</v>
      </c>
      <c r="Q314" s="64">
        <f t="shared" si="9"/>
        <v>0.3030666666666666</v>
      </c>
      <c r="R314" s="61">
        <v>7500</v>
      </c>
      <c r="S314" s="41">
        <v>5000</v>
      </c>
      <c r="T314" s="40">
        <f t="shared" si="167"/>
        <v>5000</v>
      </c>
      <c r="U314" s="40">
        <f>7+40+180</f>
        <v>227</v>
      </c>
      <c r="V314" s="40">
        <f t="shared" si="168"/>
        <v>5227</v>
      </c>
      <c r="W314" s="40">
        <f t="shared" si="62"/>
        <v>2273</v>
      </c>
      <c r="X314" s="8">
        <f t="shared" si="75"/>
        <v>375</v>
      </c>
      <c r="Z314" s="8" t="str">
        <f t="shared" si="14"/>
        <v>Platanos / 1000 gramos</v>
      </c>
      <c r="AA314" s="8"/>
    </row>
    <row r="315" spans="1:28" ht="13.2">
      <c r="A315" s="59" t="s">
        <v>139</v>
      </c>
      <c r="B315" s="8" t="str">
        <f t="shared" si="165"/>
        <v>Platanos / 200 gramos</v>
      </c>
      <c r="C315" s="80" t="s">
        <v>995</v>
      </c>
      <c r="D315" s="61" t="str">
        <f t="shared" si="166"/>
        <v>Platanos</v>
      </c>
      <c r="E315" s="61">
        <v>200</v>
      </c>
      <c r="F315" s="62">
        <v>840.3361344537816</v>
      </c>
      <c r="G315" s="62">
        <v>119.32773109243698</v>
      </c>
      <c r="H315" s="62">
        <f t="shared" si="94"/>
        <v>959.66386554621863</v>
      </c>
      <c r="I315" s="62">
        <f t="shared" si="2"/>
        <v>182.33613445378154</v>
      </c>
      <c r="J315" s="63">
        <v>0.23866666666666658</v>
      </c>
      <c r="K315" s="62">
        <f t="shared" si="3"/>
        <v>1260.5042016806724</v>
      </c>
      <c r="L315" s="62">
        <f t="shared" si="4"/>
        <v>239.49579831932775</v>
      </c>
      <c r="M315" s="62">
        <f t="shared" si="15"/>
        <v>1500.0000000000002</v>
      </c>
      <c r="N315" s="62">
        <f t="shared" si="6"/>
        <v>300.84033613445376</v>
      </c>
      <c r="O315" s="61">
        <f t="shared" si="7"/>
        <v>0</v>
      </c>
      <c r="P315" s="61">
        <f t="shared" si="8"/>
        <v>1260.5042016806724</v>
      </c>
      <c r="Q315" s="64">
        <f t="shared" si="9"/>
        <v>0.23866666666666658</v>
      </c>
      <c r="R315" s="61">
        <v>1500</v>
      </c>
      <c r="S315" s="41">
        <v>5000</v>
      </c>
      <c r="T315" s="40">
        <f t="shared" si="167"/>
        <v>1000</v>
      </c>
      <c r="U315" s="40">
        <f>7+40+95</f>
        <v>142</v>
      </c>
      <c r="V315" s="40">
        <f t="shared" si="168"/>
        <v>1142</v>
      </c>
      <c r="W315" s="40">
        <f t="shared" si="62"/>
        <v>358</v>
      </c>
      <c r="X315" s="8">
        <f t="shared" si="75"/>
        <v>75</v>
      </c>
      <c r="Y315" s="76"/>
      <c r="Z315" s="8" t="str">
        <f t="shared" si="14"/>
        <v>Platanos / 200 gramos</v>
      </c>
      <c r="AA315" s="8"/>
    </row>
    <row r="316" spans="1:28" ht="13.2">
      <c r="A316" s="59" t="s">
        <v>139</v>
      </c>
      <c r="B316" s="8" t="str">
        <f t="shared" si="165"/>
        <v>Platanos / 250 gramos</v>
      </c>
      <c r="C316" s="80" t="s">
        <v>995</v>
      </c>
      <c r="D316" s="61" t="str">
        <f t="shared" si="166"/>
        <v>Platanos</v>
      </c>
      <c r="E316" s="61">
        <v>250</v>
      </c>
      <c r="F316" s="62">
        <v>1050.420168067227</v>
      </c>
      <c r="G316" s="62">
        <v>142.01680672268907</v>
      </c>
      <c r="H316" s="62">
        <f t="shared" si="94"/>
        <v>1192.4369747899161</v>
      </c>
      <c r="I316" s="62">
        <f t="shared" si="2"/>
        <v>226.56302521008408</v>
      </c>
      <c r="J316" s="63">
        <v>0.25315789473684203</v>
      </c>
      <c r="K316" s="62">
        <f t="shared" si="3"/>
        <v>1596.6386554621849</v>
      </c>
      <c r="L316" s="62">
        <f t="shared" si="4"/>
        <v>303.36134453781517</v>
      </c>
      <c r="M316" s="62">
        <f t="shared" si="15"/>
        <v>1900</v>
      </c>
      <c r="N316" s="62">
        <f t="shared" si="6"/>
        <v>404.20168067226882</v>
      </c>
      <c r="O316" s="61">
        <f t="shared" si="7"/>
        <v>0</v>
      </c>
      <c r="P316" s="61">
        <f t="shared" si="8"/>
        <v>1596.6386554621849</v>
      </c>
      <c r="Q316" s="64">
        <f t="shared" si="9"/>
        <v>0.25315789473684203</v>
      </c>
      <c r="R316" s="61">
        <v>1900</v>
      </c>
      <c r="S316" s="41">
        <v>5000</v>
      </c>
      <c r="T316" s="40">
        <f t="shared" si="167"/>
        <v>1250</v>
      </c>
      <c r="U316" s="40">
        <f>7+40+122</f>
        <v>169</v>
      </c>
      <c r="V316" s="40">
        <f t="shared" si="168"/>
        <v>1419</v>
      </c>
      <c r="W316" s="40">
        <f t="shared" si="62"/>
        <v>481</v>
      </c>
      <c r="X316" s="8">
        <f t="shared" si="75"/>
        <v>95</v>
      </c>
      <c r="Y316" s="76"/>
      <c r="Z316" s="8" t="str">
        <f t="shared" si="14"/>
        <v>Platanos / 250 gramos</v>
      </c>
      <c r="AA316" s="8"/>
    </row>
    <row r="317" spans="1:28" ht="13.2">
      <c r="A317" s="59" t="s">
        <v>139</v>
      </c>
      <c r="B317" s="8" t="str">
        <f t="shared" si="165"/>
        <v>Platanos / 42 gramos</v>
      </c>
      <c r="C317" s="88" t="s">
        <v>995</v>
      </c>
      <c r="D317" s="61" t="str">
        <f t="shared" si="166"/>
        <v>Platanos</v>
      </c>
      <c r="E317" s="89">
        <v>42</v>
      </c>
      <c r="F317" s="62">
        <v>176.47058823529412</v>
      </c>
      <c r="G317" s="62">
        <v>66.722689075630257</v>
      </c>
      <c r="H317" s="62">
        <f t="shared" si="94"/>
        <v>243.19327731092437</v>
      </c>
      <c r="I317" s="62">
        <f t="shared" si="2"/>
        <v>46.206722689075633</v>
      </c>
      <c r="J317" s="63">
        <v>0.42120000000000002</v>
      </c>
      <c r="K317" s="62">
        <f t="shared" si="3"/>
        <v>420.1680672268908</v>
      </c>
      <c r="L317" s="62">
        <f t="shared" si="4"/>
        <v>79.831932773109259</v>
      </c>
      <c r="M317" s="62">
        <f t="shared" si="15"/>
        <v>500.00000000000006</v>
      </c>
      <c r="N317" s="62">
        <f t="shared" si="6"/>
        <v>176.97478991596643</v>
      </c>
      <c r="O317" s="61">
        <f t="shared" si="7"/>
        <v>0</v>
      </c>
      <c r="P317" s="61">
        <f t="shared" si="8"/>
        <v>420.1680672268908</v>
      </c>
      <c r="Q317" s="64">
        <f t="shared" si="9"/>
        <v>0.42120000000000002</v>
      </c>
      <c r="R317" s="89">
        <v>500</v>
      </c>
      <c r="S317" s="12">
        <v>5000</v>
      </c>
      <c r="T317" s="12">
        <f t="shared" si="167"/>
        <v>210</v>
      </c>
      <c r="U317" s="12">
        <f>73+160/25</f>
        <v>79.400000000000006</v>
      </c>
      <c r="V317" s="12">
        <f t="shared" si="168"/>
        <v>289.39999999999998</v>
      </c>
      <c r="W317" s="12">
        <f t="shared" si="62"/>
        <v>210.60000000000002</v>
      </c>
      <c r="X317" s="8">
        <f t="shared" si="75"/>
        <v>25</v>
      </c>
      <c r="Y317" s="82" t="s">
        <v>1579</v>
      </c>
      <c r="Z317" s="8" t="str">
        <f t="shared" si="14"/>
        <v>Platanos / 42 gramos</v>
      </c>
      <c r="AA317" s="8"/>
    </row>
    <row r="318" spans="1:28" ht="13.2">
      <c r="A318" s="59" t="s">
        <v>139</v>
      </c>
      <c r="B318" s="8" t="str">
        <f t="shared" si="165"/>
        <v>Platanos / 750 gramos</v>
      </c>
      <c r="C318" s="80" t="s">
        <v>995</v>
      </c>
      <c r="D318" s="61" t="str">
        <f t="shared" si="166"/>
        <v>Platanos</v>
      </c>
      <c r="E318" s="61">
        <v>750</v>
      </c>
      <c r="F318" s="62">
        <v>3151.2605042016808</v>
      </c>
      <c r="G318" s="62">
        <v>119.32773109243698</v>
      </c>
      <c r="H318" s="62">
        <f t="shared" si="94"/>
        <v>3270.5882352941176</v>
      </c>
      <c r="I318" s="62">
        <f t="shared" si="2"/>
        <v>621.41176470588232</v>
      </c>
      <c r="J318" s="63">
        <v>0.30808888888888897</v>
      </c>
      <c r="K318" s="62">
        <f t="shared" si="3"/>
        <v>4726.8907563025214</v>
      </c>
      <c r="L318" s="62">
        <f t="shared" si="4"/>
        <v>898.10924369747909</v>
      </c>
      <c r="M318" s="62">
        <f t="shared" si="15"/>
        <v>5625</v>
      </c>
      <c r="N318" s="62">
        <f t="shared" si="6"/>
        <v>1456.3025210084038</v>
      </c>
      <c r="O318" s="61">
        <f t="shared" si="7"/>
        <v>0</v>
      </c>
      <c r="P318" s="61">
        <f t="shared" si="8"/>
        <v>4726.8907563025214</v>
      </c>
      <c r="Q318" s="64">
        <f t="shared" si="9"/>
        <v>0.30808888888888897</v>
      </c>
      <c r="R318" s="61">
        <v>5625</v>
      </c>
      <c r="S318" s="41">
        <v>5000</v>
      </c>
      <c r="T318" s="40">
        <f t="shared" si="167"/>
        <v>3750</v>
      </c>
      <c r="U318" s="40">
        <f>7+40+95</f>
        <v>142</v>
      </c>
      <c r="V318" s="40">
        <f t="shared" si="168"/>
        <v>3892</v>
      </c>
      <c r="W318" s="40">
        <f t="shared" si="62"/>
        <v>1733</v>
      </c>
      <c r="X318" s="8">
        <f t="shared" si="75"/>
        <v>281.25</v>
      </c>
      <c r="Z318" s="8" t="str">
        <f t="shared" si="14"/>
        <v>Platanos / 750 gramos</v>
      </c>
      <c r="AA318" s="8"/>
    </row>
    <row r="319" spans="1:28" ht="13.2">
      <c r="A319" s="59" t="s">
        <v>861</v>
      </c>
      <c r="B319" s="8" t="str">
        <f t="shared" si="165"/>
        <v>Porotos / 1000 gramos</v>
      </c>
      <c r="C319" s="31" t="s">
        <v>862</v>
      </c>
      <c r="D319" s="61" t="s">
        <v>862</v>
      </c>
      <c r="E319" s="41">
        <v>1000</v>
      </c>
      <c r="F319" s="62">
        <f>3000/1.19</f>
        <v>2521.0084033613448</v>
      </c>
      <c r="G319" s="62">
        <v>0</v>
      </c>
      <c r="H319" s="62">
        <f t="shared" si="94"/>
        <v>2521.0084033613448</v>
      </c>
      <c r="I319" s="62">
        <f t="shared" si="2"/>
        <v>478.99159663865549</v>
      </c>
      <c r="J319" s="63">
        <v>0</v>
      </c>
      <c r="K319" s="62">
        <f t="shared" si="3"/>
        <v>2521.0084033613448</v>
      </c>
      <c r="L319" s="62">
        <f t="shared" si="4"/>
        <v>478.99159663865549</v>
      </c>
      <c r="M319" s="62">
        <f t="shared" si="15"/>
        <v>3000.0000000000005</v>
      </c>
      <c r="N319" s="62">
        <f t="shared" si="6"/>
        <v>0</v>
      </c>
      <c r="O319" s="61">
        <f t="shared" si="7"/>
        <v>0</v>
      </c>
      <c r="P319" s="61">
        <f t="shared" si="8"/>
        <v>2521.0084033613448</v>
      </c>
      <c r="Q319" s="64">
        <f t="shared" si="9"/>
        <v>0</v>
      </c>
      <c r="R319" s="41">
        <v>3000</v>
      </c>
      <c r="S319" s="41">
        <v>3000</v>
      </c>
      <c r="T319" s="74"/>
      <c r="U319" s="74"/>
      <c r="V319" s="75">
        <f>S319</f>
        <v>3000</v>
      </c>
      <c r="W319" s="40">
        <f t="shared" si="62"/>
        <v>0</v>
      </c>
      <c r="X319" s="31">
        <v>0</v>
      </c>
      <c r="Y319" s="76"/>
      <c r="Z319" s="8" t="str">
        <f t="shared" si="14"/>
        <v>Porotos / 1000 gramos</v>
      </c>
      <c r="AA319" s="8"/>
    </row>
    <row r="320" spans="1:28" ht="13.2">
      <c r="A320" s="59" t="s">
        <v>56</v>
      </c>
      <c r="B320" s="8" t="str">
        <f>CONCATENATE(C320," / ",E320," gramos)")</f>
        <v>Provoleta Parrillera / 135 gramos)</v>
      </c>
      <c r="C320" s="31" t="s">
        <v>428</v>
      </c>
      <c r="D320" s="61" t="s">
        <v>427</v>
      </c>
      <c r="E320" s="41">
        <v>135</v>
      </c>
      <c r="F320" s="62">
        <v>1462</v>
      </c>
      <c r="G320" s="62">
        <v>18</v>
      </c>
      <c r="H320" s="62">
        <f t="shared" si="94"/>
        <v>1480</v>
      </c>
      <c r="I320" s="62">
        <f t="shared" si="2"/>
        <v>281.2</v>
      </c>
      <c r="J320" s="63">
        <v>0.41286</v>
      </c>
      <c r="K320" s="62">
        <f t="shared" si="3"/>
        <v>2520.6935313553836</v>
      </c>
      <c r="L320" s="62">
        <f t="shared" si="4"/>
        <v>478.93177095752287</v>
      </c>
      <c r="M320" s="62">
        <f t="shared" si="15"/>
        <v>2999.6253023129066</v>
      </c>
      <c r="N320" s="62">
        <f t="shared" si="6"/>
        <v>1040.6935313553836</v>
      </c>
      <c r="O320" s="61">
        <f t="shared" si="7"/>
        <v>499.62530231290657</v>
      </c>
      <c r="P320" s="61">
        <f t="shared" si="8"/>
        <v>2100.840336134454</v>
      </c>
      <c r="Q320" s="64">
        <f t="shared" si="9"/>
        <v>0.29552000000000012</v>
      </c>
      <c r="R320" s="41">
        <v>2500</v>
      </c>
      <c r="S320" s="41">
        <v>1444</v>
      </c>
      <c r="T320" s="40">
        <f>S320</f>
        <v>1444</v>
      </c>
      <c r="U320" s="41">
        <v>22</v>
      </c>
      <c r="V320" s="40">
        <f t="shared" ref="V320:V333" si="171">T320+U320</f>
        <v>1466</v>
      </c>
      <c r="W320" s="40">
        <f t="shared" si="62"/>
        <v>1034</v>
      </c>
      <c r="X320" s="8">
        <f t="shared" ref="X320:X385" si="172">R320*5%</f>
        <v>125</v>
      </c>
      <c r="Y320" s="26"/>
      <c r="Z320" s="8" t="str">
        <f t="shared" si="14"/>
        <v>Provoleta Parrillera / 135 gramos)</v>
      </c>
      <c r="AA320" s="31" t="s">
        <v>428</v>
      </c>
      <c r="AB320" s="31">
        <v>-1</v>
      </c>
    </row>
    <row r="321" spans="1:28" ht="13.2">
      <c r="A321" s="59" t="s">
        <v>35</v>
      </c>
      <c r="B321" s="8" t="str">
        <f t="shared" ref="B321:B330" si="173">CONCATENATE(C321," / ",E321," gramos")</f>
        <v>Queso Mantecoso Laminado / 1000 gramos</v>
      </c>
      <c r="C321" s="31" t="s">
        <v>1620</v>
      </c>
      <c r="D321" s="61" t="s">
        <v>364</v>
      </c>
      <c r="E321" s="41">
        <v>1000</v>
      </c>
      <c r="F321" s="62">
        <v>7000</v>
      </c>
      <c r="G321" s="62">
        <v>0</v>
      </c>
      <c r="H321" s="62">
        <f t="shared" si="94"/>
        <v>7000</v>
      </c>
      <c r="I321" s="62">
        <f t="shared" si="2"/>
        <v>1330</v>
      </c>
      <c r="J321" s="63">
        <v>0.30584</v>
      </c>
      <c r="K321" s="62">
        <f t="shared" si="3"/>
        <v>10084.130459836349</v>
      </c>
      <c r="L321" s="62">
        <f t="shared" si="4"/>
        <v>1915.9847873689064</v>
      </c>
      <c r="M321" s="62">
        <f t="shared" si="15"/>
        <v>12000.115247205256</v>
      </c>
      <c r="N321" s="62">
        <f t="shared" si="6"/>
        <v>3084.1304598363495</v>
      </c>
      <c r="O321" s="61">
        <f t="shared" si="7"/>
        <v>1500.1152472052563</v>
      </c>
      <c r="P321" s="61">
        <f t="shared" si="8"/>
        <v>8823.5294117647063</v>
      </c>
      <c r="Q321" s="64">
        <f t="shared" si="9"/>
        <v>0.20666666666666667</v>
      </c>
      <c r="R321" s="41">
        <v>10500</v>
      </c>
      <c r="S321" s="41">
        <v>7487</v>
      </c>
      <c r="T321" s="40">
        <f t="shared" ref="T321:T330" si="174">S321*E321/1000</f>
        <v>7487</v>
      </c>
      <c r="U321" s="41">
        <f t="shared" ref="U321:U326" si="175">110+64</f>
        <v>174</v>
      </c>
      <c r="V321" s="40">
        <f t="shared" si="171"/>
        <v>7661</v>
      </c>
      <c r="W321" s="40">
        <f t="shared" si="62"/>
        <v>2839</v>
      </c>
      <c r="X321" s="8">
        <f t="shared" si="172"/>
        <v>525</v>
      </c>
      <c r="Y321" s="26"/>
      <c r="Z321" s="8" t="str">
        <f t="shared" si="14"/>
        <v>Queso Mantecoso Laminado / 1000 gramos</v>
      </c>
      <c r="AA321" s="31" t="s">
        <v>390</v>
      </c>
      <c r="AB321" s="31">
        <v>-1</v>
      </c>
    </row>
    <row r="322" spans="1:28" ht="13.2">
      <c r="A322" s="59" t="s">
        <v>35</v>
      </c>
      <c r="B322" s="8" t="str">
        <f t="shared" si="173"/>
        <v>Queso Mantecoso Laminado / 500 gramos</v>
      </c>
      <c r="C322" s="31" t="s">
        <v>1620</v>
      </c>
      <c r="D322" s="61" t="s">
        <v>364</v>
      </c>
      <c r="E322" s="41">
        <v>500</v>
      </c>
      <c r="F322" s="62">
        <v>3500</v>
      </c>
      <c r="G322" s="62">
        <v>0</v>
      </c>
      <c r="H322" s="62">
        <f t="shared" si="94"/>
        <v>3500</v>
      </c>
      <c r="I322" s="62">
        <f t="shared" si="2"/>
        <v>665</v>
      </c>
      <c r="J322" s="63">
        <v>0.35920000000000002</v>
      </c>
      <c r="K322" s="62">
        <f t="shared" si="3"/>
        <v>5461.9225967540569</v>
      </c>
      <c r="L322" s="62">
        <f t="shared" si="4"/>
        <v>1037.7652933832708</v>
      </c>
      <c r="M322" s="62">
        <f t="shared" si="15"/>
        <v>6499.6878901373275</v>
      </c>
      <c r="N322" s="62">
        <f t="shared" si="6"/>
        <v>1961.9225967540569</v>
      </c>
      <c r="O322" s="61">
        <f t="shared" si="7"/>
        <v>-4000.3121098626725</v>
      </c>
      <c r="P322" s="61">
        <f t="shared" si="8"/>
        <v>8823.5294117647063</v>
      </c>
      <c r="Q322" s="64">
        <f t="shared" si="9"/>
        <v>0.60333333333333328</v>
      </c>
      <c r="R322" s="41">
        <v>10500</v>
      </c>
      <c r="S322" s="41">
        <v>7487</v>
      </c>
      <c r="T322" s="40">
        <f t="shared" si="174"/>
        <v>3743.5</v>
      </c>
      <c r="U322" s="41">
        <f t="shared" si="175"/>
        <v>174</v>
      </c>
      <c r="V322" s="40">
        <f t="shared" si="171"/>
        <v>3917.5</v>
      </c>
      <c r="W322" s="40">
        <f t="shared" si="62"/>
        <v>6582.5</v>
      </c>
      <c r="X322" s="8">
        <f t="shared" si="172"/>
        <v>525</v>
      </c>
      <c r="Y322" s="26"/>
      <c r="Z322" s="8" t="str">
        <f t="shared" si="14"/>
        <v>Queso Mantecoso Laminado / 500 gramos</v>
      </c>
      <c r="AA322" s="31" t="s">
        <v>390</v>
      </c>
      <c r="AB322" s="31">
        <v>-0.5</v>
      </c>
    </row>
    <row r="323" spans="1:28" ht="13.2">
      <c r="A323" s="59" t="s">
        <v>35</v>
      </c>
      <c r="B323" s="8" t="str">
        <f t="shared" si="173"/>
        <v>Queso Mantecoso Laminado / 750 gramos</v>
      </c>
      <c r="C323" s="31" t="s">
        <v>1620</v>
      </c>
      <c r="D323" s="61" t="s">
        <v>364</v>
      </c>
      <c r="E323" s="41">
        <v>750</v>
      </c>
      <c r="F323" s="62">
        <v>5250</v>
      </c>
      <c r="G323" s="62">
        <v>0</v>
      </c>
      <c r="H323" s="62">
        <f t="shared" si="94"/>
        <v>5250</v>
      </c>
      <c r="I323" s="62">
        <f t="shared" si="2"/>
        <v>997.5</v>
      </c>
      <c r="J323" s="63">
        <v>0.30581999999999998</v>
      </c>
      <c r="K323" s="62">
        <f t="shared" si="3"/>
        <v>7562.8799446829353</v>
      </c>
      <c r="L323" s="62">
        <f t="shared" si="4"/>
        <v>1436.9471894897576</v>
      </c>
      <c r="M323" s="62">
        <f t="shared" si="15"/>
        <v>8999.8271341726922</v>
      </c>
      <c r="N323" s="62">
        <f t="shared" si="6"/>
        <v>2312.8799446829353</v>
      </c>
      <c r="O323" s="61">
        <f t="shared" si="7"/>
        <v>-1500.1728658273078</v>
      </c>
      <c r="P323" s="61">
        <f t="shared" si="8"/>
        <v>8823.5294117647063</v>
      </c>
      <c r="Q323" s="64">
        <f t="shared" si="9"/>
        <v>0.40500000000000003</v>
      </c>
      <c r="R323" s="41">
        <v>10500</v>
      </c>
      <c r="S323" s="41">
        <v>7487</v>
      </c>
      <c r="T323" s="40">
        <f t="shared" si="174"/>
        <v>5615.25</v>
      </c>
      <c r="U323" s="41">
        <f t="shared" si="175"/>
        <v>174</v>
      </c>
      <c r="V323" s="40">
        <f t="shared" si="171"/>
        <v>5789.25</v>
      </c>
      <c r="W323" s="40">
        <f t="shared" si="62"/>
        <v>4710.75</v>
      </c>
      <c r="X323" s="8">
        <f t="shared" si="172"/>
        <v>525</v>
      </c>
      <c r="Y323" s="26"/>
      <c r="Z323" s="8" t="str">
        <f t="shared" si="14"/>
        <v>Queso Mantecoso Laminado / 750 gramos</v>
      </c>
      <c r="AA323" s="31" t="s">
        <v>390</v>
      </c>
      <c r="AB323" s="31">
        <v>-0.75</v>
      </c>
    </row>
    <row r="324" spans="1:28" ht="13.2">
      <c r="A324" s="59" t="s">
        <v>35</v>
      </c>
      <c r="B324" s="8" t="str">
        <f t="shared" si="173"/>
        <v>Queso Mantecoso Laminado / 250 gramos</v>
      </c>
      <c r="C324" s="31" t="s">
        <v>1620</v>
      </c>
      <c r="D324" s="61" t="s">
        <v>364</v>
      </c>
      <c r="E324" s="41">
        <v>250</v>
      </c>
      <c r="F324" s="62">
        <v>1750</v>
      </c>
      <c r="G324" s="62">
        <v>0</v>
      </c>
      <c r="H324" s="62">
        <f t="shared" si="94"/>
        <v>1750</v>
      </c>
      <c r="I324" s="62">
        <f t="shared" si="2"/>
        <v>332.5</v>
      </c>
      <c r="J324" s="63">
        <v>0.35920000000000002</v>
      </c>
      <c r="K324" s="62">
        <f t="shared" si="3"/>
        <v>2730.9612983770285</v>
      </c>
      <c r="L324" s="62">
        <f t="shared" si="4"/>
        <v>518.88264669163539</v>
      </c>
      <c r="M324" s="62">
        <f t="shared" si="15"/>
        <v>3249.8439450686637</v>
      </c>
      <c r="N324" s="62">
        <f t="shared" si="6"/>
        <v>980.96129837702847</v>
      </c>
      <c r="O324" s="61">
        <f t="shared" si="7"/>
        <v>-7250.1560549313363</v>
      </c>
      <c r="P324" s="61">
        <f t="shared" si="8"/>
        <v>8823.5294117647063</v>
      </c>
      <c r="Q324" s="64">
        <f t="shared" si="9"/>
        <v>0.80166666666666664</v>
      </c>
      <c r="R324" s="41">
        <v>10500</v>
      </c>
      <c r="S324" s="41">
        <v>7487</v>
      </c>
      <c r="T324" s="40">
        <f t="shared" si="174"/>
        <v>1871.75</v>
      </c>
      <c r="U324" s="41">
        <f t="shared" si="175"/>
        <v>174</v>
      </c>
      <c r="V324" s="40">
        <f t="shared" si="171"/>
        <v>2045.75</v>
      </c>
      <c r="W324" s="40">
        <f t="shared" si="62"/>
        <v>8454.25</v>
      </c>
      <c r="X324" s="8">
        <f t="shared" si="172"/>
        <v>525</v>
      </c>
      <c r="Y324" s="26"/>
      <c r="Z324" s="8" t="str">
        <f t="shared" si="14"/>
        <v>Queso Mantecoso Laminado / 250 gramos</v>
      </c>
      <c r="AA324" s="31" t="s">
        <v>390</v>
      </c>
      <c r="AB324" s="31">
        <v>-0.25</v>
      </c>
    </row>
    <row r="325" spans="1:28" ht="13.2">
      <c r="A325" s="59" t="s">
        <v>35</v>
      </c>
      <c r="B325" s="8" t="str">
        <f t="shared" si="173"/>
        <v>Queso Mantecoso / 1000 gramos</v>
      </c>
      <c r="C325" s="31" t="s">
        <v>364</v>
      </c>
      <c r="D325" s="61" t="s">
        <v>364</v>
      </c>
      <c r="E325" s="41">
        <v>1000</v>
      </c>
      <c r="F325" s="62">
        <v>6291.5966386554628</v>
      </c>
      <c r="G325" s="62">
        <v>146</v>
      </c>
      <c r="H325" s="62">
        <f t="shared" si="94"/>
        <v>6437.5966386554628</v>
      </c>
      <c r="I325" s="62">
        <f t="shared" si="2"/>
        <v>1223.1433613445379</v>
      </c>
      <c r="J325" s="63">
        <v>0.30357000000000001</v>
      </c>
      <c r="K325" s="62">
        <f t="shared" si="3"/>
        <v>9243.7095453318543</v>
      </c>
      <c r="L325" s="62">
        <f t="shared" si="4"/>
        <v>1756.3048136130524</v>
      </c>
      <c r="M325" s="62">
        <f t="shared" si="15"/>
        <v>11000.014358944907</v>
      </c>
      <c r="N325" s="62">
        <f t="shared" si="6"/>
        <v>2806.1129066763915</v>
      </c>
      <c r="O325" s="61">
        <f t="shared" si="7"/>
        <v>500.01435894490714</v>
      </c>
      <c r="P325" s="61">
        <f t="shared" si="8"/>
        <v>8823.5294117647063</v>
      </c>
      <c r="Q325" s="64">
        <f t="shared" si="9"/>
        <v>0.27040571428571425</v>
      </c>
      <c r="R325" s="41">
        <v>10500</v>
      </c>
      <c r="S325" s="41">
        <v>7487</v>
      </c>
      <c r="T325" s="40">
        <f t="shared" si="174"/>
        <v>7487</v>
      </c>
      <c r="U325" s="41">
        <f t="shared" si="175"/>
        <v>174</v>
      </c>
      <c r="V325" s="40">
        <f t="shared" si="171"/>
        <v>7661</v>
      </c>
      <c r="W325" s="40">
        <f t="shared" si="62"/>
        <v>2839</v>
      </c>
      <c r="X325" s="8">
        <f t="shared" si="172"/>
        <v>525</v>
      </c>
      <c r="Y325" s="26"/>
      <c r="Z325" s="8" t="str">
        <f t="shared" si="14"/>
        <v>Queso Mantecoso / 1000 gramos</v>
      </c>
      <c r="AA325" s="31" t="s">
        <v>365</v>
      </c>
      <c r="AB325" s="31">
        <v>-1</v>
      </c>
    </row>
    <row r="326" spans="1:28" ht="13.2">
      <c r="A326" s="59" t="s">
        <v>35</v>
      </c>
      <c r="B326" s="8" t="str">
        <f t="shared" si="173"/>
        <v>Queso Mantecoso / 950 gramos</v>
      </c>
      <c r="C326" s="31" t="s">
        <v>364</v>
      </c>
      <c r="D326" s="61" t="s">
        <v>364</v>
      </c>
      <c r="E326" s="41">
        <v>950</v>
      </c>
      <c r="F326" s="62">
        <v>5985</v>
      </c>
      <c r="G326" s="62">
        <v>146.218487394958</v>
      </c>
      <c r="H326" s="62">
        <f t="shared" si="94"/>
        <v>6131.2184873949582</v>
      </c>
      <c r="I326" s="62">
        <f t="shared" si="2"/>
        <v>1164.9315126050421</v>
      </c>
      <c r="J326" s="63">
        <v>0.30509999999999998</v>
      </c>
      <c r="K326" s="62">
        <f t="shared" si="3"/>
        <v>8823.1666245430388</v>
      </c>
      <c r="L326" s="62">
        <f t="shared" si="4"/>
        <v>1676.4016586631774</v>
      </c>
      <c r="M326" s="62">
        <f t="shared" si="15"/>
        <v>10499.568283206216</v>
      </c>
      <c r="N326" s="62">
        <f t="shared" si="6"/>
        <v>2691.9481371480806</v>
      </c>
      <c r="O326" s="61">
        <f t="shared" si="7"/>
        <v>-0.43171679378428962</v>
      </c>
      <c r="P326" s="61">
        <f t="shared" si="8"/>
        <v>8823.5294117647063</v>
      </c>
      <c r="Q326" s="64">
        <f t="shared" si="9"/>
        <v>0.30512857142857142</v>
      </c>
      <c r="R326" s="41">
        <v>10500</v>
      </c>
      <c r="S326" s="41">
        <v>7487</v>
      </c>
      <c r="T326" s="40">
        <f t="shared" si="174"/>
        <v>7112.65</v>
      </c>
      <c r="U326" s="41">
        <f t="shared" si="175"/>
        <v>174</v>
      </c>
      <c r="V326" s="40">
        <f t="shared" si="171"/>
        <v>7286.65</v>
      </c>
      <c r="W326" s="40">
        <f t="shared" si="62"/>
        <v>3213.3500000000004</v>
      </c>
      <c r="X326" s="8">
        <f t="shared" si="172"/>
        <v>525</v>
      </c>
      <c r="Y326" s="26"/>
      <c r="Z326" s="8" t="str">
        <f t="shared" si="14"/>
        <v>Queso Mantecoso / 950 gramos</v>
      </c>
      <c r="AA326" s="31" t="s">
        <v>365</v>
      </c>
      <c r="AB326" s="31">
        <v>-0.95</v>
      </c>
    </row>
    <row r="327" spans="1:28" ht="13.2">
      <c r="A327" s="59" t="s">
        <v>35</v>
      </c>
      <c r="B327" s="8" t="str">
        <f t="shared" si="173"/>
        <v>Queso Mantecoso / 150 gramos</v>
      </c>
      <c r="C327" s="31" t="s">
        <v>364</v>
      </c>
      <c r="D327" s="61" t="s">
        <v>364</v>
      </c>
      <c r="E327" s="41">
        <v>150</v>
      </c>
      <c r="F327" s="62">
        <v>943.73949579831935</v>
      </c>
      <c r="G327" s="62">
        <v>110.92436974789916</v>
      </c>
      <c r="H327" s="62">
        <f t="shared" si="94"/>
        <v>1054.6638655462184</v>
      </c>
      <c r="I327" s="62">
        <f t="shared" si="2"/>
        <v>200.38613445378149</v>
      </c>
      <c r="J327" s="63">
        <v>0.45429999999999998</v>
      </c>
      <c r="K327" s="62">
        <f t="shared" si="3"/>
        <v>1932.6807138468357</v>
      </c>
      <c r="L327" s="62">
        <f t="shared" si="4"/>
        <v>367.20933563089881</v>
      </c>
      <c r="M327" s="62">
        <f t="shared" si="15"/>
        <v>2299.8900494777345</v>
      </c>
      <c r="N327" s="62">
        <f t="shared" si="6"/>
        <v>878.01684830061731</v>
      </c>
      <c r="O327" s="61">
        <f t="shared" si="7"/>
        <v>499.89004947773446</v>
      </c>
      <c r="P327" s="61">
        <f t="shared" si="8"/>
        <v>1512.6050420168067</v>
      </c>
      <c r="Q327" s="64">
        <f t="shared" si="9"/>
        <v>0.30275000000000007</v>
      </c>
      <c r="R327" s="41">
        <v>1800</v>
      </c>
      <c r="S327" s="41">
        <v>7487</v>
      </c>
      <c r="T327" s="40">
        <f t="shared" si="174"/>
        <v>1123.05</v>
      </c>
      <c r="U327" s="41">
        <f t="shared" ref="U327:U330" si="176">110+22</f>
        <v>132</v>
      </c>
      <c r="V327" s="40">
        <f t="shared" si="171"/>
        <v>1255.05</v>
      </c>
      <c r="W327" s="40">
        <f t="shared" si="62"/>
        <v>544.95000000000005</v>
      </c>
      <c r="X327" s="8">
        <f t="shared" si="172"/>
        <v>90</v>
      </c>
      <c r="Y327" s="26"/>
      <c r="Z327" s="8" t="str">
        <f t="shared" si="14"/>
        <v>Queso Mantecoso / 150 gramos</v>
      </c>
      <c r="AA327" s="31" t="s">
        <v>365</v>
      </c>
      <c r="AB327" s="31">
        <v>-0.15</v>
      </c>
    </row>
    <row r="328" spans="1:28" ht="13.2">
      <c r="A328" s="59" t="s">
        <v>35</v>
      </c>
      <c r="B328" s="8" t="str">
        <f t="shared" si="173"/>
        <v>Queso Mantecoso / 250 gramos</v>
      </c>
      <c r="C328" s="31" t="s">
        <v>364</v>
      </c>
      <c r="D328" s="61" t="s">
        <v>364</v>
      </c>
      <c r="E328" s="41">
        <v>250</v>
      </c>
      <c r="F328" s="62">
        <v>1572.8991596638657</v>
      </c>
      <c r="G328" s="62">
        <v>110.92436974789916</v>
      </c>
      <c r="H328" s="62">
        <f t="shared" si="94"/>
        <v>1683.8235294117649</v>
      </c>
      <c r="I328" s="62">
        <f t="shared" si="2"/>
        <v>319.9264705882353</v>
      </c>
      <c r="J328" s="63">
        <v>0.42749999999999999</v>
      </c>
      <c r="K328" s="62">
        <f t="shared" si="3"/>
        <v>2941.1764705882356</v>
      </c>
      <c r="L328" s="62">
        <f t="shared" si="4"/>
        <v>558.82352941176475</v>
      </c>
      <c r="M328" s="62">
        <f t="shared" si="15"/>
        <v>3500.0000000000005</v>
      </c>
      <c r="N328" s="62">
        <f t="shared" si="6"/>
        <v>1257.3529411764707</v>
      </c>
      <c r="O328" s="61">
        <f t="shared" si="7"/>
        <v>500.00000000000045</v>
      </c>
      <c r="P328" s="61">
        <f t="shared" si="8"/>
        <v>2521.0084033613448</v>
      </c>
      <c r="Q328" s="64">
        <f t="shared" si="9"/>
        <v>0.33208333333333329</v>
      </c>
      <c r="R328" s="41">
        <v>3000</v>
      </c>
      <c r="S328" s="41">
        <v>7487</v>
      </c>
      <c r="T328" s="40">
        <f t="shared" si="174"/>
        <v>1871.75</v>
      </c>
      <c r="U328" s="41">
        <f t="shared" si="176"/>
        <v>132</v>
      </c>
      <c r="V328" s="40">
        <f t="shared" si="171"/>
        <v>2003.75</v>
      </c>
      <c r="W328" s="40">
        <f t="shared" si="62"/>
        <v>996.25</v>
      </c>
      <c r="X328" s="8">
        <f t="shared" si="172"/>
        <v>150</v>
      </c>
      <c r="Y328" s="26"/>
      <c r="Z328" s="8" t="str">
        <f t="shared" si="14"/>
        <v>Queso Mantecoso / 250 gramos</v>
      </c>
      <c r="AA328" s="31" t="s">
        <v>365</v>
      </c>
      <c r="AB328" s="31">
        <v>-0.25</v>
      </c>
    </row>
    <row r="329" spans="1:28" ht="13.2">
      <c r="A329" s="59" t="s">
        <v>35</v>
      </c>
      <c r="B329" s="8" t="str">
        <f t="shared" si="173"/>
        <v>Queso Mantecoso / 417 gramos</v>
      </c>
      <c r="C329" s="31" t="s">
        <v>364</v>
      </c>
      <c r="D329" s="61" t="s">
        <v>364</v>
      </c>
      <c r="E329" s="41">
        <v>417</v>
      </c>
      <c r="F329" s="62">
        <v>2624</v>
      </c>
      <c r="G329" s="62">
        <v>110.92436974789916</v>
      </c>
      <c r="H329" s="62">
        <f t="shared" si="94"/>
        <v>2734.9243697478992</v>
      </c>
      <c r="I329" s="62">
        <f t="shared" si="2"/>
        <v>519.6356302521009</v>
      </c>
      <c r="J329" s="63">
        <v>0.34910000000000002</v>
      </c>
      <c r="K329" s="62">
        <f t="shared" si="3"/>
        <v>4201.7581345028411</v>
      </c>
      <c r="L329" s="62">
        <f t="shared" si="4"/>
        <v>798.33404555553977</v>
      </c>
      <c r="M329" s="62">
        <f t="shared" si="15"/>
        <v>5000.092180058381</v>
      </c>
      <c r="N329" s="62">
        <f t="shared" si="6"/>
        <v>1466.833764754942</v>
      </c>
      <c r="O329" s="61">
        <f t="shared" si="7"/>
        <v>-499.90781994161898</v>
      </c>
      <c r="P329" s="61">
        <f t="shared" si="8"/>
        <v>4621.8487394957983</v>
      </c>
      <c r="Q329" s="64">
        <f t="shared" si="9"/>
        <v>0.40826181818181817</v>
      </c>
      <c r="R329" s="41">
        <v>5500</v>
      </c>
      <c r="S329" s="41">
        <v>7487</v>
      </c>
      <c r="T329" s="40">
        <f t="shared" si="174"/>
        <v>3122.0790000000002</v>
      </c>
      <c r="U329" s="41">
        <f t="shared" si="176"/>
        <v>132</v>
      </c>
      <c r="V329" s="40">
        <f t="shared" si="171"/>
        <v>3254.0790000000002</v>
      </c>
      <c r="W329" s="40">
        <f t="shared" si="62"/>
        <v>2245.9209999999998</v>
      </c>
      <c r="X329" s="8">
        <f t="shared" si="172"/>
        <v>275</v>
      </c>
      <c r="Y329" s="26"/>
      <c r="Z329" s="8" t="str">
        <f t="shared" si="14"/>
        <v>Queso Mantecoso / 417 gramos</v>
      </c>
      <c r="AA329" s="31" t="s">
        <v>365</v>
      </c>
      <c r="AB329" s="31">
        <v>-0.5</v>
      </c>
    </row>
    <row r="330" spans="1:28" ht="13.2">
      <c r="A330" s="59" t="s">
        <v>35</v>
      </c>
      <c r="B330" s="8" t="str">
        <f t="shared" si="173"/>
        <v>Queso Mantecoso / 500 gramos</v>
      </c>
      <c r="C330" s="31" t="s">
        <v>364</v>
      </c>
      <c r="D330" s="61" t="s">
        <v>364</v>
      </c>
      <c r="E330" s="41">
        <v>500</v>
      </c>
      <c r="F330" s="62">
        <v>3145.7983193277314</v>
      </c>
      <c r="G330" s="62">
        <v>110.92436974789916</v>
      </c>
      <c r="H330" s="62">
        <f t="shared" si="94"/>
        <v>3256.7226890756306</v>
      </c>
      <c r="I330" s="62">
        <f t="shared" si="2"/>
        <v>618.77731092436977</v>
      </c>
      <c r="J330" s="63">
        <v>0.35410000000000003</v>
      </c>
      <c r="K330" s="62">
        <f t="shared" si="3"/>
        <v>5042.1469098554435</v>
      </c>
      <c r="L330" s="62">
        <f t="shared" si="4"/>
        <v>958.00791287253423</v>
      </c>
      <c r="M330" s="62">
        <f t="shared" si="15"/>
        <v>6000.1548227279782</v>
      </c>
      <c r="N330" s="62">
        <f t="shared" si="6"/>
        <v>1785.4242207798129</v>
      </c>
      <c r="O330" s="61">
        <f t="shared" si="7"/>
        <v>500.15482272797817</v>
      </c>
      <c r="P330" s="61">
        <f t="shared" si="8"/>
        <v>4621.8487394957983</v>
      </c>
      <c r="Q330" s="64">
        <f t="shared" si="9"/>
        <v>0.29536363636363627</v>
      </c>
      <c r="R330" s="41">
        <v>5500</v>
      </c>
      <c r="S330" s="41">
        <v>7487</v>
      </c>
      <c r="T330" s="40">
        <f t="shared" si="174"/>
        <v>3743.5</v>
      </c>
      <c r="U330" s="41">
        <f t="shared" si="176"/>
        <v>132</v>
      </c>
      <c r="V330" s="40">
        <f t="shared" si="171"/>
        <v>3875.5</v>
      </c>
      <c r="W330" s="40">
        <f t="shared" si="62"/>
        <v>1624.5</v>
      </c>
      <c r="X330" s="8">
        <f t="shared" si="172"/>
        <v>275</v>
      </c>
      <c r="Y330" s="26"/>
      <c r="Z330" s="8" t="str">
        <f t="shared" si="14"/>
        <v>Queso Mantecoso / 500 gramos</v>
      </c>
      <c r="AA330" s="31" t="s">
        <v>365</v>
      </c>
      <c r="AB330" s="31">
        <v>-0.5</v>
      </c>
    </row>
    <row r="331" spans="1:28" ht="13.2">
      <c r="A331" s="59" t="s">
        <v>56</v>
      </c>
      <c r="B331" s="8" t="str">
        <f t="shared" ref="B331:B332" si="177">CONCATENATE(C331," / ",E331," gramos)")</f>
        <v>Queso Rueda Cabra / 200 gramos)</v>
      </c>
      <c r="C331" s="31" t="s">
        <v>1621</v>
      </c>
      <c r="D331" s="61" t="s">
        <v>429</v>
      </c>
      <c r="E331" s="41">
        <v>200</v>
      </c>
      <c r="F331" s="62">
        <v>3200</v>
      </c>
      <c r="G331" s="62">
        <v>18</v>
      </c>
      <c r="H331" s="62">
        <f t="shared" si="94"/>
        <v>3218</v>
      </c>
      <c r="I331" s="62">
        <f t="shared" si="2"/>
        <v>611.41999999999996</v>
      </c>
      <c r="J331" s="63">
        <v>0.20219999999999999</v>
      </c>
      <c r="K331" s="62">
        <f t="shared" si="3"/>
        <v>4033.5923790423662</v>
      </c>
      <c r="L331" s="62">
        <f t="shared" si="4"/>
        <v>766.38255201804964</v>
      </c>
      <c r="M331" s="62">
        <f t="shared" si="15"/>
        <v>4799.9749310604157</v>
      </c>
      <c r="N331" s="62">
        <f t="shared" si="6"/>
        <v>815.59237904236625</v>
      </c>
      <c r="O331" s="61">
        <f t="shared" si="7"/>
        <v>499.97493106041566</v>
      </c>
      <c r="P331" s="61">
        <f t="shared" si="8"/>
        <v>3613.4453781512607</v>
      </c>
      <c r="Q331" s="64">
        <f t="shared" si="9"/>
        <v>0.10943720930232559</v>
      </c>
      <c r="R331" s="41">
        <v>4300</v>
      </c>
      <c r="S331" s="41">
        <v>2927</v>
      </c>
      <c r="T331" s="40">
        <f t="shared" ref="T331:T333" si="178">S331</f>
        <v>2927</v>
      </c>
      <c r="U331" s="41">
        <v>22</v>
      </c>
      <c r="V331" s="40">
        <f t="shared" si="171"/>
        <v>2949</v>
      </c>
      <c r="W331" s="40">
        <f t="shared" si="62"/>
        <v>1351</v>
      </c>
      <c r="X331" s="8">
        <f t="shared" si="172"/>
        <v>215</v>
      </c>
      <c r="Y331" s="26"/>
      <c r="Z331" s="8" t="str">
        <f t="shared" si="14"/>
        <v>Queso Rueda Cabra / 200 gramos)</v>
      </c>
      <c r="AA331" s="31" t="s">
        <v>525</v>
      </c>
      <c r="AB331" s="31">
        <v>-1</v>
      </c>
    </row>
    <row r="332" spans="1:28" ht="13.2">
      <c r="A332" s="59" t="s">
        <v>56</v>
      </c>
      <c r="B332" s="8" t="str">
        <f t="shared" si="177"/>
        <v>Queso Rueda Sabores / 200 gramos)</v>
      </c>
      <c r="C332" s="31" t="s">
        <v>1622</v>
      </c>
      <c r="D332" s="61" t="s">
        <v>429</v>
      </c>
      <c r="E332" s="41">
        <v>200</v>
      </c>
      <c r="F332" s="62">
        <v>1891.5966386554624</v>
      </c>
      <c r="G332" s="62">
        <v>18.487394957983195</v>
      </c>
      <c r="H332" s="62">
        <f t="shared" si="94"/>
        <v>1910.0840336134456</v>
      </c>
      <c r="I332" s="62">
        <f t="shared" si="2"/>
        <v>362.91596638655466</v>
      </c>
      <c r="J332" s="63">
        <v>0.38567567567567562</v>
      </c>
      <c r="K332" s="62">
        <f t="shared" si="3"/>
        <v>3109.2436974789916</v>
      </c>
      <c r="L332" s="62">
        <f t="shared" si="4"/>
        <v>590.75630252100837</v>
      </c>
      <c r="M332" s="62">
        <f t="shared" si="15"/>
        <v>3700</v>
      </c>
      <c r="N332" s="62">
        <f t="shared" si="6"/>
        <v>1199.159663865546</v>
      </c>
      <c r="O332" s="61">
        <f t="shared" si="7"/>
        <v>0</v>
      </c>
      <c r="P332" s="61">
        <f t="shared" si="8"/>
        <v>3109.2436974789916</v>
      </c>
      <c r="Q332" s="64">
        <f t="shared" si="9"/>
        <v>0.38567567567567562</v>
      </c>
      <c r="R332" s="41">
        <v>3700</v>
      </c>
      <c r="S332" s="41">
        <v>2251</v>
      </c>
      <c r="T332" s="40">
        <f t="shared" si="178"/>
        <v>2251</v>
      </c>
      <c r="U332" s="41">
        <f>22</f>
        <v>22</v>
      </c>
      <c r="V332" s="40">
        <f t="shared" si="171"/>
        <v>2273</v>
      </c>
      <c r="W332" s="40">
        <f t="shared" si="62"/>
        <v>1427</v>
      </c>
      <c r="X332" s="8">
        <f t="shared" si="172"/>
        <v>185</v>
      </c>
      <c r="Y332" s="26"/>
      <c r="Z332" s="8" t="str">
        <f t="shared" si="14"/>
        <v>Queso Rueda Sabores / 200 gramos)</v>
      </c>
      <c r="AA332" s="31" t="s">
        <v>430</v>
      </c>
      <c r="AB332" s="31">
        <v>-1</v>
      </c>
    </row>
    <row r="333" spans="1:28" ht="13.2">
      <c r="A333" s="59" t="s">
        <v>76</v>
      </c>
      <c r="B333" s="8" t="str">
        <f>CONCATENATE(C333,E333)</f>
        <v>Quix 750 cc</v>
      </c>
      <c r="C333" s="23" t="s">
        <v>98</v>
      </c>
      <c r="D333" s="41" t="s">
        <v>479</v>
      </c>
      <c r="E333" s="40"/>
      <c r="F333" s="62">
        <v>1132.7731092436975</v>
      </c>
      <c r="G333" s="62">
        <v>0</v>
      </c>
      <c r="H333" s="62">
        <f t="shared" si="94"/>
        <v>1132.7731092436975</v>
      </c>
      <c r="I333" s="62">
        <f t="shared" si="2"/>
        <v>215.22689075630254</v>
      </c>
      <c r="J333" s="63">
        <v>0.48153846153846158</v>
      </c>
      <c r="K333" s="62">
        <f t="shared" si="3"/>
        <v>2184.8739495798322</v>
      </c>
      <c r="L333" s="62">
        <f t="shared" si="4"/>
        <v>415.12605042016816</v>
      </c>
      <c r="M333" s="62">
        <f t="shared" si="15"/>
        <v>2600.0000000000005</v>
      </c>
      <c r="N333" s="62">
        <f t="shared" si="6"/>
        <v>1052.1008403361348</v>
      </c>
      <c r="O333" s="61">
        <f t="shared" si="7"/>
        <v>0</v>
      </c>
      <c r="P333" s="61">
        <f t="shared" si="8"/>
        <v>2184.8739495798322</v>
      </c>
      <c r="Q333" s="64">
        <f t="shared" si="9"/>
        <v>0.48153846153846158</v>
      </c>
      <c r="R333" s="41">
        <v>2600</v>
      </c>
      <c r="S333" s="41">
        <v>1348</v>
      </c>
      <c r="T333" s="41">
        <f t="shared" si="178"/>
        <v>1348</v>
      </c>
      <c r="U333" s="41">
        <v>0</v>
      </c>
      <c r="V333" s="40">
        <f t="shared" si="171"/>
        <v>1348</v>
      </c>
      <c r="W333" s="40">
        <f t="shared" si="62"/>
        <v>1252</v>
      </c>
      <c r="X333" s="8">
        <f t="shared" si="172"/>
        <v>130</v>
      </c>
      <c r="Y333" s="26"/>
      <c r="Z333" s="8" t="str">
        <f t="shared" si="14"/>
        <v>Quix 750 cc</v>
      </c>
      <c r="AA333" s="31" t="s">
        <v>480</v>
      </c>
      <c r="AB333" s="31">
        <v>-1</v>
      </c>
    </row>
    <row r="334" spans="1:28" ht="13.2">
      <c r="A334" s="59" t="s">
        <v>53</v>
      </c>
      <c r="B334" s="8" t="str">
        <f>CONCATENATE(C334," / ",E334,"$",M334)</f>
        <v>REMATE: Caja Servilletas / $13000</v>
      </c>
      <c r="C334" s="31" t="s">
        <v>967</v>
      </c>
      <c r="D334" s="61" t="s">
        <v>381</v>
      </c>
      <c r="E334" s="41"/>
      <c r="F334" s="62">
        <f t="shared" ref="F334:F338" si="179">S334/1.19</f>
        <v>7394.9579831932779</v>
      </c>
      <c r="G334" s="62">
        <v>0</v>
      </c>
      <c r="H334" s="62">
        <f t="shared" si="94"/>
        <v>7394.9579831932779</v>
      </c>
      <c r="I334" s="62">
        <f t="shared" si="2"/>
        <v>1405.0420168067228</v>
      </c>
      <c r="J334" s="63">
        <v>0.32307692307692304</v>
      </c>
      <c r="K334" s="62">
        <f t="shared" si="3"/>
        <v>10924.36974789916</v>
      </c>
      <c r="L334" s="62">
        <f t="shared" si="4"/>
        <v>2075.6302521008406</v>
      </c>
      <c r="M334" s="62">
        <f t="shared" si="15"/>
        <v>13000</v>
      </c>
      <c r="N334" s="62">
        <f t="shared" si="6"/>
        <v>3529.411764705882</v>
      </c>
      <c r="O334" s="61">
        <f t="shared" si="7"/>
        <v>0</v>
      </c>
      <c r="P334" s="61">
        <f t="shared" si="8"/>
        <v>10924.36974789916</v>
      </c>
      <c r="Q334" s="64">
        <f t="shared" si="9"/>
        <v>0.32307692307692304</v>
      </c>
      <c r="R334" s="41">
        <v>13000</v>
      </c>
      <c r="S334" s="41">
        <v>8800</v>
      </c>
      <c r="T334" s="40"/>
      <c r="U334" s="75"/>
      <c r="V334" s="74">
        <f t="shared" ref="V334:V338" si="180">S334</f>
        <v>8800</v>
      </c>
      <c r="W334" s="74">
        <f t="shared" si="62"/>
        <v>4200</v>
      </c>
      <c r="X334" s="8">
        <f t="shared" si="172"/>
        <v>650</v>
      </c>
      <c r="Y334" s="76"/>
      <c r="Z334" s="8" t="str">
        <f t="shared" si="14"/>
        <v>REMATE: Caja Servilletas / $13000</v>
      </c>
      <c r="AA334" s="31" t="s">
        <v>382</v>
      </c>
    </row>
    <row r="335" spans="1:28" ht="13.2">
      <c r="A335" s="59" t="s">
        <v>53</v>
      </c>
      <c r="B335" s="8" t="str">
        <f t="shared" ref="B335:B338" si="181">CONCATENATE(C335,E335)</f>
        <v>REMATE: Manga Papel Higienico (48)</v>
      </c>
      <c r="C335" s="31" t="s">
        <v>962</v>
      </c>
      <c r="D335" s="61" t="s">
        <v>1623</v>
      </c>
      <c r="E335" s="41"/>
      <c r="F335" s="62">
        <f t="shared" si="179"/>
        <v>7394.9579831932779</v>
      </c>
      <c r="G335" s="62">
        <v>0</v>
      </c>
      <c r="H335" s="62">
        <f t="shared" si="94"/>
        <v>7394.9579831932779</v>
      </c>
      <c r="I335" s="62">
        <f t="shared" si="2"/>
        <v>1405.0420168067228</v>
      </c>
      <c r="J335" s="63">
        <v>0.23478260869565204</v>
      </c>
      <c r="K335" s="62">
        <f t="shared" si="3"/>
        <v>9663.865546218487</v>
      </c>
      <c r="L335" s="62">
        <f t="shared" si="4"/>
        <v>1836.1344537815125</v>
      </c>
      <c r="M335" s="62">
        <f t="shared" si="15"/>
        <v>11500</v>
      </c>
      <c r="N335" s="62">
        <f t="shared" si="6"/>
        <v>2268.9075630252091</v>
      </c>
      <c r="O335" s="61">
        <f t="shared" si="7"/>
        <v>0</v>
      </c>
      <c r="P335" s="61">
        <f t="shared" si="8"/>
        <v>9663.865546218487</v>
      </c>
      <c r="Q335" s="64">
        <f t="shared" si="9"/>
        <v>0.23478260869565204</v>
      </c>
      <c r="R335" s="41">
        <v>11500</v>
      </c>
      <c r="S335" s="41">
        <v>8800</v>
      </c>
      <c r="T335" s="74"/>
      <c r="U335" s="74"/>
      <c r="V335" s="74">
        <f t="shared" si="180"/>
        <v>8800</v>
      </c>
      <c r="W335" s="74">
        <f t="shared" si="62"/>
        <v>2700</v>
      </c>
      <c r="X335" s="8">
        <f t="shared" si="172"/>
        <v>575</v>
      </c>
      <c r="Y335" s="76"/>
      <c r="Z335" s="8" t="str">
        <f t="shared" si="14"/>
        <v>REMATE: Manga Papel Higienico (48)</v>
      </c>
      <c r="AA335" s="8"/>
    </row>
    <row r="336" spans="1:28" ht="13.2">
      <c r="A336" s="59" t="s">
        <v>53</v>
      </c>
      <c r="B336" s="8" t="str">
        <f t="shared" si="181"/>
        <v>REMATE: Manga Toalla Nova (24)</v>
      </c>
      <c r="C336" s="31" t="s">
        <v>961</v>
      </c>
      <c r="D336" s="61" t="s">
        <v>1624</v>
      </c>
      <c r="E336" s="41"/>
      <c r="F336" s="62">
        <f t="shared" si="179"/>
        <v>6302.5210084033615</v>
      </c>
      <c r="G336" s="62">
        <v>0</v>
      </c>
      <c r="H336" s="62">
        <f t="shared" si="94"/>
        <v>6302.5210084033615</v>
      </c>
      <c r="I336" s="62">
        <f t="shared" si="2"/>
        <v>1197.4789915966387</v>
      </c>
      <c r="J336" s="63">
        <v>0.34782608695652173</v>
      </c>
      <c r="K336" s="62">
        <f t="shared" si="3"/>
        <v>9663.865546218487</v>
      </c>
      <c r="L336" s="62">
        <f t="shared" si="4"/>
        <v>1836.1344537815125</v>
      </c>
      <c r="M336" s="62">
        <f t="shared" si="15"/>
        <v>11500</v>
      </c>
      <c r="N336" s="62">
        <f t="shared" si="6"/>
        <v>3361.3445378151255</v>
      </c>
      <c r="O336" s="61">
        <f t="shared" si="7"/>
        <v>0</v>
      </c>
      <c r="P336" s="61">
        <f t="shared" si="8"/>
        <v>9663.865546218487</v>
      </c>
      <c r="Q336" s="64">
        <f t="shared" si="9"/>
        <v>0.34782608695652173</v>
      </c>
      <c r="R336" s="41">
        <v>11500</v>
      </c>
      <c r="S336" s="41">
        <v>7500</v>
      </c>
      <c r="T336" s="74"/>
      <c r="U336" s="74"/>
      <c r="V336" s="74">
        <f t="shared" si="180"/>
        <v>7500</v>
      </c>
      <c r="W336" s="74">
        <f t="shared" si="62"/>
        <v>4000</v>
      </c>
      <c r="X336" s="8">
        <f t="shared" si="172"/>
        <v>575</v>
      </c>
      <c r="Y336" s="76"/>
      <c r="Z336" s="8" t="str">
        <f t="shared" si="14"/>
        <v>REMATE: Manga Toalla Nova (24)</v>
      </c>
      <c r="AA336" s="8"/>
    </row>
    <row r="337" spans="1:27" ht="13.2">
      <c r="A337" s="59" t="s">
        <v>53</v>
      </c>
      <c r="B337" s="8" t="str">
        <f t="shared" si="181"/>
        <v>REMATE: Toalla Nova 1 hoja(4)</v>
      </c>
      <c r="C337" s="31" t="s">
        <v>966</v>
      </c>
      <c r="D337" s="31" t="s">
        <v>841</v>
      </c>
      <c r="E337" s="41"/>
      <c r="F337" s="62">
        <f t="shared" si="179"/>
        <v>2184.8739495798322</v>
      </c>
      <c r="G337" s="62">
        <v>0</v>
      </c>
      <c r="H337" s="62">
        <f t="shared" si="94"/>
        <v>2184.8739495798322</v>
      </c>
      <c r="I337" s="62">
        <f t="shared" si="2"/>
        <v>415.12605042016816</v>
      </c>
      <c r="J337" s="63">
        <v>0.56666666666666665</v>
      </c>
      <c r="K337" s="62">
        <f t="shared" si="3"/>
        <v>5042.0168067226896</v>
      </c>
      <c r="L337" s="62">
        <f t="shared" si="4"/>
        <v>957.98319327731099</v>
      </c>
      <c r="M337" s="62">
        <f t="shared" si="15"/>
        <v>6000.0000000000009</v>
      </c>
      <c r="N337" s="62">
        <f t="shared" si="6"/>
        <v>2857.1428571428573</v>
      </c>
      <c r="O337" s="61">
        <f t="shared" si="7"/>
        <v>0</v>
      </c>
      <c r="P337" s="61">
        <f t="shared" si="8"/>
        <v>5042.0168067226896</v>
      </c>
      <c r="Q337" s="64">
        <f t="shared" si="9"/>
        <v>0.56666666666666665</v>
      </c>
      <c r="R337" s="41">
        <v>6000</v>
      </c>
      <c r="S337" s="41">
        <v>2600</v>
      </c>
      <c r="T337" s="74"/>
      <c r="U337" s="74"/>
      <c r="V337" s="74">
        <f t="shared" si="180"/>
        <v>2600</v>
      </c>
      <c r="W337" s="74">
        <f t="shared" si="62"/>
        <v>3400</v>
      </c>
      <c r="X337" s="8">
        <f t="shared" si="172"/>
        <v>300</v>
      </c>
      <c r="Y337" s="76"/>
      <c r="Z337" s="8" t="str">
        <f t="shared" si="14"/>
        <v>REMATE: Toalla Nova 1 hoja(4)</v>
      </c>
      <c r="AA337" s="8"/>
    </row>
    <row r="338" spans="1:27" ht="13.2">
      <c r="A338" s="59" t="s">
        <v>53</v>
      </c>
      <c r="B338" s="8" t="str">
        <f t="shared" si="181"/>
        <v>REMATE: Toalla Nova Doble hoja(4)</v>
      </c>
      <c r="C338" s="31" t="s">
        <v>958</v>
      </c>
      <c r="D338" s="61" t="s">
        <v>395</v>
      </c>
      <c r="E338" s="41"/>
      <c r="F338" s="62">
        <f t="shared" si="179"/>
        <v>4621.8487394957983</v>
      </c>
      <c r="G338" s="62">
        <v>0</v>
      </c>
      <c r="H338" s="62">
        <f t="shared" si="94"/>
        <v>4621.8487394957983</v>
      </c>
      <c r="I338" s="62">
        <f t="shared" si="2"/>
        <v>878.15126050420167</v>
      </c>
      <c r="J338" s="63">
        <v>0.5</v>
      </c>
      <c r="K338" s="62">
        <f t="shared" si="3"/>
        <v>9243.6974789915967</v>
      </c>
      <c r="L338" s="62">
        <f t="shared" si="4"/>
        <v>1756.3025210084033</v>
      </c>
      <c r="M338" s="62">
        <f t="shared" si="15"/>
        <v>11000</v>
      </c>
      <c r="N338" s="62">
        <f t="shared" si="6"/>
        <v>4621.8487394957983</v>
      </c>
      <c r="O338" s="61">
        <f t="shared" si="7"/>
        <v>0</v>
      </c>
      <c r="P338" s="61">
        <f t="shared" si="8"/>
        <v>9243.6974789915967</v>
      </c>
      <c r="Q338" s="64">
        <f t="shared" si="9"/>
        <v>0.5</v>
      </c>
      <c r="R338" s="41">
        <v>11000</v>
      </c>
      <c r="S338" s="41">
        <v>5500</v>
      </c>
      <c r="T338" s="74"/>
      <c r="U338" s="74"/>
      <c r="V338" s="74">
        <f t="shared" si="180"/>
        <v>5500</v>
      </c>
      <c r="W338" s="74">
        <f t="shared" si="62"/>
        <v>5500</v>
      </c>
      <c r="X338" s="8">
        <f t="shared" si="172"/>
        <v>550</v>
      </c>
      <c r="Y338" s="76"/>
      <c r="Z338" s="8" t="str">
        <f t="shared" si="14"/>
        <v>REMATE: Toalla Nova Doble hoja(4)</v>
      </c>
      <c r="AA338" s="8"/>
    </row>
    <row r="339" spans="1:27" ht="13.2">
      <c r="A339" s="59" t="s">
        <v>947</v>
      </c>
      <c r="B339" s="8" t="str">
        <f t="shared" ref="B339:B340" si="182">CONCATENATE(C339," / ",E339," gramos / $",M339)</f>
        <v>Rocklets / 250 gramos / $1400</v>
      </c>
      <c r="C339" s="31" t="s">
        <v>1009</v>
      </c>
      <c r="D339" s="61" t="str">
        <f t="shared" ref="D339:D354" si="183">C339</f>
        <v>Rocklets</v>
      </c>
      <c r="E339" s="41">
        <v>250</v>
      </c>
      <c r="F339" s="62">
        <v>840.3361344537816</v>
      </c>
      <c r="G339" s="62">
        <v>119.32773109243698</v>
      </c>
      <c r="H339" s="62">
        <f t="shared" si="94"/>
        <v>959.66386554621863</v>
      </c>
      <c r="I339" s="62">
        <f t="shared" si="2"/>
        <v>182.33613445378154</v>
      </c>
      <c r="J339" s="63">
        <v>0.18428571428571416</v>
      </c>
      <c r="K339" s="62">
        <f t="shared" si="3"/>
        <v>1176.4705882352941</v>
      </c>
      <c r="L339" s="62">
        <f t="shared" si="4"/>
        <v>223.52941176470588</v>
      </c>
      <c r="M339" s="62">
        <f t="shared" si="15"/>
        <v>1400</v>
      </c>
      <c r="N339" s="62">
        <f t="shared" si="6"/>
        <v>216.80672268907551</v>
      </c>
      <c r="O339" s="61">
        <f t="shared" si="7"/>
        <v>0</v>
      </c>
      <c r="P339" s="61">
        <f t="shared" si="8"/>
        <v>1176.4705882352941</v>
      </c>
      <c r="Q339" s="64">
        <f t="shared" si="9"/>
        <v>0.18428571428571416</v>
      </c>
      <c r="R339" s="41">
        <v>1400</v>
      </c>
      <c r="S339" s="41">
        <v>4000</v>
      </c>
      <c r="T339" s="40">
        <f t="shared" ref="T339:T354" si="184">S339*E339/1000</f>
        <v>1000</v>
      </c>
      <c r="U339" s="40">
        <f>7+40+95</f>
        <v>142</v>
      </c>
      <c r="V339" s="40">
        <f t="shared" ref="V339:V354" si="185">T339+U339</f>
        <v>1142</v>
      </c>
      <c r="W339" s="40">
        <f t="shared" si="62"/>
        <v>258</v>
      </c>
      <c r="X339" s="8">
        <f t="shared" si="172"/>
        <v>70</v>
      </c>
      <c r="Y339" s="76"/>
      <c r="Z339" s="8" t="str">
        <f t="shared" si="14"/>
        <v>Rocklets / 250 gramos / $1400</v>
      </c>
      <c r="AA339" s="8"/>
    </row>
    <row r="340" spans="1:27" ht="13.2">
      <c r="A340" s="59" t="s">
        <v>947</v>
      </c>
      <c r="B340" s="8" t="str">
        <f t="shared" si="182"/>
        <v>Rocklets / 50 gramos / $500</v>
      </c>
      <c r="C340" s="31" t="s">
        <v>1009</v>
      </c>
      <c r="D340" s="61" t="str">
        <f t="shared" si="183"/>
        <v>Rocklets</v>
      </c>
      <c r="E340" s="41">
        <v>50</v>
      </c>
      <c r="F340" s="62">
        <v>168.0672268907563</v>
      </c>
      <c r="G340" s="62">
        <v>66.722689075630257</v>
      </c>
      <c r="H340" s="62">
        <f t="shared" si="94"/>
        <v>234.78991596638656</v>
      </c>
      <c r="I340" s="62">
        <f t="shared" si="2"/>
        <v>44.610084033613447</v>
      </c>
      <c r="J340" s="63">
        <v>0.44120000000000004</v>
      </c>
      <c r="K340" s="62">
        <f t="shared" si="3"/>
        <v>420.1680672268908</v>
      </c>
      <c r="L340" s="62">
        <f t="shared" si="4"/>
        <v>79.831932773109259</v>
      </c>
      <c r="M340" s="62">
        <f t="shared" si="15"/>
        <v>500.00000000000006</v>
      </c>
      <c r="N340" s="62">
        <f t="shared" si="6"/>
        <v>185.37815126050424</v>
      </c>
      <c r="O340" s="61">
        <f t="shared" si="7"/>
        <v>0</v>
      </c>
      <c r="P340" s="61">
        <f t="shared" si="8"/>
        <v>420.1680672268908</v>
      </c>
      <c r="Q340" s="64">
        <f t="shared" si="9"/>
        <v>0.44120000000000004</v>
      </c>
      <c r="R340" s="41">
        <v>500</v>
      </c>
      <c r="S340" s="41">
        <v>4000</v>
      </c>
      <c r="T340" s="40">
        <f t="shared" si="184"/>
        <v>200</v>
      </c>
      <c r="U340" s="12">
        <f>73+160/25</f>
        <v>79.400000000000006</v>
      </c>
      <c r="V340" s="40">
        <f t="shared" si="185"/>
        <v>279.39999999999998</v>
      </c>
      <c r="W340" s="40">
        <f t="shared" si="62"/>
        <v>220.60000000000002</v>
      </c>
      <c r="X340" s="8">
        <f t="shared" si="172"/>
        <v>25</v>
      </c>
      <c r="Y340" s="82" t="s">
        <v>1579</v>
      </c>
      <c r="Z340" s="8" t="str">
        <f t="shared" si="14"/>
        <v>Rocklets / 50 gramos / $500</v>
      </c>
      <c r="AA340" s="8"/>
    </row>
    <row r="341" spans="1:27" ht="13.2">
      <c r="A341" s="78" t="s">
        <v>139</v>
      </c>
      <c r="B341" s="8" t="str">
        <f t="shared" ref="B341:B354" si="186">CONCATENATE(C341," / ",E341," gramos")</f>
        <v>Semillas Chia / 1000 gramos</v>
      </c>
      <c r="C341" s="80" t="s">
        <v>850</v>
      </c>
      <c r="D341" s="61" t="str">
        <f t="shared" si="183"/>
        <v>Semillas Chia</v>
      </c>
      <c r="E341" s="61">
        <v>1000</v>
      </c>
      <c r="F341" s="62">
        <v>3850.4201680672272</v>
      </c>
      <c r="G341" s="62">
        <v>190.75630252100842</v>
      </c>
      <c r="H341" s="62">
        <f t="shared" si="94"/>
        <v>4041.1764705882356</v>
      </c>
      <c r="I341" s="62">
        <f t="shared" si="2"/>
        <v>767.82352941176475</v>
      </c>
      <c r="J341" s="63">
        <v>0.31300000000000006</v>
      </c>
      <c r="K341" s="62">
        <f t="shared" si="3"/>
        <v>5882.3529411764712</v>
      </c>
      <c r="L341" s="62">
        <f t="shared" si="4"/>
        <v>1117.6470588235295</v>
      </c>
      <c r="M341" s="62">
        <f t="shared" si="15"/>
        <v>7000.0000000000009</v>
      </c>
      <c r="N341" s="62">
        <f t="shared" si="6"/>
        <v>1841.1764705882356</v>
      </c>
      <c r="O341" s="61">
        <f t="shared" si="7"/>
        <v>0</v>
      </c>
      <c r="P341" s="61">
        <f t="shared" si="8"/>
        <v>5882.3529411764712</v>
      </c>
      <c r="Q341" s="64">
        <f t="shared" si="9"/>
        <v>0.31300000000000006</v>
      </c>
      <c r="R341" s="61">
        <v>7000</v>
      </c>
      <c r="S341" s="41">
        <v>4582</v>
      </c>
      <c r="T341" s="40">
        <f t="shared" si="184"/>
        <v>4582</v>
      </c>
      <c r="U341" s="40">
        <f>7+40+180</f>
        <v>227</v>
      </c>
      <c r="V341" s="40">
        <f t="shared" si="185"/>
        <v>4809</v>
      </c>
      <c r="W341" s="40">
        <f t="shared" si="62"/>
        <v>2191</v>
      </c>
      <c r="X341" s="8">
        <f t="shared" si="172"/>
        <v>350</v>
      </c>
      <c r="Z341" s="8" t="str">
        <f t="shared" si="14"/>
        <v>Semillas Chia / 1000 gramos</v>
      </c>
      <c r="AA341" s="8"/>
    </row>
    <row r="342" spans="1:27" ht="13.2">
      <c r="A342" s="78" t="s">
        <v>139</v>
      </c>
      <c r="B342" s="8" t="str">
        <f t="shared" si="186"/>
        <v>Semillas Chia / 250 gramos</v>
      </c>
      <c r="C342" s="80" t="s">
        <v>850</v>
      </c>
      <c r="D342" s="61" t="str">
        <f t="shared" si="183"/>
        <v>Semillas Chia</v>
      </c>
      <c r="E342" s="61">
        <v>250</v>
      </c>
      <c r="F342" s="62">
        <v>962.60504201680681</v>
      </c>
      <c r="G342" s="62">
        <v>119.32773109243698</v>
      </c>
      <c r="H342" s="62">
        <f t="shared" si="94"/>
        <v>1081.9327731092437</v>
      </c>
      <c r="I342" s="62">
        <f t="shared" si="2"/>
        <v>205.5672268907563</v>
      </c>
      <c r="J342" s="63">
        <v>0.35625000000000007</v>
      </c>
      <c r="K342" s="62">
        <f t="shared" si="3"/>
        <v>1680.6722689075632</v>
      </c>
      <c r="L342" s="62">
        <f t="shared" si="4"/>
        <v>319.32773109243703</v>
      </c>
      <c r="M342" s="62">
        <f t="shared" si="15"/>
        <v>2000.0000000000002</v>
      </c>
      <c r="N342" s="62">
        <f t="shared" si="6"/>
        <v>598.73949579831947</v>
      </c>
      <c r="O342" s="61">
        <f t="shared" si="7"/>
        <v>0</v>
      </c>
      <c r="P342" s="61">
        <f t="shared" si="8"/>
        <v>1680.6722689075632</v>
      </c>
      <c r="Q342" s="64">
        <f t="shared" si="9"/>
        <v>0.35625000000000007</v>
      </c>
      <c r="R342" s="61">
        <v>2000</v>
      </c>
      <c r="S342" s="41">
        <v>4582</v>
      </c>
      <c r="T342" s="40">
        <f t="shared" si="184"/>
        <v>1145.5</v>
      </c>
      <c r="U342" s="40">
        <f>7+40+95</f>
        <v>142</v>
      </c>
      <c r="V342" s="40">
        <f t="shared" si="185"/>
        <v>1287.5</v>
      </c>
      <c r="W342" s="40">
        <f t="shared" si="62"/>
        <v>712.5</v>
      </c>
      <c r="X342" s="8">
        <f t="shared" si="172"/>
        <v>100</v>
      </c>
      <c r="Y342" s="76"/>
      <c r="Z342" s="8" t="str">
        <f t="shared" si="14"/>
        <v>Semillas Chia / 250 gramos</v>
      </c>
      <c r="AA342" s="8"/>
    </row>
    <row r="343" spans="1:27" ht="13.2">
      <c r="A343" s="78" t="s">
        <v>139</v>
      </c>
      <c r="B343" s="8" t="str">
        <f t="shared" si="186"/>
        <v>Semillas Chia / 50 gramos</v>
      </c>
      <c r="C343" s="80" t="s">
        <v>850</v>
      </c>
      <c r="D343" s="61" t="str">
        <f t="shared" si="183"/>
        <v>Semillas Chia</v>
      </c>
      <c r="E343" s="61">
        <v>50</v>
      </c>
      <c r="F343" s="62">
        <v>192.52100840336135</v>
      </c>
      <c r="G343" s="62">
        <v>66.722689075630257</v>
      </c>
      <c r="H343" s="62">
        <f t="shared" si="94"/>
        <v>259.24369747899163</v>
      </c>
      <c r="I343" s="62">
        <f t="shared" si="2"/>
        <v>49.256302521008408</v>
      </c>
      <c r="J343" s="63">
        <v>0.38300000000000001</v>
      </c>
      <c r="K343" s="62">
        <f t="shared" si="3"/>
        <v>420.1680672268908</v>
      </c>
      <c r="L343" s="62">
        <f t="shared" si="4"/>
        <v>79.831932773109259</v>
      </c>
      <c r="M343" s="62">
        <f t="shared" si="15"/>
        <v>500.00000000000006</v>
      </c>
      <c r="N343" s="62">
        <f t="shared" si="6"/>
        <v>160.92436974789916</v>
      </c>
      <c r="O343" s="61">
        <f t="shared" si="7"/>
        <v>0</v>
      </c>
      <c r="P343" s="61">
        <f t="shared" si="8"/>
        <v>420.1680672268908</v>
      </c>
      <c r="Q343" s="64">
        <f t="shared" si="9"/>
        <v>0.38300000000000001</v>
      </c>
      <c r="R343" s="61">
        <v>500</v>
      </c>
      <c r="S343" s="41">
        <v>4582</v>
      </c>
      <c r="T343" s="40">
        <f t="shared" si="184"/>
        <v>229.1</v>
      </c>
      <c r="U343" s="12">
        <f>73+160/25</f>
        <v>79.400000000000006</v>
      </c>
      <c r="V343" s="40">
        <f t="shared" si="185"/>
        <v>308.5</v>
      </c>
      <c r="W343" s="40">
        <f t="shared" si="62"/>
        <v>191.5</v>
      </c>
      <c r="X343" s="8">
        <f t="shared" si="172"/>
        <v>25</v>
      </c>
      <c r="Z343" s="8" t="str">
        <f t="shared" si="14"/>
        <v>Semillas Chia / 50 gramos</v>
      </c>
      <c r="AA343" s="8"/>
    </row>
    <row r="344" spans="1:27" ht="13.2">
      <c r="A344" s="78" t="s">
        <v>139</v>
      </c>
      <c r="B344" s="8" t="str">
        <f t="shared" si="186"/>
        <v>Semillas Chia / 500 gramos</v>
      </c>
      <c r="C344" s="80" t="s">
        <v>850</v>
      </c>
      <c r="D344" s="61" t="str">
        <f t="shared" si="183"/>
        <v>Semillas Chia</v>
      </c>
      <c r="E344" s="61">
        <v>500</v>
      </c>
      <c r="F344" s="62">
        <v>1925.2100840336136</v>
      </c>
      <c r="G344" s="62">
        <v>142.01680672268907</v>
      </c>
      <c r="H344" s="62">
        <f t="shared" si="94"/>
        <v>2067.2268907563025</v>
      </c>
      <c r="I344" s="62">
        <f t="shared" si="2"/>
        <v>392.77310924369749</v>
      </c>
      <c r="J344" s="63">
        <v>0.29714285714285726</v>
      </c>
      <c r="K344" s="62">
        <f t="shared" si="3"/>
        <v>2941.1764705882356</v>
      </c>
      <c r="L344" s="62">
        <f t="shared" si="4"/>
        <v>558.82352941176475</v>
      </c>
      <c r="M344" s="62">
        <f t="shared" si="15"/>
        <v>3500.0000000000005</v>
      </c>
      <c r="N344" s="62">
        <f t="shared" si="6"/>
        <v>873.94957983193308</v>
      </c>
      <c r="O344" s="61">
        <f t="shared" si="7"/>
        <v>0</v>
      </c>
      <c r="P344" s="61">
        <f t="shared" si="8"/>
        <v>2941.1764705882356</v>
      </c>
      <c r="Q344" s="64">
        <f t="shared" si="9"/>
        <v>0.29714285714285726</v>
      </c>
      <c r="R344" s="61">
        <v>3500</v>
      </c>
      <c r="S344" s="41">
        <v>4582</v>
      </c>
      <c r="T344" s="40">
        <f t="shared" si="184"/>
        <v>2291</v>
      </c>
      <c r="U344" s="40">
        <f>7+40+122</f>
        <v>169</v>
      </c>
      <c r="V344" s="40">
        <f t="shared" si="185"/>
        <v>2460</v>
      </c>
      <c r="W344" s="40">
        <f t="shared" si="62"/>
        <v>1040</v>
      </c>
      <c r="X344" s="8">
        <f t="shared" si="172"/>
        <v>175</v>
      </c>
      <c r="Y344" s="76"/>
      <c r="Z344" s="8" t="str">
        <f t="shared" si="14"/>
        <v>Semillas Chia / 500 gramos</v>
      </c>
      <c r="AA344" s="8"/>
    </row>
    <row r="345" spans="1:27" ht="13.2">
      <c r="A345" s="78" t="s">
        <v>139</v>
      </c>
      <c r="B345" s="8" t="str">
        <f t="shared" si="186"/>
        <v>Semillas Linaza / 1000 gramos</v>
      </c>
      <c r="C345" s="80" t="s">
        <v>964</v>
      </c>
      <c r="D345" s="61" t="str">
        <f t="shared" si="183"/>
        <v>Semillas Linaza</v>
      </c>
      <c r="E345" s="61">
        <v>1000</v>
      </c>
      <c r="F345" s="62">
        <v>1100</v>
      </c>
      <c r="G345" s="62">
        <v>190.75630252100842</v>
      </c>
      <c r="H345" s="62">
        <f t="shared" si="94"/>
        <v>1290.7563025210084</v>
      </c>
      <c r="I345" s="62">
        <f t="shared" si="2"/>
        <v>245.24369747899161</v>
      </c>
      <c r="J345" s="63">
        <v>0.50451612903225806</v>
      </c>
      <c r="K345" s="62">
        <f t="shared" si="3"/>
        <v>2605.0420168067226</v>
      </c>
      <c r="L345" s="62">
        <f t="shared" si="4"/>
        <v>494.9579831932773</v>
      </c>
      <c r="M345" s="62">
        <f t="shared" si="15"/>
        <v>3100</v>
      </c>
      <c r="N345" s="62">
        <f t="shared" si="6"/>
        <v>1314.2857142857142</v>
      </c>
      <c r="O345" s="61">
        <f t="shared" si="7"/>
        <v>0</v>
      </c>
      <c r="P345" s="61">
        <f t="shared" si="8"/>
        <v>2605.0420168067226</v>
      </c>
      <c r="Q345" s="64">
        <f t="shared" si="9"/>
        <v>0.50451612903225806</v>
      </c>
      <c r="R345" s="61">
        <v>3100</v>
      </c>
      <c r="S345" s="41">
        <v>1309</v>
      </c>
      <c r="T345" s="40">
        <f t="shared" si="184"/>
        <v>1309</v>
      </c>
      <c r="U345" s="40">
        <f>7+40+180</f>
        <v>227</v>
      </c>
      <c r="V345" s="40">
        <f t="shared" si="185"/>
        <v>1536</v>
      </c>
      <c r="W345" s="40">
        <f t="shared" si="62"/>
        <v>1564</v>
      </c>
      <c r="X345" s="8">
        <f t="shared" si="172"/>
        <v>155</v>
      </c>
      <c r="Z345" s="8" t="str">
        <f t="shared" si="14"/>
        <v>Semillas Linaza / 1000 gramos</v>
      </c>
      <c r="AA345" s="8"/>
    </row>
    <row r="346" spans="1:27" ht="13.2">
      <c r="A346" s="78" t="s">
        <v>139</v>
      </c>
      <c r="B346" s="8" t="str">
        <f t="shared" si="186"/>
        <v>Semillas Linaza / 250 gramos</v>
      </c>
      <c r="C346" s="80" t="s">
        <v>964</v>
      </c>
      <c r="D346" s="61" t="str">
        <f t="shared" si="183"/>
        <v>Semillas Linaza</v>
      </c>
      <c r="E346" s="61">
        <v>250</v>
      </c>
      <c r="F346" s="62">
        <v>275</v>
      </c>
      <c r="G346" s="62">
        <v>119.32773109243698</v>
      </c>
      <c r="H346" s="62">
        <f t="shared" si="94"/>
        <v>394.32773109243698</v>
      </c>
      <c r="I346" s="62">
        <f t="shared" si="2"/>
        <v>74.922268907563023</v>
      </c>
      <c r="J346" s="63">
        <v>0.44794117647058829</v>
      </c>
      <c r="K346" s="62">
        <f t="shared" si="3"/>
        <v>714.28571428571433</v>
      </c>
      <c r="L346" s="62">
        <f t="shared" si="4"/>
        <v>135.71428571428572</v>
      </c>
      <c r="M346" s="62">
        <f t="shared" si="15"/>
        <v>850</v>
      </c>
      <c r="N346" s="62">
        <f t="shared" si="6"/>
        <v>319.95798319327736</v>
      </c>
      <c r="O346" s="61">
        <f t="shared" si="7"/>
        <v>0</v>
      </c>
      <c r="P346" s="61">
        <f t="shared" si="8"/>
        <v>714.28571428571433</v>
      </c>
      <c r="Q346" s="64">
        <f t="shared" si="9"/>
        <v>0.44794117647058829</v>
      </c>
      <c r="R346" s="61">
        <v>850</v>
      </c>
      <c r="S346" s="41">
        <v>1309</v>
      </c>
      <c r="T346" s="40">
        <f t="shared" si="184"/>
        <v>327.25</v>
      </c>
      <c r="U346" s="40">
        <f>7+40+95</f>
        <v>142</v>
      </c>
      <c r="V346" s="40">
        <f t="shared" si="185"/>
        <v>469.25</v>
      </c>
      <c r="W346" s="40">
        <f t="shared" si="62"/>
        <v>380.75</v>
      </c>
      <c r="X346" s="8">
        <f t="shared" si="172"/>
        <v>42.5</v>
      </c>
      <c r="Y346" s="76"/>
      <c r="Z346" s="8" t="str">
        <f t="shared" si="14"/>
        <v>Semillas Linaza / 250 gramos</v>
      </c>
      <c r="AA346" s="8"/>
    </row>
    <row r="347" spans="1:27" ht="13.2">
      <c r="A347" s="78" t="s">
        <v>139</v>
      </c>
      <c r="B347" s="8" t="str">
        <f t="shared" si="186"/>
        <v>Semillas Linaza / 500 gramos</v>
      </c>
      <c r="C347" s="80" t="s">
        <v>964</v>
      </c>
      <c r="D347" s="61" t="str">
        <f t="shared" si="183"/>
        <v>Semillas Linaza</v>
      </c>
      <c r="E347" s="61">
        <v>500</v>
      </c>
      <c r="F347" s="62">
        <v>550</v>
      </c>
      <c r="G347" s="62">
        <v>142.01680672268907</v>
      </c>
      <c r="H347" s="62">
        <f t="shared" si="94"/>
        <v>692.01680672268913</v>
      </c>
      <c r="I347" s="62">
        <f t="shared" si="2"/>
        <v>131.48319327731093</v>
      </c>
      <c r="J347" s="63">
        <v>0.48531249999999992</v>
      </c>
      <c r="K347" s="62">
        <f t="shared" si="3"/>
        <v>1344.5378151260504</v>
      </c>
      <c r="L347" s="62">
        <f t="shared" si="4"/>
        <v>255.46218487394958</v>
      </c>
      <c r="M347" s="62">
        <f t="shared" si="15"/>
        <v>1600</v>
      </c>
      <c r="N347" s="62">
        <f t="shared" si="6"/>
        <v>652.52100840336129</v>
      </c>
      <c r="O347" s="61">
        <f t="shared" si="7"/>
        <v>0</v>
      </c>
      <c r="P347" s="61">
        <f t="shared" si="8"/>
        <v>1344.5378151260504</v>
      </c>
      <c r="Q347" s="64">
        <f t="shared" si="9"/>
        <v>0.48531249999999992</v>
      </c>
      <c r="R347" s="61">
        <v>1600</v>
      </c>
      <c r="S347" s="41">
        <v>1309</v>
      </c>
      <c r="T347" s="40">
        <f t="shared" si="184"/>
        <v>654.5</v>
      </c>
      <c r="U347" s="40">
        <f>7+40+122</f>
        <v>169</v>
      </c>
      <c r="V347" s="40">
        <f t="shared" si="185"/>
        <v>823.5</v>
      </c>
      <c r="W347" s="40">
        <f t="shared" si="62"/>
        <v>776.5</v>
      </c>
      <c r="X347" s="8">
        <f t="shared" si="172"/>
        <v>80</v>
      </c>
      <c r="Y347" s="76"/>
      <c r="Z347" s="8" t="str">
        <f t="shared" si="14"/>
        <v>Semillas Linaza / 500 gramos</v>
      </c>
      <c r="AA347" s="8"/>
    </row>
    <row r="348" spans="1:27" ht="13.2">
      <c r="A348" s="78" t="s">
        <v>139</v>
      </c>
      <c r="B348" s="8" t="str">
        <f t="shared" si="186"/>
        <v>Semillas Maravilla / 250 gramos</v>
      </c>
      <c r="C348" s="80" t="s">
        <v>980</v>
      </c>
      <c r="D348" s="61" t="str">
        <f t="shared" si="183"/>
        <v>Semillas Maravilla</v>
      </c>
      <c r="E348" s="61">
        <v>250</v>
      </c>
      <c r="F348" s="62">
        <v>350</v>
      </c>
      <c r="G348" s="62">
        <v>119.32773109243698</v>
      </c>
      <c r="H348" s="62">
        <f t="shared" si="94"/>
        <v>469.32773109243698</v>
      </c>
      <c r="I348" s="62">
        <f t="shared" si="2"/>
        <v>89.172268907563023</v>
      </c>
      <c r="J348" s="63">
        <v>0.4415</v>
      </c>
      <c r="K348" s="62">
        <f t="shared" si="3"/>
        <v>840.33613445378148</v>
      </c>
      <c r="L348" s="62">
        <f t="shared" si="4"/>
        <v>159.66386554621849</v>
      </c>
      <c r="M348" s="62">
        <f t="shared" si="15"/>
        <v>1000</v>
      </c>
      <c r="N348" s="62">
        <f t="shared" si="6"/>
        <v>371.00840336134451</v>
      </c>
      <c r="O348" s="61">
        <f t="shared" si="7"/>
        <v>0</v>
      </c>
      <c r="P348" s="61">
        <f t="shared" si="8"/>
        <v>840.3361344537816</v>
      </c>
      <c r="Q348" s="64">
        <f t="shared" si="9"/>
        <v>0.4415</v>
      </c>
      <c r="R348" s="61">
        <v>1000</v>
      </c>
      <c r="S348" s="41">
        <v>1666</v>
      </c>
      <c r="T348" s="40">
        <f t="shared" si="184"/>
        <v>416.5</v>
      </c>
      <c r="U348" s="40">
        <f>7+40+95</f>
        <v>142</v>
      </c>
      <c r="V348" s="40">
        <f t="shared" si="185"/>
        <v>558.5</v>
      </c>
      <c r="W348" s="40">
        <f t="shared" si="62"/>
        <v>441.5</v>
      </c>
      <c r="X348" s="8">
        <f t="shared" si="172"/>
        <v>50</v>
      </c>
      <c r="Y348" s="76"/>
      <c r="Z348" s="8" t="str">
        <f t="shared" si="14"/>
        <v>Semillas Maravilla / 250 gramos</v>
      </c>
      <c r="AA348" s="8"/>
    </row>
    <row r="349" spans="1:27" ht="13.2">
      <c r="A349" s="78" t="s">
        <v>139</v>
      </c>
      <c r="B349" s="8" t="str">
        <f t="shared" si="186"/>
        <v>Semillas Maravilla / 500 gramos</v>
      </c>
      <c r="C349" s="80" t="s">
        <v>980</v>
      </c>
      <c r="D349" s="61" t="str">
        <f t="shared" si="183"/>
        <v>Semillas Maravilla</v>
      </c>
      <c r="E349" s="61">
        <v>500</v>
      </c>
      <c r="F349" s="62">
        <v>700</v>
      </c>
      <c r="G349" s="62">
        <v>142.01680672268907</v>
      </c>
      <c r="H349" s="62">
        <f t="shared" si="94"/>
        <v>842.01680672268913</v>
      </c>
      <c r="I349" s="62">
        <f t="shared" si="2"/>
        <v>159.98319327731093</v>
      </c>
      <c r="J349" s="63">
        <v>0.4726315789473684</v>
      </c>
      <c r="K349" s="62">
        <f t="shared" si="3"/>
        <v>1596.6386554621849</v>
      </c>
      <c r="L349" s="62">
        <f t="shared" si="4"/>
        <v>303.36134453781517</v>
      </c>
      <c r="M349" s="62">
        <f t="shared" si="15"/>
        <v>1900</v>
      </c>
      <c r="N349" s="62">
        <f t="shared" si="6"/>
        <v>754.62184873949582</v>
      </c>
      <c r="O349" s="61">
        <f t="shared" si="7"/>
        <v>0</v>
      </c>
      <c r="P349" s="61">
        <f t="shared" si="8"/>
        <v>1596.6386554621849</v>
      </c>
      <c r="Q349" s="64">
        <f t="shared" si="9"/>
        <v>0.4726315789473684</v>
      </c>
      <c r="R349" s="61">
        <v>1900</v>
      </c>
      <c r="S349" s="41">
        <v>1666</v>
      </c>
      <c r="T349" s="40">
        <f t="shared" si="184"/>
        <v>833</v>
      </c>
      <c r="U349" s="40">
        <f>7+40+122</f>
        <v>169</v>
      </c>
      <c r="V349" s="40">
        <f t="shared" si="185"/>
        <v>1002</v>
      </c>
      <c r="W349" s="40">
        <f t="shared" si="62"/>
        <v>898</v>
      </c>
      <c r="X349" s="8">
        <f t="shared" si="172"/>
        <v>95</v>
      </c>
      <c r="Y349" s="76"/>
      <c r="Z349" s="8" t="str">
        <f t="shared" si="14"/>
        <v>Semillas Maravilla / 500 gramos</v>
      </c>
      <c r="AA349" s="8"/>
    </row>
    <row r="350" spans="1:27" ht="13.2">
      <c r="A350" s="78" t="s">
        <v>139</v>
      </c>
      <c r="B350" s="8" t="str">
        <f t="shared" si="186"/>
        <v>Semillas Zapallo / 100 gramos</v>
      </c>
      <c r="C350" s="80" t="s">
        <v>749</v>
      </c>
      <c r="D350" s="61" t="str">
        <f t="shared" si="183"/>
        <v>Semillas Zapallo</v>
      </c>
      <c r="E350" s="61">
        <v>100</v>
      </c>
      <c r="F350" s="62">
        <v>510</v>
      </c>
      <c r="G350" s="62">
        <v>66.722689075630257</v>
      </c>
      <c r="H350" s="62">
        <f t="shared" si="94"/>
        <v>576.72268907563023</v>
      </c>
      <c r="I350" s="62">
        <f t="shared" si="2"/>
        <v>109.57731092436974</v>
      </c>
      <c r="J350" s="63">
        <v>0.65685000000000004</v>
      </c>
      <c r="K350" s="62">
        <f t="shared" si="3"/>
        <v>1680.6722689075632</v>
      </c>
      <c r="L350" s="62">
        <f t="shared" si="4"/>
        <v>319.32773109243703</v>
      </c>
      <c r="M350" s="62">
        <f t="shared" si="15"/>
        <v>2000.0000000000002</v>
      </c>
      <c r="N350" s="62">
        <f t="shared" si="6"/>
        <v>1103.9495798319331</v>
      </c>
      <c r="O350" s="61">
        <f t="shared" si="7"/>
        <v>0</v>
      </c>
      <c r="P350" s="61">
        <f t="shared" si="8"/>
        <v>1680.6722689075632</v>
      </c>
      <c r="Q350" s="64">
        <f t="shared" si="9"/>
        <v>0.65685000000000004</v>
      </c>
      <c r="R350" s="61">
        <v>2000</v>
      </c>
      <c r="S350" s="41">
        <v>6069</v>
      </c>
      <c r="T350" s="40">
        <f t="shared" si="184"/>
        <v>606.9</v>
      </c>
      <c r="U350" s="12">
        <f>73+160/25</f>
        <v>79.400000000000006</v>
      </c>
      <c r="V350" s="40">
        <f t="shared" si="185"/>
        <v>686.3</v>
      </c>
      <c r="W350" s="40">
        <f t="shared" si="62"/>
        <v>1313.7</v>
      </c>
      <c r="X350" s="8">
        <f t="shared" si="172"/>
        <v>100</v>
      </c>
      <c r="Z350" s="8" t="str">
        <f t="shared" si="14"/>
        <v>Semillas Zapallo / 100 gramos</v>
      </c>
      <c r="AA350" s="8"/>
    </row>
    <row r="351" spans="1:27" ht="13.2">
      <c r="A351" s="78" t="s">
        <v>139</v>
      </c>
      <c r="B351" s="8" t="str">
        <f t="shared" si="186"/>
        <v>Semillas Zapallo / 1000 gramos</v>
      </c>
      <c r="C351" s="80" t="s">
        <v>749</v>
      </c>
      <c r="D351" s="61" t="str">
        <f t="shared" si="183"/>
        <v>Semillas Zapallo</v>
      </c>
      <c r="E351" s="61">
        <v>1000</v>
      </c>
      <c r="F351" s="62">
        <v>5100</v>
      </c>
      <c r="G351" s="62">
        <v>190.75630252100842</v>
      </c>
      <c r="H351" s="62">
        <f t="shared" si="94"/>
        <v>5290.7563025210084</v>
      </c>
      <c r="I351" s="62">
        <f t="shared" si="2"/>
        <v>1005.2436974789916</v>
      </c>
      <c r="J351" s="63">
        <v>0.26790697674418606</v>
      </c>
      <c r="K351" s="62">
        <f t="shared" si="3"/>
        <v>7226.8907563025214</v>
      </c>
      <c r="L351" s="62">
        <f t="shared" si="4"/>
        <v>1373.1092436974791</v>
      </c>
      <c r="M351" s="62">
        <f t="shared" si="15"/>
        <v>8600</v>
      </c>
      <c r="N351" s="62">
        <f t="shared" si="6"/>
        <v>1936.134453781513</v>
      </c>
      <c r="O351" s="61">
        <f t="shared" si="7"/>
        <v>0</v>
      </c>
      <c r="P351" s="61">
        <f t="shared" si="8"/>
        <v>7226.8907563025214</v>
      </c>
      <c r="Q351" s="64">
        <f t="shared" si="9"/>
        <v>0.26790697674418606</v>
      </c>
      <c r="R351" s="61">
        <v>8600</v>
      </c>
      <c r="S351" s="41">
        <v>6069</v>
      </c>
      <c r="T351" s="40">
        <f t="shared" si="184"/>
        <v>6069</v>
      </c>
      <c r="U351" s="40">
        <f>7+40+180</f>
        <v>227</v>
      </c>
      <c r="V351" s="40">
        <f t="shared" si="185"/>
        <v>6296</v>
      </c>
      <c r="W351" s="40">
        <f t="shared" si="62"/>
        <v>2304</v>
      </c>
      <c r="X351" s="8">
        <f t="shared" si="172"/>
        <v>430</v>
      </c>
      <c r="Z351" s="8" t="str">
        <f t="shared" si="14"/>
        <v>Semillas Zapallo / 1000 gramos</v>
      </c>
      <c r="AA351" s="8"/>
    </row>
    <row r="352" spans="1:27" ht="13.2">
      <c r="A352" s="78" t="s">
        <v>139</v>
      </c>
      <c r="B352" s="8" t="str">
        <f t="shared" si="186"/>
        <v>Semillas Zapallo / 250 gramos</v>
      </c>
      <c r="C352" s="80" t="s">
        <v>749</v>
      </c>
      <c r="D352" s="61" t="str">
        <f t="shared" si="183"/>
        <v>Semillas Zapallo</v>
      </c>
      <c r="E352" s="61">
        <v>250</v>
      </c>
      <c r="F352" s="62">
        <v>1275</v>
      </c>
      <c r="G352" s="62">
        <v>119.32773109243698</v>
      </c>
      <c r="H352" s="62">
        <f t="shared" si="94"/>
        <v>1394.327731092437</v>
      </c>
      <c r="I352" s="62">
        <f t="shared" si="2"/>
        <v>264.92226890756302</v>
      </c>
      <c r="J352" s="63">
        <v>0.27858695652173915</v>
      </c>
      <c r="K352" s="62">
        <f t="shared" si="3"/>
        <v>1932.7731092436977</v>
      </c>
      <c r="L352" s="62">
        <f t="shared" si="4"/>
        <v>367.22689075630257</v>
      </c>
      <c r="M352" s="62">
        <f t="shared" si="15"/>
        <v>2300.0000000000005</v>
      </c>
      <c r="N352" s="62">
        <f t="shared" si="6"/>
        <v>538.44537815126068</v>
      </c>
      <c r="O352" s="61">
        <f t="shared" si="7"/>
        <v>0</v>
      </c>
      <c r="P352" s="61">
        <f t="shared" si="8"/>
        <v>1932.7731092436975</v>
      </c>
      <c r="Q352" s="64">
        <f t="shared" si="9"/>
        <v>0.27858695652173915</v>
      </c>
      <c r="R352" s="61">
        <v>2300</v>
      </c>
      <c r="S352" s="41">
        <v>6069</v>
      </c>
      <c r="T352" s="40">
        <f t="shared" si="184"/>
        <v>1517.25</v>
      </c>
      <c r="U352" s="40">
        <f>7+40+95</f>
        <v>142</v>
      </c>
      <c r="V352" s="40">
        <f t="shared" si="185"/>
        <v>1659.25</v>
      </c>
      <c r="W352" s="40">
        <f t="shared" si="62"/>
        <v>640.75</v>
      </c>
      <c r="X352" s="8">
        <f t="shared" si="172"/>
        <v>115</v>
      </c>
      <c r="Y352" s="76"/>
      <c r="Z352" s="8" t="str">
        <f t="shared" si="14"/>
        <v>Semillas Zapallo / 250 gramos</v>
      </c>
      <c r="AA352" s="8"/>
    </row>
    <row r="353" spans="1:28" ht="13.2">
      <c r="A353" s="78" t="s">
        <v>139</v>
      </c>
      <c r="B353" s="8" t="str">
        <f t="shared" si="186"/>
        <v>Semillas Zapallo / 50 gramos</v>
      </c>
      <c r="C353" s="80" t="s">
        <v>749</v>
      </c>
      <c r="D353" s="61" t="str">
        <f t="shared" si="183"/>
        <v>Semillas Zapallo</v>
      </c>
      <c r="E353" s="61">
        <v>50</v>
      </c>
      <c r="F353" s="62">
        <v>255</v>
      </c>
      <c r="G353" s="62">
        <v>66.722689075630257</v>
      </c>
      <c r="H353" s="62">
        <f t="shared" si="94"/>
        <v>321.72268907563023</v>
      </c>
      <c r="I353" s="62">
        <f t="shared" si="2"/>
        <v>61.127310924369745</v>
      </c>
      <c r="J353" s="63">
        <v>0.61715000000000009</v>
      </c>
      <c r="K353" s="62">
        <f t="shared" si="3"/>
        <v>840.3361344537816</v>
      </c>
      <c r="L353" s="62">
        <f t="shared" si="4"/>
        <v>159.66386554621852</v>
      </c>
      <c r="M353" s="62">
        <f t="shared" si="15"/>
        <v>1000.0000000000001</v>
      </c>
      <c r="N353" s="62">
        <f t="shared" si="6"/>
        <v>518.61344537815137</v>
      </c>
      <c r="O353" s="61">
        <f t="shared" si="7"/>
        <v>0</v>
      </c>
      <c r="P353" s="61">
        <f t="shared" si="8"/>
        <v>840.3361344537816</v>
      </c>
      <c r="Q353" s="64">
        <f t="shared" si="9"/>
        <v>0.61715000000000009</v>
      </c>
      <c r="R353" s="61">
        <v>1000</v>
      </c>
      <c r="S353" s="41">
        <v>6069</v>
      </c>
      <c r="T353" s="40">
        <f t="shared" si="184"/>
        <v>303.45</v>
      </c>
      <c r="U353" s="12">
        <f>73+160/25</f>
        <v>79.400000000000006</v>
      </c>
      <c r="V353" s="40">
        <f t="shared" si="185"/>
        <v>382.85</v>
      </c>
      <c r="W353" s="40">
        <f t="shared" si="62"/>
        <v>617.15</v>
      </c>
      <c r="X353" s="8">
        <f t="shared" si="172"/>
        <v>50</v>
      </c>
      <c r="Z353" s="8" t="str">
        <f t="shared" si="14"/>
        <v>Semillas Zapallo / 50 gramos</v>
      </c>
      <c r="AA353" s="8"/>
    </row>
    <row r="354" spans="1:28" ht="13.2">
      <c r="A354" s="78" t="s">
        <v>139</v>
      </c>
      <c r="B354" s="8" t="str">
        <f t="shared" si="186"/>
        <v>Semillas Zapallo / 500 gramos</v>
      </c>
      <c r="C354" s="80" t="s">
        <v>749</v>
      </c>
      <c r="D354" s="61" t="str">
        <f t="shared" si="183"/>
        <v>Semillas Zapallo</v>
      </c>
      <c r="E354" s="61">
        <v>500</v>
      </c>
      <c r="F354" s="62">
        <v>2550</v>
      </c>
      <c r="G354" s="62">
        <v>142.01680672268907</v>
      </c>
      <c r="H354" s="62">
        <f t="shared" si="94"/>
        <v>2692.0168067226891</v>
      </c>
      <c r="I354" s="62">
        <f t="shared" si="2"/>
        <v>511.48319327731093</v>
      </c>
      <c r="J354" s="63">
        <v>0.27193181818181822</v>
      </c>
      <c r="K354" s="62">
        <f t="shared" si="3"/>
        <v>3697.4789915966389</v>
      </c>
      <c r="L354" s="62">
        <f t="shared" si="4"/>
        <v>702.52100840336141</v>
      </c>
      <c r="M354" s="62">
        <f t="shared" si="15"/>
        <v>4400</v>
      </c>
      <c r="N354" s="62">
        <f t="shared" si="6"/>
        <v>1005.4621848739498</v>
      </c>
      <c r="O354" s="61">
        <f t="shared" si="7"/>
        <v>0</v>
      </c>
      <c r="P354" s="61">
        <f t="shared" si="8"/>
        <v>3697.4789915966389</v>
      </c>
      <c r="Q354" s="64">
        <f t="shared" si="9"/>
        <v>0.27193181818181822</v>
      </c>
      <c r="R354" s="61">
        <v>4400</v>
      </c>
      <c r="S354" s="41">
        <v>6069</v>
      </c>
      <c r="T354" s="40">
        <f t="shared" si="184"/>
        <v>3034.5</v>
      </c>
      <c r="U354" s="40">
        <f>7+40+122</f>
        <v>169</v>
      </c>
      <c r="V354" s="40">
        <f t="shared" si="185"/>
        <v>3203.5</v>
      </c>
      <c r="W354" s="40">
        <f t="shared" si="62"/>
        <v>1196.5</v>
      </c>
      <c r="X354" s="8">
        <f t="shared" si="172"/>
        <v>220</v>
      </c>
      <c r="Y354" s="76"/>
      <c r="Z354" s="8" t="str">
        <f t="shared" si="14"/>
        <v>Semillas Zapallo / 500 gramos</v>
      </c>
      <c r="AA354" s="8"/>
    </row>
    <row r="355" spans="1:28" ht="13.2">
      <c r="A355" s="59" t="s">
        <v>53</v>
      </c>
      <c r="B355" s="8" t="str">
        <f>CONCATENATE(C355," / ",E355," unidades")</f>
        <v>Servilleta / 300 unidades</v>
      </c>
      <c r="C355" s="82" t="s">
        <v>1625</v>
      </c>
      <c r="D355" s="61" t="s">
        <v>381</v>
      </c>
      <c r="E355" s="41">
        <v>300</v>
      </c>
      <c r="F355" s="62">
        <v>731</v>
      </c>
      <c r="G355" s="62">
        <v>0</v>
      </c>
      <c r="H355" s="62">
        <f t="shared" si="94"/>
        <v>731</v>
      </c>
      <c r="I355" s="62">
        <f t="shared" si="2"/>
        <v>138.89000000000001</v>
      </c>
      <c r="J355" s="63">
        <v>0.51670000000000005</v>
      </c>
      <c r="K355" s="62">
        <f t="shared" si="3"/>
        <v>1512.5181046968758</v>
      </c>
      <c r="L355" s="62">
        <f t="shared" si="4"/>
        <v>287.37843989240639</v>
      </c>
      <c r="M355" s="62">
        <f t="shared" si="15"/>
        <v>1799.8965445892823</v>
      </c>
      <c r="N355" s="62">
        <f t="shared" si="6"/>
        <v>781.51810469687575</v>
      </c>
      <c r="O355" s="61">
        <f t="shared" si="7"/>
        <v>-0.10345541071774278</v>
      </c>
      <c r="P355" s="61">
        <f t="shared" si="8"/>
        <v>1512.6050420168067</v>
      </c>
      <c r="Q355" s="64">
        <f t="shared" si="9"/>
        <v>0.51672777777777779</v>
      </c>
      <c r="R355" s="41">
        <v>1800</v>
      </c>
      <c r="S355" s="41">
        <v>996</v>
      </c>
      <c r="T355" s="74"/>
      <c r="U355" s="74"/>
      <c r="V355" s="75">
        <f>S355</f>
        <v>996</v>
      </c>
      <c r="W355" s="40">
        <f t="shared" si="62"/>
        <v>804</v>
      </c>
      <c r="X355" s="8">
        <f t="shared" si="172"/>
        <v>90</v>
      </c>
      <c r="Y355" s="76"/>
      <c r="Z355" s="8" t="str">
        <f t="shared" si="14"/>
        <v>Servilleta / 300 unidades</v>
      </c>
      <c r="AA355" s="31" t="s">
        <v>382</v>
      </c>
      <c r="AB355" s="31">
        <v>-1</v>
      </c>
    </row>
    <row r="356" spans="1:28" ht="13.2">
      <c r="A356" s="78" t="s">
        <v>139</v>
      </c>
      <c r="B356" s="8" t="str">
        <f>CONCATENATE(C356," / ",E356," gramos")</f>
        <v>Sesamo / 250 gramos</v>
      </c>
      <c r="C356" s="31" t="s">
        <v>990</v>
      </c>
      <c r="D356" s="61" t="str">
        <f t="shared" ref="D356:D357" si="187">C356</f>
        <v>Sesamo</v>
      </c>
      <c r="E356" s="41">
        <v>250</v>
      </c>
      <c r="F356" s="62">
        <v>840.3361344537816</v>
      </c>
      <c r="G356" s="62">
        <v>66.722689075630257</v>
      </c>
      <c r="H356" s="62">
        <f t="shared" si="94"/>
        <v>907.05882352941182</v>
      </c>
      <c r="I356" s="62">
        <f t="shared" si="2"/>
        <v>172.34117647058824</v>
      </c>
      <c r="J356" s="63">
        <v>0.46030000000000004</v>
      </c>
      <c r="K356" s="62">
        <f t="shared" si="3"/>
        <v>1680.6722689075632</v>
      </c>
      <c r="L356" s="62">
        <f t="shared" si="4"/>
        <v>319.32773109243703</v>
      </c>
      <c r="M356" s="62">
        <f t="shared" si="15"/>
        <v>2000.0000000000002</v>
      </c>
      <c r="N356" s="62">
        <f t="shared" si="6"/>
        <v>773.61344537815137</v>
      </c>
      <c r="O356" s="61">
        <f t="shared" si="7"/>
        <v>0</v>
      </c>
      <c r="P356" s="61">
        <f t="shared" si="8"/>
        <v>1680.6722689075632</v>
      </c>
      <c r="Q356" s="64">
        <f t="shared" si="9"/>
        <v>0.46030000000000004</v>
      </c>
      <c r="R356" s="41">
        <v>2000</v>
      </c>
      <c r="S356" s="41">
        <v>4000</v>
      </c>
      <c r="T356" s="40">
        <f>S356*E356/1000</f>
        <v>1000</v>
      </c>
      <c r="U356" s="12">
        <f>73+160/25</f>
        <v>79.400000000000006</v>
      </c>
      <c r="V356" s="40">
        <f t="shared" ref="V356:V361" si="188">T356+U356</f>
        <v>1079.4000000000001</v>
      </c>
      <c r="W356" s="40">
        <f t="shared" si="62"/>
        <v>920.59999999999991</v>
      </c>
      <c r="X356" s="8">
        <f t="shared" si="172"/>
        <v>100</v>
      </c>
      <c r="Y356" s="82" t="s">
        <v>1579</v>
      </c>
      <c r="Z356" s="8" t="str">
        <f t="shared" si="14"/>
        <v>Sesamo / 250 gramos</v>
      </c>
      <c r="AA356" s="8"/>
    </row>
    <row r="357" spans="1:28" ht="13.2">
      <c r="A357" s="59" t="s">
        <v>76</v>
      </c>
      <c r="B357" s="8" t="str">
        <f>CONCATENATE(C357," / ",E357," Litros")</f>
        <v>Suavizante / 5 Litros</v>
      </c>
      <c r="C357" s="23" t="s">
        <v>446</v>
      </c>
      <c r="D357" s="61" t="str">
        <f t="shared" si="187"/>
        <v>Suavizante</v>
      </c>
      <c r="E357" s="41">
        <v>5</v>
      </c>
      <c r="F357" s="62">
        <v>1756.3025210084033</v>
      </c>
      <c r="G357" s="62">
        <v>0</v>
      </c>
      <c r="H357" s="62">
        <f t="shared" si="94"/>
        <v>1756.3025210084033</v>
      </c>
      <c r="I357" s="62">
        <f t="shared" si="2"/>
        <v>333.69747899159665</v>
      </c>
      <c r="J357" s="63">
        <v>0.30333333333333345</v>
      </c>
      <c r="K357" s="62">
        <f t="shared" si="3"/>
        <v>2521.0084033613448</v>
      </c>
      <c r="L357" s="62">
        <f t="shared" si="4"/>
        <v>478.99159663865549</v>
      </c>
      <c r="M357" s="62">
        <f t="shared" si="15"/>
        <v>3000.0000000000005</v>
      </c>
      <c r="N357" s="62">
        <f t="shared" si="6"/>
        <v>764.70588235294144</v>
      </c>
      <c r="O357" s="61">
        <f t="shared" si="7"/>
        <v>0</v>
      </c>
      <c r="P357" s="61">
        <f t="shared" si="8"/>
        <v>2521.0084033613448</v>
      </c>
      <c r="Q357" s="64">
        <f t="shared" si="9"/>
        <v>0.30333333333333345</v>
      </c>
      <c r="R357" s="26">
        <v>3000</v>
      </c>
      <c r="S357" s="12">
        <f>2090/5</f>
        <v>418</v>
      </c>
      <c r="T357" s="40">
        <f>S357*E357</f>
        <v>2090</v>
      </c>
      <c r="U357" s="41">
        <v>0</v>
      </c>
      <c r="V357" s="40">
        <f t="shared" si="188"/>
        <v>2090</v>
      </c>
      <c r="W357" s="40">
        <f t="shared" si="62"/>
        <v>910</v>
      </c>
      <c r="X357" s="8">
        <f t="shared" si="172"/>
        <v>150</v>
      </c>
      <c r="Y357" s="76"/>
      <c r="Z357" s="8" t="str">
        <f t="shared" si="14"/>
        <v>Suavizante / 5 Litros</v>
      </c>
      <c r="AA357" s="31" t="s">
        <v>447</v>
      </c>
      <c r="AB357" s="31">
        <v>-1</v>
      </c>
    </row>
    <row r="358" spans="1:28" ht="13.2">
      <c r="A358" s="59" t="s">
        <v>47</v>
      </c>
      <c r="B358" s="8" t="str">
        <f t="shared" ref="B358:B362" si="189">CONCATENATE(C358,E358)</f>
        <v>Toalla desinfectantes 30 Unidades</v>
      </c>
      <c r="C358" s="23" t="s">
        <v>255</v>
      </c>
      <c r="D358" s="41" t="s">
        <v>414</v>
      </c>
      <c r="E358" s="40"/>
      <c r="F358" s="62">
        <v>981.51260504201684</v>
      </c>
      <c r="G358" s="62">
        <v>0</v>
      </c>
      <c r="H358" s="62">
        <f t="shared" si="94"/>
        <v>981.51260504201684</v>
      </c>
      <c r="I358" s="62">
        <f t="shared" si="2"/>
        <v>186.48739495798321</v>
      </c>
      <c r="J358" s="63">
        <v>0.35111111111111104</v>
      </c>
      <c r="K358" s="62">
        <f t="shared" si="3"/>
        <v>1512.6050420168067</v>
      </c>
      <c r="L358" s="62">
        <f t="shared" si="4"/>
        <v>287.39495798319325</v>
      </c>
      <c r="M358" s="62">
        <f t="shared" si="15"/>
        <v>1800</v>
      </c>
      <c r="N358" s="62">
        <f t="shared" si="6"/>
        <v>531.09243697478985</v>
      </c>
      <c r="O358" s="61">
        <f t="shared" si="7"/>
        <v>0</v>
      </c>
      <c r="P358" s="61">
        <f t="shared" si="8"/>
        <v>1512.6050420168067</v>
      </c>
      <c r="Q358" s="64">
        <f t="shared" si="9"/>
        <v>0.35111111111111104</v>
      </c>
      <c r="R358" s="41">
        <v>1800</v>
      </c>
      <c r="S358" s="41">
        <v>1168</v>
      </c>
      <c r="T358" s="41">
        <f t="shared" ref="T358:T361" si="190">S358</f>
        <v>1168</v>
      </c>
      <c r="U358" s="41">
        <v>0</v>
      </c>
      <c r="V358" s="40">
        <f t="shared" si="188"/>
        <v>1168</v>
      </c>
      <c r="W358" s="40">
        <f t="shared" si="62"/>
        <v>632</v>
      </c>
      <c r="X358" s="8">
        <f t="shared" si="172"/>
        <v>90</v>
      </c>
      <c r="Y358" s="26"/>
      <c r="Z358" s="8" t="str">
        <f t="shared" si="14"/>
        <v>Toalla desinfectantes 30 Unidades</v>
      </c>
      <c r="AA358" s="31" t="s">
        <v>608</v>
      </c>
      <c r="AB358" s="31">
        <v>-1</v>
      </c>
    </row>
    <row r="359" spans="1:28" ht="13.2">
      <c r="A359" s="59" t="s">
        <v>47</v>
      </c>
      <c r="B359" s="8" t="str">
        <f t="shared" si="189"/>
        <v>Toalla desinfectantes Tubo 50 Unidades</v>
      </c>
      <c r="C359" s="23" t="s">
        <v>343</v>
      </c>
      <c r="D359" s="41" t="s">
        <v>414</v>
      </c>
      <c r="E359" s="40"/>
      <c r="F359" s="62">
        <v>1478.9915966386554</v>
      </c>
      <c r="G359" s="62">
        <v>0</v>
      </c>
      <c r="H359" s="62">
        <f t="shared" si="94"/>
        <v>1478.9915966386554</v>
      </c>
      <c r="I359" s="62">
        <f t="shared" si="2"/>
        <v>281.00840336134456</v>
      </c>
      <c r="J359" s="63">
        <v>0.29600000000000004</v>
      </c>
      <c r="K359" s="62">
        <f t="shared" si="3"/>
        <v>2100.840336134454</v>
      </c>
      <c r="L359" s="62">
        <f t="shared" si="4"/>
        <v>399.15966386554624</v>
      </c>
      <c r="M359" s="62">
        <f t="shared" si="15"/>
        <v>2500</v>
      </c>
      <c r="N359" s="62">
        <f t="shared" si="6"/>
        <v>621.84873949579855</v>
      </c>
      <c r="O359" s="61">
        <f t="shared" si="7"/>
        <v>0</v>
      </c>
      <c r="P359" s="61">
        <f t="shared" si="8"/>
        <v>2100.840336134454</v>
      </c>
      <c r="Q359" s="64">
        <f t="shared" si="9"/>
        <v>0.29600000000000004</v>
      </c>
      <c r="R359" s="41">
        <v>2500</v>
      </c>
      <c r="S359" s="41">
        <v>1760</v>
      </c>
      <c r="T359" s="41">
        <f t="shared" si="190"/>
        <v>1760</v>
      </c>
      <c r="U359" s="41">
        <v>0</v>
      </c>
      <c r="V359" s="40">
        <f t="shared" si="188"/>
        <v>1760</v>
      </c>
      <c r="W359" s="40">
        <f t="shared" si="62"/>
        <v>740</v>
      </c>
      <c r="X359" s="8">
        <f t="shared" si="172"/>
        <v>125</v>
      </c>
      <c r="Y359" s="26"/>
      <c r="Z359" s="8" t="str">
        <f t="shared" si="14"/>
        <v>Toalla desinfectantes Tubo 50 Unidades</v>
      </c>
      <c r="AA359" s="31" t="s">
        <v>415</v>
      </c>
      <c r="AB359" s="31">
        <v>-1</v>
      </c>
    </row>
    <row r="360" spans="1:28" ht="13.2">
      <c r="A360" s="59" t="s">
        <v>47</v>
      </c>
      <c r="B360" s="8" t="str">
        <f t="shared" si="189"/>
        <v>Toalla desinfectantes 50 Unidades</v>
      </c>
      <c r="C360" s="23" t="s">
        <v>71</v>
      </c>
      <c r="D360" s="41" t="s">
        <v>414</v>
      </c>
      <c r="E360" s="40"/>
      <c r="F360" s="62">
        <v>1478.9915966386554</v>
      </c>
      <c r="G360" s="62">
        <v>0</v>
      </c>
      <c r="H360" s="62">
        <f t="shared" si="94"/>
        <v>1478.9915966386554</v>
      </c>
      <c r="I360" s="62">
        <f t="shared" si="2"/>
        <v>281.00840336134456</v>
      </c>
      <c r="J360" s="63">
        <v>0.34815000000000002</v>
      </c>
      <c r="K360" s="62">
        <f t="shared" si="3"/>
        <v>2268.9140088036438</v>
      </c>
      <c r="L360" s="62">
        <f t="shared" si="4"/>
        <v>431.09366167269235</v>
      </c>
      <c r="M360" s="62">
        <f t="shared" si="15"/>
        <v>2700.007670476336</v>
      </c>
      <c r="N360" s="62">
        <f t="shared" si="6"/>
        <v>789.92241216498837</v>
      </c>
      <c r="O360" s="61">
        <f t="shared" si="7"/>
        <v>200.00767047633599</v>
      </c>
      <c r="P360" s="61">
        <f t="shared" si="8"/>
        <v>2100.840336134454</v>
      </c>
      <c r="Q360" s="64">
        <f t="shared" si="9"/>
        <v>0.29600000000000004</v>
      </c>
      <c r="R360" s="41">
        <v>2500</v>
      </c>
      <c r="S360" s="41">
        <v>1760</v>
      </c>
      <c r="T360" s="41">
        <f t="shared" si="190"/>
        <v>1760</v>
      </c>
      <c r="U360" s="41">
        <v>0</v>
      </c>
      <c r="V360" s="40">
        <f t="shared" si="188"/>
        <v>1760</v>
      </c>
      <c r="W360" s="40">
        <f t="shared" si="62"/>
        <v>740</v>
      </c>
      <c r="X360" s="8">
        <f t="shared" si="172"/>
        <v>125</v>
      </c>
      <c r="Y360" s="26"/>
      <c r="Z360" s="8" t="str">
        <f t="shared" si="14"/>
        <v>Toalla desinfectantes 50 Unidades</v>
      </c>
      <c r="AA360" s="31" t="s">
        <v>415</v>
      </c>
      <c r="AB360" s="31">
        <v>-1</v>
      </c>
    </row>
    <row r="361" spans="1:28" ht="13.2">
      <c r="A361" s="59" t="s">
        <v>47</v>
      </c>
      <c r="B361" s="8" t="str">
        <f t="shared" si="189"/>
        <v>Toalla desinfectantes 80 Unidades</v>
      </c>
      <c r="C361" s="23" t="s">
        <v>143</v>
      </c>
      <c r="D361" s="41" t="s">
        <v>414</v>
      </c>
      <c r="E361" s="40"/>
      <c r="F361" s="62">
        <v>812</v>
      </c>
      <c r="G361" s="62">
        <v>0</v>
      </c>
      <c r="H361" s="62">
        <f t="shared" si="94"/>
        <v>812</v>
      </c>
      <c r="I361" s="62">
        <f t="shared" si="2"/>
        <v>154.28</v>
      </c>
      <c r="J361" s="63">
        <v>0.67789999999999995</v>
      </c>
      <c r="K361" s="62">
        <f t="shared" si="3"/>
        <v>2520.9562247749141</v>
      </c>
      <c r="L361" s="62">
        <f t="shared" si="4"/>
        <v>478.98168270723369</v>
      </c>
      <c r="M361" s="62">
        <f t="shared" si="15"/>
        <v>2999.9379074821477</v>
      </c>
      <c r="N361" s="62">
        <f t="shared" si="6"/>
        <v>1708.9562247749141</v>
      </c>
      <c r="O361" s="61">
        <f t="shared" si="7"/>
        <v>499.93790748214769</v>
      </c>
      <c r="P361" s="61">
        <f t="shared" si="8"/>
        <v>2100.840336134454</v>
      </c>
      <c r="Q361" s="64">
        <f t="shared" si="9"/>
        <v>0.61348800000000003</v>
      </c>
      <c r="R361" s="41">
        <v>2500</v>
      </c>
      <c r="S361" s="41">
        <v>1760</v>
      </c>
      <c r="T361" s="41">
        <f t="shared" si="190"/>
        <v>1760</v>
      </c>
      <c r="U361" s="41">
        <v>0</v>
      </c>
      <c r="V361" s="40">
        <f t="shared" si="188"/>
        <v>1760</v>
      </c>
      <c r="W361" s="40">
        <f t="shared" si="62"/>
        <v>740</v>
      </c>
      <c r="X361" s="8">
        <f t="shared" si="172"/>
        <v>125</v>
      </c>
      <c r="Y361" s="26"/>
      <c r="Z361" s="8" t="str">
        <f t="shared" si="14"/>
        <v>Toalla desinfectantes 80 Unidades</v>
      </c>
      <c r="AA361" s="31" t="s">
        <v>602</v>
      </c>
      <c r="AB361" s="31">
        <v>-1</v>
      </c>
    </row>
    <row r="362" spans="1:28" ht="13.2">
      <c r="A362" s="59" t="s">
        <v>53</v>
      </c>
      <c r="B362" s="8" t="str">
        <f t="shared" si="189"/>
        <v>Toalla Jumbo AZUL SWAN 100 mts</v>
      </c>
      <c r="C362" s="31" t="s">
        <v>587</v>
      </c>
      <c r="D362" s="31" t="s">
        <v>408</v>
      </c>
      <c r="E362" s="41"/>
      <c r="F362" s="62">
        <v>2029</v>
      </c>
      <c r="G362" s="62">
        <v>0</v>
      </c>
      <c r="H362" s="62">
        <f t="shared" si="94"/>
        <v>2029</v>
      </c>
      <c r="I362" s="62">
        <f t="shared" si="2"/>
        <v>385.51</v>
      </c>
      <c r="J362" s="63">
        <v>0.31012000000000001</v>
      </c>
      <c r="K362" s="62">
        <f t="shared" si="3"/>
        <v>2941.0912042674086</v>
      </c>
      <c r="L362" s="62">
        <f t="shared" si="4"/>
        <v>558.80732881080758</v>
      </c>
      <c r="M362" s="62">
        <f t="shared" si="15"/>
        <v>3499.8985330782161</v>
      </c>
      <c r="N362" s="62">
        <f t="shared" si="6"/>
        <v>912.09120426740856</v>
      </c>
      <c r="O362" s="61">
        <f t="shared" si="7"/>
        <v>-500.10146692178387</v>
      </c>
      <c r="P362" s="61">
        <f t="shared" si="8"/>
        <v>3361.3445378151264</v>
      </c>
      <c r="Q362" s="64">
        <f t="shared" si="9"/>
        <v>0.39637250000000002</v>
      </c>
      <c r="R362" s="41">
        <v>4000</v>
      </c>
      <c r="S362" s="41">
        <f>955*3</f>
        <v>2865</v>
      </c>
      <c r="T362" s="74"/>
      <c r="U362" s="74"/>
      <c r="V362" s="75">
        <f t="shared" ref="V362:V376" si="191">S362</f>
        <v>2865</v>
      </c>
      <c r="W362" s="40">
        <f t="shared" si="62"/>
        <v>1135</v>
      </c>
      <c r="X362" s="8">
        <f t="shared" si="172"/>
        <v>200</v>
      </c>
      <c r="Y362" s="76"/>
      <c r="Z362" s="8" t="str">
        <f t="shared" si="14"/>
        <v>Toalla Jumbo AZUL SWAN 100 mts</v>
      </c>
      <c r="AA362" s="31" t="s">
        <v>536</v>
      </c>
      <c r="AB362" s="31">
        <v>-1</v>
      </c>
    </row>
    <row r="363" spans="1:28" ht="13.2">
      <c r="A363" s="59" t="s">
        <v>53</v>
      </c>
      <c r="B363" s="8" t="str">
        <f t="shared" ref="B363:B367" si="192">CONCATENATE(C363," / ",E363," metros")</f>
        <v>Toalla Jumbo ECONOMIX U/H / 150 metros</v>
      </c>
      <c r="C363" s="31" t="s">
        <v>848</v>
      </c>
      <c r="D363" s="61" t="str">
        <f>C363</f>
        <v>Toalla Jumbo ECONOMIX U/H</v>
      </c>
      <c r="E363" s="41">
        <v>150</v>
      </c>
      <c r="F363" s="62">
        <f>S363/1.19</f>
        <v>2436.9747899159665</v>
      </c>
      <c r="G363" s="62">
        <v>0</v>
      </c>
      <c r="H363" s="62">
        <f t="shared" si="94"/>
        <v>2436.9747899159665</v>
      </c>
      <c r="I363" s="62">
        <f t="shared" si="2"/>
        <v>463.02521008403363</v>
      </c>
      <c r="J363" s="63">
        <v>0.29268292682926822</v>
      </c>
      <c r="K363" s="62">
        <f t="shared" si="3"/>
        <v>3445.3781512605042</v>
      </c>
      <c r="L363" s="62">
        <f t="shared" si="4"/>
        <v>654.62184873949582</v>
      </c>
      <c r="M363" s="62">
        <f t="shared" si="15"/>
        <v>4100</v>
      </c>
      <c r="N363" s="62">
        <f t="shared" si="6"/>
        <v>1008.4033613445376</v>
      </c>
      <c r="O363" s="61">
        <f t="shared" si="7"/>
        <v>0</v>
      </c>
      <c r="P363" s="61">
        <f t="shared" si="8"/>
        <v>3445.3781512605042</v>
      </c>
      <c r="Q363" s="64">
        <f t="shared" si="9"/>
        <v>0.29268292682926822</v>
      </c>
      <c r="R363" s="41">
        <v>4100</v>
      </c>
      <c r="S363" s="41">
        <f>5800/2</f>
        <v>2900</v>
      </c>
      <c r="T363" s="74"/>
      <c r="U363" s="74"/>
      <c r="V363" s="75">
        <f t="shared" si="191"/>
        <v>2900</v>
      </c>
      <c r="W363" s="40">
        <f t="shared" si="62"/>
        <v>1200</v>
      </c>
      <c r="X363" s="8">
        <f t="shared" si="172"/>
        <v>205</v>
      </c>
      <c r="Y363" s="76"/>
      <c r="Z363" s="8" t="str">
        <f t="shared" si="14"/>
        <v>Toalla Jumbo ECONOMIX U/H / 150 metros</v>
      </c>
      <c r="AA363" s="8"/>
    </row>
    <row r="364" spans="1:28" ht="13.2">
      <c r="A364" s="59" t="s">
        <v>53</v>
      </c>
      <c r="B364" s="8" t="str">
        <f t="shared" si="192"/>
        <v>Toalla Jumbo OVELLA D/H / 100 metros</v>
      </c>
      <c r="C364" s="31" t="s">
        <v>1626</v>
      </c>
      <c r="D364" s="31" t="s">
        <v>716</v>
      </c>
      <c r="E364" s="41">
        <v>100</v>
      </c>
      <c r="F364" s="62">
        <v>2294</v>
      </c>
      <c r="G364" s="62">
        <v>0</v>
      </c>
      <c r="H364" s="62">
        <f t="shared" si="94"/>
        <v>2294</v>
      </c>
      <c r="I364" s="62">
        <f t="shared" si="2"/>
        <v>435.86</v>
      </c>
      <c r="J364" s="63">
        <v>0.26219999999999999</v>
      </c>
      <c r="K364" s="62">
        <f t="shared" si="3"/>
        <v>3109.2436974789916</v>
      </c>
      <c r="L364" s="62">
        <f t="shared" si="4"/>
        <v>590.75630252100837</v>
      </c>
      <c r="M364" s="62">
        <f t="shared" si="15"/>
        <v>3700</v>
      </c>
      <c r="N364" s="62">
        <f t="shared" si="6"/>
        <v>815.24369747899163</v>
      </c>
      <c r="O364" s="61">
        <f t="shared" si="7"/>
        <v>-9300</v>
      </c>
      <c r="P364" s="61">
        <f t="shared" si="8"/>
        <v>10924.36974789916</v>
      </c>
      <c r="Q364" s="64">
        <f t="shared" si="9"/>
        <v>0.79001076923076918</v>
      </c>
      <c r="R364" s="41">
        <v>13000</v>
      </c>
      <c r="S364" s="41">
        <f>1290*6</f>
        <v>7740</v>
      </c>
      <c r="T364" s="74"/>
      <c r="U364" s="74"/>
      <c r="V364" s="75">
        <f t="shared" si="191"/>
        <v>7740</v>
      </c>
      <c r="W364" s="40">
        <f t="shared" si="62"/>
        <v>5260</v>
      </c>
      <c r="X364" s="8">
        <f t="shared" si="172"/>
        <v>650</v>
      </c>
      <c r="Y364" s="76"/>
      <c r="Z364" s="8" t="str">
        <f t="shared" si="14"/>
        <v>Toalla Jumbo OVELLA D/H / 100 metros</v>
      </c>
      <c r="AA364" s="31" t="s">
        <v>1045</v>
      </c>
      <c r="AB364" s="31">
        <v>-1</v>
      </c>
    </row>
    <row r="365" spans="1:28" ht="13.2">
      <c r="A365" s="59" t="s">
        <v>53</v>
      </c>
      <c r="B365" s="8" t="str">
        <f t="shared" si="192"/>
        <v>Toalla Jumbo SPUM D/H / 100 metros</v>
      </c>
      <c r="C365" s="31" t="s">
        <v>1627</v>
      </c>
      <c r="D365" s="61" t="s">
        <v>395</v>
      </c>
      <c r="E365" s="41">
        <v>100</v>
      </c>
      <c r="F365" s="62">
        <f>S365/1.19</f>
        <v>1575.6302521008404</v>
      </c>
      <c r="G365" s="62">
        <v>0</v>
      </c>
      <c r="H365" s="62">
        <f t="shared" si="94"/>
        <v>1575.6302521008404</v>
      </c>
      <c r="I365" s="62">
        <f t="shared" si="2"/>
        <v>299.36974789915968</v>
      </c>
      <c r="J365" s="63">
        <v>0.27884615384615397</v>
      </c>
      <c r="K365" s="62">
        <f t="shared" si="3"/>
        <v>2184.8739495798322</v>
      </c>
      <c r="L365" s="62">
        <f t="shared" si="4"/>
        <v>415.12605042016816</v>
      </c>
      <c r="M365" s="62">
        <f t="shared" si="15"/>
        <v>2600.0000000000005</v>
      </c>
      <c r="N365" s="62">
        <f t="shared" si="6"/>
        <v>609.24369747899186</v>
      </c>
      <c r="O365" s="61">
        <f t="shared" si="7"/>
        <v>0</v>
      </c>
      <c r="P365" s="61">
        <f t="shared" si="8"/>
        <v>2184.8739495798322</v>
      </c>
      <c r="Q365" s="64">
        <f t="shared" si="9"/>
        <v>0.27884615384615397</v>
      </c>
      <c r="R365" s="41">
        <v>2600</v>
      </c>
      <c r="S365" s="41">
        <f>7500/4</f>
        <v>1875</v>
      </c>
      <c r="T365" s="74"/>
      <c r="U365" s="74"/>
      <c r="V365" s="75">
        <f t="shared" si="191"/>
        <v>1875</v>
      </c>
      <c r="W365" s="40">
        <f t="shared" si="62"/>
        <v>725</v>
      </c>
      <c r="X365" s="8">
        <f t="shared" si="172"/>
        <v>130</v>
      </c>
      <c r="Y365" s="76"/>
      <c r="Z365" s="8" t="str">
        <f t="shared" si="14"/>
        <v>Toalla Jumbo SPUM D/H / 100 metros</v>
      </c>
      <c r="AA365" s="31" t="s">
        <v>396</v>
      </c>
      <c r="AB365" s="31">
        <v>-1</v>
      </c>
    </row>
    <row r="366" spans="1:28" ht="13.2">
      <c r="A366" s="59" t="s">
        <v>53</v>
      </c>
      <c r="B366" s="8" t="str">
        <f t="shared" si="192"/>
        <v>Toalla Jumbo SWAN D/H / 100 metros</v>
      </c>
      <c r="C366" s="31" t="s">
        <v>1628</v>
      </c>
      <c r="D366" s="31" t="s">
        <v>408</v>
      </c>
      <c r="E366" s="41">
        <v>100</v>
      </c>
      <c r="F366" s="62">
        <v>1763</v>
      </c>
      <c r="G366" s="62">
        <v>0</v>
      </c>
      <c r="H366" s="62">
        <f t="shared" si="94"/>
        <v>1763</v>
      </c>
      <c r="I366" s="62">
        <f t="shared" si="2"/>
        <v>334.97</v>
      </c>
      <c r="J366" s="63">
        <v>0.34439999999999998</v>
      </c>
      <c r="K366" s="62">
        <f t="shared" si="3"/>
        <v>2689.1397193410617</v>
      </c>
      <c r="L366" s="62">
        <f t="shared" si="4"/>
        <v>510.93654667480172</v>
      </c>
      <c r="M366" s="62">
        <f t="shared" si="15"/>
        <v>3200.0762660158634</v>
      </c>
      <c r="N366" s="62">
        <f t="shared" si="6"/>
        <v>926.13971934106166</v>
      </c>
      <c r="O366" s="61">
        <f t="shared" si="7"/>
        <v>-9799.9237339841366</v>
      </c>
      <c r="P366" s="61">
        <f t="shared" si="8"/>
        <v>10924.36974789916</v>
      </c>
      <c r="Q366" s="64">
        <f t="shared" si="9"/>
        <v>0.83861769230769234</v>
      </c>
      <c r="R366" s="41">
        <v>13000</v>
      </c>
      <c r="S366" s="41">
        <f>1290*6</f>
        <v>7740</v>
      </c>
      <c r="T366" s="74"/>
      <c r="U366" s="74"/>
      <c r="V366" s="75">
        <f t="shared" si="191"/>
        <v>7740</v>
      </c>
      <c r="W366" s="40">
        <f t="shared" si="62"/>
        <v>5260</v>
      </c>
      <c r="X366" s="8">
        <f t="shared" si="172"/>
        <v>650</v>
      </c>
      <c r="Y366" s="76"/>
      <c r="Z366" s="8" t="str">
        <f t="shared" si="14"/>
        <v>Toalla Jumbo SWAN D/H / 100 metros</v>
      </c>
      <c r="AA366" s="31" t="s">
        <v>409</v>
      </c>
      <c r="AB366" s="31">
        <v>-1</v>
      </c>
    </row>
    <row r="367" spans="1:28" ht="13.2">
      <c r="A367" s="59" t="s">
        <v>53</v>
      </c>
      <c r="B367" s="8" t="str">
        <f t="shared" si="192"/>
        <v>Toalla Jumbo SWAN U/H / 100 metros</v>
      </c>
      <c r="C367" s="31" t="s">
        <v>1629</v>
      </c>
      <c r="D367" s="61" t="s">
        <v>827</v>
      </c>
      <c r="E367" s="41">
        <v>100</v>
      </c>
      <c r="F367" s="62">
        <f t="shared" ref="F367:F368" si="193">S367/1.19</f>
        <v>1084.0336134453783</v>
      </c>
      <c r="G367" s="62">
        <v>0</v>
      </c>
      <c r="H367" s="62">
        <f t="shared" si="94"/>
        <v>1084.0336134453783</v>
      </c>
      <c r="I367" s="62">
        <f t="shared" si="2"/>
        <v>205.96638655462186</v>
      </c>
      <c r="J367" s="63">
        <v>0.4391304347826086</v>
      </c>
      <c r="K367" s="62">
        <f t="shared" si="3"/>
        <v>1932.7731092436973</v>
      </c>
      <c r="L367" s="62">
        <f t="shared" si="4"/>
        <v>367.22689075630251</v>
      </c>
      <c r="M367" s="62">
        <f t="shared" si="15"/>
        <v>2300</v>
      </c>
      <c r="N367" s="62">
        <f t="shared" si="6"/>
        <v>848.73949579831901</v>
      </c>
      <c r="O367" s="61">
        <f t="shared" si="7"/>
        <v>0</v>
      </c>
      <c r="P367" s="61">
        <f t="shared" si="8"/>
        <v>1932.7731092436975</v>
      </c>
      <c r="Q367" s="64">
        <f t="shared" si="9"/>
        <v>0.4391304347826086</v>
      </c>
      <c r="R367" s="41">
        <v>2300</v>
      </c>
      <c r="S367" s="41">
        <v>1290</v>
      </c>
      <c r="T367" s="74"/>
      <c r="U367" s="74"/>
      <c r="V367" s="75">
        <f t="shared" si="191"/>
        <v>1290</v>
      </c>
      <c r="W367" s="40">
        <f t="shared" si="62"/>
        <v>1010</v>
      </c>
      <c r="X367" s="8">
        <f t="shared" si="172"/>
        <v>115</v>
      </c>
      <c r="Y367" s="76"/>
      <c r="Z367" s="8" t="str">
        <f t="shared" si="14"/>
        <v>Toalla Jumbo SWAN U/H / 100 metros</v>
      </c>
      <c r="AA367" s="8"/>
    </row>
    <row r="368" spans="1:28" ht="13.2">
      <c r="A368" s="59" t="s">
        <v>53</v>
      </c>
      <c r="B368" s="8" t="str">
        <f t="shared" ref="B368:B375" si="194">CONCATENATE(C368,E368)</f>
        <v>Toalla Nova 3 rollos</v>
      </c>
      <c r="C368" s="31" t="s">
        <v>369</v>
      </c>
      <c r="D368" s="31" t="s">
        <v>369</v>
      </c>
      <c r="E368" s="40"/>
      <c r="F368" s="62">
        <f t="shared" si="193"/>
        <v>802.52100840336141</v>
      </c>
      <c r="G368" s="62">
        <v>0</v>
      </c>
      <c r="H368" s="62">
        <f t="shared" si="94"/>
        <v>802.52100840336141</v>
      </c>
      <c r="I368" s="62">
        <f t="shared" si="2"/>
        <v>152.47899159663868</v>
      </c>
      <c r="J368" s="63">
        <v>0.3633333333333334</v>
      </c>
      <c r="K368" s="62">
        <f t="shared" si="3"/>
        <v>1260.5042016806724</v>
      </c>
      <c r="L368" s="62">
        <f t="shared" si="4"/>
        <v>239.49579831932775</v>
      </c>
      <c r="M368" s="62">
        <f t="shared" si="15"/>
        <v>1500.0000000000002</v>
      </c>
      <c r="N368" s="62">
        <f t="shared" si="6"/>
        <v>457.98319327731099</v>
      </c>
      <c r="O368" s="61">
        <f t="shared" si="7"/>
        <v>0</v>
      </c>
      <c r="P368" s="61">
        <f t="shared" si="8"/>
        <v>1260.5042016806724</v>
      </c>
      <c r="Q368" s="64">
        <f t="shared" si="9"/>
        <v>0.3633333333333334</v>
      </c>
      <c r="R368" s="41">
        <v>1500</v>
      </c>
      <c r="S368" s="41">
        <v>955</v>
      </c>
      <c r="T368" s="74"/>
      <c r="U368" s="74"/>
      <c r="V368" s="75">
        <f t="shared" si="191"/>
        <v>955</v>
      </c>
      <c r="W368" s="40">
        <f t="shared" si="62"/>
        <v>545</v>
      </c>
      <c r="X368" s="8">
        <f t="shared" si="172"/>
        <v>75</v>
      </c>
      <c r="Y368" s="76"/>
      <c r="Z368" s="8" t="str">
        <f t="shared" si="14"/>
        <v>Toalla Nova 3 rollos</v>
      </c>
      <c r="AA368" s="31" t="s">
        <v>370</v>
      </c>
      <c r="AB368" s="31">
        <v>-1</v>
      </c>
    </row>
    <row r="369" spans="1:28" ht="13.2">
      <c r="A369" s="59" t="s">
        <v>53</v>
      </c>
      <c r="B369" s="8" t="str">
        <f t="shared" si="194"/>
        <v>Toalla NOVA 70 mts</v>
      </c>
      <c r="C369" s="31" t="s">
        <v>69</v>
      </c>
      <c r="D369" s="31" t="s">
        <v>376</v>
      </c>
      <c r="E369" s="41"/>
      <c r="F369" s="62">
        <v>1695</v>
      </c>
      <c r="G369" s="62">
        <v>0</v>
      </c>
      <c r="H369" s="62">
        <f t="shared" si="94"/>
        <v>1695</v>
      </c>
      <c r="I369" s="62">
        <f t="shared" si="2"/>
        <v>322.05</v>
      </c>
      <c r="J369" s="63">
        <v>0.32763999999999999</v>
      </c>
      <c r="K369" s="62">
        <f t="shared" si="3"/>
        <v>2520.970908441906</v>
      </c>
      <c r="L369" s="62">
        <f t="shared" si="4"/>
        <v>478.98447260396216</v>
      </c>
      <c r="M369" s="62">
        <f t="shared" si="15"/>
        <v>2999.9553810458683</v>
      </c>
      <c r="N369" s="62">
        <f t="shared" si="6"/>
        <v>825.97090844190598</v>
      </c>
      <c r="O369" s="61">
        <f t="shared" si="7"/>
        <v>-1000.0446189541317</v>
      </c>
      <c r="P369" s="61">
        <f t="shared" si="8"/>
        <v>3361.3445378151264</v>
      </c>
      <c r="Q369" s="64">
        <f t="shared" si="9"/>
        <v>0.49573750000000005</v>
      </c>
      <c r="R369" s="41">
        <v>4000</v>
      </c>
      <c r="S369" s="41">
        <f>955*3</f>
        <v>2865</v>
      </c>
      <c r="T369" s="74"/>
      <c r="U369" s="74"/>
      <c r="V369" s="75">
        <f t="shared" si="191"/>
        <v>2865</v>
      </c>
      <c r="W369" s="40">
        <f t="shared" si="62"/>
        <v>1135</v>
      </c>
      <c r="X369" s="8">
        <f t="shared" si="172"/>
        <v>200</v>
      </c>
      <c r="Y369" s="76"/>
      <c r="Z369" s="8" t="str">
        <f t="shared" si="14"/>
        <v>Toalla NOVA 70 mts</v>
      </c>
      <c r="AA369" s="31" t="s">
        <v>377</v>
      </c>
      <c r="AB369" s="31">
        <v>-1</v>
      </c>
    </row>
    <row r="370" spans="1:28" ht="13.2">
      <c r="A370" s="59" t="s">
        <v>53</v>
      </c>
      <c r="B370" s="8" t="str">
        <f t="shared" si="194"/>
        <v xml:space="preserve">Toalla NOVA MANGA 24 rollos </v>
      </c>
      <c r="C370" s="31" t="s">
        <v>114</v>
      </c>
      <c r="D370" s="31" t="s">
        <v>369</v>
      </c>
      <c r="E370" s="41"/>
      <c r="F370" s="62">
        <f t="shared" ref="F370:F371" si="195">S370/1.19</f>
        <v>6420.1680672268913</v>
      </c>
      <c r="G370" s="62">
        <v>0</v>
      </c>
      <c r="H370" s="62">
        <f t="shared" si="94"/>
        <v>6420.1680672268913</v>
      </c>
      <c r="I370" s="62">
        <f t="shared" si="2"/>
        <v>1219.8319327731094</v>
      </c>
      <c r="J370" s="63">
        <v>0.27238095238095239</v>
      </c>
      <c r="K370" s="62">
        <f t="shared" si="3"/>
        <v>8823.5294117647063</v>
      </c>
      <c r="L370" s="62">
        <f t="shared" si="4"/>
        <v>1676.4705882352941</v>
      </c>
      <c r="M370" s="62">
        <f t="shared" si="15"/>
        <v>10500</v>
      </c>
      <c r="N370" s="62">
        <f t="shared" si="6"/>
        <v>2403.3613445378151</v>
      </c>
      <c r="O370" s="61">
        <f t="shared" si="7"/>
        <v>0</v>
      </c>
      <c r="P370" s="61">
        <f t="shared" si="8"/>
        <v>8823.5294117647063</v>
      </c>
      <c r="Q370" s="64">
        <f t="shared" si="9"/>
        <v>0.27238095238095239</v>
      </c>
      <c r="R370" s="41">
        <v>10500</v>
      </c>
      <c r="S370" s="41">
        <f>955*8</f>
        <v>7640</v>
      </c>
      <c r="T370" s="74"/>
      <c r="U370" s="74"/>
      <c r="V370" s="75">
        <f t="shared" si="191"/>
        <v>7640</v>
      </c>
      <c r="W370" s="40">
        <f t="shared" si="62"/>
        <v>2860</v>
      </c>
      <c r="X370" s="8">
        <f t="shared" si="172"/>
        <v>525</v>
      </c>
      <c r="Y370" s="76"/>
      <c r="Z370" s="8" t="str">
        <f t="shared" si="14"/>
        <v xml:space="preserve">Toalla NOVA MANGA 24 rollos </v>
      </c>
      <c r="AA370" s="31" t="s">
        <v>370</v>
      </c>
      <c r="AB370" s="31">
        <v>-8</v>
      </c>
    </row>
    <row r="371" spans="1:28" ht="13.2">
      <c r="A371" s="59" t="s">
        <v>53</v>
      </c>
      <c r="B371" s="8" t="str">
        <f t="shared" si="194"/>
        <v xml:space="preserve">Toalla NOVA MANGA 9 rollos </v>
      </c>
      <c r="C371" s="31" t="s">
        <v>339</v>
      </c>
      <c r="D371" s="31" t="s">
        <v>369</v>
      </c>
      <c r="E371" s="41"/>
      <c r="F371" s="62">
        <f t="shared" si="195"/>
        <v>2407.5630252100841</v>
      </c>
      <c r="G371" s="62">
        <v>0</v>
      </c>
      <c r="H371" s="62">
        <f t="shared" si="94"/>
        <v>2407.5630252100841</v>
      </c>
      <c r="I371" s="62">
        <f t="shared" si="2"/>
        <v>457.43697478991601</v>
      </c>
      <c r="J371" s="63">
        <v>0.28375000000000006</v>
      </c>
      <c r="K371" s="62">
        <f t="shared" si="3"/>
        <v>3361.3445378151264</v>
      </c>
      <c r="L371" s="62">
        <f t="shared" si="4"/>
        <v>638.65546218487407</v>
      </c>
      <c r="M371" s="62">
        <f t="shared" si="15"/>
        <v>4000.0000000000005</v>
      </c>
      <c r="N371" s="62">
        <f t="shared" si="6"/>
        <v>953.78151260504228</v>
      </c>
      <c r="O371" s="61">
        <f t="shared" si="7"/>
        <v>0</v>
      </c>
      <c r="P371" s="61">
        <f t="shared" si="8"/>
        <v>3361.3445378151264</v>
      </c>
      <c r="Q371" s="64">
        <f t="shared" si="9"/>
        <v>0.28375000000000006</v>
      </c>
      <c r="R371" s="41">
        <v>4000</v>
      </c>
      <c r="S371" s="41">
        <f>955*3</f>
        <v>2865</v>
      </c>
      <c r="T371" s="74"/>
      <c r="U371" s="74"/>
      <c r="V371" s="75">
        <f t="shared" si="191"/>
        <v>2865</v>
      </c>
      <c r="W371" s="40">
        <f t="shared" si="62"/>
        <v>1135</v>
      </c>
      <c r="X371" s="8">
        <f t="shared" si="172"/>
        <v>200</v>
      </c>
      <c r="Y371" s="76"/>
      <c r="Z371" s="8" t="str">
        <f t="shared" si="14"/>
        <v xml:space="preserve">Toalla NOVA MANGA 9 rollos </v>
      </c>
      <c r="AA371" s="31" t="s">
        <v>370</v>
      </c>
      <c r="AB371" s="31">
        <v>-3</v>
      </c>
    </row>
    <row r="372" spans="1:28" ht="13.2">
      <c r="A372" s="59" t="s">
        <v>53</v>
      </c>
      <c r="B372" s="8" t="str">
        <f t="shared" si="194"/>
        <v>Toalla Papel Jumbo 250 mts (Pack 2)</v>
      </c>
      <c r="C372" s="31" t="s">
        <v>162</v>
      </c>
      <c r="D372" s="61" t="s">
        <v>437</v>
      </c>
      <c r="E372" s="41"/>
      <c r="F372" s="62">
        <v>5252</v>
      </c>
      <c r="G372" s="62">
        <v>0</v>
      </c>
      <c r="H372" s="62">
        <f t="shared" si="94"/>
        <v>5252</v>
      </c>
      <c r="I372" s="62">
        <f t="shared" si="2"/>
        <v>997.88</v>
      </c>
      <c r="J372" s="63">
        <v>0.34211999999999998</v>
      </c>
      <c r="K372" s="62">
        <f t="shared" si="3"/>
        <v>7983.2188241016593</v>
      </c>
      <c r="L372" s="62">
        <f t="shared" si="4"/>
        <v>1516.8115765793152</v>
      </c>
      <c r="M372" s="62">
        <f t="shared" si="15"/>
        <v>9500.0304006809747</v>
      </c>
      <c r="N372" s="62">
        <f t="shared" si="6"/>
        <v>2731.2188241016593</v>
      </c>
      <c r="O372" s="61">
        <f t="shared" si="7"/>
        <v>-9489.9695993190253</v>
      </c>
      <c r="P372" s="61">
        <f t="shared" si="8"/>
        <v>15957.983193277312</v>
      </c>
      <c r="Q372" s="64">
        <f t="shared" si="9"/>
        <v>0.67088572933122692</v>
      </c>
      <c r="R372" s="41">
        <v>18990</v>
      </c>
      <c r="S372" s="41">
        <f>1762*8</f>
        <v>14096</v>
      </c>
      <c r="T372" s="74"/>
      <c r="U372" s="74"/>
      <c r="V372" s="75">
        <f t="shared" si="191"/>
        <v>14096</v>
      </c>
      <c r="W372" s="40">
        <f t="shared" si="62"/>
        <v>4894</v>
      </c>
      <c r="X372" s="8">
        <f t="shared" si="172"/>
        <v>949.5</v>
      </c>
      <c r="Y372" s="76"/>
      <c r="Z372" s="8" t="str">
        <f t="shared" si="14"/>
        <v>Toalla Papel Jumbo 250 mts (Pack 2)</v>
      </c>
      <c r="AA372" s="31" t="s">
        <v>438</v>
      </c>
      <c r="AB372" s="31">
        <v>-1</v>
      </c>
    </row>
    <row r="373" spans="1:28" ht="13.2">
      <c r="A373" s="59" t="s">
        <v>53</v>
      </c>
      <c r="B373" s="8" t="str">
        <f t="shared" si="194"/>
        <v>Toalla Papel SWAN 3 rollos</v>
      </c>
      <c r="C373" s="31" t="s">
        <v>726</v>
      </c>
      <c r="D373" s="31" t="s">
        <v>727</v>
      </c>
      <c r="E373" s="40"/>
      <c r="F373" s="62">
        <f t="shared" ref="F373:F376" si="196">S373/1.19</f>
        <v>642.01680672268913</v>
      </c>
      <c r="G373" s="62">
        <v>0</v>
      </c>
      <c r="H373" s="62">
        <f t="shared" si="94"/>
        <v>642.01680672268913</v>
      </c>
      <c r="I373" s="62">
        <f t="shared" si="2"/>
        <v>121.98319327731093</v>
      </c>
      <c r="J373" s="63">
        <v>0.41230769230769237</v>
      </c>
      <c r="K373" s="62">
        <f t="shared" si="3"/>
        <v>1092.4369747899161</v>
      </c>
      <c r="L373" s="62">
        <f t="shared" si="4"/>
        <v>207.56302521008408</v>
      </c>
      <c r="M373" s="62">
        <f t="shared" si="15"/>
        <v>1300.0000000000002</v>
      </c>
      <c r="N373" s="62">
        <f t="shared" si="6"/>
        <v>450.420168067227</v>
      </c>
      <c r="O373" s="61">
        <f t="shared" si="7"/>
        <v>0</v>
      </c>
      <c r="P373" s="61">
        <f t="shared" si="8"/>
        <v>1092.4369747899161</v>
      </c>
      <c r="Q373" s="64">
        <f t="shared" si="9"/>
        <v>0.41230769230769237</v>
      </c>
      <c r="R373" s="41">
        <v>1300</v>
      </c>
      <c r="S373" s="41">
        <v>764</v>
      </c>
      <c r="T373" s="74"/>
      <c r="U373" s="74"/>
      <c r="V373" s="75">
        <f t="shared" si="191"/>
        <v>764</v>
      </c>
      <c r="W373" s="40">
        <f t="shared" si="62"/>
        <v>536</v>
      </c>
      <c r="X373" s="8">
        <f t="shared" si="172"/>
        <v>65</v>
      </c>
      <c r="Y373" s="76"/>
      <c r="Z373" s="8" t="str">
        <f t="shared" si="14"/>
        <v>Toalla Papel SWAN 3 rollos</v>
      </c>
      <c r="AA373" s="31" t="s">
        <v>1052</v>
      </c>
      <c r="AB373" s="31">
        <v>-1</v>
      </c>
    </row>
    <row r="374" spans="1:28" ht="13.2">
      <c r="A374" s="59" t="s">
        <v>53</v>
      </c>
      <c r="B374" s="8" t="str">
        <f t="shared" si="194"/>
        <v>Toalla Papel SWAN 9 rollos</v>
      </c>
      <c r="C374" s="31" t="s">
        <v>773</v>
      </c>
      <c r="D374" s="31" t="s">
        <v>727</v>
      </c>
      <c r="E374" s="40"/>
      <c r="F374" s="62">
        <f t="shared" si="196"/>
        <v>1926.0504201680674</v>
      </c>
      <c r="G374" s="62">
        <v>0</v>
      </c>
      <c r="H374" s="62">
        <f t="shared" si="94"/>
        <v>1926.0504201680674</v>
      </c>
      <c r="I374" s="62">
        <f t="shared" si="2"/>
        <v>365.94957983193279</v>
      </c>
      <c r="J374" s="63">
        <v>0.3451428571428572</v>
      </c>
      <c r="K374" s="62">
        <f t="shared" si="3"/>
        <v>2941.1764705882356</v>
      </c>
      <c r="L374" s="62">
        <f t="shared" si="4"/>
        <v>558.82352941176475</v>
      </c>
      <c r="M374" s="62">
        <f t="shared" si="15"/>
        <v>3500.0000000000005</v>
      </c>
      <c r="N374" s="62">
        <f t="shared" si="6"/>
        <v>1015.1260504201682</v>
      </c>
      <c r="O374" s="61">
        <f t="shared" si="7"/>
        <v>0</v>
      </c>
      <c r="P374" s="61">
        <f t="shared" si="8"/>
        <v>2941.1764705882356</v>
      </c>
      <c r="Q374" s="64">
        <f t="shared" si="9"/>
        <v>0.3451428571428572</v>
      </c>
      <c r="R374" s="41">
        <v>3500</v>
      </c>
      <c r="S374" s="41">
        <f>764*3</f>
        <v>2292</v>
      </c>
      <c r="T374" s="74"/>
      <c r="U374" s="74"/>
      <c r="V374" s="75">
        <f t="shared" si="191"/>
        <v>2292</v>
      </c>
      <c r="W374" s="40">
        <f t="shared" si="62"/>
        <v>1208</v>
      </c>
      <c r="X374" s="8">
        <f t="shared" si="172"/>
        <v>175</v>
      </c>
      <c r="Y374" s="76"/>
      <c r="Z374" s="8" t="str">
        <f t="shared" si="14"/>
        <v>Toalla Papel SWAN 9 rollos</v>
      </c>
      <c r="AA374" s="31" t="s">
        <v>1052</v>
      </c>
      <c r="AB374" s="31">
        <v>-3</v>
      </c>
    </row>
    <row r="375" spans="1:28" ht="13.2">
      <c r="A375" s="59" t="s">
        <v>53</v>
      </c>
      <c r="B375" s="8" t="str">
        <f t="shared" si="194"/>
        <v>Toalla Papel SWAN MANGA 24 rollos</v>
      </c>
      <c r="C375" s="31" t="s">
        <v>835</v>
      </c>
      <c r="D375" s="31" t="s">
        <v>727</v>
      </c>
      <c r="E375" s="40"/>
      <c r="F375" s="62">
        <f t="shared" si="196"/>
        <v>5136.134453781513</v>
      </c>
      <c r="G375" s="62">
        <v>0</v>
      </c>
      <c r="H375" s="62">
        <f t="shared" si="94"/>
        <v>5136.134453781513</v>
      </c>
      <c r="I375" s="62">
        <f t="shared" si="2"/>
        <v>975.86554621848745</v>
      </c>
      <c r="J375" s="63">
        <v>0.35663157894736841</v>
      </c>
      <c r="K375" s="62">
        <f t="shared" si="3"/>
        <v>7983.1932773109247</v>
      </c>
      <c r="L375" s="62">
        <f t="shared" si="4"/>
        <v>1516.8067226890757</v>
      </c>
      <c r="M375" s="62">
        <f t="shared" si="15"/>
        <v>9500</v>
      </c>
      <c r="N375" s="62">
        <f t="shared" si="6"/>
        <v>2847.0588235294117</v>
      </c>
      <c r="O375" s="61">
        <f t="shared" si="7"/>
        <v>0</v>
      </c>
      <c r="P375" s="61">
        <f t="shared" si="8"/>
        <v>7983.1932773109247</v>
      </c>
      <c r="Q375" s="64">
        <f t="shared" si="9"/>
        <v>0.35663157894736841</v>
      </c>
      <c r="R375" s="41">
        <v>9500</v>
      </c>
      <c r="S375" s="41">
        <f>764*8</f>
        <v>6112</v>
      </c>
      <c r="T375" s="74"/>
      <c r="U375" s="74"/>
      <c r="V375" s="75">
        <f t="shared" si="191"/>
        <v>6112</v>
      </c>
      <c r="W375" s="40">
        <f t="shared" si="62"/>
        <v>3388</v>
      </c>
      <c r="X375" s="8">
        <f t="shared" si="172"/>
        <v>475</v>
      </c>
      <c r="Y375" s="76"/>
      <c r="Z375" s="8" t="str">
        <f t="shared" si="14"/>
        <v>Toalla Papel SWAN MANGA 24 rollos</v>
      </c>
      <c r="AA375" s="31" t="s">
        <v>1052</v>
      </c>
      <c r="AB375" s="31">
        <v>-8</v>
      </c>
    </row>
    <row r="376" spans="1:28" ht="13.2">
      <c r="A376" s="59" t="s">
        <v>53</v>
      </c>
      <c r="B376" s="8" t="str">
        <f>CONCATENATE(C376," / ",E376," metros")</f>
        <v>Toalla SPUM / 12 metros</v>
      </c>
      <c r="C376" s="31" t="s">
        <v>1630</v>
      </c>
      <c r="D376" s="61" t="str">
        <f>C376</f>
        <v>Toalla SPUM</v>
      </c>
      <c r="E376" s="41">
        <v>12</v>
      </c>
      <c r="F376" s="62">
        <f t="shared" si="196"/>
        <v>789.07563025210084</v>
      </c>
      <c r="G376" s="62">
        <v>0</v>
      </c>
      <c r="H376" s="62">
        <f t="shared" si="94"/>
        <v>789.07563025210084</v>
      </c>
      <c r="I376" s="62">
        <f t="shared" si="2"/>
        <v>149.92436974789916</v>
      </c>
      <c r="J376" s="63">
        <v>0.47833333333333328</v>
      </c>
      <c r="K376" s="62">
        <f t="shared" si="3"/>
        <v>1512.6050420168065</v>
      </c>
      <c r="L376" s="62">
        <f t="shared" si="4"/>
        <v>287.39495798319325</v>
      </c>
      <c r="M376" s="62">
        <f t="shared" si="15"/>
        <v>1799.9999999999998</v>
      </c>
      <c r="N376" s="62">
        <f t="shared" si="6"/>
        <v>723.52941176470563</v>
      </c>
      <c r="O376" s="61">
        <f t="shared" si="7"/>
        <v>0</v>
      </c>
      <c r="P376" s="61">
        <f t="shared" si="8"/>
        <v>1512.6050420168067</v>
      </c>
      <c r="Q376" s="64">
        <f t="shared" si="9"/>
        <v>0.47833333333333328</v>
      </c>
      <c r="R376" s="41">
        <v>1800</v>
      </c>
      <c r="S376" s="41">
        <f>313*3</f>
        <v>939</v>
      </c>
      <c r="T376" s="74"/>
      <c r="U376" s="74"/>
      <c r="V376" s="75">
        <f t="shared" si="191"/>
        <v>939</v>
      </c>
      <c r="W376" s="40">
        <f t="shared" si="62"/>
        <v>861</v>
      </c>
      <c r="X376" s="8">
        <f t="shared" si="172"/>
        <v>90</v>
      </c>
      <c r="Y376" s="76"/>
      <c r="Z376" s="8" t="str">
        <f t="shared" si="14"/>
        <v>Toalla SPUM / 12 metros</v>
      </c>
      <c r="AA376" s="8"/>
    </row>
    <row r="377" spans="1:28" ht="13.2">
      <c r="A377" s="59" t="s">
        <v>47</v>
      </c>
      <c r="B377" s="8" t="str">
        <f t="shared" ref="B377:B385" si="197">CONCATENATE(C377,E377)</f>
        <v>Toallitas Húmedas Adulto Teddy 50 Unidades</v>
      </c>
      <c r="C377" s="23" t="s">
        <v>743</v>
      </c>
      <c r="D377" s="41" t="s">
        <v>540</v>
      </c>
      <c r="E377" s="40"/>
      <c r="F377" s="62">
        <v>1041</v>
      </c>
      <c r="G377" s="62">
        <v>0</v>
      </c>
      <c r="H377" s="62">
        <f t="shared" si="94"/>
        <v>1041</v>
      </c>
      <c r="I377" s="62">
        <f t="shared" si="2"/>
        <v>197.79</v>
      </c>
      <c r="J377" s="63">
        <v>0.43690000000000001</v>
      </c>
      <c r="K377" s="62">
        <f t="shared" si="3"/>
        <v>1848.6947256259991</v>
      </c>
      <c r="L377" s="62">
        <f t="shared" si="4"/>
        <v>351.25199786893984</v>
      </c>
      <c r="M377" s="62">
        <f t="shared" si="15"/>
        <v>2199.9467234949389</v>
      </c>
      <c r="N377" s="62">
        <f t="shared" si="6"/>
        <v>807.69472562599913</v>
      </c>
      <c r="O377" s="61">
        <f t="shared" si="7"/>
        <v>-2300.0532765050611</v>
      </c>
      <c r="P377" s="61">
        <f t="shared" si="8"/>
        <v>3781.5126050420172</v>
      </c>
      <c r="Q377" s="64">
        <f t="shared" si="9"/>
        <v>0.72471333333333332</v>
      </c>
      <c r="R377" s="41">
        <v>4500</v>
      </c>
      <c r="S377" s="41">
        <f t="shared" ref="S377:S378" si="198">1108*3</f>
        <v>3324</v>
      </c>
      <c r="T377" s="41">
        <f t="shared" ref="T377:T378" si="199">S377</f>
        <v>3324</v>
      </c>
      <c r="U377" s="41">
        <v>0</v>
      </c>
      <c r="V377" s="40">
        <f t="shared" ref="V377:V385" si="200">T377+U377</f>
        <v>3324</v>
      </c>
      <c r="W377" s="40">
        <f t="shared" si="62"/>
        <v>1176</v>
      </c>
      <c r="X377" s="8">
        <f t="shared" si="172"/>
        <v>225</v>
      </c>
      <c r="Y377" s="26"/>
      <c r="Z377" s="8" t="str">
        <f t="shared" si="14"/>
        <v>Toallitas Húmedas Adulto Teddy 50 Unidades</v>
      </c>
      <c r="AA377" s="31" t="s">
        <v>541</v>
      </c>
      <c r="AB377" s="31">
        <v>-1</v>
      </c>
    </row>
    <row r="378" spans="1:28" ht="13.2">
      <c r="A378" s="59" t="s">
        <v>47</v>
      </c>
      <c r="B378" s="8" t="str">
        <f t="shared" si="197"/>
        <v>Toallitas Húmedas Bebe Teddy 80 Unidades</v>
      </c>
      <c r="C378" s="23" t="s">
        <v>610</v>
      </c>
      <c r="D378" s="41" t="s">
        <v>600</v>
      </c>
      <c r="E378" s="40"/>
      <c r="F378" s="62">
        <v>768</v>
      </c>
      <c r="G378" s="62">
        <v>0</v>
      </c>
      <c r="H378" s="62">
        <f t="shared" si="94"/>
        <v>768</v>
      </c>
      <c r="I378" s="62">
        <f t="shared" si="2"/>
        <v>145.92000000000002</v>
      </c>
      <c r="J378" s="63">
        <v>0.4289</v>
      </c>
      <c r="K378" s="62">
        <f t="shared" si="3"/>
        <v>1344.7732446156542</v>
      </c>
      <c r="L378" s="62">
        <f t="shared" si="4"/>
        <v>255.50691647697431</v>
      </c>
      <c r="M378" s="62">
        <f t="shared" si="15"/>
        <v>1600.2801610926285</v>
      </c>
      <c r="N378" s="62">
        <f t="shared" si="6"/>
        <v>576.77324461565422</v>
      </c>
      <c r="O378" s="61">
        <f t="shared" si="7"/>
        <v>-2899.7198389073715</v>
      </c>
      <c r="P378" s="61">
        <f t="shared" si="8"/>
        <v>3781.5126050420172</v>
      </c>
      <c r="Q378" s="64">
        <f t="shared" si="9"/>
        <v>0.79690666666666665</v>
      </c>
      <c r="R378" s="41">
        <v>4500</v>
      </c>
      <c r="S378" s="41">
        <f t="shared" si="198"/>
        <v>3324</v>
      </c>
      <c r="T378" s="41">
        <f t="shared" si="199"/>
        <v>3324</v>
      </c>
      <c r="U378" s="41">
        <v>0</v>
      </c>
      <c r="V378" s="40">
        <f t="shared" si="200"/>
        <v>3324</v>
      </c>
      <c r="W378" s="40">
        <f t="shared" si="62"/>
        <v>1176</v>
      </c>
      <c r="X378" s="8">
        <f t="shared" si="172"/>
        <v>225</v>
      </c>
      <c r="Y378" s="26"/>
      <c r="Z378" s="8" t="str">
        <f t="shared" si="14"/>
        <v>Toallitas Húmedas Bebe Teddy 80 Unidades</v>
      </c>
      <c r="AA378" s="31" t="s">
        <v>601</v>
      </c>
      <c r="AB378" s="31">
        <v>-1</v>
      </c>
    </row>
    <row r="379" spans="1:28" ht="13.2">
      <c r="A379" s="59" t="s">
        <v>47</v>
      </c>
      <c r="B379" s="8" t="str">
        <f t="shared" si="197"/>
        <v>Trapero Algodón TEDDY (con Ojal)</v>
      </c>
      <c r="C379" s="23" t="s">
        <v>204</v>
      </c>
      <c r="D379" s="61" t="s">
        <v>400</v>
      </c>
      <c r="E379" s="41"/>
      <c r="F379" s="62">
        <v>471</v>
      </c>
      <c r="G379" s="62">
        <v>0</v>
      </c>
      <c r="H379" s="62">
        <f t="shared" si="94"/>
        <v>471</v>
      </c>
      <c r="I379" s="62">
        <f t="shared" si="2"/>
        <v>89.49</v>
      </c>
      <c r="J379" s="63">
        <v>0.53290000000000004</v>
      </c>
      <c r="K379" s="62">
        <f t="shared" si="3"/>
        <v>1008.3493898522801</v>
      </c>
      <c r="L379" s="62">
        <f t="shared" si="4"/>
        <v>191.58638407193322</v>
      </c>
      <c r="M379" s="62">
        <f t="shared" si="15"/>
        <v>1199.9357739242132</v>
      </c>
      <c r="N379" s="62">
        <f t="shared" si="6"/>
        <v>537.34938985228007</v>
      </c>
      <c r="O379" s="61">
        <f t="shared" si="7"/>
        <v>649.93577392421321</v>
      </c>
      <c r="P379" s="61">
        <f t="shared" si="8"/>
        <v>462.18487394957987</v>
      </c>
      <c r="Q379" s="64">
        <f t="shared" si="9"/>
        <v>-1.907272727272713E-2</v>
      </c>
      <c r="R379" s="26">
        <v>550</v>
      </c>
      <c r="S379" s="26">
        <v>420</v>
      </c>
      <c r="T379" s="40">
        <f t="shared" ref="T379:T380" si="201">S379*E379/1000</f>
        <v>0</v>
      </c>
      <c r="U379" s="41">
        <v>0</v>
      </c>
      <c r="V379" s="40">
        <f t="shared" si="200"/>
        <v>0</v>
      </c>
      <c r="W379" s="40">
        <f t="shared" si="62"/>
        <v>550</v>
      </c>
      <c r="X379" s="8">
        <f t="shared" si="172"/>
        <v>27.5</v>
      </c>
      <c r="Y379" s="26"/>
      <c r="Z379" s="8" t="str">
        <f t="shared" si="14"/>
        <v>Trapero Algodón TEDDY (con Ojal)</v>
      </c>
      <c r="AA379" s="31" t="s">
        <v>401</v>
      </c>
      <c r="AB379" s="31">
        <v>-1</v>
      </c>
    </row>
    <row r="380" spans="1:28" ht="13.2">
      <c r="A380" s="59" t="s">
        <v>47</v>
      </c>
      <c r="B380" s="8" t="str">
        <f t="shared" si="197"/>
        <v>Trapero Fibra EXCELL 50x60 (con Ojal)</v>
      </c>
      <c r="C380" s="23" t="s">
        <v>303</v>
      </c>
      <c r="D380" s="61" t="s">
        <v>433</v>
      </c>
      <c r="E380" s="41"/>
      <c r="F380" s="62">
        <v>1218</v>
      </c>
      <c r="G380" s="62">
        <v>0</v>
      </c>
      <c r="H380" s="62">
        <f t="shared" si="94"/>
        <v>1218</v>
      </c>
      <c r="I380" s="62">
        <f t="shared" si="2"/>
        <v>231.42000000000002</v>
      </c>
      <c r="J380" s="63">
        <v>0.27534999999999998</v>
      </c>
      <c r="K380" s="62">
        <f t="shared" si="3"/>
        <v>1680.8114262057545</v>
      </c>
      <c r="L380" s="62">
        <f t="shared" si="4"/>
        <v>319.35417097909334</v>
      </c>
      <c r="M380" s="62">
        <f t="shared" si="15"/>
        <v>2000.1655971848479</v>
      </c>
      <c r="N380" s="62">
        <f t="shared" si="6"/>
        <v>462.81142620575451</v>
      </c>
      <c r="O380" s="61">
        <f t="shared" si="7"/>
        <v>1450.1655971848479</v>
      </c>
      <c r="P380" s="61">
        <f t="shared" si="8"/>
        <v>462.18487394957987</v>
      </c>
      <c r="Q380" s="64">
        <f t="shared" si="9"/>
        <v>-1.6353090909090908</v>
      </c>
      <c r="R380" s="26">
        <v>550</v>
      </c>
      <c r="S380" s="26">
        <v>420</v>
      </c>
      <c r="T380" s="40">
        <f t="shared" si="201"/>
        <v>0</v>
      </c>
      <c r="U380" s="41">
        <v>0</v>
      </c>
      <c r="V380" s="40">
        <f t="shared" si="200"/>
        <v>0</v>
      </c>
      <c r="W380" s="40">
        <f t="shared" si="62"/>
        <v>550</v>
      </c>
      <c r="X380" s="8">
        <f t="shared" si="172"/>
        <v>27.5</v>
      </c>
      <c r="Y380" s="26"/>
      <c r="Z380" s="8" t="str">
        <f t="shared" si="14"/>
        <v>Trapero Fibra EXCELL 50x60 (con Ojal)</v>
      </c>
      <c r="AA380" s="31" t="s">
        <v>434</v>
      </c>
      <c r="AB380" s="31">
        <v>-1</v>
      </c>
    </row>
    <row r="381" spans="1:28" ht="13.2">
      <c r="A381" s="59" t="s">
        <v>47</v>
      </c>
      <c r="B381" s="8" t="str">
        <f t="shared" si="197"/>
        <v>Pack 3 Trapero Húmedo Piso Flotante TEDDY</v>
      </c>
      <c r="C381" s="23" t="s">
        <v>1631</v>
      </c>
      <c r="D381" s="61" t="s">
        <v>1632</v>
      </c>
      <c r="E381" s="41"/>
      <c r="F381" s="62">
        <f>(12545/12)*3</f>
        <v>3136.25</v>
      </c>
      <c r="G381" s="62">
        <v>0</v>
      </c>
      <c r="H381" s="62">
        <f t="shared" si="94"/>
        <v>3136.25</v>
      </c>
      <c r="I381" s="62">
        <f t="shared" si="2"/>
        <v>595.88750000000005</v>
      </c>
      <c r="J381" s="63">
        <v>0.45910000000000001</v>
      </c>
      <c r="K381" s="62">
        <f t="shared" si="3"/>
        <v>5798.2066925494555</v>
      </c>
      <c r="L381" s="62">
        <f t="shared" si="4"/>
        <v>1101.6592715843965</v>
      </c>
      <c r="M381" s="62">
        <f t="shared" si="15"/>
        <v>6899.8659641338518</v>
      </c>
      <c r="N381" s="62">
        <f t="shared" si="6"/>
        <v>2661.9566925494555</v>
      </c>
      <c r="O381" s="61">
        <f t="shared" si="7"/>
        <v>4149.8659641338518</v>
      </c>
      <c r="P381" s="61">
        <f t="shared" si="8"/>
        <v>2310.9243697478992</v>
      </c>
      <c r="Q381" s="64">
        <f t="shared" si="9"/>
        <v>-0.35714090909090901</v>
      </c>
      <c r="R381" s="26">
        <v>2750</v>
      </c>
      <c r="S381" s="26">
        <v>1960</v>
      </c>
      <c r="T381" s="41">
        <v>1960</v>
      </c>
      <c r="U381" s="41">
        <v>0</v>
      </c>
      <c r="V381" s="40">
        <f t="shared" si="200"/>
        <v>1960</v>
      </c>
      <c r="W381" s="40">
        <f t="shared" si="62"/>
        <v>790</v>
      </c>
      <c r="X381" s="8">
        <f t="shared" si="172"/>
        <v>137.5</v>
      </c>
      <c r="Y381" s="26"/>
      <c r="Z381" s="8" t="str">
        <f t="shared" si="14"/>
        <v>Pack 3 Trapero Húmedo Piso Flotante TEDDY</v>
      </c>
      <c r="AA381" s="31" t="s">
        <v>1060</v>
      </c>
      <c r="AB381" s="31">
        <v>-3</v>
      </c>
    </row>
    <row r="382" spans="1:28" ht="13.2">
      <c r="A382" s="59" t="s">
        <v>47</v>
      </c>
      <c r="B382" s="8" t="str">
        <f t="shared" si="197"/>
        <v>Trapero Húmedo Piso Flotante TEDDY</v>
      </c>
      <c r="C382" s="23" t="s">
        <v>226</v>
      </c>
      <c r="D382" s="61" t="s">
        <v>1632</v>
      </c>
      <c r="E382" s="41"/>
      <c r="F382" s="62">
        <f>12545/12</f>
        <v>1045.4166666666667</v>
      </c>
      <c r="G382" s="62">
        <v>0</v>
      </c>
      <c r="H382" s="62">
        <f t="shared" si="94"/>
        <v>1045.4166666666667</v>
      </c>
      <c r="I382" s="62">
        <f t="shared" si="2"/>
        <v>198.62916666666669</v>
      </c>
      <c r="J382" s="63">
        <v>0.48159999999999997</v>
      </c>
      <c r="K382" s="62">
        <f t="shared" si="3"/>
        <v>2016.6216563786011</v>
      </c>
      <c r="L382" s="62">
        <f t="shared" si="4"/>
        <v>383.15811471193422</v>
      </c>
      <c r="M382" s="62">
        <f t="shared" si="15"/>
        <v>2399.7797710905352</v>
      </c>
      <c r="N382" s="62">
        <f t="shared" si="6"/>
        <v>971.20498971193433</v>
      </c>
      <c r="O382" s="61">
        <f t="shared" si="7"/>
        <v>-350.22022890946482</v>
      </c>
      <c r="P382" s="61">
        <f t="shared" si="8"/>
        <v>2310.9243697478992</v>
      </c>
      <c r="Q382" s="64">
        <f t="shared" si="9"/>
        <v>0.54761969696969692</v>
      </c>
      <c r="R382" s="26">
        <v>2750</v>
      </c>
      <c r="S382" s="26">
        <v>1960</v>
      </c>
      <c r="T382" s="41">
        <v>1960</v>
      </c>
      <c r="U382" s="41">
        <v>0</v>
      </c>
      <c r="V382" s="40">
        <f t="shared" si="200"/>
        <v>1960</v>
      </c>
      <c r="W382" s="40">
        <f t="shared" si="62"/>
        <v>790</v>
      </c>
      <c r="X382" s="8">
        <f t="shared" si="172"/>
        <v>137.5</v>
      </c>
      <c r="Y382" s="26"/>
      <c r="Z382" s="8" t="str">
        <f t="shared" si="14"/>
        <v>Trapero Húmedo Piso Flotante TEDDY</v>
      </c>
      <c r="AA382" s="31" t="s">
        <v>1060</v>
      </c>
      <c r="AB382" s="31">
        <v>-1</v>
      </c>
    </row>
    <row r="383" spans="1:28" ht="13.2">
      <c r="A383" s="59" t="s">
        <v>47</v>
      </c>
      <c r="B383" s="8" t="str">
        <f t="shared" si="197"/>
        <v>Trapero Húmedo EXCELL</v>
      </c>
      <c r="C383" s="23" t="s">
        <v>295</v>
      </c>
      <c r="D383" s="61" t="s">
        <v>372</v>
      </c>
      <c r="E383" s="41"/>
      <c r="F383" s="62">
        <f>15378/10</f>
        <v>1537.8</v>
      </c>
      <c r="G383" s="62">
        <v>0</v>
      </c>
      <c r="H383" s="62">
        <f t="shared" si="94"/>
        <v>1537.8</v>
      </c>
      <c r="I383" s="62">
        <f t="shared" si="2"/>
        <v>292.18200000000002</v>
      </c>
      <c r="J383" s="63">
        <v>0.29609999999999997</v>
      </c>
      <c r="K383" s="62">
        <f t="shared" si="3"/>
        <v>2184.6853246199744</v>
      </c>
      <c r="L383" s="62">
        <f t="shared" si="4"/>
        <v>415.09021167779514</v>
      </c>
      <c r="M383" s="62">
        <f t="shared" si="15"/>
        <v>2599.7755362977696</v>
      </c>
      <c r="N383" s="62">
        <f t="shared" si="6"/>
        <v>646.88532461997443</v>
      </c>
      <c r="O383" s="61">
        <f t="shared" si="7"/>
        <v>-0.22446370223042322</v>
      </c>
      <c r="P383" s="61">
        <f t="shared" si="8"/>
        <v>2184.8739495798322</v>
      </c>
      <c r="Q383" s="64">
        <f t="shared" si="9"/>
        <v>0.29616076923076939</v>
      </c>
      <c r="R383" s="26">
        <v>2600</v>
      </c>
      <c r="S383" s="26">
        <v>1478</v>
      </c>
      <c r="T383" s="40">
        <f>S383*E383/1000</f>
        <v>0</v>
      </c>
      <c r="U383" s="41">
        <v>0</v>
      </c>
      <c r="V383" s="40">
        <f t="shared" si="200"/>
        <v>0</v>
      </c>
      <c r="W383" s="40">
        <f t="shared" si="62"/>
        <v>2600</v>
      </c>
      <c r="X383" s="8">
        <f t="shared" si="172"/>
        <v>130</v>
      </c>
      <c r="Y383" s="26"/>
      <c r="Z383" s="8" t="str">
        <f t="shared" si="14"/>
        <v>Trapero Húmedo EXCELL</v>
      </c>
      <c r="AA383" s="31" t="s">
        <v>375</v>
      </c>
      <c r="AB383" s="31">
        <v>-1</v>
      </c>
    </row>
    <row r="384" spans="1:28" ht="13.2">
      <c r="A384" s="59" t="s">
        <v>47</v>
      </c>
      <c r="B384" s="8" t="str">
        <f t="shared" si="197"/>
        <v>Trapero Húmedo TEDDY</v>
      </c>
      <c r="C384" s="23" t="s">
        <v>344</v>
      </c>
      <c r="D384" s="61" t="s">
        <v>372</v>
      </c>
      <c r="E384" s="41"/>
      <c r="F384" s="62">
        <f>12545/12</f>
        <v>1045.4166666666667</v>
      </c>
      <c r="G384" s="62">
        <v>0</v>
      </c>
      <c r="H384" s="62">
        <f t="shared" si="94"/>
        <v>1045.4166666666667</v>
      </c>
      <c r="I384" s="62">
        <f t="shared" si="2"/>
        <v>198.62916666666669</v>
      </c>
      <c r="J384" s="63">
        <v>0.48159999999999997</v>
      </c>
      <c r="K384" s="62">
        <f t="shared" si="3"/>
        <v>2016.6216563786011</v>
      </c>
      <c r="L384" s="62">
        <f t="shared" si="4"/>
        <v>383.15811471193422</v>
      </c>
      <c r="M384" s="62">
        <f t="shared" si="15"/>
        <v>2399.7797710905352</v>
      </c>
      <c r="N384" s="62">
        <f t="shared" si="6"/>
        <v>971.20498971193433</v>
      </c>
      <c r="O384" s="61">
        <f t="shared" si="7"/>
        <v>-350.22022890946482</v>
      </c>
      <c r="P384" s="61">
        <f t="shared" si="8"/>
        <v>2310.9243697478992</v>
      </c>
      <c r="Q384" s="64">
        <f t="shared" si="9"/>
        <v>0.54761969696969692</v>
      </c>
      <c r="R384" s="26">
        <v>2750</v>
      </c>
      <c r="S384" s="26">
        <v>1960</v>
      </c>
      <c r="T384" s="41">
        <v>1960</v>
      </c>
      <c r="U384" s="41">
        <v>0</v>
      </c>
      <c r="V384" s="40">
        <f t="shared" si="200"/>
        <v>1960</v>
      </c>
      <c r="W384" s="40">
        <f t="shared" si="62"/>
        <v>790</v>
      </c>
      <c r="X384" s="8">
        <f t="shared" si="172"/>
        <v>137.5</v>
      </c>
      <c r="Y384" s="26"/>
      <c r="Z384" s="8" t="str">
        <f t="shared" si="14"/>
        <v>Trapero Húmedo TEDDY</v>
      </c>
      <c r="AA384" s="31" t="s">
        <v>566</v>
      </c>
      <c r="AB384" s="31">
        <v>-1</v>
      </c>
    </row>
    <row r="385" spans="1:28" ht="13.2">
      <c r="A385" s="59" t="s">
        <v>47</v>
      </c>
      <c r="B385" s="8" t="str">
        <f t="shared" si="197"/>
        <v>Trapero Húmedo VIRGINIA</v>
      </c>
      <c r="C385" s="23" t="s">
        <v>72</v>
      </c>
      <c r="D385" s="61" t="s">
        <v>372</v>
      </c>
      <c r="E385" s="41"/>
      <c r="F385" s="62">
        <v>1647.0588235294119</v>
      </c>
      <c r="G385" s="62">
        <v>0</v>
      </c>
      <c r="H385" s="62">
        <f t="shared" si="94"/>
        <v>1647.0588235294119</v>
      </c>
      <c r="I385" s="62">
        <f t="shared" si="2"/>
        <v>312.94117647058829</v>
      </c>
      <c r="J385" s="63">
        <v>0.28727272727272724</v>
      </c>
      <c r="K385" s="62">
        <f t="shared" si="3"/>
        <v>2310.9243697478992</v>
      </c>
      <c r="L385" s="62">
        <f t="shared" si="4"/>
        <v>439.07563025210084</v>
      </c>
      <c r="M385" s="62">
        <f t="shared" si="15"/>
        <v>2750</v>
      </c>
      <c r="N385" s="62">
        <f t="shared" si="6"/>
        <v>663.86554621848722</v>
      </c>
      <c r="O385" s="61">
        <f t="shared" si="7"/>
        <v>0</v>
      </c>
      <c r="P385" s="61">
        <f t="shared" si="8"/>
        <v>2310.9243697478992</v>
      </c>
      <c r="Q385" s="64">
        <f t="shared" si="9"/>
        <v>0.28727272727272724</v>
      </c>
      <c r="R385" s="26">
        <v>2750</v>
      </c>
      <c r="S385" s="26">
        <v>1960</v>
      </c>
      <c r="T385" s="41">
        <v>1960</v>
      </c>
      <c r="U385" s="41">
        <v>0</v>
      </c>
      <c r="V385" s="40">
        <f t="shared" si="200"/>
        <v>1960</v>
      </c>
      <c r="W385" s="40">
        <f t="shared" si="62"/>
        <v>790</v>
      </c>
      <c r="X385" s="8">
        <f t="shared" si="172"/>
        <v>137.5</v>
      </c>
      <c r="Y385" s="26"/>
      <c r="Z385" s="8" t="str">
        <f t="shared" si="14"/>
        <v>Trapero Húmedo VIRGINIA</v>
      </c>
      <c r="AA385" s="31" t="s">
        <v>458</v>
      </c>
      <c r="AB385" s="31">
        <v>-1</v>
      </c>
    </row>
    <row r="386" spans="1:28" ht="13.2">
      <c r="A386" s="59" t="s">
        <v>53</v>
      </c>
      <c r="B386" s="8" t="str">
        <f>C386</f>
        <v>Utilidad RIFA</v>
      </c>
      <c r="C386" s="31" t="s">
        <v>988</v>
      </c>
      <c r="D386" s="61" t="str">
        <f>C386</f>
        <v>Utilidad RIFA</v>
      </c>
      <c r="E386" s="41"/>
      <c r="F386" s="62">
        <f>S386/1.19</f>
        <v>0</v>
      </c>
      <c r="G386" s="62">
        <v>0</v>
      </c>
      <c r="H386" s="62">
        <f t="shared" si="94"/>
        <v>0</v>
      </c>
      <c r="I386" s="62">
        <f t="shared" si="2"/>
        <v>0</v>
      </c>
      <c r="J386" s="63">
        <v>0</v>
      </c>
      <c r="K386" s="62">
        <f t="shared" si="3"/>
        <v>0</v>
      </c>
      <c r="L386" s="62">
        <f t="shared" si="4"/>
        <v>0</v>
      </c>
      <c r="M386" s="62">
        <f t="shared" si="15"/>
        <v>0</v>
      </c>
      <c r="N386" s="62">
        <f t="shared" si="6"/>
        <v>0</v>
      </c>
      <c r="O386" s="61">
        <f t="shared" si="7"/>
        <v>0</v>
      </c>
      <c r="P386" s="61">
        <f t="shared" si="8"/>
        <v>0</v>
      </c>
      <c r="Q386" s="64" t="e">
        <f t="shared" si="9"/>
        <v>#DIV/0!</v>
      </c>
      <c r="R386" s="41"/>
      <c r="S386" s="41"/>
      <c r="T386" s="74"/>
      <c r="U386" s="74"/>
      <c r="V386" s="74"/>
      <c r="W386" s="74"/>
      <c r="X386" s="76"/>
      <c r="Y386" s="76"/>
      <c r="Z386" s="8" t="str">
        <f t="shared" si="14"/>
        <v>Utilidad RIFA</v>
      </c>
      <c r="AA386" s="8"/>
    </row>
    <row r="387" spans="1:28" ht="13.2">
      <c r="A387" s="59" t="s">
        <v>76</v>
      </c>
      <c r="B387" s="8" t="str">
        <f t="shared" ref="B387:B388" si="202">CONCATENATE(C387,E387)</f>
        <v>Wyn 1.5 lt</v>
      </c>
      <c r="C387" s="23" t="s">
        <v>187</v>
      </c>
      <c r="D387" s="41" t="s">
        <v>479</v>
      </c>
      <c r="E387" s="40"/>
      <c r="F387" s="62">
        <f>8824/6</f>
        <v>1470.6666666666667</v>
      </c>
      <c r="G387" s="62">
        <v>0</v>
      </c>
      <c r="H387" s="62">
        <f t="shared" si="94"/>
        <v>1470.6666666666667</v>
      </c>
      <c r="I387" s="62">
        <f t="shared" si="2"/>
        <v>279.42666666666668</v>
      </c>
      <c r="J387" s="63">
        <v>0.3518</v>
      </c>
      <c r="K387" s="62">
        <f t="shared" si="3"/>
        <v>2268.8470636634784</v>
      </c>
      <c r="L387" s="62">
        <f t="shared" si="4"/>
        <v>431.08094209606088</v>
      </c>
      <c r="M387" s="62">
        <f t="shared" si="15"/>
        <v>2699.9280057595392</v>
      </c>
      <c r="N387" s="62">
        <f t="shared" si="6"/>
        <v>798.18039699681162</v>
      </c>
      <c r="O387" s="61">
        <f t="shared" si="7"/>
        <v>99.928005759539246</v>
      </c>
      <c r="P387" s="61">
        <f t="shared" si="8"/>
        <v>2184.8739495798322</v>
      </c>
      <c r="Q387" s="64">
        <f t="shared" si="9"/>
        <v>0.3268871794871796</v>
      </c>
      <c r="R387" s="41">
        <v>2600</v>
      </c>
      <c r="S387" s="41">
        <v>1348</v>
      </c>
      <c r="T387" s="41">
        <f t="shared" ref="T387:T388" si="203">S387</f>
        <v>1348</v>
      </c>
      <c r="U387" s="41">
        <v>0</v>
      </c>
      <c r="V387" s="40">
        <f t="shared" ref="V387:V388" si="204">T387+U387</f>
        <v>1348</v>
      </c>
      <c r="W387" s="40">
        <f t="shared" ref="W387:W388" si="205">R387-V387</f>
        <v>1252</v>
      </c>
      <c r="X387" s="8">
        <f t="shared" ref="X387:X388" si="206">R387*5%</f>
        <v>130</v>
      </c>
      <c r="Y387" s="26"/>
      <c r="Z387" s="8" t="str">
        <f t="shared" si="14"/>
        <v>Wyn 1.5 lt</v>
      </c>
      <c r="AA387" s="31" t="s">
        <v>555</v>
      </c>
      <c r="AB387" s="31">
        <v>-1</v>
      </c>
    </row>
    <row r="388" spans="1:28" ht="13.2">
      <c r="A388" s="59" t="s">
        <v>76</v>
      </c>
      <c r="B388" s="8" t="str">
        <f t="shared" si="202"/>
        <v>Wyn 750 cc</v>
      </c>
      <c r="C388" s="23" t="s">
        <v>201</v>
      </c>
      <c r="D388" s="41" t="s">
        <v>479</v>
      </c>
      <c r="E388" s="40"/>
      <c r="F388" s="62">
        <f>4790/6</f>
        <v>798.33333333333337</v>
      </c>
      <c r="G388" s="62">
        <v>0</v>
      </c>
      <c r="H388" s="62">
        <f t="shared" si="94"/>
        <v>798.33333333333337</v>
      </c>
      <c r="I388" s="62">
        <f t="shared" si="2"/>
        <v>151.68333333333334</v>
      </c>
      <c r="J388" s="63">
        <v>0.36659999999999998</v>
      </c>
      <c r="K388" s="62">
        <f t="shared" si="3"/>
        <v>1260.393642774445</v>
      </c>
      <c r="L388" s="62">
        <f t="shared" si="4"/>
        <v>239.47479212714455</v>
      </c>
      <c r="M388" s="62">
        <f t="shared" si="15"/>
        <v>1499.8684349015896</v>
      </c>
      <c r="N388" s="62">
        <f t="shared" si="6"/>
        <v>462.0603094411116</v>
      </c>
      <c r="O388" s="61">
        <f t="shared" si="7"/>
        <v>-1100.1315650984104</v>
      </c>
      <c r="P388" s="61">
        <f t="shared" si="8"/>
        <v>2184.8739495798322</v>
      </c>
      <c r="Q388" s="64">
        <f t="shared" si="9"/>
        <v>0.63460897435897445</v>
      </c>
      <c r="R388" s="41">
        <v>2600</v>
      </c>
      <c r="S388" s="41">
        <v>1348</v>
      </c>
      <c r="T388" s="41">
        <f t="shared" si="203"/>
        <v>1348</v>
      </c>
      <c r="U388" s="41">
        <v>0</v>
      </c>
      <c r="V388" s="40">
        <f t="shared" si="204"/>
        <v>1348</v>
      </c>
      <c r="W388" s="40">
        <f t="shared" si="205"/>
        <v>1252</v>
      </c>
      <c r="X388" s="8">
        <f t="shared" si="206"/>
        <v>130</v>
      </c>
      <c r="Y388" s="26"/>
      <c r="Z388" s="8" t="str">
        <f t="shared" si="14"/>
        <v>Wyn 750 cc</v>
      </c>
      <c r="AA388" s="31" t="s">
        <v>517</v>
      </c>
      <c r="AB388" s="31">
        <v>-1</v>
      </c>
    </row>
    <row r="389" spans="1:28" ht="13.2">
      <c r="D389" s="40"/>
      <c r="E389" s="41"/>
      <c r="F389" s="75"/>
      <c r="G389" s="75"/>
      <c r="H389" s="75"/>
      <c r="I389" s="75"/>
      <c r="J389" s="90"/>
      <c r="K389" s="75"/>
      <c r="L389" s="75"/>
      <c r="M389" s="74"/>
      <c r="N389" s="74"/>
      <c r="O389" s="40"/>
      <c r="P389" s="40"/>
      <c r="Q389" s="45"/>
      <c r="R389" s="40"/>
      <c r="S389" s="40"/>
      <c r="T389" s="74"/>
      <c r="U389" s="74"/>
      <c r="V389" s="74"/>
      <c r="W389" s="74"/>
      <c r="X389" s="76"/>
      <c r="Y389" s="76"/>
      <c r="Z389" s="76"/>
      <c r="AA389" s="76"/>
    </row>
    <row r="390" spans="1:28" ht="13.2">
      <c r="D390" s="40"/>
      <c r="E390" s="41"/>
      <c r="F390" s="75"/>
      <c r="G390" s="75"/>
      <c r="H390" s="75"/>
      <c r="I390" s="75"/>
      <c r="J390" s="75"/>
      <c r="K390" s="75"/>
      <c r="L390" s="75"/>
      <c r="N390" s="74"/>
      <c r="O390" s="40"/>
      <c r="P390" s="40"/>
      <c r="Q390" s="45"/>
      <c r="R390" s="40"/>
      <c r="S390" s="40"/>
      <c r="T390" s="74"/>
      <c r="U390" s="74"/>
      <c r="V390" s="74"/>
      <c r="W390" s="74"/>
      <c r="X390" s="76"/>
      <c r="Y390" s="76"/>
      <c r="Z390" s="76"/>
      <c r="AA390" s="76"/>
    </row>
    <row r="391" spans="1:28" ht="13.2">
      <c r="D391" s="41"/>
      <c r="E391" s="41"/>
      <c r="F391" s="75"/>
      <c r="G391" s="75"/>
      <c r="H391" s="74"/>
      <c r="I391" s="91"/>
      <c r="J391" s="74"/>
      <c r="K391" s="74"/>
      <c r="L391" s="74"/>
      <c r="N391" s="74"/>
      <c r="O391" s="40"/>
      <c r="P391" s="40"/>
      <c r="Q391" s="45"/>
      <c r="R391" s="40"/>
      <c r="S391" s="40"/>
      <c r="T391" s="74"/>
      <c r="U391" s="74"/>
      <c r="V391" s="74"/>
      <c r="W391" s="74"/>
      <c r="X391" s="76"/>
      <c r="Y391" s="76"/>
      <c r="Z391" s="76"/>
      <c r="AA391" s="76"/>
    </row>
    <row r="392" spans="1:28" ht="13.2">
      <c r="D392" s="40"/>
      <c r="E392" s="41"/>
      <c r="F392" s="75"/>
      <c r="G392" s="75"/>
      <c r="H392" s="75"/>
      <c r="I392" s="75"/>
      <c r="J392" s="74"/>
      <c r="K392" s="74"/>
      <c r="L392" s="74"/>
      <c r="M392" s="74"/>
      <c r="N392" s="74"/>
      <c r="O392" s="40"/>
      <c r="P392" s="40"/>
      <c r="Q392" s="45"/>
      <c r="R392" s="40"/>
      <c r="S392" s="40"/>
      <c r="T392" s="74"/>
      <c r="U392" s="74"/>
      <c r="V392" s="74"/>
      <c r="W392" s="74"/>
      <c r="X392" s="76"/>
      <c r="Y392" s="76"/>
      <c r="Z392" s="76"/>
      <c r="AA392" s="76"/>
    </row>
    <row r="393" spans="1:28" ht="13.2">
      <c r="D393" s="41"/>
      <c r="E393" s="41"/>
      <c r="F393" s="75"/>
      <c r="G393" s="75"/>
      <c r="H393" s="75"/>
      <c r="I393" s="75"/>
      <c r="J393" s="74"/>
      <c r="K393" s="74"/>
      <c r="L393" s="74"/>
      <c r="M393" s="74"/>
      <c r="N393" s="74"/>
      <c r="O393" s="40"/>
      <c r="P393" s="40"/>
      <c r="Q393" s="45"/>
      <c r="R393" s="40"/>
      <c r="S393" s="40"/>
      <c r="T393" s="74"/>
      <c r="U393" s="74"/>
      <c r="V393" s="74"/>
      <c r="W393" s="74"/>
      <c r="X393" s="76"/>
      <c r="Y393" s="76"/>
      <c r="Z393" s="76"/>
      <c r="AA393" s="76"/>
    </row>
    <row r="394" spans="1:28" ht="13.2">
      <c r="D394" s="41"/>
      <c r="E394" s="41"/>
      <c r="F394" s="75"/>
      <c r="G394" s="75"/>
      <c r="H394" s="75"/>
      <c r="I394" s="75"/>
      <c r="J394" s="82"/>
      <c r="K394" s="74"/>
      <c r="L394" s="74"/>
      <c r="M394" s="74"/>
      <c r="N394" s="74"/>
      <c r="O394" s="40"/>
      <c r="P394" s="40"/>
      <c r="Q394" s="45"/>
      <c r="R394" s="40"/>
      <c r="S394" s="40"/>
      <c r="T394" s="74"/>
      <c r="U394" s="74"/>
      <c r="V394" s="74"/>
      <c r="W394" s="74"/>
      <c r="X394" s="76"/>
      <c r="Y394" s="76"/>
      <c r="Z394" s="76"/>
      <c r="AA394" s="76"/>
    </row>
    <row r="395" spans="1:28" ht="13.2">
      <c r="D395" s="41"/>
      <c r="E395" s="41"/>
      <c r="F395" s="75">
        <v>3200</v>
      </c>
      <c r="G395" s="75"/>
      <c r="H395" s="75"/>
      <c r="I395" s="75"/>
      <c r="J395" s="75"/>
      <c r="K395" s="74"/>
      <c r="L395" s="74"/>
      <c r="M395" s="74"/>
      <c r="N395" s="74"/>
      <c r="O395" s="40"/>
      <c r="P395" s="40"/>
      <c r="Q395" s="45"/>
      <c r="R395" s="40"/>
      <c r="S395" s="40"/>
      <c r="T395" s="74"/>
      <c r="U395" s="74"/>
      <c r="V395" s="74"/>
      <c r="W395" s="74"/>
      <c r="X395" s="76"/>
      <c r="Y395" s="76"/>
      <c r="Z395" s="76"/>
      <c r="AA395" s="76"/>
    </row>
    <row r="396" spans="1:28" ht="13.2">
      <c r="D396" s="41"/>
      <c r="E396" s="41"/>
      <c r="F396" s="75"/>
      <c r="G396" s="75"/>
      <c r="H396" s="75"/>
      <c r="I396" s="75"/>
      <c r="J396" s="75"/>
      <c r="K396" s="74"/>
      <c r="L396" s="74"/>
      <c r="M396" s="74"/>
      <c r="N396" s="74"/>
      <c r="O396" s="40"/>
      <c r="P396" s="40"/>
      <c r="Q396" s="45"/>
      <c r="R396" s="40"/>
      <c r="S396" s="40"/>
      <c r="T396" s="74"/>
      <c r="U396" s="74"/>
      <c r="V396" s="74"/>
      <c r="W396" s="74"/>
      <c r="X396" s="76"/>
      <c r="Y396" s="76"/>
      <c r="Z396" s="76"/>
      <c r="AA396" s="76"/>
    </row>
    <row r="397" spans="1:28" ht="13.2">
      <c r="D397" s="41"/>
      <c r="E397" s="41"/>
      <c r="F397" s="75"/>
      <c r="G397" s="75"/>
      <c r="H397" s="75"/>
      <c r="I397" s="75"/>
      <c r="J397" s="75"/>
      <c r="K397" s="75"/>
      <c r="L397" s="74"/>
      <c r="M397" s="74"/>
      <c r="N397" s="74"/>
      <c r="O397" s="40"/>
      <c r="P397" s="40"/>
      <c r="Q397" s="45"/>
      <c r="R397" s="40"/>
      <c r="S397" s="40"/>
      <c r="T397" s="74"/>
      <c r="U397" s="74"/>
      <c r="V397" s="74"/>
      <c r="W397" s="74"/>
      <c r="X397" s="76"/>
      <c r="Y397" s="76"/>
      <c r="Z397" s="76"/>
      <c r="AA397" s="76"/>
    </row>
    <row r="398" spans="1:28" ht="13.2">
      <c r="D398" s="41"/>
      <c r="E398" s="41"/>
      <c r="F398" s="75"/>
      <c r="G398" s="75"/>
      <c r="H398" s="75"/>
      <c r="I398" s="74"/>
      <c r="J398" s="75"/>
      <c r="K398" s="74"/>
      <c r="L398" s="74"/>
      <c r="M398" s="74"/>
      <c r="N398" s="74"/>
      <c r="O398" s="40"/>
      <c r="P398" s="40"/>
      <c r="Q398" s="45"/>
      <c r="R398" s="40"/>
      <c r="S398" s="40"/>
      <c r="T398" s="74"/>
      <c r="U398" s="74"/>
      <c r="V398" s="74"/>
      <c r="W398" s="74"/>
      <c r="X398" s="76"/>
      <c r="Y398" s="76"/>
      <c r="Z398" s="76"/>
      <c r="AA398" s="76"/>
    </row>
    <row r="399" spans="1:28" ht="13.2">
      <c r="D399" s="41" t="s">
        <v>427</v>
      </c>
      <c r="E399" s="40"/>
      <c r="F399" s="75"/>
      <c r="G399" s="75"/>
      <c r="H399" s="74"/>
      <c r="I399" s="74"/>
      <c r="J399" s="75"/>
      <c r="K399" s="74"/>
      <c r="L399" s="74"/>
      <c r="M399" s="74"/>
      <c r="N399" s="74"/>
      <c r="O399" s="40"/>
      <c r="P399" s="40"/>
      <c r="Q399" s="45"/>
      <c r="R399" s="40"/>
      <c r="S399" s="40"/>
      <c r="T399" s="74"/>
      <c r="U399" s="74"/>
      <c r="V399" s="74"/>
      <c r="W399" s="74"/>
      <c r="X399" s="76"/>
      <c r="Y399" s="76"/>
      <c r="Z399" s="76"/>
      <c r="AA399" s="76"/>
    </row>
    <row r="400" spans="1:28" ht="13.2">
      <c r="D400" s="40"/>
      <c r="E400" s="41"/>
      <c r="F400" s="75"/>
      <c r="G400" s="75"/>
      <c r="H400" s="75"/>
      <c r="I400" s="75"/>
      <c r="J400" s="75"/>
      <c r="K400" s="74"/>
      <c r="L400" s="74"/>
      <c r="M400" s="74"/>
      <c r="N400" s="74"/>
      <c r="O400" s="40"/>
      <c r="P400" s="40"/>
      <c r="Q400" s="45"/>
      <c r="R400" s="40"/>
      <c r="S400" s="40"/>
      <c r="T400" s="74"/>
      <c r="U400" s="74"/>
      <c r="V400" s="74"/>
      <c r="W400" s="74"/>
      <c r="X400" s="76"/>
      <c r="Y400" s="76"/>
      <c r="Z400" s="76"/>
      <c r="AA400" s="76"/>
    </row>
    <row r="401" spans="4:27" ht="13.2">
      <c r="D401" s="40"/>
      <c r="E401" s="41"/>
      <c r="F401" s="74"/>
      <c r="G401" s="75"/>
      <c r="H401" s="75"/>
      <c r="I401" s="75"/>
      <c r="J401" s="75"/>
      <c r="K401" s="75"/>
      <c r="L401" s="74"/>
      <c r="M401" s="74"/>
      <c r="N401" s="74"/>
      <c r="O401" s="40"/>
      <c r="P401" s="40"/>
      <c r="Q401" s="45"/>
      <c r="R401" s="40"/>
      <c r="S401" s="40"/>
      <c r="T401" s="74"/>
      <c r="U401" s="74"/>
      <c r="V401" s="74"/>
      <c r="W401" s="74"/>
      <c r="X401" s="76"/>
      <c r="Y401" s="76"/>
      <c r="Z401" s="76"/>
      <c r="AA401" s="76"/>
    </row>
    <row r="402" spans="4:27" ht="13.2">
      <c r="D402" s="40"/>
      <c r="E402" s="41"/>
      <c r="F402" s="74"/>
      <c r="G402" s="75"/>
      <c r="H402" s="75"/>
      <c r="I402" s="75"/>
      <c r="J402" s="90"/>
      <c r="K402" s="74"/>
      <c r="L402" s="74"/>
      <c r="M402" s="74"/>
      <c r="N402" s="74"/>
      <c r="O402" s="40"/>
      <c r="P402" s="40"/>
      <c r="Q402" s="45"/>
      <c r="R402" s="40"/>
      <c r="S402" s="40"/>
      <c r="T402" s="74"/>
      <c r="U402" s="74"/>
      <c r="V402" s="74"/>
      <c r="W402" s="74"/>
      <c r="X402" s="76"/>
      <c r="Y402" s="76"/>
      <c r="Z402" s="76"/>
      <c r="AA402" s="76"/>
    </row>
    <row r="403" spans="4:27" ht="13.2">
      <c r="D403" s="40"/>
      <c r="E403" s="40"/>
      <c r="F403" s="40"/>
      <c r="G403" s="40"/>
      <c r="H403" s="75"/>
      <c r="I403" s="75"/>
      <c r="J403" s="90"/>
      <c r="K403" s="74"/>
      <c r="L403" s="74"/>
      <c r="M403" s="74"/>
      <c r="N403" s="74"/>
      <c r="O403" s="40"/>
      <c r="P403" s="40"/>
      <c r="Q403" s="45"/>
      <c r="R403" s="40"/>
      <c r="S403" s="40"/>
      <c r="T403" s="74"/>
      <c r="U403" s="74"/>
      <c r="V403" s="74"/>
      <c r="W403" s="74"/>
      <c r="X403" s="76"/>
      <c r="Y403" s="76"/>
      <c r="Z403" s="76"/>
      <c r="AA403" s="76"/>
    </row>
    <row r="404" spans="4:27" ht="13.2">
      <c r="D404" s="40"/>
      <c r="E404" s="40"/>
      <c r="F404" s="74"/>
      <c r="G404" s="74"/>
      <c r="H404" s="74"/>
      <c r="I404" s="74"/>
      <c r="J404" s="90"/>
      <c r="K404" s="74"/>
      <c r="L404" s="74"/>
      <c r="M404" s="74"/>
      <c r="N404" s="74"/>
      <c r="O404" s="40"/>
      <c r="P404" s="40"/>
      <c r="Q404" s="45"/>
      <c r="R404" s="40"/>
      <c r="S404" s="40"/>
      <c r="T404" s="74"/>
      <c r="U404" s="74"/>
      <c r="V404" s="74"/>
      <c r="W404" s="74"/>
      <c r="X404" s="76"/>
      <c r="Y404" s="76"/>
      <c r="Z404" s="76"/>
      <c r="AA404" s="76"/>
    </row>
    <row r="405" spans="4:27" ht="13.2">
      <c r="D405" s="40"/>
      <c r="E405" s="40"/>
      <c r="F405" s="74"/>
      <c r="G405" s="74"/>
      <c r="H405" s="74"/>
      <c r="I405" s="74"/>
      <c r="J405" s="90"/>
      <c r="K405" s="74"/>
      <c r="L405" s="74"/>
      <c r="M405" s="74"/>
      <c r="N405" s="74"/>
      <c r="O405" s="40"/>
      <c r="P405" s="40"/>
      <c r="Q405" s="45"/>
      <c r="R405" s="40"/>
      <c r="S405" s="40"/>
      <c r="T405" s="74"/>
      <c r="U405" s="74"/>
      <c r="V405" s="74"/>
      <c r="W405" s="74"/>
      <c r="X405" s="76"/>
      <c r="Y405" s="76"/>
      <c r="Z405" s="76"/>
      <c r="AA405" s="76"/>
    </row>
    <row r="406" spans="4:27" ht="13.2">
      <c r="D406" s="40"/>
      <c r="E406" s="40"/>
      <c r="F406" s="74"/>
      <c r="G406" s="74"/>
      <c r="H406" s="74"/>
      <c r="I406" s="74"/>
      <c r="J406" s="90"/>
      <c r="K406" s="74"/>
      <c r="L406" s="74"/>
      <c r="M406" s="74"/>
      <c r="N406" s="74"/>
      <c r="O406" s="40"/>
      <c r="P406" s="40"/>
      <c r="Q406" s="45"/>
      <c r="R406" s="40"/>
      <c r="S406" s="40"/>
      <c r="T406" s="74"/>
      <c r="U406" s="74"/>
      <c r="V406" s="74"/>
      <c r="W406" s="74"/>
      <c r="X406" s="76"/>
      <c r="Y406" s="76"/>
      <c r="Z406" s="76"/>
      <c r="AA406" s="76"/>
    </row>
    <row r="407" spans="4:27" ht="13.2">
      <c r="D407" s="40"/>
      <c r="E407" s="40"/>
      <c r="F407" s="74"/>
      <c r="G407" s="74"/>
      <c r="H407" s="74"/>
      <c r="I407" s="74"/>
      <c r="J407" s="90"/>
      <c r="K407" s="74"/>
      <c r="L407" s="74"/>
      <c r="M407" s="74"/>
      <c r="N407" s="74"/>
      <c r="O407" s="40"/>
      <c r="P407" s="40"/>
      <c r="Q407" s="45"/>
      <c r="R407" s="40"/>
      <c r="S407" s="40"/>
      <c r="T407" s="74"/>
      <c r="U407" s="74"/>
      <c r="V407" s="74"/>
      <c r="W407" s="74"/>
      <c r="X407" s="76"/>
      <c r="Y407" s="76"/>
      <c r="Z407" s="76"/>
      <c r="AA407" s="76"/>
    </row>
    <row r="408" spans="4:27" ht="13.2">
      <c r="D408" s="40"/>
      <c r="E408" s="40"/>
      <c r="F408" s="74"/>
      <c r="G408" s="74"/>
      <c r="H408" s="74"/>
      <c r="I408" s="74"/>
      <c r="J408" s="90"/>
      <c r="K408" s="74"/>
      <c r="L408" s="74"/>
      <c r="M408" s="74"/>
      <c r="N408" s="74"/>
      <c r="O408" s="40"/>
      <c r="P408" s="40"/>
      <c r="Q408" s="45"/>
      <c r="R408" s="40"/>
      <c r="S408" s="40"/>
      <c r="T408" s="74"/>
      <c r="U408" s="74"/>
      <c r="V408" s="74"/>
      <c r="W408" s="74"/>
      <c r="X408" s="76"/>
      <c r="Y408" s="76"/>
      <c r="Z408" s="76"/>
      <c r="AA408" s="76"/>
    </row>
    <row r="409" spans="4:27" ht="13.2">
      <c r="D409" s="40"/>
      <c r="E409" s="40"/>
      <c r="F409" s="74"/>
      <c r="G409" s="74"/>
      <c r="H409" s="74"/>
      <c r="I409" s="74"/>
      <c r="J409" s="90"/>
      <c r="K409" s="74"/>
      <c r="L409" s="74"/>
      <c r="M409" s="74"/>
      <c r="N409" s="74"/>
      <c r="O409" s="40"/>
      <c r="P409" s="40"/>
      <c r="Q409" s="45"/>
      <c r="R409" s="40"/>
      <c r="S409" s="40"/>
      <c r="T409" s="74"/>
      <c r="U409" s="74"/>
      <c r="V409" s="74"/>
      <c r="W409" s="74"/>
      <c r="X409" s="76"/>
      <c r="Y409" s="76"/>
      <c r="Z409" s="76"/>
      <c r="AA409" s="76"/>
    </row>
    <row r="410" spans="4:27" ht="13.2">
      <c r="D410" s="40"/>
      <c r="E410" s="40"/>
      <c r="F410" s="74"/>
      <c r="G410" s="74"/>
      <c r="H410" s="74"/>
      <c r="I410" s="74"/>
      <c r="J410" s="90"/>
      <c r="K410" s="74"/>
      <c r="L410" s="74"/>
      <c r="M410" s="74"/>
      <c r="N410" s="74"/>
      <c r="O410" s="40"/>
      <c r="P410" s="40"/>
      <c r="Q410" s="45"/>
      <c r="R410" s="40"/>
      <c r="S410" s="40"/>
      <c r="T410" s="74"/>
      <c r="U410" s="74"/>
      <c r="V410" s="74"/>
      <c r="W410" s="74"/>
      <c r="X410" s="76"/>
      <c r="Y410" s="76"/>
      <c r="Z410" s="76"/>
      <c r="AA410" s="76"/>
    </row>
    <row r="411" spans="4:27" ht="13.2">
      <c r="D411" s="40"/>
      <c r="E411" s="40"/>
      <c r="F411" s="74"/>
      <c r="G411" s="74"/>
      <c r="H411" s="74"/>
      <c r="I411" s="74"/>
      <c r="J411" s="90"/>
      <c r="K411" s="74"/>
      <c r="L411" s="74"/>
      <c r="M411" s="74"/>
      <c r="N411" s="74"/>
      <c r="O411" s="40"/>
      <c r="P411" s="40"/>
      <c r="Q411" s="45"/>
      <c r="R411" s="40"/>
      <c r="S411" s="40"/>
      <c r="T411" s="74"/>
      <c r="U411" s="74"/>
      <c r="V411" s="74"/>
      <c r="W411" s="74"/>
      <c r="X411" s="76"/>
      <c r="Y411" s="76"/>
      <c r="Z411" s="76"/>
      <c r="AA411" s="76"/>
    </row>
    <row r="412" spans="4:27" ht="13.2">
      <c r="D412" s="40"/>
      <c r="E412" s="40"/>
      <c r="F412" s="74"/>
      <c r="G412" s="74"/>
      <c r="H412" s="74"/>
      <c r="I412" s="74"/>
      <c r="J412" s="90"/>
      <c r="K412" s="74"/>
      <c r="L412" s="74"/>
      <c r="M412" s="74"/>
      <c r="N412" s="74"/>
      <c r="O412" s="40"/>
      <c r="P412" s="40"/>
      <c r="Q412" s="45"/>
      <c r="R412" s="40"/>
      <c r="S412" s="40"/>
      <c r="T412" s="74"/>
      <c r="U412" s="74"/>
      <c r="V412" s="74"/>
      <c r="W412" s="74"/>
      <c r="X412" s="76"/>
      <c r="Y412" s="76"/>
      <c r="Z412" s="76"/>
      <c r="AA412" s="76"/>
    </row>
    <row r="413" spans="4:27" ht="13.2">
      <c r="D413" s="40"/>
      <c r="E413" s="40"/>
      <c r="F413" s="74"/>
      <c r="G413" s="74"/>
      <c r="H413" s="74"/>
      <c r="I413" s="74"/>
      <c r="J413" s="90"/>
      <c r="K413" s="74"/>
      <c r="L413" s="74"/>
      <c r="M413" s="74"/>
      <c r="N413" s="74"/>
      <c r="O413" s="40"/>
      <c r="P413" s="40"/>
      <c r="Q413" s="45"/>
      <c r="R413" s="40"/>
      <c r="S413" s="40"/>
      <c r="T413" s="74"/>
      <c r="U413" s="74"/>
      <c r="V413" s="74"/>
      <c r="W413" s="74"/>
      <c r="X413" s="76"/>
      <c r="Y413" s="76"/>
      <c r="Z413" s="76"/>
      <c r="AA413" s="76"/>
    </row>
    <row r="414" spans="4:27" ht="13.2">
      <c r="D414" s="40"/>
      <c r="E414" s="40"/>
      <c r="F414" s="74"/>
      <c r="G414" s="74"/>
      <c r="H414" s="74"/>
      <c r="I414" s="74"/>
      <c r="J414" s="90"/>
      <c r="K414" s="74"/>
      <c r="L414" s="74"/>
      <c r="M414" s="74"/>
      <c r="N414" s="74"/>
      <c r="O414" s="40"/>
      <c r="P414" s="40"/>
      <c r="Q414" s="45"/>
      <c r="R414" s="40"/>
      <c r="S414" s="40"/>
      <c r="T414" s="74"/>
      <c r="U414" s="74"/>
      <c r="V414" s="74"/>
      <c r="W414" s="74"/>
      <c r="X414" s="76"/>
      <c r="Y414" s="76"/>
      <c r="Z414" s="76"/>
      <c r="AA414" s="76"/>
    </row>
    <row r="415" spans="4:27" ht="13.2">
      <c r="D415" s="40"/>
      <c r="E415" s="40"/>
      <c r="F415" s="74"/>
      <c r="G415" s="74"/>
      <c r="H415" s="74"/>
      <c r="I415" s="74"/>
      <c r="J415" s="90"/>
      <c r="K415" s="74"/>
      <c r="L415" s="74"/>
      <c r="M415" s="74"/>
      <c r="N415" s="74"/>
      <c r="O415" s="40"/>
      <c r="P415" s="40"/>
      <c r="Q415" s="45"/>
      <c r="R415" s="40"/>
      <c r="S415" s="40"/>
      <c r="T415" s="74"/>
      <c r="U415" s="74"/>
      <c r="V415" s="74"/>
      <c r="W415" s="74"/>
      <c r="X415" s="76"/>
      <c r="Y415" s="76"/>
      <c r="Z415" s="76"/>
      <c r="AA415" s="76"/>
    </row>
    <row r="416" spans="4:27" ht="13.2">
      <c r="D416" s="40"/>
      <c r="E416" s="40"/>
      <c r="F416" s="74"/>
      <c r="G416" s="74"/>
      <c r="H416" s="74"/>
      <c r="I416" s="74"/>
      <c r="J416" s="90"/>
      <c r="K416" s="74"/>
      <c r="L416" s="74"/>
      <c r="M416" s="74"/>
      <c r="N416" s="74"/>
      <c r="O416" s="40"/>
      <c r="P416" s="40"/>
      <c r="Q416" s="45"/>
      <c r="R416" s="40"/>
      <c r="S416" s="40"/>
      <c r="T416" s="74"/>
      <c r="U416" s="74"/>
      <c r="V416" s="74"/>
      <c r="W416" s="74"/>
      <c r="X416" s="76"/>
      <c r="Y416" s="76"/>
      <c r="Z416" s="76"/>
      <c r="AA416" s="76"/>
    </row>
    <row r="417" spans="4:27" ht="13.2">
      <c r="D417" s="40"/>
      <c r="E417" s="40"/>
      <c r="F417" s="74"/>
      <c r="G417" s="74"/>
      <c r="H417" s="74"/>
      <c r="I417" s="74"/>
      <c r="J417" s="90"/>
      <c r="K417" s="74"/>
      <c r="L417" s="74"/>
      <c r="M417" s="74"/>
      <c r="N417" s="74"/>
      <c r="O417" s="40"/>
      <c r="P417" s="40"/>
      <c r="Q417" s="45"/>
      <c r="R417" s="40"/>
      <c r="S417" s="40"/>
      <c r="T417" s="74"/>
      <c r="U417" s="74"/>
      <c r="V417" s="74"/>
      <c r="W417" s="74"/>
      <c r="X417" s="76"/>
      <c r="Y417" s="76"/>
      <c r="Z417" s="76"/>
      <c r="AA417" s="76"/>
    </row>
    <row r="418" spans="4:27" ht="13.2">
      <c r="D418" s="40"/>
      <c r="E418" s="40"/>
      <c r="F418" s="74"/>
      <c r="G418" s="74"/>
      <c r="H418" s="74"/>
      <c r="I418" s="74"/>
      <c r="J418" s="90"/>
      <c r="K418" s="74"/>
      <c r="L418" s="74"/>
      <c r="M418" s="74"/>
      <c r="N418" s="74"/>
      <c r="O418" s="40"/>
      <c r="P418" s="40"/>
      <c r="Q418" s="45"/>
      <c r="R418" s="40"/>
      <c r="S418" s="40"/>
      <c r="T418" s="74"/>
      <c r="U418" s="74"/>
      <c r="V418" s="74"/>
      <c r="W418" s="74"/>
      <c r="X418" s="76"/>
      <c r="Y418" s="76"/>
      <c r="Z418" s="76"/>
      <c r="AA418" s="76"/>
    </row>
    <row r="419" spans="4:27" ht="13.2">
      <c r="D419" s="40"/>
      <c r="E419" s="40"/>
      <c r="F419" s="74"/>
      <c r="G419" s="74"/>
      <c r="H419" s="74"/>
      <c r="I419" s="74"/>
      <c r="J419" s="90"/>
      <c r="K419" s="74"/>
      <c r="L419" s="74"/>
      <c r="M419" s="74"/>
      <c r="N419" s="74"/>
      <c r="O419" s="40"/>
      <c r="P419" s="40"/>
      <c r="Q419" s="45"/>
      <c r="R419" s="40"/>
      <c r="S419" s="40"/>
      <c r="T419" s="74"/>
      <c r="U419" s="74"/>
      <c r="V419" s="74"/>
      <c r="W419" s="74"/>
      <c r="X419" s="76"/>
      <c r="Y419" s="76"/>
      <c r="Z419" s="76"/>
      <c r="AA419" s="76"/>
    </row>
    <row r="420" spans="4:27" ht="13.2">
      <c r="D420" s="40"/>
      <c r="E420" s="40"/>
      <c r="F420" s="74"/>
      <c r="G420" s="74"/>
      <c r="H420" s="74"/>
      <c r="I420" s="74"/>
      <c r="J420" s="90"/>
      <c r="K420" s="74"/>
      <c r="L420" s="74"/>
      <c r="M420" s="74"/>
      <c r="N420" s="74"/>
      <c r="O420" s="40"/>
      <c r="P420" s="40"/>
      <c r="Q420" s="45"/>
      <c r="R420" s="40"/>
      <c r="S420" s="40"/>
      <c r="T420" s="74"/>
      <c r="U420" s="74"/>
      <c r="V420" s="74"/>
      <c r="W420" s="74"/>
      <c r="X420" s="76"/>
      <c r="Y420" s="76"/>
      <c r="Z420" s="76"/>
      <c r="AA420" s="76"/>
    </row>
    <row r="421" spans="4:27" ht="13.2">
      <c r="D421" s="40"/>
      <c r="E421" s="40"/>
      <c r="F421" s="74"/>
      <c r="G421" s="74"/>
      <c r="H421" s="74"/>
      <c r="I421" s="74"/>
      <c r="J421" s="90"/>
      <c r="K421" s="74"/>
      <c r="L421" s="74"/>
      <c r="M421" s="74"/>
      <c r="N421" s="74"/>
      <c r="O421" s="40"/>
      <c r="P421" s="40"/>
      <c r="Q421" s="45"/>
      <c r="R421" s="40"/>
      <c r="S421" s="40"/>
      <c r="T421" s="74"/>
      <c r="U421" s="74"/>
      <c r="V421" s="74"/>
      <c r="W421" s="74"/>
      <c r="X421" s="76"/>
      <c r="Y421" s="76"/>
      <c r="Z421" s="76"/>
      <c r="AA421" s="76"/>
    </row>
    <row r="422" spans="4:27" ht="13.2">
      <c r="D422" s="40"/>
      <c r="E422" s="40"/>
      <c r="F422" s="74"/>
      <c r="G422" s="74"/>
      <c r="H422" s="74"/>
      <c r="I422" s="74"/>
      <c r="J422" s="90"/>
      <c r="K422" s="74"/>
      <c r="L422" s="74"/>
      <c r="M422" s="74"/>
      <c r="N422" s="74"/>
      <c r="O422" s="40"/>
      <c r="P422" s="40"/>
      <c r="Q422" s="45"/>
      <c r="R422" s="40"/>
      <c r="S422" s="40"/>
      <c r="T422" s="74"/>
      <c r="U422" s="74"/>
      <c r="V422" s="74"/>
      <c r="W422" s="74"/>
      <c r="X422" s="76"/>
      <c r="Y422" s="76"/>
      <c r="Z422" s="76"/>
      <c r="AA422" s="76"/>
    </row>
    <row r="423" spans="4:27" ht="13.2">
      <c r="D423" s="40"/>
      <c r="E423" s="40"/>
      <c r="F423" s="74"/>
      <c r="G423" s="74"/>
      <c r="H423" s="74"/>
      <c r="I423" s="74"/>
      <c r="J423" s="90"/>
      <c r="K423" s="74"/>
      <c r="L423" s="74"/>
      <c r="M423" s="74"/>
      <c r="N423" s="74"/>
      <c r="O423" s="40"/>
      <c r="P423" s="40"/>
      <c r="Q423" s="45"/>
      <c r="R423" s="40"/>
      <c r="S423" s="40"/>
      <c r="T423" s="74"/>
      <c r="U423" s="74"/>
      <c r="V423" s="74"/>
      <c r="W423" s="74"/>
      <c r="X423" s="76"/>
      <c r="Y423" s="76"/>
      <c r="Z423" s="76"/>
      <c r="AA423" s="76"/>
    </row>
    <row r="424" spans="4:27" ht="13.2">
      <c r="D424" s="40"/>
      <c r="E424" s="40"/>
      <c r="F424" s="74"/>
      <c r="G424" s="74"/>
      <c r="H424" s="74"/>
      <c r="I424" s="74"/>
      <c r="J424" s="90"/>
      <c r="K424" s="74"/>
      <c r="L424" s="74"/>
      <c r="M424" s="74"/>
      <c r="N424" s="74"/>
      <c r="O424" s="40"/>
      <c r="P424" s="40"/>
      <c r="Q424" s="45"/>
      <c r="R424" s="40"/>
      <c r="S424" s="40"/>
      <c r="T424" s="74"/>
      <c r="U424" s="74"/>
      <c r="V424" s="74"/>
      <c r="W424" s="74"/>
      <c r="X424" s="76"/>
      <c r="Y424" s="76"/>
      <c r="Z424" s="76"/>
      <c r="AA424" s="76"/>
    </row>
    <row r="425" spans="4:27" ht="13.2">
      <c r="D425" s="40"/>
      <c r="E425" s="40"/>
      <c r="F425" s="74"/>
      <c r="G425" s="74"/>
      <c r="H425" s="74"/>
      <c r="I425" s="74"/>
      <c r="J425" s="90"/>
      <c r="K425" s="74"/>
      <c r="L425" s="74"/>
      <c r="M425" s="74"/>
      <c r="N425" s="74"/>
      <c r="O425" s="40"/>
      <c r="P425" s="40"/>
      <c r="Q425" s="45"/>
      <c r="R425" s="40"/>
      <c r="S425" s="40"/>
      <c r="T425" s="74"/>
      <c r="U425" s="74"/>
      <c r="V425" s="74"/>
      <c r="W425" s="74"/>
      <c r="X425" s="76"/>
      <c r="Y425" s="76"/>
      <c r="Z425" s="76"/>
      <c r="AA425" s="76"/>
    </row>
    <row r="426" spans="4:27" ht="13.2">
      <c r="D426" s="40"/>
      <c r="E426" s="40"/>
      <c r="F426" s="74"/>
      <c r="G426" s="74"/>
      <c r="H426" s="74"/>
      <c r="I426" s="74"/>
      <c r="J426" s="90"/>
      <c r="K426" s="74"/>
      <c r="L426" s="74"/>
      <c r="M426" s="74"/>
      <c r="N426" s="74"/>
      <c r="O426" s="40"/>
      <c r="P426" s="40"/>
      <c r="Q426" s="45"/>
      <c r="R426" s="40"/>
      <c r="S426" s="40"/>
      <c r="T426" s="74"/>
      <c r="U426" s="74"/>
      <c r="V426" s="74"/>
      <c r="W426" s="74"/>
      <c r="X426" s="76"/>
      <c r="Y426" s="76"/>
      <c r="Z426" s="76"/>
      <c r="AA426" s="76"/>
    </row>
    <row r="427" spans="4:27" ht="13.2">
      <c r="D427" s="40"/>
      <c r="E427" s="40"/>
      <c r="F427" s="74"/>
      <c r="G427" s="74"/>
      <c r="H427" s="74"/>
      <c r="I427" s="74"/>
      <c r="J427" s="90"/>
      <c r="K427" s="74"/>
      <c r="L427" s="74"/>
      <c r="M427" s="74"/>
      <c r="N427" s="74"/>
      <c r="O427" s="40"/>
      <c r="P427" s="40"/>
      <c r="Q427" s="45"/>
      <c r="R427" s="40"/>
      <c r="S427" s="40"/>
      <c r="T427" s="74"/>
      <c r="U427" s="74"/>
      <c r="V427" s="74"/>
      <c r="W427" s="74"/>
      <c r="X427" s="76"/>
      <c r="Y427" s="76"/>
      <c r="Z427" s="76"/>
      <c r="AA427" s="76"/>
    </row>
    <row r="428" spans="4:27" ht="13.2">
      <c r="D428" s="40"/>
      <c r="E428" s="40"/>
      <c r="F428" s="74"/>
      <c r="G428" s="74"/>
      <c r="H428" s="74"/>
      <c r="I428" s="74"/>
      <c r="J428" s="90"/>
      <c r="K428" s="74"/>
      <c r="L428" s="74"/>
      <c r="M428" s="74"/>
      <c r="N428" s="74"/>
      <c r="O428" s="40"/>
      <c r="P428" s="40"/>
      <c r="Q428" s="45"/>
      <c r="R428" s="40"/>
      <c r="S428" s="40"/>
      <c r="T428" s="74"/>
      <c r="U428" s="74"/>
      <c r="V428" s="74"/>
      <c r="W428" s="74"/>
      <c r="X428" s="76"/>
      <c r="Y428" s="76"/>
      <c r="Z428" s="76"/>
      <c r="AA428" s="76"/>
    </row>
    <row r="429" spans="4:27" ht="13.2">
      <c r="D429" s="40"/>
      <c r="E429" s="40"/>
      <c r="F429" s="74"/>
      <c r="G429" s="74"/>
      <c r="H429" s="74"/>
      <c r="I429" s="74"/>
      <c r="J429" s="90"/>
      <c r="K429" s="74"/>
      <c r="L429" s="74"/>
      <c r="M429" s="74"/>
      <c r="N429" s="74"/>
      <c r="O429" s="40"/>
      <c r="P429" s="40"/>
      <c r="Q429" s="45"/>
      <c r="R429" s="40"/>
      <c r="S429" s="40"/>
      <c r="T429" s="74"/>
      <c r="U429" s="74"/>
      <c r="V429" s="74"/>
      <c r="W429" s="74"/>
      <c r="X429" s="76"/>
      <c r="Y429" s="76"/>
      <c r="Z429" s="76"/>
      <c r="AA429" s="76"/>
    </row>
    <row r="430" spans="4:27" ht="13.2">
      <c r="D430" s="40"/>
      <c r="E430" s="40"/>
      <c r="F430" s="74"/>
      <c r="G430" s="74"/>
      <c r="H430" s="74"/>
      <c r="I430" s="74"/>
      <c r="J430" s="90"/>
      <c r="K430" s="74"/>
      <c r="L430" s="74"/>
      <c r="M430" s="74"/>
      <c r="N430" s="74"/>
      <c r="O430" s="40"/>
      <c r="P430" s="40"/>
      <c r="Q430" s="45"/>
      <c r="R430" s="40"/>
      <c r="S430" s="40"/>
      <c r="T430" s="74"/>
      <c r="U430" s="74"/>
      <c r="V430" s="74"/>
      <c r="W430" s="74"/>
      <c r="X430" s="76"/>
      <c r="Y430" s="76"/>
      <c r="Z430" s="76"/>
      <c r="AA430" s="76"/>
    </row>
    <row r="431" spans="4:27" ht="13.2">
      <c r="D431" s="40"/>
      <c r="E431" s="40"/>
      <c r="F431" s="74"/>
      <c r="G431" s="74"/>
      <c r="H431" s="74"/>
      <c r="I431" s="74"/>
      <c r="J431" s="90"/>
      <c r="K431" s="74"/>
      <c r="L431" s="74"/>
      <c r="M431" s="74"/>
      <c r="N431" s="74"/>
      <c r="O431" s="40"/>
      <c r="P431" s="40"/>
      <c r="Q431" s="45"/>
      <c r="R431" s="40"/>
      <c r="S431" s="40"/>
      <c r="T431" s="74"/>
      <c r="U431" s="74"/>
      <c r="V431" s="74"/>
      <c r="W431" s="74"/>
      <c r="X431" s="76"/>
      <c r="Y431" s="76"/>
      <c r="Z431" s="76"/>
      <c r="AA431" s="76"/>
    </row>
    <row r="432" spans="4:27" ht="13.2">
      <c r="D432" s="40"/>
      <c r="E432" s="40"/>
      <c r="F432" s="74"/>
      <c r="G432" s="74"/>
      <c r="H432" s="74"/>
      <c r="I432" s="74"/>
      <c r="J432" s="90"/>
      <c r="K432" s="74"/>
      <c r="L432" s="74"/>
      <c r="M432" s="74"/>
      <c r="N432" s="74"/>
      <c r="O432" s="40"/>
      <c r="P432" s="40"/>
      <c r="Q432" s="45"/>
      <c r="R432" s="40"/>
      <c r="S432" s="40"/>
      <c r="T432" s="74"/>
      <c r="U432" s="74"/>
      <c r="V432" s="74"/>
      <c r="W432" s="74"/>
      <c r="X432" s="76"/>
      <c r="Y432" s="76"/>
      <c r="Z432" s="76"/>
      <c r="AA432" s="76"/>
    </row>
    <row r="433" spans="4:27" ht="13.2">
      <c r="D433" s="40"/>
      <c r="E433" s="40"/>
      <c r="F433" s="74"/>
      <c r="G433" s="74"/>
      <c r="H433" s="74"/>
      <c r="I433" s="74"/>
      <c r="J433" s="90"/>
      <c r="K433" s="74"/>
      <c r="L433" s="74"/>
      <c r="M433" s="74"/>
      <c r="N433" s="74"/>
      <c r="O433" s="40"/>
      <c r="P433" s="40"/>
      <c r="Q433" s="45"/>
      <c r="R433" s="40"/>
      <c r="S433" s="40"/>
      <c r="T433" s="74"/>
      <c r="U433" s="74"/>
      <c r="V433" s="74"/>
      <c r="W433" s="74"/>
      <c r="X433" s="76"/>
      <c r="Y433" s="76"/>
      <c r="Z433" s="76"/>
      <c r="AA433" s="76"/>
    </row>
    <row r="434" spans="4:27" ht="13.2">
      <c r="D434" s="40"/>
      <c r="E434" s="40"/>
      <c r="F434" s="74"/>
      <c r="G434" s="74"/>
      <c r="H434" s="74"/>
      <c r="I434" s="74"/>
      <c r="J434" s="90"/>
      <c r="K434" s="74"/>
      <c r="L434" s="74"/>
      <c r="M434" s="74"/>
      <c r="N434" s="74"/>
      <c r="O434" s="40"/>
      <c r="P434" s="40"/>
      <c r="Q434" s="45"/>
      <c r="R434" s="40"/>
      <c r="S434" s="40"/>
      <c r="T434" s="74"/>
      <c r="U434" s="74"/>
      <c r="V434" s="74"/>
      <c r="W434" s="74"/>
      <c r="X434" s="76"/>
      <c r="Y434" s="76"/>
      <c r="Z434" s="76"/>
      <c r="AA434" s="76"/>
    </row>
    <row r="435" spans="4:27" ht="13.2">
      <c r="D435" s="40"/>
      <c r="E435" s="40"/>
      <c r="F435" s="74"/>
      <c r="G435" s="74"/>
      <c r="H435" s="74"/>
      <c r="I435" s="74"/>
      <c r="J435" s="90"/>
      <c r="K435" s="74"/>
      <c r="L435" s="74"/>
      <c r="M435" s="74"/>
      <c r="N435" s="74"/>
      <c r="O435" s="40"/>
      <c r="P435" s="40"/>
      <c r="Q435" s="45"/>
      <c r="R435" s="40"/>
      <c r="S435" s="40"/>
      <c r="T435" s="74"/>
      <c r="U435" s="74"/>
      <c r="V435" s="74"/>
      <c r="W435" s="74"/>
      <c r="X435" s="76"/>
      <c r="Y435" s="76"/>
      <c r="Z435" s="76"/>
      <c r="AA435" s="76"/>
    </row>
    <row r="436" spans="4:27" ht="13.2">
      <c r="D436" s="40"/>
      <c r="E436" s="40"/>
      <c r="F436" s="74"/>
      <c r="G436" s="74"/>
      <c r="H436" s="74"/>
      <c r="I436" s="74"/>
      <c r="J436" s="90"/>
      <c r="K436" s="74"/>
      <c r="L436" s="74"/>
      <c r="M436" s="74"/>
      <c r="N436" s="74"/>
      <c r="O436" s="40"/>
      <c r="P436" s="40"/>
      <c r="Q436" s="45"/>
      <c r="R436" s="40"/>
      <c r="S436" s="40"/>
      <c r="T436" s="74"/>
      <c r="U436" s="74"/>
      <c r="V436" s="74"/>
      <c r="W436" s="74"/>
      <c r="X436" s="76"/>
      <c r="Y436" s="76"/>
      <c r="Z436" s="76"/>
      <c r="AA436" s="76"/>
    </row>
    <row r="437" spans="4:27" ht="13.2">
      <c r="D437" s="40"/>
      <c r="E437" s="40"/>
      <c r="F437" s="74"/>
      <c r="G437" s="74"/>
      <c r="H437" s="74"/>
      <c r="I437" s="74"/>
      <c r="J437" s="90"/>
      <c r="K437" s="74"/>
      <c r="L437" s="74"/>
      <c r="M437" s="74"/>
      <c r="N437" s="74"/>
      <c r="O437" s="40"/>
      <c r="P437" s="40"/>
      <c r="Q437" s="45"/>
      <c r="R437" s="40"/>
      <c r="S437" s="40"/>
      <c r="T437" s="74"/>
      <c r="U437" s="74"/>
      <c r="V437" s="74"/>
      <c r="W437" s="74"/>
      <c r="X437" s="76"/>
      <c r="Y437" s="76"/>
      <c r="Z437" s="76"/>
      <c r="AA437" s="76"/>
    </row>
    <row r="438" spans="4:27" ht="13.2">
      <c r="D438" s="40"/>
      <c r="E438" s="40"/>
      <c r="F438" s="74"/>
      <c r="G438" s="74"/>
      <c r="H438" s="74"/>
      <c r="I438" s="74"/>
      <c r="J438" s="90"/>
      <c r="K438" s="74"/>
      <c r="L438" s="74"/>
      <c r="M438" s="74"/>
      <c r="N438" s="74"/>
      <c r="O438" s="40"/>
      <c r="P438" s="40"/>
      <c r="Q438" s="45"/>
      <c r="R438" s="40"/>
      <c r="S438" s="40"/>
      <c r="T438" s="74"/>
      <c r="U438" s="74"/>
      <c r="V438" s="74"/>
      <c r="W438" s="74"/>
      <c r="X438" s="76"/>
      <c r="Y438" s="76"/>
      <c r="Z438" s="76"/>
      <c r="AA438" s="76"/>
    </row>
    <row r="439" spans="4:27" ht="13.2">
      <c r="D439" s="40"/>
      <c r="E439" s="40"/>
      <c r="F439" s="74"/>
      <c r="G439" s="74"/>
      <c r="H439" s="74"/>
      <c r="I439" s="74"/>
      <c r="J439" s="90"/>
      <c r="K439" s="74"/>
      <c r="L439" s="74"/>
      <c r="M439" s="74"/>
      <c r="N439" s="74"/>
      <c r="O439" s="40"/>
      <c r="P439" s="40"/>
      <c r="Q439" s="45"/>
      <c r="R439" s="40"/>
      <c r="S439" s="40"/>
      <c r="T439" s="74"/>
      <c r="U439" s="74"/>
      <c r="V439" s="74"/>
      <c r="W439" s="74"/>
      <c r="X439" s="76"/>
      <c r="Y439" s="76"/>
      <c r="Z439" s="76"/>
      <c r="AA439" s="76"/>
    </row>
    <row r="440" spans="4:27" ht="13.2">
      <c r="D440" s="40"/>
      <c r="E440" s="40"/>
      <c r="F440" s="74"/>
      <c r="G440" s="74"/>
      <c r="H440" s="74"/>
      <c r="I440" s="74"/>
      <c r="J440" s="90"/>
      <c r="K440" s="74"/>
      <c r="L440" s="74"/>
      <c r="M440" s="74"/>
      <c r="N440" s="74"/>
      <c r="O440" s="40"/>
      <c r="P440" s="40"/>
      <c r="Q440" s="45"/>
      <c r="R440" s="40"/>
      <c r="S440" s="40"/>
      <c r="T440" s="74"/>
      <c r="U440" s="74"/>
      <c r="V440" s="74"/>
      <c r="W440" s="74"/>
      <c r="X440" s="76"/>
      <c r="Y440" s="76"/>
      <c r="Z440" s="76"/>
      <c r="AA440" s="76"/>
    </row>
    <row r="441" spans="4:27" ht="13.2">
      <c r="D441" s="40"/>
      <c r="E441" s="40"/>
      <c r="F441" s="74"/>
      <c r="G441" s="74"/>
      <c r="H441" s="74"/>
      <c r="I441" s="74"/>
      <c r="J441" s="90"/>
      <c r="K441" s="74"/>
      <c r="L441" s="74"/>
      <c r="M441" s="74"/>
      <c r="N441" s="74"/>
      <c r="O441" s="40"/>
      <c r="P441" s="40"/>
      <c r="Q441" s="45"/>
      <c r="R441" s="40"/>
      <c r="S441" s="40"/>
      <c r="T441" s="74"/>
      <c r="U441" s="74"/>
      <c r="V441" s="74"/>
      <c r="W441" s="74"/>
      <c r="X441" s="76"/>
      <c r="Y441" s="76"/>
      <c r="Z441" s="76"/>
      <c r="AA441" s="76"/>
    </row>
    <row r="442" spans="4:27" ht="13.2">
      <c r="D442" s="40"/>
      <c r="E442" s="40"/>
      <c r="F442" s="74"/>
      <c r="G442" s="74"/>
      <c r="H442" s="74"/>
      <c r="I442" s="74"/>
      <c r="J442" s="90"/>
      <c r="K442" s="74"/>
      <c r="L442" s="74"/>
      <c r="M442" s="74"/>
      <c r="N442" s="74"/>
      <c r="O442" s="40"/>
      <c r="P442" s="40"/>
      <c r="Q442" s="45"/>
      <c r="R442" s="40"/>
      <c r="S442" s="40"/>
      <c r="T442" s="74"/>
      <c r="U442" s="74"/>
      <c r="V442" s="74"/>
      <c r="W442" s="74"/>
      <c r="X442" s="76"/>
      <c r="Y442" s="76"/>
      <c r="Z442" s="76"/>
      <c r="AA442" s="76"/>
    </row>
    <row r="443" spans="4:27" ht="13.2">
      <c r="D443" s="40"/>
      <c r="E443" s="40"/>
      <c r="F443" s="74"/>
      <c r="G443" s="74"/>
      <c r="H443" s="74"/>
      <c r="I443" s="74"/>
      <c r="J443" s="90"/>
      <c r="K443" s="74"/>
      <c r="L443" s="74"/>
      <c r="M443" s="74"/>
      <c r="N443" s="74"/>
      <c r="O443" s="40"/>
      <c r="P443" s="40"/>
      <c r="Q443" s="45"/>
      <c r="R443" s="40"/>
      <c r="S443" s="40"/>
      <c r="T443" s="74"/>
      <c r="U443" s="74"/>
      <c r="V443" s="74"/>
      <c r="W443" s="74"/>
      <c r="X443" s="76"/>
      <c r="Y443" s="76"/>
      <c r="Z443" s="76"/>
      <c r="AA443" s="76"/>
    </row>
    <row r="444" spans="4:27" ht="13.2">
      <c r="D444" s="40"/>
      <c r="E444" s="40"/>
      <c r="F444" s="74"/>
      <c r="G444" s="74"/>
      <c r="H444" s="74"/>
      <c r="I444" s="74"/>
      <c r="J444" s="90"/>
      <c r="K444" s="74"/>
      <c r="L444" s="74"/>
      <c r="M444" s="74"/>
      <c r="N444" s="74"/>
      <c r="O444" s="40"/>
      <c r="P444" s="40"/>
      <c r="Q444" s="45"/>
      <c r="R444" s="40"/>
      <c r="S444" s="40"/>
      <c r="T444" s="74"/>
      <c r="U444" s="74"/>
      <c r="V444" s="74"/>
      <c r="W444" s="74"/>
      <c r="X444" s="76"/>
      <c r="Y444" s="76"/>
      <c r="Z444" s="76"/>
      <c r="AA444" s="76"/>
    </row>
    <row r="445" spans="4:27" ht="13.2">
      <c r="D445" s="40"/>
      <c r="E445" s="40"/>
      <c r="F445" s="74"/>
      <c r="G445" s="74"/>
      <c r="H445" s="74"/>
      <c r="I445" s="74"/>
      <c r="J445" s="90"/>
      <c r="K445" s="74"/>
      <c r="L445" s="74"/>
      <c r="M445" s="74"/>
      <c r="N445" s="74"/>
      <c r="O445" s="40"/>
      <c r="P445" s="40"/>
      <c r="Q445" s="45"/>
      <c r="R445" s="40"/>
      <c r="S445" s="40"/>
      <c r="T445" s="74"/>
      <c r="U445" s="74"/>
      <c r="V445" s="74"/>
      <c r="W445" s="74"/>
      <c r="X445" s="76"/>
      <c r="Y445" s="76"/>
      <c r="Z445" s="76"/>
      <c r="AA445" s="76"/>
    </row>
    <row r="446" spans="4:27" ht="13.2">
      <c r="D446" s="40"/>
      <c r="E446" s="40"/>
      <c r="F446" s="74"/>
      <c r="G446" s="74"/>
      <c r="H446" s="74"/>
      <c r="I446" s="74"/>
      <c r="J446" s="90"/>
      <c r="K446" s="74"/>
      <c r="L446" s="74"/>
      <c r="M446" s="74"/>
      <c r="N446" s="74"/>
      <c r="O446" s="40"/>
      <c r="P446" s="40"/>
      <c r="Q446" s="45"/>
      <c r="R446" s="40"/>
      <c r="S446" s="40"/>
      <c r="T446" s="74"/>
      <c r="U446" s="74"/>
      <c r="V446" s="74"/>
      <c r="W446" s="74"/>
      <c r="X446" s="76"/>
      <c r="Y446" s="76"/>
      <c r="Z446" s="76"/>
      <c r="AA446" s="76"/>
    </row>
    <row r="447" spans="4:27" ht="13.2">
      <c r="D447" s="40"/>
      <c r="E447" s="40"/>
      <c r="F447" s="74"/>
      <c r="G447" s="74"/>
      <c r="H447" s="74"/>
      <c r="I447" s="74"/>
      <c r="J447" s="90"/>
      <c r="K447" s="74"/>
      <c r="L447" s="74"/>
      <c r="M447" s="74"/>
      <c r="N447" s="74"/>
      <c r="O447" s="40"/>
      <c r="P447" s="40"/>
      <c r="Q447" s="45"/>
      <c r="R447" s="40"/>
      <c r="S447" s="40"/>
      <c r="T447" s="74"/>
      <c r="U447" s="74"/>
      <c r="V447" s="74"/>
      <c r="W447" s="74"/>
      <c r="X447" s="76"/>
      <c r="Y447" s="76"/>
      <c r="Z447" s="76"/>
      <c r="AA447" s="76"/>
    </row>
    <row r="448" spans="4:27" ht="13.2">
      <c r="D448" s="40"/>
      <c r="E448" s="40"/>
      <c r="F448" s="74"/>
      <c r="G448" s="74"/>
      <c r="H448" s="74"/>
      <c r="I448" s="74"/>
      <c r="J448" s="90"/>
      <c r="K448" s="74"/>
      <c r="L448" s="74"/>
      <c r="M448" s="74"/>
      <c r="N448" s="74"/>
      <c r="O448" s="40"/>
      <c r="P448" s="40"/>
      <c r="Q448" s="45"/>
      <c r="R448" s="40"/>
      <c r="S448" s="40"/>
      <c r="T448" s="74"/>
      <c r="U448" s="74"/>
      <c r="V448" s="74"/>
      <c r="W448" s="74"/>
      <c r="X448" s="76"/>
      <c r="Y448" s="76"/>
      <c r="Z448" s="76"/>
      <c r="AA448" s="76"/>
    </row>
    <row r="449" spans="4:27" ht="13.2">
      <c r="D449" s="40"/>
      <c r="E449" s="40"/>
      <c r="F449" s="74"/>
      <c r="G449" s="74"/>
      <c r="H449" s="74"/>
      <c r="I449" s="74"/>
      <c r="J449" s="90"/>
      <c r="K449" s="74"/>
      <c r="L449" s="74"/>
      <c r="M449" s="74"/>
      <c r="N449" s="74"/>
      <c r="O449" s="40"/>
      <c r="P449" s="40"/>
      <c r="Q449" s="45"/>
      <c r="R449" s="40"/>
      <c r="S449" s="40"/>
      <c r="T449" s="74"/>
      <c r="U449" s="74"/>
      <c r="V449" s="74"/>
      <c r="W449" s="74"/>
      <c r="X449" s="76"/>
      <c r="Y449" s="76"/>
      <c r="Z449" s="76"/>
      <c r="AA449" s="76"/>
    </row>
    <row r="450" spans="4:27" ht="13.2">
      <c r="D450" s="40"/>
      <c r="E450" s="40"/>
      <c r="F450" s="74"/>
      <c r="G450" s="74"/>
      <c r="H450" s="74"/>
      <c r="I450" s="74"/>
      <c r="J450" s="90"/>
      <c r="K450" s="74"/>
      <c r="L450" s="74"/>
      <c r="M450" s="74"/>
      <c r="N450" s="74"/>
      <c r="O450" s="40"/>
      <c r="P450" s="40"/>
      <c r="Q450" s="45"/>
      <c r="R450" s="40"/>
      <c r="S450" s="40"/>
      <c r="T450" s="74"/>
      <c r="U450" s="74"/>
      <c r="V450" s="74"/>
      <c r="W450" s="74"/>
      <c r="X450" s="76"/>
      <c r="Y450" s="76"/>
      <c r="Z450" s="76"/>
      <c r="AA450" s="76"/>
    </row>
    <row r="451" spans="4:27" ht="13.2">
      <c r="D451" s="40"/>
      <c r="E451" s="40"/>
      <c r="F451" s="74"/>
      <c r="G451" s="74"/>
      <c r="H451" s="74"/>
      <c r="I451" s="74"/>
      <c r="J451" s="90"/>
      <c r="K451" s="74"/>
      <c r="L451" s="74"/>
      <c r="M451" s="74"/>
      <c r="N451" s="74"/>
      <c r="O451" s="40"/>
      <c r="P451" s="40"/>
      <c r="Q451" s="45"/>
      <c r="R451" s="40"/>
      <c r="S451" s="40"/>
      <c r="T451" s="74"/>
      <c r="U451" s="74"/>
      <c r="V451" s="74"/>
      <c r="W451" s="74"/>
      <c r="X451" s="76"/>
      <c r="Y451" s="76"/>
      <c r="Z451" s="76"/>
      <c r="AA451" s="76"/>
    </row>
    <row r="452" spans="4:27" ht="13.2">
      <c r="D452" s="40"/>
      <c r="E452" s="40"/>
      <c r="F452" s="74"/>
      <c r="G452" s="74"/>
      <c r="H452" s="74"/>
      <c r="I452" s="74"/>
      <c r="J452" s="90"/>
      <c r="K452" s="74"/>
      <c r="L452" s="74"/>
      <c r="M452" s="74"/>
      <c r="N452" s="74"/>
      <c r="O452" s="40"/>
      <c r="P452" s="40"/>
      <c r="Q452" s="45"/>
      <c r="R452" s="40"/>
      <c r="S452" s="40"/>
      <c r="T452" s="74"/>
      <c r="U452" s="74"/>
      <c r="V452" s="74"/>
      <c r="W452" s="74"/>
      <c r="X452" s="76"/>
      <c r="Y452" s="76"/>
      <c r="Z452" s="76"/>
      <c r="AA452" s="76"/>
    </row>
    <row r="453" spans="4:27" ht="13.2">
      <c r="D453" s="40"/>
      <c r="E453" s="40"/>
      <c r="F453" s="74"/>
      <c r="G453" s="74"/>
      <c r="H453" s="74"/>
      <c r="I453" s="74"/>
      <c r="J453" s="90"/>
      <c r="K453" s="74"/>
      <c r="L453" s="74"/>
      <c r="M453" s="74"/>
      <c r="N453" s="74"/>
      <c r="O453" s="40"/>
      <c r="P453" s="40"/>
      <c r="Q453" s="45"/>
      <c r="R453" s="40"/>
      <c r="S453" s="40"/>
      <c r="T453" s="74"/>
      <c r="U453" s="74"/>
      <c r="V453" s="74"/>
      <c r="W453" s="74"/>
      <c r="X453" s="76"/>
      <c r="Y453" s="76"/>
      <c r="Z453" s="76"/>
      <c r="AA453" s="76"/>
    </row>
    <row r="454" spans="4:27" ht="13.2">
      <c r="D454" s="40"/>
      <c r="E454" s="40"/>
      <c r="F454" s="74"/>
      <c r="G454" s="74"/>
      <c r="H454" s="74"/>
      <c r="I454" s="74"/>
      <c r="J454" s="90"/>
      <c r="K454" s="74"/>
      <c r="L454" s="74"/>
      <c r="M454" s="74"/>
      <c r="N454" s="74"/>
      <c r="O454" s="40"/>
      <c r="P454" s="40"/>
      <c r="Q454" s="45"/>
      <c r="R454" s="40"/>
      <c r="S454" s="40"/>
      <c r="T454" s="74"/>
      <c r="U454" s="74"/>
      <c r="V454" s="74"/>
      <c r="W454" s="74"/>
      <c r="X454" s="76"/>
      <c r="Y454" s="76"/>
      <c r="Z454" s="76"/>
      <c r="AA454" s="76"/>
    </row>
    <row r="455" spans="4:27" ht="13.2">
      <c r="D455" s="40"/>
      <c r="E455" s="40"/>
      <c r="F455" s="74"/>
      <c r="G455" s="74"/>
      <c r="H455" s="74"/>
      <c r="I455" s="74"/>
      <c r="J455" s="90"/>
      <c r="K455" s="74"/>
      <c r="L455" s="74"/>
      <c r="M455" s="74"/>
      <c r="N455" s="74"/>
      <c r="O455" s="40"/>
      <c r="P455" s="40"/>
      <c r="Q455" s="45"/>
      <c r="R455" s="40"/>
      <c r="S455" s="40"/>
      <c r="T455" s="74"/>
      <c r="U455" s="74"/>
      <c r="V455" s="74"/>
      <c r="W455" s="74"/>
      <c r="X455" s="76"/>
      <c r="Y455" s="76"/>
      <c r="Z455" s="76"/>
      <c r="AA455" s="76"/>
    </row>
    <row r="456" spans="4:27" ht="13.2">
      <c r="D456" s="40"/>
      <c r="E456" s="40"/>
      <c r="F456" s="74"/>
      <c r="G456" s="74"/>
      <c r="H456" s="74"/>
      <c r="I456" s="74"/>
      <c r="J456" s="90"/>
      <c r="K456" s="74"/>
      <c r="L456" s="74"/>
      <c r="M456" s="74"/>
      <c r="N456" s="74"/>
      <c r="O456" s="40"/>
      <c r="P456" s="40"/>
      <c r="Q456" s="45"/>
      <c r="R456" s="40"/>
      <c r="S456" s="40"/>
      <c r="T456" s="74"/>
      <c r="U456" s="74"/>
      <c r="V456" s="74"/>
      <c r="W456" s="74"/>
      <c r="X456" s="76"/>
      <c r="Y456" s="76"/>
      <c r="Z456" s="76"/>
      <c r="AA456" s="76"/>
    </row>
    <row r="457" spans="4:27" ht="13.2">
      <c r="D457" s="40"/>
      <c r="E457" s="40"/>
      <c r="F457" s="74"/>
      <c r="G457" s="74"/>
      <c r="H457" s="74"/>
      <c r="I457" s="74"/>
      <c r="J457" s="90"/>
      <c r="K457" s="74"/>
      <c r="L457" s="74"/>
      <c r="M457" s="74"/>
      <c r="N457" s="74"/>
      <c r="O457" s="40"/>
      <c r="P457" s="40"/>
      <c r="Q457" s="45"/>
      <c r="R457" s="40"/>
      <c r="S457" s="40"/>
      <c r="T457" s="74"/>
      <c r="U457" s="74"/>
      <c r="V457" s="74"/>
      <c r="W457" s="74"/>
      <c r="X457" s="76"/>
      <c r="Y457" s="76"/>
      <c r="Z457" s="76"/>
      <c r="AA457" s="76"/>
    </row>
    <row r="458" spans="4:27" ht="13.2">
      <c r="D458" s="40"/>
      <c r="E458" s="40"/>
      <c r="F458" s="74"/>
      <c r="G458" s="74"/>
      <c r="H458" s="74"/>
      <c r="I458" s="74"/>
      <c r="J458" s="90"/>
      <c r="K458" s="74"/>
      <c r="L458" s="74"/>
      <c r="M458" s="74"/>
      <c r="N458" s="74"/>
      <c r="O458" s="40"/>
      <c r="P458" s="40"/>
      <c r="Q458" s="45"/>
      <c r="R458" s="40"/>
      <c r="S458" s="40"/>
      <c r="T458" s="74"/>
      <c r="U458" s="74"/>
      <c r="V458" s="74"/>
      <c r="W458" s="74"/>
      <c r="X458" s="76"/>
      <c r="Y458" s="76"/>
      <c r="Z458" s="76"/>
      <c r="AA458" s="76"/>
    </row>
    <row r="459" spans="4:27" ht="13.2">
      <c r="D459" s="40"/>
      <c r="E459" s="40"/>
      <c r="F459" s="74"/>
      <c r="G459" s="74"/>
      <c r="H459" s="74"/>
      <c r="I459" s="74"/>
      <c r="J459" s="90"/>
      <c r="K459" s="74"/>
      <c r="L459" s="74"/>
      <c r="M459" s="74"/>
      <c r="N459" s="74"/>
      <c r="O459" s="40"/>
      <c r="P459" s="40"/>
      <c r="Q459" s="45"/>
      <c r="R459" s="40"/>
      <c r="S459" s="40"/>
      <c r="T459" s="74"/>
      <c r="U459" s="74"/>
      <c r="V459" s="74"/>
      <c r="W459" s="74"/>
      <c r="X459" s="76"/>
      <c r="Y459" s="76"/>
      <c r="Z459" s="76"/>
      <c r="AA459" s="76"/>
    </row>
    <row r="460" spans="4:27" ht="13.2">
      <c r="D460" s="40"/>
      <c r="E460" s="40"/>
      <c r="F460" s="74"/>
      <c r="G460" s="74"/>
      <c r="H460" s="74"/>
      <c r="I460" s="74"/>
      <c r="J460" s="90"/>
      <c r="K460" s="74"/>
      <c r="L460" s="74"/>
      <c r="M460" s="74"/>
      <c r="N460" s="74"/>
      <c r="O460" s="40"/>
      <c r="P460" s="40"/>
      <c r="Q460" s="45"/>
      <c r="R460" s="40"/>
      <c r="S460" s="40"/>
      <c r="T460" s="74"/>
      <c r="U460" s="74"/>
      <c r="V460" s="74"/>
      <c r="W460" s="74"/>
      <c r="X460" s="76"/>
      <c r="Y460" s="76"/>
      <c r="Z460" s="76"/>
      <c r="AA460" s="76"/>
    </row>
    <row r="461" spans="4:27" ht="13.2">
      <c r="D461" s="40"/>
      <c r="E461" s="40"/>
      <c r="F461" s="74"/>
      <c r="G461" s="74"/>
      <c r="H461" s="74"/>
      <c r="I461" s="74"/>
      <c r="J461" s="90"/>
      <c r="K461" s="74"/>
      <c r="L461" s="74"/>
      <c r="M461" s="74"/>
      <c r="N461" s="74"/>
      <c r="O461" s="40"/>
      <c r="P461" s="40"/>
      <c r="Q461" s="45"/>
      <c r="R461" s="40"/>
      <c r="S461" s="40"/>
      <c r="T461" s="74"/>
      <c r="U461" s="74"/>
      <c r="V461" s="74"/>
      <c r="W461" s="74"/>
      <c r="X461" s="76"/>
      <c r="Y461" s="76"/>
      <c r="Z461" s="76"/>
      <c r="AA461" s="76"/>
    </row>
    <row r="462" spans="4:27" ht="13.2">
      <c r="D462" s="40"/>
      <c r="E462" s="40"/>
      <c r="F462" s="74"/>
      <c r="G462" s="74"/>
      <c r="H462" s="74"/>
      <c r="I462" s="74"/>
      <c r="J462" s="90"/>
      <c r="K462" s="74"/>
      <c r="L462" s="74"/>
      <c r="M462" s="74"/>
      <c r="N462" s="74"/>
      <c r="O462" s="40"/>
      <c r="P462" s="40"/>
      <c r="Q462" s="45"/>
      <c r="R462" s="40"/>
      <c r="S462" s="40"/>
      <c r="T462" s="74"/>
      <c r="U462" s="74"/>
      <c r="V462" s="74"/>
      <c r="W462" s="74"/>
      <c r="X462" s="76"/>
      <c r="Y462" s="76"/>
      <c r="Z462" s="76"/>
      <c r="AA462" s="76"/>
    </row>
    <row r="463" spans="4:27" ht="13.2">
      <c r="D463" s="40"/>
      <c r="E463" s="40"/>
      <c r="F463" s="74"/>
      <c r="G463" s="74"/>
      <c r="H463" s="74"/>
      <c r="I463" s="74"/>
      <c r="J463" s="90"/>
      <c r="K463" s="74"/>
      <c r="L463" s="74"/>
      <c r="M463" s="74"/>
      <c r="N463" s="74"/>
      <c r="O463" s="40"/>
      <c r="P463" s="40"/>
      <c r="Q463" s="45"/>
      <c r="R463" s="40"/>
      <c r="S463" s="40"/>
      <c r="T463" s="74"/>
      <c r="U463" s="74"/>
      <c r="V463" s="74"/>
      <c r="W463" s="74"/>
      <c r="X463" s="76"/>
      <c r="Y463" s="76"/>
      <c r="Z463" s="76"/>
      <c r="AA463" s="76"/>
    </row>
    <row r="464" spans="4:27" ht="13.2">
      <c r="D464" s="40"/>
      <c r="E464" s="40"/>
      <c r="F464" s="74"/>
      <c r="G464" s="74"/>
      <c r="H464" s="74"/>
      <c r="I464" s="74"/>
      <c r="J464" s="90"/>
      <c r="K464" s="74"/>
      <c r="L464" s="74"/>
      <c r="M464" s="74"/>
      <c r="N464" s="74"/>
      <c r="O464" s="40"/>
      <c r="P464" s="40"/>
      <c r="Q464" s="45"/>
      <c r="R464" s="40"/>
      <c r="S464" s="40"/>
      <c r="T464" s="74"/>
      <c r="U464" s="74"/>
      <c r="V464" s="74"/>
      <c r="W464" s="74"/>
      <c r="X464" s="76"/>
      <c r="Y464" s="76"/>
      <c r="Z464" s="76"/>
      <c r="AA464" s="76"/>
    </row>
    <row r="465" spans="4:27" ht="13.2">
      <c r="D465" s="40"/>
      <c r="E465" s="40"/>
      <c r="F465" s="74"/>
      <c r="G465" s="74"/>
      <c r="H465" s="74"/>
      <c r="I465" s="74"/>
      <c r="J465" s="90"/>
      <c r="K465" s="74"/>
      <c r="L465" s="74"/>
      <c r="M465" s="74"/>
      <c r="N465" s="74"/>
      <c r="O465" s="40"/>
      <c r="P465" s="40"/>
      <c r="Q465" s="45"/>
      <c r="R465" s="40"/>
      <c r="S465" s="40"/>
      <c r="T465" s="74"/>
      <c r="U465" s="74"/>
      <c r="V465" s="74"/>
      <c r="W465" s="74"/>
      <c r="X465" s="76"/>
      <c r="Y465" s="76"/>
      <c r="Z465" s="76"/>
      <c r="AA465" s="76"/>
    </row>
    <row r="466" spans="4:27" ht="13.2">
      <c r="D466" s="40"/>
      <c r="E466" s="40"/>
      <c r="F466" s="74"/>
      <c r="G466" s="74"/>
      <c r="H466" s="74"/>
      <c r="I466" s="74"/>
      <c r="J466" s="90"/>
      <c r="K466" s="74"/>
      <c r="L466" s="74"/>
      <c r="M466" s="74"/>
      <c r="N466" s="74"/>
      <c r="O466" s="40"/>
      <c r="P466" s="40"/>
      <c r="Q466" s="45"/>
      <c r="R466" s="40"/>
      <c r="S466" s="40"/>
      <c r="T466" s="74"/>
      <c r="U466" s="74"/>
      <c r="V466" s="74"/>
      <c r="W466" s="74"/>
      <c r="X466" s="76"/>
      <c r="Y466" s="76"/>
      <c r="Z466" s="76"/>
      <c r="AA466" s="76"/>
    </row>
    <row r="467" spans="4:27" ht="13.2">
      <c r="D467" s="40"/>
      <c r="E467" s="40"/>
      <c r="F467" s="74"/>
      <c r="G467" s="74"/>
      <c r="H467" s="74"/>
      <c r="I467" s="74"/>
      <c r="J467" s="90"/>
      <c r="K467" s="74"/>
      <c r="L467" s="74"/>
      <c r="M467" s="74"/>
      <c r="N467" s="74"/>
      <c r="O467" s="40"/>
      <c r="P467" s="40"/>
      <c r="Q467" s="45"/>
      <c r="R467" s="40"/>
      <c r="S467" s="40"/>
      <c r="T467" s="74"/>
      <c r="U467" s="74"/>
      <c r="V467" s="74"/>
      <c r="W467" s="74"/>
      <c r="X467" s="76"/>
      <c r="Y467" s="76"/>
      <c r="Z467" s="76"/>
      <c r="AA467" s="76"/>
    </row>
    <row r="468" spans="4:27" ht="13.2">
      <c r="D468" s="40"/>
      <c r="E468" s="40"/>
      <c r="F468" s="74"/>
      <c r="G468" s="74"/>
      <c r="H468" s="74"/>
      <c r="I468" s="74"/>
      <c r="J468" s="90"/>
      <c r="K468" s="74"/>
      <c r="L468" s="74"/>
      <c r="M468" s="74"/>
      <c r="N468" s="74"/>
      <c r="O468" s="40"/>
      <c r="P468" s="40"/>
      <c r="Q468" s="45"/>
      <c r="R468" s="40"/>
      <c r="S468" s="40"/>
      <c r="T468" s="74"/>
      <c r="U468" s="74"/>
      <c r="V468" s="74"/>
      <c r="W468" s="74"/>
      <c r="X468" s="76"/>
      <c r="Y468" s="76"/>
      <c r="Z468" s="76"/>
      <c r="AA468" s="76"/>
    </row>
    <row r="469" spans="4:27" ht="13.2">
      <c r="D469" s="40"/>
      <c r="E469" s="40"/>
      <c r="F469" s="74"/>
      <c r="G469" s="74"/>
      <c r="H469" s="74"/>
      <c r="I469" s="74"/>
      <c r="J469" s="90"/>
      <c r="K469" s="74"/>
      <c r="L469" s="74"/>
      <c r="M469" s="74"/>
      <c r="N469" s="74"/>
      <c r="O469" s="40"/>
      <c r="P469" s="40"/>
      <c r="Q469" s="45"/>
      <c r="R469" s="40"/>
      <c r="S469" s="40"/>
      <c r="T469" s="74"/>
      <c r="U469" s="74"/>
      <c r="V469" s="74"/>
      <c r="W469" s="74"/>
      <c r="X469" s="76"/>
      <c r="Y469" s="76"/>
      <c r="Z469" s="76"/>
      <c r="AA469" s="76"/>
    </row>
    <row r="470" spans="4:27" ht="13.2">
      <c r="D470" s="40"/>
      <c r="E470" s="40"/>
      <c r="F470" s="74"/>
      <c r="G470" s="74"/>
      <c r="H470" s="74"/>
      <c r="I470" s="74"/>
      <c r="J470" s="90"/>
      <c r="K470" s="74"/>
      <c r="L470" s="74"/>
      <c r="M470" s="74"/>
      <c r="N470" s="74"/>
      <c r="O470" s="40"/>
      <c r="P470" s="40"/>
      <c r="Q470" s="45"/>
      <c r="R470" s="40"/>
      <c r="S470" s="40"/>
      <c r="T470" s="74"/>
      <c r="U470" s="74"/>
      <c r="V470" s="74"/>
      <c r="W470" s="74"/>
      <c r="X470" s="76"/>
      <c r="Y470" s="76"/>
      <c r="Z470" s="76"/>
      <c r="AA470" s="76"/>
    </row>
    <row r="471" spans="4:27" ht="13.2">
      <c r="D471" s="40"/>
      <c r="E471" s="40"/>
      <c r="F471" s="74"/>
      <c r="G471" s="74"/>
      <c r="H471" s="74"/>
      <c r="I471" s="74"/>
      <c r="J471" s="90"/>
      <c r="K471" s="74"/>
      <c r="L471" s="74"/>
      <c r="M471" s="74"/>
      <c r="N471" s="74"/>
      <c r="O471" s="40"/>
      <c r="P471" s="40"/>
      <c r="Q471" s="45"/>
      <c r="R471" s="40"/>
      <c r="S471" s="40"/>
      <c r="T471" s="74"/>
      <c r="U471" s="74"/>
      <c r="V471" s="74"/>
      <c r="W471" s="74"/>
      <c r="X471" s="76"/>
      <c r="Y471" s="76"/>
      <c r="Z471" s="76"/>
      <c r="AA471" s="76"/>
    </row>
    <row r="472" spans="4:27" ht="13.2">
      <c r="D472" s="40"/>
      <c r="E472" s="40"/>
      <c r="F472" s="74"/>
      <c r="G472" s="74"/>
      <c r="H472" s="74"/>
      <c r="I472" s="74"/>
      <c r="J472" s="90"/>
      <c r="K472" s="74"/>
      <c r="L472" s="74"/>
      <c r="M472" s="74"/>
      <c r="N472" s="74"/>
      <c r="O472" s="40"/>
      <c r="P472" s="40"/>
      <c r="Q472" s="45"/>
      <c r="R472" s="40"/>
      <c r="S472" s="40"/>
      <c r="T472" s="74"/>
      <c r="U472" s="74"/>
      <c r="V472" s="74"/>
      <c r="W472" s="74"/>
      <c r="X472" s="76"/>
      <c r="Y472" s="76"/>
      <c r="Z472" s="76"/>
      <c r="AA472" s="76"/>
    </row>
    <row r="473" spans="4:27" ht="13.2">
      <c r="D473" s="40"/>
      <c r="E473" s="40"/>
      <c r="F473" s="74"/>
      <c r="G473" s="74"/>
      <c r="H473" s="74"/>
      <c r="I473" s="74"/>
      <c r="J473" s="90"/>
      <c r="K473" s="74"/>
      <c r="L473" s="74"/>
      <c r="M473" s="74"/>
      <c r="N473" s="74"/>
      <c r="O473" s="40"/>
      <c r="P473" s="40"/>
      <c r="Q473" s="45"/>
      <c r="R473" s="40"/>
      <c r="S473" s="40"/>
      <c r="T473" s="74"/>
      <c r="U473" s="74"/>
      <c r="V473" s="74"/>
      <c r="W473" s="74"/>
      <c r="X473" s="76"/>
      <c r="Y473" s="76"/>
      <c r="Z473" s="76"/>
      <c r="AA473" s="76"/>
    </row>
    <row r="474" spans="4:27" ht="13.2">
      <c r="D474" s="40"/>
      <c r="E474" s="40"/>
      <c r="F474" s="74"/>
      <c r="G474" s="74"/>
      <c r="H474" s="74"/>
      <c r="I474" s="74"/>
      <c r="J474" s="90"/>
      <c r="K474" s="74"/>
      <c r="L474" s="74"/>
      <c r="M474" s="74"/>
      <c r="N474" s="74"/>
      <c r="O474" s="40"/>
      <c r="P474" s="40"/>
      <c r="Q474" s="45"/>
      <c r="R474" s="40"/>
      <c r="S474" s="40"/>
      <c r="T474" s="74"/>
      <c r="U474" s="74"/>
      <c r="V474" s="74"/>
      <c r="W474" s="74"/>
      <c r="X474" s="76"/>
      <c r="Y474" s="76"/>
      <c r="Z474" s="76"/>
      <c r="AA474" s="76"/>
    </row>
    <row r="475" spans="4:27" ht="13.2">
      <c r="D475" s="40"/>
      <c r="E475" s="40"/>
      <c r="F475" s="74"/>
      <c r="G475" s="74"/>
      <c r="H475" s="74"/>
      <c r="I475" s="74"/>
      <c r="J475" s="90"/>
      <c r="K475" s="74"/>
      <c r="L475" s="74"/>
      <c r="M475" s="74"/>
      <c r="N475" s="74"/>
      <c r="O475" s="40"/>
      <c r="P475" s="40"/>
      <c r="Q475" s="45"/>
      <c r="R475" s="40"/>
      <c r="S475" s="40"/>
      <c r="T475" s="74"/>
      <c r="U475" s="74"/>
      <c r="V475" s="74"/>
      <c r="W475" s="74"/>
      <c r="X475" s="76"/>
      <c r="Y475" s="76"/>
      <c r="Z475" s="76"/>
      <c r="AA475" s="76"/>
    </row>
    <row r="476" spans="4:27" ht="13.2">
      <c r="D476" s="40"/>
      <c r="E476" s="40"/>
      <c r="F476" s="74"/>
      <c r="G476" s="74"/>
      <c r="H476" s="74"/>
      <c r="I476" s="74"/>
      <c r="J476" s="90"/>
      <c r="K476" s="74"/>
      <c r="L476" s="74"/>
      <c r="M476" s="74"/>
      <c r="N476" s="74"/>
      <c r="O476" s="40"/>
      <c r="P476" s="40"/>
      <c r="Q476" s="45"/>
      <c r="R476" s="40"/>
      <c r="S476" s="40"/>
      <c r="T476" s="74"/>
      <c r="U476" s="74"/>
      <c r="V476" s="74"/>
      <c r="W476" s="74"/>
      <c r="X476" s="76"/>
      <c r="Y476" s="76"/>
      <c r="Z476" s="76"/>
      <c r="AA476" s="76"/>
    </row>
    <row r="477" spans="4:27" ht="13.2">
      <c r="D477" s="40"/>
      <c r="E477" s="40"/>
      <c r="F477" s="74"/>
      <c r="G477" s="74"/>
      <c r="H477" s="74"/>
      <c r="I477" s="74"/>
      <c r="J477" s="90"/>
      <c r="K477" s="74"/>
      <c r="L477" s="74"/>
      <c r="M477" s="74"/>
      <c r="N477" s="74"/>
      <c r="O477" s="40"/>
      <c r="P477" s="40"/>
      <c r="Q477" s="45"/>
      <c r="R477" s="40"/>
      <c r="S477" s="40"/>
      <c r="T477" s="74"/>
      <c r="U477" s="74"/>
      <c r="V477" s="74"/>
      <c r="W477" s="74"/>
      <c r="X477" s="76"/>
      <c r="Y477" s="76"/>
      <c r="Z477" s="76"/>
      <c r="AA477" s="76"/>
    </row>
    <row r="478" spans="4:27" ht="13.2">
      <c r="D478" s="40"/>
      <c r="E478" s="40"/>
      <c r="F478" s="74"/>
      <c r="G478" s="74"/>
      <c r="H478" s="74"/>
      <c r="I478" s="74"/>
      <c r="J478" s="90"/>
      <c r="K478" s="74"/>
      <c r="L478" s="74"/>
      <c r="M478" s="74"/>
      <c r="N478" s="74"/>
      <c r="O478" s="40"/>
      <c r="P478" s="40"/>
      <c r="Q478" s="45"/>
      <c r="R478" s="40"/>
      <c r="S478" s="40"/>
      <c r="T478" s="74"/>
      <c r="U478" s="74"/>
      <c r="V478" s="74"/>
      <c r="W478" s="74"/>
      <c r="X478" s="76"/>
      <c r="Y478" s="76"/>
      <c r="Z478" s="76"/>
      <c r="AA478" s="76"/>
    </row>
    <row r="479" spans="4:27" ht="13.2">
      <c r="D479" s="40"/>
      <c r="E479" s="40"/>
      <c r="F479" s="74"/>
      <c r="G479" s="74"/>
      <c r="H479" s="74"/>
      <c r="I479" s="74"/>
      <c r="J479" s="90"/>
      <c r="K479" s="74"/>
      <c r="L479" s="74"/>
      <c r="M479" s="74"/>
      <c r="N479" s="74"/>
      <c r="O479" s="40"/>
      <c r="P479" s="40"/>
      <c r="Q479" s="45"/>
      <c r="R479" s="40"/>
      <c r="S479" s="40"/>
      <c r="T479" s="74"/>
      <c r="U479" s="74"/>
      <c r="V479" s="74"/>
      <c r="W479" s="74"/>
      <c r="X479" s="76"/>
      <c r="Y479" s="76"/>
      <c r="Z479" s="76"/>
      <c r="AA479" s="76"/>
    </row>
    <row r="480" spans="4:27" ht="13.2">
      <c r="D480" s="40"/>
      <c r="E480" s="40"/>
      <c r="F480" s="74"/>
      <c r="G480" s="74"/>
      <c r="H480" s="74"/>
      <c r="I480" s="74"/>
      <c r="J480" s="90"/>
      <c r="K480" s="74"/>
      <c r="L480" s="74"/>
      <c r="M480" s="74"/>
      <c r="N480" s="74"/>
      <c r="O480" s="40"/>
      <c r="P480" s="40"/>
      <c r="Q480" s="45"/>
      <c r="R480" s="40"/>
      <c r="S480" s="40"/>
      <c r="T480" s="74"/>
      <c r="U480" s="74"/>
      <c r="V480" s="74"/>
      <c r="W480" s="74"/>
      <c r="X480" s="76"/>
      <c r="Y480" s="76"/>
      <c r="Z480" s="76"/>
      <c r="AA480" s="76"/>
    </row>
    <row r="481" spans="4:27" ht="13.2">
      <c r="D481" s="40"/>
      <c r="E481" s="40"/>
      <c r="F481" s="74"/>
      <c r="G481" s="74"/>
      <c r="H481" s="74"/>
      <c r="I481" s="74"/>
      <c r="J481" s="90"/>
      <c r="K481" s="74"/>
      <c r="L481" s="74"/>
      <c r="M481" s="74"/>
      <c r="N481" s="74"/>
      <c r="O481" s="40"/>
      <c r="P481" s="40"/>
      <c r="Q481" s="45"/>
      <c r="R481" s="40"/>
      <c r="S481" s="40"/>
      <c r="T481" s="74"/>
      <c r="U481" s="74"/>
      <c r="V481" s="74"/>
      <c r="W481" s="74"/>
      <c r="X481" s="76"/>
      <c r="Y481" s="76"/>
      <c r="Z481" s="76"/>
      <c r="AA481" s="76"/>
    </row>
    <row r="482" spans="4:27" ht="13.2">
      <c r="D482" s="40"/>
      <c r="E482" s="40"/>
      <c r="F482" s="74"/>
      <c r="G482" s="74"/>
      <c r="H482" s="74"/>
      <c r="I482" s="74"/>
      <c r="J482" s="90"/>
      <c r="K482" s="74"/>
      <c r="L482" s="74"/>
      <c r="M482" s="74"/>
      <c r="N482" s="74"/>
      <c r="O482" s="40"/>
      <c r="P482" s="40"/>
      <c r="Q482" s="45"/>
      <c r="R482" s="40"/>
      <c r="S482" s="40"/>
      <c r="T482" s="74"/>
      <c r="U482" s="74"/>
      <c r="V482" s="74"/>
      <c r="W482" s="74"/>
      <c r="X482" s="76"/>
      <c r="Y482" s="76"/>
      <c r="Z482" s="76"/>
      <c r="AA482" s="76"/>
    </row>
    <row r="483" spans="4:27" ht="13.2">
      <c r="D483" s="40"/>
      <c r="E483" s="40"/>
      <c r="F483" s="74"/>
      <c r="G483" s="74"/>
      <c r="H483" s="74"/>
      <c r="I483" s="74"/>
      <c r="J483" s="90"/>
      <c r="K483" s="74"/>
      <c r="L483" s="74"/>
      <c r="M483" s="74"/>
      <c r="N483" s="74"/>
      <c r="O483" s="40"/>
      <c r="P483" s="40"/>
      <c r="Q483" s="45"/>
      <c r="R483" s="40"/>
      <c r="S483" s="40"/>
      <c r="T483" s="74"/>
      <c r="U483" s="74"/>
      <c r="V483" s="74"/>
      <c r="W483" s="74"/>
      <c r="X483" s="76"/>
      <c r="Y483" s="76"/>
      <c r="Z483" s="76"/>
      <c r="AA483" s="76"/>
    </row>
    <row r="484" spans="4:27" ht="13.2">
      <c r="D484" s="40"/>
      <c r="E484" s="40"/>
      <c r="F484" s="74"/>
      <c r="G484" s="74"/>
      <c r="H484" s="74"/>
      <c r="I484" s="74"/>
      <c r="J484" s="90"/>
      <c r="K484" s="74"/>
      <c r="L484" s="74"/>
      <c r="M484" s="74"/>
      <c r="N484" s="74"/>
      <c r="O484" s="40"/>
      <c r="P484" s="40"/>
      <c r="Q484" s="45"/>
      <c r="R484" s="40"/>
      <c r="S484" s="40"/>
      <c r="T484" s="74"/>
      <c r="U484" s="74"/>
      <c r="V484" s="74"/>
      <c r="W484" s="74"/>
      <c r="X484" s="76"/>
      <c r="Y484" s="76"/>
      <c r="Z484" s="76"/>
      <c r="AA484" s="76"/>
    </row>
    <row r="485" spans="4:27" ht="13.2">
      <c r="D485" s="40"/>
      <c r="E485" s="40"/>
      <c r="F485" s="74"/>
      <c r="G485" s="74"/>
      <c r="H485" s="74"/>
      <c r="I485" s="74"/>
      <c r="J485" s="90"/>
      <c r="K485" s="74"/>
      <c r="L485" s="74"/>
      <c r="M485" s="74"/>
      <c r="N485" s="74"/>
      <c r="O485" s="40"/>
      <c r="P485" s="40"/>
      <c r="Q485" s="45"/>
      <c r="R485" s="40"/>
      <c r="S485" s="40"/>
      <c r="T485" s="74"/>
      <c r="U485" s="74"/>
      <c r="V485" s="74"/>
      <c r="W485" s="74"/>
      <c r="X485" s="76"/>
      <c r="Y485" s="76"/>
      <c r="Z485" s="76"/>
      <c r="AA485" s="76"/>
    </row>
    <row r="486" spans="4:27" ht="13.2">
      <c r="D486" s="40"/>
      <c r="E486" s="40"/>
      <c r="F486" s="74"/>
      <c r="G486" s="74"/>
      <c r="H486" s="74"/>
      <c r="I486" s="74"/>
      <c r="J486" s="90"/>
      <c r="K486" s="74"/>
      <c r="L486" s="74"/>
      <c r="M486" s="74"/>
      <c r="N486" s="74"/>
      <c r="O486" s="40"/>
      <c r="P486" s="40"/>
      <c r="Q486" s="45"/>
      <c r="R486" s="40"/>
      <c r="S486" s="40"/>
      <c r="T486" s="74"/>
      <c r="U486" s="74"/>
      <c r="V486" s="74"/>
      <c r="W486" s="74"/>
      <c r="X486" s="76"/>
      <c r="Y486" s="76"/>
      <c r="Z486" s="76"/>
      <c r="AA486" s="76"/>
    </row>
    <row r="487" spans="4:27" ht="13.2">
      <c r="D487" s="40"/>
      <c r="E487" s="40"/>
      <c r="F487" s="74"/>
      <c r="G487" s="74"/>
      <c r="H487" s="74"/>
      <c r="I487" s="74"/>
      <c r="J487" s="90"/>
      <c r="K487" s="74"/>
      <c r="L487" s="74"/>
      <c r="M487" s="74"/>
      <c r="N487" s="74"/>
      <c r="O487" s="40"/>
      <c r="P487" s="40"/>
      <c r="Q487" s="45"/>
      <c r="R487" s="40"/>
      <c r="S487" s="40"/>
      <c r="T487" s="74"/>
      <c r="U487" s="74"/>
      <c r="V487" s="74"/>
      <c r="W487" s="74"/>
      <c r="X487" s="76"/>
      <c r="Y487" s="76"/>
      <c r="Z487" s="76"/>
      <c r="AA487" s="76"/>
    </row>
    <row r="488" spans="4:27" ht="13.2">
      <c r="D488" s="40"/>
      <c r="E488" s="40"/>
      <c r="F488" s="74"/>
      <c r="G488" s="74"/>
      <c r="H488" s="74"/>
      <c r="I488" s="74"/>
      <c r="J488" s="90"/>
      <c r="K488" s="74"/>
      <c r="L488" s="74"/>
      <c r="M488" s="74"/>
      <c r="N488" s="74"/>
      <c r="O488" s="40"/>
      <c r="P488" s="40"/>
      <c r="Q488" s="45"/>
      <c r="R488" s="40"/>
      <c r="S488" s="40"/>
      <c r="T488" s="74"/>
      <c r="U488" s="74"/>
      <c r="V488" s="74"/>
      <c r="W488" s="74"/>
      <c r="X488" s="76"/>
      <c r="Y488" s="76"/>
      <c r="Z488" s="76"/>
      <c r="AA488" s="76"/>
    </row>
    <row r="489" spans="4:27" ht="13.2">
      <c r="D489" s="40"/>
      <c r="E489" s="40"/>
      <c r="F489" s="74"/>
      <c r="G489" s="74"/>
      <c r="H489" s="74"/>
      <c r="I489" s="74"/>
      <c r="J489" s="90"/>
      <c r="K489" s="74"/>
      <c r="L489" s="74"/>
      <c r="M489" s="74"/>
      <c r="N489" s="74"/>
      <c r="O489" s="40"/>
      <c r="P489" s="40"/>
      <c r="Q489" s="45"/>
      <c r="R489" s="40"/>
      <c r="S489" s="40"/>
      <c r="T489" s="74"/>
      <c r="U489" s="74"/>
      <c r="V489" s="74"/>
      <c r="W489" s="74"/>
      <c r="X489" s="76"/>
      <c r="Y489" s="76"/>
      <c r="Z489" s="76"/>
      <c r="AA489" s="76"/>
    </row>
    <row r="490" spans="4:27" ht="13.2">
      <c r="D490" s="40"/>
      <c r="E490" s="40"/>
      <c r="F490" s="74"/>
      <c r="G490" s="74"/>
      <c r="H490" s="74"/>
      <c r="I490" s="74"/>
      <c r="J490" s="90"/>
      <c r="K490" s="74"/>
      <c r="L490" s="74"/>
      <c r="M490" s="74"/>
      <c r="N490" s="74"/>
      <c r="O490" s="40"/>
      <c r="P490" s="40"/>
      <c r="Q490" s="45"/>
      <c r="R490" s="40"/>
      <c r="S490" s="40"/>
      <c r="T490" s="74"/>
      <c r="U490" s="74"/>
      <c r="V490" s="74"/>
      <c r="W490" s="74"/>
      <c r="X490" s="76"/>
      <c r="Y490" s="76"/>
      <c r="Z490" s="76"/>
      <c r="AA490" s="76"/>
    </row>
    <row r="491" spans="4:27" ht="13.2">
      <c r="D491" s="40"/>
      <c r="E491" s="40"/>
      <c r="F491" s="74"/>
      <c r="G491" s="74"/>
      <c r="H491" s="74"/>
      <c r="I491" s="74"/>
      <c r="J491" s="90"/>
      <c r="K491" s="74"/>
      <c r="L491" s="74"/>
      <c r="M491" s="74"/>
      <c r="N491" s="74"/>
      <c r="O491" s="40"/>
      <c r="P491" s="40"/>
      <c r="Q491" s="45"/>
      <c r="R491" s="40"/>
      <c r="S491" s="40"/>
      <c r="T491" s="74"/>
      <c r="U491" s="74"/>
      <c r="V491" s="74"/>
      <c r="W491" s="74"/>
      <c r="X491" s="76"/>
      <c r="Y491" s="76"/>
      <c r="Z491" s="76"/>
      <c r="AA491" s="76"/>
    </row>
    <row r="492" spans="4:27" ht="13.2">
      <c r="D492" s="40"/>
      <c r="E492" s="40"/>
      <c r="F492" s="74"/>
      <c r="G492" s="74"/>
      <c r="H492" s="74"/>
      <c r="I492" s="74"/>
      <c r="J492" s="90"/>
      <c r="K492" s="74"/>
      <c r="L492" s="74"/>
      <c r="M492" s="74"/>
      <c r="N492" s="74"/>
      <c r="O492" s="40"/>
      <c r="P492" s="40"/>
      <c r="Q492" s="45"/>
      <c r="R492" s="40"/>
      <c r="S492" s="40"/>
      <c r="T492" s="74"/>
      <c r="U492" s="74"/>
      <c r="V492" s="74"/>
      <c r="W492" s="74"/>
      <c r="X492" s="76"/>
      <c r="Y492" s="76"/>
      <c r="Z492" s="76"/>
      <c r="AA492" s="76"/>
    </row>
    <row r="493" spans="4:27" ht="13.2">
      <c r="D493" s="40"/>
      <c r="E493" s="40"/>
      <c r="F493" s="74"/>
      <c r="G493" s="74"/>
      <c r="H493" s="74"/>
      <c r="I493" s="74"/>
      <c r="J493" s="90"/>
      <c r="K493" s="74"/>
      <c r="L493" s="74"/>
      <c r="M493" s="74"/>
      <c r="N493" s="74"/>
      <c r="O493" s="40"/>
      <c r="P493" s="40"/>
      <c r="Q493" s="45"/>
      <c r="R493" s="40"/>
      <c r="S493" s="40"/>
      <c r="T493" s="74"/>
      <c r="U493" s="74"/>
      <c r="V493" s="74"/>
      <c r="W493" s="74"/>
      <c r="X493" s="76"/>
      <c r="Y493" s="76"/>
      <c r="Z493" s="76"/>
      <c r="AA493" s="76"/>
    </row>
    <row r="494" spans="4:27" ht="13.2">
      <c r="D494" s="40"/>
      <c r="E494" s="40"/>
      <c r="F494" s="74"/>
      <c r="G494" s="74"/>
      <c r="H494" s="74"/>
      <c r="I494" s="74"/>
      <c r="J494" s="90"/>
      <c r="K494" s="74"/>
      <c r="L494" s="74"/>
      <c r="M494" s="74"/>
      <c r="N494" s="74"/>
      <c r="O494" s="40"/>
      <c r="P494" s="40"/>
      <c r="Q494" s="45"/>
      <c r="R494" s="40"/>
      <c r="S494" s="40"/>
      <c r="T494" s="74"/>
      <c r="U494" s="74"/>
      <c r="V494" s="74"/>
      <c r="W494" s="74"/>
      <c r="X494" s="76"/>
      <c r="Y494" s="76"/>
      <c r="Z494" s="76"/>
      <c r="AA494" s="76"/>
    </row>
    <row r="495" spans="4:27" ht="13.2">
      <c r="D495" s="40"/>
      <c r="E495" s="40"/>
      <c r="F495" s="74"/>
      <c r="G495" s="74"/>
      <c r="H495" s="74"/>
      <c r="I495" s="74"/>
      <c r="J495" s="90"/>
      <c r="K495" s="74"/>
      <c r="L495" s="74"/>
      <c r="M495" s="74"/>
      <c r="N495" s="74"/>
      <c r="O495" s="40"/>
      <c r="P495" s="40"/>
      <c r="Q495" s="45"/>
      <c r="R495" s="40"/>
      <c r="S495" s="40"/>
      <c r="T495" s="74"/>
      <c r="U495" s="74"/>
      <c r="V495" s="74"/>
      <c r="W495" s="74"/>
      <c r="X495" s="76"/>
      <c r="Y495" s="76"/>
      <c r="Z495" s="76"/>
      <c r="AA495" s="76"/>
    </row>
    <row r="496" spans="4:27" ht="13.2">
      <c r="D496" s="40"/>
      <c r="E496" s="40"/>
      <c r="F496" s="74"/>
      <c r="G496" s="74"/>
      <c r="H496" s="74"/>
      <c r="I496" s="74"/>
      <c r="J496" s="90"/>
      <c r="K496" s="74"/>
      <c r="L496" s="74"/>
      <c r="M496" s="74"/>
      <c r="N496" s="74"/>
      <c r="O496" s="40"/>
      <c r="P496" s="40"/>
      <c r="Q496" s="45"/>
      <c r="R496" s="40"/>
      <c r="S496" s="40"/>
      <c r="T496" s="74"/>
      <c r="U496" s="74"/>
      <c r="V496" s="74"/>
      <c r="W496" s="74"/>
      <c r="X496" s="76"/>
      <c r="Y496" s="76"/>
      <c r="Z496" s="76"/>
      <c r="AA496" s="76"/>
    </row>
    <row r="497" spans="4:27" ht="13.2">
      <c r="D497" s="40"/>
      <c r="E497" s="40"/>
      <c r="F497" s="74"/>
      <c r="G497" s="74"/>
      <c r="H497" s="74"/>
      <c r="I497" s="74"/>
      <c r="J497" s="90"/>
      <c r="K497" s="74"/>
      <c r="L497" s="74"/>
      <c r="M497" s="74"/>
      <c r="N497" s="74"/>
      <c r="O497" s="40"/>
      <c r="P497" s="40"/>
      <c r="Q497" s="45"/>
      <c r="R497" s="40"/>
      <c r="S497" s="40"/>
      <c r="T497" s="74"/>
      <c r="U497" s="74"/>
      <c r="V497" s="74"/>
      <c r="W497" s="74"/>
      <c r="X497" s="76"/>
      <c r="Y497" s="76"/>
      <c r="Z497" s="76"/>
      <c r="AA497" s="76"/>
    </row>
    <row r="498" spans="4:27" ht="13.2">
      <c r="D498" s="40"/>
      <c r="E498" s="40"/>
      <c r="F498" s="74"/>
      <c r="G498" s="74"/>
      <c r="H498" s="74"/>
      <c r="I498" s="74"/>
      <c r="J498" s="90"/>
      <c r="K498" s="74"/>
      <c r="L498" s="74"/>
      <c r="M498" s="74"/>
      <c r="N498" s="74"/>
      <c r="O498" s="40"/>
      <c r="P498" s="40"/>
      <c r="Q498" s="45"/>
      <c r="R498" s="40"/>
      <c r="S498" s="40"/>
      <c r="T498" s="74"/>
      <c r="U498" s="74"/>
      <c r="V498" s="74"/>
      <c r="W498" s="74"/>
      <c r="X498" s="76"/>
      <c r="Y498" s="76"/>
      <c r="Z498" s="76"/>
      <c r="AA498" s="76"/>
    </row>
    <row r="499" spans="4:27" ht="13.2">
      <c r="D499" s="40"/>
      <c r="E499" s="40"/>
      <c r="F499" s="74"/>
      <c r="G499" s="74"/>
      <c r="H499" s="74"/>
      <c r="I499" s="74"/>
      <c r="J499" s="90"/>
      <c r="K499" s="74"/>
      <c r="L499" s="74"/>
      <c r="M499" s="74"/>
      <c r="N499" s="74"/>
      <c r="O499" s="40"/>
      <c r="P499" s="40"/>
      <c r="Q499" s="45"/>
      <c r="R499" s="40"/>
      <c r="S499" s="40"/>
      <c r="T499" s="74"/>
      <c r="U499" s="74"/>
      <c r="V499" s="74"/>
      <c r="W499" s="74"/>
      <c r="X499" s="76"/>
      <c r="Y499" s="76"/>
      <c r="Z499" s="76"/>
      <c r="AA499" s="76"/>
    </row>
    <row r="500" spans="4:27" ht="13.2">
      <c r="D500" s="40"/>
      <c r="E500" s="40"/>
      <c r="F500" s="74"/>
      <c r="G500" s="74"/>
      <c r="H500" s="74"/>
      <c r="I500" s="74"/>
      <c r="J500" s="90"/>
      <c r="K500" s="74"/>
      <c r="L500" s="74"/>
      <c r="M500" s="74"/>
      <c r="N500" s="74"/>
      <c r="O500" s="40"/>
      <c r="P500" s="40"/>
      <c r="Q500" s="45"/>
      <c r="R500" s="40"/>
      <c r="S500" s="40"/>
      <c r="T500" s="74"/>
      <c r="U500" s="74"/>
      <c r="V500" s="74"/>
      <c r="W500" s="74"/>
      <c r="X500" s="76"/>
      <c r="Y500" s="76"/>
      <c r="Z500" s="76"/>
      <c r="AA500" s="76"/>
    </row>
    <row r="501" spans="4:27" ht="13.2">
      <c r="D501" s="40"/>
      <c r="E501" s="40"/>
      <c r="F501" s="74"/>
      <c r="G501" s="74"/>
      <c r="H501" s="74"/>
      <c r="I501" s="74"/>
      <c r="J501" s="90"/>
      <c r="K501" s="74"/>
      <c r="L501" s="74"/>
      <c r="M501" s="74"/>
      <c r="N501" s="74"/>
      <c r="O501" s="40"/>
      <c r="P501" s="40"/>
      <c r="Q501" s="45"/>
      <c r="R501" s="40"/>
      <c r="S501" s="40"/>
      <c r="T501" s="74"/>
      <c r="U501" s="74"/>
      <c r="V501" s="74"/>
      <c r="W501" s="74"/>
      <c r="X501" s="76"/>
      <c r="Y501" s="76"/>
      <c r="Z501" s="76"/>
      <c r="AA501" s="76"/>
    </row>
    <row r="502" spans="4:27" ht="13.2">
      <c r="D502" s="40"/>
      <c r="E502" s="40"/>
      <c r="F502" s="74"/>
      <c r="G502" s="74"/>
      <c r="H502" s="74"/>
      <c r="I502" s="74"/>
      <c r="J502" s="90"/>
      <c r="K502" s="74"/>
      <c r="L502" s="74"/>
      <c r="M502" s="74"/>
      <c r="N502" s="74"/>
      <c r="O502" s="40"/>
      <c r="P502" s="40"/>
      <c r="Q502" s="45"/>
      <c r="R502" s="40"/>
      <c r="S502" s="40"/>
      <c r="T502" s="74"/>
      <c r="U502" s="74"/>
      <c r="V502" s="74"/>
      <c r="W502" s="74"/>
      <c r="X502" s="76"/>
      <c r="Y502" s="76"/>
      <c r="Z502" s="76"/>
      <c r="AA502" s="76"/>
    </row>
    <row r="503" spans="4:27" ht="13.2">
      <c r="D503" s="40"/>
      <c r="E503" s="40"/>
      <c r="F503" s="74"/>
      <c r="G503" s="74"/>
      <c r="H503" s="74"/>
      <c r="I503" s="74"/>
      <c r="J503" s="90"/>
      <c r="K503" s="74"/>
      <c r="L503" s="74"/>
      <c r="M503" s="74"/>
      <c r="N503" s="74"/>
      <c r="O503" s="40"/>
      <c r="P503" s="40"/>
      <c r="Q503" s="45"/>
      <c r="R503" s="40"/>
      <c r="S503" s="40"/>
      <c r="T503" s="74"/>
      <c r="U503" s="74"/>
      <c r="V503" s="74"/>
      <c r="W503" s="74"/>
      <c r="X503" s="76"/>
      <c r="Y503" s="76"/>
      <c r="Z503" s="76"/>
      <c r="AA503" s="76"/>
    </row>
    <row r="504" spans="4:27" ht="13.2">
      <c r="D504" s="40"/>
      <c r="E504" s="40"/>
      <c r="F504" s="74"/>
      <c r="G504" s="74"/>
      <c r="H504" s="74"/>
      <c r="I504" s="74"/>
      <c r="J504" s="90"/>
      <c r="K504" s="74"/>
      <c r="L504" s="74"/>
      <c r="M504" s="74"/>
      <c r="N504" s="74"/>
      <c r="O504" s="40"/>
      <c r="P504" s="40"/>
      <c r="Q504" s="45"/>
      <c r="R504" s="40"/>
      <c r="S504" s="40"/>
      <c r="T504" s="74"/>
      <c r="U504" s="74"/>
      <c r="V504" s="74"/>
      <c r="W504" s="74"/>
      <c r="X504" s="76"/>
      <c r="Y504" s="76"/>
      <c r="Z504" s="76"/>
      <c r="AA504" s="76"/>
    </row>
    <row r="505" spans="4:27" ht="13.2">
      <c r="D505" s="40"/>
      <c r="E505" s="40"/>
      <c r="F505" s="74"/>
      <c r="G505" s="74"/>
      <c r="H505" s="74"/>
      <c r="I505" s="74"/>
      <c r="J505" s="90"/>
      <c r="K505" s="74"/>
      <c r="L505" s="74"/>
      <c r="M505" s="74"/>
      <c r="N505" s="74"/>
      <c r="O505" s="40"/>
      <c r="P505" s="40"/>
      <c r="Q505" s="45"/>
      <c r="R505" s="40"/>
      <c r="S505" s="40"/>
      <c r="T505" s="74"/>
      <c r="U505" s="74"/>
      <c r="V505" s="74"/>
      <c r="W505" s="74"/>
      <c r="X505" s="76"/>
      <c r="Y505" s="76"/>
      <c r="Z505" s="76"/>
      <c r="AA505" s="76"/>
    </row>
    <row r="506" spans="4:27" ht="13.2">
      <c r="D506" s="40"/>
      <c r="E506" s="40"/>
      <c r="F506" s="74"/>
      <c r="G506" s="74"/>
      <c r="H506" s="74"/>
      <c r="I506" s="74"/>
      <c r="J506" s="90"/>
      <c r="K506" s="74"/>
      <c r="L506" s="74"/>
      <c r="M506" s="74"/>
      <c r="N506" s="74"/>
      <c r="O506" s="40"/>
      <c r="P506" s="40"/>
      <c r="Q506" s="45"/>
      <c r="R506" s="40"/>
      <c r="S506" s="40"/>
      <c r="T506" s="74"/>
      <c r="U506" s="74"/>
      <c r="V506" s="74"/>
      <c r="W506" s="74"/>
      <c r="X506" s="76"/>
      <c r="Y506" s="76"/>
      <c r="Z506" s="76"/>
      <c r="AA506" s="76"/>
    </row>
    <row r="507" spans="4:27" ht="13.2">
      <c r="D507" s="40"/>
      <c r="E507" s="40"/>
      <c r="F507" s="74"/>
      <c r="G507" s="74"/>
      <c r="H507" s="74"/>
      <c r="I507" s="74"/>
      <c r="J507" s="90"/>
      <c r="K507" s="74"/>
      <c r="L507" s="74"/>
      <c r="M507" s="74"/>
      <c r="N507" s="74"/>
      <c r="O507" s="40"/>
      <c r="P507" s="40"/>
      <c r="Q507" s="45"/>
      <c r="R507" s="40"/>
      <c r="S507" s="40"/>
      <c r="T507" s="74"/>
      <c r="U507" s="74"/>
      <c r="V507" s="74"/>
      <c r="W507" s="74"/>
      <c r="X507" s="76"/>
      <c r="Y507" s="76"/>
      <c r="Z507" s="76"/>
      <c r="AA507" s="76"/>
    </row>
    <row r="508" spans="4:27" ht="13.2">
      <c r="D508" s="40"/>
      <c r="E508" s="40"/>
      <c r="F508" s="74"/>
      <c r="G508" s="74"/>
      <c r="H508" s="74"/>
      <c r="I508" s="74"/>
      <c r="J508" s="90"/>
      <c r="K508" s="74"/>
      <c r="L508" s="74"/>
      <c r="M508" s="74"/>
      <c r="N508" s="74"/>
      <c r="O508" s="40"/>
      <c r="P508" s="40"/>
      <c r="Q508" s="45"/>
      <c r="R508" s="40"/>
      <c r="S508" s="40"/>
      <c r="T508" s="74"/>
      <c r="U508" s="74"/>
      <c r="V508" s="74"/>
      <c r="W508" s="74"/>
      <c r="X508" s="76"/>
      <c r="Y508" s="76"/>
      <c r="Z508" s="76"/>
      <c r="AA508" s="76"/>
    </row>
    <row r="509" spans="4:27" ht="13.2">
      <c r="D509" s="40"/>
      <c r="E509" s="40"/>
      <c r="F509" s="74"/>
      <c r="G509" s="74"/>
      <c r="H509" s="74"/>
      <c r="I509" s="74"/>
      <c r="J509" s="90"/>
      <c r="K509" s="74"/>
      <c r="L509" s="74"/>
      <c r="M509" s="74"/>
      <c r="N509" s="74"/>
      <c r="O509" s="40"/>
      <c r="P509" s="40"/>
      <c r="Q509" s="45"/>
      <c r="R509" s="40"/>
      <c r="S509" s="40"/>
      <c r="T509" s="74"/>
      <c r="U509" s="74"/>
      <c r="V509" s="74"/>
      <c r="W509" s="74"/>
      <c r="X509" s="76"/>
      <c r="Y509" s="76"/>
      <c r="Z509" s="76"/>
      <c r="AA509" s="76"/>
    </row>
    <row r="510" spans="4:27" ht="13.2">
      <c r="D510" s="40"/>
      <c r="E510" s="40"/>
      <c r="F510" s="74"/>
      <c r="G510" s="74"/>
      <c r="H510" s="74"/>
      <c r="I510" s="74"/>
      <c r="J510" s="90"/>
      <c r="K510" s="74"/>
      <c r="L510" s="74"/>
      <c r="M510" s="74"/>
      <c r="N510" s="74"/>
      <c r="O510" s="40"/>
      <c r="P510" s="40"/>
      <c r="Q510" s="45"/>
      <c r="R510" s="40"/>
      <c r="S510" s="40"/>
      <c r="T510" s="74"/>
      <c r="U510" s="74"/>
      <c r="V510" s="74"/>
      <c r="W510" s="74"/>
      <c r="X510" s="76"/>
      <c r="Y510" s="76"/>
      <c r="Z510" s="76"/>
      <c r="AA510" s="76"/>
    </row>
    <row r="511" spans="4:27" ht="13.2">
      <c r="D511" s="40"/>
      <c r="E511" s="40"/>
      <c r="F511" s="74"/>
      <c r="G511" s="74"/>
      <c r="H511" s="74"/>
      <c r="I511" s="74"/>
      <c r="J511" s="90"/>
      <c r="K511" s="74"/>
      <c r="L511" s="74"/>
      <c r="M511" s="74"/>
      <c r="N511" s="74"/>
      <c r="O511" s="40"/>
      <c r="P511" s="40"/>
      <c r="Q511" s="45"/>
      <c r="R511" s="40"/>
      <c r="S511" s="40"/>
      <c r="T511" s="74"/>
      <c r="U511" s="74"/>
      <c r="V511" s="74"/>
      <c r="W511" s="74"/>
      <c r="X511" s="76"/>
      <c r="Y511" s="76"/>
      <c r="Z511" s="76"/>
      <c r="AA511" s="76"/>
    </row>
    <row r="512" spans="4:27" ht="13.2">
      <c r="D512" s="40"/>
      <c r="E512" s="40"/>
      <c r="F512" s="74"/>
      <c r="G512" s="74"/>
      <c r="H512" s="74"/>
      <c r="I512" s="74"/>
      <c r="J512" s="90"/>
      <c r="K512" s="74"/>
      <c r="L512" s="74"/>
      <c r="M512" s="74"/>
      <c r="N512" s="74"/>
      <c r="O512" s="40"/>
      <c r="P512" s="40"/>
      <c r="Q512" s="45"/>
      <c r="R512" s="40"/>
      <c r="S512" s="40"/>
      <c r="T512" s="74"/>
      <c r="U512" s="74"/>
      <c r="V512" s="74"/>
      <c r="W512" s="74"/>
      <c r="X512" s="76"/>
      <c r="Y512" s="76"/>
      <c r="Z512" s="76"/>
      <c r="AA512" s="76"/>
    </row>
    <row r="513" spans="4:27" ht="13.2">
      <c r="D513" s="40"/>
      <c r="E513" s="40"/>
      <c r="F513" s="74"/>
      <c r="G513" s="74"/>
      <c r="H513" s="74"/>
      <c r="I513" s="74"/>
      <c r="J513" s="90"/>
      <c r="K513" s="74"/>
      <c r="L513" s="74"/>
      <c r="M513" s="74"/>
      <c r="N513" s="74"/>
      <c r="O513" s="40"/>
      <c r="P513" s="40"/>
      <c r="Q513" s="45"/>
      <c r="R513" s="40"/>
      <c r="S513" s="40"/>
      <c r="T513" s="74"/>
      <c r="U513" s="74"/>
      <c r="V513" s="74"/>
      <c r="W513" s="74"/>
      <c r="X513" s="76"/>
      <c r="Y513" s="76"/>
      <c r="Z513" s="76"/>
      <c r="AA513" s="76"/>
    </row>
    <row r="514" spans="4:27" ht="13.2">
      <c r="D514" s="40"/>
      <c r="E514" s="40"/>
      <c r="F514" s="74"/>
      <c r="G514" s="74"/>
      <c r="H514" s="74"/>
      <c r="I514" s="74"/>
      <c r="J514" s="90"/>
      <c r="K514" s="74"/>
      <c r="L514" s="74"/>
      <c r="M514" s="74"/>
      <c r="N514" s="74"/>
      <c r="O514" s="40"/>
      <c r="P514" s="40"/>
      <c r="Q514" s="45"/>
      <c r="R514" s="40"/>
      <c r="S514" s="40"/>
      <c r="T514" s="74"/>
      <c r="U514" s="74"/>
      <c r="V514" s="74"/>
      <c r="W514" s="74"/>
      <c r="X514" s="76"/>
      <c r="Y514" s="76"/>
      <c r="Z514" s="76"/>
      <c r="AA514" s="76"/>
    </row>
    <row r="515" spans="4:27" ht="13.2">
      <c r="D515" s="40"/>
      <c r="E515" s="40"/>
      <c r="F515" s="74"/>
      <c r="G515" s="74"/>
      <c r="H515" s="74"/>
      <c r="I515" s="74"/>
      <c r="J515" s="90"/>
      <c r="K515" s="74"/>
      <c r="L515" s="74"/>
      <c r="M515" s="74"/>
      <c r="N515" s="74"/>
      <c r="O515" s="40"/>
      <c r="P515" s="40"/>
      <c r="Q515" s="45"/>
      <c r="R515" s="40"/>
      <c r="S515" s="40"/>
      <c r="T515" s="74"/>
      <c r="U515" s="74"/>
      <c r="V515" s="74"/>
      <c r="W515" s="74"/>
      <c r="X515" s="76"/>
      <c r="Y515" s="76"/>
      <c r="Z515" s="76"/>
      <c r="AA515" s="76"/>
    </row>
    <row r="516" spans="4:27" ht="13.2">
      <c r="D516" s="40"/>
      <c r="E516" s="40"/>
      <c r="F516" s="74"/>
      <c r="G516" s="74"/>
      <c r="H516" s="74"/>
      <c r="I516" s="74"/>
      <c r="J516" s="90"/>
      <c r="K516" s="74"/>
      <c r="L516" s="74"/>
      <c r="M516" s="74"/>
      <c r="N516" s="74"/>
      <c r="O516" s="40"/>
      <c r="P516" s="40"/>
      <c r="Q516" s="45"/>
      <c r="R516" s="40"/>
      <c r="S516" s="40"/>
      <c r="T516" s="74"/>
      <c r="U516" s="74"/>
      <c r="V516" s="74"/>
      <c r="W516" s="74"/>
      <c r="X516" s="76"/>
      <c r="Y516" s="76"/>
      <c r="Z516" s="76"/>
      <c r="AA516" s="76"/>
    </row>
    <row r="517" spans="4:27" ht="13.2">
      <c r="D517" s="40"/>
      <c r="E517" s="40"/>
      <c r="F517" s="74"/>
      <c r="G517" s="74"/>
      <c r="H517" s="74"/>
      <c r="I517" s="74"/>
      <c r="J517" s="90"/>
      <c r="K517" s="74"/>
      <c r="L517" s="74"/>
      <c r="M517" s="74"/>
      <c r="N517" s="74"/>
      <c r="O517" s="40"/>
      <c r="P517" s="40"/>
      <c r="Q517" s="45"/>
      <c r="R517" s="40"/>
      <c r="S517" s="40"/>
      <c r="T517" s="74"/>
      <c r="U517" s="74"/>
      <c r="V517" s="74"/>
      <c r="W517" s="74"/>
      <c r="X517" s="76"/>
      <c r="Y517" s="76"/>
      <c r="Z517" s="76"/>
      <c r="AA517" s="76"/>
    </row>
    <row r="518" spans="4:27" ht="13.2">
      <c r="D518" s="40"/>
      <c r="E518" s="40"/>
      <c r="F518" s="74"/>
      <c r="G518" s="74"/>
      <c r="H518" s="74"/>
      <c r="I518" s="74"/>
      <c r="J518" s="90"/>
      <c r="K518" s="74"/>
      <c r="L518" s="74"/>
      <c r="M518" s="74"/>
      <c r="N518" s="74"/>
      <c r="O518" s="40"/>
      <c r="P518" s="40"/>
      <c r="Q518" s="45"/>
      <c r="R518" s="40"/>
      <c r="S518" s="40"/>
      <c r="T518" s="74"/>
      <c r="U518" s="74"/>
      <c r="V518" s="74"/>
      <c r="W518" s="74"/>
      <c r="X518" s="76"/>
      <c r="Y518" s="76"/>
      <c r="Z518" s="76"/>
      <c r="AA518" s="76"/>
    </row>
    <row r="519" spans="4:27" ht="13.2">
      <c r="D519" s="40"/>
      <c r="E519" s="40"/>
      <c r="F519" s="74"/>
      <c r="G519" s="74"/>
      <c r="H519" s="74"/>
      <c r="I519" s="74"/>
      <c r="J519" s="90"/>
      <c r="K519" s="74"/>
      <c r="L519" s="74"/>
      <c r="M519" s="74"/>
      <c r="N519" s="74"/>
      <c r="O519" s="40"/>
      <c r="P519" s="40"/>
      <c r="Q519" s="45"/>
      <c r="R519" s="40"/>
      <c r="S519" s="40"/>
      <c r="T519" s="74"/>
      <c r="U519" s="74"/>
      <c r="V519" s="74"/>
      <c r="W519" s="74"/>
      <c r="X519" s="76"/>
      <c r="Y519" s="76"/>
      <c r="Z519" s="76"/>
      <c r="AA519" s="76"/>
    </row>
    <row r="520" spans="4:27" ht="13.2">
      <c r="D520" s="40"/>
      <c r="E520" s="40"/>
      <c r="F520" s="74"/>
      <c r="G520" s="74"/>
      <c r="H520" s="74"/>
      <c r="I520" s="74"/>
      <c r="J520" s="90"/>
      <c r="K520" s="74"/>
      <c r="L520" s="74"/>
      <c r="M520" s="74"/>
      <c r="N520" s="74"/>
      <c r="O520" s="40"/>
      <c r="P520" s="40"/>
      <c r="Q520" s="45"/>
      <c r="R520" s="40"/>
      <c r="S520" s="40"/>
      <c r="T520" s="74"/>
      <c r="U520" s="74"/>
      <c r="V520" s="74"/>
      <c r="W520" s="74"/>
      <c r="X520" s="76"/>
      <c r="Y520" s="76"/>
      <c r="Z520" s="76"/>
      <c r="AA520" s="76"/>
    </row>
    <row r="521" spans="4:27" ht="13.2">
      <c r="D521" s="40"/>
      <c r="E521" s="40"/>
      <c r="F521" s="74"/>
      <c r="G521" s="74"/>
      <c r="H521" s="74"/>
      <c r="I521" s="74"/>
      <c r="J521" s="90"/>
      <c r="K521" s="74"/>
      <c r="L521" s="74"/>
      <c r="M521" s="74"/>
      <c r="N521" s="74"/>
      <c r="O521" s="40"/>
      <c r="P521" s="40"/>
      <c r="Q521" s="45"/>
      <c r="R521" s="40"/>
      <c r="S521" s="40"/>
      <c r="T521" s="74"/>
      <c r="U521" s="74"/>
      <c r="V521" s="74"/>
      <c r="W521" s="74"/>
      <c r="X521" s="76"/>
      <c r="Y521" s="76"/>
      <c r="Z521" s="76"/>
      <c r="AA521" s="76"/>
    </row>
    <row r="522" spans="4:27" ht="13.2">
      <c r="D522" s="40"/>
      <c r="E522" s="40"/>
      <c r="F522" s="74"/>
      <c r="G522" s="74"/>
      <c r="H522" s="74"/>
      <c r="I522" s="74"/>
      <c r="J522" s="90"/>
      <c r="K522" s="74"/>
      <c r="L522" s="74"/>
      <c r="M522" s="74"/>
      <c r="N522" s="74"/>
      <c r="O522" s="40"/>
      <c r="P522" s="40"/>
      <c r="Q522" s="45"/>
      <c r="R522" s="40"/>
      <c r="S522" s="40"/>
      <c r="T522" s="74"/>
      <c r="U522" s="74"/>
      <c r="V522" s="74"/>
      <c r="W522" s="74"/>
      <c r="X522" s="76"/>
      <c r="Y522" s="76"/>
      <c r="Z522" s="76"/>
      <c r="AA522" s="76"/>
    </row>
    <row r="523" spans="4:27" ht="13.2">
      <c r="D523" s="40"/>
      <c r="E523" s="40"/>
      <c r="F523" s="74"/>
      <c r="G523" s="74"/>
      <c r="H523" s="74"/>
      <c r="I523" s="74"/>
      <c r="J523" s="90"/>
      <c r="K523" s="74"/>
      <c r="L523" s="74"/>
      <c r="M523" s="74"/>
      <c r="N523" s="74"/>
      <c r="O523" s="40"/>
      <c r="P523" s="40"/>
      <c r="Q523" s="45"/>
      <c r="R523" s="40"/>
      <c r="S523" s="40"/>
      <c r="T523" s="74"/>
      <c r="U523" s="74"/>
      <c r="V523" s="74"/>
      <c r="W523" s="74"/>
      <c r="X523" s="76"/>
      <c r="Y523" s="76"/>
      <c r="Z523" s="76"/>
      <c r="AA523" s="76"/>
    </row>
    <row r="524" spans="4:27" ht="13.2">
      <c r="D524" s="40"/>
      <c r="E524" s="40"/>
      <c r="F524" s="74"/>
      <c r="G524" s="74"/>
      <c r="H524" s="74"/>
      <c r="I524" s="74"/>
      <c r="J524" s="90"/>
      <c r="K524" s="74"/>
      <c r="L524" s="74"/>
      <c r="M524" s="74"/>
      <c r="N524" s="74"/>
      <c r="O524" s="40"/>
      <c r="P524" s="40"/>
      <c r="Q524" s="45"/>
      <c r="R524" s="40"/>
      <c r="S524" s="40"/>
      <c r="T524" s="74"/>
      <c r="U524" s="74"/>
      <c r="V524" s="74"/>
      <c r="W524" s="74"/>
      <c r="X524" s="76"/>
      <c r="Y524" s="76"/>
      <c r="Z524" s="76"/>
      <c r="AA524" s="76"/>
    </row>
    <row r="525" spans="4:27" ht="13.2">
      <c r="D525" s="40"/>
      <c r="E525" s="40"/>
      <c r="F525" s="74"/>
      <c r="G525" s="74"/>
      <c r="H525" s="74"/>
      <c r="I525" s="74"/>
      <c r="J525" s="90"/>
      <c r="K525" s="74"/>
      <c r="L525" s="74"/>
      <c r="M525" s="74"/>
      <c r="N525" s="74"/>
      <c r="O525" s="40"/>
      <c r="P525" s="40"/>
      <c r="Q525" s="45"/>
      <c r="R525" s="40"/>
      <c r="S525" s="40"/>
      <c r="T525" s="74"/>
      <c r="U525" s="74"/>
      <c r="V525" s="74"/>
      <c r="W525" s="74"/>
      <c r="X525" s="76"/>
      <c r="Y525" s="76"/>
      <c r="Z525" s="76"/>
      <c r="AA525" s="76"/>
    </row>
    <row r="526" spans="4:27" ht="13.2">
      <c r="D526" s="40"/>
      <c r="E526" s="40"/>
      <c r="F526" s="74"/>
      <c r="G526" s="74"/>
      <c r="H526" s="74"/>
      <c r="I526" s="74"/>
      <c r="J526" s="90"/>
      <c r="K526" s="74"/>
      <c r="L526" s="74"/>
      <c r="M526" s="74"/>
      <c r="N526" s="74"/>
      <c r="O526" s="40"/>
      <c r="P526" s="40"/>
      <c r="Q526" s="45"/>
      <c r="R526" s="40"/>
      <c r="S526" s="40"/>
      <c r="T526" s="74"/>
      <c r="U526" s="74"/>
      <c r="V526" s="74"/>
      <c r="W526" s="74"/>
      <c r="X526" s="76"/>
      <c r="Y526" s="76"/>
      <c r="Z526" s="76"/>
      <c r="AA526" s="76"/>
    </row>
    <row r="527" spans="4:27" ht="13.2">
      <c r="D527" s="40"/>
      <c r="E527" s="40"/>
      <c r="F527" s="74"/>
      <c r="G527" s="74"/>
      <c r="H527" s="74"/>
      <c r="I527" s="74"/>
      <c r="J527" s="90"/>
      <c r="K527" s="74"/>
      <c r="L527" s="74"/>
      <c r="M527" s="74"/>
      <c r="N527" s="74"/>
      <c r="O527" s="40"/>
      <c r="P527" s="40"/>
      <c r="Q527" s="45"/>
      <c r="R527" s="40"/>
      <c r="S527" s="40"/>
      <c r="T527" s="74"/>
      <c r="U527" s="74"/>
      <c r="V527" s="74"/>
      <c r="W527" s="74"/>
      <c r="X527" s="76"/>
      <c r="Y527" s="76"/>
      <c r="Z527" s="76"/>
      <c r="AA527" s="76"/>
    </row>
    <row r="528" spans="4:27" ht="13.2">
      <c r="D528" s="40"/>
      <c r="E528" s="40"/>
      <c r="F528" s="74"/>
      <c r="G528" s="74"/>
      <c r="H528" s="74"/>
      <c r="I528" s="74"/>
      <c r="J528" s="90"/>
      <c r="K528" s="74"/>
      <c r="L528" s="74"/>
      <c r="M528" s="74"/>
      <c r="N528" s="74"/>
      <c r="O528" s="40"/>
      <c r="P528" s="40"/>
      <c r="Q528" s="45"/>
      <c r="R528" s="40"/>
      <c r="S528" s="40"/>
      <c r="T528" s="74"/>
      <c r="U528" s="74"/>
      <c r="V528" s="74"/>
      <c r="W528" s="74"/>
      <c r="X528" s="76"/>
      <c r="Y528" s="76"/>
      <c r="Z528" s="76"/>
      <c r="AA528" s="76"/>
    </row>
    <row r="529" spans="4:27" ht="13.2">
      <c r="D529" s="40"/>
      <c r="E529" s="40"/>
      <c r="F529" s="74"/>
      <c r="G529" s="74"/>
      <c r="H529" s="74"/>
      <c r="I529" s="74"/>
      <c r="J529" s="90"/>
      <c r="K529" s="74"/>
      <c r="L529" s="74"/>
      <c r="M529" s="74"/>
      <c r="N529" s="74"/>
      <c r="O529" s="40"/>
      <c r="P529" s="40"/>
      <c r="Q529" s="45"/>
      <c r="R529" s="40"/>
      <c r="S529" s="40"/>
      <c r="T529" s="74"/>
      <c r="U529" s="74"/>
      <c r="V529" s="74"/>
      <c r="W529" s="74"/>
      <c r="X529" s="76"/>
      <c r="Y529" s="76"/>
      <c r="Z529" s="76"/>
      <c r="AA529" s="76"/>
    </row>
    <row r="530" spans="4:27" ht="13.2">
      <c r="D530" s="40"/>
      <c r="E530" s="40"/>
      <c r="F530" s="74"/>
      <c r="G530" s="74"/>
      <c r="H530" s="74"/>
      <c r="I530" s="74"/>
      <c r="J530" s="90"/>
      <c r="K530" s="74"/>
      <c r="L530" s="74"/>
      <c r="M530" s="74"/>
      <c r="N530" s="74"/>
      <c r="O530" s="40"/>
      <c r="P530" s="40"/>
      <c r="Q530" s="45"/>
      <c r="R530" s="40"/>
      <c r="S530" s="40"/>
      <c r="T530" s="74"/>
      <c r="U530" s="74"/>
      <c r="V530" s="74"/>
      <c r="W530" s="74"/>
      <c r="X530" s="76"/>
      <c r="Y530" s="76"/>
      <c r="Z530" s="76"/>
      <c r="AA530" s="76"/>
    </row>
    <row r="531" spans="4:27" ht="13.2">
      <c r="D531" s="40"/>
      <c r="E531" s="40"/>
      <c r="F531" s="74"/>
      <c r="G531" s="74"/>
      <c r="H531" s="74"/>
      <c r="I531" s="74"/>
      <c r="J531" s="90"/>
      <c r="K531" s="74"/>
      <c r="L531" s="74"/>
      <c r="M531" s="74"/>
      <c r="N531" s="74"/>
      <c r="O531" s="40"/>
      <c r="P531" s="40"/>
      <c r="Q531" s="45"/>
      <c r="R531" s="40"/>
      <c r="S531" s="40"/>
      <c r="T531" s="74"/>
      <c r="U531" s="74"/>
      <c r="V531" s="74"/>
      <c r="W531" s="74"/>
      <c r="X531" s="76"/>
      <c r="Y531" s="76"/>
      <c r="Z531" s="76"/>
      <c r="AA531" s="76"/>
    </row>
    <row r="532" spans="4:27" ht="13.2">
      <c r="D532" s="40"/>
      <c r="E532" s="40"/>
      <c r="F532" s="74"/>
      <c r="G532" s="74"/>
      <c r="H532" s="74"/>
      <c r="I532" s="74"/>
      <c r="J532" s="90"/>
      <c r="K532" s="74"/>
      <c r="L532" s="74"/>
      <c r="M532" s="74"/>
      <c r="N532" s="74"/>
      <c r="O532" s="40"/>
      <c r="P532" s="40"/>
      <c r="Q532" s="45"/>
      <c r="R532" s="40"/>
      <c r="S532" s="40"/>
      <c r="T532" s="74"/>
      <c r="U532" s="74"/>
      <c r="V532" s="74"/>
      <c r="W532" s="74"/>
      <c r="X532" s="76"/>
      <c r="Y532" s="76"/>
      <c r="Z532" s="76"/>
      <c r="AA532" s="76"/>
    </row>
    <row r="533" spans="4:27" ht="13.2">
      <c r="D533" s="40"/>
      <c r="E533" s="40"/>
      <c r="F533" s="74"/>
      <c r="G533" s="74"/>
      <c r="H533" s="74"/>
      <c r="I533" s="74"/>
      <c r="J533" s="90"/>
      <c r="K533" s="74"/>
      <c r="L533" s="74"/>
      <c r="M533" s="74"/>
      <c r="N533" s="74"/>
      <c r="O533" s="40"/>
      <c r="P533" s="40"/>
      <c r="Q533" s="45"/>
      <c r="R533" s="40"/>
      <c r="S533" s="40"/>
      <c r="T533" s="74"/>
      <c r="U533" s="74"/>
      <c r="V533" s="74"/>
      <c r="W533" s="74"/>
      <c r="X533" s="76"/>
      <c r="Y533" s="76"/>
      <c r="Z533" s="76"/>
      <c r="AA533" s="76"/>
    </row>
    <row r="534" spans="4:27" ht="13.2">
      <c r="D534" s="40"/>
      <c r="E534" s="40"/>
      <c r="F534" s="74"/>
      <c r="G534" s="74"/>
      <c r="H534" s="74"/>
      <c r="I534" s="74"/>
      <c r="J534" s="90"/>
      <c r="K534" s="74"/>
      <c r="L534" s="74"/>
      <c r="M534" s="74"/>
      <c r="N534" s="74"/>
      <c r="O534" s="40"/>
      <c r="P534" s="40"/>
      <c r="Q534" s="45"/>
      <c r="R534" s="40"/>
      <c r="S534" s="40"/>
      <c r="T534" s="74"/>
      <c r="U534" s="74"/>
      <c r="V534" s="74"/>
      <c r="W534" s="74"/>
      <c r="X534" s="76"/>
      <c r="Y534" s="76"/>
      <c r="Z534" s="76"/>
      <c r="AA534" s="76"/>
    </row>
    <row r="535" spans="4:27" ht="13.2">
      <c r="D535" s="40"/>
      <c r="E535" s="40"/>
      <c r="F535" s="74"/>
      <c r="G535" s="74"/>
      <c r="H535" s="74"/>
      <c r="I535" s="74"/>
      <c r="J535" s="90"/>
      <c r="K535" s="74"/>
      <c r="L535" s="74"/>
      <c r="M535" s="74"/>
      <c r="N535" s="74"/>
      <c r="O535" s="40"/>
      <c r="P535" s="40"/>
      <c r="Q535" s="45"/>
      <c r="R535" s="40"/>
      <c r="S535" s="40"/>
      <c r="T535" s="74"/>
      <c r="U535" s="74"/>
      <c r="V535" s="74"/>
      <c r="W535" s="74"/>
      <c r="X535" s="76"/>
      <c r="Y535" s="76"/>
      <c r="Z535" s="76"/>
      <c r="AA535" s="76"/>
    </row>
    <row r="536" spans="4:27" ht="13.2">
      <c r="D536" s="40"/>
      <c r="E536" s="40"/>
      <c r="F536" s="74"/>
      <c r="G536" s="74"/>
      <c r="H536" s="74"/>
      <c r="I536" s="74"/>
      <c r="J536" s="90"/>
      <c r="K536" s="74"/>
      <c r="L536" s="74"/>
      <c r="M536" s="74"/>
      <c r="N536" s="74"/>
      <c r="O536" s="40"/>
      <c r="P536" s="40"/>
      <c r="Q536" s="45"/>
      <c r="R536" s="40"/>
      <c r="S536" s="40"/>
      <c r="T536" s="74"/>
      <c r="U536" s="74"/>
      <c r="V536" s="74"/>
      <c r="W536" s="74"/>
      <c r="X536" s="76"/>
      <c r="Y536" s="76"/>
      <c r="Z536" s="76"/>
      <c r="AA536" s="76"/>
    </row>
    <row r="537" spans="4:27" ht="13.2">
      <c r="D537" s="40"/>
      <c r="E537" s="40"/>
      <c r="F537" s="74"/>
      <c r="G537" s="74"/>
      <c r="H537" s="74"/>
      <c r="I537" s="74"/>
      <c r="J537" s="90"/>
      <c r="K537" s="74"/>
      <c r="L537" s="74"/>
      <c r="M537" s="74"/>
      <c r="N537" s="74"/>
      <c r="O537" s="40"/>
      <c r="P537" s="40"/>
      <c r="Q537" s="45"/>
      <c r="R537" s="40"/>
      <c r="S537" s="40"/>
      <c r="T537" s="74"/>
      <c r="U537" s="74"/>
      <c r="V537" s="74"/>
      <c r="W537" s="74"/>
      <c r="X537" s="76"/>
      <c r="Y537" s="76"/>
      <c r="Z537" s="76"/>
      <c r="AA537" s="76"/>
    </row>
    <row r="538" spans="4:27" ht="13.2">
      <c r="D538" s="40"/>
      <c r="E538" s="40"/>
      <c r="F538" s="74"/>
      <c r="G538" s="74"/>
      <c r="H538" s="74"/>
      <c r="I538" s="74"/>
      <c r="J538" s="90"/>
      <c r="K538" s="74"/>
      <c r="L538" s="74"/>
      <c r="M538" s="74"/>
      <c r="N538" s="74"/>
      <c r="O538" s="40"/>
      <c r="P538" s="40"/>
      <c r="Q538" s="45"/>
      <c r="R538" s="40"/>
      <c r="S538" s="40"/>
      <c r="T538" s="74"/>
      <c r="U538" s="74"/>
      <c r="V538" s="74"/>
      <c r="W538" s="74"/>
      <c r="X538" s="76"/>
      <c r="Y538" s="76"/>
      <c r="Z538" s="76"/>
      <c r="AA538" s="76"/>
    </row>
    <row r="539" spans="4:27" ht="13.2">
      <c r="D539" s="40"/>
      <c r="E539" s="40"/>
      <c r="F539" s="74"/>
      <c r="G539" s="74"/>
      <c r="H539" s="74"/>
      <c r="I539" s="74"/>
      <c r="J539" s="90"/>
      <c r="K539" s="74"/>
      <c r="L539" s="74"/>
      <c r="M539" s="74"/>
      <c r="N539" s="74"/>
      <c r="O539" s="40"/>
      <c r="P539" s="40"/>
      <c r="Q539" s="45"/>
      <c r="R539" s="40"/>
      <c r="S539" s="40"/>
      <c r="T539" s="74"/>
      <c r="U539" s="74"/>
      <c r="V539" s="74"/>
      <c r="W539" s="74"/>
      <c r="X539" s="76"/>
      <c r="Y539" s="76"/>
      <c r="Z539" s="76"/>
      <c r="AA539" s="76"/>
    </row>
    <row r="540" spans="4:27" ht="13.2">
      <c r="D540" s="40"/>
      <c r="E540" s="40"/>
      <c r="F540" s="74"/>
      <c r="G540" s="74"/>
      <c r="H540" s="74"/>
      <c r="I540" s="74"/>
      <c r="J540" s="90"/>
      <c r="K540" s="74"/>
      <c r="L540" s="74"/>
      <c r="M540" s="74"/>
      <c r="N540" s="74"/>
      <c r="O540" s="40"/>
      <c r="P540" s="40"/>
      <c r="Q540" s="45"/>
      <c r="R540" s="40"/>
      <c r="S540" s="40"/>
      <c r="T540" s="74"/>
      <c r="U540" s="74"/>
      <c r="V540" s="74"/>
      <c r="W540" s="74"/>
      <c r="X540" s="76"/>
      <c r="Y540" s="76"/>
      <c r="Z540" s="76"/>
      <c r="AA540" s="76"/>
    </row>
    <row r="541" spans="4:27" ht="13.2">
      <c r="D541" s="40"/>
      <c r="E541" s="40"/>
      <c r="F541" s="74"/>
      <c r="G541" s="74"/>
      <c r="H541" s="74"/>
      <c r="I541" s="74"/>
      <c r="J541" s="90"/>
      <c r="K541" s="74"/>
      <c r="L541" s="74"/>
      <c r="M541" s="74"/>
      <c r="N541" s="74"/>
      <c r="O541" s="40"/>
      <c r="P541" s="40"/>
      <c r="Q541" s="45"/>
      <c r="R541" s="40"/>
      <c r="S541" s="40"/>
      <c r="T541" s="74"/>
      <c r="U541" s="74"/>
      <c r="V541" s="74"/>
      <c r="W541" s="74"/>
      <c r="X541" s="76"/>
      <c r="Y541" s="76"/>
      <c r="Z541" s="76"/>
      <c r="AA541" s="76"/>
    </row>
    <row r="542" spans="4:27" ht="13.2">
      <c r="D542" s="40"/>
      <c r="E542" s="40"/>
      <c r="F542" s="74"/>
      <c r="G542" s="74"/>
      <c r="H542" s="74"/>
      <c r="I542" s="74"/>
      <c r="J542" s="90"/>
      <c r="K542" s="74"/>
      <c r="L542" s="74"/>
      <c r="M542" s="74"/>
      <c r="N542" s="74"/>
      <c r="O542" s="40"/>
      <c r="P542" s="40"/>
      <c r="Q542" s="45"/>
      <c r="R542" s="40"/>
      <c r="S542" s="40"/>
      <c r="T542" s="74"/>
      <c r="U542" s="74"/>
      <c r="V542" s="74"/>
      <c r="W542" s="74"/>
      <c r="X542" s="76"/>
      <c r="Y542" s="76"/>
      <c r="Z542" s="76"/>
      <c r="AA542" s="76"/>
    </row>
    <row r="543" spans="4:27" ht="13.2">
      <c r="D543" s="40"/>
      <c r="E543" s="40"/>
      <c r="F543" s="74"/>
      <c r="G543" s="74"/>
      <c r="H543" s="74"/>
      <c r="I543" s="74"/>
      <c r="J543" s="90"/>
      <c r="K543" s="74"/>
      <c r="L543" s="74"/>
      <c r="M543" s="74"/>
      <c r="N543" s="74"/>
      <c r="O543" s="40"/>
      <c r="P543" s="40"/>
      <c r="Q543" s="45"/>
      <c r="R543" s="40"/>
      <c r="S543" s="40"/>
      <c r="T543" s="74"/>
      <c r="U543" s="74"/>
      <c r="V543" s="74"/>
      <c r="W543" s="74"/>
      <c r="X543" s="76"/>
      <c r="Y543" s="76"/>
      <c r="Z543" s="76"/>
      <c r="AA543" s="76"/>
    </row>
    <row r="544" spans="4:27" ht="13.2">
      <c r="D544" s="40"/>
      <c r="E544" s="40"/>
      <c r="F544" s="74"/>
      <c r="G544" s="74"/>
      <c r="H544" s="74"/>
      <c r="I544" s="74"/>
      <c r="J544" s="90"/>
      <c r="K544" s="74"/>
      <c r="L544" s="74"/>
      <c r="M544" s="74"/>
      <c r="N544" s="74"/>
      <c r="O544" s="40"/>
      <c r="P544" s="40"/>
      <c r="Q544" s="45"/>
      <c r="R544" s="40"/>
      <c r="S544" s="40"/>
      <c r="T544" s="74"/>
      <c r="U544" s="74"/>
      <c r="V544" s="74"/>
      <c r="W544" s="74"/>
      <c r="X544" s="76"/>
      <c r="Y544" s="76"/>
      <c r="Z544" s="76"/>
      <c r="AA544" s="76"/>
    </row>
    <row r="545" spans="4:27" ht="13.2">
      <c r="D545" s="40"/>
      <c r="E545" s="40"/>
      <c r="F545" s="74"/>
      <c r="G545" s="74"/>
      <c r="H545" s="74"/>
      <c r="I545" s="74"/>
      <c r="J545" s="90"/>
      <c r="K545" s="74"/>
      <c r="L545" s="74"/>
      <c r="M545" s="74"/>
      <c r="N545" s="74"/>
      <c r="O545" s="40"/>
      <c r="P545" s="40"/>
      <c r="Q545" s="45"/>
      <c r="R545" s="40"/>
      <c r="S545" s="40"/>
      <c r="T545" s="74"/>
      <c r="U545" s="74"/>
      <c r="V545" s="74"/>
      <c r="W545" s="74"/>
      <c r="X545" s="76"/>
      <c r="Y545" s="76"/>
      <c r="Z545" s="76"/>
      <c r="AA545" s="76"/>
    </row>
    <row r="546" spans="4:27" ht="13.2">
      <c r="D546" s="40"/>
      <c r="E546" s="40"/>
      <c r="F546" s="74"/>
      <c r="G546" s="74"/>
      <c r="H546" s="74"/>
      <c r="I546" s="74"/>
      <c r="J546" s="90"/>
      <c r="K546" s="74"/>
      <c r="L546" s="74"/>
      <c r="M546" s="74"/>
      <c r="N546" s="74"/>
      <c r="O546" s="40"/>
      <c r="P546" s="40"/>
      <c r="Q546" s="45"/>
      <c r="R546" s="40"/>
      <c r="S546" s="40"/>
      <c r="T546" s="74"/>
      <c r="U546" s="74"/>
      <c r="V546" s="74"/>
      <c r="W546" s="74"/>
      <c r="X546" s="76"/>
      <c r="Y546" s="76"/>
      <c r="Z546" s="76"/>
      <c r="AA546" s="76"/>
    </row>
    <row r="547" spans="4:27" ht="13.2">
      <c r="D547" s="40"/>
      <c r="E547" s="40"/>
      <c r="F547" s="74"/>
      <c r="G547" s="74"/>
      <c r="H547" s="74"/>
      <c r="I547" s="74"/>
      <c r="J547" s="90"/>
      <c r="K547" s="74"/>
      <c r="L547" s="74"/>
      <c r="M547" s="74"/>
      <c r="N547" s="74"/>
      <c r="O547" s="40"/>
      <c r="P547" s="40"/>
      <c r="Q547" s="45"/>
      <c r="R547" s="40"/>
      <c r="S547" s="40"/>
      <c r="T547" s="74"/>
      <c r="U547" s="74"/>
      <c r="V547" s="74"/>
      <c r="W547" s="74"/>
      <c r="X547" s="76"/>
      <c r="Y547" s="76"/>
      <c r="Z547" s="76"/>
      <c r="AA547" s="76"/>
    </row>
    <row r="548" spans="4:27" ht="13.2">
      <c r="D548" s="40"/>
      <c r="E548" s="40"/>
      <c r="F548" s="74"/>
      <c r="G548" s="74"/>
      <c r="H548" s="74"/>
      <c r="I548" s="74"/>
      <c r="J548" s="90"/>
      <c r="K548" s="74"/>
      <c r="L548" s="74"/>
      <c r="M548" s="74"/>
      <c r="N548" s="74"/>
      <c r="O548" s="40"/>
      <c r="P548" s="40"/>
      <c r="Q548" s="45"/>
      <c r="R548" s="40"/>
      <c r="S548" s="40"/>
      <c r="T548" s="74"/>
      <c r="U548" s="74"/>
      <c r="V548" s="74"/>
      <c r="W548" s="74"/>
      <c r="X548" s="76"/>
      <c r="Y548" s="76"/>
      <c r="Z548" s="76"/>
      <c r="AA548" s="76"/>
    </row>
    <row r="549" spans="4:27" ht="13.2">
      <c r="D549" s="40"/>
      <c r="E549" s="40"/>
      <c r="F549" s="74"/>
      <c r="G549" s="74"/>
      <c r="H549" s="74"/>
      <c r="I549" s="74"/>
      <c r="J549" s="90"/>
      <c r="K549" s="74"/>
      <c r="L549" s="74"/>
      <c r="M549" s="74"/>
      <c r="N549" s="74"/>
      <c r="O549" s="40"/>
      <c r="P549" s="40"/>
      <c r="Q549" s="45"/>
      <c r="R549" s="40"/>
      <c r="S549" s="40"/>
      <c r="T549" s="74"/>
      <c r="U549" s="74"/>
      <c r="V549" s="74"/>
      <c r="W549" s="74"/>
      <c r="X549" s="76"/>
      <c r="Y549" s="76"/>
      <c r="Z549" s="76"/>
      <c r="AA549" s="76"/>
    </row>
    <row r="550" spans="4:27" ht="13.2">
      <c r="D550" s="40"/>
      <c r="E550" s="40"/>
      <c r="F550" s="74"/>
      <c r="G550" s="74"/>
      <c r="H550" s="74"/>
      <c r="I550" s="74"/>
      <c r="J550" s="90"/>
      <c r="K550" s="74"/>
      <c r="L550" s="74"/>
      <c r="M550" s="74"/>
      <c r="N550" s="74"/>
      <c r="O550" s="40"/>
      <c r="P550" s="40"/>
      <c r="Q550" s="45"/>
      <c r="R550" s="40"/>
      <c r="S550" s="40"/>
      <c r="T550" s="74"/>
      <c r="U550" s="74"/>
      <c r="V550" s="74"/>
      <c r="W550" s="74"/>
      <c r="X550" s="76"/>
      <c r="Y550" s="76"/>
      <c r="Z550" s="76"/>
      <c r="AA550" s="76"/>
    </row>
    <row r="551" spans="4:27" ht="13.2">
      <c r="D551" s="40"/>
      <c r="E551" s="40"/>
      <c r="F551" s="74"/>
      <c r="G551" s="74"/>
      <c r="H551" s="74"/>
      <c r="I551" s="74"/>
      <c r="J551" s="90"/>
      <c r="K551" s="74"/>
      <c r="L551" s="74"/>
      <c r="M551" s="74"/>
      <c r="N551" s="74"/>
      <c r="O551" s="40"/>
      <c r="P551" s="40"/>
      <c r="Q551" s="45"/>
      <c r="R551" s="40"/>
      <c r="S551" s="40"/>
      <c r="T551" s="74"/>
      <c r="U551" s="74"/>
      <c r="V551" s="74"/>
      <c r="W551" s="74"/>
      <c r="X551" s="76"/>
      <c r="Y551" s="76"/>
      <c r="Z551" s="76"/>
      <c r="AA551" s="76"/>
    </row>
    <row r="552" spans="4:27" ht="13.2">
      <c r="D552" s="40"/>
      <c r="E552" s="40"/>
      <c r="F552" s="74"/>
      <c r="G552" s="74"/>
      <c r="H552" s="74"/>
      <c r="I552" s="74"/>
      <c r="J552" s="90"/>
      <c r="K552" s="74"/>
      <c r="L552" s="74"/>
      <c r="M552" s="74"/>
      <c r="N552" s="74"/>
      <c r="O552" s="40"/>
      <c r="P552" s="40"/>
      <c r="Q552" s="45"/>
      <c r="R552" s="40"/>
      <c r="S552" s="40"/>
      <c r="T552" s="74"/>
      <c r="U552" s="74"/>
      <c r="V552" s="74"/>
      <c r="W552" s="74"/>
      <c r="X552" s="76"/>
      <c r="Y552" s="76"/>
      <c r="Z552" s="76"/>
      <c r="AA552" s="76"/>
    </row>
    <row r="553" spans="4:27" ht="13.2">
      <c r="D553" s="40"/>
      <c r="E553" s="40"/>
      <c r="F553" s="74"/>
      <c r="G553" s="74"/>
      <c r="H553" s="74"/>
      <c r="I553" s="74"/>
      <c r="J553" s="90"/>
      <c r="K553" s="74"/>
      <c r="L553" s="74"/>
      <c r="M553" s="74"/>
      <c r="N553" s="74"/>
      <c r="O553" s="40"/>
      <c r="P553" s="40"/>
      <c r="Q553" s="45"/>
      <c r="R553" s="40"/>
      <c r="S553" s="40"/>
      <c r="T553" s="74"/>
      <c r="U553" s="74"/>
      <c r="V553" s="74"/>
      <c r="W553" s="74"/>
      <c r="X553" s="76"/>
      <c r="Y553" s="76"/>
      <c r="Z553" s="76"/>
      <c r="AA553" s="76"/>
    </row>
    <row r="554" spans="4:27" ht="13.2">
      <c r="D554" s="40"/>
      <c r="E554" s="40"/>
      <c r="F554" s="74"/>
      <c r="G554" s="74"/>
      <c r="H554" s="74"/>
      <c r="I554" s="74"/>
      <c r="J554" s="90"/>
      <c r="K554" s="74"/>
      <c r="L554" s="74"/>
      <c r="M554" s="74"/>
      <c r="N554" s="74"/>
      <c r="O554" s="40"/>
      <c r="P554" s="40"/>
      <c r="Q554" s="45"/>
      <c r="R554" s="40"/>
      <c r="S554" s="40"/>
      <c r="T554" s="74"/>
      <c r="U554" s="74"/>
      <c r="V554" s="74"/>
      <c r="W554" s="74"/>
      <c r="X554" s="76"/>
      <c r="Y554" s="76"/>
      <c r="Z554" s="76"/>
      <c r="AA554" s="76"/>
    </row>
    <row r="555" spans="4:27" ht="13.2">
      <c r="D555" s="40"/>
      <c r="E555" s="40"/>
      <c r="F555" s="74"/>
      <c r="G555" s="74"/>
      <c r="H555" s="74"/>
      <c r="I555" s="74"/>
      <c r="J555" s="90"/>
      <c r="K555" s="74"/>
      <c r="L555" s="74"/>
      <c r="M555" s="74"/>
      <c r="N555" s="74"/>
      <c r="O555" s="40"/>
      <c r="P555" s="40"/>
      <c r="Q555" s="45"/>
      <c r="R555" s="40"/>
      <c r="S555" s="40"/>
      <c r="T555" s="74"/>
      <c r="U555" s="74"/>
      <c r="V555" s="74"/>
      <c r="W555" s="74"/>
      <c r="X555" s="76"/>
      <c r="Y555" s="76"/>
      <c r="Z555" s="76"/>
      <c r="AA555" s="76"/>
    </row>
    <row r="556" spans="4:27" ht="13.2">
      <c r="D556" s="40"/>
      <c r="E556" s="40"/>
      <c r="F556" s="74"/>
      <c r="G556" s="74"/>
      <c r="H556" s="74"/>
      <c r="I556" s="74"/>
      <c r="J556" s="90"/>
      <c r="K556" s="74"/>
      <c r="L556" s="74"/>
      <c r="M556" s="74"/>
      <c r="N556" s="74"/>
      <c r="O556" s="40"/>
      <c r="P556" s="40"/>
      <c r="Q556" s="45"/>
      <c r="R556" s="40"/>
      <c r="S556" s="40"/>
      <c r="T556" s="74"/>
      <c r="U556" s="74"/>
      <c r="V556" s="74"/>
      <c r="W556" s="74"/>
      <c r="X556" s="76"/>
      <c r="Y556" s="76"/>
      <c r="Z556" s="76"/>
      <c r="AA556" s="76"/>
    </row>
    <row r="557" spans="4:27" ht="13.2">
      <c r="D557" s="40"/>
      <c r="E557" s="40"/>
      <c r="F557" s="74"/>
      <c r="G557" s="74"/>
      <c r="H557" s="74"/>
      <c r="I557" s="74"/>
      <c r="J557" s="90"/>
      <c r="K557" s="74"/>
      <c r="L557" s="74"/>
      <c r="M557" s="74"/>
      <c r="N557" s="74"/>
      <c r="O557" s="40"/>
      <c r="P557" s="40"/>
      <c r="Q557" s="45"/>
      <c r="R557" s="40"/>
      <c r="S557" s="40"/>
      <c r="T557" s="74"/>
      <c r="U557" s="74"/>
      <c r="V557" s="74"/>
      <c r="W557" s="74"/>
      <c r="X557" s="76"/>
      <c r="Y557" s="76"/>
      <c r="Z557" s="76"/>
      <c r="AA557" s="76"/>
    </row>
    <row r="558" spans="4:27" ht="13.2">
      <c r="D558" s="40"/>
      <c r="E558" s="40"/>
      <c r="F558" s="74"/>
      <c r="G558" s="74"/>
      <c r="H558" s="74"/>
      <c r="I558" s="74"/>
      <c r="J558" s="90"/>
      <c r="K558" s="74"/>
      <c r="L558" s="74"/>
      <c r="M558" s="74"/>
      <c r="N558" s="74"/>
      <c r="O558" s="40"/>
      <c r="P558" s="40"/>
      <c r="Q558" s="45"/>
      <c r="R558" s="40"/>
      <c r="S558" s="40"/>
      <c r="T558" s="74"/>
      <c r="U558" s="74"/>
      <c r="V558" s="74"/>
      <c r="W558" s="74"/>
      <c r="X558" s="76"/>
      <c r="Y558" s="76"/>
      <c r="Z558" s="76"/>
      <c r="AA558" s="76"/>
    </row>
    <row r="559" spans="4:27" ht="13.2">
      <c r="D559" s="40"/>
      <c r="E559" s="40"/>
      <c r="F559" s="74"/>
      <c r="G559" s="74"/>
      <c r="H559" s="74"/>
      <c r="I559" s="74"/>
      <c r="J559" s="90"/>
      <c r="K559" s="74"/>
      <c r="L559" s="74"/>
      <c r="M559" s="74"/>
      <c r="N559" s="74"/>
      <c r="O559" s="40"/>
      <c r="P559" s="40"/>
      <c r="Q559" s="45"/>
      <c r="R559" s="40"/>
      <c r="S559" s="40"/>
      <c r="T559" s="74"/>
      <c r="U559" s="74"/>
      <c r="V559" s="74"/>
      <c r="W559" s="74"/>
      <c r="X559" s="76"/>
      <c r="Y559" s="76"/>
      <c r="Z559" s="76"/>
      <c r="AA559" s="76"/>
    </row>
    <row r="560" spans="4:27" ht="13.2">
      <c r="D560" s="40"/>
      <c r="E560" s="40"/>
      <c r="F560" s="74"/>
      <c r="G560" s="74"/>
      <c r="H560" s="74"/>
      <c r="I560" s="74"/>
      <c r="J560" s="90"/>
      <c r="K560" s="74"/>
      <c r="L560" s="74"/>
      <c r="M560" s="74"/>
      <c r="N560" s="74"/>
      <c r="O560" s="40"/>
      <c r="P560" s="40"/>
      <c r="Q560" s="45"/>
      <c r="R560" s="40"/>
      <c r="S560" s="40"/>
      <c r="T560" s="74"/>
      <c r="U560" s="74"/>
      <c r="V560" s="74"/>
      <c r="W560" s="74"/>
      <c r="X560" s="76"/>
      <c r="Y560" s="76"/>
      <c r="Z560" s="76"/>
      <c r="AA560" s="76"/>
    </row>
    <row r="561" spans="4:27" ht="13.2">
      <c r="D561" s="40"/>
      <c r="E561" s="40"/>
      <c r="F561" s="74"/>
      <c r="G561" s="74"/>
      <c r="H561" s="74"/>
      <c r="I561" s="74"/>
      <c r="J561" s="90"/>
      <c r="K561" s="74"/>
      <c r="L561" s="74"/>
      <c r="M561" s="74"/>
      <c r="N561" s="74"/>
      <c r="O561" s="40"/>
      <c r="P561" s="40"/>
      <c r="Q561" s="45"/>
      <c r="R561" s="40"/>
      <c r="S561" s="40"/>
      <c r="T561" s="74"/>
      <c r="U561" s="74"/>
      <c r="V561" s="74"/>
      <c r="W561" s="74"/>
      <c r="X561" s="76"/>
      <c r="Y561" s="76"/>
      <c r="Z561" s="76"/>
      <c r="AA561" s="76"/>
    </row>
    <row r="562" spans="4:27" ht="13.2">
      <c r="D562" s="40"/>
      <c r="E562" s="40"/>
      <c r="F562" s="74"/>
      <c r="G562" s="74"/>
      <c r="H562" s="74"/>
      <c r="I562" s="74"/>
      <c r="J562" s="90"/>
      <c r="K562" s="74"/>
      <c r="L562" s="74"/>
      <c r="M562" s="74"/>
      <c r="N562" s="74"/>
      <c r="O562" s="40"/>
      <c r="P562" s="40"/>
      <c r="Q562" s="45"/>
      <c r="R562" s="40"/>
      <c r="S562" s="40"/>
      <c r="T562" s="74"/>
      <c r="U562" s="74"/>
      <c r="V562" s="74"/>
      <c r="W562" s="74"/>
      <c r="X562" s="76"/>
      <c r="Y562" s="76"/>
      <c r="Z562" s="76"/>
      <c r="AA562" s="76"/>
    </row>
    <row r="563" spans="4:27" ht="13.2">
      <c r="D563" s="40"/>
      <c r="E563" s="40"/>
      <c r="F563" s="74"/>
      <c r="G563" s="74"/>
      <c r="H563" s="74"/>
      <c r="I563" s="74"/>
      <c r="J563" s="90"/>
      <c r="K563" s="74"/>
      <c r="L563" s="74"/>
      <c r="M563" s="74"/>
      <c r="N563" s="74"/>
      <c r="O563" s="40"/>
      <c r="P563" s="40"/>
      <c r="Q563" s="45"/>
      <c r="R563" s="40"/>
      <c r="S563" s="40"/>
      <c r="T563" s="74"/>
      <c r="U563" s="74"/>
      <c r="V563" s="74"/>
      <c r="W563" s="74"/>
      <c r="X563" s="76"/>
      <c r="Y563" s="76"/>
      <c r="Z563" s="76"/>
      <c r="AA563" s="76"/>
    </row>
    <row r="564" spans="4:27" ht="13.2">
      <c r="D564" s="40"/>
      <c r="E564" s="40"/>
      <c r="F564" s="74"/>
      <c r="G564" s="74"/>
      <c r="H564" s="74"/>
      <c r="I564" s="74"/>
      <c r="J564" s="90"/>
      <c r="K564" s="74"/>
      <c r="L564" s="74"/>
      <c r="M564" s="74"/>
      <c r="N564" s="74"/>
      <c r="O564" s="40"/>
      <c r="P564" s="40"/>
      <c r="Q564" s="45"/>
      <c r="R564" s="40"/>
      <c r="S564" s="40"/>
      <c r="T564" s="74"/>
      <c r="U564" s="74"/>
      <c r="V564" s="74"/>
      <c r="W564" s="74"/>
      <c r="X564" s="76"/>
      <c r="Y564" s="76"/>
      <c r="Z564" s="76"/>
      <c r="AA564" s="76"/>
    </row>
    <row r="565" spans="4:27" ht="13.2">
      <c r="D565" s="40"/>
      <c r="E565" s="40"/>
      <c r="F565" s="74"/>
      <c r="G565" s="74"/>
      <c r="H565" s="74"/>
      <c r="I565" s="74"/>
      <c r="J565" s="90"/>
      <c r="K565" s="74"/>
      <c r="L565" s="74"/>
      <c r="M565" s="74"/>
      <c r="N565" s="74"/>
      <c r="O565" s="40"/>
      <c r="P565" s="40"/>
      <c r="Q565" s="45"/>
      <c r="R565" s="40"/>
      <c r="S565" s="40"/>
      <c r="T565" s="74"/>
      <c r="U565" s="74"/>
      <c r="V565" s="74"/>
      <c r="W565" s="74"/>
      <c r="X565" s="76"/>
      <c r="Y565" s="76"/>
      <c r="Z565" s="76"/>
      <c r="AA565" s="76"/>
    </row>
    <row r="566" spans="4:27" ht="13.2">
      <c r="D566" s="40"/>
      <c r="E566" s="40"/>
      <c r="F566" s="74"/>
      <c r="G566" s="74"/>
      <c r="H566" s="74"/>
      <c r="I566" s="74"/>
      <c r="J566" s="90"/>
      <c r="K566" s="74"/>
      <c r="L566" s="74"/>
      <c r="M566" s="74"/>
      <c r="N566" s="74"/>
      <c r="O566" s="40"/>
      <c r="P566" s="40"/>
      <c r="Q566" s="45"/>
      <c r="R566" s="40"/>
      <c r="S566" s="40"/>
      <c r="T566" s="74"/>
      <c r="U566" s="74"/>
      <c r="V566" s="74"/>
      <c r="W566" s="74"/>
      <c r="X566" s="76"/>
      <c r="Y566" s="76"/>
      <c r="Z566" s="76"/>
      <c r="AA566" s="76"/>
    </row>
    <row r="567" spans="4:27" ht="13.2">
      <c r="D567" s="40"/>
      <c r="E567" s="40"/>
      <c r="F567" s="74"/>
      <c r="G567" s="74"/>
      <c r="H567" s="74"/>
      <c r="I567" s="74"/>
      <c r="J567" s="90"/>
      <c r="K567" s="74"/>
      <c r="L567" s="74"/>
      <c r="M567" s="74"/>
      <c r="N567" s="74"/>
      <c r="O567" s="40"/>
      <c r="P567" s="40"/>
      <c r="Q567" s="45"/>
      <c r="R567" s="40"/>
      <c r="S567" s="40"/>
      <c r="T567" s="74"/>
      <c r="U567" s="74"/>
      <c r="V567" s="74"/>
      <c r="W567" s="74"/>
      <c r="X567" s="76"/>
      <c r="Y567" s="76"/>
      <c r="Z567" s="76"/>
      <c r="AA567" s="76"/>
    </row>
    <row r="568" spans="4:27" ht="13.2">
      <c r="D568" s="40"/>
      <c r="E568" s="40"/>
      <c r="F568" s="74"/>
      <c r="G568" s="74"/>
      <c r="H568" s="74"/>
      <c r="I568" s="74"/>
      <c r="J568" s="90"/>
      <c r="K568" s="74"/>
      <c r="L568" s="74"/>
      <c r="M568" s="74"/>
      <c r="N568" s="74"/>
      <c r="O568" s="40"/>
      <c r="P568" s="40"/>
      <c r="Q568" s="45"/>
      <c r="R568" s="40"/>
      <c r="S568" s="40"/>
      <c r="T568" s="74"/>
      <c r="U568" s="74"/>
      <c r="V568" s="74"/>
      <c r="W568" s="74"/>
      <c r="X568" s="76"/>
      <c r="Y568" s="76"/>
      <c r="Z568" s="76"/>
      <c r="AA568" s="76"/>
    </row>
    <row r="569" spans="4:27" ht="13.2">
      <c r="D569" s="40"/>
      <c r="E569" s="40"/>
      <c r="F569" s="74"/>
      <c r="G569" s="74"/>
      <c r="H569" s="74"/>
      <c r="I569" s="74"/>
      <c r="J569" s="90"/>
      <c r="K569" s="74"/>
      <c r="L569" s="74"/>
      <c r="M569" s="74"/>
      <c r="N569" s="74"/>
      <c r="O569" s="40"/>
      <c r="P569" s="40"/>
      <c r="Q569" s="45"/>
      <c r="R569" s="40"/>
      <c r="S569" s="40"/>
      <c r="T569" s="74"/>
      <c r="U569" s="74"/>
      <c r="V569" s="74"/>
      <c r="W569" s="74"/>
      <c r="X569" s="76"/>
      <c r="Y569" s="76"/>
      <c r="Z569" s="76"/>
      <c r="AA569" s="76"/>
    </row>
    <row r="570" spans="4:27" ht="13.2">
      <c r="D570" s="40"/>
      <c r="E570" s="40"/>
      <c r="F570" s="74"/>
      <c r="G570" s="74"/>
      <c r="H570" s="74"/>
      <c r="I570" s="74"/>
      <c r="J570" s="90"/>
      <c r="K570" s="74"/>
      <c r="L570" s="74"/>
      <c r="M570" s="74"/>
      <c r="N570" s="74"/>
      <c r="O570" s="40"/>
      <c r="P570" s="40"/>
      <c r="Q570" s="45"/>
      <c r="R570" s="40"/>
      <c r="S570" s="40"/>
      <c r="T570" s="74"/>
      <c r="U570" s="74"/>
      <c r="V570" s="74"/>
      <c r="W570" s="74"/>
      <c r="X570" s="76"/>
      <c r="Y570" s="76"/>
      <c r="Z570" s="76"/>
      <c r="AA570" s="76"/>
    </row>
    <row r="571" spans="4:27" ht="13.2">
      <c r="D571" s="40"/>
      <c r="E571" s="40"/>
      <c r="F571" s="74"/>
      <c r="G571" s="74"/>
      <c r="H571" s="74"/>
      <c r="I571" s="74"/>
      <c r="J571" s="90"/>
      <c r="K571" s="74"/>
      <c r="L571" s="74"/>
      <c r="M571" s="74"/>
      <c r="N571" s="74"/>
      <c r="O571" s="40"/>
      <c r="P571" s="40"/>
      <c r="Q571" s="45"/>
      <c r="R571" s="40"/>
      <c r="S571" s="40"/>
      <c r="T571" s="74"/>
      <c r="U571" s="74"/>
      <c r="V571" s="74"/>
      <c r="W571" s="74"/>
      <c r="X571" s="76"/>
      <c r="Y571" s="76"/>
      <c r="Z571" s="76"/>
      <c r="AA571" s="76"/>
    </row>
    <row r="572" spans="4:27" ht="13.2">
      <c r="D572" s="40"/>
      <c r="E572" s="40"/>
      <c r="F572" s="74"/>
      <c r="G572" s="74"/>
      <c r="H572" s="74"/>
      <c r="I572" s="74"/>
      <c r="J572" s="90"/>
      <c r="K572" s="74"/>
      <c r="L572" s="74"/>
      <c r="M572" s="74"/>
      <c r="N572" s="74"/>
      <c r="O572" s="40"/>
      <c r="P572" s="40"/>
      <c r="Q572" s="45"/>
      <c r="R572" s="40"/>
      <c r="S572" s="40"/>
      <c r="T572" s="74"/>
      <c r="U572" s="74"/>
      <c r="V572" s="74"/>
      <c r="W572" s="74"/>
      <c r="X572" s="76"/>
      <c r="Y572" s="76"/>
      <c r="Z572" s="76"/>
      <c r="AA572" s="76"/>
    </row>
    <row r="573" spans="4:27" ht="13.2">
      <c r="D573" s="40"/>
      <c r="E573" s="40"/>
      <c r="F573" s="74"/>
      <c r="G573" s="74"/>
      <c r="H573" s="74"/>
      <c r="I573" s="74"/>
      <c r="J573" s="90"/>
      <c r="K573" s="74"/>
      <c r="L573" s="74"/>
      <c r="M573" s="74"/>
      <c r="N573" s="74"/>
      <c r="O573" s="40"/>
      <c r="P573" s="40"/>
      <c r="Q573" s="45"/>
      <c r="R573" s="40"/>
      <c r="S573" s="40"/>
      <c r="T573" s="74"/>
      <c r="U573" s="74"/>
      <c r="V573" s="74"/>
      <c r="W573" s="74"/>
      <c r="X573" s="76"/>
      <c r="Y573" s="76"/>
      <c r="Z573" s="76"/>
      <c r="AA573" s="76"/>
    </row>
    <row r="574" spans="4:27" ht="13.2">
      <c r="D574" s="40"/>
      <c r="E574" s="40"/>
      <c r="F574" s="74"/>
      <c r="G574" s="74"/>
      <c r="H574" s="74"/>
      <c r="I574" s="74"/>
      <c r="J574" s="90"/>
      <c r="K574" s="74"/>
      <c r="L574" s="74"/>
      <c r="M574" s="74"/>
      <c r="N574" s="74"/>
      <c r="O574" s="40"/>
      <c r="P574" s="40"/>
      <c r="Q574" s="45"/>
      <c r="R574" s="40"/>
      <c r="S574" s="40"/>
      <c r="T574" s="74"/>
      <c r="U574" s="74"/>
      <c r="V574" s="74"/>
      <c r="W574" s="74"/>
      <c r="X574" s="76"/>
      <c r="Y574" s="76"/>
      <c r="Z574" s="76"/>
      <c r="AA574" s="76"/>
    </row>
    <row r="575" spans="4:27" ht="13.2">
      <c r="D575" s="40"/>
      <c r="E575" s="40"/>
      <c r="F575" s="74"/>
      <c r="G575" s="74"/>
      <c r="H575" s="74"/>
      <c r="I575" s="74"/>
      <c r="J575" s="90"/>
      <c r="K575" s="74"/>
      <c r="L575" s="74"/>
      <c r="M575" s="74"/>
      <c r="N575" s="74"/>
      <c r="O575" s="40"/>
      <c r="P575" s="40"/>
      <c r="Q575" s="45"/>
      <c r="R575" s="40"/>
      <c r="S575" s="40"/>
      <c r="T575" s="74"/>
      <c r="U575" s="74"/>
      <c r="V575" s="74"/>
      <c r="W575" s="74"/>
      <c r="X575" s="76"/>
      <c r="Y575" s="76"/>
      <c r="Z575" s="76"/>
      <c r="AA575" s="76"/>
    </row>
    <row r="576" spans="4:27" ht="13.2">
      <c r="D576" s="40"/>
      <c r="E576" s="40"/>
      <c r="F576" s="74"/>
      <c r="G576" s="74"/>
      <c r="H576" s="74"/>
      <c r="I576" s="74"/>
      <c r="J576" s="90"/>
      <c r="K576" s="74"/>
      <c r="L576" s="74"/>
      <c r="M576" s="74"/>
      <c r="N576" s="74"/>
      <c r="O576" s="40"/>
      <c r="P576" s="40"/>
      <c r="Q576" s="45"/>
      <c r="R576" s="40"/>
      <c r="S576" s="40"/>
      <c r="T576" s="74"/>
      <c r="U576" s="74"/>
      <c r="V576" s="74"/>
      <c r="W576" s="74"/>
      <c r="X576" s="76"/>
      <c r="Y576" s="76"/>
      <c r="Z576" s="76"/>
      <c r="AA576" s="76"/>
    </row>
    <row r="577" spans="4:27" ht="13.2">
      <c r="D577" s="40"/>
      <c r="E577" s="40"/>
      <c r="F577" s="74"/>
      <c r="G577" s="74"/>
      <c r="H577" s="74"/>
      <c r="I577" s="74"/>
      <c r="J577" s="90"/>
      <c r="K577" s="74"/>
      <c r="L577" s="74"/>
      <c r="M577" s="74"/>
      <c r="N577" s="74"/>
      <c r="O577" s="40"/>
      <c r="P577" s="40"/>
      <c r="Q577" s="45"/>
      <c r="R577" s="40"/>
      <c r="S577" s="40"/>
      <c r="T577" s="74"/>
      <c r="U577" s="74"/>
      <c r="V577" s="74"/>
      <c r="W577" s="74"/>
      <c r="X577" s="76"/>
      <c r="Y577" s="76"/>
      <c r="Z577" s="76"/>
      <c r="AA577" s="76"/>
    </row>
    <row r="578" spans="4:27" ht="13.2">
      <c r="D578" s="40"/>
      <c r="E578" s="40"/>
      <c r="F578" s="74"/>
      <c r="G578" s="74"/>
      <c r="H578" s="74"/>
      <c r="I578" s="74"/>
      <c r="J578" s="90"/>
      <c r="K578" s="74"/>
      <c r="L578" s="74"/>
      <c r="M578" s="74"/>
      <c r="N578" s="74"/>
      <c r="O578" s="40"/>
      <c r="P578" s="40"/>
      <c r="Q578" s="45"/>
      <c r="R578" s="40"/>
      <c r="S578" s="40"/>
      <c r="T578" s="74"/>
      <c r="U578" s="74"/>
      <c r="V578" s="74"/>
      <c r="W578" s="74"/>
      <c r="X578" s="76"/>
      <c r="Y578" s="76"/>
      <c r="Z578" s="76"/>
      <c r="AA578" s="76"/>
    </row>
    <row r="579" spans="4:27" ht="13.2">
      <c r="D579" s="40"/>
      <c r="E579" s="40"/>
      <c r="F579" s="74"/>
      <c r="G579" s="74"/>
      <c r="H579" s="74"/>
      <c r="I579" s="74"/>
      <c r="J579" s="90"/>
      <c r="K579" s="74"/>
      <c r="L579" s="74"/>
      <c r="M579" s="74"/>
      <c r="N579" s="74"/>
      <c r="O579" s="40"/>
      <c r="P579" s="40"/>
      <c r="Q579" s="45"/>
      <c r="R579" s="40"/>
      <c r="S579" s="40"/>
      <c r="T579" s="74"/>
      <c r="U579" s="74"/>
      <c r="V579" s="74"/>
      <c r="W579" s="74"/>
      <c r="X579" s="76"/>
      <c r="Y579" s="76"/>
      <c r="Z579" s="76"/>
      <c r="AA579" s="76"/>
    </row>
    <row r="580" spans="4:27" ht="13.2">
      <c r="D580" s="40"/>
      <c r="E580" s="40"/>
      <c r="F580" s="74"/>
      <c r="G580" s="74"/>
      <c r="H580" s="74"/>
      <c r="I580" s="74"/>
      <c r="J580" s="90"/>
      <c r="K580" s="74"/>
      <c r="L580" s="74"/>
      <c r="M580" s="74"/>
      <c r="N580" s="74"/>
      <c r="O580" s="40"/>
      <c r="P580" s="40"/>
      <c r="Q580" s="45"/>
      <c r="R580" s="40"/>
      <c r="S580" s="40"/>
      <c r="T580" s="74"/>
      <c r="U580" s="74"/>
      <c r="V580" s="74"/>
      <c r="W580" s="74"/>
      <c r="X580" s="76"/>
      <c r="Y580" s="76"/>
      <c r="Z580" s="76"/>
      <c r="AA580" s="76"/>
    </row>
    <row r="581" spans="4:27" ht="13.2">
      <c r="D581" s="40"/>
      <c r="E581" s="40"/>
      <c r="F581" s="74"/>
      <c r="G581" s="74"/>
      <c r="H581" s="74"/>
      <c r="I581" s="74"/>
      <c r="J581" s="90"/>
      <c r="K581" s="74"/>
      <c r="L581" s="74"/>
      <c r="M581" s="74"/>
      <c r="N581" s="74"/>
      <c r="O581" s="40"/>
      <c r="P581" s="40"/>
      <c r="Q581" s="45"/>
      <c r="R581" s="40"/>
      <c r="S581" s="40"/>
      <c r="T581" s="74"/>
      <c r="U581" s="74"/>
      <c r="V581" s="74"/>
      <c r="W581" s="74"/>
      <c r="X581" s="76"/>
      <c r="Y581" s="76"/>
      <c r="Z581" s="76"/>
      <c r="AA581" s="76"/>
    </row>
    <row r="582" spans="4:27" ht="13.2">
      <c r="D582" s="40"/>
      <c r="E582" s="40"/>
      <c r="F582" s="74"/>
      <c r="G582" s="74"/>
      <c r="H582" s="74"/>
      <c r="I582" s="74"/>
      <c r="J582" s="90"/>
      <c r="K582" s="74"/>
      <c r="L582" s="74"/>
      <c r="M582" s="74"/>
      <c r="N582" s="74"/>
      <c r="O582" s="40"/>
      <c r="P582" s="40"/>
      <c r="Q582" s="45"/>
      <c r="R582" s="40"/>
      <c r="S582" s="40"/>
      <c r="T582" s="74"/>
      <c r="U582" s="74"/>
      <c r="V582" s="74"/>
      <c r="W582" s="74"/>
      <c r="X582" s="76"/>
      <c r="Y582" s="76"/>
      <c r="Z582" s="76"/>
      <c r="AA582" s="76"/>
    </row>
    <row r="583" spans="4:27" ht="13.2">
      <c r="D583" s="40"/>
      <c r="E583" s="40"/>
      <c r="F583" s="74"/>
      <c r="G583" s="74"/>
      <c r="H583" s="74"/>
      <c r="I583" s="74"/>
      <c r="J583" s="90"/>
      <c r="K583" s="74"/>
      <c r="L583" s="74"/>
      <c r="M583" s="74"/>
      <c r="N583" s="74"/>
      <c r="O583" s="40"/>
      <c r="P583" s="40"/>
      <c r="Q583" s="45"/>
      <c r="R583" s="40"/>
      <c r="S583" s="40"/>
      <c r="T583" s="74"/>
      <c r="U583" s="74"/>
      <c r="V583" s="74"/>
      <c r="W583" s="74"/>
      <c r="X583" s="76"/>
      <c r="Y583" s="76"/>
      <c r="Z583" s="76"/>
      <c r="AA583" s="76"/>
    </row>
    <row r="584" spans="4:27" ht="13.2">
      <c r="D584" s="40"/>
      <c r="E584" s="40"/>
      <c r="F584" s="74"/>
      <c r="G584" s="74"/>
      <c r="H584" s="74"/>
      <c r="I584" s="74"/>
      <c r="J584" s="90"/>
      <c r="K584" s="74"/>
      <c r="L584" s="74"/>
      <c r="M584" s="74"/>
      <c r="N584" s="74"/>
      <c r="O584" s="40"/>
      <c r="P584" s="40"/>
      <c r="Q584" s="45"/>
      <c r="R584" s="40"/>
      <c r="S584" s="40"/>
      <c r="T584" s="74"/>
      <c r="U584" s="74"/>
      <c r="V584" s="74"/>
      <c r="W584" s="74"/>
      <c r="X584" s="76"/>
      <c r="Y584" s="76"/>
      <c r="Z584" s="76"/>
      <c r="AA584" s="76"/>
    </row>
    <row r="585" spans="4:27" ht="13.2">
      <c r="D585" s="40"/>
      <c r="E585" s="40"/>
      <c r="F585" s="74"/>
      <c r="G585" s="74"/>
      <c r="H585" s="74"/>
      <c r="I585" s="74"/>
      <c r="J585" s="90"/>
      <c r="K585" s="74"/>
      <c r="L585" s="74"/>
      <c r="M585" s="74"/>
      <c r="N585" s="74"/>
      <c r="O585" s="40"/>
      <c r="P585" s="40"/>
      <c r="Q585" s="45"/>
      <c r="R585" s="40"/>
      <c r="S585" s="40"/>
      <c r="T585" s="74"/>
      <c r="U585" s="74"/>
      <c r="V585" s="74"/>
      <c r="W585" s="74"/>
      <c r="X585" s="76"/>
      <c r="Y585" s="76"/>
      <c r="Z585" s="76"/>
      <c r="AA585" s="76"/>
    </row>
    <row r="586" spans="4:27" ht="13.2">
      <c r="D586" s="40"/>
      <c r="E586" s="40"/>
      <c r="F586" s="74"/>
      <c r="G586" s="74"/>
      <c r="H586" s="74"/>
      <c r="I586" s="74"/>
      <c r="J586" s="90"/>
      <c r="K586" s="74"/>
      <c r="L586" s="74"/>
      <c r="M586" s="74"/>
      <c r="N586" s="74"/>
      <c r="O586" s="40"/>
      <c r="P586" s="40"/>
      <c r="Q586" s="45"/>
      <c r="R586" s="40"/>
      <c r="S586" s="40"/>
      <c r="T586" s="74"/>
      <c r="U586" s="74"/>
      <c r="V586" s="74"/>
      <c r="W586" s="74"/>
      <c r="X586" s="76"/>
      <c r="Y586" s="76"/>
      <c r="Z586" s="76"/>
      <c r="AA586" s="76"/>
    </row>
    <row r="587" spans="4:27" ht="13.2">
      <c r="D587" s="40"/>
      <c r="E587" s="40"/>
      <c r="F587" s="74"/>
      <c r="G587" s="74"/>
      <c r="H587" s="74"/>
      <c r="I587" s="74"/>
      <c r="J587" s="90"/>
      <c r="K587" s="74"/>
      <c r="L587" s="74"/>
      <c r="M587" s="74"/>
      <c r="N587" s="74"/>
      <c r="O587" s="40"/>
      <c r="P587" s="40"/>
      <c r="Q587" s="45"/>
      <c r="R587" s="40"/>
      <c r="S587" s="40"/>
      <c r="T587" s="74"/>
      <c r="U587" s="74"/>
      <c r="V587" s="74"/>
      <c r="W587" s="74"/>
      <c r="X587" s="76"/>
      <c r="Y587" s="76"/>
      <c r="Z587" s="76"/>
      <c r="AA587" s="76"/>
    </row>
    <row r="588" spans="4:27" ht="13.2">
      <c r="D588" s="40"/>
      <c r="E588" s="40"/>
      <c r="F588" s="74"/>
      <c r="G588" s="74"/>
      <c r="H588" s="74"/>
      <c r="I588" s="74"/>
      <c r="J588" s="90"/>
      <c r="K588" s="74"/>
      <c r="L588" s="74"/>
      <c r="M588" s="74"/>
      <c r="N588" s="74"/>
      <c r="O588" s="40"/>
      <c r="P588" s="40"/>
      <c r="Q588" s="45"/>
      <c r="R588" s="40"/>
      <c r="S588" s="40"/>
      <c r="T588" s="74"/>
      <c r="U588" s="74"/>
      <c r="V588" s="74"/>
      <c r="W588" s="74"/>
      <c r="X588" s="76"/>
      <c r="Y588" s="76"/>
      <c r="Z588" s="76"/>
      <c r="AA588" s="76"/>
    </row>
    <row r="589" spans="4:27" ht="13.2">
      <c r="D589" s="40"/>
      <c r="E589" s="40"/>
      <c r="F589" s="74"/>
      <c r="G589" s="74"/>
      <c r="H589" s="74"/>
      <c r="I589" s="74"/>
      <c r="J589" s="90"/>
      <c r="K589" s="74"/>
      <c r="L589" s="74"/>
      <c r="M589" s="74"/>
      <c r="N589" s="74"/>
      <c r="O589" s="40"/>
      <c r="P589" s="40"/>
      <c r="Q589" s="45"/>
      <c r="R589" s="40"/>
      <c r="S589" s="40"/>
      <c r="T589" s="74"/>
      <c r="U589" s="74"/>
      <c r="V589" s="74"/>
      <c r="W589" s="74"/>
      <c r="X589" s="76"/>
      <c r="Y589" s="76"/>
      <c r="Z589" s="76"/>
      <c r="AA589" s="76"/>
    </row>
    <row r="590" spans="4:27" ht="13.2">
      <c r="D590" s="40"/>
      <c r="E590" s="40"/>
      <c r="F590" s="74"/>
      <c r="G590" s="74"/>
      <c r="H590" s="74"/>
      <c r="I590" s="74"/>
      <c r="J590" s="90"/>
      <c r="K590" s="74"/>
      <c r="L590" s="74"/>
      <c r="M590" s="74"/>
      <c r="N590" s="74"/>
      <c r="O590" s="40"/>
      <c r="P590" s="40"/>
      <c r="Q590" s="45"/>
      <c r="R590" s="40"/>
      <c r="S590" s="40"/>
      <c r="T590" s="74"/>
      <c r="U590" s="74"/>
      <c r="V590" s="74"/>
      <c r="W590" s="74"/>
      <c r="X590" s="76"/>
      <c r="Y590" s="76"/>
      <c r="Z590" s="76"/>
      <c r="AA590" s="76"/>
    </row>
    <row r="591" spans="4:27" ht="13.2">
      <c r="D591" s="40"/>
      <c r="E591" s="40"/>
      <c r="F591" s="74"/>
      <c r="G591" s="74"/>
      <c r="H591" s="74"/>
      <c r="I591" s="74"/>
      <c r="J591" s="90"/>
      <c r="K591" s="74"/>
      <c r="L591" s="74"/>
      <c r="M591" s="74"/>
      <c r="N591" s="74"/>
      <c r="O591" s="40"/>
      <c r="P591" s="40"/>
      <c r="Q591" s="45"/>
      <c r="R591" s="40"/>
      <c r="S591" s="40"/>
      <c r="T591" s="74"/>
      <c r="U591" s="74"/>
      <c r="V591" s="74"/>
      <c r="W591" s="74"/>
      <c r="X591" s="76"/>
      <c r="Y591" s="76"/>
      <c r="Z591" s="76"/>
      <c r="AA591" s="76"/>
    </row>
    <row r="592" spans="4:27" ht="13.2">
      <c r="D592" s="40"/>
      <c r="E592" s="40"/>
      <c r="F592" s="74"/>
      <c r="G592" s="74"/>
      <c r="H592" s="74"/>
      <c r="I592" s="74"/>
      <c r="J592" s="90"/>
      <c r="K592" s="74"/>
      <c r="L592" s="74"/>
      <c r="M592" s="74"/>
      <c r="N592" s="74"/>
      <c r="O592" s="40"/>
      <c r="P592" s="40"/>
      <c r="Q592" s="45"/>
      <c r="R592" s="40"/>
      <c r="S592" s="40"/>
      <c r="T592" s="74"/>
      <c r="U592" s="74"/>
      <c r="V592" s="74"/>
      <c r="W592" s="74"/>
      <c r="X592" s="76"/>
      <c r="Y592" s="76"/>
      <c r="Z592" s="76"/>
      <c r="AA592" s="76"/>
    </row>
    <row r="593" spans="4:27" ht="13.2">
      <c r="D593" s="40"/>
      <c r="E593" s="40"/>
      <c r="F593" s="74"/>
      <c r="G593" s="74"/>
      <c r="H593" s="74"/>
      <c r="I593" s="74"/>
      <c r="J593" s="90"/>
      <c r="K593" s="74"/>
      <c r="L593" s="74"/>
      <c r="M593" s="74"/>
      <c r="N593" s="74"/>
      <c r="O593" s="40"/>
      <c r="P593" s="40"/>
      <c r="Q593" s="45"/>
      <c r="R593" s="40"/>
      <c r="S593" s="40"/>
      <c r="T593" s="74"/>
      <c r="U593" s="74"/>
      <c r="V593" s="74"/>
      <c r="W593" s="74"/>
      <c r="X593" s="76"/>
      <c r="Y593" s="76"/>
      <c r="Z593" s="76"/>
      <c r="AA593" s="76"/>
    </row>
    <row r="594" spans="4:27" ht="13.2">
      <c r="D594" s="40"/>
      <c r="E594" s="40"/>
      <c r="F594" s="74"/>
      <c r="G594" s="74"/>
      <c r="H594" s="74"/>
      <c r="I594" s="74"/>
      <c r="J594" s="90"/>
      <c r="K594" s="74"/>
      <c r="L594" s="74"/>
      <c r="M594" s="74"/>
      <c r="N594" s="74"/>
      <c r="O594" s="40"/>
      <c r="P594" s="40"/>
      <c r="Q594" s="45"/>
      <c r="R594" s="40"/>
      <c r="S594" s="40"/>
      <c r="T594" s="74"/>
      <c r="U594" s="74"/>
      <c r="V594" s="74"/>
      <c r="W594" s="74"/>
      <c r="X594" s="76"/>
      <c r="Y594" s="76"/>
      <c r="Z594" s="76"/>
      <c r="AA594" s="76"/>
    </row>
    <row r="595" spans="4:27" ht="13.2">
      <c r="D595" s="40"/>
      <c r="E595" s="40"/>
      <c r="F595" s="74"/>
      <c r="G595" s="74"/>
      <c r="H595" s="74"/>
      <c r="I595" s="74"/>
      <c r="J595" s="90"/>
      <c r="K595" s="74"/>
      <c r="L595" s="74"/>
      <c r="M595" s="74"/>
      <c r="N595" s="74"/>
      <c r="O595" s="40"/>
      <c r="P595" s="40"/>
      <c r="Q595" s="45"/>
      <c r="R595" s="40"/>
      <c r="S595" s="40"/>
      <c r="T595" s="74"/>
      <c r="U595" s="74"/>
      <c r="V595" s="74"/>
      <c r="W595" s="74"/>
      <c r="X595" s="76"/>
      <c r="Y595" s="76"/>
      <c r="Z595" s="76"/>
      <c r="AA595" s="76"/>
    </row>
    <row r="596" spans="4:27" ht="13.2">
      <c r="D596" s="40"/>
      <c r="E596" s="40"/>
      <c r="F596" s="74"/>
      <c r="G596" s="74"/>
      <c r="H596" s="74"/>
      <c r="I596" s="74"/>
      <c r="J596" s="90"/>
      <c r="K596" s="74"/>
      <c r="L596" s="74"/>
      <c r="M596" s="74"/>
      <c r="N596" s="74"/>
      <c r="O596" s="40"/>
      <c r="P596" s="40"/>
      <c r="Q596" s="45"/>
      <c r="R596" s="40"/>
      <c r="S596" s="40"/>
      <c r="T596" s="74"/>
      <c r="U596" s="74"/>
      <c r="V596" s="74"/>
      <c r="W596" s="74"/>
      <c r="X596" s="76"/>
      <c r="Y596" s="76"/>
      <c r="Z596" s="76"/>
      <c r="AA596" s="76"/>
    </row>
    <row r="597" spans="4:27" ht="13.2">
      <c r="D597" s="40"/>
      <c r="E597" s="40"/>
      <c r="F597" s="74"/>
      <c r="G597" s="74"/>
      <c r="H597" s="74"/>
      <c r="I597" s="74"/>
      <c r="J597" s="90"/>
      <c r="K597" s="74"/>
      <c r="L597" s="74"/>
      <c r="M597" s="74"/>
      <c r="N597" s="74"/>
      <c r="O597" s="40"/>
      <c r="P597" s="40"/>
      <c r="Q597" s="45"/>
      <c r="R597" s="40"/>
      <c r="S597" s="40"/>
      <c r="T597" s="74"/>
      <c r="U597" s="74"/>
      <c r="V597" s="74"/>
      <c r="W597" s="74"/>
      <c r="X597" s="76"/>
      <c r="Y597" s="76"/>
      <c r="Z597" s="76"/>
      <c r="AA597" s="76"/>
    </row>
    <row r="598" spans="4:27" ht="13.2">
      <c r="D598" s="40"/>
      <c r="E598" s="40"/>
      <c r="F598" s="74"/>
      <c r="G598" s="74"/>
      <c r="H598" s="74"/>
      <c r="I598" s="74"/>
      <c r="J598" s="90"/>
      <c r="K598" s="74"/>
      <c r="L598" s="74"/>
      <c r="M598" s="74"/>
      <c r="N598" s="74"/>
      <c r="O598" s="40"/>
      <c r="P598" s="40"/>
      <c r="Q598" s="45"/>
      <c r="R598" s="40"/>
      <c r="S598" s="40"/>
      <c r="T598" s="74"/>
      <c r="U598" s="74"/>
      <c r="V598" s="74"/>
      <c r="W598" s="74"/>
      <c r="X598" s="76"/>
      <c r="Y598" s="76"/>
      <c r="Z598" s="76"/>
      <c r="AA598" s="76"/>
    </row>
    <row r="599" spans="4:27" ht="13.2">
      <c r="D599" s="40"/>
      <c r="E599" s="40"/>
      <c r="F599" s="74"/>
      <c r="G599" s="74"/>
      <c r="H599" s="74"/>
      <c r="I599" s="74"/>
      <c r="J599" s="90"/>
      <c r="K599" s="74"/>
      <c r="L599" s="74"/>
      <c r="M599" s="74"/>
      <c r="N599" s="74"/>
      <c r="O599" s="40"/>
      <c r="P599" s="40"/>
      <c r="Q599" s="45"/>
      <c r="R599" s="40"/>
      <c r="S599" s="40"/>
      <c r="T599" s="74"/>
      <c r="U599" s="74"/>
      <c r="V599" s="74"/>
      <c r="W599" s="74"/>
      <c r="X599" s="76"/>
      <c r="Y599" s="76"/>
      <c r="Z599" s="76"/>
      <c r="AA599" s="76"/>
    </row>
    <row r="600" spans="4:27" ht="13.2">
      <c r="D600" s="40"/>
      <c r="E600" s="40"/>
      <c r="F600" s="74"/>
      <c r="G600" s="74"/>
      <c r="H600" s="74"/>
      <c r="I600" s="74"/>
      <c r="J600" s="90"/>
      <c r="K600" s="74"/>
      <c r="L600" s="74"/>
      <c r="M600" s="74"/>
      <c r="N600" s="74"/>
      <c r="O600" s="40"/>
      <c r="P600" s="40"/>
      <c r="Q600" s="45"/>
      <c r="R600" s="40"/>
      <c r="S600" s="40"/>
      <c r="T600" s="74"/>
      <c r="U600" s="74"/>
      <c r="V600" s="74"/>
      <c r="W600" s="74"/>
      <c r="X600" s="76"/>
      <c r="Y600" s="76"/>
      <c r="Z600" s="76"/>
      <c r="AA600" s="76"/>
    </row>
    <row r="601" spans="4:27" ht="13.2">
      <c r="D601" s="40"/>
      <c r="E601" s="40"/>
      <c r="F601" s="74"/>
      <c r="G601" s="74"/>
      <c r="H601" s="74"/>
      <c r="I601" s="74"/>
      <c r="J601" s="90"/>
      <c r="K601" s="74"/>
      <c r="L601" s="74"/>
      <c r="M601" s="74"/>
      <c r="N601" s="74"/>
      <c r="O601" s="40"/>
      <c r="P601" s="40"/>
      <c r="Q601" s="45"/>
      <c r="R601" s="40"/>
      <c r="S601" s="40"/>
      <c r="T601" s="74"/>
      <c r="U601" s="74"/>
      <c r="V601" s="74"/>
      <c r="W601" s="74"/>
      <c r="X601" s="76"/>
      <c r="Y601" s="76"/>
      <c r="Z601" s="76"/>
      <c r="AA601" s="76"/>
    </row>
    <row r="602" spans="4:27" ht="13.2">
      <c r="D602" s="40"/>
      <c r="E602" s="40"/>
      <c r="F602" s="74"/>
      <c r="G602" s="74"/>
      <c r="H602" s="74"/>
      <c r="I602" s="74"/>
      <c r="J602" s="90"/>
      <c r="K602" s="74"/>
      <c r="L602" s="74"/>
      <c r="M602" s="74"/>
      <c r="N602" s="74"/>
      <c r="O602" s="40"/>
      <c r="P602" s="40"/>
      <c r="Q602" s="45"/>
      <c r="R602" s="40"/>
      <c r="S602" s="40"/>
      <c r="T602" s="74"/>
      <c r="U602" s="74"/>
      <c r="V602" s="74"/>
      <c r="W602" s="74"/>
      <c r="X602" s="76"/>
      <c r="Y602" s="76"/>
      <c r="Z602" s="76"/>
      <c r="AA602" s="76"/>
    </row>
    <row r="603" spans="4:27" ht="13.2">
      <c r="D603" s="40"/>
      <c r="E603" s="40"/>
      <c r="F603" s="74"/>
      <c r="G603" s="74"/>
      <c r="H603" s="74"/>
      <c r="I603" s="74"/>
      <c r="J603" s="90"/>
      <c r="K603" s="74"/>
      <c r="L603" s="74"/>
      <c r="M603" s="74"/>
      <c r="N603" s="74"/>
      <c r="O603" s="40"/>
      <c r="P603" s="40"/>
      <c r="Q603" s="45"/>
      <c r="R603" s="40"/>
      <c r="S603" s="40"/>
      <c r="T603" s="74"/>
      <c r="U603" s="74"/>
      <c r="V603" s="74"/>
      <c r="W603" s="74"/>
      <c r="X603" s="76"/>
      <c r="Y603" s="76"/>
      <c r="Z603" s="76"/>
      <c r="AA603" s="76"/>
    </row>
    <row r="604" spans="4:27" ht="13.2">
      <c r="D604" s="40"/>
      <c r="E604" s="40"/>
      <c r="F604" s="74"/>
      <c r="G604" s="74"/>
      <c r="H604" s="74"/>
      <c r="I604" s="74"/>
      <c r="J604" s="90"/>
      <c r="K604" s="74"/>
      <c r="L604" s="74"/>
      <c r="M604" s="74"/>
      <c r="N604" s="74"/>
      <c r="O604" s="40"/>
      <c r="P604" s="40"/>
      <c r="Q604" s="45"/>
      <c r="R604" s="40"/>
      <c r="S604" s="40"/>
      <c r="T604" s="74"/>
      <c r="U604" s="74"/>
      <c r="V604" s="74"/>
      <c r="W604" s="74"/>
      <c r="X604" s="76"/>
      <c r="Y604" s="76"/>
      <c r="Z604" s="76"/>
      <c r="AA604" s="76"/>
    </row>
    <row r="605" spans="4:27" ht="13.2">
      <c r="D605" s="40"/>
      <c r="E605" s="40"/>
      <c r="F605" s="74"/>
      <c r="G605" s="74"/>
      <c r="H605" s="74"/>
      <c r="I605" s="74"/>
      <c r="J605" s="90"/>
      <c r="K605" s="74"/>
      <c r="L605" s="74"/>
      <c r="M605" s="74"/>
      <c r="N605" s="74"/>
      <c r="O605" s="40"/>
      <c r="P605" s="40"/>
      <c r="Q605" s="45"/>
      <c r="R605" s="40"/>
      <c r="S605" s="40"/>
      <c r="T605" s="74"/>
      <c r="U605" s="74"/>
      <c r="V605" s="74"/>
      <c r="W605" s="74"/>
      <c r="X605" s="76"/>
      <c r="Y605" s="76"/>
      <c r="Z605" s="76"/>
      <c r="AA605" s="76"/>
    </row>
    <row r="606" spans="4:27" ht="13.2">
      <c r="D606" s="40"/>
      <c r="E606" s="40"/>
      <c r="F606" s="74"/>
      <c r="G606" s="74"/>
      <c r="H606" s="74"/>
      <c r="I606" s="74"/>
      <c r="J606" s="90"/>
      <c r="K606" s="74"/>
      <c r="L606" s="74"/>
      <c r="M606" s="74"/>
      <c r="N606" s="74"/>
      <c r="O606" s="40"/>
      <c r="P606" s="40"/>
      <c r="Q606" s="45"/>
      <c r="R606" s="40"/>
      <c r="S606" s="40"/>
      <c r="T606" s="74"/>
      <c r="U606" s="74"/>
      <c r="V606" s="74"/>
      <c r="W606" s="74"/>
      <c r="X606" s="76"/>
      <c r="Y606" s="76"/>
      <c r="Z606" s="76"/>
      <c r="AA606" s="76"/>
    </row>
    <row r="607" spans="4:27" ht="13.2">
      <c r="D607" s="40"/>
      <c r="E607" s="40"/>
      <c r="F607" s="74"/>
      <c r="G607" s="74"/>
      <c r="H607" s="74"/>
      <c r="I607" s="74"/>
      <c r="J607" s="90"/>
      <c r="K607" s="74"/>
      <c r="L607" s="74"/>
      <c r="M607" s="74"/>
      <c r="N607" s="74"/>
      <c r="O607" s="40"/>
      <c r="P607" s="40"/>
      <c r="Q607" s="45"/>
      <c r="R607" s="40"/>
      <c r="S607" s="40"/>
      <c r="T607" s="74"/>
      <c r="U607" s="74"/>
      <c r="V607" s="74"/>
      <c r="W607" s="74"/>
      <c r="X607" s="76"/>
      <c r="Y607" s="76"/>
      <c r="Z607" s="76"/>
      <c r="AA607" s="76"/>
    </row>
    <row r="608" spans="4:27" ht="13.2">
      <c r="D608" s="40"/>
      <c r="E608" s="40"/>
      <c r="F608" s="74"/>
      <c r="G608" s="74"/>
      <c r="H608" s="74"/>
      <c r="I608" s="74"/>
      <c r="J608" s="90"/>
      <c r="K608" s="74"/>
      <c r="L608" s="74"/>
      <c r="M608" s="74"/>
      <c r="N608" s="74"/>
      <c r="O608" s="40"/>
      <c r="P608" s="40"/>
      <c r="Q608" s="45"/>
      <c r="R608" s="40"/>
      <c r="S608" s="40"/>
      <c r="T608" s="74"/>
      <c r="U608" s="74"/>
      <c r="V608" s="74"/>
      <c r="W608" s="74"/>
      <c r="X608" s="76"/>
      <c r="Y608" s="76"/>
      <c r="Z608" s="76"/>
      <c r="AA608" s="76"/>
    </row>
    <row r="609" spans="4:27" ht="13.2">
      <c r="D609" s="40"/>
      <c r="E609" s="40"/>
      <c r="F609" s="74"/>
      <c r="G609" s="74"/>
      <c r="H609" s="74"/>
      <c r="I609" s="74"/>
      <c r="J609" s="90"/>
      <c r="K609" s="74"/>
      <c r="L609" s="74"/>
      <c r="M609" s="74"/>
      <c r="N609" s="74"/>
      <c r="O609" s="40"/>
      <c r="P609" s="40"/>
      <c r="Q609" s="45"/>
      <c r="R609" s="40"/>
      <c r="S609" s="40"/>
      <c r="T609" s="74"/>
      <c r="U609" s="74"/>
      <c r="V609" s="74"/>
      <c r="W609" s="74"/>
      <c r="X609" s="76"/>
      <c r="Y609" s="76"/>
      <c r="Z609" s="76"/>
      <c r="AA609" s="76"/>
    </row>
    <row r="610" spans="4:27" ht="13.2">
      <c r="D610" s="40"/>
      <c r="E610" s="40"/>
      <c r="F610" s="74"/>
      <c r="G610" s="74"/>
      <c r="H610" s="74"/>
      <c r="I610" s="74"/>
      <c r="J610" s="90"/>
      <c r="K610" s="74"/>
      <c r="L610" s="74"/>
      <c r="M610" s="74"/>
      <c r="N610" s="74"/>
      <c r="O610" s="40"/>
      <c r="P610" s="40"/>
      <c r="Q610" s="45"/>
      <c r="R610" s="40"/>
      <c r="S610" s="40"/>
      <c r="T610" s="74"/>
      <c r="U610" s="74"/>
      <c r="V610" s="74"/>
      <c r="W610" s="74"/>
      <c r="X610" s="76"/>
      <c r="Y610" s="76"/>
      <c r="Z610" s="76"/>
      <c r="AA610" s="76"/>
    </row>
    <row r="611" spans="4:27" ht="13.2">
      <c r="D611" s="40"/>
      <c r="E611" s="40"/>
      <c r="F611" s="74"/>
      <c r="G611" s="74"/>
      <c r="H611" s="74"/>
      <c r="I611" s="74"/>
      <c r="J611" s="90"/>
      <c r="K611" s="74"/>
      <c r="L611" s="74"/>
      <c r="M611" s="74"/>
      <c r="N611" s="74"/>
      <c r="O611" s="40"/>
      <c r="P611" s="40"/>
      <c r="Q611" s="45"/>
      <c r="R611" s="40"/>
      <c r="S611" s="40"/>
      <c r="T611" s="74"/>
      <c r="U611" s="74"/>
      <c r="V611" s="74"/>
      <c r="W611" s="74"/>
      <c r="X611" s="76"/>
      <c r="Y611" s="76"/>
      <c r="Z611" s="76"/>
      <c r="AA611" s="76"/>
    </row>
    <row r="612" spans="4:27" ht="13.2">
      <c r="D612" s="40"/>
      <c r="E612" s="40"/>
      <c r="F612" s="74"/>
      <c r="G612" s="74"/>
      <c r="H612" s="74"/>
      <c r="I612" s="74"/>
      <c r="J612" s="90"/>
      <c r="K612" s="74"/>
      <c r="L612" s="74"/>
      <c r="M612" s="74"/>
      <c r="N612" s="74"/>
      <c r="O612" s="40"/>
      <c r="P612" s="40"/>
      <c r="Q612" s="45"/>
      <c r="R612" s="40"/>
      <c r="S612" s="40"/>
      <c r="T612" s="74"/>
      <c r="U612" s="74"/>
      <c r="V612" s="74"/>
      <c r="W612" s="74"/>
      <c r="X612" s="76"/>
      <c r="Y612" s="76"/>
      <c r="Z612" s="76"/>
      <c r="AA612" s="76"/>
    </row>
    <row r="613" spans="4:27" ht="13.2">
      <c r="D613" s="40"/>
      <c r="E613" s="40"/>
      <c r="F613" s="74"/>
      <c r="G613" s="74"/>
      <c r="H613" s="74"/>
      <c r="I613" s="74"/>
      <c r="J613" s="90"/>
      <c r="K613" s="74"/>
      <c r="L613" s="74"/>
      <c r="M613" s="74"/>
      <c r="N613" s="74"/>
      <c r="O613" s="40"/>
      <c r="P613" s="40"/>
      <c r="Q613" s="45"/>
      <c r="R613" s="40"/>
      <c r="S613" s="40"/>
      <c r="T613" s="74"/>
      <c r="U613" s="74"/>
      <c r="V613" s="74"/>
      <c r="W613" s="74"/>
      <c r="X613" s="76"/>
      <c r="Y613" s="76"/>
      <c r="Z613" s="76"/>
      <c r="AA613" s="76"/>
    </row>
    <row r="614" spans="4:27" ht="13.2">
      <c r="D614" s="40"/>
      <c r="E614" s="40"/>
      <c r="F614" s="74"/>
      <c r="G614" s="74"/>
      <c r="H614" s="74"/>
      <c r="I614" s="74"/>
      <c r="J614" s="90"/>
      <c r="K614" s="74"/>
      <c r="L614" s="74"/>
      <c r="M614" s="74"/>
      <c r="N614" s="74"/>
      <c r="O614" s="40"/>
      <c r="P614" s="40"/>
      <c r="Q614" s="45"/>
      <c r="R614" s="40"/>
      <c r="S614" s="40"/>
      <c r="T614" s="74"/>
      <c r="U614" s="74"/>
      <c r="V614" s="74"/>
      <c r="W614" s="74"/>
      <c r="X614" s="76"/>
      <c r="Y614" s="76"/>
      <c r="Z614" s="76"/>
      <c r="AA614" s="76"/>
    </row>
    <row r="615" spans="4:27" ht="13.2">
      <c r="D615" s="40"/>
      <c r="E615" s="40"/>
      <c r="F615" s="74"/>
      <c r="G615" s="74"/>
      <c r="H615" s="74"/>
      <c r="I615" s="74"/>
      <c r="J615" s="90"/>
      <c r="K615" s="74"/>
      <c r="L615" s="74"/>
      <c r="M615" s="74"/>
      <c r="N615" s="74"/>
      <c r="O615" s="40"/>
      <c r="P615" s="40"/>
      <c r="Q615" s="45"/>
      <c r="R615" s="40"/>
      <c r="S615" s="40"/>
      <c r="T615" s="74"/>
      <c r="U615" s="74"/>
      <c r="V615" s="74"/>
      <c r="W615" s="74"/>
      <c r="X615" s="76"/>
      <c r="Y615" s="76"/>
      <c r="Z615" s="76"/>
      <c r="AA615" s="76"/>
    </row>
    <row r="616" spans="4:27" ht="13.2">
      <c r="D616" s="40"/>
      <c r="E616" s="40"/>
      <c r="F616" s="74"/>
      <c r="G616" s="74"/>
      <c r="H616" s="74"/>
      <c r="I616" s="74"/>
      <c r="J616" s="90"/>
      <c r="K616" s="74"/>
      <c r="L616" s="74"/>
      <c r="M616" s="74"/>
      <c r="N616" s="74"/>
      <c r="O616" s="40"/>
      <c r="P616" s="40"/>
      <c r="Q616" s="45"/>
      <c r="R616" s="40"/>
      <c r="S616" s="40"/>
      <c r="T616" s="74"/>
      <c r="U616" s="74"/>
      <c r="V616" s="74"/>
      <c r="W616" s="74"/>
      <c r="X616" s="76"/>
      <c r="Y616" s="76"/>
      <c r="Z616" s="76"/>
      <c r="AA616" s="76"/>
    </row>
    <row r="617" spans="4:27" ht="13.2">
      <c r="D617" s="40"/>
      <c r="E617" s="40"/>
      <c r="F617" s="74"/>
      <c r="G617" s="74"/>
      <c r="H617" s="74"/>
      <c r="I617" s="74"/>
      <c r="J617" s="90"/>
      <c r="K617" s="74"/>
      <c r="L617" s="74"/>
      <c r="M617" s="74"/>
      <c r="N617" s="74"/>
      <c r="O617" s="40"/>
      <c r="P617" s="40"/>
      <c r="Q617" s="45"/>
      <c r="R617" s="40"/>
      <c r="S617" s="40"/>
      <c r="T617" s="74"/>
      <c r="U617" s="74"/>
      <c r="V617" s="74"/>
      <c r="W617" s="74"/>
      <c r="X617" s="76"/>
      <c r="Y617" s="76"/>
      <c r="Z617" s="76"/>
      <c r="AA617" s="76"/>
    </row>
    <row r="618" spans="4:27" ht="13.2">
      <c r="D618" s="40"/>
      <c r="E618" s="40"/>
      <c r="F618" s="74"/>
      <c r="G618" s="74"/>
      <c r="H618" s="74"/>
      <c r="I618" s="74"/>
      <c r="J618" s="90"/>
      <c r="K618" s="74"/>
      <c r="L618" s="74"/>
      <c r="M618" s="74"/>
      <c r="N618" s="74"/>
      <c r="O618" s="40"/>
      <c r="P618" s="40"/>
      <c r="Q618" s="45"/>
      <c r="R618" s="40"/>
      <c r="S618" s="40"/>
      <c r="T618" s="74"/>
      <c r="U618" s="74"/>
      <c r="V618" s="74"/>
      <c r="W618" s="74"/>
      <c r="X618" s="76"/>
      <c r="Y618" s="76"/>
      <c r="Z618" s="76"/>
      <c r="AA618" s="76"/>
    </row>
    <row r="619" spans="4:27" ht="13.2">
      <c r="D619" s="40"/>
      <c r="E619" s="40"/>
      <c r="F619" s="74"/>
      <c r="G619" s="74"/>
      <c r="H619" s="74"/>
      <c r="I619" s="74"/>
      <c r="J619" s="90"/>
      <c r="K619" s="74"/>
      <c r="L619" s="74"/>
      <c r="M619" s="74"/>
      <c r="N619" s="74"/>
      <c r="O619" s="40"/>
      <c r="P619" s="40"/>
      <c r="Q619" s="45"/>
      <c r="R619" s="40"/>
      <c r="S619" s="40"/>
      <c r="T619" s="74"/>
      <c r="U619" s="74"/>
      <c r="V619" s="74"/>
      <c r="W619" s="74"/>
      <c r="X619" s="76"/>
      <c r="Y619" s="76"/>
      <c r="Z619" s="76"/>
      <c r="AA619" s="76"/>
    </row>
    <row r="620" spans="4:27" ht="13.2">
      <c r="D620" s="40"/>
      <c r="E620" s="40"/>
      <c r="F620" s="74"/>
      <c r="G620" s="74"/>
      <c r="H620" s="74"/>
      <c r="I620" s="74"/>
      <c r="J620" s="90"/>
      <c r="K620" s="74"/>
      <c r="L620" s="74"/>
      <c r="M620" s="74"/>
      <c r="N620" s="74"/>
      <c r="O620" s="40"/>
      <c r="P620" s="40"/>
      <c r="Q620" s="45"/>
      <c r="R620" s="40"/>
      <c r="S620" s="40"/>
      <c r="T620" s="74"/>
      <c r="U620" s="74"/>
      <c r="V620" s="74"/>
      <c r="W620" s="74"/>
      <c r="X620" s="76"/>
      <c r="Y620" s="76"/>
      <c r="Z620" s="76"/>
      <c r="AA620" s="76"/>
    </row>
    <row r="621" spans="4:27" ht="13.2">
      <c r="D621" s="40"/>
      <c r="E621" s="40"/>
      <c r="F621" s="74"/>
      <c r="G621" s="74"/>
      <c r="H621" s="74"/>
      <c r="I621" s="74"/>
      <c r="J621" s="90"/>
      <c r="K621" s="74"/>
      <c r="L621" s="74"/>
      <c r="M621" s="74"/>
      <c r="N621" s="74"/>
      <c r="O621" s="40"/>
      <c r="P621" s="40"/>
      <c r="Q621" s="45"/>
      <c r="R621" s="40"/>
      <c r="S621" s="40"/>
      <c r="T621" s="74"/>
      <c r="U621" s="74"/>
      <c r="V621" s="74"/>
      <c r="W621" s="74"/>
      <c r="X621" s="76"/>
      <c r="Y621" s="76"/>
      <c r="Z621" s="76"/>
      <c r="AA621" s="76"/>
    </row>
    <row r="622" spans="4:27" ht="13.2">
      <c r="D622" s="40"/>
      <c r="E622" s="40"/>
      <c r="F622" s="74"/>
      <c r="G622" s="74"/>
      <c r="H622" s="74"/>
      <c r="I622" s="74"/>
      <c r="J622" s="90"/>
      <c r="K622" s="74"/>
      <c r="L622" s="74"/>
      <c r="M622" s="74"/>
      <c r="N622" s="74"/>
      <c r="O622" s="40"/>
      <c r="P622" s="40"/>
      <c r="Q622" s="45"/>
      <c r="R622" s="40"/>
      <c r="S622" s="40"/>
      <c r="T622" s="74"/>
      <c r="U622" s="74"/>
      <c r="V622" s="74"/>
      <c r="W622" s="74"/>
      <c r="X622" s="76"/>
      <c r="Y622" s="76"/>
      <c r="Z622" s="76"/>
      <c r="AA622" s="76"/>
    </row>
    <row r="623" spans="4:27" ht="13.2">
      <c r="D623" s="40"/>
      <c r="E623" s="40"/>
      <c r="F623" s="74"/>
      <c r="G623" s="74"/>
      <c r="H623" s="74"/>
      <c r="I623" s="74"/>
      <c r="J623" s="90"/>
      <c r="K623" s="74"/>
      <c r="L623" s="74"/>
      <c r="M623" s="74"/>
      <c r="N623" s="74"/>
      <c r="O623" s="40"/>
      <c r="P623" s="40"/>
      <c r="Q623" s="45"/>
      <c r="R623" s="40"/>
      <c r="S623" s="40"/>
      <c r="T623" s="74"/>
      <c r="U623" s="74"/>
      <c r="V623" s="74"/>
      <c r="W623" s="74"/>
      <c r="X623" s="76"/>
      <c r="Y623" s="76"/>
      <c r="Z623" s="76"/>
      <c r="AA623" s="76"/>
    </row>
    <row r="624" spans="4:27" ht="13.2">
      <c r="D624" s="40"/>
      <c r="E624" s="40"/>
      <c r="F624" s="74"/>
      <c r="G624" s="74"/>
      <c r="H624" s="74"/>
      <c r="I624" s="74"/>
      <c r="J624" s="90"/>
      <c r="K624" s="74"/>
      <c r="L624" s="74"/>
      <c r="M624" s="74"/>
      <c r="N624" s="74"/>
      <c r="O624" s="40"/>
      <c r="P624" s="40"/>
      <c r="Q624" s="45"/>
      <c r="R624" s="40"/>
      <c r="S624" s="40"/>
      <c r="T624" s="74"/>
      <c r="U624" s="74"/>
      <c r="V624" s="74"/>
      <c r="W624" s="74"/>
      <c r="X624" s="76"/>
      <c r="Y624" s="76"/>
      <c r="Z624" s="76"/>
      <c r="AA624" s="76"/>
    </row>
    <row r="625" spans="4:27" ht="13.2">
      <c r="D625" s="40"/>
      <c r="E625" s="40"/>
      <c r="F625" s="74"/>
      <c r="G625" s="74"/>
      <c r="H625" s="74"/>
      <c r="I625" s="74"/>
      <c r="J625" s="90"/>
      <c r="K625" s="74"/>
      <c r="L625" s="74"/>
      <c r="M625" s="74"/>
      <c r="N625" s="74"/>
      <c r="O625" s="40"/>
      <c r="P625" s="40"/>
      <c r="Q625" s="45"/>
      <c r="R625" s="40"/>
      <c r="S625" s="40"/>
      <c r="T625" s="74"/>
      <c r="U625" s="74"/>
      <c r="V625" s="74"/>
      <c r="W625" s="74"/>
      <c r="X625" s="76"/>
      <c r="Y625" s="76"/>
      <c r="Z625" s="76"/>
      <c r="AA625" s="76"/>
    </row>
    <row r="626" spans="4:27" ht="13.2">
      <c r="D626" s="40"/>
      <c r="E626" s="40"/>
      <c r="F626" s="74"/>
      <c r="G626" s="74"/>
      <c r="H626" s="74"/>
      <c r="I626" s="74"/>
      <c r="J626" s="90"/>
      <c r="K626" s="74"/>
      <c r="L626" s="74"/>
      <c r="M626" s="74"/>
      <c r="N626" s="74"/>
      <c r="O626" s="40"/>
      <c r="P626" s="40"/>
      <c r="Q626" s="45"/>
      <c r="R626" s="40"/>
      <c r="S626" s="40"/>
      <c r="T626" s="74"/>
      <c r="U626" s="74"/>
      <c r="V626" s="74"/>
      <c r="W626" s="74"/>
      <c r="X626" s="76"/>
      <c r="Y626" s="76"/>
      <c r="Z626" s="76"/>
      <c r="AA626" s="76"/>
    </row>
    <row r="627" spans="4:27" ht="13.2">
      <c r="D627" s="40"/>
      <c r="E627" s="40"/>
      <c r="F627" s="74"/>
      <c r="G627" s="74"/>
      <c r="H627" s="74"/>
      <c r="I627" s="74"/>
      <c r="J627" s="90"/>
      <c r="K627" s="74"/>
      <c r="L627" s="74"/>
      <c r="M627" s="74"/>
      <c r="N627" s="74"/>
      <c r="O627" s="40"/>
      <c r="P627" s="40"/>
      <c r="Q627" s="45"/>
      <c r="R627" s="40"/>
      <c r="S627" s="40"/>
      <c r="T627" s="74"/>
      <c r="U627" s="74"/>
      <c r="V627" s="74"/>
      <c r="W627" s="74"/>
      <c r="X627" s="76"/>
      <c r="Y627" s="76"/>
      <c r="Z627" s="76"/>
      <c r="AA627" s="76"/>
    </row>
    <row r="628" spans="4:27" ht="13.2">
      <c r="D628" s="40"/>
      <c r="E628" s="40"/>
      <c r="F628" s="74"/>
      <c r="G628" s="74"/>
      <c r="H628" s="74"/>
      <c r="I628" s="74"/>
      <c r="J628" s="90"/>
      <c r="K628" s="74"/>
      <c r="L628" s="74"/>
      <c r="M628" s="74"/>
      <c r="N628" s="74"/>
      <c r="O628" s="40"/>
      <c r="P628" s="40"/>
      <c r="Q628" s="45"/>
      <c r="R628" s="40"/>
      <c r="S628" s="40"/>
      <c r="T628" s="74"/>
      <c r="U628" s="74"/>
      <c r="V628" s="74"/>
      <c r="W628" s="74"/>
      <c r="X628" s="76"/>
      <c r="Y628" s="76"/>
      <c r="Z628" s="76"/>
      <c r="AA628" s="76"/>
    </row>
    <row r="629" spans="4:27" ht="13.2">
      <c r="D629" s="40"/>
      <c r="E629" s="40"/>
      <c r="F629" s="74"/>
      <c r="G629" s="74"/>
      <c r="H629" s="74"/>
      <c r="I629" s="74"/>
      <c r="J629" s="90"/>
      <c r="K629" s="74"/>
      <c r="L629" s="74"/>
      <c r="M629" s="74"/>
      <c r="N629" s="74"/>
      <c r="O629" s="40"/>
      <c r="P629" s="40"/>
      <c r="Q629" s="45"/>
      <c r="R629" s="40"/>
      <c r="S629" s="40"/>
      <c r="T629" s="74"/>
      <c r="U629" s="74"/>
      <c r="V629" s="74"/>
      <c r="W629" s="74"/>
      <c r="X629" s="76"/>
      <c r="Y629" s="76"/>
      <c r="Z629" s="76"/>
      <c r="AA629" s="76"/>
    </row>
    <row r="630" spans="4:27" ht="13.2">
      <c r="D630" s="40"/>
      <c r="E630" s="40"/>
      <c r="F630" s="74"/>
      <c r="G630" s="74"/>
      <c r="H630" s="74"/>
      <c r="I630" s="74"/>
      <c r="J630" s="90"/>
      <c r="K630" s="74"/>
      <c r="L630" s="74"/>
      <c r="M630" s="74"/>
      <c r="N630" s="74"/>
      <c r="O630" s="40"/>
      <c r="P630" s="40"/>
      <c r="Q630" s="45"/>
      <c r="R630" s="40"/>
      <c r="S630" s="40"/>
      <c r="T630" s="74"/>
      <c r="U630" s="74"/>
      <c r="V630" s="74"/>
      <c r="W630" s="74"/>
      <c r="X630" s="76"/>
      <c r="Y630" s="76"/>
      <c r="Z630" s="76"/>
      <c r="AA630" s="76"/>
    </row>
    <row r="631" spans="4:27" ht="13.2">
      <c r="D631" s="40"/>
      <c r="E631" s="40"/>
      <c r="F631" s="74"/>
      <c r="G631" s="74"/>
      <c r="H631" s="74"/>
      <c r="I631" s="74"/>
      <c r="J631" s="90"/>
      <c r="K631" s="74"/>
      <c r="L631" s="74"/>
      <c r="M631" s="74"/>
      <c r="N631" s="74"/>
      <c r="O631" s="40"/>
      <c r="P631" s="40"/>
      <c r="Q631" s="45"/>
      <c r="R631" s="40"/>
      <c r="S631" s="40"/>
      <c r="T631" s="74"/>
      <c r="U631" s="74"/>
      <c r="V631" s="74"/>
      <c r="W631" s="74"/>
      <c r="X631" s="76"/>
      <c r="Y631" s="76"/>
      <c r="Z631" s="76"/>
      <c r="AA631" s="76"/>
    </row>
    <row r="632" spans="4:27" ht="13.2">
      <c r="D632" s="40"/>
      <c r="E632" s="40"/>
      <c r="F632" s="74"/>
      <c r="G632" s="74"/>
      <c r="H632" s="74"/>
      <c r="I632" s="74"/>
      <c r="J632" s="90"/>
      <c r="K632" s="74"/>
      <c r="L632" s="74"/>
      <c r="M632" s="74"/>
      <c r="N632" s="74"/>
      <c r="O632" s="40"/>
      <c r="P632" s="40"/>
      <c r="Q632" s="45"/>
      <c r="R632" s="40"/>
      <c r="S632" s="40"/>
      <c r="T632" s="74"/>
      <c r="U632" s="74"/>
      <c r="V632" s="74"/>
      <c r="W632" s="74"/>
      <c r="X632" s="76"/>
      <c r="Y632" s="76"/>
      <c r="Z632" s="76"/>
      <c r="AA632" s="76"/>
    </row>
    <row r="633" spans="4:27" ht="13.2">
      <c r="D633" s="40"/>
      <c r="E633" s="40"/>
      <c r="F633" s="74"/>
      <c r="G633" s="74"/>
      <c r="H633" s="74"/>
      <c r="I633" s="74"/>
      <c r="J633" s="90"/>
      <c r="K633" s="74"/>
      <c r="L633" s="74"/>
      <c r="M633" s="74"/>
      <c r="N633" s="74"/>
      <c r="O633" s="40"/>
      <c r="P633" s="40"/>
      <c r="Q633" s="45"/>
      <c r="R633" s="40"/>
      <c r="S633" s="40"/>
      <c r="T633" s="74"/>
      <c r="U633" s="74"/>
      <c r="V633" s="74"/>
      <c r="W633" s="74"/>
      <c r="X633" s="76"/>
      <c r="Y633" s="76"/>
      <c r="Z633" s="76"/>
      <c r="AA633" s="76"/>
    </row>
    <row r="634" spans="4:27" ht="13.2">
      <c r="D634" s="40"/>
      <c r="E634" s="40"/>
      <c r="F634" s="74"/>
      <c r="G634" s="74"/>
      <c r="H634" s="74"/>
      <c r="I634" s="74"/>
      <c r="J634" s="90"/>
      <c r="K634" s="74"/>
      <c r="L634" s="74"/>
      <c r="M634" s="74"/>
      <c r="N634" s="74"/>
      <c r="O634" s="40"/>
      <c r="P634" s="40"/>
      <c r="Q634" s="45"/>
      <c r="R634" s="40"/>
      <c r="S634" s="40"/>
      <c r="T634" s="74"/>
      <c r="U634" s="74"/>
      <c r="V634" s="74"/>
      <c r="W634" s="74"/>
      <c r="X634" s="76"/>
      <c r="Y634" s="76"/>
      <c r="Z634" s="76"/>
      <c r="AA634" s="76"/>
    </row>
    <row r="635" spans="4:27" ht="13.2">
      <c r="D635" s="40"/>
      <c r="E635" s="40"/>
      <c r="F635" s="74"/>
      <c r="G635" s="74"/>
      <c r="H635" s="74"/>
      <c r="I635" s="74"/>
      <c r="J635" s="90"/>
      <c r="K635" s="74"/>
      <c r="L635" s="74"/>
      <c r="M635" s="74"/>
      <c r="N635" s="74"/>
      <c r="O635" s="40"/>
      <c r="P635" s="40"/>
      <c r="Q635" s="45"/>
      <c r="R635" s="40"/>
      <c r="S635" s="40"/>
      <c r="T635" s="74"/>
      <c r="U635" s="74"/>
      <c r="V635" s="74"/>
      <c r="W635" s="74"/>
      <c r="X635" s="76"/>
      <c r="Y635" s="76"/>
      <c r="Z635" s="76"/>
      <c r="AA635" s="76"/>
    </row>
    <row r="636" spans="4:27" ht="13.2">
      <c r="D636" s="40"/>
      <c r="E636" s="40"/>
      <c r="F636" s="74"/>
      <c r="G636" s="74"/>
      <c r="H636" s="74"/>
      <c r="I636" s="74"/>
      <c r="J636" s="90"/>
      <c r="K636" s="74"/>
      <c r="L636" s="74"/>
      <c r="M636" s="74"/>
      <c r="N636" s="74"/>
      <c r="O636" s="40"/>
      <c r="P636" s="40"/>
      <c r="Q636" s="45"/>
      <c r="R636" s="40"/>
      <c r="S636" s="40"/>
      <c r="T636" s="74"/>
      <c r="U636" s="74"/>
      <c r="V636" s="74"/>
      <c r="W636" s="74"/>
      <c r="X636" s="76"/>
      <c r="Y636" s="76"/>
      <c r="Z636" s="76"/>
      <c r="AA636" s="76"/>
    </row>
    <row r="637" spans="4:27" ht="13.2">
      <c r="D637" s="40"/>
      <c r="E637" s="40"/>
      <c r="F637" s="74"/>
      <c r="G637" s="74"/>
      <c r="H637" s="74"/>
      <c r="I637" s="74"/>
      <c r="J637" s="90"/>
      <c r="K637" s="74"/>
      <c r="L637" s="74"/>
      <c r="M637" s="74"/>
      <c r="N637" s="74"/>
      <c r="O637" s="40"/>
      <c r="P637" s="40"/>
      <c r="Q637" s="45"/>
      <c r="R637" s="40"/>
      <c r="S637" s="40"/>
      <c r="T637" s="74"/>
      <c r="U637" s="74"/>
      <c r="V637" s="74"/>
      <c r="W637" s="74"/>
      <c r="X637" s="76"/>
      <c r="Y637" s="76"/>
      <c r="Z637" s="76"/>
      <c r="AA637" s="76"/>
    </row>
    <row r="638" spans="4:27" ht="13.2">
      <c r="D638" s="40"/>
      <c r="E638" s="40"/>
      <c r="F638" s="74"/>
      <c r="G638" s="74"/>
      <c r="H638" s="74"/>
      <c r="I638" s="74"/>
      <c r="J638" s="90"/>
      <c r="K638" s="74"/>
      <c r="L638" s="74"/>
      <c r="M638" s="74"/>
      <c r="N638" s="74"/>
      <c r="O638" s="40"/>
      <c r="P638" s="40"/>
      <c r="Q638" s="45"/>
      <c r="R638" s="40"/>
      <c r="S638" s="40"/>
      <c r="T638" s="74"/>
      <c r="U638" s="74"/>
      <c r="V638" s="74"/>
      <c r="W638" s="74"/>
      <c r="X638" s="76"/>
      <c r="Y638" s="76"/>
      <c r="Z638" s="76"/>
      <c r="AA638" s="76"/>
    </row>
    <row r="639" spans="4:27" ht="13.2">
      <c r="D639" s="40"/>
      <c r="E639" s="40"/>
      <c r="F639" s="74"/>
      <c r="G639" s="74"/>
      <c r="H639" s="74"/>
      <c r="I639" s="74"/>
      <c r="J639" s="90"/>
      <c r="K639" s="74"/>
      <c r="L639" s="74"/>
      <c r="M639" s="74"/>
      <c r="N639" s="74"/>
      <c r="O639" s="40"/>
      <c r="P639" s="40"/>
      <c r="Q639" s="45"/>
      <c r="R639" s="40"/>
      <c r="S639" s="40"/>
      <c r="T639" s="74"/>
      <c r="U639" s="74"/>
      <c r="V639" s="74"/>
      <c r="W639" s="74"/>
      <c r="X639" s="76"/>
      <c r="Y639" s="76"/>
      <c r="Z639" s="76"/>
      <c r="AA639" s="76"/>
    </row>
    <row r="640" spans="4:27" ht="13.2">
      <c r="D640" s="40"/>
      <c r="E640" s="40"/>
      <c r="F640" s="74"/>
      <c r="G640" s="74"/>
      <c r="H640" s="74"/>
      <c r="I640" s="74"/>
      <c r="J640" s="90"/>
      <c r="K640" s="74"/>
      <c r="L640" s="74"/>
      <c r="M640" s="74"/>
      <c r="N640" s="74"/>
      <c r="O640" s="40"/>
      <c r="P640" s="40"/>
      <c r="Q640" s="45"/>
      <c r="R640" s="40"/>
      <c r="S640" s="40"/>
      <c r="T640" s="74"/>
      <c r="U640" s="74"/>
      <c r="V640" s="74"/>
      <c r="W640" s="74"/>
      <c r="X640" s="76"/>
      <c r="Y640" s="76"/>
      <c r="Z640" s="76"/>
      <c r="AA640" s="76"/>
    </row>
    <row r="641" spans="4:27" ht="13.2">
      <c r="D641" s="40"/>
      <c r="E641" s="40"/>
      <c r="F641" s="74"/>
      <c r="G641" s="74"/>
      <c r="H641" s="74"/>
      <c r="I641" s="74"/>
      <c r="J641" s="90"/>
      <c r="K641" s="74"/>
      <c r="L641" s="74"/>
      <c r="M641" s="74"/>
      <c r="N641" s="74"/>
      <c r="O641" s="40"/>
      <c r="P641" s="40"/>
      <c r="Q641" s="45"/>
      <c r="R641" s="40"/>
      <c r="S641" s="40"/>
      <c r="T641" s="74"/>
      <c r="U641" s="74"/>
      <c r="V641" s="74"/>
      <c r="W641" s="74"/>
      <c r="X641" s="76"/>
      <c r="Y641" s="76"/>
      <c r="Z641" s="76"/>
      <c r="AA641" s="76"/>
    </row>
    <row r="642" spans="4:27" ht="13.2">
      <c r="D642" s="40"/>
      <c r="E642" s="40"/>
      <c r="F642" s="74"/>
      <c r="G642" s="74"/>
      <c r="H642" s="74"/>
      <c r="I642" s="74"/>
      <c r="J642" s="90"/>
      <c r="K642" s="74"/>
      <c r="L642" s="74"/>
      <c r="M642" s="74"/>
      <c r="N642" s="74"/>
      <c r="O642" s="40"/>
      <c r="P642" s="40"/>
      <c r="Q642" s="45"/>
      <c r="R642" s="40"/>
      <c r="S642" s="40"/>
      <c r="T642" s="74"/>
      <c r="U642" s="74"/>
      <c r="V642" s="74"/>
      <c r="W642" s="74"/>
      <c r="X642" s="76"/>
      <c r="Y642" s="76"/>
      <c r="Z642" s="76"/>
      <c r="AA642" s="76"/>
    </row>
    <row r="643" spans="4:27" ht="13.2">
      <c r="D643" s="40"/>
      <c r="E643" s="40"/>
      <c r="F643" s="74"/>
      <c r="G643" s="74"/>
      <c r="H643" s="74"/>
      <c r="I643" s="74"/>
      <c r="J643" s="90"/>
      <c r="K643" s="74"/>
      <c r="L643" s="74"/>
      <c r="M643" s="74"/>
      <c r="N643" s="74"/>
      <c r="O643" s="40"/>
      <c r="P643" s="40"/>
      <c r="Q643" s="45"/>
      <c r="R643" s="40"/>
      <c r="S643" s="40"/>
      <c r="T643" s="74"/>
      <c r="U643" s="74"/>
      <c r="V643" s="74"/>
      <c r="W643" s="74"/>
      <c r="X643" s="76"/>
      <c r="Y643" s="76"/>
      <c r="Z643" s="76"/>
      <c r="AA643" s="76"/>
    </row>
    <row r="644" spans="4:27" ht="13.2">
      <c r="D644" s="40"/>
      <c r="E644" s="40"/>
      <c r="F644" s="74"/>
      <c r="G644" s="74"/>
      <c r="H644" s="74"/>
      <c r="I644" s="74"/>
      <c r="J644" s="90"/>
      <c r="K644" s="74"/>
      <c r="L644" s="74"/>
      <c r="M644" s="74"/>
      <c r="N644" s="74"/>
      <c r="O644" s="40"/>
      <c r="P644" s="40"/>
      <c r="Q644" s="45"/>
      <c r="R644" s="40"/>
      <c r="S644" s="40"/>
      <c r="T644" s="74"/>
      <c r="U644" s="74"/>
      <c r="V644" s="74"/>
      <c r="W644" s="74"/>
      <c r="X644" s="76"/>
      <c r="Y644" s="76"/>
      <c r="Z644" s="76"/>
      <c r="AA644" s="76"/>
    </row>
    <row r="645" spans="4:27" ht="13.2">
      <c r="D645" s="40"/>
      <c r="E645" s="40"/>
      <c r="F645" s="74"/>
      <c r="G645" s="74"/>
      <c r="H645" s="74"/>
      <c r="I645" s="74"/>
      <c r="J645" s="90"/>
      <c r="K645" s="74"/>
      <c r="L645" s="74"/>
      <c r="M645" s="74"/>
      <c r="N645" s="74"/>
      <c r="O645" s="40"/>
      <c r="P645" s="40"/>
      <c r="Q645" s="45"/>
      <c r="R645" s="40"/>
      <c r="S645" s="40"/>
      <c r="T645" s="74"/>
      <c r="U645" s="74"/>
      <c r="V645" s="74"/>
      <c r="W645" s="74"/>
      <c r="X645" s="76"/>
      <c r="Y645" s="76"/>
      <c r="Z645" s="76"/>
      <c r="AA645" s="76"/>
    </row>
    <row r="646" spans="4:27" ht="13.2">
      <c r="D646" s="40"/>
      <c r="E646" s="40"/>
      <c r="F646" s="74"/>
      <c r="G646" s="74"/>
      <c r="H646" s="74"/>
      <c r="I646" s="74"/>
      <c r="J646" s="90"/>
      <c r="K646" s="74"/>
      <c r="L646" s="74"/>
      <c r="M646" s="74"/>
      <c r="N646" s="74"/>
      <c r="O646" s="40"/>
      <c r="P646" s="40"/>
      <c r="Q646" s="45"/>
      <c r="R646" s="40"/>
      <c r="S646" s="40"/>
      <c r="T646" s="74"/>
      <c r="U646" s="74"/>
      <c r="V646" s="74"/>
      <c r="W646" s="74"/>
      <c r="X646" s="76"/>
      <c r="Y646" s="76"/>
      <c r="Z646" s="76"/>
      <c r="AA646" s="76"/>
    </row>
    <row r="647" spans="4:27" ht="13.2">
      <c r="D647" s="40"/>
      <c r="E647" s="40"/>
      <c r="F647" s="74"/>
      <c r="G647" s="74"/>
      <c r="H647" s="74"/>
      <c r="I647" s="74"/>
      <c r="J647" s="90"/>
      <c r="K647" s="74"/>
      <c r="L647" s="74"/>
      <c r="M647" s="74"/>
      <c r="N647" s="74"/>
      <c r="O647" s="40"/>
      <c r="P647" s="40"/>
      <c r="Q647" s="45"/>
      <c r="R647" s="40"/>
      <c r="S647" s="40"/>
      <c r="T647" s="74"/>
      <c r="U647" s="74"/>
      <c r="V647" s="74"/>
      <c r="W647" s="74"/>
      <c r="X647" s="76"/>
      <c r="Y647" s="76"/>
      <c r="Z647" s="76"/>
      <c r="AA647" s="76"/>
    </row>
    <row r="648" spans="4:27" ht="13.2">
      <c r="D648" s="40"/>
      <c r="E648" s="40"/>
      <c r="F648" s="74"/>
      <c r="G648" s="74"/>
      <c r="H648" s="74"/>
      <c r="I648" s="74"/>
      <c r="J648" s="90"/>
      <c r="K648" s="74"/>
      <c r="L648" s="74"/>
      <c r="M648" s="74"/>
      <c r="N648" s="74"/>
      <c r="O648" s="40"/>
      <c r="P648" s="40"/>
      <c r="Q648" s="45"/>
      <c r="R648" s="40"/>
      <c r="S648" s="40"/>
      <c r="T648" s="74"/>
      <c r="U648" s="74"/>
      <c r="V648" s="74"/>
      <c r="W648" s="74"/>
      <c r="X648" s="76"/>
      <c r="Y648" s="76"/>
      <c r="Z648" s="76"/>
      <c r="AA648" s="76"/>
    </row>
    <row r="649" spans="4:27" ht="13.2">
      <c r="D649" s="40"/>
      <c r="E649" s="40"/>
      <c r="F649" s="74"/>
      <c r="G649" s="74"/>
      <c r="H649" s="74"/>
      <c r="I649" s="74"/>
      <c r="J649" s="90"/>
      <c r="K649" s="74"/>
      <c r="L649" s="74"/>
      <c r="M649" s="74"/>
      <c r="N649" s="74"/>
      <c r="O649" s="40"/>
      <c r="P649" s="40"/>
      <c r="Q649" s="45"/>
      <c r="R649" s="40"/>
      <c r="S649" s="40"/>
      <c r="T649" s="74"/>
      <c r="U649" s="74"/>
      <c r="V649" s="74"/>
      <c r="W649" s="74"/>
      <c r="X649" s="76"/>
      <c r="Y649" s="76"/>
      <c r="Z649" s="76"/>
      <c r="AA649" s="76"/>
    </row>
    <row r="650" spans="4:27" ht="13.2">
      <c r="D650" s="40"/>
      <c r="E650" s="40"/>
      <c r="F650" s="74"/>
      <c r="G650" s="74"/>
      <c r="H650" s="74"/>
      <c r="I650" s="74"/>
      <c r="J650" s="90"/>
      <c r="K650" s="74"/>
      <c r="L650" s="74"/>
      <c r="M650" s="74"/>
      <c r="N650" s="74"/>
      <c r="O650" s="40"/>
      <c r="P650" s="40"/>
      <c r="Q650" s="45"/>
      <c r="R650" s="40"/>
      <c r="S650" s="40"/>
      <c r="T650" s="74"/>
      <c r="U650" s="74"/>
      <c r="V650" s="74"/>
      <c r="W650" s="74"/>
      <c r="X650" s="76"/>
      <c r="Y650" s="76"/>
      <c r="Z650" s="76"/>
      <c r="AA650" s="76"/>
    </row>
    <row r="651" spans="4:27" ht="13.2">
      <c r="D651" s="40"/>
      <c r="E651" s="40"/>
      <c r="F651" s="74"/>
      <c r="G651" s="74"/>
      <c r="H651" s="74"/>
      <c r="I651" s="74"/>
      <c r="J651" s="90"/>
      <c r="K651" s="74"/>
      <c r="L651" s="74"/>
      <c r="M651" s="74"/>
      <c r="N651" s="74"/>
      <c r="O651" s="40"/>
      <c r="P651" s="40"/>
      <c r="Q651" s="45"/>
      <c r="R651" s="40"/>
      <c r="S651" s="40"/>
      <c r="T651" s="74"/>
      <c r="U651" s="74"/>
      <c r="V651" s="74"/>
      <c r="W651" s="74"/>
      <c r="X651" s="76"/>
      <c r="Y651" s="76"/>
      <c r="Z651" s="76"/>
      <c r="AA651" s="76"/>
    </row>
    <row r="652" spans="4:27" ht="13.2">
      <c r="D652" s="40"/>
      <c r="E652" s="40"/>
      <c r="F652" s="74"/>
      <c r="G652" s="74"/>
      <c r="H652" s="74"/>
      <c r="I652" s="74"/>
      <c r="J652" s="90"/>
      <c r="K652" s="74"/>
      <c r="L652" s="74"/>
      <c r="M652" s="74"/>
      <c r="N652" s="74"/>
      <c r="O652" s="40"/>
      <c r="P652" s="40"/>
      <c r="Q652" s="45"/>
      <c r="R652" s="40"/>
      <c r="S652" s="40"/>
      <c r="T652" s="74"/>
      <c r="U652" s="74"/>
      <c r="V652" s="74"/>
      <c r="W652" s="74"/>
      <c r="X652" s="76"/>
      <c r="Y652" s="76"/>
      <c r="Z652" s="76"/>
      <c r="AA652" s="76"/>
    </row>
    <row r="653" spans="4:27" ht="13.2">
      <c r="D653" s="40"/>
      <c r="E653" s="40"/>
      <c r="F653" s="74"/>
      <c r="G653" s="74"/>
      <c r="H653" s="74"/>
      <c r="I653" s="74"/>
      <c r="J653" s="90"/>
      <c r="K653" s="74"/>
      <c r="L653" s="74"/>
      <c r="M653" s="74"/>
      <c r="N653" s="74"/>
      <c r="O653" s="40"/>
      <c r="P653" s="40"/>
      <c r="Q653" s="45"/>
      <c r="R653" s="40"/>
      <c r="S653" s="40"/>
      <c r="T653" s="74"/>
      <c r="U653" s="74"/>
      <c r="V653" s="74"/>
      <c r="W653" s="74"/>
      <c r="X653" s="76"/>
      <c r="Y653" s="76"/>
      <c r="Z653" s="76"/>
      <c r="AA653" s="76"/>
    </row>
    <row r="654" spans="4:27" ht="13.2">
      <c r="D654" s="40"/>
      <c r="E654" s="40"/>
      <c r="F654" s="74"/>
      <c r="G654" s="74"/>
      <c r="H654" s="74"/>
      <c r="I654" s="74"/>
      <c r="J654" s="90"/>
      <c r="K654" s="74"/>
      <c r="L654" s="74"/>
      <c r="M654" s="74"/>
      <c r="N654" s="74"/>
      <c r="O654" s="40"/>
      <c r="P654" s="40"/>
      <c r="Q654" s="45"/>
      <c r="R654" s="40"/>
      <c r="S654" s="40"/>
      <c r="T654" s="74"/>
      <c r="U654" s="74"/>
      <c r="V654" s="74"/>
      <c r="W654" s="74"/>
      <c r="X654" s="76"/>
      <c r="Y654" s="76"/>
      <c r="Z654" s="76"/>
      <c r="AA654" s="76"/>
    </row>
    <row r="655" spans="4:27" ht="13.2">
      <c r="D655" s="40"/>
      <c r="E655" s="40"/>
      <c r="F655" s="74"/>
      <c r="G655" s="74"/>
      <c r="H655" s="74"/>
      <c r="I655" s="74"/>
      <c r="J655" s="90"/>
      <c r="K655" s="74"/>
      <c r="L655" s="74"/>
      <c r="M655" s="74"/>
      <c r="N655" s="74"/>
      <c r="O655" s="40"/>
      <c r="P655" s="40"/>
      <c r="Q655" s="45"/>
      <c r="R655" s="40"/>
      <c r="S655" s="40"/>
      <c r="T655" s="74"/>
      <c r="U655" s="74"/>
      <c r="V655" s="74"/>
      <c r="W655" s="74"/>
      <c r="X655" s="76"/>
      <c r="Y655" s="76"/>
      <c r="Z655" s="76"/>
      <c r="AA655" s="76"/>
    </row>
    <row r="656" spans="4:27" ht="13.2">
      <c r="D656" s="40"/>
      <c r="E656" s="40"/>
      <c r="F656" s="74"/>
      <c r="G656" s="74"/>
      <c r="H656" s="74"/>
      <c r="I656" s="74"/>
      <c r="J656" s="90"/>
      <c r="K656" s="74"/>
      <c r="L656" s="74"/>
      <c r="M656" s="74"/>
      <c r="N656" s="74"/>
      <c r="O656" s="40"/>
      <c r="P656" s="40"/>
      <c r="Q656" s="45"/>
      <c r="R656" s="40"/>
      <c r="S656" s="40"/>
      <c r="T656" s="74"/>
      <c r="U656" s="74"/>
      <c r="V656" s="74"/>
      <c r="W656" s="74"/>
      <c r="X656" s="76"/>
      <c r="Y656" s="76"/>
      <c r="Z656" s="76"/>
      <c r="AA656" s="76"/>
    </row>
    <row r="657" spans="4:27" ht="13.2">
      <c r="D657" s="40"/>
      <c r="E657" s="40"/>
      <c r="F657" s="74"/>
      <c r="G657" s="74"/>
      <c r="H657" s="74"/>
      <c r="I657" s="74"/>
      <c r="J657" s="90"/>
      <c r="K657" s="74"/>
      <c r="L657" s="74"/>
      <c r="M657" s="74"/>
      <c r="N657" s="74"/>
      <c r="O657" s="40"/>
      <c r="P657" s="40"/>
      <c r="Q657" s="45"/>
      <c r="R657" s="40"/>
      <c r="S657" s="40"/>
      <c r="T657" s="74"/>
      <c r="U657" s="74"/>
      <c r="V657" s="74"/>
      <c r="W657" s="74"/>
      <c r="X657" s="76"/>
      <c r="Y657" s="76"/>
      <c r="Z657" s="76"/>
      <c r="AA657" s="76"/>
    </row>
    <row r="658" spans="4:27" ht="13.2">
      <c r="D658" s="40"/>
      <c r="E658" s="40"/>
      <c r="F658" s="74"/>
      <c r="G658" s="74"/>
      <c r="H658" s="74"/>
      <c r="I658" s="74"/>
      <c r="J658" s="90"/>
      <c r="K658" s="74"/>
      <c r="L658" s="74"/>
      <c r="M658" s="74"/>
      <c r="N658" s="74"/>
      <c r="O658" s="40"/>
      <c r="P658" s="40"/>
      <c r="Q658" s="45"/>
      <c r="R658" s="40"/>
      <c r="S658" s="40"/>
      <c r="T658" s="74"/>
      <c r="U658" s="74"/>
      <c r="V658" s="74"/>
      <c r="W658" s="74"/>
      <c r="X658" s="76"/>
      <c r="Y658" s="76"/>
      <c r="Z658" s="76"/>
      <c r="AA658" s="76"/>
    </row>
    <row r="659" spans="4:27" ht="13.2">
      <c r="D659" s="40"/>
      <c r="E659" s="40"/>
      <c r="F659" s="74"/>
      <c r="G659" s="74"/>
      <c r="H659" s="74"/>
      <c r="I659" s="74"/>
      <c r="J659" s="90"/>
      <c r="K659" s="74"/>
      <c r="L659" s="74"/>
      <c r="M659" s="74"/>
      <c r="N659" s="74"/>
      <c r="O659" s="40"/>
      <c r="P659" s="40"/>
      <c r="Q659" s="45"/>
      <c r="R659" s="40"/>
      <c r="S659" s="40"/>
      <c r="T659" s="74"/>
      <c r="U659" s="74"/>
      <c r="V659" s="74"/>
      <c r="W659" s="74"/>
      <c r="X659" s="76"/>
      <c r="Y659" s="76"/>
      <c r="Z659" s="76"/>
      <c r="AA659" s="76"/>
    </row>
    <row r="660" spans="4:27" ht="13.2">
      <c r="D660" s="40"/>
      <c r="E660" s="40"/>
      <c r="F660" s="74"/>
      <c r="G660" s="74"/>
      <c r="H660" s="74"/>
      <c r="I660" s="74"/>
      <c r="J660" s="90"/>
      <c r="K660" s="74"/>
      <c r="L660" s="74"/>
      <c r="M660" s="74"/>
      <c r="N660" s="74"/>
      <c r="O660" s="40"/>
      <c r="P660" s="40"/>
      <c r="Q660" s="45"/>
      <c r="R660" s="40"/>
      <c r="S660" s="40"/>
      <c r="T660" s="74"/>
      <c r="U660" s="74"/>
      <c r="V660" s="74"/>
      <c r="W660" s="74"/>
      <c r="X660" s="76"/>
      <c r="Y660" s="76"/>
      <c r="Z660" s="76"/>
      <c r="AA660" s="76"/>
    </row>
    <row r="661" spans="4:27" ht="13.2">
      <c r="D661" s="40"/>
      <c r="E661" s="40"/>
      <c r="F661" s="74"/>
      <c r="G661" s="74"/>
      <c r="H661" s="74"/>
      <c r="I661" s="74"/>
      <c r="J661" s="90"/>
      <c r="K661" s="74"/>
      <c r="L661" s="74"/>
      <c r="M661" s="74"/>
      <c r="N661" s="74"/>
      <c r="O661" s="40"/>
      <c r="P661" s="40"/>
      <c r="Q661" s="45"/>
      <c r="R661" s="40"/>
      <c r="S661" s="40"/>
      <c r="T661" s="74"/>
      <c r="U661" s="74"/>
      <c r="V661" s="74"/>
      <c r="W661" s="74"/>
      <c r="X661" s="76"/>
      <c r="Y661" s="76"/>
      <c r="Z661" s="76"/>
      <c r="AA661" s="76"/>
    </row>
    <row r="662" spans="4:27" ht="13.2">
      <c r="D662" s="40"/>
      <c r="E662" s="40"/>
      <c r="F662" s="74"/>
      <c r="G662" s="74"/>
      <c r="H662" s="74"/>
      <c r="I662" s="74"/>
      <c r="J662" s="90"/>
      <c r="K662" s="74"/>
      <c r="L662" s="74"/>
      <c r="M662" s="74"/>
      <c r="N662" s="74"/>
      <c r="O662" s="40"/>
      <c r="P662" s="40"/>
      <c r="Q662" s="45"/>
      <c r="R662" s="40"/>
      <c r="S662" s="40"/>
      <c r="T662" s="74"/>
      <c r="U662" s="74"/>
      <c r="V662" s="74"/>
      <c r="W662" s="74"/>
      <c r="X662" s="76"/>
      <c r="Y662" s="76"/>
      <c r="Z662" s="76"/>
      <c r="AA662" s="76"/>
    </row>
    <row r="663" spans="4:27" ht="13.2">
      <c r="D663" s="40"/>
      <c r="E663" s="40"/>
      <c r="F663" s="74"/>
      <c r="G663" s="74"/>
      <c r="H663" s="74"/>
      <c r="I663" s="74"/>
      <c r="J663" s="90"/>
      <c r="K663" s="74"/>
      <c r="L663" s="74"/>
      <c r="M663" s="74"/>
      <c r="N663" s="74"/>
      <c r="O663" s="40"/>
      <c r="P663" s="40"/>
      <c r="Q663" s="45"/>
      <c r="R663" s="40"/>
      <c r="S663" s="40"/>
      <c r="T663" s="74"/>
      <c r="U663" s="74"/>
      <c r="V663" s="74"/>
      <c r="W663" s="74"/>
      <c r="X663" s="76"/>
      <c r="Y663" s="76"/>
      <c r="Z663" s="76"/>
      <c r="AA663" s="76"/>
    </row>
    <row r="664" spans="4:27" ht="13.2">
      <c r="D664" s="40"/>
      <c r="E664" s="40"/>
      <c r="F664" s="74"/>
      <c r="G664" s="74"/>
      <c r="H664" s="74"/>
      <c r="I664" s="74"/>
      <c r="J664" s="90"/>
      <c r="K664" s="74"/>
      <c r="L664" s="74"/>
      <c r="M664" s="74"/>
      <c r="N664" s="74"/>
      <c r="O664" s="40"/>
      <c r="P664" s="40"/>
      <c r="Q664" s="45"/>
      <c r="R664" s="40"/>
      <c r="S664" s="40"/>
      <c r="T664" s="74"/>
      <c r="U664" s="74"/>
      <c r="V664" s="74"/>
      <c r="W664" s="74"/>
      <c r="X664" s="76"/>
      <c r="Y664" s="76"/>
      <c r="Z664" s="76"/>
      <c r="AA664" s="76"/>
    </row>
    <row r="665" spans="4:27" ht="13.2">
      <c r="D665" s="40"/>
      <c r="E665" s="40"/>
      <c r="F665" s="74"/>
      <c r="G665" s="74"/>
      <c r="H665" s="74"/>
      <c r="I665" s="74"/>
      <c r="J665" s="90"/>
      <c r="K665" s="74"/>
      <c r="L665" s="74"/>
      <c r="M665" s="74"/>
      <c r="N665" s="74"/>
      <c r="O665" s="40"/>
      <c r="P665" s="40"/>
      <c r="Q665" s="45"/>
      <c r="R665" s="40"/>
      <c r="S665" s="40"/>
      <c r="T665" s="74"/>
      <c r="U665" s="74"/>
      <c r="V665" s="74"/>
      <c r="W665" s="74"/>
      <c r="X665" s="76"/>
      <c r="Y665" s="76"/>
      <c r="Z665" s="76"/>
      <c r="AA665" s="76"/>
    </row>
    <row r="666" spans="4:27" ht="13.2">
      <c r="D666" s="40"/>
      <c r="E666" s="40"/>
      <c r="F666" s="74"/>
      <c r="G666" s="74"/>
      <c r="H666" s="74"/>
      <c r="I666" s="74"/>
      <c r="J666" s="90"/>
      <c r="K666" s="74"/>
      <c r="L666" s="74"/>
      <c r="M666" s="74"/>
      <c r="N666" s="74"/>
      <c r="O666" s="40"/>
      <c r="P666" s="40"/>
      <c r="Q666" s="45"/>
      <c r="R666" s="40"/>
      <c r="S666" s="40"/>
      <c r="T666" s="74"/>
      <c r="U666" s="74"/>
      <c r="V666" s="74"/>
      <c r="W666" s="74"/>
      <c r="X666" s="76"/>
      <c r="Y666" s="76"/>
      <c r="Z666" s="76"/>
      <c r="AA666" s="76"/>
    </row>
    <row r="667" spans="4:27" ht="13.2">
      <c r="D667" s="40"/>
      <c r="E667" s="40"/>
      <c r="F667" s="74"/>
      <c r="G667" s="74"/>
      <c r="H667" s="74"/>
      <c r="I667" s="74"/>
      <c r="J667" s="90"/>
      <c r="K667" s="74"/>
      <c r="L667" s="74"/>
      <c r="M667" s="74"/>
      <c r="N667" s="74"/>
      <c r="O667" s="40"/>
      <c r="P667" s="40"/>
      <c r="Q667" s="45"/>
      <c r="R667" s="40"/>
      <c r="S667" s="40"/>
      <c r="T667" s="74"/>
      <c r="U667" s="74"/>
      <c r="V667" s="74"/>
      <c r="W667" s="74"/>
      <c r="X667" s="76"/>
      <c r="Y667" s="76"/>
      <c r="Z667" s="76"/>
      <c r="AA667" s="76"/>
    </row>
    <row r="668" spans="4:27" ht="13.2">
      <c r="D668" s="40"/>
      <c r="E668" s="40"/>
      <c r="F668" s="74"/>
      <c r="G668" s="74"/>
      <c r="H668" s="74"/>
      <c r="I668" s="74"/>
      <c r="J668" s="90"/>
      <c r="K668" s="74"/>
      <c r="L668" s="74"/>
      <c r="M668" s="74"/>
      <c r="N668" s="74"/>
      <c r="O668" s="40"/>
      <c r="P668" s="40"/>
      <c r="Q668" s="45"/>
      <c r="R668" s="40"/>
      <c r="S668" s="40"/>
      <c r="T668" s="74"/>
      <c r="U668" s="74"/>
      <c r="V668" s="74"/>
      <c r="W668" s="74"/>
      <c r="X668" s="76"/>
      <c r="Y668" s="76"/>
      <c r="Z668" s="76"/>
      <c r="AA668" s="76"/>
    </row>
    <row r="669" spans="4:27" ht="13.2">
      <c r="D669" s="40"/>
      <c r="E669" s="40"/>
      <c r="F669" s="74"/>
      <c r="G669" s="74"/>
      <c r="H669" s="74"/>
      <c r="I669" s="74"/>
      <c r="J669" s="90"/>
      <c r="K669" s="74"/>
      <c r="L669" s="74"/>
      <c r="M669" s="74"/>
      <c r="N669" s="74"/>
      <c r="O669" s="40"/>
      <c r="P669" s="40"/>
      <c r="Q669" s="45"/>
      <c r="R669" s="40"/>
      <c r="S669" s="40"/>
      <c r="T669" s="74"/>
      <c r="U669" s="74"/>
      <c r="V669" s="74"/>
      <c r="W669" s="74"/>
      <c r="X669" s="76"/>
      <c r="Y669" s="76"/>
      <c r="Z669" s="76"/>
      <c r="AA669" s="76"/>
    </row>
    <row r="670" spans="4:27" ht="13.2">
      <c r="D670" s="40"/>
      <c r="E670" s="40"/>
      <c r="F670" s="74"/>
      <c r="G670" s="74"/>
      <c r="H670" s="74"/>
      <c r="I670" s="74"/>
      <c r="J670" s="90"/>
      <c r="K670" s="74"/>
      <c r="L670" s="74"/>
      <c r="M670" s="74"/>
      <c r="N670" s="74"/>
      <c r="O670" s="40"/>
      <c r="P670" s="40"/>
      <c r="Q670" s="45"/>
      <c r="R670" s="40"/>
      <c r="S670" s="40"/>
      <c r="T670" s="74"/>
      <c r="U670" s="74"/>
      <c r="V670" s="74"/>
      <c r="W670" s="74"/>
      <c r="X670" s="76"/>
      <c r="Y670" s="76"/>
      <c r="Z670" s="76"/>
      <c r="AA670" s="76"/>
    </row>
    <row r="671" spans="4:27" ht="13.2">
      <c r="D671" s="40"/>
      <c r="E671" s="40"/>
      <c r="F671" s="74"/>
      <c r="G671" s="74"/>
      <c r="H671" s="74"/>
      <c r="I671" s="74"/>
      <c r="J671" s="90"/>
      <c r="K671" s="74"/>
      <c r="L671" s="74"/>
      <c r="M671" s="74"/>
      <c r="N671" s="74"/>
      <c r="O671" s="40"/>
      <c r="P671" s="40"/>
      <c r="Q671" s="45"/>
      <c r="R671" s="40"/>
      <c r="S671" s="40"/>
      <c r="T671" s="74"/>
      <c r="U671" s="74"/>
      <c r="V671" s="74"/>
      <c r="W671" s="74"/>
      <c r="X671" s="76"/>
      <c r="Y671" s="76"/>
      <c r="Z671" s="76"/>
      <c r="AA671" s="76"/>
    </row>
    <row r="672" spans="4:27" ht="13.2">
      <c r="D672" s="40"/>
      <c r="E672" s="40"/>
      <c r="F672" s="74"/>
      <c r="G672" s="74"/>
      <c r="H672" s="74"/>
      <c r="I672" s="74"/>
      <c r="J672" s="90"/>
      <c r="K672" s="74"/>
      <c r="L672" s="74"/>
      <c r="M672" s="74"/>
      <c r="N672" s="74"/>
      <c r="O672" s="40"/>
      <c r="P672" s="40"/>
      <c r="Q672" s="45"/>
      <c r="R672" s="40"/>
      <c r="S672" s="40"/>
      <c r="T672" s="74"/>
      <c r="U672" s="74"/>
      <c r="V672" s="74"/>
      <c r="W672" s="74"/>
      <c r="X672" s="76"/>
      <c r="Y672" s="76"/>
      <c r="Z672" s="76"/>
      <c r="AA672" s="76"/>
    </row>
    <row r="673" spans="4:27" ht="13.2">
      <c r="D673" s="40"/>
      <c r="E673" s="40"/>
      <c r="F673" s="74"/>
      <c r="G673" s="74"/>
      <c r="H673" s="74"/>
      <c r="I673" s="74"/>
      <c r="J673" s="90"/>
      <c r="K673" s="74"/>
      <c r="L673" s="74"/>
      <c r="M673" s="74"/>
      <c r="N673" s="74"/>
      <c r="O673" s="40"/>
      <c r="P673" s="40"/>
      <c r="Q673" s="45"/>
      <c r="R673" s="40"/>
      <c r="S673" s="40"/>
      <c r="T673" s="74"/>
      <c r="U673" s="74"/>
      <c r="V673" s="74"/>
      <c r="W673" s="74"/>
      <c r="X673" s="76"/>
      <c r="Y673" s="76"/>
      <c r="Z673" s="76"/>
      <c r="AA673" s="76"/>
    </row>
    <row r="674" spans="4:27" ht="13.2">
      <c r="D674" s="40"/>
      <c r="E674" s="40"/>
      <c r="F674" s="74"/>
      <c r="G674" s="74"/>
      <c r="H674" s="74"/>
      <c r="I674" s="74"/>
      <c r="J674" s="90"/>
      <c r="K674" s="74"/>
      <c r="L674" s="74"/>
      <c r="M674" s="74"/>
      <c r="N674" s="74"/>
      <c r="O674" s="40"/>
      <c r="P674" s="40"/>
      <c r="Q674" s="45"/>
      <c r="R674" s="40"/>
      <c r="S674" s="40"/>
      <c r="T674" s="74"/>
      <c r="U674" s="74"/>
      <c r="V674" s="74"/>
      <c r="W674" s="74"/>
      <c r="X674" s="76"/>
      <c r="Y674" s="76"/>
      <c r="Z674" s="76"/>
      <c r="AA674" s="76"/>
    </row>
    <row r="675" spans="4:27" ht="13.2">
      <c r="D675" s="40"/>
      <c r="E675" s="40"/>
      <c r="F675" s="74"/>
      <c r="G675" s="74"/>
      <c r="H675" s="74"/>
      <c r="I675" s="74"/>
      <c r="J675" s="90"/>
      <c r="K675" s="74"/>
      <c r="L675" s="74"/>
      <c r="M675" s="74"/>
      <c r="N675" s="74"/>
      <c r="O675" s="40"/>
      <c r="P675" s="40"/>
      <c r="Q675" s="45"/>
      <c r="R675" s="40"/>
      <c r="S675" s="40"/>
      <c r="T675" s="74"/>
      <c r="U675" s="74"/>
      <c r="V675" s="74"/>
      <c r="W675" s="74"/>
      <c r="X675" s="76"/>
      <c r="Y675" s="76"/>
      <c r="Z675" s="76"/>
      <c r="AA675" s="76"/>
    </row>
    <row r="676" spans="4:27" ht="13.2">
      <c r="D676" s="40"/>
      <c r="E676" s="40"/>
      <c r="F676" s="74"/>
      <c r="G676" s="74"/>
      <c r="H676" s="74"/>
      <c r="I676" s="74"/>
      <c r="J676" s="90"/>
      <c r="K676" s="74"/>
      <c r="L676" s="74"/>
      <c r="M676" s="74"/>
      <c r="N676" s="74"/>
      <c r="O676" s="40"/>
      <c r="P676" s="40"/>
      <c r="Q676" s="45"/>
      <c r="R676" s="40"/>
      <c r="S676" s="40"/>
      <c r="T676" s="74"/>
      <c r="U676" s="74"/>
      <c r="V676" s="74"/>
      <c r="W676" s="74"/>
      <c r="X676" s="76"/>
      <c r="Y676" s="76"/>
      <c r="Z676" s="76"/>
      <c r="AA676" s="76"/>
    </row>
    <row r="677" spans="4:27" ht="13.2">
      <c r="D677" s="40"/>
      <c r="E677" s="40"/>
      <c r="F677" s="74"/>
      <c r="G677" s="74"/>
      <c r="H677" s="74"/>
      <c r="I677" s="74"/>
      <c r="J677" s="90"/>
      <c r="K677" s="74"/>
      <c r="L677" s="74"/>
      <c r="M677" s="74"/>
      <c r="N677" s="74"/>
      <c r="O677" s="40"/>
      <c r="P677" s="40"/>
      <c r="Q677" s="45"/>
      <c r="R677" s="40"/>
      <c r="S677" s="40"/>
      <c r="T677" s="74"/>
      <c r="U677" s="74"/>
      <c r="V677" s="74"/>
      <c r="W677" s="74"/>
      <c r="X677" s="76"/>
      <c r="Y677" s="76"/>
      <c r="Z677" s="76"/>
      <c r="AA677" s="76"/>
    </row>
    <row r="678" spans="4:27" ht="13.2">
      <c r="D678" s="40"/>
      <c r="E678" s="40"/>
      <c r="F678" s="74"/>
      <c r="G678" s="74"/>
      <c r="H678" s="74"/>
      <c r="I678" s="74"/>
      <c r="J678" s="90"/>
      <c r="K678" s="74"/>
      <c r="L678" s="74"/>
      <c r="M678" s="74"/>
      <c r="N678" s="74"/>
      <c r="O678" s="40"/>
      <c r="P678" s="40"/>
      <c r="Q678" s="45"/>
      <c r="R678" s="40"/>
      <c r="S678" s="40"/>
      <c r="T678" s="74"/>
      <c r="U678" s="74"/>
      <c r="V678" s="74"/>
      <c r="W678" s="74"/>
      <c r="X678" s="76"/>
      <c r="Y678" s="76"/>
      <c r="Z678" s="76"/>
      <c r="AA678" s="76"/>
    </row>
    <row r="679" spans="4:27" ht="13.2">
      <c r="D679" s="40"/>
      <c r="E679" s="40"/>
      <c r="F679" s="74"/>
      <c r="G679" s="74"/>
      <c r="H679" s="74"/>
      <c r="I679" s="74"/>
      <c r="J679" s="90"/>
      <c r="K679" s="74"/>
      <c r="L679" s="74"/>
      <c r="M679" s="74"/>
      <c r="N679" s="74"/>
      <c r="O679" s="40"/>
      <c r="P679" s="40"/>
      <c r="Q679" s="45"/>
      <c r="R679" s="40"/>
      <c r="S679" s="40"/>
      <c r="T679" s="74"/>
      <c r="U679" s="74"/>
      <c r="V679" s="74"/>
      <c r="W679" s="74"/>
      <c r="X679" s="76"/>
      <c r="Y679" s="76"/>
      <c r="Z679" s="76"/>
      <c r="AA679" s="76"/>
    </row>
    <row r="680" spans="4:27" ht="13.2">
      <c r="D680" s="40"/>
      <c r="E680" s="40"/>
      <c r="F680" s="74"/>
      <c r="G680" s="74"/>
      <c r="H680" s="74"/>
      <c r="I680" s="74"/>
      <c r="J680" s="90"/>
      <c r="K680" s="74"/>
      <c r="L680" s="74"/>
      <c r="M680" s="74"/>
      <c r="N680" s="74"/>
      <c r="O680" s="40"/>
      <c r="P680" s="40"/>
      <c r="Q680" s="45"/>
      <c r="R680" s="40"/>
      <c r="S680" s="40"/>
      <c r="T680" s="74"/>
      <c r="U680" s="74"/>
      <c r="V680" s="74"/>
      <c r="W680" s="74"/>
      <c r="X680" s="76"/>
      <c r="Y680" s="76"/>
      <c r="Z680" s="76"/>
      <c r="AA680" s="76"/>
    </row>
    <row r="681" spans="4:27" ht="13.2">
      <c r="D681" s="40"/>
      <c r="E681" s="40"/>
      <c r="F681" s="74"/>
      <c r="G681" s="74"/>
      <c r="H681" s="74"/>
      <c r="I681" s="74"/>
      <c r="J681" s="90"/>
      <c r="K681" s="74"/>
      <c r="L681" s="74"/>
      <c r="M681" s="74"/>
      <c r="N681" s="74"/>
      <c r="O681" s="40"/>
      <c r="P681" s="40"/>
      <c r="Q681" s="45"/>
      <c r="R681" s="40"/>
      <c r="S681" s="40"/>
      <c r="T681" s="74"/>
      <c r="U681" s="74"/>
      <c r="V681" s="74"/>
      <c r="W681" s="74"/>
      <c r="X681" s="76"/>
      <c r="Y681" s="76"/>
      <c r="Z681" s="76"/>
      <c r="AA681" s="76"/>
    </row>
    <row r="682" spans="4:27" ht="13.2">
      <c r="D682" s="40"/>
      <c r="E682" s="40"/>
      <c r="F682" s="74"/>
      <c r="G682" s="74"/>
      <c r="H682" s="74"/>
      <c r="I682" s="74"/>
      <c r="J682" s="90"/>
      <c r="K682" s="74"/>
      <c r="L682" s="74"/>
      <c r="M682" s="74"/>
      <c r="N682" s="74"/>
      <c r="O682" s="40"/>
      <c r="P682" s="40"/>
      <c r="Q682" s="45"/>
      <c r="R682" s="40"/>
      <c r="S682" s="40"/>
      <c r="T682" s="74"/>
      <c r="U682" s="74"/>
      <c r="V682" s="74"/>
      <c r="W682" s="74"/>
      <c r="X682" s="76"/>
      <c r="Y682" s="76"/>
      <c r="Z682" s="76"/>
      <c r="AA682" s="76"/>
    </row>
    <row r="683" spans="4:27" ht="13.2">
      <c r="D683" s="40"/>
      <c r="E683" s="40"/>
      <c r="F683" s="74"/>
      <c r="G683" s="74"/>
      <c r="H683" s="74"/>
      <c r="I683" s="74"/>
      <c r="J683" s="90"/>
      <c r="K683" s="74"/>
      <c r="L683" s="74"/>
      <c r="M683" s="74"/>
      <c r="N683" s="74"/>
      <c r="O683" s="40"/>
      <c r="P683" s="40"/>
      <c r="Q683" s="45"/>
      <c r="R683" s="40"/>
      <c r="S683" s="40"/>
      <c r="T683" s="74"/>
      <c r="U683" s="74"/>
      <c r="V683" s="74"/>
      <c r="W683" s="74"/>
      <c r="X683" s="76"/>
      <c r="Y683" s="76"/>
      <c r="Z683" s="76"/>
      <c r="AA683" s="76"/>
    </row>
    <row r="684" spans="4:27" ht="13.2">
      <c r="D684" s="40"/>
      <c r="E684" s="40"/>
      <c r="F684" s="74"/>
      <c r="G684" s="74"/>
      <c r="H684" s="74"/>
      <c r="I684" s="74"/>
      <c r="J684" s="90"/>
      <c r="K684" s="74"/>
      <c r="L684" s="74"/>
      <c r="M684" s="74"/>
      <c r="N684" s="74"/>
      <c r="O684" s="40"/>
      <c r="P684" s="40"/>
      <c r="Q684" s="45"/>
      <c r="R684" s="40"/>
      <c r="S684" s="40"/>
      <c r="T684" s="74"/>
      <c r="U684" s="74"/>
      <c r="V684" s="74"/>
      <c r="W684" s="74"/>
      <c r="X684" s="76"/>
      <c r="Y684" s="76"/>
      <c r="Z684" s="76"/>
      <c r="AA684" s="76"/>
    </row>
    <row r="685" spans="4:27" ht="13.2">
      <c r="D685" s="40"/>
      <c r="E685" s="40"/>
      <c r="F685" s="74"/>
      <c r="G685" s="74"/>
      <c r="H685" s="74"/>
      <c r="I685" s="74"/>
      <c r="J685" s="90"/>
      <c r="K685" s="74"/>
      <c r="L685" s="74"/>
      <c r="M685" s="74"/>
      <c r="N685" s="74"/>
      <c r="O685" s="40"/>
      <c r="P685" s="40"/>
      <c r="Q685" s="45"/>
      <c r="R685" s="40"/>
      <c r="S685" s="40"/>
      <c r="T685" s="74"/>
      <c r="U685" s="74"/>
      <c r="V685" s="74"/>
      <c r="W685" s="74"/>
      <c r="X685" s="76"/>
      <c r="Y685" s="76"/>
      <c r="Z685" s="76"/>
      <c r="AA685" s="76"/>
    </row>
    <row r="686" spans="4:27" ht="13.2">
      <c r="D686" s="40"/>
      <c r="E686" s="40"/>
      <c r="F686" s="74"/>
      <c r="G686" s="74"/>
      <c r="H686" s="74"/>
      <c r="I686" s="74"/>
      <c r="J686" s="90"/>
      <c r="K686" s="74"/>
      <c r="L686" s="74"/>
      <c r="M686" s="74"/>
      <c r="N686" s="74"/>
      <c r="O686" s="40"/>
      <c r="P686" s="40"/>
      <c r="Q686" s="45"/>
      <c r="R686" s="40"/>
      <c r="S686" s="40"/>
      <c r="T686" s="74"/>
      <c r="U686" s="74"/>
      <c r="V686" s="74"/>
      <c r="W686" s="74"/>
      <c r="X686" s="76"/>
      <c r="Y686" s="76"/>
      <c r="Z686" s="76"/>
      <c r="AA686" s="76"/>
    </row>
    <row r="687" spans="4:27" ht="13.2">
      <c r="D687" s="40"/>
      <c r="E687" s="40"/>
      <c r="F687" s="74"/>
      <c r="G687" s="74"/>
      <c r="H687" s="74"/>
      <c r="I687" s="74"/>
      <c r="J687" s="90"/>
      <c r="K687" s="74"/>
      <c r="L687" s="74"/>
      <c r="M687" s="74"/>
      <c r="N687" s="74"/>
      <c r="O687" s="40"/>
      <c r="P687" s="40"/>
      <c r="Q687" s="45"/>
      <c r="R687" s="40"/>
      <c r="S687" s="40"/>
      <c r="T687" s="74"/>
      <c r="U687" s="74"/>
      <c r="V687" s="74"/>
      <c r="W687" s="74"/>
      <c r="X687" s="76"/>
      <c r="Y687" s="76"/>
      <c r="Z687" s="76"/>
      <c r="AA687" s="76"/>
    </row>
    <row r="688" spans="4:27" ht="13.2">
      <c r="D688" s="40"/>
      <c r="E688" s="40"/>
      <c r="F688" s="74"/>
      <c r="G688" s="74"/>
      <c r="H688" s="74"/>
      <c r="I688" s="74"/>
      <c r="J688" s="90"/>
      <c r="K688" s="74"/>
      <c r="L688" s="74"/>
      <c r="M688" s="74"/>
      <c r="N688" s="74"/>
      <c r="O688" s="40"/>
      <c r="P688" s="40"/>
      <c r="Q688" s="45"/>
      <c r="R688" s="40"/>
      <c r="S688" s="40"/>
      <c r="T688" s="74"/>
      <c r="U688" s="74"/>
      <c r="V688" s="74"/>
      <c r="W688" s="74"/>
      <c r="X688" s="76"/>
      <c r="Y688" s="76"/>
      <c r="Z688" s="76"/>
      <c r="AA688" s="76"/>
    </row>
    <row r="689" spans="4:27" ht="13.2">
      <c r="D689" s="40"/>
      <c r="E689" s="40"/>
      <c r="F689" s="74"/>
      <c r="G689" s="74"/>
      <c r="H689" s="74"/>
      <c r="I689" s="74"/>
      <c r="J689" s="90"/>
      <c r="K689" s="74"/>
      <c r="L689" s="74"/>
      <c r="M689" s="74"/>
      <c r="N689" s="74"/>
      <c r="O689" s="40"/>
      <c r="P689" s="40"/>
      <c r="Q689" s="45"/>
      <c r="R689" s="40"/>
      <c r="S689" s="40"/>
      <c r="T689" s="74"/>
      <c r="U689" s="74"/>
      <c r="V689" s="74"/>
      <c r="W689" s="74"/>
      <c r="X689" s="76"/>
      <c r="Y689" s="76"/>
      <c r="Z689" s="76"/>
      <c r="AA689" s="76"/>
    </row>
    <row r="690" spans="4:27" ht="13.2">
      <c r="D690" s="40"/>
      <c r="E690" s="40"/>
      <c r="F690" s="74"/>
      <c r="G690" s="74"/>
      <c r="H690" s="74"/>
      <c r="I690" s="74"/>
      <c r="J690" s="90"/>
      <c r="K690" s="74"/>
      <c r="L690" s="74"/>
      <c r="M690" s="74"/>
      <c r="N690" s="74"/>
      <c r="O690" s="40"/>
      <c r="P690" s="40"/>
      <c r="Q690" s="45"/>
      <c r="R690" s="40"/>
      <c r="S690" s="40"/>
      <c r="T690" s="74"/>
      <c r="U690" s="74"/>
      <c r="V690" s="74"/>
      <c r="W690" s="74"/>
      <c r="X690" s="76"/>
      <c r="Y690" s="76"/>
      <c r="Z690" s="76"/>
      <c r="AA690" s="76"/>
    </row>
    <row r="691" spans="4:27" ht="13.2">
      <c r="D691" s="40"/>
      <c r="E691" s="40"/>
      <c r="F691" s="74"/>
      <c r="G691" s="74"/>
      <c r="H691" s="74"/>
      <c r="I691" s="74"/>
      <c r="J691" s="90"/>
      <c r="K691" s="74"/>
      <c r="L691" s="74"/>
      <c r="M691" s="74"/>
      <c r="N691" s="74"/>
      <c r="O691" s="40"/>
      <c r="P691" s="40"/>
      <c r="Q691" s="45"/>
      <c r="R691" s="40"/>
      <c r="S691" s="40"/>
      <c r="T691" s="74"/>
      <c r="U691" s="74"/>
      <c r="V691" s="74"/>
      <c r="W691" s="74"/>
      <c r="X691" s="76"/>
      <c r="Y691" s="76"/>
      <c r="Z691" s="76"/>
      <c r="AA691" s="76"/>
    </row>
    <row r="692" spans="4:27" ht="13.2">
      <c r="D692" s="40"/>
      <c r="E692" s="40"/>
      <c r="F692" s="74"/>
      <c r="G692" s="74"/>
      <c r="H692" s="74"/>
      <c r="I692" s="74"/>
      <c r="J692" s="90"/>
      <c r="K692" s="74"/>
      <c r="L692" s="74"/>
      <c r="M692" s="74"/>
      <c r="N692" s="74"/>
      <c r="O692" s="40"/>
      <c r="P692" s="40"/>
      <c r="Q692" s="45"/>
      <c r="R692" s="40"/>
      <c r="S692" s="40"/>
      <c r="T692" s="74"/>
      <c r="U692" s="74"/>
      <c r="V692" s="74"/>
      <c r="W692" s="74"/>
      <c r="X692" s="76"/>
      <c r="Y692" s="76"/>
      <c r="Z692" s="76"/>
      <c r="AA692" s="76"/>
    </row>
    <row r="693" spans="4:27" ht="13.2">
      <c r="D693" s="40"/>
      <c r="E693" s="40"/>
      <c r="F693" s="74"/>
      <c r="G693" s="74"/>
      <c r="H693" s="74"/>
      <c r="I693" s="74"/>
      <c r="J693" s="90"/>
      <c r="K693" s="74"/>
      <c r="L693" s="74"/>
      <c r="M693" s="74"/>
      <c r="N693" s="74"/>
      <c r="O693" s="40"/>
      <c r="P693" s="40"/>
      <c r="Q693" s="45"/>
      <c r="R693" s="40"/>
      <c r="S693" s="40"/>
      <c r="T693" s="74"/>
      <c r="U693" s="74"/>
      <c r="V693" s="74"/>
      <c r="W693" s="74"/>
      <c r="X693" s="76"/>
      <c r="Y693" s="76"/>
      <c r="Z693" s="76"/>
      <c r="AA693" s="76"/>
    </row>
    <row r="694" spans="4:27" ht="13.2">
      <c r="D694" s="40"/>
      <c r="E694" s="40"/>
      <c r="F694" s="74"/>
      <c r="G694" s="74"/>
      <c r="H694" s="74"/>
      <c r="I694" s="74"/>
      <c r="J694" s="90"/>
      <c r="K694" s="74"/>
      <c r="L694" s="74"/>
      <c r="M694" s="74"/>
      <c r="N694" s="74"/>
      <c r="O694" s="40"/>
      <c r="P694" s="40"/>
      <c r="Q694" s="45"/>
      <c r="R694" s="40"/>
      <c r="S694" s="40"/>
      <c r="T694" s="74"/>
      <c r="U694" s="74"/>
      <c r="V694" s="74"/>
      <c r="W694" s="74"/>
      <c r="X694" s="76"/>
      <c r="Y694" s="76"/>
      <c r="Z694" s="76"/>
      <c r="AA694" s="76"/>
    </row>
    <row r="695" spans="4:27" ht="13.2">
      <c r="D695" s="40"/>
      <c r="E695" s="40"/>
      <c r="F695" s="74"/>
      <c r="G695" s="74"/>
      <c r="H695" s="74"/>
      <c r="I695" s="74"/>
      <c r="J695" s="90"/>
      <c r="K695" s="74"/>
      <c r="L695" s="74"/>
      <c r="M695" s="74"/>
      <c r="N695" s="74"/>
      <c r="O695" s="40"/>
      <c r="P695" s="40"/>
      <c r="Q695" s="45"/>
      <c r="R695" s="40"/>
      <c r="S695" s="40"/>
      <c r="T695" s="74"/>
      <c r="U695" s="74"/>
      <c r="V695" s="74"/>
      <c r="W695" s="74"/>
      <c r="X695" s="76"/>
      <c r="Y695" s="76"/>
      <c r="Z695" s="76"/>
      <c r="AA695" s="76"/>
    </row>
    <row r="696" spans="4:27" ht="13.2">
      <c r="D696" s="40"/>
      <c r="E696" s="40"/>
      <c r="F696" s="74"/>
      <c r="G696" s="74"/>
      <c r="H696" s="74"/>
      <c r="I696" s="74"/>
      <c r="J696" s="90"/>
      <c r="K696" s="74"/>
      <c r="L696" s="74"/>
      <c r="M696" s="74"/>
      <c r="N696" s="74"/>
      <c r="O696" s="40"/>
      <c r="P696" s="40"/>
      <c r="Q696" s="45"/>
      <c r="R696" s="40"/>
      <c r="S696" s="40"/>
      <c r="T696" s="74"/>
      <c r="U696" s="74"/>
      <c r="V696" s="74"/>
      <c r="W696" s="74"/>
      <c r="X696" s="76"/>
      <c r="Y696" s="76"/>
      <c r="Z696" s="76"/>
      <c r="AA696" s="76"/>
    </row>
    <row r="697" spans="4:27" ht="13.2">
      <c r="D697" s="40"/>
      <c r="E697" s="40"/>
      <c r="F697" s="74"/>
      <c r="G697" s="74"/>
      <c r="H697" s="74"/>
      <c r="I697" s="74"/>
      <c r="J697" s="90"/>
      <c r="K697" s="74"/>
      <c r="L697" s="74"/>
      <c r="M697" s="74"/>
      <c r="N697" s="74"/>
      <c r="O697" s="40"/>
      <c r="P697" s="40"/>
      <c r="Q697" s="45"/>
      <c r="R697" s="40"/>
      <c r="S697" s="40"/>
      <c r="T697" s="74"/>
      <c r="U697" s="74"/>
      <c r="V697" s="74"/>
      <c r="W697" s="74"/>
      <c r="X697" s="76"/>
      <c r="Y697" s="76"/>
      <c r="Z697" s="76"/>
      <c r="AA697" s="76"/>
    </row>
    <row r="698" spans="4:27" ht="13.2">
      <c r="D698" s="40"/>
      <c r="E698" s="40"/>
      <c r="F698" s="74"/>
      <c r="G698" s="74"/>
      <c r="H698" s="74"/>
      <c r="I698" s="74"/>
      <c r="J698" s="90"/>
      <c r="K698" s="74"/>
      <c r="L698" s="74"/>
      <c r="M698" s="74"/>
      <c r="N698" s="74"/>
      <c r="O698" s="40"/>
      <c r="P698" s="40"/>
      <c r="Q698" s="45"/>
      <c r="R698" s="40"/>
      <c r="S698" s="40"/>
      <c r="T698" s="74"/>
      <c r="U698" s="74"/>
      <c r="V698" s="74"/>
      <c r="W698" s="74"/>
      <c r="X698" s="76"/>
      <c r="Y698" s="76"/>
      <c r="Z698" s="76"/>
      <c r="AA698" s="76"/>
    </row>
    <row r="699" spans="4:27" ht="13.2">
      <c r="D699" s="40"/>
      <c r="E699" s="40"/>
      <c r="F699" s="74"/>
      <c r="G699" s="74"/>
      <c r="H699" s="74"/>
      <c r="I699" s="74"/>
      <c r="J699" s="90"/>
      <c r="K699" s="74"/>
      <c r="L699" s="74"/>
      <c r="M699" s="74"/>
      <c r="N699" s="74"/>
      <c r="O699" s="40"/>
      <c r="P699" s="40"/>
      <c r="Q699" s="45"/>
      <c r="R699" s="40"/>
      <c r="S699" s="40"/>
      <c r="T699" s="74"/>
      <c r="U699" s="74"/>
      <c r="V699" s="74"/>
      <c r="W699" s="74"/>
      <c r="X699" s="76"/>
      <c r="Y699" s="76"/>
      <c r="Z699" s="76"/>
      <c r="AA699" s="76"/>
    </row>
    <row r="700" spans="4:27" ht="13.2">
      <c r="D700" s="40"/>
      <c r="E700" s="40"/>
      <c r="F700" s="74"/>
      <c r="G700" s="74"/>
      <c r="H700" s="74"/>
      <c r="I700" s="74"/>
      <c r="J700" s="90"/>
      <c r="K700" s="74"/>
      <c r="L700" s="74"/>
      <c r="M700" s="74"/>
      <c r="N700" s="74"/>
      <c r="O700" s="40"/>
      <c r="P700" s="40"/>
      <c r="Q700" s="45"/>
      <c r="R700" s="40"/>
      <c r="S700" s="40"/>
      <c r="T700" s="74"/>
      <c r="U700" s="74"/>
      <c r="V700" s="74"/>
      <c r="W700" s="74"/>
      <c r="X700" s="76"/>
      <c r="Y700" s="76"/>
      <c r="Z700" s="76"/>
      <c r="AA700" s="76"/>
    </row>
    <row r="701" spans="4:27" ht="13.2">
      <c r="D701" s="40"/>
      <c r="E701" s="40"/>
      <c r="F701" s="74"/>
      <c r="G701" s="74"/>
      <c r="H701" s="74"/>
      <c r="I701" s="74"/>
      <c r="J701" s="90"/>
      <c r="K701" s="74"/>
      <c r="L701" s="74"/>
      <c r="M701" s="74"/>
      <c r="N701" s="74"/>
      <c r="O701" s="40"/>
      <c r="P701" s="40"/>
      <c r="Q701" s="45"/>
      <c r="R701" s="40"/>
      <c r="S701" s="40"/>
      <c r="T701" s="74"/>
      <c r="U701" s="74"/>
      <c r="V701" s="74"/>
      <c r="W701" s="74"/>
      <c r="X701" s="76"/>
      <c r="Y701" s="76"/>
      <c r="Z701" s="76"/>
      <c r="AA701" s="76"/>
    </row>
    <row r="702" spans="4:27" ht="13.2">
      <c r="D702" s="40"/>
      <c r="E702" s="40"/>
      <c r="F702" s="74"/>
      <c r="G702" s="74"/>
      <c r="H702" s="74"/>
      <c r="I702" s="74"/>
      <c r="J702" s="90"/>
      <c r="K702" s="74"/>
      <c r="L702" s="74"/>
      <c r="M702" s="74"/>
      <c r="N702" s="74"/>
      <c r="O702" s="40"/>
      <c r="P702" s="40"/>
      <c r="Q702" s="45"/>
      <c r="R702" s="40"/>
      <c r="S702" s="40"/>
      <c r="T702" s="74"/>
      <c r="U702" s="74"/>
      <c r="V702" s="74"/>
      <c r="W702" s="74"/>
      <c r="X702" s="76"/>
      <c r="Y702" s="76"/>
      <c r="Z702" s="76"/>
      <c r="AA702" s="76"/>
    </row>
    <row r="703" spans="4:27" ht="13.2">
      <c r="D703" s="40"/>
      <c r="E703" s="40"/>
      <c r="F703" s="74"/>
      <c r="G703" s="74"/>
      <c r="H703" s="74"/>
      <c r="I703" s="74"/>
      <c r="J703" s="90"/>
      <c r="K703" s="74"/>
      <c r="L703" s="74"/>
      <c r="M703" s="74"/>
      <c r="N703" s="74"/>
      <c r="O703" s="40"/>
      <c r="P703" s="40"/>
      <c r="Q703" s="45"/>
      <c r="R703" s="40"/>
      <c r="S703" s="40"/>
      <c r="T703" s="74"/>
      <c r="U703" s="74"/>
      <c r="V703" s="74"/>
      <c r="W703" s="74"/>
      <c r="X703" s="76"/>
      <c r="Y703" s="76"/>
      <c r="Z703" s="76"/>
      <c r="AA703" s="76"/>
    </row>
    <row r="704" spans="4:27" ht="13.2">
      <c r="D704" s="40"/>
      <c r="E704" s="40"/>
      <c r="F704" s="74"/>
      <c r="G704" s="74"/>
      <c r="H704" s="74"/>
      <c r="I704" s="74"/>
      <c r="J704" s="90"/>
      <c r="K704" s="74"/>
      <c r="L704" s="74"/>
      <c r="M704" s="74"/>
      <c r="N704" s="74"/>
      <c r="O704" s="40"/>
      <c r="P704" s="40"/>
      <c r="Q704" s="45"/>
      <c r="R704" s="40"/>
      <c r="S704" s="40"/>
      <c r="T704" s="74"/>
      <c r="U704" s="74"/>
      <c r="V704" s="74"/>
      <c r="W704" s="74"/>
      <c r="X704" s="76"/>
      <c r="Y704" s="76"/>
      <c r="Z704" s="76"/>
      <c r="AA704" s="76"/>
    </row>
    <row r="705" spans="4:27" ht="13.2">
      <c r="D705" s="40"/>
      <c r="E705" s="40"/>
      <c r="F705" s="74"/>
      <c r="G705" s="74"/>
      <c r="H705" s="74"/>
      <c r="I705" s="74"/>
      <c r="J705" s="90"/>
      <c r="K705" s="74"/>
      <c r="L705" s="74"/>
      <c r="M705" s="74"/>
      <c r="N705" s="74"/>
      <c r="O705" s="40"/>
      <c r="P705" s="40"/>
      <c r="Q705" s="45"/>
      <c r="R705" s="40"/>
      <c r="S705" s="40"/>
      <c r="T705" s="74"/>
      <c r="U705" s="74"/>
      <c r="V705" s="74"/>
      <c r="W705" s="74"/>
      <c r="X705" s="76"/>
      <c r="Y705" s="76"/>
      <c r="Z705" s="76"/>
      <c r="AA705" s="76"/>
    </row>
    <row r="706" spans="4:27" ht="13.2">
      <c r="D706" s="40"/>
      <c r="E706" s="40"/>
      <c r="F706" s="74"/>
      <c r="G706" s="74"/>
      <c r="H706" s="74"/>
      <c r="I706" s="74"/>
      <c r="J706" s="90"/>
      <c r="K706" s="74"/>
      <c r="L706" s="74"/>
      <c r="M706" s="74"/>
      <c r="N706" s="74"/>
      <c r="O706" s="40"/>
      <c r="P706" s="40"/>
      <c r="Q706" s="45"/>
      <c r="R706" s="40"/>
      <c r="S706" s="40"/>
      <c r="T706" s="74"/>
      <c r="U706" s="74"/>
      <c r="V706" s="74"/>
      <c r="W706" s="74"/>
      <c r="X706" s="76"/>
      <c r="Y706" s="76"/>
      <c r="Z706" s="76"/>
      <c r="AA706" s="76"/>
    </row>
    <row r="707" spans="4:27" ht="13.2">
      <c r="D707" s="40"/>
      <c r="E707" s="40"/>
      <c r="F707" s="74"/>
      <c r="G707" s="74"/>
      <c r="H707" s="74"/>
      <c r="I707" s="74"/>
      <c r="J707" s="90"/>
      <c r="K707" s="74"/>
      <c r="L707" s="74"/>
      <c r="M707" s="74"/>
      <c r="N707" s="74"/>
      <c r="O707" s="40"/>
      <c r="P707" s="40"/>
      <c r="Q707" s="45"/>
      <c r="R707" s="40"/>
      <c r="S707" s="40"/>
      <c r="T707" s="74"/>
      <c r="U707" s="74"/>
      <c r="V707" s="74"/>
      <c r="W707" s="74"/>
      <c r="X707" s="76"/>
      <c r="Y707" s="76"/>
      <c r="Z707" s="76"/>
      <c r="AA707" s="76"/>
    </row>
    <row r="708" spans="4:27" ht="13.2">
      <c r="D708" s="40"/>
      <c r="E708" s="40"/>
      <c r="F708" s="74"/>
      <c r="G708" s="74"/>
      <c r="H708" s="74"/>
      <c r="I708" s="74"/>
      <c r="J708" s="90"/>
      <c r="K708" s="74"/>
      <c r="L708" s="74"/>
      <c r="M708" s="74"/>
      <c r="N708" s="74"/>
      <c r="O708" s="40"/>
      <c r="P708" s="40"/>
      <c r="Q708" s="45"/>
      <c r="R708" s="40"/>
      <c r="S708" s="40"/>
      <c r="T708" s="74"/>
      <c r="U708" s="74"/>
      <c r="V708" s="74"/>
      <c r="W708" s="74"/>
      <c r="X708" s="76"/>
      <c r="Y708" s="76"/>
      <c r="Z708" s="76"/>
      <c r="AA708" s="76"/>
    </row>
    <row r="709" spans="4:27" ht="13.2">
      <c r="D709" s="40"/>
      <c r="E709" s="40"/>
      <c r="F709" s="74"/>
      <c r="G709" s="74"/>
      <c r="H709" s="74"/>
      <c r="I709" s="74"/>
      <c r="J709" s="90"/>
      <c r="K709" s="74"/>
      <c r="L709" s="74"/>
      <c r="M709" s="74"/>
      <c r="N709" s="74"/>
      <c r="O709" s="40"/>
      <c r="P709" s="40"/>
      <c r="Q709" s="45"/>
      <c r="R709" s="40"/>
      <c r="S709" s="40"/>
      <c r="T709" s="74"/>
      <c r="U709" s="74"/>
      <c r="V709" s="74"/>
      <c r="W709" s="74"/>
      <c r="X709" s="76"/>
      <c r="Y709" s="76"/>
      <c r="Z709" s="76"/>
      <c r="AA709" s="76"/>
    </row>
    <row r="710" spans="4:27" ht="13.2">
      <c r="D710" s="40"/>
      <c r="E710" s="40"/>
      <c r="F710" s="74"/>
      <c r="G710" s="74"/>
      <c r="H710" s="74"/>
      <c r="I710" s="74"/>
      <c r="J710" s="90"/>
      <c r="K710" s="74"/>
      <c r="L710" s="74"/>
      <c r="M710" s="74"/>
      <c r="N710" s="74"/>
      <c r="O710" s="40"/>
      <c r="P710" s="40"/>
      <c r="Q710" s="45"/>
      <c r="R710" s="40"/>
      <c r="S710" s="40"/>
      <c r="T710" s="74"/>
      <c r="U710" s="74"/>
      <c r="V710" s="74"/>
      <c r="W710" s="74"/>
      <c r="X710" s="76"/>
      <c r="Y710" s="76"/>
      <c r="Z710" s="76"/>
      <c r="AA710" s="76"/>
    </row>
    <row r="711" spans="4:27" ht="13.2">
      <c r="D711" s="40"/>
      <c r="E711" s="40"/>
      <c r="F711" s="74"/>
      <c r="G711" s="74"/>
      <c r="H711" s="74"/>
      <c r="I711" s="74"/>
      <c r="J711" s="90"/>
      <c r="K711" s="74"/>
      <c r="L711" s="74"/>
      <c r="M711" s="74"/>
      <c r="N711" s="74"/>
      <c r="O711" s="40"/>
      <c r="P711" s="40"/>
      <c r="Q711" s="45"/>
      <c r="R711" s="40"/>
      <c r="S711" s="40"/>
      <c r="T711" s="74"/>
      <c r="U711" s="74"/>
      <c r="V711" s="74"/>
      <c r="W711" s="74"/>
      <c r="X711" s="76"/>
      <c r="Y711" s="76"/>
      <c r="Z711" s="76"/>
      <c r="AA711" s="76"/>
    </row>
    <row r="712" spans="4:27" ht="13.2">
      <c r="D712" s="40"/>
      <c r="E712" s="40"/>
      <c r="F712" s="74"/>
      <c r="G712" s="74"/>
      <c r="H712" s="74"/>
      <c r="I712" s="74"/>
      <c r="J712" s="90"/>
      <c r="K712" s="74"/>
      <c r="L712" s="74"/>
      <c r="M712" s="74"/>
      <c r="N712" s="74"/>
      <c r="O712" s="40"/>
      <c r="P712" s="40"/>
      <c r="Q712" s="45"/>
      <c r="R712" s="40"/>
      <c r="S712" s="40"/>
      <c r="T712" s="74"/>
      <c r="U712" s="74"/>
      <c r="V712" s="74"/>
      <c r="W712" s="74"/>
      <c r="X712" s="76"/>
      <c r="Y712" s="76"/>
      <c r="Z712" s="76"/>
      <c r="AA712" s="76"/>
    </row>
    <row r="713" spans="4:27" ht="13.2">
      <c r="D713" s="40"/>
      <c r="E713" s="40"/>
      <c r="F713" s="74"/>
      <c r="G713" s="74"/>
      <c r="H713" s="74"/>
      <c r="I713" s="74"/>
      <c r="J713" s="90"/>
      <c r="K713" s="74"/>
      <c r="L713" s="74"/>
      <c r="M713" s="74"/>
      <c r="N713" s="74"/>
      <c r="O713" s="40"/>
      <c r="P713" s="40"/>
      <c r="Q713" s="45"/>
      <c r="R713" s="40"/>
      <c r="S713" s="40"/>
      <c r="T713" s="74"/>
      <c r="U713" s="74"/>
      <c r="V713" s="74"/>
      <c r="W713" s="74"/>
      <c r="X713" s="76"/>
      <c r="Y713" s="76"/>
      <c r="Z713" s="76"/>
      <c r="AA713" s="76"/>
    </row>
    <row r="714" spans="4:27" ht="13.2">
      <c r="D714" s="40"/>
      <c r="E714" s="40"/>
      <c r="F714" s="74"/>
      <c r="G714" s="74"/>
      <c r="H714" s="74"/>
      <c r="I714" s="74"/>
      <c r="J714" s="90"/>
      <c r="K714" s="74"/>
      <c r="L714" s="74"/>
      <c r="M714" s="74"/>
      <c r="N714" s="74"/>
      <c r="O714" s="40"/>
      <c r="P714" s="40"/>
      <c r="Q714" s="45"/>
      <c r="R714" s="40"/>
      <c r="S714" s="40"/>
      <c r="T714" s="74"/>
      <c r="U714" s="74"/>
      <c r="V714" s="74"/>
      <c r="W714" s="74"/>
      <c r="X714" s="76"/>
      <c r="Y714" s="76"/>
      <c r="Z714" s="76"/>
      <c r="AA714" s="76"/>
    </row>
    <row r="715" spans="4:27" ht="13.2">
      <c r="D715" s="40"/>
      <c r="E715" s="40"/>
      <c r="F715" s="74"/>
      <c r="G715" s="74"/>
      <c r="H715" s="74"/>
      <c r="I715" s="74"/>
      <c r="J715" s="90"/>
      <c r="K715" s="74"/>
      <c r="L715" s="74"/>
      <c r="M715" s="74"/>
      <c r="N715" s="74"/>
      <c r="O715" s="40"/>
      <c r="P715" s="40"/>
      <c r="Q715" s="45"/>
      <c r="R715" s="40"/>
      <c r="S715" s="40"/>
      <c r="T715" s="74"/>
      <c r="U715" s="74"/>
      <c r="V715" s="74"/>
      <c r="W715" s="74"/>
      <c r="X715" s="76"/>
      <c r="Y715" s="76"/>
      <c r="Z715" s="76"/>
      <c r="AA715" s="76"/>
    </row>
    <row r="716" spans="4:27" ht="13.2">
      <c r="D716" s="40"/>
      <c r="E716" s="40"/>
      <c r="F716" s="74"/>
      <c r="G716" s="74"/>
      <c r="H716" s="74"/>
      <c r="I716" s="74"/>
      <c r="J716" s="90"/>
      <c r="K716" s="74"/>
      <c r="L716" s="74"/>
      <c r="M716" s="74"/>
      <c r="N716" s="74"/>
      <c r="O716" s="40"/>
      <c r="P716" s="40"/>
      <c r="Q716" s="45"/>
      <c r="R716" s="40"/>
      <c r="S716" s="40"/>
      <c r="T716" s="74"/>
      <c r="U716" s="74"/>
      <c r="V716" s="74"/>
      <c r="W716" s="74"/>
      <c r="X716" s="76"/>
      <c r="Y716" s="76"/>
      <c r="Z716" s="76"/>
      <c r="AA716" s="76"/>
    </row>
    <row r="717" spans="4:27" ht="13.2">
      <c r="D717" s="40"/>
      <c r="E717" s="40"/>
      <c r="F717" s="74"/>
      <c r="G717" s="74"/>
      <c r="H717" s="74"/>
      <c r="I717" s="74"/>
      <c r="J717" s="90"/>
      <c r="K717" s="74"/>
      <c r="L717" s="74"/>
      <c r="M717" s="74"/>
      <c r="N717" s="74"/>
      <c r="O717" s="40"/>
      <c r="P717" s="40"/>
      <c r="Q717" s="45"/>
      <c r="R717" s="40"/>
      <c r="S717" s="40"/>
      <c r="T717" s="74"/>
      <c r="U717" s="74"/>
      <c r="V717" s="74"/>
      <c r="W717" s="74"/>
      <c r="X717" s="76"/>
      <c r="Y717" s="76"/>
      <c r="Z717" s="76"/>
      <c r="AA717" s="76"/>
    </row>
    <row r="718" spans="4:27" ht="13.2">
      <c r="D718" s="40"/>
      <c r="E718" s="40"/>
      <c r="F718" s="74"/>
      <c r="G718" s="74"/>
      <c r="H718" s="74"/>
      <c r="I718" s="74"/>
      <c r="J718" s="90"/>
      <c r="K718" s="74"/>
      <c r="L718" s="74"/>
      <c r="M718" s="74"/>
      <c r="N718" s="74"/>
      <c r="O718" s="40"/>
      <c r="P718" s="40"/>
      <c r="Q718" s="45"/>
      <c r="R718" s="40"/>
      <c r="S718" s="40"/>
      <c r="T718" s="74"/>
      <c r="U718" s="74"/>
      <c r="V718" s="74"/>
      <c r="W718" s="74"/>
      <c r="X718" s="76"/>
      <c r="Y718" s="76"/>
      <c r="Z718" s="76"/>
      <c r="AA718" s="76"/>
    </row>
    <row r="719" spans="4:27" ht="13.2">
      <c r="D719" s="40"/>
      <c r="E719" s="40"/>
      <c r="F719" s="74"/>
      <c r="G719" s="74"/>
      <c r="H719" s="74"/>
      <c r="I719" s="74"/>
      <c r="J719" s="90"/>
      <c r="K719" s="74"/>
      <c r="L719" s="74"/>
      <c r="M719" s="74"/>
      <c r="N719" s="74"/>
      <c r="O719" s="40"/>
      <c r="P719" s="40"/>
      <c r="Q719" s="45"/>
      <c r="R719" s="40"/>
      <c r="S719" s="40"/>
      <c r="T719" s="74"/>
      <c r="U719" s="74"/>
      <c r="V719" s="74"/>
      <c r="W719" s="74"/>
      <c r="X719" s="76"/>
      <c r="Y719" s="76"/>
      <c r="Z719" s="76"/>
      <c r="AA719" s="76"/>
    </row>
    <row r="720" spans="4:27" ht="13.2">
      <c r="D720" s="40"/>
      <c r="E720" s="40"/>
      <c r="F720" s="74"/>
      <c r="G720" s="74"/>
      <c r="H720" s="74"/>
      <c r="I720" s="74"/>
      <c r="J720" s="90"/>
      <c r="K720" s="74"/>
      <c r="L720" s="74"/>
      <c r="M720" s="74"/>
      <c r="N720" s="74"/>
      <c r="O720" s="40"/>
      <c r="P720" s="40"/>
      <c r="Q720" s="45"/>
      <c r="R720" s="40"/>
      <c r="S720" s="40"/>
      <c r="T720" s="74"/>
      <c r="U720" s="74"/>
      <c r="V720" s="74"/>
      <c r="W720" s="74"/>
      <c r="X720" s="76"/>
      <c r="Y720" s="76"/>
      <c r="Z720" s="76"/>
      <c r="AA720" s="76"/>
    </row>
    <row r="721" spans="4:27" ht="13.2">
      <c r="D721" s="40"/>
      <c r="E721" s="40"/>
      <c r="F721" s="74"/>
      <c r="G721" s="74"/>
      <c r="H721" s="74"/>
      <c r="I721" s="74"/>
      <c r="J721" s="90"/>
      <c r="K721" s="74"/>
      <c r="L721" s="74"/>
      <c r="M721" s="74"/>
      <c r="N721" s="74"/>
      <c r="O721" s="40"/>
      <c r="P721" s="40"/>
      <c r="Q721" s="45"/>
      <c r="R721" s="40"/>
      <c r="S721" s="40"/>
      <c r="T721" s="74"/>
      <c r="U721" s="74"/>
      <c r="V721" s="74"/>
      <c r="W721" s="74"/>
      <c r="X721" s="76"/>
      <c r="Y721" s="76"/>
      <c r="Z721" s="76"/>
      <c r="AA721" s="76"/>
    </row>
    <row r="722" spans="4:27" ht="13.2">
      <c r="D722" s="40"/>
      <c r="E722" s="40"/>
      <c r="F722" s="74"/>
      <c r="G722" s="74"/>
      <c r="H722" s="74"/>
      <c r="I722" s="74"/>
      <c r="J722" s="90"/>
      <c r="K722" s="74"/>
      <c r="L722" s="74"/>
      <c r="M722" s="74"/>
      <c r="N722" s="74"/>
      <c r="O722" s="40"/>
      <c r="P722" s="40"/>
      <c r="Q722" s="45"/>
      <c r="R722" s="40"/>
      <c r="S722" s="40"/>
      <c r="T722" s="74"/>
      <c r="U722" s="74"/>
      <c r="V722" s="74"/>
      <c r="W722" s="74"/>
      <c r="X722" s="76"/>
      <c r="Y722" s="76"/>
      <c r="Z722" s="76"/>
      <c r="AA722" s="76"/>
    </row>
    <row r="723" spans="4:27" ht="13.2">
      <c r="D723" s="40"/>
      <c r="E723" s="40"/>
      <c r="F723" s="74"/>
      <c r="G723" s="74"/>
      <c r="H723" s="74"/>
      <c r="I723" s="74"/>
      <c r="J723" s="90"/>
      <c r="K723" s="74"/>
      <c r="L723" s="74"/>
      <c r="M723" s="74"/>
      <c r="N723" s="74"/>
      <c r="O723" s="40"/>
      <c r="P723" s="40"/>
      <c r="Q723" s="45"/>
      <c r="R723" s="40"/>
      <c r="S723" s="40"/>
      <c r="T723" s="74"/>
      <c r="U723" s="74"/>
      <c r="V723" s="74"/>
      <c r="W723" s="74"/>
      <c r="X723" s="76"/>
      <c r="Y723" s="76"/>
      <c r="Z723" s="76"/>
      <c r="AA723" s="76"/>
    </row>
    <row r="724" spans="4:27" ht="13.2">
      <c r="D724" s="40"/>
      <c r="E724" s="40"/>
      <c r="F724" s="74"/>
      <c r="G724" s="74"/>
      <c r="H724" s="74"/>
      <c r="I724" s="74"/>
      <c r="J724" s="90"/>
      <c r="K724" s="74"/>
      <c r="L724" s="74"/>
      <c r="M724" s="74"/>
      <c r="N724" s="74"/>
      <c r="O724" s="40"/>
      <c r="P724" s="40"/>
      <c r="Q724" s="45"/>
      <c r="R724" s="40"/>
      <c r="S724" s="40"/>
      <c r="T724" s="74"/>
      <c r="U724" s="74"/>
      <c r="V724" s="74"/>
      <c r="W724" s="74"/>
      <c r="X724" s="76"/>
      <c r="Y724" s="76"/>
      <c r="Z724" s="76"/>
      <c r="AA724" s="76"/>
    </row>
    <row r="725" spans="4:27" ht="13.2">
      <c r="D725" s="40"/>
      <c r="E725" s="40"/>
      <c r="F725" s="74"/>
      <c r="G725" s="74"/>
      <c r="H725" s="74"/>
      <c r="I725" s="74"/>
      <c r="J725" s="90"/>
      <c r="K725" s="74"/>
      <c r="L725" s="74"/>
      <c r="M725" s="74"/>
      <c r="N725" s="74"/>
      <c r="O725" s="40"/>
      <c r="P725" s="40"/>
      <c r="Q725" s="45"/>
      <c r="R725" s="40"/>
      <c r="S725" s="40"/>
      <c r="T725" s="74"/>
      <c r="U725" s="74"/>
      <c r="V725" s="74"/>
      <c r="W725" s="74"/>
      <c r="X725" s="76"/>
      <c r="Y725" s="76"/>
      <c r="Z725" s="76"/>
      <c r="AA725" s="76"/>
    </row>
    <row r="726" spans="4:27" ht="13.2">
      <c r="D726" s="40"/>
      <c r="E726" s="40"/>
      <c r="F726" s="74"/>
      <c r="G726" s="74"/>
      <c r="H726" s="74"/>
      <c r="I726" s="74"/>
      <c r="J726" s="90"/>
      <c r="K726" s="74"/>
      <c r="L726" s="74"/>
      <c r="M726" s="74"/>
      <c r="N726" s="74"/>
      <c r="O726" s="40"/>
      <c r="P726" s="40"/>
      <c r="Q726" s="45"/>
      <c r="R726" s="40"/>
      <c r="S726" s="40"/>
      <c r="T726" s="74"/>
      <c r="U726" s="74"/>
      <c r="V726" s="74"/>
      <c r="W726" s="74"/>
      <c r="X726" s="76"/>
      <c r="Y726" s="76"/>
      <c r="Z726" s="76"/>
      <c r="AA726" s="76"/>
    </row>
    <row r="727" spans="4:27" ht="13.2">
      <c r="D727" s="40"/>
      <c r="E727" s="40"/>
      <c r="F727" s="74"/>
      <c r="G727" s="74"/>
      <c r="H727" s="74"/>
      <c r="I727" s="74"/>
      <c r="J727" s="90"/>
      <c r="K727" s="74"/>
      <c r="L727" s="74"/>
      <c r="M727" s="74"/>
      <c r="N727" s="74"/>
      <c r="O727" s="40"/>
      <c r="P727" s="40"/>
      <c r="Q727" s="45"/>
      <c r="R727" s="40"/>
      <c r="S727" s="40"/>
      <c r="T727" s="74"/>
      <c r="U727" s="74"/>
      <c r="V727" s="74"/>
      <c r="W727" s="74"/>
      <c r="X727" s="76"/>
      <c r="Y727" s="76"/>
      <c r="Z727" s="76"/>
      <c r="AA727" s="76"/>
    </row>
    <row r="728" spans="4:27" ht="13.2">
      <c r="D728" s="40"/>
      <c r="E728" s="40"/>
      <c r="F728" s="74"/>
      <c r="G728" s="74"/>
      <c r="H728" s="74"/>
      <c r="I728" s="74"/>
      <c r="J728" s="90"/>
      <c r="K728" s="74"/>
      <c r="L728" s="74"/>
      <c r="M728" s="74"/>
      <c r="N728" s="74"/>
      <c r="O728" s="40"/>
      <c r="P728" s="40"/>
      <c r="Q728" s="45"/>
      <c r="R728" s="40"/>
      <c r="S728" s="40"/>
      <c r="T728" s="74"/>
      <c r="U728" s="74"/>
      <c r="V728" s="74"/>
      <c r="W728" s="74"/>
      <c r="X728" s="76"/>
      <c r="Y728" s="76"/>
      <c r="Z728" s="76"/>
      <c r="AA728" s="76"/>
    </row>
    <row r="729" spans="4:27" ht="13.2">
      <c r="D729" s="40"/>
      <c r="E729" s="40"/>
      <c r="F729" s="74"/>
      <c r="G729" s="74"/>
      <c r="H729" s="74"/>
      <c r="I729" s="74"/>
      <c r="J729" s="90"/>
      <c r="K729" s="74"/>
      <c r="L729" s="74"/>
      <c r="M729" s="74"/>
      <c r="N729" s="74"/>
      <c r="O729" s="40"/>
      <c r="P729" s="40"/>
      <c r="Q729" s="45"/>
      <c r="R729" s="40"/>
      <c r="S729" s="40"/>
      <c r="T729" s="74"/>
      <c r="U729" s="74"/>
      <c r="V729" s="74"/>
      <c r="W729" s="74"/>
      <c r="X729" s="76"/>
      <c r="Y729" s="76"/>
      <c r="Z729" s="76"/>
      <c r="AA729" s="76"/>
    </row>
    <row r="730" spans="4:27" ht="13.2">
      <c r="D730" s="40"/>
      <c r="E730" s="40"/>
      <c r="F730" s="74"/>
      <c r="G730" s="74"/>
      <c r="H730" s="74"/>
      <c r="I730" s="74"/>
      <c r="J730" s="90"/>
      <c r="K730" s="74"/>
      <c r="L730" s="74"/>
      <c r="M730" s="74"/>
      <c r="N730" s="74"/>
      <c r="O730" s="40"/>
      <c r="P730" s="40"/>
      <c r="Q730" s="45"/>
      <c r="R730" s="40"/>
      <c r="S730" s="40"/>
      <c r="T730" s="74"/>
      <c r="U730" s="74"/>
      <c r="V730" s="74"/>
      <c r="W730" s="74"/>
      <c r="X730" s="76"/>
      <c r="Y730" s="76"/>
      <c r="Z730" s="76"/>
      <c r="AA730" s="76"/>
    </row>
    <row r="731" spans="4:27" ht="13.2">
      <c r="D731" s="40"/>
      <c r="E731" s="40"/>
      <c r="F731" s="74"/>
      <c r="G731" s="74"/>
      <c r="H731" s="74"/>
      <c r="I731" s="74"/>
      <c r="J731" s="90"/>
      <c r="K731" s="74"/>
      <c r="L731" s="74"/>
      <c r="M731" s="74"/>
      <c r="N731" s="74"/>
      <c r="O731" s="40"/>
      <c r="P731" s="40"/>
      <c r="Q731" s="45"/>
      <c r="R731" s="40"/>
      <c r="S731" s="40"/>
      <c r="T731" s="74"/>
      <c r="U731" s="74"/>
      <c r="V731" s="74"/>
      <c r="W731" s="74"/>
      <c r="X731" s="76"/>
      <c r="Y731" s="76"/>
      <c r="Z731" s="76"/>
      <c r="AA731" s="76"/>
    </row>
    <row r="732" spans="4:27" ht="13.2">
      <c r="D732" s="40"/>
      <c r="E732" s="40"/>
      <c r="F732" s="74"/>
      <c r="G732" s="74"/>
      <c r="H732" s="74"/>
      <c r="I732" s="74"/>
      <c r="J732" s="90"/>
      <c r="K732" s="74"/>
      <c r="L732" s="74"/>
      <c r="M732" s="74"/>
      <c r="N732" s="74"/>
      <c r="O732" s="40"/>
      <c r="P732" s="40"/>
      <c r="Q732" s="45"/>
      <c r="R732" s="40"/>
      <c r="S732" s="40"/>
      <c r="T732" s="74"/>
      <c r="U732" s="74"/>
      <c r="V732" s="74"/>
      <c r="W732" s="74"/>
      <c r="X732" s="76"/>
      <c r="Y732" s="76"/>
      <c r="Z732" s="76"/>
      <c r="AA732" s="76"/>
    </row>
    <row r="733" spans="4:27" ht="13.2">
      <c r="D733" s="40"/>
      <c r="E733" s="40"/>
      <c r="F733" s="74"/>
      <c r="G733" s="74"/>
      <c r="H733" s="74"/>
      <c r="I733" s="74"/>
      <c r="J733" s="90"/>
      <c r="K733" s="74"/>
      <c r="L733" s="74"/>
      <c r="M733" s="74"/>
      <c r="N733" s="74"/>
      <c r="O733" s="40"/>
      <c r="P733" s="40"/>
      <c r="Q733" s="45"/>
      <c r="R733" s="40"/>
      <c r="S733" s="40"/>
      <c r="T733" s="74"/>
      <c r="U733" s="74"/>
      <c r="V733" s="74"/>
      <c r="W733" s="74"/>
      <c r="X733" s="76"/>
      <c r="Y733" s="76"/>
      <c r="Z733" s="76"/>
      <c r="AA733" s="76"/>
    </row>
    <row r="734" spans="4:27" ht="13.2">
      <c r="D734" s="40"/>
      <c r="E734" s="40"/>
      <c r="F734" s="74"/>
      <c r="G734" s="74"/>
      <c r="H734" s="74"/>
      <c r="I734" s="74"/>
      <c r="J734" s="90"/>
      <c r="K734" s="74"/>
      <c r="L734" s="74"/>
      <c r="M734" s="74"/>
      <c r="N734" s="74"/>
      <c r="O734" s="40"/>
      <c r="P734" s="40"/>
      <c r="Q734" s="45"/>
      <c r="R734" s="40"/>
      <c r="S734" s="40"/>
      <c r="T734" s="74"/>
      <c r="U734" s="74"/>
      <c r="V734" s="74"/>
      <c r="W734" s="74"/>
      <c r="X734" s="76"/>
      <c r="Y734" s="76"/>
      <c r="Z734" s="76"/>
      <c r="AA734" s="76"/>
    </row>
    <row r="735" spans="4:27" ht="13.2">
      <c r="D735" s="40"/>
      <c r="E735" s="40"/>
      <c r="F735" s="74"/>
      <c r="G735" s="74"/>
      <c r="H735" s="74"/>
      <c r="I735" s="74"/>
      <c r="J735" s="90"/>
      <c r="K735" s="74"/>
      <c r="L735" s="74"/>
      <c r="M735" s="74"/>
      <c r="N735" s="74"/>
      <c r="O735" s="40"/>
      <c r="P735" s="40"/>
      <c r="Q735" s="45"/>
      <c r="R735" s="40"/>
      <c r="S735" s="40"/>
      <c r="T735" s="74"/>
      <c r="U735" s="74"/>
      <c r="V735" s="74"/>
      <c r="W735" s="74"/>
      <c r="X735" s="76"/>
      <c r="Y735" s="76"/>
      <c r="Z735" s="76"/>
      <c r="AA735" s="76"/>
    </row>
    <row r="736" spans="4:27" ht="13.2">
      <c r="D736" s="40"/>
      <c r="E736" s="40"/>
      <c r="F736" s="74"/>
      <c r="G736" s="74"/>
      <c r="H736" s="74"/>
      <c r="I736" s="74"/>
      <c r="J736" s="90"/>
      <c r="K736" s="74"/>
      <c r="L736" s="74"/>
      <c r="M736" s="74"/>
      <c r="N736" s="74"/>
      <c r="O736" s="40"/>
      <c r="P736" s="40"/>
      <c r="Q736" s="45"/>
      <c r="R736" s="40"/>
      <c r="S736" s="40"/>
      <c r="T736" s="74"/>
      <c r="U736" s="74"/>
      <c r="V736" s="74"/>
      <c r="W736" s="74"/>
      <c r="X736" s="76"/>
      <c r="Y736" s="76"/>
      <c r="Z736" s="76"/>
      <c r="AA736" s="76"/>
    </row>
    <row r="737" spans="4:27" ht="13.2">
      <c r="D737" s="40"/>
      <c r="E737" s="40"/>
      <c r="F737" s="74"/>
      <c r="G737" s="74"/>
      <c r="H737" s="74"/>
      <c r="I737" s="74"/>
      <c r="J737" s="90"/>
      <c r="K737" s="74"/>
      <c r="L737" s="74"/>
      <c r="M737" s="74"/>
      <c r="N737" s="74"/>
      <c r="O737" s="40"/>
      <c r="P737" s="40"/>
      <c r="Q737" s="45"/>
      <c r="R737" s="40"/>
      <c r="S737" s="40"/>
      <c r="T737" s="74"/>
      <c r="U737" s="74"/>
      <c r="V737" s="74"/>
      <c r="W737" s="74"/>
      <c r="X737" s="76"/>
      <c r="Y737" s="76"/>
      <c r="Z737" s="76"/>
      <c r="AA737" s="76"/>
    </row>
    <row r="738" spans="4:27" ht="13.2">
      <c r="D738" s="40"/>
      <c r="E738" s="40"/>
      <c r="F738" s="74"/>
      <c r="G738" s="74"/>
      <c r="H738" s="74"/>
      <c r="I738" s="74"/>
      <c r="J738" s="90"/>
      <c r="K738" s="74"/>
      <c r="L738" s="74"/>
      <c r="M738" s="74"/>
      <c r="N738" s="74"/>
      <c r="O738" s="40"/>
      <c r="P738" s="40"/>
      <c r="Q738" s="45"/>
      <c r="R738" s="40"/>
      <c r="S738" s="40"/>
      <c r="T738" s="74"/>
      <c r="U738" s="74"/>
      <c r="V738" s="74"/>
      <c r="W738" s="74"/>
      <c r="X738" s="76"/>
      <c r="Y738" s="76"/>
      <c r="Z738" s="76"/>
      <c r="AA738" s="76"/>
    </row>
    <row r="739" spans="4:27" ht="13.2">
      <c r="D739" s="40"/>
      <c r="E739" s="40"/>
      <c r="F739" s="74"/>
      <c r="G739" s="74"/>
      <c r="H739" s="74"/>
      <c r="I739" s="74"/>
      <c r="J739" s="90"/>
      <c r="K739" s="74"/>
      <c r="L739" s="74"/>
      <c r="M739" s="74"/>
      <c r="N739" s="74"/>
      <c r="O739" s="40"/>
      <c r="P739" s="40"/>
      <c r="Q739" s="45"/>
      <c r="R739" s="40"/>
      <c r="S739" s="40"/>
      <c r="T739" s="74"/>
      <c r="U739" s="74"/>
      <c r="V739" s="74"/>
      <c r="W739" s="74"/>
      <c r="X739" s="76"/>
      <c r="Y739" s="76"/>
      <c r="Z739" s="76"/>
      <c r="AA739" s="76"/>
    </row>
    <row r="740" spans="4:27" ht="13.2">
      <c r="D740" s="40"/>
      <c r="E740" s="40"/>
      <c r="F740" s="74"/>
      <c r="G740" s="74"/>
      <c r="H740" s="74"/>
      <c r="I740" s="74"/>
      <c r="J740" s="90"/>
      <c r="K740" s="74"/>
      <c r="L740" s="74"/>
      <c r="M740" s="74"/>
      <c r="N740" s="74"/>
      <c r="O740" s="40"/>
      <c r="P740" s="40"/>
      <c r="Q740" s="45"/>
      <c r="R740" s="40"/>
      <c r="S740" s="40"/>
      <c r="T740" s="74"/>
      <c r="U740" s="74"/>
      <c r="V740" s="74"/>
      <c r="W740" s="74"/>
      <c r="X740" s="76"/>
      <c r="Y740" s="76"/>
      <c r="Z740" s="76"/>
      <c r="AA740" s="76"/>
    </row>
    <row r="741" spans="4:27" ht="13.2">
      <c r="D741" s="40"/>
      <c r="E741" s="40"/>
      <c r="F741" s="74"/>
      <c r="G741" s="74"/>
      <c r="H741" s="74"/>
      <c r="I741" s="74"/>
      <c r="J741" s="90"/>
      <c r="K741" s="74"/>
      <c r="L741" s="74"/>
      <c r="M741" s="74"/>
      <c r="N741" s="74"/>
      <c r="O741" s="40"/>
      <c r="P741" s="40"/>
      <c r="Q741" s="45"/>
      <c r="R741" s="40"/>
      <c r="S741" s="40"/>
      <c r="T741" s="74"/>
      <c r="U741" s="74"/>
      <c r="V741" s="74"/>
      <c r="W741" s="74"/>
      <c r="X741" s="76"/>
      <c r="Y741" s="76"/>
      <c r="Z741" s="76"/>
      <c r="AA741" s="76"/>
    </row>
    <row r="742" spans="4:27" ht="13.2">
      <c r="D742" s="40"/>
      <c r="E742" s="40"/>
      <c r="F742" s="74"/>
      <c r="G742" s="74"/>
      <c r="H742" s="74"/>
      <c r="I742" s="74"/>
      <c r="J742" s="90"/>
      <c r="K742" s="74"/>
      <c r="L742" s="74"/>
      <c r="M742" s="74"/>
      <c r="N742" s="74"/>
      <c r="O742" s="40"/>
      <c r="P742" s="40"/>
      <c r="Q742" s="45"/>
      <c r="R742" s="40"/>
      <c r="S742" s="40"/>
      <c r="T742" s="74"/>
      <c r="U742" s="74"/>
      <c r="V742" s="74"/>
      <c r="W742" s="74"/>
      <c r="X742" s="76"/>
      <c r="Y742" s="76"/>
      <c r="Z742" s="76"/>
      <c r="AA742" s="76"/>
    </row>
    <row r="743" spans="4:27" ht="13.2">
      <c r="D743" s="40"/>
      <c r="E743" s="40"/>
      <c r="F743" s="74"/>
      <c r="G743" s="74"/>
      <c r="H743" s="74"/>
      <c r="I743" s="74"/>
      <c r="J743" s="90"/>
      <c r="K743" s="74"/>
      <c r="L743" s="74"/>
      <c r="M743" s="74"/>
      <c r="N743" s="74"/>
      <c r="O743" s="40"/>
      <c r="P743" s="40"/>
      <c r="Q743" s="45"/>
      <c r="R743" s="40"/>
      <c r="S743" s="40"/>
      <c r="T743" s="74"/>
      <c r="U743" s="74"/>
      <c r="V743" s="74"/>
      <c r="W743" s="74"/>
      <c r="X743" s="76"/>
      <c r="Y743" s="76"/>
      <c r="Z743" s="76"/>
      <c r="AA743" s="76"/>
    </row>
    <row r="744" spans="4:27" ht="13.2">
      <c r="D744" s="40"/>
      <c r="E744" s="40"/>
      <c r="F744" s="74"/>
      <c r="G744" s="74"/>
      <c r="H744" s="74"/>
      <c r="I744" s="74"/>
      <c r="J744" s="90"/>
      <c r="K744" s="74"/>
      <c r="L744" s="74"/>
      <c r="M744" s="74"/>
      <c r="N744" s="74"/>
      <c r="O744" s="40"/>
      <c r="P744" s="40"/>
      <c r="Q744" s="45"/>
      <c r="R744" s="40"/>
      <c r="S744" s="40"/>
      <c r="T744" s="74"/>
      <c r="U744" s="74"/>
      <c r="V744" s="74"/>
      <c r="W744" s="74"/>
      <c r="X744" s="76"/>
      <c r="Y744" s="76"/>
      <c r="Z744" s="76"/>
      <c r="AA744" s="76"/>
    </row>
    <row r="745" spans="4:27" ht="13.2">
      <c r="D745" s="40"/>
      <c r="E745" s="40"/>
      <c r="F745" s="74"/>
      <c r="G745" s="74"/>
      <c r="H745" s="74"/>
      <c r="I745" s="74"/>
      <c r="J745" s="90"/>
      <c r="K745" s="74"/>
      <c r="L745" s="74"/>
      <c r="M745" s="74"/>
      <c r="N745" s="74"/>
      <c r="O745" s="40"/>
      <c r="P745" s="40"/>
      <c r="Q745" s="45"/>
      <c r="R745" s="40"/>
      <c r="S745" s="40"/>
      <c r="T745" s="74"/>
      <c r="U745" s="74"/>
      <c r="V745" s="74"/>
      <c r="W745" s="74"/>
      <c r="X745" s="76"/>
      <c r="Y745" s="76"/>
      <c r="Z745" s="76"/>
      <c r="AA745" s="76"/>
    </row>
    <row r="746" spans="4:27" ht="13.2">
      <c r="D746" s="40"/>
      <c r="E746" s="40"/>
      <c r="F746" s="74"/>
      <c r="G746" s="74"/>
      <c r="H746" s="74"/>
      <c r="I746" s="74"/>
      <c r="J746" s="90"/>
      <c r="K746" s="74"/>
      <c r="L746" s="74"/>
      <c r="M746" s="74"/>
      <c r="N746" s="74"/>
      <c r="O746" s="40"/>
      <c r="P746" s="40"/>
      <c r="Q746" s="45"/>
      <c r="R746" s="40"/>
      <c r="S746" s="40"/>
      <c r="T746" s="74"/>
      <c r="U746" s="74"/>
      <c r="V746" s="74"/>
      <c r="W746" s="74"/>
      <c r="X746" s="76"/>
      <c r="Y746" s="76"/>
      <c r="Z746" s="76"/>
      <c r="AA746" s="76"/>
    </row>
    <row r="747" spans="4:27" ht="13.2">
      <c r="D747" s="40"/>
      <c r="E747" s="40"/>
      <c r="F747" s="74"/>
      <c r="G747" s="74"/>
      <c r="H747" s="74"/>
      <c r="I747" s="74"/>
      <c r="J747" s="90"/>
      <c r="K747" s="74"/>
      <c r="L747" s="74"/>
      <c r="M747" s="74"/>
      <c r="N747" s="74"/>
      <c r="O747" s="40"/>
      <c r="P747" s="40"/>
      <c r="Q747" s="45"/>
      <c r="R747" s="40"/>
      <c r="S747" s="40"/>
      <c r="T747" s="74"/>
      <c r="U747" s="74"/>
      <c r="V747" s="74"/>
      <c r="W747" s="74"/>
      <c r="X747" s="76"/>
      <c r="Y747" s="76"/>
      <c r="Z747" s="76"/>
      <c r="AA747" s="76"/>
    </row>
    <row r="748" spans="4:27" ht="13.2">
      <c r="D748" s="40"/>
      <c r="E748" s="40"/>
      <c r="F748" s="74"/>
      <c r="G748" s="74"/>
      <c r="H748" s="74"/>
      <c r="I748" s="74"/>
      <c r="J748" s="90"/>
      <c r="K748" s="74"/>
      <c r="L748" s="74"/>
      <c r="M748" s="74"/>
      <c r="N748" s="74"/>
      <c r="O748" s="40"/>
      <c r="P748" s="40"/>
      <c r="Q748" s="45"/>
      <c r="R748" s="40"/>
      <c r="S748" s="40"/>
      <c r="T748" s="74"/>
      <c r="U748" s="74"/>
      <c r="V748" s="74"/>
      <c r="W748" s="74"/>
      <c r="X748" s="76"/>
      <c r="Y748" s="76"/>
      <c r="Z748" s="76"/>
      <c r="AA748" s="76"/>
    </row>
    <row r="749" spans="4:27" ht="13.2">
      <c r="D749" s="40"/>
      <c r="E749" s="40"/>
      <c r="F749" s="74"/>
      <c r="G749" s="74"/>
      <c r="H749" s="74"/>
      <c r="I749" s="74"/>
      <c r="J749" s="90"/>
      <c r="K749" s="74"/>
      <c r="L749" s="74"/>
      <c r="M749" s="74"/>
      <c r="N749" s="74"/>
      <c r="O749" s="40"/>
      <c r="P749" s="40"/>
      <c r="Q749" s="45"/>
      <c r="R749" s="40"/>
      <c r="S749" s="40"/>
      <c r="T749" s="74"/>
      <c r="U749" s="74"/>
      <c r="V749" s="74"/>
      <c r="W749" s="74"/>
      <c r="X749" s="76"/>
      <c r="Y749" s="76"/>
      <c r="Z749" s="76"/>
      <c r="AA749" s="76"/>
    </row>
    <row r="750" spans="4:27" ht="13.2">
      <c r="D750" s="40"/>
      <c r="E750" s="40"/>
      <c r="F750" s="74"/>
      <c r="G750" s="74"/>
      <c r="H750" s="74"/>
      <c r="I750" s="74"/>
      <c r="J750" s="90"/>
      <c r="K750" s="74"/>
      <c r="L750" s="74"/>
      <c r="M750" s="74"/>
      <c r="N750" s="74"/>
      <c r="O750" s="40"/>
      <c r="P750" s="40"/>
      <c r="Q750" s="45"/>
      <c r="R750" s="40"/>
      <c r="S750" s="40"/>
      <c r="T750" s="74"/>
      <c r="U750" s="74"/>
      <c r="V750" s="74"/>
      <c r="W750" s="74"/>
      <c r="X750" s="76"/>
      <c r="Y750" s="76"/>
      <c r="Z750" s="76"/>
      <c r="AA750" s="76"/>
    </row>
    <row r="751" spans="4:27" ht="13.2">
      <c r="D751" s="40"/>
      <c r="E751" s="40"/>
      <c r="F751" s="74"/>
      <c r="G751" s="74"/>
      <c r="H751" s="74"/>
      <c r="I751" s="74"/>
      <c r="J751" s="90"/>
      <c r="K751" s="74"/>
      <c r="L751" s="74"/>
      <c r="M751" s="74"/>
      <c r="N751" s="74"/>
      <c r="O751" s="40"/>
      <c r="P751" s="40"/>
      <c r="Q751" s="45"/>
      <c r="R751" s="40"/>
      <c r="S751" s="40"/>
      <c r="T751" s="74"/>
      <c r="U751" s="74"/>
      <c r="V751" s="74"/>
      <c r="W751" s="74"/>
      <c r="X751" s="76"/>
      <c r="Y751" s="76"/>
      <c r="Z751" s="76"/>
      <c r="AA751" s="76"/>
    </row>
    <row r="752" spans="4:27" ht="13.2">
      <c r="D752" s="40"/>
      <c r="E752" s="40"/>
      <c r="F752" s="74"/>
      <c r="G752" s="74"/>
      <c r="H752" s="74"/>
      <c r="I752" s="74"/>
      <c r="J752" s="90"/>
      <c r="K752" s="74"/>
      <c r="L752" s="74"/>
      <c r="M752" s="74"/>
      <c r="N752" s="74"/>
      <c r="O752" s="40"/>
      <c r="P752" s="40"/>
      <c r="Q752" s="45"/>
      <c r="R752" s="40"/>
      <c r="S752" s="40"/>
      <c r="T752" s="74"/>
      <c r="U752" s="74"/>
      <c r="V752" s="74"/>
      <c r="W752" s="74"/>
      <c r="X752" s="76"/>
      <c r="Y752" s="76"/>
      <c r="Z752" s="76"/>
      <c r="AA752" s="76"/>
    </row>
    <row r="753" spans="4:27" ht="13.2">
      <c r="D753" s="40"/>
      <c r="E753" s="40"/>
      <c r="F753" s="74"/>
      <c r="G753" s="74"/>
      <c r="H753" s="74"/>
      <c r="I753" s="74"/>
      <c r="J753" s="90"/>
      <c r="K753" s="74"/>
      <c r="L753" s="74"/>
      <c r="M753" s="74"/>
      <c r="N753" s="74"/>
      <c r="O753" s="40"/>
      <c r="P753" s="40"/>
      <c r="Q753" s="45"/>
      <c r="R753" s="40"/>
      <c r="S753" s="40"/>
      <c r="T753" s="74"/>
      <c r="U753" s="74"/>
      <c r="V753" s="74"/>
      <c r="W753" s="74"/>
      <c r="X753" s="76"/>
      <c r="Y753" s="76"/>
      <c r="Z753" s="76"/>
      <c r="AA753" s="76"/>
    </row>
    <row r="754" spans="4:27" ht="13.2">
      <c r="D754" s="40"/>
      <c r="E754" s="40"/>
      <c r="F754" s="74"/>
      <c r="G754" s="74"/>
      <c r="H754" s="74"/>
      <c r="I754" s="74"/>
      <c r="J754" s="90"/>
      <c r="K754" s="74"/>
      <c r="L754" s="74"/>
      <c r="M754" s="74"/>
      <c r="N754" s="74"/>
      <c r="O754" s="40"/>
      <c r="P754" s="40"/>
      <c r="Q754" s="45"/>
      <c r="R754" s="40"/>
      <c r="S754" s="40"/>
      <c r="T754" s="74"/>
      <c r="U754" s="74"/>
      <c r="V754" s="74"/>
      <c r="W754" s="74"/>
      <c r="X754" s="76"/>
      <c r="Y754" s="76"/>
      <c r="Z754" s="76"/>
      <c r="AA754" s="76"/>
    </row>
    <row r="755" spans="4:27" ht="13.2">
      <c r="D755" s="40"/>
      <c r="E755" s="40"/>
      <c r="F755" s="74"/>
      <c r="G755" s="74"/>
      <c r="H755" s="74"/>
      <c r="I755" s="74"/>
      <c r="J755" s="90"/>
      <c r="K755" s="74"/>
      <c r="L755" s="74"/>
      <c r="M755" s="74"/>
      <c r="N755" s="74"/>
      <c r="O755" s="40"/>
      <c r="P755" s="40"/>
      <c r="Q755" s="45"/>
      <c r="R755" s="40"/>
      <c r="S755" s="40"/>
      <c r="T755" s="74"/>
      <c r="U755" s="74"/>
      <c r="V755" s="74"/>
      <c r="W755" s="74"/>
      <c r="X755" s="76"/>
      <c r="Y755" s="76"/>
      <c r="Z755" s="76"/>
      <c r="AA755" s="76"/>
    </row>
    <row r="756" spans="4:27" ht="13.2">
      <c r="D756" s="40"/>
      <c r="E756" s="40"/>
      <c r="F756" s="74"/>
      <c r="G756" s="74"/>
      <c r="H756" s="74"/>
      <c r="I756" s="74"/>
      <c r="J756" s="90"/>
      <c r="K756" s="74"/>
      <c r="L756" s="74"/>
      <c r="M756" s="74"/>
      <c r="N756" s="74"/>
      <c r="O756" s="40"/>
      <c r="P756" s="40"/>
      <c r="Q756" s="45"/>
      <c r="R756" s="40"/>
      <c r="S756" s="40"/>
      <c r="T756" s="74"/>
      <c r="U756" s="74"/>
      <c r="V756" s="74"/>
      <c r="W756" s="74"/>
      <c r="X756" s="76"/>
      <c r="Y756" s="76"/>
      <c r="Z756" s="76"/>
      <c r="AA756" s="76"/>
    </row>
    <row r="757" spans="4:27" ht="13.2">
      <c r="D757" s="40"/>
      <c r="E757" s="40"/>
      <c r="F757" s="74"/>
      <c r="G757" s="74"/>
      <c r="H757" s="74"/>
      <c r="I757" s="74"/>
      <c r="J757" s="90"/>
      <c r="K757" s="74"/>
      <c r="L757" s="74"/>
      <c r="M757" s="74"/>
      <c r="N757" s="74"/>
      <c r="O757" s="40"/>
      <c r="P757" s="40"/>
      <c r="Q757" s="45"/>
      <c r="R757" s="40"/>
      <c r="S757" s="40"/>
      <c r="T757" s="74"/>
      <c r="U757" s="74"/>
      <c r="V757" s="74"/>
      <c r="W757" s="74"/>
      <c r="X757" s="76"/>
      <c r="Y757" s="76"/>
      <c r="Z757" s="76"/>
      <c r="AA757" s="76"/>
    </row>
    <row r="758" spans="4:27" ht="13.2">
      <c r="D758" s="40"/>
      <c r="E758" s="40"/>
      <c r="F758" s="74"/>
      <c r="G758" s="74"/>
      <c r="H758" s="74"/>
      <c r="I758" s="74"/>
      <c r="J758" s="90"/>
      <c r="K758" s="74"/>
      <c r="L758" s="74"/>
      <c r="M758" s="74"/>
      <c r="N758" s="74"/>
      <c r="O758" s="40"/>
      <c r="P758" s="40"/>
      <c r="Q758" s="45"/>
      <c r="R758" s="40"/>
      <c r="S758" s="40"/>
      <c r="T758" s="74"/>
      <c r="U758" s="74"/>
      <c r="V758" s="74"/>
      <c r="W758" s="74"/>
      <c r="X758" s="76"/>
      <c r="Y758" s="76"/>
      <c r="Z758" s="76"/>
      <c r="AA758" s="76"/>
    </row>
    <row r="759" spans="4:27" ht="13.2">
      <c r="D759" s="40"/>
      <c r="E759" s="40"/>
      <c r="F759" s="74"/>
      <c r="G759" s="74"/>
      <c r="H759" s="74"/>
      <c r="I759" s="74"/>
      <c r="J759" s="90"/>
      <c r="K759" s="74"/>
      <c r="L759" s="74"/>
      <c r="M759" s="74"/>
      <c r="N759" s="74"/>
      <c r="O759" s="40"/>
      <c r="P759" s="40"/>
      <c r="Q759" s="45"/>
      <c r="R759" s="40"/>
      <c r="S759" s="40"/>
      <c r="T759" s="74"/>
      <c r="U759" s="74"/>
      <c r="V759" s="74"/>
      <c r="W759" s="74"/>
      <c r="X759" s="76"/>
      <c r="Y759" s="76"/>
      <c r="Z759" s="76"/>
      <c r="AA759" s="76"/>
    </row>
    <row r="760" spans="4:27" ht="13.2">
      <c r="D760" s="40"/>
      <c r="E760" s="40"/>
      <c r="F760" s="74"/>
      <c r="G760" s="74"/>
      <c r="H760" s="74"/>
      <c r="I760" s="74"/>
      <c r="J760" s="90"/>
      <c r="K760" s="74"/>
      <c r="L760" s="74"/>
      <c r="M760" s="74"/>
      <c r="N760" s="74"/>
      <c r="O760" s="40"/>
      <c r="P760" s="40"/>
      <c r="Q760" s="45"/>
      <c r="R760" s="40"/>
      <c r="S760" s="40"/>
      <c r="T760" s="74"/>
      <c r="U760" s="74"/>
      <c r="V760" s="74"/>
      <c r="W760" s="74"/>
      <c r="X760" s="76"/>
      <c r="Y760" s="76"/>
      <c r="Z760" s="76"/>
      <c r="AA760" s="76"/>
    </row>
    <row r="761" spans="4:27" ht="13.2">
      <c r="D761" s="40"/>
      <c r="E761" s="40"/>
      <c r="F761" s="74"/>
      <c r="G761" s="74"/>
      <c r="H761" s="74"/>
      <c r="I761" s="74"/>
      <c r="J761" s="90"/>
      <c r="K761" s="74"/>
      <c r="L761" s="74"/>
      <c r="M761" s="74"/>
      <c r="N761" s="74"/>
      <c r="O761" s="40"/>
      <c r="P761" s="40"/>
      <c r="Q761" s="45"/>
      <c r="R761" s="40"/>
      <c r="S761" s="40"/>
      <c r="T761" s="74"/>
      <c r="U761" s="74"/>
      <c r="V761" s="74"/>
      <c r="W761" s="74"/>
      <c r="X761" s="76"/>
      <c r="Y761" s="76"/>
      <c r="Z761" s="76"/>
      <c r="AA761" s="76"/>
    </row>
    <row r="762" spans="4:27" ht="13.2">
      <c r="D762" s="40"/>
      <c r="E762" s="40"/>
      <c r="F762" s="74"/>
      <c r="G762" s="74"/>
      <c r="H762" s="74"/>
      <c r="I762" s="74"/>
      <c r="J762" s="90"/>
      <c r="K762" s="74"/>
      <c r="L762" s="74"/>
      <c r="M762" s="74"/>
      <c r="N762" s="74"/>
      <c r="O762" s="40"/>
      <c r="P762" s="40"/>
      <c r="Q762" s="45"/>
      <c r="R762" s="40"/>
      <c r="S762" s="40"/>
      <c r="T762" s="74"/>
      <c r="U762" s="74"/>
      <c r="V762" s="74"/>
      <c r="W762" s="74"/>
      <c r="X762" s="76"/>
      <c r="Y762" s="76"/>
      <c r="Z762" s="76"/>
      <c r="AA762" s="76"/>
    </row>
    <row r="763" spans="4:27" ht="13.2">
      <c r="D763" s="40"/>
      <c r="E763" s="40"/>
      <c r="F763" s="74"/>
      <c r="G763" s="74"/>
      <c r="H763" s="74"/>
      <c r="I763" s="74"/>
      <c r="J763" s="90"/>
      <c r="K763" s="74"/>
      <c r="L763" s="74"/>
      <c r="M763" s="74"/>
      <c r="N763" s="74"/>
      <c r="O763" s="40"/>
      <c r="P763" s="40"/>
      <c r="Q763" s="45"/>
      <c r="R763" s="40"/>
      <c r="S763" s="40"/>
      <c r="T763" s="74"/>
      <c r="U763" s="74"/>
      <c r="V763" s="74"/>
      <c r="W763" s="74"/>
      <c r="X763" s="76"/>
      <c r="Y763" s="76"/>
      <c r="Z763" s="76"/>
      <c r="AA763" s="76"/>
    </row>
    <row r="764" spans="4:27" ht="13.2">
      <c r="D764" s="40"/>
      <c r="E764" s="40"/>
      <c r="F764" s="74"/>
      <c r="G764" s="74"/>
      <c r="H764" s="74"/>
      <c r="I764" s="74"/>
      <c r="J764" s="90"/>
      <c r="K764" s="74"/>
      <c r="L764" s="74"/>
      <c r="M764" s="74"/>
      <c r="N764" s="74"/>
      <c r="O764" s="40"/>
      <c r="P764" s="40"/>
      <c r="Q764" s="45"/>
      <c r="R764" s="40"/>
      <c r="S764" s="40"/>
      <c r="T764" s="74"/>
      <c r="U764" s="74"/>
      <c r="V764" s="74"/>
      <c r="W764" s="74"/>
      <c r="X764" s="76"/>
      <c r="Y764" s="76"/>
      <c r="Z764" s="76"/>
      <c r="AA764" s="76"/>
    </row>
    <row r="765" spans="4:27" ht="13.2">
      <c r="D765" s="40"/>
      <c r="E765" s="40"/>
      <c r="F765" s="74"/>
      <c r="G765" s="74"/>
      <c r="H765" s="74"/>
      <c r="I765" s="74"/>
      <c r="J765" s="90"/>
      <c r="K765" s="74"/>
      <c r="L765" s="74"/>
      <c r="M765" s="74"/>
      <c r="N765" s="74"/>
      <c r="O765" s="40"/>
      <c r="P765" s="40"/>
      <c r="Q765" s="45"/>
      <c r="R765" s="40"/>
      <c r="S765" s="40"/>
      <c r="T765" s="74"/>
      <c r="U765" s="74"/>
      <c r="V765" s="74"/>
      <c r="W765" s="74"/>
      <c r="X765" s="76"/>
      <c r="Y765" s="76"/>
      <c r="Z765" s="76"/>
      <c r="AA765" s="76"/>
    </row>
    <row r="766" spans="4:27" ht="13.2">
      <c r="D766" s="40"/>
      <c r="E766" s="40"/>
      <c r="F766" s="74"/>
      <c r="G766" s="74"/>
      <c r="H766" s="74"/>
      <c r="I766" s="74"/>
      <c r="J766" s="90"/>
      <c r="K766" s="74"/>
      <c r="L766" s="74"/>
      <c r="M766" s="74"/>
      <c r="N766" s="74"/>
      <c r="O766" s="40"/>
      <c r="P766" s="40"/>
      <c r="Q766" s="45"/>
      <c r="R766" s="40"/>
      <c r="S766" s="40"/>
      <c r="T766" s="74"/>
      <c r="U766" s="74"/>
      <c r="V766" s="74"/>
      <c r="W766" s="74"/>
      <c r="X766" s="76"/>
      <c r="Y766" s="76"/>
      <c r="Z766" s="76"/>
      <c r="AA766" s="76"/>
    </row>
    <row r="767" spans="4:27" ht="13.2">
      <c r="D767" s="40"/>
      <c r="E767" s="40"/>
      <c r="F767" s="74"/>
      <c r="G767" s="74"/>
      <c r="H767" s="74"/>
      <c r="I767" s="74"/>
      <c r="J767" s="90"/>
      <c r="K767" s="74"/>
      <c r="L767" s="74"/>
      <c r="M767" s="74"/>
      <c r="N767" s="74"/>
      <c r="O767" s="40"/>
      <c r="P767" s="40"/>
      <c r="Q767" s="45"/>
      <c r="R767" s="40"/>
      <c r="S767" s="40"/>
      <c r="T767" s="74"/>
      <c r="U767" s="74"/>
      <c r="V767" s="74"/>
      <c r="W767" s="74"/>
      <c r="X767" s="76"/>
      <c r="Y767" s="76"/>
      <c r="Z767" s="76"/>
      <c r="AA767" s="76"/>
    </row>
    <row r="768" spans="4:27" ht="13.2">
      <c r="D768" s="40"/>
      <c r="E768" s="40"/>
      <c r="F768" s="74"/>
      <c r="G768" s="74"/>
      <c r="H768" s="74"/>
      <c r="I768" s="74"/>
      <c r="J768" s="90"/>
      <c r="K768" s="74"/>
      <c r="L768" s="74"/>
      <c r="M768" s="74"/>
      <c r="N768" s="74"/>
      <c r="O768" s="40"/>
      <c r="P768" s="40"/>
      <c r="Q768" s="45"/>
      <c r="R768" s="40"/>
      <c r="S768" s="40"/>
      <c r="T768" s="74"/>
      <c r="U768" s="74"/>
      <c r="V768" s="74"/>
      <c r="W768" s="74"/>
      <c r="X768" s="76"/>
      <c r="Y768" s="76"/>
      <c r="Z768" s="76"/>
      <c r="AA768" s="76"/>
    </row>
    <row r="769" spans="4:27" ht="13.2">
      <c r="D769" s="40"/>
      <c r="E769" s="40"/>
      <c r="F769" s="74"/>
      <c r="G769" s="74"/>
      <c r="H769" s="74"/>
      <c r="I769" s="74"/>
      <c r="J769" s="90"/>
      <c r="K769" s="74"/>
      <c r="L769" s="74"/>
      <c r="M769" s="74"/>
      <c r="N769" s="74"/>
      <c r="O769" s="40"/>
      <c r="P769" s="40"/>
      <c r="Q769" s="45"/>
      <c r="R769" s="40"/>
      <c r="S769" s="40"/>
      <c r="T769" s="74"/>
      <c r="U769" s="74"/>
      <c r="V769" s="74"/>
      <c r="W769" s="74"/>
      <c r="X769" s="76"/>
      <c r="Y769" s="76"/>
      <c r="Z769" s="76"/>
      <c r="AA769" s="76"/>
    </row>
    <row r="770" spans="4:27" ht="13.2">
      <c r="D770" s="40"/>
      <c r="E770" s="40"/>
      <c r="F770" s="74"/>
      <c r="G770" s="74"/>
      <c r="H770" s="74"/>
      <c r="I770" s="74"/>
      <c r="J770" s="90"/>
      <c r="K770" s="74"/>
      <c r="L770" s="74"/>
      <c r="M770" s="74"/>
      <c r="N770" s="74"/>
      <c r="O770" s="40"/>
      <c r="P770" s="40"/>
      <c r="Q770" s="45"/>
      <c r="R770" s="40"/>
      <c r="S770" s="40"/>
      <c r="T770" s="74"/>
      <c r="U770" s="74"/>
      <c r="V770" s="74"/>
      <c r="W770" s="74"/>
      <c r="X770" s="76"/>
      <c r="Y770" s="76"/>
      <c r="Z770" s="76"/>
      <c r="AA770" s="76"/>
    </row>
    <row r="771" spans="4:27" ht="13.2">
      <c r="D771" s="40"/>
      <c r="E771" s="40"/>
      <c r="F771" s="74"/>
      <c r="G771" s="74"/>
      <c r="H771" s="74"/>
      <c r="I771" s="74"/>
      <c r="J771" s="90"/>
      <c r="K771" s="74"/>
      <c r="L771" s="74"/>
      <c r="M771" s="74"/>
      <c r="N771" s="74"/>
      <c r="O771" s="40"/>
      <c r="P771" s="40"/>
      <c r="Q771" s="45"/>
      <c r="R771" s="40"/>
      <c r="S771" s="40"/>
      <c r="T771" s="74"/>
      <c r="U771" s="74"/>
      <c r="V771" s="74"/>
      <c r="W771" s="74"/>
      <c r="X771" s="76"/>
      <c r="Y771" s="76"/>
      <c r="Z771" s="76"/>
      <c r="AA771" s="76"/>
    </row>
    <row r="772" spans="4:27" ht="13.2">
      <c r="D772" s="40"/>
      <c r="E772" s="40"/>
      <c r="F772" s="74"/>
      <c r="G772" s="74"/>
      <c r="H772" s="74"/>
      <c r="I772" s="74"/>
      <c r="J772" s="90"/>
      <c r="K772" s="74"/>
      <c r="L772" s="74"/>
      <c r="M772" s="74"/>
      <c r="N772" s="74"/>
      <c r="O772" s="40"/>
      <c r="P772" s="40"/>
      <c r="Q772" s="45"/>
      <c r="R772" s="40"/>
      <c r="S772" s="40"/>
      <c r="T772" s="74"/>
      <c r="U772" s="74"/>
      <c r="V772" s="74"/>
      <c r="W772" s="74"/>
      <c r="X772" s="76"/>
      <c r="Y772" s="76"/>
      <c r="Z772" s="76"/>
      <c r="AA772" s="76"/>
    </row>
    <row r="773" spans="4:27" ht="13.2">
      <c r="D773" s="40"/>
      <c r="E773" s="40"/>
      <c r="F773" s="74"/>
      <c r="G773" s="74"/>
      <c r="H773" s="74"/>
      <c r="I773" s="74"/>
      <c r="J773" s="90"/>
      <c r="K773" s="74"/>
      <c r="L773" s="74"/>
      <c r="M773" s="74"/>
      <c r="N773" s="74"/>
      <c r="O773" s="40"/>
      <c r="P773" s="40"/>
      <c r="Q773" s="45"/>
      <c r="R773" s="40"/>
      <c r="S773" s="40"/>
      <c r="T773" s="74"/>
      <c r="U773" s="74"/>
      <c r="V773" s="74"/>
      <c r="W773" s="74"/>
      <c r="X773" s="76"/>
      <c r="Y773" s="76"/>
      <c r="Z773" s="76"/>
      <c r="AA773" s="76"/>
    </row>
    <row r="774" spans="4:27" ht="13.2">
      <c r="D774" s="40"/>
      <c r="E774" s="40"/>
      <c r="F774" s="74"/>
      <c r="G774" s="74"/>
      <c r="H774" s="74"/>
      <c r="I774" s="74"/>
      <c r="J774" s="90"/>
      <c r="K774" s="74"/>
      <c r="L774" s="74"/>
      <c r="M774" s="74"/>
      <c r="N774" s="74"/>
      <c r="O774" s="40"/>
      <c r="P774" s="40"/>
      <c r="Q774" s="45"/>
      <c r="R774" s="40"/>
      <c r="S774" s="40"/>
      <c r="T774" s="74"/>
      <c r="U774" s="74"/>
      <c r="V774" s="74"/>
      <c r="W774" s="74"/>
      <c r="X774" s="76"/>
      <c r="Y774" s="76"/>
      <c r="Z774" s="76"/>
      <c r="AA774" s="76"/>
    </row>
    <row r="775" spans="4:27" ht="13.2">
      <c r="D775" s="40"/>
      <c r="E775" s="40"/>
      <c r="F775" s="74"/>
      <c r="G775" s="74"/>
      <c r="H775" s="74"/>
      <c r="I775" s="74"/>
      <c r="J775" s="90"/>
      <c r="K775" s="74"/>
      <c r="L775" s="74"/>
      <c r="M775" s="74"/>
      <c r="N775" s="74"/>
      <c r="O775" s="40"/>
      <c r="P775" s="40"/>
      <c r="Q775" s="45"/>
      <c r="R775" s="40"/>
      <c r="S775" s="40"/>
      <c r="T775" s="74"/>
      <c r="U775" s="74"/>
      <c r="V775" s="74"/>
      <c r="W775" s="74"/>
      <c r="X775" s="76"/>
      <c r="Y775" s="76"/>
      <c r="Z775" s="76"/>
      <c r="AA775" s="76"/>
    </row>
    <row r="776" spans="4:27" ht="13.2">
      <c r="D776" s="40"/>
      <c r="E776" s="40"/>
      <c r="F776" s="74"/>
      <c r="G776" s="74"/>
      <c r="H776" s="74"/>
      <c r="I776" s="74"/>
      <c r="J776" s="90"/>
      <c r="K776" s="74"/>
      <c r="L776" s="74"/>
      <c r="M776" s="74"/>
      <c r="N776" s="74"/>
      <c r="O776" s="40"/>
      <c r="P776" s="40"/>
      <c r="Q776" s="45"/>
      <c r="R776" s="40"/>
      <c r="S776" s="40"/>
      <c r="T776" s="74"/>
      <c r="U776" s="74"/>
      <c r="V776" s="74"/>
      <c r="W776" s="74"/>
      <c r="X776" s="76"/>
      <c r="Y776" s="76"/>
      <c r="Z776" s="76"/>
      <c r="AA776" s="76"/>
    </row>
    <row r="777" spans="4:27" ht="13.2">
      <c r="D777" s="40"/>
      <c r="E777" s="40"/>
      <c r="F777" s="74"/>
      <c r="G777" s="74"/>
      <c r="H777" s="74"/>
      <c r="I777" s="74"/>
      <c r="J777" s="90"/>
      <c r="K777" s="74"/>
      <c r="L777" s="74"/>
      <c r="M777" s="74"/>
      <c r="N777" s="74"/>
      <c r="O777" s="40"/>
      <c r="P777" s="40"/>
      <c r="Q777" s="45"/>
      <c r="R777" s="40"/>
      <c r="S777" s="40"/>
      <c r="T777" s="74"/>
      <c r="U777" s="74"/>
      <c r="V777" s="74"/>
      <c r="W777" s="74"/>
      <c r="X777" s="76"/>
      <c r="Y777" s="76"/>
      <c r="Z777" s="76"/>
      <c r="AA777" s="76"/>
    </row>
    <row r="778" spans="4:27" ht="13.2">
      <c r="D778" s="40"/>
      <c r="E778" s="40"/>
      <c r="F778" s="74"/>
      <c r="G778" s="74"/>
      <c r="H778" s="74"/>
      <c r="I778" s="74"/>
      <c r="J778" s="90"/>
      <c r="K778" s="74"/>
      <c r="L778" s="74"/>
      <c r="M778" s="74"/>
      <c r="N778" s="74"/>
      <c r="O778" s="40"/>
      <c r="P778" s="40"/>
      <c r="Q778" s="45"/>
      <c r="R778" s="40"/>
      <c r="S778" s="40"/>
      <c r="T778" s="74"/>
      <c r="U778" s="74"/>
      <c r="V778" s="74"/>
      <c r="W778" s="74"/>
      <c r="X778" s="76"/>
      <c r="Y778" s="76"/>
      <c r="Z778" s="76"/>
      <c r="AA778" s="76"/>
    </row>
    <row r="779" spans="4:27" ht="13.2">
      <c r="D779" s="40"/>
      <c r="E779" s="40"/>
      <c r="F779" s="74"/>
      <c r="G779" s="74"/>
      <c r="H779" s="74"/>
      <c r="I779" s="74"/>
      <c r="J779" s="90"/>
      <c r="K779" s="74"/>
      <c r="L779" s="74"/>
      <c r="M779" s="74"/>
      <c r="N779" s="74"/>
      <c r="O779" s="40"/>
      <c r="P779" s="40"/>
      <c r="Q779" s="45"/>
      <c r="R779" s="40"/>
      <c r="S779" s="40"/>
      <c r="T779" s="74"/>
      <c r="U779" s="74"/>
      <c r="V779" s="74"/>
      <c r="W779" s="74"/>
      <c r="X779" s="76"/>
      <c r="Y779" s="76"/>
      <c r="Z779" s="76"/>
      <c r="AA779" s="76"/>
    </row>
    <row r="780" spans="4:27" ht="13.2">
      <c r="D780" s="40"/>
      <c r="E780" s="40"/>
      <c r="F780" s="74"/>
      <c r="G780" s="74"/>
      <c r="H780" s="74"/>
      <c r="I780" s="74"/>
      <c r="J780" s="90"/>
      <c r="K780" s="74"/>
      <c r="L780" s="74"/>
      <c r="M780" s="74"/>
      <c r="N780" s="74"/>
      <c r="O780" s="40"/>
      <c r="P780" s="40"/>
      <c r="Q780" s="45"/>
      <c r="R780" s="40"/>
      <c r="S780" s="40"/>
      <c r="T780" s="74"/>
      <c r="U780" s="74"/>
      <c r="V780" s="74"/>
      <c r="W780" s="74"/>
      <c r="X780" s="76"/>
      <c r="Y780" s="76"/>
      <c r="Z780" s="76"/>
      <c r="AA780" s="76"/>
    </row>
    <row r="781" spans="4:27" ht="13.2">
      <c r="D781" s="40"/>
      <c r="E781" s="40"/>
      <c r="F781" s="74"/>
      <c r="G781" s="74"/>
      <c r="H781" s="74"/>
      <c r="I781" s="74"/>
      <c r="J781" s="90"/>
      <c r="K781" s="74"/>
      <c r="L781" s="74"/>
      <c r="M781" s="74"/>
      <c r="N781" s="74"/>
      <c r="O781" s="40"/>
      <c r="P781" s="40"/>
      <c r="Q781" s="45"/>
      <c r="R781" s="40"/>
      <c r="S781" s="40"/>
      <c r="T781" s="74"/>
      <c r="U781" s="74"/>
      <c r="V781" s="74"/>
      <c r="W781" s="74"/>
      <c r="X781" s="76"/>
      <c r="Y781" s="76"/>
      <c r="Z781" s="76"/>
      <c r="AA781" s="76"/>
    </row>
    <row r="782" spans="4:27" ht="13.2">
      <c r="D782" s="40"/>
      <c r="E782" s="40"/>
      <c r="F782" s="74"/>
      <c r="G782" s="74"/>
      <c r="H782" s="74"/>
      <c r="I782" s="74"/>
      <c r="J782" s="90"/>
      <c r="K782" s="74"/>
      <c r="L782" s="74"/>
      <c r="M782" s="74"/>
      <c r="N782" s="74"/>
      <c r="O782" s="40"/>
      <c r="P782" s="40"/>
      <c r="Q782" s="45"/>
      <c r="R782" s="40"/>
      <c r="S782" s="40"/>
      <c r="T782" s="74"/>
      <c r="U782" s="74"/>
      <c r="V782" s="74"/>
      <c r="W782" s="74"/>
      <c r="X782" s="76"/>
      <c r="Y782" s="76"/>
      <c r="Z782" s="76"/>
      <c r="AA782" s="76"/>
    </row>
    <row r="783" spans="4:27" ht="13.2">
      <c r="D783" s="40"/>
      <c r="E783" s="40"/>
      <c r="F783" s="74"/>
      <c r="G783" s="74"/>
      <c r="H783" s="74"/>
      <c r="I783" s="74"/>
      <c r="J783" s="90"/>
      <c r="K783" s="74"/>
      <c r="L783" s="74"/>
      <c r="M783" s="74"/>
      <c r="N783" s="74"/>
      <c r="O783" s="40"/>
      <c r="P783" s="40"/>
      <c r="Q783" s="45"/>
      <c r="R783" s="40"/>
      <c r="S783" s="40"/>
      <c r="T783" s="74"/>
      <c r="U783" s="74"/>
      <c r="V783" s="74"/>
      <c r="W783" s="74"/>
      <c r="X783" s="76"/>
      <c r="Y783" s="76"/>
      <c r="Z783" s="76"/>
      <c r="AA783" s="76"/>
    </row>
    <row r="784" spans="4:27" ht="13.2">
      <c r="D784" s="40"/>
      <c r="E784" s="40"/>
      <c r="F784" s="74"/>
      <c r="G784" s="74"/>
      <c r="H784" s="74"/>
      <c r="I784" s="74"/>
      <c r="J784" s="90"/>
      <c r="K784" s="74"/>
      <c r="L784" s="74"/>
      <c r="M784" s="74"/>
      <c r="N784" s="74"/>
      <c r="O784" s="40"/>
      <c r="P784" s="40"/>
      <c r="Q784" s="45"/>
      <c r="R784" s="40"/>
      <c r="S784" s="40"/>
      <c r="T784" s="74"/>
      <c r="U784" s="74"/>
      <c r="V784" s="74"/>
      <c r="W784" s="74"/>
      <c r="X784" s="76"/>
      <c r="Y784" s="76"/>
      <c r="Z784" s="76"/>
      <c r="AA784" s="76"/>
    </row>
    <row r="785" spans="4:27" ht="13.2">
      <c r="D785" s="40"/>
      <c r="E785" s="40"/>
      <c r="F785" s="74"/>
      <c r="G785" s="74"/>
      <c r="H785" s="74"/>
      <c r="I785" s="74"/>
      <c r="J785" s="90"/>
      <c r="K785" s="74"/>
      <c r="L785" s="74"/>
      <c r="M785" s="74"/>
      <c r="N785" s="74"/>
      <c r="O785" s="40"/>
      <c r="P785" s="40"/>
      <c r="Q785" s="45"/>
      <c r="R785" s="40"/>
      <c r="S785" s="40"/>
      <c r="T785" s="74"/>
      <c r="U785" s="74"/>
      <c r="V785" s="74"/>
      <c r="W785" s="74"/>
      <c r="X785" s="76"/>
      <c r="Y785" s="76"/>
      <c r="Z785" s="76"/>
      <c r="AA785" s="76"/>
    </row>
    <row r="786" spans="4:27" ht="13.2">
      <c r="D786" s="40"/>
      <c r="E786" s="40"/>
      <c r="F786" s="74"/>
      <c r="G786" s="74"/>
      <c r="H786" s="74"/>
      <c r="I786" s="74"/>
      <c r="J786" s="90"/>
      <c r="K786" s="74"/>
      <c r="L786" s="74"/>
      <c r="M786" s="74"/>
      <c r="N786" s="74"/>
      <c r="O786" s="40"/>
      <c r="P786" s="40"/>
      <c r="Q786" s="45"/>
      <c r="R786" s="40"/>
      <c r="S786" s="40"/>
      <c r="T786" s="74"/>
      <c r="U786" s="74"/>
      <c r="V786" s="74"/>
      <c r="W786" s="74"/>
      <c r="X786" s="76"/>
      <c r="Y786" s="76"/>
      <c r="Z786" s="76"/>
      <c r="AA786" s="76"/>
    </row>
    <row r="787" spans="4:27" ht="13.2">
      <c r="D787" s="40"/>
      <c r="E787" s="40"/>
      <c r="F787" s="74"/>
      <c r="G787" s="74"/>
      <c r="H787" s="74"/>
      <c r="I787" s="74"/>
      <c r="J787" s="90"/>
      <c r="K787" s="74"/>
      <c r="L787" s="74"/>
      <c r="M787" s="74"/>
      <c r="N787" s="74"/>
      <c r="O787" s="40"/>
      <c r="P787" s="40"/>
      <c r="Q787" s="45"/>
      <c r="R787" s="40"/>
      <c r="S787" s="40"/>
      <c r="T787" s="74"/>
      <c r="U787" s="74"/>
      <c r="V787" s="74"/>
      <c r="W787" s="74"/>
      <c r="X787" s="76"/>
      <c r="Y787" s="76"/>
      <c r="Z787" s="76"/>
      <c r="AA787" s="76"/>
    </row>
    <row r="788" spans="4:27" ht="13.2">
      <c r="D788" s="40"/>
      <c r="E788" s="40"/>
      <c r="F788" s="74"/>
      <c r="G788" s="74"/>
      <c r="H788" s="74"/>
      <c r="I788" s="74"/>
      <c r="J788" s="90"/>
      <c r="K788" s="74"/>
      <c r="L788" s="74"/>
      <c r="M788" s="74"/>
      <c r="N788" s="74"/>
      <c r="O788" s="40"/>
      <c r="P788" s="40"/>
      <c r="Q788" s="45"/>
      <c r="R788" s="40"/>
      <c r="S788" s="40"/>
      <c r="T788" s="74"/>
      <c r="U788" s="74"/>
      <c r="V788" s="74"/>
      <c r="W788" s="74"/>
      <c r="X788" s="76"/>
      <c r="Y788" s="76"/>
      <c r="Z788" s="76"/>
      <c r="AA788" s="76"/>
    </row>
    <row r="789" spans="4:27" ht="13.2">
      <c r="D789" s="40"/>
      <c r="E789" s="40"/>
      <c r="F789" s="74"/>
      <c r="G789" s="74"/>
      <c r="H789" s="74"/>
      <c r="I789" s="74"/>
      <c r="J789" s="90"/>
      <c r="K789" s="74"/>
      <c r="L789" s="74"/>
      <c r="M789" s="74"/>
      <c r="N789" s="74"/>
      <c r="O789" s="40"/>
      <c r="P789" s="40"/>
      <c r="Q789" s="45"/>
      <c r="R789" s="40"/>
      <c r="S789" s="40"/>
      <c r="T789" s="74"/>
      <c r="U789" s="74"/>
      <c r="V789" s="74"/>
      <c r="W789" s="74"/>
      <c r="X789" s="76"/>
      <c r="Y789" s="76"/>
      <c r="Z789" s="76"/>
      <c r="AA789" s="76"/>
    </row>
    <row r="790" spans="4:27" ht="13.2">
      <c r="D790" s="40"/>
      <c r="E790" s="40"/>
      <c r="F790" s="74"/>
      <c r="G790" s="74"/>
      <c r="H790" s="74"/>
      <c r="I790" s="74"/>
      <c r="J790" s="90"/>
      <c r="K790" s="74"/>
      <c r="L790" s="74"/>
      <c r="M790" s="74"/>
      <c r="N790" s="74"/>
      <c r="O790" s="40"/>
      <c r="P790" s="40"/>
      <c r="Q790" s="45"/>
      <c r="R790" s="40"/>
      <c r="S790" s="40"/>
      <c r="T790" s="74"/>
      <c r="U790" s="74"/>
      <c r="V790" s="74"/>
      <c r="W790" s="74"/>
      <c r="X790" s="76"/>
      <c r="Y790" s="76"/>
      <c r="Z790" s="76"/>
      <c r="AA790" s="76"/>
    </row>
    <row r="791" spans="4:27" ht="13.2">
      <c r="D791" s="40"/>
      <c r="E791" s="40"/>
      <c r="F791" s="74"/>
      <c r="G791" s="74"/>
      <c r="H791" s="74"/>
      <c r="I791" s="74"/>
      <c r="J791" s="90"/>
      <c r="K791" s="74"/>
      <c r="L791" s="74"/>
      <c r="M791" s="74"/>
      <c r="N791" s="74"/>
      <c r="O791" s="40"/>
      <c r="P791" s="40"/>
      <c r="Q791" s="45"/>
      <c r="R791" s="40"/>
      <c r="S791" s="40"/>
      <c r="T791" s="74"/>
      <c r="U791" s="74"/>
      <c r="V791" s="74"/>
      <c r="W791" s="74"/>
      <c r="X791" s="76"/>
      <c r="Y791" s="76"/>
      <c r="Z791" s="76"/>
      <c r="AA791" s="76"/>
    </row>
    <row r="792" spans="4:27" ht="13.2">
      <c r="D792" s="40"/>
      <c r="E792" s="40"/>
      <c r="F792" s="74"/>
      <c r="G792" s="74"/>
      <c r="H792" s="74"/>
      <c r="I792" s="74"/>
      <c r="J792" s="90"/>
      <c r="K792" s="74"/>
      <c r="L792" s="74"/>
      <c r="M792" s="74"/>
      <c r="N792" s="74"/>
      <c r="O792" s="40"/>
      <c r="P792" s="40"/>
      <c r="Q792" s="45"/>
      <c r="R792" s="40"/>
      <c r="S792" s="40"/>
      <c r="T792" s="74"/>
      <c r="U792" s="74"/>
      <c r="V792" s="74"/>
      <c r="W792" s="74"/>
      <c r="X792" s="76"/>
      <c r="Y792" s="76"/>
      <c r="Z792" s="76"/>
      <c r="AA792" s="76"/>
    </row>
    <row r="793" spans="4:27" ht="13.2">
      <c r="D793" s="40"/>
      <c r="E793" s="40"/>
      <c r="F793" s="74"/>
      <c r="G793" s="74"/>
      <c r="H793" s="74"/>
      <c r="I793" s="74"/>
      <c r="J793" s="90"/>
      <c r="K793" s="74"/>
      <c r="L793" s="74"/>
      <c r="M793" s="74"/>
      <c r="N793" s="74"/>
      <c r="O793" s="40"/>
      <c r="P793" s="40"/>
      <c r="Q793" s="45"/>
      <c r="R793" s="40"/>
      <c r="S793" s="40"/>
      <c r="T793" s="74"/>
      <c r="U793" s="74"/>
      <c r="V793" s="74"/>
      <c r="W793" s="74"/>
      <c r="X793" s="76"/>
      <c r="Y793" s="76"/>
      <c r="Z793" s="76"/>
      <c r="AA793" s="76"/>
    </row>
    <row r="794" spans="4:27" ht="13.2">
      <c r="D794" s="40"/>
      <c r="E794" s="40"/>
      <c r="F794" s="74"/>
      <c r="G794" s="74"/>
      <c r="H794" s="74"/>
      <c r="I794" s="74"/>
      <c r="J794" s="90"/>
      <c r="K794" s="74"/>
      <c r="L794" s="74"/>
      <c r="M794" s="74"/>
      <c r="N794" s="74"/>
      <c r="O794" s="40"/>
      <c r="P794" s="40"/>
      <c r="Q794" s="45"/>
      <c r="R794" s="40"/>
      <c r="S794" s="40"/>
      <c r="T794" s="74"/>
      <c r="U794" s="74"/>
      <c r="V794" s="74"/>
      <c r="W794" s="74"/>
      <c r="X794" s="76"/>
      <c r="Y794" s="76"/>
      <c r="Z794" s="76"/>
      <c r="AA794" s="76"/>
    </row>
    <row r="795" spans="4:27" ht="13.2">
      <c r="D795" s="40"/>
      <c r="E795" s="40"/>
      <c r="F795" s="74"/>
      <c r="G795" s="74"/>
      <c r="H795" s="74"/>
      <c r="I795" s="74"/>
      <c r="J795" s="90"/>
      <c r="K795" s="74"/>
      <c r="L795" s="74"/>
      <c r="M795" s="74"/>
      <c r="N795" s="74"/>
      <c r="O795" s="40"/>
      <c r="P795" s="40"/>
      <c r="Q795" s="45"/>
      <c r="R795" s="40"/>
      <c r="S795" s="40"/>
      <c r="T795" s="74"/>
      <c r="U795" s="74"/>
      <c r="V795" s="74"/>
      <c r="W795" s="74"/>
      <c r="X795" s="76"/>
      <c r="Y795" s="76"/>
      <c r="Z795" s="76"/>
      <c r="AA795" s="76"/>
    </row>
    <row r="796" spans="4:27" ht="13.2">
      <c r="D796" s="40"/>
      <c r="E796" s="40"/>
      <c r="F796" s="74"/>
      <c r="G796" s="74"/>
      <c r="H796" s="74"/>
      <c r="I796" s="74"/>
      <c r="J796" s="90"/>
      <c r="K796" s="74"/>
      <c r="L796" s="74"/>
      <c r="M796" s="74"/>
      <c r="N796" s="74"/>
      <c r="O796" s="40"/>
      <c r="P796" s="40"/>
      <c r="Q796" s="45"/>
      <c r="R796" s="40"/>
      <c r="S796" s="40"/>
      <c r="T796" s="74"/>
      <c r="U796" s="74"/>
      <c r="V796" s="74"/>
      <c r="W796" s="74"/>
      <c r="X796" s="76"/>
      <c r="Y796" s="76"/>
      <c r="Z796" s="76"/>
      <c r="AA796" s="76"/>
    </row>
    <row r="797" spans="4:27" ht="13.2">
      <c r="D797" s="40"/>
      <c r="E797" s="40"/>
      <c r="F797" s="74"/>
      <c r="G797" s="74"/>
      <c r="H797" s="74"/>
      <c r="I797" s="74"/>
      <c r="J797" s="90"/>
      <c r="K797" s="74"/>
      <c r="L797" s="74"/>
      <c r="M797" s="74"/>
      <c r="N797" s="74"/>
      <c r="O797" s="40"/>
      <c r="P797" s="40"/>
      <c r="Q797" s="45"/>
      <c r="R797" s="40"/>
      <c r="S797" s="40"/>
      <c r="T797" s="74"/>
      <c r="U797" s="74"/>
      <c r="V797" s="74"/>
      <c r="W797" s="74"/>
      <c r="X797" s="76"/>
      <c r="Y797" s="76"/>
      <c r="Z797" s="76"/>
      <c r="AA797" s="76"/>
    </row>
    <row r="798" spans="4:27" ht="13.2">
      <c r="D798" s="40"/>
      <c r="E798" s="40"/>
      <c r="F798" s="74"/>
      <c r="G798" s="74"/>
      <c r="H798" s="74"/>
      <c r="I798" s="74"/>
      <c r="J798" s="90"/>
      <c r="K798" s="74"/>
      <c r="L798" s="74"/>
      <c r="M798" s="74"/>
      <c r="N798" s="74"/>
      <c r="O798" s="40"/>
      <c r="P798" s="40"/>
      <c r="Q798" s="45"/>
      <c r="R798" s="40"/>
      <c r="S798" s="40"/>
      <c r="T798" s="74"/>
      <c r="U798" s="74"/>
      <c r="V798" s="74"/>
      <c r="W798" s="74"/>
      <c r="X798" s="76"/>
      <c r="Y798" s="76"/>
      <c r="Z798" s="76"/>
      <c r="AA798" s="76"/>
    </row>
    <row r="799" spans="4:27" ht="13.2">
      <c r="D799" s="40"/>
      <c r="E799" s="40"/>
      <c r="F799" s="74"/>
      <c r="G799" s="74"/>
      <c r="H799" s="74"/>
      <c r="I799" s="74"/>
      <c r="J799" s="90"/>
      <c r="K799" s="74"/>
      <c r="L799" s="74"/>
      <c r="M799" s="74"/>
      <c r="N799" s="74"/>
      <c r="O799" s="40"/>
      <c r="P799" s="40"/>
      <c r="Q799" s="45"/>
      <c r="R799" s="40"/>
      <c r="S799" s="40"/>
      <c r="T799" s="74"/>
      <c r="U799" s="74"/>
      <c r="V799" s="74"/>
      <c r="W799" s="74"/>
      <c r="X799" s="76"/>
      <c r="Y799" s="76"/>
      <c r="Z799" s="76"/>
      <c r="AA799" s="76"/>
    </row>
    <row r="800" spans="4:27" ht="13.2">
      <c r="D800" s="40"/>
      <c r="E800" s="40"/>
      <c r="F800" s="74"/>
      <c r="G800" s="74"/>
      <c r="H800" s="74"/>
      <c r="I800" s="74"/>
      <c r="J800" s="90"/>
      <c r="K800" s="74"/>
      <c r="L800" s="74"/>
      <c r="M800" s="74"/>
      <c r="N800" s="74"/>
      <c r="O800" s="40"/>
      <c r="P800" s="40"/>
      <c r="Q800" s="45"/>
      <c r="R800" s="40"/>
      <c r="S800" s="40"/>
      <c r="T800" s="74"/>
      <c r="U800" s="74"/>
      <c r="V800" s="74"/>
      <c r="W800" s="74"/>
      <c r="X800" s="76"/>
      <c r="Y800" s="76"/>
      <c r="Z800" s="76"/>
      <c r="AA800" s="76"/>
    </row>
    <row r="801" spans="4:27" ht="13.2">
      <c r="D801" s="40"/>
      <c r="E801" s="40"/>
      <c r="F801" s="74"/>
      <c r="G801" s="74"/>
      <c r="H801" s="74"/>
      <c r="I801" s="74"/>
      <c r="J801" s="90"/>
      <c r="K801" s="74"/>
      <c r="L801" s="74"/>
      <c r="M801" s="74"/>
      <c r="N801" s="74"/>
      <c r="O801" s="40"/>
      <c r="P801" s="40"/>
      <c r="Q801" s="45"/>
      <c r="R801" s="40"/>
      <c r="S801" s="40"/>
      <c r="T801" s="74"/>
      <c r="U801" s="74"/>
      <c r="V801" s="74"/>
      <c r="W801" s="74"/>
      <c r="X801" s="76"/>
      <c r="Y801" s="76"/>
      <c r="Z801" s="76"/>
      <c r="AA801" s="76"/>
    </row>
    <row r="802" spans="4:27" ht="13.2">
      <c r="D802" s="40"/>
      <c r="E802" s="40"/>
      <c r="F802" s="74"/>
      <c r="G802" s="74"/>
      <c r="H802" s="74"/>
      <c r="I802" s="74"/>
      <c r="J802" s="90"/>
      <c r="K802" s="74"/>
      <c r="L802" s="74"/>
      <c r="M802" s="74"/>
      <c r="N802" s="74"/>
      <c r="O802" s="40"/>
      <c r="P802" s="40"/>
      <c r="Q802" s="45"/>
      <c r="R802" s="40"/>
      <c r="S802" s="40"/>
      <c r="T802" s="74"/>
      <c r="U802" s="74"/>
      <c r="V802" s="74"/>
      <c r="W802" s="74"/>
      <c r="X802" s="76"/>
      <c r="Y802" s="76"/>
      <c r="Z802" s="76"/>
      <c r="AA802" s="76"/>
    </row>
    <row r="803" spans="4:27" ht="13.2">
      <c r="D803" s="40"/>
      <c r="E803" s="40"/>
      <c r="F803" s="74"/>
      <c r="G803" s="74"/>
      <c r="H803" s="74"/>
      <c r="I803" s="74"/>
      <c r="J803" s="90"/>
      <c r="K803" s="74"/>
      <c r="L803" s="74"/>
      <c r="M803" s="74"/>
      <c r="N803" s="74"/>
      <c r="O803" s="40"/>
      <c r="P803" s="40"/>
      <c r="Q803" s="45"/>
      <c r="R803" s="40"/>
      <c r="S803" s="40"/>
      <c r="T803" s="74"/>
      <c r="U803" s="74"/>
      <c r="V803" s="74"/>
      <c r="W803" s="74"/>
      <c r="X803" s="76"/>
      <c r="Y803" s="76"/>
      <c r="Z803" s="76"/>
      <c r="AA803" s="76"/>
    </row>
    <row r="804" spans="4:27" ht="13.2">
      <c r="D804" s="40"/>
      <c r="E804" s="40"/>
      <c r="F804" s="74"/>
      <c r="G804" s="74"/>
      <c r="H804" s="74"/>
      <c r="I804" s="74"/>
      <c r="J804" s="90"/>
      <c r="K804" s="74"/>
      <c r="L804" s="74"/>
      <c r="M804" s="74"/>
      <c r="N804" s="74"/>
      <c r="O804" s="40"/>
      <c r="P804" s="40"/>
      <c r="Q804" s="45"/>
      <c r="R804" s="40"/>
      <c r="S804" s="40"/>
      <c r="T804" s="74"/>
      <c r="U804" s="74"/>
      <c r="V804" s="74"/>
      <c r="W804" s="74"/>
      <c r="X804" s="76"/>
      <c r="Y804" s="76"/>
      <c r="Z804" s="76"/>
      <c r="AA804" s="76"/>
    </row>
    <row r="805" spans="4:27" ht="13.2">
      <c r="D805" s="40"/>
      <c r="E805" s="40"/>
      <c r="F805" s="74"/>
      <c r="G805" s="74"/>
      <c r="H805" s="74"/>
      <c r="I805" s="74"/>
      <c r="J805" s="90"/>
      <c r="K805" s="74"/>
      <c r="L805" s="74"/>
      <c r="M805" s="74"/>
      <c r="N805" s="74"/>
      <c r="O805" s="40"/>
      <c r="P805" s="40"/>
      <c r="Q805" s="45"/>
      <c r="R805" s="40"/>
      <c r="S805" s="40"/>
      <c r="T805" s="74"/>
      <c r="U805" s="74"/>
      <c r="V805" s="74"/>
      <c r="W805" s="74"/>
      <c r="X805" s="76"/>
      <c r="Y805" s="76"/>
      <c r="Z805" s="76"/>
      <c r="AA805" s="76"/>
    </row>
    <row r="806" spans="4:27" ht="13.2">
      <c r="D806" s="40"/>
      <c r="E806" s="40"/>
      <c r="F806" s="74"/>
      <c r="G806" s="74"/>
      <c r="H806" s="74"/>
      <c r="I806" s="74"/>
      <c r="J806" s="90"/>
      <c r="K806" s="74"/>
      <c r="L806" s="74"/>
      <c r="M806" s="74"/>
      <c r="N806" s="74"/>
      <c r="O806" s="40"/>
      <c r="P806" s="40"/>
      <c r="Q806" s="45"/>
      <c r="R806" s="40"/>
      <c r="S806" s="40"/>
      <c r="T806" s="74"/>
      <c r="U806" s="74"/>
      <c r="V806" s="74"/>
      <c r="W806" s="74"/>
      <c r="X806" s="76"/>
      <c r="Y806" s="76"/>
      <c r="Z806" s="76"/>
      <c r="AA806" s="76"/>
    </row>
    <row r="807" spans="4:27" ht="13.2">
      <c r="D807" s="40"/>
      <c r="E807" s="40"/>
      <c r="F807" s="74"/>
      <c r="G807" s="74"/>
      <c r="H807" s="74"/>
      <c r="I807" s="74"/>
      <c r="J807" s="90"/>
      <c r="K807" s="74"/>
      <c r="L807" s="74"/>
      <c r="M807" s="74"/>
      <c r="N807" s="74"/>
      <c r="O807" s="40"/>
      <c r="P807" s="40"/>
      <c r="Q807" s="45"/>
      <c r="R807" s="40"/>
      <c r="S807" s="40"/>
      <c r="T807" s="74"/>
      <c r="U807" s="74"/>
      <c r="V807" s="74"/>
      <c r="W807" s="74"/>
      <c r="X807" s="76"/>
      <c r="Y807" s="76"/>
      <c r="Z807" s="76"/>
      <c r="AA807" s="76"/>
    </row>
    <row r="808" spans="4:27" ht="13.2">
      <c r="D808" s="40"/>
      <c r="E808" s="40"/>
      <c r="F808" s="74"/>
      <c r="G808" s="74"/>
      <c r="H808" s="74"/>
      <c r="I808" s="74"/>
      <c r="J808" s="90"/>
      <c r="K808" s="74"/>
      <c r="L808" s="74"/>
      <c r="M808" s="74"/>
      <c r="N808" s="74"/>
      <c r="O808" s="40"/>
      <c r="P808" s="40"/>
      <c r="Q808" s="45"/>
      <c r="R808" s="40"/>
      <c r="S808" s="40"/>
      <c r="T808" s="74"/>
      <c r="U808" s="74"/>
      <c r="V808" s="74"/>
      <c r="W808" s="74"/>
      <c r="X808" s="76"/>
      <c r="Y808" s="76"/>
      <c r="Z808" s="76"/>
      <c r="AA808" s="76"/>
    </row>
    <row r="809" spans="4:27" ht="13.2">
      <c r="D809" s="40"/>
      <c r="E809" s="40"/>
      <c r="F809" s="74"/>
      <c r="G809" s="74"/>
      <c r="H809" s="74"/>
      <c r="I809" s="74"/>
      <c r="J809" s="90"/>
      <c r="K809" s="74"/>
      <c r="L809" s="74"/>
      <c r="M809" s="74"/>
      <c r="N809" s="74"/>
      <c r="O809" s="40"/>
      <c r="P809" s="40"/>
      <c r="Q809" s="45"/>
      <c r="R809" s="40"/>
      <c r="S809" s="40"/>
      <c r="T809" s="74"/>
      <c r="U809" s="74"/>
      <c r="V809" s="74"/>
      <c r="W809" s="74"/>
      <c r="X809" s="76"/>
      <c r="Y809" s="76"/>
      <c r="Z809" s="76"/>
      <c r="AA809" s="76"/>
    </row>
    <row r="810" spans="4:27" ht="13.2">
      <c r="D810" s="40"/>
      <c r="E810" s="40"/>
      <c r="F810" s="74"/>
      <c r="G810" s="74"/>
      <c r="H810" s="74"/>
      <c r="I810" s="74"/>
      <c r="J810" s="90"/>
      <c r="K810" s="74"/>
      <c r="L810" s="74"/>
      <c r="M810" s="74"/>
      <c r="N810" s="74"/>
      <c r="O810" s="40"/>
      <c r="P810" s="40"/>
      <c r="Q810" s="45"/>
      <c r="R810" s="40"/>
      <c r="S810" s="40"/>
      <c r="T810" s="74"/>
      <c r="U810" s="74"/>
      <c r="V810" s="74"/>
      <c r="W810" s="74"/>
      <c r="X810" s="76"/>
      <c r="Y810" s="76"/>
      <c r="Z810" s="76"/>
      <c r="AA810" s="76"/>
    </row>
    <row r="811" spans="4:27" ht="13.2">
      <c r="D811" s="40"/>
      <c r="E811" s="40"/>
      <c r="F811" s="74"/>
      <c r="G811" s="74"/>
      <c r="H811" s="74"/>
      <c r="I811" s="74"/>
      <c r="J811" s="90"/>
      <c r="K811" s="74"/>
      <c r="L811" s="74"/>
      <c r="M811" s="74"/>
      <c r="N811" s="74"/>
      <c r="O811" s="40"/>
      <c r="P811" s="40"/>
      <c r="Q811" s="45"/>
      <c r="R811" s="40"/>
      <c r="S811" s="40"/>
      <c r="T811" s="74"/>
      <c r="U811" s="74"/>
      <c r="V811" s="74"/>
      <c r="W811" s="74"/>
      <c r="X811" s="76"/>
      <c r="Y811" s="76"/>
      <c r="Z811" s="76"/>
      <c r="AA811" s="76"/>
    </row>
    <row r="812" spans="4:27" ht="13.2">
      <c r="D812" s="40"/>
      <c r="E812" s="40"/>
      <c r="F812" s="74"/>
      <c r="G812" s="74"/>
      <c r="H812" s="74"/>
      <c r="I812" s="74"/>
      <c r="J812" s="90"/>
      <c r="K812" s="74"/>
      <c r="L812" s="74"/>
      <c r="M812" s="74"/>
      <c r="N812" s="74"/>
      <c r="O812" s="40"/>
      <c r="P812" s="40"/>
      <c r="Q812" s="45"/>
      <c r="R812" s="40"/>
      <c r="S812" s="40"/>
      <c r="T812" s="74"/>
      <c r="U812" s="74"/>
      <c r="V812" s="74"/>
      <c r="W812" s="74"/>
      <c r="X812" s="76"/>
      <c r="Y812" s="76"/>
      <c r="Z812" s="76"/>
      <c r="AA812" s="76"/>
    </row>
    <row r="813" spans="4:27" ht="13.2">
      <c r="D813" s="40"/>
      <c r="E813" s="40"/>
      <c r="F813" s="74"/>
      <c r="G813" s="74"/>
      <c r="H813" s="74"/>
      <c r="I813" s="74"/>
      <c r="J813" s="90"/>
      <c r="K813" s="74"/>
      <c r="L813" s="74"/>
      <c r="M813" s="74"/>
      <c r="N813" s="74"/>
      <c r="O813" s="40"/>
      <c r="P813" s="40"/>
      <c r="Q813" s="45"/>
      <c r="R813" s="40"/>
      <c r="S813" s="40"/>
      <c r="T813" s="74"/>
      <c r="U813" s="74"/>
      <c r="V813" s="74"/>
      <c r="W813" s="74"/>
      <c r="X813" s="76"/>
      <c r="Y813" s="76"/>
      <c r="Z813" s="76"/>
      <c r="AA813" s="76"/>
    </row>
    <row r="814" spans="4:27" ht="13.2">
      <c r="D814" s="40"/>
      <c r="E814" s="40"/>
      <c r="F814" s="74"/>
      <c r="G814" s="74"/>
      <c r="H814" s="74"/>
      <c r="I814" s="74"/>
      <c r="J814" s="90"/>
      <c r="K814" s="74"/>
      <c r="L814" s="74"/>
      <c r="M814" s="74"/>
      <c r="N814" s="74"/>
      <c r="O814" s="40"/>
      <c r="P814" s="40"/>
      <c r="Q814" s="45"/>
      <c r="R814" s="40"/>
      <c r="S814" s="40"/>
      <c r="T814" s="74"/>
      <c r="U814" s="74"/>
      <c r="V814" s="74"/>
      <c r="W814" s="74"/>
      <c r="X814" s="76"/>
      <c r="Y814" s="76"/>
      <c r="Z814" s="76"/>
      <c r="AA814" s="76"/>
    </row>
    <row r="815" spans="4:27" ht="13.2">
      <c r="D815" s="40"/>
      <c r="E815" s="40"/>
      <c r="F815" s="74"/>
      <c r="G815" s="74"/>
      <c r="H815" s="74"/>
      <c r="I815" s="74"/>
      <c r="J815" s="90"/>
      <c r="K815" s="74"/>
      <c r="L815" s="74"/>
      <c r="M815" s="74"/>
      <c r="N815" s="74"/>
      <c r="O815" s="40"/>
      <c r="P815" s="40"/>
      <c r="Q815" s="45"/>
      <c r="R815" s="40"/>
      <c r="S815" s="40"/>
      <c r="T815" s="74"/>
      <c r="U815" s="74"/>
      <c r="V815" s="74"/>
      <c r="W815" s="74"/>
      <c r="X815" s="76"/>
      <c r="Y815" s="76"/>
      <c r="Z815" s="76"/>
      <c r="AA815" s="76"/>
    </row>
    <row r="816" spans="4:27" ht="13.2">
      <c r="D816" s="40"/>
      <c r="E816" s="40"/>
      <c r="F816" s="74"/>
      <c r="G816" s="74"/>
      <c r="H816" s="74"/>
      <c r="I816" s="74"/>
      <c r="J816" s="90"/>
      <c r="K816" s="74"/>
      <c r="L816" s="74"/>
      <c r="M816" s="74"/>
      <c r="N816" s="74"/>
      <c r="O816" s="40"/>
      <c r="P816" s="40"/>
      <c r="Q816" s="45"/>
      <c r="R816" s="40"/>
      <c r="S816" s="40"/>
      <c r="T816" s="74"/>
      <c r="U816" s="74"/>
      <c r="V816" s="74"/>
      <c r="W816" s="74"/>
      <c r="X816" s="76"/>
      <c r="Y816" s="76"/>
      <c r="Z816" s="76"/>
      <c r="AA816" s="76"/>
    </row>
    <row r="817" spans="4:27" ht="13.2">
      <c r="D817" s="40"/>
      <c r="E817" s="40"/>
      <c r="F817" s="74"/>
      <c r="G817" s="74"/>
      <c r="H817" s="74"/>
      <c r="I817" s="74"/>
      <c r="J817" s="90"/>
      <c r="K817" s="74"/>
      <c r="L817" s="74"/>
      <c r="M817" s="74"/>
      <c r="N817" s="74"/>
      <c r="O817" s="40"/>
      <c r="P817" s="40"/>
      <c r="Q817" s="45"/>
      <c r="R817" s="40"/>
      <c r="S817" s="40"/>
      <c r="T817" s="74"/>
      <c r="U817" s="74"/>
      <c r="V817" s="74"/>
      <c r="W817" s="74"/>
      <c r="X817" s="76"/>
      <c r="Y817" s="76"/>
      <c r="Z817" s="76"/>
      <c r="AA817" s="76"/>
    </row>
    <row r="818" spans="4:27" ht="13.2">
      <c r="D818" s="40"/>
      <c r="E818" s="40"/>
      <c r="F818" s="74"/>
      <c r="G818" s="74"/>
      <c r="H818" s="74"/>
      <c r="I818" s="74"/>
      <c r="J818" s="90"/>
      <c r="K818" s="74"/>
      <c r="L818" s="74"/>
      <c r="M818" s="74"/>
      <c r="N818" s="74"/>
      <c r="O818" s="40"/>
      <c r="P818" s="40"/>
      <c r="Q818" s="45"/>
      <c r="R818" s="40"/>
      <c r="S818" s="40"/>
      <c r="T818" s="74"/>
      <c r="U818" s="74"/>
      <c r="V818" s="74"/>
      <c r="W818" s="74"/>
      <c r="X818" s="76"/>
      <c r="Y818" s="76"/>
      <c r="Z818" s="76"/>
      <c r="AA818" s="76"/>
    </row>
    <row r="819" spans="4:27" ht="13.2">
      <c r="D819" s="40"/>
      <c r="E819" s="40"/>
      <c r="F819" s="74"/>
      <c r="G819" s="74"/>
      <c r="H819" s="74"/>
      <c r="I819" s="74"/>
      <c r="J819" s="90"/>
      <c r="K819" s="74"/>
      <c r="L819" s="74"/>
      <c r="M819" s="74"/>
      <c r="N819" s="74"/>
      <c r="O819" s="40"/>
      <c r="P819" s="40"/>
      <c r="Q819" s="45"/>
      <c r="R819" s="40"/>
      <c r="S819" s="40"/>
      <c r="T819" s="74"/>
      <c r="U819" s="74"/>
      <c r="V819" s="74"/>
      <c r="W819" s="74"/>
      <c r="X819" s="76"/>
      <c r="Y819" s="76"/>
      <c r="Z819" s="76"/>
      <c r="AA819" s="76"/>
    </row>
    <row r="820" spans="4:27" ht="13.2">
      <c r="D820" s="40"/>
      <c r="E820" s="40"/>
      <c r="F820" s="74"/>
      <c r="G820" s="74"/>
      <c r="H820" s="74"/>
      <c r="I820" s="74"/>
      <c r="J820" s="90"/>
      <c r="K820" s="74"/>
      <c r="L820" s="74"/>
      <c r="M820" s="74"/>
      <c r="N820" s="74"/>
      <c r="O820" s="40"/>
      <c r="P820" s="40"/>
      <c r="Q820" s="45"/>
      <c r="R820" s="40"/>
      <c r="S820" s="40"/>
      <c r="T820" s="74"/>
      <c r="U820" s="74"/>
      <c r="V820" s="74"/>
      <c r="W820" s="74"/>
      <c r="X820" s="76"/>
      <c r="Y820" s="76"/>
      <c r="Z820" s="76"/>
      <c r="AA820" s="76"/>
    </row>
    <row r="821" spans="4:27" ht="13.2">
      <c r="D821" s="40"/>
      <c r="E821" s="40"/>
      <c r="F821" s="74"/>
      <c r="G821" s="74"/>
      <c r="H821" s="74"/>
      <c r="I821" s="74"/>
      <c r="J821" s="90"/>
      <c r="K821" s="74"/>
      <c r="L821" s="74"/>
      <c r="M821" s="74"/>
      <c r="N821" s="74"/>
      <c r="O821" s="40"/>
      <c r="P821" s="40"/>
      <c r="Q821" s="45"/>
      <c r="R821" s="40"/>
      <c r="S821" s="40"/>
      <c r="T821" s="74"/>
      <c r="U821" s="74"/>
      <c r="V821" s="74"/>
      <c r="W821" s="74"/>
      <c r="X821" s="76"/>
      <c r="Y821" s="76"/>
      <c r="Z821" s="76"/>
      <c r="AA821" s="76"/>
    </row>
    <row r="822" spans="4:27" ht="13.2">
      <c r="D822" s="40"/>
      <c r="E822" s="40"/>
      <c r="F822" s="74"/>
      <c r="G822" s="74"/>
      <c r="H822" s="74"/>
      <c r="I822" s="74"/>
      <c r="J822" s="90"/>
      <c r="K822" s="74"/>
      <c r="L822" s="74"/>
      <c r="M822" s="74"/>
      <c r="N822" s="74"/>
      <c r="O822" s="40"/>
      <c r="P822" s="40"/>
      <c r="Q822" s="45"/>
      <c r="R822" s="40"/>
      <c r="S822" s="40"/>
      <c r="T822" s="74"/>
      <c r="U822" s="74"/>
      <c r="V822" s="74"/>
      <c r="W822" s="74"/>
      <c r="X822" s="76"/>
      <c r="Y822" s="76"/>
      <c r="Z822" s="76"/>
      <c r="AA822" s="76"/>
    </row>
    <row r="823" spans="4:27" ht="13.2">
      <c r="D823" s="40"/>
      <c r="E823" s="40"/>
      <c r="F823" s="74"/>
      <c r="G823" s="74"/>
      <c r="H823" s="74"/>
      <c r="I823" s="74"/>
      <c r="J823" s="90"/>
      <c r="K823" s="74"/>
      <c r="L823" s="74"/>
      <c r="M823" s="74"/>
      <c r="N823" s="74"/>
      <c r="O823" s="40"/>
      <c r="P823" s="40"/>
      <c r="Q823" s="45"/>
      <c r="R823" s="40"/>
      <c r="S823" s="40"/>
      <c r="T823" s="74"/>
      <c r="U823" s="74"/>
      <c r="V823" s="74"/>
      <c r="W823" s="74"/>
      <c r="X823" s="76"/>
      <c r="Y823" s="76"/>
      <c r="Z823" s="76"/>
      <c r="AA823" s="76"/>
    </row>
    <row r="824" spans="4:27" ht="13.2">
      <c r="D824" s="40"/>
      <c r="E824" s="40"/>
      <c r="F824" s="74"/>
      <c r="G824" s="74"/>
      <c r="H824" s="74"/>
      <c r="I824" s="74"/>
      <c r="J824" s="90"/>
      <c r="K824" s="74"/>
      <c r="L824" s="74"/>
      <c r="M824" s="74"/>
      <c r="N824" s="74"/>
      <c r="O824" s="40"/>
      <c r="P824" s="40"/>
      <c r="Q824" s="45"/>
      <c r="R824" s="40"/>
      <c r="S824" s="40"/>
      <c r="T824" s="74"/>
      <c r="U824" s="74"/>
      <c r="V824" s="74"/>
      <c r="W824" s="74"/>
      <c r="X824" s="76"/>
      <c r="Y824" s="76"/>
      <c r="Z824" s="76"/>
      <c r="AA824" s="76"/>
    </row>
    <row r="825" spans="4:27" ht="13.2">
      <c r="D825" s="40"/>
      <c r="E825" s="40"/>
      <c r="F825" s="74"/>
      <c r="G825" s="74"/>
      <c r="H825" s="74"/>
      <c r="I825" s="74"/>
      <c r="J825" s="90"/>
      <c r="K825" s="74"/>
      <c r="L825" s="74"/>
      <c r="M825" s="74"/>
      <c r="N825" s="74"/>
      <c r="O825" s="40"/>
      <c r="P825" s="40"/>
      <c r="Q825" s="45"/>
      <c r="R825" s="40"/>
      <c r="S825" s="40"/>
      <c r="T825" s="74"/>
      <c r="U825" s="74"/>
      <c r="V825" s="74"/>
      <c r="W825" s="74"/>
      <c r="X825" s="76"/>
      <c r="Y825" s="76"/>
      <c r="Z825" s="76"/>
      <c r="AA825" s="76"/>
    </row>
    <row r="826" spans="4:27" ht="13.2">
      <c r="D826" s="40"/>
      <c r="E826" s="40"/>
      <c r="F826" s="74"/>
      <c r="G826" s="74"/>
      <c r="H826" s="74"/>
      <c r="I826" s="74"/>
      <c r="J826" s="90"/>
      <c r="K826" s="74"/>
      <c r="L826" s="74"/>
      <c r="M826" s="74"/>
      <c r="N826" s="74"/>
      <c r="O826" s="40"/>
      <c r="P826" s="40"/>
      <c r="Q826" s="45"/>
      <c r="R826" s="40"/>
      <c r="S826" s="40"/>
      <c r="T826" s="74"/>
      <c r="U826" s="74"/>
      <c r="V826" s="74"/>
      <c r="W826" s="74"/>
      <c r="X826" s="76"/>
      <c r="Y826" s="76"/>
      <c r="Z826" s="76"/>
      <c r="AA826" s="76"/>
    </row>
    <row r="827" spans="4:27" ht="13.2">
      <c r="D827" s="40"/>
      <c r="E827" s="40"/>
      <c r="F827" s="74"/>
      <c r="G827" s="74"/>
      <c r="H827" s="74"/>
      <c r="I827" s="74"/>
      <c r="J827" s="90"/>
      <c r="K827" s="74"/>
      <c r="L827" s="74"/>
      <c r="M827" s="74"/>
      <c r="N827" s="74"/>
      <c r="O827" s="40"/>
      <c r="P827" s="40"/>
      <c r="Q827" s="45"/>
      <c r="R827" s="40"/>
      <c r="S827" s="40"/>
      <c r="T827" s="74"/>
      <c r="U827" s="74"/>
      <c r="V827" s="74"/>
      <c r="W827" s="74"/>
      <c r="X827" s="76"/>
      <c r="Y827" s="76"/>
      <c r="Z827" s="76"/>
      <c r="AA827" s="76"/>
    </row>
    <row r="828" spans="4:27" ht="13.2">
      <c r="D828" s="40"/>
      <c r="E828" s="40"/>
      <c r="F828" s="74"/>
      <c r="G828" s="74"/>
      <c r="H828" s="74"/>
      <c r="I828" s="74"/>
      <c r="J828" s="90"/>
      <c r="K828" s="74"/>
      <c r="L828" s="74"/>
      <c r="M828" s="74"/>
      <c r="N828" s="74"/>
      <c r="O828" s="40"/>
      <c r="P828" s="40"/>
      <c r="Q828" s="45"/>
      <c r="R828" s="40"/>
      <c r="S828" s="40"/>
      <c r="T828" s="74"/>
      <c r="U828" s="74"/>
      <c r="V828" s="74"/>
      <c r="W828" s="74"/>
      <c r="X828" s="76"/>
      <c r="Y828" s="76"/>
      <c r="Z828" s="76"/>
      <c r="AA828" s="76"/>
    </row>
    <row r="829" spans="4:27" ht="13.2">
      <c r="D829" s="40"/>
      <c r="E829" s="40"/>
      <c r="F829" s="74"/>
      <c r="G829" s="74"/>
      <c r="H829" s="74"/>
      <c r="I829" s="74"/>
      <c r="J829" s="90"/>
      <c r="K829" s="74"/>
      <c r="L829" s="74"/>
      <c r="M829" s="74"/>
      <c r="N829" s="74"/>
      <c r="O829" s="40"/>
      <c r="P829" s="40"/>
      <c r="Q829" s="45"/>
      <c r="R829" s="40"/>
      <c r="S829" s="40"/>
      <c r="T829" s="74"/>
      <c r="U829" s="74"/>
      <c r="V829" s="74"/>
      <c r="W829" s="74"/>
      <c r="X829" s="76"/>
      <c r="Y829" s="76"/>
      <c r="Z829" s="76"/>
      <c r="AA829" s="76"/>
    </row>
    <row r="830" spans="4:27" ht="13.2">
      <c r="D830" s="40"/>
      <c r="E830" s="40"/>
      <c r="F830" s="74"/>
      <c r="G830" s="74"/>
      <c r="H830" s="74"/>
      <c r="I830" s="74"/>
      <c r="J830" s="90"/>
      <c r="K830" s="74"/>
      <c r="L830" s="74"/>
      <c r="M830" s="74"/>
      <c r="N830" s="74"/>
      <c r="O830" s="40"/>
      <c r="P830" s="40"/>
      <c r="Q830" s="45"/>
      <c r="R830" s="40"/>
      <c r="S830" s="40"/>
      <c r="T830" s="74"/>
      <c r="U830" s="74"/>
      <c r="V830" s="74"/>
      <c r="W830" s="74"/>
      <c r="X830" s="76"/>
      <c r="Y830" s="76"/>
      <c r="Z830" s="76"/>
      <c r="AA830" s="76"/>
    </row>
    <row r="831" spans="4:27" ht="13.2">
      <c r="D831" s="40"/>
      <c r="E831" s="40"/>
      <c r="F831" s="74"/>
      <c r="G831" s="74"/>
      <c r="H831" s="74"/>
      <c r="I831" s="74"/>
      <c r="J831" s="90"/>
      <c r="K831" s="74"/>
      <c r="L831" s="74"/>
      <c r="M831" s="74"/>
      <c r="N831" s="74"/>
      <c r="O831" s="40"/>
      <c r="P831" s="40"/>
      <c r="Q831" s="45"/>
      <c r="R831" s="40"/>
      <c r="S831" s="40"/>
      <c r="T831" s="74"/>
      <c r="U831" s="74"/>
      <c r="V831" s="74"/>
      <c r="W831" s="74"/>
      <c r="X831" s="76"/>
      <c r="Y831" s="76"/>
      <c r="Z831" s="76"/>
      <c r="AA831" s="76"/>
    </row>
    <row r="832" spans="4:27" ht="13.2">
      <c r="D832" s="40"/>
      <c r="E832" s="40"/>
      <c r="F832" s="74"/>
      <c r="G832" s="74"/>
      <c r="H832" s="74"/>
      <c r="I832" s="74"/>
      <c r="J832" s="90"/>
      <c r="K832" s="74"/>
      <c r="L832" s="74"/>
      <c r="M832" s="74"/>
      <c r="N832" s="74"/>
      <c r="O832" s="40"/>
      <c r="P832" s="40"/>
      <c r="Q832" s="45"/>
      <c r="R832" s="40"/>
      <c r="S832" s="40"/>
      <c r="T832" s="74"/>
      <c r="U832" s="74"/>
      <c r="V832" s="74"/>
      <c r="W832" s="74"/>
      <c r="X832" s="76"/>
      <c r="Y832" s="76"/>
      <c r="Z832" s="76"/>
      <c r="AA832" s="76"/>
    </row>
    <row r="833" spans="4:27" ht="13.2">
      <c r="D833" s="40"/>
      <c r="E833" s="40"/>
      <c r="F833" s="74"/>
      <c r="G833" s="74"/>
      <c r="H833" s="74"/>
      <c r="I833" s="74"/>
      <c r="J833" s="90"/>
      <c r="K833" s="74"/>
      <c r="L833" s="74"/>
      <c r="M833" s="74"/>
      <c r="N833" s="74"/>
      <c r="O833" s="40"/>
      <c r="P833" s="40"/>
      <c r="Q833" s="45"/>
      <c r="R833" s="40"/>
      <c r="S833" s="40"/>
      <c r="T833" s="74"/>
      <c r="U833" s="74"/>
      <c r="V833" s="74"/>
      <c r="W833" s="74"/>
      <c r="X833" s="76"/>
      <c r="Y833" s="76"/>
      <c r="Z833" s="76"/>
      <c r="AA833" s="76"/>
    </row>
    <row r="834" spans="4:27" ht="13.2">
      <c r="D834" s="40"/>
      <c r="E834" s="40"/>
      <c r="F834" s="74"/>
      <c r="G834" s="74"/>
      <c r="H834" s="74"/>
      <c r="I834" s="74"/>
      <c r="J834" s="90"/>
      <c r="K834" s="74"/>
      <c r="L834" s="74"/>
      <c r="M834" s="74"/>
      <c r="N834" s="74"/>
      <c r="O834" s="40"/>
      <c r="P834" s="40"/>
      <c r="Q834" s="45"/>
      <c r="R834" s="40"/>
      <c r="S834" s="40"/>
      <c r="T834" s="74"/>
      <c r="U834" s="74"/>
      <c r="V834" s="74"/>
      <c r="W834" s="74"/>
      <c r="X834" s="76"/>
      <c r="Y834" s="76"/>
      <c r="Z834" s="76"/>
      <c r="AA834" s="76"/>
    </row>
    <row r="835" spans="4:27" ht="13.2">
      <c r="D835" s="40"/>
      <c r="E835" s="40"/>
      <c r="F835" s="74"/>
      <c r="G835" s="74"/>
      <c r="H835" s="74"/>
      <c r="I835" s="74"/>
      <c r="J835" s="90"/>
      <c r="K835" s="74"/>
      <c r="L835" s="74"/>
      <c r="M835" s="74"/>
      <c r="N835" s="74"/>
      <c r="O835" s="40"/>
      <c r="P835" s="40"/>
      <c r="Q835" s="45"/>
      <c r="R835" s="40"/>
      <c r="S835" s="40"/>
      <c r="T835" s="74"/>
      <c r="U835" s="74"/>
      <c r="V835" s="74"/>
      <c r="W835" s="74"/>
      <c r="X835" s="76"/>
      <c r="Y835" s="76"/>
      <c r="Z835" s="76"/>
      <c r="AA835" s="76"/>
    </row>
    <row r="836" spans="4:27" ht="13.2">
      <c r="D836" s="40"/>
      <c r="E836" s="40"/>
      <c r="F836" s="74"/>
      <c r="G836" s="74"/>
      <c r="H836" s="74"/>
      <c r="I836" s="74"/>
      <c r="J836" s="90"/>
      <c r="K836" s="74"/>
      <c r="L836" s="74"/>
      <c r="M836" s="74"/>
      <c r="N836" s="74"/>
      <c r="O836" s="40"/>
      <c r="P836" s="40"/>
      <c r="Q836" s="45"/>
      <c r="R836" s="40"/>
      <c r="S836" s="40"/>
      <c r="T836" s="74"/>
      <c r="U836" s="74"/>
      <c r="V836" s="74"/>
      <c r="W836" s="74"/>
      <c r="X836" s="76"/>
      <c r="Y836" s="76"/>
      <c r="Z836" s="76"/>
      <c r="AA836" s="76"/>
    </row>
    <row r="837" spans="4:27" ht="13.2">
      <c r="D837" s="40"/>
      <c r="E837" s="40"/>
      <c r="F837" s="74"/>
      <c r="G837" s="74"/>
      <c r="H837" s="74"/>
      <c r="I837" s="74"/>
      <c r="J837" s="90"/>
      <c r="K837" s="74"/>
      <c r="L837" s="74"/>
      <c r="M837" s="74"/>
      <c r="N837" s="74"/>
      <c r="O837" s="40"/>
      <c r="P837" s="40"/>
      <c r="Q837" s="45"/>
      <c r="R837" s="40"/>
      <c r="S837" s="40"/>
      <c r="T837" s="74"/>
      <c r="U837" s="74"/>
      <c r="V837" s="74"/>
      <c r="W837" s="74"/>
      <c r="X837" s="76"/>
      <c r="Y837" s="76"/>
      <c r="Z837" s="76"/>
      <c r="AA837" s="76"/>
    </row>
    <row r="838" spans="4:27" ht="13.2">
      <c r="D838" s="40"/>
      <c r="E838" s="40"/>
      <c r="F838" s="74"/>
      <c r="G838" s="74"/>
      <c r="H838" s="74"/>
      <c r="I838" s="74"/>
      <c r="J838" s="90"/>
      <c r="K838" s="74"/>
      <c r="L838" s="74"/>
      <c r="M838" s="74"/>
      <c r="N838" s="74"/>
      <c r="O838" s="40"/>
      <c r="P838" s="40"/>
      <c r="Q838" s="45"/>
      <c r="R838" s="40"/>
      <c r="S838" s="40"/>
      <c r="T838" s="74"/>
      <c r="U838" s="74"/>
      <c r="V838" s="74"/>
      <c r="W838" s="74"/>
      <c r="X838" s="76"/>
      <c r="Y838" s="76"/>
      <c r="Z838" s="76"/>
      <c r="AA838" s="76"/>
    </row>
    <row r="839" spans="4:27" ht="13.2">
      <c r="D839" s="40"/>
      <c r="E839" s="40"/>
      <c r="F839" s="74"/>
      <c r="G839" s="74"/>
      <c r="H839" s="74"/>
      <c r="I839" s="74"/>
      <c r="J839" s="90"/>
      <c r="K839" s="74"/>
      <c r="L839" s="74"/>
      <c r="M839" s="74"/>
      <c r="N839" s="74"/>
      <c r="O839" s="40"/>
      <c r="P839" s="40"/>
      <c r="Q839" s="45"/>
      <c r="R839" s="40"/>
      <c r="S839" s="40"/>
      <c r="T839" s="74"/>
      <c r="U839" s="74"/>
      <c r="V839" s="74"/>
      <c r="W839" s="74"/>
      <c r="X839" s="76"/>
      <c r="Y839" s="76"/>
      <c r="Z839" s="76"/>
      <c r="AA839" s="76"/>
    </row>
    <row r="840" spans="4:27" ht="13.2">
      <c r="D840" s="40"/>
      <c r="E840" s="40"/>
      <c r="F840" s="74"/>
      <c r="G840" s="74"/>
      <c r="H840" s="74"/>
      <c r="I840" s="74"/>
      <c r="J840" s="90"/>
      <c r="K840" s="74"/>
      <c r="L840" s="74"/>
      <c r="M840" s="74"/>
      <c r="N840" s="74"/>
      <c r="O840" s="40"/>
      <c r="P840" s="40"/>
      <c r="Q840" s="45"/>
      <c r="R840" s="40"/>
      <c r="S840" s="40"/>
      <c r="T840" s="74"/>
      <c r="U840" s="74"/>
      <c r="V840" s="74"/>
      <c r="W840" s="74"/>
      <c r="X840" s="76"/>
      <c r="Y840" s="76"/>
      <c r="Z840" s="76"/>
      <c r="AA840" s="76"/>
    </row>
    <row r="841" spans="4:27" ht="13.2">
      <c r="D841" s="40"/>
      <c r="E841" s="40"/>
      <c r="F841" s="74"/>
      <c r="G841" s="74"/>
      <c r="H841" s="74"/>
      <c r="I841" s="74"/>
      <c r="J841" s="90"/>
      <c r="K841" s="74"/>
      <c r="L841" s="74"/>
      <c r="M841" s="74"/>
      <c r="N841" s="74"/>
      <c r="O841" s="40"/>
      <c r="P841" s="40"/>
      <c r="Q841" s="45"/>
      <c r="R841" s="40"/>
      <c r="S841" s="40"/>
      <c r="T841" s="74"/>
      <c r="U841" s="74"/>
      <c r="V841" s="74"/>
      <c r="W841" s="74"/>
      <c r="X841" s="76"/>
      <c r="Y841" s="76"/>
      <c r="Z841" s="76"/>
      <c r="AA841" s="76"/>
    </row>
    <row r="842" spans="4:27" ht="13.2">
      <c r="D842" s="40"/>
      <c r="E842" s="40"/>
      <c r="F842" s="74"/>
      <c r="G842" s="74"/>
      <c r="H842" s="74"/>
      <c r="I842" s="74"/>
      <c r="J842" s="90"/>
      <c r="K842" s="74"/>
      <c r="L842" s="74"/>
      <c r="M842" s="74"/>
      <c r="N842" s="74"/>
      <c r="O842" s="40"/>
      <c r="P842" s="40"/>
      <c r="Q842" s="45"/>
      <c r="R842" s="40"/>
      <c r="S842" s="40"/>
      <c r="T842" s="74"/>
      <c r="U842" s="74"/>
      <c r="V842" s="74"/>
      <c r="W842" s="74"/>
      <c r="X842" s="76"/>
      <c r="Y842" s="76"/>
      <c r="Z842" s="76"/>
      <c r="AA842" s="76"/>
    </row>
    <row r="843" spans="4:27" ht="13.2">
      <c r="D843" s="40"/>
      <c r="E843" s="40"/>
      <c r="F843" s="74"/>
      <c r="G843" s="74"/>
      <c r="H843" s="74"/>
      <c r="I843" s="74"/>
      <c r="J843" s="90"/>
      <c r="K843" s="74"/>
      <c r="L843" s="74"/>
      <c r="M843" s="74"/>
      <c r="N843" s="74"/>
      <c r="O843" s="40"/>
      <c r="P843" s="40"/>
      <c r="Q843" s="45"/>
      <c r="R843" s="40"/>
      <c r="S843" s="40"/>
      <c r="T843" s="74"/>
      <c r="U843" s="74"/>
      <c r="V843" s="74"/>
      <c r="W843" s="74"/>
      <c r="X843" s="76"/>
      <c r="Y843" s="76"/>
      <c r="Z843" s="76"/>
      <c r="AA843" s="76"/>
    </row>
    <row r="844" spans="4:27" ht="13.2">
      <c r="D844" s="40"/>
      <c r="E844" s="40"/>
      <c r="F844" s="74"/>
      <c r="G844" s="74"/>
      <c r="H844" s="74"/>
      <c r="I844" s="74"/>
      <c r="J844" s="90"/>
      <c r="K844" s="74"/>
      <c r="L844" s="74"/>
      <c r="M844" s="74"/>
      <c r="N844" s="74"/>
      <c r="O844" s="40"/>
      <c r="P844" s="40"/>
      <c r="Q844" s="45"/>
      <c r="R844" s="40"/>
      <c r="S844" s="40"/>
      <c r="T844" s="74"/>
      <c r="U844" s="74"/>
      <c r="V844" s="74"/>
      <c r="W844" s="74"/>
      <c r="X844" s="76"/>
      <c r="Y844" s="76"/>
      <c r="Z844" s="76"/>
      <c r="AA844" s="76"/>
    </row>
    <row r="845" spans="4:27" ht="13.2">
      <c r="D845" s="40"/>
      <c r="E845" s="40"/>
      <c r="F845" s="74"/>
      <c r="G845" s="74"/>
      <c r="H845" s="74"/>
      <c r="I845" s="74"/>
      <c r="J845" s="90"/>
      <c r="K845" s="74"/>
      <c r="L845" s="74"/>
      <c r="M845" s="74"/>
      <c r="N845" s="74"/>
      <c r="O845" s="40"/>
      <c r="P845" s="40"/>
      <c r="Q845" s="45"/>
      <c r="R845" s="40"/>
      <c r="S845" s="40"/>
      <c r="T845" s="74"/>
      <c r="U845" s="74"/>
      <c r="V845" s="74"/>
      <c r="W845" s="74"/>
      <c r="X845" s="76"/>
      <c r="Y845" s="76"/>
      <c r="Z845" s="76"/>
      <c r="AA845" s="76"/>
    </row>
    <row r="846" spans="4:27" ht="13.2">
      <c r="D846" s="40"/>
      <c r="E846" s="40"/>
      <c r="F846" s="74"/>
      <c r="G846" s="74"/>
      <c r="H846" s="74"/>
      <c r="I846" s="74"/>
      <c r="J846" s="90"/>
      <c r="K846" s="74"/>
      <c r="L846" s="74"/>
      <c r="M846" s="74"/>
      <c r="N846" s="74"/>
      <c r="O846" s="40"/>
      <c r="P846" s="40"/>
      <c r="Q846" s="45"/>
      <c r="R846" s="40"/>
      <c r="S846" s="40"/>
      <c r="T846" s="74"/>
      <c r="U846" s="74"/>
      <c r="V846" s="74"/>
      <c r="W846" s="74"/>
      <c r="X846" s="76"/>
      <c r="Y846" s="76"/>
      <c r="Z846" s="76"/>
      <c r="AA846" s="76"/>
    </row>
    <row r="847" spans="4:27" ht="13.2">
      <c r="D847" s="40"/>
      <c r="E847" s="40"/>
      <c r="F847" s="74"/>
      <c r="G847" s="74"/>
      <c r="H847" s="74"/>
      <c r="I847" s="74"/>
      <c r="J847" s="90"/>
      <c r="K847" s="74"/>
      <c r="L847" s="74"/>
      <c r="M847" s="74"/>
      <c r="N847" s="74"/>
      <c r="O847" s="40"/>
      <c r="P847" s="40"/>
      <c r="Q847" s="45"/>
      <c r="R847" s="40"/>
      <c r="S847" s="40"/>
      <c r="T847" s="74"/>
      <c r="U847" s="74"/>
      <c r="V847" s="74"/>
      <c r="W847" s="74"/>
      <c r="X847" s="76"/>
      <c r="Y847" s="76"/>
      <c r="Z847" s="76"/>
      <c r="AA847" s="76"/>
    </row>
    <row r="848" spans="4:27" ht="13.2">
      <c r="D848" s="40"/>
      <c r="E848" s="40"/>
      <c r="F848" s="74"/>
      <c r="G848" s="74"/>
      <c r="H848" s="74"/>
      <c r="I848" s="74"/>
      <c r="J848" s="90"/>
      <c r="K848" s="74"/>
      <c r="L848" s="74"/>
      <c r="M848" s="74"/>
      <c r="N848" s="74"/>
      <c r="O848" s="40"/>
      <c r="P848" s="40"/>
      <c r="Q848" s="45"/>
      <c r="R848" s="40"/>
      <c r="S848" s="40"/>
      <c r="T848" s="74"/>
      <c r="U848" s="74"/>
      <c r="V848" s="74"/>
      <c r="W848" s="74"/>
      <c r="X848" s="76"/>
      <c r="Y848" s="76"/>
      <c r="Z848" s="76"/>
      <c r="AA848" s="76"/>
    </row>
    <row r="849" spans="4:27" ht="13.2">
      <c r="D849" s="40"/>
      <c r="E849" s="40"/>
      <c r="F849" s="74"/>
      <c r="G849" s="74"/>
      <c r="H849" s="74"/>
      <c r="I849" s="74"/>
      <c r="J849" s="90"/>
      <c r="K849" s="74"/>
      <c r="L849" s="74"/>
      <c r="M849" s="74"/>
      <c r="N849" s="74"/>
      <c r="O849" s="40"/>
      <c r="P849" s="40"/>
      <c r="Q849" s="45"/>
      <c r="R849" s="40"/>
      <c r="S849" s="40"/>
      <c r="T849" s="74"/>
      <c r="U849" s="74"/>
      <c r="V849" s="74"/>
      <c r="W849" s="74"/>
      <c r="X849" s="76"/>
      <c r="Y849" s="76"/>
      <c r="Z849" s="76"/>
      <c r="AA849" s="76"/>
    </row>
    <row r="850" spans="4:27" ht="13.2">
      <c r="D850" s="40"/>
      <c r="E850" s="40"/>
      <c r="F850" s="74"/>
      <c r="G850" s="74"/>
      <c r="H850" s="74"/>
      <c r="I850" s="74"/>
      <c r="J850" s="90"/>
      <c r="K850" s="74"/>
      <c r="L850" s="74"/>
      <c r="M850" s="74"/>
      <c r="N850" s="74"/>
      <c r="O850" s="40"/>
      <c r="P850" s="40"/>
      <c r="Q850" s="45"/>
      <c r="R850" s="40"/>
      <c r="S850" s="40"/>
      <c r="T850" s="74"/>
      <c r="U850" s="74"/>
      <c r="V850" s="74"/>
      <c r="W850" s="74"/>
      <c r="X850" s="76"/>
      <c r="Y850" s="76"/>
      <c r="Z850" s="76"/>
      <c r="AA850" s="76"/>
    </row>
    <row r="851" spans="4:27" ht="13.2">
      <c r="D851" s="40"/>
      <c r="E851" s="40"/>
      <c r="F851" s="74"/>
      <c r="G851" s="74"/>
      <c r="H851" s="74"/>
      <c r="I851" s="74"/>
      <c r="J851" s="90"/>
      <c r="K851" s="74"/>
      <c r="L851" s="74"/>
      <c r="M851" s="74"/>
      <c r="N851" s="74"/>
      <c r="O851" s="40"/>
      <c r="P851" s="40"/>
      <c r="Q851" s="45"/>
      <c r="R851" s="40"/>
      <c r="S851" s="40"/>
      <c r="T851" s="74"/>
      <c r="U851" s="74"/>
      <c r="V851" s="74"/>
      <c r="W851" s="74"/>
      <c r="X851" s="76"/>
      <c r="Y851" s="76"/>
      <c r="Z851" s="76"/>
      <c r="AA851" s="76"/>
    </row>
    <row r="852" spans="4:27" ht="13.2">
      <c r="D852" s="40"/>
      <c r="E852" s="40"/>
      <c r="F852" s="74"/>
      <c r="G852" s="74"/>
      <c r="H852" s="74"/>
      <c r="I852" s="74"/>
      <c r="J852" s="90"/>
      <c r="K852" s="74"/>
      <c r="L852" s="74"/>
      <c r="M852" s="74"/>
      <c r="N852" s="74"/>
      <c r="O852" s="40"/>
      <c r="P852" s="40"/>
      <c r="Q852" s="45"/>
      <c r="R852" s="40"/>
      <c r="S852" s="40"/>
      <c r="T852" s="74"/>
      <c r="U852" s="74"/>
      <c r="V852" s="74"/>
      <c r="W852" s="74"/>
      <c r="X852" s="76"/>
      <c r="Y852" s="76"/>
      <c r="Z852" s="76"/>
      <c r="AA852" s="76"/>
    </row>
    <row r="853" spans="4:27" ht="13.2">
      <c r="D853" s="40"/>
      <c r="E853" s="40"/>
      <c r="F853" s="74"/>
      <c r="G853" s="74"/>
      <c r="H853" s="74"/>
      <c r="I853" s="74"/>
      <c r="J853" s="90"/>
      <c r="K853" s="74"/>
      <c r="L853" s="74"/>
      <c r="M853" s="74"/>
      <c r="N853" s="74"/>
      <c r="O853" s="40"/>
      <c r="P853" s="40"/>
      <c r="Q853" s="45"/>
      <c r="R853" s="40"/>
      <c r="S853" s="40"/>
      <c r="T853" s="74"/>
      <c r="U853" s="74"/>
      <c r="V853" s="74"/>
      <c r="W853" s="74"/>
      <c r="X853" s="76"/>
      <c r="Y853" s="76"/>
      <c r="Z853" s="76"/>
      <c r="AA853" s="76"/>
    </row>
    <row r="854" spans="4:27" ht="13.2">
      <c r="D854" s="40"/>
      <c r="E854" s="40"/>
      <c r="F854" s="74"/>
      <c r="G854" s="74"/>
      <c r="H854" s="74"/>
      <c r="I854" s="74"/>
      <c r="J854" s="90"/>
      <c r="K854" s="74"/>
      <c r="L854" s="74"/>
      <c r="M854" s="74"/>
      <c r="N854" s="74"/>
      <c r="O854" s="40"/>
      <c r="P854" s="40"/>
      <c r="Q854" s="45"/>
      <c r="R854" s="40"/>
      <c r="S854" s="40"/>
      <c r="T854" s="74"/>
      <c r="U854" s="74"/>
      <c r="V854" s="74"/>
      <c r="W854" s="74"/>
      <c r="X854" s="76"/>
      <c r="Y854" s="76"/>
      <c r="Z854" s="76"/>
      <c r="AA854" s="76"/>
    </row>
    <row r="855" spans="4:27" ht="13.2">
      <c r="D855" s="40"/>
      <c r="E855" s="40"/>
      <c r="F855" s="74"/>
      <c r="G855" s="74"/>
      <c r="H855" s="74"/>
      <c r="I855" s="74"/>
      <c r="J855" s="90"/>
      <c r="K855" s="74"/>
      <c r="L855" s="74"/>
      <c r="M855" s="74"/>
      <c r="N855" s="74"/>
      <c r="O855" s="40"/>
      <c r="P855" s="40"/>
      <c r="Q855" s="45"/>
      <c r="R855" s="40"/>
      <c r="S855" s="40"/>
      <c r="T855" s="74"/>
      <c r="U855" s="74"/>
      <c r="V855" s="74"/>
      <c r="W855" s="74"/>
      <c r="X855" s="76"/>
      <c r="Y855" s="76"/>
      <c r="Z855" s="76"/>
      <c r="AA855" s="76"/>
    </row>
    <row r="856" spans="4:27" ht="13.2">
      <c r="D856" s="40"/>
      <c r="E856" s="40"/>
      <c r="F856" s="74"/>
      <c r="G856" s="74"/>
      <c r="H856" s="74"/>
      <c r="I856" s="74"/>
      <c r="J856" s="90"/>
      <c r="K856" s="74"/>
      <c r="L856" s="74"/>
      <c r="M856" s="74"/>
      <c r="N856" s="74"/>
      <c r="O856" s="40"/>
      <c r="P856" s="40"/>
      <c r="Q856" s="45"/>
      <c r="R856" s="40"/>
      <c r="S856" s="40"/>
      <c r="T856" s="74"/>
      <c r="U856" s="74"/>
      <c r="V856" s="74"/>
      <c r="W856" s="74"/>
      <c r="X856" s="76"/>
      <c r="Y856" s="76"/>
      <c r="Z856" s="76"/>
      <c r="AA856" s="76"/>
    </row>
    <row r="857" spans="4:27" ht="13.2">
      <c r="D857" s="40"/>
      <c r="E857" s="40"/>
      <c r="F857" s="74"/>
      <c r="G857" s="74"/>
      <c r="H857" s="74"/>
      <c r="I857" s="74"/>
      <c r="J857" s="90"/>
      <c r="K857" s="74"/>
      <c r="L857" s="74"/>
      <c r="M857" s="74"/>
      <c r="N857" s="74"/>
      <c r="O857" s="40"/>
      <c r="P857" s="40"/>
      <c r="Q857" s="45"/>
      <c r="R857" s="40"/>
      <c r="S857" s="40"/>
      <c r="T857" s="74"/>
      <c r="U857" s="74"/>
      <c r="V857" s="74"/>
      <c r="W857" s="74"/>
      <c r="X857" s="76"/>
      <c r="Y857" s="76"/>
      <c r="Z857" s="76"/>
      <c r="AA857" s="76"/>
    </row>
    <row r="858" spans="4:27" ht="13.2">
      <c r="D858" s="40"/>
      <c r="E858" s="40"/>
      <c r="F858" s="74"/>
      <c r="G858" s="74"/>
      <c r="H858" s="74"/>
      <c r="I858" s="74"/>
      <c r="J858" s="90"/>
      <c r="K858" s="74"/>
      <c r="L858" s="74"/>
      <c r="M858" s="74"/>
      <c r="N858" s="74"/>
      <c r="O858" s="40"/>
      <c r="P858" s="40"/>
      <c r="Q858" s="45"/>
      <c r="R858" s="40"/>
      <c r="S858" s="40"/>
      <c r="T858" s="74"/>
      <c r="U858" s="74"/>
      <c r="V858" s="74"/>
      <c r="W858" s="74"/>
      <c r="X858" s="76"/>
      <c r="Y858" s="76"/>
      <c r="Z858" s="76"/>
      <c r="AA858" s="76"/>
    </row>
    <row r="859" spans="4:27" ht="13.2">
      <c r="D859" s="40"/>
      <c r="E859" s="40"/>
      <c r="F859" s="74"/>
      <c r="G859" s="74"/>
      <c r="H859" s="74"/>
      <c r="I859" s="74"/>
      <c r="J859" s="90"/>
      <c r="K859" s="74"/>
      <c r="L859" s="74"/>
      <c r="M859" s="74"/>
      <c r="N859" s="74"/>
      <c r="O859" s="40"/>
      <c r="P859" s="40"/>
      <c r="Q859" s="45"/>
      <c r="R859" s="40"/>
      <c r="S859" s="40"/>
      <c r="T859" s="74"/>
      <c r="U859" s="74"/>
      <c r="V859" s="74"/>
      <c r="W859" s="74"/>
      <c r="X859" s="76"/>
      <c r="Y859" s="76"/>
      <c r="Z859" s="76"/>
      <c r="AA859" s="76"/>
    </row>
    <row r="860" spans="4:27" ht="13.2">
      <c r="D860" s="40"/>
      <c r="E860" s="40"/>
      <c r="F860" s="74"/>
      <c r="G860" s="74"/>
      <c r="H860" s="74"/>
      <c r="I860" s="74"/>
      <c r="J860" s="90"/>
      <c r="K860" s="74"/>
      <c r="L860" s="74"/>
      <c r="M860" s="74"/>
      <c r="N860" s="74"/>
      <c r="O860" s="40"/>
      <c r="P860" s="40"/>
      <c r="Q860" s="45"/>
      <c r="R860" s="40"/>
      <c r="S860" s="40"/>
      <c r="T860" s="74"/>
      <c r="U860" s="74"/>
      <c r="V860" s="74"/>
      <c r="W860" s="74"/>
      <c r="X860" s="76"/>
      <c r="Y860" s="76"/>
      <c r="Z860" s="76"/>
      <c r="AA860" s="76"/>
    </row>
    <row r="861" spans="4:27" ht="13.2">
      <c r="D861" s="40"/>
      <c r="E861" s="40"/>
      <c r="F861" s="74"/>
      <c r="G861" s="74"/>
      <c r="H861" s="74"/>
      <c r="I861" s="74"/>
      <c r="J861" s="90"/>
      <c r="K861" s="74"/>
      <c r="L861" s="74"/>
      <c r="M861" s="74"/>
      <c r="N861" s="74"/>
      <c r="O861" s="40"/>
      <c r="P861" s="40"/>
      <c r="Q861" s="45"/>
      <c r="R861" s="40"/>
      <c r="S861" s="40"/>
      <c r="T861" s="74"/>
      <c r="U861" s="74"/>
      <c r="V861" s="74"/>
      <c r="W861" s="74"/>
      <c r="X861" s="76"/>
      <c r="Y861" s="76"/>
      <c r="Z861" s="76"/>
      <c r="AA861" s="76"/>
    </row>
    <row r="862" spans="4:27" ht="13.2">
      <c r="D862" s="40"/>
      <c r="E862" s="40"/>
      <c r="F862" s="74"/>
      <c r="G862" s="74"/>
      <c r="H862" s="74"/>
      <c r="I862" s="74"/>
      <c r="J862" s="90"/>
      <c r="K862" s="74"/>
      <c r="L862" s="74"/>
      <c r="M862" s="74"/>
      <c r="N862" s="74"/>
      <c r="O862" s="40"/>
      <c r="P862" s="40"/>
      <c r="Q862" s="45"/>
      <c r="R862" s="40"/>
      <c r="S862" s="40"/>
      <c r="T862" s="74"/>
      <c r="U862" s="74"/>
      <c r="V862" s="74"/>
      <c r="W862" s="74"/>
      <c r="X862" s="76"/>
      <c r="Y862" s="76"/>
      <c r="Z862" s="76"/>
      <c r="AA862" s="76"/>
    </row>
    <row r="863" spans="4:27" ht="13.2">
      <c r="D863" s="40"/>
      <c r="E863" s="40"/>
      <c r="F863" s="74"/>
      <c r="G863" s="74"/>
      <c r="H863" s="74"/>
      <c r="I863" s="74"/>
      <c r="J863" s="90"/>
      <c r="K863" s="74"/>
      <c r="L863" s="74"/>
      <c r="M863" s="74"/>
      <c r="N863" s="74"/>
      <c r="O863" s="40"/>
      <c r="P863" s="40"/>
      <c r="Q863" s="45"/>
      <c r="R863" s="40"/>
      <c r="S863" s="40"/>
      <c r="T863" s="74"/>
      <c r="U863" s="74"/>
      <c r="V863" s="74"/>
      <c r="W863" s="74"/>
      <c r="X863" s="76"/>
      <c r="Y863" s="76"/>
      <c r="Z863" s="76"/>
      <c r="AA863" s="76"/>
    </row>
    <row r="864" spans="4:27" ht="13.2">
      <c r="D864" s="40"/>
      <c r="E864" s="40"/>
      <c r="F864" s="74"/>
      <c r="G864" s="74"/>
      <c r="H864" s="74"/>
      <c r="I864" s="74"/>
      <c r="J864" s="90"/>
      <c r="K864" s="74"/>
      <c r="L864" s="74"/>
      <c r="M864" s="74"/>
      <c r="N864" s="74"/>
      <c r="O864" s="40"/>
      <c r="P864" s="40"/>
      <c r="Q864" s="45"/>
      <c r="R864" s="40"/>
      <c r="S864" s="40"/>
      <c r="T864" s="74"/>
      <c r="U864" s="74"/>
      <c r="V864" s="74"/>
      <c r="W864" s="74"/>
      <c r="X864" s="76"/>
      <c r="Y864" s="76"/>
      <c r="Z864" s="76"/>
      <c r="AA864" s="76"/>
    </row>
    <row r="865" spans="4:27" ht="13.2">
      <c r="D865" s="40"/>
      <c r="E865" s="40"/>
      <c r="F865" s="74"/>
      <c r="G865" s="74"/>
      <c r="H865" s="74"/>
      <c r="I865" s="74"/>
      <c r="J865" s="90"/>
      <c r="K865" s="74"/>
      <c r="L865" s="74"/>
      <c r="M865" s="74"/>
      <c r="N865" s="74"/>
      <c r="O865" s="40"/>
      <c r="P865" s="40"/>
      <c r="Q865" s="45"/>
      <c r="R865" s="40"/>
      <c r="S865" s="40"/>
      <c r="T865" s="74"/>
      <c r="U865" s="74"/>
      <c r="V865" s="74"/>
      <c r="W865" s="74"/>
      <c r="X865" s="76"/>
      <c r="Y865" s="76"/>
      <c r="Z865" s="76"/>
      <c r="AA865" s="76"/>
    </row>
    <row r="866" spans="4:27" ht="13.2">
      <c r="D866" s="40"/>
      <c r="E866" s="40"/>
      <c r="F866" s="74"/>
      <c r="G866" s="74"/>
      <c r="H866" s="74"/>
      <c r="I866" s="74"/>
      <c r="J866" s="90"/>
      <c r="K866" s="74"/>
      <c r="L866" s="74"/>
      <c r="M866" s="74"/>
      <c r="N866" s="74"/>
      <c r="O866" s="40"/>
      <c r="P866" s="40"/>
      <c r="Q866" s="45"/>
      <c r="R866" s="40"/>
      <c r="S866" s="40"/>
      <c r="T866" s="74"/>
      <c r="U866" s="74"/>
      <c r="V866" s="74"/>
      <c r="W866" s="74"/>
      <c r="X866" s="76"/>
      <c r="Y866" s="76"/>
      <c r="Z866" s="76"/>
      <c r="AA866" s="76"/>
    </row>
    <row r="867" spans="4:27" ht="13.2">
      <c r="D867" s="40"/>
      <c r="E867" s="40"/>
      <c r="F867" s="74"/>
      <c r="G867" s="74"/>
      <c r="H867" s="74"/>
      <c r="I867" s="74"/>
      <c r="J867" s="90"/>
      <c r="K867" s="74"/>
      <c r="L867" s="74"/>
      <c r="M867" s="74"/>
      <c r="N867" s="74"/>
      <c r="O867" s="40"/>
      <c r="P867" s="40"/>
      <c r="Q867" s="45"/>
      <c r="R867" s="40"/>
      <c r="S867" s="40"/>
      <c r="T867" s="74"/>
      <c r="U867" s="74"/>
      <c r="V867" s="74"/>
      <c r="W867" s="74"/>
      <c r="X867" s="76"/>
      <c r="Y867" s="76"/>
      <c r="Z867" s="76"/>
      <c r="AA867" s="76"/>
    </row>
    <row r="868" spans="4:27" ht="13.2">
      <c r="D868" s="40"/>
      <c r="E868" s="40"/>
      <c r="F868" s="74"/>
      <c r="G868" s="74"/>
      <c r="H868" s="74"/>
      <c r="I868" s="74"/>
      <c r="J868" s="90"/>
      <c r="K868" s="74"/>
      <c r="L868" s="74"/>
      <c r="M868" s="74"/>
      <c r="N868" s="74"/>
      <c r="O868" s="40"/>
      <c r="P868" s="40"/>
      <c r="Q868" s="45"/>
      <c r="R868" s="40"/>
      <c r="S868" s="40"/>
      <c r="T868" s="74"/>
      <c r="U868" s="74"/>
      <c r="V868" s="74"/>
      <c r="W868" s="74"/>
      <c r="X868" s="76"/>
      <c r="Y868" s="76"/>
      <c r="Z868" s="76"/>
      <c r="AA868" s="76"/>
    </row>
    <row r="869" spans="4:27" ht="13.2">
      <c r="D869" s="40"/>
      <c r="E869" s="40"/>
      <c r="F869" s="74"/>
      <c r="G869" s="74"/>
      <c r="H869" s="74"/>
      <c r="I869" s="74"/>
      <c r="J869" s="90"/>
      <c r="K869" s="74"/>
      <c r="L869" s="74"/>
      <c r="M869" s="74"/>
      <c r="N869" s="74"/>
      <c r="O869" s="40"/>
      <c r="P869" s="40"/>
      <c r="Q869" s="45"/>
      <c r="R869" s="40"/>
      <c r="S869" s="40"/>
      <c r="T869" s="74"/>
      <c r="U869" s="74"/>
      <c r="V869" s="74"/>
      <c r="W869" s="74"/>
      <c r="X869" s="76"/>
      <c r="Y869" s="76"/>
      <c r="Z869" s="76"/>
      <c r="AA869" s="76"/>
    </row>
    <row r="870" spans="4:27" ht="13.2">
      <c r="D870" s="40"/>
      <c r="E870" s="40"/>
      <c r="F870" s="74"/>
      <c r="G870" s="74"/>
      <c r="H870" s="74"/>
      <c r="I870" s="74"/>
      <c r="J870" s="90"/>
      <c r="K870" s="74"/>
      <c r="L870" s="74"/>
      <c r="M870" s="74"/>
      <c r="N870" s="74"/>
      <c r="O870" s="40"/>
      <c r="P870" s="40"/>
      <c r="Q870" s="45"/>
      <c r="R870" s="40"/>
      <c r="S870" s="40"/>
      <c r="T870" s="74"/>
      <c r="U870" s="74"/>
      <c r="V870" s="74"/>
      <c r="W870" s="74"/>
      <c r="X870" s="76"/>
      <c r="Y870" s="76"/>
      <c r="Z870" s="76"/>
      <c r="AA870" s="76"/>
    </row>
    <row r="871" spans="4:27" ht="13.2">
      <c r="D871" s="40"/>
      <c r="E871" s="40"/>
      <c r="F871" s="74"/>
      <c r="G871" s="74"/>
      <c r="H871" s="74"/>
      <c r="I871" s="74"/>
      <c r="J871" s="90"/>
      <c r="K871" s="74"/>
      <c r="L871" s="74"/>
      <c r="M871" s="74"/>
      <c r="N871" s="74"/>
      <c r="O871" s="40"/>
      <c r="P871" s="40"/>
      <c r="Q871" s="45"/>
      <c r="R871" s="40"/>
      <c r="S871" s="40"/>
      <c r="T871" s="74"/>
      <c r="U871" s="74"/>
      <c r="V871" s="74"/>
      <c r="W871" s="74"/>
      <c r="X871" s="76"/>
      <c r="Y871" s="76"/>
      <c r="Z871" s="76"/>
      <c r="AA871" s="76"/>
    </row>
    <row r="872" spans="4:27" ht="13.2">
      <c r="D872" s="40"/>
      <c r="E872" s="40"/>
      <c r="F872" s="74"/>
      <c r="G872" s="74"/>
      <c r="H872" s="74"/>
      <c r="I872" s="74"/>
      <c r="J872" s="90"/>
      <c r="K872" s="74"/>
      <c r="L872" s="74"/>
      <c r="M872" s="74"/>
      <c r="N872" s="74"/>
      <c r="O872" s="40"/>
      <c r="P872" s="40"/>
      <c r="Q872" s="45"/>
      <c r="R872" s="40"/>
      <c r="S872" s="40"/>
      <c r="T872" s="74"/>
      <c r="U872" s="74"/>
      <c r="V872" s="74"/>
      <c r="W872" s="74"/>
      <c r="X872" s="76"/>
      <c r="Y872" s="76"/>
      <c r="Z872" s="76"/>
      <c r="AA872" s="76"/>
    </row>
    <row r="873" spans="4:27" ht="13.2">
      <c r="D873" s="40"/>
      <c r="E873" s="40"/>
      <c r="F873" s="74"/>
      <c r="G873" s="74"/>
      <c r="H873" s="74"/>
      <c r="I873" s="74"/>
      <c r="J873" s="90"/>
      <c r="K873" s="74"/>
      <c r="L873" s="74"/>
      <c r="M873" s="74"/>
      <c r="N873" s="74"/>
      <c r="O873" s="40"/>
      <c r="P873" s="40"/>
      <c r="Q873" s="45"/>
      <c r="R873" s="40"/>
      <c r="S873" s="40"/>
      <c r="T873" s="74"/>
      <c r="U873" s="74"/>
      <c r="V873" s="74"/>
      <c r="W873" s="74"/>
      <c r="X873" s="76"/>
      <c r="Y873" s="76"/>
      <c r="Z873" s="76"/>
      <c r="AA873" s="76"/>
    </row>
    <row r="874" spans="4:27" ht="13.2">
      <c r="D874" s="40"/>
      <c r="E874" s="40"/>
      <c r="F874" s="74"/>
      <c r="G874" s="74"/>
      <c r="H874" s="74"/>
      <c r="I874" s="74"/>
      <c r="J874" s="90"/>
      <c r="K874" s="74"/>
      <c r="L874" s="74"/>
      <c r="M874" s="74"/>
      <c r="N874" s="74"/>
      <c r="O874" s="40"/>
      <c r="P874" s="40"/>
      <c r="Q874" s="45"/>
      <c r="R874" s="40"/>
      <c r="S874" s="40"/>
      <c r="T874" s="74"/>
      <c r="U874" s="74"/>
      <c r="V874" s="74"/>
      <c r="W874" s="74"/>
      <c r="X874" s="76"/>
      <c r="Y874" s="76"/>
      <c r="Z874" s="76"/>
      <c r="AA874" s="76"/>
    </row>
    <row r="875" spans="4:27" ht="13.2">
      <c r="D875" s="40"/>
      <c r="E875" s="40"/>
      <c r="F875" s="74"/>
      <c r="G875" s="74"/>
      <c r="H875" s="74"/>
      <c r="I875" s="74"/>
      <c r="J875" s="90"/>
      <c r="K875" s="74"/>
      <c r="L875" s="74"/>
      <c r="M875" s="74"/>
      <c r="N875" s="74"/>
      <c r="O875" s="40"/>
      <c r="P875" s="40"/>
      <c r="Q875" s="45"/>
      <c r="R875" s="40"/>
      <c r="S875" s="40"/>
      <c r="T875" s="74"/>
      <c r="U875" s="74"/>
      <c r="V875" s="74"/>
      <c r="W875" s="74"/>
      <c r="X875" s="76"/>
      <c r="Y875" s="76"/>
      <c r="Z875" s="76"/>
      <c r="AA875" s="76"/>
    </row>
    <row r="876" spans="4:27" ht="13.2">
      <c r="D876" s="40"/>
      <c r="E876" s="40"/>
      <c r="F876" s="74"/>
      <c r="G876" s="74"/>
      <c r="H876" s="74"/>
      <c r="I876" s="74"/>
      <c r="J876" s="90"/>
      <c r="K876" s="74"/>
      <c r="L876" s="74"/>
      <c r="M876" s="74"/>
      <c r="N876" s="74"/>
      <c r="O876" s="40"/>
      <c r="P876" s="40"/>
      <c r="Q876" s="45"/>
      <c r="R876" s="40"/>
      <c r="S876" s="40"/>
      <c r="T876" s="74"/>
      <c r="U876" s="74"/>
      <c r="V876" s="74"/>
      <c r="W876" s="74"/>
      <c r="X876" s="76"/>
      <c r="Y876" s="76"/>
      <c r="Z876" s="76"/>
      <c r="AA876" s="76"/>
    </row>
    <row r="877" spans="4:27" ht="13.2">
      <c r="D877" s="40"/>
      <c r="E877" s="40"/>
      <c r="F877" s="74"/>
      <c r="G877" s="74"/>
      <c r="H877" s="74"/>
      <c r="I877" s="74"/>
      <c r="J877" s="90"/>
      <c r="K877" s="74"/>
      <c r="L877" s="74"/>
      <c r="M877" s="74"/>
      <c r="N877" s="74"/>
      <c r="O877" s="40"/>
      <c r="P877" s="40"/>
      <c r="Q877" s="45"/>
      <c r="R877" s="40"/>
      <c r="S877" s="40"/>
      <c r="T877" s="74"/>
      <c r="U877" s="74"/>
      <c r="V877" s="74"/>
      <c r="W877" s="74"/>
      <c r="X877" s="76"/>
      <c r="Y877" s="76"/>
      <c r="Z877" s="76"/>
      <c r="AA877" s="76"/>
    </row>
    <row r="878" spans="4:27" ht="13.2">
      <c r="D878" s="40"/>
      <c r="E878" s="40"/>
      <c r="F878" s="74"/>
      <c r="G878" s="74"/>
      <c r="H878" s="74"/>
      <c r="I878" s="74"/>
      <c r="J878" s="90"/>
      <c r="K878" s="74"/>
      <c r="L878" s="74"/>
      <c r="M878" s="74"/>
      <c r="N878" s="74"/>
      <c r="O878" s="40"/>
      <c r="P878" s="40"/>
      <c r="Q878" s="45"/>
      <c r="R878" s="40"/>
      <c r="S878" s="40"/>
      <c r="T878" s="74"/>
      <c r="U878" s="74"/>
      <c r="V878" s="74"/>
      <c r="W878" s="74"/>
      <c r="X878" s="76"/>
      <c r="Y878" s="76"/>
      <c r="Z878" s="76"/>
      <c r="AA878" s="76"/>
    </row>
    <row r="879" spans="4:27" ht="13.2">
      <c r="D879" s="40"/>
      <c r="E879" s="40"/>
      <c r="F879" s="74"/>
      <c r="G879" s="74"/>
      <c r="H879" s="74"/>
      <c r="I879" s="74"/>
      <c r="J879" s="90"/>
      <c r="K879" s="74"/>
      <c r="L879" s="74"/>
      <c r="M879" s="74"/>
      <c r="N879" s="74"/>
      <c r="O879" s="40"/>
      <c r="P879" s="40"/>
      <c r="Q879" s="45"/>
      <c r="R879" s="40"/>
      <c r="S879" s="40"/>
      <c r="T879" s="74"/>
      <c r="U879" s="74"/>
      <c r="V879" s="74"/>
      <c r="W879" s="74"/>
      <c r="X879" s="76"/>
      <c r="Y879" s="76"/>
      <c r="Z879" s="76"/>
      <c r="AA879" s="76"/>
    </row>
    <row r="880" spans="4:27" ht="13.2">
      <c r="D880" s="40"/>
      <c r="E880" s="40"/>
      <c r="F880" s="74"/>
      <c r="G880" s="74"/>
      <c r="H880" s="74"/>
      <c r="I880" s="74"/>
      <c r="J880" s="90"/>
      <c r="K880" s="74"/>
      <c r="L880" s="74"/>
      <c r="M880" s="74"/>
      <c r="N880" s="74"/>
      <c r="O880" s="40"/>
      <c r="P880" s="40"/>
      <c r="Q880" s="45"/>
      <c r="R880" s="40"/>
      <c r="S880" s="40"/>
      <c r="T880" s="74"/>
      <c r="U880" s="74"/>
      <c r="V880" s="74"/>
      <c r="W880" s="74"/>
      <c r="X880" s="76"/>
      <c r="Y880" s="76"/>
      <c r="Z880" s="76"/>
      <c r="AA880" s="76"/>
    </row>
    <row r="881" spans="4:27" ht="13.2">
      <c r="D881" s="40"/>
      <c r="E881" s="40"/>
      <c r="F881" s="74"/>
      <c r="G881" s="74"/>
      <c r="H881" s="74"/>
      <c r="I881" s="74"/>
      <c r="J881" s="90"/>
      <c r="K881" s="74"/>
      <c r="L881" s="74"/>
      <c r="M881" s="74"/>
      <c r="N881" s="74"/>
      <c r="O881" s="40"/>
      <c r="P881" s="40"/>
      <c r="Q881" s="45"/>
      <c r="R881" s="40"/>
      <c r="S881" s="40"/>
      <c r="T881" s="74"/>
      <c r="U881" s="74"/>
      <c r="V881" s="74"/>
      <c r="W881" s="74"/>
      <c r="X881" s="76"/>
      <c r="Y881" s="76"/>
      <c r="Z881" s="76"/>
      <c r="AA881" s="76"/>
    </row>
    <row r="882" spans="4:27" ht="13.2">
      <c r="D882" s="40"/>
      <c r="E882" s="40"/>
      <c r="F882" s="74"/>
      <c r="G882" s="74"/>
      <c r="H882" s="74"/>
      <c r="I882" s="74"/>
      <c r="J882" s="90"/>
      <c r="K882" s="74"/>
      <c r="L882" s="74"/>
      <c r="M882" s="74"/>
      <c r="N882" s="74"/>
      <c r="O882" s="40"/>
      <c r="P882" s="40"/>
      <c r="Q882" s="45"/>
      <c r="R882" s="40"/>
      <c r="S882" s="40"/>
      <c r="T882" s="74"/>
      <c r="U882" s="74"/>
      <c r="V882" s="74"/>
      <c r="W882" s="74"/>
      <c r="X882" s="76"/>
      <c r="Y882" s="76"/>
      <c r="Z882" s="76"/>
      <c r="AA882" s="76"/>
    </row>
    <row r="883" spans="4:27" ht="13.2">
      <c r="D883" s="40"/>
      <c r="E883" s="40"/>
      <c r="F883" s="74"/>
      <c r="G883" s="74"/>
      <c r="H883" s="74"/>
      <c r="I883" s="74"/>
      <c r="J883" s="90"/>
      <c r="K883" s="74"/>
      <c r="L883" s="74"/>
      <c r="M883" s="74"/>
      <c r="N883" s="74"/>
      <c r="O883" s="40"/>
      <c r="P883" s="40"/>
      <c r="Q883" s="45"/>
      <c r="R883" s="40"/>
      <c r="S883" s="40"/>
      <c r="T883" s="74"/>
      <c r="U883" s="74"/>
      <c r="V883" s="74"/>
      <c r="W883" s="74"/>
      <c r="X883" s="76"/>
      <c r="Y883" s="76"/>
      <c r="Z883" s="76"/>
      <c r="AA883" s="76"/>
    </row>
    <row r="884" spans="4:27" ht="13.2">
      <c r="D884" s="40"/>
      <c r="E884" s="40"/>
      <c r="F884" s="74"/>
      <c r="G884" s="74"/>
      <c r="H884" s="74"/>
      <c r="I884" s="74"/>
      <c r="J884" s="90"/>
      <c r="K884" s="74"/>
      <c r="L884" s="74"/>
      <c r="M884" s="74"/>
      <c r="N884" s="74"/>
      <c r="O884" s="40"/>
      <c r="P884" s="40"/>
      <c r="Q884" s="45"/>
      <c r="R884" s="40"/>
      <c r="S884" s="40"/>
      <c r="T884" s="74"/>
      <c r="U884" s="74"/>
      <c r="V884" s="74"/>
      <c r="W884" s="74"/>
      <c r="X884" s="76"/>
      <c r="Y884" s="76"/>
      <c r="Z884" s="76"/>
      <c r="AA884" s="76"/>
    </row>
    <row r="885" spans="4:27" ht="13.2">
      <c r="D885" s="40"/>
      <c r="E885" s="40"/>
      <c r="F885" s="74"/>
      <c r="G885" s="74"/>
      <c r="H885" s="74"/>
      <c r="I885" s="74"/>
      <c r="J885" s="90"/>
      <c r="K885" s="74"/>
      <c r="L885" s="74"/>
      <c r="M885" s="74"/>
      <c r="N885" s="74"/>
      <c r="O885" s="40"/>
      <c r="P885" s="40"/>
      <c r="Q885" s="45"/>
      <c r="R885" s="40"/>
      <c r="S885" s="40"/>
      <c r="T885" s="74"/>
      <c r="U885" s="74"/>
      <c r="V885" s="74"/>
      <c r="W885" s="74"/>
      <c r="X885" s="76"/>
      <c r="Y885" s="76"/>
      <c r="Z885" s="76"/>
      <c r="AA885" s="76"/>
    </row>
    <row r="886" spans="4:27" ht="13.2">
      <c r="D886" s="40"/>
      <c r="E886" s="40"/>
      <c r="F886" s="74"/>
      <c r="G886" s="74"/>
      <c r="H886" s="74"/>
      <c r="I886" s="74"/>
      <c r="J886" s="90"/>
      <c r="K886" s="74"/>
      <c r="L886" s="74"/>
      <c r="M886" s="74"/>
      <c r="N886" s="74"/>
      <c r="O886" s="40"/>
      <c r="P886" s="40"/>
      <c r="Q886" s="45"/>
      <c r="R886" s="40"/>
      <c r="S886" s="40"/>
      <c r="T886" s="74"/>
      <c r="U886" s="74"/>
      <c r="V886" s="74"/>
      <c r="W886" s="74"/>
      <c r="X886" s="76"/>
      <c r="Y886" s="76"/>
      <c r="Z886" s="76"/>
      <c r="AA886" s="76"/>
    </row>
    <row r="887" spans="4:27" ht="13.2">
      <c r="D887" s="40"/>
      <c r="E887" s="40"/>
      <c r="F887" s="74"/>
      <c r="G887" s="74"/>
      <c r="H887" s="74"/>
      <c r="I887" s="74"/>
      <c r="J887" s="90"/>
      <c r="K887" s="74"/>
      <c r="L887" s="74"/>
      <c r="M887" s="74"/>
      <c r="N887" s="74"/>
      <c r="O887" s="40"/>
      <c r="P887" s="40"/>
      <c r="Q887" s="45"/>
      <c r="R887" s="40"/>
      <c r="S887" s="40"/>
      <c r="T887" s="74"/>
      <c r="U887" s="74"/>
      <c r="V887" s="74"/>
      <c r="W887" s="74"/>
      <c r="X887" s="76"/>
      <c r="Y887" s="76"/>
      <c r="Z887" s="76"/>
      <c r="AA887" s="76"/>
    </row>
    <row r="888" spans="4:27" ht="13.2">
      <c r="D888" s="40"/>
      <c r="E888" s="40"/>
      <c r="F888" s="74"/>
      <c r="G888" s="74"/>
      <c r="H888" s="74"/>
      <c r="I888" s="74"/>
      <c r="J888" s="90"/>
      <c r="K888" s="74"/>
      <c r="L888" s="74"/>
      <c r="M888" s="74"/>
      <c r="N888" s="74"/>
      <c r="O888" s="40"/>
      <c r="P888" s="40"/>
      <c r="Q888" s="45"/>
      <c r="R888" s="40"/>
      <c r="S888" s="40"/>
      <c r="T888" s="74"/>
      <c r="U888" s="74"/>
      <c r="V888" s="74"/>
      <c r="W888" s="74"/>
      <c r="X888" s="76"/>
      <c r="Y888" s="76"/>
      <c r="Z888" s="76"/>
      <c r="AA888" s="76"/>
    </row>
    <row r="889" spans="4:27" ht="13.2">
      <c r="D889" s="40"/>
      <c r="E889" s="40"/>
      <c r="F889" s="74"/>
      <c r="G889" s="74"/>
      <c r="H889" s="74"/>
      <c r="I889" s="74"/>
      <c r="J889" s="90"/>
      <c r="K889" s="74"/>
      <c r="L889" s="74"/>
      <c r="M889" s="74"/>
      <c r="N889" s="74"/>
      <c r="O889" s="40"/>
      <c r="P889" s="40"/>
      <c r="Q889" s="45"/>
      <c r="R889" s="40"/>
      <c r="S889" s="40"/>
      <c r="T889" s="74"/>
      <c r="U889" s="74"/>
      <c r="V889" s="74"/>
      <c r="W889" s="74"/>
      <c r="X889" s="76"/>
      <c r="Y889" s="76"/>
      <c r="Z889" s="76"/>
      <c r="AA889" s="76"/>
    </row>
    <row r="890" spans="4:27" ht="13.2">
      <c r="D890" s="40"/>
      <c r="E890" s="40"/>
      <c r="F890" s="74"/>
      <c r="G890" s="74"/>
      <c r="H890" s="74"/>
      <c r="I890" s="74"/>
      <c r="J890" s="90"/>
      <c r="K890" s="74"/>
      <c r="L890" s="74"/>
      <c r="M890" s="74"/>
      <c r="N890" s="74"/>
      <c r="O890" s="40"/>
      <c r="P890" s="40"/>
      <c r="Q890" s="45"/>
      <c r="R890" s="40"/>
      <c r="S890" s="40"/>
      <c r="T890" s="74"/>
      <c r="U890" s="74"/>
      <c r="V890" s="74"/>
      <c r="W890" s="74"/>
      <c r="X890" s="76"/>
      <c r="Y890" s="76"/>
      <c r="Z890" s="76"/>
      <c r="AA890" s="76"/>
    </row>
    <row r="891" spans="4:27" ht="13.2">
      <c r="D891" s="40"/>
      <c r="E891" s="40"/>
      <c r="F891" s="74"/>
      <c r="G891" s="74"/>
      <c r="H891" s="74"/>
      <c r="I891" s="74"/>
      <c r="J891" s="90"/>
      <c r="K891" s="74"/>
      <c r="L891" s="74"/>
      <c r="M891" s="74"/>
      <c r="N891" s="74"/>
      <c r="O891" s="40"/>
      <c r="P891" s="40"/>
      <c r="Q891" s="45"/>
      <c r="R891" s="40"/>
      <c r="S891" s="40"/>
      <c r="T891" s="74"/>
      <c r="U891" s="74"/>
      <c r="V891" s="74"/>
      <c r="W891" s="74"/>
      <c r="X891" s="76"/>
      <c r="Y891" s="76"/>
      <c r="Z891" s="76"/>
      <c r="AA891" s="76"/>
    </row>
    <row r="892" spans="4:27" ht="13.2">
      <c r="D892" s="40"/>
      <c r="E892" s="40"/>
      <c r="F892" s="74"/>
      <c r="G892" s="74"/>
      <c r="H892" s="74"/>
      <c r="I892" s="74"/>
      <c r="J892" s="90"/>
      <c r="K892" s="74"/>
      <c r="L892" s="74"/>
      <c r="M892" s="74"/>
      <c r="N892" s="74"/>
      <c r="O892" s="40"/>
      <c r="P892" s="40"/>
      <c r="Q892" s="45"/>
      <c r="R892" s="40"/>
      <c r="S892" s="40"/>
      <c r="T892" s="74"/>
      <c r="U892" s="74"/>
      <c r="V892" s="74"/>
      <c r="W892" s="74"/>
      <c r="X892" s="76"/>
      <c r="Y892" s="76"/>
      <c r="Z892" s="76"/>
      <c r="AA892" s="76"/>
    </row>
    <row r="893" spans="4:27" ht="13.2">
      <c r="D893" s="40"/>
      <c r="E893" s="40"/>
      <c r="F893" s="74"/>
      <c r="G893" s="74"/>
      <c r="H893" s="74"/>
      <c r="I893" s="74"/>
      <c r="J893" s="90"/>
      <c r="K893" s="74"/>
      <c r="L893" s="74"/>
      <c r="M893" s="74"/>
      <c r="N893" s="74"/>
      <c r="O893" s="40"/>
      <c r="P893" s="40"/>
      <c r="Q893" s="45"/>
      <c r="R893" s="40"/>
      <c r="S893" s="40"/>
      <c r="T893" s="74"/>
      <c r="U893" s="74"/>
      <c r="V893" s="74"/>
      <c r="W893" s="74"/>
      <c r="X893" s="76"/>
      <c r="Y893" s="76"/>
      <c r="Z893" s="76"/>
      <c r="AA893" s="76"/>
    </row>
    <row r="894" spans="4:27" ht="13.2">
      <c r="D894" s="40"/>
      <c r="E894" s="40"/>
      <c r="F894" s="74"/>
      <c r="G894" s="74"/>
      <c r="H894" s="74"/>
      <c r="I894" s="74"/>
      <c r="J894" s="90"/>
      <c r="K894" s="74"/>
      <c r="L894" s="74"/>
      <c r="M894" s="74"/>
      <c r="N894" s="74"/>
      <c r="O894" s="40"/>
      <c r="P894" s="40"/>
      <c r="Q894" s="45"/>
      <c r="R894" s="40"/>
      <c r="S894" s="40"/>
      <c r="T894" s="74"/>
      <c r="U894" s="74"/>
      <c r="V894" s="74"/>
      <c r="W894" s="74"/>
      <c r="X894" s="76"/>
      <c r="Y894" s="76"/>
      <c r="Z894" s="76"/>
      <c r="AA894" s="76"/>
    </row>
    <row r="895" spans="4:27" ht="13.2">
      <c r="D895" s="40"/>
      <c r="E895" s="40"/>
      <c r="F895" s="74"/>
      <c r="G895" s="74"/>
      <c r="H895" s="74"/>
      <c r="I895" s="74"/>
      <c r="J895" s="90"/>
      <c r="K895" s="74"/>
      <c r="L895" s="74"/>
      <c r="M895" s="74"/>
      <c r="N895" s="74"/>
      <c r="O895" s="40"/>
      <c r="P895" s="40"/>
      <c r="Q895" s="45"/>
      <c r="R895" s="40"/>
      <c r="S895" s="40"/>
      <c r="T895" s="74"/>
      <c r="U895" s="74"/>
      <c r="V895" s="74"/>
      <c r="W895" s="74"/>
      <c r="X895" s="76"/>
      <c r="Y895" s="76"/>
      <c r="Z895" s="76"/>
      <c r="AA895" s="76"/>
    </row>
    <row r="896" spans="4:27" ht="13.2">
      <c r="D896" s="40"/>
      <c r="E896" s="40"/>
      <c r="F896" s="74"/>
      <c r="G896" s="74"/>
      <c r="H896" s="74"/>
      <c r="I896" s="74"/>
      <c r="J896" s="90"/>
      <c r="K896" s="74"/>
      <c r="L896" s="74"/>
      <c r="M896" s="74"/>
      <c r="N896" s="74"/>
      <c r="O896" s="40"/>
      <c r="P896" s="40"/>
      <c r="Q896" s="45"/>
      <c r="R896" s="40"/>
      <c r="S896" s="40"/>
      <c r="T896" s="74"/>
      <c r="U896" s="74"/>
      <c r="V896" s="74"/>
      <c r="W896" s="74"/>
      <c r="X896" s="76"/>
      <c r="Y896" s="76"/>
      <c r="Z896" s="76"/>
      <c r="AA896" s="76"/>
    </row>
    <row r="897" spans="4:27" ht="13.2">
      <c r="D897" s="40"/>
      <c r="E897" s="40"/>
      <c r="F897" s="74"/>
      <c r="G897" s="74"/>
      <c r="H897" s="74"/>
      <c r="I897" s="74"/>
      <c r="J897" s="90"/>
      <c r="K897" s="74"/>
      <c r="L897" s="74"/>
      <c r="M897" s="74"/>
      <c r="N897" s="74"/>
      <c r="O897" s="40"/>
      <c r="P897" s="40"/>
      <c r="Q897" s="45"/>
      <c r="R897" s="40"/>
      <c r="S897" s="40"/>
      <c r="T897" s="74"/>
      <c r="U897" s="74"/>
      <c r="V897" s="74"/>
      <c r="W897" s="74"/>
      <c r="X897" s="76"/>
      <c r="Y897" s="76"/>
      <c r="Z897" s="76"/>
      <c r="AA897" s="76"/>
    </row>
    <row r="898" spans="4:27" ht="13.2">
      <c r="D898" s="40"/>
      <c r="E898" s="40"/>
      <c r="F898" s="74"/>
      <c r="G898" s="74"/>
      <c r="H898" s="74"/>
      <c r="I898" s="74"/>
      <c r="J898" s="90"/>
      <c r="K898" s="74"/>
      <c r="L898" s="74"/>
      <c r="M898" s="74"/>
      <c r="N898" s="74"/>
      <c r="O898" s="40"/>
      <c r="P898" s="40"/>
      <c r="Q898" s="45"/>
      <c r="R898" s="40"/>
      <c r="S898" s="40"/>
      <c r="T898" s="74"/>
      <c r="U898" s="74"/>
      <c r="V898" s="74"/>
      <c r="W898" s="74"/>
      <c r="X898" s="76"/>
      <c r="Y898" s="76"/>
      <c r="Z898" s="76"/>
      <c r="AA898" s="76"/>
    </row>
    <row r="899" spans="4:27" ht="13.2">
      <c r="D899" s="40"/>
      <c r="E899" s="40"/>
      <c r="F899" s="74"/>
      <c r="G899" s="74"/>
      <c r="H899" s="74"/>
      <c r="I899" s="74"/>
      <c r="J899" s="90"/>
      <c r="K899" s="74"/>
      <c r="L899" s="74"/>
      <c r="M899" s="74"/>
      <c r="N899" s="74"/>
      <c r="O899" s="40"/>
      <c r="P899" s="40"/>
      <c r="Q899" s="45"/>
      <c r="R899" s="40"/>
      <c r="S899" s="40"/>
      <c r="T899" s="74"/>
      <c r="U899" s="74"/>
      <c r="V899" s="74"/>
      <c r="W899" s="74"/>
      <c r="X899" s="76"/>
      <c r="Y899" s="76"/>
      <c r="Z899" s="76"/>
      <c r="AA899" s="76"/>
    </row>
    <row r="900" spans="4:27" ht="13.2">
      <c r="D900" s="40"/>
      <c r="E900" s="40"/>
      <c r="F900" s="74"/>
      <c r="G900" s="74"/>
      <c r="H900" s="74"/>
      <c r="I900" s="74"/>
      <c r="J900" s="90"/>
      <c r="K900" s="74"/>
      <c r="L900" s="74"/>
      <c r="M900" s="74"/>
      <c r="N900" s="74"/>
      <c r="O900" s="40"/>
      <c r="P900" s="40"/>
      <c r="Q900" s="45"/>
      <c r="R900" s="40"/>
      <c r="S900" s="40"/>
      <c r="T900" s="74"/>
      <c r="U900" s="74"/>
      <c r="V900" s="74"/>
      <c r="W900" s="74"/>
      <c r="X900" s="76"/>
      <c r="Y900" s="76"/>
      <c r="Z900" s="76"/>
      <c r="AA900" s="76"/>
    </row>
    <row r="901" spans="4:27" ht="13.2">
      <c r="D901" s="40"/>
      <c r="E901" s="40"/>
      <c r="F901" s="74"/>
      <c r="G901" s="74"/>
      <c r="H901" s="74"/>
      <c r="I901" s="74"/>
      <c r="J901" s="90"/>
      <c r="K901" s="74"/>
      <c r="L901" s="74"/>
      <c r="M901" s="74"/>
      <c r="N901" s="74"/>
      <c r="O901" s="40"/>
      <c r="P901" s="40"/>
      <c r="Q901" s="45"/>
      <c r="R901" s="40"/>
      <c r="S901" s="40"/>
      <c r="T901" s="74"/>
      <c r="U901" s="74"/>
      <c r="V901" s="74"/>
      <c r="W901" s="74"/>
      <c r="X901" s="76"/>
      <c r="Y901" s="76"/>
      <c r="Z901" s="76"/>
      <c r="AA901" s="76"/>
    </row>
  </sheetData>
  <customSheetViews>
    <customSheetView guid="{D3B1F023-19BB-464F-8A3D-FE308F3C83C4}" filter="1" showAutoFilter="1">
      <pageMargins left="0.7" right="0.7" top="0.75" bottom="0.75" header="0.3" footer="0.3"/>
      <autoFilter ref="A1:Y306">
        <filterColumn colId="2">
          <filters>
            <filter val="10 Cajas 100 Guantes NITRILO Talla XL"/>
            <filter val="10 Cajas Guantes NITRILO Talla L"/>
            <filter val="10 Cajas Guantes NITRILO Talla M"/>
            <filter val="10 Cajas Guantes NITRILO Talla S"/>
            <filter val="2 Bandeja HUEVOS EXTRA 30 Huevos"/>
            <filter val="2 x Film Embalaje 1,7kg (1,4kg Neto/350 Metros aprox.)"/>
            <filter val="2 x Queso Rueda Cabra"/>
            <filter val="2 x Queso Rueda Sabores"/>
            <filter val="3 Bandeja HUEVOS EXTRA 30 Huevos"/>
            <filter val="3 Toalla Jumbo OVELLA D/H"/>
            <filter val="3 x Bolsa Basura Teddy 45x55 c/asas"/>
            <filter val="3 x Bolsa Basura Teddy 50x70"/>
            <filter val="3 x Bolsa Basura Teddy 70x90"/>
            <filter val="3 x Bolsa Basura Teddy 90x120"/>
            <filter val="3 x Film Embalaje 1,7kg (1,4kg Neto/350 Metros aprox.)"/>
            <filter val="3 x Paños MultiUso"/>
            <filter val="5 Esponja Escalonada"/>
            <filter val="6 x Bolsa Basura Teddy 45x55 c/asas"/>
            <filter val="6 x Bolsa Basura Teddy 50x70"/>
            <filter val="6 x Bolsa Basura Teddy 70x90"/>
            <filter val="6 x Bolsa Basura Teddy 90x120"/>
            <filter val="Ambiental cono Lavanda"/>
            <filter val="Ambiental Tubo"/>
            <filter val="Ambiental Tubo AROM"/>
            <filter val="Antigrasa"/>
            <filter val="Bebida 1.5 Litros"/>
            <filter val="Bolsa Basura 50x70"/>
            <filter val="Bolsa Basura 70x90"/>
            <filter val="Bolsa Basura Teddy 45x55 c/asas"/>
            <filter val="Bolsa Basura Teddy 50x70"/>
            <filter val="Bolsa Basura Teddy 70x90"/>
            <filter val="Bolsa Basura Teddy 90x120"/>
            <filter val="Cafe trigo"/>
            <filter val="CAJA 10 Pack Servilleta"/>
            <filter val="Caja 100 Guantes NITRILO Talla L"/>
            <filter val="Caja 100 Guantes NITRILO Talla M"/>
            <filter val="Caja 100 Guantes NITRILO Talla S"/>
            <filter val="Caja 100 Guantes NITRILO Talla XL"/>
            <filter val="Caja 50 Mascarillas Triple Pliegue"/>
            <filter val="Cera Amarilla Brillina 340 cc"/>
            <filter val="Cera con Tierra Color 340 cc"/>
            <filter val="Cera Incolora Brillina 340 cc"/>
            <filter val="Cera Roja Brillina 340 cc"/>
            <filter val="Cif 750 cc"/>
            <filter val="Cloro Gel"/>
            <filter val="Cloro Gel EXCELL 900 ml"/>
            <filter val="Cloro Gel IGENIX 900 ml"/>
            <filter val="Cofias"/>
            <filter val="Desinfectante IGENIX 360 ml"/>
            <filter val="Detergente Bio Frescura Bosque Nativo (Verde)"/>
            <filter val="Detergente Bio Frescura Campos de Hielo (Azul)"/>
            <filter val="Detergente Bio Frescura Desierto Florido (Naranjo)"/>
            <filter val="Escobillon"/>
            <filter val="Esponja Escalonada"/>
            <filter val="Film Embalaje 1,7kg (1,4kg Neto/350 Metros aprox.)"/>
            <filter val="Film Plástico 1.400 Metros"/>
            <filter val="Film Plástico 100 Metros"/>
            <filter val="Film Plástico 30 Metros"/>
            <filter val="Film Plástico 300 Metros"/>
            <filter val="Garbanzos"/>
            <filter val="Guantes Latex Talle M"/>
            <filter val="Guantes Latex Talle S"/>
            <filter val="Hielo 1 Kilo"/>
            <filter val="HUEVOS EXTRA 12 Huevos"/>
            <filter val="HUEVOS EXTRA 15 Huevos"/>
            <filter val="HUEVOS EXTRA 20 Huevos"/>
            <filter val="HUEVOS EXTRA 30 Huevos"/>
            <filter val="HUEVOS JUMBO 20 Huevos"/>
            <filter val="HUEVOS JUMBO 30 Huevos"/>
            <filter val="HUEVOS PRIMERA 12 Huevos"/>
            <filter val="HUEVOS PRIMERA 15 Huevos"/>
            <filter val="HUEVOS PRIMERA 20 Huevos"/>
            <filter val="HUEVOS PRIMERA 30 Huevos"/>
            <filter val="Insecticida RAID 360 cc Casa Jardin (Naranjo)"/>
            <filter val="Insecticida RAID 360 cc Mata en 10 seg (Azul)"/>
            <filter val="Insecticida RAID 360 cc Todo Insecto (Morado)"/>
            <filter val="Jabon  Ballerina - 750 ml"/>
            <filter val="Jabon  Popeye- 170 g"/>
            <filter val="Jabon  Teddy - 750 ml"/>
            <filter val="Lavaloza"/>
            <filter val="Licores Pack 1: Alto del Carmen+ Coca Zero + Hielo"/>
            <filter val="Licores Pack 2: Mistral + Coca Zero + Hielo"/>
            <filter val="Licores Pack 3: Alto del Camen + Mistral + 2 Coca Zero + Hielo"/>
            <filter val="Licores Pack 4: 6 cervezas"/>
            <filter val="Limpia Inodoro 500 ml"/>
            <filter val="LImpia Vidrio"/>
            <filter val="Limpiapiso POETT 900ml"/>
            <filter val="Longanizas VILLABLANCA"/>
            <filter val="Lustra Mueble 240 ml"/>
            <filter val="LYSOFORM 360 ML"/>
            <filter val="LYSOFORM 420 ML"/>
            <filter val="Magistral 500 cc"/>
            <filter val="Mani - New"/>
            <filter val="Mantequilla COLUN"/>
            <filter val="Mantequilla RUMAY"/>
            <filter val="Mopa Repuesto"/>
            <filter val="Mote"/>
            <filter val="Natura List Alulosa 90ml"/>
            <filter val="Nuez Partida"/>
            <filter val="OFERTA 2x Cloro"/>
            <filter val="OFERTA 2x Detergente Premium"/>
            <filter val="OFERTA 2x Lavaloza"/>
            <filter val="OFERTA 2x Limpiapiso"/>
            <filter val="OFERTA 2x Suavizante"/>
            <filter val="OFERTA 3 Longanizas VILLABLANCA"/>
            <filter val="OFERTA 3 Pack Servilleta SPUM"/>
            <filter val="OFERTA 4 Longanizas VILLABLANCA"/>
            <filter val="OFERTA 6 Toalla Jumbo AZUL SWAN 100 mts"/>
            <filter val="OFERTA 8 Toalla NOVA 70 mts"/>
            <filter val="OFERTA CAJA 10 Pack Servilleta"/>
            <filter val="OFERTA Pack 6 Toalla Jumbo OVELLA D/H"/>
            <filter val="OFERTA Pack 6 Toalla Jumbo SWAN D/H"/>
            <filter val="OFERTA Papel Higiénico ELITE 24 rollos"/>
            <filter val="OFERTA Papel Higiénico ELITE 32 rollos"/>
            <filter val="OFERTA Papel Higiénico SWAN 400 d/h 24 rollos"/>
            <filter val="OFERTA Papel Higiénico SWAN 400 d/h 32 rollos"/>
            <filter val="OFERTA Papel Higiénico SWAN 400 d/h 40 rollos"/>
            <filter val="OFERTA Papel Higiénico SWAN 50 mts d/h 24 rollos"/>
            <filter val="OFERTA Papel Higiénico SWAN 50 mts d/h 32 rollos"/>
            <filter val="OFERTA Toalla NOVA MANGA 12 rollos"/>
            <filter val="OFERTA Toalla NOVA MANGA 24 rollos"/>
            <filter val="OFERTA Toalla NOVA MANGA 9 rollos"/>
            <filter val="OFERTA Toalla Papel SWAN MANGA 24 rollos"/>
            <filter val="Pack  3 Jabon  Teddy - 750 ml"/>
            <filter val="Pack 16 Toalla NOVA 26 mts"/>
            <filter val="Pack 2 Ambiental cono Lavanda"/>
            <filter val="Pack 2 Ambiental Tubo"/>
            <filter val="Pack 2 Cif 750 cc"/>
            <filter val="Pack 2 LYSOFORM 420 ML"/>
            <filter val="Pack 2 Magistral 500 cc"/>
            <filter val="Pack 2 Quix 750 cc"/>
            <filter val="Pack 2 Toalla Jumbo ECONOMIX U/H"/>
            <filter val="Pack 2 Toalla NOVA 26 mts"/>
            <filter val="Pack 2 Toallitas Húmedas Adulto Teddy 50 Unidades"/>
            <filter val="Pack 2 Toallitas Húmedas Bebe Teddy 80 Unidades"/>
            <filter val="Pack 3 Film Plástico 30 Metros"/>
            <filter val="Pack 3 Jabon  Ballerina - 750 ml"/>
            <filter val="Pack 3 Jabon  Popeye- 170 g"/>
            <filter val="Pack 3 Mantequilla COLUN"/>
            <filter val="Pack 3 Mantequilla RUMAY"/>
            <filter val="Pack 3 Paños Cocina Fibra (30x50 cm)"/>
            <filter val="Pack 3 Papel Aluminio 7.5 Metros"/>
            <filter val="Pack 3 Provoleta Parrillera"/>
            <filter val="Pack 3 Servilleta"/>
            <filter val="Pack 3 Toalla Jumbo AZUL SWAN 100 mts"/>
            <filter val="Pack 3 Toalla Jumbo SWAN D/H"/>
            <filter val="Pack 3 Trapero Húmedo EXCELL"/>
            <filter val="Pack 3 Trapero Húmedo TEDDY"/>
            <filter val="Pack 3 Trapero Húmedo VIRGINIA"/>
            <filter val="Pack 3 x Pastillas Estanque WC (3 unidades)"/>
            <filter val="Pack 3 x Pinzas de Ropa (24 unidades)"/>
            <filter val="Pack 3 x Velas Grandes (4 unidades)"/>
            <filter val="Pack 3 x Velas Pequeñas (4 unidades)"/>
            <filter val="Pack 3 x Virutilla Dorada"/>
            <filter val="Pack 3 x Virutilla Plateada"/>
            <filter val="Pack 4 Toalla Jumbo SPUM D/H"/>
            <filter val="Pack 4 Toalla NOVA 70 mts"/>
            <filter val="Pack 5 Bolsas Hielo 1 Kilo"/>
            <filter val="Pack 5 Film Plástico 30 Metros"/>
            <filter val="Pack 5 Papel Aluminio 7.5 Metros"/>
            <filter val="Pack 5 Provoleta Parrillera"/>
            <filter val="Pack 6 Toalla Jumbo SWAN U/H"/>
            <filter val="Pack 6 x Virutilla Dorada"/>
            <filter val="Pack 6 x Virutilla Plateada"/>
            <filter val="Pack 8 Toalla NOVA 26 mts"/>
            <filter val="Paños Cocina Fibra (30x50 cm)"/>
            <filter val="Paños esponja Teddy (3)"/>
            <filter val="Paños esponja Teddy (Pack 3)"/>
            <filter val="Paños MultiUso"/>
            <filter val="Papel Aluminio 100 Metros"/>
            <filter val="Papel Aluminio 300 Metros"/>
            <filter val="Papel Aluminio 7.5 Metros"/>
            <filter val="Papel Higiénico ELITE 12 rollos"/>
            <filter val="Papel Higiénico ELITE 24 rollos"/>
            <filter val="Papel Higiénico ELITE 32 rollos"/>
            <filter val="Papel Higiénico ELITE 50 Metros 4 rollos"/>
            <filter val="Papel Higiénico SWAN 400 d/h 12 rollos"/>
            <filter val="Papel Higiénico SWAN 400 d/h 4 rollos"/>
            <filter val="Papel Higiénico SWAN 50 mts 4 rollos"/>
            <filter val="Papel Higiénico SWAN 50 mts d/h 12 rollos"/>
            <filter val="Pasta Diente Pepsodent 3x2"/>
            <filter val="Pastillas Estanque WC (3 unidades)"/>
            <filter val="Pinzas de Ropa (24 unidades)"/>
            <filter val="Recarga Nescafé 130grs"/>
            <filter val="Tableta Cloro envase 1K (200 g c/tableta)"/>
            <filter val="TE CEYLAN PREMIUN 100 bolsas"/>
            <filter val="Transporte"/>
            <filter val="Velas Grandes (4 Unidades)"/>
            <filter val="Velas Pequeñas (4 unidades)"/>
            <filter val="Virutilla Dorada"/>
            <filter val="Virutilla Plateada"/>
          </filters>
        </filterColumn>
      </autoFilter>
    </customSheetView>
  </customSheetViews>
  <dataValidations disablePrompts="1" count="1">
    <dataValidation type="list" allowBlank="1" showErrorMessage="1" sqref="AA2:AA388">
      <formula1>ProductosInventario</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1006"/>
  <sheetViews>
    <sheetView workbookViewId="0">
      <selection activeCell="C2" sqref="C2:C7"/>
    </sheetView>
  </sheetViews>
  <sheetFormatPr baseColWidth="10" defaultColWidth="12.6640625" defaultRowHeight="15.75" customHeight="1"/>
  <cols>
    <col min="1" max="1" width="14.77734375" customWidth="1"/>
    <col min="2" max="2" width="7.33203125" customWidth="1"/>
    <col min="3" max="3" width="17.6640625" bestFit="1" customWidth="1"/>
    <col min="4" max="4" width="8" customWidth="1"/>
    <col min="5" max="5" width="3.33203125" customWidth="1"/>
    <col min="6" max="6" width="10.33203125" customWidth="1"/>
    <col min="7" max="7" width="3.6640625" customWidth="1"/>
    <col min="8" max="8" width="6.77734375" customWidth="1"/>
    <col min="9" max="9" width="3.6640625" customWidth="1"/>
    <col min="10" max="10" width="24" customWidth="1"/>
    <col min="11" max="11" width="16.88671875" customWidth="1"/>
    <col min="12" max="12" width="4.77734375" customWidth="1"/>
    <col min="15" max="15" width="3.21875" customWidth="1"/>
    <col min="16" max="16" width="17.33203125" customWidth="1"/>
    <col min="17" max="17" width="4.33203125" customWidth="1"/>
    <col min="18" max="18" width="13.88671875" customWidth="1"/>
    <col min="19" max="19" width="3.33203125" customWidth="1"/>
  </cols>
  <sheetData>
    <row r="1" spans="1:20">
      <c r="A1" s="48" t="s">
        <v>1633</v>
      </c>
      <c r="C1" s="48" t="s">
        <v>1634</v>
      </c>
      <c r="D1" s="48" t="s">
        <v>23</v>
      </c>
      <c r="F1" s="92" t="s">
        <v>1635</v>
      </c>
      <c r="H1" s="92" t="s">
        <v>1636</v>
      </c>
      <c r="J1" s="92" t="s">
        <v>34</v>
      </c>
      <c r="K1" s="92" t="s">
        <v>1541</v>
      </c>
      <c r="M1" s="92" t="s">
        <v>32</v>
      </c>
      <c r="N1" s="92" t="s">
        <v>1637</v>
      </c>
      <c r="P1" s="92" t="s">
        <v>1638</v>
      </c>
      <c r="R1" s="92" t="s">
        <v>8</v>
      </c>
      <c r="T1" s="92" t="s">
        <v>9</v>
      </c>
    </row>
    <row r="2" spans="1:20">
      <c r="A2" s="31" t="s">
        <v>1639</v>
      </c>
      <c r="B2" s="31"/>
      <c r="C2" s="31" t="s">
        <v>1692</v>
      </c>
      <c r="D2" s="44">
        <v>0</v>
      </c>
      <c r="F2" s="82" t="s">
        <v>1640</v>
      </c>
      <c r="H2" s="41">
        <v>200</v>
      </c>
      <c r="J2" s="82" t="s">
        <v>984</v>
      </c>
      <c r="K2" s="93" t="s">
        <v>1641</v>
      </c>
      <c r="M2" s="31">
        <v>1</v>
      </c>
      <c r="N2" s="94">
        <v>45292</v>
      </c>
      <c r="P2" s="31" t="s">
        <v>47</v>
      </c>
      <c r="R2" s="31" t="s">
        <v>52</v>
      </c>
      <c r="T2" s="31" t="s">
        <v>61</v>
      </c>
    </row>
    <row r="3" spans="1:20">
      <c r="A3" s="31" t="s">
        <v>1642</v>
      </c>
      <c r="B3" s="31"/>
      <c r="C3" s="31" t="s">
        <v>558</v>
      </c>
      <c r="D3" s="44">
        <v>0.5</v>
      </c>
      <c r="F3" s="82" t="s">
        <v>1635</v>
      </c>
      <c r="H3" s="41">
        <v>250</v>
      </c>
      <c r="J3" s="82" t="s">
        <v>960</v>
      </c>
      <c r="K3" s="93" t="s">
        <v>1641</v>
      </c>
      <c r="M3" s="8">
        <f t="shared" ref="M3:M12" si="0">M2+1</f>
        <v>2</v>
      </c>
      <c r="N3" s="94">
        <v>45323</v>
      </c>
      <c r="P3" s="31" t="s">
        <v>53</v>
      </c>
      <c r="R3" s="31" t="s">
        <v>38</v>
      </c>
      <c r="T3" s="31" t="s">
        <v>38</v>
      </c>
    </row>
    <row r="4" spans="1:20">
      <c r="A4" s="31" t="s">
        <v>1643</v>
      </c>
      <c r="B4" s="31"/>
      <c r="C4" s="31" t="s">
        <v>963</v>
      </c>
      <c r="D4" s="44">
        <v>0</v>
      </c>
      <c r="F4" s="76"/>
      <c r="H4" s="41">
        <v>500</v>
      </c>
      <c r="J4" s="82" t="s">
        <v>1644</v>
      </c>
      <c r="K4" s="93" t="s">
        <v>1641</v>
      </c>
      <c r="M4" s="8">
        <f t="shared" si="0"/>
        <v>3</v>
      </c>
      <c r="N4" s="94">
        <v>45352</v>
      </c>
      <c r="P4" s="31" t="s">
        <v>64</v>
      </c>
    </row>
    <row r="5" spans="1:20">
      <c r="A5" s="31" t="s">
        <v>1645</v>
      </c>
      <c r="B5" s="31"/>
      <c r="C5" s="31" t="s">
        <v>570</v>
      </c>
      <c r="D5" s="44">
        <v>0.5</v>
      </c>
      <c r="F5" s="76"/>
      <c r="H5" s="41">
        <v>1000</v>
      </c>
      <c r="J5" s="82" t="s">
        <v>1014</v>
      </c>
      <c r="K5" s="93" t="s">
        <v>1641</v>
      </c>
      <c r="M5" s="8">
        <f t="shared" si="0"/>
        <v>4</v>
      </c>
      <c r="N5" s="94">
        <v>45383</v>
      </c>
      <c r="P5" s="31" t="s">
        <v>147</v>
      </c>
    </row>
    <row r="6" spans="1:20">
      <c r="A6" s="31" t="s">
        <v>1646</v>
      </c>
      <c r="B6" s="31"/>
      <c r="C6" s="31" t="s">
        <v>141</v>
      </c>
      <c r="D6" s="44">
        <v>0</v>
      </c>
      <c r="F6" s="76"/>
      <c r="H6" s="40"/>
      <c r="J6" s="82" t="s">
        <v>1029</v>
      </c>
      <c r="K6" s="93" t="s">
        <v>1641</v>
      </c>
      <c r="M6" s="8">
        <f t="shared" si="0"/>
        <v>5</v>
      </c>
      <c r="N6" s="94">
        <v>45413</v>
      </c>
      <c r="P6" s="31" t="s">
        <v>861</v>
      </c>
    </row>
    <row r="7" spans="1:20">
      <c r="C7" s="31" t="s">
        <v>310</v>
      </c>
      <c r="D7" s="44">
        <v>0.5</v>
      </c>
      <c r="F7" s="76"/>
      <c r="H7" s="40"/>
      <c r="J7" s="31" t="s">
        <v>969</v>
      </c>
      <c r="K7" s="31" t="s">
        <v>139</v>
      </c>
      <c r="M7" s="8">
        <f t="shared" si="0"/>
        <v>6</v>
      </c>
      <c r="N7" s="94">
        <v>45444</v>
      </c>
      <c r="P7" s="31" t="s">
        <v>139</v>
      </c>
    </row>
    <row r="8" spans="1:20">
      <c r="F8" s="76"/>
      <c r="H8" s="40"/>
      <c r="J8" s="31" t="s">
        <v>721</v>
      </c>
      <c r="K8" s="93" t="s">
        <v>1647</v>
      </c>
      <c r="M8" s="8">
        <f t="shared" si="0"/>
        <v>7</v>
      </c>
      <c r="N8" s="94">
        <v>45474</v>
      </c>
      <c r="P8" s="31" t="s">
        <v>76</v>
      </c>
    </row>
    <row r="9" spans="1:20">
      <c r="H9" s="40"/>
      <c r="J9" s="31" t="s">
        <v>1648</v>
      </c>
      <c r="K9" s="31" t="s">
        <v>1649</v>
      </c>
      <c r="M9" s="8">
        <f t="shared" si="0"/>
        <v>8</v>
      </c>
      <c r="N9" s="94">
        <v>45505</v>
      </c>
      <c r="P9" s="31" t="s">
        <v>56</v>
      </c>
    </row>
    <row r="10" spans="1:20">
      <c r="H10" s="40"/>
      <c r="J10" s="31" t="s">
        <v>1005</v>
      </c>
      <c r="K10" s="31" t="s">
        <v>947</v>
      </c>
      <c r="M10" s="8">
        <f t="shared" si="0"/>
        <v>9</v>
      </c>
      <c r="N10" s="94">
        <v>45536</v>
      </c>
      <c r="P10" s="31" t="s">
        <v>43</v>
      </c>
    </row>
    <row r="11" spans="1:20">
      <c r="H11" s="40"/>
      <c r="J11" s="82" t="s">
        <v>1650</v>
      </c>
      <c r="K11" s="93" t="s">
        <v>1558</v>
      </c>
      <c r="M11" s="8">
        <f t="shared" si="0"/>
        <v>10</v>
      </c>
      <c r="N11" s="94">
        <v>45566</v>
      </c>
      <c r="P11" s="31" t="s">
        <v>35</v>
      </c>
    </row>
    <row r="12" spans="1:20">
      <c r="H12" s="40"/>
      <c r="J12" s="82" t="s">
        <v>1651</v>
      </c>
      <c r="K12" s="93" t="s">
        <v>1558</v>
      </c>
      <c r="M12" s="8">
        <f t="shared" si="0"/>
        <v>11</v>
      </c>
      <c r="N12" s="94">
        <v>45597</v>
      </c>
      <c r="P12" s="31" t="s">
        <v>73</v>
      </c>
    </row>
    <row r="13" spans="1:20">
      <c r="H13" s="40"/>
      <c r="J13" s="82"/>
      <c r="K13" s="93"/>
      <c r="N13" s="94"/>
      <c r="P13" s="31" t="s">
        <v>208</v>
      </c>
    </row>
    <row r="14" spans="1:20">
      <c r="H14" s="40"/>
      <c r="J14" s="82" t="s">
        <v>1652</v>
      </c>
      <c r="K14" s="93" t="s">
        <v>1558</v>
      </c>
      <c r="M14" s="8">
        <f>M12+1</f>
        <v>12</v>
      </c>
      <c r="N14" s="94">
        <v>45627</v>
      </c>
      <c r="P14" s="31" t="s">
        <v>50</v>
      </c>
    </row>
    <row r="15" spans="1:20">
      <c r="H15" s="40"/>
      <c r="J15" s="82" t="s">
        <v>1653</v>
      </c>
      <c r="K15" s="93" t="s">
        <v>1558</v>
      </c>
    </row>
    <row r="16" spans="1:20">
      <c r="H16" s="40"/>
      <c r="J16" s="82" t="s">
        <v>1654</v>
      </c>
      <c r="K16" s="93" t="s">
        <v>1558</v>
      </c>
    </row>
    <row r="17" spans="8:16">
      <c r="H17" s="40"/>
      <c r="J17" s="31" t="s">
        <v>1655</v>
      </c>
      <c r="K17" s="93" t="s">
        <v>1656</v>
      </c>
    </row>
    <row r="18" spans="8:16">
      <c r="H18" s="40"/>
      <c r="J18" s="31" t="s">
        <v>994</v>
      </c>
      <c r="K18" s="31" t="s">
        <v>139</v>
      </c>
    </row>
    <row r="19" spans="8:16">
      <c r="H19" s="40"/>
      <c r="J19" s="31" t="s">
        <v>1657</v>
      </c>
      <c r="K19" s="93" t="s">
        <v>1656</v>
      </c>
    </row>
    <row r="20" spans="8:16">
      <c r="H20" s="40"/>
      <c r="J20" s="31" t="s">
        <v>1006</v>
      </c>
      <c r="K20" s="31" t="s">
        <v>947</v>
      </c>
    </row>
    <row r="21" spans="8:16">
      <c r="H21" s="40"/>
      <c r="J21" s="31" t="s">
        <v>948</v>
      </c>
      <c r="K21" s="31" t="s">
        <v>947</v>
      </c>
    </row>
    <row r="22" spans="8:16">
      <c r="H22" s="40"/>
      <c r="J22" s="31" t="s">
        <v>989</v>
      </c>
      <c r="K22" s="31" t="s">
        <v>139</v>
      </c>
    </row>
    <row r="23" spans="8:16">
      <c r="H23" s="40"/>
      <c r="J23" s="31" t="s">
        <v>1658</v>
      </c>
      <c r="K23" s="93" t="s">
        <v>1659</v>
      </c>
      <c r="P23" s="31"/>
    </row>
    <row r="24" spans="8:16">
      <c r="H24" s="40"/>
      <c r="J24" s="82" t="s">
        <v>1660</v>
      </c>
      <c r="K24" s="31" t="s">
        <v>1649</v>
      </c>
      <c r="P24" s="31"/>
    </row>
    <row r="25" spans="8:16">
      <c r="H25" s="40"/>
      <c r="J25" s="31" t="s">
        <v>1010</v>
      </c>
      <c r="K25" s="31" t="s">
        <v>947</v>
      </c>
      <c r="P25" s="31"/>
    </row>
    <row r="26" spans="8:16">
      <c r="H26" s="40"/>
      <c r="J26" s="31" t="s">
        <v>1008</v>
      </c>
      <c r="K26" s="31" t="s">
        <v>947</v>
      </c>
      <c r="P26" s="31"/>
    </row>
    <row r="27" spans="8:16">
      <c r="H27" s="40"/>
      <c r="J27" s="31" t="s">
        <v>797</v>
      </c>
      <c r="K27" s="93" t="s">
        <v>1659</v>
      </c>
    </row>
    <row r="28" spans="8:16">
      <c r="H28" s="40"/>
      <c r="J28" s="31" t="s">
        <v>1661</v>
      </c>
      <c r="K28" s="93" t="s">
        <v>1656</v>
      </c>
    </row>
    <row r="29" spans="8:16">
      <c r="H29" s="40"/>
      <c r="J29" s="31" t="s">
        <v>1662</v>
      </c>
      <c r="K29" s="31" t="s">
        <v>1649</v>
      </c>
    </row>
    <row r="30" spans="8:16">
      <c r="H30" s="40"/>
      <c r="J30" s="82" t="s">
        <v>1663</v>
      </c>
      <c r="K30" s="93" t="s">
        <v>1647</v>
      </c>
    </row>
    <row r="31" spans="8:16">
      <c r="H31" s="40"/>
      <c r="J31" s="31" t="s">
        <v>763</v>
      </c>
      <c r="K31" s="31" t="s">
        <v>139</v>
      </c>
    </row>
    <row r="32" spans="8:16">
      <c r="H32" s="40"/>
      <c r="J32" s="31" t="s">
        <v>1664</v>
      </c>
      <c r="K32" s="31" t="s">
        <v>947</v>
      </c>
    </row>
    <row r="33" spans="8:11">
      <c r="H33" s="40"/>
      <c r="J33" s="31" t="s">
        <v>974</v>
      </c>
      <c r="K33" s="31" t="s">
        <v>139</v>
      </c>
    </row>
    <row r="34" spans="8:11">
      <c r="H34" s="40"/>
      <c r="J34" s="31" t="s">
        <v>1665</v>
      </c>
      <c r="K34" s="31" t="s">
        <v>1666</v>
      </c>
    </row>
    <row r="35" spans="8:11">
      <c r="H35" s="40"/>
      <c r="J35" s="31" t="s">
        <v>1667</v>
      </c>
      <c r="K35" s="93" t="s">
        <v>1656</v>
      </c>
    </row>
    <row r="36" spans="8:11">
      <c r="H36" s="40"/>
      <c r="J36" s="31" t="s">
        <v>968</v>
      </c>
      <c r="K36" s="31" t="s">
        <v>139</v>
      </c>
    </row>
    <row r="37" spans="8:11">
      <c r="H37" s="40"/>
      <c r="J37" s="31" t="s">
        <v>765</v>
      </c>
      <c r="K37" s="31" t="s">
        <v>139</v>
      </c>
    </row>
    <row r="38" spans="8:11">
      <c r="H38" s="40"/>
      <c r="J38" s="31" t="s">
        <v>978</v>
      </c>
      <c r="K38" s="31" t="s">
        <v>139</v>
      </c>
    </row>
    <row r="39" spans="8:11">
      <c r="H39" s="40"/>
      <c r="J39" s="31" t="s">
        <v>995</v>
      </c>
      <c r="K39" s="31" t="s">
        <v>139</v>
      </c>
    </row>
    <row r="40" spans="8:11">
      <c r="H40" s="40"/>
      <c r="J40" s="31" t="s">
        <v>1668</v>
      </c>
      <c r="K40" s="31" t="s">
        <v>947</v>
      </c>
    </row>
    <row r="41" spans="8:11">
      <c r="H41" s="40"/>
      <c r="J41" s="31" t="s">
        <v>1669</v>
      </c>
      <c r="K41" s="31" t="s">
        <v>1558</v>
      </c>
    </row>
    <row r="42" spans="8:11">
      <c r="H42" s="40"/>
      <c r="J42" s="82" t="s">
        <v>1670</v>
      </c>
      <c r="K42" s="93" t="s">
        <v>1558</v>
      </c>
    </row>
    <row r="43" spans="8:11">
      <c r="H43" s="40"/>
      <c r="J43" s="31" t="s">
        <v>1671</v>
      </c>
      <c r="K43" s="31" t="s">
        <v>1558</v>
      </c>
    </row>
    <row r="44" spans="8:11">
      <c r="H44" s="40"/>
      <c r="J44" s="31" t="s">
        <v>1672</v>
      </c>
      <c r="K44" s="31" t="s">
        <v>947</v>
      </c>
    </row>
    <row r="45" spans="8:11">
      <c r="H45" s="40"/>
      <c r="J45" s="31" t="s">
        <v>957</v>
      </c>
      <c r="K45" s="31" t="s">
        <v>947</v>
      </c>
    </row>
    <row r="46" spans="8:11">
      <c r="H46" s="40"/>
      <c r="J46" s="31" t="s">
        <v>1019</v>
      </c>
      <c r="K46" s="93" t="s">
        <v>1659</v>
      </c>
    </row>
    <row r="47" spans="8:11">
      <c r="H47" s="40"/>
    </row>
    <row r="48" spans="8:11">
      <c r="H48" s="40"/>
    </row>
    <row r="49" spans="8:8">
      <c r="H49" s="40"/>
    </row>
    <row r="50" spans="8:8">
      <c r="H50" s="40"/>
    </row>
    <row r="51" spans="8:8">
      <c r="H51" s="40"/>
    </row>
    <row r="52" spans="8:8">
      <c r="H52" s="40"/>
    </row>
    <row r="53" spans="8:8">
      <c r="H53" s="40"/>
    </row>
    <row r="54" spans="8:8">
      <c r="H54" s="40"/>
    </row>
    <row r="55" spans="8:8">
      <c r="H55" s="40"/>
    </row>
    <row r="56" spans="8:8">
      <c r="H56" s="40"/>
    </row>
    <row r="57" spans="8:8">
      <c r="H57" s="40"/>
    </row>
    <row r="58" spans="8:8">
      <c r="H58" s="40"/>
    </row>
    <row r="63" spans="8:8">
      <c r="H63" s="40"/>
    </row>
    <row r="64" spans="8:8">
      <c r="H64" s="40"/>
    </row>
    <row r="65" spans="8:8">
      <c r="H65" s="40"/>
    </row>
    <row r="66" spans="8:8">
      <c r="H66" s="40"/>
    </row>
    <row r="67" spans="8:8">
      <c r="H67" s="40"/>
    </row>
    <row r="68" spans="8:8">
      <c r="H68" s="40"/>
    </row>
    <row r="69" spans="8:8">
      <c r="H69" s="40"/>
    </row>
    <row r="70" spans="8:8">
      <c r="H70" s="40"/>
    </row>
    <row r="71" spans="8:8">
      <c r="H71" s="40"/>
    </row>
    <row r="72" spans="8:8">
      <c r="H72" s="40"/>
    </row>
    <row r="73" spans="8:8">
      <c r="H73" s="40"/>
    </row>
    <row r="74" spans="8:8">
      <c r="H74" s="40"/>
    </row>
    <row r="75" spans="8:8">
      <c r="H75" s="40"/>
    </row>
    <row r="76" spans="8:8">
      <c r="H76" s="40"/>
    </row>
    <row r="77" spans="8:8">
      <c r="H77" s="40"/>
    </row>
    <row r="78" spans="8:8">
      <c r="H78" s="40"/>
    </row>
    <row r="79" spans="8:8">
      <c r="H79" s="40"/>
    </row>
    <row r="80" spans="8:8">
      <c r="H80" s="40"/>
    </row>
    <row r="81" spans="8:8">
      <c r="H81" s="40"/>
    </row>
    <row r="82" spans="8:8">
      <c r="H82" s="40"/>
    </row>
    <row r="83" spans="8:8">
      <c r="H83" s="40"/>
    </row>
    <row r="84" spans="8:8">
      <c r="H84" s="40"/>
    </row>
    <row r="85" spans="8:8">
      <c r="H85" s="40"/>
    </row>
    <row r="86" spans="8:8">
      <c r="H86" s="40"/>
    </row>
    <row r="87" spans="8:8">
      <c r="H87" s="40"/>
    </row>
    <row r="88" spans="8:8">
      <c r="H88" s="40"/>
    </row>
    <row r="89" spans="8:8">
      <c r="H89" s="40"/>
    </row>
    <row r="90" spans="8:8">
      <c r="H90" s="40"/>
    </row>
    <row r="91" spans="8:8">
      <c r="H91" s="40"/>
    </row>
    <row r="92" spans="8:8">
      <c r="H92" s="40"/>
    </row>
    <row r="93" spans="8:8">
      <c r="H93" s="40"/>
    </row>
    <row r="94" spans="8:8">
      <c r="H94" s="40"/>
    </row>
    <row r="95" spans="8:8">
      <c r="H95" s="40"/>
    </row>
    <row r="96" spans="8:8">
      <c r="H96" s="40"/>
    </row>
    <row r="97" spans="8:8">
      <c r="H97" s="40"/>
    </row>
    <row r="98" spans="8:8">
      <c r="H98" s="40"/>
    </row>
    <row r="99" spans="8:8">
      <c r="H99" s="40"/>
    </row>
    <row r="100" spans="8:8">
      <c r="H100" s="40"/>
    </row>
    <row r="101" spans="8:8">
      <c r="H101" s="40"/>
    </row>
    <row r="102" spans="8:8">
      <c r="H102" s="40"/>
    </row>
    <row r="103" spans="8:8">
      <c r="H103" s="40"/>
    </row>
    <row r="104" spans="8:8">
      <c r="H104" s="40"/>
    </row>
    <row r="105" spans="8:8">
      <c r="H105" s="40"/>
    </row>
    <row r="106" spans="8:8">
      <c r="H106" s="40"/>
    </row>
    <row r="107" spans="8:8">
      <c r="H107" s="40"/>
    </row>
    <row r="108" spans="8:8">
      <c r="H108" s="40"/>
    </row>
    <row r="109" spans="8:8">
      <c r="H109" s="40"/>
    </row>
    <row r="110" spans="8:8">
      <c r="H110" s="40"/>
    </row>
    <row r="111" spans="8:8">
      <c r="H111" s="40"/>
    </row>
    <row r="112" spans="8:8">
      <c r="H112" s="40"/>
    </row>
    <row r="113" spans="8:8">
      <c r="H113" s="40"/>
    </row>
    <row r="114" spans="8:8">
      <c r="H114" s="40"/>
    </row>
    <row r="115" spans="8:8">
      <c r="H115" s="40"/>
    </row>
    <row r="116" spans="8:8">
      <c r="H116" s="40"/>
    </row>
    <row r="117" spans="8:8">
      <c r="H117" s="40"/>
    </row>
    <row r="118" spans="8:8">
      <c r="H118" s="40"/>
    </row>
    <row r="119" spans="8:8">
      <c r="H119" s="40"/>
    </row>
    <row r="120" spans="8:8">
      <c r="H120" s="40"/>
    </row>
    <row r="121" spans="8:8">
      <c r="H121" s="40"/>
    </row>
    <row r="122" spans="8:8">
      <c r="H122" s="40"/>
    </row>
    <row r="123" spans="8:8">
      <c r="H123" s="40"/>
    </row>
    <row r="124" spans="8:8">
      <c r="H124" s="40"/>
    </row>
    <row r="125" spans="8:8">
      <c r="H125" s="40"/>
    </row>
    <row r="126" spans="8:8">
      <c r="H126" s="40"/>
    </row>
    <row r="127" spans="8:8">
      <c r="H127" s="40"/>
    </row>
    <row r="128" spans="8:8">
      <c r="H128" s="40"/>
    </row>
    <row r="129" spans="8:8">
      <c r="H129" s="40"/>
    </row>
    <row r="130" spans="8:8">
      <c r="H130" s="40"/>
    </row>
    <row r="131" spans="8:8">
      <c r="H131" s="40"/>
    </row>
    <row r="132" spans="8:8">
      <c r="H132" s="40"/>
    </row>
    <row r="133" spans="8:8">
      <c r="H133" s="40"/>
    </row>
    <row r="134" spans="8:8">
      <c r="H134" s="40"/>
    </row>
    <row r="135" spans="8:8">
      <c r="H135" s="40"/>
    </row>
    <row r="136" spans="8:8">
      <c r="H136" s="40"/>
    </row>
    <row r="137" spans="8:8">
      <c r="H137" s="40"/>
    </row>
    <row r="138" spans="8:8">
      <c r="H138" s="40"/>
    </row>
    <row r="139" spans="8:8">
      <c r="H139" s="40"/>
    </row>
    <row r="140" spans="8:8">
      <c r="H140" s="40"/>
    </row>
    <row r="141" spans="8:8">
      <c r="H141" s="40"/>
    </row>
    <row r="142" spans="8:8">
      <c r="H142" s="40"/>
    </row>
    <row r="143" spans="8:8">
      <c r="H143" s="40"/>
    </row>
    <row r="144" spans="8:8">
      <c r="H144" s="40"/>
    </row>
    <row r="145" spans="8:8">
      <c r="H145" s="40"/>
    </row>
    <row r="146" spans="8:8">
      <c r="H146" s="40"/>
    </row>
    <row r="147" spans="8:8">
      <c r="H147" s="40"/>
    </row>
    <row r="148" spans="8:8">
      <c r="H148" s="40"/>
    </row>
    <row r="149" spans="8:8">
      <c r="H149" s="40"/>
    </row>
    <row r="150" spans="8:8">
      <c r="H150" s="40"/>
    </row>
    <row r="151" spans="8:8">
      <c r="H151" s="40"/>
    </row>
    <row r="152" spans="8:8">
      <c r="H152" s="40"/>
    </row>
    <row r="153" spans="8:8">
      <c r="H153" s="40"/>
    </row>
    <row r="154" spans="8:8">
      <c r="H154" s="40"/>
    </row>
    <row r="155" spans="8:8">
      <c r="H155" s="40"/>
    </row>
    <row r="156" spans="8:8">
      <c r="H156" s="40"/>
    </row>
    <row r="157" spans="8:8">
      <c r="H157" s="40"/>
    </row>
    <row r="158" spans="8:8">
      <c r="H158" s="40"/>
    </row>
    <row r="159" spans="8:8">
      <c r="H159" s="40"/>
    </row>
    <row r="160" spans="8:8">
      <c r="H160" s="40"/>
    </row>
    <row r="161" spans="8:8">
      <c r="H161" s="40"/>
    </row>
    <row r="162" spans="8:8">
      <c r="H162" s="40"/>
    </row>
    <row r="163" spans="8:8">
      <c r="H163" s="40"/>
    </row>
    <row r="164" spans="8:8">
      <c r="H164" s="40"/>
    </row>
    <row r="165" spans="8:8">
      <c r="H165" s="40"/>
    </row>
    <row r="166" spans="8:8">
      <c r="H166" s="40"/>
    </row>
    <row r="167" spans="8:8">
      <c r="H167" s="40"/>
    </row>
    <row r="168" spans="8:8">
      <c r="H168" s="40"/>
    </row>
    <row r="169" spans="8:8">
      <c r="H169" s="40"/>
    </row>
    <row r="170" spans="8:8">
      <c r="H170" s="40"/>
    </row>
    <row r="171" spans="8:8">
      <c r="H171" s="40"/>
    </row>
    <row r="172" spans="8:8">
      <c r="H172" s="40"/>
    </row>
    <row r="173" spans="8:8">
      <c r="H173" s="40"/>
    </row>
    <row r="174" spans="8:8">
      <c r="H174" s="40"/>
    </row>
    <row r="175" spans="8:8">
      <c r="H175" s="40"/>
    </row>
    <row r="176" spans="8:8">
      <c r="H176" s="40"/>
    </row>
    <row r="177" spans="8:8">
      <c r="H177" s="40"/>
    </row>
    <row r="178" spans="8:8">
      <c r="H178" s="40"/>
    </row>
    <row r="179" spans="8:8">
      <c r="H179" s="40"/>
    </row>
    <row r="180" spans="8:8">
      <c r="H180" s="40"/>
    </row>
    <row r="181" spans="8:8">
      <c r="H181" s="40"/>
    </row>
    <row r="182" spans="8:8">
      <c r="H182" s="40"/>
    </row>
    <row r="183" spans="8:8">
      <c r="H183" s="40"/>
    </row>
    <row r="184" spans="8:8">
      <c r="H184" s="40"/>
    </row>
    <row r="185" spans="8:8">
      <c r="H185" s="40"/>
    </row>
    <row r="186" spans="8:8">
      <c r="H186" s="40"/>
    </row>
    <row r="187" spans="8:8">
      <c r="H187" s="40"/>
    </row>
    <row r="188" spans="8:8">
      <c r="H188" s="40"/>
    </row>
    <row r="189" spans="8:8">
      <c r="H189" s="40"/>
    </row>
    <row r="190" spans="8:8">
      <c r="H190" s="40"/>
    </row>
    <row r="191" spans="8:8">
      <c r="H191" s="40"/>
    </row>
    <row r="192" spans="8:8">
      <c r="H192" s="40"/>
    </row>
    <row r="193" spans="8:8">
      <c r="H193" s="40"/>
    </row>
    <row r="194" spans="8:8">
      <c r="H194" s="40"/>
    </row>
    <row r="195" spans="8:8">
      <c r="H195" s="40"/>
    </row>
    <row r="196" spans="8:8">
      <c r="H196" s="40"/>
    </row>
    <row r="197" spans="8:8">
      <c r="H197" s="40"/>
    </row>
    <row r="198" spans="8:8">
      <c r="H198" s="40"/>
    </row>
    <row r="199" spans="8:8">
      <c r="H199" s="40"/>
    </row>
    <row r="200" spans="8:8">
      <c r="H200" s="40"/>
    </row>
    <row r="201" spans="8:8">
      <c r="H201" s="40"/>
    </row>
    <row r="202" spans="8:8">
      <c r="H202" s="40"/>
    </row>
    <row r="203" spans="8:8">
      <c r="H203" s="40"/>
    </row>
    <row r="204" spans="8:8">
      <c r="H204" s="40"/>
    </row>
    <row r="205" spans="8:8">
      <c r="H205" s="40"/>
    </row>
    <row r="206" spans="8:8">
      <c r="H206" s="40"/>
    </row>
    <row r="207" spans="8:8">
      <c r="H207" s="40"/>
    </row>
    <row r="208" spans="8:8">
      <c r="H208" s="40"/>
    </row>
    <row r="209" spans="8:8">
      <c r="H209" s="40"/>
    </row>
    <row r="210" spans="8:8">
      <c r="H210" s="40"/>
    </row>
    <row r="211" spans="8:8">
      <c r="H211" s="40"/>
    </row>
    <row r="212" spans="8:8">
      <c r="H212" s="40"/>
    </row>
    <row r="213" spans="8:8">
      <c r="H213" s="40"/>
    </row>
    <row r="214" spans="8:8">
      <c r="H214" s="40"/>
    </row>
    <row r="215" spans="8:8">
      <c r="H215" s="40"/>
    </row>
    <row r="216" spans="8:8">
      <c r="H216" s="40"/>
    </row>
    <row r="217" spans="8:8">
      <c r="H217" s="40"/>
    </row>
    <row r="218" spans="8:8">
      <c r="H218" s="40"/>
    </row>
    <row r="219" spans="8:8">
      <c r="H219" s="40"/>
    </row>
    <row r="220" spans="8:8">
      <c r="H220" s="40"/>
    </row>
    <row r="221" spans="8:8">
      <c r="H221" s="40"/>
    </row>
    <row r="222" spans="8:8">
      <c r="H222" s="40"/>
    </row>
    <row r="223" spans="8:8">
      <c r="H223" s="40"/>
    </row>
    <row r="224" spans="8:8">
      <c r="H224" s="40"/>
    </row>
    <row r="225" spans="8:8">
      <c r="H225" s="40"/>
    </row>
    <row r="226" spans="8:8">
      <c r="H226" s="40"/>
    </row>
    <row r="227" spans="8:8">
      <c r="H227" s="40"/>
    </row>
    <row r="228" spans="8:8">
      <c r="H228" s="40"/>
    </row>
    <row r="229" spans="8:8">
      <c r="H229" s="40"/>
    </row>
    <row r="230" spans="8:8">
      <c r="H230" s="40"/>
    </row>
    <row r="231" spans="8:8">
      <c r="H231" s="40"/>
    </row>
    <row r="232" spans="8:8">
      <c r="H232" s="40"/>
    </row>
    <row r="233" spans="8:8">
      <c r="H233" s="40"/>
    </row>
    <row r="234" spans="8:8">
      <c r="H234" s="40"/>
    </row>
    <row r="235" spans="8:8">
      <c r="H235" s="40"/>
    </row>
    <row r="236" spans="8:8">
      <c r="H236" s="40"/>
    </row>
    <row r="237" spans="8:8">
      <c r="H237" s="40"/>
    </row>
    <row r="238" spans="8:8">
      <c r="H238" s="40"/>
    </row>
    <row r="239" spans="8:8">
      <c r="H239" s="40"/>
    </row>
    <row r="240" spans="8:8">
      <c r="H240" s="40"/>
    </row>
    <row r="241" spans="8:8">
      <c r="H241" s="40"/>
    </row>
    <row r="242" spans="8:8">
      <c r="H242" s="40"/>
    </row>
    <row r="243" spans="8:8">
      <c r="H243" s="40"/>
    </row>
    <row r="244" spans="8:8">
      <c r="H244" s="40"/>
    </row>
    <row r="245" spans="8:8">
      <c r="H245" s="40"/>
    </row>
    <row r="246" spans="8:8">
      <c r="H246" s="40"/>
    </row>
    <row r="247" spans="8:8">
      <c r="H247" s="40"/>
    </row>
    <row r="248" spans="8:8">
      <c r="H248" s="40"/>
    </row>
    <row r="249" spans="8:8">
      <c r="H249" s="40"/>
    </row>
    <row r="250" spans="8:8">
      <c r="H250" s="40"/>
    </row>
    <row r="251" spans="8:8">
      <c r="H251" s="40"/>
    </row>
    <row r="252" spans="8:8">
      <c r="H252" s="40"/>
    </row>
    <row r="253" spans="8:8">
      <c r="H253" s="40"/>
    </row>
    <row r="254" spans="8:8">
      <c r="H254" s="40"/>
    </row>
    <row r="255" spans="8:8">
      <c r="H255" s="40"/>
    </row>
    <row r="256" spans="8:8">
      <c r="H256" s="40"/>
    </row>
    <row r="257" spans="8:8">
      <c r="H257" s="40"/>
    </row>
    <row r="258" spans="8:8">
      <c r="H258" s="40"/>
    </row>
    <row r="259" spans="8:8">
      <c r="H259" s="40"/>
    </row>
    <row r="260" spans="8:8">
      <c r="H260" s="40"/>
    </row>
    <row r="261" spans="8:8">
      <c r="H261" s="40"/>
    </row>
    <row r="262" spans="8:8">
      <c r="H262" s="40"/>
    </row>
    <row r="263" spans="8:8">
      <c r="H263" s="40"/>
    </row>
    <row r="264" spans="8:8">
      <c r="H264" s="40"/>
    </row>
    <row r="265" spans="8:8">
      <c r="H265" s="40"/>
    </row>
    <row r="266" spans="8:8">
      <c r="H266" s="40"/>
    </row>
    <row r="267" spans="8:8">
      <c r="H267" s="40"/>
    </row>
    <row r="268" spans="8:8">
      <c r="H268" s="40"/>
    </row>
    <row r="269" spans="8:8">
      <c r="H269" s="40"/>
    </row>
    <row r="270" spans="8:8">
      <c r="H270" s="40"/>
    </row>
    <row r="271" spans="8:8">
      <c r="H271" s="40"/>
    </row>
    <row r="272" spans="8:8">
      <c r="H272" s="40"/>
    </row>
    <row r="273" spans="8:8">
      <c r="H273" s="40"/>
    </row>
    <row r="274" spans="8:8">
      <c r="H274" s="40"/>
    </row>
    <row r="275" spans="8:8">
      <c r="H275" s="40"/>
    </row>
    <row r="276" spans="8:8">
      <c r="H276" s="40"/>
    </row>
    <row r="277" spans="8:8">
      <c r="H277" s="40"/>
    </row>
    <row r="278" spans="8:8">
      <c r="H278" s="40"/>
    </row>
    <row r="279" spans="8:8">
      <c r="H279" s="40"/>
    </row>
    <row r="280" spans="8:8">
      <c r="H280" s="40"/>
    </row>
    <row r="281" spans="8:8">
      <c r="H281" s="40"/>
    </row>
    <row r="282" spans="8:8">
      <c r="H282" s="40"/>
    </row>
    <row r="283" spans="8:8">
      <c r="H283" s="40"/>
    </row>
    <row r="284" spans="8:8">
      <c r="H284" s="40"/>
    </row>
    <row r="285" spans="8:8">
      <c r="H285" s="40"/>
    </row>
    <row r="286" spans="8:8">
      <c r="H286" s="40"/>
    </row>
    <row r="287" spans="8:8">
      <c r="H287" s="40"/>
    </row>
    <row r="288" spans="8:8">
      <c r="H288" s="40"/>
    </row>
    <row r="289" spans="8:8">
      <c r="H289" s="40"/>
    </row>
    <row r="290" spans="8:8">
      <c r="H290" s="40"/>
    </row>
    <row r="291" spans="8:8">
      <c r="H291" s="40"/>
    </row>
    <row r="292" spans="8:8">
      <c r="H292" s="40"/>
    </row>
    <row r="293" spans="8:8">
      <c r="H293" s="40"/>
    </row>
    <row r="294" spans="8:8">
      <c r="H294" s="40"/>
    </row>
    <row r="295" spans="8:8">
      <c r="H295" s="40"/>
    </row>
    <row r="296" spans="8:8">
      <c r="H296" s="40"/>
    </row>
    <row r="297" spans="8:8">
      <c r="H297" s="40"/>
    </row>
    <row r="298" spans="8:8">
      <c r="H298" s="40"/>
    </row>
    <row r="299" spans="8:8">
      <c r="H299" s="40"/>
    </row>
    <row r="300" spans="8:8">
      <c r="H300" s="40"/>
    </row>
    <row r="301" spans="8:8">
      <c r="H301" s="40"/>
    </row>
    <row r="302" spans="8:8">
      <c r="H302" s="40"/>
    </row>
    <row r="303" spans="8:8">
      <c r="H303" s="40"/>
    </row>
    <row r="304" spans="8:8">
      <c r="H304" s="40"/>
    </row>
    <row r="305" spans="8:8">
      <c r="H305" s="40"/>
    </row>
    <row r="306" spans="8:8">
      <c r="H306" s="40"/>
    </row>
    <row r="307" spans="8:8">
      <c r="H307" s="40"/>
    </row>
    <row r="308" spans="8:8">
      <c r="H308" s="40"/>
    </row>
    <row r="309" spans="8:8">
      <c r="H309" s="40"/>
    </row>
    <row r="310" spans="8:8">
      <c r="H310" s="40"/>
    </row>
    <row r="311" spans="8:8">
      <c r="H311" s="40"/>
    </row>
    <row r="312" spans="8:8">
      <c r="H312" s="40"/>
    </row>
    <row r="313" spans="8:8">
      <c r="H313" s="40"/>
    </row>
    <row r="314" spans="8:8">
      <c r="H314" s="40"/>
    </row>
    <row r="315" spans="8:8">
      <c r="H315" s="40"/>
    </row>
    <row r="316" spans="8:8">
      <c r="H316" s="40"/>
    </row>
    <row r="317" spans="8:8">
      <c r="H317" s="40"/>
    </row>
    <row r="318" spans="8:8">
      <c r="H318" s="40"/>
    </row>
    <row r="319" spans="8:8">
      <c r="H319" s="40"/>
    </row>
    <row r="320" spans="8:8">
      <c r="H320" s="40"/>
    </row>
    <row r="321" spans="8:8">
      <c r="H321" s="40"/>
    </row>
    <row r="322" spans="8:8">
      <c r="H322" s="40"/>
    </row>
    <row r="323" spans="8:8">
      <c r="H323" s="40"/>
    </row>
    <row r="324" spans="8:8">
      <c r="H324" s="40"/>
    </row>
    <row r="325" spans="8:8">
      <c r="H325" s="40"/>
    </row>
    <row r="326" spans="8:8">
      <c r="H326" s="40"/>
    </row>
    <row r="327" spans="8:8">
      <c r="H327" s="40"/>
    </row>
    <row r="328" spans="8:8">
      <c r="H328" s="40"/>
    </row>
    <row r="329" spans="8:8">
      <c r="H329" s="40"/>
    </row>
    <row r="330" spans="8:8">
      <c r="H330" s="40"/>
    </row>
    <row r="331" spans="8:8">
      <c r="H331" s="40"/>
    </row>
    <row r="332" spans="8:8">
      <c r="H332" s="40"/>
    </row>
    <row r="333" spans="8:8">
      <c r="H333" s="40"/>
    </row>
    <row r="334" spans="8:8">
      <c r="H334" s="40"/>
    </row>
    <row r="335" spans="8:8">
      <c r="H335" s="40"/>
    </row>
    <row r="336" spans="8:8">
      <c r="H336" s="40"/>
    </row>
    <row r="337" spans="8:8">
      <c r="H337" s="40"/>
    </row>
    <row r="338" spans="8:8">
      <c r="H338" s="40"/>
    </row>
    <row r="339" spans="8:8">
      <c r="H339" s="40"/>
    </row>
    <row r="340" spans="8:8">
      <c r="H340" s="40"/>
    </row>
    <row r="341" spans="8:8">
      <c r="H341" s="40"/>
    </row>
    <row r="342" spans="8:8">
      <c r="H342" s="40"/>
    </row>
    <row r="343" spans="8:8">
      <c r="H343" s="40"/>
    </row>
    <row r="344" spans="8:8">
      <c r="H344" s="40"/>
    </row>
    <row r="345" spans="8:8">
      <c r="H345" s="40"/>
    </row>
    <row r="346" spans="8:8">
      <c r="H346" s="40"/>
    </row>
    <row r="347" spans="8:8">
      <c r="H347" s="40"/>
    </row>
    <row r="348" spans="8:8">
      <c r="H348" s="40"/>
    </row>
    <row r="349" spans="8:8">
      <c r="H349" s="40"/>
    </row>
    <row r="350" spans="8:8">
      <c r="H350" s="40"/>
    </row>
    <row r="351" spans="8:8">
      <c r="H351" s="40"/>
    </row>
    <row r="352" spans="8:8">
      <c r="H352" s="40"/>
    </row>
    <row r="353" spans="8:8">
      <c r="H353" s="40"/>
    </row>
    <row r="354" spans="8:8">
      <c r="H354" s="40"/>
    </row>
    <row r="355" spans="8:8">
      <c r="H355" s="40"/>
    </row>
    <row r="356" spans="8:8">
      <c r="H356" s="40"/>
    </row>
    <row r="357" spans="8:8">
      <c r="H357" s="40"/>
    </row>
    <row r="358" spans="8:8">
      <c r="H358" s="40"/>
    </row>
    <row r="359" spans="8:8">
      <c r="H359" s="40"/>
    </row>
    <row r="360" spans="8:8">
      <c r="H360" s="40"/>
    </row>
    <row r="361" spans="8:8">
      <c r="H361" s="40"/>
    </row>
    <row r="362" spans="8:8">
      <c r="H362" s="40"/>
    </row>
    <row r="363" spans="8:8">
      <c r="H363" s="40"/>
    </row>
    <row r="364" spans="8:8">
      <c r="H364" s="40"/>
    </row>
    <row r="365" spans="8:8">
      <c r="H365" s="40"/>
    </row>
    <row r="366" spans="8:8">
      <c r="H366" s="40"/>
    </row>
    <row r="367" spans="8:8">
      <c r="H367" s="40"/>
    </row>
    <row r="368" spans="8:8">
      <c r="H368" s="40"/>
    </row>
    <row r="369" spans="8:8">
      <c r="H369" s="40"/>
    </row>
    <row r="370" spans="8:8">
      <c r="H370" s="40"/>
    </row>
    <row r="371" spans="8:8">
      <c r="H371" s="40"/>
    </row>
    <row r="372" spans="8:8">
      <c r="H372" s="40"/>
    </row>
    <row r="373" spans="8:8">
      <c r="H373" s="40"/>
    </row>
    <row r="374" spans="8:8">
      <c r="H374" s="40"/>
    </row>
    <row r="375" spans="8:8">
      <c r="H375" s="40"/>
    </row>
    <row r="376" spans="8:8">
      <c r="H376" s="40"/>
    </row>
    <row r="377" spans="8:8">
      <c r="H377" s="40"/>
    </row>
    <row r="378" spans="8:8">
      <c r="H378" s="40"/>
    </row>
    <row r="379" spans="8:8">
      <c r="H379" s="40"/>
    </row>
    <row r="380" spans="8:8">
      <c r="H380" s="40"/>
    </row>
    <row r="381" spans="8:8">
      <c r="H381" s="40"/>
    </row>
    <row r="382" spans="8:8">
      <c r="H382" s="40"/>
    </row>
    <row r="383" spans="8:8">
      <c r="H383" s="40"/>
    </row>
    <row r="384" spans="8:8">
      <c r="H384" s="40"/>
    </row>
    <row r="385" spans="8:8">
      <c r="H385" s="40"/>
    </row>
    <row r="386" spans="8:8">
      <c r="H386" s="40"/>
    </row>
    <row r="387" spans="8:8">
      <c r="H387" s="40"/>
    </row>
    <row r="388" spans="8:8">
      <c r="H388" s="40"/>
    </row>
    <row r="389" spans="8:8">
      <c r="H389" s="40"/>
    </row>
    <row r="390" spans="8:8">
      <c r="H390" s="40"/>
    </row>
    <row r="391" spans="8:8">
      <c r="H391" s="40"/>
    </row>
    <row r="392" spans="8:8">
      <c r="H392" s="40"/>
    </row>
    <row r="393" spans="8:8">
      <c r="H393" s="40"/>
    </row>
    <row r="394" spans="8:8">
      <c r="H394" s="40"/>
    </row>
    <row r="395" spans="8:8">
      <c r="H395" s="40"/>
    </row>
    <row r="396" spans="8:8">
      <c r="H396" s="40"/>
    </row>
    <row r="397" spans="8:8">
      <c r="H397" s="40"/>
    </row>
    <row r="398" spans="8:8">
      <c r="H398" s="40"/>
    </row>
    <row r="399" spans="8:8">
      <c r="H399" s="40"/>
    </row>
    <row r="400" spans="8:8">
      <c r="H400" s="40"/>
    </row>
    <row r="401" spans="8:8">
      <c r="H401" s="40"/>
    </row>
    <row r="402" spans="8:8">
      <c r="H402" s="40"/>
    </row>
    <row r="403" spans="8:8">
      <c r="H403" s="40"/>
    </row>
    <row r="404" spans="8:8">
      <c r="H404" s="40"/>
    </row>
    <row r="405" spans="8:8">
      <c r="H405" s="40"/>
    </row>
    <row r="406" spans="8:8">
      <c r="H406" s="40"/>
    </row>
    <row r="407" spans="8:8">
      <c r="H407" s="40"/>
    </row>
    <row r="408" spans="8:8">
      <c r="H408" s="40"/>
    </row>
    <row r="409" spans="8:8">
      <c r="H409" s="40"/>
    </row>
    <row r="410" spans="8:8">
      <c r="H410" s="40"/>
    </row>
    <row r="411" spans="8:8">
      <c r="H411" s="40"/>
    </row>
    <row r="412" spans="8:8">
      <c r="H412" s="40"/>
    </row>
    <row r="413" spans="8:8">
      <c r="H413" s="40"/>
    </row>
    <row r="414" spans="8:8">
      <c r="H414" s="40"/>
    </row>
    <row r="415" spans="8:8">
      <c r="H415" s="40"/>
    </row>
    <row r="416" spans="8:8">
      <c r="H416" s="40"/>
    </row>
    <row r="417" spans="8:8">
      <c r="H417" s="40"/>
    </row>
    <row r="418" spans="8:8">
      <c r="H418" s="40"/>
    </row>
    <row r="419" spans="8:8">
      <c r="H419" s="40"/>
    </row>
    <row r="420" spans="8:8">
      <c r="H420" s="40"/>
    </row>
    <row r="421" spans="8:8">
      <c r="H421" s="40"/>
    </row>
    <row r="422" spans="8:8">
      <c r="H422" s="40"/>
    </row>
    <row r="423" spans="8:8">
      <c r="H423" s="40"/>
    </row>
    <row r="424" spans="8:8">
      <c r="H424" s="40"/>
    </row>
    <row r="425" spans="8:8">
      <c r="H425" s="40"/>
    </row>
    <row r="426" spans="8:8">
      <c r="H426" s="40"/>
    </row>
    <row r="427" spans="8:8">
      <c r="H427" s="40"/>
    </row>
    <row r="428" spans="8:8">
      <c r="H428" s="40"/>
    </row>
    <row r="429" spans="8:8">
      <c r="H429" s="40"/>
    </row>
    <row r="430" spans="8:8">
      <c r="H430" s="40"/>
    </row>
    <row r="431" spans="8:8">
      <c r="H431" s="40"/>
    </row>
    <row r="432" spans="8:8">
      <c r="H432" s="40"/>
    </row>
    <row r="433" spans="8:8">
      <c r="H433" s="40"/>
    </row>
    <row r="434" spans="8:8">
      <c r="H434" s="40"/>
    </row>
    <row r="435" spans="8:8">
      <c r="H435" s="40"/>
    </row>
    <row r="436" spans="8:8">
      <c r="H436" s="40"/>
    </row>
    <row r="437" spans="8:8">
      <c r="H437" s="40"/>
    </row>
    <row r="438" spans="8:8">
      <c r="H438" s="40"/>
    </row>
    <row r="439" spans="8:8">
      <c r="H439" s="40"/>
    </row>
    <row r="440" spans="8:8">
      <c r="H440" s="40"/>
    </row>
    <row r="441" spans="8:8">
      <c r="H441" s="40"/>
    </row>
    <row r="442" spans="8:8">
      <c r="H442" s="40"/>
    </row>
    <row r="443" spans="8:8">
      <c r="H443" s="40"/>
    </row>
    <row r="444" spans="8:8">
      <c r="H444" s="40"/>
    </row>
    <row r="445" spans="8:8">
      <c r="H445" s="40"/>
    </row>
    <row r="446" spans="8:8">
      <c r="H446" s="40"/>
    </row>
    <row r="447" spans="8:8">
      <c r="H447" s="40"/>
    </row>
    <row r="448" spans="8:8">
      <c r="H448" s="40"/>
    </row>
    <row r="449" spans="8:8">
      <c r="H449" s="40"/>
    </row>
    <row r="450" spans="8:8">
      <c r="H450" s="40"/>
    </row>
    <row r="451" spans="8:8">
      <c r="H451" s="40"/>
    </row>
    <row r="452" spans="8:8">
      <c r="H452" s="40"/>
    </row>
    <row r="453" spans="8:8">
      <c r="H453" s="40"/>
    </row>
    <row r="454" spans="8:8">
      <c r="H454" s="40"/>
    </row>
    <row r="455" spans="8:8">
      <c r="H455" s="40"/>
    </row>
    <row r="456" spans="8:8">
      <c r="H456" s="40"/>
    </row>
    <row r="457" spans="8:8">
      <c r="H457" s="40"/>
    </row>
    <row r="458" spans="8:8">
      <c r="H458" s="40"/>
    </row>
    <row r="459" spans="8:8">
      <c r="H459" s="40"/>
    </row>
    <row r="460" spans="8:8">
      <c r="H460" s="40"/>
    </row>
    <row r="461" spans="8:8">
      <c r="H461" s="40"/>
    </row>
    <row r="462" spans="8:8">
      <c r="H462" s="40"/>
    </row>
    <row r="463" spans="8:8">
      <c r="H463" s="40"/>
    </row>
    <row r="464" spans="8:8">
      <c r="H464" s="40"/>
    </row>
    <row r="465" spans="8:8">
      <c r="H465" s="40"/>
    </row>
    <row r="466" spans="8:8">
      <c r="H466" s="40"/>
    </row>
    <row r="467" spans="8:8">
      <c r="H467" s="40"/>
    </row>
    <row r="468" spans="8:8">
      <c r="H468" s="40"/>
    </row>
    <row r="469" spans="8:8">
      <c r="H469" s="40"/>
    </row>
    <row r="470" spans="8:8">
      <c r="H470" s="40"/>
    </row>
    <row r="471" spans="8:8">
      <c r="H471" s="40"/>
    </row>
    <row r="472" spans="8:8">
      <c r="H472" s="40"/>
    </row>
    <row r="473" spans="8:8">
      <c r="H473" s="40"/>
    </row>
    <row r="474" spans="8:8">
      <c r="H474" s="40"/>
    </row>
    <row r="475" spans="8:8">
      <c r="H475" s="40"/>
    </row>
    <row r="476" spans="8:8">
      <c r="H476" s="40"/>
    </row>
    <row r="477" spans="8:8">
      <c r="H477" s="40"/>
    </row>
    <row r="478" spans="8:8">
      <c r="H478" s="40"/>
    </row>
    <row r="479" spans="8:8">
      <c r="H479" s="40"/>
    </row>
    <row r="480" spans="8:8">
      <c r="H480" s="40"/>
    </row>
    <row r="481" spans="8:8">
      <c r="H481" s="40"/>
    </row>
    <row r="482" spans="8:8">
      <c r="H482" s="40"/>
    </row>
    <row r="483" spans="8:8">
      <c r="H483" s="40"/>
    </row>
    <row r="484" spans="8:8">
      <c r="H484" s="40"/>
    </row>
    <row r="485" spans="8:8">
      <c r="H485" s="40"/>
    </row>
    <row r="486" spans="8:8">
      <c r="H486" s="40"/>
    </row>
    <row r="487" spans="8:8">
      <c r="H487" s="40"/>
    </row>
    <row r="488" spans="8:8">
      <c r="H488" s="40"/>
    </row>
    <row r="489" spans="8:8">
      <c r="H489" s="40"/>
    </row>
    <row r="490" spans="8:8">
      <c r="H490" s="40"/>
    </row>
    <row r="491" spans="8:8">
      <c r="H491" s="40"/>
    </row>
    <row r="492" spans="8:8">
      <c r="H492" s="40"/>
    </row>
    <row r="493" spans="8:8">
      <c r="H493" s="40"/>
    </row>
    <row r="494" spans="8:8">
      <c r="H494" s="40"/>
    </row>
    <row r="495" spans="8:8">
      <c r="H495" s="40"/>
    </row>
    <row r="496" spans="8:8">
      <c r="H496" s="40"/>
    </row>
    <row r="497" spans="8:8">
      <c r="H497" s="40"/>
    </row>
    <row r="498" spans="8:8">
      <c r="H498" s="40"/>
    </row>
    <row r="499" spans="8:8">
      <c r="H499" s="40"/>
    </row>
    <row r="500" spans="8:8">
      <c r="H500" s="40"/>
    </row>
    <row r="501" spans="8:8">
      <c r="H501" s="40"/>
    </row>
    <row r="502" spans="8:8">
      <c r="H502" s="40"/>
    </row>
    <row r="503" spans="8:8">
      <c r="H503" s="40"/>
    </row>
    <row r="504" spans="8:8">
      <c r="H504" s="40"/>
    </row>
    <row r="505" spans="8:8">
      <c r="H505" s="40"/>
    </row>
    <row r="506" spans="8:8">
      <c r="H506" s="40"/>
    </row>
    <row r="507" spans="8:8">
      <c r="H507" s="40"/>
    </row>
    <row r="508" spans="8:8">
      <c r="H508" s="40"/>
    </row>
    <row r="509" spans="8:8">
      <c r="H509" s="40"/>
    </row>
    <row r="510" spans="8:8">
      <c r="H510" s="40"/>
    </row>
    <row r="511" spans="8:8">
      <c r="H511" s="40"/>
    </row>
    <row r="512" spans="8:8">
      <c r="H512" s="40"/>
    </row>
    <row r="513" spans="8:8">
      <c r="H513" s="40"/>
    </row>
    <row r="514" spans="8:8">
      <c r="H514" s="40"/>
    </row>
    <row r="515" spans="8:8">
      <c r="H515" s="40"/>
    </row>
    <row r="516" spans="8:8">
      <c r="H516" s="40"/>
    </row>
    <row r="517" spans="8:8">
      <c r="H517" s="40"/>
    </row>
    <row r="518" spans="8:8">
      <c r="H518" s="40"/>
    </row>
    <row r="519" spans="8:8">
      <c r="H519" s="40"/>
    </row>
    <row r="520" spans="8:8">
      <c r="H520" s="40"/>
    </row>
    <row r="521" spans="8:8">
      <c r="H521" s="40"/>
    </row>
    <row r="522" spans="8:8">
      <c r="H522" s="40"/>
    </row>
    <row r="523" spans="8:8">
      <c r="H523" s="40"/>
    </row>
    <row r="524" spans="8:8">
      <c r="H524" s="40"/>
    </row>
    <row r="525" spans="8:8">
      <c r="H525" s="40"/>
    </row>
    <row r="526" spans="8:8">
      <c r="H526" s="40"/>
    </row>
    <row r="527" spans="8:8">
      <c r="H527" s="40"/>
    </row>
    <row r="528" spans="8:8">
      <c r="H528" s="40"/>
    </row>
    <row r="529" spans="8:8">
      <c r="H529" s="40"/>
    </row>
    <row r="530" spans="8:8">
      <c r="H530" s="40"/>
    </row>
    <row r="531" spans="8:8">
      <c r="H531" s="40"/>
    </row>
    <row r="532" spans="8:8">
      <c r="H532" s="40"/>
    </row>
    <row r="533" spans="8:8">
      <c r="H533" s="40"/>
    </row>
    <row r="534" spans="8:8">
      <c r="H534" s="40"/>
    </row>
    <row r="535" spans="8:8">
      <c r="H535" s="40"/>
    </row>
    <row r="536" spans="8:8">
      <c r="H536" s="40"/>
    </row>
    <row r="537" spans="8:8">
      <c r="H537" s="40"/>
    </row>
    <row r="538" spans="8:8">
      <c r="H538" s="40"/>
    </row>
    <row r="539" spans="8:8">
      <c r="H539" s="40"/>
    </row>
    <row r="540" spans="8:8">
      <c r="H540" s="40"/>
    </row>
    <row r="541" spans="8:8">
      <c r="H541" s="40"/>
    </row>
    <row r="542" spans="8:8">
      <c r="H542" s="40"/>
    </row>
    <row r="543" spans="8:8">
      <c r="H543" s="40"/>
    </row>
    <row r="544" spans="8:8">
      <c r="H544" s="40"/>
    </row>
    <row r="545" spans="8:8">
      <c r="H545" s="40"/>
    </row>
    <row r="546" spans="8:8">
      <c r="H546" s="40"/>
    </row>
    <row r="547" spans="8:8">
      <c r="H547" s="40"/>
    </row>
    <row r="548" spans="8:8">
      <c r="H548" s="40"/>
    </row>
    <row r="549" spans="8:8">
      <c r="H549" s="40"/>
    </row>
    <row r="550" spans="8:8">
      <c r="H550" s="40"/>
    </row>
    <row r="551" spans="8:8">
      <c r="H551" s="40"/>
    </row>
    <row r="552" spans="8:8">
      <c r="H552" s="40"/>
    </row>
    <row r="553" spans="8:8">
      <c r="H553" s="40"/>
    </row>
    <row r="554" spans="8:8">
      <c r="H554" s="40"/>
    </row>
    <row r="555" spans="8:8">
      <c r="H555" s="40"/>
    </row>
    <row r="556" spans="8:8">
      <c r="H556" s="40"/>
    </row>
    <row r="557" spans="8:8">
      <c r="H557" s="40"/>
    </row>
    <row r="558" spans="8:8">
      <c r="H558" s="40"/>
    </row>
    <row r="559" spans="8:8">
      <c r="H559" s="40"/>
    </row>
    <row r="560" spans="8:8">
      <c r="H560" s="40"/>
    </row>
    <row r="561" spans="8:8">
      <c r="H561" s="40"/>
    </row>
    <row r="562" spans="8:8">
      <c r="H562" s="40"/>
    </row>
    <row r="563" spans="8:8">
      <c r="H563" s="40"/>
    </row>
    <row r="564" spans="8:8">
      <c r="H564" s="40"/>
    </row>
    <row r="565" spans="8:8">
      <c r="H565" s="40"/>
    </row>
    <row r="566" spans="8:8">
      <c r="H566" s="40"/>
    </row>
    <row r="567" spans="8:8">
      <c r="H567" s="40"/>
    </row>
    <row r="568" spans="8:8">
      <c r="H568" s="40"/>
    </row>
    <row r="569" spans="8:8">
      <c r="H569" s="40"/>
    </row>
    <row r="570" spans="8:8">
      <c r="H570" s="40"/>
    </row>
    <row r="571" spans="8:8">
      <c r="H571" s="40"/>
    </row>
    <row r="572" spans="8:8">
      <c r="H572" s="40"/>
    </row>
    <row r="573" spans="8:8">
      <c r="H573" s="40"/>
    </row>
    <row r="574" spans="8:8">
      <c r="H574" s="40"/>
    </row>
    <row r="575" spans="8:8">
      <c r="H575" s="40"/>
    </row>
    <row r="576" spans="8:8">
      <c r="H576" s="40"/>
    </row>
    <row r="577" spans="8:8">
      <c r="H577" s="40"/>
    </row>
    <row r="578" spans="8:8">
      <c r="H578" s="40"/>
    </row>
    <row r="579" spans="8:8">
      <c r="H579" s="40"/>
    </row>
    <row r="580" spans="8:8">
      <c r="H580" s="40"/>
    </row>
    <row r="581" spans="8:8">
      <c r="H581" s="40"/>
    </row>
    <row r="582" spans="8:8">
      <c r="H582" s="40"/>
    </row>
    <row r="583" spans="8:8">
      <c r="H583" s="40"/>
    </row>
    <row r="584" spans="8:8">
      <c r="H584" s="40"/>
    </row>
    <row r="585" spans="8:8">
      <c r="H585" s="40"/>
    </row>
    <row r="586" spans="8:8">
      <c r="H586" s="40"/>
    </row>
    <row r="587" spans="8:8">
      <c r="H587" s="40"/>
    </row>
    <row r="588" spans="8:8">
      <c r="H588" s="40"/>
    </row>
    <row r="589" spans="8:8">
      <c r="H589" s="40"/>
    </row>
    <row r="590" spans="8:8">
      <c r="H590" s="40"/>
    </row>
    <row r="591" spans="8:8">
      <c r="H591" s="40"/>
    </row>
    <row r="592" spans="8:8">
      <c r="H592" s="40"/>
    </row>
    <row r="593" spans="8:8">
      <c r="H593" s="40"/>
    </row>
    <row r="594" spans="8:8">
      <c r="H594" s="40"/>
    </row>
    <row r="595" spans="8:8">
      <c r="H595" s="40"/>
    </row>
    <row r="596" spans="8:8">
      <c r="H596" s="40"/>
    </row>
    <row r="597" spans="8:8">
      <c r="H597" s="40"/>
    </row>
    <row r="598" spans="8:8">
      <c r="H598" s="40"/>
    </row>
    <row r="599" spans="8:8">
      <c r="H599" s="40"/>
    </row>
    <row r="600" spans="8:8">
      <c r="H600" s="40"/>
    </row>
    <row r="601" spans="8:8">
      <c r="H601" s="40"/>
    </row>
    <row r="602" spans="8:8">
      <c r="H602" s="40"/>
    </row>
    <row r="603" spans="8:8">
      <c r="H603" s="40"/>
    </row>
    <row r="604" spans="8:8">
      <c r="H604" s="40"/>
    </row>
    <row r="605" spans="8:8">
      <c r="H605" s="40"/>
    </row>
    <row r="606" spans="8:8">
      <c r="H606" s="40"/>
    </row>
    <row r="607" spans="8:8">
      <c r="H607" s="40"/>
    </row>
    <row r="608" spans="8:8">
      <c r="H608" s="40"/>
    </row>
    <row r="609" spans="8:8">
      <c r="H609" s="40"/>
    </row>
    <row r="610" spans="8:8">
      <c r="H610" s="40"/>
    </row>
    <row r="611" spans="8:8">
      <c r="H611" s="40"/>
    </row>
    <row r="612" spans="8:8">
      <c r="H612" s="40"/>
    </row>
    <row r="613" spans="8:8">
      <c r="H613" s="40"/>
    </row>
    <row r="614" spans="8:8">
      <c r="H614" s="40"/>
    </row>
    <row r="615" spans="8:8">
      <c r="H615" s="40"/>
    </row>
    <row r="616" spans="8:8">
      <c r="H616" s="40"/>
    </row>
    <row r="617" spans="8:8">
      <c r="H617" s="40"/>
    </row>
    <row r="618" spans="8:8">
      <c r="H618" s="40"/>
    </row>
    <row r="619" spans="8:8">
      <c r="H619" s="40"/>
    </row>
    <row r="620" spans="8:8">
      <c r="H620" s="40"/>
    </row>
    <row r="621" spans="8:8">
      <c r="H621" s="40"/>
    </row>
    <row r="622" spans="8:8">
      <c r="H622" s="40"/>
    </row>
    <row r="623" spans="8:8">
      <c r="H623" s="40"/>
    </row>
    <row r="624" spans="8:8">
      <c r="H624" s="40"/>
    </row>
    <row r="625" spans="8:8">
      <c r="H625" s="40"/>
    </row>
    <row r="626" spans="8:8">
      <c r="H626" s="40"/>
    </row>
    <row r="627" spans="8:8">
      <c r="H627" s="40"/>
    </row>
    <row r="628" spans="8:8">
      <c r="H628" s="40"/>
    </row>
    <row r="629" spans="8:8">
      <c r="H629" s="40"/>
    </row>
    <row r="630" spans="8:8">
      <c r="H630" s="40"/>
    </row>
    <row r="631" spans="8:8">
      <c r="H631" s="40"/>
    </row>
    <row r="632" spans="8:8">
      <c r="H632" s="40"/>
    </row>
    <row r="633" spans="8:8">
      <c r="H633" s="40"/>
    </row>
    <row r="634" spans="8:8">
      <c r="H634" s="40"/>
    </row>
    <row r="635" spans="8:8">
      <c r="H635" s="40"/>
    </row>
    <row r="636" spans="8:8">
      <c r="H636" s="40"/>
    </row>
    <row r="637" spans="8:8">
      <c r="H637" s="40"/>
    </row>
    <row r="638" spans="8:8">
      <c r="H638" s="40"/>
    </row>
    <row r="639" spans="8:8">
      <c r="H639" s="40"/>
    </row>
    <row r="640" spans="8:8">
      <c r="H640" s="40"/>
    </row>
    <row r="641" spans="8:8">
      <c r="H641" s="40"/>
    </row>
    <row r="642" spans="8:8">
      <c r="H642" s="40"/>
    </row>
    <row r="643" spans="8:8">
      <c r="H643" s="40"/>
    </row>
    <row r="644" spans="8:8">
      <c r="H644" s="40"/>
    </row>
    <row r="645" spans="8:8">
      <c r="H645" s="40"/>
    </row>
    <row r="646" spans="8:8">
      <c r="H646" s="40"/>
    </row>
    <row r="647" spans="8:8">
      <c r="H647" s="40"/>
    </row>
    <row r="648" spans="8:8">
      <c r="H648" s="40"/>
    </row>
    <row r="649" spans="8:8">
      <c r="H649" s="40"/>
    </row>
    <row r="650" spans="8:8">
      <c r="H650" s="40"/>
    </row>
    <row r="651" spans="8:8">
      <c r="H651" s="40"/>
    </row>
    <row r="652" spans="8:8">
      <c r="H652" s="40"/>
    </row>
    <row r="653" spans="8:8">
      <c r="H653" s="40"/>
    </row>
    <row r="654" spans="8:8">
      <c r="H654" s="40"/>
    </row>
    <row r="655" spans="8:8">
      <c r="H655" s="40"/>
    </row>
    <row r="656" spans="8:8">
      <c r="H656" s="40"/>
    </row>
    <row r="657" spans="8:8">
      <c r="H657" s="40"/>
    </row>
    <row r="658" spans="8:8">
      <c r="H658" s="40"/>
    </row>
    <row r="659" spans="8:8">
      <c r="H659" s="40"/>
    </row>
    <row r="660" spans="8:8">
      <c r="H660" s="40"/>
    </row>
    <row r="661" spans="8:8">
      <c r="H661" s="40"/>
    </row>
    <row r="662" spans="8:8">
      <c r="H662" s="40"/>
    </row>
    <row r="663" spans="8:8">
      <c r="H663" s="40"/>
    </row>
    <row r="664" spans="8:8">
      <c r="H664" s="40"/>
    </row>
    <row r="665" spans="8:8">
      <c r="H665" s="40"/>
    </row>
    <row r="666" spans="8:8">
      <c r="H666" s="40"/>
    </row>
    <row r="667" spans="8:8">
      <c r="H667" s="40"/>
    </row>
    <row r="668" spans="8:8">
      <c r="H668" s="40"/>
    </row>
    <row r="669" spans="8:8">
      <c r="H669" s="40"/>
    </row>
    <row r="670" spans="8:8">
      <c r="H670" s="40"/>
    </row>
    <row r="671" spans="8:8">
      <c r="H671" s="40"/>
    </row>
    <row r="672" spans="8:8">
      <c r="H672" s="40"/>
    </row>
    <row r="673" spans="8:8">
      <c r="H673" s="40"/>
    </row>
    <row r="674" spans="8:8">
      <c r="H674" s="40"/>
    </row>
    <row r="675" spans="8:8">
      <c r="H675" s="40"/>
    </row>
    <row r="676" spans="8:8">
      <c r="H676" s="40"/>
    </row>
    <row r="677" spans="8:8">
      <c r="H677" s="40"/>
    </row>
    <row r="678" spans="8:8">
      <c r="H678" s="40"/>
    </row>
    <row r="679" spans="8:8">
      <c r="H679" s="40"/>
    </row>
    <row r="680" spans="8:8">
      <c r="H680" s="40"/>
    </row>
    <row r="681" spans="8:8">
      <c r="H681" s="40"/>
    </row>
    <row r="682" spans="8:8">
      <c r="H682" s="40"/>
    </row>
    <row r="683" spans="8:8">
      <c r="H683" s="40"/>
    </row>
    <row r="684" spans="8:8">
      <c r="H684" s="40"/>
    </row>
    <row r="685" spans="8:8">
      <c r="H685" s="40"/>
    </row>
    <row r="686" spans="8:8">
      <c r="H686" s="40"/>
    </row>
    <row r="687" spans="8:8">
      <c r="H687" s="40"/>
    </row>
    <row r="688" spans="8:8">
      <c r="H688" s="40"/>
    </row>
    <row r="689" spans="8:8">
      <c r="H689" s="40"/>
    </row>
    <row r="690" spans="8:8">
      <c r="H690" s="40"/>
    </row>
    <row r="691" spans="8:8">
      <c r="H691" s="40"/>
    </row>
    <row r="692" spans="8:8">
      <c r="H692" s="40"/>
    </row>
    <row r="693" spans="8:8">
      <c r="H693" s="40"/>
    </row>
    <row r="694" spans="8:8">
      <c r="H694" s="40"/>
    </row>
    <row r="695" spans="8:8">
      <c r="H695" s="40"/>
    </row>
    <row r="696" spans="8:8">
      <c r="H696" s="40"/>
    </row>
    <row r="697" spans="8:8">
      <c r="H697" s="40"/>
    </row>
    <row r="698" spans="8:8">
      <c r="H698" s="40"/>
    </row>
    <row r="699" spans="8:8">
      <c r="H699" s="40"/>
    </row>
    <row r="700" spans="8:8">
      <c r="H700" s="40"/>
    </row>
    <row r="701" spans="8:8">
      <c r="H701" s="40"/>
    </row>
    <row r="702" spans="8:8">
      <c r="H702" s="40"/>
    </row>
    <row r="703" spans="8:8">
      <c r="H703" s="40"/>
    </row>
    <row r="704" spans="8:8">
      <c r="H704" s="40"/>
    </row>
    <row r="705" spans="8:8">
      <c r="H705" s="40"/>
    </row>
    <row r="706" spans="8:8">
      <c r="H706" s="40"/>
    </row>
    <row r="707" spans="8:8">
      <c r="H707" s="40"/>
    </row>
    <row r="708" spans="8:8">
      <c r="H708" s="40"/>
    </row>
    <row r="709" spans="8:8">
      <c r="H709" s="40"/>
    </row>
    <row r="710" spans="8:8">
      <c r="H710" s="40"/>
    </row>
    <row r="711" spans="8:8">
      <c r="H711" s="40"/>
    </row>
    <row r="712" spans="8:8">
      <c r="H712" s="40"/>
    </row>
    <row r="713" spans="8:8">
      <c r="H713" s="40"/>
    </row>
    <row r="714" spans="8:8">
      <c r="H714" s="40"/>
    </row>
    <row r="715" spans="8:8">
      <c r="H715" s="40"/>
    </row>
    <row r="716" spans="8:8">
      <c r="H716" s="40"/>
    </row>
    <row r="717" spans="8:8">
      <c r="H717" s="40"/>
    </row>
    <row r="718" spans="8:8">
      <c r="H718" s="40"/>
    </row>
    <row r="719" spans="8:8">
      <c r="H719" s="40"/>
    </row>
    <row r="720" spans="8:8">
      <c r="H720" s="40"/>
    </row>
    <row r="721" spans="8:8">
      <c r="H721" s="40"/>
    </row>
    <row r="722" spans="8:8">
      <c r="H722" s="40"/>
    </row>
    <row r="723" spans="8:8">
      <c r="H723" s="40"/>
    </row>
    <row r="724" spans="8:8">
      <c r="H724" s="40"/>
    </row>
    <row r="725" spans="8:8">
      <c r="H725" s="40"/>
    </row>
    <row r="726" spans="8:8">
      <c r="H726" s="40"/>
    </row>
    <row r="727" spans="8:8">
      <c r="H727" s="40"/>
    </row>
    <row r="728" spans="8:8">
      <c r="H728" s="40"/>
    </row>
    <row r="729" spans="8:8">
      <c r="H729" s="40"/>
    </row>
    <row r="730" spans="8:8">
      <c r="H730" s="40"/>
    </row>
    <row r="731" spans="8:8">
      <c r="H731" s="40"/>
    </row>
    <row r="732" spans="8:8">
      <c r="H732" s="40"/>
    </row>
    <row r="733" spans="8:8">
      <c r="H733" s="40"/>
    </row>
    <row r="734" spans="8:8">
      <c r="H734" s="40"/>
    </row>
    <row r="735" spans="8:8">
      <c r="H735" s="40"/>
    </row>
    <row r="736" spans="8:8">
      <c r="H736" s="40"/>
    </row>
    <row r="737" spans="8:8">
      <c r="H737" s="40"/>
    </row>
    <row r="738" spans="8:8">
      <c r="H738" s="40"/>
    </row>
    <row r="739" spans="8:8">
      <c r="H739" s="40"/>
    </row>
    <row r="740" spans="8:8">
      <c r="H740" s="40"/>
    </row>
    <row r="741" spans="8:8">
      <c r="H741" s="40"/>
    </row>
    <row r="742" spans="8:8">
      <c r="H742" s="40"/>
    </row>
    <row r="743" spans="8:8">
      <c r="H743" s="40"/>
    </row>
    <row r="744" spans="8:8">
      <c r="H744" s="40"/>
    </row>
    <row r="745" spans="8:8">
      <c r="H745" s="40"/>
    </row>
    <row r="746" spans="8:8">
      <c r="H746" s="40"/>
    </row>
    <row r="747" spans="8:8">
      <c r="H747" s="40"/>
    </row>
    <row r="748" spans="8:8">
      <c r="H748" s="40"/>
    </row>
    <row r="749" spans="8:8">
      <c r="H749" s="40"/>
    </row>
    <row r="750" spans="8:8">
      <c r="H750" s="40"/>
    </row>
    <row r="751" spans="8:8">
      <c r="H751" s="40"/>
    </row>
    <row r="752" spans="8:8">
      <c r="H752" s="40"/>
    </row>
    <row r="753" spans="8:8">
      <c r="H753" s="40"/>
    </row>
    <row r="754" spans="8:8">
      <c r="H754" s="40"/>
    </row>
    <row r="755" spans="8:8">
      <c r="H755" s="40"/>
    </row>
    <row r="756" spans="8:8">
      <c r="H756" s="40"/>
    </row>
    <row r="757" spans="8:8">
      <c r="H757" s="40"/>
    </row>
    <row r="758" spans="8:8">
      <c r="H758" s="40"/>
    </row>
    <row r="759" spans="8:8">
      <c r="H759" s="40"/>
    </row>
    <row r="760" spans="8:8">
      <c r="H760" s="40"/>
    </row>
    <row r="761" spans="8:8">
      <c r="H761" s="40"/>
    </row>
    <row r="762" spans="8:8">
      <c r="H762" s="40"/>
    </row>
    <row r="763" spans="8:8">
      <c r="H763" s="40"/>
    </row>
    <row r="764" spans="8:8">
      <c r="H764" s="40"/>
    </row>
    <row r="765" spans="8:8">
      <c r="H765" s="40"/>
    </row>
    <row r="766" spans="8:8">
      <c r="H766" s="40"/>
    </row>
    <row r="767" spans="8:8">
      <c r="H767" s="40"/>
    </row>
    <row r="768" spans="8:8">
      <c r="H768" s="40"/>
    </row>
    <row r="769" spans="8:8">
      <c r="H769" s="40"/>
    </row>
    <row r="770" spans="8:8">
      <c r="H770" s="40"/>
    </row>
    <row r="771" spans="8:8">
      <c r="H771" s="40"/>
    </row>
    <row r="772" spans="8:8">
      <c r="H772" s="40"/>
    </row>
    <row r="773" spans="8:8">
      <c r="H773" s="40"/>
    </row>
    <row r="774" spans="8:8">
      <c r="H774" s="40"/>
    </row>
    <row r="775" spans="8:8">
      <c r="H775" s="40"/>
    </row>
    <row r="776" spans="8:8">
      <c r="H776" s="40"/>
    </row>
    <row r="777" spans="8:8">
      <c r="H777" s="40"/>
    </row>
    <row r="778" spans="8:8">
      <c r="H778" s="40"/>
    </row>
    <row r="779" spans="8:8">
      <c r="H779" s="40"/>
    </row>
    <row r="780" spans="8:8">
      <c r="H780" s="40"/>
    </row>
    <row r="781" spans="8:8">
      <c r="H781" s="40"/>
    </row>
    <row r="782" spans="8:8">
      <c r="H782" s="40"/>
    </row>
    <row r="783" spans="8:8">
      <c r="H783" s="40"/>
    </row>
    <row r="784" spans="8:8">
      <c r="H784" s="40"/>
    </row>
    <row r="785" spans="8:8">
      <c r="H785" s="40"/>
    </row>
    <row r="786" spans="8:8">
      <c r="H786" s="40"/>
    </row>
    <row r="787" spans="8:8">
      <c r="H787" s="40"/>
    </row>
    <row r="788" spans="8:8">
      <c r="H788" s="40"/>
    </row>
    <row r="789" spans="8:8">
      <c r="H789" s="40"/>
    </row>
    <row r="790" spans="8:8">
      <c r="H790" s="40"/>
    </row>
    <row r="791" spans="8:8">
      <c r="H791" s="40"/>
    </row>
    <row r="792" spans="8:8">
      <c r="H792" s="40"/>
    </row>
    <row r="793" spans="8:8">
      <c r="H793" s="40"/>
    </row>
    <row r="794" spans="8:8">
      <c r="H794" s="40"/>
    </row>
    <row r="795" spans="8:8">
      <c r="H795" s="40"/>
    </row>
    <row r="796" spans="8:8">
      <c r="H796" s="40"/>
    </row>
    <row r="797" spans="8:8">
      <c r="H797" s="40"/>
    </row>
    <row r="798" spans="8:8">
      <c r="H798" s="40"/>
    </row>
    <row r="799" spans="8:8">
      <c r="H799" s="40"/>
    </row>
    <row r="800" spans="8:8">
      <c r="H800" s="40"/>
    </row>
    <row r="801" spans="8:8">
      <c r="H801" s="40"/>
    </row>
    <row r="802" spans="8:8">
      <c r="H802" s="40"/>
    </row>
    <row r="803" spans="8:8">
      <c r="H803" s="40"/>
    </row>
    <row r="804" spans="8:8">
      <c r="H804" s="40"/>
    </row>
    <row r="805" spans="8:8">
      <c r="H805" s="40"/>
    </row>
    <row r="806" spans="8:8">
      <c r="H806" s="40"/>
    </row>
    <row r="807" spans="8:8">
      <c r="H807" s="40"/>
    </row>
    <row r="808" spans="8:8">
      <c r="H808" s="40"/>
    </row>
    <row r="809" spans="8:8">
      <c r="H809" s="40"/>
    </row>
    <row r="810" spans="8:8">
      <c r="H810" s="40"/>
    </row>
    <row r="811" spans="8:8">
      <c r="H811" s="40"/>
    </row>
    <row r="812" spans="8:8">
      <c r="H812" s="40"/>
    </row>
    <row r="813" spans="8:8">
      <c r="H813" s="40"/>
    </row>
    <row r="814" spans="8:8">
      <c r="H814" s="40"/>
    </row>
    <row r="815" spans="8:8">
      <c r="H815" s="40"/>
    </row>
    <row r="816" spans="8:8">
      <c r="H816" s="40"/>
    </row>
    <row r="817" spans="8:8">
      <c r="H817" s="40"/>
    </row>
    <row r="818" spans="8:8">
      <c r="H818" s="40"/>
    </row>
    <row r="819" spans="8:8">
      <c r="H819" s="40"/>
    </row>
    <row r="820" spans="8:8">
      <c r="H820" s="40"/>
    </row>
    <row r="821" spans="8:8">
      <c r="H821" s="40"/>
    </row>
    <row r="822" spans="8:8">
      <c r="H822" s="40"/>
    </row>
    <row r="823" spans="8:8">
      <c r="H823" s="40"/>
    </row>
    <row r="824" spans="8:8">
      <c r="H824" s="40"/>
    </row>
    <row r="825" spans="8:8">
      <c r="H825" s="40"/>
    </row>
    <row r="826" spans="8:8">
      <c r="H826" s="40"/>
    </row>
    <row r="827" spans="8:8">
      <c r="H827" s="40"/>
    </row>
    <row r="828" spans="8:8">
      <c r="H828" s="40"/>
    </row>
    <row r="829" spans="8:8">
      <c r="H829" s="40"/>
    </row>
    <row r="830" spans="8:8">
      <c r="H830" s="40"/>
    </row>
    <row r="831" spans="8:8">
      <c r="H831" s="40"/>
    </row>
    <row r="832" spans="8:8">
      <c r="H832" s="40"/>
    </row>
    <row r="833" spans="8:8">
      <c r="H833" s="40"/>
    </row>
    <row r="834" spans="8:8">
      <c r="H834" s="40"/>
    </row>
    <row r="835" spans="8:8">
      <c r="H835" s="40"/>
    </row>
    <row r="836" spans="8:8">
      <c r="H836" s="40"/>
    </row>
    <row r="837" spans="8:8">
      <c r="H837" s="40"/>
    </row>
    <row r="838" spans="8:8">
      <c r="H838" s="40"/>
    </row>
    <row r="839" spans="8:8">
      <c r="H839" s="40"/>
    </row>
    <row r="840" spans="8:8">
      <c r="H840" s="40"/>
    </row>
    <row r="841" spans="8:8">
      <c r="H841" s="40"/>
    </row>
    <row r="842" spans="8:8">
      <c r="H842" s="40"/>
    </row>
    <row r="843" spans="8:8">
      <c r="H843" s="40"/>
    </row>
    <row r="844" spans="8:8">
      <c r="H844" s="40"/>
    </row>
    <row r="845" spans="8:8">
      <c r="H845" s="40"/>
    </row>
    <row r="846" spans="8:8">
      <c r="H846" s="40"/>
    </row>
    <row r="847" spans="8:8">
      <c r="H847" s="40"/>
    </row>
    <row r="848" spans="8:8">
      <c r="H848" s="40"/>
    </row>
    <row r="849" spans="8:8">
      <c r="H849" s="40"/>
    </row>
    <row r="850" spans="8:8">
      <c r="H850" s="40"/>
    </row>
    <row r="851" spans="8:8">
      <c r="H851" s="40"/>
    </row>
    <row r="852" spans="8:8">
      <c r="H852" s="40"/>
    </row>
    <row r="853" spans="8:8">
      <c r="H853" s="40"/>
    </row>
    <row r="854" spans="8:8">
      <c r="H854" s="40"/>
    </row>
    <row r="855" spans="8:8">
      <c r="H855" s="40"/>
    </row>
    <row r="856" spans="8:8">
      <c r="H856" s="40"/>
    </row>
    <row r="857" spans="8:8">
      <c r="H857" s="40"/>
    </row>
    <row r="858" spans="8:8">
      <c r="H858" s="40"/>
    </row>
    <row r="859" spans="8:8">
      <c r="H859" s="40"/>
    </row>
    <row r="860" spans="8:8">
      <c r="H860" s="40"/>
    </row>
    <row r="861" spans="8:8">
      <c r="H861" s="40"/>
    </row>
    <row r="862" spans="8:8">
      <c r="H862" s="40"/>
    </row>
    <row r="863" spans="8:8">
      <c r="H863" s="40"/>
    </row>
    <row r="864" spans="8:8">
      <c r="H864" s="40"/>
    </row>
    <row r="865" spans="8:8">
      <c r="H865" s="40"/>
    </row>
    <row r="866" spans="8:8">
      <c r="H866" s="40"/>
    </row>
    <row r="867" spans="8:8">
      <c r="H867" s="40"/>
    </row>
    <row r="868" spans="8:8">
      <c r="H868" s="40"/>
    </row>
    <row r="869" spans="8:8">
      <c r="H869" s="40"/>
    </row>
    <row r="870" spans="8:8">
      <c r="H870" s="40"/>
    </row>
    <row r="871" spans="8:8">
      <c r="H871" s="40"/>
    </row>
    <row r="872" spans="8:8">
      <c r="H872" s="40"/>
    </row>
    <row r="873" spans="8:8">
      <c r="H873" s="40"/>
    </row>
    <row r="874" spans="8:8">
      <c r="H874" s="40"/>
    </row>
    <row r="875" spans="8:8">
      <c r="H875" s="40"/>
    </row>
    <row r="876" spans="8:8">
      <c r="H876" s="40"/>
    </row>
    <row r="877" spans="8:8">
      <c r="H877" s="40"/>
    </row>
    <row r="878" spans="8:8">
      <c r="H878" s="40"/>
    </row>
    <row r="879" spans="8:8">
      <c r="H879" s="40"/>
    </row>
    <row r="880" spans="8:8">
      <c r="H880" s="40"/>
    </row>
    <row r="881" spans="8:8">
      <c r="H881" s="40"/>
    </row>
    <row r="882" spans="8:8">
      <c r="H882" s="40"/>
    </row>
    <row r="883" spans="8:8">
      <c r="H883" s="40"/>
    </row>
    <row r="884" spans="8:8">
      <c r="H884" s="40"/>
    </row>
    <row r="885" spans="8:8">
      <c r="H885" s="40"/>
    </row>
    <row r="886" spans="8:8">
      <c r="H886" s="40"/>
    </row>
    <row r="887" spans="8:8">
      <c r="H887" s="40"/>
    </row>
    <row r="888" spans="8:8">
      <c r="H888" s="40"/>
    </row>
    <row r="889" spans="8:8">
      <c r="H889" s="40"/>
    </row>
    <row r="890" spans="8:8">
      <c r="H890" s="40"/>
    </row>
    <row r="891" spans="8:8">
      <c r="H891" s="40"/>
    </row>
    <row r="892" spans="8:8">
      <c r="H892" s="40"/>
    </row>
    <row r="893" spans="8:8">
      <c r="H893" s="40"/>
    </row>
    <row r="894" spans="8:8">
      <c r="H894" s="40"/>
    </row>
    <row r="895" spans="8:8">
      <c r="H895" s="40"/>
    </row>
    <row r="896" spans="8:8">
      <c r="H896" s="40"/>
    </row>
    <row r="897" spans="8:8">
      <c r="H897" s="40"/>
    </row>
    <row r="898" spans="8:8">
      <c r="H898" s="40"/>
    </row>
    <row r="899" spans="8:8">
      <c r="H899" s="40"/>
    </row>
    <row r="900" spans="8:8">
      <c r="H900" s="40"/>
    </row>
    <row r="901" spans="8:8">
      <c r="H901" s="40"/>
    </row>
    <row r="902" spans="8:8">
      <c r="H902" s="40"/>
    </row>
    <row r="903" spans="8:8">
      <c r="H903" s="40"/>
    </row>
    <row r="904" spans="8:8">
      <c r="H904" s="40"/>
    </row>
    <row r="905" spans="8:8">
      <c r="H905" s="40"/>
    </row>
    <row r="906" spans="8:8">
      <c r="H906" s="40"/>
    </row>
    <row r="907" spans="8:8">
      <c r="H907" s="40"/>
    </row>
    <row r="908" spans="8:8">
      <c r="H908" s="40"/>
    </row>
    <row r="909" spans="8:8">
      <c r="H909" s="40"/>
    </row>
    <row r="910" spans="8:8">
      <c r="H910" s="40"/>
    </row>
    <row r="911" spans="8:8">
      <c r="H911" s="40"/>
    </row>
    <row r="912" spans="8:8">
      <c r="H912" s="40"/>
    </row>
    <row r="913" spans="8:8">
      <c r="H913" s="40"/>
    </row>
    <row r="914" spans="8:8">
      <c r="H914" s="40"/>
    </row>
    <row r="915" spans="8:8">
      <c r="H915" s="40"/>
    </row>
    <row r="916" spans="8:8">
      <c r="H916" s="40"/>
    </row>
    <row r="917" spans="8:8">
      <c r="H917" s="40"/>
    </row>
    <row r="918" spans="8:8">
      <c r="H918" s="40"/>
    </row>
    <row r="919" spans="8:8">
      <c r="H919" s="40"/>
    </row>
    <row r="920" spans="8:8">
      <c r="H920" s="40"/>
    </row>
    <row r="921" spans="8:8">
      <c r="H921" s="40"/>
    </row>
    <row r="922" spans="8:8">
      <c r="H922" s="40"/>
    </row>
    <row r="923" spans="8:8">
      <c r="H923" s="40"/>
    </row>
    <row r="924" spans="8:8">
      <c r="H924" s="40"/>
    </row>
    <row r="925" spans="8:8">
      <c r="H925" s="40"/>
    </row>
    <row r="926" spans="8:8">
      <c r="H926" s="40"/>
    </row>
    <row r="927" spans="8:8">
      <c r="H927" s="40"/>
    </row>
    <row r="928" spans="8:8">
      <c r="H928" s="40"/>
    </row>
    <row r="929" spans="8:8">
      <c r="H929" s="40"/>
    </row>
    <row r="930" spans="8:8">
      <c r="H930" s="40"/>
    </row>
    <row r="931" spans="8:8">
      <c r="H931" s="40"/>
    </row>
    <row r="932" spans="8:8">
      <c r="H932" s="40"/>
    </row>
    <row r="933" spans="8:8">
      <c r="H933" s="40"/>
    </row>
    <row r="934" spans="8:8">
      <c r="H934" s="40"/>
    </row>
    <row r="935" spans="8:8">
      <c r="H935" s="40"/>
    </row>
    <row r="936" spans="8:8">
      <c r="H936" s="40"/>
    </row>
    <row r="937" spans="8:8">
      <c r="H937" s="40"/>
    </row>
    <row r="938" spans="8:8">
      <c r="H938" s="40"/>
    </row>
    <row r="939" spans="8:8">
      <c r="H939" s="40"/>
    </row>
    <row r="940" spans="8:8">
      <c r="H940" s="40"/>
    </row>
    <row r="941" spans="8:8">
      <c r="H941" s="40"/>
    </row>
    <row r="942" spans="8:8">
      <c r="H942" s="40"/>
    </row>
    <row r="943" spans="8:8">
      <c r="H943" s="40"/>
    </row>
    <row r="944" spans="8:8">
      <c r="H944" s="40"/>
    </row>
    <row r="945" spans="8:8">
      <c r="H945" s="40"/>
    </row>
    <row r="946" spans="8:8">
      <c r="H946" s="40"/>
    </row>
    <row r="947" spans="8:8">
      <c r="H947" s="40"/>
    </row>
    <row r="948" spans="8:8">
      <c r="H948" s="40"/>
    </row>
    <row r="949" spans="8:8">
      <c r="H949" s="40"/>
    </row>
    <row r="950" spans="8:8">
      <c r="H950" s="40"/>
    </row>
    <row r="951" spans="8:8">
      <c r="H951" s="40"/>
    </row>
    <row r="952" spans="8:8">
      <c r="H952" s="40"/>
    </row>
    <row r="953" spans="8:8">
      <c r="H953" s="40"/>
    </row>
    <row r="954" spans="8:8">
      <c r="H954" s="40"/>
    </row>
    <row r="955" spans="8:8">
      <c r="H955" s="40"/>
    </row>
    <row r="956" spans="8:8">
      <c r="H956" s="40"/>
    </row>
    <row r="957" spans="8:8">
      <c r="H957" s="40"/>
    </row>
    <row r="958" spans="8:8">
      <c r="H958" s="40"/>
    </row>
    <row r="959" spans="8:8">
      <c r="H959" s="40"/>
    </row>
    <row r="960" spans="8:8">
      <c r="H960" s="40"/>
    </row>
    <row r="961" spans="8:8">
      <c r="H961" s="40"/>
    </row>
    <row r="962" spans="8:8">
      <c r="H962" s="40"/>
    </row>
    <row r="963" spans="8:8">
      <c r="H963" s="40"/>
    </row>
    <row r="964" spans="8:8">
      <c r="H964" s="40"/>
    </row>
    <row r="965" spans="8:8">
      <c r="H965" s="40"/>
    </row>
    <row r="966" spans="8:8">
      <c r="H966" s="40"/>
    </row>
    <row r="967" spans="8:8">
      <c r="H967" s="40"/>
    </row>
    <row r="968" spans="8:8">
      <c r="H968" s="40"/>
    </row>
    <row r="969" spans="8:8">
      <c r="H969" s="40"/>
    </row>
    <row r="970" spans="8:8">
      <c r="H970" s="40"/>
    </row>
    <row r="971" spans="8:8">
      <c r="H971" s="40"/>
    </row>
    <row r="972" spans="8:8">
      <c r="H972" s="40"/>
    </row>
    <row r="973" spans="8:8">
      <c r="H973" s="40"/>
    </row>
    <row r="974" spans="8:8">
      <c r="H974" s="40"/>
    </row>
    <row r="975" spans="8:8">
      <c r="H975" s="40"/>
    </row>
    <row r="976" spans="8:8">
      <c r="H976" s="40"/>
    </row>
    <row r="977" spans="8:8">
      <c r="H977" s="40"/>
    </row>
    <row r="978" spans="8:8">
      <c r="H978" s="40"/>
    </row>
    <row r="979" spans="8:8">
      <c r="H979" s="40"/>
    </row>
    <row r="980" spans="8:8">
      <c r="H980" s="40"/>
    </row>
    <row r="981" spans="8:8">
      <c r="H981" s="40"/>
    </row>
    <row r="982" spans="8:8">
      <c r="H982" s="40"/>
    </row>
    <row r="983" spans="8:8">
      <c r="H983" s="40"/>
    </row>
    <row r="984" spans="8:8">
      <c r="H984" s="40"/>
    </row>
    <row r="985" spans="8:8">
      <c r="H985" s="40"/>
    </row>
    <row r="986" spans="8:8">
      <c r="H986" s="40"/>
    </row>
    <row r="987" spans="8:8">
      <c r="H987" s="40"/>
    </row>
    <row r="988" spans="8:8">
      <c r="H988" s="40"/>
    </row>
    <row r="989" spans="8:8">
      <c r="H989" s="40"/>
    </row>
    <row r="990" spans="8:8">
      <c r="H990" s="40"/>
    </row>
    <row r="991" spans="8:8">
      <c r="H991" s="40"/>
    </row>
    <row r="992" spans="8:8">
      <c r="H992" s="40"/>
    </row>
    <row r="993" spans="8:8">
      <c r="H993" s="40"/>
    </row>
    <row r="994" spans="8:8">
      <c r="H994" s="40"/>
    </row>
    <row r="995" spans="8:8">
      <c r="H995" s="40"/>
    </row>
    <row r="996" spans="8:8">
      <c r="H996" s="40"/>
    </row>
    <row r="997" spans="8:8">
      <c r="H997" s="40"/>
    </row>
    <row r="998" spans="8:8">
      <c r="H998" s="40"/>
    </row>
    <row r="999" spans="8:8">
      <c r="H999" s="40"/>
    </row>
    <row r="1000" spans="8:8">
      <c r="H1000" s="40"/>
    </row>
    <row r="1001" spans="8:8">
      <c r="H1001" s="40"/>
    </row>
    <row r="1002" spans="8:8">
      <c r="H1002" s="40"/>
    </row>
    <row r="1003" spans="8:8">
      <c r="H1003" s="40"/>
    </row>
    <row r="1004" spans="8:8">
      <c r="H1004" s="40"/>
    </row>
    <row r="1005" spans="8:8">
      <c r="H1005" s="40"/>
    </row>
    <row r="1006" spans="8:8">
      <c r="H1006" s="40"/>
    </row>
  </sheetData>
  <customSheetViews>
    <customSheetView guid="{D3B1F023-19BB-464F-8A3D-FE308F3C83C4}" filter="1" showAutoFilter="1">
      <pageMargins left="0.7" right="0.7" top="0.75" bottom="0.75" header="0.3" footer="0.3"/>
      <autoFilter ref="J1:K46">
        <filterColumn colId="1">
          <filters>
            <filter val="Dulces"/>
          </filters>
        </filterColumn>
      </autoFilter>
    </customSheetView>
  </customSheetView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G130"/>
  <sheetViews>
    <sheetView workbookViewId="0">
      <selection activeCell="A13" sqref="A13"/>
    </sheetView>
  </sheetViews>
  <sheetFormatPr baseColWidth="10" defaultColWidth="12.6640625" defaultRowHeight="15.75" customHeight="1"/>
  <cols>
    <col min="1" max="1" width="41.88671875" customWidth="1"/>
  </cols>
  <sheetData>
    <row r="1" spans="1:7">
      <c r="A1" s="43" t="s">
        <v>34</v>
      </c>
    </row>
    <row r="2" spans="1:7">
      <c r="A2" s="8" t="s">
        <v>1673</v>
      </c>
    </row>
    <row r="3" spans="1:7">
      <c r="A3" s="8" t="s">
        <v>1674</v>
      </c>
    </row>
    <row r="4" spans="1:7">
      <c r="A4" s="8" t="s">
        <v>662</v>
      </c>
    </row>
    <row r="5" spans="1:7">
      <c r="A5" s="8" t="s">
        <v>1675</v>
      </c>
    </row>
    <row r="6" spans="1:7">
      <c r="A6" s="8" t="s">
        <v>1676</v>
      </c>
      <c r="G6" s="95"/>
    </row>
    <row r="7" spans="1:7">
      <c r="A7" s="8" t="s">
        <v>1677</v>
      </c>
    </row>
    <row r="8" spans="1:7">
      <c r="A8" s="31" t="s">
        <v>1055</v>
      </c>
    </row>
    <row r="9" spans="1:7">
      <c r="A9" s="8" t="s">
        <v>1049</v>
      </c>
    </row>
    <row r="10" spans="1:7">
      <c r="A10" s="8" t="s">
        <v>359</v>
      </c>
    </row>
    <row r="11" spans="1:7">
      <c r="A11" s="8" t="s">
        <v>1592</v>
      </c>
    </row>
    <row r="12" spans="1:7">
      <c r="A12" s="8" t="s">
        <v>51</v>
      </c>
    </row>
    <row r="13" spans="1:7">
      <c r="A13" s="8" t="s">
        <v>1678</v>
      </c>
    </row>
    <row r="14" spans="1:7">
      <c r="A14" s="8" t="s">
        <v>1679</v>
      </c>
    </row>
    <row r="15" spans="1:7">
      <c r="A15" s="8" t="s">
        <v>1680</v>
      </c>
    </row>
    <row r="16" spans="1:7">
      <c r="A16" s="8" t="s">
        <v>1681</v>
      </c>
    </row>
    <row r="17" spans="1:1">
      <c r="A17" s="31" t="s">
        <v>390</v>
      </c>
    </row>
    <row r="18" spans="1:1">
      <c r="A18" s="8" t="s">
        <v>365</v>
      </c>
    </row>
    <row r="19" spans="1:1">
      <c r="A19" s="8" t="s">
        <v>543</v>
      </c>
    </row>
    <row r="20" spans="1:1">
      <c r="A20" s="8" t="s">
        <v>430</v>
      </c>
    </row>
    <row r="21" spans="1:1">
      <c r="A21" s="8" t="s">
        <v>1682</v>
      </c>
    </row>
    <row r="22" spans="1:1">
      <c r="A22" s="8" t="s">
        <v>1683</v>
      </c>
    </row>
    <row r="23" spans="1:1">
      <c r="A23" s="8" t="s">
        <v>1684</v>
      </c>
    </row>
    <row r="24" spans="1:1">
      <c r="A24" s="8" t="s">
        <v>1685</v>
      </c>
    </row>
    <row r="25" spans="1:1">
      <c r="A25" s="8" t="s">
        <v>525</v>
      </c>
    </row>
    <row r="26" spans="1:1">
      <c r="A26" s="8" t="s">
        <v>1594</v>
      </c>
    </row>
    <row r="27" spans="1:1">
      <c r="A27" s="8" t="s">
        <v>493</v>
      </c>
    </row>
    <row r="28" spans="1:1">
      <c r="A28" s="8" t="s">
        <v>428</v>
      </c>
    </row>
    <row r="29" spans="1:1">
      <c r="A29" s="8" t="s">
        <v>483</v>
      </c>
    </row>
    <row r="30" spans="1:1">
      <c r="A30" s="8" t="s">
        <v>484</v>
      </c>
    </row>
    <row r="31" spans="1:1">
      <c r="A31" s="8" t="s">
        <v>485</v>
      </c>
    </row>
    <row r="32" spans="1:1">
      <c r="A32" s="8" t="s">
        <v>398</v>
      </c>
    </row>
    <row r="33" spans="1:1">
      <c r="A33" s="8" t="s">
        <v>407</v>
      </c>
    </row>
    <row r="34" spans="1:1">
      <c r="A34" s="8" t="s">
        <v>546</v>
      </c>
    </row>
    <row r="35" spans="1:1">
      <c r="A35" s="8" t="s">
        <v>480</v>
      </c>
    </row>
    <row r="36" spans="1:1">
      <c r="A36" s="8" t="s">
        <v>517</v>
      </c>
    </row>
    <row r="37" spans="1:1">
      <c r="A37" s="8" t="s">
        <v>555</v>
      </c>
    </row>
    <row r="38" spans="1:1">
      <c r="A38" s="8" t="s">
        <v>1047</v>
      </c>
    </row>
    <row r="39" spans="1:1">
      <c r="A39" s="8" t="s">
        <v>379</v>
      </c>
    </row>
    <row r="40" spans="1:1">
      <c r="A40" s="8" t="s">
        <v>449</v>
      </c>
    </row>
    <row r="41" spans="1:1">
      <c r="A41" s="8" t="s">
        <v>457</v>
      </c>
    </row>
    <row r="42" spans="1:1">
      <c r="A42" s="8" t="s">
        <v>571</v>
      </c>
    </row>
    <row r="43" spans="1:1">
      <c r="A43" s="8" t="s">
        <v>447</v>
      </c>
    </row>
    <row r="44" spans="1:1">
      <c r="A44" s="8" t="s">
        <v>551</v>
      </c>
    </row>
    <row r="45" spans="1:1">
      <c r="A45" s="8" t="s">
        <v>486</v>
      </c>
    </row>
    <row r="46" spans="1:1">
      <c r="A46" s="8" t="s">
        <v>464</v>
      </c>
    </row>
    <row r="47" spans="1:1">
      <c r="A47" s="8" t="s">
        <v>603</v>
      </c>
    </row>
    <row r="48" spans="1:1">
      <c r="A48" s="8" t="s">
        <v>445</v>
      </c>
    </row>
    <row r="49" spans="1:1">
      <c r="A49" s="31" t="s">
        <v>1059</v>
      </c>
    </row>
    <row r="50" spans="1:1">
      <c r="A50" s="31" t="s">
        <v>441</v>
      </c>
    </row>
    <row r="51" spans="1:1">
      <c r="A51" s="8" t="s">
        <v>530</v>
      </c>
    </row>
    <row r="52" spans="1:1">
      <c r="A52" s="8" t="s">
        <v>370</v>
      </c>
    </row>
    <row r="53" spans="1:1">
      <c r="A53" s="31" t="s">
        <v>411</v>
      </c>
    </row>
    <row r="54" spans="1:1">
      <c r="A54" s="8" t="s">
        <v>377</v>
      </c>
    </row>
    <row r="55" spans="1:1">
      <c r="A55" s="8" t="s">
        <v>438</v>
      </c>
    </row>
    <row r="56" spans="1:1">
      <c r="A56" s="8" t="s">
        <v>1045</v>
      </c>
    </row>
    <row r="57" spans="1:1">
      <c r="A57" s="8" t="s">
        <v>1052</v>
      </c>
    </row>
    <row r="58" spans="1:1">
      <c r="A58" s="8" t="s">
        <v>1686</v>
      </c>
    </row>
    <row r="59" spans="1:1">
      <c r="A59" s="8" t="s">
        <v>409</v>
      </c>
    </row>
    <row r="60" spans="1:1">
      <c r="A60" s="8" t="s">
        <v>536</v>
      </c>
    </row>
    <row r="61" spans="1:1">
      <c r="A61" s="8" t="s">
        <v>396</v>
      </c>
    </row>
    <row r="62" spans="1:1">
      <c r="A62" s="8" t="s">
        <v>1687</v>
      </c>
    </row>
    <row r="63" spans="1:1">
      <c r="A63" s="8" t="s">
        <v>368</v>
      </c>
    </row>
    <row r="64" spans="1:1">
      <c r="A64" s="8" t="s">
        <v>1044</v>
      </c>
    </row>
    <row r="65" spans="1:1">
      <c r="A65" s="8" t="s">
        <v>436</v>
      </c>
    </row>
    <row r="66" spans="1:1">
      <c r="A66" s="8" t="s">
        <v>382</v>
      </c>
    </row>
    <row r="67" spans="1:1">
      <c r="A67" s="8" t="s">
        <v>1046</v>
      </c>
    </row>
    <row r="68" spans="1:1">
      <c r="A68" s="8" t="s">
        <v>456</v>
      </c>
    </row>
    <row r="69" spans="1:1">
      <c r="A69" s="8" t="s">
        <v>413</v>
      </c>
    </row>
    <row r="70" spans="1:1">
      <c r="A70" s="8" t="s">
        <v>510</v>
      </c>
    </row>
    <row r="71" spans="1:1">
      <c r="A71" s="8" t="s">
        <v>363</v>
      </c>
    </row>
    <row r="72" spans="1:1">
      <c r="A72" s="8" t="s">
        <v>607</v>
      </c>
    </row>
    <row r="73" spans="1:1">
      <c r="A73" s="8" t="s">
        <v>1054</v>
      </c>
    </row>
    <row r="74" spans="1:1">
      <c r="A74" s="8" t="s">
        <v>455</v>
      </c>
    </row>
    <row r="75" spans="1:1">
      <c r="A75" s="31" t="s">
        <v>1575</v>
      </c>
    </row>
    <row r="76" spans="1:1">
      <c r="A76" s="31" t="s">
        <v>452</v>
      </c>
    </row>
    <row r="77" spans="1:1">
      <c r="A77" s="31" t="s">
        <v>419</v>
      </c>
    </row>
    <row r="78" spans="1:1">
      <c r="A78" s="31" t="s">
        <v>1058</v>
      </c>
    </row>
    <row r="79" spans="1:1">
      <c r="A79" s="31" t="s">
        <v>421</v>
      </c>
    </row>
    <row r="80" spans="1:1">
      <c r="A80" s="31" t="s">
        <v>403</v>
      </c>
    </row>
    <row r="81" spans="1:1">
      <c r="A81" s="31" t="s">
        <v>250</v>
      </c>
    </row>
    <row r="82" spans="1:1">
      <c r="A82" s="31" t="s">
        <v>386</v>
      </c>
    </row>
    <row r="83" spans="1:1">
      <c r="A83" s="31" t="s">
        <v>388</v>
      </c>
    </row>
    <row r="84" spans="1:1">
      <c r="A84" s="8" t="s">
        <v>371</v>
      </c>
    </row>
    <row r="85" spans="1:1">
      <c r="A85" s="8" t="s">
        <v>417</v>
      </c>
    </row>
    <row r="86" spans="1:1">
      <c r="A86" s="8" t="s">
        <v>432</v>
      </c>
    </row>
    <row r="87" spans="1:1">
      <c r="A87" s="8" t="s">
        <v>545</v>
      </c>
    </row>
    <row r="88" spans="1:1">
      <c r="A88" s="8" t="s">
        <v>563</v>
      </c>
    </row>
    <row r="89" spans="1:1">
      <c r="A89" s="8" t="s">
        <v>496</v>
      </c>
    </row>
    <row r="90" spans="1:1">
      <c r="A90" s="8" t="s">
        <v>1056</v>
      </c>
    </row>
    <row r="91" spans="1:1">
      <c r="A91" s="8" t="s">
        <v>1050</v>
      </c>
    </row>
    <row r="92" spans="1:1">
      <c r="A92" s="8" t="s">
        <v>251</v>
      </c>
    </row>
    <row r="93" spans="1:1">
      <c r="A93" s="8" t="s">
        <v>294</v>
      </c>
    </row>
    <row r="94" spans="1:1">
      <c r="A94" s="8" t="s">
        <v>724</v>
      </c>
    </row>
    <row r="95" spans="1:1">
      <c r="A95" s="31" t="s">
        <v>601</v>
      </c>
    </row>
    <row r="96" spans="1:1">
      <c r="A96" s="8" t="s">
        <v>541</v>
      </c>
    </row>
    <row r="97" spans="1:1">
      <c r="A97" s="8" t="s">
        <v>602</v>
      </c>
    </row>
    <row r="98" spans="1:1">
      <c r="A98" s="8" t="s">
        <v>415</v>
      </c>
    </row>
    <row r="99" spans="1:1">
      <c r="A99" s="8" t="s">
        <v>608</v>
      </c>
    </row>
    <row r="100" spans="1:1">
      <c r="A100" s="8" t="s">
        <v>1688</v>
      </c>
    </row>
    <row r="101" spans="1:1">
      <c r="A101" s="31" t="s">
        <v>1060</v>
      </c>
    </row>
    <row r="102" spans="1:1">
      <c r="A102" s="8" t="s">
        <v>566</v>
      </c>
    </row>
    <row r="103" spans="1:1">
      <c r="A103" s="8" t="s">
        <v>375</v>
      </c>
    </row>
    <row r="104" spans="1:1">
      <c r="A104" s="8" t="s">
        <v>458</v>
      </c>
    </row>
    <row r="105" spans="1:1">
      <c r="A105" s="13" t="s">
        <v>513</v>
      </c>
    </row>
    <row r="106" spans="1:1">
      <c r="A106" s="13" t="s">
        <v>542</v>
      </c>
    </row>
    <row r="107" spans="1:1">
      <c r="A107" s="13" t="s">
        <v>200</v>
      </c>
    </row>
    <row r="108" spans="1:1">
      <c r="A108" s="13" t="s">
        <v>1689</v>
      </c>
    </row>
    <row r="109" spans="1:1">
      <c r="A109" s="31" t="s">
        <v>561</v>
      </c>
    </row>
    <row r="110" spans="1:1">
      <c r="A110" s="31" t="s">
        <v>91</v>
      </c>
    </row>
    <row r="111" spans="1:1">
      <c r="A111" s="31" t="s">
        <v>1057</v>
      </c>
    </row>
    <row r="112" spans="1:1">
      <c r="A112" s="31" t="s">
        <v>579</v>
      </c>
    </row>
    <row r="113" spans="1:3">
      <c r="A113" s="31" t="s">
        <v>426</v>
      </c>
    </row>
    <row r="114" spans="1:3">
      <c r="A114" s="31" t="s">
        <v>502</v>
      </c>
    </row>
    <row r="115" spans="1:3">
      <c r="A115" s="31" t="s">
        <v>1690</v>
      </c>
    </row>
    <row r="116" spans="1:3">
      <c r="A116" s="8" t="s">
        <v>404</v>
      </c>
    </row>
    <row r="117" spans="1:3">
      <c r="A117" s="8" t="s">
        <v>385</v>
      </c>
    </row>
    <row r="118" spans="1:3">
      <c r="A118" s="8" t="s">
        <v>434</v>
      </c>
    </row>
    <row r="119" spans="1:3">
      <c r="A119" s="8" t="s">
        <v>401</v>
      </c>
    </row>
    <row r="120" spans="1:3">
      <c r="A120" s="31" t="s">
        <v>1053</v>
      </c>
    </row>
    <row r="121" spans="1:3">
      <c r="A121" s="31" t="s">
        <v>1051</v>
      </c>
    </row>
    <row r="122" spans="1:3">
      <c r="A122" s="8" t="s">
        <v>443</v>
      </c>
    </row>
    <row r="123" spans="1:3">
      <c r="A123" s="8" t="s">
        <v>477</v>
      </c>
    </row>
    <row r="124" spans="1:3">
      <c r="A124" s="8" t="s">
        <v>1048</v>
      </c>
    </row>
    <row r="125" spans="1:3">
      <c r="A125" s="8" t="s">
        <v>491</v>
      </c>
    </row>
    <row r="126" spans="1:3">
      <c r="A126" s="8" t="s">
        <v>460</v>
      </c>
      <c r="C126" s="31" t="s">
        <v>1691</v>
      </c>
    </row>
    <row r="127" spans="1:3">
      <c r="A127" s="8" t="s">
        <v>487</v>
      </c>
    </row>
    <row r="128" spans="1:3">
      <c r="A128" s="8" t="s">
        <v>454</v>
      </c>
    </row>
    <row r="129" spans="1:1">
      <c r="A129" s="31" t="s">
        <v>211</v>
      </c>
    </row>
    <row r="130" spans="1:1">
      <c r="A130" s="31" t="s">
        <v>160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13</vt:i4>
      </vt:variant>
    </vt:vector>
  </HeadingPairs>
  <TitlesOfParts>
    <vt:vector size="28" baseType="lpstr">
      <vt:lpstr>Estructura</vt:lpstr>
      <vt:lpstr>REGIONES</vt:lpstr>
      <vt:lpstr>COMUNAS</vt:lpstr>
      <vt:lpstr>TIPOS_DOCUMENTO</vt:lpstr>
      <vt:lpstr>EMPLEADOS</vt:lpstr>
      <vt:lpstr>CLIENTES_BD</vt:lpstr>
      <vt:lpstr>PRODUCTOS</vt:lpstr>
      <vt:lpstr>PRECIOS_BD</vt:lpstr>
      <vt:lpstr>DOCUMENTOS</vt:lpstr>
      <vt:lpstr>DETALLE_DOCUMENTOS</vt:lpstr>
      <vt:lpstr>Ventas</vt:lpstr>
      <vt:lpstr>Clientes</vt:lpstr>
      <vt:lpstr>Precios</vt:lpstr>
      <vt:lpstr>Datos Maestros</vt:lpstr>
      <vt:lpstr>Productos - Inventario</vt:lpstr>
      <vt:lpstr>Clientes</vt:lpstr>
      <vt:lpstr>Grupos</vt:lpstr>
      <vt:lpstr>ListaProductos</vt:lpstr>
      <vt:lpstr>Negocios</vt:lpstr>
      <vt:lpstr>NombreProductos</vt:lpstr>
      <vt:lpstr>Pesos</vt:lpstr>
      <vt:lpstr>Productos</vt:lpstr>
      <vt:lpstr>ProductosInventario</vt:lpstr>
      <vt:lpstr>Proveedores</vt:lpstr>
      <vt:lpstr>StatusEntrega</vt:lpstr>
      <vt:lpstr>StatusPago</vt:lpstr>
      <vt:lpstr>Unidades</vt:lpstr>
      <vt:lpstr>Vendedores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2026-03-11T19:05:25Z</dcterms:modified>
</cp:coreProperties>
</file>